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"/>
    </mc:Choice>
  </mc:AlternateContent>
  <xr:revisionPtr revIDLastSave="0" documentId="13_ncr:1_{33E3041B-3CE2-4251-BBFF-C1E6DF846608}" xr6:coauthVersionLast="47" xr6:coauthVersionMax="47" xr10:uidLastSave="{00000000-0000-0000-0000-000000000000}"/>
  <bookViews>
    <workbookView xWindow="-108" yWindow="-108" windowWidth="23256" windowHeight="13896" tabRatio="803" firstSheet="8" activeTab="8" xr2:uid="{00000000-000D-0000-FFFF-FFFF00000000}"/>
  </bookViews>
  <sheets>
    <sheet name="17" sheetId="45" state="hidden" r:id="rId1"/>
    <sheet name="18" sheetId="46" state="hidden" r:id="rId2"/>
    <sheet name="21" sheetId="53" state="hidden" r:id="rId3"/>
    <sheet name="20" sheetId="50" state="hidden" r:id="rId4"/>
    <sheet name="22" sheetId="55" state="hidden" r:id="rId5"/>
    <sheet name="23" sheetId="57" state="hidden" r:id="rId6"/>
    <sheet name="25" sheetId="62" state="hidden" r:id="rId7"/>
    <sheet name="RUMAS C- 26" sheetId="63" state="hidden" r:id="rId8"/>
    <sheet name="Analisis comercial" sheetId="2" r:id="rId9"/>
    <sheet name="Valorizacion" sheetId="89" r:id="rId10"/>
    <sheet name="Liquidacion" sheetId="1" r:id="rId11"/>
    <sheet name="Certificado" sheetId="77" r:id="rId12"/>
    <sheet name="Graph" sheetId="47" state="hidden" r:id="rId13"/>
    <sheet name="26" sheetId="66" state="hidden" r:id="rId14"/>
    <sheet name="27" sheetId="71" state="hidden" r:id="rId15"/>
    <sheet name="28" sheetId="74" state="hidden" r:id="rId16"/>
    <sheet name="29" sheetId="75" state="hidden" r:id="rId17"/>
    <sheet name="19" sheetId="49" state="hidden" r:id="rId18"/>
    <sheet name="24" sheetId="61" state="hidden" r:id="rId19"/>
    <sheet name="30" sheetId="76" state="hidden" r:id="rId20"/>
    <sheet name="31" sheetId="78" state="hidden" r:id="rId21"/>
    <sheet name="32" sheetId="79" state="hidden" r:id="rId22"/>
    <sheet name="33" sheetId="80" state="hidden" r:id="rId23"/>
    <sheet name="34" sheetId="81" state="hidden" r:id="rId24"/>
    <sheet name="35" sheetId="82" state="hidden" r:id="rId25"/>
    <sheet name="36" sheetId="83" state="hidden" r:id="rId26"/>
    <sheet name="37" sheetId="84" state="hidden" r:id="rId27"/>
    <sheet name="38" sheetId="85" state="hidden" r:id="rId28"/>
    <sheet name="39" sheetId="86" state="hidden" r:id="rId29"/>
    <sheet name="40" sheetId="87" state="hidden" r:id="rId30"/>
    <sheet name="41" sheetId="88" state="hidden" r:id="rId31"/>
    <sheet name="42" sheetId="90" state="hidden" r:id="rId32"/>
    <sheet name="43" sheetId="91" state="hidden" r:id="rId33"/>
    <sheet name="44" sheetId="92" r:id="rId34"/>
    <sheet name="45" sheetId="93" r:id="rId35"/>
    <sheet name="46" sheetId="95" r:id="rId36"/>
    <sheet name="ruma" sheetId="94" r:id="rId37"/>
    <sheet name="RUC" sheetId="44" r:id="rId38"/>
    <sheet name="Liquidacion con Ag" sheetId="39" r:id="rId39"/>
    <sheet name="RUMAS" sheetId="69" state="hidden" r:id="rId40"/>
    <sheet name="resumen" sheetId="60" r:id="rId41"/>
    <sheet name="Posicion" sheetId="24" state="hidden" r:id="rId42"/>
    <sheet name="Fix" sheetId="18" r:id="rId43"/>
    <sheet name="INVENTARIO " sheetId="65" state="hidden" r:id="rId44"/>
    <sheet name="Shipments" sheetId="12" r:id="rId45"/>
    <sheet name="16" sheetId="42" state="hidden" r:id="rId46"/>
    <sheet name="15" sheetId="41" state="hidden" r:id="rId47"/>
    <sheet name="14" sheetId="40" state="hidden" r:id="rId48"/>
    <sheet name="12" sheetId="38" state="hidden" r:id="rId49"/>
    <sheet name="11" sheetId="35" state="hidden" r:id="rId50"/>
    <sheet name="10" sheetId="33" state="hidden" r:id="rId51"/>
    <sheet name="9" sheetId="20" state="hidden" r:id="rId52"/>
    <sheet name="8" sheetId="3" state="hidden" r:id="rId53"/>
    <sheet name="7" sheetId="4" state="hidden" r:id="rId54"/>
    <sheet name="6" sheetId="5" state="hidden" r:id="rId55"/>
    <sheet name="5" sheetId="6" state="hidden" r:id="rId56"/>
    <sheet name="4" sheetId="7" state="hidden" r:id="rId57"/>
    <sheet name="3" sheetId="8" state="hidden" r:id="rId58"/>
    <sheet name="2" sheetId="9" state="hidden" r:id="rId59"/>
    <sheet name="1.2" sheetId="10" state="hidden" r:id="rId60"/>
    <sheet name="1.1" sheetId="11" state="hidden" r:id="rId61"/>
    <sheet name="data 1" sheetId="13" state="hidden" r:id="rId62"/>
    <sheet name="data 2" sheetId="14" state="hidden" r:id="rId63"/>
    <sheet name="Liquidacion Ag" sheetId="26" state="hidden" r:id="rId64"/>
  </sheets>
  <externalReferences>
    <externalReference r:id="rId65"/>
  </externalReferences>
  <definedNames>
    <definedName name="_xlnm._FilterDatabase" localSheetId="50" hidden="1">'10'!$A$3:$AL$41</definedName>
    <definedName name="_xlnm._FilterDatabase" localSheetId="49" hidden="1">'11'!$A$3:$AL$79</definedName>
    <definedName name="_xlnm._FilterDatabase" localSheetId="48" hidden="1">'12'!$A$3:$AL$34</definedName>
    <definedName name="_xlnm._FilterDatabase" localSheetId="47" hidden="1">'14'!$A$3:$AL$23</definedName>
    <definedName name="_xlnm._FilterDatabase" localSheetId="46" hidden="1">'15'!$A$3:$AL$4</definedName>
    <definedName name="_xlnm._FilterDatabase" localSheetId="45" hidden="1">'16'!$A$3:$AL$4</definedName>
    <definedName name="_xlnm._FilterDatabase" localSheetId="0" hidden="1">'17'!$A$3:$AL$4</definedName>
    <definedName name="_xlnm._FilterDatabase" localSheetId="1" hidden="1">'18'!$A$3:$AL$4</definedName>
    <definedName name="_xlnm._FilterDatabase" localSheetId="17" hidden="1">'19'!$A$3:$AL$4</definedName>
    <definedName name="_xlnm._FilterDatabase" localSheetId="3" hidden="1">'20'!$A$3:$AL$4</definedName>
    <definedName name="_xlnm._FilterDatabase" localSheetId="2" hidden="1">'21'!$A$3:$AL$4</definedName>
    <definedName name="_xlnm._FilterDatabase" localSheetId="4" hidden="1">'22'!$A$3:$AL$4</definedName>
    <definedName name="_xlnm._FilterDatabase" localSheetId="5" hidden="1">'23'!$A$3:$AL$4</definedName>
    <definedName name="_xlnm._FilterDatabase" localSheetId="18" hidden="1">'24'!$A$3:$AN$108</definedName>
    <definedName name="_xlnm._FilterDatabase" localSheetId="6" hidden="1">'25'!$A$3:$AO$101</definedName>
    <definedName name="_xlnm._FilterDatabase" localSheetId="13" hidden="1">'26'!$A$3:$AO$102</definedName>
    <definedName name="_xlnm._FilterDatabase" localSheetId="14" hidden="1">'27'!$A$3:$AO$109</definedName>
    <definedName name="_xlnm._FilterDatabase" localSheetId="15" hidden="1">'28'!$A$3:$AO$104</definedName>
    <definedName name="_xlnm._FilterDatabase" localSheetId="16" hidden="1">'29'!$A$3:$AO$93</definedName>
    <definedName name="_xlnm._FilterDatabase" localSheetId="19" hidden="1">'30'!$A$3:$AO$93</definedName>
    <definedName name="_xlnm._FilterDatabase" localSheetId="20" hidden="1">'31'!$A$3:$AO$83</definedName>
    <definedName name="_xlnm._FilterDatabase" localSheetId="21" hidden="1">'32'!$A$3:$AO$112</definedName>
    <definedName name="_xlnm._FilterDatabase" localSheetId="22" hidden="1">'33'!$A$3:$AO$87</definedName>
    <definedName name="_xlnm._FilterDatabase" localSheetId="23" hidden="1">'34'!$A$3:$AO$70</definedName>
    <definedName name="_xlnm._FilterDatabase" localSheetId="24" hidden="1">'35'!$A$3:$AO$121</definedName>
    <definedName name="_xlnm._FilterDatabase" localSheetId="25" hidden="1">'36'!$A$3:$AO$64</definedName>
    <definedName name="_xlnm._FilterDatabase" localSheetId="26" hidden="1">'37'!$A$3:$AO$110</definedName>
    <definedName name="_xlnm._FilterDatabase" localSheetId="27" hidden="1">'38'!$A$3:$AO$128</definedName>
    <definedName name="_xlnm._FilterDatabase" localSheetId="28" hidden="1">'39'!$A$3:$AO$138</definedName>
    <definedName name="_xlnm._FilterDatabase" localSheetId="29" hidden="1">'40'!$A$3:$AO$109</definedName>
    <definedName name="_xlnm._FilterDatabase" localSheetId="30" hidden="1">'41'!$A$3:$AO$102</definedName>
    <definedName name="_xlnm._FilterDatabase" localSheetId="31" hidden="1">'42'!$A$3:$AO$117</definedName>
    <definedName name="_xlnm._FilterDatabase" localSheetId="32" hidden="1">'43'!$A$3:$AO$121</definedName>
    <definedName name="_xlnm._FilterDatabase" localSheetId="33" hidden="1">'44'!$A$3:$AO$85</definedName>
    <definedName name="_xlnm._FilterDatabase" localSheetId="34" hidden="1">'45'!$A$3:$AR$112</definedName>
    <definedName name="_xlnm._FilterDatabase" localSheetId="35" hidden="1">'46'!$A$3:$AR$140</definedName>
    <definedName name="_xlnm._FilterDatabase" localSheetId="52" hidden="1">'8'!$A$3:$AL$623</definedName>
    <definedName name="_xlnm._FilterDatabase" localSheetId="51" hidden="1">'9'!$A$3:$AL$201</definedName>
    <definedName name="_xlnm._FilterDatabase" localSheetId="8" hidden="1">'Analisis comercial'!$A$3:$AR$164</definedName>
    <definedName name="_xlnm._FilterDatabase" localSheetId="37" hidden="1">RUC!$B$2:$M$96</definedName>
    <definedName name="_xlnm._FilterDatabase" localSheetId="36" hidden="1">ruma!$A$3:$AR$4</definedName>
    <definedName name="_xlnm.Print_Area" localSheetId="11">Certificado!$A$1:$I$51</definedName>
    <definedName name="_xlnm.Print_Area" localSheetId="10">Liquidacion!$A$1:$O$32</definedName>
    <definedName name="DataProveedores">[1]Data!$B$1:$C$59</definedName>
    <definedName name="Print_Area" localSheetId="11">Certificado!$A$1:$I$51</definedName>
    <definedName name="Print_Area" localSheetId="43">'INVENTARIO '!$A$6:$N$51</definedName>
    <definedName name="Print_Area" localSheetId="10">Liquidacion!$A$1:$O$32</definedName>
    <definedName name="Print_Area" localSheetId="38">'Liquidacion con Ag'!$A$1:$M$28</definedName>
    <definedName name="Print_Area" localSheetId="9">Valorizacion!$A$1:$O$32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" i="77" l="1"/>
  <c r="M156" i="2"/>
  <c r="N156" i="2" s="1"/>
  <c r="M157" i="2"/>
  <c r="N157" i="2" s="1"/>
  <c r="M158" i="2"/>
  <c r="N158" i="2" s="1"/>
  <c r="M159" i="2"/>
  <c r="N159" i="2" s="1"/>
  <c r="M146" i="2"/>
  <c r="N146" i="2" s="1"/>
  <c r="O159" i="2" l="1"/>
  <c r="O158" i="2"/>
  <c r="O157" i="2"/>
  <c r="O156" i="2"/>
  <c r="O146" i="2"/>
  <c r="U111" i="2" l="1"/>
  <c r="U112" i="2"/>
  <c r="U113" i="2"/>
  <c r="Y141" i="2"/>
  <c r="Z141" i="2"/>
  <c r="Y142" i="2"/>
  <c r="Z142" i="2"/>
  <c r="Y143" i="2"/>
  <c r="Z143" i="2"/>
  <c r="Y144" i="2"/>
  <c r="Z144" i="2"/>
  <c r="AA144" i="2" s="1"/>
  <c r="Y145" i="2"/>
  <c r="AA145" i="2" s="1"/>
  <c r="Z145" i="2"/>
  <c r="Y146" i="2"/>
  <c r="Z146" i="2"/>
  <c r="AA146" i="2"/>
  <c r="Y147" i="2"/>
  <c r="Z147" i="2"/>
  <c r="AE147" i="2" s="1"/>
  <c r="Y148" i="2"/>
  <c r="Z148" i="2"/>
  <c r="AD148" i="2"/>
  <c r="AJ148" i="2"/>
  <c r="AA149" i="2"/>
  <c r="AA151" i="2"/>
  <c r="AA152" i="2"/>
  <c r="AA153" i="2"/>
  <c r="AE153" i="2"/>
  <c r="Y154" i="2"/>
  <c r="Z154" i="2"/>
  <c r="AA154" i="2" s="1"/>
  <c r="AD154" i="2"/>
  <c r="AE154" i="2"/>
  <c r="AJ154" i="2"/>
  <c r="Y155" i="2"/>
  <c r="Z155" i="2"/>
  <c r="Y156" i="2"/>
  <c r="Z156" i="2"/>
  <c r="AA156" i="2" s="1"/>
  <c r="AB156" i="2" s="1"/>
  <c r="AC156" i="2"/>
  <c r="AD156" i="2"/>
  <c r="AF156" i="2"/>
  <c r="AJ156" i="2"/>
  <c r="Y157" i="2"/>
  <c r="AA157" i="2" s="1"/>
  <c r="AB157" i="2" s="1"/>
  <c r="Z157" i="2"/>
  <c r="AC157" i="2"/>
  <c r="AD157" i="2"/>
  <c r="AF157" i="2"/>
  <c r="AJ157" i="2"/>
  <c r="Y158" i="2"/>
  <c r="Z158" i="2"/>
  <c r="AC158" i="2"/>
  <c r="AD158" i="2"/>
  <c r="AF158" i="2"/>
  <c r="AJ158" i="2"/>
  <c r="U141" i="2"/>
  <c r="AD141" i="2" s="1"/>
  <c r="U142" i="2"/>
  <c r="AD142" i="2" s="1"/>
  <c r="U143" i="2"/>
  <c r="AJ143" i="2" s="1"/>
  <c r="U144" i="2"/>
  <c r="AJ144" i="2" s="1"/>
  <c r="U145" i="2"/>
  <c r="AJ145" i="2" s="1"/>
  <c r="U146" i="2"/>
  <c r="AD146" i="2" s="1"/>
  <c r="U147" i="2"/>
  <c r="AJ147" i="2" s="1"/>
  <c r="U148" i="2"/>
  <c r="U149" i="2"/>
  <c r="AD149" i="2" s="1"/>
  <c r="U150" i="2"/>
  <c r="AJ150" i="2" s="1"/>
  <c r="U151" i="2"/>
  <c r="AJ151" i="2" s="1"/>
  <c r="U152" i="2"/>
  <c r="AJ152" i="2" s="1"/>
  <c r="U153" i="2"/>
  <c r="AJ153" i="2" s="1"/>
  <c r="U154" i="2"/>
  <c r="U155" i="2"/>
  <c r="AJ155" i="2" s="1"/>
  <c r="S146" i="2"/>
  <c r="AC146" i="2" s="1"/>
  <c r="Y126" i="2"/>
  <c r="Z126" i="2"/>
  <c r="AA127" i="2"/>
  <c r="AE127" i="2"/>
  <c r="AA129" i="2"/>
  <c r="AE130" i="2"/>
  <c r="Y133" i="2"/>
  <c r="Z133" i="2"/>
  <c r="AA134" i="2"/>
  <c r="AE134" i="2"/>
  <c r="AA136" i="2"/>
  <c r="AE137" i="2"/>
  <c r="AA137" i="2"/>
  <c r="Y138" i="2"/>
  <c r="Z138" i="2"/>
  <c r="Y139" i="2"/>
  <c r="Z139" i="2"/>
  <c r="Y140" i="2"/>
  <c r="Z140" i="2"/>
  <c r="AA155" i="2" l="1"/>
  <c r="AD147" i="2"/>
  <c r="AA142" i="2"/>
  <c r="AD153" i="2"/>
  <c r="AJ141" i="2"/>
  <c r="AA158" i="2"/>
  <c r="AB158" i="2" s="1"/>
  <c r="AJ146" i="2"/>
  <c r="AD151" i="2"/>
  <c r="AE148" i="2"/>
  <c r="AF146" i="2"/>
  <c r="AG146" i="2" s="1"/>
  <c r="AD150" i="2"/>
  <c r="AE146" i="2"/>
  <c r="AJ149" i="2"/>
  <c r="AA131" i="2"/>
  <c r="AD155" i="2"/>
  <c r="AA130" i="2"/>
  <c r="AA148" i="2"/>
  <c r="AD145" i="2"/>
  <c r="AE144" i="2"/>
  <c r="AE149" i="2"/>
  <c r="AB146" i="2"/>
  <c r="AD143" i="2"/>
  <c r="AA150" i="2"/>
  <c r="AA147" i="2"/>
  <c r="AD144" i="2"/>
  <c r="AJ142" i="2"/>
  <c r="AA132" i="2"/>
  <c r="AE155" i="2"/>
  <c r="AD152" i="2"/>
  <c r="AE151" i="2"/>
  <c r="AA126" i="2"/>
  <c r="AE145" i="2"/>
  <c r="AE139" i="2"/>
  <c r="AE152" i="2"/>
  <c r="AE156" i="2"/>
  <c r="AG156" i="2" s="1"/>
  <c r="AE143" i="2"/>
  <c r="AA141" i="2"/>
  <c r="AE157" i="2"/>
  <c r="AG157" i="2" s="1"/>
  <c r="AA138" i="2"/>
  <c r="AE141" i="2"/>
  <c r="AE142" i="2"/>
  <c r="AA143" i="2"/>
  <c r="AE158" i="2"/>
  <c r="AG158" i="2" s="1"/>
  <c r="AE150" i="2"/>
  <c r="AA133" i="2"/>
  <c r="AE132" i="2"/>
  <c r="AE138" i="2"/>
  <c r="AA140" i="2"/>
  <c r="AA128" i="2"/>
  <c r="AA135" i="2"/>
  <c r="AE129" i="2"/>
  <c r="AE131" i="2"/>
  <c r="AE126" i="2"/>
  <c r="AA139" i="2"/>
  <c r="AE136" i="2"/>
  <c r="AE128" i="2"/>
  <c r="AE135" i="2"/>
  <c r="AE133" i="2"/>
  <c r="AE140" i="2"/>
  <c r="AN141" i="2" l="1"/>
  <c r="M141" i="2" s="1"/>
  <c r="N141" i="2" s="1"/>
  <c r="AN142" i="2"/>
  <c r="M142" i="2" s="1"/>
  <c r="AN143" i="2"/>
  <c r="M143" i="2" s="1"/>
  <c r="N143" i="2" s="1"/>
  <c r="O143" i="2" s="1"/>
  <c r="AN144" i="2"/>
  <c r="M144" i="2" s="1"/>
  <c r="N144" i="2" s="1"/>
  <c r="O144" i="2" s="1"/>
  <c r="AN145" i="2"/>
  <c r="M145" i="2" s="1"/>
  <c r="N145" i="2" s="1"/>
  <c r="AN146" i="2"/>
  <c r="AN147" i="2"/>
  <c r="M147" i="2" s="1"/>
  <c r="AN148" i="2"/>
  <c r="M148" i="2" s="1"/>
  <c r="AN149" i="2"/>
  <c r="M149" i="2" s="1"/>
  <c r="AN150" i="2"/>
  <c r="M150" i="2" s="1"/>
  <c r="AN151" i="2"/>
  <c r="M151" i="2" s="1"/>
  <c r="AN152" i="2"/>
  <c r="M152" i="2" s="1"/>
  <c r="N152" i="2" s="1"/>
  <c r="O152" i="2" s="1"/>
  <c r="AN153" i="2"/>
  <c r="M153" i="2" s="1"/>
  <c r="AN154" i="2"/>
  <c r="M154" i="2" s="1"/>
  <c r="N154" i="2" s="1"/>
  <c r="AN155" i="2"/>
  <c r="M155" i="2" s="1"/>
  <c r="AN156" i="2"/>
  <c r="AN157" i="2"/>
  <c r="AN158" i="2"/>
  <c r="AN159" i="2"/>
  <c r="K141" i="2"/>
  <c r="K142" i="2"/>
  <c r="K143" i="2"/>
  <c r="K144" i="2"/>
  <c r="K145" i="2"/>
  <c r="K146" i="2"/>
  <c r="AM146" i="2" s="1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AK152" i="2" l="1"/>
  <c r="AI152" i="2"/>
  <c r="AH152" i="2"/>
  <c r="AH151" i="2"/>
  <c r="AI151" i="2"/>
  <c r="AH150" i="2"/>
  <c r="AI150" i="2"/>
  <c r="AH149" i="2"/>
  <c r="AI149" i="2"/>
  <c r="AF152" i="2"/>
  <c r="S152" i="2"/>
  <c r="AC152" i="2" s="1"/>
  <c r="AG152" i="2" s="1"/>
  <c r="AK148" i="2"/>
  <c r="AH148" i="2"/>
  <c r="AI148" i="2"/>
  <c r="S143" i="2"/>
  <c r="AC143" i="2" s="1"/>
  <c r="AF143" i="2"/>
  <c r="AH154" i="2"/>
  <c r="AI154" i="2"/>
  <c r="AH153" i="2"/>
  <c r="AI153" i="2"/>
  <c r="AH147" i="2"/>
  <c r="AI147" i="2"/>
  <c r="AH145" i="2"/>
  <c r="AI145" i="2"/>
  <c r="AI143" i="2"/>
  <c r="AK143" i="2"/>
  <c r="AH143" i="2"/>
  <c r="AH156" i="2"/>
  <c r="AK156" i="2"/>
  <c r="AI156" i="2"/>
  <c r="AM156" i="2"/>
  <c r="AH155" i="2"/>
  <c r="AI155" i="2"/>
  <c r="AI146" i="2"/>
  <c r="AK146" i="2"/>
  <c r="AH146" i="2"/>
  <c r="AI144" i="2"/>
  <c r="AK144" i="2"/>
  <c r="AH144" i="2"/>
  <c r="AH158" i="2"/>
  <c r="AI158" i="2"/>
  <c r="AK158" i="2"/>
  <c r="AM158" i="2"/>
  <c r="AH142" i="2"/>
  <c r="AI142" i="2"/>
  <c r="AK157" i="2"/>
  <c r="AI157" i="2"/>
  <c r="AH157" i="2"/>
  <c r="AM157" i="2"/>
  <c r="AH141" i="2"/>
  <c r="AI141" i="2"/>
  <c r="AF144" i="2"/>
  <c r="S144" i="2"/>
  <c r="AC144" i="2" s="1"/>
  <c r="AG144" i="2" s="1"/>
  <c r="N147" i="2"/>
  <c r="O147" i="2" s="1"/>
  <c r="AK147" i="2" s="1"/>
  <c r="N142" i="2"/>
  <c r="O142" i="2"/>
  <c r="AK142" i="2" s="1"/>
  <c r="N155" i="2"/>
  <c r="O155" i="2"/>
  <c r="AK155" i="2" s="1"/>
  <c r="N149" i="2"/>
  <c r="O149" i="2" s="1"/>
  <c r="AK149" i="2" s="1"/>
  <c r="N151" i="2"/>
  <c r="O151" i="2" s="1"/>
  <c r="N150" i="2"/>
  <c r="O150" i="2" s="1"/>
  <c r="N148" i="2"/>
  <c r="O148" i="2" s="1"/>
  <c r="N153" i="2"/>
  <c r="O153" i="2" s="1"/>
  <c r="AK153" i="2" s="1"/>
  <c r="O154" i="2"/>
  <c r="O141" i="2"/>
  <c r="O145" i="2"/>
  <c r="AG143" i="2" l="1"/>
  <c r="AB144" i="2"/>
  <c r="AM144" i="2" s="1"/>
  <c r="AF141" i="2"/>
  <c r="S141" i="2"/>
  <c r="AC141" i="2" s="1"/>
  <c r="AG141" i="2" s="1"/>
  <c r="S148" i="2"/>
  <c r="AC148" i="2" s="1"/>
  <c r="AF148" i="2"/>
  <c r="AB148" i="2"/>
  <c r="AM148" i="2" s="1"/>
  <c r="S149" i="2"/>
  <c r="AC149" i="2" s="1"/>
  <c r="AF149" i="2"/>
  <c r="AK141" i="2"/>
  <c r="AF145" i="2"/>
  <c r="S145" i="2"/>
  <c r="AC145" i="2" s="1"/>
  <c r="AG145" i="2" s="1"/>
  <c r="AK145" i="2"/>
  <c r="S154" i="2"/>
  <c r="AC154" i="2" s="1"/>
  <c r="AG154" i="2" s="1"/>
  <c r="AF154" i="2"/>
  <c r="AB152" i="2"/>
  <c r="AM152" i="2" s="1"/>
  <c r="S153" i="2"/>
  <c r="AC153" i="2" s="1"/>
  <c r="AG153" i="2" s="1"/>
  <c r="AF153" i="2"/>
  <c r="AF150" i="2"/>
  <c r="S150" i="2"/>
  <c r="AC150" i="2" s="1"/>
  <c r="AG150" i="2" s="1"/>
  <c r="AF151" i="2"/>
  <c r="S151" i="2"/>
  <c r="AC151" i="2" s="1"/>
  <c r="AG151" i="2" s="1"/>
  <c r="S155" i="2"/>
  <c r="AC155" i="2" s="1"/>
  <c r="AG155" i="2" s="1"/>
  <c r="AF155" i="2"/>
  <c r="AK150" i="2"/>
  <c r="AK151" i="2"/>
  <c r="AF142" i="2"/>
  <c r="S142" i="2"/>
  <c r="AC142" i="2" s="1"/>
  <c r="AG142" i="2" s="1"/>
  <c r="AK154" i="2"/>
  <c r="S147" i="2"/>
  <c r="AC147" i="2" s="1"/>
  <c r="AF147" i="2"/>
  <c r="AB143" i="2"/>
  <c r="AM143" i="2" s="1"/>
  <c r="AN164" i="2"/>
  <c r="AN140" i="2"/>
  <c r="M140" i="2" s="1"/>
  <c r="AN139" i="2"/>
  <c r="L100" i="44"/>
  <c r="AG148" i="2" l="1"/>
  <c r="AG147" i="2"/>
  <c r="AB147" i="2"/>
  <c r="AM147" i="2" s="1"/>
  <c r="AB151" i="2"/>
  <c r="AM151" i="2" s="1"/>
  <c r="AB150" i="2"/>
  <c r="AM150" i="2" s="1"/>
  <c r="AG149" i="2"/>
  <c r="AB149" i="2"/>
  <c r="AM149" i="2" s="1"/>
  <c r="AB142" i="2"/>
  <c r="AM142" i="2" s="1"/>
  <c r="AB153" i="2"/>
  <c r="AM153" i="2" s="1"/>
  <c r="AB141" i="2"/>
  <c r="AM141" i="2" s="1"/>
  <c r="AB154" i="2"/>
  <c r="AM154" i="2" s="1"/>
  <c r="AB155" i="2"/>
  <c r="AM155" i="2" s="1"/>
  <c r="AB145" i="2"/>
  <c r="AM145" i="2" s="1"/>
  <c r="N140" i="2"/>
  <c r="O140" i="2"/>
  <c r="S140" i="2" s="1"/>
  <c r="AC140" i="2" s="1"/>
  <c r="AW11" i="2"/>
  <c r="AW12" i="2"/>
  <c r="AW13" i="2"/>
  <c r="AW14" i="2"/>
  <c r="AW15" i="2"/>
  <c r="BB11" i="2"/>
  <c r="BB12" i="2"/>
  <c r="BB13" i="2"/>
  <c r="BB14" i="2"/>
  <c r="BB15" i="2"/>
  <c r="BB16" i="2"/>
  <c r="AN126" i="2"/>
  <c r="M126" i="2" s="1"/>
  <c r="AN127" i="2"/>
  <c r="M127" i="2" s="1"/>
  <c r="O127" i="2" s="1"/>
  <c r="AN128" i="2"/>
  <c r="M128" i="2" s="1"/>
  <c r="AN129" i="2"/>
  <c r="M129" i="2" s="1"/>
  <c r="AN130" i="2"/>
  <c r="M130" i="2" s="1"/>
  <c r="N130" i="2" s="1"/>
  <c r="O130" i="2" s="1"/>
  <c r="AN131" i="2"/>
  <c r="M131" i="2" s="1"/>
  <c r="AN132" i="2"/>
  <c r="M132" i="2" s="1"/>
  <c r="O132" i="2" s="1"/>
  <c r="AN133" i="2"/>
  <c r="M133" i="2" s="1"/>
  <c r="AN134" i="2"/>
  <c r="M134" i="2" s="1"/>
  <c r="AN135" i="2"/>
  <c r="M135" i="2" s="1"/>
  <c r="AN136" i="2"/>
  <c r="M136" i="2" s="1"/>
  <c r="AN137" i="2"/>
  <c r="M137" i="2" s="1"/>
  <c r="AN138" i="2"/>
  <c r="M138" i="2" s="1"/>
  <c r="M139" i="2"/>
  <c r="N139" i="2" s="1"/>
  <c r="O139" i="2" s="1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K126" i="2"/>
  <c r="AH126" i="2" s="1"/>
  <c r="K127" i="2"/>
  <c r="AH127" i="2" s="1"/>
  <c r="K128" i="2"/>
  <c r="K129" i="2"/>
  <c r="K130" i="2"/>
  <c r="K131" i="2"/>
  <c r="K132" i="2"/>
  <c r="AH132" i="2" s="1"/>
  <c r="K133" i="2"/>
  <c r="K134" i="2"/>
  <c r="K135" i="2"/>
  <c r="K136" i="2"/>
  <c r="AI136" i="2" s="1"/>
  <c r="K137" i="2"/>
  <c r="AI137" i="2" s="1"/>
  <c r="K138" i="2"/>
  <c r="K139" i="2"/>
  <c r="AH139" i="2" s="1"/>
  <c r="K140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Y111" i="2"/>
  <c r="Z111" i="2"/>
  <c r="Y112" i="2"/>
  <c r="Z112" i="2"/>
  <c r="Y113" i="2"/>
  <c r="Z113" i="2"/>
  <c r="Y114" i="2"/>
  <c r="Z114" i="2"/>
  <c r="Y115" i="2"/>
  <c r="Y116" i="2"/>
  <c r="Y117" i="2"/>
  <c r="Y118" i="2"/>
  <c r="Z118" i="2"/>
  <c r="Y119" i="2"/>
  <c r="Z119" i="2"/>
  <c r="Y120" i="2"/>
  <c r="Z120" i="2"/>
  <c r="Y121" i="2"/>
  <c r="Z121" i="2"/>
  <c r="Y122" i="2"/>
  <c r="Z122" i="2"/>
  <c r="Y123" i="2"/>
  <c r="Z123" i="2"/>
  <c r="Y124" i="2"/>
  <c r="Z124" i="2"/>
  <c r="Y125" i="2"/>
  <c r="Z125" i="2"/>
  <c r="U125" i="2"/>
  <c r="AJ125" i="2" s="1"/>
  <c r="U124" i="2"/>
  <c r="AJ124" i="2" s="1"/>
  <c r="U123" i="2"/>
  <c r="AJ123" i="2" s="1"/>
  <c r="U122" i="2"/>
  <c r="AJ122" i="2" s="1"/>
  <c r="U121" i="2"/>
  <c r="AJ121" i="2" s="1"/>
  <c r="AH131" i="2" l="1"/>
  <c r="AK140" i="2"/>
  <c r="AJ137" i="2"/>
  <c r="AD137" i="2"/>
  <c r="AF127" i="2"/>
  <c r="AJ136" i="2"/>
  <c r="AD136" i="2"/>
  <c r="AJ138" i="2"/>
  <c r="AD138" i="2"/>
  <c r="AJ139" i="2"/>
  <c r="AD139" i="2"/>
  <c r="AJ140" i="2"/>
  <c r="AD140" i="2"/>
  <c r="S139" i="2"/>
  <c r="AC139" i="2" s="1"/>
  <c r="AF139" i="2"/>
  <c r="AJ127" i="2"/>
  <c r="AD127" i="2"/>
  <c r="AJ128" i="2"/>
  <c r="AD128" i="2"/>
  <c r="AJ129" i="2"/>
  <c r="AD129" i="2"/>
  <c r="AJ126" i="2"/>
  <c r="AD126" i="2"/>
  <c r="AJ130" i="2"/>
  <c r="AD130" i="2"/>
  <c r="AJ131" i="2"/>
  <c r="AD131" i="2"/>
  <c r="AJ132" i="2"/>
  <c r="AD132" i="2"/>
  <c r="AF132" i="2"/>
  <c r="AJ133" i="2"/>
  <c r="AD133" i="2"/>
  <c r="AJ134" i="2"/>
  <c r="AD134" i="2"/>
  <c r="AF130" i="2"/>
  <c r="AF140" i="2"/>
  <c r="AB140" i="2"/>
  <c r="AM140" i="2" s="1"/>
  <c r="AJ135" i="2"/>
  <c r="AD135" i="2"/>
  <c r="AK130" i="2"/>
  <c r="AH133" i="2"/>
  <c r="AH140" i="2"/>
  <c r="AI127" i="2"/>
  <c r="AH128" i="2"/>
  <c r="AH129" i="2"/>
  <c r="AI129" i="2"/>
  <c r="AI133" i="2"/>
  <c r="AH134" i="2"/>
  <c r="AI134" i="2"/>
  <c r="AK132" i="2"/>
  <c r="AH138" i="2"/>
  <c r="AI138" i="2"/>
  <c r="AI139" i="2"/>
  <c r="AK139" i="2"/>
  <c r="AI132" i="2"/>
  <c r="AI128" i="2"/>
  <c r="AH135" i="2"/>
  <c r="AH130" i="2"/>
  <c r="AI135" i="2"/>
  <c r="AI140" i="2"/>
  <c r="AK127" i="2"/>
  <c r="AI130" i="2"/>
  <c r="AH136" i="2"/>
  <c r="AI126" i="2"/>
  <c r="AI131" i="2"/>
  <c r="AH137" i="2"/>
  <c r="S132" i="2"/>
  <c r="AC132" i="2" s="1"/>
  <c r="S127" i="2"/>
  <c r="AC127" i="2" s="1"/>
  <c r="N136" i="2"/>
  <c r="O136" i="2" s="1"/>
  <c r="S130" i="2"/>
  <c r="AC130" i="2" s="1"/>
  <c r="N135" i="2"/>
  <c r="O135" i="2" s="1"/>
  <c r="N134" i="2"/>
  <c r="O134" i="2" s="1"/>
  <c r="N138" i="2"/>
  <c r="O138" i="2" s="1"/>
  <c r="N133" i="2"/>
  <c r="O133" i="2" s="1"/>
  <c r="N137" i="2"/>
  <c r="O137" i="2" s="1"/>
  <c r="N129" i="2"/>
  <c r="O129" i="2" s="1"/>
  <c r="N128" i="2"/>
  <c r="O128" i="2" s="1"/>
  <c r="N131" i="2"/>
  <c r="O131" i="2" s="1"/>
  <c r="AD122" i="2"/>
  <c r="N126" i="2"/>
  <c r="O126" i="2" s="1"/>
  <c r="AE119" i="2"/>
  <c r="AA118" i="2"/>
  <c r="AE124" i="2"/>
  <c r="AA114" i="2"/>
  <c r="AA123" i="2"/>
  <c r="AE117" i="2"/>
  <c r="AD125" i="2"/>
  <c r="AE125" i="2"/>
  <c r="AA113" i="2"/>
  <c r="AA122" i="2"/>
  <c r="AE116" i="2"/>
  <c r="AA119" i="2"/>
  <c r="AD124" i="2"/>
  <c r="AD121" i="2"/>
  <c r="AE121" i="2"/>
  <c r="AA115" i="2"/>
  <c r="AD123" i="2"/>
  <c r="AA120" i="2"/>
  <c r="AE112" i="2"/>
  <c r="AA124" i="2"/>
  <c r="AE123" i="2"/>
  <c r="AE120" i="2"/>
  <c r="AA111" i="2"/>
  <c r="AE113" i="2"/>
  <c r="AA116" i="2"/>
  <c r="AA112" i="2"/>
  <c r="AE122" i="2"/>
  <c r="AE118" i="2"/>
  <c r="AE114" i="2"/>
  <c r="AA125" i="2"/>
  <c r="AA121" i="2"/>
  <c r="AA117" i="2"/>
  <c r="AE111" i="2"/>
  <c r="AE115" i="2"/>
  <c r="AN125" i="2"/>
  <c r="M125" i="2" s="1"/>
  <c r="AN124" i="2"/>
  <c r="M124" i="2" s="1"/>
  <c r="N124" i="2" s="1"/>
  <c r="O124" i="2" s="1"/>
  <c r="AN123" i="2"/>
  <c r="O123" i="2" s="1"/>
  <c r="AN122" i="2"/>
  <c r="M122" i="2" s="1"/>
  <c r="AN121" i="2"/>
  <c r="K121" i="2"/>
  <c r="K122" i="2"/>
  <c r="K123" i="2"/>
  <c r="K124" i="2"/>
  <c r="K125" i="2"/>
  <c r="E121" i="2"/>
  <c r="E122" i="2"/>
  <c r="E123" i="2"/>
  <c r="E124" i="2"/>
  <c r="E125" i="2"/>
  <c r="H14" i="1"/>
  <c r="AG139" i="2" l="1"/>
  <c r="AG130" i="2"/>
  <c r="AG127" i="2"/>
  <c r="AG132" i="2"/>
  <c r="AG140" i="2"/>
  <c r="AF131" i="2"/>
  <c r="AF128" i="2"/>
  <c r="AF129" i="2"/>
  <c r="AF137" i="2"/>
  <c r="AF133" i="2"/>
  <c r="AB130" i="2"/>
  <c r="AM130" i="2" s="1"/>
  <c r="AF138" i="2"/>
  <c r="AF134" i="2"/>
  <c r="AF135" i="2"/>
  <c r="AF136" i="2"/>
  <c r="AB127" i="2"/>
  <c r="AM127" i="2" s="1"/>
  <c r="AB132" i="2"/>
  <c r="AM132" i="2" s="1"/>
  <c r="AF126" i="2"/>
  <c r="AB139" i="2"/>
  <c r="AM139" i="2" s="1"/>
  <c r="AK126" i="2"/>
  <c r="S126" i="2"/>
  <c r="AC126" i="2" s="1"/>
  <c r="AK138" i="2"/>
  <c r="S138" i="2"/>
  <c r="AC138" i="2" s="1"/>
  <c r="S133" i="2"/>
  <c r="AC133" i="2" s="1"/>
  <c r="AK133" i="2"/>
  <c r="S134" i="2"/>
  <c r="AC134" i="2" s="1"/>
  <c r="AK134" i="2"/>
  <c r="AK129" i="2"/>
  <c r="S129" i="2"/>
  <c r="AC129" i="2" s="1"/>
  <c r="AG129" i="2" s="1"/>
  <c r="S137" i="2"/>
  <c r="AC137" i="2" s="1"/>
  <c r="AK137" i="2"/>
  <c r="AK131" i="2"/>
  <c r="S131" i="2"/>
  <c r="AK135" i="2"/>
  <c r="S135" i="2"/>
  <c r="AC135" i="2" s="1"/>
  <c r="AK128" i="2"/>
  <c r="S128" i="2"/>
  <c r="AC128" i="2" s="1"/>
  <c r="S136" i="2"/>
  <c r="AC136" i="2" s="1"/>
  <c r="AK136" i="2"/>
  <c r="S124" i="2"/>
  <c r="AC124" i="2" s="1"/>
  <c r="AF124" i="2"/>
  <c r="S123" i="2"/>
  <c r="AC123" i="2" s="1"/>
  <c r="AF123" i="2"/>
  <c r="AI122" i="2"/>
  <c r="AH122" i="2"/>
  <c r="AI124" i="2"/>
  <c r="AH124" i="2"/>
  <c r="AK124" i="2"/>
  <c r="AI123" i="2"/>
  <c r="AH123" i="2"/>
  <c r="AK123" i="2"/>
  <c r="AH125" i="2"/>
  <c r="AI125" i="2"/>
  <c r="AH121" i="2"/>
  <c r="AI121" i="2"/>
  <c r="N122" i="2"/>
  <c r="O122" i="2" s="1"/>
  <c r="O121" i="2"/>
  <c r="N125" i="2"/>
  <c r="O125" i="2" s="1"/>
  <c r="U120" i="2"/>
  <c r="U119" i="2"/>
  <c r="U118" i="2"/>
  <c r="U117" i="2"/>
  <c r="U116" i="2"/>
  <c r="U115" i="2"/>
  <c r="U114" i="2"/>
  <c r="AN114" i="2"/>
  <c r="N114" i="2" s="1"/>
  <c r="O114" i="2" s="1"/>
  <c r="AN115" i="2"/>
  <c r="M115" i="2" s="1"/>
  <c r="AN116" i="2"/>
  <c r="M116" i="2" s="1"/>
  <c r="AN117" i="2"/>
  <c r="M117" i="2" s="1"/>
  <c r="AN118" i="2"/>
  <c r="AN119" i="2"/>
  <c r="M119" i="2" s="1"/>
  <c r="N119" i="2" s="1"/>
  <c r="O119" i="2" s="1"/>
  <c r="AN120" i="2"/>
  <c r="M120" i="2" s="1"/>
  <c r="K111" i="2"/>
  <c r="AH111" i="2" s="1"/>
  <c r="K112" i="2"/>
  <c r="K113" i="2"/>
  <c r="AI113" i="2" s="1"/>
  <c r="K114" i="2"/>
  <c r="K115" i="2"/>
  <c r="K116" i="2"/>
  <c r="AI116" i="2" s="1"/>
  <c r="K117" i="2"/>
  <c r="AI117" i="2" s="1"/>
  <c r="K118" i="2"/>
  <c r="AH118" i="2" s="1"/>
  <c r="K119" i="2"/>
  <c r="AI119" i="2" s="1"/>
  <c r="K120" i="2"/>
  <c r="E114" i="2"/>
  <c r="E115" i="2"/>
  <c r="E116" i="2"/>
  <c r="E117" i="2"/>
  <c r="E118" i="2"/>
  <c r="E119" i="2"/>
  <c r="E120" i="2"/>
  <c r="AG138" i="2" l="1"/>
  <c r="AG137" i="2"/>
  <c r="AG133" i="2"/>
  <c r="AG134" i="2"/>
  <c r="AC131" i="2"/>
  <c r="AG131" i="2" s="1"/>
  <c r="M118" i="2"/>
  <c r="N118" i="2" s="1"/>
  <c r="O118" i="2" s="1"/>
  <c r="AG128" i="2"/>
  <c r="AG136" i="2"/>
  <c r="AG126" i="2"/>
  <c r="AG135" i="2"/>
  <c r="AB134" i="2"/>
  <c r="AM134" i="2" s="1"/>
  <c r="AB138" i="2"/>
  <c r="AM138" i="2" s="1"/>
  <c r="AB133" i="2"/>
  <c r="AM133" i="2" s="1"/>
  <c r="AB126" i="2"/>
  <c r="AM126" i="2" s="1"/>
  <c r="AB137" i="2"/>
  <c r="AM137" i="2" s="1"/>
  <c r="AB129" i="2"/>
  <c r="AM129" i="2" s="1"/>
  <c r="AB136" i="2"/>
  <c r="AM136" i="2" s="1"/>
  <c r="AB128" i="2"/>
  <c r="AM128" i="2" s="1"/>
  <c r="AB131" i="2"/>
  <c r="AB135" i="2"/>
  <c r="AM135" i="2" s="1"/>
  <c r="AG123" i="2"/>
  <c r="AG124" i="2"/>
  <c r="AB124" i="2"/>
  <c r="AM124" i="2" s="1"/>
  <c r="AF119" i="2"/>
  <c r="S125" i="2"/>
  <c r="AC125" i="2" s="1"/>
  <c r="AF125" i="2"/>
  <c r="AF114" i="2"/>
  <c r="AJ116" i="2"/>
  <c r="AD116" i="2"/>
  <c r="AJ118" i="2"/>
  <c r="AD118" i="2"/>
  <c r="AJ111" i="2"/>
  <c r="AD111" i="2"/>
  <c r="AJ112" i="2"/>
  <c r="AD112" i="2"/>
  <c r="S122" i="2"/>
  <c r="AF122" i="2"/>
  <c r="AJ113" i="2"/>
  <c r="AD113" i="2"/>
  <c r="AJ120" i="2"/>
  <c r="AD120" i="2"/>
  <c r="AB123" i="2"/>
  <c r="AM123" i="2" s="1"/>
  <c r="AJ114" i="2"/>
  <c r="AD114" i="2"/>
  <c r="AJ117" i="2"/>
  <c r="AD117" i="2"/>
  <c r="AJ119" i="2"/>
  <c r="AD119" i="2"/>
  <c r="S121" i="2"/>
  <c r="AC121" i="2" s="1"/>
  <c r="AF121" i="2"/>
  <c r="AJ115" i="2"/>
  <c r="AD115" i="2"/>
  <c r="AK121" i="2"/>
  <c r="AK125" i="2"/>
  <c r="AK122" i="2"/>
  <c r="AH119" i="2"/>
  <c r="AH117" i="2"/>
  <c r="AI111" i="2"/>
  <c r="AI118" i="2"/>
  <c r="AH112" i="2"/>
  <c r="AI112" i="2"/>
  <c r="AH114" i="2"/>
  <c r="AI114" i="2"/>
  <c r="AH115" i="2"/>
  <c r="AI115" i="2"/>
  <c r="AH120" i="2"/>
  <c r="AI120" i="2"/>
  <c r="AK114" i="2"/>
  <c r="AH116" i="2"/>
  <c r="AH113" i="2"/>
  <c r="S114" i="2"/>
  <c r="AC114" i="2" s="1"/>
  <c r="AK119" i="2"/>
  <c r="S119" i="2"/>
  <c r="AC119" i="2" s="1"/>
  <c r="N115" i="2"/>
  <c r="O115" i="2" s="1"/>
  <c r="N117" i="2"/>
  <c r="O117" i="2" s="1"/>
  <c r="N116" i="2"/>
  <c r="O116" i="2" s="1"/>
  <c r="N120" i="2"/>
  <c r="O120" i="2" s="1"/>
  <c r="AN111" i="2"/>
  <c r="M111" i="2" s="1"/>
  <c r="N111" i="2" s="1"/>
  <c r="AN112" i="2"/>
  <c r="M112" i="2" s="1"/>
  <c r="AN113" i="2"/>
  <c r="M113" i="2" s="1"/>
  <c r="E111" i="2"/>
  <c r="E112" i="2"/>
  <c r="E113" i="2"/>
  <c r="U75" i="2"/>
  <c r="AD75" i="2" s="1"/>
  <c r="U76" i="2"/>
  <c r="AD76" i="2" s="1"/>
  <c r="U77" i="2"/>
  <c r="U78" i="2"/>
  <c r="U79" i="2"/>
  <c r="U80" i="2"/>
  <c r="U81" i="2"/>
  <c r="U82" i="2"/>
  <c r="AD82" i="2" s="1"/>
  <c r="U83" i="2"/>
  <c r="U84" i="2"/>
  <c r="AD84" i="2" s="1"/>
  <c r="U85" i="2"/>
  <c r="AD85" i="2" s="1"/>
  <c r="U86" i="2"/>
  <c r="U87" i="2"/>
  <c r="AD87" i="2" s="1"/>
  <c r="U88" i="2"/>
  <c r="AD88" i="2" s="1"/>
  <c r="U89" i="2"/>
  <c r="AD89" i="2" s="1"/>
  <c r="U90" i="2"/>
  <c r="U91" i="2"/>
  <c r="AD91" i="2" s="1"/>
  <c r="U92" i="2"/>
  <c r="U93" i="2"/>
  <c r="AD93" i="2" s="1"/>
  <c r="U94" i="2"/>
  <c r="AD94" i="2" s="1"/>
  <c r="U95" i="2"/>
  <c r="AD95" i="2" s="1"/>
  <c r="U96" i="2"/>
  <c r="U97" i="2"/>
  <c r="AD97" i="2" s="1"/>
  <c r="U98" i="2"/>
  <c r="U99" i="2"/>
  <c r="AD99" i="2" s="1"/>
  <c r="U100" i="2"/>
  <c r="AD100" i="2" s="1"/>
  <c r="U101" i="2"/>
  <c r="AD101" i="2" s="1"/>
  <c r="U102" i="2"/>
  <c r="U103" i="2"/>
  <c r="U104" i="2"/>
  <c r="U105" i="2"/>
  <c r="AD105" i="2" s="1"/>
  <c r="U106" i="2"/>
  <c r="AD106" i="2" s="1"/>
  <c r="U107" i="2"/>
  <c r="AD107" i="2" s="1"/>
  <c r="U108" i="2"/>
  <c r="U109" i="2"/>
  <c r="AD109" i="2" s="1"/>
  <c r="U110" i="2"/>
  <c r="AD110" i="2" s="1"/>
  <c r="Y66" i="2"/>
  <c r="Z66" i="2"/>
  <c r="Y67" i="2"/>
  <c r="Z67" i="2"/>
  <c r="Y68" i="2"/>
  <c r="Z68" i="2"/>
  <c r="Y69" i="2"/>
  <c r="Z69" i="2"/>
  <c r="Y70" i="2"/>
  <c r="Z70" i="2"/>
  <c r="Y71" i="2"/>
  <c r="Z71" i="2"/>
  <c r="Y72" i="2"/>
  <c r="Z72" i="2"/>
  <c r="Y73" i="2"/>
  <c r="Z73" i="2"/>
  <c r="Y74" i="2"/>
  <c r="Z74" i="2"/>
  <c r="Y75" i="2"/>
  <c r="Z75" i="2"/>
  <c r="AA79" i="2"/>
  <c r="Y82" i="2"/>
  <c r="Z82" i="2"/>
  <c r="Y83" i="2"/>
  <c r="Z83" i="2"/>
  <c r="Y84" i="2"/>
  <c r="Z84" i="2"/>
  <c r="AE86" i="2"/>
  <c r="Y93" i="2"/>
  <c r="Z93" i="2"/>
  <c r="Y94" i="2"/>
  <c r="Z94" i="2"/>
  <c r="Y95" i="2"/>
  <c r="Z95" i="2"/>
  <c r="Y96" i="2"/>
  <c r="Z96" i="2"/>
  <c r="Y97" i="2"/>
  <c r="Z97" i="2"/>
  <c r="Y98" i="2"/>
  <c r="Z98" i="2"/>
  <c r="Y99" i="2"/>
  <c r="Z99" i="2"/>
  <c r="Y100" i="2"/>
  <c r="Z100" i="2"/>
  <c r="Y101" i="2"/>
  <c r="Z101" i="2"/>
  <c r="Y102" i="2"/>
  <c r="Z102" i="2"/>
  <c r="Y103" i="2"/>
  <c r="Z103" i="2"/>
  <c r="Y104" i="2"/>
  <c r="Z104" i="2"/>
  <c r="U66" i="2"/>
  <c r="AD66" i="2" s="1"/>
  <c r="U67" i="2"/>
  <c r="AD67" i="2" s="1"/>
  <c r="U68" i="2"/>
  <c r="AD68" i="2" s="1"/>
  <c r="U69" i="2"/>
  <c r="AD69" i="2" s="1"/>
  <c r="U70" i="2"/>
  <c r="AD70" i="2" s="1"/>
  <c r="U71" i="2"/>
  <c r="AD71" i="2" s="1"/>
  <c r="U72" i="2"/>
  <c r="AD72" i="2" s="1"/>
  <c r="U73" i="2"/>
  <c r="AD73" i="2" s="1"/>
  <c r="U74" i="2"/>
  <c r="AD74" i="2" s="1"/>
  <c r="K105" i="2"/>
  <c r="K106" i="2"/>
  <c r="K107" i="2"/>
  <c r="K108" i="2"/>
  <c r="K109" i="2"/>
  <c r="K110" i="2"/>
  <c r="AF118" i="2" l="1"/>
  <c r="AK118" i="2"/>
  <c r="S118" i="2"/>
  <c r="AC118" i="2" s="1"/>
  <c r="AG118" i="2" s="1"/>
  <c r="AM131" i="2"/>
  <c r="AB125" i="2"/>
  <c r="AM125" i="2" s="1"/>
  <c r="AG125" i="2"/>
  <c r="AG121" i="2"/>
  <c r="AG114" i="2"/>
  <c r="AB119" i="2"/>
  <c r="AM119" i="2" s="1"/>
  <c r="AF117" i="2"/>
  <c r="AB114" i="2"/>
  <c r="AM114" i="2" s="1"/>
  <c r="AF115" i="2"/>
  <c r="AF120" i="2"/>
  <c r="AG119" i="2"/>
  <c r="AF116" i="2"/>
  <c r="AC122" i="2"/>
  <c r="AG122" i="2" s="1"/>
  <c r="AB122" i="2"/>
  <c r="AM122" i="2" s="1"/>
  <c r="AB121" i="2"/>
  <c r="AM121" i="2" s="1"/>
  <c r="AD81" i="2"/>
  <c r="AD77" i="2"/>
  <c r="O111" i="2"/>
  <c r="S111" i="2" s="1"/>
  <c r="S117" i="2"/>
  <c r="AC117" i="2" s="1"/>
  <c r="AK117" i="2"/>
  <c r="S115" i="2"/>
  <c r="AC115" i="2" s="1"/>
  <c r="AK115" i="2"/>
  <c r="AD79" i="2"/>
  <c r="O113" i="2"/>
  <c r="S113" i="2" s="1"/>
  <c r="AK120" i="2"/>
  <c r="S120" i="2"/>
  <c r="AC120" i="2" s="1"/>
  <c r="O112" i="2"/>
  <c r="S112" i="2" s="1"/>
  <c r="S116" i="2"/>
  <c r="AC116" i="2" s="1"/>
  <c r="AK116" i="2"/>
  <c r="AD83" i="2"/>
  <c r="AA95" i="2"/>
  <c r="AA67" i="2"/>
  <c r="AE83" i="2"/>
  <c r="AE98" i="2"/>
  <c r="AA71" i="2"/>
  <c r="AA107" i="2"/>
  <c r="AE78" i="2"/>
  <c r="AE90" i="2"/>
  <c r="AE87" i="2"/>
  <c r="AE107" i="2"/>
  <c r="AE94" i="2"/>
  <c r="AE110" i="2"/>
  <c r="AE74" i="2"/>
  <c r="AA99" i="2"/>
  <c r="AE79" i="2"/>
  <c r="AA91" i="2"/>
  <c r="AA103" i="2"/>
  <c r="AA82" i="2"/>
  <c r="AA85" i="2"/>
  <c r="AE95" i="2"/>
  <c r="AE67" i="2"/>
  <c r="AE82" i="2"/>
  <c r="AA106" i="2"/>
  <c r="AE103" i="2"/>
  <c r="AE91" i="2"/>
  <c r="AA75" i="2"/>
  <c r="AA83" i="2"/>
  <c r="AE99" i="2"/>
  <c r="AA76" i="2"/>
  <c r="AA87" i="2"/>
  <c r="AA92" i="2"/>
  <c r="AA97" i="2"/>
  <c r="AE72" i="2"/>
  <c r="AA66" i="2"/>
  <c r="AA108" i="2"/>
  <c r="AE104" i="2"/>
  <c r="AA94" i="2"/>
  <c r="AA74" i="2"/>
  <c r="AA68" i="2"/>
  <c r="AA90" i="2"/>
  <c r="AE71" i="2"/>
  <c r="AA81" i="2"/>
  <c r="AA77" i="2"/>
  <c r="AA105" i="2"/>
  <c r="AA101" i="2"/>
  <c r="AD103" i="2"/>
  <c r="AE75" i="2"/>
  <c r="AA73" i="2"/>
  <c r="AA89" i="2"/>
  <c r="AA86" i="2"/>
  <c r="AA70" i="2"/>
  <c r="AA102" i="2"/>
  <c r="AA109" i="2"/>
  <c r="AE88" i="2"/>
  <c r="AA69" i="2"/>
  <c r="AA98" i="2"/>
  <c r="AE100" i="2"/>
  <c r="AA93" i="2"/>
  <c r="AA84" i="2"/>
  <c r="AE80" i="2"/>
  <c r="AE96" i="2"/>
  <c r="AE106" i="2"/>
  <c r="AA110" i="2"/>
  <c r="AE102" i="2"/>
  <c r="AA78" i="2"/>
  <c r="AD108" i="2"/>
  <c r="AD104" i="2"/>
  <c r="AD96" i="2"/>
  <c r="AD92" i="2"/>
  <c r="AD80" i="2"/>
  <c r="AD102" i="2"/>
  <c r="AD98" i="2"/>
  <c r="AD90" i="2"/>
  <c r="AD86" i="2"/>
  <c r="AD78" i="2"/>
  <c r="AE108" i="2"/>
  <c r="AE92" i="2"/>
  <c r="AE84" i="2"/>
  <c r="AE76" i="2"/>
  <c r="AE68" i="2"/>
  <c r="AE109" i="2"/>
  <c r="AE105" i="2"/>
  <c r="AE101" i="2"/>
  <c r="AE97" i="2"/>
  <c r="AE93" i="2"/>
  <c r="AE89" i="2"/>
  <c r="AE85" i="2"/>
  <c r="AE81" i="2"/>
  <c r="AE77" i="2"/>
  <c r="AE73" i="2"/>
  <c r="AE69" i="2"/>
  <c r="AA104" i="2"/>
  <c r="AA100" i="2"/>
  <c r="AA96" i="2"/>
  <c r="AA88" i="2"/>
  <c r="AA80" i="2"/>
  <c r="AA72" i="2"/>
  <c r="AE66" i="2"/>
  <c r="AE70" i="2"/>
  <c r="AJ110" i="2"/>
  <c r="AI110" i="2"/>
  <c r="AH110" i="2"/>
  <c r="AJ109" i="2"/>
  <c r="AI109" i="2"/>
  <c r="AH109" i="2"/>
  <c r="AJ108" i="2"/>
  <c r="AI108" i="2"/>
  <c r="AH108" i="2"/>
  <c r="AJ107" i="2"/>
  <c r="AI107" i="2"/>
  <c r="AH107" i="2"/>
  <c r="AJ106" i="2"/>
  <c r="AI106" i="2"/>
  <c r="AH106" i="2"/>
  <c r="AJ105" i="2"/>
  <c r="AI105" i="2"/>
  <c r="AH105" i="2"/>
  <c r="AJ104" i="2"/>
  <c r="AJ103" i="2"/>
  <c r="AJ102" i="2"/>
  <c r="AJ101" i="2"/>
  <c r="AJ100" i="2"/>
  <c r="AJ99" i="2"/>
  <c r="AJ98" i="2"/>
  <c r="AJ97" i="2"/>
  <c r="AJ96" i="2"/>
  <c r="AJ95" i="2"/>
  <c r="AJ94" i="2"/>
  <c r="AJ93" i="2"/>
  <c r="AJ92" i="2"/>
  <c r="AJ91" i="2"/>
  <c r="AJ90" i="2"/>
  <c r="AJ89" i="2"/>
  <c r="AJ88" i="2"/>
  <c r="AJ87" i="2"/>
  <c r="AJ86" i="2"/>
  <c r="AJ85" i="2"/>
  <c r="AJ84" i="2"/>
  <c r="AJ83" i="2"/>
  <c r="AJ82" i="2"/>
  <c r="AJ81" i="2"/>
  <c r="AJ80" i="2"/>
  <c r="AJ79" i="2"/>
  <c r="AJ78" i="2"/>
  <c r="AJ77" i="2"/>
  <c r="AJ76" i="2"/>
  <c r="AJ75" i="2"/>
  <c r="AJ74" i="2"/>
  <c r="AJ73" i="2"/>
  <c r="AJ72" i="2"/>
  <c r="AJ71" i="2"/>
  <c r="AJ70" i="2"/>
  <c r="AJ69" i="2"/>
  <c r="AJ68" i="2"/>
  <c r="AJ67" i="2"/>
  <c r="AJ66" i="2"/>
  <c r="K93" i="2"/>
  <c r="AH93" i="2" s="1"/>
  <c r="K94" i="2"/>
  <c r="AH94" i="2" s="1"/>
  <c r="K95" i="2"/>
  <c r="AH95" i="2" s="1"/>
  <c r="K96" i="2"/>
  <c r="AI96" i="2" s="1"/>
  <c r="K97" i="2"/>
  <c r="AH97" i="2" s="1"/>
  <c r="K98" i="2"/>
  <c r="AI98" i="2" s="1"/>
  <c r="K99" i="2"/>
  <c r="AH99" i="2" s="1"/>
  <c r="K100" i="2"/>
  <c r="AH100" i="2" s="1"/>
  <c r="K101" i="2"/>
  <c r="AI101" i="2" s="1"/>
  <c r="K102" i="2"/>
  <c r="AH102" i="2" s="1"/>
  <c r="K103" i="2"/>
  <c r="AH103" i="2" s="1"/>
  <c r="K104" i="2"/>
  <c r="AI104" i="2" s="1"/>
  <c r="AB118" i="2" l="1"/>
  <c r="AM118" i="2" s="1"/>
  <c r="AG116" i="2"/>
  <c r="AG120" i="2"/>
  <c r="AG115" i="2"/>
  <c r="AG117" i="2"/>
  <c r="AF112" i="2"/>
  <c r="AB120" i="2"/>
  <c r="AM120" i="2" s="1"/>
  <c r="AB115" i="2"/>
  <c r="AM115" i="2" s="1"/>
  <c r="AF113" i="2"/>
  <c r="AF111" i="2"/>
  <c r="AB117" i="2"/>
  <c r="AM117" i="2" s="1"/>
  <c r="AB116" i="2"/>
  <c r="AM116" i="2" s="1"/>
  <c r="AK112" i="2"/>
  <c r="AC113" i="2"/>
  <c r="AK113" i="2"/>
  <c r="AK111" i="2"/>
  <c r="AC111" i="2"/>
  <c r="AI94" i="2"/>
  <c r="AI100" i="2"/>
  <c r="AI99" i="2"/>
  <c r="AH101" i="2"/>
  <c r="AH104" i="2"/>
  <c r="AI103" i="2"/>
  <c r="AI102" i="2"/>
  <c r="AH98" i="2"/>
  <c r="AI95" i="2"/>
  <c r="AI97" i="2"/>
  <c r="AI93" i="2"/>
  <c r="AH96" i="2"/>
  <c r="AN93" i="2"/>
  <c r="N93" i="2" s="1"/>
  <c r="O93" i="2" s="1"/>
  <c r="AN94" i="2"/>
  <c r="AN95" i="2"/>
  <c r="AN96" i="2"/>
  <c r="AN97" i="2"/>
  <c r="N97" i="2" s="1"/>
  <c r="O97" i="2" s="1"/>
  <c r="AN98" i="2"/>
  <c r="M98" i="2" s="1"/>
  <c r="AN99" i="2"/>
  <c r="M99" i="2" s="1"/>
  <c r="AN100" i="2"/>
  <c r="M100" i="2" s="1"/>
  <c r="AN101" i="2"/>
  <c r="M101" i="2" s="1"/>
  <c r="AN102" i="2"/>
  <c r="M102" i="2" s="1"/>
  <c r="AN103" i="2"/>
  <c r="M103" i="2" s="1"/>
  <c r="AN104" i="2"/>
  <c r="M104" i="2" s="1"/>
  <c r="AN105" i="2"/>
  <c r="M105" i="2" s="1"/>
  <c r="AN106" i="2"/>
  <c r="M106" i="2" s="1"/>
  <c r="AN107" i="2"/>
  <c r="M107" i="2" s="1"/>
  <c r="AN108" i="2"/>
  <c r="M108" i="2" s="1"/>
  <c r="AN109" i="2"/>
  <c r="M109" i="2" s="1"/>
  <c r="N109" i="2" s="1"/>
  <c r="AN110" i="2"/>
  <c r="M110" i="2" s="1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AC112" i="2" l="1"/>
  <c r="AG112" i="2" s="1"/>
  <c r="AG111" i="2"/>
  <c r="AG113" i="2"/>
  <c r="AB111" i="2"/>
  <c r="AM111" i="2" s="1"/>
  <c r="AB113" i="2"/>
  <c r="AM113" i="2" s="1"/>
  <c r="AB112" i="2"/>
  <c r="AK97" i="2"/>
  <c r="S97" i="2"/>
  <c r="AC97" i="2" s="1"/>
  <c r="AF97" i="2"/>
  <c r="AK93" i="2"/>
  <c r="S93" i="2"/>
  <c r="AC93" i="2" s="1"/>
  <c r="AF93" i="2"/>
  <c r="N104" i="2"/>
  <c r="O104" i="2" s="1"/>
  <c r="N96" i="2"/>
  <c r="O96" i="2" s="1"/>
  <c r="O107" i="2"/>
  <c r="N103" i="2"/>
  <c r="O103" i="2" s="1"/>
  <c r="N99" i="2"/>
  <c r="O99" i="2" s="1"/>
  <c r="N95" i="2"/>
  <c r="O95" i="2" s="1"/>
  <c r="O110" i="2"/>
  <c r="O106" i="2"/>
  <c r="N102" i="2"/>
  <c r="O102" i="2" s="1"/>
  <c r="N98" i="2"/>
  <c r="O98" i="2" s="1"/>
  <c r="N94" i="2"/>
  <c r="O94" i="2" s="1"/>
  <c r="O108" i="2"/>
  <c r="N100" i="2"/>
  <c r="O100" i="2" s="1"/>
  <c r="O109" i="2"/>
  <c r="N105" i="2"/>
  <c r="O105" i="2" s="1"/>
  <c r="N101" i="2"/>
  <c r="O101" i="2" s="1"/>
  <c r="AN140" i="95"/>
  <c r="M140" i="95" s="1"/>
  <c r="Z140" i="95"/>
  <c r="Y140" i="95"/>
  <c r="U140" i="95"/>
  <c r="K140" i="95"/>
  <c r="AI140" i="95" s="1"/>
  <c r="E140" i="95"/>
  <c r="AN139" i="95"/>
  <c r="M139" i="95" s="1"/>
  <c r="AE139" i="95"/>
  <c r="AA139" i="95"/>
  <c r="U139" i="95"/>
  <c r="AD139" i="95" s="1"/>
  <c r="K139" i="95"/>
  <c r="E139" i="95"/>
  <c r="AN138" i="95"/>
  <c r="M138" i="95" s="1"/>
  <c r="N138" i="95" s="1"/>
  <c r="O138" i="95" s="1"/>
  <c r="AE138" i="95"/>
  <c r="AA138" i="95"/>
  <c r="U138" i="95"/>
  <c r="K138" i="95"/>
  <c r="AH138" i="95" s="1"/>
  <c r="E138" i="95"/>
  <c r="AN137" i="95"/>
  <c r="M137" i="95" s="1"/>
  <c r="N137" i="95" s="1"/>
  <c r="O137" i="95" s="1"/>
  <c r="Z137" i="95"/>
  <c r="Y137" i="95"/>
  <c r="U137" i="95"/>
  <c r="K137" i="95"/>
  <c r="E137" i="95"/>
  <c r="AN136" i="95"/>
  <c r="M136" i="95" s="1"/>
  <c r="Z136" i="95"/>
  <c r="Y136" i="95"/>
  <c r="U136" i="95"/>
  <c r="K136" i="95"/>
  <c r="E136" i="95"/>
  <c r="AN135" i="95"/>
  <c r="M135" i="95" s="1"/>
  <c r="Z135" i="95"/>
  <c r="Y135" i="95"/>
  <c r="U135" i="95"/>
  <c r="K135" i="95"/>
  <c r="AI135" i="95" s="1"/>
  <c r="E135" i="95"/>
  <c r="AN134" i="95"/>
  <c r="M134" i="95" s="1"/>
  <c r="N134" i="95" s="1"/>
  <c r="O134" i="95" s="1"/>
  <c r="Z134" i="95"/>
  <c r="Y134" i="95"/>
  <c r="U134" i="95"/>
  <c r="AJ134" i="95" s="1"/>
  <c r="K134" i="95"/>
  <c r="E134" i="95"/>
  <c r="AN133" i="95"/>
  <c r="M133" i="95" s="1"/>
  <c r="N133" i="95" s="1"/>
  <c r="Z133" i="95"/>
  <c r="Y133" i="95"/>
  <c r="U133" i="95"/>
  <c r="K133" i="95"/>
  <c r="E133" i="95"/>
  <c r="AN132" i="95"/>
  <c r="M132" i="95" s="1"/>
  <c r="Z132" i="95"/>
  <c r="Y132" i="95"/>
  <c r="U132" i="95"/>
  <c r="K132" i="95"/>
  <c r="AI132" i="95" s="1"/>
  <c r="E132" i="95"/>
  <c r="AN131" i="95"/>
  <c r="M131" i="95" s="1"/>
  <c r="N131" i="95" s="1"/>
  <c r="Y131" i="95"/>
  <c r="U131" i="95"/>
  <c r="K131" i="95"/>
  <c r="AH131" i="95" s="1"/>
  <c r="E131" i="95"/>
  <c r="AN130" i="95"/>
  <c r="M130" i="95" s="1"/>
  <c r="N130" i="95" s="1"/>
  <c r="O130" i="95" s="1"/>
  <c r="Y130" i="95"/>
  <c r="U130" i="95"/>
  <c r="K130" i="95"/>
  <c r="AH130" i="95" s="1"/>
  <c r="E130" i="95"/>
  <c r="AN129" i="95"/>
  <c r="M129" i="95" s="1"/>
  <c r="Y129" i="95"/>
  <c r="U129" i="95"/>
  <c r="AJ129" i="95" s="1"/>
  <c r="K129" i="95"/>
  <c r="AI129" i="95" s="1"/>
  <c r="E129" i="95"/>
  <c r="AN128" i="95"/>
  <c r="M128" i="95" s="1"/>
  <c r="Y128" i="95"/>
  <c r="AA128" i="95" s="1"/>
  <c r="U128" i="95"/>
  <c r="K128" i="95"/>
  <c r="E128" i="95"/>
  <c r="AN127" i="95"/>
  <c r="M127" i="95" s="1"/>
  <c r="N127" i="95" s="1"/>
  <c r="O127" i="95" s="1"/>
  <c r="Y127" i="95"/>
  <c r="U127" i="95"/>
  <c r="K127" i="95"/>
  <c r="E127" i="95"/>
  <c r="AN126" i="95"/>
  <c r="M126" i="95" s="1"/>
  <c r="Y126" i="95"/>
  <c r="AA126" i="95" s="1"/>
  <c r="U126" i="95"/>
  <c r="AD126" i="95" s="1"/>
  <c r="K126" i="95"/>
  <c r="AH126" i="95" s="1"/>
  <c r="E126" i="95"/>
  <c r="AN125" i="95"/>
  <c r="M125" i="95" s="1"/>
  <c r="Y125" i="95"/>
  <c r="U125" i="95"/>
  <c r="AJ125" i="95" s="1"/>
  <c r="K125" i="95"/>
  <c r="E125" i="95"/>
  <c r="AN124" i="95"/>
  <c r="M124" i="95" s="1"/>
  <c r="Y124" i="95"/>
  <c r="U124" i="95"/>
  <c r="AD124" i="95" s="1"/>
  <c r="K124" i="95"/>
  <c r="AH124" i="95" s="1"/>
  <c r="E124" i="95"/>
  <c r="AN123" i="95"/>
  <c r="M123" i="95" s="1"/>
  <c r="Y123" i="95"/>
  <c r="AE123" i="95" s="1"/>
  <c r="U123" i="95"/>
  <c r="K123" i="95"/>
  <c r="AI123" i="95" s="1"/>
  <c r="E123" i="95"/>
  <c r="AN122" i="95"/>
  <c r="M122" i="95" s="1"/>
  <c r="O122" i="95" s="1"/>
  <c r="S122" i="95" s="1"/>
  <c r="AC122" i="95" s="1"/>
  <c r="Z122" i="95"/>
  <c r="Y122" i="95"/>
  <c r="U122" i="95"/>
  <c r="AD122" i="95" s="1"/>
  <c r="K122" i="95"/>
  <c r="AI122" i="95" s="1"/>
  <c r="E122" i="95"/>
  <c r="AN121" i="95"/>
  <c r="M121" i="95" s="1"/>
  <c r="Z121" i="95"/>
  <c r="Y121" i="95"/>
  <c r="U121" i="95"/>
  <c r="AJ121" i="95" s="1"/>
  <c r="K121" i="95"/>
  <c r="AH121" i="95" s="1"/>
  <c r="E121" i="95"/>
  <c r="AN120" i="95"/>
  <c r="M120" i="95" s="1"/>
  <c r="Z120" i="95"/>
  <c r="Y120" i="95"/>
  <c r="U120" i="95"/>
  <c r="K120" i="95"/>
  <c r="AI120" i="95" s="1"/>
  <c r="E120" i="95"/>
  <c r="AN119" i="95"/>
  <c r="M119" i="95" s="1"/>
  <c r="Z119" i="95"/>
  <c r="Y119" i="95"/>
  <c r="U119" i="95"/>
  <c r="K119" i="95"/>
  <c r="AH119" i="95" s="1"/>
  <c r="E119" i="95"/>
  <c r="AN118" i="95"/>
  <c r="M118" i="95" s="1"/>
  <c r="Z118" i="95"/>
  <c r="Y118" i="95"/>
  <c r="U118" i="95"/>
  <c r="AD118" i="95" s="1"/>
  <c r="K118" i="95"/>
  <c r="AI118" i="95" s="1"/>
  <c r="E118" i="95"/>
  <c r="AN117" i="95"/>
  <c r="M117" i="95" s="1"/>
  <c r="Z117" i="95"/>
  <c r="Y117" i="95"/>
  <c r="U117" i="95"/>
  <c r="K117" i="95"/>
  <c r="E117" i="95"/>
  <c r="AN116" i="95"/>
  <c r="M116" i="95" s="1"/>
  <c r="AC116" i="95"/>
  <c r="Y116" i="95"/>
  <c r="AA116" i="95" s="1"/>
  <c r="U116" i="95"/>
  <c r="AD116" i="95" s="1"/>
  <c r="K116" i="95"/>
  <c r="AI116" i="95" s="1"/>
  <c r="E116" i="95"/>
  <c r="AN115" i="95"/>
  <c r="M115" i="95" s="1"/>
  <c r="Z115" i="95"/>
  <c r="Y115" i="95"/>
  <c r="U115" i="95"/>
  <c r="AD115" i="95" s="1"/>
  <c r="K115" i="95"/>
  <c r="AI115" i="95" s="1"/>
  <c r="E115" i="95"/>
  <c r="AN114" i="95"/>
  <c r="M114" i="95" s="1"/>
  <c r="Z114" i="95"/>
  <c r="Y114" i="95"/>
  <c r="U114" i="95"/>
  <c r="AD114" i="95" s="1"/>
  <c r="K114" i="95"/>
  <c r="AH114" i="95" s="1"/>
  <c r="E114" i="95"/>
  <c r="AN113" i="95"/>
  <c r="M113" i="95" s="1"/>
  <c r="N113" i="95" s="1"/>
  <c r="Z113" i="95"/>
  <c r="Y113" i="95"/>
  <c r="U113" i="95"/>
  <c r="K113" i="95"/>
  <c r="AI113" i="95" s="1"/>
  <c r="E113" i="95"/>
  <c r="AN112" i="95"/>
  <c r="M112" i="95" s="1"/>
  <c r="O112" i="95" s="1"/>
  <c r="S112" i="95" s="1"/>
  <c r="AC112" i="95" s="1"/>
  <c r="Z112" i="95"/>
  <c r="Y112" i="95"/>
  <c r="U112" i="95"/>
  <c r="AJ112" i="95" s="1"/>
  <c r="K112" i="95"/>
  <c r="E112" i="95"/>
  <c r="AN111" i="95"/>
  <c r="M111" i="95" s="1"/>
  <c r="Z111" i="95"/>
  <c r="Y111" i="95"/>
  <c r="U111" i="95"/>
  <c r="K111" i="95"/>
  <c r="E111" i="95"/>
  <c r="AN110" i="95"/>
  <c r="M110" i="95" s="1"/>
  <c r="N110" i="95" s="1"/>
  <c r="O110" i="95" s="1"/>
  <c r="AE110" i="95"/>
  <c r="AA110" i="95"/>
  <c r="U110" i="95"/>
  <c r="K110" i="95"/>
  <c r="AH110" i="95" s="1"/>
  <c r="E110" i="95"/>
  <c r="AN109" i="95"/>
  <c r="M109" i="95" s="1"/>
  <c r="N109" i="95" s="1"/>
  <c r="O109" i="95" s="1"/>
  <c r="AE109" i="95"/>
  <c r="AA109" i="95"/>
  <c r="U109" i="95"/>
  <c r="K109" i="95"/>
  <c r="AI109" i="95" s="1"/>
  <c r="E109" i="95"/>
  <c r="AN108" i="95"/>
  <c r="M108" i="95" s="1"/>
  <c r="N108" i="95" s="1"/>
  <c r="O108" i="95" s="1"/>
  <c r="AE108" i="95"/>
  <c r="AA108" i="95"/>
  <c r="U108" i="95"/>
  <c r="K108" i="95"/>
  <c r="E108" i="95"/>
  <c r="AN107" i="95"/>
  <c r="M107" i="95" s="1"/>
  <c r="O107" i="95" s="1"/>
  <c r="AE107" i="95"/>
  <c r="AA107" i="95"/>
  <c r="U107" i="95"/>
  <c r="AD107" i="95" s="1"/>
  <c r="K107" i="95"/>
  <c r="E107" i="95"/>
  <c r="AN106" i="95"/>
  <c r="M106" i="95" s="1"/>
  <c r="Z106" i="95"/>
  <c r="Y106" i="95"/>
  <c r="U106" i="95"/>
  <c r="K106" i="95"/>
  <c r="AI106" i="95" s="1"/>
  <c r="E106" i="95"/>
  <c r="AN105" i="95"/>
  <c r="M105" i="95" s="1"/>
  <c r="Z105" i="95"/>
  <c r="Y105" i="95"/>
  <c r="U105" i="95"/>
  <c r="AD105" i="95" s="1"/>
  <c r="K105" i="95"/>
  <c r="AI105" i="95" s="1"/>
  <c r="E105" i="95"/>
  <c r="AN104" i="95"/>
  <c r="M104" i="95" s="1"/>
  <c r="N104" i="95" s="1"/>
  <c r="O104" i="95" s="1"/>
  <c r="Z104" i="95"/>
  <c r="Y104" i="95"/>
  <c r="U104" i="95"/>
  <c r="K104" i="95"/>
  <c r="E104" i="95"/>
  <c r="AN103" i="95"/>
  <c r="M103" i="95" s="1"/>
  <c r="N103" i="95" s="1"/>
  <c r="Z103" i="95"/>
  <c r="Y103" i="95"/>
  <c r="U103" i="95"/>
  <c r="AJ103" i="95" s="1"/>
  <c r="K103" i="95"/>
  <c r="AI103" i="95" s="1"/>
  <c r="E103" i="95"/>
  <c r="AN102" i="95"/>
  <c r="M102" i="95" s="1"/>
  <c r="Z102" i="95"/>
  <c r="Y102" i="95"/>
  <c r="U102" i="95"/>
  <c r="AD102" i="95" s="1"/>
  <c r="K102" i="95"/>
  <c r="AI102" i="95" s="1"/>
  <c r="E102" i="95"/>
  <c r="AN101" i="95"/>
  <c r="M101" i="95" s="1"/>
  <c r="N101" i="95" s="1"/>
  <c r="Z101" i="95"/>
  <c r="Y101" i="95"/>
  <c r="U101" i="95"/>
  <c r="AD101" i="95" s="1"/>
  <c r="K101" i="95"/>
  <c r="E101" i="95"/>
  <c r="AN100" i="95"/>
  <c r="M100" i="95" s="1"/>
  <c r="Z100" i="95"/>
  <c r="Y100" i="95"/>
  <c r="U100" i="95"/>
  <c r="AD100" i="95" s="1"/>
  <c r="K100" i="95"/>
  <c r="AI100" i="95" s="1"/>
  <c r="E100" i="95"/>
  <c r="AN99" i="95"/>
  <c r="M99" i="95" s="1"/>
  <c r="O99" i="95" s="1"/>
  <c r="Z99" i="95"/>
  <c r="Y99" i="95"/>
  <c r="U99" i="95"/>
  <c r="K99" i="95"/>
  <c r="AI99" i="95" s="1"/>
  <c r="E99" i="95"/>
  <c r="AN98" i="95"/>
  <c r="M98" i="95" s="1"/>
  <c r="O98" i="95" s="1"/>
  <c r="S98" i="95" s="1"/>
  <c r="AC98" i="95" s="1"/>
  <c r="Z98" i="95"/>
  <c r="Y98" i="95"/>
  <c r="U98" i="95"/>
  <c r="K98" i="95"/>
  <c r="E98" i="95"/>
  <c r="AN97" i="95"/>
  <c r="M97" i="95" s="1"/>
  <c r="N97" i="95" s="1"/>
  <c r="O97" i="95" s="1"/>
  <c r="Y97" i="95"/>
  <c r="AA97" i="95" s="1"/>
  <c r="U97" i="95"/>
  <c r="AD97" i="95" s="1"/>
  <c r="K97" i="95"/>
  <c r="AI97" i="95" s="1"/>
  <c r="E97" i="95"/>
  <c r="AN96" i="95"/>
  <c r="M96" i="95" s="1"/>
  <c r="Y96" i="95"/>
  <c r="AE96" i="95" s="1"/>
  <c r="U96" i="95"/>
  <c r="K96" i="95"/>
  <c r="AI96" i="95" s="1"/>
  <c r="E96" i="95"/>
  <c r="AN95" i="95"/>
  <c r="M95" i="95" s="1"/>
  <c r="Y95" i="95"/>
  <c r="AE95" i="95" s="1"/>
  <c r="U95" i="95"/>
  <c r="K95" i="95"/>
  <c r="AI95" i="95" s="1"/>
  <c r="E95" i="95"/>
  <c r="AN94" i="95"/>
  <c r="M94" i="95" s="1"/>
  <c r="N94" i="95" s="1"/>
  <c r="AE94" i="95"/>
  <c r="AA94" i="95"/>
  <c r="U94" i="95"/>
  <c r="K94" i="95"/>
  <c r="E94" i="95"/>
  <c r="AN93" i="95"/>
  <c r="M93" i="95" s="1"/>
  <c r="N93" i="95" s="1"/>
  <c r="O93" i="95" s="1"/>
  <c r="Y93" i="95"/>
  <c r="AE93" i="95" s="1"/>
  <c r="U93" i="95"/>
  <c r="AJ93" i="95" s="1"/>
  <c r="K93" i="95"/>
  <c r="E93" i="95"/>
  <c r="AN92" i="95"/>
  <c r="M92" i="95" s="1"/>
  <c r="Y92" i="95"/>
  <c r="AE92" i="95" s="1"/>
  <c r="U92" i="95"/>
  <c r="AJ92" i="95" s="1"/>
  <c r="K92" i="95"/>
  <c r="AI92" i="95" s="1"/>
  <c r="E92" i="95"/>
  <c r="AN91" i="95"/>
  <c r="M91" i="95" s="1"/>
  <c r="N91" i="95" s="1"/>
  <c r="Y91" i="95"/>
  <c r="AE91" i="95" s="1"/>
  <c r="U91" i="95"/>
  <c r="K91" i="95"/>
  <c r="AH91" i="95" s="1"/>
  <c r="E91" i="95"/>
  <c r="AN90" i="95"/>
  <c r="M90" i="95" s="1"/>
  <c r="AE90" i="95"/>
  <c r="AA90" i="95"/>
  <c r="U90" i="95"/>
  <c r="K90" i="95"/>
  <c r="AH90" i="95" s="1"/>
  <c r="E90" i="95"/>
  <c r="AN89" i="95"/>
  <c r="M89" i="95" s="1"/>
  <c r="N89" i="95" s="1"/>
  <c r="Y89" i="95"/>
  <c r="AA89" i="95" s="1"/>
  <c r="U89" i="95"/>
  <c r="AD89" i="95" s="1"/>
  <c r="K89" i="95"/>
  <c r="AH89" i="95" s="1"/>
  <c r="E89" i="95"/>
  <c r="AN88" i="95"/>
  <c r="M88" i="95" s="1"/>
  <c r="Y88" i="95"/>
  <c r="U88" i="95"/>
  <c r="AD88" i="95" s="1"/>
  <c r="K88" i="95"/>
  <c r="E88" i="95"/>
  <c r="AN87" i="95"/>
  <c r="M87" i="95" s="1"/>
  <c r="Y87" i="95"/>
  <c r="AE87" i="95" s="1"/>
  <c r="U87" i="95"/>
  <c r="AD87" i="95" s="1"/>
  <c r="K87" i="95"/>
  <c r="E87" i="95"/>
  <c r="AN86" i="95"/>
  <c r="M86" i="95" s="1"/>
  <c r="Y86" i="95"/>
  <c r="AA86" i="95" s="1"/>
  <c r="U86" i="95"/>
  <c r="AD86" i="95" s="1"/>
  <c r="K86" i="95"/>
  <c r="E86" i="95"/>
  <c r="AN85" i="95"/>
  <c r="M85" i="95" s="1"/>
  <c r="Y85" i="95"/>
  <c r="AE85" i="95" s="1"/>
  <c r="U85" i="95"/>
  <c r="K85" i="95"/>
  <c r="E85" i="95"/>
  <c r="AN84" i="95"/>
  <c r="M84" i="95" s="1"/>
  <c r="N84" i="95" s="1"/>
  <c r="Y84" i="95"/>
  <c r="U84" i="95"/>
  <c r="K84" i="95"/>
  <c r="AI84" i="95" s="1"/>
  <c r="E84" i="95"/>
  <c r="AN83" i="95"/>
  <c r="M83" i="95" s="1"/>
  <c r="Z83" i="95"/>
  <c r="Y83" i="95"/>
  <c r="U83" i="95"/>
  <c r="AJ83" i="95" s="1"/>
  <c r="K83" i="95"/>
  <c r="AH83" i="95" s="1"/>
  <c r="E83" i="95"/>
  <c r="AN82" i="95"/>
  <c r="M82" i="95" s="1"/>
  <c r="Z82" i="95"/>
  <c r="Y82" i="95"/>
  <c r="U82" i="95"/>
  <c r="AJ82" i="95" s="1"/>
  <c r="K82" i="95"/>
  <c r="E82" i="95"/>
  <c r="AN81" i="95"/>
  <c r="M81" i="95" s="1"/>
  <c r="AC81" i="95"/>
  <c r="Z81" i="95"/>
  <c r="Y81" i="95"/>
  <c r="U81" i="95"/>
  <c r="AJ81" i="95" s="1"/>
  <c r="K81" i="95"/>
  <c r="E81" i="95"/>
  <c r="AN80" i="95"/>
  <c r="M80" i="95" s="1"/>
  <c r="AC80" i="95"/>
  <c r="Z80" i="95"/>
  <c r="Y80" i="95"/>
  <c r="U80" i="95"/>
  <c r="AJ80" i="95" s="1"/>
  <c r="K80" i="95"/>
  <c r="AI80" i="95" s="1"/>
  <c r="E80" i="95"/>
  <c r="AN79" i="95"/>
  <c r="M79" i="95" s="1"/>
  <c r="N79" i="95" s="1"/>
  <c r="AC79" i="95"/>
  <c r="Z79" i="95"/>
  <c r="Y79" i="95"/>
  <c r="U79" i="95"/>
  <c r="AD79" i="95" s="1"/>
  <c r="K79" i="95"/>
  <c r="AH79" i="95" s="1"/>
  <c r="E79" i="95"/>
  <c r="AN78" i="95"/>
  <c r="M78" i="95" s="1"/>
  <c r="AC78" i="95"/>
  <c r="Z78" i="95"/>
  <c r="Y78" i="95"/>
  <c r="U78" i="95"/>
  <c r="K78" i="95"/>
  <c r="AI78" i="95" s="1"/>
  <c r="E78" i="95"/>
  <c r="AN77" i="95"/>
  <c r="M77" i="95" s="1"/>
  <c r="N77" i="95" s="1"/>
  <c r="AC77" i="95"/>
  <c r="Z77" i="95"/>
  <c r="Y77" i="95"/>
  <c r="U77" i="95"/>
  <c r="AJ77" i="95" s="1"/>
  <c r="K77" i="95"/>
  <c r="E77" i="95"/>
  <c r="AN76" i="95"/>
  <c r="M76" i="95" s="1"/>
  <c r="AC76" i="95"/>
  <c r="Z76" i="95"/>
  <c r="Y76" i="95"/>
  <c r="U76" i="95"/>
  <c r="AD76" i="95" s="1"/>
  <c r="K76" i="95"/>
  <c r="AI76" i="95" s="1"/>
  <c r="E76" i="95"/>
  <c r="AN75" i="95"/>
  <c r="M75" i="95" s="1"/>
  <c r="AC75" i="95"/>
  <c r="Z75" i="95"/>
  <c r="Y75" i="95"/>
  <c r="U75" i="95"/>
  <c r="AD75" i="95" s="1"/>
  <c r="K75" i="95"/>
  <c r="AH75" i="95" s="1"/>
  <c r="E75" i="95"/>
  <c r="AN74" i="95"/>
  <c r="M74" i="95" s="1"/>
  <c r="AC74" i="95"/>
  <c r="Z74" i="95"/>
  <c r="Y74" i="95"/>
  <c r="U74" i="95"/>
  <c r="AJ74" i="95" s="1"/>
  <c r="K74" i="95"/>
  <c r="AI74" i="95" s="1"/>
  <c r="E74" i="95"/>
  <c r="AN73" i="95"/>
  <c r="O73" i="95" s="1"/>
  <c r="S73" i="95" s="1"/>
  <c r="AC73" i="95" s="1"/>
  <c r="Y73" i="95"/>
  <c r="U73" i="95"/>
  <c r="AJ73" i="95" s="1"/>
  <c r="K73" i="95"/>
  <c r="E73" i="95"/>
  <c r="AN72" i="95"/>
  <c r="Z72" i="95"/>
  <c r="Y72" i="95"/>
  <c r="U72" i="95"/>
  <c r="AD72" i="95" s="1"/>
  <c r="K72" i="95"/>
  <c r="AI72" i="95" s="1"/>
  <c r="E72" i="95"/>
  <c r="AN71" i="95"/>
  <c r="Z71" i="95"/>
  <c r="Y71" i="95"/>
  <c r="U71" i="95"/>
  <c r="K71" i="95"/>
  <c r="AI71" i="95" s="1"/>
  <c r="E71" i="95"/>
  <c r="AN70" i="95"/>
  <c r="Z70" i="95"/>
  <c r="Y70" i="95"/>
  <c r="U70" i="95"/>
  <c r="K70" i="95"/>
  <c r="E70" i="95"/>
  <c r="AN69" i="95"/>
  <c r="Z69" i="95"/>
  <c r="Y69" i="95"/>
  <c r="U69" i="95"/>
  <c r="AJ69" i="95" s="1"/>
  <c r="K69" i="95"/>
  <c r="AI69" i="95" s="1"/>
  <c r="E69" i="95"/>
  <c r="AN68" i="95"/>
  <c r="M68" i="95" s="1"/>
  <c r="Z68" i="95"/>
  <c r="Y68" i="95"/>
  <c r="U68" i="95"/>
  <c r="K68" i="95"/>
  <c r="AI68" i="95" s="1"/>
  <c r="E68" i="95"/>
  <c r="AN67" i="95"/>
  <c r="Z67" i="95"/>
  <c r="Y67" i="95"/>
  <c r="U67" i="95"/>
  <c r="AD67" i="95" s="1"/>
  <c r="K67" i="95"/>
  <c r="E67" i="95"/>
  <c r="AN66" i="95"/>
  <c r="Z66" i="95"/>
  <c r="Y66" i="95"/>
  <c r="U66" i="95"/>
  <c r="AJ66" i="95" s="1"/>
  <c r="K66" i="95"/>
  <c r="E66" i="95"/>
  <c r="AN65" i="95"/>
  <c r="Z65" i="95"/>
  <c r="Y65" i="95"/>
  <c r="U65" i="95"/>
  <c r="AD65" i="95" s="1"/>
  <c r="K65" i="95"/>
  <c r="AI65" i="95" s="1"/>
  <c r="E65" i="95"/>
  <c r="AN64" i="95"/>
  <c r="M64" i="95" s="1"/>
  <c r="Y64" i="95"/>
  <c r="AA64" i="95" s="1"/>
  <c r="U64" i="95"/>
  <c r="AD64" i="95" s="1"/>
  <c r="K64" i="95"/>
  <c r="AH64" i="95" s="1"/>
  <c r="E64" i="95"/>
  <c r="AN63" i="95"/>
  <c r="M63" i="95" s="1"/>
  <c r="N63" i="95" s="1"/>
  <c r="O63" i="95" s="1"/>
  <c r="Y63" i="95"/>
  <c r="AA63" i="95" s="1"/>
  <c r="U63" i="95"/>
  <c r="AD63" i="95" s="1"/>
  <c r="K63" i="95"/>
  <c r="AI63" i="95" s="1"/>
  <c r="E63" i="95"/>
  <c r="AN62" i="95"/>
  <c r="M62" i="95" s="1"/>
  <c r="Y62" i="95"/>
  <c r="U62" i="95"/>
  <c r="AD62" i="95" s="1"/>
  <c r="K62" i="95"/>
  <c r="AH62" i="95" s="1"/>
  <c r="E62" i="95"/>
  <c r="AN61" i="95"/>
  <c r="M61" i="95" s="1"/>
  <c r="Y61" i="95"/>
  <c r="AE61" i="95" s="1"/>
  <c r="U61" i="95"/>
  <c r="AD61" i="95" s="1"/>
  <c r="K61" i="95"/>
  <c r="E61" i="95"/>
  <c r="AN60" i="95"/>
  <c r="M60" i="95" s="1"/>
  <c r="Y60" i="95"/>
  <c r="U60" i="95"/>
  <c r="K60" i="95"/>
  <c r="AI60" i="95" s="1"/>
  <c r="E60" i="95"/>
  <c r="AN59" i="95"/>
  <c r="M59" i="95" s="1"/>
  <c r="Z59" i="95"/>
  <c r="Y59" i="95"/>
  <c r="U59" i="95"/>
  <c r="AD59" i="95" s="1"/>
  <c r="K59" i="95"/>
  <c r="AI59" i="95" s="1"/>
  <c r="E59" i="95"/>
  <c r="AN58" i="95"/>
  <c r="M58" i="95" s="1"/>
  <c r="Z58" i="95"/>
  <c r="Y58" i="95"/>
  <c r="U58" i="95"/>
  <c r="AJ58" i="95" s="1"/>
  <c r="K58" i="95"/>
  <c r="AH58" i="95" s="1"/>
  <c r="E58" i="95"/>
  <c r="AN57" i="95"/>
  <c r="M57" i="95" s="1"/>
  <c r="O57" i="95" s="1"/>
  <c r="Z57" i="95"/>
  <c r="Y57" i="95"/>
  <c r="U57" i="95"/>
  <c r="AJ57" i="95" s="1"/>
  <c r="K57" i="95"/>
  <c r="E57" i="95"/>
  <c r="AN56" i="95"/>
  <c r="M56" i="95" s="1"/>
  <c r="Y56" i="95"/>
  <c r="AE56" i="95" s="1"/>
  <c r="U56" i="95"/>
  <c r="AJ56" i="95" s="1"/>
  <c r="K56" i="95"/>
  <c r="AI56" i="95" s="1"/>
  <c r="E56" i="95"/>
  <c r="AN55" i="95"/>
  <c r="M55" i="95" s="1"/>
  <c r="Y55" i="95"/>
  <c r="U55" i="95"/>
  <c r="AJ55" i="95" s="1"/>
  <c r="K55" i="95"/>
  <c r="E55" i="95"/>
  <c r="AN54" i="95"/>
  <c r="M54" i="95" s="1"/>
  <c r="N54" i="95" s="1"/>
  <c r="O54" i="95" s="1"/>
  <c r="Y54" i="95"/>
  <c r="AA54" i="95" s="1"/>
  <c r="U54" i="95"/>
  <c r="K54" i="95"/>
  <c r="E54" i="95"/>
  <c r="AN53" i="95"/>
  <c r="M53" i="95" s="1"/>
  <c r="N53" i="95" s="1"/>
  <c r="O53" i="95" s="1"/>
  <c r="Y53" i="95"/>
  <c r="AE53" i="95" s="1"/>
  <c r="U53" i="95"/>
  <c r="K53" i="95"/>
  <c r="E53" i="95"/>
  <c r="AN52" i="95"/>
  <c r="Z52" i="95"/>
  <c r="Y52" i="95"/>
  <c r="U52" i="95"/>
  <c r="AJ52" i="95" s="1"/>
  <c r="N52" i="95"/>
  <c r="O52" i="95" s="1"/>
  <c r="K52" i="95"/>
  <c r="AH52" i="95" s="1"/>
  <c r="E52" i="95"/>
  <c r="AN51" i="95"/>
  <c r="M51" i="95" s="1"/>
  <c r="Z51" i="95"/>
  <c r="Y51" i="95"/>
  <c r="U51" i="95"/>
  <c r="AD51" i="95" s="1"/>
  <c r="K51" i="95"/>
  <c r="AI51" i="95" s="1"/>
  <c r="E51" i="95"/>
  <c r="AN50" i="95"/>
  <c r="M50" i="95" s="1"/>
  <c r="Z50" i="95"/>
  <c r="Y50" i="95"/>
  <c r="U50" i="95"/>
  <c r="AJ50" i="95" s="1"/>
  <c r="K50" i="95"/>
  <c r="E50" i="95"/>
  <c r="AN49" i="95"/>
  <c r="M49" i="95" s="1"/>
  <c r="N49" i="95" s="1"/>
  <c r="O49" i="95" s="1"/>
  <c r="Z49" i="95"/>
  <c r="Y49" i="95"/>
  <c r="U49" i="95"/>
  <c r="AD49" i="95" s="1"/>
  <c r="K49" i="95"/>
  <c r="E49" i="95"/>
  <c r="AN48" i="95"/>
  <c r="M48" i="95" s="1"/>
  <c r="N48" i="95" s="1"/>
  <c r="O48" i="95" s="1"/>
  <c r="Z48" i="95"/>
  <c r="Y48" i="95"/>
  <c r="U48" i="95"/>
  <c r="AD48" i="95" s="1"/>
  <c r="K48" i="95"/>
  <c r="AH48" i="95" s="1"/>
  <c r="E48" i="95"/>
  <c r="AN47" i="95"/>
  <c r="M47" i="95" s="1"/>
  <c r="N47" i="95" s="1"/>
  <c r="Z47" i="95"/>
  <c r="Y47" i="95"/>
  <c r="U47" i="95"/>
  <c r="K47" i="95"/>
  <c r="E47" i="95"/>
  <c r="AN46" i="95"/>
  <c r="M46" i="95" s="1"/>
  <c r="N46" i="95" s="1"/>
  <c r="Z46" i="95"/>
  <c r="Y46" i="95"/>
  <c r="U46" i="95"/>
  <c r="K46" i="95"/>
  <c r="AI46" i="95" s="1"/>
  <c r="E46" i="95"/>
  <c r="AN45" i="95"/>
  <c r="M45" i="95" s="1"/>
  <c r="Z45" i="95"/>
  <c r="Y45" i="95"/>
  <c r="U45" i="95"/>
  <c r="K45" i="95"/>
  <c r="AH45" i="95" s="1"/>
  <c r="E45" i="95"/>
  <c r="AN44" i="95"/>
  <c r="M44" i="95" s="1"/>
  <c r="AE44" i="95"/>
  <c r="AA44" i="95"/>
  <c r="U44" i="95"/>
  <c r="AJ44" i="95" s="1"/>
  <c r="K44" i="95"/>
  <c r="AI44" i="95" s="1"/>
  <c r="E44" i="95"/>
  <c r="AN43" i="95"/>
  <c r="M43" i="95" s="1"/>
  <c r="AE43" i="95"/>
  <c r="AA43" i="95"/>
  <c r="U43" i="95"/>
  <c r="K43" i="95"/>
  <c r="AI43" i="95" s="1"/>
  <c r="E43" i="95"/>
  <c r="AN42" i="95"/>
  <c r="M42" i="95" s="1"/>
  <c r="N42" i="95" s="1"/>
  <c r="Z42" i="95"/>
  <c r="Y42" i="95"/>
  <c r="U42" i="95"/>
  <c r="AD42" i="95" s="1"/>
  <c r="K42" i="95"/>
  <c r="AI42" i="95" s="1"/>
  <c r="E42" i="95"/>
  <c r="AN41" i="95"/>
  <c r="M41" i="95" s="1"/>
  <c r="Z41" i="95"/>
  <c r="Y41" i="95"/>
  <c r="U41" i="95"/>
  <c r="AD41" i="95" s="1"/>
  <c r="K41" i="95"/>
  <c r="E41" i="95"/>
  <c r="AN40" i="95"/>
  <c r="M40" i="95" s="1"/>
  <c r="Z40" i="95"/>
  <c r="Y40" i="95"/>
  <c r="U40" i="95"/>
  <c r="AD40" i="95" s="1"/>
  <c r="K40" i="95"/>
  <c r="AH40" i="95" s="1"/>
  <c r="E40" i="95"/>
  <c r="AN39" i="95"/>
  <c r="M39" i="95" s="1"/>
  <c r="Z39" i="95"/>
  <c r="Y39" i="95"/>
  <c r="U39" i="95"/>
  <c r="AD39" i="95" s="1"/>
  <c r="K39" i="95"/>
  <c r="E39" i="95"/>
  <c r="AN38" i="95"/>
  <c r="M38" i="95" s="1"/>
  <c r="N38" i="95" s="1"/>
  <c r="Z38" i="95"/>
  <c r="Y38" i="95"/>
  <c r="U38" i="95"/>
  <c r="AJ38" i="95" s="1"/>
  <c r="K38" i="95"/>
  <c r="E38" i="95"/>
  <c r="AN37" i="95"/>
  <c r="M37" i="95" s="1"/>
  <c r="N37" i="95" s="1"/>
  <c r="O37" i="95" s="1"/>
  <c r="Z37" i="95"/>
  <c r="Y37" i="95"/>
  <c r="U37" i="95"/>
  <c r="AJ37" i="95" s="1"/>
  <c r="K37" i="95"/>
  <c r="E37" i="95"/>
  <c r="AN36" i="95"/>
  <c r="M36" i="95" s="1"/>
  <c r="N36" i="95" s="1"/>
  <c r="Z36" i="95"/>
  <c r="Y36" i="95"/>
  <c r="U36" i="95"/>
  <c r="AJ36" i="95" s="1"/>
  <c r="K36" i="95"/>
  <c r="AI36" i="95" s="1"/>
  <c r="E36" i="95"/>
  <c r="AN35" i="95"/>
  <c r="M35" i="95" s="1"/>
  <c r="N35" i="95" s="1"/>
  <c r="Z35" i="95"/>
  <c r="Y35" i="95"/>
  <c r="U35" i="95"/>
  <c r="K35" i="95"/>
  <c r="AI35" i="95" s="1"/>
  <c r="E35" i="95"/>
  <c r="AN34" i="95"/>
  <c r="M34" i="95" s="1"/>
  <c r="N34" i="95" s="1"/>
  <c r="Z34" i="95"/>
  <c r="Y34" i="95"/>
  <c r="U34" i="95"/>
  <c r="K34" i="95"/>
  <c r="AI34" i="95" s="1"/>
  <c r="E34" i="95"/>
  <c r="AN33" i="95"/>
  <c r="M33" i="95" s="1"/>
  <c r="Z33" i="95"/>
  <c r="Y33" i="95"/>
  <c r="U33" i="95"/>
  <c r="AD33" i="95" s="1"/>
  <c r="K33" i="95"/>
  <c r="E33" i="95"/>
  <c r="AN32" i="95"/>
  <c r="M32" i="95" s="1"/>
  <c r="Z32" i="95"/>
  <c r="Y32" i="95"/>
  <c r="U32" i="95"/>
  <c r="K32" i="95"/>
  <c r="AI32" i="95" s="1"/>
  <c r="E32" i="95"/>
  <c r="AN31" i="95"/>
  <c r="M31" i="95" s="1"/>
  <c r="Z31" i="95"/>
  <c r="Y31" i="95"/>
  <c r="U31" i="95"/>
  <c r="K31" i="95"/>
  <c r="E31" i="95"/>
  <c r="AN30" i="95"/>
  <c r="M30" i="95" s="1"/>
  <c r="N30" i="95" s="1"/>
  <c r="O30" i="95" s="1"/>
  <c r="Z30" i="95"/>
  <c r="Y30" i="95"/>
  <c r="U30" i="95"/>
  <c r="AJ30" i="95" s="1"/>
  <c r="K30" i="95"/>
  <c r="AI30" i="95" s="1"/>
  <c r="E30" i="95"/>
  <c r="AN29" i="95"/>
  <c r="M29" i="95" s="1"/>
  <c r="Z29" i="95"/>
  <c r="Y29" i="95"/>
  <c r="U29" i="95"/>
  <c r="K29" i="95"/>
  <c r="E29" i="95"/>
  <c r="AN28" i="95"/>
  <c r="M28" i="95" s="1"/>
  <c r="N28" i="95" s="1"/>
  <c r="O28" i="95" s="1"/>
  <c r="S28" i="95" s="1"/>
  <c r="AC28" i="95" s="1"/>
  <c r="Z28" i="95"/>
  <c r="Y28" i="95"/>
  <c r="U28" i="95"/>
  <c r="K28" i="95"/>
  <c r="E28" i="95"/>
  <c r="AN27" i="95"/>
  <c r="M27" i="95" s="1"/>
  <c r="N27" i="95" s="1"/>
  <c r="Z27" i="95"/>
  <c r="Y27" i="95"/>
  <c r="U27" i="95"/>
  <c r="AJ27" i="95" s="1"/>
  <c r="K27" i="95"/>
  <c r="AH27" i="95" s="1"/>
  <c r="E27" i="95"/>
  <c r="AN26" i="95"/>
  <c r="M26" i="95" s="1"/>
  <c r="Z26" i="95"/>
  <c r="Y26" i="95"/>
  <c r="U26" i="95"/>
  <c r="AD26" i="95" s="1"/>
  <c r="K26" i="95"/>
  <c r="AI26" i="95" s="1"/>
  <c r="E26" i="95"/>
  <c r="AN25" i="95"/>
  <c r="M25" i="95" s="1"/>
  <c r="Z25" i="95"/>
  <c r="Y25" i="95"/>
  <c r="U25" i="95"/>
  <c r="AD25" i="95" s="1"/>
  <c r="K25" i="95"/>
  <c r="AH25" i="95" s="1"/>
  <c r="E25" i="95"/>
  <c r="AN24" i="95"/>
  <c r="M24" i="95" s="1"/>
  <c r="Z24" i="95"/>
  <c r="Y24" i="95"/>
  <c r="U24" i="95"/>
  <c r="AD24" i="95" s="1"/>
  <c r="K24" i="95"/>
  <c r="E24" i="95"/>
  <c r="AN23" i="95"/>
  <c r="M23" i="95" s="1"/>
  <c r="N23" i="95" s="1"/>
  <c r="O23" i="95" s="1"/>
  <c r="Z23" i="95"/>
  <c r="Y23" i="95"/>
  <c r="U23" i="95"/>
  <c r="K23" i="95"/>
  <c r="E23" i="95"/>
  <c r="AW38" i="95"/>
  <c r="AY38" i="95" s="1"/>
  <c r="BA38" i="95" s="1"/>
  <c r="AN22" i="95"/>
  <c r="M22" i="95" s="1"/>
  <c r="N22" i="95" s="1"/>
  <c r="O22" i="95" s="1"/>
  <c r="Y22" i="95"/>
  <c r="U22" i="95"/>
  <c r="AJ22" i="95" s="1"/>
  <c r="K22" i="95"/>
  <c r="AH22" i="95" s="1"/>
  <c r="E22" i="95"/>
  <c r="AW37" i="95"/>
  <c r="AY37" i="95" s="1"/>
  <c r="BA37" i="95" s="1"/>
  <c r="AN21" i="95"/>
  <c r="M21" i="95" s="1"/>
  <c r="N21" i="95" s="1"/>
  <c r="O21" i="95" s="1"/>
  <c r="Y21" i="95"/>
  <c r="U21" i="95"/>
  <c r="K21" i="95"/>
  <c r="E21" i="95"/>
  <c r="AW36" i="95"/>
  <c r="AY36" i="95" s="1"/>
  <c r="BA36" i="95" s="1"/>
  <c r="AW35" i="95"/>
  <c r="AY35" i="95" s="1"/>
  <c r="BA35" i="95" s="1"/>
  <c r="AN20" i="95"/>
  <c r="M20" i="95" s="1"/>
  <c r="O20" i="95" s="1"/>
  <c r="Y20" i="95"/>
  <c r="AA20" i="95" s="1"/>
  <c r="U20" i="95"/>
  <c r="AD20" i="95" s="1"/>
  <c r="K20" i="95"/>
  <c r="E20" i="95"/>
  <c r="AW34" i="95"/>
  <c r="AY34" i="95" s="1"/>
  <c r="BA34" i="95" s="1"/>
  <c r="AN19" i="95"/>
  <c r="M19" i="95" s="1"/>
  <c r="Y19" i="95"/>
  <c r="AE19" i="95" s="1"/>
  <c r="U19" i="95"/>
  <c r="K19" i="95"/>
  <c r="AH19" i="95" s="1"/>
  <c r="E19" i="95"/>
  <c r="AN18" i="95"/>
  <c r="M18" i="95" s="1"/>
  <c r="N18" i="95" s="1"/>
  <c r="O18" i="95" s="1"/>
  <c r="Z18" i="95"/>
  <c r="Y18" i="95"/>
  <c r="U18" i="95"/>
  <c r="AD18" i="95" s="1"/>
  <c r="K18" i="95"/>
  <c r="AI18" i="95" s="1"/>
  <c r="E18" i="95"/>
  <c r="AN17" i="95"/>
  <c r="Z17" i="95"/>
  <c r="Y17" i="95"/>
  <c r="U17" i="95"/>
  <c r="N17" i="95"/>
  <c r="O17" i="95" s="1"/>
  <c r="S17" i="95" s="1"/>
  <c r="AC17" i="95" s="1"/>
  <c r="K17" i="95"/>
  <c r="AI17" i="95" s="1"/>
  <c r="E17" i="95"/>
  <c r="AN16" i="95"/>
  <c r="Z16" i="95"/>
  <c r="Y16" i="95"/>
  <c r="U16" i="95"/>
  <c r="S16" i="95"/>
  <c r="AC16" i="95" s="1"/>
  <c r="N16" i="95"/>
  <c r="K16" i="95"/>
  <c r="AH16" i="95" s="1"/>
  <c r="E16" i="95"/>
  <c r="AN15" i="95"/>
  <c r="M15" i="95" s="1"/>
  <c r="Z15" i="95"/>
  <c r="Y15" i="95"/>
  <c r="U15" i="95"/>
  <c r="K15" i="95"/>
  <c r="AH15" i="95" s="1"/>
  <c r="E15" i="95"/>
  <c r="AN14" i="95"/>
  <c r="Z14" i="95"/>
  <c r="Y14" i="95"/>
  <c r="U14" i="95"/>
  <c r="AJ14" i="95" s="1"/>
  <c r="K14" i="95"/>
  <c r="AH14" i="95" s="1"/>
  <c r="E14" i="95"/>
  <c r="AN13" i="95"/>
  <c r="Z13" i="95"/>
  <c r="Y13" i="95"/>
  <c r="U13" i="95"/>
  <c r="AD13" i="95" s="1"/>
  <c r="K13" i="95"/>
  <c r="AI13" i="95" s="1"/>
  <c r="E13" i="95"/>
  <c r="BB18" i="95"/>
  <c r="AZ18" i="95" a="1"/>
  <c r="AZ18" i="95" s="1"/>
  <c r="AW18" i="95"/>
  <c r="AX18" i="95" s="1" a="1"/>
  <c r="AX18" i="95" s="1"/>
  <c r="AN12" i="95"/>
  <c r="Z12" i="95"/>
  <c r="Y12" i="95"/>
  <c r="U12" i="95"/>
  <c r="K12" i="95"/>
  <c r="AI12" i="95" s="1"/>
  <c r="E12" i="95"/>
  <c r="BB17" i="95"/>
  <c r="AZ17" i="95" a="1"/>
  <c r="AZ17" i="95" s="1"/>
  <c r="AW17" i="95"/>
  <c r="AN11" i="95"/>
  <c r="Z11" i="95"/>
  <c r="Y11" i="95"/>
  <c r="U11" i="95"/>
  <c r="K11" i="95"/>
  <c r="E11" i="95"/>
  <c r="BB16" i="95"/>
  <c r="AZ16" i="95" a="1"/>
  <c r="AZ16" i="95" s="1"/>
  <c r="AW16" i="95"/>
  <c r="AN10" i="95"/>
  <c r="M10" i="95" s="1"/>
  <c r="N10" i="95" s="1"/>
  <c r="Z10" i="95"/>
  <c r="Y10" i="95"/>
  <c r="U10" i="95"/>
  <c r="K10" i="95"/>
  <c r="AH10" i="95" s="1"/>
  <c r="E10" i="95"/>
  <c r="BB15" i="95"/>
  <c r="AZ15" i="95" a="1"/>
  <c r="AZ15" i="95" s="1"/>
  <c r="AW15" i="95"/>
  <c r="BB14" i="95"/>
  <c r="AZ14" i="95" a="1"/>
  <c r="AZ14" i="95" s="1"/>
  <c r="AW14" i="95"/>
  <c r="AN9" i="95"/>
  <c r="M9" i="95" s="1"/>
  <c r="O9" i="95" s="1"/>
  <c r="Z9" i="95"/>
  <c r="Y9" i="95"/>
  <c r="U9" i="95"/>
  <c r="AJ9" i="95" s="1"/>
  <c r="K9" i="95"/>
  <c r="E9" i="95"/>
  <c r="AN8" i="95"/>
  <c r="M8" i="95" s="1"/>
  <c r="Z8" i="95"/>
  <c r="Y8" i="95"/>
  <c r="U8" i="95"/>
  <c r="K8" i="95"/>
  <c r="E8" i="95"/>
  <c r="AN7" i="95"/>
  <c r="M7" i="95" s="1"/>
  <c r="N7" i="95" s="1"/>
  <c r="O7" i="95" s="1"/>
  <c r="Z7" i="95"/>
  <c r="Y7" i="95"/>
  <c r="U7" i="95"/>
  <c r="AJ7" i="95" s="1"/>
  <c r="K7" i="95"/>
  <c r="AI7" i="95" s="1"/>
  <c r="E7" i="95"/>
  <c r="AN6" i="95"/>
  <c r="M6" i="95" s="1"/>
  <c r="Z6" i="95"/>
  <c r="Y6" i="95"/>
  <c r="U6" i="95"/>
  <c r="AJ6" i="95" s="1"/>
  <c r="K6" i="95"/>
  <c r="AI6" i="95" s="1"/>
  <c r="E6" i="95"/>
  <c r="AN5" i="95"/>
  <c r="M5" i="95" s="1"/>
  <c r="Z5" i="95"/>
  <c r="Y5" i="95"/>
  <c r="U5" i="95"/>
  <c r="AD5" i="95" s="1"/>
  <c r="K5" i="95"/>
  <c r="AH5" i="95" s="1"/>
  <c r="E5" i="95"/>
  <c r="I2" i="95"/>
  <c r="AI89" i="95" l="1"/>
  <c r="AM112" i="2"/>
  <c r="AG97" i="2"/>
  <c r="AE73" i="95"/>
  <c r="AH18" i="95"/>
  <c r="AH69" i="95"/>
  <c r="AI58" i="95"/>
  <c r="AI126" i="95"/>
  <c r="AH56" i="95"/>
  <c r="AK107" i="95"/>
  <c r="AH129" i="95"/>
  <c r="AH80" i="95"/>
  <c r="AH99" i="95"/>
  <c r="AI16" i="95"/>
  <c r="AH95" i="95"/>
  <c r="AI131" i="95"/>
  <c r="AK16" i="95"/>
  <c r="AI25" i="95"/>
  <c r="AI130" i="95"/>
  <c r="AM97" i="2"/>
  <c r="AK106" i="2"/>
  <c r="S106" i="2"/>
  <c r="AC106" i="2" s="1"/>
  <c r="AF106" i="2"/>
  <c r="AK95" i="2"/>
  <c r="AF95" i="2"/>
  <c r="S95" i="2"/>
  <c r="AC95" i="2" s="1"/>
  <c r="AK104" i="2"/>
  <c r="AC104" i="2"/>
  <c r="AF104" i="2"/>
  <c r="AB104" i="2"/>
  <c r="AM104" i="2" s="1"/>
  <c r="AK101" i="2"/>
  <c r="AC101" i="2"/>
  <c r="AF101" i="2"/>
  <c r="AB101" i="2"/>
  <c r="AM101" i="2" s="1"/>
  <c r="AB93" i="2"/>
  <c r="AM93" i="2" s="1"/>
  <c r="AK108" i="2"/>
  <c r="S108" i="2"/>
  <c r="AC108" i="2" s="1"/>
  <c r="AF108" i="2"/>
  <c r="AK94" i="2"/>
  <c r="S94" i="2"/>
  <c r="AC94" i="2" s="1"/>
  <c r="AF94" i="2"/>
  <c r="AK110" i="2"/>
  <c r="S110" i="2"/>
  <c r="AC110" i="2" s="1"/>
  <c r="AF110" i="2"/>
  <c r="AK109" i="2"/>
  <c r="S109" i="2"/>
  <c r="AC109" i="2" s="1"/>
  <c r="AF109" i="2"/>
  <c r="AK100" i="2"/>
  <c r="AC100" i="2"/>
  <c r="AF100" i="2"/>
  <c r="AK98" i="2"/>
  <c r="AC98" i="2"/>
  <c r="AF98" i="2"/>
  <c r="AK99" i="2"/>
  <c r="AC99" i="2"/>
  <c r="AF99" i="2"/>
  <c r="AK103" i="2"/>
  <c r="AC103" i="2"/>
  <c r="AF103" i="2"/>
  <c r="AK107" i="2"/>
  <c r="AF107" i="2"/>
  <c r="S107" i="2"/>
  <c r="AC107" i="2" s="1"/>
  <c r="AK96" i="2"/>
  <c r="S96" i="2"/>
  <c r="AC96" i="2" s="1"/>
  <c r="AF96" i="2"/>
  <c r="AK105" i="2"/>
  <c r="S105" i="2"/>
  <c r="AC105" i="2" s="1"/>
  <c r="AF105" i="2"/>
  <c r="AG93" i="2"/>
  <c r="AK102" i="2"/>
  <c r="AC102" i="2"/>
  <c r="AF102" i="2"/>
  <c r="AA82" i="95"/>
  <c r="AD83" i="95"/>
  <c r="AE16" i="95"/>
  <c r="AE29" i="95"/>
  <c r="AJ51" i="95"/>
  <c r="AE102" i="95"/>
  <c r="AE11" i="95"/>
  <c r="AE36" i="95"/>
  <c r="AA40" i="95"/>
  <c r="AA49" i="95"/>
  <c r="AD50" i="95"/>
  <c r="AJ89" i="95"/>
  <c r="AE111" i="95"/>
  <c r="AD129" i="95"/>
  <c r="AE120" i="95"/>
  <c r="AD80" i="95"/>
  <c r="AA6" i="95"/>
  <c r="AA30" i="95"/>
  <c r="AA35" i="95"/>
  <c r="AE67" i="95"/>
  <c r="AE75" i="95"/>
  <c r="AJ101" i="95"/>
  <c r="AE9" i="95"/>
  <c r="AE17" i="95"/>
  <c r="AE25" i="95"/>
  <c r="AA28" i="95"/>
  <c r="AB28" i="95" s="1"/>
  <c r="AM28" i="95" s="1"/>
  <c r="AF30" i="95"/>
  <c r="AE31" i="95"/>
  <c r="AD58" i="95"/>
  <c r="AE77" i="95"/>
  <c r="AE81" i="95"/>
  <c r="AA95" i="95"/>
  <c r="AE49" i="95"/>
  <c r="AD74" i="95"/>
  <c r="AA92" i="95"/>
  <c r="AJ97" i="95"/>
  <c r="AI119" i="95"/>
  <c r="AE45" i="95"/>
  <c r="AD92" i="95"/>
  <c r="AJ107" i="95"/>
  <c r="AH132" i="95"/>
  <c r="AA15" i="95"/>
  <c r="AA38" i="95"/>
  <c r="AH43" i="95"/>
  <c r="AA52" i="95"/>
  <c r="AA65" i="95"/>
  <c r="AW33" i="95"/>
  <c r="AY33" i="95" s="1"/>
  <c r="BA33" i="95" s="1"/>
  <c r="AA17" i="95"/>
  <c r="AB17" i="95" s="1"/>
  <c r="AM17" i="95" s="1"/>
  <c r="AI52" i="95"/>
  <c r="AH46" i="95"/>
  <c r="AF73" i="95"/>
  <c r="AD44" i="95"/>
  <c r="AH60" i="95"/>
  <c r="AE89" i="95"/>
  <c r="AI91" i="95"/>
  <c r="AH123" i="95"/>
  <c r="AI138" i="95"/>
  <c r="AD82" i="95"/>
  <c r="AF107" i="95"/>
  <c r="AA81" i="95"/>
  <c r="AH103" i="95"/>
  <c r="AK23" i="95"/>
  <c r="AA113" i="95"/>
  <c r="AK138" i="95"/>
  <c r="S127" i="95"/>
  <c r="AC127" i="95" s="1"/>
  <c r="AK127" i="95"/>
  <c r="AF127" i="95"/>
  <c r="AE126" i="95"/>
  <c r="AD6" i="95"/>
  <c r="AE82" i="95"/>
  <c r="AJ42" i="95"/>
  <c r="AE118" i="95"/>
  <c r="AI22" i="95"/>
  <c r="AH26" i="95"/>
  <c r="AJ20" i="95"/>
  <c r="AD30" i="95"/>
  <c r="AH34" i="95"/>
  <c r="AD36" i="95"/>
  <c r="AJ63" i="95"/>
  <c r="AE65" i="95"/>
  <c r="AJ75" i="95"/>
  <c r="AE106" i="95"/>
  <c r="AD112" i="95"/>
  <c r="AJ114" i="95"/>
  <c r="AE116" i="95"/>
  <c r="AH118" i="95"/>
  <c r="AH135" i="95"/>
  <c r="AJ18" i="95"/>
  <c r="AJ26" i="95"/>
  <c r="AH32" i="95"/>
  <c r="AH36" i="95"/>
  <c r="AJ65" i="95"/>
  <c r="AD77" i="95"/>
  <c r="AH96" i="95"/>
  <c r="AH98" i="95"/>
  <c r="AH106" i="95"/>
  <c r="AI110" i="95"/>
  <c r="AH116" i="95"/>
  <c r="AA120" i="95"/>
  <c r="AF122" i="95"/>
  <c r="AE5" i="95"/>
  <c r="AK9" i="95"/>
  <c r="AH13" i="95"/>
  <c r="AH30" i="95"/>
  <c r="AA45" i="95"/>
  <c r="AD57" i="95"/>
  <c r="AJ61" i="95"/>
  <c r="AI98" i="95"/>
  <c r="AH102" i="95"/>
  <c r="AJ118" i="95"/>
  <c r="AH122" i="95"/>
  <c r="O38" i="95"/>
  <c r="AK38" i="95" s="1"/>
  <c r="AD52" i="95"/>
  <c r="AE54" i="95"/>
  <c r="AE40" i="95"/>
  <c r="AE112" i="95"/>
  <c r="AI114" i="95"/>
  <c r="AH59" i="95"/>
  <c r="AH120" i="95"/>
  <c r="AH17" i="95"/>
  <c r="AJ49" i="95"/>
  <c r="AJ59" i="95"/>
  <c r="AI5" i="95"/>
  <c r="AJ72" i="95"/>
  <c r="AH92" i="95"/>
  <c r="AJ87" i="95"/>
  <c r="AJ139" i="95"/>
  <c r="AE8" i="95"/>
  <c r="AE52" i="95"/>
  <c r="AI15" i="95"/>
  <c r="AE83" i="95"/>
  <c r="AI64" i="95"/>
  <c r="AH74" i="95"/>
  <c r="AE42" i="95"/>
  <c r="AE128" i="95"/>
  <c r="AE6" i="95"/>
  <c r="AI10" i="95"/>
  <c r="AJ5" i="95"/>
  <c r="AD7" i="95"/>
  <c r="AD9" i="95"/>
  <c r="AA76" i="95"/>
  <c r="AH7" i="95"/>
  <c r="AA37" i="95"/>
  <c r="AH115" i="95"/>
  <c r="AE134" i="95"/>
  <c r="AH12" i="95"/>
  <c r="AA19" i="95"/>
  <c r="AJ25" i="95"/>
  <c r="AA31" i="95"/>
  <c r="AE35" i="95"/>
  <c r="AD37" i="95"/>
  <c r="AI62" i="95"/>
  <c r="AH76" i="95"/>
  <c r="AE99" i="95"/>
  <c r="AE105" i="95"/>
  <c r="AH109" i="95"/>
  <c r="AH113" i="95"/>
  <c r="AA119" i="95"/>
  <c r="AD134" i="95"/>
  <c r="AE63" i="95"/>
  <c r="AJ100" i="95"/>
  <c r="AJ102" i="95"/>
  <c r="AH68" i="95"/>
  <c r="AJ122" i="95"/>
  <c r="AI45" i="95"/>
  <c r="AJ64" i="95"/>
  <c r="AE86" i="95"/>
  <c r="AI19" i="95"/>
  <c r="AD27" i="95"/>
  <c r="AJ39" i="95"/>
  <c r="O42" i="95"/>
  <c r="AK42" i="95" s="1"/>
  <c r="AE97" i="95"/>
  <c r="AJ105" i="95"/>
  <c r="AJ115" i="95"/>
  <c r="AE62" i="95"/>
  <c r="AA62" i="95"/>
  <c r="AA68" i="95"/>
  <c r="AE68" i="95"/>
  <c r="AD140" i="95"/>
  <c r="AJ140" i="95"/>
  <c r="AA14" i="95"/>
  <c r="AA18" i="95"/>
  <c r="AE18" i="95"/>
  <c r="AE50" i="95"/>
  <c r="AA60" i="95"/>
  <c r="AE60" i="95"/>
  <c r="AJ62" i="95"/>
  <c r="AA77" i="95"/>
  <c r="AD123" i="95"/>
  <c r="AJ123" i="95"/>
  <c r="AA140" i="95"/>
  <c r="AE140" i="95"/>
  <c r="AJ48" i="95"/>
  <c r="AD121" i="95"/>
  <c r="AA9" i="95"/>
  <c r="AD14" i="95"/>
  <c r="AI33" i="95"/>
  <c r="AH33" i="95"/>
  <c r="AH51" i="95"/>
  <c r="AD66" i="95"/>
  <c r="AA70" i="95"/>
  <c r="AI73" i="95"/>
  <c r="AK73" i="95"/>
  <c r="O84" i="95"/>
  <c r="S84" i="95" s="1"/>
  <c r="AJ86" i="95"/>
  <c r="AA123" i="95"/>
  <c r="AD125" i="95"/>
  <c r="AI133" i="95"/>
  <c r="AH133" i="95"/>
  <c r="AH140" i="95"/>
  <c r="AE14" i="95"/>
  <c r="AI40" i="95"/>
  <c r="AI47" i="95"/>
  <c r="AH47" i="95"/>
  <c r="AI53" i="95"/>
  <c r="AH53" i="95"/>
  <c r="AD55" i="95"/>
  <c r="AI83" i="95"/>
  <c r="AI14" i="95"/>
  <c r="AI27" i="95"/>
  <c r="AD31" i="95"/>
  <c r="AJ31" i="95"/>
  <c r="AE33" i="95"/>
  <c r="AA33" i="95"/>
  <c r="AH37" i="95"/>
  <c r="AI37" i="95"/>
  <c r="AJ40" i="95"/>
  <c r="AI79" i="95"/>
  <c r="AI82" i="95"/>
  <c r="AH82" i="95"/>
  <c r="AD84" i="95"/>
  <c r="AJ84" i="95"/>
  <c r="AH9" i="95"/>
  <c r="AH42" i="95"/>
  <c r="O47" i="95"/>
  <c r="S47" i="95" s="1"/>
  <c r="AC47" i="95" s="1"/>
  <c r="AJ53" i="95"/>
  <c r="AD53" i="95"/>
  <c r="AJ79" i="95"/>
  <c r="AE84" i="95"/>
  <c r="AA84" i="95"/>
  <c r="AA103" i="95"/>
  <c r="AI117" i="95"/>
  <c r="AH117" i="95"/>
  <c r="AD127" i="95"/>
  <c r="AJ127" i="95"/>
  <c r="AI9" i="95"/>
  <c r="AH29" i="95"/>
  <c r="AI29" i="95"/>
  <c r="AJ33" i="95"/>
  <c r="AD73" i="95"/>
  <c r="AD103" i="95"/>
  <c r="AJ117" i="95"/>
  <c r="AD117" i="95"/>
  <c r="AA127" i="95"/>
  <c r="AE127" i="95"/>
  <c r="AE131" i="95"/>
  <c r="AA131" i="95"/>
  <c r="AA133" i="95"/>
  <c r="AE133" i="95"/>
  <c r="AA36" i="95"/>
  <c r="AH35" i="95"/>
  <c r="AI41" i="95"/>
  <c r="AH41" i="95"/>
  <c r="AE117" i="95"/>
  <c r="AA117" i="95"/>
  <c r="AE13" i="95"/>
  <c r="AA13" i="95"/>
  <c r="AJ29" i="95"/>
  <c r="AD29" i="95"/>
  <c r="AW32" i="95"/>
  <c r="AY32" i="95" s="1"/>
  <c r="BA32" i="95" s="1"/>
  <c r="AE59" i="95"/>
  <c r="AA61" i="95"/>
  <c r="AJ76" i="95"/>
  <c r="AA87" i="95"/>
  <c r="AA91" i="95"/>
  <c r="AH6" i="95"/>
  <c r="AA67" i="95"/>
  <c r="AH73" i="95"/>
  <c r="AA102" i="95"/>
  <c r="AD56" i="95"/>
  <c r="AH65" i="95"/>
  <c r="AD69" i="95"/>
  <c r="AI104" i="95"/>
  <c r="AH104" i="95"/>
  <c r="AA5" i="95"/>
  <c r="AJ13" i="95"/>
  <c r="AD32" i="95"/>
  <c r="AJ32" i="95"/>
  <c r="AJ41" i="95"/>
  <c r="S99" i="95"/>
  <c r="AC99" i="95" s="1"/>
  <c r="AF99" i="95"/>
  <c r="AJ124" i="95"/>
  <c r="AA16" i="95"/>
  <c r="AB16" i="95" s="1"/>
  <c r="AM16" i="95" s="1"/>
  <c r="AE32" i="95"/>
  <c r="AA32" i="95"/>
  <c r="AI75" i="95"/>
  <c r="AJ104" i="95"/>
  <c r="AD104" i="95"/>
  <c r="AJ132" i="95"/>
  <c r="AD132" i="95"/>
  <c r="AE12" i="95"/>
  <c r="AA12" i="95"/>
  <c r="AA24" i="95"/>
  <c r="AE26" i="95"/>
  <c r="AA26" i="95"/>
  <c r="AE58" i="95"/>
  <c r="AA58" i="95"/>
  <c r="AA99" i="95"/>
  <c r="AI101" i="95"/>
  <c r="AH101" i="95"/>
  <c r="AI128" i="95"/>
  <c r="AH128" i="95"/>
  <c r="AE41" i="95"/>
  <c r="AD119" i="95"/>
  <c r="AJ119" i="95"/>
  <c r="AE132" i="95"/>
  <c r="AK20" i="95"/>
  <c r="AI66" i="95"/>
  <c r="AH66" i="95"/>
  <c r="AI77" i="95"/>
  <c r="AH77" i="95"/>
  <c r="AE34" i="95"/>
  <c r="AA42" i="95"/>
  <c r="AH67" i="95"/>
  <c r="AI67" i="95"/>
  <c r="AE76" i="95"/>
  <c r="AE47" i="95"/>
  <c r="AE69" i="95"/>
  <c r="AE71" i="95"/>
  <c r="AA106" i="95"/>
  <c r="AE121" i="95"/>
  <c r="AE135" i="95"/>
  <c r="O27" i="95"/>
  <c r="O34" i="95"/>
  <c r="AK34" i="95" s="1"/>
  <c r="AE46" i="95"/>
  <c r="AA96" i="95"/>
  <c r="AA118" i="95"/>
  <c r="BA18" i="95"/>
  <c r="AY18" i="95"/>
  <c r="S21" i="95"/>
  <c r="AC21" i="95" s="1"/>
  <c r="AF21" i="95"/>
  <c r="AK21" i="95"/>
  <c r="N55" i="95"/>
  <c r="O55" i="95" s="1"/>
  <c r="AK55" i="95" s="1"/>
  <c r="AA136" i="95"/>
  <c r="AE136" i="95"/>
  <c r="O91" i="95"/>
  <c r="N124" i="95"/>
  <c r="O124" i="95" s="1"/>
  <c r="AF22" i="95"/>
  <c r="S22" i="95"/>
  <c r="AC22" i="95" s="1"/>
  <c r="AE39" i="95"/>
  <c r="AA39" i="95"/>
  <c r="AJ68" i="95"/>
  <c r="AD68" i="95"/>
  <c r="AX17" i="95" a="1"/>
  <c r="AX17" i="95" s="1"/>
  <c r="AA72" i="95"/>
  <c r="AE72" i="95"/>
  <c r="N88" i="95"/>
  <c r="O88" i="95" s="1"/>
  <c r="N44" i="95"/>
  <c r="O44" i="95" s="1"/>
  <c r="AA105" i="95"/>
  <c r="S18" i="95"/>
  <c r="AC18" i="95" s="1"/>
  <c r="AK18" i="95"/>
  <c r="AF18" i="95"/>
  <c r="AI8" i="95"/>
  <c r="AH8" i="95"/>
  <c r="AA21" i="95"/>
  <c r="AE21" i="95"/>
  <c r="AF23" i="95"/>
  <c r="S23" i="95"/>
  <c r="AC23" i="95" s="1"/>
  <c r="N62" i="95"/>
  <c r="O62" i="95" s="1"/>
  <c r="AK62" i="95" s="1"/>
  <c r="AE64" i="95"/>
  <c r="N76" i="95"/>
  <c r="O76" i="95" s="1"/>
  <c r="N78" i="95"/>
  <c r="O78" i="95" s="1"/>
  <c r="N86" i="95"/>
  <c r="O86" i="95" s="1"/>
  <c r="AF109" i="95"/>
  <c r="S109" i="95"/>
  <c r="AC109" i="95" s="1"/>
  <c r="N61" i="95"/>
  <c r="O61" i="95" s="1"/>
  <c r="AA83" i="95"/>
  <c r="N41" i="95"/>
  <c r="O41" i="95" s="1"/>
  <c r="N60" i="95"/>
  <c r="O60" i="95" s="1"/>
  <c r="AJ108" i="95"/>
  <c r="AD108" i="95"/>
  <c r="N58" i="95"/>
  <c r="O58" i="95" s="1"/>
  <c r="AH88" i="95"/>
  <c r="AI88" i="95"/>
  <c r="AF57" i="95"/>
  <c r="S57" i="95"/>
  <c r="AC57" i="95" s="1"/>
  <c r="AK57" i="95"/>
  <c r="AK130" i="95"/>
  <c r="S130" i="95"/>
  <c r="AC130" i="95" s="1"/>
  <c r="AF130" i="95"/>
  <c r="AW31" i="95"/>
  <c r="AY31" i="95" s="1"/>
  <c r="BA31" i="95" s="1"/>
  <c r="N40" i="95"/>
  <c r="O40" i="95" s="1"/>
  <c r="S48" i="95"/>
  <c r="AF48" i="95"/>
  <c r="AA57" i="95"/>
  <c r="AE57" i="95"/>
  <c r="AF93" i="95"/>
  <c r="S93" i="95"/>
  <c r="AC93" i="95" s="1"/>
  <c r="AF97" i="95"/>
  <c r="S97" i="95"/>
  <c r="AC97" i="95" s="1"/>
  <c r="AD21" i="95"/>
  <c r="AJ21" i="95"/>
  <c r="N25" i="95"/>
  <c r="O25" i="95" s="1"/>
  <c r="AA29" i="95"/>
  <c r="AA48" i="95"/>
  <c r="AE48" i="95"/>
  <c r="AF37" i="95"/>
  <c r="S37" i="95"/>
  <c r="AC37" i="95" s="1"/>
  <c r="AD78" i="95"/>
  <c r="AJ78" i="95"/>
  <c r="S134" i="95"/>
  <c r="AC134" i="95" s="1"/>
  <c r="AF134" i="95"/>
  <c r="S7" i="95"/>
  <c r="AC7" i="95" s="1"/>
  <c r="AF7" i="95"/>
  <c r="AK7" i="95"/>
  <c r="AD47" i="95"/>
  <c r="AJ47" i="95"/>
  <c r="AA7" i="95"/>
  <c r="AE7" i="95"/>
  <c r="S9" i="95"/>
  <c r="AC9" i="95" s="1"/>
  <c r="AF9" i="95"/>
  <c r="AA22" i="95"/>
  <c r="AE22" i="95"/>
  <c r="AH108" i="95"/>
  <c r="AI108" i="95"/>
  <c r="AK108" i="95"/>
  <c r="AF49" i="95"/>
  <c r="S49" i="95"/>
  <c r="AC49" i="95" s="1"/>
  <c r="AK49" i="95"/>
  <c r="AF54" i="95"/>
  <c r="S54" i="95"/>
  <c r="AC54" i="95" s="1"/>
  <c r="AA10" i="95"/>
  <c r="AE10" i="95"/>
  <c r="AE27" i="95"/>
  <c r="AA27" i="95"/>
  <c r="AE30" i="95"/>
  <c r="AF28" i="95"/>
  <c r="N15" i="95"/>
  <c r="O15" i="95" s="1"/>
  <c r="S20" i="95"/>
  <c r="AC20" i="95" s="1"/>
  <c r="AF20" i="95"/>
  <c r="AJ10" i="95"/>
  <c r="AD10" i="95"/>
  <c r="AD22" i="95"/>
  <c r="AD98" i="95"/>
  <c r="AJ98" i="95"/>
  <c r="AF98" i="95"/>
  <c r="S108" i="95"/>
  <c r="AC108" i="95" s="1"/>
  <c r="AF108" i="95"/>
  <c r="N26" i="95"/>
  <c r="O26" i="95" s="1"/>
  <c r="N123" i="95"/>
  <c r="O123" i="95" s="1"/>
  <c r="AK137" i="95"/>
  <c r="AF137" i="95"/>
  <c r="S137" i="95"/>
  <c r="AC137" i="95" s="1"/>
  <c r="AD8" i="95"/>
  <c r="AJ8" i="95"/>
  <c r="AX15" i="95" a="1"/>
  <c r="AX15" i="95" s="1"/>
  <c r="AI11" i="95"/>
  <c r="AH11" i="95"/>
  <c r="N39" i="95"/>
  <c r="O39" i="95" s="1"/>
  <c r="AK39" i="95" s="1"/>
  <c r="AA69" i="95"/>
  <c r="N75" i="95"/>
  <c r="O75" i="95" s="1"/>
  <c r="AE78" i="95"/>
  <c r="AA78" i="95"/>
  <c r="AH94" i="95"/>
  <c r="AI94" i="95"/>
  <c r="AJ46" i="95"/>
  <c r="AD46" i="95"/>
  <c r="N74" i="95"/>
  <c r="O74" i="95" s="1"/>
  <c r="N6" i="95"/>
  <c r="O6" i="95" s="1"/>
  <c r="AA47" i="95"/>
  <c r="S52" i="95"/>
  <c r="AC52" i="95" s="1"/>
  <c r="AK52" i="95"/>
  <c r="AJ110" i="95"/>
  <c r="AD110" i="95"/>
  <c r="AW29" i="95"/>
  <c r="AY29" i="95" s="1"/>
  <c r="BA29" i="95" s="1"/>
  <c r="AA8" i="95"/>
  <c r="N56" i="95"/>
  <c r="O56" i="95" s="1"/>
  <c r="AD85" i="95"/>
  <c r="AJ85" i="95"/>
  <c r="AI134" i="95"/>
  <c r="AH134" i="95"/>
  <c r="AK134" i="95"/>
  <c r="AF17" i="95"/>
  <c r="AK30" i="95"/>
  <c r="AW30" i="95"/>
  <c r="AY30" i="95" s="1"/>
  <c r="BA30" i="95" s="1"/>
  <c r="O35" i="95"/>
  <c r="AF52" i="95"/>
  <c r="AA79" i="95"/>
  <c r="AE79" i="95"/>
  <c r="N90" i="95"/>
  <c r="O90" i="95" s="1"/>
  <c r="AH111" i="95"/>
  <c r="AI111" i="95"/>
  <c r="AJ116" i="95"/>
  <c r="AA130" i="95"/>
  <c r="AE130" i="95"/>
  <c r="AD23" i="95"/>
  <c r="AJ23" i="95"/>
  <c r="AJ24" i="95"/>
  <c r="N29" i="95"/>
  <c r="O29" i="95" s="1"/>
  <c r="S30" i="95"/>
  <c r="AC30" i="95" s="1"/>
  <c r="AA55" i="95"/>
  <c r="AE55" i="95"/>
  <c r="S107" i="95"/>
  <c r="AC107" i="95" s="1"/>
  <c r="AF138" i="95"/>
  <c r="S138" i="95"/>
  <c r="AC138" i="95" s="1"/>
  <c r="K2" i="95"/>
  <c r="C11" i="60" s="1"/>
  <c r="E11" i="60" s="1"/>
  <c r="AA23" i="95"/>
  <c r="AE23" i="95"/>
  <c r="N100" i="95"/>
  <c r="O100" i="95" s="1"/>
  <c r="AK100" i="95" s="1"/>
  <c r="N111" i="95"/>
  <c r="O111" i="95" s="1"/>
  <c r="AJ126" i="95"/>
  <c r="AJ136" i="95"/>
  <c r="AD136" i="95"/>
  <c r="AD138" i="95"/>
  <c r="AJ138" i="95"/>
  <c r="N139" i="95"/>
  <c r="O139" i="95" s="1"/>
  <c r="N121" i="95"/>
  <c r="O121" i="95" s="1"/>
  <c r="AI125" i="95"/>
  <c r="AH125" i="95"/>
  <c r="AJ135" i="95"/>
  <c r="AD135" i="95"/>
  <c r="N32" i="95"/>
  <c r="O32" i="95" s="1"/>
  <c r="S63" i="95"/>
  <c r="AC63" i="95" s="1"/>
  <c r="AF110" i="95"/>
  <c r="AK110" i="95"/>
  <c r="S110" i="95"/>
  <c r="AC110" i="95" s="1"/>
  <c r="AH20" i="95"/>
  <c r="AI20" i="95"/>
  <c r="AI24" i="95"/>
  <c r="AH24" i="95"/>
  <c r="AK53" i="95"/>
  <c r="S53" i="95"/>
  <c r="AC53" i="95" s="1"/>
  <c r="AF53" i="95"/>
  <c r="AI85" i="95"/>
  <c r="AH85" i="95"/>
  <c r="AW11" i="95"/>
  <c r="AX11" i="95" s="1" a="1"/>
  <c r="AX11" i="95" s="1"/>
  <c r="AE88" i="95"/>
  <c r="AA88" i="95"/>
  <c r="N125" i="95"/>
  <c r="O125" i="95" s="1"/>
  <c r="AH87" i="95"/>
  <c r="AI87" i="95"/>
  <c r="AJ88" i="95"/>
  <c r="O94" i="95"/>
  <c r="AK94" i="95" s="1"/>
  <c r="N33" i="95"/>
  <c r="O33" i="95" s="1"/>
  <c r="AA46" i="95"/>
  <c r="N64" i="95"/>
  <c r="O64" i="95" s="1"/>
  <c r="AA71" i="95"/>
  <c r="N114" i="95"/>
  <c r="O114" i="95" s="1"/>
  <c r="AK114" i="95" s="1"/>
  <c r="AE122" i="95"/>
  <c r="AA122" i="95"/>
  <c r="AB122" i="95" s="1"/>
  <c r="AM122" i="95" s="1"/>
  <c r="N19" i="95"/>
  <c r="O19" i="95" s="1"/>
  <c r="N43" i="95"/>
  <c r="O43" i="95" s="1"/>
  <c r="AA53" i="95"/>
  <c r="S104" i="95"/>
  <c r="AC104" i="95" s="1"/>
  <c r="AF104" i="95"/>
  <c r="AD137" i="95"/>
  <c r="AJ137" i="95"/>
  <c r="AE28" i="95"/>
  <c r="AI70" i="95"/>
  <c r="AH70" i="95"/>
  <c r="AF16" i="95"/>
  <c r="AD16" i="95"/>
  <c r="AJ16" i="95"/>
  <c r="AH44" i="95"/>
  <c r="AH49" i="95"/>
  <c r="AI49" i="95"/>
  <c r="AA104" i="95"/>
  <c r="AE104" i="95"/>
  <c r="AE37" i="95"/>
  <c r="AI48" i="95"/>
  <c r="AK48" i="95"/>
  <c r="AJ67" i="95"/>
  <c r="N68" i="95"/>
  <c r="O68" i="95" s="1"/>
  <c r="AJ70" i="95"/>
  <c r="AD70" i="95"/>
  <c r="AD81" i="95"/>
  <c r="O101" i="95"/>
  <c r="AJ109" i="95"/>
  <c r="AD109" i="95"/>
  <c r="O113" i="95"/>
  <c r="AA98" i="95"/>
  <c r="AB98" i="95" s="1"/>
  <c r="AM98" i="95" s="1"/>
  <c r="AE98" i="95"/>
  <c r="AJ113" i="95"/>
  <c r="AD113" i="95"/>
  <c r="AD28" i="95"/>
  <c r="AJ28" i="95"/>
  <c r="AD71" i="95"/>
  <c r="AJ71" i="95"/>
  <c r="N115" i="95"/>
  <c r="O115" i="95" s="1"/>
  <c r="AJ45" i="95"/>
  <c r="AD45" i="95"/>
  <c r="N59" i="95"/>
  <c r="O59" i="95" s="1"/>
  <c r="AD131" i="95"/>
  <c r="AJ131" i="95"/>
  <c r="AD11" i="95"/>
  <c r="AJ11" i="95"/>
  <c r="AD15" i="95"/>
  <c r="AJ15" i="95"/>
  <c r="N24" i="95"/>
  <c r="O24" i="95" s="1"/>
  <c r="N95" i="95"/>
  <c r="O95" i="95" s="1"/>
  <c r="AH112" i="95"/>
  <c r="AI112" i="95"/>
  <c r="AK112" i="95"/>
  <c r="AE113" i="95"/>
  <c r="AA135" i="95"/>
  <c r="AJ34" i="95"/>
  <c r="AD34" i="95"/>
  <c r="N87" i="95"/>
  <c r="O87" i="95" s="1"/>
  <c r="AK87" i="95" s="1"/>
  <c r="AJ94" i="95"/>
  <c r="AD94" i="95"/>
  <c r="AF112" i="95"/>
  <c r="N117" i="95"/>
  <c r="O117" i="95" s="1"/>
  <c r="N129" i="95"/>
  <c r="O129" i="95" s="1"/>
  <c r="N5" i="95"/>
  <c r="O5" i="95" s="1"/>
  <c r="AD12" i="95"/>
  <c r="AJ12" i="95"/>
  <c r="AJ90" i="95"/>
  <c r="AD90" i="95"/>
  <c r="AA125" i="95"/>
  <c r="AE125" i="95"/>
  <c r="N140" i="95"/>
  <c r="O140" i="95" s="1"/>
  <c r="AW9" i="95"/>
  <c r="AA11" i="95"/>
  <c r="AE15" i="95"/>
  <c r="AD38" i="95"/>
  <c r="AA41" i="95"/>
  <c r="AI50" i="95"/>
  <c r="AH50" i="95"/>
  <c r="AI55" i="95"/>
  <c r="AH55" i="95"/>
  <c r="AE119" i="95"/>
  <c r="AI23" i="95"/>
  <c r="AH23" i="95"/>
  <c r="AA34" i="95"/>
  <c r="AE38" i="95"/>
  <c r="N50" i="95"/>
  <c r="O50" i="95" s="1"/>
  <c r="AA56" i="95"/>
  <c r="AF63" i="95"/>
  <c r="N83" i="95"/>
  <c r="O83" i="95" s="1"/>
  <c r="AK83" i="95" s="1"/>
  <c r="O89" i="95"/>
  <c r="AI93" i="95"/>
  <c r="AH93" i="95"/>
  <c r="AK93" i="95"/>
  <c r="N96" i="95"/>
  <c r="O96" i="95" s="1"/>
  <c r="AD106" i="95"/>
  <c r="AJ106" i="95"/>
  <c r="O10" i="95"/>
  <c r="AJ19" i="95"/>
  <c r="AD19" i="95"/>
  <c r="AW10" i="95"/>
  <c r="AX10" i="95" s="1" a="1"/>
  <c r="AX10" i="95" s="1"/>
  <c r="AW13" i="95"/>
  <c r="AX13" i="95" s="1" a="1"/>
  <c r="AX13" i="95" s="1"/>
  <c r="AX16" i="95" a="1"/>
  <c r="AX16" i="95" s="1"/>
  <c r="AE24" i="95"/>
  <c r="AA50" i="95"/>
  <c r="AI61" i="95"/>
  <c r="AH61" i="95"/>
  <c r="AE70" i="95"/>
  <c r="AA112" i="95"/>
  <c r="AB112" i="95" s="1"/>
  <c r="AM112" i="95" s="1"/>
  <c r="N128" i="95"/>
  <c r="O128" i="95" s="1"/>
  <c r="AJ130" i="95"/>
  <c r="AD130" i="95"/>
  <c r="O133" i="95"/>
  <c r="AD54" i="95"/>
  <c r="AJ54" i="95"/>
  <c r="N81" i="95"/>
  <c r="O81" i="95" s="1"/>
  <c r="N85" i="95"/>
  <c r="O85" i="95" s="1"/>
  <c r="AI90" i="95"/>
  <c r="AJ96" i="95"/>
  <c r="AD96" i="95"/>
  <c r="AE100" i="95"/>
  <c r="AA100" i="95"/>
  <c r="N105" i="95"/>
  <c r="O105" i="95" s="1"/>
  <c r="N118" i="95"/>
  <c r="O118" i="95" s="1"/>
  <c r="AK17" i="95"/>
  <c r="AI38" i="95"/>
  <c r="AH38" i="95"/>
  <c r="AJ95" i="95"/>
  <c r="AD95" i="95"/>
  <c r="N136" i="95"/>
  <c r="O136" i="95" s="1"/>
  <c r="AI28" i="95"/>
  <c r="AK28" i="95"/>
  <c r="AH28" i="95"/>
  <c r="O46" i="95"/>
  <c r="AI57" i="95"/>
  <c r="AH57" i="95"/>
  <c r="AW12" i="95"/>
  <c r="AX12" i="95" s="1" a="1"/>
  <c r="AX12" i="95" s="1"/>
  <c r="O79" i="95"/>
  <c r="AH86" i="95"/>
  <c r="AI86" i="95"/>
  <c r="N92" i="95"/>
  <c r="O92" i="95" s="1"/>
  <c r="AJ99" i="95"/>
  <c r="AD99" i="95"/>
  <c r="AA111" i="95"/>
  <c r="AA132" i="95"/>
  <c r="N31" i="95"/>
  <c r="O31" i="95" s="1"/>
  <c r="AH100" i="95"/>
  <c r="AI124" i="95"/>
  <c r="AA129" i="95"/>
  <c r="AE129" i="95"/>
  <c r="AA137" i="95"/>
  <c r="AE137" i="95"/>
  <c r="AX14" i="95" a="1"/>
  <c r="AX14" i="95" s="1"/>
  <c r="O36" i="95"/>
  <c r="AI39" i="95"/>
  <c r="AH39" i="95"/>
  <c r="AJ43" i="95"/>
  <c r="AD43" i="95"/>
  <c r="AI107" i="95"/>
  <c r="AH107" i="95"/>
  <c r="AJ111" i="95"/>
  <c r="AD111" i="95"/>
  <c r="AD133" i="95"/>
  <c r="AJ133" i="95"/>
  <c r="AA134" i="95"/>
  <c r="AI136" i="95"/>
  <c r="AH136" i="95"/>
  <c r="AE74" i="95"/>
  <c r="AA74" i="95"/>
  <c r="AA80" i="95"/>
  <c r="AE80" i="95"/>
  <c r="AD93" i="95"/>
  <c r="O131" i="95"/>
  <c r="N132" i="95"/>
  <c r="O132" i="95" s="1"/>
  <c r="AI137" i="95"/>
  <c r="AH137" i="95"/>
  <c r="AK22" i="95"/>
  <c r="AE51" i="95"/>
  <c r="AA51" i="95"/>
  <c r="AI54" i="95"/>
  <c r="AH54" i="95"/>
  <c r="AK54" i="95"/>
  <c r="AA66" i="95"/>
  <c r="AE66" i="95"/>
  <c r="AA85" i="95"/>
  <c r="AE101" i="95"/>
  <c r="AA101" i="95"/>
  <c r="AE103" i="95"/>
  <c r="AE114" i="95"/>
  <c r="AA114" i="95"/>
  <c r="AA121" i="95"/>
  <c r="AD35" i="95"/>
  <c r="AJ35" i="95"/>
  <c r="AK122" i="95"/>
  <c r="AI127" i="95"/>
  <c r="AH127" i="95"/>
  <c r="AI139" i="95"/>
  <c r="AH139" i="95"/>
  <c r="AI31" i="95"/>
  <c r="AH31" i="95"/>
  <c r="AH97" i="95"/>
  <c r="AD128" i="95"/>
  <c r="AJ128" i="95"/>
  <c r="N8" i="95"/>
  <c r="O8" i="95" s="1"/>
  <c r="N102" i="95"/>
  <c r="O102" i="95" s="1"/>
  <c r="AK102" i="95" s="1"/>
  <c r="N116" i="95"/>
  <c r="O116" i="95" s="1"/>
  <c r="AJ17" i="95"/>
  <c r="AD17" i="95"/>
  <c r="AK37" i="95"/>
  <c r="AH105" i="95"/>
  <c r="N106" i="95"/>
  <c r="O106" i="95" s="1"/>
  <c r="N119" i="95"/>
  <c r="O119" i="95" s="1"/>
  <c r="N120" i="95"/>
  <c r="O120" i="95" s="1"/>
  <c r="AI21" i="95"/>
  <c r="AH21" i="95"/>
  <c r="N51" i="95"/>
  <c r="O51" i="95" s="1"/>
  <c r="AA59" i="95"/>
  <c r="AJ60" i="95"/>
  <c r="AD60" i="95"/>
  <c r="AI81" i="95"/>
  <c r="AH81" i="95"/>
  <c r="AH84" i="95"/>
  <c r="AA93" i="95"/>
  <c r="AD120" i="95"/>
  <c r="AJ120" i="95"/>
  <c r="AE124" i="95"/>
  <c r="AA124" i="95"/>
  <c r="AE20" i="95"/>
  <c r="AA25" i="95"/>
  <c r="N45" i="95"/>
  <c r="O45" i="95" s="1"/>
  <c r="AH71" i="95"/>
  <c r="AH72" i="95"/>
  <c r="O77" i="95"/>
  <c r="AK77" i="95" s="1"/>
  <c r="AH78" i="95"/>
  <c r="N80" i="95"/>
  <c r="O80" i="95" s="1"/>
  <c r="N82" i="95"/>
  <c r="O82" i="95" s="1"/>
  <c r="AK97" i="95"/>
  <c r="AK99" i="95"/>
  <c r="O103" i="95"/>
  <c r="AK104" i="95"/>
  <c r="AA75" i="95"/>
  <c r="AE115" i="95"/>
  <c r="AA115" i="95"/>
  <c r="AK63" i="95"/>
  <c r="AH63" i="95"/>
  <c r="AA73" i="95"/>
  <c r="AB73" i="95" s="1"/>
  <c r="AM73" i="95" s="1"/>
  <c r="AJ91" i="95"/>
  <c r="AD91" i="95"/>
  <c r="N126" i="95"/>
  <c r="O126" i="95" s="1"/>
  <c r="AK98" i="95"/>
  <c r="AK109" i="95"/>
  <c r="AI121" i="95"/>
  <c r="N135" i="95"/>
  <c r="O135" i="95" s="1"/>
  <c r="AN87" i="2"/>
  <c r="M87" i="2" s="1"/>
  <c r="AN88" i="2"/>
  <c r="M88" i="2" s="1"/>
  <c r="AN89" i="2"/>
  <c r="M89" i="2" s="1"/>
  <c r="AN90" i="2"/>
  <c r="M90" i="2" s="1"/>
  <c r="AN91" i="2"/>
  <c r="M91" i="2" s="1"/>
  <c r="AN92" i="2"/>
  <c r="M92" i="2" s="1"/>
  <c r="AN75" i="2"/>
  <c r="M75" i="2" s="1"/>
  <c r="AN76" i="2"/>
  <c r="M76" i="2" s="1"/>
  <c r="N76" i="2" s="1"/>
  <c r="O76" i="2" s="1"/>
  <c r="AN77" i="2"/>
  <c r="M77" i="2" s="1"/>
  <c r="AN78" i="2"/>
  <c r="M78" i="2" s="1"/>
  <c r="AN79" i="2"/>
  <c r="M79" i="2" s="1"/>
  <c r="AN80" i="2"/>
  <c r="M80" i="2" s="1"/>
  <c r="AN81" i="2"/>
  <c r="M81" i="2" s="1"/>
  <c r="AN82" i="2"/>
  <c r="M82" i="2" s="1"/>
  <c r="AN83" i="2"/>
  <c r="AN84" i="2"/>
  <c r="M84" i="2" s="1"/>
  <c r="N84" i="2" s="1"/>
  <c r="O84" i="2" s="1"/>
  <c r="AN85" i="2"/>
  <c r="M85" i="2" s="1"/>
  <c r="AN86" i="2"/>
  <c r="M86" i="2" s="1"/>
  <c r="N86" i="2" s="1"/>
  <c r="O86" i="2" s="1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AG95" i="2" l="1"/>
  <c r="AB94" i="2"/>
  <c r="AM94" i="2" s="1"/>
  <c r="AG107" i="2"/>
  <c r="AG122" i="95"/>
  <c r="AG112" i="95"/>
  <c r="AB110" i="2"/>
  <c r="AG110" i="2"/>
  <c r="AG100" i="2"/>
  <c r="AB105" i="2"/>
  <c r="AM105" i="2" s="1"/>
  <c r="AB98" i="2"/>
  <c r="AM98" i="2" s="1"/>
  <c r="AG106" i="2"/>
  <c r="AB96" i="2"/>
  <c r="AM96" i="2" s="1"/>
  <c r="AG102" i="2"/>
  <c r="AB100" i="2"/>
  <c r="AM100" i="2" s="1"/>
  <c r="AI82" i="2"/>
  <c r="AH82" i="2"/>
  <c r="AG103" i="2"/>
  <c r="AI78" i="2"/>
  <c r="AH78" i="2"/>
  <c r="AG104" i="2"/>
  <c r="AI92" i="2"/>
  <c r="AH92" i="2"/>
  <c r="AI76" i="2"/>
  <c r="AH76" i="2"/>
  <c r="AI90" i="2"/>
  <c r="AH90" i="2"/>
  <c r="AG96" i="2"/>
  <c r="AG98" i="2"/>
  <c r="AI89" i="2"/>
  <c r="AH89" i="2"/>
  <c r="AH87" i="2"/>
  <c r="AI87" i="2"/>
  <c r="AB107" i="2"/>
  <c r="AM107" i="2" s="1"/>
  <c r="AB108" i="2"/>
  <c r="AM108" i="2" s="1"/>
  <c r="AB106" i="2"/>
  <c r="AM106" i="2" s="1"/>
  <c r="AG109" i="2"/>
  <c r="AF76" i="2"/>
  <c r="S76" i="2"/>
  <c r="AC76" i="2" s="1"/>
  <c r="AG99" i="2"/>
  <c r="AG105" i="2"/>
  <c r="AB99" i="2"/>
  <c r="AM99" i="2" s="1"/>
  <c r="AI75" i="2"/>
  <c r="AH75" i="2"/>
  <c r="AB95" i="2"/>
  <c r="AM95" i="2" s="1"/>
  <c r="AG108" i="2"/>
  <c r="AI83" i="2"/>
  <c r="AH83" i="2"/>
  <c r="AI81" i="2"/>
  <c r="AH81" i="2"/>
  <c r="AI79" i="2"/>
  <c r="AH79" i="2"/>
  <c r="AI91" i="2"/>
  <c r="AH91" i="2"/>
  <c r="AK86" i="2"/>
  <c r="S86" i="2"/>
  <c r="AC86" i="2" s="1"/>
  <c r="AF86" i="2"/>
  <c r="AH88" i="2"/>
  <c r="AI88" i="2"/>
  <c r="AI86" i="2"/>
  <c r="AH86" i="2"/>
  <c r="AB102" i="2"/>
  <c r="AM102" i="2" s="1"/>
  <c r="AG101" i="2"/>
  <c r="AI80" i="2"/>
  <c r="AH80" i="2"/>
  <c r="AH74" i="2"/>
  <c r="AI74" i="2"/>
  <c r="AH77" i="2"/>
  <c r="AI77" i="2"/>
  <c r="AG94" i="2"/>
  <c r="AK84" i="2"/>
  <c r="S84" i="2"/>
  <c r="AC84" i="2" s="1"/>
  <c r="AF84" i="2"/>
  <c r="AI85" i="2"/>
  <c r="AH85" i="2"/>
  <c r="AI84" i="2"/>
  <c r="AH84" i="2"/>
  <c r="AB103" i="2"/>
  <c r="AM103" i="2" s="1"/>
  <c r="AB109" i="2"/>
  <c r="AM109" i="2" s="1"/>
  <c r="AG73" i="95"/>
  <c r="AB99" i="95"/>
  <c r="AM99" i="95" s="1"/>
  <c r="AK76" i="2"/>
  <c r="AB127" i="95"/>
  <c r="AM127" i="95" s="1"/>
  <c r="M83" i="2"/>
  <c r="AG107" i="95"/>
  <c r="AB54" i="95"/>
  <c r="AM54" i="95" s="1"/>
  <c r="AG49" i="95"/>
  <c r="AB97" i="95"/>
  <c r="AM97" i="95" s="1"/>
  <c r="N82" i="2"/>
  <c r="O82" i="2" s="1"/>
  <c r="AG16" i="95"/>
  <c r="AB63" i="95"/>
  <c r="AM63" i="95" s="1"/>
  <c r="AB7" i="95"/>
  <c r="AM7" i="95" s="1"/>
  <c r="AB47" i="95"/>
  <c r="AM47" i="95" s="1"/>
  <c r="AB53" i="95"/>
  <c r="AM53" i="95" s="1"/>
  <c r="AG17" i="95"/>
  <c r="AB23" i="95"/>
  <c r="AM23" i="95" s="1"/>
  <c r="AB104" i="95"/>
  <c r="AM104" i="95" s="1"/>
  <c r="S42" i="95"/>
  <c r="AC42" i="95" s="1"/>
  <c r="AF42" i="95"/>
  <c r="AG20" i="95"/>
  <c r="AK84" i="95"/>
  <c r="S38" i="95"/>
  <c r="AC38" i="95" s="1"/>
  <c r="AK47" i="95"/>
  <c r="AF47" i="95"/>
  <c r="AG47" i="95" s="1"/>
  <c r="AF38" i="95"/>
  <c r="AB108" i="95"/>
  <c r="AM108" i="95" s="1"/>
  <c r="AB130" i="95"/>
  <c r="AM130" i="95" s="1"/>
  <c r="BB10" i="95"/>
  <c r="AG99" i="95"/>
  <c r="AG98" i="95"/>
  <c r="AG110" i="95"/>
  <c r="AB21" i="95"/>
  <c r="AM21" i="95" s="1"/>
  <c r="AF84" i="95"/>
  <c r="BB13" i="95"/>
  <c r="AG52" i="95"/>
  <c r="AF34" i="95"/>
  <c r="AB52" i="95"/>
  <c r="AM52" i="95" s="1"/>
  <c r="BB12" i="95"/>
  <c r="AG28" i="95"/>
  <c r="AB9" i="95"/>
  <c r="AM9" i="95" s="1"/>
  <c r="AG7" i="95"/>
  <c r="S27" i="95"/>
  <c r="AC27" i="95" s="1"/>
  <c r="AF27" i="95"/>
  <c r="S34" i="95"/>
  <c r="AC34" i="95" s="1"/>
  <c r="BB11" i="95"/>
  <c r="AG53" i="95"/>
  <c r="AB137" i="95"/>
  <c r="AM137" i="95" s="1"/>
  <c r="AB93" i="95"/>
  <c r="AM93" i="95" s="1"/>
  <c r="AB57" i="95"/>
  <c r="AM57" i="95" s="1"/>
  <c r="AI3" i="95"/>
  <c r="E1" i="95" s="1"/>
  <c r="AB138" i="95"/>
  <c r="AM138" i="95" s="1"/>
  <c r="AB37" i="95"/>
  <c r="AM37" i="95" s="1"/>
  <c r="AZ13" i="95" a="1"/>
  <c r="AZ13" i="95" s="1"/>
  <c r="AY13" i="95" s="1"/>
  <c r="AB107" i="95"/>
  <c r="AM107" i="95" s="1"/>
  <c r="AK27" i="95"/>
  <c r="AB84" i="95"/>
  <c r="AM84" i="95" s="1"/>
  <c r="AC84" i="95"/>
  <c r="AG127" i="95"/>
  <c r="AB81" i="95"/>
  <c r="AM81" i="95" s="1"/>
  <c r="AF81" i="95"/>
  <c r="AG81" i="95" s="1"/>
  <c r="AK81" i="95"/>
  <c r="AF8" i="95"/>
  <c r="S8" i="95"/>
  <c r="AC8" i="95" s="1"/>
  <c r="AK8" i="95"/>
  <c r="S40" i="95"/>
  <c r="AC40" i="95" s="1"/>
  <c r="AF40" i="95"/>
  <c r="AK40" i="95"/>
  <c r="AF88" i="95"/>
  <c r="S88" i="95"/>
  <c r="AC88" i="95" s="1"/>
  <c r="AK88" i="95"/>
  <c r="AF25" i="95"/>
  <c r="AK25" i="95"/>
  <c r="S25" i="95"/>
  <c r="AC25" i="95" s="1"/>
  <c r="S58" i="95"/>
  <c r="AC58" i="95" s="1"/>
  <c r="AF58" i="95"/>
  <c r="AK58" i="95"/>
  <c r="S92" i="95"/>
  <c r="AC92" i="95" s="1"/>
  <c r="AK92" i="95"/>
  <c r="AF92" i="95"/>
  <c r="AF136" i="95"/>
  <c r="S136" i="95"/>
  <c r="AC136" i="95" s="1"/>
  <c r="AK136" i="95"/>
  <c r="S128" i="95"/>
  <c r="AC128" i="95" s="1"/>
  <c r="AF128" i="95"/>
  <c r="AK128" i="95"/>
  <c r="S86" i="95"/>
  <c r="AC86" i="95" s="1"/>
  <c r="AF86" i="95"/>
  <c r="AK86" i="95"/>
  <c r="S119" i="95"/>
  <c r="AC119" i="95" s="1"/>
  <c r="AF119" i="95"/>
  <c r="AK119" i="95"/>
  <c r="AF118" i="95"/>
  <c r="S118" i="95"/>
  <c r="AC118" i="95" s="1"/>
  <c r="AK118" i="95"/>
  <c r="S68" i="95"/>
  <c r="AC68" i="95" s="1"/>
  <c r="AF68" i="95"/>
  <c r="AK68" i="95"/>
  <c r="AF125" i="95"/>
  <c r="S125" i="95"/>
  <c r="AC125" i="95" s="1"/>
  <c r="AK125" i="95"/>
  <c r="AF78" i="95"/>
  <c r="AG78" i="95" s="1"/>
  <c r="AB78" i="95"/>
  <c r="AM78" i="95" s="1"/>
  <c r="AK78" i="95"/>
  <c r="S90" i="95"/>
  <c r="AC90" i="95" s="1"/>
  <c r="AF90" i="95"/>
  <c r="AK90" i="95"/>
  <c r="AB80" i="95"/>
  <c r="AM80" i="95" s="1"/>
  <c r="AK80" i="95"/>
  <c r="AF80" i="95"/>
  <c r="AG80" i="95" s="1"/>
  <c r="AF19" i="95"/>
  <c r="AK19" i="95"/>
  <c r="S19" i="95"/>
  <c r="AC19" i="95" s="1"/>
  <c r="S95" i="95"/>
  <c r="AC95" i="95" s="1"/>
  <c r="AK95" i="95"/>
  <c r="AF95" i="95"/>
  <c r="S106" i="95"/>
  <c r="AC106" i="95" s="1"/>
  <c r="AF106" i="95"/>
  <c r="AK106" i="95"/>
  <c r="S111" i="95"/>
  <c r="AC111" i="95" s="1"/>
  <c r="AF111" i="95"/>
  <c r="AK111" i="95"/>
  <c r="S135" i="95"/>
  <c r="AC135" i="95" s="1"/>
  <c r="AF135" i="95"/>
  <c r="AK135" i="95"/>
  <c r="S45" i="95"/>
  <c r="AC45" i="95" s="1"/>
  <c r="AF45" i="95"/>
  <c r="AK45" i="95"/>
  <c r="S29" i="95"/>
  <c r="AC29" i="95" s="1"/>
  <c r="AF29" i="95"/>
  <c r="AK29" i="95"/>
  <c r="AF60" i="95"/>
  <c r="S60" i="95"/>
  <c r="AC60" i="95" s="1"/>
  <c r="AK60" i="95"/>
  <c r="S31" i="95"/>
  <c r="AC31" i="95" s="1"/>
  <c r="AF31" i="95"/>
  <c r="AK31" i="95"/>
  <c r="AB116" i="95"/>
  <c r="AM116" i="95" s="1"/>
  <c r="AF116" i="95"/>
  <c r="AG116" i="95" s="1"/>
  <c r="AK116" i="95"/>
  <c r="AF123" i="95"/>
  <c r="S123" i="95"/>
  <c r="AC123" i="95" s="1"/>
  <c r="AK123" i="95"/>
  <c r="S61" i="95"/>
  <c r="AC61" i="95" s="1"/>
  <c r="AF61" i="95"/>
  <c r="AK61" i="95"/>
  <c r="S43" i="95"/>
  <c r="AC43" i="95" s="1"/>
  <c r="AF43" i="95"/>
  <c r="AK43" i="95"/>
  <c r="AK15" i="95"/>
  <c r="AF15" i="95"/>
  <c r="S15" i="95"/>
  <c r="AC15" i="95" s="1"/>
  <c r="S129" i="95"/>
  <c r="AC129" i="95" s="1"/>
  <c r="AF129" i="95"/>
  <c r="AK129" i="95"/>
  <c r="AF117" i="95"/>
  <c r="S117" i="95"/>
  <c r="AC117" i="95" s="1"/>
  <c r="AK117" i="95"/>
  <c r="S121" i="95"/>
  <c r="AC121" i="95" s="1"/>
  <c r="AF121" i="95"/>
  <c r="AK121" i="95"/>
  <c r="AF105" i="95"/>
  <c r="S105" i="95"/>
  <c r="AC105" i="95" s="1"/>
  <c r="AK105" i="95"/>
  <c r="S115" i="95"/>
  <c r="AC115" i="95" s="1"/>
  <c r="AK115" i="95"/>
  <c r="AF115" i="95"/>
  <c r="AB76" i="95"/>
  <c r="AM76" i="95" s="1"/>
  <c r="AK76" i="95"/>
  <c r="AF76" i="95"/>
  <c r="AG76" i="95" s="1"/>
  <c r="AF24" i="95"/>
  <c r="S24" i="95"/>
  <c r="AC24" i="95" s="1"/>
  <c r="AK24" i="95"/>
  <c r="AF85" i="95"/>
  <c r="S85" i="95"/>
  <c r="AC85" i="95" s="1"/>
  <c r="AK85" i="95"/>
  <c r="S56" i="95"/>
  <c r="AC56" i="95" s="1"/>
  <c r="AF56" i="95"/>
  <c r="AK56" i="95"/>
  <c r="S113" i="95"/>
  <c r="AC113" i="95" s="1"/>
  <c r="AF113" i="95"/>
  <c r="BA10" i="95"/>
  <c r="AF74" i="95"/>
  <c r="AG74" i="95" s="1"/>
  <c r="AB74" i="95"/>
  <c r="AM74" i="95" s="1"/>
  <c r="AK74" i="95"/>
  <c r="AB109" i="95"/>
  <c r="AM109" i="95" s="1"/>
  <c r="AF124" i="95"/>
  <c r="S124" i="95"/>
  <c r="AC124" i="95" s="1"/>
  <c r="AJ3" i="95"/>
  <c r="L2" i="95"/>
  <c r="AG134" i="95"/>
  <c r="BA12" i="95"/>
  <c r="AF10" i="95"/>
  <c r="S10" i="95"/>
  <c r="AC10" i="95" s="1"/>
  <c r="AK10" i="95"/>
  <c r="AG30" i="95"/>
  <c r="BA27" i="95"/>
  <c r="AG137" i="95"/>
  <c r="AG54" i="95"/>
  <c r="AG9" i="95"/>
  <c r="AB77" i="95"/>
  <c r="AM77" i="95" s="1"/>
  <c r="AF77" i="95"/>
  <c r="AG77" i="95" s="1"/>
  <c r="AZ12" i="95" a="1"/>
  <c r="AZ12" i="95" s="1"/>
  <c r="AY12" i="95" s="1"/>
  <c r="AG138" i="95"/>
  <c r="AB30" i="95"/>
  <c r="AM30" i="95" s="1"/>
  <c r="AG21" i="95"/>
  <c r="S120" i="95"/>
  <c r="AC120" i="95" s="1"/>
  <c r="AF120" i="95"/>
  <c r="AK120" i="95"/>
  <c r="S131" i="95"/>
  <c r="AC131" i="95" s="1"/>
  <c r="AF131" i="95"/>
  <c r="BA13" i="95"/>
  <c r="AF89" i="95"/>
  <c r="S89" i="95"/>
  <c r="AC89" i="95" s="1"/>
  <c r="AF114" i="95"/>
  <c r="S114" i="95"/>
  <c r="AC114" i="95" s="1"/>
  <c r="S126" i="95"/>
  <c r="AC126" i="95" s="1"/>
  <c r="AF126" i="95"/>
  <c r="AK126" i="95"/>
  <c r="AY15" i="95"/>
  <c r="BA15" i="95"/>
  <c r="AB79" i="95"/>
  <c r="AM79" i="95" s="1"/>
  <c r="AK79" i="95"/>
  <c r="AF79" i="95"/>
  <c r="AG79" i="95" s="1"/>
  <c r="AF96" i="95"/>
  <c r="S96" i="95"/>
  <c r="AC96" i="95" s="1"/>
  <c r="AF140" i="95"/>
  <c r="S140" i="95"/>
  <c r="AC140" i="95" s="1"/>
  <c r="AK140" i="95"/>
  <c r="AF100" i="95"/>
  <c r="S100" i="95"/>
  <c r="AC100" i="95" s="1"/>
  <c r="AC48" i="95"/>
  <c r="AG48" i="95" s="1"/>
  <c r="AB48" i="95"/>
  <c r="AM48" i="95" s="1"/>
  <c r="Q2" i="95"/>
  <c r="R2" i="95"/>
  <c r="S50" i="95"/>
  <c r="AC50" i="95" s="1"/>
  <c r="AK50" i="95"/>
  <c r="AF50" i="95"/>
  <c r="AB110" i="95"/>
  <c r="AM110" i="95" s="1"/>
  <c r="AF41" i="95"/>
  <c r="S41" i="95"/>
  <c r="AC41" i="95" s="1"/>
  <c r="AK41" i="95"/>
  <c r="AF44" i="95"/>
  <c r="S44" i="95"/>
  <c r="AC44" i="95" s="1"/>
  <c r="AB49" i="95"/>
  <c r="AM49" i="95" s="1"/>
  <c r="AZ11" i="95" a="1"/>
  <c r="AZ11" i="95" s="1"/>
  <c r="AY11" i="95" s="1"/>
  <c r="AG63" i="95"/>
  <c r="AZ9" i="95" a="1"/>
  <c r="AZ9" i="95" s="1"/>
  <c r="AB75" i="95"/>
  <c r="AM75" i="95" s="1"/>
  <c r="AF75" i="95"/>
  <c r="AG75" i="95" s="1"/>
  <c r="AK75" i="95"/>
  <c r="AZ10" i="95" a="1"/>
  <c r="AZ10" i="95" s="1"/>
  <c r="AY10" i="95" s="1"/>
  <c r="P2" i="95"/>
  <c r="AG97" i="95"/>
  <c r="AH3" i="95"/>
  <c r="E2" i="95" s="1"/>
  <c r="C12" i="60" s="1"/>
  <c r="E12" i="60" s="1"/>
  <c r="BA14" i="95"/>
  <c r="AY14" i="95"/>
  <c r="AF83" i="95"/>
  <c r="S83" i="95"/>
  <c r="AC83" i="95" s="1"/>
  <c r="AF32" i="95"/>
  <c r="S32" i="95"/>
  <c r="AC32" i="95" s="1"/>
  <c r="AK32" i="95"/>
  <c r="AG57" i="95"/>
  <c r="AF55" i="95"/>
  <c r="S55" i="95"/>
  <c r="AC55" i="95" s="1"/>
  <c r="AB134" i="95"/>
  <c r="AM134" i="95" s="1"/>
  <c r="S91" i="95"/>
  <c r="AC91" i="95" s="1"/>
  <c r="AF91" i="95"/>
  <c r="AK91" i="95"/>
  <c r="AF33" i="95"/>
  <c r="S33" i="95"/>
  <c r="AC33" i="95" s="1"/>
  <c r="AK33" i="95"/>
  <c r="AF35" i="95"/>
  <c r="S35" i="95"/>
  <c r="AC35" i="95" s="1"/>
  <c r="AK35" i="95"/>
  <c r="AG22" i="95"/>
  <c r="AF51" i="95"/>
  <c r="S51" i="95"/>
  <c r="AC51" i="95" s="1"/>
  <c r="AK51" i="95"/>
  <c r="AK46" i="95"/>
  <c r="AF46" i="95"/>
  <c r="S46" i="95"/>
  <c r="AC46" i="95" s="1"/>
  <c r="AG18" i="95"/>
  <c r="AK113" i="95"/>
  <c r="BB9" i="95"/>
  <c r="AF103" i="95"/>
  <c r="S103" i="95"/>
  <c r="AC103" i="95" s="1"/>
  <c r="AK103" i="95"/>
  <c r="AK96" i="95"/>
  <c r="AK44" i="95"/>
  <c r="S94" i="95"/>
  <c r="AC94" i="95" s="1"/>
  <c r="AF94" i="95"/>
  <c r="S139" i="95"/>
  <c r="AC139" i="95" s="1"/>
  <c r="AF139" i="95"/>
  <c r="AK139" i="95"/>
  <c r="S6" i="95"/>
  <c r="AC6" i="95" s="1"/>
  <c r="AK6" i="95"/>
  <c r="AF6" i="95"/>
  <c r="S26" i="95"/>
  <c r="AC26" i="95" s="1"/>
  <c r="AK26" i="95"/>
  <c r="AF26" i="95"/>
  <c r="AG37" i="95"/>
  <c r="AG130" i="95"/>
  <c r="AG23" i="95"/>
  <c r="BA16" i="95"/>
  <c r="AY16" i="95"/>
  <c r="AF39" i="95"/>
  <c r="S39" i="95"/>
  <c r="AC39" i="95" s="1"/>
  <c r="AK131" i="95"/>
  <c r="S82" i="95"/>
  <c r="AC82" i="95" s="1"/>
  <c r="AK82" i="95"/>
  <c r="AF82" i="95"/>
  <c r="S36" i="95"/>
  <c r="AC36" i="95" s="1"/>
  <c r="AF36" i="95"/>
  <c r="AK36" i="95"/>
  <c r="AB20" i="95"/>
  <c r="AM20" i="95" s="1"/>
  <c r="AG109" i="95"/>
  <c r="AK89" i="95"/>
  <c r="S101" i="95"/>
  <c r="AC101" i="95" s="1"/>
  <c r="AF101" i="95"/>
  <c r="AK101" i="95"/>
  <c r="BD9" i="95"/>
  <c r="BD10" i="95" s="1"/>
  <c r="BD11" i="95" s="1"/>
  <c r="BD12" i="95" s="1"/>
  <c r="BD13" i="95" s="1"/>
  <c r="BD14" i="95" s="1"/>
  <c r="BD15" i="95" s="1"/>
  <c r="BD16" i="95" s="1"/>
  <c r="BD17" i="95" s="1"/>
  <c r="BD18" i="95" s="1"/>
  <c r="AW7" i="95"/>
  <c r="AX9" i="95" a="1"/>
  <c r="AX9" i="95" s="1"/>
  <c r="AG104" i="95"/>
  <c r="AF64" i="95"/>
  <c r="S64" i="95"/>
  <c r="AC64" i="95" s="1"/>
  <c r="AG108" i="95"/>
  <c r="AK64" i="95"/>
  <c r="BA11" i="95"/>
  <c r="AB22" i="95"/>
  <c r="AM22" i="95" s="1"/>
  <c r="AF133" i="95"/>
  <c r="S133" i="95"/>
  <c r="AC133" i="95" s="1"/>
  <c r="AK133" i="95"/>
  <c r="S5" i="95"/>
  <c r="AC5" i="95" s="1"/>
  <c r="AK5" i="95"/>
  <c r="AF5" i="95"/>
  <c r="S62" i="95"/>
  <c r="AC62" i="95" s="1"/>
  <c r="AF62" i="95"/>
  <c r="AB18" i="95"/>
  <c r="AM18" i="95" s="1"/>
  <c r="S102" i="95"/>
  <c r="AC102" i="95" s="1"/>
  <c r="AF102" i="95"/>
  <c r="AF132" i="95"/>
  <c r="AK132" i="95"/>
  <c r="S132" i="95"/>
  <c r="AC132" i="95" s="1"/>
  <c r="AK124" i="95"/>
  <c r="S87" i="95"/>
  <c r="AC87" i="95" s="1"/>
  <c r="AF87" i="95"/>
  <c r="AF59" i="95"/>
  <c r="S59" i="95"/>
  <c r="AC59" i="95" s="1"/>
  <c r="AK59" i="95"/>
  <c r="AG93" i="95"/>
  <c r="BA17" i="95"/>
  <c r="AY17" i="95"/>
  <c r="N90" i="2"/>
  <c r="O90" i="2" s="1"/>
  <c r="N87" i="2"/>
  <c r="O87" i="2" s="1"/>
  <c r="N81" i="2"/>
  <c r="O81" i="2" s="1"/>
  <c r="N80" i="2"/>
  <c r="O80" i="2" s="1"/>
  <c r="N78" i="2"/>
  <c r="O78" i="2" s="1"/>
  <c r="N89" i="2"/>
  <c r="O89" i="2" s="1"/>
  <c r="N88" i="2"/>
  <c r="O88" i="2" s="1"/>
  <c r="N85" i="2"/>
  <c r="O85" i="2" s="1"/>
  <c r="N79" i="2"/>
  <c r="O79" i="2" s="1"/>
  <c r="N77" i="2"/>
  <c r="O77" i="2" s="1"/>
  <c r="N92" i="2"/>
  <c r="O92" i="2" s="1"/>
  <c r="N91" i="2"/>
  <c r="O91" i="2" s="1"/>
  <c r="O75" i="2"/>
  <c r="AN66" i="2"/>
  <c r="M66" i="2" s="1"/>
  <c r="AN67" i="2"/>
  <c r="M67" i="2" s="1"/>
  <c r="AN68" i="2"/>
  <c r="M68" i="2" s="1"/>
  <c r="AN69" i="2"/>
  <c r="M69" i="2" s="1"/>
  <c r="N69" i="2" s="1"/>
  <c r="AN70" i="2"/>
  <c r="M70" i="2" s="1"/>
  <c r="AN71" i="2"/>
  <c r="M71" i="2" s="1"/>
  <c r="AN72" i="2"/>
  <c r="M72" i="2" s="1"/>
  <c r="AN73" i="2"/>
  <c r="M73" i="2" s="1"/>
  <c r="AN74" i="2"/>
  <c r="M74" i="2" s="1"/>
  <c r="N74" i="2" s="1"/>
  <c r="K66" i="2"/>
  <c r="K67" i="2"/>
  <c r="K68" i="2"/>
  <c r="K69" i="2"/>
  <c r="K70" i="2"/>
  <c r="K71" i="2"/>
  <c r="K72" i="2"/>
  <c r="K73" i="2"/>
  <c r="E66" i="2"/>
  <c r="E67" i="2"/>
  <c r="E68" i="2"/>
  <c r="E69" i="2"/>
  <c r="E70" i="2"/>
  <c r="E71" i="2"/>
  <c r="E72" i="2"/>
  <c r="E73" i="2"/>
  <c r="E74" i="2"/>
  <c r="AG34" i="95" l="1"/>
  <c r="AM110" i="2"/>
  <c r="AG86" i="2"/>
  <c r="G2" i="95"/>
  <c r="C10" i="60"/>
  <c r="AB38" i="95"/>
  <c r="AM38" i="95" s="1"/>
  <c r="AG136" i="95"/>
  <c r="AB76" i="2"/>
  <c r="AM76" i="2" s="1"/>
  <c r="AB84" i="2"/>
  <c r="AM84" i="2" s="1"/>
  <c r="AM86" i="2"/>
  <c r="AG84" i="2"/>
  <c r="S77" i="2"/>
  <c r="AF77" i="2"/>
  <c r="AI67" i="2"/>
  <c r="AH67" i="2"/>
  <c r="AF79" i="2"/>
  <c r="S79" i="2"/>
  <c r="AK85" i="2"/>
  <c r="AF85" i="2"/>
  <c r="S85" i="2"/>
  <c r="AC85" i="2" s="1"/>
  <c r="AK88" i="2"/>
  <c r="AF88" i="2"/>
  <c r="S88" i="2"/>
  <c r="AC88" i="2" s="1"/>
  <c r="AK82" i="2"/>
  <c r="S82" i="2"/>
  <c r="AC82" i="2" s="1"/>
  <c r="AF82" i="2"/>
  <c r="AK89" i="2"/>
  <c r="S89" i="2"/>
  <c r="AC89" i="2" s="1"/>
  <c r="AF89" i="2"/>
  <c r="AK81" i="2"/>
  <c r="AF81" i="2"/>
  <c r="S81" i="2"/>
  <c r="AK87" i="2"/>
  <c r="AF87" i="2"/>
  <c r="S87" i="2"/>
  <c r="AC87" i="2" s="1"/>
  <c r="AG76" i="2"/>
  <c r="S80" i="2"/>
  <c r="AF80" i="2"/>
  <c r="AF75" i="2"/>
  <c r="S75" i="2"/>
  <c r="AC75" i="2" s="1"/>
  <c r="AH71" i="2"/>
  <c r="AI71" i="2"/>
  <c r="AK91" i="2"/>
  <c r="AF91" i="2"/>
  <c r="S91" i="2"/>
  <c r="AC91" i="2" s="1"/>
  <c r="AH70" i="2"/>
  <c r="AI70" i="2"/>
  <c r="AK92" i="2"/>
  <c r="S92" i="2"/>
  <c r="AC92" i="2" s="1"/>
  <c r="AF92" i="2"/>
  <c r="AH66" i="2"/>
  <c r="AI66" i="2"/>
  <c r="S78" i="2"/>
  <c r="AF78" i="2"/>
  <c r="AI72" i="2"/>
  <c r="AH72" i="2"/>
  <c r="AI69" i="2"/>
  <c r="AH69" i="2"/>
  <c r="AK90" i="2"/>
  <c r="S90" i="2"/>
  <c r="AC90" i="2" s="1"/>
  <c r="AF90" i="2"/>
  <c r="AH73" i="2"/>
  <c r="AI73" i="2"/>
  <c r="AI68" i="2"/>
  <c r="AH68" i="2"/>
  <c r="AG38" i="95"/>
  <c r="AB91" i="95"/>
  <c r="AM91" i="95" s="1"/>
  <c r="AG15" i="95"/>
  <c r="AG100" i="95"/>
  <c r="AG42" i="95"/>
  <c r="AK77" i="2"/>
  <c r="AK80" i="2"/>
  <c r="AK75" i="2"/>
  <c r="AG32" i="95"/>
  <c r="AG89" i="95"/>
  <c r="AG10" i="95"/>
  <c r="AB85" i="95"/>
  <c r="AM85" i="95" s="1"/>
  <c r="N83" i="2"/>
  <c r="O83" i="2" s="1"/>
  <c r="AK79" i="2"/>
  <c r="AK78" i="2"/>
  <c r="AG133" i="95"/>
  <c r="AB90" i="95"/>
  <c r="AM90" i="95" s="1"/>
  <c r="AB26" i="95"/>
  <c r="AM26" i="95" s="1"/>
  <c r="AB105" i="95"/>
  <c r="AM105" i="95" s="1"/>
  <c r="AB117" i="95"/>
  <c r="AM117" i="95" s="1"/>
  <c r="AB45" i="95"/>
  <c r="AM45" i="95" s="1"/>
  <c r="AB62" i="95"/>
  <c r="AM62" i="95" s="1"/>
  <c r="AB133" i="95"/>
  <c r="AM133" i="95" s="1"/>
  <c r="AG64" i="95"/>
  <c r="AB101" i="95"/>
  <c r="AM101" i="95" s="1"/>
  <c r="AB94" i="95"/>
  <c r="AM94" i="95" s="1"/>
  <c r="AG140" i="95"/>
  <c r="AB121" i="95"/>
  <c r="AM121" i="95" s="1"/>
  <c r="AB60" i="95"/>
  <c r="AM60" i="95" s="1"/>
  <c r="AB125" i="95"/>
  <c r="AM125" i="95" s="1"/>
  <c r="AB132" i="95"/>
  <c r="AM132" i="95" s="1"/>
  <c r="AB56" i="95"/>
  <c r="AM56" i="95" s="1"/>
  <c r="AG82" i="95"/>
  <c r="AB42" i="95"/>
  <c r="AM42" i="95" s="1"/>
  <c r="AG124" i="95"/>
  <c r="AG131" i="95"/>
  <c r="AG84" i="95"/>
  <c r="AG61" i="95"/>
  <c r="AB103" i="95"/>
  <c r="AM103" i="95" s="1"/>
  <c r="AB83" i="95"/>
  <c r="AM83" i="95" s="1"/>
  <c r="AG44" i="95"/>
  <c r="AG88" i="95"/>
  <c r="AG39" i="95"/>
  <c r="AB120" i="95"/>
  <c r="AM120" i="95" s="1"/>
  <c r="AB115" i="95"/>
  <c r="AM115" i="95" s="1"/>
  <c r="AG123" i="95"/>
  <c r="AG125" i="95"/>
  <c r="AB35" i="95"/>
  <c r="AM35" i="95" s="1"/>
  <c r="AG118" i="95"/>
  <c r="AG83" i="95"/>
  <c r="AB24" i="95"/>
  <c r="AM24" i="95" s="1"/>
  <c r="AB43" i="95"/>
  <c r="AM43" i="95" s="1"/>
  <c r="AG60" i="95"/>
  <c r="AB119" i="95"/>
  <c r="AM119" i="95" s="1"/>
  <c r="AB34" i="95"/>
  <c r="AM34" i="95" s="1"/>
  <c r="AG41" i="95"/>
  <c r="AG117" i="95"/>
  <c r="AB29" i="95"/>
  <c r="AM29" i="95" s="1"/>
  <c r="AG59" i="95"/>
  <c r="AB82" i="95"/>
  <c r="AM82" i="95" s="1"/>
  <c r="AG96" i="95"/>
  <c r="AB58" i="95"/>
  <c r="AM58" i="95" s="1"/>
  <c r="AB31" i="95"/>
  <c r="AM31" i="95" s="1"/>
  <c r="AG19" i="95"/>
  <c r="AG103" i="95"/>
  <c r="AB96" i="95"/>
  <c r="AM96" i="95" s="1"/>
  <c r="AG114" i="95"/>
  <c r="AG129" i="95"/>
  <c r="AB51" i="95"/>
  <c r="AM51" i="95" s="1"/>
  <c r="AG91" i="95"/>
  <c r="AG94" i="95"/>
  <c r="AB25" i="95"/>
  <c r="AM25" i="95" s="1"/>
  <c r="AG27" i="95"/>
  <c r="AB64" i="95"/>
  <c r="AM64" i="95" s="1"/>
  <c r="AB128" i="95"/>
  <c r="AM128" i="95" s="1"/>
  <c r="AB41" i="95"/>
  <c r="AM41" i="95" s="1"/>
  <c r="AB140" i="95"/>
  <c r="AM140" i="95" s="1"/>
  <c r="AB39" i="95"/>
  <c r="AM39" i="95" s="1"/>
  <c r="AG26" i="95"/>
  <c r="AB95" i="95"/>
  <c r="AM95" i="95" s="1"/>
  <c r="AG102" i="95"/>
  <c r="AB6" i="95"/>
  <c r="AM6" i="95" s="1"/>
  <c r="AB36" i="95"/>
  <c r="AM36" i="95" s="1"/>
  <c r="AG46" i="95"/>
  <c r="AB33" i="95"/>
  <c r="AM33" i="95" s="1"/>
  <c r="AB126" i="95"/>
  <c r="AM126" i="95" s="1"/>
  <c r="AB92" i="95"/>
  <c r="AM92" i="95" s="1"/>
  <c r="AB40" i="95"/>
  <c r="AM40" i="95" s="1"/>
  <c r="AB27" i="95"/>
  <c r="AM27" i="95" s="1"/>
  <c r="BB7" i="95"/>
  <c r="AZ7" i="95"/>
  <c r="AG68" i="95"/>
  <c r="AB87" i="95"/>
  <c r="AM87" i="95" s="1"/>
  <c r="AB50" i="95"/>
  <c r="AM50" i="95" s="1"/>
  <c r="AG6" i="95"/>
  <c r="AB10" i="95"/>
  <c r="AM10" i="95" s="1"/>
  <c r="AG101" i="95"/>
  <c r="AG36" i="95"/>
  <c r="AG55" i="95"/>
  <c r="AB114" i="95"/>
  <c r="AM114" i="95" s="1"/>
  <c r="AB123" i="95"/>
  <c r="AM123" i="95" s="1"/>
  <c r="AG31" i="95"/>
  <c r="AG45" i="95"/>
  <c r="AG58" i="95"/>
  <c r="AG62" i="95"/>
  <c r="AB139" i="95"/>
  <c r="AM139" i="95" s="1"/>
  <c r="AG35" i="95"/>
  <c r="AB55" i="95"/>
  <c r="AM55" i="95" s="1"/>
  <c r="AG115" i="95"/>
  <c r="AB15" i="95"/>
  <c r="AM15" i="95" s="1"/>
  <c r="AB135" i="95"/>
  <c r="AM135" i="95" s="1"/>
  <c r="AG95" i="95"/>
  <c r="AG25" i="95"/>
  <c r="AY9" i="95"/>
  <c r="BA9" i="95"/>
  <c r="AX7" i="95"/>
  <c r="AG106" i="95"/>
  <c r="AG40" i="95"/>
  <c r="AG126" i="95"/>
  <c r="AG121" i="95"/>
  <c r="AB106" i="95"/>
  <c r="AM106" i="95" s="1"/>
  <c r="AG139" i="95"/>
  <c r="AB19" i="95"/>
  <c r="AM19" i="95" s="1"/>
  <c r="AG132" i="95"/>
  <c r="AB5" i="95"/>
  <c r="AM5" i="95" s="1"/>
  <c r="AB46" i="95"/>
  <c r="AM46" i="95" s="1"/>
  <c r="AB32" i="95"/>
  <c r="AM32" i="95" s="1"/>
  <c r="AB44" i="95"/>
  <c r="AM44" i="95" s="1"/>
  <c r="AB89" i="95"/>
  <c r="AM89" i="95" s="1"/>
  <c r="AG135" i="95"/>
  <c r="AB118" i="95"/>
  <c r="AM118" i="95" s="1"/>
  <c r="AG128" i="95"/>
  <c r="AG33" i="95"/>
  <c r="AB100" i="95"/>
  <c r="AM100" i="95" s="1"/>
  <c r="AG85" i="95"/>
  <c r="AG43" i="95"/>
  <c r="AB59" i="95"/>
  <c r="AM59" i="95" s="1"/>
  <c r="AB124" i="95"/>
  <c r="AM124" i="95" s="1"/>
  <c r="AG86" i="95"/>
  <c r="AG29" i="95"/>
  <c r="AB68" i="95"/>
  <c r="AM68" i="95" s="1"/>
  <c r="AB86" i="95"/>
  <c r="AM86" i="95" s="1"/>
  <c r="AG92" i="95"/>
  <c r="AG87" i="95"/>
  <c r="AG50" i="95"/>
  <c r="AG120" i="95"/>
  <c r="AG90" i="95"/>
  <c r="AG56" i="95"/>
  <c r="AG5" i="95"/>
  <c r="AB131" i="95"/>
  <c r="AM131" i="95" s="1"/>
  <c r="AG113" i="95"/>
  <c r="AB129" i="95"/>
  <c r="AM129" i="95" s="1"/>
  <c r="AG111" i="95"/>
  <c r="AB136" i="95"/>
  <c r="AM136" i="95" s="1"/>
  <c r="AG8" i="95"/>
  <c r="AB102" i="95"/>
  <c r="AM102" i="95" s="1"/>
  <c r="AG51" i="95"/>
  <c r="AB113" i="95"/>
  <c r="AM113" i="95" s="1"/>
  <c r="AG24" i="95"/>
  <c r="AG105" i="95"/>
  <c r="AB61" i="95"/>
  <c r="AM61" i="95" s="1"/>
  <c r="AB111" i="95"/>
  <c r="AM111" i="95" s="1"/>
  <c r="AG119" i="95"/>
  <c r="AB88" i="95"/>
  <c r="AM88" i="95" s="1"/>
  <c r="AB8" i="95"/>
  <c r="AM8" i="95" s="1"/>
  <c r="O74" i="2"/>
  <c r="O69" i="2"/>
  <c r="N73" i="2"/>
  <c r="O73" i="2" s="1"/>
  <c r="N68" i="2"/>
  <c r="O68" i="2" s="1"/>
  <c r="N72" i="2"/>
  <c r="O72" i="2" s="1"/>
  <c r="N70" i="2"/>
  <c r="O70" i="2" s="1"/>
  <c r="N71" i="2"/>
  <c r="O71" i="2" s="1"/>
  <c r="N67" i="2"/>
  <c r="O67" i="2" s="1"/>
  <c r="N66" i="2"/>
  <c r="O66" i="2" s="1"/>
  <c r="K56" i="2"/>
  <c r="AH56" i="2" s="1"/>
  <c r="K57" i="2"/>
  <c r="AH57" i="2" s="1"/>
  <c r="K58" i="2"/>
  <c r="K59" i="2"/>
  <c r="K60" i="2"/>
  <c r="AH60" i="2" s="1"/>
  <c r="K61" i="2"/>
  <c r="AH61" i="2" s="1"/>
  <c r="K62" i="2"/>
  <c r="AH62" i="2" s="1"/>
  <c r="K63" i="2"/>
  <c r="AH63" i="2" s="1"/>
  <c r="K64" i="2"/>
  <c r="AH64" i="2" s="1"/>
  <c r="K65" i="2"/>
  <c r="AH65" i="2" s="1"/>
  <c r="K45" i="2"/>
  <c r="AW16" i="2"/>
  <c r="AW17" i="2"/>
  <c r="AW18" i="2"/>
  <c r="AC78" i="2" l="1"/>
  <c r="AG78" i="2" s="1"/>
  <c r="AC80" i="2"/>
  <c r="AG80" i="2" s="1"/>
  <c r="AC79" i="2"/>
  <c r="AG79" i="2" s="1"/>
  <c r="AC81" i="2"/>
  <c r="AG81" i="2" s="1"/>
  <c r="AC77" i="2"/>
  <c r="AG77" i="2" s="1"/>
  <c r="AG85" i="2"/>
  <c r="AG92" i="2"/>
  <c r="AG75" i="2"/>
  <c r="D10" i="60"/>
  <c r="E10" i="60"/>
  <c r="AG87" i="2"/>
  <c r="AG91" i="2"/>
  <c r="AH59" i="2"/>
  <c r="AG88" i="2"/>
  <c r="AH58" i="2"/>
  <c r="AG82" i="2"/>
  <c r="AM92" i="2"/>
  <c r="AB87" i="2"/>
  <c r="AM87" i="2" s="1"/>
  <c r="AB89" i="2"/>
  <c r="AM89" i="2" s="1"/>
  <c r="AB88" i="2"/>
  <c r="AM88" i="2" s="1"/>
  <c r="AB78" i="2"/>
  <c r="AF73" i="2"/>
  <c r="AB91" i="2"/>
  <c r="AM91" i="2" s="1"/>
  <c r="AF69" i="2"/>
  <c r="AB81" i="2"/>
  <c r="AG89" i="2"/>
  <c r="AB75" i="2"/>
  <c r="AM75" i="2" s="1"/>
  <c r="AB80" i="2"/>
  <c r="AB82" i="2"/>
  <c r="AM82" i="2" s="1"/>
  <c r="AF72" i="2"/>
  <c r="AM85" i="2"/>
  <c r="AF74" i="2"/>
  <c r="AF66" i="2"/>
  <c r="AB77" i="2"/>
  <c r="AG90" i="2"/>
  <c r="AF67" i="2"/>
  <c r="AK83" i="2"/>
  <c r="AF83" i="2"/>
  <c r="S83" i="2"/>
  <c r="AF70" i="2"/>
  <c r="AF68" i="2"/>
  <c r="AB79" i="2"/>
  <c r="AF71" i="2"/>
  <c r="AB90" i="2"/>
  <c r="AM90" i="2" s="1"/>
  <c r="S66" i="2"/>
  <c r="AC66" i="2" s="1"/>
  <c r="AK66" i="2"/>
  <c r="S74" i="2"/>
  <c r="AC74" i="2" s="1"/>
  <c r="AK74" i="2"/>
  <c r="S67" i="2"/>
  <c r="AC67" i="2" s="1"/>
  <c r="AK67" i="2"/>
  <c r="S68" i="2"/>
  <c r="AC68" i="2" s="1"/>
  <c r="AK68" i="2"/>
  <c r="S71" i="2"/>
  <c r="AC71" i="2" s="1"/>
  <c r="AK71" i="2"/>
  <c r="S73" i="2"/>
  <c r="AC73" i="2" s="1"/>
  <c r="AK73" i="2"/>
  <c r="S70" i="2"/>
  <c r="AC70" i="2" s="1"/>
  <c r="AK70" i="2"/>
  <c r="S69" i="2"/>
  <c r="AC69" i="2" s="1"/>
  <c r="AK69" i="2"/>
  <c r="S72" i="2"/>
  <c r="AC72" i="2" s="1"/>
  <c r="AK72" i="2"/>
  <c r="AI59" i="2"/>
  <c r="BA7" i="95"/>
  <c r="BC9" i="95"/>
  <c r="BC10" i="95" s="1"/>
  <c r="BC11" i="95" s="1"/>
  <c r="BC12" i="95" s="1"/>
  <c r="BC13" i="95" s="1"/>
  <c r="BC14" i="95" s="1"/>
  <c r="BC15" i="95" s="1"/>
  <c r="BC16" i="95" s="1"/>
  <c r="BC17" i="95" s="1"/>
  <c r="BC18" i="95" s="1"/>
  <c r="AI65" i="2"/>
  <c r="AI61" i="2"/>
  <c r="AI60" i="2"/>
  <c r="AI64" i="2"/>
  <c r="AI63" i="2"/>
  <c r="AI57" i="2"/>
  <c r="AI56" i="2"/>
  <c r="AI62" i="2"/>
  <c r="AI58" i="2"/>
  <c r="AG73" i="2" l="1"/>
  <c r="AM81" i="2"/>
  <c r="AM78" i="2"/>
  <c r="AM79" i="2"/>
  <c r="AM77" i="2"/>
  <c r="AM80" i="2"/>
  <c r="AC83" i="2"/>
  <c r="AG83" i="2" s="1"/>
  <c r="AG67" i="2"/>
  <c r="AG70" i="2"/>
  <c r="AB68" i="2"/>
  <c r="AM68" i="2" s="1"/>
  <c r="AG66" i="2"/>
  <c r="AG69" i="2"/>
  <c r="AB72" i="2"/>
  <c r="AM72" i="2" s="1"/>
  <c r="AB71" i="2"/>
  <c r="AM71" i="2" s="1"/>
  <c r="AG71" i="2"/>
  <c r="AB74" i="2"/>
  <c r="AM74" i="2" s="1"/>
  <c r="AB83" i="2"/>
  <c r="AG74" i="2"/>
  <c r="AB67" i="2"/>
  <c r="AM67" i="2" s="1"/>
  <c r="AB69" i="2"/>
  <c r="AM69" i="2" s="1"/>
  <c r="AG72" i="2"/>
  <c r="AG68" i="2"/>
  <c r="AB66" i="2"/>
  <c r="AM66" i="2" s="1"/>
  <c r="AB73" i="2"/>
  <c r="AM73" i="2" s="1"/>
  <c r="AB70" i="2"/>
  <c r="AM70" i="2" s="1"/>
  <c r="Y65" i="2"/>
  <c r="Y64" i="2"/>
  <c r="Y63" i="2"/>
  <c r="Y62" i="2"/>
  <c r="Y59" i="2"/>
  <c r="Y58" i="2"/>
  <c r="Y57" i="2"/>
  <c r="Y56" i="2"/>
  <c r="Y55" i="2"/>
  <c r="Y53" i="2"/>
  <c r="Y51" i="2"/>
  <c r="Y50" i="2"/>
  <c r="Y49" i="2"/>
  <c r="Y48" i="2"/>
  <c r="Y47" i="2"/>
  <c r="Y46" i="2"/>
  <c r="Z46" i="2"/>
  <c r="AN46" i="2"/>
  <c r="M46" i="2" s="1"/>
  <c r="Z47" i="2"/>
  <c r="AN47" i="2"/>
  <c r="M47" i="2" s="1"/>
  <c r="Z48" i="2"/>
  <c r="AN48" i="2"/>
  <c r="M48" i="2" s="1"/>
  <c r="Z49" i="2"/>
  <c r="AN49" i="2"/>
  <c r="M49" i="2" s="1"/>
  <c r="Z50" i="2"/>
  <c r="AN50" i="2"/>
  <c r="Z51" i="2"/>
  <c r="AN51" i="2"/>
  <c r="M51" i="2" s="1"/>
  <c r="N51" i="2" s="1"/>
  <c r="O51" i="2" s="1"/>
  <c r="S51" i="2" s="1"/>
  <c r="AC51" i="2" s="1"/>
  <c r="AN52" i="2"/>
  <c r="M52" i="2" s="1"/>
  <c r="N52" i="2" s="1"/>
  <c r="O52" i="2" s="1"/>
  <c r="S52" i="2" s="1"/>
  <c r="AC52" i="2" s="1"/>
  <c r="Z53" i="2"/>
  <c r="AN53" i="2"/>
  <c r="M53" i="2" s="1"/>
  <c r="AN54" i="2"/>
  <c r="M54" i="2" s="1"/>
  <c r="N54" i="2" s="1"/>
  <c r="O54" i="2" s="1"/>
  <c r="S54" i="2" s="1"/>
  <c r="AC54" i="2" s="1"/>
  <c r="Z55" i="2"/>
  <c r="AN55" i="2"/>
  <c r="M55" i="2" s="1"/>
  <c r="N55" i="2" s="1"/>
  <c r="O55" i="2" s="1"/>
  <c r="S55" i="2" s="1"/>
  <c r="AC55" i="2" s="1"/>
  <c r="Z56" i="2"/>
  <c r="AN56" i="2"/>
  <c r="M56" i="2" s="1"/>
  <c r="O56" i="2" s="1"/>
  <c r="Z57" i="2"/>
  <c r="AN57" i="2"/>
  <c r="M57" i="2" s="1"/>
  <c r="N57" i="2" s="1"/>
  <c r="O57" i="2" s="1"/>
  <c r="AK57" i="2" s="1"/>
  <c r="Z58" i="2"/>
  <c r="AN58" i="2"/>
  <c r="M58" i="2" s="1"/>
  <c r="Z59" i="2"/>
  <c r="AN59" i="2"/>
  <c r="M59" i="2" s="1"/>
  <c r="AN60" i="2"/>
  <c r="M60" i="2" s="1"/>
  <c r="N60" i="2" s="1"/>
  <c r="O60" i="2" s="1"/>
  <c r="AK60" i="2" s="1"/>
  <c r="AN61" i="2"/>
  <c r="M61" i="2" s="1"/>
  <c r="N61" i="2" s="1"/>
  <c r="O61" i="2" s="1"/>
  <c r="AK61" i="2" s="1"/>
  <c r="Z62" i="2"/>
  <c r="AN62" i="2"/>
  <c r="M62" i="2" s="1"/>
  <c r="Z63" i="2"/>
  <c r="AN63" i="2"/>
  <c r="AN64" i="2"/>
  <c r="O64" i="2" s="1"/>
  <c r="AK64" i="2" s="1"/>
  <c r="AN65" i="2"/>
  <c r="O65" i="2" s="1"/>
  <c r="AK65" i="2" s="1"/>
  <c r="U46" i="2"/>
  <c r="U47" i="2"/>
  <c r="U48" i="2"/>
  <c r="U49" i="2"/>
  <c r="U50" i="2"/>
  <c r="U51" i="2"/>
  <c r="U52" i="2"/>
  <c r="U53" i="2"/>
  <c r="U54" i="2"/>
  <c r="U55" i="2"/>
  <c r="AJ55" i="2" s="1"/>
  <c r="U56" i="2"/>
  <c r="U57" i="2"/>
  <c r="U58" i="2"/>
  <c r="U59" i="2"/>
  <c r="U60" i="2"/>
  <c r="U61" i="2"/>
  <c r="U62" i="2"/>
  <c r="U63" i="2"/>
  <c r="U64" i="2"/>
  <c r="U65" i="2"/>
  <c r="AM83" i="2" l="1"/>
  <c r="N48" i="2"/>
  <c r="O48" i="2" s="1"/>
  <c r="N47" i="2"/>
  <c r="O47" i="2" s="1"/>
  <c r="AE55" i="2"/>
  <c r="N49" i="2"/>
  <c r="O49" i="2" s="1"/>
  <c r="N46" i="2"/>
  <c r="O46" i="2" s="1"/>
  <c r="S46" i="2" s="1"/>
  <c r="AC46" i="2" s="1"/>
  <c r="AJ56" i="2"/>
  <c r="N62" i="2"/>
  <c r="O62" i="2" s="1"/>
  <c r="M63" i="2"/>
  <c r="AK56" i="2"/>
  <c r="S56" i="2"/>
  <c r="S61" i="2"/>
  <c r="AC61" i="2" s="1"/>
  <c r="S60" i="2"/>
  <c r="AC60" i="2" s="1"/>
  <c r="S64" i="2"/>
  <c r="AC64" i="2" s="1"/>
  <c r="N59" i="2"/>
  <c r="O59" i="2" s="1"/>
  <c r="S57" i="2"/>
  <c r="AC57" i="2" s="1"/>
  <c r="N58" i="2"/>
  <c r="O58" i="2" s="1"/>
  <c r="N53" i="2"/>
  <c r="O53" i="2" s="1"/>
  <c r="S65" i="2"/>
  <c r="AC65" i="2" s="1"/>
  <c r="AD50" i="2"/>
  <c r="AJ50" i="2"/>
  <c r="AD54" i="2"/>
  <c r="AJ54" i="2"/>
  <c r="AD57" i="2"/>
  <c r="AJ57" i="2"/>
  <c r="AD63" i="2"/>
  <c r="AJ63" i="2"/>
  <c r="AJ62" i="2"/>
  <c r="AD46" i="2"/>
  <c r="AJ46" i="2"/>
  <c r="AD61" i="2"/>
  <c r="AJ61" i="2"/>
  <c r="AE58" i="2"/>
  <c r="AD65" i="2"/>
  <c r="AJ65" i="2"/>
  <c r="AJ49" i="2"/>
  <c r="AF64" i="2"/>
  <c r="AJ64" i="2"/>
  <c r="AF60" i="2"/>
  <c r="AJ60" i="2"/>
  <c r="AA57" i="2"/>
  <c r="AD48" i="2"/>
  <c r="AJ48" i="2"/>
  <c r="AD52" i="2"/>
  <c r="AJ52" i="2"/>
  <c r="AD51" i="2"/>
  <c r="AJ51" i="2"/>
  <c r="AD47" i="2"/>
  <c r="AJ47" i="2"/>
  <c r="AA47" i="2"/>
  <c r="AJ53" i="2"/>
  <c r="AD59" i="2"/>
  <c r="AJ59" i="2"/>
  <c r="AD58" i="2"/>
  <c r="AJ58" i="2"/>
  <c r="AF52" i="2"/>
  <c r="AE50" i="2"/>
  <c r="AA52" i="2"/>
  <c r="AB52" i="2" s="1"/>
  <c r="AA60" i="2"/>
  <c r="AE61" i="2"/>
  <c r="AE65" i="2"/>
  <c r="AD60" i="2"/>
  <c r="AA61" i="2"/>
  <c r="AA49" i="2"/>
  <c r="AA64" i="2"/>
  <c r="AA62" i="2"/>
  <c r="AD64" i="2"/>
  <c r="AA55" i="2"/>
  <c r="AB55" i="2" s="1"/>
  <c r="AA50" i="2"/>
  <c r="AE46" i="2"/>
  <c r="AA54" i="2"/>
  <c r="AB54" i="2" s="1"/>
  <c r="AA56" i="2"/>
  <c r="AF55" i="2"/>
  <c r="AA63" i="2"/>
  <c r="AD56" i="2"/>
  <c r="AD53" i="2"/>
  <c r="AE64" i="2"/>
  <c r="AA51" i="2"/>
  <c r="AB51" i="2" s="1"/>
  <c r="AF61" i="2"/>
  <c r="AE52" i="2"/>
  <c r="AE53" i="2"/>
  <c r="AE54" i="2"/>
  <c r="AF65" i="2"/>
  <c r="AD49" i="2"/>
  <c r="AD55" i="2"/>
  <c r="AE49" i="2"/>
  <c r="AF56" i="2"/>
  <c r="AE60" i="2"/>
  <c r="AE56" i="2"/>
  <c r="AD62" i="2"/>
  <c r="AF51" i="2"/>
  <c r="AF54" i="2"/>
  <c r="AE48" i="2"/>
  <c r="AE63" i="2"/>
  <c r="AA48" i="2"/>
  <c r="AA53" i="2"/>
  <c r="AA65" i="2"/>
  <c r="AE62" i="2"/>
  <c r="AA46" i="2"/>
  <c r="AE51" i="2"/>
  <c r="AE59" i="2"/>
  <c r="AE47" i="2"/>
  <c r="AA59" i="2"/>
  <c r="AF57" i="2"/>
  <c r="AE57" i="2"/>
  <c r="AA58" i="2"/>
  <c r="M50" i="2"/>
  <c r="N50" i="2" s="1"/>
  <c r="K48" i="2"/>
  <c r="K49" i="2"/>
  <c r="K50" i="2"/>
  <c r="K51" i="2"/>
  <c r="K52" i="2"/>
  <c r="K53" i="2"/>
  <c r="K54" i="2"/>
  <c r="K55" i="2"/>
  <c r="K46" i="2"/>
  <c r="K47" i="2"/>
  <c r="K39" i="2"/>
  <c r="K40" i="2"/>
  <c r="AH40" i="2" s="1"/>
  <c r="K41" i="2"/>
  <c r="AH41" i="2" s="1"/>
  <c r="K43" i="2"/>
  <c r="AH43" i="2" s="1"/>
  <c r="K44" i="2"/>
  <c r="AH44" i="2" s="1"/>
  <c r="E59" i="2"/>
  <c r="E60" i="2"/>
  <c r="E61" i="2"/>
  <c r="E62" i="2"/>
  <c r="E63" i="2"/>
  <c r="E64" i="2"/>
  <c r="E6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Z45" i="2"/>
  <c r="Y45" i="2"/>
  <c r="Z44" i="2"/>
  <c r="Y44" i="2"/>
  <c r="Z43" i="2"/>
  <c r="Y43" i="2"/>
  <c r="Z41" i="2"/>
  <c r="Y41" i="2"/>
  <c r="Z40" i="2"/>
  <c r="Y40" i="2"/>
  <c r="U45" i="2"/>
  <c r="AJ45" i="2" s="1"/>
  <c r="U44" i="2"/>
  <c r="U43" i="2"/>
  <c r="AD43" i="2" s="1"/>
  <c r="U41" i="2"/>
  <c r="AD41" i="2" s="1"/>
  <c r="U40" i="2"/>
  <c r="AD40" i="2" s="1"/>
  <c r="AG57" i="2" l="1"/>
  <c r="AF59" i="2"/>
  <c r="S47" i="2"/>
  <c r="AC47" i="2" s="1"/>
  <c r="AF47" i="2"/>
  <c r="AB61" i="2"/>
  <c r="AM61" i="2" s="1"/>
  <c r="S49" i="2"/>
  <c r="AC49" i="2" s="1"/>
  <c r="AF49" i="2"/>
  <c r="S48" i="2"/>
  <c r="AC48" i="2" s="1"/>
  <c r="AF48" i="2"/>
  <c r="N63" i="2"/>
  <c r="O63" i="2" s="1"/>
  <c r="AK62" i="2"/>
  <c r="S62" i="2"/>
  <c r="AC62" i="2" s="1"/>
  <c r="AF46" i="2"/>
  <c r="AG46" i="2" s="1"/>
  <c r="AB46" i="2"/>
  <c r="AM46" i="2" s="1"/>
  <c r="AF62" i="2"/>
  <c r="AB56" i="2"/>
  <c r="AM56" i="2" s="1"/>
  <c r="AC56" i="2"/>
  <c r="AG56" i="2" s="1"/>
  <c r="AB60" i="2"/>
  <c r="AM60" i="2" s="1"/>
  <c r="AB64" i="2"/>
  <c r="AM64" i="2" s="1"/>
  <c r="AK58" i="2"/>
  <c r="S58" i="2"/>
  <c r="AF58" i="2"/>
  <c r="S53" i="2"/>
  <c r="AC53" i="2" s="1"/>
  <c r="AF53" i="2"/>
  <c r="AK59" i="2"/>
  <c r="S59" i="2"/>
  <c r="AB57" i="2"/>
  <c r="AM57" i="2" s="1"/>
  <c r="AB65" i="2"/>
  <c r="AM65" i="2" s="1"/>
  <c r="AM52" i="2"/>
  <c r="AK49" i="2"/>
  <c r="AH49" i="2"/>
  <c r="AI49" i="2"/>
  <c r="AI48" i="2"/>
  <c r="AK48" i="2"/>
  <c r="AH48" i="2"/>
  <c r="AK46" i="2"/>
  <c r="AH46" i="2"/>
  <c r="AI46" i="2"/>
  <c r="AG65" i="2"/>
  <c r="AI53" i="2"/>
  <c r="AK53" i="2"/>
  <c r="AH53" i="2"/>
  <c r="AH52" i="2"/>
  <c r="AI52" i="2"/>
  <c r="AK52" i="2"/>
  <c r="AM55" i="2"/>
  <c r="AG61" i="2"/>
  <c r="AH55" i="2"/>
  <c r="AI55" i="2"/>
  <c r="AK55" i="2"/>
  <c r="AH54" i="2"/>
  <c r="AI54" i="2"/>
  <c r="AK54" i="2"/>
  <c r="AM54" i="2"/>
  <c r="AM51" i="2"/>
  <c r="AK51" i="2"/>
  <c r="AI51" i="2"/>
  <c r="AH51" i="2"/>
  <c r="AI50" i="2"/>
  <c r="AH50" i="2"/>
  <c r="AG52" i="2"/>
  <c r="AI47" i="2"/>
  <c r="AH47" i="2"/>
  <c r="AK47" i="2"/>
  <c r="AH45" i="2"/>
  <c r="AI45" i="2"/>
  <c r="AG60" i="2"/>
  <c r="AI41" i="2"/>
  <c r="AG55" i="2"/>
  <c r="AG64" i="2"/>
  <c r="AG54" i="2"/>
  <c r="AI44" i="2"/>
  <c r="AI43" i="2"/>
  <c r="AG51" i="2"/>
  <c r="O50" i="2"/>
  <c r="AK50" i="2" s="1"/>
  <c r="AI40" i="2"/>
  <c r="AJ44" i="2"/>
  <c r="AJ43" i="2"/>
  <c r="AJ41" i="2"/>
  <c r="AJ40" i="2"/>
  <c r="AE41" i="2"/>
  <c r="AE45" i="2"/>
  <c r="AA45" i="2"/>
  <c r="AE43" i="2"/>
  <c r="AE44" i="2"/>
  <c r="AD45" i="2"/>
  <c r="AD44" i="2"/>
  <c r="AE40" i="2"/>
  <c r="AA43" i="2"/>
  <c r="AA40" i="2"/>
  <c r="AA44" i="2"/>
  <c r="AA41" i="2"/>
  <c r="AN40" i="2"/>
  <c r="AN41" i="2"/>
  <c r="AN43" i="2"/>
  <c r="M43" i="2" s="1"/>
  <c r="N43" i="2" s="1"/>
  <c r="AN44" i="2"/>
  <c r="M44" i="2" s="1"/>
  <c r="N44" i="2" s="1"/>
  <c r="AN45" i="2"/>
  <c r="M45" i="2" s="1"/>
  <c r="N45" i="2" s="1"/>
  <c r="O45" i="2" s="1"/>
  <c r="S45" i="2" s="1"/>
  <c r="AC45" i="2" s="1"/>
  <c r="E40" i="2"/>
  <c r="E41" i="2"/>
  <c r="E42" i="2"/>
  <c r="E43" i="2"/>
  <c r="E44" i="2"/>
  <c r="E45" i="2"/>
  <c r="AC58" i="2" l="1"/>
  <c r="AG58" i="2" s="1"/>
  <c r="AC59" i="2"/>
  <c r="AG59" i="2" s="1"/>
  <c r="AG47" i="2"/>
  <c r="AB47" i="2"/>
  <c r="AM47" i="2" s="1"/>
  <c r="AG62" i="2"/>
  <c r="AG49" i="2"/>
  <c r="AG53" i="2"/>
  <c r="AG48" i="2"/>
  <c r="AB48" i="2"/>
  <c r="AM48" i="2" s="1"/>
  <c r="AB58" i="2"/>
  <c r="AB49" i="2"/>
  <c r="AM49" i="2" s="1"/>
  <c r="AB62" i="2"/>
  <c r="AM62" i="2" s="1"/>
  <c r="AK63" i="2"/>
  <c r="AF63" i="2"/>
  <c r="S63" i="2"/>
  <c r="AC63" i="2" s="1"/>
  <c r="AG63" i="2" s="1"/>
  <c r="AB53" i="2"/>
  <c r="AM53" i="2" s="1"/>
  <c r="AB59" i="2"/>
  <c r="AK45" i="2"/>
  <c r="AB45" i="2"/>
  <c r="AM45" i="2" s="1"/>
  <c r="S50" i="2"/>
  <c r="AC50" i="2" s="1"/>
  <c r="AF50" i="2"/>
  <c r="AF45" i="2"/>
  <c r="AG45" i="2" s="1"/>
  <c r="O43" i="2"/>
  <c r="AF43" i="2" s="1"/>
  <c r="O44" i="2"/>
  <c r="U38" i="2"/>
  <c r="AJ38" i="2" s="1"/>
  <c r="Y38" i="2"/>
  <c r="U39" i="2"/>
  <c r="AD39" i="2" s="1"/>
  <c r="Y39" i="2"/>
  <c r="M14" i="89"/>
  <c r="AM58" i="2" l="1"/>
  <c r="AM59" i="2"/>
  <c r="AG50" i="2"/>
  <c r="AB63" i="2"/>
  <c r="AM63" i="2" s="1"/>
  <c r="S43" i="2"/>
  <c r="AC43" i="2" s="1"/>
  <c r="AG43" i="2" s="1"/>
  <c r="AB50" i="2"/>
  <c r="AM50" i="2" s="1"/>
  <c r="AK43" i="2"/>
  <c r="S44" i="2"/>
  <c r="AC44" i="2" s="1"/>
  <c r="AF44" i="2"/>
  <c r="AK44" i="2"/>
  <c r="AJ39" i="2"/>
  <c r="AA39" i="2"/>
  <c r="AE39" i="2"/>
  <c r="AA38" i="2"/>
  <c r="AE38" i="2"/>
  <c r="AD38" i="2"/>
  <c r="K38" i="2"/>
  <c r="E38" i="2"/>
  <c r="E39" i="2"/>
  <c r="AN38" i="2"/>
  <c r="M38" i="2" s="1"/>
  <c r="N38" i="2" s="1"/>
  <c r="AN39" i="2"/>
  <c r="M39" i="2" s="1"/>
  <c r="AB43" i="2" l="1"/>
  <c r="AM43" i="2" s="1"/>
  <c r="AB44" i="2"/>
  <c r="AM44" i="2" s="1"/>
  <c r="AG44" i="2"/>
  <c r="AH39" i="2"/>
  <c r="AI39" i="2"/>
  <c r="AH38" i="2"/>
  <c r="AI38" i="2"/>
  <c r="N39" i="2"/>
  <c r="O39" i="2" s="1"/>
  <c r="O38" i="2"/>
  <c r="I2" i="94"/>
  <c r="S38" i="2" l="1"/>
  <c r="AC38" i="2" s="1"/>
  <c r="AK38" i="2"/>
  <c r="AF38" i="2"/>
  <c r="AF39" i="2"/>
  <c r="AK39" i="2"/>
  <c r="S39" i="2"/>
  <c r="AC39" i="2" s="1"/>
  <c r="K2" i="94"/>
  <c r="Y37" i="2"/>
  <c r="AN37" i="2"/>
  <c r="M37" i="2" s="1"/>
  <c r="N37" i="2" s="1"/>
  <c r="U37" i="2"/>
  <c r="AJ37" i="2" s="1"/>
  <c r="K37" i="2"/>
  <c r="AI37" i="2" s="1"/>
  <c r="E37" i="2"/>
  <c r="AG39" i="2" l="1"/>
  <c r="AG38" i="2"/>
  <c r="AB39" i="2"/>
  <c r="AM39" i="2" s="1"/>
  <c r="AB38" i="2"/>
  <c r="AM38" i="2" s="1"/>
  <c r="AA37" i="2"/>
  <c r="Q2" i="94"/>
  <c r="G2" i="94" s="1"/>
  <c r="P2" i="94"/>
  <c r="R2" i="94"/>
  <c r="AH3" i="94"/>
  <c r="E2" i="94" s="1"/>
  <c r="AI3" i="94"/>
  <c r="E1" i="94" s="1"/>
  <c r="AK3" i="94"/>
  <c r="AJ3" i="94"/>
  <c r="L2" i="94"/>
  <c r="O37" i="2"/>
  <c r="AH37" i="2"/>
  <c r="AD37" i="2"/>
  <c r="AE37" i="2"/>
  <c r="AG2" i="94" l="1"/>
  <c r="AM3" i="94"/>
  <c r="G1" i="94" s="1"/>
  <c r="AK37" i="2"/>
  <c r="AF37" i="2"/>
  <c r="Y36" i="2"/>
  <c r="Z36" i="2"/>
  <c r="AN36" i="2"/>
  <c r="M36" i="2" s="1"/>
  <c r="U36" i="2"/>
  <c r="AD36" i="2" s="1"/>
  <c r="K36" i="2"/>
  <c r="AI36" i="2" s="1"/>
  <c r="E36" i="2"/>
  <c r="N36" i="2" l="1"/>
  <c r="O36" i="2" s="1"/>
  <c r="S36" i="2" s="1"/>
  <c r="AC36" i="2" s="1"/>
  <c r="AB37" i="2"/>
  <c r="AC37" i="2"/>
  <c r="AG37" i="2" s="1"/>
  <c r="AH36" i="2"/>
  <c r="AJ36" i="2"/>
  <c r="AE36" i="2"/>
  <c r="AA36" i="2"/>
  <c r="AM37" i="2" l="1"/>
  <c r="AB36" i="2"/>
  <c r="AM36" i="2" s="1"/>
  <c r="AK36" i="2"/>
  <c r="AF36" i="2"/>
  <c r="AG36" i="2" s="1"/>
  <c r="K92" i="44"/>
  <c r="U32" i="2"/>
  <c r="AD32" i="2" s="1"/>
  <c r="Y32" i="2"/>
  <c r="Z32" i="2"/>
  <c r="U33" i="2"/>
  <c r="AD33" i="2" s="1"/>
  <c r="U34" i="2"/>
  <c r="AD34" i="2" s="1"/>
  <c r="Y34" i="2"/>
  <c r="U35" i="2"/>
  <c r="AD35" i="2" s="1"/>
  <c r="Y35" i="2"/>
  <c r="Z35" i="2"/>
  <c r="U31" i="2"/>
  <c r="AJ31" i="2" s="1"/>
  <c r="Y31" i="2"/>
  <c r="Z31" i="2"/>
  <c r="AN32" i="2"/>
  <c r="M32" i="2" s="1"/>
  <c r="AN33" i="2"/>
  <c r="M33" i="2" s="1"/>
  <c r="AN34" i="2"/>
  <c r="M34" i="2" s="1"/>
  <c r="AN35" i="2"/>
  <c r="M35" i="2" s="1"/>
  <c r="M12" i="95" l="1"/>
  <c r="N12" i="95" s="1"/>
  <c r="O12" i="95" s="1"/>
  <c r="M13" i="95"/>
  <c r="N13" i="95" s="1"/>
  <c r="O13" i="95" s="1"/>
  <c r="M66" i="95"/>
  <c r="O66" i="95" s="1"/>
  <c r="M71" i="95"/>
  <c r="O71" i="95" s="1"/>
  <c r="M67" i="95"/>
  <c r="O67" i="95" s="1"/>
  <c r="M14" i="95"/>
  <c r="N14" i="95" s="1"/>
  <c r="O14" i="95" s="1"/>
  <c r="M69" i="95"/>
  <c r="N69" i="95" s="1"/>
  <c r="O69" i="95" s="1"/>
  <c r="M70" i="95"/>
  <c r="O70" i="95" s="1"/>
  <c r="M72" i="95"/>
  <c r="O72" i="95" s="1"/>
  <c r="M65" i="95"/>
  <c r="N65" i="95" s="1"/>
  <c r="O65" i="95" s="1"/>
  <c r="M11" i="95"/>
  <c r="O11" i="95" s="1"/>
  <c r="M40" i="2"/>
  <c r="N40" i="2" s="1"/>
  <c r="O40" i="2" s="1"/>
  <c r="M41" i="2"/>
  <c r="AA34" i="2"/>
  <c r="AA31" i="2"/>
  <c r="AD31" i="2"/>
  <c r="N32" i="2"/>
  <c r="O32" i="2" s="1"/>
  <c r="AA33" i="2"/>
  <c r="N34" i="2"/>
  <c r="O34" i="2" s="1"/>
  <c r="AE34" i="2"/>
  <c r="AA35" i="2"/>
  <c r="N33" i="2"/>
  <c r="AF33" i="2" s="1"/>
  <c r="AE31" i="2"/>
  <c r="AA32" i="2"/>
  <c r="N35" i="2"/>
  <c r="O35" i="2" s="1"/>
  <c r="AJ34" i="2"/>
  <c r="AJ35" i="2"/>
  <c r="AJ33" i="2"/>
  <c r="AE35" i="2"/>
  <c r="AE33" i="2"/>
  <c r="AE32" i="2"/>
  <c r="AJ32" i="2"/>
  <c r="S70" i="95" l="1"/>
  <c r="AC70" i="95" s="1"/>
  <c r="AF70" i="95"/>
  <c r="AK70" i="95"/>
  <c r="AF11" i="95"/>
  <c r="S11" i="95"/>
  <c r="AC11" i="95" s="1"/>
  <c r="AK11" i="95"/>
  <c r="AF66" i="95"/>
  <c r="AK66" i="95"/>
  <c r="S66" i="95"/>
  <c r="AC66" i="95" s="1"/>
  <c r="AK65" i="95"/>
  <c r="AF65" i="95"/>
  <c r="S65" i="95"/>
  <c r="AC65" i="95" s="1"/>
  <c r="AG65" i="95" s="1"/>
  <c r="AK14" i="95"/>
  <c r="S14" i="95"/>
  <c r="AC14" i="95" s="1"/>
  <c r="AF14" i="95"/>
  <c r="AF13" i="95"/>
  <c r="AK13" i="95"/>
  <c r="S13" i="95"/>
  <c r="AC13" i="95" s="1"/>
  <c r="S71" i="95"/>
  <c r="AC71" i="95" s="1"/>
  <c r="AF71" i="95"/>
  <c r="AK71" i="95"/>
  <c r="AF69" i="95"/>
  <c r="S69" i="95"/>
  <c r="AC69" i="95" s="1"/>
  <c r="AK69" i="95"/>
  <c r="S72" i="95"/>
  <c r="AC72" i="95" s="1"/>
  <c r="AF72" i="95"/>
  <c r="AK72" i="95"/>
  <c r="AF67" i="95"/>
  <c r="S67" i="95"/>
  <c r="AC67" i="95" s="1"/>
  <c r="AK67" i="95"/>
  <c r="S12" i="95"/>
  <c r="AC12" i="95" s="1"/>
  <c r="AK12" i="95"/>
  <c r="AF12" i="95"/>
  <c r="N41" i="2"/>
  <c r="O41" i="2" s="1"/>
  <c r="AK40" i="2"/>
  <c r="AF40" i="2"/>
  <c r="S40" i="2"/>
  <c r="AC40" i="2" s="1"/>
  <c r="S35" i="2"/>
  <c r="AC35" i="2" s="1"/>
  <c r="AF34" i="2"/>
  <c r="AF35" i="2"/>
  <c r="S34" i="2"/>
  <c r="AC34" i="2" s="1"/>
  <c r="S33" i="2"/>
  <c r="K33" i="2"/>
  <c r="AK33" i="2" s="1"/>
  <c r="K34" i="2"/>
  <c r="AK34" i="2" s="1"/>
  <c r="K35" i="2"/>
  <c r="K32" i="2"/>
  <c r="E33" i="2"/>
  <c r="E34" i="2"/>
  <c r="E35" i="2"/>
  <c r="AG13" i="95" l="1"/>
  <c r="AG67" i="95"/>
  <c r="AG66" i="95"/>
  <c r="AG70" i="95"/>
  <c r="AG69" i="95"/>
  <c r="AB12" i="95"/>
  <c r="AM12" i="95" s="1"/>
  <c r="AB67" i="95"/>
  <c r="AM67" i="95" s="1"/>
  <c r="AB72" i="95"/>
  <c r="AM72" i="95" s="1"/>
  <c r="AB69" i="95"/>
  <c r="AM69" i="95" s="1"/>
  <c r="AB71" i="95"/>
  <c r="AM71" i="95" s="1"/>
  <c r="AB13" i="95"/>
  <c r="AM13" i="95" s="1"/>
  <c r="AB14" i="95"/>
  <c r="AM14" i="95" s="1"/>
  <c r="AB65" i="95"/>
  <c r="AM65" i="95" s="1"/>
  <c r="AB66" i="95"/>
  <c r="AM66" i="95" s="1"/>
  <c r="AB11" i="95"/>
  <c r="AM11" i="95" s="1"/>
  <c r="AB70" i="95"/>
  <c r="AM70" i="95" s="1"/>
  <c r="AK3" i="95"/>
  <c r="AG14" i="95"/>
  <c r="AG11" i="95"/>
  <c r="AG12" i="95"/>
  <c r="AG72" i="95"/>
  <c r="AG71" i="95"/>
  <c r="AB40" i="2"/>
  <c r="AM40" i="2" s="1"/>
  <c r="AG40" i="2"/>
  <c r="AK41" i="2"/>
  <c r="S41" i="2"/>
  <c r="AC41" i="2" s="1"/>
  <c r="AF41" i="2"/>
  <c r="AG35" i="2"/>
  <c r="AH35" i="2"/>
  <c r="AI35" i="2"/>
  <c r="AH32" i="2"/>
  <c r="AI32" i="2"/>
  <c r="AM35" i="2"/>
  <c r="AH34" i="2"/>
  <c r="AI34" i="2"/>
  <c r="AK35" i="2"/>
  <c r="AH33" i="2"/>
  <c r="AI33" i="2"/>
  <c r="AG34" i="2"/>
  <c r="AB34" i="2"/>
  <c r="AM34" i="2" s="1"/>
  <c r="AC33" i="2"/>
  <c r="AG33" i="2" s="1"/>
  <c r="AB33" i="2"/>
  <c r="AM33" i="2" s="1"/>
  <c r="AN31" i="2"/>
  <c r="M31" i="2" s="1"/>
  <c r="K31" i="2"/>
  <c r="E31" i="2"/>
  <c r="E32" i="2"/>
  <c r="AM3" i="95" l="1"/>
  <c r="G1" i="95" s="1"/>
  <c r="AG2" i="95"/>
  <c r="AG41" i="2"/>
  <c r="AB41" i="2"/>
  <c r="AM41" i="2" s="1"/>
  <c r="AI31" i="2"/>
  <c r="AH31" i="2"/>
  <c r="N31" i="2"/>
  <c r="O31" i="2" s="1"/>
  <c r="AK31" i="2" s="1"/>
  <c r="C13" i="60" l="1"/>
  <c r="E13" i="60" s="1"/>
  <c r="AF31" i="2"/>
  <c r="S32" i="2"/>
  <c r="AC32" i="2" s="1"/>
  <c r="AK32" i="2"/>
  <c r="AF32" i="2"/>
  <c r="C4" i="39"/>
  <c r="AG32" i="2" l="1"/>
  <c r="AB32" i="2"/>
  <c r="AM32" i="2" s="1"/>
  <c r="S31" i="2"/>
  <c r="Y30" i="2"/>
  <c r="AN30" i="2"/>
  <c r="U30" i="2"/>
  <c r="AJ30" i="2" s="1"/>
  <c r="AA30" i="2" l="1"/>
  <c r="AC31" i="2"/>
  <c r="AG31" i="2" s="1"/>
  <c r="AB31" i="2"/>
  <c r="AM31" i="2" s="1"/>
  <c r="AD30" i="2"/>
  <c r="AE30" i="2"/>
  <c r="K30" i="2" l="1"/>
  <c r="AH30" i="2" l="1"/>
  <c r="AI30" i="2"/>
  <c r="AN112" i="93"/>
  <c r="M112" i="93" s="1"/>
  <c r="AE112" i="93"/>
  <c r="AA112" i="93"/>
  <c r="U112" i="93"/>
  <c r="K112" i="93"/>
  <c r="E112" i="93"/>
  <c r="AN111" i="93"/>
  <c r="M111" i="93" s="1"/>
  <c r="O111" i="93" s="1"/>
  <c r="S111" i="93" s="1"/>
  <c r="AC111" i="93" s="1"/>
  <c r="AE111" i="93"/>
  <c r="AA111" i="93"/>
  <c r="U111" i="93"/>
  <c r="AJ111" i="93" s="1"/>
  <c r="K111" i="93"/>
  <c r="E111" i="93"/>
  <c r="AN110" i="93"/>
  <c r="M110" i="93" s="1"/>
  <c r="AE110" i="93"/>
  <c r="AA110" i="93"/>
  <c r="U110" i="93"/>
  <c r="K110" i="93"/>
  <c r="AH110" i="93" s="1"/>
  <c r="E110" i="93"/>
  <c r="AN109" i="93"/>
  <c r="M109" i="93" s="1"/>
  <c r="O109" i="93" s="1"/>
  <c r="AE109" i="93"/>
  <c r="AA109" i="93"/>
  <c r="U109" i="93"/>
  <c r="AJ109" i="93" s="1"/>
  <c r="K109" i="93"/>
  <c r="E109" i="93"/>
  <c r="AN108" i="93"/>
  <c r="M108" i="93" s="1"/>
  <c r="O108" i="93" s="1"/>
  <c r="AE108" i="93"/>
  <c r="AA108" i="93"/>
  <c r="U108" i="93"/>
  <c r="K108" i="93"/>
  <c r="E108" i="93"/>
  <c r="AN107" i="93"/>
  <c r="M107" i="93" s="1"/>
  <c r="O107" i="93" s="1"/>
  <c r="AE107" i="93"/>
  <c r="AA107" i="93"/>
  <c r="U107" i="93"/>
  <c r="K107" i="93"/>
  <c r="E107" i="93"/>
  <c r="AN106" i="93"/>
  <c r="M106" i="93" s="1"/>
  <c r="Z106" i="93"/>
  <c r="Y106" i="93"/>
  <c r="U106" i="93"/>
  <c r="AJ106" i="93" s="1"/>
  <c r="K106" i="93"/>
  <c r="E106" i="93"/>
  <c r="AN105" i="93"/>
  <c r="M105" i="93" s="1"/>
  <c r="AI105" i="93"/>
  <c r="Z105" i="93"/>
  <c r="Y105" i="93"/>
  <c r="U105" i="93"/>
  <c r="K105" i="93"/>
  <c r="AH105" i="93" s="1"/>
  <c r="E105" i="93"/>
  <c r="AN104" i="93"/>
  <c r="M104" i="93" s="1"/>
  <c r="N104" i="93" s="1"/>
  <c r="Z104" i="93"/>
  <c r="Y104" i="93"/>
  <c r="U104" i="93"/>
  <c r="AD104" i="93" s="1"/>
  <c r="K104" i="93"/>
  <c r="E104" i="93"/>
  <c r="AN103" i="93"/>
  <c r="M103" i="93" s="1"/>
  <c r="N103" i="93" s="1"/>
  <c r="O103" i="93" s="1"/>
  <c r="AK103" i="93" s="1"/>
  <c r="Y103" i="93"/>
  <c r="U103" i="93"/>
  <c r="AD103" i="93" s="1"/>
  <c r="K103" i="93"/>
  <c r="E103" i="93"/>
  <c r="AN102" i="93"/>
  <c r="Z102" i="93"/>
  <c r="Y102" i="93"/>
  <c r="U102" i="93"/>
  <c r="O102" i="93"/>
  <c r="K102" i="93"/>
  <c r="AH102" i="93" s="1"/>
  <c r="E102" i="93"/>
  <c r="AN101" i="93"/>
  <c r="AC101" i="93"/>
  <c r="Y101" i="93"/>
  <c r="AE101" i="93" s="1"/>
  <c r="U101" i="93"/>
  <c r="N101" i="93"/>
  <c r="O101" i="93" s="1"/>
  <c r="K101" i="93"/>
  <c r="AI101" i="93" s="1"/>
  <c r="E101" i="93"/>
  <c r="AN100" i="93"/>
  <c r="Z100" i="93"/>
  <c r="Y100" i="93"/>
  <c r="U100" i="93"/>
  <c r="N100" i="93"/>
  <c r="O100" i="93" s="1"/>
  <c r="K100" i="93"/>
  <c r="AI100" i="93" s="1"/>
  <c r="E100" i="93"/>
  <c r="AN99" i="93"/>
  <c r="Z99" i="93"/>
  <c r="Y99" i="93"/>
  <c r="U99" i="93"/>
  <c r="AJ99" i="93" s="1"/>
  <c r="N99" i="93"/>
  <c r="O99" i="93" s="1"/>
  <c r="K99" i="93"/>
  <c r="AH99" i="93" s="1"/>
  <c r="E99" i="93"/>
  <c r="AN98" i="93"/>
  <c r="M98" i="93" s="1"/>
  <c r="AC98" i="93"/>
  <c r="Z98" i="93"/>
  <c r="Y98" i="93"/>
  <c r="U98" i="93"/>
  <c r="AJ98" i="93" s="1"/>
  <c r="K98" i="93"/>
  <c r="AI98" i="93" s="1"/>
  <c r="E98" i="93"/>
  <c r="AN97" i="93"/>
  <c r="M97" i="93" s="1"/>
  <c r="O97" i="93" s="1"/>
  <c r="AC97" i="93"/>
  <c r="Z97" i="93"/>
  <c r="Y97" i="93"/>
  <c r="U97" i="93"/>
  <c r="AD97" i="93" s="1"/>
  <c r="K97" i="93"/>
  <c r="E97" i="93"/>
  <c r="AN96" i="93"/>
  <c r="M96" i="93" s="1"/>
  <c r="N96" i="93" s="1"/>
  <c r="O96" i="93" s="1"/>
  <c r="AC96" i="93"/>
  <c r="Z96" i="93"/>
  <c r="Y96" i="93"/>
  <c r="U96" i="93"/>
  <c r="AJ96" i="93" s="1"/>
  <c r="K96" i="93"/>
  <c r="E96" i="93"/>
  <c r="AN95" i="93"/>
  <c r="M95" i="93" s="1"/>
  <c r="N95" i="93" s="1"/>
  <c r="AC95" i="93"/>
  <c r="Z95" i="93"/>
  <c r="Y95" i="93"/>
  <c r="U95" i="93"/>
  <c r="K95" i="93"/>
  <c r="AI95" i="93" s="1"/>
  <c r="E95" i="93"/>
  <c r="AN94" i="93"/>
  <c r="M94" i="93" s="1"/>
  <c r="N94" i="93" s="1"/>
  <c r="AC94" i="93"/>
  <c r="Z94" i="93"/>
  <c r="Y94" i="93"/>
  <c r="U94" i="93"/>
  <c r="AJ94" i="93" s="1"/>
  <c r="K94" i="93"/>
  <c r="AH94" i="93" s="1"/>
  <c r="E94" i="93"/>
  <c r="AN93" i="93"/>
  <c r="M93" i="93" s="1"/>
  <c r="O93" i="93" s="1"/>
  <c r="AC93" i="93"/>
  <c r="Z93" i="93"/>
  <c r="Y93" i="93"/>
  <c r="U93" i="93"/>
  <c r="K93" i="93"/>
  <c r="E93" i="93"/>
  <c r="AN92" i="93"/>
  <c r="M92" i="93" s="1"/>
  <c r="N92" i="93" s="1"/>
  <c r="AC92" i="93"/>
  <c r="Z92" i="93"/>
  <c r="Y92" i="93"/>
  <c r="U92" i="93"/>
  <c r="K92" i="93"/>
  <c r="AH92" i="93" s="1"/>
  <c r="E92" i="93"/>
  <c r="AN91" i="93"/>
  <c r="M91" i="93" s="1"/>
  <c r="N91" i="93" s="1"/>
  <c r="O91" i="93" s="1"/>
  <c r="AC91" i="93"/>
  <c r="Z91" i="93"/>
  <c r="Y91" i="93"/>
  <c r="U91" i="93"/>
  <c r="K91" i="93"/>
  <c r="E91" i="93"/>
  <c r="AN90" i="93"/>
  <c r="M90" i="93" s="1"/>
  <c r="Z90" i="93"/>
  <c r="Y90" i="93"/>
  <c r="U90" i="93"/>
  <c r="AD90" i="93" s="1"/>
  <c r="K90" i="93"/>
  <c r="AI90" i="93" s="1"/>
  <c r="E90" i="93"/>
  <c r="AN89" i="93"/>
  <c r="M89" i="93" s="1"/>
  <c r="Z89" i="93"/>
  <c r="Y89" i="93"/>
  <c r="U89" i="93"/>
  <c r="K89" i="93"/>
  <c r="AI89" i="93" s="1"/>
  <c r="E89" i="93"/>
  <c r="AN88" i="93"/>
  <c r="M88" i="93" s="1"/>
  <c r="O88" i="93" s="1"/>
  <c r="Z88" i="93"/>
  <c r="Y88" i="93"/>
  <c r="U88" i="93"/>
  <c r="AJ88" i="93" s="1"/>
  <c r="K88" i="93"/>
  <c r="AI88" i="93" s="1"/>
  <c r="E88" i="93"/>
  <c r="AN87" i="93"/>
  <c r="M87" i="93" s="1"/>
  <c r="O87" i="93" s="1"/>
  <c r="Z87" i="93"/>
  <c r="AA87" i="93" s="1"/>
  <c r="U87" i="93"/>
  <c r="K87" i="93"/>
  <c r="E87" i="93"/>
  <c r="AN86" i="93"/>
  <c r="M86" i="93" s="1"/>
  <c r="N86" i="93" s="1"/>
  <c r="Z86" i="93"/>
  <c r="U86" i="93"/>
  <c r="K86" i="93"/>
  <c r="AI86" i="93" s="1"/>
  <c r="E86" i="93"/>
  <c r="AN85" i="93"/>
  <c r="M85" i="93" s="1"/>
  <c r="N85" i="93" s="1"/>
  <c r="Z85" i="93"/>
  <c r="Y85" i="93"/>
  <c r="U85" i="93"/>
  <c r="AF85" i="93" s="1"/>
  <c r="S85" i="93"/>
  <c r="AC85" i="93" s="1"/>
  <c r="K85" i="93"/>
  <c r="E85" i="93"/>
  <c r="AN84" i="93"/>
  <c r="M84" i="93" s="1"/>
  <c r="O84" i="93" s="1"/>
  <c r="Z84" i="93"/>
  <c r="Y84" i="93"/>
  <c r="U84" i="93"/>
  <c r="AD84" i="93" s="1"/>
  <c r="K84" i="93"/>
  <c r="AI84" i="93" s="1"/>
  <c r="E84" i="93"/>
  <c r="AN83" i="93"/>
  <c r="M83" i="93" s="1"/>
  <c r="O83" i="93" s="1"/>
  <c r="Y83" i="93"/>
  <c r="U83" i="93"/>
  <c r="K83" i="93"/>
  <c r="AH83" i="93" s="1"/>
  <c r="E83" i="93"/>
  <c r="AN82" i="93"/>
  <c r="M82" i="93" s="1"/>
  <c r="N82" i="93" s="1"/>
  <c r="O82" i="93" s="1"/>
  <c r="AE82" i="93"/>
  <c r="AA82" i="93"/>
  <c r="U82" i="93"/>
  <c r="AJ82" i="93" s="1"/>
  <c r="K82" i="93"/>
  <c r="AI82" i="93" s="1"/>
  <c r="E82" i="93"/>
  <c r="AN81" i="93"/>
  <c r="M81" i="93" s="1"/>
  <c r="AE81" i="93"/>
  <c r="AA81" i="93"/>
  <c r="U81" i="93"/>
  <c r="K81" i="93"/>
  <c r="E81" i="93"/>
  <c r="AN80" i="93"/>
  <c r="M80" i="93" s="1"/>
  <c r="AE80" i="93"/>
  <c r="AA80" i="93"/>
  <c r="U80" i="93"/>
  <c r="AJ80" i="93" s="1"/>
  <c r="K80" i="93"/>
  <c r="AH80" i="93" s="1"/>
  <c r="E80" i="93"/>
  <c r="AN79" i="93"/>
  <c r="M79" i="93" s="1"/>
  <c r="AE79" i="93"/>
  <c r="AA79" i="93"/>
  <c r="U79" i="93"/>
  <c r="K79" i="93"/>
  <c r="AH79" i="93" s="1"/>
  <c r="E79" i="93"/>
  <c r="AN78" i="93"/>
  <c r="M78" i="93" s="1"/>
  <c r="AE78" i="93"/>
  <c r="AA78" i="93"/>
  <c r="U78" i="93"/>
  <c r="AD78" i="93" s="1"/>
  <c r="K78" i="93"/>
  <c r="AI78" i="93" s="1"/>
  <c r="E78" i="93"/>
  <c r="AN77" i="93"/>
  <c r="M77" i="93" s="1"/>
  <c r="N77" i="93" s="1"/>
  <c r="AE77" i="93"/>
  <c r="AA77" i="93"/>
  <c r="U77" i="93"/>
  <c r="K77" i="93"/>
  <c r="AH77" i="93" s="1"/>
  <c r="E77" i="93"/>
  <c r="AN76" i="93"/>
  <c r="M76" i="93" s="1"/>
  <c r="AE76" i="93"/>
  <c r="AA76" i="93"/>
  <c r="U76" i="93"/>
  <c r="AD76" i="93" s="1"/>
  <c r="K76" i="93"/>
  <c r="E76" i="93"/>
  <c r="AN75" i="93"/>
  <c r="M75" i="93" s="1"/>
  <c r="N75" i="93" s="1"/>
  <c r="AE75" i="93"/>
  <c r="AA75" i="93"/>
  <c r="U75" i="93"/>
  <c r="K75" i="93"/>
  <c r="AH75" i="93" s="1"/>
  <c r="E75" i="93"/>
  <c r="AN74" i="93"/>
  <c r="M74" i="93" s="1"/>
  <c r="AE74" i="93"/>
  <c r="AA74" i="93"/>
  <c r="U74" i="93"/>
  <c r="K74" i="93"/>
  <c r="E74" i="93"/>
  <c r="AN73" i="93"/>
  <c r="M73" i="93" s="1"/>
  <c r="AE73" i="93"/>
  <c r="AA73" i="93"/>
  <c r="U73" i="93"/>
  <c r="K73" i="93"/>
  <c r="AH73" i="93" s="1"/>
  <c r="E73" i="93"/>
  <c r="AN72" i="93"/>
  <c r="M72" i="93" s="1"/>
  <c r="Z72" i="93"/>
  <c r="Y72" i="93"/>
  <c r="U72" i="93"/>
  <c r="K72" i="93"/>
  <c r="E72" i="93"/>
  <c r="AN71" i="93"/>
  <c r="M71" i="93" s="1"/>
  <c r="Z71" i="93"/>
  <c r="Y71" i="93"/>
  <c r="U71" i="93"/>
  <c r="K71" i="93"/>
  <c r="AI71" i="93" s="1"/>
  <c r="E71" i="93"/>
  <c r="AN70" i="93"/>
  <c r="M70" i="93" s="1"/>
  <c r="Z70" i="93"/>
  <c r="Y70" i="93"/>
  <c r="U70" i="93"/>
  <c r="K70" i="93"/>
  <c r="AH70" i="93" s="1"/>
  <c r="E70" i="93"/>
  <c r="AN69" i="93"/>
  <c r="M69" i="93" s="1"/>
  <c r="N69" i="93" s="1"/>
  <c r="O69" i="93" s="1"/>
  <c r="Z69" i="93"/>
  <c r="Y69" i="93"/>
  <c r="U69" i="93"/>
  <c r="K69" i="93"/>
  <c r="AI69" i="93" s="1"/>
  <c r="E69" i="93"/>
  <c r="AN68" i="93"/>
  <c r="M68" i="93" s="1"/>
  <c r="Z68" i="93"/>
  <c r="Y68" i="93"/>
  <c r="U68" i="93"/>
  <c r="K68" i="93"/>
  <c r="E68" i="93"/>
  <c r="AN67" i="93"/>
  <c r="M67" i="93" s="1"/>
  <c r="AE67" i="93"/>
  <c r="AA67" i="93"/>
  <c r="U67" i="93"/>
  <c r="K67" i="93"/>
  <c r="AI67" i="93" s="1"/>
  <c r="E67" i="93"/>
  <c r="AN66" i="93"/>
  <c r="M66" i="93" s="1"/>
  <c r="AE66" i="93"/>
  <c r="AA66" i="93"/>
  <c r="U66" i="93"/>
  <c r="K66" i="93"/>
  <c r="E66" i="93"/>
  <c r="AN65" i="93"/>
  <c r="M65" i="93" s="1"/>
  <c r="AE65" i="93"/>
  <c r="AA65" i="93"/>
  <c r="U65" i="93"/>
  <c r="AD65" i="93" s="1"/>
  <c r="K65" i="93"/>
  <c r="AH65" i="93" s="1"/>
  <c r="E65" i="93"/>
  <c r="AN64" i="93"/>
  <c r="M64" i="93" s="1"/>
  <c r="O64" i="93" s="1"/>
  <c r="Z64" i="93"/>
  <c r="Y64" i="93"/>
  <c r="U64" i="93"/>
  <c r="AD64" i="93" s="1"/>
  <c r="K64" i="93"/>
  <c r="AI64" i="93" s="1"/>
  <c r="E64" i="93"/>
  <c r="AN63" i="93"/>
  <c r="M63" i="93" s="1"/>
  <c r="Z63" i="93"/>
  <c r="Y63" i="93"/>
  <c r="U63" i="93"/>
  <c r="K63" i="93"/>
  <c r="AH63" i="93" s="1"/>
  <c r="E63" i="93"/>
  <c r="AN62" i="93"/>
  <c r="M62" i="93" s="1"/>
  <c r="AE62" i="93"/>
  <c r="AA62" i="93"/>
  <c r="U62" i="93"/>
  <c r="AJ62" i="93" s="1"/>
  <c r="K62" i="93"/>
  <c r="AI62" i="93" s="1"/>
  <c r="E62" i="93"/>
  <c r="AN61" i="93"/>
  <c r="M61" i="93" s="1"/>
  <c r="N61" i="93" s="1"/>
  <c r="AE61" i="93"/>
  <c r="AA61" i="93"/>
  <c r="U61" i="93"/>
  <c r="AD61" i="93" s="1"/>
  <c r="K61" i="93"/>
  <c r="E61" i="93"/>
  <c r="AN60" i="93"/>
  <c r="M60" i="93" s="1"/>
  <c r="O60" i="93" s="1"/>
  <c r="Z60" i="93"/>
  <c r="Y60" i="93"/>
  <c r="U60" i="93"/>
  <c r="K60" i="93"/>
  <c r="AI60" i="93" s="1"/>
  <c r="E60" i="93"/>
  <c r="AN59" i="93"/>
  <c r="M59" i="93" s="1"/>
  <c r="Z59" i="93"/>
  <c r="Y59" i="93"/>
  <c r="U59" i="93"/>
  <c r="K59" i="93"/>
  <c r="AI59" i="93" s="1"/>
  <c r="E59" i="93"/>
  <c r="AN58" i="93"/>
  <c r="M58" i="93" s="1"/>
  <c r="Z58" i="93"/>
  <c r="Y58" i="93"/>
  <c r="U58" i="93"/>
  <c r="AJ58" i="93" s="1"/>
  <c r="K58" i="93"/>
  <c r="AI58" i="93" s="1"/>
  <c r="E58" i="93"/>
  <c r="AN57" i="93"/>
  <c r="M57" i="93" s="1"/>
  <c r="N57" i="93" s="1"/>
  <c r="Z57" i="93"/>
  <c r="Y57" i="93"/>
  <c r="U57" i="93"/>
  <c r="AD57" i="93" s="1"/>
  <c r="K57" i="93"/>
  <c r="E57" i="93"/>
  <c r="AN56" i="93"/>
  <c r="M56" i="93" s="1"/>
  <c r="N56" i="93" s="1"/>
  <c r="Z56" i="93"/>
  <c r="Y56" i="93"/>
  <c r="U56" i="93"/>
  <c r="AJ56" i="93" s="1"/>
  <c r="K56" i="93"/>
  <c r="E56" i="93"/>
  <c r="AN55" i="93"/>
  <c r="M55" i="93" s="1"/>
  <c r="N55" i="93" s="1"/>
  <c r="Z55" i="93"/>
  <c r="Y55" i="93"/>
  <c r="U55" i="93"/>
  <c r="K55" i="93"/>
  <c r="AI55" i="93" s="1"/>
  <c r="E55" i="93"/>
  <c r="AN54" i="93"/>
  <c r="M54" i="93" s="1"/>
  <c r="Z54" i="93"/>
  <c r="Y54" i="93"/>
  <c r="U54" i="93"/>
  <c r="K54" i="93"/>
  <c r="E54" i="93"/>
  <c r="AN53" i="93"/>
  <c r="M53" i="93" s="1"/>
  <c r="N53" i="93" s="1"/>
  <c r="Z53" i="93"/>
  <c r="Y53" i="93"/>
  <c r="U53" i="93"/>
  <c r="AJ53" i="93" s="1"/>
  <c r="K53" i="93"/>
  <c r="AI53" i="93" s="1"/>
  <c r="E53" i="93"/>
  <c r="AN52" i="93"/>
  <c r="M52" i="93" s="1"/>
  <c r="N52" i="93" s="1"/>
  <c r="O52" i="93" s="1"/>
  <c r="Z52" i="93"/>
  <c r="Y52" i="93"/>
  <c r="U52" i="93"/>
  <c r="K52" i="93"/>
  <c r="E52" i="93"/>
  <c r="AN51" i="93"/>
  <c r="M51" i="93" s="1"/>
  <c r="Z51" i="93"/>
  <c r="Y51" i="93"/>
  <c r="U51" i="93"/>
  <c r="K51" i="93"/>
  <c r="E51" i="93"/>
  <c r="AN50" i="93"/>
  <c r="M50" i="93" s="1"/>
  <c r="Z50" i="93"/>
  <c r="Y50" i="93"/>
  <c r="U50" i="93"/>
  <c r="AD50" i="93" s="1"/>
  <c r="K50" i="93"/>
  <c r="E50" i="93"/>
  <c r="AN49" i="93"/>
  <c r="M49" i="93" s="1"/>
  <c r="Z49" i="93"/>
  <c r="Y49" i="93"/>
  <c r="U49" i="93"/>
  <c r="AD49" i="93" s="1"/>
  <c r="K49" i="93"/>
  <c r="AI49" i="93" s="1"/>
  <c r="E49" i="93"/>
  <c r="AN48" i="93"/>
  <c r="M48" i="93" s="1"/>
  <c r="O48" i="93" s="1"/>
  <c r="Z48" i="93"/>
  <c r="Y48" i="93"/>
  <c r="U48" i="93"/>
  <c r="AD48" i="93" s="1"/>
  <c r="K48" i="93"/>
  <c r="E48" i="93"/>
  <c r="AN47" i="93"/>
  <c r="M47" i="93" s="1"/>
  <c r="N47" i="93" s="1"/>
  <c r="AC47" i="93"/>
  <c r="Y47" i="93"/>
  <c r="AA47" i="93" s="1"/>
  <c r="U47" i="93"/>
  <c r="AJ47" i="93" s="1"/>
  <c r="K47" i="93"/>
  <c r="AI47" i="93" s="1"/>
  <c r="E47" i="93"/>
  <c r="AN46" i="93"/>
  <c r="M46" i="93" s="1"/>
  <c r="N46" i="93" s="1"/>
  <c r="AC46" i="93"/>
  <c r="Y46" i="93"/>
  <c r="U46" i="93"/>
  <c r="K46" i="93"/>
  <c r="E46" i="93"/>
  <c r="AN45" i="93"/>
  <c r="M45" i="93" s="1"/>
  <c r="N45" i="93" s="1"/>
  <c r="O45" i="93" s="1"/>
  <c r="Y45" i="93"/>
  <c r="AA45" i="93" s="1"/>
  <c r="U45" i="93"/>
  <c r="AD45" i="93" s="1"/>
  <c r="K45" i="93"/>
  <c r="E45" i="93"/>
  <c r="AN44" i="93"/>
  <c r="M44" i="93" s="1"/>
  <c r="N44" i="93" s="1"/>
  <c r="Y44" i="93"/>
  <c r="AA44" i="93" s="1"/>
  <c r="U44" i="93"/>
  <c r="AD44" i="93" s="1"/>
  <c r="K44" i="93"/>
  <c r="E44" i="93"/>
  <c r="AN43" i="93"/>
  <c r="M43" i="93" s="1"/>
  <c r="AE43" i="93"/>
  <c r="AA43" i="93"/>
  <c r="U43" i="93"/>
  <c r="AJ43" i="93" s="1"/>
  <c r="K43" i="93"/>
  <c r="AI43" i="93" s="1"/>
  <c r="E43" i="93"/>
  <c r="AN42" i="93"/>
  <c r="M42" i="93" s="1"/>
  <c r="AE42" i="93"/>
  <c r="AA42" i="93"/>
  <c r="U42" i="93"/>
  <c r="K42" i="93"/>
  <c r="AH42" i="93" s="1"/>
  <c r="E42" i="93"/>
  <c r="AN41" i="93"/>
  <c r="M41" i="93" s="1"/>
  <c r="AE41" i="93"/>
  <c r="AA41" i="93"/>
  <c r="U41" i="93"/>
  <c r="AD41" i="93" s="1"/>
  <c r="K41" i="93"/>
  <c r="E41" i="93"/>
  <c r="AN40" i="93"/>
  <c r="M40" i="93" s="1"/>
  <c r="N40" i="93" s="1"/>
  <c r="AE40" i="93"/>
  <c r="AA40" i="93"/>
  <c r="U40" i="93"/>
  <c r="AJ40" i="93" s="1"/>
  <c r="K40" i="93"/>
  <c r="AI40" i="93" s="1"/>
  <c r="E40" i="93"/>
  <c r="AN39" i="93"/>
  <c r="M39" i="93" s="1"/>
  <c r="N39" i="93" s="1"/>
  <c r="AE39" i="93"/>
  <c r="AA39" i="93"/>
  <c r="U39" i="93"/>
  <c r="K39" i="93"/>
  <c r="AI39" i="93" s="1"/>
  <c r="E39" i="93"/>
  <c r="AN38" i="93"/>
  <c r="M38" i="93" s="1"/>
  <c r="AE38" i="93"/>
  <c r="AA38" i="93"/>
  <c r="U38" i="93"/>
  <c r="K38" i="93"/>
  <c r="AH38" i="93" s="1"/>
  <c r="E38" i="93"/>
  <c r="AN37" i="93"/>
  <c r="M37" i="93" s="1"/>
  <c r="N37" i="93" s="1"/>
  <c r="O37" i="93" s="1"/>
  <c r="AE37" i="93"/>
  <c r="AA37" i="93"/>
  <c r="U37" i="93"/>
  <c r="K37" i="93"/>
  <c r="E37" i="93"/>
  <c r="AN36" i="93"/>
  <c r="M36" i="93" s="1"/>
  <c r="AE36" i="93"/>
  <c r="AA36" i="93"/>
  <c r="U36" i="93"/>
  <c r="K36" i="93"/>
  <c r="AM36" i="93" s="1"/>
  <c r="E36" i="93"/>
  <c r="AN35" i="93"/>
  <c r="M35" i="93" s="1"/>
  <c r="O35" i="93" s="1"/>
  <c r="AE35" i="93"/>
  <c r="AA35" i="93"/>
  <c r="U35" i="93"/>
  <c r="AD35" i="93" s="1"/>
  <c r="K35" i="93"/>
  <c r="E35" i="93"/>
  <c r="AN34" i="93"/>
  <c r="M34" i="93" s="1"/>
  <c r="O34" i="93" s="1"/>
  <c r="AE34" i="93"/>
  <c r="AA34" i="93"/>
  <c r="U34" i="93"/>
  <c r="AD34" i="93" s="1"/>
  <c r="K34" i="93"/>
  <c r="AI34" i="93" s="1"/>
  <c r="E34" i="93"/>
  <c r="AW38" i="93"/>
  <c r="AY38" i="93" s="1"/>
  <c r="BA38" i="93" s="1"/>
  <c r="AN33" i="93"/>
  <c r="M33" i="93" s="1"/>
  <c r="Z33" i="93"/>
  <c r="Y33" i="93"/>
  <c r="U33" i="93"/>
  <c r="AJ33" i="93" s="1"/>
  <c r="K33" i="93"/>
  <c r="AI33" i="93" s="1"/>
  <c r="E33" i="93"/>
  <c r="AW37" i="93"/>
  <c r="AY37" i="93" s="1"/>
  <c r="BA37" i="93" s="1"/>
  <c r="AN32" i="93"/>
  <c r="M32" i="93" s="1"/>
  <c r="N32" i="93" s="1"/>
  <c r="O32" i="93" s="1"/>
  <c r="Z32" i="93"/>
  <c r="Y32" i="93"/>
  <c r="U32" i="93"/>
  <c r="K32" i="93"/>
  <c r="AI32" i="93" s="1"/>
  <c r="E32" i="93"/>
  <c r="AW36" i="93"/>
  <c r="AY36" i="93" s="1"/>
  <c r="BA36" i="93" s="1"/>
  <c r="AN31" i="93"/>
  <c r="M31" i="93" s="1"/>
  <c r="N31" i="93" s="1"/>
  <c r="Z31" i="93"/>
  <c r="Y31" i="93"/>
  <c r="U31" i="93"/>
  <c r="K31" i="93"/>
  <c r="AH31" i="93" s="1"/>
  <c r="E31" i="93"/>
  <c r="AW35" i="93"/>
  <c r="AY35" i="93" s="1"/>
  <c r="BA35" i="93" s="1"/>
  <c r="AN30" i="93"/>
  <c r="M30" i="93" s="1"/>
  <c r="Z30" i="93"/>
  <c r="Y30" i="93"/>
  <c r="U30" i="93"/>
  <c r="AJ30" i="93" s="1"/>
  <c r="K30" i="93"/>
  <c r="E30" i="93"/>
  <c r="AW34" i="93"/>
  <c r="AY34" i="93" s="1"/>
  <c r="BA34" i="93" s="1"/>
  <c r="AN29" i="93"/>
  <c r="M29" i="93" s="1"/>
  <c r="O29" i="93" s="1"/>
  <c r="Z29" i="93"/>
  <c r="Y29" i="93"/>
  <c r="U29" i="93"/>
  <c r="K29" i="93"/>
  <c r="AI29" i="93" s="1"/>
  <c r="E29" i="93"/>
  <c r="AW33" i="93"/>
  <c r="AY33" i="93" s="1"/>
  <c r="BA33" i="93" s="1"/>
  <c r="AN28" i="93"/>
  <c r="M28" i="93" s="1"/>
  <c r="Z28" i="93"/>
  <c r="Y28" i="93"/>
  <c r="U28" i="93"/>
  <c r="K28" i="93"/>
  <c r="E28" i="93"/>
  <c r="AN27" i="93"/>
  <c r="M27" i="93" s="1"/>
  <c r="O27" i="93" s="1"/>
  <c r="Z27" i="93"/>
  <c r="Y27" i="93"/>
  <c r="U27" i="93"/>
  <c r="AD27" i="93" s="1"/>
  <c r="K27" i="93"/>
  <c r="AI27" i="93" s="1"/>
  <c r="E27" i="93"/>
  <c r="AN26" i="93"/>
  <c r="M26" i="93" s="1"/>
  <c r="N26" i="93" s="1"/>
  <c r="O26" i="93" s="1"/>
  <c r="Z26" i="93"/>
  <c r="Y26" i="93"/>
  <c r="U26" i="93"/>
  <c r="K26" i="93"/>
  <c r="E26" i="93"/>
  <c r="AN25" i="93"/>
  <c r="M25" i="93" s="1"/>
  <c r="O25" i="93" s="1"/>
  <c r="Y25" i="93"/>
  <c r="U25" i="93"/>
  <c r="AJ25" i="93" s="1"/>
  <c r="K25" i="93"/>
  <c r="AH25" i="93" s="1"/>
  <c r="E25" i="93"/>
  <c r="AN24" i="93"/>
  <c r="M24" i="93" s="1"/>
  <c r="N24" i="93" s="1"/>
  <c r="Y24" i="93"/>
  <c r="AA24" i="93" s="1"/>
  <c r="U24" i="93"/>
  <c r="K24" i="93"/>
  <c r="E24" i="93"/>
  <c r="AN23" i="93"/>
  <c r="M23" i="93" s="1"/>
  <c r="Z23" i="93"/>
  <c r="Y23" i="93"/>
  <c r="U23" i="93"/>
  <c r="AJ23" i="93" s="1"/>
  <c r="K23" i="93"/>
  <c r="E23" i="93"/>
  <c r="AN22" i="93"/>
  <c r="M22" i="93" s="1"/>
  <c r="N22" i="93" s="1"/>
  <c r="O22" i="93" s="1"/>
  <c r="Z22" i="93"/>
  <c r="Y22" i="93"/>
  <c r="U22" i="93"/>
  <c r="K22" i="93"/>
  <c r="E22" i="93"/>
  <c r="AN21" i="93"/>
  <c r="M21" i="93" s="1"/>
  <c r="Z21" i="93"/>
  <c r="Y21" i="93"/>
  <c r="U21" i="93"/>
  <c r="AJ21" i="93" s="1"/>
  <c r="K21" i="93"/>
  <c r="E21" i="93"/>
  <c r="AN20" i="93"/>
  <c r="M20" i="93" s="1"/>
  <c r="N20" i="93" s="1"/>
  <c r="Z20" i="93"/>
  <c r="Y20" i="93"/>
  <c r="U20" i="93"/>
  <c r="K20" i="93"/>
  <c r="E20" i="93"/>
  <c r="AN19" i="93"/>
  <c r="M19" i="93" s="1"/>
  <c r="N19" i="93" s="1"/>
  <c r="Z19" i="93"/>
  <c r="Y19" i="93"/>
  <c r="U19" i="93"/>
  <c r="K19" i="93"/>
  <c r="AH19" i="93" s="1"/>
  <c r="E19" i="93"/>
  <c r="AN18" i="93"/>
  <c r="M18" i="93" s="1"/>
  <c r="Z18" i="93"/>
  <c r="Y18" i="93"/>
  <c r="U18" i="93"/>
  <c r="AD18" i="93" s="1"/>
  <c r="K18" i="93"/>
  <c r="AH18" i="93" s="1"/>
  <c r="E18" i="93"/>
  <c r="AN17" i="93"/>
  <c r="M17" i="93" s="1"/>
  <c r="Z17" i="93"/>
  <c r="Y17" i="93"/>
  <c r="U17" i="93"/>
  <c r="AJ17" i="93" s="1"/>
  <c r="K17" i="93"/>
  <c r="E17" i="93"/>
  <c r="AN16" i="93"/>
  <c r="M16" i="93" s="1"/>
  <c r="O16" i="93" s="1"/>
  <c r="Z16" i="93"/>
  <c r="Y16" i="93"/>
  <c r="U16" i="93"/>
  <c r="AJ16" i="93" s="1"/>
  <c r="K16" i="93"/>
  <c r="AI16" i="93" s="1"/>
  <c r="E16" i="93"/>
  <c r="AN15" i="93"/>
  <c r="M15" i="93" s="1"/>
  <c r="N15" i="93" s="1"/>
  <c r="Z15" i="93"/>
  <c r="Y15" i="93"/>
  <c r="U15" i="93"/>
  <c r="AJ15" i="93" s="1"/>
  <c r="K15" i="93"/>
  <c r="E15" i="93"/>
  <c r="BB18" i="93"/>
  <c r="AZ18" i="93" a="1"/>
  <c r="AZ18" i="93" s="1"/>
  <c r="AW18" i="93"/>
  <c r="AX18" i="93" s="1" a="1"/>
  <c r="AX18" i="93" s="1"/>
  <c r="AN14" i="93"/>
  <c r="M14" i="93" s="1"/>
  <c r="Z14" i="93"/>
  <c r="Y14" i="93"/>
  <c r="U14" i="93"/>
  <c r="K14" i="93"/>
  <c r="E14" i="93"/>
  <c r="BB17" i="93"/>
  <c r="AZ17" i="93" a="1"/>
  <c r="AZ17" i="93" s="1"/>
  <c r="AW17" i="93"/>
  <c r="BB16" i="93"/>
  <c r="AZ16" i="93" a="1"/>
  <c r="AZ16" i="93" s="1"/>
  <c r="AW16" i="93"/>
  <c r="BB15" i="93"/>
  <c r="AZ15" i="93" a="1"/>
  <c r="AZ15" i="93" s="1"/>
  <c r="AW15" i="93"/>
  <c r="BB14" i="93"/>
  <c r="AZ14" i="93" a="1"/>
  <c r="AZ14" i="93" s="1"/>
  <c r="AW14" i="93"/>
  <c r="AN13" i="93"/>
  <c r="M13" i="93" s="1"/>
  <c r="N13" i="93" s="1"/>
  <c r="O13" i="93" s="1"/>
  <c r="S13" i="93" s="1"/>
  <c r="AC13" i="93" s="1"/>
  <c r="Z13" i="93"/>
  <c r="Y13" i="93"/>
  <c r="U13" i="93"/>
  <c r="AD13" i="93" s="1"/>
  <c r="K13" i="93"/>
  <c r="E13" i="93"/>
  <c r="BB13" i="93"/>
  <c r="AW13" i="93"/>
  <c r="AN12" i="93"/>
  <c r="Z12" i="93"/>
  <c r="U12" i="93"/>
  <c r="N12" i="93"/>
  <c r="O12" i="93" s="1"/>
  <c r="K12" i="93"/>
  <c r="E12" i="93"/>
  <c r="AN11" i="93"/>
  <c r="Z11" i="93"/>
  <c r="AE11" i="93" s="1"/>
  <c r="U11" i="93"/>
  <c r="N11" i="93"/>
  <c r="O11" i="93" s="1"/>
  <c r="K11" i="93"/>
  <c r="E11" i="93"/>
  <c r="AN10" i="93"/>
  <c r="M10" i="93" s="1"/>
  <c r="N10" i="93" s="1"/>
  <c r="Y10" i="93"/>
  <c r="AA10" i="93" s="1"/>
  <c r="U10" i="93"/>
  <c r="AJ10" i="93" s="1"/>
  <c r="K10" i="93"/>
  <c r="AI10" i="93" s="1"/>
  <c r="E10" i="93"/>
  <c r="AN9" i="93"/>
  <c r="M9" i="93" s="1"/>
  <c r="Z9" i="93"/>
  <c r="Y9" i="93"/>
  <c r="U9" i="93"/>
  <c r="AD9" i="93" s="1"/>
  <c r="K9" i="93"/>
  <c r="E9" i="93"/>
  <c r="AN8" i="93"/>
  <c r="M8" i="93" s="1"/>
  <c r="Z8" i="93"/>
  <c r="Y8" i="93"/>
  <c r="U8" i="93"/>
  <c r="AJ8" i="93" s="1"/>
  <c r="K8" i="93"/>
  <c r="E8" i="93"/>
  <c r="AN7" i="93"/>
  <c r="M7" i="93" s="1"/>
  <c r="N7" i="93" s="1"/>
  <c r="Z7" i="93"/>
  <c r="Y7" i="93"/>
  <c r="U7" i="93"/>
  <c r="AD7" i="93" s="1"/>
  <c r="K7" i="93"/>
  <c r="AI7" i="93" s="1"/>
  <c r="E7" i="93"/>
  <c r="AN6" i="93"/>
  <c r="M6" i="93" s="1"/>
  <c r="Y6" i="93"/>
  <c r="AA6" i="93" s="1"/>
  <c r="U6" i="93"/>
  <c r="AJ6" i="93" s="1"/>
  <c r="K6" i="93"/>
  <c r="AI6" i="93" s="1"/>
  <c r="E6" i="93"/>
  <c r="AN5" i="93"/>
  <c r="M5" i="93" s="1"/>
  <c r="O5" i="93" s="1"/>
  <c r="Y5" i="93"/>
  <c r="AE5" i="93" s="1"/>
  <c r="U5" i="93"/>
  <c r="AD5" i="93" s="1"/>
  <c r="K5" i="93"/>
  <c r="AI5" i="93" s="1"/>
  <c r="E5" i="93"/>
  <c r="I2" i="93"/>
  <c r="O30" i="2"/>
  <c r="E30" i="2"/>
  <c r="AH64" i="93" l="1"/>
  <c r="AH34" i="93"/>
  <c r="AW12" i="93"/>
  <c r="AI80" i="93"/>
  <c r="AI18" i="93"/>
  <c r="AI75" i="93"/>
  <c r="AH86" i="93"/>
  <c r="AH101" i="93"/>
  <c r="AJ103" i="93"/>
  <c r="AA26" i="93"/>
  <c r="AE49" i="93"/>
  <c r="AA99" i="93"/>
  <c r="AA93" i="93"/>
  <c r="AB93" i="93" s="1"/>
  <c r="AM93" i="93" s="1"/>
  <c r="AE60" i="93"/>
  <c r="AA95" i="93"/>
  <c r="AE88" i="93"/>
  <c r="AE102" i="93"/>
  <c r="AA89" i="93"/>
  <c r="AD16" i="93"/>
  <c r="AA63" i="93"/>
  <c r="AJ90" i="93"/>
  <c r="AE27" i="93"/>
  <c r="AJ18" i="93"/>
  <c r="AD6" i="93"/>
  <c r="AJ50" i="93"/>
  <c r="AJ84" i="93"/>
  <c r="AD47" i="93"/>
  <c r="AE47" i="93"/>
  <c r="AD58" i="93"/>
  <c r="AJ97" i="93"/>
  <c r="S30" i="2"/>
  <c r="AC30" i="2" s="1"/>
  <c r="AF30" i="2"/>
  <c r="AK30" i="2"/>
  <c r="AH88" i="93"/>
  <c r="AE6" i="93"/>
  <c r="O31" i="93"/>
  <c r="AF31" i="93" s="1"/>
  <c r="AE84" i="93"/>
  <c r="AD82" i="93"/>
  <c r="AD99" i="93"/>
  <c r="AE95" i="93"/>
  <c r="AH82" i="93"/>
  <c r="AK82" i="93"/>
  <c r="AA58" i="93"/>
  <c r="AE68" i="93"/>
  <c r="AD30" i="93"/>
  <c r="AD56" i="93"/>
  <c r="AI73" i="93"/>
  <c r="AA8" i="93"/>
  <c r="AF11" i="93"/>
  <c r="AH71" i="93"/>
  <c r="AH90" i="93"/>
  <c r="AH32" i="93"/>
  <c r="AJ34" i="93"/>
  <c r="AF13" i="93"/>
  <c r="AE16" i="93"/>
  <c r="AD88" i="93"/>
  <c r="AI92" i="93"/>
  <c r="AA105" i="93"/>
  <c r="N62" i="93"/>
  <c r="O62" i="93" s="1"/>
  <c r="S84" i="93"/>
  <c r="AC84" i="93" s="1"/>
  <c r="AK84" i="93"/>
  <c r="N14" i="93"/>
  <c r="O14" i="93" s="1"/>
  <c r="AK14" i="93" s="1"/>
  <c r="AJ61" i="93"/>
  <c r="AE99" i="93"/>
  <c r="AJ5" i="93"/>
  <c r="AE59" i="93"/>
  <c r="AE33" i="93"/>
  <c r="AH55" i="93"/>
  <c r="AJ57" i="93"/>
  <c r="AJ78" i="93"/>
  <c r="AE98" i="93"/>
  <c r="AH27" i="93"/>
  <c r="AI65" i="93"/>
  <c r="AD98" i="93"/>
  <c r="AE23" i="93"/>
  <c r="AK60" i="93"/>
  <c r="AJ65" i="93"/>
  <c r="AH98" i="93"/>
  <c r="AD23" i="93"/>
  <c r="AD40" i="93"/>
  <c r="AI42" i="93"/>
  <c r="AH89" i="93"/>
  <c r="AA15" i="93"/>
  <c r="AD21" i="93"/>
  <c r="AD15" i="93"/>
  <c r="AH40" i="93"/>
  <c r="AD62" i="93"/>
  <c r="AD85" i="93"/>
  <c r="AE93" i="93"/>
  <c r="AA16" i="93"/>
  <c r="AD80" i="93"/>
  <c r="AD94" i="93"/>
  <c r="AA7" i="93"/>
  <c r="AH67" i="93"/>
  <c r="AI31" i="93"/>
  <c r="AD33" i="93"/>
  <c r="AD53" i="93"/>
  <c r="AD96" i="93"/>
  <c r="AD25" i="93"/>
  <c r="AJ27" i="93"/>
  <c r="AJ76" i="93"/>
  <c r="AF96" i="93"/>
  <c r="AE44" i="93"/>
  <c r="AI19" i="93"/>
  <c r="AH60" i="93"/>
  <c r="O75" i="93"/>
  <c r="AK75" i="93" s="1"/>
  <c r="AJ85" i="93"/>
  <c r="AJ13" i="93"/>
  <c r="AE32" i="93"/>
  <c r="AH62" i="93"/>
  <c r="AH6" i="93"/>
  <c r="AK16" i="93"/>
  <c r="O24" i="93"/>
  <c r="AF24" i="93" s="1"/>
  <c r="AE58" i="93"/>
  <c r="AD43" i="93"/>
  <c r="AJ92" i="93"/>
  <c r="AD92" i="93"/>
  <c r="AJ11" i="93"/>
  <c r="AD11" i="93"/>
  <c r="AI20" i="93"/>
  <c r="AH20" i="93"/>
  <c r="AW10" i="93"/>
  <c r="AX10" i="93" s="1" a="1"/>
  <c r="AX10" i="93" s="1"/>
  <c r="BA10" i="93" s="1"/>
  <c r="AE28" i="93"/>
  <c r="AA28" i="93"/>
  <c r="AA51" i="93"/>
  <c r="AE51" i="93"/>
  <c r="AD12" i="93"/>
  <c r="AJ12" i="93"/>
  <c r="AJ22" i="93"/>
  <c r="AD22" i="93"/>
  <c r="AA59" i="93"/>
  <c r="AA12" i="93"/>
  <c r="AE12" i="93"/>
  <c r="AE24" i="93"/>
  <c r="AI109" i="93"/>
  <c r="AH109" i="93"/>
  <c r="AD110" i="93"/>
  <c r="AJ110" i="93"/>
  <c r="AH41" i="93"/>
  <c r="AI41" i="93"/>
  <c r="AI56" i="93"/>
  <c r="AH56" i="93"/>
  <c r="AE89" i="93"/>
  <c r="AJ105" i="93"/>
  <c r="AD105" i="93"/>
  <c r="AI8" i="93"/>
  <c r="AH8" i="93"/>
  <c r="AE10" i="93"/>
  <c r="AD17" i="93"/>
  <c r="AE20" i="93"/>
  <c r="AH47" i="93"/>
  <c r="AJ49" i="93"/>
  <c r="AD63" i="93"/>
  <c r="AJ63" i="93"/>
  <c r="AA91" i="93"/>
  <c r="AB91" i="93" s="1"/>
  <c r="AM91" i="93" s="1"/>
  <c r="AA98" i="93"/>
  <c r="AH10" i="93"/>
  <c r="AH35" i="93"/>
  <c r="AK35" i="93"/>
  <c r="AD14" i="93"/>
  <c r="AJ14" i="93"/>
  <c r="AJ29" i="93"/>
  <c r="AD29" i="93"/>
  <c r="AH46" i="93"/>
  <c r="AI46" i="93"/>
  <c r="AE54" i="93"/>
  <c r="AA54" i="93"/>
  <c r="AK107" i="93"/>
  <c r="AD109" i="93"/>
  <c r="AA27" i="93"/>
  <c r="AJ41" i="93"/>
  <c r="AH84" i="93"/>
  <c r="AI87" i="93"/>
  <c r="AH87" i="93"/>
  <c r="AD107" i="93"/>
  <c r="AJ107" i="93"/>
  <c r="AD87" i="93"/>
  <c r="AJ87" i="93"/>
  <c r="AJ68" i="93"/>
  <c r="AD68" i="93"/>
  <c r="AA100" i="93"/>
  <c r="AE100" i="93"/>
  <c r="AE19" i="93"/>
  <c r="AA19" i="93"/>
  <c r="AA33" i="93"/>
  <c r="AD42" i="93"/>
  <c r="AJ42" i="93"/>
  <c r="AA48" i="93"/>
  <c r="AE48" i="93"/>
  <c r="AI57" i="93"/>
  <c r="AH57" i="93"/>
  <c r="AD77" i="93"/>
  <c r="AJ77" i="93"/>
  <c r="O104" i="93"/>
  <c r="AF104" i="93" s="1"/>
  <c r="AI36" i="93"/>
  <c r="AH36" i="93"/>
  <c r="AD55" i="93"/>
  <c r="AJ55" i="93"/>
  <c r="AE9" i="93"/>
  <c r="AA9" i="93"/>
  <c r="AX12" i="93" a="1"/>
  <c r="AX12" i="93" s="1"/>
  <c r="BA12" i="93" s="1"/>
  <c r="AJ75" i="93"/>
  <c r="AD75" i="93"/>
  <c r="O94" i="93"/>
  <c r="AF94" i="93" s="1"/>
  <c r="AD106" i="93"/>
  <c r="AJ108" i="93"/>
  <c r="AD108" i="93"/>
  <c r="AH5" i="93"/>
  <c r="AX14" i="93" a="1"/>
  <c r="AX14" i="93" s="1"/>
  <c r="AY14" i="93" s="1"/>
  <c r="AI24" i="93"/>
  <c r="AH24" i="93"/>
  <c r="AI28" i="93"/>
  <c r="AH28" i="93"/>
  <c r="AJ36" i="93"/>
  <c r="AD36" i="93"/>
  <c r="AF48" i="93"/>
  <c r="S48" i="93"/>
  <c r="AC48" i="93" s="1"/>
  <c r="AD83" i="93"/>
  <c r="AJ83" i="93"/>
  <c r="AA102" i="93"/>
  <c r="AE104" i="93"/>
  <c r="AA104" i="93"/>
  <c r="AE7" i="93"/>
  <c r="AX17" i="93" a="1"/>
  <c r="AX17" i="93" s="1"/>
  <c r="BA17" i="93" s="1"/>
  <c r="AJ28" i="93"/>
  <c r="AD28" i="93"/>
  <c r="AJ51" i="93"/>
  <c r="AD51" i="93"/>
  <c r="O61" i="93"/>
  <c r="AK61" i="93" s="1"/>
  <c r="AD71" i="93"/>
  <c r="AJ71" i="93"/>
  <c r="N80" i="93"/>
  <c r="O80" i="93" s="1"/>
  <c r="AE83" i="93"/>
  <c r="AA83" i="93"/>
  <c r="AK48" i="93"/>
  <c r="AI9" i="93"/>
  <c r="AH9" i="93"/>
  <c r="AI11" i="93"/>
  <c r="AH11" i="93"/>
  <c r="AI68" i="93"/>
  <c r="AH68" i="93"/>
  <c r="AJ74" i="93"/>
  <c r="AD74" i="93"/>
  <c r="AI45" i="93"/>
  <c r="AH45" i="93"/>
  <c r="AH48" i="93"/>
  <c r="AA68" i="93"/>
  <c r="AE87" i="93"/>
  <c r="AF97" i="93"/>
  <c r="AJ7" i="93"/>
  <c r="AI48" i="93"/>
  <c r="AJ64" i="93"/>
  <c r="AE85" i="93"/>
  <c r="AH93" i="93"/>
  <c r="AI93" i="93"/>
  <c r="AH96" i="93"/>
  <c r="AI96" i="93"/>
  <c r="AE105" i="93"/>
  <c r="AH39" i="93"/>
  <c r="AJ48" i="93"/>
  <c r="AE56" i="93"/>
  <c r="N76" i="93"/>
  <c r="O76" i="93" s="1"/>
  <c r="S76" i="93" s="1"/>
  <c r="AI104" i="93"/>
  <c r="AH104" i="93"/>
  <c r="AJ31" i="93"/>
  <c r="AD31" i="93"/>
  <c r="AH53" i="93"/>
  <c r="AD86" i="93"/>
  <c r="AJ86" i="93"/>
  <c r="AA31" i="93"/>
  <c r="AE31" i="93"/>
  <c r="AD89" i="93"/>
  <c r="AJ89" i="93"/>
  <c r="O92" i="93"/>
  <c r="AI103" i="93"/>
  <c r="AH103" i="93"/>
  <c r="AE106" i="93"/>
  <c r="AI112" i="93"/>
  <c r="AH112" i="93"/>
  <c r="AK13" i="93"/>
  <c r="AE45" i="93"/>
  <c r="AJ104" i="93"/>
  <c r="AE8" i="93"/>
  <c r="AA57" i="93"/>
  <c r="AA60" i="93"/>
  <c r="N42" i="93"/>
  <c r="O42" i="93" s="1"/>
  <c r="AK42" i="93" s="1"/>
  <c r="S26" i="93"/>
  <c r="AC26" i="93" s="1"/>
  <c r="AF26" i="93"/>
  <c r="AF34" i="93"/>
  <c r="S34" i="93"/>
  <c r="AC34" i="93" s="1"/>
  <c r="N73" i="93"/>
  <c r="O73" i="93" s="1"/>
  <c r="N28" i="93"/>
  <c r="O28" i="93" s="1"/>
  <c r="N30" i="93"/>
  <c r="O30" i="93" s="1"/>
  <c r="AJ91" i="93"/>
  <c r="AD91" i="93"/>
  <c r="N106" i="93"/>
  <c r="O106" i="93" s="1"/>
  <c r="AK106" i="93" s="1"/>
  <c r="N9" i="93"/>
  <c r="O9" i="93" s="1"/>
  <c r="BA18" i="93"/>
  <c r="AY18" i="93"/>
  <c r="AE70" i="93"/>
  <c r="AA70" i="93"/>
  <c r="N21" i="93"/>
  <c r="O21" i="93" s="1"/>
  <c r="N59" i="93"/>
  <c r="O59" i="93" s="1"/>
  <c r="AH72" i="93"/>
  <c r="AI72" i="93"/>
  <c r="N6" i="93"/>
  <c r="O6" i="93" s="1"/>
  <c r="N17" i="93"/>
  <c r="O17" i="93" s="1"/>
  <c r="AE18" i="93"/>
  <c r="AA18" i="93"/>
  <c r="AI26" i="93"/>
  <c r="AH26" i="93"/>
  <c r="AK26" i="93"/>
  <c r="AA64" i="93"/>
  <c r="AE64" i="93"/>
  <c r="N72" i="93"/>
  <c r="O72" i="93" s="1"/>
  <c r="O77" i="93"/>
  <c r="AJ35" i="93"/>
  <c r="S45" i="93"/>
  <c r="AC45" i="93" s="1"/>
  <c r="N68" i="93"/>
  <c r="O68" i="93" s="1"/>
  <c r="AA86" i="93"/>
  <c r="AE86" i="93"/>
  <c r="AF12" i="93"/>
  <c r="N54" i="93"/>
  <c r="O54" i="93" s="1"/>
  <c r="AK54" i="93" s="1"/>
  <c r="N110" i="93"/>
  <c r="O110" i="93" s="1"/>
  <c r="S12" i="93"/>
  <c r="AC12" i="93" s="1"/>
  <c r="AF27" i="93"/>
  <c r="AK27" i="93"/>
  <c r="S27" i="93"/>
  <c r="AC27" i="93" s="1"/>
  <c r="AH85" i="93"/>
  <c r="AK85" i="93"/>
  <c r="AW32" i="93"/>
  <c r="AY32" i="93" s="1"/>
  <c r="BA32" i="93" s="1"/>
  <c r="AI85" i="93"/>
  <c r="AW29" i="93"/>
  <c r="AY29" i="93" s="1"/>
  <c r="BA29" i="93" s="1"/>
  <c r="AW9" i="93"/>
  <c r="AK5" i="93"/>
  <c r="AW31" i="93"/>
  <c r="AY31" i="93" s="1"/>
  <c r="BA31" i="93" s="1"/>
  <c r="AI14" i="93"/>
  <c r="AW11" i="93"/>
  <c r="AX11" i="93" s="1" a="1"/>
  <c r="AX11" i="93" s="1"/>
  <c r="AH14" i="93"/>
  <c r="AD54" i="93"/>
  <c r="AJ54" i="93"/>
  <c r="N67" i="93"/>
  <c r="O67" i="93" s="1"/>
  <c r="S69" i="93"/>
  <c r="AK69" i="93"/>
  <c r="AF69" i="93"/>
  <c r="AF5" i="93"/>
  <c r="S5" i="93"/>
  <c r="AC5" i="93" s="1"/>
  <c r="AH16" i="93"/>
  <c r="N18" i="93"/>
  <c r="O18" i="93" s="1"/>
  <c r="AF45" i="93"/>
  <c r="N71" i="93"/>
  <c r="O71" i="93" s="1"/>
  <c r="AE96" i="93"/>
  <c r="AA96" i="93"/>
  <c r="AB96" i="93" s="1"/>
  <c r="AM96" i="93" s="1"/>
  <c r="O7" i="93"/>
  <c r="AK7" i="93" s="1"/>
  <c r="N36" i="93"/>
  <c r="O36" i="93" s="1"/>
  <c r="AD39" i="93"/>
  <c r="AJ39" i="93"/>
  <c r="AI44" i="93"/>
  <c r="AH44" i="93"/>
  <c r="N49" i="93"/>
  <c r="O49" i="93" s="1"/>
  <c r="S64" i="93"/>
  <c r="AC64" i="93" s="1"/>
  <c r="AF64" i="93"/>
  <c r="AE92" i="93"/>
  <c r="AA92" i="93"/>
  <c r="AI22" i="93"/>
  <c r="AH22" i="93"/>
  <c r="AK22" i="93"/>
  <c r="AF25" i="93"/>
  <c r="AF29" i="93"/>
  <c r="S29" i="93"/>
  <c r="AC29" i="93" s="1"/>
  <c r="AF32" i="93"/>
  <c r="S32" i="93"/>
  <c r="AC32" i="93" s="1"/>
  <c r="N79" i="93"/>
  <c r="O79" i="93" s="1"/>
  <c r="S103" i="93"/>
  <c r="AC103" i="93" s="1"/>
  <c r="AF103" i="93"/>
  <c r="AD10" i="93"/>
  <c r="S25" i="93"/>
  <c r="AC25" i="93" s="1"/>
  <c r="AJ32" i="93"/>
  <c r="AD32" i="93"/>
  <c r="N81" i="93"/>
  <c r="O81" i="93" s="1"/>
  <c r="AA90" i="93"/>
  <c r="AE90" i="93"/>
  <c r="K2" i="93"/>
  <c r="C18" i="60" s="1"/>
  <c r="E18" i="60" s="1"/>
  <c r="AX13" i="93" a="1"/>
  <c r="AX13" i="93" s="1"/>
  <c r="AW30" i="93"/>
  <c r="AY30" i="93" s="1"/>
  <c r="BA30" i="93" s="1"/>
  <c r="S22" i="93"/>
  <c r="AC22" i="93" s="1"/>
  <c r="AF22" i="93"/>
  <c r="N51" i="93"/>
  <c r="O51" i="93" s="1"/>
  <c r="N66" i="93"/>
  <c r="O66" i="93" s="1"/>
  <c r="AX15" i="93" a="1"/>
  <c r="AX15" i="93" s="1"/>
  <c r="AA25" i="93"/>
  <c r="AE25" i="93"/>
  <c r="AJ46" i="93"/>
  <c r="AD46" i="93"/>
  <c r="AA50" i="93"/>
  <c r="AE50" i="93"/>
  <c r="AH7" i="93"/>
  <c r="AA17" i="93"/>
  <c r="AE17" i="93"/>
  <c r="AA22" i="93"/>
  <c r="AE22" i="93"/>
  <c r="AH30" i="93"/>
  <c r="AI30" i="93"/>
  <c r="AH52" i="93"/>
  <c r="AK52" i="93"/>
  <c r="AI52" i="93"/>
  <c r="N58" i="93"/>
  <c r="O58" i="93" s="1"/>
  <c r="AK58" i="93" s="1"/>
  <c r="AF91" i="93"/>
  <c r="AF108" i="93"/>
  <c r="S108" i="93"/>
  <c r="AC108" i="93" s="1"/>
  <c r="AA30" i="93"/>
  <c r="AE30" i="93"/>
  <c r="AK37" i="93"/>
  <c r="AI37" i="93"/>
  <c r="AH37" i="93"/>
  <c r="N78" i="93"/>
  <c r="O78" i="93" s="1"/>
  <c r="O20" i="93"/>
  <c r="S52" i="93"/>
  <c r="AC52" i="93" s="1"/>
  <c r="AF52" i="93"/>
  <c r="AD60" i="93"/>
  <c r="AJ60" i="93"/>
  <c r="AF60" i="93"/>
  <c r="AD67" i="93"/>
  <c r="AJ67" i="93"/>
  <c r="N89" i="93"/>
  <c r="O89" i="93" s="1"/>
  <c r="AE103" i="93"/>
  <c r="AA103" i="93"/>
  <c r="AK108" i="93"/>
  <c r="AH108" i="93"/>
  <c r="AI108" i="93"/>
  <c r="AA49" i="93"/>
  <c r="AD52" i="93"/>
  <c r="AJ52" i="93"/>
  <c r="AI63" i="93"/>
  <c r="AH13" i="93"/>
  <c r="AJ20" i="93"/>
  <c r="AD20" i="93"/>
  <c r="AI23" i="93"/>
  <c r="AH23" i="93"/>
  <c r="AJ24" i="93"/>
  <c r="AD24" i="93"/>
  <c r="AA29" i="93"/>
  <c r="AE29" i="93"/>
  <c r="AJ37" i="93"/>
  <c r="AD37" i="93"/>
  <c r="N41" i="93"/>
  <c r="O41" i="93" s="1"/>
  <c r="AE52" i="93"/>
  <c r="AA52" i="93"/>
  <c r="N63" i="93"/>
  <c r="O63" i="93" s="1"/>
  <c r="AD79" i="93"/>
  <c r="AJ79" i="93"/>
  <c r="AK102" i="93"/>
  <c r="AF102" i="93"/>
  <c r="AM15" i="93"/>
  <c r="AE21" i="93"/>
  <c r="AA21" i="93"/>
  <c r="N43" i="93"/>
  <c r="O43" i="93" s="1"/>
  <c r="O55" i="93"/>
  <c r="AK55" i="93" s="1"/>
  <c r="AD73" i="93"/>
  <c r="AJ73" i="93"/>
  <c r="AE14" i="93"/>
  <c r="AA14" i="93"/>
  <c r="AD8" i="93"/>
  <c r="AI13" i="93"/>
  <c r="AJ19" i="93"/>
  <c r="AD19" i="93"/>
  <c r="AA20" i="93"/>
  <c r="N23" i="93"/>
  <c r="O23" i="93" s="1"/>
  <c r="O46" i="93"/>
  <c r="AH51" i="93"/>
  <c r="AI51" i="93"/>
  <c r="AH54" i="93"/>
  <c r="AI54" i="93"/>
  <c r="AH58" i="93"/>
  <c r="AD70" i="93"/>
  <c r="AJ70" i="93"/>
  <c r="O86" i="93"/>
  <c r="AK86" i="93" s="1"/>
  <c r="S102" i="93"/>
  <c r="AC102" i="93" s="1"/>
  <c r="AI106" i="93"/>
  <c r="AH106" i="93"/>
  <c r="AJ112" i="93"/>
  <c r="AD112" i="93"/>
  <c r="AI12" i="93"/>
  <c r="AH12" i="93"/>
  <c r="AK12" i="93"/>
  <c r="AH15" i="93"/>
  <c r="AI38" i="93"/>
  <c r="N70" i="93"/>
  <c r="O70" i="93" s="1"/>
  <c r="AK70" i="93" s="1"/>
  <c r="AD81" i="93"/>
  <c r="AJ81" i="93"/>
  <c r="O95" i="93"/>
  <c r="AK95" i="93" s="1"/>
  <c r="AD100" i="93"/>
  <c r="AJ100" i="93"/>
  <c r="AF100" i="93"/>
  <c r="AJ9" i="93"/>
  <c r="AI15" i="93"/>
  <c r="S16" i="93"/>
  <c r="AF16" i="93"/>
  <c r="AJ26" i="93"/>
  <c r="AD26" i="93"/>
  <c r="N38" i="93"/>
  <c r="O38" i="93" s="1"/>
  <c r="S87" i="93"/>
  <c r="AC87" i="93" s="1"/>
  <c r="AF87" i="93"/>
  <c r="AF109" i="93"/>
  <c r="AK109" i="93"/>
  <c r="S11" i="93"/>
  <c r="AC11" i="93" s="1"/>
  <c r="AK11" i="93"/>
  <c r="AI21" i="93"/>
  <c r="AH21" i="93"/>
  <c r="AK25" i="93"/>
  <c r="AI25" i="93"/>
  <c r="S35" i="93"/>
  <c r="AC35" i="93" s="1"/>
  <c r="AF35" i="93"/>
  <c r="AJ38" i="93"/>
  <c r="AD38" i="93"/>
  <c r="AH61" i="93"/>
  <c r="AI61" i="93"/>
  <c r="AJ69" i="93"/>
  <c r="AD69" i="93"/>
  <c r="AE72" i="93"/>
  <c r="AA72" i="93"/>
  <c r="AF88" i="93"/>
  <c r="S88" i="93"/>
  <c r="AK88" i="93"/>
  <c r="S99" i="93"/>
  <c r="AC99" i="93" s="1"/>
  <c r="AF99" i="93"/>
  <c r="S109" i="93"/>
  <c r="AC109" i="93" s="1"/>
  <c r="N112" i="93"/>
  <c r="O112" i="93" s="1"/>
  <c r="AH17" i="93"/>
  <c r="AE53" i="93"/>
  <c r="AA53" i="93"/>
  <c r="AE69" i="93"/>
  <c r="AA69" i="93"/>
  <c r="AJ95" i="93"/>
  <c r="AD95" i="93"/>
  <c r="AD102" i="93"/>
  <c r="AJ102" i="93"/>
  <c r="N8" i="93"/>
  <c r="O8" i="93" s="1"/>
  <c r="AI17" i="93"/>
  <c r="AA23" i="93"/>
  <c r="AK32" i="93"/>
  <c r="AK34" i="93"/>
  <c r="AF37" i="93"/>
  <c r="S37" i="93"/>
  <c r="AC37" i="93" s="1"/>
  <c r="AD72" i="93"/>
  <c r="AJ72" i="93"/>
  <c r="AA85" i="93"/>
  <c r="AB85" i="93" s="1"/>
  <c r="AM85" i="93" s="1"/>
  <c r="AI94" i="93"/>
  <c r="S100" i="93"/>
  <c r="AC100" i="93" s="1"/>
  <c r="AJ59" i="93"/>
  <c r="AD59" i="93"/>
  <c r="AI83" i="93"/>
  <c r="AK83" i="93"/>
  <c r="AH49" i="93"/>
  <c r="N74" i="93"/>
  <c r="O74" i="93" s="1"/>
  <c r="AH78" i="93"/>
  <c r="AF83" i="93"/>
  <c r="AJ101" i="93"/>
  <c r="AF101" i="93"/>
  <c r="AD101" i="93"/>
  <c r="AI50" i="93"/>
  <c r="AH50" i="93"/>
  <c r="O57" i="93"/>
  <c r="AJ66" i="93"/>
  <c r="AD66" i="93"/>
  <c r="AF82" i="93"/>
  <c r="S82" i="93"/>
  <c r="S83" i="93"/>
  <c r="AC83" i="93" s="1"/>
  <c r="AE91" i="93"/>
  <c r="O10" i="93"/>
  <c r="AA11" i="93"/>
  <c r="AA13" i="93"/>
  <c r="AB13" i="93" s="1"/>
  <c r="AM13" i="93" s="1"/>
  <c r="AE13" i="93"/>
  <c r="AH33" i="93"/>
  <c r="O40" i="93"/>
  <c r="AJ44" i="93"/>
  <c r="O47" i="93"/>
  <c r="N50" i="93"/>
  <c r="O50" i="93" s="1"/>
  <c r="AK64" i="93"/>
  <c r="AI70" i="93"/>
  <c r="AF93" i="93"/>
  <c r="AK93" i="93"/>
  <c r="AA101" i="93"/>
  <c r="AB101" i="93" s="1"/>
  <c r="AM101" i="93" s="1"/>
  <c r="AA71" i="93"/>
  <c r="AE71" i="93"/>
  <c r="AH74" i="93"/>
  <c r="AI74" i="93"/>
  <c r="AA5" i="93"/>
  <c r="O15" i="93"/>
  <c r="AK15" i="93" s="1"/>
  <c r="N98" i="93"/>
  <c r="O98" i="93" s="1"/>
  <c r="AX16" i="93" a="1"/>
  <c r="AX16" i="93" s="1"/>
  <c r="O19" i="93"/>
  <c r="N33" i="93"/>
  <c r="O33" i="93" s="1"/>
  <c r="AI35" i="93"/>
  <c r="AI97" i="93"/>
  <c r="AH97" i="93"/>
  <c r="AK97" i="93"/>
  <c r="AB111" i="93"/>
  <c r="AM111" i="93" s="1"/>
  <c r="AF111" i="93"/>
  <c r="AH76" i="93"/>
  <c r="AI76" i="93"/>
  <c r="AE26" i="93"/>
  <c r="O44" i="93"/>
  <c r="AK44" i="93" s="1"/>
  <c r="AF84" i="93"/>
  <c r="AH100" i="93"/>
  <c r="AK100" i="93"/>
  <c r="AI110" i="93"/>
  <c r="AH29" i="93"/>
  <c r="AK29" i="93"/>
  <c r="O56" i="93"/>
  <c r="AK56" i="93" s="1"/>
  <c r="N65" i="93"/>
  <c r="O65" i="93" s="1"/>
  <c r="AI81" i="93"/>
  <c r="AH81" i="93"/>
  <c r="AK91" i="93"/>
  <c r="AH91" i="93"/>
  <c r="AI91" i="93"/>
  <c r="AH111" i="93"/>
  <c r="AK111" i="93"/>
  <c r="AK45" i="93"/>
  <c r="AI77" i="93"/>
  <c r="S107" i="93"/>
  <c r="AF107" i="93"/>
  <c r="AE15" i="93"/>
  <c r="AH43" i="93"/>
  <c r="AA55" i="93"/>
  <c r="AE55" i="93"/>
  <c r="AA56" i="93"/>
  <c r="AE57" i="93"/>
  <c r="S60" i="93"/>
  <c r="AC60" i="93" s="1"/>
  <c r="AK87" i="93"/>
  <c r="AA106" i="93"/>
  <c r="AI111" i="93"/>
  <c r="AE46" i="93"/>
  <c r="AA46" i="93"/>
  <c r="O53" i="93"/>
  <c r="AE63" i="93"/>
  <c r="AJ93" i="93"/>
  <c r="AD93" i="93"/>
  <c r="N105" i="93"/>
  <c r="O105" i="93" s="1"/>
  <c r="O39" i="93"/>
  <c r="AJ45" i="93"/>
  <c r="AI79" i="93"/>
  <c r="AK101" i="93"/>
  <c r="AA32" i="93"/>
  <c r="AI66" i="93"/>
  <c r="AH66" i="93"/>
  <c r="N90" i="93"/>
  <c r="O90" i="93" s="1"/>
  <c r="AK90" i="93" s="1"/>
  <c r="AK96" i="93"/>
  <c r="AA97" i="93"/>
  <c r="AB97" i="93" s="1"/>
  <c r="AM97" i="93" s="1"/>
  <c r="AE97" i="93"/>
  <c r="AH95" i="93"/>
  <c r="AD111" i="93"/>
  <c r="AH59" i="93"/>
  <c r="AH69" i="93"/>
  <c r="AA84" i="93"/>
  <c r="AA88" i="93"/>
  <c r="AE94" i="93"/>
  <c r="AA94" i="93"/>
  <c r="AI99" i="93"/>
  <c r="AK99" i="93"/>
  <c r="AH107" i="93"/>
  <c r="AI107" i="93"/>
  <c r="AI102" i="93"/>
  <c r="Z23" i="2"/>
  <c r="Z24" i="2"/>
  <c r="Z25" i="2"/>
  <c r="Z26" i="2"/>
  <c r="Z27" i="2"/>
  <c r="Z28" i="2"/>
  <c r="Z29" i="2"/>
  <c r="Z22" i="2"/>
  <c r="AK31" i="93" l="1"/>
  <c r="AG13" i="93"/>
  <c r="AB22" i="93"/>
  <c r="AM22" i="93" s="1"/>
  <c r="S31" i="93"/>
  <c r="AC31" i="93" s="1"/>
  <c r="AG31" i="93" s="1"/>
  <c r="AF75" i="93"/>
  <c r="AG85" i="93"/>
  <c r="AG48" i="93"/>
  <c r="AF76" i="93"/>
  <c r="AG84" i="93"/>
  <c r="AB48" i="93"/>
  <c r="AM48" i="93" s="1"/>
  <c r="AG97" i="93"/>
  <c r="AG30" i="2"/>
  <c r="AB30" i="2"/>
  <c r="AM30" i="2" s="1"/>
  <c r="S14" i="93"/>
  <c r="AC14" i="93" s="1"/>
  <c r="AF14" i="93"/>
  <c r="S75" i="93"/>
  <c r="AC75" i="93" s="1"/>
  <c r="AB94" i="93"/>
  <c r="AM94" i="93" s="1"/>
  <c r="AK94" i="93"/>
  <c r="AB92" i="93"/>
  <c r="AM92" i="93" s="1"/>
  <c r="S24" i="93"/>
  <c r="AC24" i="93" s="1"/>
  <c r="AG24" i="93" s="1"/>
  <c r="AB103" i="93"/>
  <c r="AM103" i="93" s="1"/>
  <c r="AB84" i="93"/>
  <c r="AM84" i="93" s="1"/>
  <c r="AK62" i="93"/>
  <c r="S62" i="93"/>
  <c r="AC62" i="93" s="1"/>
  <c r="AF62" i="93"/>
  <c r="AG12" i="93"/>
  <c r="AF92" i="93"/>
  <c r="AG92" i="93" s="1"/>
  <c r="AG111" i="93"/>
  <c r="AK92" i="93"/>
  <c r="AB83" i="93"/>
  <c r="AM83" i="93" s="1"/>
  <c r="S61" i="93"/>
  <c r="AC61" i="93" s="1"/>
  <c r="AB35" i="93"/>
  <c r="AM35" i="93" s="1"/>
  <c r="AB102" i="93"/>
  <c r="AM102" i="93" s="1"/>
  <c r="AG34" i="93"/>
  <c r="AK24" i="93"/>
  <c r="AG96" i="93"/>
  <c r="BA14" i="93"/>
  <c r="AG101" i="93"/>
  <c r="AF61" i="93"/>
  <c r="S80" i="93"/>
  <c r="AC80" i="93" s="1"/>
  <c r="AK80" i="93"/>
  <c r="AF80" i="93"/>
  <c r="AZ9" i="93" a="1"/>
  <c r="AZ9" i="93" s="1"/>
  <c r="AK104" i="93"/>
  <c r="AB12" i="93"/>
  <c r="AM12" i="93" s="1"/>
  <c r="AB32" i="93"/>
  <c r="AM32" i="93" s="1"/>
  <c r="AZ12" i="93" a="1"/>
  <c r="AZ12" i="93" s="1"/>
  <c r="AY12" i="93" s="1"/>
  <c r="AG93" i="93"/>
  <c r="AK76" i="93"/>
  <c r="AG27" i="93"/>
  <c r="AG94" i="93"/>
  <c r="AG37" i="93"/>
  <c r="AG109" i="93"/>
  <c r="AI3" i="93"/>
  <c r="E1" i="93" s="1"/>
  <c r="AB5" i="93"/>
  <c r="AM5" i="93" s="1"/>
  <c r="AG99" i="93"/>
  <c r="AG25" i="93"/>
  <c r="AY17" i="93"/>
  <c r="AB87" i="93"/>
  <c r="AM87" i="93" s="1"/>
  <c r="S104" i="93"/>
  <c r="AC104" i="93" s="1"/>
  <c r="AG104" i="93" s="1"/>
  <c r="AG11" i="93"/>
  <c r="AB108" i="93"/>
  <c r="AM108" i="93" s="1"/>
  <c r="AF21" i="93"/>
  <c r="S21" i="93"/>
  <c r="AC21" i="93" s="1"/>
  <c r="AK21" i="93"/>
  <c r="S112" i="93"/>
  <c r="AC112" i="93" s="1"/>
  <c r="AF112" i="93"/>
  <c r="AK112" i="93"/>
  <c r="S17" i="93"/>
  <c r="AC17" i="93" s="1"/>
  <c r="AF17" i="93"/>
  <c r="AK17" i="93"/>
  <c r="AF23" i="93"/>
  <c r="S23" i="93"/>
  <c r="AC23" i="93" s="1"/>
  <c r="AK23" i="93"/>
  <c r="AF9" i="93"/>
  <c r="AK9" i="93"/>
  <c r="S9" i="93"/>
  <c r="AC9" i="93" s="1"/>
  <c r="S38" i="93"/>
  <c r="AC38" i="93" s="1"/>
  <c r="AF38" i="93"/>
  <c r="AK38" i="93"/>
  <c r="AF63" i="93"/>
  <c r="S63" i="93"/>
  <c r="AC63" i="93" s="1"/>
  <c r="AK63" i="93"/>
  <c r="S71" i="93"/>
  <c r="AC71" i="93" s="1"/>
  <c r="AF71" i="93"/>
  <c r="AK71" i="93"/>
  <c r="AK73" i="93"/>
  <c r="AF73" i="93"/>
  <c r="S73" i="93"/>
  <c r="AC73" i="93" s="1"/>
  <c r="AB98" i="93"/>
  <c r="AM98" i="93" s="1"/>
  <c r="AK98" i="93"/>
  <c r="AF98" i="93"/>
  <c r="AG98" i="93" s="1"/>
  <c r="S66" i="93"/>
  <c r="AC66" i="93" s="1"/>
  <c r="AK66" i="93"/>
  <c r="AF66" i="93"/>
  <c r="AF36" i="93"/>
  <c r="S36" i="93"/>
  <c r="AC36" i="93" s="1"/>
  <c r="AK36" i="93"/>
  <c r="AF72" i="93"/>
  <c r="S72" i="93"/>
  <c r="AC72" i="93" s="1"/>
  <c r="AK72" i="93"/>
  <c r="S6" i="93"/>
  <c r="AC6" i="93" s="1"/>
  <c r="AK6" i="93"/>
  <c r="AF6" i="93"/>
  <c r="S33" i="93"/>
  <c r="AC33" i="93" s="1"/>
  <c r="AF33" i="93"/>
  <c r="AK33" i="93"/>
  <c r="AK8" i="93"/>
  <c r="S8" i="93"/>
  <c r="AC8" i="93" s="1"/>
  <c r="AF8" i="93"/>
  <c r="S59" i="93"/>
  <c r="AC59" i="93" s="1"/>
  <c r="AK59" i="93"/>
  <c r="AF59" i="93"/>
  <c r="S74" i="93"/>
  <c r="AC74" i="93" s="1"/>
  <c r="AK74" i="93"/>
  <c r="AF74" i="93"/>
  <c r="S89" i="93"/>
  <c r="AC89" i="93" s="1"/>
  <c r="AK89" i="93"/>
  <c r="AF89" i="93"/>
  <c r="AF51" i="93"/>
  <c r="S51" i="93"/>
  <c r="AC51" i="93" s="1"/>
  <c r="AK51" i="93"/>
  <c r="S79" i="93"/>
  <c r="AC79" i="93" s="1"/>
  <c r="AF79" i="93"/>
  <c r="AK79" i="93"/>
  <c r="AF49" i="93"/>
  <c r="S49" i="93"/>
  <c r="AC49" i="93" s="1"/>
  <c r="AK49" i="93"/>
  <c r="AF30" i="93"/>
  <c r="S30" i="93"/>
  <c r="AC30" i="93" s="1"/>
  <c r="AK30" i="93"/>
  <c r="S65" i="93"/>
  <c r="AC65" i="93" s="1"/>
  <c r="AF65" i="93"/>
  <c r="AK65" i="93"/>
  <c r="AF68" i="93"/>
  <c r="S68" i="93"/>
  <c r="AC68" i="93" s="1"/>
  <c r="AK68" i="93"/>
  <c r="AF28" i="93"/>
  <c r="AK28" i="93"/>
  <c r="S28" i="93"/>
  <c r="AC28" i="93" s="1"/>
  <c r="S43" i="93"/>
  <c r="AC43" i="93" s="1"/>
  <c r="AF43" i="93"/>
  <c r="AF53" i="93"/>
  <c r="AK53" i="93"/>
  <c r="S53" i="93"/>
  <c r="AC53" i="93" s="1"/>
  <c r="AG60" i="93"/>
  <c r="BA16" i="93"/>
  <c r="AY16" i="93"/>
  <c r="AB52" i="93"/>
  <c r="AM52" i="93" s="1"/>
  <c r="S78" i="93"/>
  <c r="AC78" i="93" s="1"/>
  <c r="AF78" i="93"/>
  <c r="BB9" i="93"/>
  <c r="AW7" i="93"/>
  <c r="BD9" i="93"/>
  <c r="BD10" i="93" s="1"/>
  <c r="BD11" i="93" s="1"/>
  <c r="BD12" i="93" s="1"/>
  <c r="BD13" i="93" s="1"/>
  <c r="BD14" i="93" s="1"/>
  <c r="BD15" i="93" s="1"/>
  <c r="BD16" i="93" s="1"/>
  <c r="BD17" i="93" s="1"/>
  <c r="BD18" i="93" s="1"/>
  <c r="AX9" i="93" a="1"/>
  <c r="AX9" i="93" s="1"/>
  <c r="AB82" i="93"/>
  <c r="AM82" i="93" s="1"/>
  <c r="AC82" i="93"/>
  <c r="AG82" i="93" s="1"/>
  <c r="AK78" i="93"/>
  <c r="AF41" i="93"/>
  <c r="S41" i="93"/>
  <c r="AC41" i="93" s="1"/>
  <c r="AK41" i="93"/>
  <c r="AG103" i="93"/>
  <c r="BA27" i="93"/>
  <c r="AB27" i="93"/>
  <c r="AM27" i="93" s="1"/>
  <c r="AB11" i="93"/>
  <c r="AM11" i="93" s="1"/>
  <c r="AF70" i="93"/>
  <c r="S70" i="93"/>
  <c r="AC70" i="93" s="1"/>
  <c r="BA13" i="93"/>
  <c r="BB12" i="93"/>
  <c r="AF110" i="93"/>
  <c r="S110" i="93"/>
  <c r="AC110" i="93" s="1"/>
  <c r="S105" i="93"/>
  <c r="AC105" i="93" s="1"/>
  <c r="AF105" i="93"/>
  <c r="AF56" i="93"/>
  <c r="S56" i="93"/>
  <c r="AC56" i="93" s="1"/>
  <c r="AK10" i="93"/>
  <c r="AF10" i="93"/>
  <c r="S10" i="93"/>
  <c r="AC10" i="93" s="1"/>
  <c r="AG100" i="93"/>
  <c r="AB99" i="93"/>
  <c r="AM99" i="93" s="1"/>
  <c r="AK20" i="93"/>
  <c r="S20" i="93"/>
  <c r="AC20" i="93" s="1"/>
  <c r="AF20" i="93"/>
  <c r="AC69" i="93"/>
  <c r="AG69" i="93" s="1"/>
  <c r="AB69" i="93"/>
  <c r="AM69" i="93" s="1"/>
  <c r="AK105" i="93"/>
  <c r="AK43" i="93"/>
  <c r="AK110" i="93"/>
  <c r="AB100" i="93"/>
  <c r="AM100" i="93" s="1"/>
  <c r="AK46" i="93"/>
  <c r="AF46" i="93"/>
  <c r="AG46" i="93" s="1"/>
  <c r="AB46" i="93"/>
  <c r="AM46" i="93" s="1"/>
  <c r="AJ3" i="93"/>
  <c r="L2" i="93"/>
  <c r="AG32" i="93"/>
  <c r="AB34" i="93"/>
  <c r="AM34" i="93" s="1"/>
  <c r="AC107" i="93"/>
  <c r="AG107" i="93" s="1"/>
  <c r="AB107" i="93"/>
  <c r="AM107" i="93" s="1"/>
  <c r="AB37" i="93"/>
  <c r="AM37" i="93" s="1"/>
  <c r="AG22" i="93"/>
  <c r="AG83" i="93"/>
  <c r="AF95" i="93"/>
  <c r="AG95" i="93" s="1"/>
  <c r="AB95" i="93"/>
  <c r="AM95" i="93" s="1"/>
  <c r="AG26" i="93"/>
  <c r="AG102" i="93"/>
  <c r="AG45" i="93"/>
  <c r="AB60" i="93"/>
  <c r="AM60" i="93" s="1"/>
  <c r="S86" i="93"/>
  <c r="AC86" i="93" s="1"/>
  <c r="AF86" i="93"/>
  <c r="AB45" i="93"/>
  <c r="AM45" i="93" s="1"/>
  <c r="S42" i="93"/>
  <c r="AC42" i="93" s="1"/>
  <c r="AF42" i="93"/>
  <c r="AF47" i="93"/>
  <c r="AG47" i="93" s="1"/>
  <c r="AK47" i="93"/>
  <c r="AB47" i="93"/>
  <c r="AM47" i="93" s="1"/>
  <c r="AC76" i="93"/>
  <c r="AB76" i="93"/>
  <c r="AM76" i="93" s="1"/>
  <c r="AB29" i="93"/>
  <c r="AM29" i="93" s="1"/>
  <c r="BA11" i="93"/>
  <c r="AF44" i="93"/>
  <c r="S44" i="93"/>
  <c r="AC44" i="93" s="1"/>
  <c r="AF55" i="93"/>
  <c r="S55" i="93"/>
  <c r="AC55" i="93" s="1"/>
  <c r="AB25" i="93"/>
  <c r="AM25" i="93" s="1"/>
  <c r="AG87" i="93"/>
  <c r="AF54" i="93"/>
  <c r="S54" i="93"/>
  <c r="AC54" i="93" s="1"/>
  <c r="S19" i="93"/>
  <c r="AC19" i="93" s="1"/>
  <c r="AF19" i="93"/>
  <c r="AK19" i="93"/>
  <c r="AG52" i="93"/>
  <c r="AF77" i="93"/>
  <c r="S77" i="93"/>
  <c r="AC77" i="93" s="1"/>
  <c r="S39" i="93"/>
  <c r="AC39" i="93" s="1"/>
  <c r="AK39" i="93"/>
  <c r="AF39" i="93"/>
  <c r="AF57" i="93"/>
  <c r="S57" i="93"/>
  <c r="AC57" i="93" s="1"/>
  <c r="AK57" i="93"/>
  <c r="AH3" i="93"/>
  <c r="E2" i="93" s="1"/>
  <c r="C19" i="60" s="1"/>
  <c r="E19" i="60" s="1"/>
  <c r="R2" i="93"/>
  <c r="P2" i="93"/>
  <c r="AZ13" i="93" a="1"/>
  <c r="AZ13" i="93" s="1"/>
  <c r="AY13" i="93" s="1"/>
  <c r="Q2" i="93"/>
  <c r="AF67" i="93"/>
  <c r="S67" i="93"/>
  <c r="AC67" i="93" s="1"/>
  <c r="AK67" i="93"/>
  <c r="AK77" i="93"/>
  <c r="S15" i="93"/>
  <c r="AC15" i="93" s="1"/>
  <c r="AF15" i="93"/>
  <c r="AF50" i="93"/>
  <c r="S50" i="93"/>
  <c r="AC50" i="93" s="1"/>
  <c r="AB16" i="93"/>
  <c r="AM16" i="93" s="1"/>
  <c r="AC16" i="93"/>
  <c r="AG16" i="93" s="1"/>
  <c r="S58" i="93"/>
  <c r="AC58" i="93" s="1"/>
  <c r="AF58" i="93"/>
  <c r="BA15" i="93"/>
  <c r="AY15" i="93"/>
  <c r="AG64" i="93"/>
  <c r="AF18" i="93"/>
  <c r="AK18" i="93"/>
  <c r="S18" i="93"/>
  <c r="AC18" i="93" s="1"/>
  <c r="AF81" i="93"/>
  <c r="S81" i="93"/>
  <c r="AC81" i="93" s="1"/>
  <c r="AK81" i="93"/>
  <c r="AZ10" i="93" a="1"/>
  <c r="AZ10" i="93" s="1"/>
  <c r="AY10" i="93" s="1"/>
  <c r="BB10" i="93"/>
  <c r="AC88" i="93"/>
  <c r="AG88" i="93" s="1"/>
  <c r="AB88" i="93"/>
  <c r="AM88" i="93" s="1"/>
  <c r="AG29" i="93"/>
  <c r="AB64" i="93"/>
  <c r="AM64" i="93" s="1"/>
  <c r="S106" i="93"/>
  <c r="AC106" i="93" s="1"/>
  <c r="AF106" i="93"/>
  <c r="AB26" i="93"/>
  <c r="AM26" i="93" s="1"/>
  <c r="AK50" i="93"/>
  <c r="AF7" i="93"/>
  <c r="S7" i="93"/>
  <c r="AC7" i="93" s="1"/>
  <c r="AZ11" i="93" a="1"/>
  <c r="AZ11" i="93" s="1"/>
  <c r="AY11" i="93" s="1"/>
  <c r="BB11" i="93"/>
  <c r="AG35" i="93"/>
  <c r="S90" i="93"/>
  <c r="AC90" i="93" s="1"/>
  <c r="AF90" i="93"/>
  <c r="S40" i="93"/>
  <c r="AC40" i="93" s="1"/>
  <c r="AK40" i="93"/>
  <c r="AF40" i="93"/>
  <c r="AB109" i="93"/>
  <c r="AM109" i="93" s="1"/>
  <c r="AG108" i="93"/>
  <c r="AG5" i="93"/>
  <c r="AG91" i="93"/>
  <c r="Y26" i="2"/>
  <c r="Y27" i="2"/>
  <c r="Y28" i="2"/>
  <c r="Y29" i="2"/>
  <c r="U28" i="2"/>
  <c r="AJ28" i="2" s="1"/>
  <c r="U29" i="2"/>
  <c r="AJ29" i="2" s="1"/>
  <c r="U26" i="2"/>
  <c r="AD26" i="2" s="1"/>
  <c r="U27" i="2"/>
  <c r="AD27" i="2" s="1"/>
  <c r="G2" i="93" l="1"/>
  <c r="C17" i="60"/>
  <c r="AG68" i="93"/>
  <c r="AB31" i="93"/>
  <c r="AM31" i="93" s="1"/>
  <c r="AG76" i="93"/>
  <c r="AG23" i="93"/>
  <c r="AB106" i="93"/>
  <c r="AM106" i="93" s="1"/>
  <c r="AB63" i="93"/>
  <c r="AM63" i="93" s="1"/>
  <c r="AG49" i="93"/>
  <c r="AG67" i="93"/>
  <c r="AG70" i="93"/>
  <c r="AG75" i="93"/>
  <c r="AB17" i="93"/>
  <c r="AM17" i="93" s="1"/>
  <c r="AB40" i="93"/>
  <c r="AM40" i="93" s="1"/>
  <c r="AB62" i="93"/>
  <c r="AM62" i="93" s="1"/>
  <c r="AG36" i="93"/>
  <c r="AG62" i="93"/>
  <c r="AG50" i="93"/>
  <c r="AG61" i="93"/>
  <c r="AG14" i="93"/>
  <c r="AB54" i="93"/>
  <c r="AM54" i="93" s="1"/>
  <c r="AB67" i="93"/>
  <c r="AM67" i="93" s="1"/>
  <c r="AG56" i="93"/>
  <c r="AB112" i="93"/>
  <c r="AM112" i="93" s="1"/>
  <c r="AB43" i="93"/>
  <c r="AM43" i="93" s="1"/>
  <c r="AG44" i="93"/>
  <c r="AB77" i="93"/>
  <c r="AM77" i="93" s="1"/>
  <c r="AB39" i="93"/>
  <c r="AM39" i="93" s="1"/>
  <c r="AB59" i="93"/>
  <c r="AM59" i="93" s="1"/>
  <c r="AG63" i="93"/>
  <c r="AG77" i="93"/>
  <c r="AB14" i="93"/>
  <c r="AM14" i="93" s="1"/>
  <c r="AG80" i="93"/>
  <c r="AB81" i="93"/>
  <c r="AM81" i="93" s="1"/>
  <c r="AG10" i="93"/>
  <c r="AB75" i="93"/>
  <c r="AM75" i="93" s="1"/>
  <c r="AG41" i="93"/>
  <c r="AG30" i="93"/>
  <c r="AB24" i="93"/>
  <c r="AM24" i="93" s="1"/>
  <c r="AB41" i="93"/>
  <c r="AM41" i="93" s="1"/>
  <c r="AB19" i="93"/>
  <c r="AM19" i="93" s="1"/>
  <c r="AB86" i="93"/>
  <c r="AM86" i="93" s="1"/>
  <c r="AG81" i="93"/>
  <c r="AB6" i="93"/>
  <c r="AM6" i="93" s="1"/>
  <c r="AB61" i="93"/>
  <c r="AM61" i="93" s="1"/>
  <c r="AB104" i="93"/>
  <c r="AM104" i="93" s="1"/>
  <c r="AG78" i="93"/>
  <c r="AB30" i="93"/>
  <c r="AM30" i="93" s="1"/>
  <c r="AG40" i="93"/>
  <c r="AB56" i="93"/>
  <c r="AM56" i="93" s="1"/>
  <c r="AB90" i="93"/>
  <c r="AM90" i="93" s="1"/>
  <c r="AG18" i="93"/>
  <c r="AB71" i="93"/>
  <c r="AM71" i="93" s="1"/>
  <c r="AG110" i="93"/>
  <c r="AG72" i="93"/>
  <c r="AB42" i="93"/>
  <c r="AM42" i="93" s="1"/>
  <c r="AB65" i="93"/>
  <c r="AM65" i="93" s="1"/>
  <c r="AB55" i="93"/>
  <c r="AM55" i="93" s="1"/>
  <c r="AG7" i="93"/>
  <c r="AB58" i="93"/>
  <c r="AM58" i="93" s="1"/>
  <c r="AB57" i="93"/>
  <c r="AM57" i="93" s="1"/>
  <c r="AG54" i="93"/>
  <c r="AG33" i="93"/>
  <c r="AB73" i="93"/>
  <c r="AM73" i="93" s="1"/>
  <c r="AB80" i="93"/>
  <c r="AM80" i="93" s="1"/>
  <c r="AB9" i="93"/>
  <c r="AM9" i="93" s="1"/>
  <c r="AG43" i="93"/>
  <c r="AB53" i="93"/>
  <c r="AM53" i="93" s="1"/>
  <c r="AB66" i="93"/>
  <c r="AM66" i="93" s="1"/>
  <c r="AG21" i="93"/>
  <c r="AB44" i="93"/>
  <c r="AM44" i="93" s="1"/>
  <c r="AX7" i="93"/>
  <c r="BA9" i="93"/>
  <c r="AY9" i="93"/>
  <c r="AB49" i="93"/>
  <c r="AM49" i="93" s="1"/>
  <c r="AG66" i="93"/>
  <c r="AK3" i="93"/>
  <c r="AG59" i="93"/>
  <c r="AG38" i="93"/>
  <c r="AB110" i="93"/>
  <c r="AM110" i="93" s="1"/>
  <c r="BB7" i="93"/>
  <c r="AG8" i="93"/>
  <c r="AB38" i="93"/>
  <c r="AM38" i="93" s="1"/>
  <c r="AB23" i="93"/>
  <c r="AM23" i="93" s="1"/>
  <c r="AG42" i="93"/>
  <c r="AB10" i="93"/>
  <c r="AM10" i="93" s="1"/>
  <c r="AG65" i="93"/>
  <c r="AB79" i="93"/>
  <c r="AM79" i="93" s="1"/>
  <c r="AB74" i="93"/>
  <c r="AM74" i="93" s="1"/>
  <c r="AZ7" i="93"/>
  <c r="AG17" i="93"/>
  <c r="AG20" i="93"/>
  <c r="AB70" i="93"/>
  <c r="AM70" i="93" s="1"/>
  <c r="AG106" i="93"/>
  <c r="AB50" i="93"/>
  <c r="AM50" i="93" s="1"/>
  <c r="AB20" i="93"/>
  <c r="AM20" i="93" s="1"/>
  <c r="AG105" i="93"/>
  <c r="AG89" i="93"/>
  <c r="AG112" i="93"/>
  <c r="AB105" i="93"/>
  <c r="AM105" i="93" s="1"/>
  <c r="AB68" i="93"/>
  <c r="AM68" i="93" s="1"/>
  <c r="AB89" i="93"/>
  <c r="AM89" i="93" s="1"/>
  <c r="AG15" i="93"/>
  <c r="AG39" i="93"/>
  <c r="AB18" i="93"/>
  <c r="AM18" i="93" s="1"/>
  <c r="AG55" i="93"/>
  <c r="AG79" i="93"/>
  <c r="AG74" i="93"/>
  <c r="AB8" i="93"/>
  <c r="AM8" i="93" s="1"/>
  <c r="AG6" i="93"/>
  <c r="AG9" i="93"/>
  <c r="AB78" i="93"/>
  <c r="AM78" i="93" s="1"/>
  <c r="AB7" i="93"/>
  <c r="AM7" i="93" s="1"/>
  <c r="AB72" i="93"/>
  <c r="AM72" i="93" s="1"/>
  <c r="AG19" i="93"/>
  <c r="AG86" i="93"/>
  <c r="AG28" i="93"/>
  <c r="AG58" i="93"/>
  <c r="AG53" i="93"/>
  <c r="AB28" i="93"/>
  <c r="AM28" i="93" s="1"/>
  <c r="AG51" i="93"/>
  <c r="AB33" i="93"/>
  <c r="AM33" i="93" s="1"/>
  <c r="AG71" i="93"/>
  <c r="AB21" i="93"/>
  <c r="AM21" i="93" s="1"/>
  <c r="AG90" i="93"/>
  <c r="AG57" i="93"/>
  <c r="AB51" i="93"/>
  <c r="AM51" i="93" s="1"/>
  <c r="AG73" i="93"/>
  <c r="AA28" i="2"/>
  <c r="AA29" i="2"/>
  <c r="AA26" i="2"/>
  <c r="AJ27" i="2"/>
  <c r="AD29" i="2"/>
  <c r="AE28" i="2"/>
  <c r="AA27" i="2"/>
  <c r="AJ26" i="2"/>
  <c r="AE26" i="2"/>
  <c r="AD28" i="2"/>
  <c r="AE29" i="2"/>
  <c r="AE27" i="2"/>
  <c r="D17" i="60" l="1"/>
  <c r="E17" i="60"/>
  <c r="AG2" i="93"/>
  <c r="AM3" i="93"/>
  <c r="BC9" i="93"/>
  <c r="BC10" i="93" s="1"/>
  <c r="BC11" i="93" s="1"/>
  <c r="BC12" i="93" s="1"/>
  <c r="BC13" i="93" s="1"/>
  <c r="BC14" i="93" s="1"/>
  <c r="BC15" i="93" s="1"/>
  <c r="BC16" i="93" s="1"/>
  <c r="BC17" i="93" s="1"/>
  <c r="BC18" i="93" s="1"/>
  <c r="BA7" i="93"/>
  <c r="AN28" i="2"/>
  <c r="M28" i="2" s="1"/>
  <c r="AN29" i="2"/>
  <c r="M29" i="2" s="1"/>
  <c r="AN26" i="2"/>
  <c r="M26" i="2" s="1"/>
  <c r="O26" i="2" s="1"/>
  <c r="AN27" i="2"/>
  <c r="M27" i="2" s="1"/>
  <c r="K26" i="2"/>
  <c r="K27" i="2"/>
  <c r="K28" i="2"/>
  <c r="K29" i="2"/>
  <c r="E26" i="2"/>
  <c r="E27" i="2"/>
  <c r="E28" i="2"/>
  <c r="E29" i="2"/>
  <c r="Y22" i="2"/>
  <c r="Y23" i="2"/>
  <c r="Y24" i="2"/>
  <c r="Y25" i="2"/>
  <c r="U22" i="2"/>
  <c r="AJ22" i="2" s="1"/>
  <c r="U23" i="2"/>
  <c r="AD23" i="2" s="1"/>
  <c r="U24" i="2"/>
  <c r="AD24" i="2" s="1"/>
  <c r="U25" i="2"/>
  <c r="AD25" i="2" s="1"/>
  <c r="G1" i="93" l="1"/>
  <c r="C20" i="60"/>
  <c r="E20" i="60" s="1"/>
  <c r="AH26" i="2"/>
  <c r="AI26" i="2"/>
  <c r="AI28" i="2"/>
  <c r="AH28" i="2"/>
  <c r="AI29" i="2"/>
  <c r="AH29" i="2"/>
  <c r="AH27" i="2"/>
  <c r="AI27" i="2"/>
  <c r="S26" i="2"/>
  <c r="AC26" i="2" s="1"/>
  <c r="AF26" i="2"/>
  <c r="AK26" i="2"/>
  <c r="O28" i="2"/>
  <c r="N27" i="2"/>
  <c r="O27" i="2" s="1"/>
  <c r="N29" i="2"/>
  <c r="O29" i="2" s="1"/>
  <c r="AA22" i="2"/>
  <c r="AD22" i="2"/>
  <c r="AE25" i="2"/>
  <c r="AE24" i="2"/>
  <c r="AJ23" i="2"/>
  <c r="AE23" i="2"/>
  <c r="AA25" i="2"/>
  <c r="AA24" i="2"/>
  <c r="AJ25" i="2"/>
  <c r="AA23" i="2"/>
  <c r="AJ24" i="2"/>
  <c r="AE22" i="2"/>
  <c r="AN21" i="2"/>
  <c r="M21" i="2" s="1"/>
  <c r="AN22" i="2"/>
  <c r="M22" i="2" s="1"/>
  <c r="AN23" i="2"/>
  <c r="M23" i="2" s="1"/>
  <c r="AN24" i="2"/>
  <c r="AN25" i="2"/>
  <c r="AG26" i="2" l="1"/>
  <c r="AB26" i="2"/>
  <c r="AM26" i="2" s="1"/>
  <c r="S28" i="2"/>
  <c r="AF28" i="2"/>
  <c r="AK28" i="2"/>
  <c r="AF29" i="2"/>
  <c r="AK29" i="2"/>
  <c r="S29" i="2"/>
  <c r="AC29" i="2" s="1"/>
  <c r="AF27" i="2"/>
  <c r="AK27" i="2"/>
  <c r="S27" i="2"/>
  <c r="AC27" i="2" s="1"/>
  <c r="M24" i="2"/>
  <c r="N24" i="2" s="1"/>
  <c r="O24" i="2" s="1"/>
  <c r="M25" i="2"/>
  <c r="N23" i="2"/>
  <c r="O23" i="2" s="1"/>
  <c r="N22" i="2"/>
  <c r="O22" i="2" s="1"/>
  <c r="N21" i="2"/>
  <c r="O21" i="2" s="1"/>
  <c r="AG29" i="2" l="1"/>
  <c r="AG27" i="2"/>
  <c r="AM29" i="2"/>
  <c r="N25" i="2"/>
  <c r="O25" i="2" s="1"/>
  <c r="AB28" i="2"/>
  <c r="AM28" i="2" s="1"/>
  <c r="AC28" i="2"/>
  <c r="AG28" i="2" s="1"/>
  <c r="AB27" i="2"/>
  <c r="AM27" i="2" s="1"/>
  <c r="AF24" i="2"/>
  <c r="S24" i="2"/>
  <c r="AC24" i="2" s="1"/>
  <c r="AF23" i="2"/>
  <c r="S23" i="2"/>
  <c r="AC23" i="2" s="1"/>
  <c r="AF22" i="2"/>
  <c r="S22" i="2"/>
  <c r="AC22" i="2" s="1"/>
  <c r="K22" i="2"/>
  <c r="K23" i="2"/>
  <c r="K24" i="2"/>
  <c r="K25" i="2"/>
  <c r="E22" i="2"/>
  <c r="E23" i="2"/>
  <c r="E24" i="2"/>
  <c r="E25" i="2"/>
  <c r="AG24" i="2" l="1"/>
  <c r="AG23" i="2"/>
  <c r="S25" i="2"/>
  <c r="AC25" i="2" s="1"/>
  <c r="AF25" i="2"/>
  <c r="AG22" i="2"/>
  <c r="AB24" i="2"/>
  <c r="AM24" i="2" s="1"/>
  <c r="AH25" i="2"/>
  <c r="AI25" i="2"/>
  <c r="AK25" i="2"/>
  <c r="AI23" i="2"/>
  <c r="AH23" i="2"/>
  <c r="AK23" i="2"/>
  <c r="AH22" i="2"/>
  <c r="AK22" i="2"/>
  <c r="AI22" i="2"/>
  <c r="AH24" i="2"/>
  <c r="AI24" i="2"/>
  <c r="AK24" i="2"/>
  <c r="AB22" i="2"/>
  <c r="AM22" i="2" s="1"/>
  <c r="AB23" i="2"/>
  <c r="AM23" i="2" s="1"/>
  <c r="I2" i="2"/>
  <c r="AH3" i="92"/>
  <c r="P2" i="92"/>
  <c r="L2" i="92"/>
  <c r="K2" i="92"/>
  <c r="I2" i="92"/>
  <c r="Q2" i="92"/>
  <c r="BD33" i="92"/>
  <c r="BD32" i="92"/>
  <c r="BD31" i="92"/>
  <c r="BD33" i="91"/>
  <c r="BD32" i="91"/>
  <c r="BD31" i="91"/>
  <c r="Y20" i="2"/>
  <c r="Y21" i="2"/>
  <c r="Z21" i="2"/>
  <c r="U20" i="2"/>
  <c r="AD20" i="2" s="1"/>
  <c r="U21" i="2"/>
  <c r="AJ21" i="2" s="1"/>
  <c r="S21" i="2"/>
  <c r="AC21" i="2" s="1"/>
  <c r="K20" i="2"/>
  <c r="AH20" i="2" s="1"/>
  <c r="K21" i="2"/>
  <c r="AI21" i="2" s="1"/>
  <c r="AN20" i="2"/>
  <c r="M20" i="2" s="1"/>
  <c r="E20" i="2"/>
  <c r="E21" i="2"/>
  <c r="AG25" i="2" l="1"/>
  <c r="AM25" i="2"/>
  <c r="AA20" i="2"/>
  <c r="AK21" i="2"/>
  <c r="AJ20" i="2"/>
  <c r="N20" i="2"/>
  <c r="O20" i="2" s="1"/>
  <c r="AE21" i="2"/>
  <c r="AH21" i="2"/>
  <c r="AD21" i="2"/>
  <c r="AE20" i="2"/>
  <c r="AI20" i="2"/>
  <c r="AF21" i="2"/>
  <c r="AA21" i="2"/>
  <c r="AB21" i="2" s="1"/>
  <c r="AM21" i="2" s="1"/>
  <c r="BC30" i="92"/>
  <c r="AG21" i="2" l="1"/>
  <c r="AF20" i="2"/>
  <c r="AK20" i="2"/>
  <c r="S20" i="2"/>
  <c r="AC20" i="2" s="1"/>
  <c r="AG20" i="2" l="1"/>
  <c r="AB20" i="2"/>
  <c r="AM20" i="2" s="1"/>
  <c r="Y15" i="2" l="1"/>
  <c r="Z15" i="2"/>
  <c r="Y16" i="2"/>
  <c r="Z16" i="2"/>
  <c r="Y17" i="2"/>
  <c r="Z17" i="2"/>
  <c r="Y18" i="2"/>
  <c r="Z18" i="2"/>
  <c r="Y19" i="2"/>
  <c r="Z19" i="2"/>
  <c r="U15" i="2"/>
  <c r="AD15" i="2" s="1"/>
  <c r="U16" i="2"/>
  <c r="AD16" i="2" s="1"/>
  <c r="U17" i="2"/>
  <c r="AD17" i="2" s="1"/>
  <c r="U18" i="2"/>
  <c r="U19" i="2"/>
  <c r="AJ19" i="2" l="1"/>
  <c r="AA17" i="2"/>
  <c r="AE17" i="2"/>
  <c r="AA19" i="2"/>
  <c r="AA16" i="2"/>
  <c r="AE19" i="2"/>
  <c r="AA15" i="2"/>
  <c r="AA18" i="2"/>
  <c r="AE18" i="2"/>
  <c r="AJ17" i="2"/>
  <c r="AD18" i="2"/>
  <c r="AJ18" i="2"/>
  <c r="AD19" i="2"/>
  <c r="AE16" i="2"/>
  <c r="AJ15" i="2"/>
  <c r="AJ16" i="2"/>
  <c r="AE15" i="2"/>
  <c r="AN15" i="2" l="1"/>
  <c r="N15" i="2" s="1"/>
  <c r="O15" i="2" s="1"/>
  <c r="AN16" i="2"/>
  <c r="M16" i="2" s="1"/>
  <c r="AN17" i="2"/>
  <c r="O17" i="2" s="1"/>
  <c r="AN18" i="2"/>
  <c r="AN19" i="2"/>
  <c r="O19" i="2" s="1"/>
  <c r="K15" i="2"/>
  <c r="K16" i="2"/>
  <c r="K17" i="2"/>
  <c r="K18" i="2"/>
  <c r="K19" i="2"/>
  <c r="E15" i="2"/>
  <c r="E16" i="2"/>
  <c r="E17" i="2"/>
  <c r="E18" i="2"/>
  <c r="E19" i="2"/>
  <c r="G14" i="1" l="1"/>
  <c r="AH18" i="2"/>
  <c r="AI18" i="2"/>
  <c r="AH16" i="2"/>
  <c r="AI16" i="2"/>
  <c r="AH15" i="2"/>
  <c r="AI15" i="2"/>
  <c r="AK15" i="2"/>
  <c r="N18" i="2"/>
  <c r="AF17" i="2"/>
  <c r="S17" i="2"/>
  <c r="AC17" i="2" s="1"/>
  <c r="N16" i="2"/>
  <c r="O16" i="2" s="1"/>
  <c r="S15" i="2"/>
  <c r="AC15" i="2" s="1"/>
  <c r="AF15" i="2"/>
  <c r="AH19" i="2"/>
  <c r="AI19" i="2"/>
  <c r="AK19" i="2"/>
  <c r="AH17" i="2"/>
  <c r="AI17" i="2"/>
  <c r="AK17" i="2"/>
  <c r="AF19" i="2"/>
  <c r="S19" i="2"/>
  <c r="E22" i="77"/>
  <c r="AW38" i="2"/>
  <c r="AY38" i="2" s="1"/>
  <c r="BA38" i="2" s="1"/>
  <c r="AW37" i="2"/>
  <c r="AY37" i="2" s="1"/>
  <c r="BA37" i="2" s="1"/>
  <c r="AW36" i="2"/>
  <c r="AY36" i="2" s="1"/>
  <c r="BA36" i="2" s="1"/>
  <c r="AW35" i="2"/>
  <c r="AY35" i="2" s="1"/>
  <c r="BA35" i="2" s="1"/>
  <c r="AW34" i="2"/>
  <c r="AY34" i="2" s="1"/>
  <c r="BA34" i="2" s="1"/>
  <c r="AW33" i="2"/>
  <c r="AY33" i="2" s="1"/>
  <c r="BA33" i="2" s="1"/>
  <c r="BB18" i="2"/>
  <c r="AZ18" i="2" a="1"/>
  <c r="AZ18" i="2" s="1"/>
  <c r="AX18" i="2" a="1"/>
  <c r="AX18" i="2" s="1"/>
  <c r="BB17" i="2"/>
  <c r="AZ17" i="2" a="1"/>
  <c r="AZ17" i="2" s="1"/>
  <c r="AZ16" i="2" a="1"/>
  <c r="AZ16" i="2" s="1"/>
  <c r="AZ15" i="2" a="1"/>
  <c r="AZ15" i="2" s="1"/>
  <c r="AZ14" i="2" a="1"/>
  <c r="AZ14" i="2" s="1"/>
  <c r="AC19" i="2" l="1"/>
  <c r="AG19" i="2" s="1"/>
  <c r="AG17" i="2"/>
  <c r="AB19" i="2"/>
  <c r="AB17" i="2"/>
  <c r="AM17" i="2" s="1"/>
  <c r="AB15" i="2"/>
  <c r="AM15" i="2" s="1"/>
  <c r="AF18" i="2"/>
  <c r="S18" i="2"/>
  <c r="AC18" i="2" s="1"/>
  <c r="AK18" i="2"/>
  <c r="AF16" i="2"/>
  <c r="S16" i="2"/>
  <c r="AC16" i="2" s="1"/>
  <c r="AK16" i="2"/>
  <c r="AG15" i="2"/>
  <c r="BA18" i="2"/>
  <c r="AY18" i="2"/>
  <c r="U14" i="2"/>
  <c r="AD14" i="2" s="1"/>
  <c r="U13" i="2"/>
  <c r="AD13" i="2" s="1"/>
  <c r="Y13" i="2"/>
  <c r="Z13" i="2"/>
  <c r="AN13" i="2"/>
  <c r="M13" i="2" s="1"/>
  <c r="Y14" i="2"/>
  <c r="Z14" i="2"/>
  <c r="AN14" i="2"/>
  <c r="M14" i="2" s="1"/>
  <c r="N14" i="2" s="1"/>
  <c r="O14" i="2" s="1"/>
  <c r="S14" i="2" s="1"/>
  <c r="AC14" i="2" s="1"/>
  <c r="K13" i="2"/>
  <c r="AH13" i="2" s="1"/>
  <c r="K14" i="2"/>
  <c r="AH14" i="2" s="1"/>
  <c r="BB9" i="2" s="1"/>
  <c r="E11" i="2"/>
  <c r="E12" i="2"/>
  <c r="E13" i="2"/>
  <c r="E14" i="2"/>
  <c r="AM19" i="2" l="1"/>
  <c r="AG16" i="2"/>
  <c r="AB16" i="2"/>
  <c r="AM16" i="2" s="1"/>
  <c r="AG18" i="2"/>
  <c r="AB18" i="2"/>
  <c r="AM18" i="2" s="1"/>
  <c r="AA14" i="2"/>
  <c r="AB14" i="2" s="1"/>
  <c r="AM14" i="2" s="1"/>
  <c r="AJ13" i="2"/>
  <c r="AE13" i="2"/>
  <c r="AI13" i="2"/>
  <c r="AI14" i="2"/>
  <c r="AJ14" i="2"/>
  <c r="AA13" i="2"/>
  <c r="AE14" i="2"/>
  <c r="N13" i="2"/>
  <c r="O13" i="2" s="1"/>
  <c r="S13" i="2" s="1"/>
  <c r="AC13" i="2" s="1"/>
  <c r="AK14" i="2"/>
  <c r="AF14" i="2"/>
  <c r="AG14" i="2" l="1"/>
  <c r="AF13" i="2"/>
  <c r="AG13" i="2" s="1"/>
  <c r="AK13" i="2"/>
  <c r="AB13" i="2"/>
  <c r="AM13" i="2" s="1"/>
  <c r="E98" i="92" l="1"/>
  <c r="K98" i="92"/>
  <c r="AH98" i="92" s="1"/>
  <c r="U98" i="92"/>
  <c r="AJ98" i="92" s="1"/>
  <c r="AA98" i="92"/>
  <c r="AE98" i="92"/>
  <c r="AI98" i="92"/>
  <c r="AN98" i="92"/>
  <c r="M98" i="92" s="1"/>
  <c r="E99" i="92"/>
  <c r="K99" i="92"/>
  <c r="AH99" i="92" s="1"/>
  <c r="U99" i="92"/>
  <c r="AD99" i="92" s="1"/>
  <c r="AA99" i="92"/>
  <c r="AE99" i="92"/>
  <c r="AN99" i="92"/>
  <c r="M99" i="92" s="1"/>
  <c r="E100" i="92"/>
  <c r="K100" i="92"/>
  <c r="AI100" i="92" s="1"/>
  <c r="U100" i="92"/>
  <c r="AD100" i="92" s="1"/>
  <c r="AA100" i="92"/>
  <c r="AE100" i="92"/>
  <c r="AN100" i="92"/>
  <c r="M100" i="92" s="1"/>
  <c r="E101" i="92"/>
  <c r="K101" i="92"/>
  <c r="AH101" i="92" s="1"/>
  <c r="U101" i="92"/>
  <c r="AJ101" i="92" s="1"/>
  <c r="AA101" i="92"/>
  <c r="AE101" i="92"/>
  <c r="AI101" i="92"/>
  <c r="AN101" i="92"/>
  <c r="M101" i="92" s="1"/>
  <c r="E102" i="92"/>
  <c r="K102" i="92"/>
  <c r="AI102" i="92" s="1"/>
  <c r="U102" i="92"/>
  <c r="AD102" i="92" s="1"/>
  <c r="AA102" i="92"/>
  <c r="AE102" i="92"/>
  <c r="AN102" i="92"/>
  <c r="M102" i="92" s="1"/>
  <c r="N102" i="92" s="1"/>
  <c r="E103" i="92"/>
  <c r="K103" i="92"/>
  <c r="AI103" i="92" s="1"/>
  <c r="U103" i="92"/>
  <c r="AD103" i="92" s="1"/>
  <c r="AA103" i="92"/>
  <c r="AE103" i="92"/>
  <c r="AN103" i="92"/>
  <c r="M103" i="92" s="1"/>
  <c r="E104" i="92"/>
  <c r="K104" i="92"/>
  <c r="AH104" i="92" s="1"/>
  <c r="U104" i="92"/>
  <c r="AJ104" i="92" s="1"/>
  <c r="AA104" i="92"/>
  <c r="AE104" i="92"/>
  <c r="AN104" i="92"/>
  <c r="M104" i="92" s="1"/>
  <c r="E105" i="92"/>
  <c r="K105" i="92"/>
  <c r="AH105" i="92" s="1"/>
  <c r="U105" i="92"/>
  <c r="AJ105" i="92" s="1"/>
  <c r="AA105" i="92"/>
  <c r="AE105" i="92"/>
  <c r="AN105" i="92"/>
  <c r="M105" i="92" s="1"/>
  <c r="N105" i="92" s="1"/>
  <c r="E106" i="92"/>
  <c r="K106" i="92"/>
  <c r="AH106" i="92" s="1"/>
  <c r="U106" i="92"/>
  <c r="AD106" i="92" s="1"/>
  <c r="AA106" i="92"/>
  <c r="AE106" i="92"/>
  <c r="AN106" i="92"/>
  <c r="M106" i="92" s="1"/>
  <c r="O106" i="92" s="1"/>
  <c r="E107" i="92"/>
  <c r="K107" i="92"/>
  <c r="AH107" i="92" s="1"/>
  <c r="U107" i="92"/>
  <c r="AJ107" i="92" s="1"/>
  <c r="AA107" i="92"/>
  <c r="AE107" i="92"/>
  <c r="AN107" i="92"/>
  <c r="M107" i="92" s="1"/>
  <c r="E97" i="92"/>
  <c r="K97" i="92"/>
  <c r="AI97" i="92" s="1"/>
  <c r="U97" i="92"/>
  <c r="AJ97" i="92" s="1"/>
  <c r="Y97" i="92"/>
  <c r="AE97" i="92" s="1"/>
  <c r="AN97" i="92"/>
  <c r="M97" i="92" s="1"/>
  <c r="E96" i="92"/>
  <c r="K96" i="92"/>
  <c r="AH96" i="92" s="1"/>
  <c r="Z96" i="92"/>
  <c r="AA96" i="92" s="1"/>
  <c r="AC96" i="92"/>
  <c r="AD96" i="92"/>
  <c r="AJ96" i="92"/>
  <c r="AN96" i="92"/>
  <c r="M96" i="92" s="1"/>
  <c r="E95" i="92"/>
  <c r="K95" i="92"/>
  <c r="AH95" i="92" s="1"/>
  <c r="U95" i="92"/>
  <c r="AD95" i="92" s="1"/>
  <c r="Y95" i="92"/>
  <c r="Z95" i="92"/>
  <c r="AN95" i="92"/>
  <c r="M95" i="92" s="1"/>
  <c r="E91" i="92"/>
  <c r="K91" i="92"/>
  <c r="AI91" i="92" s="1"/>
  <c r="U91" i="92"/>
  <c r="AD91" i="92" s="1"/>
  <c r="Y91" i="92"/>
  <c r="Z91" i="92"/>
  <c r="AN91" i="92"/>
  <c r="M91" i="92" s="1"/>
  <c r="E92" i="92"/>
  <c r="K92" i="92"/>
  <c r="AH92" i="92" s="1"/>
  <c r="U92" i="92"/>
  <c r="AJ92" i="92" s="1"/>
  <c r="Y92" i="92"/>
  <c r="Z92" i="92"/>
  <c r="AN92" i="92"/>
  <c r="M92" i="92" s="1"/>
  <c r="E93" i="92"/>
  <c r="K93" i="92"/>
  <c r="AI93" i="92" s="1"/>
  <c r="U93" i="92"/>
  <c r="AD93" i="92" s="1"/>
  <c r="Y93" i="92"/>
  <c r="Z93" i="92"/>
  <c r="AN93" i="92"/>
  <c r="M93" i="92" s="1"/>
  <c r="O93" i="92" s="1"/>
  <c r="S93" i="92" s="1"/>
  <c r="AC93" i="92" s="1"/>
  <c r="E94" i="92"/>
  <c r="K94" i="92"/>
  <c r="AH94" i="92" s="1"/>
  <c r="N94" i="92"/>
  <c r="S94" i="92"/>
  <c r="AC94" i="92" s="1"/>
  <c r="U94" i="92"/>
  <c r="Z94" i="92"/>
  <c r="AE94" i="92" s="1"/>
  <c r="AN94" i="92"/>
  <c r="E90" i="92"/>
  <c r="K90" i="92"/>
  <c r="AH90" i="92" s="1"/>
  <c r="U90" i="92"/>
  <c r="AJ90" i="92" s="1"/>
  <c r="Y90" i="92"/>
  <c r="AA90" i="92" s="1"/>
  <c r="AN90" i="92"/>
  <c r="M90" i="92" s="1"/>
  <c r="O90" i="92" s="1"/>
  <c r="E86" i="92"/>
  <c r="K86" i="92"/>
  <c r="AH86" i="92" s="1"/>
  <c r="U86" i="92"/>
  <c r="AJ86" i="92" s="1"/>
  <c r="Y86" i="92"/>
  <c r="AA86" i="92" s="1"/>
  <c r="AN86" i="92"/>
  <c r="M86" i="92" s="1"/>
  <c r="E87" i="92"/>
  <c r="K87" i="92"/>
  <c r="AI87" i="92" s="1"/>
  <c r="U87" i="92"/>
  <c r="AJ87" i="92" s="1"/>
  <c r="Y87" i="92"/>
  <c r="AA87" i="92" s="1"/>
  <c r="AN87" i="92"/>
  <c r="M87" i="92" s="1"/>
  <c r="E88" i="92"/>
  <c r="K88" i="92"/>
  <c r="AH88" i="92" s="1"/>
  <c r="U88" i="92"/>
  <c r="AD88" i="92" s="1"/>
  <c r="Y88" i="92"/>
  <c r="AE88" i="92" s="1"/>
  <c r="AN88" i="92"/>
  <c r="M88" i="92" s="1"/>
  <c r="E89" i="92"/>
  <c r="K89" i="92"/>
  <c r="AH89" i="92" s="1"/>
  <c r="U89" i="92"/>
  <c r="AJ89" i="92" s="1"/>
  <c r="Y89" i="92"/>
  <c r="AA89" i="92" s="1"/>
  <c r="AN89" i="92"/>
  <c r="M89" i="92" s="1"/>
  <c r="D14" i="1"/>
  <c r="C14" i="1"/>
  <c r="Y10" i="2"/>
  <c r="Z10" i="2"/>
  <c r="U10" i="2"/>
  <c r="AN10" i="2"/>
  <c r="M10" i="2" s="1"/>
  <c r="O10" i="2" s="1"/>
  <c r="S10" i="2" s="1"/>
  <c r="AC10" i="2" s="1"/>
  <c r="AJ99" i="92" l="1"/>
  <c r="M14" i="1"/>
  <c r="AD98" i="92"/>
  <c r="AJ102" i="92"/>
  <c r="AH102" i="92"/>
  <c r="AD105" i="92"/>
  <c r="AA95" i="92"/>
  <c r="AE93" i="92"/>
  <c r="AF10" i="2"/>
  <c r="AD101" i="92"/>
  <c r="AD97" i="92"/>
  <c r="AH103" i="92"/>
  <c r="AA97" i="92"/>
  <c r="AI106" i="92"/>
  <c r="N99" i="92"/>
  <c r="O99" i="92" s="1"/>
  <c r="O102" i="92"/>
  <c r="AK102" i="92" s="1"/>
  <c r="AH100" i="92"/>
  <c r="AI104" i="92"/>
  <c r="AI99" i="92"/>
  <c r="O105" i="92"/>
  <c r="AF105" i="92" s="1"/>
  <c r="AI105" i="92"/>
  <c r="AD90" i="92"/>
  <c r="AH97" i="92"/>
  <c r="AD104" i="92"/>
  <c r="N101" i="92"/>
  <c r="O101" i="92" s="1"/>
  <c r="AF106" i="92"/>
  <c r="S106" i="92"/>
  <c r="AC106" i="92" s="1"/>
  <c r="N98" i="92"/>
  <c r="O98" i="92" s="1"/>
  <c r="N103" i="92"/>
  <c r="O103" i="92" s="1"/>
  <c r="N104" i="92"/>
  <c r="O104" i="92" s="1"/>
  <c r="N107" i="92"/>
  <c r="O107" i="92" s="1"/>
  <c r="AK106" i="92"/>
  <c r="N100" i="92"/>
  <c r="O100" i="92" s="1"/>
  <c r="AD107" i="92"/>
  <c r="AJ103" i="92"/>
  <c r="AJ100" i="92"/>
  <c r="AE96" i="92"/>
  <c r="AJ106" i="92"/>
  <c r="AJ91" i="92"/>
  <c r="AI107" i="92"/>
  <c r="AA10" i="2"/>
  <c r="AB10" i="2" s="1"/>
  <c r="AI86" i="92"/>
  <c r="N96" i="92"/>
  <c r="O96" i="92" s="1"/>
  <c r="N97" i="92"/>
  <c r="O97" i="92" s="1"/>
  <c r="AI96" i="92"/>
  <c r="AE92" i="92"/>
  <c r="AA92" i="92"/>
  <c r="AA93" i="92"/>
  <c r="AB93" i="92" s="1"/>
  <c r="AM93" i="92" s="1"/>
  <c r="AJ95" i="92"/>
  <c r="AI95" i="92"/>
  <c r="AE91" i="92"/>
  <c r="AE95" i="92"/>
  <c r="AH91" i="92"/>
  <c r="AD92" i="92"/>
  <c r="N95" i="92"/>
  <c r="O95" i="92" s="1"/>
  <c r="AJ93" i="92"/>
  <c r="AA91" i="92"/>
  <c r="AD10" i="2"/>
  <c r="AK94" i="92"/>
  <c r="AH93" i="92"/>
  <c r="AA94" i="92"/>
  <c r="AB94" i="92" s="1"/>
  <c r="AM94" i="92" s="1"/>
  <c r="AI94" i="92"/>
  <c r="AI90" i="92"/>
  <c r="N91" i="92"/>
  <c r="O91" i="92" s="1"/>
  <c r="N92" i="92"/>
  <c r="O92" i="92" s="1"/>
  <c r="AF93" i="92"/>
  <c r="AE90" i="92"/>
  <c r="AJ94" i="92"/>
  <c r="AF94" i="92"/>
  <c r="AI92" i="92"/>
  <c r="AD94" i="92"/>
  <c r="AK93" i="92"/>
  <c r="AE89" i="92"/>
  <c r="AF90" i="92"/>
  <c r="S90" i="92"/>
  <c r="AC90" i="92" s="1"/>
  <c r="AK90" i="92"/>
  <c r="AE10" i="2"/>
  <c r="AD89" i="92"/>
  <c r="AH87" i="92"/>
  <c r="AE87" i="92"/>
  <c r="N88" i="92"/>
  <c r="O88" i="92" s="1"/>
  <c r="N89" i="92"/>
  <c r="O89" i="92" s="1"/>
  <c r="N86" i="92"/>
  <c r="O86" i="92" s="1"/>
  <c r="N87" i="92"/>
  <c r="O87" i="92" s="1"/>
  <c r="AD86" i="92"/>
  <c r="AA88" i="92"/>
  <c r="AJ88" i="92"/>
  <c r="AI88" i="92"/>
  <c r="AD87" i="92"/>
  <c r="AE86" i="92"/>
  <c r="AI89" i="92"/>
  <c r="AJ10" i="2"/>
  <c r="AG10" i="2" l="1"/>
  <c r="AG93" i="92"/>
  <c r="AF102" i="92"/>
  <c r="S102" i="92"/>
  <c r="AC102" i="92" s="1"/>
  <c r="AG94" i="92"/>
  <c r="AB106" i="92"/>
  <c r="AK99" i="92"/>
  <c r="S99" i="92"/>
  <c r="AC99" i="92" s="1"/>
  <c r="AF99" i="92"/>
  <c r="AK105" i="92"/>
  <c r="S105" i="92"/>
  <c r="AF103" i="92"/>
  <c r="S103" i="92"/>
  <c r="AC103" i="92" s="1"/>
  <c r="AK103" i="92"/>
  <c r="AF104" i="92"/>
  <c r="AK104" i="92"/>
  <c r="S104" i="92"/>
  <c r="AC104" i="92" s="1"/>
  <c r="AF98" i="92"/>
  <c r="AK98" i="92"/>
  <c r="S98" i="92"/>
  <c r="AC98" i="92" s="1"/>
  <c r="AG106" i="92"/>
  <c r="S107" i="92"/>
  <c r="AC107" i="92" s="1"/>
  <c r="AF107" i="92"/>
  <c r="AK107" i="92"/>
  <c r="AF100" i="92"/>
  <c r="S100" i="92"/>
  <c r="AC100" i="92" s="1"/>
  <c r="AK100" i="92"/>
  <c r="AF101" i="92"/>
  <c r="AK101" i="92"/>
  <c r="S101" i="92"/>
  <c r="AC101" i="92" s="1"/>
  <c r="AK96" i="92"/>
  <c r="AF96" i="92"/>
  <c r="AG96" i="92" s="1"/>
  <c r="AF97" i="92"/>
  <c r="AK97" i="92"/>
  <c r="S97" i="92"/>
  <c r="AC97" i="92" s="1"/>
  <c r="AB96" i="92"/>
  <c r="AM96" i="92" s="1"/>
  <c r="AF95" i="92"/>
  <c r="S95" i="92"/>
  <c r="AC95" i="92" s="1"/>
  <c r="AK95" i="92"/>
  <c r="AG90" i="92"/>
  <c r="AF92" i="92"/>
  <c r="S92" i="92"/>
  <c r="AC92" i="92" s="1"/>
  <c r="AK92" i="92"/>
  <c r="AF91" i="92"/>
  <c r="S91" i="92"/>
  <c r="AC91" i="92" s="1"/>
  <c r="AK91" i="92"/>
  <c r="AB90" i="92"/>
  <c r="AM90" i="92" s="1"/>
  <c r="AF86" i="92"/>
  <c r="S86" i="92"/>
  <c r="AC86" i="92" s="1"/>
  <c r="AK86" i="92"/>
  <c r="AF89" i="92"/>
  <c r="S89" i="92"/>
  <c r="AC89" i="92" s="1"/>
  <c r="S87" i="92"/>
  <c r="AC87" i="92" s="1"/>
  <c r="AF87" i="92"/>
  <c r="AK89" i="92"/>
  <c r="AF88" i="92"/>
  <c r="S88" i="92"/>
  <c r="AC88" i="92" s="1"/>
  <c r="AK88" i="92"/>
  <c r="AK87" i="92"/>
  <c r="K10" i="2"/>
  <c r="AW10" i="2" s="1"/>
  <c r="E10" i="2"/>
  <c r="AM10" i="2" l="1"/>
  <c r="AG103" i="92"/>
  <c r="AG97" i="92"/>
  <c r="AG102" i="92"/>
  <c r="AG104" i="92"/>
  <c r="AG99" i="92"/>
  <c r="AG89" i="92"/>
  <c r="AG92" i="92"/>
  <c r="AB107" i="92"/>
  <c r="AG101" i="92"/>
  <c r="AG98" i="92"/>
  <c r="AG95" i="92"/>
  <c r="AB98" i="92"/>
  <c r="AM98" i="92" s="1"/>
  <c r="AG86" i="92"/>
  <c r="AB100" i="92"/>
  <c r="AM100" i="92" s="1"/>
  <c r="AB102" i="92"/>
  <c r="AM102" i="92" s="1"/>
  <c r="AC105" i="92"/>
  <c r="AG105" i="92" s="1"/>
  <c r="AB105" i="92"/>
  <c r="AM105" i="92" s="1"/>
  <c r="AB99" i="92"/>
  <c r="AM99" i="92" s="1"/>
  <c r="AG107" i="92"/>
  <c r="AB104" i="92"/>
  <c r="AM104" i="92" s="1"/>
  <c r="AB101" i="92"/>
  <c r="AM101" i="92" s="1"/>
  <c r="AG100" i="92"/>
  <c r="AB103" i="92"/>
  <c r="AM103" i="92" s="1"/>
  <c r="AB97" i="92"/>
  <c r="AM97" i="92" s="1"/>
  <c r="AG91" i="92"/>
  <c r="AB95" i="92"/>
  <c r="AM95" i="92" s="1"/>
  <c r="AB91" i="92"/>
  <c r="AM91" i="92" s="1"/>
  <c r="AG87" i="92"/>
  <c r="AB92" i="92"/>
  <c r="AM92" i="92" s="1"/>
  <c r="AG88" i="92"/>
  <c r="AB86" i="92"/>
  <c r="AM86" i="92" s="1"/>
  <c r="AB88" i="92"/>
  <c r="AM88" i="92" s="1"/>
  <c r="AB87" i="92"/>
  <c r="AM87" i="92" s="1"/>
  <c r="AB89" i="92"/>
  <c r="AM89" i="92" s="1"/>
  <c r="AH10" i="2"/>
  <c r="BB10" i="2" s="1"/>
  <c r="AI10" i="2"/>
  <c r="AK10" i="2"/>
  <c r="K9" i="2" l="1"/>
  <c r="K8" i="2"/>
  <c r="K7" i="2"/>
  <c r="AH7" i="2" l="1"/>
  <c r="AI7" i="2"/>
  <c r="AH8" i="2"/>
  <c r="AI8" i="2"/>
  <c r="AH9" i="2"/>
  <c r="AI9" i="2"/>
  <c r="Y7" i="2"/>
  <c r="Z7" i="2"/>
  <c r="Y8" i="2"/>
  <c r="Z8" i="2"/>
  <c r="Y9" i="2"/>
  <c r="Z9" i="2"/>
  <c r="U7" i="2"/>
  <c r="AD7" i="2" s="1"/>
  <c r="U8" i="2"/>
  <c r="AD8" i="2" s="1"/>
  <c r="U9" i="2"/>
  <c r="AJ9" i="2" s="1"/>
  <c r="AA8" i="2" l="1"/>
  <c r="AE9" i="2"/>
  <c r="AJ7" i="2"/>
  <c r="AD9" i="2"/>
  <c r="AE8" i="2"/>
  <c r="AA7" i="2"/>
  <c r="AA9" i="2"/>
  <c r="AJ8" i="2"/>
  <c r="AE7" i="2"/>
  <c r="M8" i="2"/>
  <c r="N8" i="2" s="1"/>
  <c r="AN7" i="2"/>
  <c r="M7" i="2" s="1"/>
  <c r="AN8" i="2"/>
  <c r="AN9" i="2"/>
  <c r="M9" i="2" s="1"/>
  <c r="E7" i="2"/>
  <c r="E8" i="2"/>
  <c r="E9" i="2"/>
  <c r="O8" i="2" l="1"/>
  <c r="N9" i="2"/>
  <c r="O9" i="2" s="1"/>
  <c r="N7" i="2"/>
  <c r="O7" i="2" s="1"/>
  <c r="AF9" i="2" l="1"/>
  <c r="S9" i="2"/>
  <c r="AC9" i="2" s="1"/>
  <c r="AK9" i="2"/>
  <c r="S8" i="2"/>
  <c r="AC8" i="2" s="1"/>
  <c r="AF8" i="2"/>
  <c r="AK8" i="2"/>
  <c r="S7" i="2"/>
  <c r="AC7" i="2" s="1"/>
  <c r="AK7" i="2"/>
  <c r="AF7" i="2"/>
  <c r="AN85" i="92"/>
  <c r="M85" i="92" s="1"/>
  <c r="N85" i="92" s="1"/>
  <c r="AC85" i="92"/>
  <c r="Z85" i="92"/>
  <c r="Y85" i="92"/>
  <c r="U85" i="92"/>
  <c r="AD85" i="92" s="1"/>
  <c r="K85" i="92"/>
  <c r="E85" i="92"/>
  <c r="AN84" i="92"/>
  <c r="M84" i="92" s="1"/>
  <c r="N84" i="92" s="1"/>
  <c r="Z84" i="92"/>
  <c r="Y84" i="92"/>
  <c r="U84" i="92"/>
  <c r="K84" i="92"/>
  <c r="AI84" i="92" s="1"/>
  <c r="E84" i="92"/>
  <c r="AN83" i="92"/>
  <c r="M83" i="92" s="1"/>
  <c r="N83" i="92" s="1"/>
  <c r="O83" i="92" s="1"/>
  <c r="Z83" i="92"/>
  <c r="Y83" i="92"/>
  <c r="U83" i="92"/>
  <c r="K83" i="92"/>
  <c r="E83" i="92"/>
  <c r="AN82" i="92"/>
  <c r="M82" i="92" s="1"/>
  <c r="Z82" i="92"/>
  <c r="Y82" i="92"/>
  <c r="U82" i="92"/>
  <c r="K82" i="92"/>
  <c r="E82" i="92"/>
  <c r="AN81" i="92"/>
  <c r="M81" i="92" s="1"/>
  <c r="Z81" i="92"/>
  <c r="Y81" i="92"/>
  <c r="U81" i="92"/>
  <c r="AD81" i="92" s="1"/>
  <c r="K81" i="92"/>
  <c r="E81" i="92"/>
  <c r="AN80" i="92"/>
  <c r="M80" i="92" s="1"/>
  <c r="Z80" i="92"/>
  <c r="Y80" i="92"/>
  <c r="U80" i="92"/>
  <c r="K80" i="92"/>
  <c r="E80" i="92"/>
  <c r="AN79" i="92"/>
  <c r="M79" i="92" s="1"/>
  <c r="O79" i="92" s="1"/>
  <c r="AC79" i="92"/>
  <c r="Z79" i="92"/>
  <c r="Y79" i="92"/>
  <c r="U79" i="92"/>
  <c r="AJ79" i="92" s="1"/>
  <c r="K79" i="92"/>
  <c r="AH79" i="92" s="1"/>
  <c r="E79" i="92"/>
  <c r="AN78" i="92"/>
  <c r="M78" i="92" s="1"/>
  <c r="Z78" i="92"/>
  <c r="Y78" i="92"/>
  <c r="U78" i="92"/>
  <c r="AJ78" i="92" s="1"/>
  <c r="K78" i="92"/>
  <c r="AI78" i="92" s="1"/>
  <c r="E78" i="92"/>
  <c r="AN77" i="92"/>
  <c r="M77" i="92" s="1"/>
  <c r="Z77" i="92"/>
  <c r="Y77" i="92"/>
  <c r="U77" i="92"/>
  <c r="AJ77" i="92" s="1"/>
  <c r="K77" i="92"/>
  <c r="E77" i="92"/>
  <c r="AN76" i="92"/>
  <c r="M76" i="92" s="1"/>
  <c r="Z76" i="92"/>
  <c r="Y76" i="92"/>
  <c r="U76" i="92"/>
  <c r="K76" i="92"/>
  <c r="E76" i="92"/>
  <c r="AN75" i="92"/>
  <c r="M75" i="92" s="1"/>
  <c r="AE75" i="92"/>
  <c r="AA75" i="92"/>
  <c r="U75" i="92"/>
  <c r="AJ75" i="92" s="1"/>
  <c r="K75" i="92"/>
  <c r="AI75" i="92" s="1"/>
  <c r="E75" i="92"/>
  <c r="AN74" i="92"/>
  <c r="M74" i="92" s="1"/>
  <c r="O74" i="92" s="1"/>
  <c r="S74" i="92" s="1"/>
  <c r="AC74" i="92" s="1"/>
  <c r="AE74" i="92"/>
  <c r="AA74" i="92"/>
  <c r="U74" i="92"/>
  <c r="AD74" i="92" s="1"/>
  <c r="K74" i="92"/>
  <c r="AH74" i="92" s="1"/>
  <c r="E74" i="92"/>
  <c r="AN73" i="92"/>
  <c r="M73" i="92" s="1"/>
  <c r="Z73" i="92"/>
  <c r="Y73" i="92"/>
  <c r="U73" i="92"/>
  <c r="K73" i="92"/>
  <c r="E73" i="92"/>
  <c r="AN72" i="92"/>
  <c r="M72" i="92" s="1"/>
  <c r="N72" i="92" s="1"/>
  <c r="O72" i="92" s="1"/>
  <c r="Z72" i="92"/>
  <c r="Y72" i="92"/>
  <c r="U72" i="92"/>
  <c r="K72" i="92"/>
  <c r="AH72" i="92" s="1"/>
  <c r="E72" i="92"/>
  <c r="AN71" i="92"/>
  <c r="M71" i="92" s="1"/>
  <c r="O71" i="92" s="1"/>
  <c r="Z71" i="92"/>
  <c r="Y71" i="92"/>
  <c r="U71" i="92"/>
  <c r="AD71" i="92" s="1"/>
  <c r="K71" i="92"/>
  <c r="AH71" i="92" s="1"/>
  <c r="E71" i="92"/>
  <c r="AN70" i="92"/>
  <c r="M70" i="92" s="1"/>
  <c r="O70" i="92" s="1"/>
  <c r="S70" i="92" s="1"/>
  <c r="AC70" i="92" s="1"/>
  <c r="Z70" i="92"/>
  <c r="Y70" i="92"/>
  <c r="U70" i="92"/>
  <c r="AJ70" i="92" s="1"/>
  <c r="K70" i="92"/>
  <c r="E70" i="92"/>
  <c r="AN69" i="92"/>
  <c r="M69" i="92" s="1"/>
  <c r="Y69" i="92"/>
  <c r="AE69" i="92" s="1"/>
  <c r="U69" i="92"/>
  <c r="K69" i="92"/>
  <c r="AH69" i="92" s="1"/>
  <c r="E69" i="92"/>
  <c r="AN68" i="92"/>
  <c r="M68" i="92" s="1"/>
  <c r="O68" i="92" s="1"/>
  <c r="AE68" i="92"/>
  <c r="AA68" i="92"/>
  <c r="U68" i="92"/>
  <c r="AD68" i="92" s="1"/>
  <c r="K68" i="92"/>
  <c r="AH68" i="92" s="1"/>
  <c r="E68" i="92"/>
  <c r="AN67" i="92"/>
  <c r="M67" i="92" s="1"/>
  <c r="AE67" i="92"/>
  <c r="AA67" i="92"/>
  <c r="U67" i="92"/>
  <c r="AJ67" i="92" s="1"/>
  <c r="S67" i="92"/>
  <c r="AC67" i="92" s="1"/>
  <c r="K67" i="92"/>
  <c r="E67" i="92"/>
  <c r="AN66" i="92"/>
  <c r="M66" i="92" s="1"/>
  <c r="N66" i="92" s="1"/>
  <c r="O66" i="92" s="1"/>
  <c r="S66" i="92" s="1"/>
  <c r="AC66" i="92" s="1"/>
  <c r="AE66" i="92"/>
  <c r="AA66" i="92"/>
  <c r="U66" i="92"/>
  <c r="AJ66" i="92" s="1"/>
  <c r="K66" i="92"/>
  <c r="E66" i="92"/>
  <c r="AN65" i="92"/>
  <c r="M65" i="92" s="1"/>
  <c r="N65" i="92" s="1"/>
  <c r="Z65" i="92"/>
  <c r="Y65" i="92"/>
  <c r="U65" i="92"/>
  <c r="K65" i="92"/>
  <c r="AI65" i="92" s="1"/>
  <c r="E65" i="92"/>
  <c r="AN64" i="92"/>
  <c r="M64" i="92" s="1"/>
  <c r="N64" i="92" s="1"/>
  <c r="Z64" i="92"/>
  <c r="Y64" i="92"/>
  <c r="U64" i="92"/>
  <c r="K64" i="92"/>
  <c r="AH64" i="92" s="1"/>
  <c r="E64" i="92"/>
  <c r="AN63" i="92"/>
  <c r="M63" i="92" s="1"/>
  <c r="N63" i="92" s="1"/>
  <c r="Z63" i="92"/>
  <c r="Y63" i="92"/>
  <c r="U63" i="92"/>
  <c r="K63" i="92"/>
  <c r="E63" i="92"/>
  <c r="AN62" i="92"/>
  <c r="M62" i="92" s="1"/>
  <c r="Z62" i="92"/>
  <c r="Y62" i="92"/>
  <c r="U62" i="92"/>
  <c r="AJ62" i="92" s="1"/>
  <c r="K62" i="92"/>
  <c r="AI62" i="92" s="1"/>
  <c r="E62" i="92"/>
  <c r="AN61" i="92"/>
  <c r="M61" i="92" s="1"/>
  <c r="N61" i="92" s="1"/>
  <c r="O61" i="92" s="1"/>
  <c r="S61" i="92" s="1"/>
  <c r="AC61" i="92" s="1"/>
  <c r="Z61" i="92"/>
  <c r="Y61" i="92"/>
  <c r="U61" i="92"/>
  <c r="AJ61" i="92" s="1"/>
  <c r="K61" i="92"/>
  <c r="E61" i="92"/>
  <c r="AN60" i="92"/>
  <c r="M60" i="92" s="1"/>
  <c r="O60" i="92" s="1"/>
  <c r="S60" i="92" s="1"/>
  <c r="AC60" i="92" s="1"/>
  <c r="Z60" i="92"/>
  <c r="Y60" i="92"/>
  <c r="U60" i="92"/>
  <c r="K60" i="92"/>
  <c r="AH60" i="92" s="1"/>
  <c r="E60" i="92"/>
  <c r="AN59" i="92"/>
  <c r="M59" i="92" s="1"/>
  <c r="Z59" i="92"/>
  <c r="Y59" i="92"/>
  <c r="U59" i="92"/>
  <c r="K59" i="92"/>
  <c r="AI59" i="92" s="1"/>
  <c r="E59" i="92"/>
  <c r="AN58" i="92"/>
  <c r="M58" i="92" s="1"/>
  <c r="O58" i="92" s="1"/>
  <c r="AE58" i="92"/>
  <c r="AA58" i="92"/>
  <c r="U58" i="92"/>
  <c r="AD58" i="92" s="1"/>
  <c r="K58" i="92"/>
  <c r="E58" i="92"/>
  <c r="AN57" i="92"/>
  <c r="M57" i="92" s="1"/>
  <c r="N57" i="92" s="1"/>
  <c r="Z57" i="92"/>
  <c r="Y57" i="92"/>
  <c r="U57" i="92"/>
  <c r="AJ57" i="92" s="1"/>
  <c r="K57" i="92"/>
  <c r="AI57" i="92" s="1"/>
  <c r="E57" i="92"/>
  <c r="AN56" i="92"/>
  <c r="Z56" i="92"/>
  <c r="Y56" i="92"/>
  <c r="U56" i="92"/>
  <c r="K56" i="92"/>
  <c r="E56" i="92"/>
  <c r="AN55" i="92"/>
  <c r="M55" i="92" s="1"/>
  <c r="Z55" i="92"/>
  <c r="Y55" i="92"/>
  <c r="U55" i="92"/>
  <c r="K55" i="92"/>
  <c r="AI55" i="92" s="1"/>
  <c r="E55" i="92"/>
  <c r="AN54" i="92"/>
  <c r="M54" i="92" s="1"/>
  <c r="Y54" i="92"/>
  <c r="AE54" i="92" s="1"/>
  <c r="U54" i="92"/>
  <c r="K54" i="92"/>
  <c r="E54" i="92"/>
  <c r="AN53" i="92"/>
  <c r="M53" i="92" s="1"/>
  <c r="N53" i="92" s="1"/>
  <c r="O53" i="92" s="1"/>
  <c r="Y53" i="92"/>
  <c r="U53" i="92"/>
  <c r="K53" i="92"/>
  <c r="AI53" i="92" s="1"/>
  <c r="E53" i="92"/>
  <c r="AN52" i="92"/>
  <c r="M52" i="92" s="1"/>
  <c r="N52" i="92" s="1"/>
  <c r="O52" i="92" s="1"/>
  <c r="Y52" i="92"/>
  <c r="AE52" i="92" s="1"/>
  <c r="U52" i="92"/>
  <c r="K52" i="92"/>
  <c r="E52" i="92"/>
  <c r="AN51" i="92"/>
  <c r="M51" i="92" s="1"/>
  <c r="N51" i="92" s="1"/>
  <c r="O51" i="92" s="1"/>
  <c r="Y51" i="92"/>
  <c r="AE51" i="92" s="1"/>
  <c r="U51" i="92"/>
  <c r="AD51" i="92" s="1"/>
  <c r="K51" i="92"/>
  <c r="AH51" i="92" s="1"/>
  <c r="E51" i="92"/>
  <c r="AN50" i="92"/>
  <c r="M50" i="92" s="1"/>
  <c r="N50" i="92" s="1"/>
  <c r="AC50" i="92"/>
  <c r="Y50" i="92"/>
  <c r="U50" i="92"/>
  <c r="K50" i="92"/>
  <c r="E50" i="92"/>
  <c r="AN49" i="92"/>
  <c r="M49" i="92" s="1"/>
  <c r="Z49" i="92"/>
  <c r="Y49" i="92"/>
  <c r="U49" i="92"/>
  <c r="AJ49" i="92" s="1"/>
  <c r="K49" i="92"/>
  <c r="E49" i="92"/>
  <c r="AN48" i="92"/>
  <c r="M48" i="92" s="1"/>
  <c r="Z48" i="92"/>
  <c r="Y48" i="92"/>
  <c r="U48" i="92"/>
  <c r="K48" i="92"/>
  <c r="E48" i="92"/>
  <c r="AN47" i="92"/>
  <c r="M47" i="92" s="1"/>
  <c r="Z47" i="92"/>
  <c r="Y47" i="92"/>
  <c r="U47" i="92"/>
  <c r="K47" i="92"/>
  <c r="E47" i="92"/>
  <c r="AN46" i="92"/>
  <c r="M46" i="92" s="1"/>
  <c r="N46" i="92" s="1"/>
  <c r="Z46" i="92"/>
  <c r="Y46" i="92"/>
  <c r="U46" i="92"/>
  <c r="K46" i="92"/>
  <c r="E46" i="92"/>
  <c r="AN45" i="92"/>
  <c r="M45" i="92" s="1"/>
  <c r="Z45" i="92"/>
  <c r="Y45" i="92"/>
  <c r="U45" i="92"/>
  <c r="AJ45" i="92" s="1"/>
  <c r="K45" i="92"/>
  <c r="E45" i="92"/>
  <c r="AN44" i="92"/>
  <c r="M44" i="92" s="1"/>
  <c r="N44" i="92" s="1"/>
  <c r="Z44" i="92"/>
  <c r="Y44" i="92"/>
  <c r="U44" i="92"/>
  <c r="AJ44" i="92" s="1"/>
  <c r="K44" i="92"/>
  <c r="AI44" i="92" s="1"/>
  <c r="E44" i="92"/>
  <c r="AN43" i="92"/>
  <c r="M43" i="92" s="1"/>
  <c r="N43" i="92" s="1"/>
  <c r="Z43" i="92"/>
  <c r="Y43" i="92"/>
  <c r="U43" i="92"/>
  <c r="AJ43" i="92" s="1"/>
  <c r="K43" i="92"/>
  <c r="E43" i="92"/>
  <c r="AN42" i="92"/>
  <c r="M42" i="92" s="1"/>
  <c r="O42" i="92" s="1"/>
  <c r="AE42" i="92"/>
  <c r="AA42" i="92"/>
  <c r="U42" i="92"/>
  <c r="AJ42" i="92" s="1"/>
  <c r="K42" i="92"/>
  <c r="AH42" i="92" s="1"/>
  <c r="E42" i="92"/>
  <c r="AN41" i="92"/>
  <c r="M41" i="92" s="1"/>
  <c r="O41" i="92" s="1"/>
  <c r="AE41" i="92"/>
  <c r="AA41" i="92"/>
  <c r="U41" i="92"/>
  <c r="K41" i="92"/>
  <c r="E41" i="92"/>
  <c r="AN40" i="92"/>
  <c r="M40" i="92" s="1"/>
  <c r="Y40" i="92"/>
  <c r="AE40" i="92" s="1"/>
  <c r="U40" i="92"/>
  <c r="AJ40" i="92" s="1"/>
  <c r="K40" i="92"/>
  <c r="AH40" i="92" s="1"/>
  <c r="E40" i="92"/>
  <c r="AN39" i="92"/>
  <c r="M39" i="92" s="1"/>
  <c r="O39" i="92" s="1"/>
  <c r="AE39" i="92"/>
  <c r="AA39" i="92"/>
  <c r="U39" i="92"/>
  <c r="AJ39" i="92" s="1"/>
  <c r="K39" i="92"/>
  <c r="AH39" i="92" s="1"/>
  <c r="E39" i="92"/>
  <c r="AN38" i="92"/>
  <c r="M38" i="92" s="1"/>
  <c r="N38" i="92" s="1"/>
  <c r="Y38" i="92"/>
  <c r="U38" i="92"/>
  <c r="AJ38" i="92" s="1"/>
  <c r="K38" i="92"/>
  <c r="AH38" i="92" s="1"/>
  <c r="E38" i="92"/>
  <c r="AW38" i="92"/>
  <c r="AY38" i="92" s="1"/>
  <c r="BA38" i="92" s="1"/>
  <c r="AN37" i="92"/>
  <c r="M37" i="92" s="1"/>
  <c r="O37" i="92" s="1"/>
  <c r="AE37" i="92"/>
  <c r="AA37" i="92"/>
  <c r="U37" i="92"/>
  <c r="AD37" i="92" s="1"/>
  <c r="K37" i="92"/>
  <c r="AH37" i="92" s="1"/>
  <c r="E37" i="92"/>
  <c r="AW37" i="92"/>
  <c r="AY37" i="92" s="1"/>
  <c r="BA37" i="92" s="1"/>
  <c r="AN36" i="92"/>
  <c r="M36" i="92" s="1"/>
  <c r="Y36" i="92"/>
  <c r="U36" i="92"/>
  <c r="K36" i="92"/>
  <c r="AH36" i="92" s="1"/>
  <c r="E36" i="92"/>
  <c r="AW36" i="92"/>
  <c r="AY36" i="92" s="1"/>
  <c r="BA36" i="92" s="1"/>
  <c r="AN35" i="92"/>
  <c r="M35" i="92" s="1"/>
  <c r="Y35" i="92"/>
  <c r="U35" i="92"/>
  <c r="AJ35" i="92" s="1"/>
  <c r="K35" i="92"/>
  <c r="AH35" i="92" s="1"/>
  <c r="E35" i="92"/>
  <c r="AW35" i="92"/>
  <c r="AY35" i="92" s="1"/>
  <c r="BA35" i="92" s="1"/>
  <c r="AN34" i="92"/>
  <c r="M34" i="92" s="1"/>
  <c r="N34" i="92" s="1"/>
  <c r="O34" i="92" s="1"/>
  <c r="Y34" i="92"/>
  <c r="AE34" i="92" s="1"/>
  <c r="U34" i="92"/>
  <c r="AJ34" i="92" s="1"/>
  <c r="K34" i="92"/>
  <c r="AH34" i="92" s="1"/>
  <c r="E34" i="92"/>
  <c r="AW34" i="92"/>
  <c r="AY34" i="92" s="1"/>
  <c r="BA34" i="92" s="1"/>
  <c r="AN33" i="92"/>
  <c r="AE33" i="92"/>
  <c r="AA33" i="92"/>
  <c r="U33" i="92"/>
  <c r="AJ33" i="92" s="1"/>
  <c r="N33" i="92"/>
  <c r="O33" i="92" s="1"/>
  <c r="K33" i="92"/>
  <c r="E33" i="92"/>
  <c r="AW33" i="92"/>
  <c r="AY33" i="92" s="1"/>
  <c r="BA33" i="92" s="1"/>
  <c r="AN32" i="92"/>
  <c r="M32" i="92" s="1"/>
  <c r="N32" i="92" s="1"/>
  <c r="O32" i="92" s="1"/>
  <c r="AE32" i="92"/>
  <c r="AA32" i="92"/>
  <c r="U32" i="92"/>
  <c r="K32" i="92"/>
  <c r="E32" i="92"/>
  <c r="AW32" i="92"/>
  <c r="AY32" i="92" s="1"/>
  <c r="BA32" i="92" s="1"/>
  <c r="AN31" i="92"/>
  <c r="M31" i="92" s="1"/>
  <c r="AE31" i="92"/>
  <c r="AA31" i="92"/>
  <c r="U31" i="92"/>
  <c r="AJ31" i="92" s="1"/>
  <c r="K31" i="92"/>
  <c r="E31" i="92"/>
  <c r="AN30" i="92"/>
  <c r="M30" i="92" s="1"/>
  <c r="N30" i="92" s="1"/>
  <c r="O30" i="92" s="1"/>
  <c r="AE30" i="92"/>
  <c r="AA30" i="92"/>
  <c r="U30" i="92"/>
  <c r="AJ30" i="92" s="1"/>
  <c r="K30" i="92"/>
  <c r="E30" i="92"/>
  <c r="AN29" i="92"/>
  <c r="M29" i="92" s="1"/>
  <c r="AE29" i="92"/>
  <c r="AA29" i="92"/>
  <c r="U29" i="92"/>
  <c r="K29" i="92"/>
  <c r="AI29" i="92" s="1"/>
  <c r="E29" i="92"/>
  <c r="AN28" i="92"/>
  <c r="M28" i="92" s="1"/>
  <c r="O28" i="92" s="1"/>
  <c r="AE28" i="92"/>
  <c r="AA28" i="92"/>
  <c r="U28" i="92"/>
  <c r="K28" i="92"/>
  <c r="AH28" i="92" s="1"/>
  <c r="E28" i="92"/>
  <c r="AN27" i="92"/>
  <c r="M27" i="92" s="1"/>
  <c r="Y27" i="92"/>
  <c r="AA27" i="92" s="1"/>
  <c r="U27" i="92"/>
  <c r="K27" i="92"/>
  <c r="AI27" i="92" s="1"/>
  <c r="E27" i="92"/>
  <c r="AN26" i="92"/>
  <c r="M26" i="92" s="1"/>
  <c r="Y26" i="92"/>
  <c r="AA26" i="92" s="1"/>
  <c r="U26" i="92"/>
  <c r="AJ26" i="92" s="1"/>
  <c r="K26" i="92"/>
  <c r="AH26" i="92" s="1"/>
  <c r="E26" i="92"/>
  <c r="AN25" i="92"/>
  <c r="M25" i="92" s="1"/>
  <c r="Y25" i="92"/>
  <c r="AE25" i="92" s="1"/>
  <c r="U25" i="92"/>
  <c r="K25" i="92"/>
  <c r="E25" i="92"/>
  <c r="AN24" i="92"/>
  <c r="M24" i="92" s="1"/>
  <c r="N24" i="92" s="1"/>
  <c r="O24" i="92" s="1"/>
  <c r="AE24" i="92"/>
  <c r="AA24" i="92"/>
  <c r="U24" i="92"/>
  <c r="AJ24" i="92" s="1"/>
  <c r="K24" i="92"/>
  <c r="AI24" i="92" s="1"/>
  <c r="E24" i="92"/>
  <c r="AN23" i="92"/>
  <c r="M23" i="92" s="1"/>
  <c r="Y23" i="92"/>
  <c r="AA23" i="92" s="1"/>
  <c r="U23" i="92"/>
  <c r="K23" i="92"/>
  <c r="AH23" i="92" s="1"/>
  <c r="E23" i="92"/>
  <c r="AN22" i="92"/>
  <c r="M22" i="92" s="1"/>
  <c r="N22" i="92" s="1"/>
  <c r="O22" i="92" s="1"/>
  <c r="Y22" i="92"/>
  <c r="AE22" i="92" s="1"/>
  <c r="U22" i="92"/>
  <c r="AJ22" i="92" s="1"/>
  <c r="K22" i="92"/>
  <c r="AI22" i="92" s="1"/>
  <c r="E22" i="92"/>
  <c r="AN21" i="92"/>
  <c r="M21" i="92" s="1"/>
  <c r="Y21" i="92"/>
  <c r="U21" i="92"/>
  <c r="K21" i="92"/>
  <c r="E21" i="92"/>
  <c r="AN20" i="92"/>
  <c r="M20" i="92" s="1"/>
  <c r="Y20" i="92"/>
  <c r="AA20" i="92" s="1"/>
  <c r="U20" i="92"/>
  <c r="AJ20" i="92" s="1"/>
  <c r="K20" i="92"/>
  <c r="AI20" i="92" s="1"/>
  <c r="E20" i="92"/>
  <c r="AN19" i="92"/>
  <c r="M19" i="92" s="1"/>
  <c r="Y19" i="92"/>
  <c r="U19" i="92"/>
  <c r="K19" i="92"/>
  <c r="AH19" i="92" s="1"/>
  <c r="E19" i="92"/>
  <c r="AN18" i="92"/>
  <c r="M18" i="92" s="1"/>
  <c r="N18" i="92" s="1"/>
  <c r="Y18" i="92"/>
  <c r="AA18" i="92" s="1"/>
  <c r="U18" i="92"/>
  <c r="AD18" i="92" s="1"/>
  <c r="K18" i="92"/>
  <c r="E18" i="92"/>
  <c r="BB18" i="92"/>
  <c r="AW18" i="92"/>
  <c r="AN17" i="92"/>
  <c r="M17" i="92" s="1"/>
  <c r="AE17" i="92"/>
  <c r="AA17" i="92"/>
  <c r="U17" i="92"/>
  <c r="K17" i="92"/>
  <c r="AI17" i="92" s="1"/>
  <c r="E17" i="92"/>
  <c r="BB17" i="92"/>
  <c r="AW17" i="92"/>
  <c r="AN16" i="92"/>
  <c r="M16" i="92" s="1"/>
  <c r="Y16" i="92"/>
  <c r="AA16" i="92" s="1"/>
  <c r="U16" i="92"/>
  <c r="AJ16" i="92" s="1"/>
  <c r="K16" i="92"/>
  <c r="AI16" i="92" s="1"/>
  <c r="E16" i="92"/>
  <c r="BB16" i="92"/>
  <c r="AW16" i="92"/>
  <c r="AN15" i="92"/>
  <c r="M15" i="92" s="1"/>
  <c r="N15" i="92" s="1"/>
  <c r="O15" i="92" s="1"/>
  <c r="Y15" i="92"/>
  <c r="AE15" i="92" s="1"/>
  <c r="U15" i="92"/>
  <c r="AD15" i="92" s="1"/>
  <c r="K15" i="92"/>
  <c r="AI15" i="92" s="1"/>
  <c r="E15" i="92"/>
  <c r="BB15" i="92"/>
  <c r="AW15" i="92"/>
  <c r="AN14" i="92"/>
  <c r="M14" i="92" s="1"/>
  <c r="N14" i="92" s="1"/>
  <c r="Y14" i="92"/>
  <c r="AA14" i="92" s="1"/>
  <c r="U14" i="92"/>
  <c r="AJ14" i="92" s="1"/>
  <c r="K14" i="92"/>
  <c r="E14" i="92"/>
  <c r="BB14" i="92"/>
  <c r="AW14" i="92"/>
  <c r="AN13" i="92"/>
  <c r="M13" i="92" s="1"/>
  <c r="O13" i="92" s="1"/>
  <c r="AJ13" i="92"/>
  <c r="AD13" i="92"/>
  <c r="Z13" i="92"/>
  <c r="AE13" i="92" s="1"/>
  <c r="K13" i="92"/>
  <c r="E13" i="92"/>
  <c r="BB13" i="92"/>
  <c r="AW13" i="92"/>
  <c r="AN12" i="92"/>
  <c r="M12" i="92" s="1"/>
  <c r="Z12" i="92"/>
  <c r="Y12" i="92"/>
  <c r="U12" i="92"/>
  <c r="K12" i="92"/>
  <c r="E12" i="92"/>
  <c r="BB12" i="92"/>
  <c r="AW12" i="92"/>
  <c r="AN11" i="92"/>
  <c r="M11" i="92" s="1"/>
  <c r="Z11" i="92"/>
  <c r="Y11" i="92"/>
  <c r="U11" i="92"/>
  <c r="K11" i="92"/>
  <c r="AM11" i="92" s="1"/>
  <c r="E11" i="92"/>
  <c r="AN10" i="92"/>
  <c r="M10" i="92" s="1"/>
  <c r="Z10" i="92"/>
  <c r="Y10" i="92"/>
  <c r="U10" i="92"/>
  <c r="AJ10" i="92" s="1"/>
  <c r="K10" i="92"/>
  <c r="AM10" i="92" s="1"/>
  <c r="E10" i="92"/>
  <c r="AN9" i="92"/>
  <c r="M9" i="92" s="1"/>
  <c r="O9" i="92" s="1"/>
  <c r="Z9" i="92"/>
  <c r="Y9" i="92"/>
  <c r="U9" i="92"/>
  <c r="AD9" i="92" s="1"/>
  <c r="K9" i="92"/>
  <c r="AI9" i="92" s="1"/>
  <c r="E9" i="92"/>
  <c r="AN8" i="92"/>
  <c r="E8" i="92"/>
  <c r="AN7" i="92"/>
  <c r="M7" i="92" s="1"/>
  <c r="Z7" i="92"/>
  <c r="Y7" i="92"/>
  <c r="U7" i="92"/>
  <c r="AJ7" i="92" s="1"/>
  <c r="K7" i="92"/>
  <c r="AI7" i="92" s="1"/>
  <c r="E7" i="92"/>
  <c r="AN6" i="92"/>
  <c r="M6" i="92" s="1"/>
  <c r="Y6" i="92"/>
  <c r="AE6" i="92" s="1"/>
  <c r="U6" i="92"/>
  <c r="K6" i="92"/>
  <c r="AH6" i="92" s="1"/>
  <c r="E6" i="92"/>
  <c r="AN5" i="92"/>
  <c r="M5" i="92" s="1"/>
  <c r="Z5" i="92"/>
  <c r="Y5" i="92"/>
  <c r="U5" i="92"/>
  <c r="AD5" i="92" s="1"/>
  <c r="K5" i="92"/>
  <c r="E5" i="92"/>
  <c r="AA9" i="92" l="1"/>
  <c r="AG9" i="2"/>
  <c r="AE70" i="92"/>
  <c r="AE82" i="92"/>
  <c r="AA84" i="92"/>
  <c r="AD49" i="92"/>
  <c r="AG7" i="2"/>
  <c r="AJ51" i="92"/>
  <c r="AH5" i="92"/>
  <c r="AI34" i="92"/>
  <c r="AA79" i="92"/>
  <c r="AB79" i="92" s="1"/>
  <c r="AM79" i="92" s="1"/>
  <c r="AB9" i="2"/>
  <c r="AM9" i="2" s="1"/>
  <c r="M56" i="92"/>
  <c r="N56" i="92" s="1"/>
  <c r="O56" i="92" s="1"/>
  <c r="AD79" i="92"/>
  <c r="AE12" i="92"/>
  <c r="AF58" i="92"/>
  <c r="AK70" i="92"/>
  <c r="AI79" i="92"/>
  <c r="AH44" i="92"/>
  <c r="AF79" i="92"/>
  <c r="AG8" i="2"/>
  <c r="AB7" i="2"/>
  <c r="AM7" i="2" s="1"/>
  <c r="AB8" i="2"/>
  <c r="AM8" i="2" s="1"/>
  <c r="AD31" i="92"/>
  <c r="AI38" i="92"/>
  <c r="AA65" i="92"/>
  <c r="AE79" i="92"/>
  <c r="AD77" i="92"/>
  <c r="AH16" i="92"/>
  <c r="AH27" i="92"/>
  <c r="AD40" i="92"/>
  <c r="AI40" i="92"/>
  <c r="AJ81" i="92"/>
  <c r="AD38" i="92"/>
  <c r="AE27" i="92"/>
  <c r="AA81" i="92"/>
  <c r="AI68" i="92"/>
  <c r="AE76" i="92"/>
  <c r="AE62" i="92"/>
  <c r="AI51" i="92"/>
  <c r="AA71" i="92"/>
  <c r="AI71" i="92"/>
  <c r="AH11" i="92"/>
  <c r="AD30" i="92"/>
  <c r="AE73" i="92"/>
  <c r="AE84" i="92"/>
  <c r="AD24" i="92"/>
  <c r="AH84" i="92"/>
  <c r="AJ71" i="92"/>
  <c r="AH9" i="92"/>
  <c r="AI11" i="92"/>
  <c r="AH24" i="92"/>
  <c r="AD35" i="92"/>
  <c r="AI39" i="92"/>
  <c r="AH55" i="92"/>
  <c r="AE61" i="92"/>
  <c r="AJ9" i="92"/>
  <c r="AH15" i="92"/>
  <c r="AH22" i="92"/>
  <c r="AH29" i="92"/>
  <c r="AI35" i="92"/>
  <c r="AE60" i="92"/>
  <c r="O64" i="92"/>
  <c r="S64" i="92" s="1"/>
  <c r="AC64" i="92" s="1"/>
  <c r="O85" i="92"/>
  <c r="AK85" i="92" s="1"/>
  <c r="AB67" i="92"/>
  <c r="AM67" i="92" s="1"/>
  <c r="AD45" i="92"/>
  <c r="AA11" i="92"/>
  <c r="AI6" i="92"/>
  <c r="AI74" i="92"/>
  <c r="AI26" i="92"/>
  <c r="AH53" i="92"/>
  <c r="AD62" i="92"/>
  <c r="AE64" i="92"/>
  <c r="AD70" i="92"/>
  <c r="AJ74" i="92"/>
  <c r="AD67" i="92"/>
  <c r="AD61" i="92"/>
  <c r="AF67" i="92"/>
  <c r="AJ37" i="92"/>
  <c r="AH20" i="92"/>
  <c r="AD44" i="92"/>
  <c r="AH70" i="92"/>
  <c r="AE83" i="92"/>
  <c r="AD75" i="92"/>
  <c r="AA40" i="92"/>
  <c r="AK42" i="92"/>
  <c r="AJ58" i="92"/>
  <c r="AI64" i="92"/>
  <c r="AJ68" i="92"/>
  <c r="AI70" i="92"/>
  <c r="AE10" i="92"/>
  <c r="O14" i="92"/>
  <c r="AF14" i="92" s="1"/>
  <c r="AA56" i="92"/>
  <c r="AF13" i="92"/>
  <c r="S13" i="92"/>
  <c r="AC13" i="92" s="1"/>
  <c r="AI85" i="92"/>
  <c r="AH85" i="92"/>
  <c r="AA13" i="92"/>
  <c r="AE9" i="92"/>
  <c r="AJ18" i="92"/>
  <c r="AE81" i="92"/>
  <c r="AW29" i="92"/>
  <c r="AY29" i="92" s="1"/>
  <c r="BA29" i="92" s="1"/>
  <c r="AA10" i="92"/>
  <c r="AJ21" i="92"/>
  <c r="AD21" i="92"/>
  <c r="AA64" i="92"/>
  <c r="AA83" i="92"/>
  <c r="AD10" i="92"/>
  <c r="AD12" i="92"/>
  <c r="AJ12" i="92"/>
  <c r="AE21" i="92"/>
  <c r="AA21" i="92"/>
  <c r="AH41" i="92"/>
  <c r="AI41" i="92"/>
  <c r="AA57" i="92"/>
  <c r="AA59" i="92"/>
  <c r="AH61" i="92"/>
  <c r="AI61" i="92"/>
  <c r="AA78" i="92"/>
  <c r="AE7" i="92"/>
  <c r="AI30" i="92"/>
  <c r="AH30" i="92"/>
  <c r="AI32" i="92"/>
  <c r="AH32" i="92"/>
  <c r="AD41" i="92"/>
  <c r="AJ41" i="92"/>
  <c r="AD57" i="92"/>
  <c r="AD66" i="92"/>
  <c r="AD78" i="92"/>
  <c r="AD7" i="92"/>
  <c r="AD17" i="92"/>
  <c r="AJ17" i="92"/>
  <c r="AD19" i="92"/>
  <c r="AJ19" i="92"/>
  <c r="AD26" i="92"/>
  <c r="AD39" i="92"/>
  <c r="AE47" i="92"/>
  <c r="N55" i="92"/>
  <c r="O55" i="92" s="1"/>
  <c r="AF55" i="92" s="1"/>
  <c r="AH57" i="92"/>
  <c r="AH7" i="92"/>
  <c r="AJ15" i="92"/>
  <c r="AE26" i="92"/>
  <c r="AJ32" i="92"/>
  <c r="AD32" i="92"/>
  <c r="AA61" i="92"/>
  <c r="AB61" i="92" s="1"/>
  <c r="AM61" i="92" s="1"/>
  <c r="AJ72" i="92"/>
  <c r="AD72" i="92"/>
  <c r="AE18" i="92"/>
  <c r="AD33" i="92"/>
  <c r="AA72" i="92"/>
  <c r="AE72" i="92"/>
  <c r="AH12" i="92"/>
  <c r="AI12" i="92"/>
  <c r="N27" i="92"/>
  <c r="O27" i="92" s="1"/>
  <c r="AI43" i="92"/>
  <c r="AH43" i="92"/>
  <c r="AD59" i="92"/>
  <c r="AJ59" i="92"/>
  <c r="AH56" i="92"/>
  <c r="AI56" i="92"/>
  <c r="AM5" i="92"/>
  <c r="AX16" i="92" a="1"/>
  <c r="AX16" i="92" s="1"/>
  <c r="BA16" i="92" s="1"/>
  <c r="N35" i="92"/>
  <c r="O35" i="92" s="1"/>
  <c r="S35" i="92" s="1"/>
  <c r="AC35" i="92" s="1"/>
  <c r="AA73" i="92"/>
  <c r="AA34" i="92"/>
  <c r="AD48" i="92"/>
  <c r="AJ48" i="92"/>
  <c r="AD56" i="92"/>
  <c r="AJ56" i="92"/>
  <c r="AK13" i="92"/>
  <c r="AH13" i="92"/>
  <c r="AI13" i="92"/>
  <c r="AD14" i="92"/>
  <c r="AD22" i="92"/>
  <c r="AD34" i="92"/>
  <c r="AH46" i="92"/>
  <c r="AI46" i="92"/>
  <c r="AE48" i="92"/>
  <c r="AA48" i="92"/>
  <c r="AA60" i="92"/>
  <c r="AB60" i="92" s="1"/>
  <c r="AM60" i="92" s="1"/>
  <c r="AH77" i="92"/>
  <c r="AI77" i="92"/>
  <c r="AE14" i="92"/>
  <c r="AA54" i="92"/>
  <c r="AE20" i="92"/>
  <c r="AI33" i="92"/>
  <c r="AH33" i="92"/>
  <c r="AD36" i="92"/>
  <c r="AJ36" i="92"/>
  <c r="AD42" i="92"/>
  <c r="AI52" i="92"/>
  <c r="AH52" i="92"/>
  <c r="AH25" i="92"/>
  <c r="AI25" i="92"/>
  <c r="AE36" i="92"/>
  <c r="AA36" i="92"/>
  <c r="AA44" i="92"/>
  <c r="AD46" i="92"/>
  <c r="AJ46" i="92"/>
  <c r="AA77" i="92"/>
  <c r="AD43" i="92"/>
  <c r="AA82" i="92"/>
  <c r="AE43" i="92"/>
  <c r="AE56" i="92"/>
  <c r="AD16" i="92"/>
  <c r="AH65" i="92"/>
  <c r="AE71" i="92"/>
  <c r="AA12" i="92"/>
  <c r="AE16" i="92"/>
  <c r="AK34" i="92"/>
  <c r="AA51" i="92"/>
  <c r="AE55" i="92"/>
  <c r="AA76" i="92"/>
  <c r="AF32" i="92"/>
  <c r="S32" i="92"/>
  <c r="AC32" i="92" s="1"/>
  <c r="AK32" i="92"/>
  <c r="S72" i="92"/>
  <c r="AC72" i="92" s="1"/>
  <c r="AF72" i="92"/>
  <c r="S52" i="92"/>
  <c r="AC52" i="92" s="1"/>
  <c r="AK52" i="92"/>
  <c r="AF52" i="92"/>
  <c r="N7" i="92"/>
  <c r="O7" i="92" s="1"/>
  <c r="N21" i="92"/>
  <c r="O21" i="92" s="1"/>
  <c r="AF22" i="92"/>
  <c r="AK22" i="92"/>
  <c r="S22" i="92"/>
  <c r="AC22" i="92" s="1"/>
  <c r="S33" i="92"/>
  <c r="AC33" i="92" s="1"/>
  <c r="AF33" i="92"/>
  <c r="S30" i="92"/>
  <c r="AC30" i="92" s="1"/>
  <c r="AK30" i="92"/>
  <c r="AF30" i="92"/>
  <c r="AF24" i="92"/>
  <c r="S24" i="92"/>
  <c r="AC24" i="92" s="1"/>
  <c r="AK24" i="92"/>
  <c r="AD27" i="92"/>
  <c r="AJ27" i="92"/>
  <c r="AH80" i="92"/>
  <c r="AI80" i="92"/>
  <c r="AF37" i="92"/>
  <c r="S37" i="92"/>
  <c r="AC37" i="92" s="1"/>
  <c r="S53" i="92"/>
  <c r="AC53" i="92" s="1"/>
  <c r="AF53" i="92"/>
  <c r="AK53" i="92"/>
  <c r="AE85" i="92"/>
  <c r="AA85" i="92"/>
  <c r="N76" i="92"/>
  <c r="O76" i="92" s="1"/>
  <c r="AK76" i="92" s="1"/>
  <c r="N48" i="92"/>
  <c r="O48" i="92" s="1"/>
  <c r="AK48" i="92" s="1"/>
  <c r="AA6" i="92"/>
  <c r="AI47" i="92"/>
  <c r="AH47" i="92"/>
  <c r="AA55" i="92"/>
  <c r="AH63" i="92"/>
  <c r="AA25" i="92"/>
  <c r="AE38" i="92"/>
  <c r="AA38" i="92"/>
  <c r="AJ47" i="92"/>
  <c r="AD47" i="92"/>
  <c r="AF68" i="92"/>
  <c r="S68" i="92"/>
  <c r="AC68" i="92" s="1"/>
  <c r="AK68" i="92"/>
  <c r="AK83" i="92"/>
  <c r="AI83" i="92"/>
  <c r="AH83" i="92"/>
  <c r="AA5" i="92"/>
  <c r="AE5" i="92"/>
  <c r="AX17" i="92" a="1"/>
  <c r="AX17" i="92" s="1"/>
  <c r="AI21" i="92"/>
  <c r="AH21" i="92"/>
  <c r="O43" i="92"/>
  <c r="AJ52" i="92"/>
  <c r="AD52" i="92"/>
  <c r="N54" i="92"/>
  <c r="O54" i="92" s="1"/>
  <c r="N20" i="92"/>
  <c r="O20" i="92" s="1"/>
  <c r="AJ80" i="92"/>
  <c r="AD80" i="92"/>
  <c r="AF34" i="92"/>
  <c r="S34" i="92"/>
  <c r="AC34" i="92" s="1"/>
  <c r="AI67" i="92"/>
  <c r="AH67" i="92"/>
  <c r="AK67" i="92"/>
  <c r="AD6" i="92"/>
  <c r="AJ6" i="92"/>
  <c r="AX12" i="92" a="1"/>
  <c r="AX12" i="92" s="1"/>
  <c r="AF39" i="92"/>
  <c r="S39" i="92"/>
  <c r="AC39" i="92" s="1"/>
  <c r="AK39" i="92"/>
  <c r="N62" i="92"/>
  <c r="O62" i="92" s="1"/>
  <c r="AK62" i="92" s="1"/>
  <c r="AJ84" i="92"/>
  <c r="AD84" i="92"/>
  <c r="AJ85" i="92"/>
  <c r="AW10" i="92"/>
  <c r="AX10" i="92" s="1" a="1"/>
  <c r="AX10" i="92" s="1"/>
  <c r="AX15" i="92" a="1"/>
  <c r="AX15" i="92" s="1"/>
  <c r="N26" i="92"/>
  <c r="O26" i="92" s="1"/>
  <c r="AX14" i="92" a="1"/>
  <c r="AX14" i="92" s="1"/>
  <c r="AF41" i="92"/>
  <c r="S41" i="92"/>
  <c r="AC41" i="92" s="1"/>
  <c r="N47" i="92"/>
  <c r="O47" i="92" s="1"/>
  <c r="AD54" i="92"/>
  <c r="AJ54" i="92"/>
  <c r="N12" i="92"/>
  <c r="O12" i="92" s="1"/>
  <c r="N25" i="92"/>
  <c r="O25" i="92" s="1"/>
  <c r="AJ28" i="92"/>
  <c r="AD28" i="92"/>
  <c r="N29" i="92"/>
  <c r="O29" i="92" s="1"/>
  <c r="AK51" i="92"/>
  <c r="AF51" i="92"/>
  <c r="S51" i="92"/>
  <c r="AC51" i="92" s="1"/>
  <c r="AJ83" i="92"/>
  <c r="AD83" i="92"/>
  <c r="AH17" i="92"/>
  <c r="N19" i="92"/>
  <c r="O19" i="92" s="1"/>
  <c r="AI23" i="92"/>
  <c r="AW30" i="92"/>
  <c r="AY30" i="92" s="1"/>
  <c r="BA30" i="92" s="1"/>
  <c r="N49" i="92"/>
  <c r="O49" i="92" s="1"/>
  <c r="AD60" i="92"/>
  <c r="AF60" i="92"/>
  <c r="AJ60" i="92"/>
  <c r="AI63" i="92"/>
  <c r="S71" i="92"/>
  <c r="AC71" i="92" s="1"/>
  <c r="AF71" i="92"/>
  <c r="AK71" i="92"/>
  <c r="AJ76" i="92"/>
  <c r="AD76" i="92"/>
  <c r="N81" i="92"/>
  <c r="O81" i="92" s="1"/>
  <c r="AK15" i="92"/>
  <c r="AF15" i="92"/>
  <c r="S15" i="92"/>
  <c r="AC15" i="92" s="1"/>
  <c r="N78" i="92"/>
  <c r="O78" i="92" s="1"/>
  <c r="AK78" i="92" s="1"/>
  <c r="AF61" i="92"/>
  <c r="AE65" i="92"/>
  <c r="AA80" i="92"/>
  <c r="AE80" i="92"/>
  <c r="N10" i="92"/>
  <c r="O10" i="92" s="1"/>
  <c r="AA15" i="92"/>
  <c r="AW11" i="92"/>
  <c r="AX11" i="92" s="1" a="1"/>
  <c r="AX11" i="92" s="1"/>
  <c r="AD29" i="92"/>
  <c r="AJ29" i="92"/>
  <c r="AJ64" i="92"/>
  <c r="AD64" i="92"/>
  <c r="AD25" i="92"/>
  <c r="AJ25" i="92"/>
  <c r="AD73" i="92"/>
  <c r="AJ73" i="92"/>
  <c r="AI81" i="92"/>
  <c r="AH81" i="92"/>
  <c r="AF28" i="92"/>
  <c r="N75" i="92"/>
  <c r="O75" i="92" s="1"/>
  <c r="AF83" i="92"/>
  <c r="N11" i="92"/>
  <c r="O11" i="92" s="1"/>
  <c r="S28" i="92"/>
  <c r="AC28" i="92" s="1"/>
  <c r="AK61" i="92"/>
  <c r="S83" i="92"/>
  <c r="AC83" i="92" s="1"/>
  <c r="AJ5" i="92"/>
  <c r="N16" i="92"/>
  <c r="O16" i="92" s="1"/>
  <c r="N36" i="92"/>
  <c r="O36" i="92" s="1"/>
  <c r="AA7" i="92"/>
  <c r="N23" i="92"/>
  <c r="O23" i="92" s="1"/>
  <c r="AI45" i="92"/>
  <c r="AH45" i="92"/>
  <c r="AE46" i="92"/>
  <c r="AA46" i="92"/>
  <c r="AI50" i="92"/>
  <c r="AH50" i="92"/>
  <c r="AD23" i="92"/>
  <c r="AJ23" i="92"/>
  <c r="N77" i="92"/>
  <c r="O77" i="92" s="1"/>
  <c r="AI18" i="92"/>
  <c r="AH18" i="92"/>
  <c r="S9" i="92"/>
  <c r="AC9" i="92" s="1"/>
  <c r="AF9" i="92"/>
  <c r="AI66" i="92"/>
  <c r="AK66" i="92"/>
  <c r="N69" i="92"/>
  <c r="O69" i="92" s="1"/>
  <c r="N82" i="92"/>
  <c r="O82" i="92" s="1"/>
  <c r="N6" i="92"/>
  <c r="O6" i="92" s="1"/>
  <c r="AA22" i="92"/>
  <c r="AE23" i="92"/>
  <c r="AI36" i="92"/>
  <c r="AE53" i="92"/>
  <c r="AA53" i="92"/>
  <c r="AE63" i="92"/>
  <c r="AA63" i="92"/>
  <c r="N31" i="92"/>
  <c r="O31" i="92" s="1"/>
  <c r="AI82" i="92"/>
  <c r="AH82" i="92"/>
  <c r="AI49" i="92"/>
  <c r="AH49" i="92"/>
  <c r="AK58" i="92"/>
  <c r="AI58" i="92"/>
  <c r="AH58" i="92"/>
  <c r="AI5" i="92"/>
  <c r="AW9" i="92"/>
  <c r="O18" i="92"/>
  <c r="O38" i="92"/>
  <c r="AJ53" i="92"/>
  <c r="AD53" i="92"/>
  <c r="S58" i="92"/>
  <c r="AD63" i="92"/>
  <c r="AJ63" i="92"/>
  <c r="AA19" i="92"/>
  <c r="AE19" i="92"/>
  <c r="AD20" i="92"/>
  <c r="AM33" i="92"/>
  <c r="AK33" i="92"/>
  <c r="O50" i="92"/>
  <c r="AK50" i="92" s="1"/>
  <c r="AF66" i="92"/>
  <c r="AB66" i="92"/>
  <c r="AM66" i="92" s="1"/>
  <c r="N73" i="92"/>
  <c r="O73" i="92" s="1"/>
  <c r="AK74" i="92"/>
  <c r="AB74" i="92"/>
  <c r="AM74" i="92" s="1"/>
  <c r="N80" i="92"/>
  <c r="O80" i="92" s="1"/>
  <c r="AI48" i="92"/>
  <c r="AH48" i="92"/>
  <c r="AH14" i="92"/>
  <c r="AI14" i="92"/>
  <c r="N17" i="92"/>
  <c r="O17" i="92" s="1"/>
  <c r="AI19" i="92"/>
  <c r="AM31" i="92"/>
  <c r="AI31" i="92"/>
  <c r="AH31" i="92"/>
  <c r="AE35" i="92"/>
  <c r="AA35" i="92"/>
  <c r="AA52" i="92"/>
  <c r="AA62" i="92"/>
  <c r="O65" i="92"/>
  <c r="AI69" i="92"/>
  <c r="AH10" i="92"/>
  <c r="AD11" i="92"/>
  <c r="AJ11" i="92"/>
  <c r="AX18" i="92" a="1"/>
  <c r="AX18" i="92" s="1"/>
  <c r="AI10" i="92"/>
  <c r="AE11" i="92"/>
  <c r="AX13" i="92" a="1"/>
  <c r="AX13" i="92" s="1"/>
  <c r="AK28" i="92"/>
  <c r="AI28" i="92"/>
  <c r="AW31" i="92"/>
  <c r="AY31" i="92" s="1"/>
  <c r="BA31" i="92" s="1"/>
  <c r="AJ55" i="92"/>
  <c r="AD55" i="92"/>
  <c r="AJ65" i="92"/>
  <c r="AD65" i="92"/>
  <c r="AH66" i="92"/>
  <c r="AF74" i="92"/>
  <c r="AG74" i="92" s="1"/>
  <c r="AK79" i="92"/>
  <c r="AD82" i="92"/>
  <c r="AJ82" i="92"/>
  <c r="N45" i="92"/>
  <c r="O45" i="92" s="1"/>
  <c r="AJ50" i="92"/>
  <c r="AD50" i="92"/>
  <c r="AH59" i="92"/>
  <c r="AF70" i="92"/>
  <c r="AI73" i="92"/>
  <c r="AH73" i="92"/>
  <c r="AI76" i="92"/>
  <c r="AH76" i="92"/>
  <c r="S42" i="92"/>
  <c r="AF42" i="92"/>
  <c r="AA50" i="92"/>
  <c r="AE50" i="92"/>
  <c r="AA43" i="92"/>
  <c r="AA45" i="92"/>
  <c r="AE49" i="92"/>
  <c r="AA49" i="92"/>
  <c r="AK72" i="92"/>
  <c r="AI72" i="92"/>
  <c r="AH75" i="92"/>
  <c r="AE78" i="92"/>
  <c r="AK9" i="92"/>
  <c r="AI37" i="92"/>
  <c r="AK37" i="92"/>
  <c r="N40" i="92"/>
  <c r="O40" i="92" s="1"/>
  <c r="AK40" i="92" s="1"/>
  <c r="AJ69" i="92"/>
  <c r="AD69" i="92"/>
  <c r="N5" i="92"/>
  <c r="O5" i="92" s="1"/>
  <c r="AI42" i="92"/>
  <c r="AE45" i="92"/>
  <c r="AI54" i="92"/>
  <c r="AH54" i="92"/>
  <c r="N59" i="92"/>
  <c r="O59" i="92" s="1"/>
  <c r="AI60" i="92"/>
  <c r="AK60" i="92"/>
  <c r="AH62" i="92"/>
  <c r="O57" i="92"/>
  <c r="AA69" i="92"/>
  <c r="AA70" i="92"/>
  <c r="AB70" i="92" s="1"/>
  <c r="AM70" i="92" s="1"/>
  <c r="AH78" i="92"/>
  <c r="O84" i="92"/>
  <c r="AE44" i="92"/>
  <c r="O46" i="92"/>
  <c r="AE57" i="92"/>
  <c r="AK41" i="92"/>
  <c r="AE59" i="92"/>
  <c r="AE77" i="92"/>
  <c r="O44" i="92"/>
  <c r="AK44" i="92" s="1"/>
  <c r="AA47" i="92"/>
  <c r="O63" i="92"/>
  <c r="AK63" i="92" s="1"/>
  <c r="Y6" i="2"/>
  <c r="Z6" i="2"/>
  <c r="U6" i="2"/>
  <c r="AD6" i="2" s="1"/>
  <c r="AG15" i="92" l="1"/>
  <c r="AG67" i="92"/>
  <c r="AG79" i="92"/>
  <c r="S14" i="92"/>
  <c r="AC14" i="92" s="1"/>
  <c r="AG14" i="92" s="1"/>
  <c r="AG13" i="92"/>
  <c r="AK14" i="92"/>
  <c r="AF85" i="92"/>
  <c r="AG85" i="92" s="1"/>
  <c r="AF56" i="92"/>
  <c r="AK56" i="92"/>
  <c r="S56" i="92"/>
  <c r="AC56" i="92" s="1"/>
  <c r="AF64" i="92"/>
  <c r="AG64" i="92" s="1"/>
  <c r="AG68" i="92"/>
  <c r="AG70" i="92"/>
  <c r="AB51" i="92"/>
  <c r="AM51" i="92" s="1"/>
  <c r="AG61" i="92"/>
  <c r="AE6" i="2"/>
  <c r="AF27" i="92"/>
  <c r="AK27" i="92"/>
  <c r="AB85" i="92"/>
  <c r="AM85" i="92" s="1"/>
  <c r="AB24" i="92"/>
  <c r="AM24" i="92" s="1"/>
  <c r="AG60" i="92"/>
  <c r="AB15" i="92"/>
  <c r="AM15" i="92" s="1"/>
  <c r="AB83" i="92"/>
  <c r="AM83" i="92" s="1"/>
  <c r="AK35" i="92"/>
  <c r="AB53" i="92"/>
  <c r="AM53" i="92" s="1"/>
  <c r="AB64" i="92"/>
  <c r="AM64" i="92" s="1"/>
  <c r="AK64" i="92"/>
  <c r="E2" i="92"/>
  <c r="AZ10" i="92" a="1"/>
  <c r="AZ10" i="92" s="1"/>
  <c r="AY10" i="92" s="1"/>
  <c r="S27" i="92"/>
  <c r="AC27" i="92" s="1"/>
  <c r="AG30" i="92"/>
  <c r="AG72" i="92"/>
  <c r="AZ14" i="92" a="1"/>
  <c r="AZ14" i="92" s="1"/>
  <c r="AY14" i="92" s="1"/>
  <c r="AG34" i="92"/>
  <c r="AB13" i="92"/>
  <c r="AM13" i="92" s="1"/>
  <c r="AG32" i="92"/>
  <c r="AK55" i="92"/>
  <c r="AB35" i="92"/>
  <c r="AM35" i="92" s="1"/>
  <c r="AB52" i="92"/>
  <c r="AM52" i="92" s="1"/>
  <c r="AG41" i="92"/>
  <c r="AF35" i="92"/>
  <c r="AG35" i="92" s="1"/>
  <c r="AB22" i="92"/>
  <c r="AM22" i="92" s="1"/>
  <c r="S55" i="92"/>
  <c r="AC55" i="92" s="1"/>
  <c r="AG55" i="92" s="1"/>
  <c r="AG66" i="92"/>
  <c r="AG39" i="92"/>
  <c r="BA27" i="92"/>
  <c r="AZ16" i="92" a="1"/>
  <c r="AZ16" i="92" s="1"/>
  <c r="AY16" i="92" s="1"/>
  <c r="BB11" i="92"/>
  <c r="AZ12" i="92" a="1"/>
  <c r="AZ12" i="92" s="1"/>
  <c r="AY12" i="92" s="1"/>
  <c r="AB68" i="92"/>
  <c r="AM68" i="92" s="1"/>
  <c r="AF49" i="92"/>
  <c r="S49" i="92"/>
  <c r="AC49" i="92" s="1"/>
  <c r="AK49" i="92"/>
  <c r="AF77" i="92"/>
  <c r="S77" i="92"/>
  <c r="AC77" i="92" s="1"/>
  <c r="AK77" i="92"/>
  <c r="AF26" i="92"/>
  <c r="S26" i="92"/>
  <c r="AC26" i="92" s="1"/>
  <c r="AK26" i="92"/>
  <c r="S31" i="92"/>
  <c r="AC31" i="92" s="1"/>
  <c r="AF31" i="92"/>
  <c r="AK31" i="92"/>
  <c r="AF36" i="92"/>
  <c r="S36" i="92"/>
  <c r="AC36" i="92" s="1"/>
  <c r="AK36" i="92"/>
  <c r="AF75" i="92"/>
  <c r="S75" i="92"/>
  <c r="AC75" i="92" s="1"/>
  <c r="AK75" i="92"/>
  <c r="AK20" i="92"/>
  <c r="S20" i="92"/>
  <c r="AC20" i="92" s="1"/>
  <c r="AF20" i="92"/>
  <c r="S21" i="92"/>
  <c r="AC21" i="92" s="1"/>
  <c r="AF21" i="92"/>
  <c r="AK21" i="92"/>
  <c r="S54" i="92"/>
  <c r="AC54" i="92" s="1"/>
  <c r="AF54" i="92"/>
  <c r="AK54" i="92"/>
  <c r="AF82" i="92"/>
  <c r="S82" i="92"/>
  <c r="AC82" i="92" s="1"/>
  <c r="AK82" i="92"/>
  <c r="AF29" i="92"/>
  <c r="S29" i="92"/>
  <c r="AC29" i="92" s="1"/>
  <c r="AK29" i="92"/>
  <c r="AF81" i="92"/>
  <c r="S81" i="92"/>
  <c r="AC81" i="92" s="1"/>
  <c r="AK81" i="92"/>
  <c r="AF25" i="92"/>
  <c r="S25" i="92"/>
  <c r="AC25" i="92" s="1"/>
  <c r="AK25" i="92"/>
  <c r="AF5" i="92"/>
  <c r="S5" i="92"/>
  <c r="AC5" i="92" s="1"/>
  <c r="AK5" i="92"/>
  <c r="S19" i="92"/>
  <c r="AC19" i="92" s="1"/>
  <c r="AF19" i="92"/>
  <c r="AK19" i="92"/>
  <c r="S12" i="92"/>
  <c r="AC12" i="92" s="1"/>
  <c r="AF12" i="92"/>
  <c r="AK12" i="92"/>
  <c r="S45" i="92"/>
  <c r="AC45" i="92" s="1"/>
  <c r="AF45" i="92"/>
  <c r="AK45" i="92"/>
  <c r="AJ3" i="92"/>
  <c r="AF38" i="92"/>
  <c r="S38" i="92"/>
  <c r="AC38" i="92" s="1"/>
  <c r="AK38" i="92"/>
  <c r="S84" i="92"/>
  <c r="AC84" i="92" s="1"/>
  <c r="AF84" i="92"/>
  <c r="AK84" i="92"/>
  <c r="AF18" i="92"/>
  <c r="S18" i="92"/>
  <c r="AC18" i="92" s="1"/>
  <c r="AK18" i="92"/>
  <c r="AW7" i="92"/>
  <c r="AX9" i="92" a="1"/>
  <c r="AX9" i="92" s="1"/>
  <c r="BD9" i="92"/>
  <c r="BD10" i="92" s="1"/>
  <c r="BD11" i="92" s="1"/>
  <c r="BD12" i="92" s="1"/>
  <c r="BD13" i="92" s="1"/>
  <c r="BD14" i="92" s="1"/>
  <c r="BD15" i="92" s="1"/>
  <c r="BD16" i="92" s="1"/>
  <c r="BD17" i="92" s="1"/>
  <c r="BD18" i="92" s="1"/>
  <c r="AF17" i="92"/>
  <c r="S17" i="92"/>
  <c r="AC17" i="92" s="1"/>
  <c r="AF10" i="92"/>
  <c r="S10" i="92"/>
  <c r="AC10" i="92" s="1"/>
  <c r="AK10" i="92"/>
  <c r="AF78" i="92"/>
  <c r="S78" i="92"/>
  <c r="AC78" i="92" s="1"/>
  <c r="AK11" i="92"/>
  <c r="S11" i="92"/>
  <c r="AC11" i="92" s="1"/>
  <c r="AF11" i="92"/>
  <c r="AF46" i="92"/>
  <c r="S46" i="92"/>
  <c r="AC46" i="92" s="1"/>
  <c r="AK46" i="92"/>
  <c r="AK65" i="92"/>
  <c r="S65" i="92"/>
  <c r="AC65" i="92" s="1"/>
  <c r="AF65" i="92"/>
  <c r="S80" i="92"/>
  <c r="AC80" i="92" s="1"/>
  <c r="AF80" i="92"/>
  <c r="AK6" i="92"/>
  <c r="AF6" i="92"/>
  <c r="S6" i="92"/>
  <c r="AC6" i="92" s="1"/>
  <c r="BB9" i="92"/>
  <c r="AF7" i="92"/>
  <c r="S7" i="92"/>
  <c r="AC7" i="92" s="1"/>
  <c r="AK7" i="92"/>
  <c r="AB34" i="92"/>
  <c r="AM34" i="92" s="1"/>
  <c r="AF48" i="92"/>
  <c r="S48" i="92"/>
  <c r="AC48" i="92" s="1"/>
  <c r="AG37" i="92"/>
  <c r="S63" i="92"/>
  <c r="AC63" i="92" s="1"/>
  <c r="AF63" i="92"/>
  <c r="AG51" i="92"/>
  <c r="AF43" i="92"/>
  <c r="S43" i="92"/>
  <c r="AC43" i="92" s="1"/>
  <c r="AK43" i="92"/>
  <c r="AB37" i="92"/>
  <c r="AM37" i="92" s="1"/>
  <c r="AB30" i="92"/>
  <c r="AM30" i="92" s="1"/>
  <c r="BA13" i="92"/>
  <c r="S16" i="92"/>
  <c r="AC16" i="92" s="1"/>
  <c r="AK16" i="92"/>
  <c r="AF16" i="92"/>
  <c r="S73" i="92"/>
  <c r="AC73" i="92" s="1"/>
  <c r="AF73" i="92"/>
  <c r="AF44" i="92"/>
  <c r="S44" i="92"/>
  <c r="AC44" i="92" s="1"/>
  <c r="BA18" i="92"/>
  <c r="AK80" i="92"/>
  <c r="AC58" i="92"/>
  <c r="AG58" i="92" s="1"/>
  <c r="AB58" i="92"/>
  <c r="AM58" i="92" s="1"/>
  <c r="AB41" i="92"/>
  <c r="AM41" i="92" s="1"/>
  <c r="AF62" i="92"/>
  <c r="S62" i="92"/>
  <c r="AC62" i="92" s="1"/>
  <c r="AZ11" i="92" a="1"/>
  <c r="AZ11" i="92" s="1"/>
  <c r="AY11" i="92" s="1"/>
  <c r="AF23" i="92"/>
  <c r="S23" i="92"/>
  <c r="AC23" i="92" s="1"/>
  <c r="BA14" i="92"/>
  <c r="AG22" i="92"/>
  <c r="AG52" i="92"/>
  <c r="AF59" i="92"/>
  <c r="S59" i="92"/>
  <c r="AC59" i="92" s="1"/>
  <c r="AK59" i="92"/>
  <c r="R2" i="92"/>
  <c r="S40" i="92"/>
  <c r="AC40" i="92" s="1"/>
  <c r="AF40" i="92"/>
  <c r="S47" i="92"/>
  <c r="AC47" i="92" s="1"/>
  <c r="AF47" i="92"/>
  <c r="AF76" i="92"/>
  <c r="S76" i="92"/>
  <c r="AC76" i="92" s="1"/>
  <c r="AC42" i="92"/>
  <c r="AG42" i="92" s="1"/>
  <c r="AB42" i="92"/>
  <c r="AM42" i="92" s="1"/>
  <c r="AG28" i="92"/>
  <c r="AK47" i="92"/>
  <c r="S69" i="92"/>
  <c r="AC69" i="92" s="1"/>
  <c r="AF69" i="92"/>
  <c r="AB28" i="92"/>
  <c r="AM28" i="92" s="1"/>
  <c r="AG33" i="92"/>
  <c r="BA17" i="92"/>
  <c r="AK69" i="92"/>
  <c r="G2" i="92"/>
  <c r="AZ15" i="92" a="1"/>
  <c r="AZ15" i="92" s="1"/>
  <c r="AY15" i="92" s="1"/>
  <c r="BA11" i="92"/>
  <c r="AB71" i="92"/>
  <c r="AM71" i="92" s="1"/>
  <c r="AK23" i="92"/>
  <c r="AB39" i="92"/>
  <c r="AM39" i="92" s="1"/>
  <c r="AZ9" i="92" a="1"/>
  <c r="AZ9" i="92" s="1"/>
  <c r="AG71" i="92"/>
  <c r="AI3" i="92"/>
  <c r="E1" i="92" s="1"/>
  <c r="AK17" i="92"/>
  <c r="BA15" i="92"/>
  <c r="BA12" i="92"/>
  <c r="AZ13" i="92" a="1"/>
  <c r="AZ13" i="92" s="1"/>
  <c r="AY13" i="92" s="1"/>
  <c r="AG24" i="92"/>
  <c r="AB32" i="92"/>
  <c r="AM32" i="92" s="1"/>
  <c r="AB72" i="92"/>
  <c r="AM72" i="92" s="1"/>
  <c r="AK73" i="92"/>
  <c r="AF50" i="92"/>
  <c r="AG50" i="92" s="1"/>
  <c r="AB50" i="92"/>
  <c r="AM50" i="92" s="1"/>
  <c r="AG9" i="92"/>
  <c r="BA10" i="92"/>
  <c r="AG53" i="92"/>
  <c r="AZ17" i="92" a="1"/>
  <c r="AZ17" i="92" s="1"/>
  <c r="AY17" i="92" s="1"/>
  <c r="AK57" i="92"/>
  <c r="AF57" i="92"/>
  <c r="S57" i="92"/>
  <c r="AC57" i="92" s="1"/>
  <c r="AB9" i="92"/>
  <c r="AM9" i="92" s="1"/>
  <c r="AG83" i="92"/>
  <c r="AZ18" i="92" a="1"/>
  <c r="AZ18" i="92" s="1"/>
  <c r="AY18" i="92" s="1"/>
  <c r="BB10" i="92"/>
  <c r="AA6" i="2"/>
  <c r="AJ6" i="2"/>
  <c r="AG25" i="92" l="1"/>
  <c r="AG49" i="92"/>
  <c r="AG57" i="92"/>
  <c r="AG17" i="92"/>
  <c r="AG44" i="92"/>
  <c r="AG43" i="92"/>
  <c r="AG56" i="92"/>
  <c r="AB14" i="92"/>
  <c r="AM14" i="92" s="1"/>
  <c r="AG75" i="92"/>
  <c r="AB56" i="92"/>
  <c r="AM56" i="92" s="1"/>
  <c r="AB59" i="92"/>
  <c r="AM59" i="92" s="1"/>
  <c r="AG26" i="92"/>
  <c r="AG46" i="92"/>
  <c r="AG16" i="92"/>
  <c r="AB40" i="92"/>
  <c r="AM40" i="92" s="1"/>
  <c r="AG78" i="92"/>
  <c r="AG27" i="92"/>
  <c r="AB26" i="92"/>
  <c r="AM26" i="92" s="1"/>
  <c r="AG69" i="92"/>
  <c r="AG5" i="92"/>
  <c r="AB27" i="92"/>
  <c r="AM27" i="92" s="1"/>
  <c r="AB65" i="92"/>
  <c r="AM65" i="92" s="1"/>
  <c r="AB12" i="92"/>
  <c r="AM12" i="92" s="1"/>
  <c r="AB55" i="92"/>
  <c r="AM55" i="92" s="1"/>
  <c r="AB82" i="92"/>
  <c r="AM82" i="92" s="1"/>
  <c r="AB36" i="92"/>
  <c r="AM36" i="92" s="1"/>
  <c r="AG76" i="92"/>
  <c r="AG23" i="92"/>
  <c r="AG82" i="92"/>
  <c r="AG36" i="92"/>
  <c r="BB7" i="92"/>
  <c r="BC29" i="92" s="1"/>
  <c r="AB45" i="92"/>
  <c r="AM45" i="92" s="1"/>
  <c r="AG6" i="92"/>
  <c r="AG81" i="92"/>
  <c r="AG31" i="92"/>
  <c r="AB38" i="92"/>
  <c r="AM38" i="92" s="1"/>
  <c r="AG54" i="92"/>
  <c r="AB18" i="92"/>
  <c r="AM18" i="92" s="1"/>
  <c r="AB47" i="92"/>
  <c r="AM47" i="92" s="1"/>
  <c r="AG62" i="92"/>
  <c r="AG10" i="92"/>
  <c r="AG29" i="92"/>
  <c r="AG77" i="92"/>
  <c r="AB63" i="92"/>
  <c r="AM63" i="92" s="1"/>
  <c r="AG19" i="92"/>
  <c r="AB69" i="92"/>
  <c r="AM69" i="92" s="1"/>
  <c r="AB49" i="92"/>
  <c r="AM49" i="92" s="1"/>
  <c r="AB17" i="92"/>
  <c r="AM17" i="92" s="1"/>
  <c r="AB75" i="92"/>
  <c r="AM75" i="92" s="1"/>
  <c r="AB16" i="92"/>
  <c r="AM16" i="92" s="1"/>
  <c r="AG11" i="92"/>
  <c r="AG84" i="92"/>
  <c r="AK3" i="92"/>
  <c r="AB29" i="92"/>
  <c r="AM29" i="92" s="1"/>
  <c r="AB21" i="92"/>
  <c r="AM21" i="92" s="1"/>
  <c r="AG21" i="92"/>
  <c r="AY9" i="92"/>
  <c r="AX7" i="92"/>
  <c r="BA9" i="92"/>
  <c r="AB44" i="92"/>
  <c r="AM44" i="92" s="1"/>
  <c r="AB80" i="92"/>
  <c r="AM80" i="92" s="1"/>
  <c r="AG20" i="92"/>
  <c r="AG47" i="92"/>
  <c r="AB23" i="92"/>
  <c r="AM23" i="92" s="1"/>
  <c r="AG48" i="92"/>
  <c r="AG7" i="92"/>
  <c r="AB77" i="92"/>
  <c r="AM77" i="92" s="1"/>
  <c r="AZ7" i="92"/>
  <c r="AB76" i="92"/>
  <c r="AM76" i="92" s="1"/>
  <c r="AG63" i="92"/>
  <c r="AG80" i="92"/>
  <c r="AB78" i="92"/>
  <c r="AM78" i="92" s="1"/>
  <c r="AB48" i="92"/>
  <c r="AM48" i="92" s="1"/>
  <c r="AB7" i="92"/>
  <c r="AM7" i="92" s="1"/>
  <c r="AG65" i="92"/>
  <c r="AG18" i="92"/>
  <c r="AG38" i="92"/>
  <c r="AG45" i="92"/>
  <c r="AB25" i="92"/>
  <c r="AM25" i="92" s="1"/>
  <c r="AB20" i="92"/>
  <c r="AM20" i="92" s="1"/>
  <c r="AG40" i="92"/>
  <c r="AB62" i="92"/>
  <c r="AM62" i="92" s="1"/>
  <c r="AG73" i="92"/>
  <c r="AG12" i="92"/>
  <c r="AB81" i="92"/>
  <c r="AM81" i="92" s="1"/>
  <c r="AB73" i="92"/>
  <c r="AM73" i="92" s="1"/>
  <c r="AB43" i="92"/>
  <c r="AM43" i="92" s="1"/>
  <c r="AB57" i="92"/>
  <c r="AM57" i="92" s="1"/>
  <c r="AB6" i="92"/>
  <c r="AM6" i="92" s="1"/>
  <c r="AB46" i="92"/>
  <c r="AM46" i="92" s="1"/>
  <c r="AB19" i="92"/>
  <c r="AM19" i="92" s="1"/>
  <c r="AB54" i="92"/>
  <c r="AM54" i="92" s="1"/>
  <c r="AG59" i="92"/>
  <c r="AB84" i="92"/>
  <c r="AM84" i="92" s="1"/>
  <c r="BC34" i="92" l="1"/>
  <c r="BD29" i="92"/>
  <c r="BD34" i="92" s="1"/>
  <c r="AW32" i="2"/>
  <c r="AY32" i="2" s="1"/>
  <c r="BA32" i="2" s="1"/>
  <c r="AG2" i="92"/>
  <c r="AM3" i="92"/>
  <c r="G1" i="92" s="1"/>
  <c r="BA7" i="92"/>
  <c r="BC9" i="92"/>
  <c r="BC10" i="92" s="1"/>
  <c r="BC11" i="92" s="1"/>
  <c r="BC12" i="92" s="1"/>
  <c r="BC13" i="92" s="1"/>
  <c r="BC14" i="92" s="1"/>
  <c r="BC15" i="92" s="1"/>
  <c r="BC16" i="92" s="1"/>
  <c r="BC17" i="92" s="1"/>
  <c r="BC18" i="92" s="1"/>
  <c r="M6" i="2" l="1"/>
  <c r="BC30" i="91"/>
  <c r="K6" i="2"/>
  <c r="E6" i="2"/>
  <c r="AH6" i="2" l="1"/>
  <c r="AI6" i="2"/>
  <c r="AN6" i="2"/>
  <c r="N6" i="2" l="1"/>
  <c r="O6" i="2" s="1"/>
  <c r="AF6" i="2" l="1"/>
  <c r="S6" i="2"/>
  <c r="AC6" i="2" s="1"/>
  <c r="AK6" i="2"/>
  <c r="AG6" i="2" l="1"/>
  <c r="AB6" i="2"/>
  <c r="AM6" i="2" s="1"/>
  <c r="AW31" i="2" l="1"/>
  <c r="AY31" i="2" s="1"/>
  <c r="BA31" i="2" s="1"/>
  <c r="AW30" i="2"/>
  <c r="AY30" i="2" s="1"/>
  <c r="BA30" i="2" s="1"/>
  <c r="L5" i="89"/>
  <c r="E14" i="89"/>
  <c r="AW9" i="2" l="1"/>
  <c r="AW29" i="2" l="1"/>
  <c r="AY29" i="2" s="1"/>
  <c r="BA29" i="2" s="1"/>
  <c r="BA27" i="2" s="1"/>
  <c r="BB7" i="2" l="1"/>
  <c r="BD9" i="2"/>
  <c r="BD10" i="2" s="1"/>
  <c r="BD11" i="2" s="1"/>
  <c r="BD12" i="2" s="1"/>
  <c r="BD13" i="2" s="1"/>
  <c r="BD14" i="2" s="1"/>
  <c r="BD15" i="2" s="1"/>
  <c r="BD16" i="2" s="1"/>
  <c r="BD17" i="2" s="1"/>
  <c r="BD18" i="2" s="1"/>
  <c r="AW7" i="2"/>
  <c r="AN121" i="91" l="1"/>
  <c r="M121" i="91" s="1"/>
  <c r="AE121" i="91"/>
  <c r="AA121" i="91"/>
  <c r="U121" i="91"/>
  <c r="K121" i="91"/>
  <c r="E121" i="91"/>
  <c r="AN120" i="91"/>
  <c r="M120" i="91" s="1"/>
  <c r="N120" i="91" s="1"/>
  <c r="O120" i="91" s="1"/>
  <c r="AE120" i="91"/>
  <c r="AA120" i="91"/>
  <c r="U120" i="91"/>
  <c r="AD120" i="91" s="1"/>
  <c r="K120" i="91"/>
  <c r="AH120" i="91" s="1"/>
  <c r="E120" i="91"/>
  <c r="AN119" i="91"/>
  <c r="M119" i="91" s="1"/>
  <c r="O119" i="91" s="1"/>
  <c r="AE119" i="91"/>
  <c r="AA119" i="91"/>
  <c r="U119" i="91"/>
  <c r="K119" i="91"/>
  <c r="E119" i="91"/>
  <c r="AN118" i="91"/>
  <c r="M118" i="91" s="1"/>
  <c r="AE118" i="91"/>
  <c r="AA118" i="91"/>
  <c r="U118" i="91"/>
  <c r="AJ118" i="91" s="1"/>
  <c r="K118" i="91"/>
  <c r="E118" i="91"/>
  <c r="AN117" i="91"/>
  <c r="M117" i="91" s="1"/>
  <c r="AE117" i="91"/>
  <c r="AA117" i="91"/>
  <c r="U117" i="91"/>
  <c r="K117" i="91"/>
  <c r="E117" i="91"/>
  <c r="AN116" i="91"/>
  <c r="M116" i="91" s="1"/>
  <c r="N116" i="91" s="1"/>
  <c r="O116" i="91" s="1"/>
  <c r="AC116" i="91"/>
  <c r="Z116" i="91"/>
  <c r="Y116" i="91"/>
  <c r="U116" i="91"/>
  <c r="AJ116" i="91" s="1"/>
  <c r="K116" i="91"/>
  <c r="AH116" i="91" s="1"/>
  <c r="E116" i="91"/>
  <c r="AN115" i="91"/>
  <c r="M115" i="91" s="1"/>
  <c r="AC115" i="91"/>
  <c r="Z115" i="91"/>
  <c r="Y115" i="91"/>
  <c r="U115" i="91"/>
  <c r="AJ115" i="91" s="1"/>
  <c r="K115" i="91"/>
  <c r="AH115" i="91" s="1"/>
  <c r="E115" i="91"/>
  <c r="AN114" i="91"/>
  <c r="M114" i="91" s="1"/>
  <c r="AC114" i="91"/>
  <c r="Z114" i="91"/>
  <c r="Y114" i="91"/>
  <c r="U114" i="91"/>
  <c r="AD114" i="91" s="1"/>
  <c r="K114" i="91"/>
  <c r="AI114" i="91" s="1"/>
  <c r="E114" i="91"/>
  <c r="AN113" i="91"/>
  <c r="M113" i="91" s="1"/>
  <c r="N113" i="91" s="1"/>
  <c r="AC113" i="91"/>
  <c r="Z113" i="91"/>
  <c r="Y113" i="91"/>
  <c r="U113" i="91"/>
  <c r="AD113" i="91" s="1"/>
  <c r="K113" i="91"/>
  <c r="E113" i="91"/>
  <c r="AN112" i="91"/>
  <c r="M112" i="91" s="1"/>
  <c r="AC112" i="91"/>
  <c r="Z112" i="91"/>
  <c r="Y112" i="91"/>
  <c r="U112" i="91"/>
  <c r="K112" i="91"/>
  <c r="AH112" i="91" s="1"/>
  <c r="E112" i="91"/>
  <c r="AN111" i="91"/>
  <c r="M111" i="91" s="1"/>
  <c r="N111" i="91" s="1"/>
  <c r="AC111" i="91"/>
  <c r="Z111" i="91"/>
  <c r="Y111" i="91"/>
  <c r="U111" i="91"/>
  <c r="K111" i="91"/>
  <c r="AI111" i="91" s="1"/>
  <c r="E111" i="91"/>
  <c r="AN110" i="91"/>
  <c r="M110" i="91" s="1"/>
  <c r="N110" i="91" s="1"/>
  <c r="AC110" i="91"/>
  <c r="Z110" i="91"/>
  <c r="Y110" i="91"/>
  <c r="U110" i="91"/>
  <c r="K110" i="91"/>
  <c r="E110" i="91"/>
  <c r="AN109" i="91"/>
  <c r="M109" i="91" s="1"/>
  <c r="AE109" i="91"/>
  <c r="AA109" i="91"/>
  <c r="U109" i="91"/>
  <c r="K109" i="91"/>
  <c r="E109" i="91"/>
  <c r="AN108" i="91"/>
  <c r="M108" i="91" s="1"/>
  <c r="AE108" i="91"/>
  <c r="AA108" i="91"/>
  <c r="U108" i="91"/>
  <c r="K108" i="91"/>
  <c r="E108" i="91"/>
  <c r="AN107" i="91"/>
  <c r="M107" i="91" s="1"/>
  <c r="O107" i="91" s="1"/>
  <c r="AE107" i="91"/>
  <c r="AA107" i="91"/>
  <c r="U107" i="91"/>
  <c r="AD107" i="91" s="1"/>
  <c r="K107" i="91"/>
  <c r="AI107" i="91" s="1"/>
  <c r="E107" i="91"/>
  <c r="AN106" i="91"/>
  <c r="M106" i="91" s="1"/>
  <c r="AE106" i="91"/>
  <c r="AA106" i="91"/>
  <c r="U106" i="91"/>
  <c r="AJ106" i="91" s="1"/>
  <c r="K106" i="91"/>
  <c r="E106" i="91"/>
  <c r="AN105" i="91"/>
  <c r="M105" i="91" s="1"/>
  <c r="AE105" i="91"/>
  <c r="AA105" i="91"/>
  <c r="U105" i="91"/>
  <c r="AJ105" i="91" s="1"/>
  <c r="K105" i="91"/>
  <c r="AI105" i="91" s="1"/>
  <c r="E105" i="91"/>
  <c r="AN104" i="91"/>
  <c r="M104" i="91" s="1"/>
  <c r="AE104" i="91"/>
  <c r="AA104" i="91"/>
  <c r="U104" i="91"/>
  <c r="AD104" i="91" s="1"/>
  <c r="K104" i="91"/>
  <c r="AH104" i="91" s="1"/>
  <c r="E104" i="91"/>
  <c r="AN103" i="91"/>
  <c r="M103" i="91" s="1"/>
  <c r="N103" i="91" s="1"/>
  <c r="AE103" i="91"/>
  <c r="AA103" i="91"/>
  <c r="U103" i="91"/>
  <c r="AD103" i="91" s="1"/>
  <c r="K103" i="91"/>
  <c r="E103" i="91"/>
  <c r="AN102" i="91"/>
  <c r="M102" i="91" s="1"/>
  <c r="AE102" i="91"/>
  <c r="AA102" i="91"/>
  <c r="U102" i="91"/>
  <c r="AD102" i="91" s="1"/>
  <c r="K102" i="91"/>
  <c r="E102" i="91"/>
  <c r="AN101" i="91"/>
  <c r="M101" i="91" s="1"/>
  <c r="O101" i="91" s="1"/>
  <c r="AJ101" i="91"/>
  <c r="AD101" i="91"/>
  <c r="Z101" i="91"/>
  <c r="K101" i="91"/>
  <c r="AI101" i="91" s="1"/>
  <c r="E101" i="91"/>
  <c r="AN100" i="91"/>
  <c r="M100" i="91" s="1"/>
  <c r="N100" i="91" s="1"/>
  <c r="AE100" i="91"/>
  <c r="AA100" i="91"/>
  <c r="U100" i="91"/>
  <c r="K100" i="91"/>
  <c r="E100" i="91"/>
  <c r="AN99" i="91"/>
  <c r="M99" i="91" s="1"/>
  <c r="N99" i="91" s="1"/>
  <c r="AE99" i="91"/>
  <c r="AA99" i="91"/>
  <c r="U99" i="91"/>
  <c r="AJ99" i="91" s="1"/>
  <c r="K99" i="91"/>
  <c r="E99" i="91"/>
  <c r="AN98" i="91"/>
  <c r="M98" i="91" s="1"/>
  <c r="AE98" i="91"/>
  <c r="AA98" i="91"/>
  <c r="U98" i="91"/>
  <c r="AJ98" i="91" s="1"/>
  <c r="K98" i="91"/>
  <c r="AI98" i="91" s="1"/>
  <c r="E98" i="91"/>
  <c r="AN97" i="91"/>
  <c r="M97" i="91" s="1"/>
  <c r="N97" i="91" s="1"/>
  <c r="AE97" i="91"/>
  <c r="AA97" i="91"/>
  <c r="U97" i="91"/>
  <c r="AD97" i="91" s="1"/>
  <c r="K97" i="91"/>
  <c r="AI97" i="91" s="1"/>
  <c r="E97" i="91"/>
  <c r="AN96" i="91"/>
  <c r="M96" i="91" s="1"/>
  <c r="Z96" i="91"/>
  <c r="Y96" i="91"/>
  <c r="U96" i="91"/>
  <c r="K96" i="91"/>
  <c r="AI96" i="91" s="1"/>
  <c r="E96" i="91"/>
  <c r="AN95" i="91"/>
  <c r="M95" i="91" s="1"/>
  <c r="Z95" i="91"/>
  <c r="Y95" i="91"/>
  <c r="U95" i="91"/>
  <c r="K95" i="91"/>
  <c r="AH95" i="91" s="1"/>
  <c r="E95" i="91"/>
  <c r="AN94" i="91"/>
  <c r="M94" i="91" s="1"/>
  <c r="Z94" i="91"/>
  <c r="Y94" i="91"/>
  <c r="U94" i="91"/>
  <c r="AJ94" i="91" s="1"/>
  <c r="K94" i="91"/>
  <c r="E94" i="91"/>
  <c r="AN93" i="91"/>
  <c r="M93" i="91" s="1"/>
  <c r="N93" i="91" s="1"/>
  <c r="Z93" i="91"/>
  <c r="Y93" i="91"/>
  <c r="U93" i="91"/>
  <c r="AJ93" i="91" s="1"/>
  <c r="K93" i="91"/>
  <c r="E93" i="91"/>
  <c r="AN92" i="91"/>
  <c r="M92" i="91" s="1"/>
  <c r="Z92" i="91"/>
  <c r="Y92" i="91"/>
  <c r="U92" i="91"/>
  <c r="AJ92" i="91" s="1"/>
  <c r="K92" i="91"/>
  <c r="AH92" i="91" s="1"/>
  <c r="E92" i="91"/>
  <c r="AN91" i="91"/>
  <c r="Y91" i="91"/>
  <c r="AE91" i="91" s="1"/>
  <c r="U91" i="91"/>
  <c r="AJ91" i="91" s="1"/>
  <c r="N91" i="91"/>
  <c r="O91" i="91" s="1"/>
  <c r="K91" i="91"/>
  <c r="E91" i="91"/>
  <c r="AN90" i="91"/>
  <c r="M90" i="91" s="1"/>
  <c r="N90" i="91" s="1"/>
  <c r="Y90" i="91"/>
  <c r="U90" i="91"/>
  <c r="AD90" i="91" s="1"/>
  <c r="S90" i="91"/>
  <c r="AC90" i="91" s="1"/>
  <c r="K90" i="91"/>
  <c r="AI90" i="91" s="1"/>
  <c r="E90" i="91"/>
  <c r="AN89" i="91"/>
  <c r="M89" i="91" s="1"/>
  <c r="O89" i="91" s="1"/>
  <c r="Y89" i="91"/>
  <c r="AE89" i="91" s="1"/>
  <c r="U89" i="91"/>
  <c r="AJ89" i="91" s="1"/>
  <c r="K89" i="91"/>
  <c r="AH89" i="91" s="1"/>
  <c r="E89" i="91"/>
  <c r="AN88" i="91"/>
  <c r="M88" i="91" s="1"/>
  <c r="Y88" i="91"/>
  <c r="AA88" i="91" s="1"/>
  <c r="U88" i="91"/>
  <c r="AD88" i="91" s="1"/>
  <c r="K88" i="91"/>
  <c r="AI88" i="91" s="1"/>
  <c r="E88" i="91"/>
  <c r="AN87" i="91"/>
  <c r="M87" i="91" s="1"/>
  <c r="Y87" i="91"/>
  <c r="U87" i="91"/>
  <c r="K87" i="91"/>
  <c r="E87" i="91"/>
  <c r="AN86" i="91"/>
  <c r="M86" i="91" s="1"/>
  <c r="N86" i="91" s="1"/>
  <c r="Y86" i="91"/>
  <c r="AE86" i="91" s="1"/>
  <c r="U86" i="91"/>
  <c r="AJ86" i="91" s="1"/>
  <c r="K86" i="91"/>
  <c r="AI86" i="91" s="1"/>
  <c r="E86" i="91"/>
  <c r="AN85" i="91"/>
  <c r="M85" i="91" s="1"/>
  <c r="Y85" i="91"/>
  <c r="U85" i="91"/>
  <c r="K85" i="91"/>
  <c r="AI85" i="91" s="1"/>
  <c r="E85" i="91"/>
  <c r="AN84" i="91"/>
  <c r="M84" i="91" s="1"/>
  <c r="N84" i="91" s="1"/>
  <c r="Y84" i="91"/>
  <c r="AA84" i="91" s="1"/>
  <c r="U84" i="91"/>
  <c r="K84" i="91"/>
  <c r="AH84" i="91" s="1"/>
  <c r="E84" i="91"/>
  <c r="AN83" i="91"/>
  <c r="M83" i="91" s="1"/>
  <c r="Y83" i="91"/>
  <c r="U83" i="91"/>
  <c r="AJ83" i="91" s="1"/>
  <c r="K83" i="91"/>
  <c r="E83" i="91"/>
  <c r="AN82" i="91"/>
  <c r="M82" i="91" s="1"/>
  <c r="O82" i="91" s="1"/>
  <c r="Z82" i="91"/>
  <c r="Y82" i="91"/>
  <c r="U82" i="91"/>
  <c r="AJ82" i="91" s="1"/>
  <c r="K82" i="91"/>
  <c r="E82" i="91"/>
  <c r="AN81" i="91"/>
  <c r="M81" i="91" s="1"/>
  <c r="O81" i="91" s="1"/>
  <c r="Z81" i="91"/>
  <c r="Y81" i="91"/>
  <c r="U81" i="91"/>
  <c r="K81" i="91"/>
  <c r="E81" i="91"/>
  <c r="AN80" i="91"/>
  <c r="M80" i="91" s="1"/>
  <c r="Z80" i="91"/>
  <c r="Y80" i="91"/>
  <c r="U80" i="91"/>
  <c r="K80" i="91"/>
  <c r="AI80" i="91" s="1"/>
  <c r="E80" i="91"/>
  <c r="AN79" i="91"/>
  <c r="Z79" i="91"/>
  <c r="Y79" i="91"/>
  <c r="U79" i="91"/>
  <c r="AJ79" i="91" s="1"/>
  <c r="N79" i="91"/>
  <c r="O79" i="91" s="1"/>
  <c r="K79" i="91"/>
  <c r="AI79" i="91" s="1"/>
  <c r="E79" i="91"/>
  <c r="AN78" i="91"/>
  <c r="M78" i="91" s="1"/>
  <c r="N78" i="91" s="1"/>
  <c r="Z78" i="91"/>
  <c r="Y78" i="91"/>
  <c r="U78" i="91"/>
  <c r="AJ78" i="91" s="1"/>
  <c r="K78" i="91"/>
  <c r="E78" i="91"/>
  <c r="AN77" i="91"/>
  <c r="M77" i="91" s="1"/>
  <c r="O77" i="91" s="1"/>
  <c r="Z77" i="91"/>
  <c r="Y77" i="91"/>
  <c r="U77" i="91"/>
  <c r="K77" i="91"/>
  <c r="AI77" i="91" s="1"/>
  <c r="E77" i="91"/>
  <c r="AN76" i="91"/>
  <c r="M76" i="91" s="1"/>
  <c r="O76" i="91" s="1"/>
  <c r="S76" i="91" s="1"/>
  <c r="AC76" i="91" s="1"/>
  <c r="Z76" i="91"/>
  <c r="Y76" i="91"/>
  <c r="U76" i="91"/>
  <c r="AD76" i="91" s="1"/>
  <c r="K76" i="91"/>
  <c r="AH76" i="91" s="1"/>
  <c r="E76" i="91"/>
  <c r="E75" i="91"/>
  <c r="AN74" i="91"/>
  <c r="M74" i="91" s="1"/>
  <c r="N74" i="91" s="1"/>
  <c r="O74" i="91" s="1"/>
  <c r="Z74" i="91"/>
  <c r="Y74" i="91"/>
  <c r="U74" i="91"/>
  <c r="AD74" i="91" s="1"/>
  <c r="K74" i="91"/>
  <c r="E74" i="91"/>
  <c r="AN73" i="91"/>
  <c r="M73" i="91" s="1"/>
  <c r="N73" i="91" s="1"/>
  <c r="O73" i="91" s="1"/>
  <c r="Z73" i="91"/>
  <c r="Y73" i="91"/>
  <c r="U73" i="91"/>
  <c r="AJ73" i="91" s="1"/>
  <c r="K73" i="91"/>
  <c r="E73" i="91"/>
  <c r="AN72" i="91"/>
  <c r="M72" i="91" s="1"/>
  <c r="N72" i="91" s="1"/>
  <c r="Z72" i="91"/>
  <c r="Y72" i="91"/>
  <c r="U72" i="91"/>
  <c r="AJ72" i="91" s="1"/>
  <c r="K72" i="91"/>
  <c r="AI72" i="91" s="1"/>
  <c r="E72" i="91"/>
  <c r="AN71" i="91"/>
  <c r="M71" i="91" s="1"/>
  <c r="Z71" i="91"/>
  <c r="Y71" i="91"/>
  <c r="U71" i="91"/>
  <c r="K71" i="91"/>
  <c r="E71" i="91"/>
  <c r="AN70" i="91"/>
  <c r="M70" i="91" s="1"/>
  <c r="N70" i="91" s="1"/>
  <c r="Z70" i="91"/>
  <c r="Y70" i="91"/>
  <c r="U70" i="91"/>
  <c r="AD70" i="91" s="1"/>
  <c r="K70" i="91"/>
  <c r="E70" i="91"/>
  <c r="AN69" i="91"/>
  <c r="M69" i="91" s="1"/>
  <c r="N69" i="91" s="1"/>
  <c r="Z69" i="91"/>
  <c r="Y69" i="91"/>
  <c r="U69" i="91"/>
  <c r="K69" i="91"/>
  <c r="AH69" i="91" s="1"/>
  <c r="E69" i="91"/>
  <c r="AN68" i="91"/>
  <c r="M68" i="91" s="1"/>
  <c r="N68" i="91" s="1"/>
  <c r="Z68" i="91"/>
  <c r="Y68" i="91"/>
  <c r="U68" i="91"/>
  <c r="K68" i="91"/>
  <c r="E68" i="91"/>
  <c r="AN67" i="91"/>
  <c r="M67" i="91" s="1"/>
  <c r="N67" i="91" s="1"/>
  <c r="O67" i="91" s="1"/>
  <c r="Z67" i="91"/>
  <c r="Y67" i="91"/>
  <c r="U67" i="91"/>
  <c r="AD67" i="91" s="1"/>
  <c r="K67" i="91"/>
  <c r="E67" i="91"/>
  <c r="AN66" i="91"/>
  <c r="M66" i="91" s="1"/>
  <c r="N66" i="91" s="1"/>
  <c r="Z66" i="91"/>
  <c r="Y66" i="91"/>
  <c r="U66" i="91"/>
  <c r="AD66" i="91" s="1"/>
  <c r="K66" i="91"/>
  <c r="E66" i="91"/>
  <c r="AN65" i="91"/>
  <c r="M65" i="91" s="1"/>
  <c r="N65" i="91" s="1"/>
  <c r="Z65" i="91"/>
  <c r="Y65" i="91"/>
  <c r="U65" i="91"/>
  <c r="K65" i="91"/>
  <c r="E65" i="91"/>
  <c r="AN64" i="91"/>
  <c r="M64" i="91" s="1"/>
  <c r="Z64" i="91"/>
  <c r="Y64" i="91"/>
  <c r="U64" i="91"/>
  <c r="K64" i="91"/>
  <c r="AH64" i="91" s="1"/>
  <c r="E64" i="91"/>
  <c r="AN63" i="91"/>
  <c r="M63" i="91" s="1"/>
  <c r="O63" i="91" s="1"/>
  <c r="Z63" i="91"/>
  <c r="Y63" i="91"/>
  <c r="U63" i="91"/>
  <c r="K63" i="91"/>
  <c r="AH63" i="91" s="1"/>
  <c r="E63" i="91"/>
  <c r="AN62" i="91"/>
  <c r="E62" i="91"/>
  <c r="AN61" i="91"/>
  <c r="M61" i="91" s="1"/>
  <c r="Y61" i="91"/>
  <c r="AE61" i="91" s="1"/>
  <c r="U61" i="91"/>
  <c r="AD61" i="91" s="1"/>
  <c r="K61" i="91"/>
  <c r="E61" i="91"/>
  <c r="AN60" i="91"/>
  <c r="M60" i="91" s="1"/>
  <c r="N60" i="91" s="1"/>
  <c r="Y60" i="91"/>
  <c r="AE60" i="91" s="1"/>
  <c r="U60" i="91"/>
  <c r="AD60" i="91" s="1"/>
  <c r="K60" i="91"/>
  <c r="AH60" i="91" s="1"/>
  <c r="E60" i="91"/>
  <c r="AN59" i="91"/>
  <c r="M59" i="91" s="1"/>
  <c r="N59" i="91" s="1"/>
  <c r="Y59" i="91"/>
  <c r="U59" i="91"/>
  <c r="K59" i="91"/>
  <c r="E59" i="91"/>
  <c r="AN58" i="91"/>
  <c r="M58" i="91" s="1"/>
  <c r="N58" i="91" s="1"/>
  <c r="O58" i="91" s="1"/>
  <c r="Y58" i="91"/>
  <c r="U58" i="91"/>
  <c r="AJ58" i="91" s="1"/>
  <c r="K58" i="91"/>
  <c r="E58" i="91"/>
  <c r="AN57" i="91"/>
  <c r="Y57" i="91"/>
  <c r="AE57" i="91" s="1"/>
  <c r="U57" i="91"/>
  <c r="AJ57" i="91" s="1"/>
  <c r="N57" i="91"/>
  <c r="O57" i="91" s="1"/>
  <c r="S57" i="91" s="1"/>
  <c r="K57" i="91"/>
  <c r="AH57" i="91" s="1"/>
  <c r="E57" i="91"/>
  <c r="AN56" i="91"/>
  <c r="M56" i="91" s="1"/>
  <c r="Y56" i="91"/>
  <c r="AA56" i="91" s="1"/>
  <c r="U56" i="91"/>
  <c r="AJ56" i="91" s="1"/>
  <c r="K56" i="91"/>
  <c r="AI56" i="91" s="1"/>
  <c r="E56" i="91"/>
  <c r="AN55" i="91"/>
  <c r="M55" i="91" s="1"/>
  <c r="Y55" i="91"/>
  <c r="AA55" i="91" s="1"/>
  <c r="U55" i="91"/>
  <c r="AJ55" i="91" s="1"/>
  <c r="K55" i="91"/>
  <c r="E55" i="91"/>
  <c r="AN54" i="91"/>
  <c r="M54" i="91" s="1"/>
  <c r="N54" i="91" s="1"/>
  <c r="Y54" i="91"/>
  <c r="AE54" i="91" s="1"/>
  <c r="U54" i="91"/>
  <c r="AD54" i="91" s="1"/>
  <c r="K54" i="91"/>
  <c r="E54" i="91"/>
  <c r="AN53" i="91"/>
  <c r="M53" i="91" s="1"/>
  <c r="Y53" i="91"/>
  <c r="AA53" i="91" s="1"/>
  <c r="U53" i="91"/>
  <c r="AD53" i="91" s="1"/>
  <c r="K53" i="91"/>
  <c r="AI53" i="91" s="1"/>
  <c r="E53" i="91"/>
  <c r="AN52" i="91"/>
  <c r="M52" i="91" s="1"/>
  <c r="Y52" i="91"/>
  <c r="U52" i="91"/>
  <c r="AJ52" i="91" s="1"/>
  <c r="K52" i="91"/>
  <c r="AI52" i="91" s="1"/>
  <c r="E52" i="91"/>
  <c r="AN51" i="91"/>
  <c r="M51" i="91" s="1"/>
  <c r="N51" i="91" s="1"/>
  <c r="Y51" i="91"/>
  <c r="U51" i="91"/>
  <c r="K51" i="91"/>
  <c r="AH51" i="91" s="1"/>
  <c r="E51" i="91"/>
  <c r="AN50" i="91"/>
  <c r="M50" i="91" s="1"/>
  <c r="N50" i="91" s="1"/>
  <c r="O50" i="91" s="1"/>
  <c r="Y50" i="91"/>
  <c r="AE50" i="91" s="1"/>
  <c r="U50" i="91"/>
  <c r="AD50" i="91" s="1"/>
  <c r="K50" i="91"/>
  <c r="AH50" i="91" s="1"/>
  <c r="E50" i="91"/>
  <c r="AN49" i="91"/>
  <c r="M49" i="91" s="1"/>
  <c r="Y49" i="91"/>
  <c r="AA49" i="91" s="1"/>
  <c r="U49" i="91"/>
  <c r="AJ49" i="91" s="1"/>
  <c r="K49" i="91"/>
  <c r="E49" i="91"/>
  <c r="AN48" i="91"/>
  <c r="M48" i="91" s="1"/>
  <c r="Y48" i="91"/>
  <c r="AA48" i="91" s="1"/>
  <c r="U48" i="91"/>
  <c r="AJ48" i="91" s="1"/>
  <c r="K48" i="91"/>
  <c r="AI48" i="91" s="1"/>
  <c r="E48" i="91"/>
  <c r="AN47" i="91"/>
  <c r="M47" i="91" s="1"/>
  <c r="Z47" i="91"/>
  <c r="Y47" i="91"/>
  <c r="U47" i="91"/>
  <c r="AJ47" i="91" s="1"/>
  <c r="K47" i="91"/>
  <c r="E47" i="91"/>
  <c r="AN46" i="91"/>
  <c r="M46" i="91" s="1"/>
  <c r="N46" i="91" s="1"/>
  <c r="O46" i="91" s="1"/>
  <c r="Z46" i="91"/>
  <c r="Y46" i="91"/>
  <c r="U46" i="91"/>
  <c r="K46" i="91"/>
  <c r="AI46" i="91" s="1"/>
  <c r="E46" i="91"/>
  <c r="AN45" i="91"/>
  <c r="M45" i="91" s="1"/>
  <c r="Z45" i="91"/>
  <c r="Y45" i="91"/>
  <c r="U45" i="91"/>
  <c r="AD45" i="91" s="1"/>
  <c r="K45" i="91"/>
  <c r="E45" i="91"/>
  <c r="AN44" i="91"/>
  <c r="M44" i="91" s="1"/>
  <c r="Z44" i="91"/>
  <c r="Y44" i="91"/>
  <c r="U44" i="91"/>
  <c r="K44" i="91"/>
  <c r="AH44" i="91" s="1"/>
  <c r="E44" i="91"/>
  <c r="AN43" i="91"/>
  <c r="M43" i="91" s="1"/>
  <c r="Z43" i="91"/>
  <c r="Y43" i="91"/>
  <c r="U43" i="91"/>
  <c r="AJ43" i="91" s="1"/>
  <c r="K43" i="91"/>
  <c r="AH43" i="91" s="1"/>
  <c r="E43" i="91"/>
  <c r="AN42" i="91"/>
  <c r="M42" i="91" s="1"/>
  <c r="Z42" i="91"/>
  <c r="Y42" i="91"/>
  <c r="U42" i="91"/>
  <c r="K42" i="91"/>
  <c r="E42" i="91"/>
  <c r="AN41" i="91"/>
  <c r="Z41" i="91"/>
  <c r="Y41" i="91"/>
  <c r="U41" i="91"/>
  <c r="N41" i="91"/>
  <c r="O41" i="91" s="1"/>
  <c r="K41" i="91"/>
  <c r="AI41" i="91" s="1"/>
  <c r="E41" i="91"/>
  <c r="AN40" i="91"/>
  <c r="M40" i="91" s="1"/>
  <c r="Z40" i="91"/>
  <c r="Y40" i="91"/>
  <c r="U40" i="91"/>
  <c r="AD40" i="91" s="1"/>
  <c r="K40" i="91"/>
  <c r="E40" i="91"/>
  <c r="AN39" i="91"/>
  <c r="M39" i="91" s="1"/>
  <c r="Z39" i="91"/>
  <c r="Y39" i="91"/>
  <c r="U39" i="91"/>
  <c r="AJ39" i="91" s="1"/>
  <c r="K39" i="91"/>
  <c r="E39" i="91"/>
  <c r="AN38" i="91"/>
  <c r="Z38" i="91"/>
  <c r="Y38" i="91"/>
  <c r="U38" i="91"/>
  <c r="AJ38" i="91" s="1"/>
  <c r="N38" i="91"/>
  <c r="O38" i="91" s="1"/>
  <c r="K38" i="91"/>
  <c r="E38" i="91"/>
  <c r="AN37" i="91"/>
  <c r="M37" i="91" s="1"/>
  <c r="N37" i="91" s="1"/>
  <c r="O37" i="91" s="1"/>
  <c r="S37" i="91" s="1"/>
  <c r="AC37" i="91" s="1"/>
  <c r="Z37" i="91"/>
  <c r="Y37" i="91"/>
  <c r="U37" i="91"/>
  <c r="AD37" i="91" s="1"/>
  <c r="K37" i="91"/>
  <c r="E37" i="91"/>
  <c r="AW38" i="91"/>
  <c r="AY38" i="91" s="1"/>
  <c r="BA38" i="91" s="1"/>
  <c r="AN36" i="91"/>
  <c r="Z36" i="91"/>
  <c r="Y36" i="91"/>
  <c r="U36" i="91"/>
  <c r="N36" i="91"/>
  <c r="O36" i="91" s="1"/>
  <c r="K36" i="91"/>
  <c r="AH36" i="91" s="1"/>
  <c r="E36" i="91"/>
  <c r="AW37" i="91"/>
  <c r="AY37" i="91" s="1"/>
  <c r="BA37" i="91" s="1"/>
  <c r="AN35" i="91"/>
  <c r="Z35" i="91"/>
  <c r="Y35" i="91"/>
  <c r="U35" i="91"/>
  <c r="AJ35" i="91" s="1"/>
  <c r="N35" i="91"/>
  <c r="O35" i="91" s="1"/>
  <c r="K35" i="91"/>
  <c r="E35" i="91"/>
  <c r="AW36" i="91"/>
  <c r="AY36" i="91" s="1"/>
  <c r="BA36" i="91" s="1"/>
  <c r="AN34" i="91"/>
  <c r="M34" i="91" s="1"/>
  <c r="N34" i="91" s="1"/>
  <c r="Z34" i="91"/>
  <c r="AE34" i="91" s="1"/>
  <c r="U34" i="91"/>
  <c r="AD34" i="91" s="1"/>
  <c r="K34" i="91"/>
  <c r="E34" i="91"/>
  <c r="AW35" i="91"/>
  <c r="AY35" i="91" s="1"/>
  <c r="BA35" i="91" s="1"/>
  <c r="AN33" i="91"/>
  <c r="M33" i="91" s="1"/>
  <c r="N33" i="91" s="1"/>
  <c r="Z33" i="91"/>
  <c r="AE33" i="91" s="1"/>
  <c r="U33" i="91"/>
  <c r="K33" i="91"/>
  <c r="AI33" i="91" s="1"/>
  <c r="E33" i="91"/>
  <c r="AW34" i="91"/>
  <c r="AY34" i="91" s="1"/>
  <c r="BA34" i="91" s="1"/>
  <c r="AN32" i="91"/>
  <c r="M32" i="91" s="1"/>
  <c r="N32" i="91" s="1"/>
  <c r="Z32" i="91"/>
  <c r="Y32" i="91"/>
  <c r="U32" i="91"/>
  <c r="AJ32" i="91" s="1"/>
  <c r="K32" i="91"/>
  <c r="AH32" i="91" s="1"/>
  <c r="E32" i="91"/>
  <c r="AW33" i="91"/>
  <c r="AY33" i="91" s="1"/>
  <c r="BA33" i="91" s="1"/>
  <c r="AN31" i="91"/>
  <c r="M31" i="91" s="1"/>
  <c r="Z31" i="91"/>
  <c r="Y31" i="91"/>
  <c r="U31" i="91"/>
  <c r="AD31" i="91" s="1"/>
  <c r="K31" i="91"/>
  <c r="E31" i="91"/>
  <c r="AN30" i="91"/>
  <c r="M30" i="91" s="1"/>
  <c r="Z30" i="91"/>
  <c r="Y30" i="91"/>
  <c r="U30" i="91"/>
  <c r="K30" i="91"/>
  <c r="E30" i="91"/>
  <c r="AN29" i="91"/>
  <c r="M29" i="91" s="1"/>
  <c r="N29" i="91" s="1"/>
  <c r="Z29" i="91"/>
  <c r="Y29" i="91"/>
  <c r="U29" i="91"/>
  <c r="K29" i="91"/>
  <c r="E29" i="91"/>
  <c r="AN28" i="91"/>
  <c r="M28" i="91" s="1"/>
  <c r="Z28" i="91"/>
  <c r="Y28" i="91"/>
  <c r="U28" i="91"/>
  <c r="AD28" i="91" s="1"/>
  <c r="K28" i="91"/>
  <c r="E28" i="91"/>
  <c r="AN27" i="91"/>
  <c r="M27" i="91" s="1"/>
  <c r="Z27" i="91"/>
  <c r="Y27" i="91"/>
  <c r="U27" i="91"/>
  <c r="AJ27" i="91" s="1"/>
  <c r="K27" i="91"/>
  <c r="E27" i="91"/>
  <c r="AN26" i="91"/>
  <c r="M26" i="91" s="1"/>
  <c r="Z26" i="91"/>
  <c r="Y26" i="91"/>
  <c r="U26" i="91"/>
  <c r="AD26" i="91" s="1"/>
  <c r="K26" i="91"/>
  <c r="AI26" i="91" s="1"/>
  <c r="E26" i="91"/>
  <c r="AN25" i="91"/>
  <c r="M25" i="91" s="1"/>
  <c r="Y25" i="91"/>
  <c r="AA25" i="91" s="1"/>
  <c r="U25" i="91"/>
  <c r="AD25" i="91" s="1"/>
  <c r="K25" i="91"/>
  <c r="E25" i="91"/>
  <c r="AN24" i="91"/>
  <c r="M24" i="91" s="1"/>
  <c r="Y24" i="91"/>
  <c r="AE24" i="91" s="1"/>
  <c r="U24" i="91"/>
  <c r="AD24" i="91" s="1"/>
  <c r="K24" i="91"/>
  <c r="AI24" i="91" s="1"/>
  <c r="E24" i="91"/>
  <c r="AN23" i="91"/>
  <c r="M23" i="91" s="1"/>
  <c r="Y23" i="91"/>
  <c r="AE23" i="91" s="1"/>
  <c r="U23" i="91"/>
  <c r="AJ23" i="91" s="1"/>
  <c r="K23" i="91"/>
  <c r="E23" i="91"/>
  <c r="AN22" i="91"/>
  <c r="M22" i="91" s="1"/>
  <c r="N22" i="91" s="1"/>
  <c r="O22" i="91" s="1"/>
  <c r="Y22" i="91"/>
  <c r="AA22" i="91" s="1"/>
  <c r="U22" i="91"/>
  <c r="AJ22" i="91" s="1"/>
  <c r="K22" i="91"/>
  <c r="AI22" i="91" s="1"/>
  <c r="E22" i="91"/>
  <c r="AN21" i="91"/>
  <c r="M21" i="91" s="1"/>
  <c r="Y21" i="91"/>
  <c r="U21" i="91"/>
  <c r="AJ21" i="91" s="1"/>
  <c r="K21" i="91"/>
  <c r="E21" i="91"/>
  <c r="AN20" i="91"/>
  <c r="M20" i="91" s="1"/>
  <c r="Y20" i="91"/>
  <c r="AA20" i="91" s="1"/>
  <c r="U20" i="91"/>
  <c r="K20" i="91"/>
  <c r="AI20" i="91" s="1"/>
  <c r="E20" i="91"/>
  <c r="AN19" i="91"/>
  <c r="AC19" i="91"/>
  <c r="Z19" i="91"/>
  <c r="Y19" i="91"/>
  <c r="U19" i="91"/>
  <c r="N19" i="91"/>
  <c r="O19" i="91" s="1"/>
  <c r="K19" i="91"/>
  <c r="E19" i="91"/>
  <c r="AN18" i="91"/>
  <c r="M18" i="91" s="1"/>
  <c r="Y18" i="91"/>
  <c r="AA18" i="91" s="1"/>
  <c r="U18" i="91"/>
  <c r="AD18" i="91" s="1"/>
  <c r="K18" i="91"/>
  <c r="E18" i="91"/>
  <c r="AN17" i="91"/>
  <c r="M17" i="91" s="1"/>
  <c r="N17" i="91" s="1"/>
  <c r="Y17" i="91"/>
  <c r="U17" i="91"/>
  <c r="K17" i="91"/>
  <c r="E17" i="91"/>
  <c r="BB18" i="91"/>
  <c r="AW18" i="91"/>
  <c r="AN16" i="91"/>
  <c r="M16" i="91" s="1"/>
  <c r="N16" i="91" s="1"/>
  <c r="O16" i="91" s="1"/>
  <c r="Y16" i="91"/>
  <c r="U16" i="91"/>
  <c r="K16" i="91"/>
  <c r="E16" i="91"/>
  <c r="BB17" i="91"/>
  <c r="AW17" i="91"/>
  <c r="BB16" i="91"/>
  <c r="AW16" i="91"/>
  <c r="AN15" i="91"/>
  <c r="Z15" i="91"/>
  <c r="Y15" i="91"/>
  <c r="U15" i="91"/>
  <c r="AJ15" i="91" s="1"/>
  <c r="N15" i="91"/>
  <c r="O15" i="91" s="1"/>
  <c r="K15" i="91"/>
  <c r="AH15" i="91" s="1"/>
  <c r="E15" i="91"/>
  <c r="BB15" i="91"/>
  <c r="AW15" i="91"/>
  <c r="AN14" i="91"/>
  <c r="M14" i="91" s="1"/>
  <c r="O14" i="91" s="1"/>
  <c r="Z14" i="91"/>
  <c r="AA14" i="91" s="1"/>
  <c r="U14" i="91"/>
  <c r="AJ14" i="91" s="1"/>
  <c r="K14" i="91"/>
  <c r="AH14" i="91" s="1"/>
  <c r="E14" i="91"/>
  <c r="BB14" i="91"/>
  <c r="AW14" i="91"/>
  <c r="AN13" i="91"/>
  <c r="M13" i="91" s="1"/>
  <c r="O13" i="91" s="1"/>
  <c r="Z13" i="91"/>
  <c r="Y13" i="91"/>
  <c r="U13" i="91"/>
  <c r="AD13" i="91" s="1"/>
  <c r="K13" i="91"/>
  <c r="E13" i="91"/>
  <c r="BB13" i="91"/>
  <c r="AW13" i="91"/>
  <c r="E12" i="91"/>
  <c r="AN11" i="91"/>
  <c r="M11" i="91" s="1"/>
  <c r="O11" i="91" s="1"/>
  <c r="Z11" i="91"/>
  <c r="U11" i="91"/>
  <c r="K11" i="91"/>
  <c r="E11" i="91"/>
  <c r="AN10" i="91"/>
  <c r="M10" i="91" s="1"/>
  <c r="Z10" i="91"/>
  <c r="Y10" i="91"/>
  <c r="U10" i="91"/>
  <c r="AD10" i="91" s="1"/>
  <c r="K10" i="91"/>
  <c r="E10" i="91"/>
  <c r="AN9" i="91"/>
  <c r="M9" i="91" s="1"/>
  <c r="Z9" i="91"/>
  <c r="Y9" i="91"/>
  <c r="U9" i="91"/>
  <c r="AD9" i="91" s="1"/>
  <c r="K9" i="91"/>
  <c r="AI9" i="91" s="1"/>
  <c r="E9" i="91"/>
  <c r="AN8" i="91"/>
  <c r="M8" i="91" s="1"/>
  <c r="AE8" i="91"/>
  <c r="AA8" i="91"/>
  <c r="U8" i="91"/>
  <c r="AJ8" i="91" s="1"/>
  <c r="K8" i="91"/>
  <c r="E8" i="91"/>
  <c r="AN7" i="91"/>
  <c r="M7" i="91" s="1"/>
  <c r="Z7" i="91"/>
  <c r="Y7" i="91"/>
  <c r="U7" i="91"/>
  <c r="AJ7" i="91" s="1"/>
  <c r="K7" i="91"/>
  <c r="E7" i="91"/>
  <c r="AN6" i="91"/>
  <c r="M6" i="91" s="1"/>
  <c r="Z6" i="91"/>
  <c r="Y6" i="91"/>
  <c r="U6" i="91"/>
  <c r="AD6" i="91" s="1"/>
  <c r="K6" i="91"/>
  <c r="AM6" i="91" s="1"/>
  <c r="E6" i="91"/>
  <c r="AN5" i="91"/>
  <c r="M5" i="91" s="1"/>
  <c r="N5" i="91" s="1"/>
  <c r="Z5" i="91"/>
  <c r="Y5" i="91"/>
  <c r="U5" i="91"/>
  <c r="AJ5" i="91" s="1"/>
  <c r="K5" i="91"/>
  <c r="AH5" i="91" s="1"/>
  <c r="E5" i="91"/>
  <c r="I2" i="91"/>
  <c r="AE47" i="91" l="1"/>
  <c r="AE81" i="91"/>
  <c r="AH107" i="91"/>
  <c r="AA110" i="91"/>
  <c r="AH77" i="91"/>
  <c r="AE94" i="91"/>
  <c r="AA9" i="91"/>
  <c r="AA19" i="91"/>
  <c r="AB19" i="91" s="1"/>
  <c r="AM19" i="91" s="1"/>
  <c r="AE7" i="91"/>
  <c r="AE13" i="91"/>
  <c r="AE38" i="91"/>
  <c r="AE73" i="91"/>
  <c r="AA41" i="91"/>
  <c r="AE113" i="91"/>
  <c r="AJ66" i="91"/>
  <c r="AA5" i="91"/>
  <c r="AF63" i="91"/>
  <c r="AJ74" i="91"/>
  <c r="AI64" i="91"/>
  <c r="AI92" i="91"/>
  <c r="AE78" i="91"/>
  <c r="AE6" i="91"/>
  <c r="AA37" i="91"/>
  <c r="AB37" i="91" s="1"/>
  <c r="AM37" i="91" s="1"/>
  <c r="AH22" i="91"/>
  <c r="AJ76" i="91"/>
  <c r="AJ90" i="91"/>
  <c r="AK90" i="91"/>
  <c r="AF22" i="91"/>
  <c r="AE48" i="91"/>
  <c r="AI51" i="91"/>
  <c r="AH98" i="91"/>
  <c r="AD49" i="91"/>
  <c r="AD58" i="91"/>
  <c r="AD82" i="91"/>
  <c r="AD105" i="91"/>
  <c r="AJ6" i="91"/>
  <c r="AD27" i="91"/>
  <c r="AI95" i="91"/>
  <c r="AJ70" i="91"/>
  <c r="AD93" i="91"/>
  <c r="AD78" i="91"/>
  <c r="AH80" i="91"/>
  <c r="AJ103" i="91"/>
  <c r="AI120" i="91"/>
  <c r="AH101" i="91"/>
  <c r="AJ13" i="91"/>
  <c r="AJ34" i="91"/>
  <c r="AE46" i="91"/>
  <c r="AE63" i="91"/>
  <c r="AH20" i="91"/>
  <c r="AD92" i="91"/>
  <c r="AD94" i="91"/>
  <c r="AD72" i="91"/>
  <c r="AJ97" i="91"/>
  <c r="AJ107" i="91"/>
  <c r="AI76" i="91"/>
  <c r="AD83" i="91"/>
  <c r="AJ28" i="91"/>
  <c r="AA69" i="91"/>
  <c r="AE77" i="91"/>
  <c r="AA79" i="91"/>
  <c r="AJ113" i="91"/>
  <c r="AA27" i="91"/>
  <c r="AD22" i="91"/>
  <c r="AE76" i="91"/>
  <c r="AH111" i="91"/>
  <c r="AE49" i="91"/>
  <c r="AA73" i="91"/>
  <c r="AA78" i="91"/>
  <c r="AI84" i="91"/>
  <c r="AH96" i="91"/>
  <c r="AH105" i="91"/>
  <c r="AA10" i="91"/>
  <c r="AE18" i="91"/>
  <c r="AA54" i="91"/>
  <c r="AD7" i="91"/>
  <c r="AE9" i="91"/>
  <c r="AJ10" i="91"/>
  <c r="AJ18" i="91"/>
  <c r="AD52" i="91"/>
  <c r="AD15" i="91"/>
  <c r="AA112" i="91"/>
  <c r="AJ120" i="91"/>
  <c r="AJ9" i="91"/>
  <c r="AF35" i="91"/>
  <c r="AH41" i="91"/>
  <c r="AD48" i="91"/>
  <c r="AI50" i="91"/>
  <c r="AA63" i="91"/>
  <c r="AE72" i="91"/>
  <c r="AE20" i="91"/>
  <c r="AE25" i="91"/>
  <c r="AI104" i="91"/>
  <c r="AA46" i="91"/>
  <c r="AH72" i="91"/>
  <c r="AE93" i="91"/>
  <c r="AH46" i="91"/>
  <c r="O51" i="91"/>
  <c r="S51" i="91" s="1"/>
  <c r="AC51" i="91" s="1"/>
  <c r="AE53" i="91"/>
  <c r="AD55" i="91"/>
  <c r="AI60" i="91"/>
  <c r="AD79" i="91"/>
  <c r="AH6" i="91"/>
  <c r="AI14" i="91"/>
  <c r="AJ31" i="91"/>
  <c r="AJ37" i="91"/>
  <c r="AH53" i="91"/>
  <c r="AJ60" i="91"/>
  <c r="AD86" i="91"/>
  <c r="AI6" i="91"/>
  <c r="AD8" i="91"/>
  <c r="AH24" i="91"/>
  <c r="AJ53" i="91"/>
  <c r="AA68" i="91"/>
  <c r="AA113" i="91"/>
  <c r="AF120" i="91"/>
  <c r="S120" i="91"/>
  <c r="AC120" i="91" s="1"/>
  <c r="AK120" i="91"/>
  <c r="AA30" i="91"/>
  <c r="AI117" i="91"/>
  <c r="AH117" i="91"/>
  <c r="S63" i="91"/>
  <c r="AC63" i="91" s="1"/>
  <c r="N115" i="91"/>
  <c r="O115" i="91" s="1"/>
  <c r="AF115" i="91" s="1"/>
  <c r="AW12" i="91"/>
  <c r="AX12" i="91" s="1" a="1"/>
  <c r="AX12" i="91" s="1"/>
  <c r="AA17" i="91"/>
  <c r="AE17" i="91"/>
  <c r="AD43" i="91"/>
  <c r="AJ45" i="91"/>
  <c r="AA47" i="91"/>
  <c r="AA89" i="91"/>
  <c r="AH106" i="91"/>
  <c r="AI106" i="91"/>
  <c r="O110" i="91"/>
  <c r="AK110" i="91" s="1"/>
  <c r="AA24" i="91"/>
  <c r="AE39" i="91"/>
  <c r="AD47" i="91"/>
  <c r="AI61" i="91"/>
  <c r="AH61" i="91"/>
  <c r="AJ71" i="91"/>
  <c r="AD71" i="91"/>
  <c r="AD89" i="91"/>
  <c r="AA91" i="91"/>
  <c r="AA101" i="91"/>
  <c r="AE101" i="91"/>
  <c r="AI29" i="91"/>
  <c r="AH29" i="91"/>
  <c r="AD39" i="91"/>
  <c r="N61" i="91"/>
  <c r="O61" i="91" s="1"/>
  <c r="AE71" i="91"/>
  <c r="AA71" i="91"/>
  <c r="AI89" i="91"/>
  <c r="AD91" i="91"/>
  <c r="AH108" i="91"/>
  <c r="AI108" i="91"/>
  <c r="AE22" i="91"/>
  <c r="AJ29" i="91"/>
  <c r="AD29" i="91"/>
  <c r="AF37" i="91"/>
  <c r="N43" i="91"/>
  <c r="O43" i="91" s="1"/>
  <c r="AF43" i="91" s="1"/>
  <c r="S58" i="91"/>
  <c r="AC58" i="91" s="1"/>
  <c r="AF58" i="91"/>
  <c r="AD108" i="91"/>
  <c r="AJ108" i="91"/>
  <c r="AE10" i="91"/>
  <c r="AJ24" i="91"/>
  <c r="AJ87" i="91"/>
  <c r="AD87" i="91"/>
  <c r="AJ102" i="91"/>
  <c r="AJ104" i="91"/>
  <c r="AD106" i="91"/>
  <c r="AE83" i="91"/>
  <c r="AA83" i="91"/>
  <c r="AJ81" i="91"/>
  <c r="AD81" i="91"/>
  <c r="AI35" i="91"/>
  <c r="AH35" i="91"/>
  <c r="AI91" i="91"/>
  <c r="AH91" i="91"/>
  <c r="N6" i="91"/>
  <c r="O6" i="91" s="1"/>
  <c r="AK73" i="91"/>
  <c r="AJ95" i="91"/>
  <c r="AD95" i="91"/>
  <c r="AH110" i="91"/>
  <c r="AI110" i="91"/>
  <c r="AJ17" i="91"/>
  <c r="AD17" i="91"/>
  <c r="AI16" i="91"/>
  <c r="AH16" i="91"/>
  <c r="AK16" i="91"/>
  <c r="AI59" i="91"/>
  <c r="AH59" i="91"/>
  <c r="N102" i="91"/>
  <c r="O102" i="91" s="1"/>
  <c r="AK102" i="91" s="1"/>
  <c r="AE15" i="91"/>
  <c r="AA15" i="91"/>
  <c r="AJ59" i="91"/>
  <c r="AD59" i="91"/>
  <c r="N64" i="91"/>
  <c r="O64" i="91" s="1"/>
  <c r="AD96" i="91"/>
  <c r="AJ96" i="91"/>
  <c r="AE59" i="91"/>
  <c r="AA59" i="91"/>
  <c r="AW31" i="91"/>
  <c r="AY31" i="91" s="1"/>
  <c r="BA31" i="91" s="1"/>
  <c r="AI11" i="91"/>
  <c r="AH11" i="91"/>
  <c r="AJ36" i="91"/>
  <c r="AD36" i="91"/>
  <c r="AI65" i="91"/>
  <c r="AH65" i="91"/>
  <c r="AJ85" i="91"/>
  <c r="AD85" i="91"/>
  <c r="AD11" i="91"/>
  <c r="AJ11" i="91"/>
  <c r="AH21" i="91"/>
  <c r="AI21" i="91"/>
  <c r="AA57" i="91"/>
  <c r="AB57" i="91" s="1"/>
  <c r="AM57" i="91" s="1"/>
  <c r="AE85" i="91"/>
  <c r="AA85" i="91"/>
  <c r="AI19" i="91"/>
  <c r="AH19" i="91"/>
  <c r="AE32" i="91"/>
  <c r="AA32" i="91"/>
  <c r="AD57" i="91"/>
  <c r="AA65" i="91"/>
  <c r="AE65" i="91"/>
  <c r="AD19" i="91"/>
  <c r="AJ19" i="91"/>
  <c r="AH38" i="91"/>
  <c r="AI38" i="91"/>
  <c r="AA11" i="91"/>
  <c r="AE11" i="91"/>
  <c r="AE36" i="91"/>
  <c r="AI103" i="91"/>
  <c r="AH103" i="91"/>
  <c r="N44" i="91"/>
  <c r="O44" i="91" s="1"/>
  <c r="AK44" i="91" s="1"/>
  <c r="AI63" i="91"/>
  <c r="AK63" i="91"/>
  <c r="AI30" i="91"/>
  <c r="AM30" i="91"/>
  <c r="AI34" i="91"/>
  <c r="AH34" i="91"/>
  <c r="AA60" i="91"/>
  <c r="AA66" i="91"/>
  <c r="AD84" i="91"/>
  <c r="AJ84" i="91"/>
  <c r="N88" i="91"/>
  <c r="O88" i="91" s="1"/>
  <c r="AA94" i="91"/>
  <c r="N96" i="91"/>
  <c r="O96" i="91" s="1"/>
  <c r="AM7" i="91"/>
  <c r="AI13" i="91"/>
  <c r="AH13" i="91"/>
  <c r="AK13" i="91"/>
  <c r="AD63" i="91"/>
  <c r="AJ63" i="91"/>
  <c r="AE68" i="91"/>
  <c r="AE82" i="91"/>
  <c r="AI42" i="91"/>
  <c r="AH42" i="91"/>
  <c r="AE31" i="91"/>
  <c r="AD21" i="91"/>
  <c r="AH33" i="91"/>
  <c r="AE40" i="91"/>
  <c r="AA40" i="91"/>
  <c r="AI68" i="91"/>
  <c r="AH68" i="91"/>
  <c r="AD5" i="91"/>
  <c r="AE35" i="91"/>
  <c r="AA38" i="91"/>
  <c r="AD56" i="91"/>
  <c r="AH70" i="91"/>
  <c r="AI70" i="91"/>
  <c r="AH18" i="91"/>
  <c r="AI18" i="91"/>
  <c r="AD23" i="91"/>
  <c r="AD35" i="91"/>
  <c r="AD38" i="91"/>
  <c r="AE56" i="91"/>
  <c r="AK58" i="91"/>
  <c r="AF76" i="91"/>
  <c r="AH97" i="91"/>
  <c r="AJ114" i="91"/>
  <c r="AI121" i="91"/>
  <c r="AH121" i="91"/>
  <c r="AI44" i="91"/>
  <c r="AH56" i="91"/>
  <c r="AD99" i="91"/>
  <c r="AD116" i="91"/>
  <c r="AD121" i="91"/>
  <c r="AJ121" i="91"/>
  <c r="AA70" i="91"/>
  <c r="AD73" i="91"/>
  <c r="AH90" i="91"/>
  <c r="AA23" i="91"/>
  <c r="AF57" i="91"/>
  <c r="AF77" i="91"/>
  <c r="AA81" i="91"/>
  <c r="AH86" i="91"/>
  <c r="AH88" i="91"/>
  <c r="AD115" i="91"/>
  <c r="AA77" i="91"/>
  <c r="AK82" i="91"/>
  <c r="AE84" i="91"/>
  <c r="AA7" i="91"/>
  <c r="AK76" i="91"/>
  <c r="AA93" i="91"/>
  <c r="AE110" i="91"/>
  <c r="AD118" i="91"/>
  <c r="S67" i="91"/>
  <c r="AC67" i="91" s="1"/>
  <c r="AF67" i="91"/>
  <c r="S50" i="91"/>
  <c r="AC50" i="91" s="1"/>
  <c r="AF50" i="91"/>
  <c r="AK50" i="91"/>
  <c r="S79" i="91"/>
  <c r="AC79" i="91" s="1"/>
  <c r="AF79" i="91"/>
  <c r="N95" i="91"/>
  <c r="O95" i="91" s="1"/>
  <c r="AE43" i="91"/>
  <c r="AA43" i="91"/>
  <c r="AJ51" i="91"/>
  <c r="AD51" i="91"/>
  <c r="AI55" i="91"/>
  <c r="AH55" i="91"/>
  <c r="AJ111" i="91"/>
  <c r="AD111" i="91"/>
  <c r="AF116" i="91"/>
  <c r="AJ16" i="91"/>
  <c r="AD16" i="91"/>
  <c r="N31" i="91"/>
  <c r="O31" i="91" s="1"/>
  <c r="N71" i="91"/>
  <c r="O71" i="91" s="1"/>
  <c r="AK71" i="91" s="1"/>
  <c r="S74" i="91"/>
  <c r="AC74" i="91" s="1"/>
  <c r="AK74" i="91"/>
  <c r="AF74" i="91"/>
  <c r="AA16" i="91"/>
  <c r="AE16" i="91"/>
  <c r="AK19" i="91"/>
  <c r="AA45" i="91"/>
  <c r="AE45" i="91"/>
  <c r="AD68" i="91"/>
  <c r="AJ68" i="91"/>
  <c r="O100" i="91"/>
  <c r="AF101" i="91"/>
  <c r="S101" i="91"/>
  <c r="AC101" i="91" s="1"/>
  <c r="AK101" i="91"/>
  <c r="AX18" i="91" a="1"/>
  <c r="AX18" i="91" s="1"/>
  <c r="N10" i="91"/>
  <c r="O10" i="91" s="1"/>
  <c r="AK22" i="91"/>
  <c r="S22" i="91"/>
  <c r="AC22" i="91" s="1"/>
  <c r="N28" i="91"/>
  <c r="O28" i="91" s="1"/>
  <c r="N42" i="91"/>
  <c r="O42" i="91" s="1"/>
  <c r="AA58" i="91"/>
  <c r="AE58" i="91"/>
  <c r="AD100" i="91"/>
  <c r="AJ100" i="91"/>
  <c r="AD117" i="91"/>
  <c r="AJ117" i="91"/>
  <c r="AF81" i="91"/>
  <c r="S81" i="91"/>
  <c r="AK81" i="91"/>
  <c r="AI94" i="91"/>
  <c r="AH94" i="91"/>
  <c r="AJ110" i="91"/>
  <c r="AD110" i="91"/>
  <c r="N9" i="91"/>
  <c r="O9" i="91" s="1"/>
  <c r="N45" i="91"/>
  <c r="O45" i="91" s="1"/>
  <c r="N53" i="91"/>
  <c r="O53" i="91" s="1"/>
  <c r="AC57" i="91"/>
  <c r="AH67" i="91"/>
  <c r="AI67" i="91"/>
  <c r="AK67" i="91"/>
  <c r="AA80" i="91"/>
  <c r="AE80" i="91"/>
  <c r="AF19" i="91"/>
  <c r="AD44" i="91"/>
  <c r="AJ44" i="91"/>
  <c r="AK46" i="91"/>
  <c r="S46" i="91"/>
  <c r="AC46" i="91" s="1"/>
  <c r="AF46" i="91"/>
  <c r="N27" i="91"/>
  <c r="O27" i="91" s="1"/>
  <c r="AF41" i="91"/>
  <c r="AK41" i="91"/>
  <c r="S41" i="91"/>
  <c r="AC41" i="91" s="1"/>
  <c r="AE44" i="91"/>
  <c r="AA44" i="91"/>
  <c r="N48" i="91"/>
  <c r="O48" i="91" s="1"/>
  <c r="N56" i="91"/>
  <c r="O56" i="91" s="1"/>
  <c r="AX13" i="91" a="1"/>
  <c r="AX13" i="91" s="1"/>
  <c r="N52" i="91"/>
  <c r="O52" i="91" s="1"/>
  <c r="N85" i="91"/>
  <c r="O85" i="91" s="1"/>
  <c r="AH93" i="91"/>
  <c r="AI93" i="91"/>
  <c r="AF38" i="91"/>
  <c r="AK38" i="91"/>
  <c r="S38" i="91"/>
  <c r="AC38" i="91" s="1"/>
  <c r="AK77" i="91"/>
  <c r="S77" i="91"/>
  <c r="AC77" i="91" s="1"/>
  <c r="AA96" i="91"/>
  <c r="AE96" i="91"/>
  <c r="AH71" i="91"/>
  <c r="AI71" i="91"/>
  <c r="AA13" i="91"/>
  <c r="AI27" i="91"/>
  <c r="AH27" i="91"/>
  <c r="AF11" i="91"/>
  <c r="AK11" i="91"/>
  <c r="S11" i="91"/>
  <c r="AC11" i="91" s="1"/>
  <c r="S15" i="91"/>
  <c r="AC15" i="91" s="1"/>
  <c r="AF15" i="91"/>
  <c r="AH54" i="91"/>
  <c r="AI54" i="91"/>
  <c r="AW10" i="91"/>
  <c r="AX10" i="91" s="1" a="1"/>
  <c r="AX10" i="91" s="1"/>
  <c r="N117" i="91"/>
  <c r="O117" i="91" s="1"/>
  <c r="N25" i="91"/>
  <c r="O25" i="91" s="1"/>
  <c r="N47" i="91"/>
  <c r="O47" i="91" s="1"/>
  <c r="AI99" i="91"/>
  <c r="AH99" i="91"/>
  <c r="AJ46" i="91"/>
  <c r="AD46" i="91"/>
  <c r="AF89" i="91"/>
  <c r="S89" i="91"/>
  <c r="AC89" i="91" s="1"/>
  <c r="AK89" i="91"/>
  <c r="S14" i="91"/>
  <c r="AC14" i="91" s="1"/>
  <c r="AF14" i="91"/>
  <c r="AI66" i="91"/>
  <c r="AH66" i="91"/>
  <c r="AF82" i="91"/>
  <c r="S82" i="91"/>
  <c r="AC82" i="91" s="1"/>
  <c r="AJ42" i="91"/>
  <c r="AD42" i="91"/>
  <c r="AA72" i="91"/>
  <c r="AI25" i="91"/>
  <c r="AH25" i="91"/>
  <c r="N26" i="91"/>
  <c r="O26" i="91" s="1"/>
  <c r="AI28" i="91"/>
  <c r="AH28" i="91"/>
  <c r="AI32" i="91"/>
  <c r="AK35" i="91"/>
  <c r="AJ41" i="91"/>
  <c r="AD41" i="91"/>
  <c r="AH49" i="91"/>
  <c r="AA50" i="91"/>
  <c r="O66" i="91"/>
  <c r="AI78" i="91"/>
  <c r="AH78" i="91"/>
  <c r="O93" i="91"/>
  <c r="AK93" i="91" s="1"/>
  <c r="O99" i="91"/>
  <c r="AK99" i="91" s="1"/>
  <c r="AH118" i="91"/>
  <c r="AI118" i="91"/>
  <c r="AJ119" i="91"/>
  <c r="AD119" i="91"/>
  <c r="AW29" i="91"/>
  <c r="AY29" i="91" s="1"/>
  <c r="BA29" i="91" s="1"/>
  <c r="AI5" i="91"/>
  <c r="AM8" i="91"/>
  <c r="AW9" i="91"/>
  <c r="AX17" i="91" a="1"/>
  <c r="AX17" i="91" s="1"/>
  <c r="AI23" i="91"/>
  <c r="AH23" i="91"/>
  <c r="N49" i="91"/>
  <c r="O49" i="91" s="1"/>
  <c r="AK49" i="91" s="1"/>
  <c r="AE55" i="91"/>
  <c r="O65" i="91"/>
  <c r="AK65" i="91" s="1"/>
  <c r="AH87" i="91"/>
  <c r="N106" i="91"/>
  <c r="O106" i="91" s="1"/>
  <c r="N7" i="91"/>
  <c r="O7" i="91" s="1"/>
  <c r="AD14" i="91"/>
  <c r="N24" i="91"/>
  <c r="O24" i="91" s="1"/>
  <c r="AE26" i="91"/>
  <c r="AA26" i="91"/>
  <c r="O32" i="91"/>
  <c r="AK32" i="91" s="1"/>
  <c r="AI39" i="91"/>
  <c r="AH39" i="91"/>
  <c r="AH48" i="91"/>
  <c r="AE79" i="91"/>
  <c r="S91" i="91"/>
  <c r="AC91" i="91" s="1"/>
  <c r="N105" i="91"/>
  <c r="O105" i="91" s="1"/>
  <c r="N118" i="91"/>
  <c r="O118" i="91" s="1"/>
  <c r="AK118" i="91" s="1"/>
  <c r="S13" i="91"/>
  <c r="AC13" i="91" s="1"/>
  <c r="AF13" i="91"/>
  <c r="AE14" i="91"/>
  <c r="N23" i="91"/>
  <c r="O23" i="91" s="1"/>
  <c r="AD30" i="91"/>
  <c r="AJ30" i="91"/>
  <c r="N39" i="91"/>
  <c r="O39" i="91" s="1"/>
  <c r="AK39" i="91" s="1"/>
  <c r="AE41" i="91"/>
  <c r="O60" i="91"/>
  <c r="AD65" i="91"/>
  <c r="AJ65" i="91"/>
  <c r="AE87" i="91"/>
  <c r="AA87" i="91"/>
  <c r="N98" i="91"/>
  <c r="O98" i="91" s="1"/>
  <c r="O113" i="91"/>
  <c r="N94" i="91"/>
  <c r="O94" i="91" s="1"/>
  <c r="N121" i="91"/>
  <c r="O121" i="91" s="1"/>
  <c r="AA42" i="91"/>
  <c r="AE42" i="91"/>
  <c r="N92" i="91"/>
  <c r="O92" i="91" s="1"/>
  <c r="AE28" i="91"/>
  <c r="AA28" i="91"/>
  <c r="AE29" i="91"/>
  <c r="AA29" i="91"/>
  <c r="AJ88" i="91"/>
  <c r="O33" i="91"/>
  <c r="S35" i="91"/>
  <c r="AC35" i="91" s="1"/>
  <c r="AK36" i="91"/>
  <c r="AI36" i="91"/>
  <c r="AK37" i="91"/>
  <c r="AI37" i="91"/>
  <c r="AH37" i="91"/>
  <c r="S107" i="91"/>
  <c r="AC107" i="91" s="1"/>
  <c r="AF107" i="91"/>
  <c r="AK107" i="91"/>
  <c r="N8" i="91"/>
  <c r="O8" i="91" s="1"/>
  <c r="O59" i="91"/>
  <c r="AJ67" i="91"/>
  <c r="AI109" i="91"/>
  <c r="AI112" i="91"/>
  <c r="AI116" i="91"/>
  <c r="AK116" i="91"/>
  <c r="AA6" i="91"/>
  <c r="AJ33" i="91"/>
  <c r="AD33" i="91"/>
  <c r="AF36" i="91"/>
  <c r="AH40" i="91"/>
  <c r="AJ69" i="91"/>
  <c r="AD69" i="91"/>
  <c r="N109" i="91"/>
  <c r="O109" i="91" s="1"/>
  <c r="N112" i="91"/>
  <c r="O112" i="91" s="1"/>
  <c r="AI15" i="91"/>
  <c r="N18" i="91"/>
  <c r="O18" i="91" s="1"/>
  <c r="AJ26" i="91"/>
  <c r="AE30" i="91"/>
  <c r="AH31" i="91"/>
  <c r="S36" i="91"/>
  <c r="AC36" i="91" s="1"/>
  <c r="AI49" i="91"/>
  <c r="AH58" i="91"/>
  <c r="AI58" i="91"/>
  <c r="O78" i="91"/>
  <c r="AK78" i="91" s="1"/>
  <c r="AH85" i="91"/>
  <c r="AF91" i="91"/>
  <c r="O103" i="91"/>
  <c r="AK103" i="91" s="1"/>
  <c r="AE5" i="91"/>
  <c r="AE27" i="91"/>
  <c r="AH30" i="91"/>
  <c r="AI31" i="91"/>
  <c r="AD32" i="91"/>
  <c r="AA33" i="91"/>
  <c r="AA35" i="91"/>
  <c r="AJ40" i="91"/>
  <c r="AE52" i="91"/>
  <c r="AA52" i="91"/>
  <c r="AI57" i="91"/>
  <c r="AK57" i="91"/>
  <c r="S73" i="91"/>
  <c r="AF73" i="91"/>
  <c r="N80" i="91"/>
  <c r="O80" i="91" s="1"/>
  <c r="N87" i="91"/>
  <c r="O87" i="91" s="1"/>
  <c r="AK87" i="91" s="1"/>
  <c r="AF90" i="91"/>
  <c r="AJ112" i="91"/>
  <c r="AD112" i="91"/>
  <c r="N114" i="91"/>
  <c r="O114" i="91" s="1"/>
  <c r="AK114" i="91" s="1"/>
  <c r="O5" i="91"/>
  <c r="AA51" i="91"/>
  <c r="AE51" i="91"/>
  <c r="AH83" i="91"/>
  <c r="AI83" i="91"/>
  <c r="AE95" i="91"/>
  <c r="AA95" i="91"/>
  <c r="N108" i="91"/>
  <c r="O108" i="91" s="1"/>
  <c r="O34" i="91"/>
  <c r="AK34" i="91" s="1"/>
  <c r="N83" i="91"/>
  <c r="O83" i="91" s="1"/>
  <c r="AH8" i="91"/>
  <c r="AW11" i="91"/>
  <c r="AX11" i="91" s="1" a="1"/>
  <c r="AX11" i="91" s="1"/>
  <c r="AI8" i="91"/>
  <c r="AM9" i="91"/>
  <c r="AH9" i="91"/>
  <c r="AX14" i="91" a="1"/>
  <c r="AX14" i="91" s="1"/>
  <c r="AJ50" i="91"/>
  <c r="O17" i="91"/>
  <c r="N21" i="91"/>
  <c r="O21" i="91" s="1"/>
  <c r="AI47" i="91"/>
  <c r="AH47" i="91"/>
  <c r="AJ64" i="91"/>
  <c r="AD64" i="91"/>
  <c r="O69" i="91"/>
  <c r="AK69" i="91" s="1"/>
  <c r="AI81" i="91"/>
  <c r="AH81" i="91"/>
  <c r="N104" i="91"/>
  <c r="O104" i="91" s="1"/>
  <c r="AH109" i="91"/>
  <c r="N20" i="91"/>
  <c r="O20" i="91" s="1"/>
  <c r="AH26" i="91"/>
  <c r="AA31" i="91"/>
  <c r="AI45" i="91"/>
  <c r="AH45" i="91"/>
  <c r="AA61" i="91"/>
  <c r="AA64" i="91"/>
  <c r="AE64" i="91"/>
  <c r="AE21" i="91"/>
  <c r="AA21" i="91"/>
  <c r="AJ54" i="91"/>
  <c r="AI73" i="91"/>
  <c r="AH73" i="91"/>
  <c r="AJ77" i="91"/>
  <c r="AD77" i="91"/>
  <c r="AA82" i="91"/>
  <c r="O86" i="91"/>
  <c r="AI87" i="91"/>
  <c r="AD98" i="91"/>
  <c r="AH102" i="91"/>
  <c r="AI102" i="91"/>
  <c r="K2" i="91"/>
  <c r="AA34" i="91"/>
  <c r="AI40" i="91"/>
  <c r="AJ61" i="91"/>
  <c r="AX15" i="91" a="1"/>
  <c r="AX15" i="91" s="1"/>
  <c r="AF16" i="91"/>
  <c r="AI43" i="91"/>
  <c r="AW30" i="91"/>
  <c r="AY30" i="91" s="1"/>
  <c r="BA30" i="91" s="1"/>
  <c r="AH10" i="91"/>
  <c r="AI10" i="91"/>
  <c r="AK15" i="91"/>
  <c r="S16" i="91"/>
  <c r="AC16" i="91" s="1"/>
  <c r="AI17" i="91"/>
  <c r="AH17" i="91"/>
  <c r="AJ25" i="91"/>
  <c r="O68" i="91"/>
  <c r="AE69" i="91"/>
  <c r="O70" i="91"/>
  <c r="O72" i="91"/>
  <c r="AH79" i="91"/>
  <c r="AK79" i="91"/>
  <c r="AA86" i="91"/>
  <c r="AI100" i="91"/>
  <c r="AH100" i="91"/>
  <c r="O111" i="91"/>
  <c r="O54" i="91"/>
  <c r="AK54" i="91" s="1"/>
  <c r="AA116" i="91"/>
  <c r="AB116" i="91" s="1"/>
  <c r="AM116" i="91" s="1"/>
  <c r="AE116" i="91"/>
  <c r="AA36" i="91"/>
  <c r="AE37" i="91"/>
  <c r="AA39" i="91"/>
  <c r="AA67" i="91"/>
  <c r="AE67" i="91"/>
  <c r="AE88" i="91"/>
  <c r="AJ109" i="91"/>
  <c r="AD109" i="91"/>
  <c r="AI115" i="91"/>
  <c r="AH119" i="91"/>
  <c r="AI119" i="91"/>
  <c r="AD20" i="91"/>
  <c r="AJ20" i="91"/>
  <c r="AA74" i="91"/>
  <c r="AE74" i="91"/>
  <c r="AA76" i="91"/>
  <c r="AB76" i="91" s="1"/>
  <c r="AM76" i="91" s="1"/>
  <c r="AH82" i="91"/>
  <c r="AI82" i="91"/>
  <c r="AE92" i="91"/>
  <c r="AA92" i="91"/>
  <c r="AI7" i="91"/>
  <c r="AW32" i="91"/>
  <c r="AY32" i="91" s="1"/>
  <c r="BA32" i="91" s="1"/>
  <c r="AH7" i="91"/>
  <c r="AK14" i="91"/>
  <c r="AE19" i="91"/>
  <c r="N40" i="91"/>
  <c r="O40" i="91" s="1"/>
  <c r="AH52" i="91"/>
  <c r="AA114" i="91"/>
  <c r="AE114" i="91"/>
  <c r="AX16" i="91" a="1"/>
  <c r="AX16" i="91" s="1"/>
  <c r="AI113" i="91"/>
  <c r="AH113" i="91"/>
  <c r="O29" i="91"/>
  <c r="AK29" i="91" s="1"/>
  <c r="N55" i="91"/>
  <c r="O55" i="91" s="1"/>
  <c r="AJ80" i="91"/>
  <c r="AD80" i="91"/>
  <c r="AK91" i="91"/>
  <c r="AH114" i="91"/>
  <c r="AA115" i="91"/>
  <c r="AE115" i="91"/>
  <c r="AE111" i="91"/>
  <c r="AA111" i="91"/>
  <c r="AI74" i="91"/>
  <c r="AH74" i="91"/>
  <c r="N30" i="91"/>
  <c r="O30" i="91" s="1"/>
  <c r="AE66" i="91"/>
  <c r="O97" i="91"/>
  <c r="AE70" i="91"/>
  <c r="O84" i="91"/>
  <c r="AK84" i="91" s="1"/>
  <c r="AA90" i="91"/>
  <c r="AB90" i="91" s="1"/>
  <c r="AM90" i="91" s="1"/>
  <c r="AE90" i="91"/>
  <c r="AE112" i="91"/>
  <c r="AI69" i="91"/>
  <c r="AB22" i="91" l="1"/>
  <c r="AM22" i="91" s="1"/>
  <c r="AB120" i="91"/>
  <c r="AM120" i="91" s="1"/>
  <c r="AG120" i="91"/>
  <c r="AG63" i="91"/>
  <c r="AF51" i="91"/>
  <c r="AG51" i="91" s="1"/>
  <c r="AB79" i="91"/>
  <c r="AM79" i="91" s="1"/>
  <c r="AB15" i="91"/>
  <c r="AM15" i="91" s="1"/>
  <c r="AB36" i="91"/>
  <c r="AM36" i="91" s="1"/>
  <c r="AB51" i="91"/>
  <c r="AM51" i="91" s="1"/>
  <c r="AG76" i="91"/>
  <c r="S44" i="91"/>
  <c r="AC44" i="91" s="1"/>
  <c r="AB67" i="91"/>
  <c r="AM67" i="91" s="1"/>
  <c r="AG101" i="91"/>
  <c r="AG90" i="91"/>
  <c r="S61" i="91"/>
  <c r="AC61" i="91" s="1"/>
  <c r="AK61" i="91"/>
  <c r="AF61" i="91"/>
  <c r="AG41" i="91"/>
  <c r="AG19" i="91"/>
  <c r="AG58" i="91"/>
  <c r="AK51" i="91"/>
  <c r="AK43" i="91"/>
  <c r="AG82" i="91"/>
  <c r="AB63" i="91"/>
  <c r="AM63" i="91" s="1"/>
  <c r="AK64" i="91"/>
  <c r="AF64" i="91"/>
  <c r="S64" i="91"/>
  <c r="AC64" i="91" s="1"/>
  <c r="S6" i="91"/>
  <c r="AC6" i="91" s="1"/>
  <c r="AK6" i="91"/>
  <c r="AF6" i="91"/>
  <c r="AG115" i="91"/>
  <c r="AK96" i="91"/>
  <c r="AF96" i="91"/>
  <c r="S96" i="91"/>
  <c r="AC96" i="91" s="1"/>
  <c r="AK88" i="91"/>
  <c r="S88" i="91"/>
  <c r="AC88" i="91" s="1"/>
  <c r="AF88" i="91"/>
  <c r="AZ9" i="91" a="1"/>
  <c r="AZ9" i="91" s="1"/>
  <c r="AG37" i="91"/>
  <c r="AG14" i="91"/>
  <c r="AG11" i="91"/>
  <c r="AG89" i="91"/>
  <c r="AG22" i="91"/>
  <c r="AB77" i="91"/>
  <c r="AM77" i="91" s="1"/>
  <c r="AB115" i="91"/>
  <c r="AM115" i="91" s="1"/>
  <c r="AK115" i="91"/>
  <c r="AB16" i="91"/>
  <c r="AM16" i="91" s="1"/>
  <c r="AG116" i="91"/>
  <c r="AF44" i="91"/>
  <c r="AB38" i="91"/>
  <c r="AM38" i="91" s="1"/>
  <c r="AZ18" i="91" a="1"/>
  <c r="AZ18" i="91" s="1"/>
  <c r="AY18" i="91" s="1"/>
  <c r="AF110" i="91"/>
  <c r="AG110" i="91" s="1"/>
  <c r="AB110" i="91"/>
  <c r="AM110" i="91" s="1"/>
  <c r="S102" i="91"/>
  <c r="AC102" i="91" s="1"/>
  <c r="AF102" i="91"/>
  <c r="BB9" i="91"/>
  <c r="S43" i="91"/>
  <c r="AC43" i="91" s="1"/>
  <c r="AG43" i="91" s="1"/>
  <c r="AB58" i="91"/>
  <c r="AM58" i="91" s="1"/>
  <c r="AH3" i="91"/>
  <c r="E2" i="91" s="1"/>
  <c r="AG35" i="91"/>
  <c r="AB13" i="91"/>
  <c r="AM13" i="91" s="1"/>
  <c r="AG57" i="91"/>
  <c r="AB50" i="91"/>
  <c r="AM50" i="91" s="1"/>
  <c r="AB41" i="91"/>
  <c r="AM41" i="91" s="1"/>
  <c r="S40" i="91"/>
  <c r="AC40" i="91" s="1"/>
  <c r="AF40" i="91"/>
  <c r="AK40" i="91"/>
  <c r="AF85" i="91"/>
  <c r="S85" i="91"/>
  <c r="AC85" i="91" s="1"/>
  <c r="AK85" i="91"/>
  <c r="AF30" i="91"/>
  <c r="S30" i="91"/>
  <c r="AC30" i="91" s="1"/>
  <c r="AK30" i="91"/>
  <c r="S7" i="91"/>
  <c r="AC7" i="91" s="1"/>
  <c r="AK7" i="91"/>
  <c r="AF7" i="91"/>
  <c r="S21" i="91"/>
  <c r="AC21" i="91" s="1"/>
  <c r="AF21" i="91"/>
  <c r="AK21" i="91"/>
  <c r="AF28" i="91"/>
  <c r="S28" i="91"/>
  <c r="AC28" i="91" s="1"/>
  <c r="AK28" i="91"/>
  <c r="S105" i="91"/>
  <c r="AC105" i="91" s="1"/>
  <c r="AF105" i="91"/>
  <c r="AK105" i="91"/>
  <c r="AF18" i="91"/>
  <c r="S18" i="91"/>
  <c r="AC18" i="91" s="1"/>
  <c r="AK18" i="91"/>
  <c r="S47" i="91"/>
  <c r="AC47" i="91" s="1"/>
  <c r="AF47" i="91"/>
  <c r="AK47" i="91"/>
  <c r="AF25" i="91"/>
  <c r="S25" i="91"/>
  <c r="AC25" i="91" s="1"/>
  <c r="AK25" i="91"/>
  <c r="AK98" i="91"/>
  <c r="AF98" i="91"/>
  <c r="S98" i="91"/>
  <c r="AC98" i="91" s="1"/>
  <c r="AF24" i="91"/>
  <c r="S24" i="91"/>
  <c r="AC24" i="91" s="1"/>
  <c r="AK24" i="91"/>
  <c r="S119" i="91"/>
  <c r="AC119" i="91" s="1"/>
  <c r="AF119" i="91"/>
  <c r="AK119" i="91"/>
  <c r="S83" i="91"/>
  <c r="AC83" i="91" s="1"/>
  <c r="AF83" i="91"/>
  <c r="AK83" i="91"/>
  <c r="AF95" i="91"/>
  <c r="S95" i="91"/>
  <c r="AC95" i="91" s="1"/>
  <c r="AK95" i="91"/>
  <c r="S42" i="91"/>
  <c r="AC42" i="91" s="1"/>
  <c r="AK42" i="91"/>
  <c r="AF42" i="91"/>
  <c r="S10" i="91"/>
  <c r="AC10" i="91" s="1"/>
  <c r="AF10" i="91"/>
  <c r="AK10" i="91"/>
  <c r="AF108" i="91"/>
  <c r="S108" i="91"/>
  <c r="AC108" i="91" s="1"/>
  <c r="AK108" i="91"/>
  <c r="AF121" i="91"/>
  <c r="S121" i="91"/>
  <c r="AC121" i="91" s="1"/>
  <c r="AK121" i="91"/>
  <c r="AF48" i="91"/>
  <c r="S48" i="91"/>
  <c r="AC48" i="91" s="1"/>
  <c r="AK48" i="91"/>
  <c r="AF53" i="91"/>
  <c r="S53" i="91"/>
  <c r="AC53" i="91" s="1"/>
  <c r="AK53" i="91"/>
  <c r="S94" i="91"/>
  <c r="AC94" i="91" s="1"/>
  <c r="AF94" i="91"/>
  <c r="AK94" i="91"/>
  <c r="AF45" i="91"/>
  <c r="S45" i="91"/>
  <c r="AC45" i="91" s="1"/>
  <c r="AK45" i="91"/>
  <c r="AB112" i="91"/>
  <c r="AM112" i="91" s="1"/>
  <c r="AF112" i="91"/>
  <c r="AG112" i="91" s="1"/>
  <c r="AK112" i="91"/>
  <c r="S26" i="91"/>
  <c r="AC26" i="91" s="1"/>
  <c r="AF26" i="91"/>
  <c r="AK26" i="91"/>
  <c r="S109" i="91"/>
  <c r="AC109" i="91" s="1"/>
  <c r="AF109" i="91"/>
  <c r="AK109" i="91"/>
  <c r="AW7" i="91"/>
  <c r="BD9" i="91"/>
  <c r="BD10" i="91" s="1"/>
  <c r="BD11" i="91" s="1"/>
  <c r="BD12" i="91" s="1"/>
  <c r="BD13" i="91" s="1"/>
  <c r="BD14" i="91" s="1"/>
  <c r="BD15" i="91" s="1"/>
  <c r="BD16" i="91" s="1"/>
  <c r="BD17" i="91" s="1"/>
  <c r="BD18" i="91" s="1"/>
  <c r="AX9" i="91" a="1"/>
  <c r="AX9" i="91" s="1"/>
  <c r="S66" i="91"/>
  <c r="AC66" i="91" s="1"/>
  <c r="AF66" i="91"/>
  <c r="AF31" i="91"/>
  <c r="S31" i="91"/>
  <c r="AC31" i="91" s="1"/>
  <c r="AK56" i="91"/>
  <c r="S56" i="91"/>
  <c r="AC56" i="91" s="1"/>
  <c r="AF56" i="91"/>
  <c r="AF55" i="91"/>
  <c r="S55" i="91"/>
  <c r="AC55" i="91" s="1"/>
  <c r="AF97" i="91"/>
  <c r="S97" i="91"/>
  <c r="AC97" i="91" s="1"/>
  <c r="AK92" i="91"/>
  <c r="AF92" i="91"/>
  <c r="S92" i="91"/>
  <c r="AC92" i="91" s="1"/>
  <c r="AK66" i="91"/>
  <c r="AZ16" i="91" a="1"/>
  <c r="AZ16" i="91" s="1"/>
  <c r="AY16" i="91" s="1"/>
  <c r="S80" i="91"/>
  <c r="AC80" i="91" s="1"/>
  <c r="AK80" i="91"/>
  <c r="AF80" i="91"/>
  <c r="BB10" i="91"/>
  <c r="AZ10" i="91" a="1"/>
  <c r="AZ10" i="91" s="1"/>
  <c r="AY10" i="91" s="1"/>
  <c r="AJ3" i="91"/>
  <c r="L2" i="91"/>
  <c r="AZ14" i="91" a="1"/>
  <c r="AZ14" i="91" s="1"/>
  <c r="AY14" i="91" s="1"/>
  <c r="S8" i="91"/>
  <c r="AC8" i="91" s="1"/>
  <c r="AF8" i="91"/>
  <c r="S20" i="91"/>
  <c r="AC20" i="91" s="1"/>
  <c r="AK20" i="91"/>
  <c r="AF20" i="91"/>
  <c r="AF117" i="91"/>
  <c r="S117" i="91"/>
  <c r="AC117" i="91" s="1"/>
  <c r="AZ15" i="91" a="1"/>
  <c r="AZ15" i="91" s="1"/>
  <c r="AY15" i="91" s="1"/>
  <c r="AG74" i="91"/>
  <c r="AK68" i="91"/>
  <c r="AF68" i="91"/>
  <c r="S68" i="91"/>
  <c r="AC68" i="91" s="1"/>
  <c r="S17" i="91"/>
  <c r="AC17" i="91" s="1"/>
  <c r="AF17" i="91"/>
  <c r="BA10" i="91"/>
  <c r="AF27" i="91"/>
  <c r="S27" i="91"/>
  <c r="AC27" i="91" s="1"/>
  <c r="AB101" i="91"/>
  <c r="AM101" i="91" s="1"/>
  <c r="S71" i="91"/>
  <c r="AC71" i="91" s="1"/>
  <c r="AF71" i="91"/>
  <c r="S86" i="91"/>
  <c r="AC86" i="91" s="1"/>
  <c r="AF86" i="91"/>
  <c r="AK86" i="91"/>
  <c r="BA17" i="91"/>
  <c r="AB14" i="91"/>
  <c r="AM14" i="91" s="1"/>
  <c r="AG38" i="91"/>
  <c r="AK111" i="91"/>
  <c r="AB111" i="91"/>
  <c r="AM111" i="91" s="1"/>
  <c r="AF111" i="91"/>
  <c r="AG111" i="91" s="1"/>
  <c r="AF5" i="91"/>
  <c r="S5" i="91"/>
  <c r="AC5" i="91" s="1"/>
  <c r="AK5" i="91"/>
  <c r="S87" i="91"/>
  <c r="AC87" i="91" s="1"/>
  <c r="AF87" i="91"/>
  <c r="AF78" i="91"/>
  <c r="S78" i="91"/>
  <c r="AC78" i="91" s="1"/>
  <c r="AK33" i="91"/>
  <c r="S33" i="91"/>
  <c r="AC33" i="91" s="1"/>
  <c r="AF33" i="91"/>
  <c r="S52" i="91"/>
  <c r="AC52" i="91" s="1"/>
  <c r="AF52" i="91"/>
  <c r="BA15" i="91"/>
  <c r="AF104" i="91"/>
  <c r="S104" i="91"/>
  <c r="AC104" i="91" s="1"/>
  <c r="AK104" i="91"/>
  <c r="AF113" i="91"/>
  <c r="AG113" i="91" s="1"/>
  <c r="AB113" i="91"/>
  <c r="AM113" i="91" s="1"/>
  <c r="AK113" i="91"/>
  <c r="S118" i="91"/>
  <c r="AC118" i="91" s="1"/>
  <c r="AF118" i="91"/>
  <c r="BA13" i="91"/>
  <c r="AG46" i="91"/>
  <c r="BA16" i="91"/>
  <c r="BB12" i="91"/>
  <c r="AZ12" i="91" a="1"/>
  <c r="AZ12" i="91" s="1"/>
  <c r="AY12" i="91" s="1"/>
  <c r="Q2" i="91"/>
  <c r="G2" i="91" s="1"/>
  <c r="R2" i="91"/>
  <c r="AI3" i="91"/>
  <c r="E1" i="91" s="1"/>
  <c r="AK8" i="91"/>
  <c r="AB46" i="91"/>
  <c r="AM46" i="91" s="1"/>
  <c r="S100" i="91"/>
  <c r="AC100" i="91" s="1"/>
  <c r="AF100" i="91"/>
  <c r="AK117" i="91"/>
  <c r="AF59" i="91"/>
  <c r="S59" i="91"/>
  <c r="AC59" i="91" s="1"/>
  <c r="AK59" i="91"/>
  <c r="BA27" i="91"/>
  <c r="AB74" i="91"/>
  <c r="AM74" i="91" s="1"/>
  <c r="AK55" i="91"/>
  <c r="AG79" i="91"/>
  <c r="AK100" i="91"/>
  <c r="AK17" i="91"/>
  <c r="BA14" i="91"/>
  <c r="AC73" i="91"/>
  <c r="AG73" i="91" s="1"/>
  <c r="AB73" i="91"/>
  <c r="AM73" i="91" s="1"/>
  <c r="AB89" i="91"/>
  <c r="AM89" i="91" s="1"/>
  <c r="AB35" i="91"/>
  <c r="AM35" i="91" s="1"/>
  <c r="AG16" i="91"/>
  <c r="S69" i="91"/>
  <c r="AC69" i="91" s="1"/>
  <c r="AF69" i="91"/>
  <c r="AG36" i="91"/>
  <c r="AG13" i="91"/>
  <c r="S32" i="91"/>
  <c r="AC32" i="91" s="1"/>
  <c r="AF32" i="91"/>
  <c r="AB91" i="91"/>
  <c r="AM91" i="91" s="1"/>
  <c r="AB82" i="91"/>
  <c r="AM82" i="91" s="1"/>
  <c r="AG15" i="91"/>
  <c r="AC81" i="91"/>
  <c r="AG81" i="91" s="1"/>
  <c r="AB81" i="91"/>
  <c r="AM81" i="91" s="1"/>
  <c r="P2" i="91"/>
  <c r="S39" i="91"/>
  <c r="AC39" i="91" s="1"/>
  <c r="AF39" i="91"/>
  <c r="AK97" i="91"/>
  <c r="S72" i="91"/>
  <c r="AC72" i="91" s="1"/>
  <c r="AK72" i="91"/>
  <c r="AF72" i="91"/>
  <c r="S60" i="91"/>
  <c r="AC60" i="91" s="1"/>
  <c r="AF60" i="91"/>
  <c r="AK60" i="91"/>
  <c r="S106" i="91"/>
  <c r="AC106" i="91" s="1"/>
  <c r="AF106" i="91"/>
  <c r="AK106" i="91"/>
  <c r="AK31" i="91"/>
  <c r="AK27" i="91"/>
  <c r="S9" i="91"/>
  <c r="AC9" i="91" s="1"/>
  <c r="AF9" i="91"/>
  <c r="AK9" i="91"/>
  <c r="AK52" i="91"/>
  <c r="AF54" i="91"/>
  <c r="S54" i="91"/>
  <c r="AC54" i="91" s="1"/>
  <c r="S70" i="91"/>
  <c r="AC70" i="91" s="1"/>
  <c r="AK70" i="91"/>
  <c r="AF70" i="91"/>
  <c r="S103" i="91"/>
  <c r="AC103" i="91" s="1"/>
  <c r="AF103" i="91"/>
  <c r="S99" i="91"/>
  <c r="AC99" i="91" s="1"/>
  <c r="AF99" i="91"/>
  <c r="AG77" i="91"/>
  <c r="AZ13" i="91" a="1"/>
  <c r="AZ13" i="91" s="1"/>
  <c r="AY13" i="91" s="1"/>
  <c r="AG67" i="91"/>
  <c r="BA12" i="91"/>
  <c r="BA11" i="91"/>
  <c r="AG107" i="91"/>
  <c r="AF65" i="91"/>
  <c r="S65" i="91"/>
  <c r="AC65" i="91" s="1"/>
  <c r="AB11" i="91"/>
  <c r="AM11" i="91" s="1"/>
  <c r="AG50" i="91"/>
  <c r="BB11" i="91"/>
  <c r="AZ11" i="91" a="1"/>
  <c r="AZ11" i="91" s="1"/>
  <c r="AY11" i="91" s="1"/>
  <c r="AF114" i="91"/>
  <c r="AG114" i="91" s="1"/>
  <c r="AB114" i="91"/>
  <c r="AM114" i="91" s="1"/>
  <c r="AB107" i="91"/>
  <c r="AM107" i="91" s="1"/>
  <c r="S23" i="91"/>
  <c r="AC23" i="91" s="1"/>
  <c r="AF23" i="91"/>
  <c r="AK23" i="91"/>
  <c r="S84" i="91"/>
  <c r="AC84" i="91" s="1"/>
  <c r="AF84" i="91"/>
  <c r="AF29" i="91"/>
  <c r="S29" i="91"/>
  <c r="AC29" i="91" s="1"/>
  <c r="AF34" i="91"/>
  <c r="S34" i="91"/>
  <c r="AC34" i="91" s="1"/>
  <c r="AG91" i="91"/>
  <c r="S49" i="91"/>
  <c r="AC49" i="91" s="1"/>
  <c r="AF49" i="91"/>
  <c r="AF93" i="91"/>
  <c r="S93" i="91"/>
  <c r="AC93" i="91" s="1"/>
  <c r="AZ17" i="91" a="1"/>
  <c r="AZ17" i="91" s="1"/>
  <c r="AY17" i="91" s="1"/>
  <c r="BA18" i="91"/>
  <c r="AG104" i="91" l="1"/>
  <c r="AG96" i="91"/>
  <c r="AG18" i="91"/>
  <c r="AG68" i="91"/>
  <c r="AG25" i="91"/>
  <c r="AG27" i="91"/>
  <c r="AG24" i="91"/>
  <c r="AG93" i="91"/>
  <c r="AB60" i="91"/>
  <c r="AM60" i="91" s="1"/>
  <c r="AG55" i="91"/>
  <c r="AB70" i="91"/>
  <c r="AM70" i="91" s="1"/>
  <c r="AB26" i="91"/>
  <c r="AM26" i="91" s="1"/>
  <c r="AG48" i="91"/>
  <c r="AG30" i="91"/>
  <c r="AB102" i="91"/>
  <c r="AM102" i="91" s="1"/>
  <c r="AB66" i="91"/>
  <c r="AM66" i="91" s="1"/>
  <c r="AB45" i="91"/>
  <c r="AM45" i="91" s="1"/>
  <c r="AG44" i="91"/>
  <c r="AG54" i="91"/>
  <c r="AG5" i="91"/>
  <c r="AB56" i="91"/>
  <c r="AM56" i="91" s="1"/>
  <c r="AG6" i="91"/>
  <c r="AB119" i="91"/>
  <c r="AM119" i="91" s="1"/>
  <c r="AB52" i="91"/>
  <c r="AM52" i="91" s="1"/>
  <c r="AG102" i="91"/>
  <c r="AB118" i="91"/>
  <c r="AM118" i="91" s="1"/>
  <c r="AB94" i="91"/>
  <c r="AM94" i="91" s="1"/>
  <c r="AG34" i="91"/>
  <c r="AG65" i="91"/>
  <c r="AB54" i="91"/>
  <c r="AM54" i="91" s="1"/>
  <c r="AB87" i="91"/>
  <c r="AM87" i="91" s="1"/>
  <c r="AB61" i="91"/>
  <c r="AM61" i="91" s="1"/>
  <c r="AB44" i="91"/>
  <c r="AM44" i="91" s="1"/>
  <c r="AG97" i="91"/>
  <c r="AB40" i="91"/>
  <c r="AM40" i="91" s="1"/>
  <c r="AG88" i="91"/>
  <c r="AB84" i="91"/>
  <c r="AM84" i="91" s="1"/>
  <c r="AB100" i="91"/>
  <c r="AM100" i="91" s="1"/>
  <c r="AG98" i="91"/>
  <c r="AG28" i="91"/>
  <c r="AB43" i="91"/>
  <c r="AM43" i="91" s="1"/>
  <c r="AB88" i="91"/>
  <c r="AM88" i="91" s="1"/>
  <c r="AB92" i="91"/>
  <c r="AM92" i="91" s="1"/>
  <c r="AG78" i="91"/>
  <c r="AG117" i="91"/>
  <c r="AB97" i="91"/>
  <c r="AM97" i="91" s="1"/>
  <c r="AG80" i="91"/>
  <c r="AG42" i="91"/>
  <c r="AG45" i="91"/>
  <c r="AB108" i="91"/>
  <c r="AM108" i="91" s="1"/>
  <c r="AB21" i="91"/>
  <c r="AM21" i="91" s="1"/>
  <c r="AB104" i="91"/>
  <c r="AM104" i="91" s="1"/>
  <c r="AB5" i="91"/>
  <c r="AM5" i="91" s="1"/>
  <c r="AG53" i="91"/>
  <c r="AB96" i="91"/>
  <c r="AM96" i="91" s="1"/>
  <c r="AG64" i="91"/>
  <c r="AG61" i="91"/>
  <c r="AG9" i="91"/>
  <c r="AB72" i="91"/>
  <c r="AM72" i="91" s="1"/>
  <c r="AG99" i="91"/>
  <c r="AB59" i="91"/>
  <c r="AM59" i="91" s="1"/>
  <c r="AB98" i="91"/>
  <c r="AM98" i="91" s="1"/>
  <c r="AB23" i="91"/>
  <c r="AM23" i="91" s="1"/>
  <c r="AB106" i="91"/>
  <c r="AM106" i="91" s="1"/>
  <c r="AB31" i="91"/>
  <c r="AM31" i="91" s="1"/>
  <c r="AB109" i="91"/>
  <c r="AM109" i="91" s="1"/>
  <c r="AB95" i="91"/>
  <c r="AM95" i="91" s="1"/>
  <c r="AB49" i="91"/>
  <c r="AM49" i="91" s="1"/>
  <c r="AG33" i="91"/>
  <c r="AB53" i="91"/>
  <c r="AM53" i="91" s="1"/>
  <c r="AG92" i="91"/>
  <c r="AB47" i="91"/>
  <c r="AM47" i="91" s="1"/>
  <c r="AG85" i="91"/>
  <c r="AB64" i="91"/>
  <c r="AM64" i="91" s="1"/>
  <c r="AB34" i="91"/>
  <c r="AM34" i="91" s="1"/>
  <c r="BB7" i="91"/>
  <c r="BC29" i="91" s="1"/>
  <c r="AG29" i="91"/>
  <c r="AG121" i="91"/>
  <c r="AG17" i="91"/>
  <c r="AG106" i="91"/>
  <c r="AG87" i="91"/>
  <c r="AB17" i="91"/>
  <c r="AM17" i="91" s="1"/>
  <c r="AB48" i="91"/>
  <c r="AM48" i="91" s="1"/>
  <c r="AB55" i="91"/>
  <c r="AM55" i="91" s="1"/>
  <c r="AG100" i="91"/>
  <c r="AB71" i="91"/>
  <c r="AM71" i="91" s="1"/>
  <c r="AB83" i="91"/>
  <c r="AM83" i="91" s="1"/>
  <c r="AB25" i="91"/>
  <c r="AM25" i="91" s="1"/>
  <c r="AB105" i="91"/>
  <c r="AM105" i="91" s="1"/>
  <c r="AG84" i="91"/>
  <c r="AG60" i="91"/>
  <c r="AG32" i="91"/>
  <c r="AG118" i="91"/>
  <c r="AB68" i="91"/>
  <c r="AM68" i="91" s="1"/>
  <c r="AB121" i="91"/>
  <c r="AM121" i="91" s="1"/>
  <c r="AB65" i="91"/>
  <c r="AM65" i="91" s="1"/>
  <c r="AB32" i="91"/>
  <c r="AM32" i="91" s="1"/>
  <c r="AG20" i="91"/>
  <c r="AG56" i="91"/>
  <c r="AG40" i="91"/>
  <c r="AB93" i="91"/>
  <c r="AM93" i="91" s="1"/>
  <c r="AG52" i="91"/>
  <c r="AB27" i="91"/>
  <c r="AM27" i="91" s="1"/>
  <c r="AB20" i="91"/>
  <c r="AM20" i="91" s="1"/>
  <c r="AB99" i="91"/>
  <c r="AM99" i="91" s="1"/>
  <c r="AG72" i="91"/>
  <c r="AB80" i="91"/>
  <c r="AM80" i="91" s="1"/>
  <c r="AG31" i="91"/>
  <c r="AG109" i="91"/>
  <c r="AG94" i="91"/>
  <c r="AG108" i="91"/>
  <c r="AB42" i="91"/>
  <c r="AM42" i="91" s="1"/>
  <c r="AG119" i="91"/>
  <c r="AG21" i="91"/>
  <c r="AG10" i="91"/>
  <c r="AB85" i="91"/>
  <c r="AM85" i="91" s="1"/>
  <c r="AB29" i="91"/>
  <c r="AM29" i="91" s="1"/>
  <c r="AG70" i="91"/>
  <c r="AK3" i="91"/>
  <c r="AG83" i="91"/>
  <c r="AG105" i="91"/>
  <c r="AB28" i="91"/>
  <c r="AM28" i="91" s="1"/>
  <c r="AG23" i="91"/>
  <c r="AB69" i="91"/>
  <c r="AM69" i="91" s="1"/>
  <c r="AG86" i="91"/>
  <c r="AG66" i="91"/>
  <c r="AG26" i="91"/>
  <c r="AG71" i="91"/>
  <c r="AZ7" i="91"/>
  <c r="AG69" i="91"/>
  <c r="AB33" i="91"/>
  <c r="AM33" i="91" s="1"/>
  <c r="AG49" i="91"/>
  <c r="AB24" i="91"/>
  <c r="AM24" i="91" s="1"/>
  <c r="AG7" i="91"/>
  <c r="AG103" i="91"/>
  <c r="AG39" i="91"/>
  <c r="AB86" i="91"/>
  <c r="AM86" i="91" s="1"/>
  <c r="AG8" i="91"/>
  <c r="AG47" i="91"/>
  <c r="AB103" i="91"/>
  <c r="AM103" i="91" s="1"/>
  <c r="AB39" i="91"/>
  <c r="AM39" i="91" s="1"/>
  <c r="AB117" i="91"/>
  <c r="AM117" i="91" s="1"/>
  <c r="AG59" i="91"/>
  <c r="AB78" i="91"/>
  <c r="AM78" i="91" s="1"/>
  <c r="AY9" i="91"/>
  <c r="BA9" i="91"/>
  <c r="AX7" i="91"/>
  <c r="AB10" i="91"/>
  <c r="AM10" i="91" s="1"/>
  <c r="AG95" i="91"/>
  <c r="AB18" i="91"/>
  <c r="AM18" i="91" s="1"/>
  <c r="BC34" i="91" l="1"/>
  <c r="BD29" i="91"/>
  <c r="BD34" i="91" s="1"/>
  <c r="AM3" i="91"/>
  <c r="G1" i="91" s="1"/>
  <c r="AG2" i="91"/>
  <c r="BA7" i="91"/>
  <c r="BC9" i="91"/>
  <c r="BC10" i="91" s="1"/>
  <c r="BC11" i="91" s="1"/>
  <c r="BC12" i="91" s="1"/>
  <c r="BC13" i="91" s="1"/>
  <c r="BC14" i="91" s="1"/>
  <c r="BC15" i="91" s="1"/>
  <c r="BC16" i="91" s="1"/>
  <c r="BC17" i="91" s="1"/>
  <c r="BC18" i="91" s="1"/>
  <c r="BE40" i="90" l="1"/>
  <c r="AN29" i="85" l="1"/>
  <c r="AN117" i="90" l="1"/>
  <c r="M117" i="90" s="1"/>
  <c r="O117" i="90" s="1"/>
  <c r="Z117" i="90"/>
  <c r="Y117" i="90"/>
  <c r="U117" i="90"/>
  <c r="K117" i="90"/>
  <c r="AI117" i="90" s="1"/>
  <c r="E117" i="90"/>
  <c r="AN116" i="90"/>
  <c r="M116" i="90" s="1"/>
  <c r="Z116" i="90"/>
  <c r="Y116" i="90"/>
  <c r="U116" i="90"/>
  <c r="K116" i="90"/>
  <c r="E116" i="90"/>
  <c r="AN115" i="90"/>
  <c r="M115" i="90" s="1"/>
  <c r="O115" i="90" s="1"/>
  <c r="Z115" i="90"/>
  <c r="Y115" i="90"/>
  <c r="U115" i="90"/>
  <c r="K115" i="90"/>
  <c r="E115" i="90"/>
  <c r="AN114" i="90"/>
  <c r="M114" i="90" s="1"/>
  <c r="Z114" i="90"/>
  <c r="Y114" i="90"/>
  <c r="U114" i="90"/>
  <c r="K114" i="90"/>
  <c r="E114" i="90"/>
  <c r="AN113" i="90"/>
  <c r="M113" i="90" s="1"/>
  <c r="Z113" i="90"/>
  <c r="Y113" i="90"/>
  <c r="U113" i="90"/>
  <c r="AJ113" i="90" s="1"/>
  <c r="K113" i="90"/>
  <c r="E113" i="90"/>
  <c r="AN112" i="90"/>
  <c r="M112" i="90" s="1"/>
  <c r="Z112" i="90"/>
  <c r="Y112" i="90"/>
  <c r="U112" i="90"/>
  <c r="AD112" i="90" s="1"/>
  <c r="K112" i="90"/>
  <c r="E112" i="90"/>
  <c r="AN111" i="90"/>
  <c r="M111" i="90" s="1"/>
  <c r="Z111" i="90"/>
  <c r="Y111" i="90"/>
  <c r="U111" i="90"/>
  <c r="AJ111" i="90" s="1"/>
  <c r="K111" i="90"/>
  <c r="AH111" i="90" s="1"/>
  <c r="E111" i="90"/>
  <c r="AN110" i="90"/>
  <c r="M110" i="90" s="1"/>
  <c r="N110" i="90" s="1"/>
  <c r="Z110" i="90"/>
  <c r="Y110" i="90"/>
  <c r="U110" i="90"/>
  <c r="K110" i="90"/>
  <c r="E110" i="90"/>
  <c r="AN109" i="90"/>
  <c r="M109" i="90" s="1"/>
  <c r="N109" i="90" s="1"/>
  <c r="O109" i="90" s="1"/>
  <c r="Z109" i="90"/>
  <c r="Y109" i="90"/>
  <c r="U109" i="90"/>
  <c r="AD109" i="90" s="1"/>
  <c r="K109" i="90"/>
  <c r="AI109" i="90" s="1"/>
  <c r="E109" i="90"/>
  <c r="AN108" i="90"/>
  <c r="M108" i="90" s="1"/>
  <c r="N108" i="90" s="1"/>
  <c r="Z108" i="90"/>
  <c r="Y108" i="90"/>
  <c r="U108" i="90"/>
  <c r="AD108" i="90" s="1"/>
  <c r="K108" i="90"/>
  <c r="AM108" i="90" s="1"/>
  <c r="E108" i="90"/>
  <c r="AN107" i="90"/>
  <c r="M107" i="90" s="1"/>
  <c r="Z107" i="90"/>
  <c r="Y107" i="90"/>
  <c r="U107" i="90"/>
  <c r="K107" i="90"/>
  <c r="E107" i="90"/>
  <c r="AN106" i="90"/>
  <c r="M106" i="90" s="1"/>
  <c r="Z106" i="90"/>
  <c r="Y106" i="90"/>
  <c r="U106" i="90"/>
  <c r="AJ106" i="90" s="1"/>
  <c r="K106" i="90"/>
  <c r="E106" i="90"/>
  <c r="AN105" i="90"/>
  <c r="M105" i="90" s="1"/>
  <c r="Z105" i="90"/>
  <c r="Y105" i="90"/>
  <c r="U105" i="90"/>
  <c r="AJ105" i="90" s="1"/>
  <c r="K105" i="90"/>
  <c r="AH105" i="90" s="1"/>
  <c r="E105" i="90"/>
  <c r="AN104" i="90"/>
  <c r="M104" i="90" s="1"/>
  <c r="Z104" i="90"/>
  <c r="Y104" i="90"/>
  <c r="U104" i="90"/>
  <c r="AD104" i="90" s="1"/>
  <c r="K104" i="90"/>
  <c r="AH104" i="90" s="1"/>
  <c r="E104" i="90"/>
  <c r="AN103" i="90"/>
  <c r="M103" i="90" s="1"/>
  <c r="Z103" i="90"/>
  <c r="Y103" i="90"/>
  <c r="U103" i="90"/>
  <c r="AD103" i="90" s="1"/>
  <c r="K103" i="90"/>
  <c r="E103" i="90"/>
  <c r="AN102" i="90"/>
  <c r="M102" i="90" s="1"/>
  <c r="N102" i="90" s="1"/>
  <c r="Y102" i="90"/>
  <c r="U102" i="90"/>
  <c r="K102" i="90"/>
  <c r="E102" i="90"/>
  <c r="AN101" i="90"/>
  <c r="M101" i="90" s="1"/>
  <c r="N101" i="90" s="1"/>
  <c r="Y101" i="90"/>
  <c r="AE101" i="90" s="1"/>
  <c r="U101" i="90"/>
  <c r="K101" i="90"/>
  <c r="AI101" i="90" s="1"/>
  <c r="E101" i="90"/>
  <c r="AN100" i="90"/>
  <c r="M100" i="90" s="1"/>
  <c r="AC100" i="90"/>
  <c r="Z100" i="90"/>
  <c r="Y100" i="90"/>
  <c r="U100" i="90"/>
  <c r="K100" i="90"/>
  <c r="AH100" i="90" s="1"/>
  <c r="E100" i="90"/>
  <c r="AN99" i="90"/>
  <c r="M99" i="90" s="1"/>
  <c r="AC99" i="90"/>
  <c r="Z99" i="90"/>
  <c r="Y99" i="90"/>
  <c r="U99" i="90"/>
  <c r="AD99" i="90" s="1"/>
  <c r="K99" i="90"/>
  <c r="E99" i="90"/>
  <c r="AN98" i="90"/>
  <c r="M98" i="90" s="1"/>
  <c r="AC98" i="90"/>
  <c r="Z98" i="90"/>
  <c r="Y98" i="90"/>
  <c r="U98" i="90"/>
  <c r="K98" i="90"/>
  <c r="AI98" i="90" s="1"/>
  <c r="E98" i="90"/>
  <c r="AN97" i="90"/>
  <c r="M97" i="90" s="1"/>
  <c r="AC97" i="90"/>
  <c r="Z97" i="90"/>
  <c r="Y97" i="90"/>
  <c r="U97" i="90"/>
  <c r="AD97" i="90" s="1"/>
  <c r="K97" i="90"/>
  <c r="E97" i="90"/>
  <c r="AN96" i="90"/>
  <c r="M96" i="90" s="1"/>
  <c r="AC96" i="90"/>
  <c r="Z96" i="90"/>
  <c r="Y96" i="90"/>
  <c r="U96" i="90"/>
  <c r="AJ96" i="90" s="1"/>
  <c r="K96" i="90"/>
  <c r="E96" i="90"/>
  <c r="AN95" i="90"/>
  <c r="M95" i="90" s="1"/>
  <c r="N95" i="90" s="1"/>
  <c r="AC95" i="90"/>
  <c r="Z95" i="90"/>
  <c r="Y95" i="90"/>
  <c r="U95" i="90"/>
  <c r="K95" i="90"/>
  <c r="AI95" i="90" s="1"/>
  <c r="E95" i="90"/>
  <c r="AN94" i="90"/>
  <c r="M94" i="90" s="1"/>
  <c r="N94" i="90" s="1"/>
  <c r="AC94" i="90"/>
  <c r="Z94" i="90"/>
  <c r="Y94" i="90"/>
  <c r="U94" i="90"/>
  <c r="K94" i="90"/>
  <c r="E94" i="90"/>
  <c r="AN93" i="90"/>
  <c r="M93" i="90" s="1"/>
  <c r="AC93" i="90"/>
  <c r="Z93" i="90"/>
  <c r="Y93" i="90"/>
  <c r="U93" i="90"/>
  <c r="K93" i="90"/>
  <c r="AI93" i="90" s="1"/>
  <c r="E93" i="90"/>
  <c r="AN92" i="90"/>
  <c r="M92" i="90" s="1"/>
  <c r="AE92" i="90"/>
  <c r="AA92" i="90"/>
  <c r="U92" i="90"/>
  <c r="K92" i="90"/>
  <c r="E92" i="90"/>
  <c r="AN91" i="90"/>
  <c r="M91" i="90" s="1"/>
  <c r="AE91" i="90"/>
  <c r="AA91" i="90"/>
  <c r="U91" i="90"/>
  <c r="AJ91" i="90" s="1"/>
  <c r="K91" i="90"/>
  <c r="E91" i="90"/>
  <c r="AN90" i="90"/>
  <c r="M90" i="90" s="1"/>
  <c r="N90" i="90" s="1"/>
  <c r="AE90" i="90"/>
  <c r="AA90" i="90"/>
  <c r="U90" i="90"/>
  <c r="K90" i="90"/>
  <c r="AI90" i="90" s="1"/>
  <c r="E90" i="90"/>
  <c r="AN89" i="90"/>
  <c r="M89" i="90" s="1"/>
  <c r="O89" i="90" s="1"/>
  <c r="AE89" i="90"/>
  <c r="AA89" i="90"/>
  <c r="U89" i="90"/>
  <c r="AD89" i="90" s="1"/>
  <c r="K89" i="90"/>
  <c r="AH89" i="90" s="1"/>
  <c r="E89" i="90"/>
  <c r="AN88" i="90"/>
  <c r="M88" i="90" s="1"/>
  <c r="N88" i="90" s="1"/>
  <c r="Z88" i="90"/>
  <c r="Y88" i="90"/>
  <c r="U88" i="90"/>
  <c r="K88" i="90"/>
  <c r="AI88" i="90" s="1"/>
  <c r="E88" i="90"/>
  <c r="AN87" i="90"/>
  <c r="M87" i="90" s="1"/>
  <c r="N87" i="90" s="1"/>
  <c r="Z87" i="90"/>
  <c r="Y87" i="90"/>
  <c r="U87" i="90"/>
  <c r="AJ87" i="90" s="1"/>
  <c r="K87" i="90"/>
  <c r="E87" i="90"/>
  <c r="AN86" i="90"/>
  <c r="M86" i="90" s="1"/>
  <c r="N86" i="90" s="1"/>
  <c r="O86" i="90" s="1"/>
  <c r="Z86" i="90"/>
  <c r="Y86" i="90"/>
  <c r="U86" i="90"/>
  <c r="AD86" i="90" s="1"/>
  <c r="K86" i="90"/>
  <c r="E86" i="90"/>
  <c r="AN85" i="90"/>
  <c r="M85" i="90" s="1"/>
  <c r="Z85" i="90"/>
  <c r="Y85" i="90"/>
  <c r="U85" i="90"/>
  <c r="K85" i="90"/>
  <c r="AH85" i="90" s="1"/>
  <c r="E85" i="90"/>
  <c r="AN84" i="90"/>
  <c r="M84" i="90" s="1"/>
  <c r="N84" i="90" s="1"/>
  <c r="O84" i="90" s="1"/>
  <c r="Z84" i="90"/>
  <c r="Y84" i="90"/>
  <c r="U84" i="90"/>
  <c r="AD84" i="90" s="1"/>
  <c r="K84" i="90"/>
  <c r="E84" i="90"/>
  <c r="AN83" i="90"/>
  <c r="M83" i="90" s="1"/>
  <c r="N83" i="90" s="1"/>
  <c r="Z83" i="90"/>
  <c r="Y83" i="90"/>
  <c r="U83" i="90"/>
  <c r="AD83" i="90" s="1"/>
  <c r="K83" i="90"/>
  <c r="E83" i="90"/>
  <c r="AN82" i="90"/>
  <c r="M82" i="90" s="1"/>
  <c r="Z82" i="90"/>
  <c r="Y82" i="90"/>
  <c r="U82" i="90"/>
  <c r="AJ82" i="90" s="1"/>
  <c r="K82" i="90"/>
  <c r="E82" i="90"/>
  <c r="AN81" i="90"/>
  <c r="M81" i="90" s="1"/>
  <c r="Z81" i="90"/>
  <c r="Y81" i="90"/>
  <c r="U81" i="90"/>
  <c r="AD81" i="90" s="1"/>
  <c r="K81" i="90"/>
  <c r="E81" i="90"/>
  <c r="AN80" i="90"/>
  <c r="M80" i="90" s="1"/>
  <c r="Z80" i="90"/>
  <c r="Y80" i="90"/>
  <c r="U80" i="90"/>
  <c r="AD80" i="90" s="1"/>
  <c r="K80" i="90"/>
  <c r="E80" i="90"/>
  <c r="AN79" i="90"/>
  <c r="M79" i="90" s="1"/>
  <c r="Y79" i="90"/>
  <c r="AA79" i="90" s="1"/>
  <c r="U79" i="90"/>
  <c r="AD79" i="90" s="1"/>
  <c r="K79" i="90"/>
  <c r="E79" i="90"/>
  <c r="AN78" i="90"/>
  <c r="M78" i="90" s="1"/>
  <c r="O78" i="90" s="1"/>
  <c r="Y78" i="90"/>
  <c r="U78" i="90"/>
  <c r="AJ78" i="90" s="1"/>
  <c r="K78" i="90"/>
  <c r="AH78" i="90" s="1"/>
  <c r="E78" i="90"/>
  <c r="AN77" i="90"/>
  <c r="M77" i="90" s="1"/>
  <c r="Y77" i="90"/>
  <c r="AA77" i="90" s="1"/>
  <c r="U77" i="90"/>
  <c r="AJ77" i="90" s="1"/>
  <c r="K77" i="90"/>
  <c r="AH77" i="90" s="1"/>
  <c r="E77" i="90"/>
  <c r="AN76" i="90"/>
  <c r="M76" i="90" s="1"/>
  <c r="O76" i="90" s="1"/>
  <c r="Y76" i="90"/>
  <c r="U76" i="90"/>
  <c r="K76" i="90"/>
  <c r="E76" i="90"/>
  <c r="AN75" i="90"/>
  <c r="Y75" i="90"/>
  <c r="AE75" i="90" s="1"/>
  <c r="U75" i="90"/>
  <c r="AD75" i="90" s="1"/>
  <c r="N75" i="90"/>
  <c r="O75" i="90" s="1"/>
  <c r="S75" i="90" s="1"/>
  <c r="AC75" i="90" s="1"/>
  <c r="K75" i="90"/>
  <c r="AI75" i="90" s="1"/>
  <c r="E75" i="90"/>
  <c r="AN74" i="90"/>
  <c r="M74" i="90" s="1"/>
  <c r="Y74" i="90"/>
  <c r="U74" i="90"/>
  <c r="K74" i="90"/>
  <c r="AI74" i="90" s="1"/>
  <c r="E74" i="90"/>
  <c r="AN73" i="90"/>
  <c r="M73" i="90" s="1"/>
  <c r="N73" i="90" s="1"/>
  <c r="Y73" i="90"/>
  <c r="U73" i="90"/>
  <c r="AD73" i="90" s="1"/>
  <c r="K73" i="90"/>
  <c r="AI73" i="90" s="1"/>
  <c r="E73" i="90"/>
  <c r="AN72" i="90"/>
  <c r="M72" i="90" s="1"/>
  <c r="Y72" i="90"/>
  <c r="U72" i="90"/>
  <c r="AD72" i="90" s="1"/>
  <c r="K72" i="90"/>
  <c r="AI72" i="90" s="1"/>
  <c r="E72" i="90"/>
  <c r="AN71" i="90"/>
  <c r="M71" i="90" s="1"/>
  <c r="Y71" i="90"/>
  <c r="AA71" i="90" s="1"/>
  <c r="U71" i="90"/>
  <c r="K71" i="90"/>
  <c r="E71" i="90"/>
  <c r="AN70" i="90"/>
  <c r="M70" i="90" s="1"/>
  <c r="Y70" i="90"/>
  <c r="AE70" i="90" s="1"/>
  <c r="U70" i="90"/>
  <c r="K70" i="90"/>
  <c r="AI70" i="90" s="1"/>
  <c r="E70" i="90"/>
  <c r="AN69" i="90"/>
  <c r="M69" i="90" s="1"/>
  <c r="Y69" i="90"/>
  <c r="U69" i="90"/>
  <c r="AD69" i="90" s="1"/>
  <c r="K69" i="90"/>
  <c r="E69" i="90"/>
  <c r="AN68" i="90"/>
  <c r="M68" i="90" s="1"/>
  <c r="Y68" i="90"/>
  <c r="AA68" i="90" s="1"/>
  <c r="U68" i="90"/>
  <c r="K68" i="90"/>
  <c r="E68" i="90"/>
  <c r="AN67" i="90"/>
  <c r="M67" i="90" s="1"/>
  <c r="Y67" i="90"/>
  <c r="AA67" i="90" s="1"/>
  <c r="U67" i="90"/>
  <c r="K67" i="90"/>
  <c r="AH67" i="90" s="1"/>
  <c r="E67" i="90"/>
  <c r="AN66" i="90"/>
  <c r="M66" i="90" s="1"/>
  <c r="Y66" i="90"/>
  <c r="AA66" i="90" s="1"/>
  <c r="U66" i="90"/>
  <c r="AJ66" i="90" s="1"/>
  <c r="K66" i="90"/>
  <c r="AI66" i="90" s="1"/>
  <c r="E66" i="90"/>
  <c r="AN65" i="90"/>
  <c r="M65" i="90" s="1"/>
  <c r="Y65" i="90"/>
  <c r="AE65" i="90" s="1"/>
  <c r="U65" i="90"/>
  <c r="AJ65" i="90" s="1"/>
  <c r="K65" i="90"/>
  <c r="AI65" i="90" s="1"/>
  <c r="E65" i="90"/>
  <c r="AN64" i="90"/>
  <c r="M64" i="90" s="1"/>
  <c r="Y64" i="90"/>
  <c r="AE64" i="90" s="1"/>
  <c r="U64" i="90"/>
  <c r="AJ64" i="90" s="1"/>
  <c r="K64" i="90"/>
  <c r="AI64" i="90" s="1"/>
  <c r="E64" i="90"/>
  <c r="AN63" i="90"/>
  <c r="M63" i="90" s="1"/>
  <c r="N63" i="90" s="1"/>
  <c r="Y63" i="90"/>
  <c r="U63" i="90"/>
  <c r="AD63" i="90" s="1"/>
  <c r="K63" i="90"/>
  <c r="AH63" i="90" s="1"/>
  <c r="E63" i="90"/>
  <c r="AN62" i="90"/>
  <c r="M62" i="90" s="1"/>
  <c r="Y62" i="90"/>
  <c r="AE62" i="90" s="1"/>
  <c r="U62" i="90"/>
  <c r="K62" i="90"/>
  <c r="AI62" i="90" s="1"/>
  <c r="E62" i="90"/>
  <c r="AN61" i="90"/>
  <c r="M61" i="90" s="1"/>
  <c r="Z61" i="90"/>
  <c r="Y61" i="90"/>
  <c r="U61" i="90"/>
  <c r="AJ61" i="90" s="1"/>
  <c r="K61" i="90"/>
  <c r="E61" i="90"/>
  <c r="AN60" i="90"/>
  <c r="M60" i="90" s="1"/>
  <c r="Z60" i="90"/>
  <c r="Y60" i="90"/>
  <c r="U60" i="90"/>
  <c r="AD60" i="90" s="1"/>
  <c r="K60" i="90"/>
  <c r="AI60" i="90" s="1"/>
  <c r="E60" i="90"/>
  <c r="AN59" i="90"/>
  <c r="M59" i="90" s="1"/>
  <c r="Z59" i="90"/>
  <c r="Y59" i="90"/>
  <c r="U59" i="90"/>
  <c r="AJ59" i="90" s="1"/>
  <c r="K59" i="90"/>
  <c r="AI59" i="90" s="1"/>
  <c r="E59" i="90"/>
  <c r="AN58" i="90"/>
  <c r="M58" i="90" s="1"/>
  <c r="O58" i="90" s="1"/>
  <c r="Z58" i="90"/>
  <c r="Y58" i="90"/>
  <c r="U58" i="90"/>
  <c r="K58" i="90"/>
  <c r="E58" i="90"/>
  <c r="AN57" i="90"/>
  <c r="M57" i="90" s="1"/>
  <c r="Y57" i="90"/>
  <c r="AA57" i="90" s="1"/>
  <c r="U57" i="90"/>
  <c r="K57" i="90"/>
  <c r="E57" i="90"/>
  <c r="AN56" i="90"/>
  <c r="M56" i="90" s="1"/>
  <c r="O56" i="90" s="1"/>
  <c r="AE56" i="90"/>
  <c r="AA56" i="90"/>
  <c r="U56" i="90"/>
  <c r="AJ56" i="90" s="1"/>
  <c r="K56" i="90"/>
  <c r="E56" i="90"/>
  <c r="AN55" i="90"/>
  <c r="M55" i="90" s="1"/>
  <c r="N55" i="90" s="1"/>
  <c r="AE55" i="90"/>
  <c r="AA55" i="90"/>
  <c r="U55" i="90"/>
  <c r="K55" i="90"/>
  <c r="E55" i="90"/>
  <c r="AN54" i="90"/>
  <c r="M54" i="90" s="1"/>
  <c r="O54" i="90" s="1"/>
  <c r="AE54" i="90"/>
  <c r="AA54" i="90"/>
  <c r="U54" i="90"/>
  <c r="AJ54" i="90" s="1"/>
  <c r="K54" i="90"/>
  <c r="AI54" i="90" s="1"/>
  <c r="E54" i="90"/>
  <c r="AN53" i="90"/>
  <c r="M53" i="90" s="1"/>
  <c r="N53" i="90" s="1"/>
  <c r="O53" i="90" s="1"/>
  <c r="Y53" i="90"/>
  <c r="AE53" i="90" s="1"/>
  <c r="U53" i="90"/>
  <c r="K53" i="90"/>
  <c r="AI53" i="90" s="1"/>
  <c r="E53" i="90"/>
  <c r="AN52" i="90"/>
  <c r="M52" i="90" s="1"/>
  <c r="O52" i="90" s="1"/>
  <c r="AE52" i="90"/>
  <c r="AA52" i="90"/>
  <c r="U52" i="90"/>
  <c r="K52" i="90"/>
  <c r="E52" i="90"/>
  <c r="AN51" i="90"/>
  <c r="M51" i="90" s="1"/>
  <c r="O51" i="90" s="1"/>
  <c r="S51" i="90" s="1"/>
  <c r="AC51" i="90" s="1"/>
  <c r="Y51" i="90"/>
  <c r="AE51" i="90" s="1"/>
  <c r="U51" i="90"/>
  <c r="K51" i="90"/>
  <c r="AI51" i="90" s="1"/>
  <c r="E51" i="90"/>
  <c r="AN50" i="90"/>
  <c r="M50" i="90" s="1"/>
  <c r="Z50" i="90"/>
  <c r="Y50" i="90"/>
  <c r="U50" i="90"/>
  <c r="AJ50" i="90" s="1"/>
  <c r="K50" i="90"/>
  <c r="E50" i="90"/>
  <c r="AN49" i="90"/>
  <c r="M49" i="90" s="1"/>
  <c r="O49" i="90" s="1"/>
  <c r="Z49" i="90"/>
  <c r="Y49" i="90"/>
  <c r="U49" i="90"/>
  <c r="AD49" i="90" s="1"/>
  <c r="K49" i="90"/>
  <c r="E49" i="90"/>
  <c r="AN48" i="90"/>
  <c r="M48" i="90" s="1"/>
  <c r="N48" i="90" s="1"/>
  <c r="Z48" i="90"/>
  <c r="Y48" i="90"/>
  <c r="U48" i="90"/>
  <c r="K48" i="90"/>
  <c r="E48" i="90"/>
  <c r="AN47" i="90"/>
  <c r="M47" i="90" s="1"/>
  <c r="Z47" i="90"/>
  <c r="Y47" i="90"/>
  <c r="U47" i="90"/>
  <c r="K47" i="90"/>
  <c r="AI47" i="90" s="1"/>
  <c r="E47" i="90"/>
  <c r="AN46" i="90"/>
  <c r="M46" i="90" s="1"/>
  <c r="Z46" i="90"/>
  <c r="Y46" i="90"/>
  <c r="U46" i="90"/>
  <c r="K46" i="90"/>
  <c r="E46" i="90"/>
  <c r="AN45" i="90"/>
  <c r="M45" i="90" s="1"/>
  <c r="Z45" i="90"/>
  <c r="Y45" i="90"/>
  <c r="U45" i="90"/>
  <c r="AD45" i="90" s="1"/>
  <c r="K45" i="90"/>
  <c r="E45" i="90"/>
  <c r="AN44" i="90"/>
  <c r="M44" i="90" s="1"/>
  <c r="Z44" i="90"/>
  <c r="Y44" i="90"/>
  <c r="U44" i="90"/>
  <c r="AD44" i="90" s="1"/>
  <c r="K44" i="90"/>
  <c r="E44" i="90"/>
  <c r="AN43" i="90"/>
  <c r="M43" i="90" s="1"/>
  <c r="N43" i="90" s="1"/>
  <c r="O43" i="90" s="1"/>
  <c r="Z43" i="90"/>
  <c r="Y43" i="90"/>
  <c r="U43" i="90"/>
  <c r="K43" i="90"/>
  <c r="E43" i="90"/>
  <c r="AN42" i="90"/>
  <c r="M42" i="90" s="1"/>
  <c r="N42" i="90" s="1"/>
  <c r="O42" i="90" s="1"/>
  <c r="Y42" i="90"/>
  <c r="AA42" i="90" s="1"/>
  <c r="U42" i="90"/>
  <c r="K42" i="90"/>
  <c r="AI42" i="90" s="1"/>
  <c r="E42" i="90"/>
  <c r="AN41" i="90"/>
  <c r="M41" i="90" s="1"/>
  <c r="N41" i="90" s="1"/>
  <c r="Y41" i="90"/>
  <c r="AE41" i="90" s="1"/>
  <c r="U41" i="90"/>
  <c r="AD41" i="90" s="1"/>
  <c r="K41" i="90"/>
  <c r="AH41" i="90" s="1"/>
  <c r="E41" i="90"/>
  <c r="AN40" i="90"/>
  <c r="M40" i="90" s="1"/>
  <c r="AE40" i="90"/>
  <c r="AA40" i="90"/>
  <c r="U40" i="90"/>
  <c r="K40" i="90"/>
  <c r="AI40" i="90" s="1"/>
  <c r="E40" i="90"/>
  <c r="AN39" i="90"/>
  <c r="M39" i="90" s="1"/>
  <c r="AE39" i="90"/>
  <c r="AA39" i="90"/>
  <c r="U39" i="90"/>
  <c r="K39" i="90"/>
  <c r="AH39" i="90" s="1"/>
  <c r="E39" i="90"/>
  <c r="AN38" i="90"/>
  <c r="M38" i="90" s="1"/>
  <c r="N38" i="90" s="1"/>
  <c r="Y38" i="90"/>
  <c r="U38" i="90"/>
  <c r="K38" i="90"/>
  <c r="E38" i="90"/>
  <c r="AN37" i="90"/>
  <c r="M37" i="90" s="1"/>
  <c r="N37" i="90" s="1"/>
  <c r="Y37" i="90"/>
  <c r="U37" i="90"/>
  <c r="K37" i="90"/>
  <c r="AH37" i="90" s="1"/>
  <c r="E37" i="90"/>
  <c r="AN36" i="90"/>
  <c r="M36" i="90" s="1"/>
  <c r="Y36" i="90"/>
  <c r="AA36" i="90" s="1"/>
  <c r="U36" i="90"/>
  <c r="K36" i="90"/>
  <c r="AI36" i="90" s="1"/>
  <c r="E36" i="90"/>
  <c r="AN35" i="90"/>
  <c r="M35" i="90" s="1"/>
  <c r="Y35" i="90"/>
  <c r="AE35" i="90" s="1"/>
  <c r="U35" i="90"/>
  <c r="AD35" i="90" s="1"/>
  <c r="K35" i="90"/>
  <c r="AH35" i="90" s="1"/>
  <c r="E35" i="90"/>
  <c r="AN34" i="90"/>
  <c r="M34" i="90" s="1"/>
  <c r="Y34" i="90"/>
  <c r="U34" i="90"/>
  <c r="AJ34" i="90" s="1"/>
  <c r="K34" i="90"/>
  <c r="E34" i="90"/>
  <c r="AN33" i="90"/>
  <c r="M33" i="90" s="1"/>
  <c r="Y33" i="90"/>
  <c r="AA33" i="90" s="1"/>
  <c r="U33" i="90"/>
  <c r="K33" i="90"/>
  <c r="AH33" i="90" s="1"/>
  <c r="E33" i="90"/>
  <c r="AN32" i="90"/>
  <c r="M32" i="90" s="1"/>
  <c r="N32" i="90" s="1"/>
  <c r="AC32" i="90"/>
  <c r="Y32" i="90"/>
  <c r="U32" i="90"/>
  <c r="K32" i="90"/>
  <c r="AH32" i="90" s="1"/>
  <c r="E32" i="90"/>
  <c r="AN31" i="90"/>
  <c r="M31" i="90" s="1"/>
  <c r="N31" i="90" s="1"/>
  <c r="Y31" i="90"/>
  <c r="AE31" i="90" s="1"/>
  <c r="U31" i="90"/>
  <c r="K31" i="90"/>
  <c r="AI31" i="90" s="1"/>
  <c r="E31" i="90"/>
  <c r="AN30" i="90"/>
  <c r="M30" i="90" s="1"/>
  <c r="Z30" i="90"/>
  <c r="Y30" i="90"/>
  <c r="U30" i="90"/>
  <c r="AJ30" i="90" s="1"/>
  <c r="K30" i="90"/>
  <c r="E30" i="90"/>
  <c r="AN29" i="90"/>
  <c r="M29" i="90" s="1"/>
  <c r="N29" i="90" s="1"/>
  <c r="AC29" i="90"/>
  <c r="Y29" i="90"/>
  <c r="AE29" i="90" s="1"/>
  <c r="U29" i="90"/>
  <c r="K29" i="90"/>
  <c r="E29" i="90"/>
  <c r="AN28" i="90"/>
  <c r="M28" i="90" s="1"/>
  <c r="Z28" i="90"/>
  <c r="Y28" i="90"/>
  <c r="U28" i="90"/>
  <c r="AD28" i="90" s="1"/>
  <c r="K28" i="90"/>
  <c r="E28" i="90"/>
  <c r="AW38" i="90"/>
  <c r="AY38" i="90" s="1"/>
  <c r="BA38" i="90" s="1"/>
  <c r="AN27" i="90"/>
  <c r="M27" i="90" s="1"/>
  <c r="O27" i="90" s="1"/>
  <c r="Z27" i="90"/>
  <c r="Y27" i="90"/>
  <c r="U27" i="90"/>
  <c r="AD27" i="90" s="1"/>
  <c r="K27" i="90"/>
  <c r="AI27" i="90" s="1"/>
  <c r="E27" i="90"/>
  <c r="AW37" i="90"/>
  <c r="AY37" i="90" s="1"/>
  <c r="BA37" i="90" s="1"/>
  <c r="AN26" i="90"/>
  <c r="M26" i="90" s="1"/>
  <c r="Z26" i="90"/>
  <c r="Y26" i="90"/>
  <c r="U26" i="90"/>
  <c r="K26" i="90"/>
  <c r="AH26" i="90" s="1"/>
  <c r="E26" i="90"/>
  <c r="AW36" i="90"/>
  <c r="AY36" i="90" s="1"/>
  <c r="BA36" i="90" s="1"/>
  <c r="AN25" i="90"/>
  <c r="M25" i="90" s="1"/>
  <c r="O25" i="90" s="1"/>
  <c r="Z25" i="90"/>
  <c r="Y25" i="90"/>
  <c r="U25" i="90"/>
  <c r="AJ25" i="90" s="1"/>
  <c r="K25" i="90"/>
  <c r="E25" i="90"/>
  <c r="AW35" i="90"/>
  <c r="AY35" i="90" s="1"/>
  <c r="BA35" i="90" s="1"/>
  <c r="AN24" i="90"/>
  <c r="Z24" i="90"/>
  <c r="AE24" i="90" s="1"/>
  <c r="U24" i="90"/>
  <c r="AJ24" i="90" s="1"/>
  <c r="M24" i="90"/>
  <c r="O24" i="90" s="1"/>
  <c r="K24" i="90"/>
  <c r="AI24" i="90" s="1"/>
  <c r="E24" i="90"/>
  <c r="AW34" i="90"/>
  <c r="AY34" i="90" s="1"/>
  <c r="BA34" i="90" s="1"/>
  <c r="AN23" i="90"/>
  <c r="M23" i="90" s="1"/>
  <c r="Z23" i="90"/>
  <c r="Y23" i="90"/>
  <c r="U23" i="90"/>
  <c r="AJ23" i="90" s="1"/>
  <c r="K23" i="90"/>
  <c r="AI23" i="90" s="1"/>
  <c r="E23" i="90"/>
  <c r="AW33" i="90"/>
  <c r="AY33" i="90" s="1"/>
  <c r="BA33" i="90" s="1"/>
  <c r="AN22" i="90"/>
  <c r="M22" i="90" s="1"/>
  <c r="Z22" i="90"/>
  <c r="Y22" i="90"/>
  <c r="U22" i="90"/>
  <c r="AD22" i="90" s="1"/>
  <c r="K22" i="90"/>
  <c r="E22" i="90"/>
  <c r="AN21" i="90"/>
  <c r="M21" i="90" s="1"/>
  <c r="Z21" i="90"/>
  <c r="Y21" i="90"/>
  <c r="U21" i="90"/>
  <c r="AJ21" i="90" s="1"/>
  <c r="K21" i="90"/>
  <c r="AH21" i="90" s="1"/>
  <c r="E21" i="90"/>
  <c r="AN20" i="90"/>
  <c r="M20" i="90" s="1"/>
  <c r="Z20" i="90"/>
  <c r="Y20" i="90"/>
  <c r="U20" i="90"/>
  <c r="AJ20" i="90" s="1"/>
  <c r="K20" i="90"/>
  <c r="E20" i="90"/>
  <c r="AN19" i="90"/>
  <c r="M19" i="90" s="1"/>
  <c r="O19" i="90" s="1"/>
  <c r="Z19" i="90"/>
  <c r="AA19" i="90" s="1"/>
  <c r="U19" i="90"/>
  <c r="K19" i="90"/>
  <c r="E19" i="90"/>
  <c r="AN18" i="90"/>
  <c r="M18" i="90" s="1"/>
  <c r="O18" i="90" s="1"/>
  <c r="AC18" i="90"/>
  <c r="Y18" i="90"/>
  <c r="AA18" i="90" s="1"/>
  <c r="U18" i="90"/>
  <c r="K18" i="90"/>
  <c r="E18" i="90"/>
  <c r="AN17" i="90"/>
  <c r="M17" i="90" s="1"/>
  <c r="N17" i="90" s="1"/>
  <c r="O17" i="90" s="1"/>
  <c r="Z17" i="90"/>
  <c r="Y17" i="90"/>
  <c r="U17" i="90"/>
  <c r="AJ17" i="90" s="1"/>
  <c r="K17" i="90"/>
  <c r="E17" i="90"/>
  <c r="AN16" i="90"/>
  <c r="M16" i="90" s="1"/>
  <c r="Z16" i="90"/>
  <c r="Y16" i="90"/>
  <c r="U16" i="90"/>
  <c r="K16" i="90"/>
  <c r="AH16" i="90" s="1"/>
  <c r="E16" i="90"/>
  <c r="AN15" i="90"/>
  <c r="M15" i="90" s="1"/>
  <c r="Z15" i="90"/>
  <c r="Y15" i="90"/>
  <c r="U15" i="90"/>
  <c r="AJ15" i="90" s="1"/>
  <c r="K15" i="90"/>
  <c r="E15" i="90"/>
  <c r="AN14" i="90"/>
  <c r="M14" i="90" s="1"/>
  <c r="O14" i="90" s="1"/>
  <c r="Z14" i="90"/>
  <c r="AE14" i="90" s="1"/>
  <c r="U14" i="90"/>
  <c r="K14" i="90"/>
  <c r="AH14" i="90" s="1"/>
  <c r="E14" i="90"/>
  <c r="AN13" i="90"/>
  <c r="M13" i="90" s="1"/>
  <c r="Z13" i="90"/>
  <c r="Y13" i="90"/>
  <c r="U13" i="90"/>
  <c r="AD13" i="90" s="1"/>
  <c r="K13" i="90"/>
  <c r="AH13" i="90" s="1"/>
  <c r="E13" i="90"/>
  <c r="AN12" i="90"/>
  <c r="M12" i="90" s="1"/>
  <c r="O12" i="90" s="1"/>
  <c r="Z12" i="90"/>
  <c r="AA12" i="90" s="1"/>
  <c r="U12" i="90"/>
  <c r="AJ12" i="90" s="1"/>
  <c r="K12" i="90"/>
  <c r="AH12" i="90" s="1"/>
  <c r="E12" i="90"/>
  <c r="BB18" i="90"/>
  <c r="AW18" i="90"/>
  <c r="AN11" i="90"/>
  <c r="M11" i="90" s="1"/>
  <c r="O11" i="90" s="1"/>
  <c r="Z11" i="90"/>
  <c r="AE11" i="90" s="1"/>
  <c r="U11" i="90"/>
  <c r="AJ11" i="90" s="1"/>
  <c r="K11" i="90"/>
  <c r="AI11" i="90" s="1"/>
  <c r="E11" i="90"/>
  <c r="BB17" i="90"/>
  <c r="AW17" i="90"/>
  <c r="AN10" i="90"/>
  <c r="M10" i="90" s="1"/>
  <c r="N10" i="90" s="1"/>
  <c r="AE10" i="90"/>
  <c r="AA10" i="90"/>
  <c r="U10" i="90"/>
  <c r="AJ10" i="90" s="1"/>
  <c r="K10" i="90"/>
  <c r="E10" i="90"/>
  <c r="BB16" i="90"/>
  <c r="AW16" i="90"/>
  <c r="AN9" i="90"/>
  <c r="M9" i="90" s="1"/>
  <c r="N9" i="90" s="1"/>
  <c r="Z9" i="90"/>
  <c r="Y9" i="90"/>
  <c r="U9" i="90"/>
  <c r="AD9" i="90" s="1"/>
  <c r="K9" i="90"/>
  <c r="AH9" i="90" s="1"/>
  <c r="E9" i="90"/>
  <c r="BB15" i="90"/>
  <c r="AW15" i="90"/>
  <c r="AN8" i="90"/>
  <c r="M8" i="90" s="1"/>
  <c r="Z8" i="90"/>
  <c r="Y8" i="90"/>
  <c r="U8" i="90"/>
  <c r="K8" i="90"/>
  <c r="AH8" i="90" s="1"/>
  <c r="E8" i="90"/>
  <c r="BB14" i="90"/>
  <c r="AW14" i="90"/>
  <c r="BB13" i="90"/>
  <c r="AW13" i="90"/>
  <c r="AN7" i="90"/>
  <c r="M7" i="90" s="1"/>
  <c r="N7" i="90" s="1"/>
  <c r="O7" i="90" s="1"/>
  <c r="Z7" i="90"/>
  <c r="Y7" i="90"/>
  <c r="U7" i="90"/>
  <c r="K7" i="90"/>
  <c r="AI7" i="90" s="1"/>
  <c r="E7" i="90"/>
  <c r="AN6" i="90"/>
  <c r="M6" i="90" s="1"/>
  <c r="N6" i="90" s="1"/>
  <c r="Z6" i="90"/>
  <c r="Y6" i="90"/>
  <c r="U6" i="90"/>
  <c r="AJ6" i="90" s="1"/>
  <c r="K6" i="90"/>
  <c r="AH6" i="90" s="1"/>
  <c r="E6" i="90"/>
  <c r="AN5" i="90"/>
  <c r="M5" i="90" s="1"/>
  <c r="N5" i="90" s="1"/>
  <c r="Z5" i="90"/>
  <c r="Y5" i="90"/>
  <c r="U5" i="90"/>
  <c r="AD5" i="90" s="1"/>
  <c r="K5" i="90"/>
  <c r="E5" i="90"/>
  <c r="I2" i="90"/>
  <c r="AA113" i="90" l="1"/>
  <c r="AE25" i="90"/>
  <c r="AE6" i="90"/>
  <c r="AA114" i="90"/>
  <c r="AA115" i="90"/>
  <c r="AE84" i="90"/>
  <c r="AE99" i="90"/>
  <c r="AF14" i="90"/>
  <c r="O29" i="90"/>
  <c r="AF29" i="90" s="1"/>
  <c r="O38" i="90"/>
  <c r="S38" i="90" s="1"/>
  <c r="AC38" i="90" s="1"/>
  <c r="O101" i="90"/>
  <c r="S101" i="90" s="1"/>
  <c r="AC101" i="90" s="1"/>
  <c r="AA21" i="90"/>
  <c r="AA28" i="90"/>
  <c r="AA88" i="90"/>
  <c r="O108" i="90"/>
  <c r="S108" i="90" s="1"/>
  <c r="AC108" i="90" s="1"/>
  <c r="O10" i="90"/>
  <c r="AF10" i="90" s="1"/>
  <c r="AA8" i="90"/>
  <c r="AE87" i="90"/>
  <c r="AE23" i="90"/>
  <c r="AE30" i="90"/>
  <c r="AF53" i="90"/>
  <c r="AJ35" i="90"/>
  <c r="AI35" i="90"/>
  <c r="AE97" i="90"/>
  <c r="AH75" i="90"/>
  <c r="AE82" i="90"/>
  <c r="AA104" i="90"/>
  <c r="AE33" i="90"/>
  <c r="AJ99" i="90"/>
  <c r="AI100" i="90"/>
  <c r="AA5" i="90"/>
  <c r="AE20" i="90"/>
  <c r="AD65" i="90"/>
  <c r="AH27" i="90"/>
  <c r="AH65" i="90"/>
  <c r="AJ83" i="90"/>
  <c r="AK75" i="90"/>
  <c r="AJ27" i="90"/>
  <c r="AA86" i="90"/>
  <c r="AH51" i="90"/>
  <c r="AJ86" i="90"/>
  <c r="AK51" i="90"/>
  <c r="AA64" i="90"/>
  <c r="AM16" i="90"/>
  <c r="AI111" i="90"/>
  <c r="AH64" i="90"/>
  <c r="AH109" i="90"/>
  <c r="AE116" i="90"/>
  <c r="AI33" i="90"/>
  <c r="AJ63" i="90"/>
  <c r="AJ75" i="90"/>
  <c r="AF25" i="90"/>
  <c r="AI104" i="90"/>
  <c r="AD111" i="90"/>
  <c r="AD64" i="90"/>
  <c r="AH66" i="90"/>
  <c r="AJ84" i="90"/>
  <c r="AJ104" i="90"/>
  <c r="AH59" i="90"/>
  <c r="AH11" i="90"/>
  <c r="AI12" i="90"/>
  <c r="AE12" i="90"/>
  <c r="AA51" i="90"/>
  <c r="AB51" i="90" s="1"/>
  <c r="AM51" i="90" s="1"/>
  <c r="AE57" i="90"/>
  <c r="AJ73" i="90"/>
  <c r="AH117" i="90"/>
  <c r="AD21" i="90"/>
  <c r="AD23" i="90"/>
  <c r="S25" i="90"/>
  <c r="AC25" i="90" s="1"/>
  <c r="AE28" i="90"/>
  <c r="O32" i="90"/>
  <c r="AF32" i="90" s="1"/>
  <c r="AH42" i="90"/>
  <c r="AH53" i="90"/>
  <c r="AH72" i="90"/>
  <c r="AD78" i="90"/>
  <c r="AJ80" i="90"/>
  <c r="O87" i="90"/>
  <c r="S87" i="90" s="1"/>
  <c r="AC87" i="90" s="1"/>
  <c r="AI21" i="90"/>
  <c r="AJ28" i="90"/>
  <c r="AJ49" i="90"/>
  <c r="AA94" i="90"/>
  <c r="AE115" i="90"/>
  <c r="AD6" i="90"/>
  <c r="AH23" i="90"/>
  <c r="AD34" i="90"/>
  <c r="AH40" i="90"/>
  <c r="AK49" i="90"/>
  <c r="AJ72" i="90"/>
  <c r="AD96" i="90"/>
  <c r="AH60" i="90"/>
  <c r="AD113" i="90"/>
  <c r="AA84" i="90"/>
  <c r="AE42" i="90"/>
  <c r="AE80" i="90"/>
  <c r="AD54" i="90"/>
  <c r="AD56" i="90"/>
  <c r="AH90" i="90"/>
  <c r="AI14" i="90"/>
  <c r="AI37" i="90"/>
  <c r="AH54" i="90"/>
  <c r="AE77" i="90"/>
  <c r="AE104" i="90"/>
  <c r="AE114" i="90"/>
  <c r="AE66" i="90"/>
  <c r="O95" i="90"/>
  <c r="AK95" i="90" s="1"/>
  <c r="AJ45" i="90"/>
  <c r="AE79" i="90"/>
  <c r="AA35" i="90"/>
  <c r="AD77" i="90"/>
  <c r="AJ79" i="90"/>
  <c r="AH101" i="90"/>
  <c r="AE13" i="90"/>
  <c r="O31" i="90"/>
  <c r="AF31" i="90" s="1"/>
  <c r="AH88" i="90"/>
  <c r="AA111" i="90"/>
  <c r="N107" i="90"/>
  <c r="O107" i="90" s="1"/>
  <c r="AK12" i="90"/>
  <c r="AF12" i="90"/>
  <c r="AJ53" i="90"/>
  <c r="AD53" i="90"/>
  <c r="AE68" i="90"/>
  <c r="AE18" i="90"/>
  <c r="AA30" i="90"/>
  <c r="AJ55" i="90"/>
  <c r="AD55" i="90"/>
  <c r="AD66" i="90"/>
  <c r="AI110" i="90"/>
  <c r="AH110" i="90"/>
  <c r="AD30" i="90"/>
  <c r="AI17" i="90"/>
  <c r="AH17" i="90"/>
  <c r="AI25" i="90"/>
  <c r="AH25" i="90"/>
  <c r="AK25" i="90"/>
  <c r="N30" i="90"/>
  <c r="O30" i="90" s="1"/>
  <c r="AH48" i="90"/>
  <c r="AI48" i="90"/>
  <c r="AA14" i="90"/>
  <c r="AE15" i="90"/>
  <c r="AA15" i="90"/>
  <c r="AI103" i="90"/>
  <c r="AH103" i="90"/>
  <c r="AD50" i="90"/>
  <c r="S14" i="90"/>
  <c r="AC14" i="90" s="1"/>
  <c r="AK14" i="90"/>
  <c r="AI18" i="90"/>
  <c r="AH18" i="90"/>
  <c r="AA61" i="90"/>
  <c r="AE61" i="90"/>
  <c r="AD20" i="90"/>
  <c r="AI34" i="90"/>
  <c r="AH34" i="90"/>
  <c r="AH98" i="90"/>
  <c r="AX13" i="90" a="1"/>
  <c r="AX13" i="90" s="1"/>
  <c r="BA13" i="90" s="1"/>
  <c r="AD18" i="90"/>
  <c r="AJ18" i="90"/>
  <c r="AD59" i="90"/>
  <c r="AJ68" i="90"/>
  <c r="AD68" i="90"/>
  <c r="AD32" i="90"/>
  <c r="AJ32" i="90"/>
  <c r="AI97" i="90"/>
  <c r="AH97" i="90"/>
  <c r="AJ26" i="90"/>
  <c r="AD26" i="90"/>
  <c r="AJ102" i="90"/>
  <c r="AD102" i="90"/>
  <c r="AA53" i="90"/>
  <c r="AJ100" i="90"/>
  <c r="AD100" i="90"/>
  <c r="N40" i="90"/>
  <c r="O40" i="90" s="1"/>
  <c r="AF40" i="90" s="1"/>
  <c r="AH91" i="90"/>
  <c r="AI91" i="90"/>
  <c r="O110" i="90"/>
  <c r="AF110" i="90" s="1"/>
  <c r="AI115" i="90"/>
  <c r="AK115" i="90"/>
  <c r="O37" i="90"/>
  <c r="AF37" i="90" s="1"/>
  <c r="AI52" i="90"/>
  <c r="AH52" i="90"/>
  <c r="N66" i="90"/>
  <c r="O66" i="90" s="1"/>
  <c r="AF66" i="90" s="1"/>
  <c r="AJ115" i="90"/>
  <c r="AD115" i="90"/>
  <c r="AH28" i="90"/>
  <c r="N99" i="90"/>
  <c r="O99" i="90" s="1"/>
  <c r="AK99" i="90" s="1"/>
  <c r="AD8" i="90"/>
  <c r="AJ8" i="90"/>
  <c r="AI22" i="90"/>
  <c r="AH22" i="90"/>
  <c r="AI28" i="90"/>
  <c r="AA37" i="90"/>
  <c r="AE37" i="90"/>
  <c r="AI83" i="90"/>
  <c r="AH83" i="90"/>
  <c r="AA6" i="90"/>
  <c r="AD12" i="90"/>
  <c r="AD39" i="90"/>
  <c r="AJ39" i="90"/>
  <c r="AD48" i="90"/>
  <c r="AJ48" i="90"/>
  <c r="AI63" i="90"/>
  <c r="AD98" i="90"/>
  <c r="AJ98" i="90"/>
  <c r="N28" i="90"/>
  <c r="O28" i="90" s="1"/>
  <c r="AI61" i="90"/>
  <c r="AH61" i="90"/>
  <c r="AH115" i="90"/>
  <c r="N72" i="90"/>
  <c r="O72" i="90" s="1"/>
  <c r="AF72" i="90" s="1"/>
  <c r="AH79" i="90"/>
  <c r="AI79" i="90"/>
  <c r="AE113" i="90"/>
  <c r="AE44" i="90"/>
  <c r="AJ71" i="90"/>
  <c r="AD71" i="90"/>
  <c r="AD76" i="90"/>
  <c r="AJ76" i="90"/>
  <c r="AD15" i="90"/>
  <c r="AE17" i="90"/>
  <c r="AD25" i="90"/>
  <c r="AI39" i="90"/>
  <c r="AJ44" i="90"/>
  <c r="AI69" i="90"/>
  <c r="AH69" i="90"/>
  <c r="AH74" i="90"/>
  <c r="AD91" i="90"/>
  <c r="AH93" i="90"/>
  <c r="AJ103" i="90"/>
  <c r="AD17" i="90"/>
  <c r="AE36" i="90"/>
  <c r="AA41" i="90"/>
  <c r="AK78" i="90"/>
  <c r="O83" i="90"/>
  <c r="AF83" i="90" s="1"/>
  <c r="AA87" i="90"/>
  <c r="AA105" i="90"/>
  <c r="AJ5" i="90"/>
  <c r="AJ13" i="90"/>
  <c r="AH24" i="90"/>
  <c r="AH31" i="90"/>
  <c r="N36" i="90"/>
  <c r="O36" i="90" s="1"/>
  <c r="AI41" i="90"/>
  <c r="AH62" i="90"/>
  <c r="AD82" i="90"/>
  <c r="AJ97" i="90"/>
  <c r="AJ108" i="90"/>
  <c r="AJ109" i="90"/>
  <c r="AJ112" i="90"/>
  <c r="AK24" i="90"/>
  <c r="AJ41" i="90"/>
  <c r="AH47" i="90"/>
  <c r="AJ60" i="90"/>
  <c r="AE67" i="90"/>
  <c r="AA80" i="90"/>
  <c r="AK11" i="90"/>
  <c r="AE19" i="90"/>
  <c r="AE94" i="90"/>
  <c r="AE63" i="90"/>
  <c r="AA63" i="90"/>
  <c r="AE107" i="90"/>
  <c r="AA82" i="90"/>
  <c r="AJ89" i="90"/>
  <c r="AD105" i="90"/>
  <c r="AD106" i="90"/>
  <c r="AE108" i="90"/>
  <c r="AE112" i="90"/>
  <c r="AI78" i="90"/>
  <c r="AA13" i="90"/>
  <c r="AH36" i="90"/>
  <c r="AE60" i="90"/>
  <c r="AA62" i="90"/>
  <c r="AE5" i="90"/>
  <c r="AD24" i="90"/>
  <c r="AE58" i="90"/>
  <c r="AD67" i="90"/>
  <c r="AJ67" i="90"/>
  <c r="AI84" i="90"/>
  <c r="AH84" i="90"/>
  <c r="AI105" i="90"/>
  <c r="AK58" i="90"/>
  <c r="AE7" i="90"/>
  <c r="AA23" i="90"/>
  <c r="AA97" i="90"/>
  <c r="AK42" i="90"/>
  <c r="AF42" i="90"/>
  <c r="S42" i="90"/>
  <c r="AC42" i="90" s="1"/>
  <c r="S17" i="90"/>
  <c r="AC17" i="90" s="1"/>
  <c r="AF17" i="90"/>
  <c r="AK17" i="90"/>
  <c r="AF84" i="90"/>
  <c r="S84" i="90"/>
  <c r="AC84" i="90" s="1"/>
  <c r="AK84" i="90"/>
  <c r="AF7" i="90"/>
  <c r="S7" i="90"/>
  <c r="AC7" i="90" s="1"/>
  <c r="AH45" i="90"/>
  <c r="N82" i="90"/>
  <c r="O82" i="90" s="1"/>
  <c r="AK82" i="90" s="1"/>
  <c r="N46" i="90"/>
  <c r="O46" i="90" s="1"/>
  <c r="AD7" i="90"/>
  <c r="AJ7" i="90"/>
  <c r="AI44" i="90"/>
  <c r="AH44" i="90"/>
  <c r="AE47" i="90"/>
  <c r="AA47" i="90"/>
  <c r="AK52" i="90"/>
  <c r="AE32" i="90"/>
  <c r="AA32" i="90"/>
  <c r="O5" i="90"/>
  <c r="AK5" i="90" s="1"/>
  <c r="AH19" i="90"/>
  <c r="AK19" i="90"/>
  <c r="AI19" i="90"/>
  <c r="AI86" i="90"/>
  <c r="AH86" i="90"/>
  <c r="AK86" i="90"/>
  <c r="AF89" i="90"/>
  <c r="S89" i="90"/>
  <c r="AC89" i="90" s="1"/>
  <c r="N97" i="90"/>
  <c r="O97" i="90" s="1"/>
  <c r="AH113" i="90"/>
  <c r="AI113" i="90"/>
  <c r="N26" i="90"/>
  <c r="O26" i="90" s="1"/>
  <c r="AD58" i="90"/>
  <c r="AJ58" i="90"/>
  <c r="AJ107" i="90"/>
  <c r="AD107" i="90"/>
  <c r="S11" i="90"/>
  <c r="AC11" i="90" s="1"/>
  <c r="AF11" i="90"/>
  <c r="AA22" i="90"/>
  <c r="AE22" i="90"/>
  <c r="N44" i="90"/>
  <c r="O44" i="90" s="1"/>
  <c r="AA7" i="90"/>
  <c r="N67" i="90"/>
  <c r="O67" i="90" s="1"/>
  <c r="AE71" i="90"/>
  <c r="AI80" i="90"/>
  <c r="AH80" i="90"/>
  <c r="AW29" i="90"/>
  <c r="AY29" i="90" s="1"/>
  <c r="BA29" i="90" s="1"/>
  <c r="AI106" i="90"/>
  <c r="AH106" i="90"/>
  <c r="AH5" i="90"/>
  <c r="AJ22" i="90"/>
  <c r="AK27" i="90"/>
  <c r="AF76" i="90"/>
  <c r="S76" i="90"/>
  <c r="AC76" i="90" s="1"/>
  <c r="N96" i="90"/>
  <c r="O96" i="90" s="1"/>
  <c r="AI5" i="90"/>
  <c r="AE9" i="90"/>
  <c r="AA9" i="90"/>
  <c r="AD11" i="90"/>
  <c r="AJ51" i="90"/>
  <c r="AD51" i="90"/>
  <c r="AF51" i="90"/>
  <c r="AF52" i="90"/>
  <c r="AH57" i="90"/>
  <c r="AI57" i="90"/>
  <c r="AH73" i="90"/>
  <c r="AE95" i="90"/>
  <c r="AA95" i="90"/>
  <c r="AJ38" i="90"/>
  <c r="AD38" i="90"/>
  <c r="AD90" i="90"/>
  <c r="AJ90" i="90"/>
  <c r="AA31" i="90"/>
  <c r="AF27" i="90"/>
  <c r="S27" i="90"/>
  <c r="AC27" i="90" s="1"/>
  <c r="N57" i="90"/>
  <c r="O57" i="90" s="1"/>
  <c r="AI71" i="90"/>
  <c r="AH71" i="90"/>
  <c r="AD101" i="90"/>
  <c r="AJ101" i="90"/>
  <c r="N35" i="90"/>
  <c r="O35" i="90" s="1"/>
  <c r="AJ42" i="90"/>
  <c r="AD42" i="90"/>
  <c r="AA81" i="90"/>
  <c r="AE81" i="90"/>
  <c r="AA101" i="90"/>
  <c r="N114" i="90"/>
  <c r="O114" i="90" s="1"/>
  <c r="N16" i="90"/>
  <c r="O16" i="90" s="1"/>
  <c r="N34" i="90"/>
  <c r="O34" i="90" s="1"/>
  <c r="N39" i="90"/>
  <c r="O39" i="90" s="1"/>
  <c r="AI45" i="90"/>
  <c r="AI13" i="90"/>
  <c r="AB18" i="90"/>
  <c r="AM18" i="90" s="1"/>
  <c r="AF18" i="90"/>
  <c r="AH58" i="90"/>
  <c r="AJ69" i="90"/>
  <c r="AK76" i="90"/>
  <c r="AH76" i="90"/>
  <c r="AI76" i="90"/>
  <c r="N80" i="90"/>
  <c r="O80" i="90" s="1"/>
  <c r="N104" i="90"/>
  <c r="O104" i="90" s="1"/>
  <c r="AI6" i="90"/>
  <c r="AA11" i="90"/>
  <c r="N13" i="90"/>
  <c r="O13" i="90" s="1"/>
  <c r="AF56" i="90"/>
  <c r="S56" i="90"/>
  <c r="AC56" i="90" s="1"/>
  <c r="N77" i="90"/>
  <c r="O77" i="90" s="1"/>
  <c r="AK77" i="90" s="1"/>
  <c r="AK89" i="90"/>
  <c r="K2" i="90"/>
  <c r="AD10" i="90"/>
  <c r="N15" i="90"/>
  <c r="O15" i="90" s="1"/>
  <c r="AH20" i="90"/>
  <c r="AI20" i="90"/>
  <c r="N33" i="90"/>
  <c r="O33" i="90" s="1"/>
  <c r="AJ46" i="90"/>
  <c r="AD46" i="90"/>
  <c r="O48" i="90"/>
  <c r="N61" i="90"/>
  <c r="O61" i="90" s="1"/>
  <c r="O73" i="90"/>
  <c r="AK73" i="90" s="1"/>
  <c r="N93" i="90"/>
  <c r="O93" i="90" s="1"/>
  <c r="AF109" i="90"/>
  <c r="AK109" i="90"/>
  <c r="AX14" i="90" a="1"/>
  <c r="AX14" i="90" s="1"/>
  <c r="AW32" i="90"/>
  <c r="AY32" i="90" s="1"/>
  <c r="BA32" i="90" s="1"/>
  <c r="AX18" i="90" a="1"/>
  <c r="AX18" i="90" s="1"/>
  <c r="AX17" i="90" a="1"/>
  <c r="AX17" i="90" s="1"/>
  <c r="AW12" i="90"/>
  <c r="AX12" i="90" s="1" a="1"/>
  <c r="AX12" i="90" s="1"/>
  <c r="AM7" i="90"/>
  <c r="AW30" i="90"/>
  <c r="AY30" i="90" s="1"/>
  <c r="BA30" i="90" s="1"/>
  <c r="AH7" i="90"/>
  <c r="AW10" i="90"/>
  <c r="AX10" i="90" s="1" a="1"/>
  <c r="AX10" i="90" s="1"/>
  <c r="AK7" i="90"/>
  <c r="AA38" i="90"/>
  <c r="AE38" i="90"/>
  <c r="AI50" i="90"/>
  <c r="AH50" i="90"/>
  <c r="AI77" i="90"/>
  <c r="S109" i="90"/>
  <c r="AC109" i="90" s="1"/>
  <c r="N45" i="90"/>
  <c r="O45" i="90" s="1"/>
  <c r="AH81" i="90"/>
  <c r="AI81" i="90"/>
  <c r="AA50" i="90"/>
  <c r="AE50" i="90"/>
  <c r="AK56" i="90"/>
  <c r="AI56" i="90"/>
  <c r="AH56" i="90"/>
  <c r="AE45" i="90"/>
  <c r="AA45" i="90"/>
  <c r="N60" i="90"/>
  <c r="O60" i="90" s="1"/>
  <c r="N71" i="90"/>
  <c r="O71" i="90" s="1"/>
  <c r="AD87" i="90"/>
  <c r="AD47" i="90"/>
  <c r="AJ47" i="90"/>
  <c r="AF58" i="90"/>
  <c r="S58" i="90"/>
  <c r="AC58" i="90" s="1"/>
  <c r="N100" i="90"/>
  <c r="O100" i="90" s="1"/>
  <c r="AJ37" i="90"/>
  <c r="AD37" i="90"/>
  <c r="N59" i="90"/>
  <c r="O59" i="90" s="1"/>
  <c r="AK59" i="90" s="1"/>
  <c r="AJ81" i="90"/>
  <c r="AF86" i="90"/>
  <c r="S86" i="90"/>
  <c r="AC86" i="90" s="1"/>
  <c r="AJ93" i="90"/>
  <c r="AD93" i="90"/>
  <c r="S52" i="90"/>
  <c r="AC52" i="90" s="1"/>
  <c r="AE93" i="90"/>
  <c r="AA93" i="90"/>
  <c r="N98" i="90"/>
  <c r="O98" i="90" s="1"/>
  <c r="O9" i="90"/>
  <c r="AD36" i="90"/>
  <c r="AF19" i="90"/>
  <c r="S19" i="90"/>
  <c r="AC19" i="90" s="1"/>
  <c r="AI58" i="90"/>
  <c r="AD95" i="90"/>
  <c r="AJ95" i="90"/>
  <c r="AI9" i="90"/>
  <c r="AE21" i="90"/>
  <c r="AA46" i="90"/>
  <c r="AE46" i="90"/>
  <c r="N65" i="90"/>
  <c r="O65" i="90" s="1"/>
  <c r="AA78" i="90"/>
  <c r="AE78" i="90"/>
  <c r="O90" i="90"/>
  <c r="N91" i="90"/>
  <c r="O91" i="90" s="1"/>
  <c r="AJ9" i="90"/>
  <c r="AI16" i="90"/>
  <c r="AD31" i="90"/>
  <c r="AJ31" i="90"/>
  <c r="AJ36" i="90"/>
  <c r="S49" i="90"/>
  <c r="AC49" i="90" s="1"/>
  <c r="AF49" i="90"/>
  <c r="AE59" i="90"/>
  <c r="AA59" i="90"/>
  <c r="AJ85" i="90"/>
  <c r="AD85" i="90"/>
  <c r="AH94" i="90"/>
  <c r="AI94" i="90"/>
  <c r="O102" i="90"/>
  <c r="AK102" i="90" s="1"/>
  <c r="AE110" i="90"/>
  <c r="AA110" i="90"/>
  <c r="N111" i="90"/>
  <c r="O111" i="90" s="1"/>
  <c r="AX15" i="90" a="1"/>
  <c r="AX15" i="90" s="1"/>
  <c r="N64" i="90"/>
  <c r="O64" i="90" s="1"/>
  <c r="AX16" i="90" a="1"/>
  <c r="AX16" i="90" s="1"/>
  <c r="N21" i="90"/>
  <c r="O21" i="90" s="1"/>
  <c r="AH43" i="90"/>
  <c r="AK43" i="90"/>
  <c r="AI43" i="90"/>
  <c r="AK54" i="90"/>
  <c r="S54" i="90"/>
  <c r="AC54" i="90" s="1"/>
  <c r="AF54" i="90"/>
  <c r="AD57" i="90"/>
  <c r="AJ57" i="90"/>
  <c r="AA106" i="90"/>
  <c r="AE106" i="90"/>
  <c r="AA117" i="90"/>
  <c r="AE117" i="90"/>
  <c r="O94" i="90"/>
  <c r="AJ117" i="90"/>
  <c r="AD117" i="90"/>
  <c r="AW31" i="90"/>
  <c r="AY31" i="90" s="1"/>
  <c r="BA31" i="90" s="1"/>
  <c r="AW11" i="90"/>
  <c r="AX11" i="90" s="1" a="1"/>
  <c r="AX11" i="90" s="1"/>
  <c r="AI8" i="90"/>
  <c r="N8" i="90"/>
  <c r="O8" i="90" s="1"/>
  <c r="AI15" i="90"/>
  <c r="AH15" i="90"/>
  <c r="AA27" i="90"/>
  <c r="AE27" i="90"/>
  <c r="AA29" i="90"/>
  <c r="AH46" i="90"/>
  <c r="AI46" i="90"/>
  <c r="AI49" i="90"/>
  <c r="AH49" i="90"/>
  <c r="AK53" i="90"/>
  <c r="AD70" i="90"/>
  <c r="AJ70" i="90"/>
  <c r="AD94" i="90"/>
  <c r="AJ94" i="90"/>
  <c r="AA112" i="90"/>
  <c r="AH114" i="90"/>
  <c r="AI114" i="90"/>
  <c r="N103" i="90"/>
  <c r="O103" i="90" s="1"/>
  <c r="AJ29" i="90"/>
  <c r="AD29" i="90"/>
  <c r="AF43" i="90"/>
  <c r="S43" i="90"/>
  <c r="AC43" i="90" s="1"/>
  <c r="AJ43" i="90"/>
  <c r="AD43" i="90"/>
  <c r="S53" i="90"/>
  <c r="AC53" i="90" s="1"/>
  <c r="O55" i="90"/>
  <c r="AK55" i="90" s="1"/>
  <c r="N62" i="90"/>
  <c r="O62" i="90" s="1"/>
  <c r="AJ74" i="90"/>
  <c r="AD74" i="90"/>
  <c r="AE26" i="90"/>
  <c r="AA26" i="90"/>
  <c r="AA43" i="90"/>
  <c r="AE43" i="90"/>
  <c r="N47" i="90"/>
  <c r="O47" i="90" s="1"/>
  <c r="AA60" i="90"/>
  <c r="AD61" i="90"/>
  <c r="AA65" i="90"/>
  <c r="N68" i="90"/>
  <c r="O68" i="90" s="1"/>
  <c r="AH70" i="90"/>
  <c r="AA74" i="90"/>
  <c r="AE74" i="90"/>
  <c r="AF78" i="90"/>
  <c r="S78" i="90"/>
  <c r="AC78" i="90" s="1"/>
  <c r="N112" i="90"/>
  <c r="O112" i="90" s="1"/>
  <c r="AK112" i="90" s="1"/>
  <c r="AD114" i="90"/>
  <c r="AJ114" i="90"/>
  <c r="S117" i="90"/>
  <c r="AC117" i="90" s="1"/>
  <c r="AF117" i="90"/>
  <c r="AE73" i="90"/>
  <c r="AA73" i="90"/>
  <c r="AI116" i="90"/>
  <c r="AH116" i="90"/>
  <c r="N20" i="90"/>
  <c r="O20" i="90" s="1"/>
  <c r="AK20" i="90" s="1"/>
  <c r="N23" i="90"/>
  <c r="O23" i="90" s="1"/>
  <c r="AA44" i="90"/>
  <c r="AA70" i="90"/>
  <c r="N79" i="90"/>
  <c r="O79" i="90" s="1"/>
  <c r="N85" i="90"/>
  <c r="O85" i="90" s="1"/>
  <c r="AK85" i="90" s="1"/>
  <c r="AH102" i="90"/>
  <c r="N113" i="90"/>
  <c r="O113" i="90" s="1"/>
  <c r="AE85" i="90"/>
  <c r="AA85" i="90"/>
  <c r="AF24" i="90"/>
  <c r="S24" i="90"/>
  <c r="AA69" i="90"/>
  <c r="AE69" i="90"/>
  <c r="AE83" i="90"/>
  <c r="AA83" i="90"/>
  <c r="O88" i="90"/>
  <c r="AH10" i="90"/>
  <c r="AI10" i="90"/>
  <c r="AM10" i="90"/>
  <c r="S12" i="90"/>
  <c r="AC12" i="90" s="1"/>
  <c r="AA48" i="90"/>
  <c r="AE48" i="90"/>
  <c r="AA100" i="90"/>
  <c r="AE100" i="90"/>
  <c r="N105" i="90"/>
  <c r="O105" i="90" s="1"/>
  <c r="AI107" i="90"/>
  <c r="AM107" i="90"/>
  <c r="AH107" i="90"/>
  <c r="AH112" i="90"/>
  <c r="AI112" i="90"/>
  <c r="AJ14" i="90"/>
  <c r="AD14" i="90"/>
  <c r="AA17" i="90"/>
  <c r="N22" i="90"/>
  <c r="O22" i="90" s="1"/>
  <c r="AI32" i="90"/>
  <c r="AH55" i="90"/>
  <c r="AI55" i="90"/>
  <c r="O63" i="90"/>
  <c r="N70" i="90"/>
  <c r="O70" i="90" s="1"/>
  <c r="AJ88" i="90"/>
  <c r="AD88" i="90"/>
  <c r="AJ92" i="90"/>
  <c r="AD92" i="90"/>
  <c r="AH95" i="90"/>
  <c r="AI99" i="90"/>
  <c r="AH99" i="90"/>
  <c r="AE103" i="90"/>
  <c r="AA103" i="90"/>
  <c r="N81" i="90"/>
  <c r="O81" i="90" s="1"/>
  <c r="AI92" i="90"/>
  <c r="AH92" i="90"/>
  <c r="AA96" i="90"/>
  <c r="AE96" i="90"/>
  <c r="AA102" i="90"/>
  <c r="AE102" i="90"/>
  <c r="O6" i="90"/>
  <c r="AD16" i="90"/>
  <c r="AJ16" i="90"/>
  <c r="AA24" i="90"/>
  <c r="AH30" i="90"/>
  <c r="AI30" i="90"/>
  <c r="N50" i="90"/>
  <c r="O50" i="90" s="1"/>
  <c r="N74" i="90"/>
  <c r="O74" i="90" s="1"/>
  <c r="AA75" i="90"/>
  <c r="AB75" i="90" s="1"/>
  <c r="AM75" i="90" s="1"/>
  <c r="AI87" i="90"/>
  <c r="AH87" i="90"/>
  <c r="AI89" i="90"/>
  <c r="AI102" i="90"/>
  <c r="AA108" i="90"/>
  <c r="AE16" i="90"/>
  <c r="AA16" i="90"/>
  <c r="AJ110" i="90"/>
  <c r="AD110" i="90"/>
  <c r="AI29" i="90"/>
  <c r="AH29" i="90"/>
  <c r="AJ33" i="90"/>
  <c r="AD33" i="90"/>
  <c r="AJ52" i="90"/>
  <c r="AD52" i="90"/>
  <c r="AI108" i="90"/>
  <c r="AH108" i="90"/>
  <c r="AE109" i="90"/>
  <c r="AA109" i="90"/>
  <c r="AE8" i="90"/>
  <c r="AI38" i="90"/>
  <c r="AH38" i="90"/>
  <c r="AI67" i="90"/>
  <c r="AI68" i="90"/>
  <c r="AH68" i="90"/>
  <c r="N69" i="90"/>
  <c r="O69" i="90" s="1"/>
  <c r="AE72" i="90"/>
  <c r="AA72" i="90"/>
  <c r="AH96" i="90"/>
  <c r="AI96" i="90"/>
  <c r="AJ19" i="90"/>
  <c r="AD19" i="90"/>
  <c r="AE34" i="90"/>
  <c r="AA34" i="90"/>
  <c r="O41" i="90"/>
  <c r="AF75" i="90"/>
  <c r="AG75" i="90" s="1"/>
  <c r="AE76" i="90"/>
  <c r="AA76" i="90"/>
  <c r="AA98" i="90"/>
  <c r="AE98" i="90"/>
  <c r="AA99" i="90"/>
  <c r="AW9" i="90"/>
  <c r="AA20" i="90"/>
  <c r="AA25" i="90"/>
  <c r="AI26" i="90"/>
  <c r="AJ40" i="90"/>
  <c r="AD40" i="90"/>
  <c r="AI82" i="90"/>
  <c r="AH82" i="90"/>
  <c r="AE88" i="90"/>
  <c r="AA49" i="90"/>
  <c r="AE49" i="90"/>
  <c r="AK18" i="90"/>
  <c r="AA58" i="90"/>
  <c r="AJ62" i="90"/>
  <c r="AD62" i="90"/>
  <c r="N92" i="90"/>
  <c r="O92" i="90" s="1"/>
  <c r="AD116" i="90"/>
  <c r="AJ116" i="90"/>
  <c r="AE105" i="90"/>
  <c r="S115" i="90"/>
  <c r="AF115" i="90"/>
  <c r="AA116" i="90"/>
  <c r="AE86" i="90"/>
  <c r="N106" i="90"/>
  <c r="O106" i="90" s="1"/>
  <c r="AA107" i="90"/>
  <c r="N116" i="90"/>
  <c r="O116" i="90" s="1"/>
  <c r="AE111" i="90"/>
  <c r="AK117" i="90"/>
  <c r="AI85" i="90"/>
  <c r="AK101" i="90" l="1"/>
  <c r="AF101" i="90"/>
  <c r="AB29" i="90"/>
  <c r="AM29" i="90" s="1"/>
  <c r="AG29" i="90"/>
  <c r="AK29" i="90"/>
  <c r="AK38" i="90"/>
  <c r="AB38" i="90"/>
  <c r="AM38" i="90" s="1"/>
  <c r="AB101" i="90"/>
  <c r="AM101" i="90" s="1"/>
  <c r="AF38" i="90"/>
  <c r="AG38" i="90" s="1"/>
  <c r="AK108" i="90"/>
  <c r="AF108" i="90"/>
  <c r="AG108" i="90" s="1"/>
  <c r="S10" i="90"/>
  <c r="AC10" i="90" s="1"/>
  <c r="AG10" i="90" s="1"/>
  <c r="AK10" i="90"/>
  <c r="AB19" i="90"/>
  <c r="AM19" i="90" s="1"/>
  <c r="S83" i="90"/>
  <c r="AC83" i="90" s="1"/>
  <c r="AG83" i="90" s="1"/>
  <c r="AK37" i="90"/>
  <c r="AB12" i="90"/>
  <c r="AM12" i="90" s="1"/>
  <c r="AF87" i="90"/>
  <c r="AG87" i="90" s="1"/>
  <c r="AG25" i="90"/>
  <c r="AB25" i="90"/>
  <c r="AM25" i="90" s="1"/>
  <c r="AK31" i="90"/>
  <c r="S31" i="90"/>
  <c r="AC31" i="90" s="1"/>
  <c r="AG31" i="90" s="1"/>
  <c r="AG51" i="90"/>
  <c r="AK32" i="90"/>
  <c r="AB17" i="90"/>
  <c r="AM17" i="90" s="1"/>
  <c r="S110" i="90"/>
  <c r="AC110" i="90" s="1"/>
  <c r="AG110" i="90" s="1"/>
  <c r="AK110" i="90"/>
  <c r="AB11" i="90"/>
  <c r="AM11" i="90" s="1"/>
  <c r="AB87" i="90"/>
  <c r="AM87" i="90" s="1"/>
  <c r="AK87" i="90"/>
  <c r="S40" i="90"/>
  <c r="AC40" i="90" s="1"/>
  <c r="AG40" i="90" s="1"/>
  <c r="AB32" i="90"/>
  <c r="AM32" i="90" s="1"/>
  <c r="AB109" i="90"/>
  <c r="AM109" i="90" s="1"/>
  <c r="AG101" i="90"/>
  <c r="AF95" i="90"/>
  <c r="AG95" i="90" s="1"/>
  <c r="AB53" i="90"/>
  <c r="AM53" i="90" s="1"/>
  <c r="AG56" i="90"/>
  <c r="AB78" i="90"/>
  <c r="AM78" i="90" s="1"/>
  <c r="AG53" i="90"/>
  <c r="AB95" i="90"/>
  <c r="AM95" i="90" s="1"/>
  <c r="AG84" i="90"/>
  <c r="AG18" i="90"/>
  <c r="AG89" i="90"/>
  <c r="S30" i="90"/>
  <c r="AC30" i="90" s="1"/>
  <c r="AF30" i="90"/>
  <c r="AK30" i="90"/>
  <c r="S28" i="90"/>
  <c r="AC28" i="90" s="1"/>
  <c r="AF28" i="90"/>
  <c r="AK28" i="90"/>
  <c r="S107" i="90"/>
  <c r="AC107" i="90" s="1"/>
  <c r="AF107" i="90"/>
  <c r="AK107" i="90"/>
  <c r="S36" i="90"/>
  <c r="AC36" i="90" s="1"/>
  <c r="AK36" i="90"/>
  <c r="AF36" i="90"/>
  <c r="AZ9" i="90" a="1"/>
  <c r="AZ9" i="90" s="1"/>
  <c r="AG52" i="90"/>
  <c r="S66" i="90"/>
  <c r="AK66" i="90"/>
  <c r="BB9" i="90"/>
  <c r="AK83" i="90"/>
  <c r="AB117" i="90"/>
  <c r="AM117" i="90" s="1"/>
  <c r="AB86" i="90"/>
  <c r="AM86" i="90" s="1"/>
  <c r="BB11" i="90"/>
  <c r="AI3" i="90"/>
  <c r="E1" i="90" s="1"/>
  <c r="AG7" i="90"/>
  <c r="AK72" i="90"/>
  <c r="S72" i="90"/>
  <c r="AC72" i="90" s="1"/>
  <c r="AG72" i="90" s="1"/>
  <c r="AG14" i="90"/>
  <c r="S37" i="90"/>
  <c r="AC37" i="90" s="1"/>
  <c r="AG37" i="90" s="1"/>
  <c r="AG32" i="90"/>
  <c r="AF99" i="90"/>
  <c r="AG99" i="90" s="1"/>
  <c r="AZ15" i="90" a="1"/>
  <c r="AZ15" i="90" s="1"/>
  <c r="AY15" i="90" s="1"/>
  <c r="AB14" i="90"/>
  <c r="AM14" i="90" s="1"/>
  <c r="P2" i="90"/>
  <c r="AZ11" i="90" a="1"/>
  <c r="AZ11" i="90" s="1"/>
  <c r="AY11" i="90" s="1"/>
  <c r="AG12" i="90"/>
  <c r="AK40" i="90"/>
  <c r="AB99" i="90"/>
  <c r="AM99" i="90" s="1"/>
  <c r="AB54" i="90"/>
  <c r="AM54" i="90" s="1"/>
  <c r="AG76" i="90"/>
  <c r="AF111" i="90"/>
  <c r="AK111" i="90"/>
  <c r="S111" i="90"/>
  <c r="AC111" i="90" s="1"/>
  <c r="S45" i="90"/>
  <c r="AC45" i="90" s="1"/>
  <c r="AF45" i="90"/>
  <c r="AK45" i="90"/>
  <c r="S21" i="90"/>
  <c r="AC21" i="90" s="1"/>
  <c r="AF21" i="90"/>
  <c r="AK21" i="90"/>
  <c r="AF97" i="90"/>
  <c r="AG97" i="90" s="1"/>
  <c r="AB97" i="90"/>
  <c r="AM97" i="90" s="1"/>
  <c r="AK97" i="90"/>
  <c r="AF44" i="90"/>
  <c r="S44" i="90"/>
  <c r="AC44" i="90" s="1"/>
  <c r="AK44" i="90"/>
  <c r="AF100" i="90"/>
  <c r="AG100" i="90" s="1"/>
  <c r="AB100" i="90"/>
  <c r="AM100" i="90" s="1"/>
  <c r="AK100" i="90"/>
  <c r="AF22" i="90"/>
  <c r="S22" i="90"/>
  <c r="AC22" i="90" s="1"/>
  <c r="AK22" i="90"/>
  <c r="S106" i="90"/>
  <c r="AC106" i="90" s="1"/>
  <c r="AF106" i="90"/>
  <c r="AK106" i="90"/>
  <c r="S50" i="90"/>
  <c r="AC50" i="90" s="1"/>
  <c r="AF50" i="90"/>
  <c r="AK50" i="90"/>
  <c r="AF70" i="90"/>
  <c r="S70" i="90"/>
  <c r="AC70" i="90" s="1"/>
  <c r="AK70" i="90"/>
  <c r="AF35" i="90"/>
  <c r="S35" i="90"/>
  <c r="AC35" i="90" s="1"/>
  <c r="AK35" i="90"/>
  <c r="S46" i="90"/>
  <c r="AC46" i="90" s="1"/>
  <c r="AF46" i="90"/>
  <c r="AK46" i="90"/>
  <c r="S103" i="90"/>
  <c r="AC103" i="90" s="1"/>
  <c r="AF103" i="90"/>
  <c r="AK103" i="90"/>
  <c r="S16" i="90"/>
  <c r="AC16" i="90" s="1"/>
  <c r="AF16" i="90"/>
  <c r="AK16" i="90"/>
  <c r="S81" i="90"/>
  <c r="AC81" i="90" s="1"/>
  <c r="AF81" i="90"/>
  <c r="AK81" i="90"/>
  <c r="AF23" i="90"/>
  <c r="S23" i="90"/>
  <c r="AC23" i="90" s="1"/>
  <c r="AK23" i="90"/>
  <c r="AF114" i="90"/>
  <c r="S114" i="90"/>
  <c r="AC114" i="90" s="1"/>
  <c r="AK114" i="90"/>
  <c r="S13" i="90"/>
  <c r="AC13" i="90" s="1"/>
  <c r="AF13" i="90"/>
  <c r="AK13" i="90"/>
  <c r="AF62" i="90"/>
  <c r="S62" i="90"/>
  <c r="AC62" i="90" s="1"/>
  <c r="AK62" i="90"/>
  <c r="AF113" i="90"/>
  <c r="S113" i="90"/>
  <c r="AC113" i="90" s="1"/>
  <c r="AK113" i="90"/>
  <c r="AF93" i="90"/>
  <c r="AG93" i="90" s="1"/>
  <c r="AB93" i="90"/>
  <c r="AM93" i="90" s="1"/>
  <c r="AK93" i="90"/>
  <c r="AF39" i="90"/>
  <c r="S39" i="90"/>
  <c r="AC39" i="90" s="1"/>
  <c r="AK39" i="90"/>
  <c r="S60" i="90"/>
  <c r="AC60" i="90" s="1"/>
  <c r="AF60" i="90"/>
  <c r="AK60" i="90"/>
  <c r="AF104" i="90"/>
  <c r="S104" i="90"/>
  <c r="AC104" i="90" s="1"/>
  <c r="AK104" i="90"/>
  <c r="AF65" i="90"/>
  <c r="S65" i="90"/>
  <c r="AC65" i="90" s="1"/>
  <c r="AK65" i="90"/>
  <c r="S34" i="90"/>
  <c r="AC34" i="90" s="1"/>
  <c r="AF34" i="90"/>
  <c r="AK34" i="90"/>
  <c r="AF96" i="90"/>
  <c r="AG96" i="90" s="1"/>
  <c r="AK96" i="90"/>
  <c r="AB96" i="90"/>
  <c r="AM96" i="90" s="1"/>
  <c r="S80" i="90"/>
  <c r="AC80" i="90" s="1"/>
  <c r="AF80" i="90"/>
  <c r="AK80" i="90"/>
  <c r="AK26" i="90"/>
  <c r="AF26" i="90"/>
  <c r="S26" i="90"/>
  <c r="AC26" i="90" s="1"/>
  <c r="AF47" i="90"/>
  <c r="S47" i="90"/>
  <c r="AC47" i="90" s="1"/>
  <c r="AK47" i="90"/>
  <c r="S91" i="90"/>
  <c r="AC91" i="90" s="1"/>
  <c r="AF91" i="90"/>
  <c r="AK91" i="90"/>
  <c r="S92" i="90"/>
  <c r="AC92" i="90" s="1"/>
  <c r="AK92" i="90"/>
  <c r="AF92" i="90"/>
  <c r="S116" i="90"/>
  <c r="AC116" i="90" s="1"/>
  <c r="AF116" i="90"/>
  <c r="AK116" i="90"/>
  <c r="S71" i="90"/>
  <c r="AC71" i="90" s="1"/>
  <c r="AF71" i="90"/>
  <c r="AK71" i="90"/>
  <c r="BA14" i="90"/>
  <c r="AB24" i="90"/>
  <c r="AM24" i="90" s="1"/>
  <c r="AC24" i="90"/>
  <c r="AG24" i="90" s="1"/>
  <c r="AG43" i="90"/>
  <c r="AF33" i="90"/>
  <c r="S33" i="90"/>
  <c r="AC33" i="90" s="1"/>
  <c r="AK33" i="90"/>
  <c r="AG17" i="90"/>
  <c r="S6" i="90"/>
  <c r="AC6" i="90" s="1"/>
  <c r="AF6" i="90"/>
  <c r="BA16" i="90"/>
  <c r="AZ18" i="90" a="1"/>
  <c r="AZ18" i="90" s="1"/>
  <c r="AY18" i="90" s="1"/>
  <c r="AF69" i="90"/>
  <c r="S69" i="90"/>
  <c r="AC69" i="90" s="1"/>
  <c r="AG42" i="90"/>
  <c r="AF94" i="90"/>
  <c r="AG94" i="90" s="1"/>
  <c r="AB94" i="90"/>
  <c r="AM94" i="90" s="1"/>
  <c r="AK6" i="90"/>
  <c r="AZ13" i="90" a="1"/>
  <c r="AZ13" i="90" s="1"/>
  <c r="AY13" i="90" s="1"/>
  <c r="AB42" i="90"/>
  <c r="AM42" i="90" s="1"/>
  <c r="S79" i="90"/>
  <c r="AC79" i="90" s="1"/>
  <c r="AF79" i="90"/>
  <c r="AK79" i="90"/>
  <c r="AG19" i="90"/>
  <c r="AG86" i="90"/>
  <c r="BA10" i="90"/>
  <c r="AZ16" i="90" a="1"/>
  <c r="AZ16" i="90" s="1"/>
  <c r="AY16" i="90" s="1"/>
  <c r="BB12" i="90"/>
  <c r="AZ12" i="90" a="1"/>
  <c r="AZ12" i="90" s="1"/>
  <c r="AY12" i="90" s="1"/>
  <c r="R2" i="90"/>
  <c r="AZ14" i="90" a="1"/>
  <c r="AZ14" i="90" s="1"/>
  <c r="AY14" i="90" s="1"/>
  <c r="Q2" i="90"/>
  <c r="G2" i="90" s="1"/>
  <c r="AC115" i="90"/>
  <c r="AG115" i="90" s="1"/>
  <c r="AB115" i="90"/>
  <c r="AM115" i="90" s="1"/>
  <c r="S74" i="90"/>
  <c r="AC74" i="90" s="1"/>
  <c r="AF74" i="90"/>
  <c r="AK98" i="90"/>
  <c r="AF98" i="90"/>
  <c r="AG98" i="90" s="1"/>
  <c r="AB98" i="90"/>
  <c r="AM98" i="90" s="1"/>
  <c r="AF67" i="90"/>
  <c r="S67" i="90"/>
  <c r="AC67" i="90" s="1"/>
  <c r="AB43" i="90"/>
  <c r="AM43" i="90" s="1"/>
  <c r="S41" i="90"/>
  <c r="AC41" i="90" s="1"/>
  <c r="AF41" i="90"/>
  <c r="AK41" i="90"/>
  <c r="AG49" i="90"/>
  <c r="S8" i="90"/>
  <c r="AC8" i="90" s="1"/>
  <c r="AK8" i="90"/>
  <c r="AF8" i="90"/>
  <c r="S64" i="90"/>
  <c r="AC64" i="90" s="1"/>
  <c r="AF64" i="90"/>
  <c r="AK64" i="90"/>
  <c r="BB10" i="90"/>
  <c r="AZ10" i="90" a="1"/>
  <c r="AZ10" i="90" s="1"/>
  <c r="AY10" i="90" s="1"/>
  <c r="AF15" i="90"/>
  <c r="S15" i="90"/>
  <c r="AC15" i="90" s="1"/>
  <c r="AK15" i="90"/>
  <c r="AF57" i="90"/>
  <c r="S57" i="90"/>
  <c r="AC57" i="90" s="1"/>
  <c r="AZ17" i="90" a="1"/>
  <c r="AZ17" i="90" s="1"/>
  <c r="AY17" i="90" s="1"/>
  <c r="BA11" i="90"/>
  <c r="BA12" i="90"/>
  <c r="S73" i="90"/>
  <c r="AC73" i="90" s="1"/>
  <c r="AF73" i="90"/>
  <c r="BA17" i="90"/>
  <c r="AK61" i="90"/>
  <c r="S61" i="90"/>
  <c r="AC61" i="90" s="1"/>
  <c r="AF61" i="90"/>
  <c r="AJ3" i="90"/>
  <c r="L2" i="90"/>
  <c r="BA27" i="90"/>
  <c r="AB89" i="90"/>
  <c r="AM89" i="90" s="1"/>
  <c r="S82" i="90"/>
  <c r="AC82" i="90" s="1"/>
  <c r="AF82" i="90"/>
  <c r="AF63" i="90"/>
  <c r="S63" i="90"/>
  <c r="AC63" i="90" s="1"/>
  <c r="AK63" i="90"/>
  <c r="AF112" i="90"/>
  <c r="S112" i="90"/>
  <c r="AC112" i="90" s="1"/>
  <c r="S20" i="90"/>
  <c r="AC20" i="90" s="1"/>
  <c r="AF20" i="90"/>
  <c r="AF68" i="90"/>
  <c r="AK68" i="90"/>
  <c r="S68" i="90"/>
  <c r="AC68" i="90" s="1"/>
  <c r="AB49" i="90"/>
  <c r="AM49" i="90" s="1"/>
  <c r="AF102" i="90"/>
  <c r="S102" i="90"/>
  <c r="AC102" i="90" s="1"/>
  <c r="AF90" i="90"/>
  <c r="AK90" i="90"/>
  <c r="S90" i="90"/>
  <c r="AC90" i="90" s="1"/>
  <c r="AF77" i="90"/>
  <c r="S77" i="90"/>
  <c r="AC77" i="90" s="1"/>
  <c r="AH3" i="90"/>
  <c r="E2" i="90" s="1"/>
  <c r="AG27" i="90"/>
  <c r="AK57" i="90"/>
  <c r="AW7" i="90"/>
  <c r="BD9" i="90"/>
  <c r="BD10" i="90" s="1"/>
  <c r="BD11" i="90" s="1"/>
  <c r="BD12" i="90" s="1"/>
  <c r="BD13" i="90" s="1"/>
  <c r="BD14" i="90" s="1"/>
  <c r="BD15" i="90" s="1"/>
  <c r="BD16" i="90" s="1"/>
  <c r="BD17" i="90" s="1"/>
  <c r="BD18" i="90" s="1"/>
  <c r="AX9" i="90" a="1"/>
  <c r="AX9" i="90" s="1"/>
  <c r="AK67" i="90"/>
  <c r="AF105" i="90"/>
  <c r="S105" i="90"/>
  <c r="AC105" i="90" s="1"/>
  <c r="AK105" i="90"/>
  <c r="AB84" i="90"/>
  <c r="AM84" i="90" s="1"/>
  <c r="AF85" i="90"/>
  <c r="S85" i="90"/>
  <c r="AC85" i="90" s="1"/>
  <c r="AF59" i="90"/>
  <c r="S59" i="90"/>
  <c r="AC59" i="90" s="1"/>
  <c r="AB58" i="90"/>
  <c r="AM58" i="90" s="1"/>
  <c r="AB52" i="90"/>
  <c r="AM52" i="90" s="1"/>
  <c r="S55" i="90"/>
  <c r="AC55" i="90" s="1"/>
  <c r="AF55" i="90"/>
  <c r="AG54" i="90"/>
  <c r="BA18" i="90"/>
  <c r="AG11" i="90"/>
  <c r="BA15" i="90"/>
  <c r="AK94" i="90"/>
  <c r="AG58" i="90"/>
  <c r="AB76" i="90"/>
  <c r="AM76" i="90" s="1"/>
  <c r="AB56" i="90"/>
  <c r="AM56" i="90" s="1"/>
  <c r="AB27" i="90"/>
  <c r="AM27" i="90" s="1"/>
  <c r="AK88" i="90"/>
  <c r="S88" i="90"/>
  <c r="AC88" i="90" s="1"/>
  <c r="AF88" i="90"/>
  <c r="S9" i="90"/>
  <c r="AC9" i="90" s="1"/>
  <c r="AF9" i="90"/>
  <c r="AK9" i="90"/>
  <c r="AG78" i="90"/>
  <c r="AK69" i="90"/>
  <c r="AK74" i="90"/>
  <c r="AG117" i="90"/>
  <c r="AG109" i="90"/>
  <c r="AF48" i="90"/>
  <c r="S48" i="90"/>
  <c r="AC48" i="90" s="1"/>
  <c r="AK48" i="90"/>
  <c r="AF5" i="90"/>
  <c r="S5" i="90"/>
  <c r="AC5" i="90" s="1"/>
  <c r="B14" i="1"/>
  <c r="C6" i="89"/>
  <c r="AB68" i="90" l="1"/>
  <c r="AM68" i="90" s="1"/>
  <c r="AG39" i="90"/>
  <c r="AB13" i="90"/>
  <c r="AM13" i="90" s="1"/>
  <c r="AG67" i="90"/>
  <c r="AB35" i="90"/>
  <c r="AM35" i="90" s="1"/>
  <c r="AB112" i="90"/>
  <c r="AM112" i="90" s="1"/>
  <c r="AG114" i="90"/>
  <c r="AB31" i="90"/>
  <c r="AM31" i="90" s="1"/>
  <c r="AG48" i="90"/>
  <c r="AG105" i="90"/>
  <c r="AB6" i="90"/>
  <c r="AM6" i="90" s="1"/>
  <c r="AB64" i="90"/>
  <c r="AM64" i="90" s="1"/>
  <c r="AB83" i="90"/>
  <c r="AM83" i="90" s="1"/>
  <c r="AG33" i="90"/>
  <c r="AG35" i="90"/>
  <c r="AG104" i="90"/>
  <c r="AB28" i="90"/>
  <c r="AM28" i="90" s="1"/>
  <c r="AG85" i="90"/>
  <c r="AG26" i="90"/>
  <c r="AB104" i="90"/>
  <c r="AM104" i="90" s="1"/>
  <c r="AG62" i="90"/>
  <c r="AG112" i="90"/>
  <c r="AB110" i="90"/>
  <c r="AM110" i="90" s="1"/>
  <c r="AG107" i="90"/>
  <c r="AB44" i="90"/>
  <c r="AM44" i="90" s="1"/>
  <c r="AG102" i="90"/>
  <c r="AB40" i="90"/>
  <c r="AM40" i="90" s="1"/>
  <c r="AB26" i="90"/>
  <c r="AM26" i="90" s="1"/>
  <c r="AB15" i="90"/>
  <c r="AM15" i="90" s="1"/>
  <c r="AG47" i="90"/>
  <c r="AG90" i="90"/>
  <c r="AG111" i="90"/>
  <c r="AG59" i="90"/>
  <c r="AG22" i="90"/>
  <c r="AB36" i="90"/>
  <c r="AM36" i="90" s="1"/>
  <c r="AB33" i="90"/>
  <c r="AM33" i="90" s="1"/>
  <c r="AB60" i="90"/>
  <c r="AM60" i="90" s="1"/>
  <c r="AB30" i="90"/>
  <c r="AM30" i="90" s="1"/>
  <c r="AG57" i="90"/>
  <c r="AB41" i="90"/>
  <c r="AM41" i="90" s="1"/>
  <c r="AB5" i="90"/>
  <c r="AM5" i="90" s="1"/>
  <c r="AB20" i="90"/>
  <c r="AM20" i="90" s="1"/>
  <c r="AG68" i="90"/>
  <c r="AG61" i="90"/>
  <c r="AG106" i="90"/>
  <c r="AG80" i="90"/>
  <c r="AB73" i="90"/>
  <c r="AM73" i="90" s="1"/>
  <c r="AG36" i="90"/>
  <c r="AG91" i="90"/>
  <c r="AG82" i="90"/>
  <c r="AB8" i="90"/>
  <c r="AM8" i="90" s="1"/>
  <c r="AB72" i="90"/>
  <c r="AM72" i="90" s="1"/>
  <c r="AB82" i="90"/>
  <c r="AM82" i="90" s="1"/>
  <c r="AG21" i="90"/>
  <c r="AG69" i="90"/>
  <c r="AB71" i="90"/>
  <c r="AM71" i="90" s="1"/>
  <c r="AB23" i="90"/>
  <c r="AM23" i="90" s="1"/>
  <c r="AB85" i="90"/>
  <c r="AM85" i="90" s="1"/>
  <c r="AG34" i="90"/>
  <c r="AB65" i="90"/>
  <c r="AM65" i="90" s="1"/>
  <c r="AG13" i="90"/>
  <c r="AB81" i="90"/>
  <c r="AM81" i="90" s="1"/>
  <c r="AB63" i="90"/>
  <c r="AM63" i="90" s="1"/>
  <c r="AG88" i="90"/>
  <c r="AG15" i="90"/>
  <c r="AG65" i="90"/>
  <c r="AC66" i="90"/>
  <c r="AG66" i="90" s="1"/>
  <c r="AB66" i="90"/>
  <c r="AM66" i="90" s="1"/>
  <c r="AB106" i="90"/>
  <c r="AM106" i="90" s="1"/>
  <c r="AB37" i="90"/>
  <c r="AM37" i="90" s="1"/>
  <c r="AG28" i="90"/>
  <c r="AG5" i="90"/>
  <c r="AB55" i="90"/>
  <c r="AM55" i="90" s="1"/>
  <c r="AG113" i="90"/>
  <c r="AG44" i="90"/>
  <c r="AG30" i="90"/>
  <c r="BB7" i="90"/>
  <c r="BC29" i="90" s="1"/>
  <c r="BC34" i="90" s="1"/>
  <c r="AZ7" i="90"/>
  <c r="AB50" i="90"/>
  <c r="AM50" i="90" s="1"/>
  <c r="AG8" i="90"/>
  <c r="AB67" i="90"/>
  <c r="AM67" i="90" s="1"/>
  <c r="AG60" i="90"/>
  <c r="AB61" i="90"/>
  <c r="AM61" i="90" s="1"/>
  <c r="AB57" i="90"/>
  <c r="AM57" i="90" s="1"/>
  <c r="AB62" i="90"/>
  <c r="AM62" i="90" s="1"/>
  <c r="AG46" i="90"/>
  <c r="AG20" i="90"/>
  <c r="AG63" i="90"/>
  <c r="AG71" i="90"/>
  <c r="AG16" i="90"/>
  <c r="AB46" i="90"/>
  <c r="AM46" i="90" s="1"/>
  <c r="AB45" i="90"/>
  <c r="AM45" i="90" s="1"/>
  <c r="BA9" i="90"/>
  <c r="AX7" i="90"/>
  <c r="AY9" i="90"/>
  <c r="AB113" i="90"/>
  <c r="AM113" i="90" s="1"/>
  <c r="AB90" i="90"/>
  <c r="AM90" i="90" s="1"/>
  <c r="AG50" i="90"/>
  <c r="AB22" i="90"/>
  <c r="AM22" i="90" s="1"/>
  <c r="AG74" i="90"/>
  <c r="AB34" i="90"/>
  <c r="AM34" i="90" s="1"/>
  <c r="AB21" i="90"/>
  <c r="AM21" i="90" s="1"/>
  <c r="AG79" i="90"/>
  <c r="AG103" i="90"/>
  <c r="AG9" i="90"/>
  <c r="AB105" i="90"/>
  <c r="AM105" i="90" s="1"/>
  <c r="AB79" i="90"/>
  <c r="AM79" i="90" s="1"/>
  <c r="AG6" i="90"/>
  <c r="AG92" i="90"/>
  <c r="AB103" i="90"/>
  <c r="AM103" i="90" s="1"/>
  <c r="AB111" i="90"/>
  <c r="AM111" i="90" s="1"/>
  <c r="AB9" i="90"/>
  <c r="AM9" i="90" s="1"/>
  <c r="AG77" i="90"/>
  <c r="AG41" i="90"/>
  <c r="AB69" i="90"/>
  <c r="AM69" i="90" s="1"/>
  <c r="AB92" i="90"/>
  <c r="AM92" i="90" s="1"/>
  <c r="AB114" i="90"/>
  <c r="AM114" i="90" s="1"/>
  <c r="AG116" i="90"/>
  <c r="AB91" i="90"/>
  <c r="AM91" i="90" s="1"/>
  <c r="AB80" i="90"/>
  <c r="AM80" i="90" s="1"/>
  <c r="AG55" i="90"/>
  <c r="AB102" i="90"/>
  <c r="AM102" i="90" s="1"/>
  <c r="AG81" i="90"/>
  <c r="AB39" i="90"/>
  <c r="AM39" i="90" s="1"/>
  <c r="AB74" i="90"/>
  <c r="AM74" i="90" s="1"/>
  <c r="AB77" i="90"/>
  <c r="AM77" i="90" s="1"/>
  <c r="AG73" i="90"/>
  <c r="AK3" i="90"/>
  <c r="AB70" i="90"/>
  <c r="AM70" i="90" s="1"/>
  <c r="AB48" i="90"/>
  <c r="AM48" i="90" s="1"/>
  <c r="AG64" i="90"/>
  <c r="AB47" i="90"/>
  <c r="AM47" i="90" s="1"/>
  <c r="AG45" i="90"/>
  <c r="AB59" i="90"/>
  <c r="AM59" i="90" s="1"/>
  <c r="AB88" i="90"/>
  <c r="AM88" i="90" s="1"/>
  <c r="AB116" i="90"/>
  <c r="AM116" i="90" s="1"/>
  <c r="AG23" i="90"/>
  <c r="AG70" i="90"/>
  <c r="AM3" i="90" l="1"/>
  <c r="G1" i="90" s="1"/>
  <c r="AG2" i="90"/>
  <c r="BC9" i="90"/>
  <c r="BC10" i="90" s="1"/>
  <c r="BC11" i="90" s="1"/>
  <c r="BC12" i="90" s="1"/>
  <c r="BC13" i="90" s="1"/>
  <c r="BC14" i="90" s="1"/>
  <c r="BC15" i="90" s="1"/>
  <c r="BC16" i="90" s="1"/>
  <c r="BC17" i="90" s="1"/>
  <c r="BC18" i="90" s="1"/>
  <c r="BA7" i="90"/>
  <c r="J14" i="89"/>
  <c r="N14" i="89" s="1"/>
  <c r="M5" i="2" l="1"/>
  <c r="Z5" i="2"/>
  <c r="Y5" i="2"/>
  <c r="U5" i="2"/>
  <c r="AJ5" i="2" s="1"/>
  <c r="AN5" i="2"/>
  <c r="AA5" i="2" l="1"/>
  <c r="AD5" i="2"/>
  <c r="AE5" i="2"/>
  <c r="K5" i="2"/>
  <c r="E5" i="2"/>
  <c r="B14" i="89"/>
  <c r="C8" i="89"/>
  <c r="C7" i="89"/>
  <c r="K14" i="89"/>
  <c r="B26" i="89"/>
  <c r="BC40" i="86"/>
  <c r="AX15" i="2" l="1" a="1"/>
  <c r="AX15" i="2" s="1"/>
  <c r="AX13" i="2" a="1"/>
  <c r="AX13" i="2" s="1"/>
  <c r="BA13" i="2" s="1"/>
  <c r="AX14" i="2" a="1"/>
  <c r="AX14" i="2" s="1"/>
  <c r="AX12" i="2" a="1"/>
  <c r="AX12" i="2" s="1"/>
  <c r="AX11" i="2" a="1"/>
  <c r="AX11" i="2" s="1"/>
  <c r="AX10" i="2" a="1"/>
  <c r="AX10" i="2" s="1"/>
  <c r="AX9" i="2" a="1"/>
  <c r="AX9" i="2" s="1"/>
  <c r="K2" i="2"/>
  <c r="AJ3" i="2" s="1"/>
  <c r="AX16" i="2" a="1"/>
  <c r="AX16" i="2" s="1"/>
  <c r="AX17" i="2" a="1"/>
  <c r="AX17" i="2" s="1"/>
  <c r="O14" i="89"/>
  <c r="AI5" i="2"/>
  <c r="AI3" i="2" s="1"/>
  <c r="AH5" i="2"/>
  <c r="N5" i="2"/>
  <c r="O5" i="2" s="1"/>
  <c r="AH3" i="2" l="1"/>
  <c r="Q2" i="2"/>
  <c r="P2" i="2"/>
  <c r="R2" i="2"/>
  <c r="L2" i="2"/>
  <c r="AX7" i="2"/>
  <c r="BA9" i="2"/>
  <c r="BA10" i="2"/>
  <c r="AZ11" i="2" a="1"/>
  <c r="AZ11" i="2" s="1"/>
  <c r="AY11" i="2" s="1"/>
  <c r="AZ10" i="2" a="1"/>
  <c r="AZ10" i="2" s="1"/>
  <c r="AY10" i="2" s="1"/>
  <c r="AZ9" i="2" a="1"/>
  <c r="AZ9" i="2" s="1"/>
  <c r="AZ13" i="2" a="1"/>
  <c r="AZ13" i="2" s="1"/>
  <c r="AY13" i="2" s="1"/>
  <c r="AZ12" i="2" a="1"/>
  <c r="AZ12" i="2" s="1"/>
  <c r="AY12" i="2" s="1"/>
  <c r="BA12" i="2"/>
  <c r="AY14" i="2"/>
  <c r="BA14" i="2"/>
  <c r="BA15" i="2"/>
  <c r="AY15" i="2"/>
  <c r="AY17" i="2"/>
  <c r="BA17" i="2"/>
  <c r="BA11" i="2"/>
  <c r="AY16" i="2"/>
  <c r="BA16" i="2"/>
  <c r="O24" i="89"/>
  <c r="AF5" i="2"/>
  <c r="AK5" i="2"/>
  <c r="AK3" i="2" s="1"/>
  <c r="S5" i="2"/>
  <c r="AC5" i="2" s="1"/>
  <c r="AZ7" i="2" l="1"/>
  <c r="BA7" i="2"/>
  <c r="BC9" i="2"/>
  <c r="BC10" i="2" s="1"/>
  <c r="BC11" i="2" s="1"/>
  <c r="BC12" i="2" s="1"/>
  <c r="BC13" i="2" s="1"/>
  <c r="BC14" i="2" s="1"/>
  <c r="BC15" i="2" s="1"/>
  <c r="BC16" i="2" s="1"/>
  <c r="BC17" i="2" s="1"/>
  <c r="BC18" i="2" s="1"/>
  <c r="AY9" i="2"/>
  <c r="AB5" i="2"/>
  <c r="AM5" i="2" s="1"/>
  <c r="AM3" i="2" s="1"/>
  <c r="AG5" i="2"/>
  <c r="AG2" i="2" s="1"/>
  <c r="BC30" i="88" l="1"/>
  <c r="AN102" i="88" l="1"/>
  <c r="M102" i="88" s="1"/>
  <c r="Z102" i="88"/>
  <c r="Y102" i="88"/>
  <c r="U102" i="88"/>
  <c r="S102" i="88"/>
  <c r="AC102" i="88" s="1"/>
  <c r="K102" i="88"/>
  <c r="AH102" i="88" s="1"/>
  <c r="E102" i="88"/>
  <c r="AN101" i="88"/>
  <c r="Z101" i="88"/>
  <c r="Y101" i="88"/>
  <c r="U101" i="88"/>
  <c r="AD101" i="88" s="1"/>
  <c r="M101" i="88"/>
  <c r="O101" i="88" s="1"/>
  <c r="K101" i="88"/>
  <c r="AH101" i="88" s="1"/>
  <c r="E101" i="88"/>
  <c r="AN100" i="88"/>
  <c r="Z100" i="88"/>
  <c r="Y100" i="88"/>
  <c r="U100" i="88"/>
  <c r="AJ100" i="88" s="1"/>
  <c r="M100" i="88"/>
  <c r="O100" i="88" s="1"/>
  <c r="K100" i="88"/>
  <c r="E100" i="88"/>
  <c r="AN99" i="88"/>
  <c r="M99" i="88" s="1"/>
  <c r="N99" i="88" s="1"/>
  <c r="Y99" i="88"/>
  <c r="AE99" i="88" s="1"/>
  <c r="U99" i="88"/>
  <c r="K99" i="88"/>
  <c r="E99" i="88"/>
  <c r="AN98" i="88"/>
  <c r="M98" i="88" s="1"/>
  <c r="Y98" i="88"/>
  <c r="AE98" i="88" s="1"/>
  <c r="U98" i="88"/>
  <c r="AJ98" i="88" s="1"/>
  <c r="K98" i="88"/>
  <c r="AH98" i="88" s="1"/>
  <c r="E98" i="88"/>
  <c r="AN97" i="88"/>
  <c r="M97" i="88" s="1"/>
  <c r="Y97" i="88"/>
  <c r="AA97" i="88" s="1"/>
  <c r="U97" i="88"/>
  <c r="AJ97" i="88" s="1"/>
  <c r="K97" i="88"/>
  <c r="E97" i="88"/>
  <c r="AN96" i="88"/>
  <c r="M96" i="88" s="1"/>
  <c r="N96" i="88" s="1"/>
  <c r="Y96" i="88"/>
  <c r="U96" i="88"/>
  <c r="AJ96" i="88" s="1"/>
  <c r="K96" i="88"/>
  <c r="AI96" i="88" s="1"/>
  <c r="E96" i="88"/>
  <c r="AN95" i="88"/>
  <c r="M95" i="88" s="1"/>
  <c r="Y95" i="88"/>
  <c r="AA95" i="88" s="1"/>
  <c r="U95" i="88"/>
  <c r="AJ95" i="88" s="1"/>
  <c r="K95" i="88"/>
  <c r="AH95" i="88" s="1"/>
  <c r="E95" i="88"/>
  <c r="AN94" i="88"/>
  <c r="M94" i="88" s="1"/>
  <c r="Y94" i="88"/>
  <c r="AA94" i="88" s="1"/>
  <c r="U94" i="88"/>
  <c r="AD94" i="88" s="1"/>
  <c r="K94" i="88"/>
  <c r="AI94" i="88" s="1"/>
  <c r="E94" i="88"/>
  <c r="AN93" i="88"/>
  <c r="M93" i="88" s="1"/>
  <c r="Y93" i="88"/>
  <c r="AA93" i="88" s="1"/>
  <c r="U93" i="88"/>
  <c r="K93" i="88"/>
  <c r="E93" i="88"/>
  <c r="AN92" i="88"/>
  <c r="M92" i="88" s="1"/>
  <c r="O92" i="88" s="1"/>
  <c r="Y92" i="88"/>
  <c r="AE92" i="88" s="1"/>
  <c r="U92" i="88"/>
  <c r="AD92" i="88" s="1"/>
  <c r="K92" i="88"/>
  <c r="AH92" i="88" s="1"/>
  <c r="E92" i="88"/>
  <c r="AN91" i="88"/>
  <c r="M91" i="88" s="1"/>
  <c r="N91" i="88" s="1"/>
  <c r="Y91" i="88"/>
  <c r="U91" i="88"/>
  <c r="S91" i="88"/>
  <c r="K91" i="88"/>
  <c r="E91" i="88"/>
  <c r="AN90" i="88"/>
  <c r="M90" i="88" s="1"/>
  <c r="AC90" i="88"/>
  <c r="Z90" i="88"/>
  <c r="Y90" i="88"/>
  <c r="U90" i="88"/>
  <c r="AD90" i="88" s="1"/>
  <c r="K90" i="88"/>
  <c r="AI90" i="88" s="1"/>
  <c r="E90" i="88"/>
  <c r="AN89" i="88"/>
  <c r="M89" i="88" s="1"/>
  <c r="AC89" i="88"/>
  <c r="Z89" i="88"/>
  <c r="Y89" i="88"/>
  <c r="U89" i="88"/>
  <c r="K89" i="88"/>
  <c r="AH89" i="88" s="1"/>
  <c r="E89" i="88"/>
  <c r="AN88" i="88"/>
  <c r="M88" i="88" s="1"/>
  <c r="O88" i="88" s="1"/>
  <c r="Z88" i="88"/>
  <c r="Y88" i="88"/>
  <c r="U88" i="88"/>
  <c r="K88" i="88"/>
  <c r="E88" i="88"/>
  <c r="AN87" i="88"/>
  <c r="M87" i="88" s="1"/>
  <c r="AC87" i="88"/>
  <c r="Z87" i="88"/>
  <c r="Y87" i="88"/>
  <c r="U87" i="88"/>
  <c r="AD87" i="88" s="1"/>
  <c r="K87" i="88"/>
  <c r="AH87" i="88" s="1"/>
  <c r="E87" i="88"/>
  <c r="AN86" i="88"/>
  <c r="M86" i="88" s="1"/>
  <c r="Z86" i="88"/>
  <c r="Y86" i="88"/>
  <c r="U86" i="88"/>
  <c r="K86" i="88"/>
  <c r="AH86" i="88" s="1"/>
  <c r="E86" i="88"/>
  <c r="AN85" i="88"/>
  <c r="M85" i="88" s="1"/>
  <c r="O85" i="88" s="1"/>
  <c r="Z85" i="88"/>
  <c r="Y85" i="88"/>
  <c r="U85" i="88"/>
  <c r="K85" i="88"/>
  <c r="E85" i="88"/>
  <c r="AN84" i="88"/>
  <c r="M84" i="88" s="1"/>
  <c r="O84" i="88" s="1"/>
  <c r="S84" i="88" s="1"/>
  <c r="AC84" i="88" s="1"/>
  <c r="Z84" i="88"/>
  <c r="Y84" i="88"/>
  <c r="U84" i="88"/>
  <c r="AJ84" i="88" s="1"/>
  <c r="K84" i="88"/>
  <c r="AI84" i="88" s="1"/>
  <c r="E84" i="88"/>
  <c r="AN83" i="88"/>
  <c r="M83" i="88" s="1"/>
  <c r="Z83" i="88"/>
  <c r="Y83" i="88"/>
  <c r="U83" i="88"/>
  <c r="AJ83" i="88" s="1"/>
  <c r="K83" i="88"/>
  <c r="AI83" i="88" s="1"/>
  <c r="E83" i="88"/>
  <c r="AN82" i="88"/>
  <c r="M82" i="88" s="1"/>
  <c r="N82" i="88" s="1"/>
  <c r="O82" i="88" s="1"/>
  <c r="Z82" i="88"/>
  <c r="Y82" i="88"/>
  <c r="U82" i="88"/>
  <c r="AJ82" i="88" s="1"/>
  <c r="K82" i="88"/>
  <c r="AI82" i="88" s="1"/>
  <c r="E82" i="88"/>
  <c r="O81" i="88"/>
  <c r="K81" i="88"/>
  <c r="AN80" i="88"/>
  <c r="M80" i="88" s="1"/>
  <c r="Z80" i="88"/>
  <c r="Y80" i="88"/>
  <c r="U80" i="88"/>
  <c r="AJ80" i="88" s="1"/>
  <c r="K80" i="88"/>
  <c r="AH80" i="88" s="1"/>
  <c r="E80" i="88"/>
  <c r="AN79" i="88"/>
  <c r="Z79" i="88"/>
  <c r="Y79" i="88"/>
  <c r="U79" i="88"/>
  <c r="AJ79" i="88" s="1"/>
  <c r="M79" i="88"/>
  <c r="O79" i="88" s="1"/>
  <c r="K79" i="88"/>
  <c r="AI79" i="88" s="1"/>
  <c r="E79" i="88"/>
  <c r="AN78" i="88"/>
  <c r="Z78" i="88"/>
  <c r="Y78" i="88"/>
  <c r="U78" i="88"/>
  <c r="AJ78" i="88" s="1"/>
  <c r="M78" i="88"/>
  <c r="N78" i="88" s="1"/>
  <c r="K78" i="88"/>
  <c r="E78" i="88"/>
  <c r="AN77" i="88"/>
  <c r="Z77" i="88"/>
  <c r="Y77" i="88"/>
  <c r="U77" i="88"/>
  <c r="AJ77" i="88" s="1"/>
  <c r="M77" i="88"/>
  <c r="O77" i="88" s="1"/>
  <c r="S77" i="88" s="1"/>
  <c r="AC77" i="88" s="1"/>
  <c r="K77" i="88"/>
  <c r="E77" i="88"/>
  <c r="AN76" i="88"/>
  <c r="M76" i="88" s="1"/>
  <c r="N76" i="88" s="1"/>
  <c r="Z76" i="88"/>
  <c r="U76" i="88"/>
  <c r="AF76" i="88" s="1"/>
  <c r="S76" i="88"/>
  <c r="AC76" i="88" s="1"/>
  <c r="K76" i="88"/>
  <c r="AK76" i="88" s="1"/>
  <c r="E76" i="88"/>
  <c r="AN75" i="88"/>
  <c r="M75" i="88" s="1"/>
  <c r="N75" i="88" s="1"/>
  <c r="Z75" i="88"/>
  <c r="Y75" i="88"/>
  <c r="U75" i="88"/>
  <c r="AD75" i="88" s="1"/>
  <c r="S75" i="88"/>
  <c r="AC75" i="88" s="1"/>
  <c r="K75" i="88"/>
  <c r="AI75" i="88" s="1"/>
  <c r="E75" i="88"/>
  <c r="AN74" i="88"/>
  <c r="M74" i="88" s="1"/>
  <c r="Y74" i="88"/>
  <c r="AA74" i="88" s="1"/>
  <c r="U74" i="88"/>
  <c r="K74" i="88"/>
  <c r="AI74" i="88" s="1"/>
  <c r="E74" i="88"/>
  <c r="AN73" i="88"/>
  <c r="M73" i="88" s="1"/>
  <c r="N73" i="88" s="1"/>
  <c r="Y73" i="88"/>
  <c r="U73" i="88"/>
  <c r="AJ73" i="88" s="1"/>
  <c r="K73" i="88"/>
  <c r="AH73" i="88" s="1"/>
  <c r="E73" i="88"/>
  <c r="AN72" i="88"/>
  <c r="M72" i="88" s="1"/>
  <c r="O72" i="88" s="1"/>
  <c r="Z72" i="88"/>
  <c r="Y72" i="88"/>
  <c r="U72" i="88"/>
  <c r="K72" i="88"/>
  <c r="AH72" i="88" s="1"/>
  <c r="E72" i="88"/>
  <c r="AN71" i="88"/>
  <c r="M71" i="88" s="1"/>
  <c r="Z71" i="88"/>
  <c r="Y71" i="88"/>
  <c r="U71" i="88"/>
  <c r="AD71" i="88" s="1"/>
  <c r="K71" i="88"/>
  <c r="E71" i="88"/>
  <c r="AN70" i="88"/>
  <c r="M70" i="88" s="1"/>
  <c r="Z70" i="88"/>
  <c r="Y70" i="88"/>
  <c r="U70" i="88"/>
  <c r="K70" i="88"/>
  <c r="E70" i="88"/>
  <c r="AN69" i="88"/>
  <c r="M69" i="88" s="1"/>
  <c r="N69" i="88" s="1"/>
  <c r="Z69" i="88"/>
  <c r="Y69" i="88"/>
  <c r="U69" i="88"/>
  <c r="AJ69" i="88" s="1"/>
  <c r="K69" i="88"/>
  <c r="E69" i="88"/>
  <c r="AN68" i="88"/>
  <c r="M68" i="88" s="1"/>
  <c r="N68" i="88" s="1"/>
  <c r="Z68" i="88"/>
  <c r="Y68" i="88"/>
  <c r="U68" i="88"/>
  <c r="K68" i="88"/>
  <c r="E68" i="88"/>
  <c r="AN67" i="88"/>
  <c r="M67" i="88" s="1"/>
  <c r="N67" i="88" s="1"/>
  <c r="O67" i="88" s="1"/>
  <c r="Z67" i="88"/>
  <c r="Y67" i="88"/>
  <c r="U67" i="88"/>
  <c r="AJ67" i="88" s="1"/>
  <c r="K67" i="88"/>
  <c r="AI67" i="88" s="1"/>
  <c r="E67" i="88"/>
  <c r="AN66" i="88"/>
  <c r="M66" i="88" s="1"/>
  <c r="Z66" i="88"/>
  <c r="Y66" i="88"/>
  <c r="U66" i="88"/>
  <c r="AD66" i="88" s="1"/>
  <c r="K66" i="88"/>
  <c r="AM66" i="88" s="1"/>
  <c r="E66" i="88"/>
  <c r="AN65" i="88"/>
  <c r="M65" i="88" s="1"/>
  <c r="O65" i="88" s="1"/>
  <c r="Z65" i="88"/>
  <c r="Y65" i="88"/>
  <c r="U65" i="88"/>
  <c r="AD65" i="88" s="1"/>
  <c r="K65" i="88"/>
  <c r="AH65" i="88" s="1"/>
  <c r="E65" i="88"/>
  <c r="AN64" i="88"/>
  <c r="M64" i="88" s="1"/>
  <c r="Y64" i="88"/>
  <c r="AA64" i="88" s="1"/>
  <c r="U64" i="88"/>
  <c r="AJ64" i="88" s="1"/>
  <c r="K64" i="88"/>
  <c r="AH64" i="88" s="1"/>
  <c r="E64" i="88"/>
  <c r="AN63" i="88"/>
  <c r="M63" i="88" s="1"/>
  <c r="N63" i="88" s="1"/>
  <c r="Y63" i="88"/>
  <c r="AE63" i="88" s="1"/>
  <c r="U63" i="88"/>
  <c r="AD63" i="88" s="1"/>
  <c r="K63" i="88"/>
  <c r="AI63" i="88" s="1"/>
  <c r="E63" i="88"/>
  <c r="AN62" i="88"/>
  <c r="M62" i="88" s="1"/>
  <c r="N62" i="88" s="1"/>
  <c r="Y62" i="88"/>
  <c r="AA62" i="88" s="1"/>
  <c r="U62" i="88"/>
  <c r="K62" i="88"/>
  <c r="E62" i="88"/>
  <c r="AN61" i="88"/>
  <c r="M61" i="88" s="1"/>
  <c r="Z61" i="88"/>
  <c r="Y61" i="88"/>
  <c r="U61" i="88"/>
  <c r="AJ61" i="88" s="1"/>
  <c r="K61" i="88"/>
  <c r="AI61" i="88" s="1"/>
  <c r="E61" i="88"/>
  <c r="AN60" i="88"/>
  <c r="M60" i="88" s="1"/>
  <c r="N60" i="88" s="1"/>
  <c r="O60" i="88" s="1"/>
  <c r="Y60" i="88"/>
  <c r="AA60" i="88" s="1"/>
  <c r="U60" i="88"/>
  <c r="AJ60" i="88" s="1"/>
  <c r="K60" i="88"/>
  <c r="E60" i="88"/>
  <c r="AN59" i="88"/>
  <c r="M59" i="88" s="1"/>
  <c r="N59" i="88" s="1"/>
  <c r="Y59" i="88"/>
  <c r="AE59" i="88" s="1"/>
  <c r="U59" i="88"/>
  <c r="AD59" i="88" s="1"/>
  <c r="K59" i="88"/>
  <c r="AH59" i="88" s="1"/>
  <c r="E59" i="88"/>
  <c r="AN58" i="88"/>
  <c r="M58" i="88" s="1"/>
  <c r="N58" i="88" s="1"/>
  <c r="Y58" i="88"/>
  <c r="AA58" i="88" s="1"/>
  <c r="U58" i="88"/>
  <c r="AD58" i="88" s="1"/>
  <c r="K58" i="88"/>
  <c r="E58" i="88"/>
  <c r="AN57" i="88"/>
  <c r="M57" i="88" s="1"/>
  <c r="N57" i="88" s="1"/>
  <c r="Y57" i="88"/>
  <c r="U57" i="88"/>
  <c r="K57" i="88"/>
  <c r="AI57" i="88" s="1"/>
  <c r="E57" i="88"/>
  <c r="AN56" i="88"/>
  <c r="M56" i="88" s="1"/>
  <c r="Y56" i="88"/>
  <c r="AE56" i="88" s="1"/>
  <c r="U56" i="88"/>
  <c r="AJ56" i="88" s="1"/>
  <c r="K56" i="88"/>
  <c r="E56" i="88"/>
  <c r="AN55" i="88"/>
  <c r="M55" i="88" s="1"/>
  <c r="Y55" i="88"/>
  <c r="U55" i="88"/>
  <c r="AD55" i="88" s="1"/>
  <c r="K55" i="88"/>
  <c r="AI55" i="88" s="1"/>
  <c r="E55" i="88"/>
  <c r="AN54" i="88"/>
  <c r="M54" i="88" s="1"/>
  <c r="Y54" i="88"/>
  <c r="U54" i="88"/>
  <c r="K54" i="88"/>
  <c r="E54" i="88"/>
  <c r="AN53" i="88"/>
  <c r="M53" i="88" s="1"/>
  <c r="N53" i="88" s="1"/>
  <c r="Z53" i="88"/>
  <c r="Y53" i="88"/>
  <c r="U53" i="88"/>
  <c r="AJ53" i="88" s="1"/>
  <c r="K53" i="88"/>
  <c r="E53" i="88"/>
  <c r="AN52" i="88"/>
  <c r="M52" i="88" s="1"/>
  <c r="N52" i="88" s="1"/>
  <c r="O52" i="88" s="1"/>
  <c r="Z52" i="88"/>
  <c r="Y52" i="88"/>
  <c r="U52" i="88"/>
  <c r="AD52" i="88" s="1"/>
  <c r="K52" i="88"/>
  <c r="AH52" i="88" s="1"/>
  <c r="E52" i="88"/>
  <c r="AN51" i="88"/>
  <c r="M51" i="88" s="1"/>
  <c r="N51" i="88" s="1"/>
  <c r="Z51" i="88"/>
  <c r="Y51" i="88"/>
  <c r="U51" i="88"/>
  <c r="AJ51" i="88" s="1"/>
  <c r="K51" i="88"/>
  <c r="AI51" i="88" s="1"/>
  <c r="E51" i="88"/>
  <c r="AN50" i="88"/>
  <c r="M50" i="88" s="1"/>
  <c r="N50" i="88" s="1"/>
  <c r="O50" i="88" s="1"/>
  <c r="Z50" i="88"/>
  <c r="Y50" i="88"/>
  <c r="U50" i="88"/>
  <c r="AD50" i="88" s="1"/>
  <c r="K50" i="88"/>
  <c r="E50" i="88"/>
  <c r="AN49" i="88"/>
  <c r="M49" i="88" s="1"/>
  <c r="Z49" i="88"/>
  <c r="Y49" i="88"/>
  <c r="U49" i="88"/>
  <c r="K49" i="88"/>
  <c r="E49" i="88"/>
  <c r="AN48" i="88"/>
  <c r="M48" i="88" s="1"/>
  <c r="Z48" i="88"/>
  <c r="Y48" i="88"/>
  <c r="U48" i="88"/>
  <c r="K48" i="88"/>
  <c r="AI48" i="88" s="1"/>
  <c r="E48" i="88"/>
  <c r="AN47" i="88"/>
  <c r="M47" i="88" s="1"/>
  <c r="Z47" i="88"/>
  <c r="Y47" i="88"/>
  <c r="U47" i="88"/>
  <c r="K47" i="88"/>
  <c r="E47" i="88"/>
  <c r="AN46" i="88"/>
  <c r="M46" i="88" s="1"/>
  <c r="Z46" i="88"/>
  <c r="Y46" i="88"/>
  <c r="U46" i="88"/>
  <c r="AD46" i="88" s="1"/>
  <c r="K46" i="88"/>
  <c r="AH46" i="88" s="1"/>
  <c r="E46" i="88"/>
  <c r="AN45" i="88"/>
  <c r="M45" i="88" s="1"/>
  <c r="Z45" i="88"/>
  <c r="Y45" i="88"/>
  <c r="U45" i="88"/>
  <c r="AJ45" i="88" s="1"/>
  <c r="K45" i="88"/>
  <c r="AH45" i="88" s="1"/>
  <c r="E45" i="88"/>
  <c r="AN44" i="88"/>
  <c r="M44" i="88" s="1"/>
  <c r="N44" i="88" s="1"/>
  <c r="Z44" i="88"/>
  <c r="Y44" i="88"/>
  <c r="U44" i="88"/>
  <c r="AJ44" i="88" s="1"/>
  <c r="K44" i="88"/>
  <c r="AH44" i="88" s="1"/>
  <c r="E44" i="88"/>
  <c r="AN43" i="88"/>
  <c r="M43" i="88" s="1"/>
  <c r="N43" i="88" s="1"/>
  <c r="O43" i="88" s="1"/>
  <c r="Z43" i="88"/>
  <c r="Y43" i="88"/>
  <c r="U43" i="88"/>
  <c r="AJ43" i="88" s="1"/>
  <c r="K43" i="88"/>
  <c r="E43" i="88"/>
  <c r="AN42" i="88"/>
  <c r="M42" i="88" s="1"/>
  <c r="Z42" i="88"/>
  <c r="Y42" i="88"/>
  <c r="U42" i="88"/>
  <c r="K42" i="88"/>
  <c r="AI42" i="88" s="1"/>
  <c r="E42" i="88"/>
  <c r="AN41" i="88"/>
  <c r="M41" i="88" s="1"/>
  <c r="Z41" i="88"/>
  <c r="Y41" i="88"/>
  <c r="U41" i="88"/>
  <c r="K41" i="88"/>
  <c r="AI41" i="88" s="1"/>
  <c r="E41" i="88"/>
  <c r="AN40" i="88"/>
  <c r="M40" i="88" s="1"/>
  <c r="N40" i="88" s="1"/>
  <c r="Z40" i="88"/>
  <c r="Y40" i="88"/>
  <c r="U40" i="88"/>
  <c r="K40" i="88"/>
  <c r="E40" i="88"/>
  <c r="AN39" i="88"/>
  <c r="M39" i="88" s="1"/>
  <c r="Z39" i="88"/>
  <c r="Y39" i="88"/>
  <c r="U39" i="88"/>
  <c r="AD39" i="88" s="1"/>
  <c r="K39" i="88"/>
  <c r="E39" i="88"/>
  <c r="AN38" i="88"/>
  <c r="M38" i="88" s="1"/>
  <c r="Z38" i="88"/>
  <c r="Y38" i="88"/>
  <c r="U38" i="88"/>
  <c r="K38" i="88"/>
  <c r="E38" i="88"/>
  <c r="AN37" i="88"/>
  <c r="M37" i="88" s="1"/>
  <c r="N37" i="88" s="1"/>
  <c r="Z37" i="88"/>
  <c r="Y37" i="88"/>
  <c r="U37" i="88"/>
  <c r="K37" i="88"/>
  <c r="AH37" i="88" s="1"/>
  <c r="E37" i="88"/>
  <c r="AN36" i="88"/>
  <c r="M36" i="88" s="1"/>
  <c r="Z36" i="88"/>
  <c r="U36" i="88"/>
  <c r="K36" i="88"/>
  <c r="E36" i="88"/>
  <c r="AN35" i="88"/>
  <c r="M35" i="88" s="1"/>
  <c r="Z35" i="88"/>
  <c r="AE35" i="88" s="1"/>
  <c r="U35" i="88"/>
  <c r="AD35" i="88" s="1"/>
  <c r="K35" i="88"/>
  <c r="AI35" i="88" s="1"/>
  <c r="E35" i="88"/>
  <c r="AN34" i="88"/>
  <c r="M34" i="88" s="1"/>
  <c r="O34" i="88" s="1"/>
  <c r="Z34" i="88"/>
  <c r="U34" i="88"/>
  <c r="AD34" i="88" s="1"/>
  <c r="K34" i="88"/>
  <c r="E34" i="88"/>
  <c r="AN33" i="88"/>
  <c r="M33" i="88" s="1"/>
  <c r="N33" i="88" s="1"/>
  <c r="O33" i="88" s="1"/>
  <c r="Z33" i="88"/>
  <c r="Y33" i="88"/>
  <c r="U33" i="88"/>
  <c r="K33" i="88"/>
  <c r="AI33" i="88" s="1"/>
  <c r="E33" i="88"/>
  <c r="AN32" i="88"/>
  <c r="M32" i="88" s="1"/>
  <c r="Z32" i="88"/>
  <c r="Y32" i="88"/>
  <c r="U32" i="88"/>
  <c r="AJ32" i="88" s="1"/>
  <c r="K32" i="88"/>
  <c r="AI32" i="88" s="1"/>
  <c r="E32" i="88"/>
  <c r="AN31" i="88"/>
  <c r="M31" i="88" s="1"/>
  <c r="N31" i="88" s="1"/>
  <c r="Z31" i="88"/>
  <c r="Y31" i="88"/>
  <c r="U31" i="88"/>
  <c r="AJ31" i="88" s="1"/>
  <c r="K31" i="88"/>
  <c r="E31" i="88"/>
  <c r="AN30" i="88"/>
  <c r="M30" i="88" s="1"/>
  <c r="N30" i="88" s="1"/>
  <c r="Z30" i="88"/>
  <c r="Y30" i="88"/>
  <c r="U30" i="88"/>
  <c r="AJ30" i="88" s="1"/>
  <c r="K30" i="88"/>
  <c r="AH30" i="88" s="1"/>
  <c r="E30" i="88"/>
  <c r="AN29" i="88"/>
  <c r="M29" i="88" s="1"/>
  <c r="Z29" i="88"/>
  <c r="Y29" i="88"/>
  <c r="U29" i="88"/>
  <c r="K29" i="88"/>
  <c r="AH29" i="88" s="1"/>
  <c r="E29" i="88"/>
  <c r="AN28" i="88"/>
  <c r="M28" i="88" s="1"/>
  <c r="N28" i="88" s="1"/>
  <c r="Z28" i="88"/>
  <c r="Y28" i="88"/>
  <c r="U28" i="88"/>
  <c r="AD28" i="88" s="1"/>
  <c r="K28" i="88"/>
  <c r="E28" i="88"/>
  <c r="AN27" i="88"/>
  <c r="M27" i="88" s="1"/>
  <c r="Z27" i="88"/>
  <c r="Y27" i="88"/>
  <c r="U27" i="88"/>
  <c r="AD27" i="88" s="1"/>
  <c r="K27" i="88"/>
  <c r="E27" i="88"/>
  <c r="AN26" i="88"/>
  <c r="M26" i="88" s="1"/>
  <c r="O26" i="88" s="1"/>
  <c r="Z26" i="88"/>
  <c r="Y26" i="88"/>
  <c r="U26" i="88"/>
  <c r="K26" i="88"/>
  <c r="AI26" i="88" s="1"/>
  <c r="E26" i="88"/>
  <c r="AN25" i="88"/>
  <c r="Z25" i="88"/>
  <c r="Y25" i="88"/>
  <c r="U25" i="88"/>
  <c r="AD25" i="88" s="1"/>
  <c r="M25" i="88"/>
  <c r="N25" i="88" s="1"/>
  <c r="K25" i="88"/>
  <c r="AH25" i="88" s="1"/>
  <c r="E25" i="88"/>
  <c r="AN24" i="88"/>
  <c r="Z24" i="88"/>
  <c r="Y24" i="88"/>
  <c r="U24" i="88"/>
  <c r="AD24" i="88" s="1"/>
  <c r="M24" i="88"/>
  <c r="O24" i="88" s="1"/>
  <c r="K24" i="88"/>
  <c r="E24" i="88"/>
  <c r="AN23" i="88"/>
  <c r="M23" i="88" s="1"/>
  <c r="N23" i="88" s="1"/>
  <c r="Z23" i="88"/>
  <c r="Y23" i="88"/>
  <c r="U23" i="88"/>
  <c r="K23" i="88"/>
  <c r="AI23" i="88" s="1"/>
  <c r="E23" i="88"/>
  <c r="AN22" i="88"/>
  <c r="M22" i="88" s="1"/>
  <c r="N22" i="88" s="1"/>
  <c r="Z22" i="88"/>
  <c r="Y22" i="88"/>
  <c r="U22" i="88"/>
  <c r="AD22" i="88" s="1"/>
  <c r="K22" i="88"/>
  <c r="AI22" i="88" s="1"/>
  <c r="E22" i="88"/>
  <c r="AN21" i="88"/>
  <c r="M21" i="88" s="1"/>
  <c r="Z21" i="88"/>
  <c r="Y21" i="88"/>
  <c r="U21" i="88"/>
  <c r="K21" i="88"/>
  <c r="E21" i="88"/>
  <c r="AN20" i="88"/>
  <c r="M20" i="88" s="1"/>
  <c r="Z20" i="88"/>
  <c r="Y20" i="88"/>
  <c r="U20" i="88"/>
  <c r="AJ20" i="88" s="1"/>
  <c r="K20" i="88"/>
  <c r="AH20" i="88" s="1"/>
  <c r="E20" i="88"/>
  <c r="AN19" i="88"/>
  <c r="M19" i="88" s="1"/>
  <c r="N19" i="88" s="1"/>
  <c r="Z19" i="88"/>
  <c r="Y19" i="88"/>
  <c r="U19" i="88"/>
  <c r="AD19" i="88" s="1"/>
  <c r="K19" i="88"/>
  <c r="AH19" i="88" s="1"/>
  <c r="E19" i="88"/>
  <c r="AN18" i="88"/>
  <c r="M18" i="88" s="1"/>
  <c r="N18" i="88" s="1"/>
  <c r="O18" i="88" s="1"/>
  <c r="Y18" i="88"/>
  <c r="AE18" i="88" s="1"/>
  <c r="U18" i="88"/>
  <c r="AJ18" i="88" s="1"/>
  <c r="K18" i="88"/>
  <c r="E18" i="88"/>
  <c r="AW38" i="88"/>
  <c r="AY38" i="88" s="1"/>
  <c r="BA38" i="88" s="1"/>
  <c r="AN17" i="88"/>
  <c r="M17" i="88" s="1"/>
  <c r="Z17" i="88"/>
  <c r="Y17" i="88"/>
  <c r="U17" i="88"/>
  <c r="AJ17" i="88" s="1"/>
  <c r="K17" i="88"/>
  <c r="E17" i="88"/>
  <c r="AW37" i="88"/>
  <c r="AY37" i="88" s="1"/>
  <c r="BA37" i="88" s="1"/>
  <c r="AW36" i="88"/>
  <c r="AY36" i="88" s="1"/>
  <c r="BA36" i="88" s="1"/>
  <c r="AN16" i="88"/>
  <c r="M16" i="88" s="1"/>
  <c r="Y16" i="88"/>
  <c r="AE16" i="88" s="1"/>
  <c r="U16" i="88"/>
  <c r="K16" i="88"/>
  <c r="E16" i="88"/>
  <c r="AW35" i="88"/>
  <c r="AY35" i="88" s="1"/>
  <c r="BA35" i="88" s="1"/>
  <c r="AN15" i="88"/>
  <c r="M15" i="88" s="1"/>
  <c r="Y15" i="88"/>
  <c r="AE15" i="88" s="1"/>
  <c r="U15" i="88"/>
  <c r="K15" i="88"/>
  <c r="E15" i="88"/>
  <c r="AW34" i="88"/>
  <c r="AY34" i="88" s="1"/>
  <c r="BA34" i="88" s="1"/>
  <c r="AN14" i="88"/>
  <c r="M14" i="88" s="1"/>
  <c r="N14" i="88" s="1"/>
  <c r="O14" i="88" s="1"/>
  <c r="Y14" i="88"/>
  <c r="U14" i="88"/>
  <c r="K14" i="88"/>
  <c r="AI14" i="88" s="1"/>
  <c r="E14" i="88"/>
  <c r="AW33" i="88"/>
  <c r="AY33" i="88" s="1"/>
  <c r="BA33" i="88" s="1"/>
  <c r="AN13" i="88"/>
  <c r="M13" i="88" s="1"/>
  <c r="O13" i="88" s="1"/>
  <c r="Z13" i="88"/>
  <c r="Y13" i="88"/>
  <c r="U13" i="88"/>
  <c r="AJ13" i="88" s="1"/>
  <c r="K13" i="88"/>
  <c r="E13" i="88"/>
  <c r="AN12" i="88"/>
  <c r="M12" i="88" s="1"/>
  <c r="N12" i="88" s="1"/>
  <c r="AE12" i="88"/>
  <c r="AA12" i="88"/>
  <c r="U12" i="88"/>
  <c r="AD12" i="88" s="1"/>
  <c r="S12" i="88"/>
  <c r="AC12" i="88" s="1"/>
  <c r="K12" i="88"/>
  <c r="AK12" i="88" s="1"/>
  <c r="E12" i="88"/>
  <c r="AN11" i="88"/>
  <c r="M11" i="88" s="1"/>
  <c r="Z11" i="88"/>
  <c r="Y11" i="88"/>
  <c r="U11" i="88"/>
  <c r="K11" i="88"/>
  <c r="E11" i="88"/>
  <c r="AN10" i="88"/>
  <c r="M10" i="88" s="1"/>
  <c r="Z10" i="88"/>
  <c r="Y10" i="88"/>
  <c r="U10" i="88"/>
  <c r="AD10" i="88" s="1"/>
  <c r="K10" i="88"/>
  <c r="AH10" i="88" s="1"/>
  <c r="E10" i="88"/>
  <c r="AN9" i="88"/>
  <c r="M9" i="88" s="1"/>
  <c r="O9" i="88" s="1"/>
  <c r="S9" i="88" s="1"/>
  <c r="AC9" i="88" s="1"/>
  <c r="Z9" i="88"/>
  <c r="AE9" i="88" s="1"/>
  <c r="U9" i="88"/>
  <c r="K9" i="88"/>
  <c r="E9" i="88"/>
  <c r="BB18" i="88"/>
  <c r="AW18" i="88"/>
  <c r="BB17" i="88"/>
  <c r="AW17" i="88"/>
  <c r="BB16" i="88"/>
  <c r="AW16" i="88"/>
  <c r="AN8" i="88"/>
  <c r="Z8" i="88"/>
  <c r="Y8" i="88"/>
  <c r="U8" i="88"/>
  <c r="AJ8" i="88" s="1"/>
  <c r="N8" i="88"/>
  <c r="O8" i="88" s="1"/>
  <c r="S8" i="88" s="1"/>
  <c r="K8" i="88"/>
  <c r="E8" i="88"/>
  <c r="BB15" i="88"/>
  <c r="AW15" i="88"/>
  <c r="BB14" i="88"/>
  <c r="AW14" i="88"/>
  <c r="BB13" i="88"/>
  <c r="AW13" i="88"/>
  <c r="AN7" i="88"/>
  <c r="M7" i="88" s="1"/>
  <c r="Z7" i="88"/>
  <c r="Y7" i="88"/>
  <c r="U7" i="88"/>
  <c r="AJ7" i="88" s="1"/>
  <c r="K7" i="88"/>
  <c r="AI7" i="88" s="1"/>
  <c r="E7" i="88"/>
  <c r="AN6" i="88"/>
  <c r="M6" i="88" s="1"/>
  <c r="N6" i="88" s="1"/>
  <c r="O6" i="88" s="1"/>
  <c r="Z6" i="88"/>
  <c r="Y6" i="88"/>
  <c r="U6" i="88"/>
  <c r="AD6" i="88" s="1"/>
  <c r="K6" i="88"/>
  <c r="AI6" i="88" s="1"/>
  <c r="E6" i="88"/>
  <c r="AN5" i="88"/>
  <c r="M5" i="88" s="1"/>
  <c r="Z5" i="88"/>
  <c r="Y5" i="88"/>
  <c r="U5" i="88"/>
  <c r="K5" i="88"/>
  <c r="E5" i="88"/>
  <c r="I2" i="88"/>
  <c r="AH61" i="88" l="1"/>
  <c r="AH35" i="88"/>
  <c r="AH90" i="88"/>
  <c r="AA8" i="88"/>
  <c r="AB8" i="88" s="1"/>
  <c r="AM8" i="88" s="1"/>
  <c r="AI98" i="88"/>
  <c r="AI20" i="88"/>
  <c r="AI92" i="88"/>
  <c r="AH33" i="88"/>
  <c r="AH79" i="88"/>
  <c r="AI72" i="88"/>
  <c r="AH42" i="88"/>
  <c r="AF101" i="88"/>
  <c r="AF100" i="88"/>
  <c r="AD44" i="88"/>
  <c r="AA102" i="88"/>
  <c r="AB102" i="88" s="1"/>
  <c r="AM102" i="88" s="1"/>
  <c r="AA19" i="88"/>
  <c r="AD20" i="88"/>
  <c r="AA29" i="88"/>
  <c r="AK13" i="88"/>
  <c r="AF34" i="88"/>
  <c r="AE41" i="88"/>
  <c r="AE50" i="88"/>
  <c r="AA52" i="88"/>
  <c r="AE66" i="88"/>
  <c r="AD84" i="88"/>
  <c r="AE20" i="88"/>
  <c r="AE21" i="88"/>
  <c r="AE26" i="88"/>
  <c r="AA77" i="88"/>
  <c r="AB77" i="88" s="1"/>
  <c r="AM77" i="88" s="1"/>
  <c r="AA49" i="88"/>
  <c r="AE51" i="88"/>
  <c r="AJ52" i="88"/>
  <c r="AE72" i="88"/>
  <c r="AA80" i="88"/>
  <c r="AJ34" i="88"/>
  <c r="AA67" i="88"/>
  <c r="O53" i="88"/>
  <c r="S53" i="88" s="1"/>
  <c r="AC53" i="88" s="1"/>
  <c r="AJ35" i="88"/>
  <c r="AJ63" i="88"/>
  <c r="O73" i="88"/>
  <c r="S73" i="88" s="1"/>
  <c r="AC73" i="88" s="1"/>
  <c r="AA37" i="88"/>
  <c r="AJ46" i="88"/>
  <c r="AJ92" i="88"/>
  <c r="AD80" i="88"/>
  <c r="AH83" i="88"/>
  <c r="AD31" i="88"/>
  <c r="AK34" i="88"/>
  <c r="AI64" i="88"/>
  <c r="AJ90" i="88"/>
  <c r="AE17" i="88"/>
  <c r="AE29" i="88"/>
  <c r="S34" i="88"/>
  <c r="AC34" i="88" s="1"/>
  <c r="AH48" i="88"/>
  <c r="AI101" i="88"/>
  <c r="AI29" i="88"/>
  <c r="AH74" i="88"/>
  <c r="AI86" i="88"/>
  <c r="AJ66" i="88"/>
  <c r="AK26" i="88"/>
  <c r="AK50" i="88"/>
  <c r="AD18" i="88"/>
  <c r="AE40" i="88"/>
  <c r="AD97" i="88"/>
  <c r="AE58" i="88"/>
  <c r="AD69" i="88"/>
  <c r="AJ71" i="88"/>
  <c r="AD95" i="88"/>
  <c r="AK101" i="88"/>
  <c r="AF12" i="88"/>
  <c r="AG12" i="88" s="1"/>
  <c r="AH23" i="88"/>
  <c r="AA32" i="88"/>
  <c r="AA51" i="88"/>
  <c r="AJ58" i="88"/>
  <c r="AE95" i="88"/>
  <c r="AJ10" i="88"/>
  <c r="AW32" i="88"/>
  <c r="AY32" i="88" s="1"/>
  <c r="BA32" i="88" s="1"/>
  <c r="AE30" i="88"/>
  <c r="AD32" i="88"/>
  <c r="AD51" i="88"/>
  <c r="AE53" i="88"/>
  <c r="AE93" i="88"/>
  <c r="AI19" i="88"/>
  <c r="AD30" i="88"/>
  <c r="AH32" i="88"/>
  <c r="AD43" i="88"/>
  <c r="AD45" i="88"/>
  <c r="AD56" i="88"/>
  <c r="AJ65" i="88"/>
  <c r="AI73" i="88"/>
  <c r="AE97" i="88"/>
  <c r="AE23" i="88"/>
  <c r="AI25" i="88"/>
  <c r="AH41" i="88"/>
  <c r="AI45" i="88"/>
  <c r="AD98" i="88"/>
  <c r="AE100" i="88"/>
  <c r="AA59" i="88"/>
  <c r="AD61" i="88"/>
  <c r="AE74" i="88"/>
  <c r="AE94" i="88"/>
  <c r="AH96" i="88"/>
  <c r="AH6" i="88"/>
  <c r="AH22" i="88"/>
  <c r="AI59" i="88"/>
  <c r="AE68" i="88"/>
  <c r="AA92" i="88"/>
  <c r="AJ94" i="88"/>
  <c r="AA71" i="88"/>
  <c r="AE82" i="88"/>
  <c r="AJ19" i="88"/>
  <c r="AI30" i="88"/>
  <c r="AF65" i="88"/>
  <c r="AE70" i="88"/>
  <c r="AD78" i="88"/>
  <c r="AD96" i="88"/>
  <c r="AD100" i="88"/>
  <c r="AJ22" i="88"/>
  <c r="AE48" i="88"/>
  <c r="AJ50" i="88"/>
  <c r="N10" i="88"/>
  <c r="O10" i="88" s="1"/>
  <c r="N70" i="88"/>
  <c r="O70" i="88" s="1"/>
  <c r="S70" i="88" s="1"/>
  <c r="AC70" i="88" s="1"/>
  <c r="AH24" i="88"/>
  <c r="AI24" i="88"/>
  <c r="AD68" i="88"/>
  <c r="AJ68" i="88"/>
  <c r="AA66" i="88"/>
  <c r="AA87" i="88"/>
  <c r="AE87" i="88"/>
  <c r="AK9" i="88"/>
  <c r="AI9" i="88"/>
  <c r="AH9" i="88"/>
  <c r="AI16" i="88"/>
  <c r="AH16" i="88"/>
  <c r="O22" i="88"/>
  <c r="AA34" i="88"/>
  <c r="AE34" i="88"/>
  <c r="AD53" i="88"/>
  <c r="AD60" i="88"/>
  <c r="AD62" i="88"/>
  <c r="AJ62" i="88"/>
  <c r="AE80" i="88"/>
  <c r="AD8" i="88"/>
  <c r="AD38" i="88"/>
  <c r="AJ38" i="88"/>
  <c r="AA40" i="88"/>
  <c r="AE60" i="88"/>
  <c r="AD73" i="88"/>
  <c r="AH94" i="88"/>
  <c r="AD7" i="88"/>
  <c r="AF8" i="88"/>
  <c r="AA17" i="88"/>
  <c r="AA20" i="88"/>
  <c r="AJ24" i="88"/>
  <c r="AH34" i="88"/>
  <c r="AH36" i="88"/>
  <c r="AI36" i="88"/>
  <c r="AD48" i="88"/>
  <c r="AJ48" i="88"/>
  <c r="AH7" i="88"/>
  <c r="AD17" i="88"/>
  <c r="AI34" i="88"/>
  <c r="AI44" i="88"/>
  <c r="AA46" i="88"/>
  <c r="AF75" i="88"/>
  <c r="AA76" i="88"/>
  <c r="AB76" i="88" s="1"/>
  <c r="AM76" i="88" s="1"/>
  <c r="AE76" i="88"/>
  <c r="AA101" i="88"/>
  <c r="AE101" i="88"/>
  <c r="N11" i="88"/>
  <c r="O11" i="88" s="1"/>
  <c r="AH14" i="88"/>
  <c r="AA16" i="88"/>
  <c r="AJ29" i="88"/>
  <c r="AD29" i="88"/>
  <c r="AD36" i="88"/>
  <c r="AJ36" i="88"/>
  <c r="AI43" i="88"/>
  <c r="AH43" i="88"/>
  <c r="AA36" i="88"/>
  <c r="AE36" i="88"/>
  <c r="AA48" i="88"/>
  <c r="O63" i="88"/>
  <c r="S63" i="88" s="1"/>
  <c r="AC63" i="88" s="1"/>
  <c r="AJ75" i="88"/>
  <c r="AK88" i="88"/>
  <c r="AH88" i="88"/>
  <c r="AI21" i="88"/>
  <c r="AH21" i="88"/>
  <c r="AD23" i="88"/>
  <c r="AJ23" i="88"/>
  <c r="AJ33" i="88"/>
  <c r="AD33" i="88"/>
  <c r="AA99" i="88"/>
  <c r="AH99" i="88"/>
  <c r="AI99" i="88"/>
  <c r="AA57" i="88"/>
  <c r="AE57" i="88"/>
  <c r="AA61" i="88"/>
  <c r="AE61" i="88"/>
  <c r="AJ72" i="88"/>
  <c r="AD72" i="88"/>
  <c r="AI91" i="88"/>
  <c r="AK91" i="88"/>
  <c r="AJ21" i="88"/>
  <c r="AD21" i="88"/>
  <c r="AA41" i="88"/>
  <c r="AA43" i="88"/>
  <c r="AE43" i="88"/>
  <c r="AE19" i="88"/>
  <c r="AA23" i="88"/>
  <c r="AI49" i="88"/>
  <c r="AH49" i="88"/>
  <c r="AJ91" i="88"/>
  <c r="AF91" i="88"/>
  <c r="AD91" i="88"/>
  <c r="AE67" i="88"/>
  <c r="AD82" i="88"/>
  <c r="AJ6" i="88"/>
  <c r="AA21" i="88"/>
  <c r="AJ25" i="88"/>
  <c r="AA35" i="88"/>
  <c r="AJ47" i="88"/>
  <c r="AD47" i="88"/>
  <c r="AH91" i="88"/>
  <c r="AI10" i="88"/>
  <c r="AA15" i="88"/>
  <c r="AE37" i="88"/>
  <c r="AI40" i="88"/>
  <c r="AH40" i="88"/>
  <c r="AJ55" i="88"/>
  <c r="AA83" i="88"/>
  <c r="AE83" i="88"/>
  <c r="AW30" i="88"/>
  <c r="AY30" i="88" s="1"/>
  <c r="BA30" i="88" s="1"/>
  <c r="AE45" i="88"/>
  <c r="O78" i="88"/>
  <c r="AF78" i="88" s="1"/>
  <c r="AA82" i="88"/>
  <c r="O99" i="88"/>
  <c r="S99" i="88" s="1"/>
  <c r="AC99" i="88" s="1"/>
  <c r="AH76" i="88"/>
  <c r="AI80" i="88"/>
  <c r="AE62" i="88"/>
  <c r="AE64" i="88"/>
  <c r="AI76" i="88"/>
  <c r="AI52" i="88"/>
  <c r="AA54" i="88"/>
  <c r="AE54" i="88"/>
  <c r="AH67" i="88"/>
  <c r="AD26" i="88"/>
  <c r="AJ26" i="88"/>
  <c r="AE44" i="88"/>
  <c r="N80" i="88"/>
  <c r="O80" i="88" s="1"/>
  <c r="AA22" i="88"/>
  <c r="AE24" i="88"/>
  <c r="AE31" i="88"/>
  <c r="AA70" i="88"/>
  <c r="AE102" i="88"/>
  <c r="AA69" i="88"/>
  <c r="AX15" i="88" a="1"/>
  <c r="AX15" i="88" s="1"/>
  <c r="BA15" i="88" s="1"/>
  <c r="AA27" i="88"/>
  <c r="AF6" i="88"/>
  <c r="AK6" i="88"/>
  <c r="S6" i="88"/>
  <c r="AC6" i="88" s="1"/>
  <c r="AF14" i="88"/>
  <c r="S14" i="88"/>
  <c r="AC14" i="88" s="1"/>
  <c r="AF33" i="88"/>
  <c r="S33" i="88"/>
  <c r="AC33" i="88" s="1"/>
  <c r="AK33" i="88"/>
  <c r="N83" i="88"/>
  <c r="O83" i="88" s="1"/>
  <c r="AD9" i="88"/>
  <c r="AJ9" i="88"/>
  <c r="AF9" i="88"/>
  <c r="S18" i="88"/>
  <c r="AC18" i="88" s="1"/>
  <c r="AF18" i="88"/>
  <c r="AA89" i="88"/>
  <c r="AE89" i="88"/>
  <c r="AI39" i="88"/>
  <c r="AH39" i="88"/>
  <c r="AA79" i="88"/>
  <c r="AE79" i="88"/>
  <c r="N29" i="88"/>
  <c r="O29" i="88" s="1"/>
  <c r="AJ102" i="88"/>
  <c r="AD102" i="88"/>
  <c r="AF102" i="88"/>
  <c r="AD5" i="88"/>
  <c r="AJ5" i="88"/>
  <c r="N54" i="88"/>
  <c r="O54" i="88" s="1"/>
  <c r="AD74" i="88"/>
  <c r="AJ74" i="88"/>
  <c r="AX14" i="88" a="1"/>
  <c r="AX14" i="88" s="1"/>
  <c r="N46" i="88"/>
  <c r="O46" i="88" s="1"/>
  <c r="AD54" i="88"/>
  <c r="AJ54" i="88"/>
  <c r="AI100" i="88"/>
  <c r="AH100" i="88"/>
  <c r="AK100" i="88"/>
  <c r="AX16" i="88" a="1"/>
  <c r="AX16" i="88" s="1"/>
  <c r="AA24" i="88"/>
  <c r="N27" i="88"/>
  <c r="O27" i="88" s="1"/>
  <c r="AJ41" i="88"/>
  <c r="AD41" i="88"/>
  <c r="AI50" i="88"/>
  <c r="AH50" i="88"/>
  <c r="O69" i="88"/>
  <c r="AK69" i="88" s="1"/>
  <c r="AC8" i="88"/>
  <c r="O30" i="88"/>
  <c r="AA75" i="88"/>
  <c r="AB75" i="88" s="1"/>
  <c r="AM75" i="88" s="1"/>
  <c r="AE75" i="88"/>
  <c r="S79" i="88"/>
  <c r="AC79" i="88" s="1"/>
  <c r="AF79" i="88"/>
  <c r="AK79" i="88"/>
  <c r="AJ89" i="88"/>
  <c r="AD89" i="88"/>
  <c r="N55" i="88"/>
  <c r="O55" i="88" s="1"/>
  <c r="AE6" i="88"/>
  <c r="AA6" i="88"/>
  <c r="AF24" i="88"/>
  <c r="S24" i="88"/>
  <c r="AC24" i="88" s="1"/>
  <c r="AD70" i="88"/>
  <c r="AJ70" i="88"/>
  <c r="AD79" i="88"/>
  <c r="AE5" i="88"/>
  <c r="AA5" i="88"/>
  <c r="N49" i="88"/>
  <c r="O49" i="88" s="1"/>
  <c r="AX17" i="88" a="1"/>
  <c r="AX17" i="88" s="1"/>
  <c r="AF13" i="88"/>
  <c r="S13" i="88"/>
  <c r="AC13" i="88" s="1"/>
  <c r="S50" i="88"/>
  <c r="AC50" i="88" s="1"/>
  <c r="AF50" i="88"/>
  <c r="O31" i="88"/>
  <c r="AI53" i="88"/>
  <c r="AH53" i="88"/>
  <c r="N87" i="88"/>
  <c r="O87" i="88" s="1"/>
  <c r="N7" i="88"/>
  <c r="O7" i="88" s="1"/>
  <c r="AA11" i="88"/>
  <c r="AE11" i="88"/>
  <c r="O40" i="88"/>
  <c r="S43" i="88"/>
  <c r="AC43" i="88" s="1"/>
  <c r="AF43" i="88"/>
  <c r="AH51" i="88"/>
  <c r="AA63" i="88"/>
  <c r="AK8" i="88"/>
  <c r="AI8" i="88"/>
  <c r="AH8" i="88"/>
  <c r="N45" i="88"/>
  <c r="O45" i="88" s="1"/>
  <c r="AH62" i="88"/>
  <c r="AI62" i="88"/>
  <c r="N86" i="88"/>
  <c r="O86" i="88" s="1"/>
  <c r="AA14" i="88"/>
  <c r="AE14" i="88"/>
  <c r="N66" i="88"/>
  <c r="O66" i="88" s="1"/>
  <c r="AW10" i="88"/>
  <c r="AX10" i="88" s="1" a="1"/>
  <c r="AX10" i="88" s="1"/>
  <c r="AI5" i="88"/>
  <c r="AH5" i="88"/>
  <c r="AI17" i="88"/>
  <c r="AH17" i="88"/>
  <c r="AA9" i="88"/>
  <c r="AB9" i="88" s="1"/>
  <c r="AM9" i="88" s="1"/>
  <c r="N17" i="88"/>
  <c r="O17" i="88" s="1"/>
  <c r="AK17" i="88" s="1"/>
  <c r="AX13" i="88" a="1"/>
  <c r="AX13" i="88" s="1"/>
  <c r="AD15" i="88"/>
  <c r="AJ15" i="88"/>
  <c r="AH31" i="88"/>
  <c r="AI31" i="88"/>
  <c r="AH93" i="88"/>
  <c r="AI93" i="88"/>
  <c r="K2" i="88"/>
  <c r="AI28" i="88"/>
  <c r="AH28" i="88"/>
  <c r="S60" i="88"/>
  <c r="AC60" i="88" s="1"/>
  <c r="AF60" i="88"/>
  <c r="N64" i="88"/>
  <c r="O64" i="88" s="1"/>
  <c r="AW11" i="88"/>
  <c r="AX11" i="88" s="1" a="1"/>
  <c r="AX11" i="88" s="1"/>
  <c r="AJ11" i="88"/>
  <c r="AD11" i="88"/>
  <c r="AD93" i="88"/>
  <c r="AJ93" i="88"/>
  <c r="N15" i="88"/>
  <c r="O15" i="88" s="1"/>
  <c r="AJ40" i="88"/>
  <c r="AD40" i="88"/>
  <c r="AA55" i="88"/>
  <c r="AE55" i="88"/>
  <c r="AD57" i="88"/>
  <c r="AJ57" i="88"/>
  <c r="O62" i="88"/>
  <c r="AH68" i="88"/>
  <c r="AI68" i="88"/>
  <c r="AD86" i="88"/>
  <c r="AJ86" i="88"/>
  <c r="N97" i="88"/>
  <c r="O97" i="88" s="1"/>
  <c r="AA10" i="88"/>
  <c r="AE10" i="88"/>
  <c r="AD42" i="88"/>
  <c r="AJ42" i="88"/>
  <c r="AE42" i="88"/>
  <c r="AA42" i="88"/>
  <c r="N32" i="88"/>
  <c r="O32" i="88" s="1"/>
  <c r="N48" i="88"/>
  <c r="O48" i="88" s="1"/>
  <c r="AD16" i="88"/>
  <c r="AJ16" i="88"/>
  <c r="AE33" i="88"/>
  <c r="AA33" i="88"/>
  <c r="N39" i="88"/>
  <c r="O39" i="88" s="1"/>
  <c r="AI54" i="88"/>
  <c r="AH54" i="88"/>
  <c r="N61" i="88"/>
  <c r="O61" i="88" s="1"/>
  <c r="S67" i="88"/>
  <c r="AC67" i="88" s="1"/>
  <c r="AK67" i="88"/>
  <c r="AF67" i="88"/>
  <c r="AH69" i="88"/>
  <c r="AI69" i="88"/>
  <c r="AW12" i="88"/>
  <c r="AX12" i="88" s="1" a="1"/>
  <c r="AX12" i="88" s="1"/>
  <c r="AI78" i="88"/>
  <c r="AH78" i="88"/>
  <c r="AW31" i="88"/>
  <c r="AY31" i="88" s="1"/>
  <c r="BA31" i="88" s="1"/>
  <c r="S82" i="88"/>
  <c r="AC82" i="88" s="1"/>
  <c r="AF82" i="88"/>
  <c r="AD14" i="88"/>
  <c r="AJ14" i="88"/>
  <c r="N20" i="88"/>
  <c r="O20" i="88" s="1"/>
  <c r="AK20" i="88" s="1"/>
  <c r="AE86" i="88"/>
  <c r="AA86" i="88"/>
  <c r="AH77" i="88"/>
  <c r="AK77" i="88"/>
  <c r="AI77" i="88"/>
  <c r="S92" i="88"/>
  <c r="AC92" i="88" s="1"/>
  <c r="O96" i="88"/>
  <c r="AA100" i="88"/>
  <c r="AI13" i="88"/>
  <c r="AH13" i="88"/>
  <c r="AH38" i="88"/>
  <c r="O51" i="88"/>
  <c r="AK51" i="88" s="1"/>
  <c r="S52" i="88"/>
  <c r="AK52" i="88"/>
  <c r="N56" i="88"/>
  <c r="O56" i="88" s="1"/>
  <c r="AK56" i="88" s="1"/>
  <c r="O68" i="88"/>
  <c r="AF72" i="88"/>
  <c r="S72" i="88"/>
  <c r="AC72" i="88" s="1"/>
  <c r="AK72" i="88"/>
  <c r="AF85" i="88"/>
  <c r="S26" i="88"/>
  <c r="AC26" i="88" s="1"/>
  <c r="AF26" i="88"/>
  <c r="AE39" i="88"/>
  <c r="AA39" i="88"/>
  <c r="AI66" i="88"/>
  <c r="AH66" i="88"/>
  <c r="AE69" i="88"/>
  <c r="S85" i="88"/>
  <c r="AC85" i="88" s="1"/>
  <c r="S88" i="88"/>
  <c r="AC88" i="88" s="1"/>
  <c r="AF88" i="88"/>
  <c r="AI95" i="88"/>
  <c r="AH60" i="88"/>
  <c r="AK60" i="88"/>
  <c r="AA84" i="88"/>
  <c r="AB84" i="88" s="1"/>
  <c r="AM84" i="88" s="1"/>
  <c r="AE84" i="88"/>
  <c r="AA31" i="88"/>
  <c r="AI71" i="88"/>
  <c r="AH71" i="88"/>
  <c r="AJ39" i="88"/>
  <c r="AK43" i="88"/>
  <c r="O37" i="88"/>
  <c r="AK37" i="88" s="1"/>
  <c r="AE38" i="88"/>
  <c r="AA38" i="88"/>
  <c r="AK65" i="88"/>
  <c r="AI65" i="88"/>
  <c r="AA68" i="88"/>
  <c r="AA72" i="88"/>
  <c r="AH82" i="88"/>
  <c r="AK82" i="88"/>
  <c r="AC91" i="88"/>
  <c r="AF92" i="88"/>
  <c r="AA26" i="88"/>
  <c r="AI87" i="88"/>
  <c r="AE7" i="88"/>
  <c r="AB12" i="88"/>
  <c r="AM12" i="88" s="1"/>
  <c r="AJ12" i="88"/>
  <c r="AH15" i="88"/>
  <c r="AI15" i="88"/>
  <c r="O19" i="88"/>
  <c r="AA25" i="88"/>
  <c r="AE25" i="88"/>
  <c r="AJ37" i="88"/>
  <c r="AD37" i="88"/>
  <c r="AI47" i="88"/>
  <c r="AE52" i="88"/>
  <c r="O58" i="88"/>
  <c r="AK58" i="88" s="1"/>
  <c r="AD77" i="88"/>
  <c r="AK85" i="88"/>
  <c r="AI88" i="88"/>
  <c r="AI18" i="88"/>
  <c r="AH18" i="88"/>
  <c r="AI27" i="88"/>
  <c r="AH27" i="88"/>
  <c r="AE28" i="88"/>
  <c r="AA28" i="88"/>
  <c r="AI56" i="88"/>
  <c r="AH56" i="88"/>
  <c r="AA78" i="88"/>
  <c r="AE78" i="88"/>
  <c r="AX18" i="88" a="1"/>
  <c r="AX18" i="88" s="1"/>
  <c r="AJ85" i="88"/>
  <c r="AD85" i="88"/>
  <c r="AH12" i="88"/>
  <c r="AI12" i="88"/>
  <c r="AI37" i="88"/>
  <c r="O59" i="88"/>
  <c r="AF84" i="88"/>
  <c r="AA85" i="88"/>
  <c r="AE85" i="88"/>
  <c r="AA88" i="88"/>
  <c r="AE88" i="88"/>
  <c r="AJ99" i="88"/>
  <c r="AD99" i="88"/>
  <c r="O25" i="88"/>
  <c r="AK25" i="88" s="1"/>
  <c r="AE27" i="88"/>
  <c r="AJ28" i="88"/>
  <c r="N41" i="88"/>
  <c r="O41" i="88" s="1"/>
  <c r="S65" i="88"/>
  <c r="AC65" i="88" s="1"/>
  <c r="N90" i="88"/>
  <c r="O90" i="88" s="1"/>
  <c r="N94" i="88"/>
  <c r="O94" i="88" s="1"/>
  <c r="AA98" i="88"/>
  <c r="AH11" i="88"/>
  <c r="AI11" i="88"/>
  <c r="AK14" i="88"/>
  <c r="AK18" i="88"/>
  <c r="AJ27" i="88"/>
  <c r="N36" i="88"/>
  <c r="O36" i="88" s="1"/>
  <c r="AF52" i="88"/>
  <c r="AH63" i="88"/>
  <c r="AE65" i="88"/>
  <c r="AA65" i="88"/>
  <c r="AD67" i="88"/>
  <c r="AH70" i="88"/>
  <c r="AI70" i="88"/>
  <c r="AE77" i="88"/>
  <c r="AA73" i="88"/>
  <c r="AE73" i="88"/>
  <c r="N21" i="88"/>
  <c r="O21" i="88" s="1"/>
  <c r="AW29" i="88"/>
  <c r="AY29" i="88" s="1"/>
  <c r="BA29" i="88" s="1"/>
  <c r="AW9" i="88"/>
  <c r="AJ88" i="88"/>
  <c r="AD88" i="88"/>
  <c r="N98" i="88"/>
  <c r="O98" i="88" s="1"/>
  <c r="AA18" i="88"/>
  <c r="AE47" i="88"/>
  <c r="AA47" i="88"/>
  <c r="AA56" i="88"/>
  <c r="AI58" i="88"/>
  <c r="AH58" i="88"/>
  <c r="N71" i="88"/>
  <c r="O71" i="88" s="1"/>
  <c r="AK71" i="88" s="1"/>
  <c r="O44" i="88"/>
  <c r="AH47" i="88"/>
  <c r="AA7" i="88"/>
  <c r="AD13" i="88"/>
  <c r="AE22" i="88"/>
  <c r="O23" i="88"/>
  <c r="AH26" i="88"/>
  <c r="AI38" i="88"/>
  <c r="N42" i="88"/>
  <c r="O42" i="88" s="1"/>
  <c r="AH57" i="88"/>
  <c r="AI60" i="88"/>
  <c r="AF77" i="88"/>
  <c r="AD83" i="88"/>
  <c r="AI97" i="88"/>
  <c r="AH97" i="88"/>
  <c r="S101" i="88"/>
  <c r="AC101" i="88" s="1"/>
  <c r="AH55" i="88"/>
  <c r="AH84" i="88"/>
  <c r="AK84" i="88"/>
  <c r="AA13" i="88"/>
  <c r="N16" i="88"/>
  <c r="O16" i="88" s="1"/>
  <c r="O28" i="88"/>
  <c r="AK28" i="88" s="1"/>
  <c r="N38" i="88"/>
  <c r="O38" i="88" s="1"/>
  <c r="AI46" i="88"/>
  <c r="N47" i="88"/>
  <c r="O47" i="88" s="1"/>
  <c r="AE13" i="88"/>
  <c r="AJ49" i="88"/>
  <c r="AD49" i="88"/>
  <c r="N93" i="88"/>
  <c r="O93" i="88" s="1"/>
  <c r="N95" i="88"/>
  <c r="O95" i="88" s="1"/>
  <c r="AK95" i="88" s="1"/>
  <c r="AA96" i="88"/>
  <c r="AE96" i="88"/>
  <c r="AE8" i="88"/>
  <c r="AE32" i="88"/>
  <c r="AA44" i="88"/>
  <c r="AE49" i="88"/>
  <c r="AA50" i="88"/>
  <c r="AJ87" i="88"/>
  <c r="N89" i="88"/>
  <c r="O89" i="88" s="1"/>
  <c r="S100" i="88"/>
  <c r="AC100" i="88" s="1"/>
  <c r="N5" i="88"/>
  <c r="O5" i="88" s="1"/>
  <c r="AA30" i="88"/>
  <c r="AA53" i="88"/>
  <c r="AE90" i="88"/>
  <c r="AA90" i="88"/>
  <c r="AK24" i="88"/>
  <c r="AD64" i="88"/>
  <c r="AJ76" i="88"/>
  <c r="AD76" i="88"/>
  <c r="O57" i="88"/>
  <c r="AJ59" i="88"/>
  <c r="AH85" i="88"/>
  <c r="AI85" i="88"/>
  <c r="AA45" i="88"/>
  <c r="AA91" i="88"/>
  <c r="AB91" i="88" s="1"/>
  <c r="AM91" i="88" s="1"/>
  <c r="AE91" i="88"/>
  <c r="N35" i="88"/>
  <c r="O35" i="88" s="1"/>
  <c r="AE46" i="88"/>
  <c r="AE71" i="88"/>
  <c r="N74" i="88"/>
  <c r="O74" i="88" s="1"/>
  <c r="AH75" i="88"/>
  <c r="AK75" i="88"/>
  <c r="AJ101" i="88"/>
  <c r="AI89" i="88"/>
  <c r="AK92" i="88"/>
  <c r="AK102" i="88"/>
  <c r="AI102" i="88"/>
  <c r="AK63" i="88" l="1"/>
  <c r="AG34" i="88"/>
  <c r="AB34" i="88"/>
  <c r="AM34" i="88" s="1"/>
  <c r="AK53" i="88"/>
  <c r="AF53" i="88"/>
  <c r="AG53" i="88" s="1"/>
  <c r="AK73" i="88"/>
  <c r="AB73" i="88"/>
  <c r="AM73" i="88" s="1"/>
  <c r="AG24" i="88"/>
  <c r="AG77" i="88"/>
  <c r="AF73" i="88"/>
  <c r="AG73" i="88" s="1"/>
  <c r="AB18" i="88"/>
  <c r="AM18" i="88" s="1"/>
  <c r="AG102" i="88"/>
  <c r="AB92" i="88"/>
  <c r="AM92" i="88" s="1"/>
  <c r="S78" i="88"/>
  <c r="AC78" i="88" s="1"/>
  <c r="AG78" i="88" s="1"/>
  <c r="AB13" i="88"/>
  <c r="AM13" i="88" s="1"/>
  <c r="AG75" i="88"/>
  <c r="AF99" i="88"/>
  <c r="AG99" i="88" s="1"/>
  <c r="AG65" i="88"/>
  <c r="AK11" i="88"/>
  <c r="AF11" i="88"/>
  <c r="AF10" i="88"/>
  <c r="S10" i="88"/>
  <c r="AC10" i="88" s="1"/>
  <c r="AK10" i="88"/>
  <c r="S80" i="88"/>
  <c r="AC80" i="88" s="1"/>
  <c r="AF80" i="88"/>
  <c r="AG100" i="88"/>
  <c r="AG60" i="88"/>
  <c r="AB63" i="88"/>
  <c r="AM63" i="88" s="1"/>
  <c r="AB65" i="88"/>
  <c r="AM65" i="88" s="1"/>
  <c r="AG92" i="88"/>
  <c r="AG76" i="88"/>
  <c r="AF63" i="88"/>
  <c r="AG63" i="88" s="1"/>
  <c r="AG101" i="88"/>
  <c r="AB43" i="88"/>
  <c r="AM43" i="88" s="1"/>
  <c r="AZ11" i="88" a="1"/>
  <c r="AZ11" i="88" s="1"/>
  <c r="AY11" i="88" s="1"/>
  <c r="AG67" i="88"/>
  <c r="AF22" i="88"/>
  <c r="AK22" i="88"/>
  <c r="AK78" i="88"/>
  <c r="S11" i="88"/>
  <c r="AF70" i="88"/>
  <c r="AG70" i="88" s="1"/>
  <c r="AG9" i="88"/>
  <c r="AB101" i="88"/>
  <c r="AM101" i="88" s="1"/>
  <c r="AI3" i="88"/>
  <c r="E1" i="88" s="1"/>
  <c r="S22" i="88"/>
  <c r="AC22" i="88" s="1"/>
  <c r="AG91" i="88"/>
  <c r="AB99" i="88"/>
  <c r="AM99" i="88" s="1"/>
  <c r="AK80" i="88"/>
  <c r="AK99" i="88"/>
  <c r="AK70" i="88"/>
  <c r="AZ9" i="88" a="1"/>
  <c r="AZ9" i="88" s="1"/>
  <c r="AG8" i="88"/>
  <c r="BB9" i="88"/>
  <c r="AG50" i="88"/>
  <c r="AG84" i="88"/>
  <c r="AG72" i="88"/>
  <c r="AB14" i="88"/>
  <c r="AM14" i="88" s="1"/>
  <c r="AB79" i="88"/>
  <c r="AM79" i="88" s="1"/>
  <c r="AF5" i="88"/>
  <c r="S5" i="88"/>
  <c r="AC5" i="88" s="1"/>
  <c r="AK5" i="88"/>
  <c r="S15" i="88"/>
  <c r="AC15" i="88" s="1"/>
  <c r="AK15" i="88"/>
  <c r="AF15" i="88"/>
  <c r="AF54" i="88"/>
  <c r="S54" i="88"/>
  <c r="AC54" i="88" s="1"/>
  <c r="AK54" i="88"/>
  <c r="AF41" i="88"/>
  <c r="AK41" i="88"/>
  <c r="S41" i="88"/>
  <c r="AC41" i="88" s="1"/>
  <c r="AF97" i="88"/>
  <c r="S97" i="88"/>
  <c r="AC97" i="88" s="1"/>
  <c r="AK97" i="88"/>
  <c r="AF7" i="88"/>
  <c r="S7" i="88"/>
  <c r="AC7" i="88" s="1"/>
  <c r="AK7" i="88"/>
  <c r="AF16" i="88"/>
  <c r="S16" i="88"/>
  <c r="AC16" i="88" s="1"/>
  <c r="AK16" i="88"/>
  <c r="AB87" i="88"/>
  <c r="AM87" i="88" s="1"/>
  <c r="AF87" i="88"/>
  <c r="AG87" i="88" s="1"/>
  <c r="AK87" i="88"/>
  <c r="AF93" i="88"/>
  <c r="S93" i="88"/>
  <c r="AC93" i="88" s="1"/>
  <c r="AK93" i="88"/>
  <c r="S86" i="88"/>
  <c r="AC86" i="88" s="1"/>
  <c r="AF86" i="88"/>
  <c r="AK86" i="88"/>
  <c r="AF35" i="88"/>
  <c r="S35" i="88"/>
  <c r="AC35" i="88" s="1"/>
  <c r="AK35" i="88"/>
  <c r="S45" i="88"/>
  <c r="AC45" i="88" s="1"/>
  <c r="AF45" i="88"/>
  <c r="AK45" i="88"/>
  <c r="AF55" i="88"/>
  <c r="S55" i="88"/>
  <c r="AC55" i="88" s="1"/>
  <c r="AK55" i="88"/>
  <c r="AF83" i="88"/>
  <c r="S83" i="88"/>
  <c r="AC83" i="88" s="1"/>
  <c r="AK83" i="88"/>
  <c r="S21" i="88"/>
  <c r="AC21" i="88" s="1"/>
  <c r="AF21" i="88"/>
  <c r="AK21" i="88"/>
  <c r="AF47" i="88"/>
  <c r="S47" i="88"/>
  <c r="AC47" i="88" s="1"/>
  <c r="AK47" i="88"/>
  <c r="S42" i="88"/>
  <c r="AC42" i="88" s="1"/>
  <c r="AF42" i="88"/>
  <c r="AK42" i="88"/>
  <c r="AF74" i="88"/>
  <c r="AK74" i="88"/>
  <c r="S74" i="88"/>
  <c r="AC74" i="88" s="1"/>
  <c r="AK64" i="88"/>
  <c r="S64" i="88"/>
  <c r="AC64" i="88" s="1"/>
  <c r="AF64" i="88"/>
  <c r="AF98" i="88"/>
  <c r="S98" i="88"/>
  <c r="AC98" i="88" s="1"/>
  <c r="AK98" i="88"/>
  <c r="AF46" i="88"/>
  <c r="S46" i="88"/>
  <c r="AC46" i="88" s="1"/>
  <c r="AK46" i="88"/>
  <c r="AF38" i="88"/>
  <c r="S38" i="88"/>
  <c r="AC38" i="88" s="1"/>
  <c r="AK38" i="88"/>
  <c r="BA14" i="88"/>
  <c r="S29" i="88"/>
  <c r="AC29" i="88" s="1"/>
  <c r="AF29" i="88"/>
  <c r="AK29" i="88"/>
  <c r="AF94" i="88"/>
  <c r="S94" i="88"/>
  <c r="AC94" i="88" s="1"/>
  <c r="AK94" i="88"/>
  <c r="AK61" i="88"/>
  <c r="AF61" i="88"/>
  <c r="S61" i="88"/>
  <c r="AC61" i="88" s="1"/>
  <c r="S68" i="88"/>
  <c r="AC68" i="88" s="1"/>
  <c r="AF68" i="88"/>
  <c r="AF27" i="88"/>
  <c r="S27" i="88"/>
  <c r="AC27" i="88" s="1"/>
  <c r="S57" i="88"/>
  <c r="AC57" i="88" s="1"/>
  <c r="AF57" i="88"/>
  <c r="BA13" i="88"/>
  <c r="BB10" i="88"/>
  <c r="AZ10" i="88" a="1"/>
  <c r="AZ10" i="88" s="1"/>
  <c r="AY10" i="88" s="1"/>
  <c r="S49" i="88"/>
  <c r="AC49" i="88" s="1"/>
  <c r="AF49" i="88"/>
  <c r="AK49" i="88"/>
  <c r="BB12" i="88"/>
  <c r="AZ12" i="88" a="1"/>
  <c r="AZ12" i="88" s="1"/>
  <c r="AY12" i="88" s="1"/>
  <c r="AG85" i="88"/>
  <c r="BA18" i="88"/>
  <c r="S51" i="88"/>
  <c r="AC51" i="88" s="1"/>
  <c r="AF51" i="88"/>
  <c r="BA16" i="88"/>
  <c r="BB11" i="88"/>
  <c r="AW7" i="88"/>
  <c r="BD9" i="88"/>
  <c r="BD10" i="88" s="1"/>
  <c r="BD11" i="88" s="1"/>
  <c r="BD12" i="88" s="1"/>
  <c r="BD13" i="88" s="1"/>
  <c r="BD14" i="88" s="1"/>
  <c r="BD15" i="88" s="1"/>
  <c r="BD16" i="88" s="1"/>
  <c r="BD17" i="88" s="1"/>
  <c r="BD18" i="88" s="1"/>
  <c r="AX9" i="88" a="1"/>
  <c r="AX9" i="88" s="1"/>
  <c r="S37" i="88"/>
  <c r="AC37" i="88" s="1"/>
  <c r="AF37" i="88"/>
  <c r="AB50" i="88"/>
  <c r="AM50" i="88" s="1"/>
  <c r="AG79" i="88"/>
  <c r="S71" i="88"/>
  <c r="AC71" i="88" s="1"/>
  <c r="AF71" i="88"/>
  <c r="BA11" i="88"/>
  <c r="BA12" i="88"/>
  <c r="AF17" i="88"/>
  <c r="S17" i="88"/>
  <c r="AC17" i="88" s="1"/>
  <c r="AG18" i="88"/>
  <c r="AF19" i="88"/>
  <c r="S19" i="88"/>
  <c r="AC19" i="88" s="1"/>
  <c r="AK19" i="88"/>
  <c r="AG33" i="88"/>
  <c r="S66" i="88"/>
  <c r="AC66" i="88" s="1"/>
  <c r="AF66" i="88"/>
  <c r="AB33" i="88"/>
  <c r="AM33" i="88" s="1"/>
  <c r="AK68" i="88"/>
  <c r="S30" i="88"/>
  <c r="AC30" i="88" s="1"/>
  <c r="AF30" i="88"/>
  <c r="AF44" i="88"/>
  <c r="S44" i="88"/>
  <c r="AC44" i="88" s="1"/>
  <c r="AK44" i="88"/>
  <c r="AB70" i="88"/>
  <c r="AM70" i="88" s="1"/>
  <c r="AG14" i="88"/>
  <c r="AF96" i="88"/>
  <c r="AK96" i="88"/>
  <c r="S96" i="88"/>
  <c r="AC96" i="88" s="1"/>
  <c r="AK32" i="88"/>
  <c r="AF32" i="88"/>
  <c r="S32" i="88"/>
  <c r="AC32" i="88" s="1"/>
  <c r="AB89" i="88"/>
  <c r="AM89" i="88" s="1"/>
  <c r="AF89" i="88"/>
  <c r="AG89" i="88" s="1"/>
  <c r="AK89" i="88"/>
  <c r="BA17" i="88"/>
  <c r="AB26" i="88"/>
  <c r="AM26" i="88" s="1"/>
  <c r="AB88" i="88"/>
  <c r="AM88" i="88" s="1"/>
  <c r="AJ3" i="88"/>
  <c r="L2" i="88"/>
  <c r="AG43" i="88"/>
  <c r="AF31" i="88"/>
  <c r="S31" i="88"/>
  <c r="AC31" i="88" s="1"/>
  <c r="R2" i="88"/>
  <c r="Q2" i="88"/>
  <c r="G2" i="88" s="1"/>
  <c r="AZ13" i="88" a="1"/>
  <c r="AZ13" i="88" s="1"/>
  <c r="AY13" i="88" s="1"/>
  <c r="AZ16" i="88" a="1"/>
  <c r="AZ16" i="88" s="1"/>
  <c r="AY16" i="88" s="1"/>
  <c r="AZ18" i="88" a="1"/>
  <c r="AZ18" i="88" s="1"/>
  <c r="AY18" i="88" s="1"/>
  <c r="AZ15" i="88" a="1"/>
  <c r="AZ15" i="88" s="1"/>
  <c r="AY15" i="88" s="1"/>
  <c r="AZ17" i="88" a="1"/>
  <c r="AZ17" i="88" s="1"/>
  <c r="AY17" i="88" s="1"/>
  <c r="AH3" i="88"/>
  <c r="E2" i="88" s="1"/>
  <c r="AZ14" i="88" a="1"/>
  <c r="AZ14" i="88" s="1"/>
  <c r="AY14" i="88" s="1"/>
  <c r="P2" i="88"/>
  <c r="AC52" i="88"/>
  <c r="AG52" i="88" s="1"/>
  <c r="AB52" i="88"/>
  <c r="AM52" i="88" s="1"/>
  <c r="AF39" i="88"/>
  <c r="S39" i="88"/>
  <c r="AC39" i="88" s="1"/>
  <c r="AF95" i="88"/>
  <c r="S95" i="88"/>
  <c r="AC95" i="88" s="1"/>
  <c r="AK57" i="88"/>
  <c r="AF20" i="88"/>
  <c r="S20" i="88"/>
  <c r="AC20" i="88" s="1"/>
  <c r="BA27" i="88"/>
  <c r="AF90" i="88"/>
  <c r="AG90" i="88" s="1"/>
  <c r="AB90" i="88"/>
  <c r="AM90" i="88" s="1"/>
  <c r="AK90" i="88"/>
  <c r="AB6" i="88"/>
  <c r="AM6" i="88" s="1"/>
  <c r="AG13" i="88"/>
  <c r="AB85" i="88"/>
  <c r="AM85" i="88" s="1"/>
  <c r="AK27" i="88"/>
  <c r="AG82" i="88"/>
  <c r="AB67" i="88"/>
  <c r="AM67" i="88" s="1"/>
  <c r="AF48" i="88"/>
  <c r="S48" i="88"/>
  <c r="AC48" i="88" s="1"/>
  <c r="AK48" i="88"/>
  <c r="AF62" i="88"/>
  <c r="S62" i="88"/>
  <c r="AC62" i="88" s="1"/>
  <c r="AB60" i="88"/>
  <c r="AM60" i="88" s="1"/>
  <c r="AK31" i="88"/>
  <c r="AK62" i="88"/>
  <c r="S69" i="88"/>
  <c r="AC69" i="88" s="1"/>
  <c r="AF69" i="88"/>
  <c r="AK39" i="88"/>
  <c r="AK30" i="88"/>
  <c r="S58" i="88"/>
  <c r="AC58" i="88" s="1"/>
  <c r="AF58" i="88"/>
  <c r="AK66" i="88"/>
  <c r="AB72" i="88"/>
  <c r="AM72" i="88" s="1"/>
  <c r="AB82" i="88"/>
  <c r="AM82" i="88" s="1"/>
  <c r="AB24" i="88"/>
  <c r="AM24" i="88" s="1"/>
  <c r="S59" i="88"/>
  <c r="AC59" i="88" s="1"/>
  <c r="AF59" i="88"/>
  <c r="AK59" i="88"/>
  <c r="AB53" i="88"/>
  <c r="AM53" i="88" s="1"/>
  <c r="S36" i="88"/>
  <c r="AC36" i="88" s="1"/>
  <c r="AK36" i="88"/>
  <c r="AF36" i="88"/>
  <c r="AG88" i="88"/>
  <c r="AG26" i="88"/>
  <c r="AF56" i="88"/>
  <c r="S56" i="88"/>
  <c r="AC56" i="88" s="1"/>
  <c r="BA10" i="88"/>
  <c r="AK40" i="88"/>
  <c r="AF40" i="88"/>
  <c r="S40" i="88"/>
  <c r="AC40" i="88" s="1"/>
  <c r="AG6" i="88"/>
  <c r="AB100" i="88"/>
  <c r="AM100" i="88" s="1"/>
  <c r="S28" i="88"/>
  <c r="AC28" i="88" s="1"/>
  <c r="AF28" i="88"/>
  <c r="AK23" i="88"/>
  <c r="AF23" i="88"/>
  <c r="S23" i="88"/>
  <c r="AC23" i="88" s="1"/>
  <c r="AF25" i="88"/>
  <c r="S25" i="88"/>
  <c r="AC25" i="88" s="1"/>
  <c r="AB78" i="88" l="1"/>
  <c r="AM78" i="88" s="1"/>
  <c r="AG38" i="88"/>
  <c r="AG22" i="88"/>
  <c r="AG98" i="88"/>
  <c r="AB21" i="88"/>
  <c r="AM21" i="88" s="1"/>
  <c r="AG16" i="88"/>
  <c r="AG41" i="88"/>
  <c r="AB10" i="88"/>
  <c r="AM10" i="88" s="1"/>
  <c r="AG25" i="88"/>
  <c r="AG20" i="88"/>
  <c r="AG17" i="88"/>
  <c r="AB51" i="88"/>
  <c r="AM51" i="88" s="1"/>
  <c r="AB80" i="88"/>
  <c r="AM80" i="88" s="1"/>
  <c r="AB64" i="88"/>
  <c r="AM64" i="88" s="1"/>
  <c r="AG96" i="88"/>
  <c r="AB59" i="88"/>
  <c r="AM59" i="88" s="1"/>
  <c r="AG27" i="88"/>
  <c r="AG61" i="88"/>
  <c r="AG55" i="88"/>
  <c r="AG97" i="88"/>
  <c r="AB15" i="88"/>
  <c r="AM15" i="88" s="1"/>
  <c r="AG10" i="88"/>
  <c r="AB55" i="88"/>
  <c r="AM55" i="88" s="1"/>
  <c r="AG80" i="88"/>
  <c r="AG39" i="88"/>
  <c r="AB69" i="88"/>
  <c r="AM69" i="88" s="1"/>
  <c r="AB49" i="88"/>
  <c r="AM49" i="88" s="1"/>
  <c r="AG83" i="88"/>
  <c r="AG93" i="88"/>
  <c r="AG48" i="88"/>
  <c r="AG19" i="88"/>
  <c r="AB29" i="88"/>
  <c r="AM29" i="88" s="1"/>
  <c r="AG74" i="88"/>
  <c r="AG54" i="88"/>
  <c r="AB22" i="88"/>
  <c r="AM22" i="88" s="1"/>
  <c r="AB36" i="88"/>
  <c r="AM36" i="88" s="1"/>
  <c r="AB44" i="88"/>
  <c r="AM44" i="88" s="1"/>
  <c r="AB30" i="88"/>
  <c r="AM30" i="88" s="1"/>
  <c r="AG46" i="88"/>
  <c r="AG7" i="88"/>
  <c r="AG5" i="88"/>
  <c r="AC11" i="88"/>
  <c r="AG11" i="88" s="1"/>
  <c r="AB11" i="88"/>
  <c r="AM11" i="88" s="1"/>
  <c r="AG40" i="88"/>
  <c r="AB19" i="88"/>
  <c r="AM19" i="88" s="1"/>
  <c r="AB32" i="88"/>
  <c r="AM32" i="88" s="1"/>
  <c r="AG68" i="88"/>
  <c r="AB47" i="88"/>
  <c r="AM47" i="88" s="1"/>
  <c r="AG51" i="88"/>
  <c r="AG23" i="88"/>
  <c r="AG57" i="88"/>
  <c r="AB42" i="88"/>
  <c r="AM42" i="88" s="1"/>
  <c r="AG56" i="88"/>
  <c r="AG62" i="88"/>
  <c r="AB39" i="88"/>
  <c r="AM39" i="88" s="1"/>
  <c r="AG31" i="88"/>
  <c r="BB7" i="88"/>
  <c r="BC29" i="88" s="1"/>
  <c r="BC34" i="88" s="1"/>
  <c r="BC37" i="88" s="1"/>
  <c r="AG58" i="88"/>
  <c r="AK3" i="88"/>
  <c r="AB56" i="88"/>
  <c r="AM56" i="88" s="1"/>
  <c r="AB58" i="88"/>
  <c r="AM58" i="88" s="1"/>
  <c r="AB41" i="88"/>
  <c r="AM41" i="88" s="1"/>
  <c r="AB62" i="88"/>
  <c r="AM62" i="88" s="1"/>
  <c r="AB96" i="88"/>
  <c r="AM96" i="88" s="1"/>
  <c r="AB71" i="88"/>
  <c r="AM71" i="88" s="1"/>
  <c r="AG29" i="88"/>
  <c r="AG64" i="88"/>
  <c r="AB83" i="88"/>
  <c r="AM83" i="88" s="1"/>
  <c r="AB86" i="88"/>
  <c r="AM86" i="88" s="1"/>
  <c r="AG21" i="88"/>
  <c r="AB25" i="88"/>
  <c r="AM25" i="88" s="1"/>
  <c r="AG37" i="88"/>
  <c r="AG49" i="88"/>
  <c r="AB16" i="88"/>
  <c r="AM16" i="88" s="1"/>
  <c r="AB37" i="88"/>
  <c r="AM37" i="88" s="1"/>
  <c r="AB20" i="88"/>
  <c r="AM20" i="88" s="1"/>
  <c r="AB23" i="88"/>
  <c r="AM23" i="88" s="1"/>
  <c r="AG30" i="88"/>
  <c r="BA9" i="88"/>
  <c r="AX7" i="88"/>
  <c r="AY9" i="88"/>
  <c r="AB27" i="88"/>
  <c r="AM27" i="88" s="1"/>
  <c r="AG59" i="88"/>
  <c r="AB31" i="88"/>
  <c r="AM31" i="88" s="1"/>
  <c r="AB61" i="88"/>
  <c r="AM61" i="88" s="1"/>
  <c r="AG45" i="88"/>
  <c r="AB28" i="88"/>
  <c r="AM28" i="88" s="1"/>
  <c r="AG69" i="88"/>
  <c r="AB68" i="88"/>
  <c r="AM68" i="88" s="1"/>
  <c r="AB94" i="88"/>
  <c r="AM94" i="88" s="1"/>
  <c r="AG42" i="88"/>
  <c r="AB45" i="88"/>
  <c r="AM45" i="88" s="1"/>
  <c r="AB35" i="88"/>
  <c r="AM35" i="88" s="1"/>
  <c r="AG86" i="88"/>
  <c r="AB48" i="88"/>
  <c r="AM48" i="88" s="1"/>
  <c r="AG66" i="88"/>
  <c r="AB40" i="88"/>
  <c r="AM40" i="88" s="1"/>
  <c r="AZ7" i="88"/>
  <c r="AB93" i="88"/>
  <c r="AM93" i="88" s="1"/>
  <c r="AB17" i="88"/>
  <c r="AM17" i="88" s="1"/>
  <c r="AG28" i="88"/>
  <c r="AB95" i="88"/>
  <c r="AM95" i="88" s="1"/>
  <c r="AB5" i="88"/>
  <c r="AM5" i="88" s="1"/>
  <c r="AG71" i="88"/>
  <c r="AB38" i="88"/>
  <c r="AM38" i="88" s="1"/>
  <c r="AG36" i="88"/>
  <c r="AB74" i="88"/>
  <c r="AM74" i="88" s="1"/>
  <c r="AB46" i="88"/>
  <c r="AM46" i="88" s="1"/>
  <c r="AB7" i="88"/>
  <c r="AM7" i="88" s="1"/>
  <c r="AB54" i="88"/>
  <c r="AM54" i="88" s="1"/>
  <c r="AG95" i="88"/>
  <c r="AG32" i="88"/>
  <c r="AG44" i="88"/>
  <c r="AB57" i="88"/>
  <c r="AM57" i="88" s="1"/>
  <c r="AG94" i="88"/>
  <c r="AB98" i="88"/>
  <c r="AM98" i="88" s="1"/>
  <c r="AG47" i="88"/>
  <c r="AG35" i="88"/>
  <c r="AB97" i="88"/>
  <c r="AM97" i="88" s="1"/>
  <c r="AG15" i="88"/>
  <c r="AG2" i="88" l="1"/>
  <c r="BA7" i="88"/>
  <c r="BC9" i="88"/>
  <c r="BC10" i="88" s="1"/>
  <c r="BC11" i="88" s="1"/>
  <c r="BC12" i="88" s="1"/>
  <c r="BC13" i="88" s="1"/>
  <c r="BC14" i="88" s="1"/>
  <c r="BC15" i="88" s="1"/>
  <c r="BC16" i="88" s="1"/>
  <c r="BC17" i="88" s="1"/>
  <c r="BC18" i="88" s="1"/>
  <c r="AM3" i="88"/>
  <c r="G1" i="88" s="1"/>
  <c r="BC30" i="87" l="1"/>
  <c r="BC31" i="86"/>
  <c r="BC30" i="86"/>
  <c r="AN109" i="87" l="1"/>
  <c r="M109" i="87" s="1"/>
  <c r="Z109" i="87"/>
  <c r="Y109" i="87"/>
  <c r="U109" i="87"/>
  <c r="K109" i="87"/>
  <c r="AH109" i="87" s="1"/>
  <c r="E109" i="87"/>
  <c r="AN108" i="87"/>
  <c r="M108" i="87" s="1"/>
  <c r="N108" i="87" s="1"/>
  <c r="Z108" i="87"/>
  <c r="Y108" i="87"/>
  <c r="U108" i="87"/>
  <c r="AJ108" i="87" s="1"/>
  <c r="K108" i="87"/>
  <c r="E108" i="87"/>
  <c r="AN107" i="87"/>
  <c r="M107" i="87" s="1"/>
  <c r="Z107" i="87"/>
  <c r="Y107" i="87"/>
  <c r="U107" i="87"/>
  <c r="K107" i="87"/>
  <c r="AI107" i="87" s="1"/>
  <c r="E107" i="87"/>
  <c r="AN106" i="87"/>
  <c r="M106" i="87" s="1"/>
  <c r="N106" i="87" s="1"/>
  <c r="Z106" i="87"/>
  <c r="Y106" i="87"/>
  <c r="U106" i="87"/>
  <c r="AJ106" i="87" s="1"/>
  <c r="K106" i="87"/>
  <c r="AH106" i="87" s="1"/>
  <c r="E106" i="87"/>
  <c r="AN105" i="87"/>
  <c r="M105" i="87" s="1"/>
  <c r="N105" i="87" s="1"/>
  <c r="Z105" i="87"/>
  <c r="Y105" i="87"/>
  <c r="U105" i="87"/>
  <c r="AD105" i="87" s="1"/>
  <c r="K105" i="87"/>
  <c r="AI105" i="87" s="1"/>
  <c r="E105" i="87"/>
  <c r="AN104" i="87"/>
  <c r="M104" i="87" s="1"/>
  <c r="Z104" i="87"/>
  <c r="Y104" i="87"/>
  <c r="U104" i="87"/>
  <c r="AJ104" i="87" s="1"/>
  <c r="K104" i="87"/>
  <c r="AI104" i="87" s="1"/>
  <c r="E104" i="87"/>
  <c r="AN103" i="87"/>
  <c r="M103" i="87" s="1"/>
  <c r="Z103" i="87"/>
  <c r="Y103" i="87"/>
  <c r="U103" i="87"/>
  <c r="K103" i="87"/>
  <c r="E103" i="87"/>
  <c r="AN102" i="87"/>
  <c r="M102" i="87" s="1"/>
  <c r="Z102" i="87"/>
  <c r="Y102" i="87"/>
  <c r="U102" i="87"/>
  <c r="AD102" i="87" s="1"/>
  <c r="K102" i="87"/>
  <c r="AI102" i="87" s="1"/>
  <c r="E102" i="87"/>
  <c r="AN101" i="87"/>
  <c r="M101" i="87" s="1"/>
  <c r="Z101" i="87"/>
  <c r="Y101" i="87"/>
  <c r="U101" i="87"/>
  <c r="K101" i="87"/>
  <c r="AH101" i="87" s="1"/>
  <c r="E101" i="87"/>
  <c r="AN100" i="87"/>
  <c r="M100" i="87" s="1"/>
  <c r="Z100" i="87"/>
  <c r="Y100" i="87"/>
  <c r="U100" i="87"/>
  <c r="AJ100" i="87" s="1"/>
  <c r="K100" i="87"/>
  <c r="E100" i="87"/>
  <c r="AN99" i="87"/>
  <c r="M99" i="87" s="1"/>
  <c r="Z99" i="87"/>
  <c r="Y99" i="87"/>
  <c r="U99" i="87"/>
  <c r="AD99" i="87" s="1"/>
  <c r="K99" i="87"/>
  <c r="AI99" i="87" s="1"/>
  <c r="E99" i="87"/>
  <c r="AN98" i="87"/>
  <c r="M98" i="87" s="1"/>
  <c r="Z98" i="87"/>
  <c r="Y98" i="87"/>
  <c r="U98" i="87"/>
  <c r="AJ98" i="87" s="1"/>
  <c r="K98" i="87"/>
  <c r="E98" i="87"/>
  <c r="AN97" i="87"/>
  <c r="M97" i="87" s="1"/>
  <c r="Z97" i="87"/>
  <c r="Y97" i="87"/>
  <c r="U97" i="87"/>
  <c r="K97" i="87"/>
  <c r="E97" i="87"/>
  <c r="AN96" i="87"/>
  <c r="M96" i="87" s="1"/>
  <c r="Z96" i="87"/>
  <c r="Y96" i="87"/>
  <c r="U96" i="87"/>
  <c r="AD96" i="87" s="1"/>
  <c r="K96" i="87"/>
  <c r="E96" i="87"/>
  <c r="AN95" i="87"/>
  <c r="M95" i="87" s="1"/>
  <c r="N95" i="87" s="1"/>
  <c r="O95" i="87" s="1"/>
  <c r="Z95" i="87"/>
  <c r="Y95" i="87"/>
  <c r="U95" i="87"/>
  <c r="K95" i="87"/>
  <c r="E95" i="87"/>
  <c r="AN94" i="87"/>
  <c r="M94" i="87" s="1"/>
  <c r="N94" i="87" s="1"/>
  <c r="O94" i="87" s="1"/>
  <c r="Z94" i="87"/>
  <c r="Y94" i="87"/>
  <c r="U94" i="87"/>
  <c r="K94" i="87"/>
  <c r="AH94" i="87" s="1"/>
  <c r="E94" i="87"/>
  <c r="AN93" i="87"/>
  <c r="M93" i="87" s="1"/>
  <c r="N93" i="87" s="1"/>
  <c r="Z93" i="87"/>
  <c r="Y93" i="87"/>
  <c r="U93" i="87"/>
  <c r="AD93" i="87" s="1"/>
  <c r="K93" i="87"/>
  <c r="AI93" i="87" s="1"/>
  <c r="E93" i="87"/>
  <c r="AN92" i="87"/>
  <c r="M92" i="87" s="1"/>
  <c r="Z92" i="87"/>
  <c r="Y92" i="87"/>
  <c r="U92" i="87"/>
  <c r="K92" i="87"/>
  <c r="E92" i="87"/>
  <c r="AN91" i="87"/>
  <c r="M91" i="87" s="1"/>
  <c r="N91" i="87" s="1"/>
  <c r="Z91" i="87"/>
  <c r="Y91" i="87"/>
  <c r="U91" i="87"/>
  <c r="AJ91" i="87" s="1"/>
  <c r="K91" i="87"/>
  <c r="AI91" i="87" s="1"/>
  <c r="E91" i="87"/>
  <c r="AN90" i="87"/>
  <c r="M90" i="87" s="1"/>
  <c r="Z90" i="87"/>
  <c r="Y90" i="87"/>
  <c r="U90" i="87"/>
  <c r="AJ90" i="87" s="1"/>
  <c r="K90" i="87"/>
  <c r="AI90" i="87" s="1"/>
  <c r="E90" i="87"/>
  <c r="AN89" i="87"/>
  <c r="M89" i="87" s="1"/>
  <c r="N89" i="87" s="1"/>
  <c r="O89" i="87" s="1"/>
  <c r="Z89" i="87"/>
  <c r="Y89" i="87"/>
  <c r="U89" i="87"/>
  <c r="K89" i="87"/>
  <c r="E89" i="87"/>
  <c r="AN88" i="87"/>
  <c r="M88" i="87" s="1"/>
  <c r="Z88" i="87"/>
  <c r="Y88" i="87"/>
  <c r="U88" i="87"/>
  <c r="K88" i="87"/>
  <c r="AI88" i="87" s="1"/>
  <c r="E88" i="87"/>
  <c r="AN87" i="87"/>
  <c r="M87" i="87" s="1"/>
  <c r="Z87" i="87"/>
  <c r="Y87" i="87"/>
  <c r="U87" i="87"/>
  <c r="AJ87" i="87" s="1"/>
  <c r="K87" i="87"/>
  <c r="E87" i="87"/>
  <c r="AN86" i="87"/>
  <c r="M86" i="87" s="1"/>
  <c r="N86" i="87" s="1"/>
  <c r="O86" i="87" s="1"/>
  <c r="Z86" i="87"/>
  <c r="Y86" i="87"/>
  <c r="U86" i="87"/>
  <c r="K86" i="87"/>
  <c r="E86" i="87"/>
  <c r="AN85" i="87"/>
  <c r="M85" i="87" s="1"/>
  <c r="Z85" i="87"/>
  <c r="Y85" i="87"/>
  <c r="U85" i="87"/>
  <c r="K85" i="87"/>
  <c r="AH85" i="87" s="1"/>
  <c r="E85" i="87"/>
  <c r="AN84" i="87"/>
  <c r="M84" i="87" s="1"/>
  <c r="Z84" i="87"/>
  <c r="Y84" i="87"/>
  <c r="U84" i="87"/>
  <c r="K84" i="87"/>
  <c r="AI84" i="87" s="1"/>
  <c r="E84" i="87"/>
  <c r="AN83" i="87"/>
  <c r="M83" i="87" s="1"/>
  <c r="AE83" i="87"/>
  <c r="AA83" i="87"/>
  <c r="U83" i="87"/>
  <c r="K83" i="87"/>
  <c r="AI83" i="87" s="1"/>
  <c r="E83" i="87"/>
  <c r="AN82" i="87"/>
  <c r="M82" i="87" s="1"/>
  <c r="N82" i="87" s="1"/>
  <c r="AE82" i="87"/>
  <c r="AA82" i="87"/>
  <c r="U82" i="87"/>
  <c r="AJ82" i="87" s="1"/>
  <c r="K82" i="87"/>
  <c r="E82" i="87"/>
  <c r="AN81" i="87"/>
  <c r="M81" i="87" s="1"/>
  <c r="Y81" i="87"/>
  <c r="U81" i="87"/>
  <c r="K81" i="87"/>
  <c r="E81" i="87"/>
  <c r="AN80" i="87"/>
  <c r="M80" i="87" s="1"/>
  <c r="Z80" i="87"/>
  <c r="Y80" i="87"/>
  <c r="U80" i="87"/>
  <c r="AD80" i="87" s="1"/>
  <c r="K80" i="87"/>
  <c r="AI80" i="87" s="1"/>
  <c r="E80" i="87"/>
  <c r="AN79" i="87"/>
  <c r="M79" i="87" s="1"/>
  <c r="N79" i="87" s="1"/>
  <c r="Z79" i="87"/>
  <c r="Y79" i="87"/>
  <c r="U79" i="87"/>
  <c r="K79" i="87"/>
  <c r="AI79" i="87" s="1"/>
  <c r="E79" i="87"/>
  <c r="AN78" i="87"/>
  <c r="M78" i="87" s="1"/>
  <c r="N78" i="87" s="1"/>
  <c r="O78" i="87" s="1"/>
  <c r="Z78" i="87"/>
  <c r="Y78" i="87"/>
  <c r="U78" i="87"/>
  <c r="AD78" i="87" s="1"/>
  <c r="K78" i="87"/>
  <c r="E78" i="87"/>
  <c r="AN77" i="87"/>
  <c r="M77" i="87" s="1"/>
  <c r="N77" i="87" s="1"/>
  <c r="Z77" i="87"/>
  <c r="Y77" i="87"/>
  <c r="U77" i="87"/>
  <c r="AJ77" i="87" s="1"/>
  <c r="K77" i="87"/>
  <c r="E77" i="87"/>
  <c r="AN76" i="87"/>
  <c r="M76" i="87" s="1"/>
  <c r="N76" i="87" s="1"/>
  <c r="O76" i="87" s="1"/>
  <c r="S76" i="87" s="1"/>
  <c r="AC76" i="87" s="1"/>
  <c r="Z76" i="87"/>
  <c r="Y76" i="87"/>
  <c r="U76" i="87"/>
  <c r="K76" i="87"/>
  <c r="AI76" i="87" s="1"/>
  <c r="E76" i="87"/>
  <c r="AN75" i="87"/>
  <c r="M75" i="87" s="1"/>
  <c r="N75" i="87" s="1"/>
  <c r="O75" i="87" s="1"/>
  <c r="Z75" i="87"/>
  <c r="Y75" i="87"/>
  <c r="U75" i="87"/>
  <c r="AJ75" i="87" s="1"/>
  <c r="K75" i="87"/>
  <c r="E75" i="87"/>
  <c r="AN74" i="87"/>
  <c r="M74" i="87" s="1"/>
  <c r="N74" i="87" s="1"/>
  <c r="Z74" i="87"/>
  <c r="Y74" i="87"/>
  <c r="U74" i="87"/>
  <c r="K74" i="87"/>
  <c r="AI74" i="87" s="1"/>
  <c r="E74" i="87"/>
  <c r="AN73" i="87"/>
  <c r="M73" i="87" s="1"/>
  <c r="Z73" i="87"/>
  <c r="Y73" i="87"/>
  <c r="U73" i="87"/>
  <c r="AJ73" i="87" s="1"/>
  <c r="K73" i="87"/>
  <c r="AI73" i="87" s="1"/>
  <c r="E73" i="87"/>
  <c r="AN72" i="87"/>
  <c r="M72" i="87" s="1"/>
  <c r="Z72" i="87"/>
  <c r="Y72" i="87"/>
  <c r="U72" i="87"/>
  <c r="AD72" i="87" s="1"/>
  <c r="K72" i="87"/>
  <c r="AH72" i="87" s="1"/>
  <c r="E72" i="87"/>
  <c r="AN71" i="87"/>
  <c r="M71" i="87" s="1"/>
  <c r="Z71" i="87"/>
  <c r="Y71" i="87"/>
  <c r="U71" i="87"/>
  <c r="AJ71" i="87" s="1"/>
  <c r="K71" i="87"/>
  <c r="E71" i="87"/>
  <c r="AN70" i="87"/>
  <c r="M70" i="87" s="1"/>
  <c r="N70" i="87" s="1"/>
  <c r="Z70" i="87"/>
  <c r="Y70" i="87"/>
  <c r="U70" i="87"/>
  <c r="AD70" i="87" s="1"/>
  <c r="K70" i="87"/>
  <c r="E70" i="87"/>
  <c r="AN69" i="87"/>
  <c r="M69" i="87" s="1"/>
  <c r="Z69" i="87"/>
  <c r="Y69" i="87"/>
  <c r="U69" i="87"/>
  <c r="AD69" i="87" s="1"/>
  <c r="K69" i="87"/>
  <c r="AI69" i="87" s="1"/>
  <c r="E69" i="87"/>
  <c r="AN68" i="87"/>
  <c r="M68" i="87" s="1"/>
  <c r="Z68" i="87"/>
  <c r="Y68" i="87"/>
  <c r="U68" i="87"/>
  <c r="K68" i="87"/>
  <c r="E68" i="87"/>
  <c r="AN67" i="87"/>
  <c r="M67" i="87" s="1"/>
  <c r="N67" i="87" s="1"/>
  <c r="O67" i="87" s="1"/>
  <c r="S67" i="87" s="1"/>
  <c r="AC67" i="87" s="1"/>
  <c r="Z67" i="87"/>
  <c r="Y67" i="87"/>
  <c r="U67" i="87"/>
  <c r="AD67" i="87" s="1"/>
  <c r="K67" i="87"/>
  <c r="AI67" i="87" s="1"/>
  <c r="E67" i="87"/>
  <c r="AN66" i="87"/>
  <c r="M66" i="87" s="1"/>
  <c r="Z66" i="87"/>
  <c r="Y66" i="87"/>
  <c r="U66" i="87"/>
  <c r="K66" i="87"/>
  <c r="E66" i="87"/>
  <c r="AN65" i="87"/>
  <c r="M65" i="87" s="1"/>
  <c r="N65" i="87" s="1"/>
  <c r="Y65" i="87"/>
  <c r="AE65" i="87" s="1"/>
  <c r="U65" i="87"/>
  <c r="K65" i="87"/>
  <c r="E65" i="87"/>
  <c r="AN64" i="87"/>
  <c r="M64" i="87" s="1"/>
  <c r="Z64" i="87"/>
  <c r="Y64" i="87"/>
  <c r="U64" i="87"/>
  <c r="K64" i="87"/>
  <c r="AI64" i="87" s="1"/>
  <c r="E64" i="87"/>
  <c r="AN63" i="87"/>
  <c r="M63" i="87" s="1"/>
  <c r="Z63" i="87"/>
  <c r="Y63" i="87"/>
  <c r="U63" i="87"/>
  <c r="K63" i="87"/>
  <c r="E63" i="87"/>
  <c r="AN62" i="87"/>
  <c r="M62" i="87" s="1"/>
  <c r="N62" i="87" s="1"/>
  <c r="O62" i="87" s="1"/>
  <c r="AC62" i="87"/>
  <c r="Z62" i="87"/>
  <c r="Y62" i="87"/>
  <c r="U62" i="87"/>
  <c r="K62" i="87"/>
  <c r="AH62" i="87" s="1"/>
  <c r="E62" i="87"/>
  <c r="AN61" i="87"/>
  <c r="M61" i="87" s="1"/>
  <c r="Z61" i="87"/>
  <c r="Y61" i="87"/>
  <c r="U61" i="87"/>
  <c r="K61" i="87"/>
  <c r="AI61" i="87" s="1"/>
  <c r="E61" i="87"/>
  <c r="AN60" i="87"/>
  <c r="M60" i="87" s="1"/>
  <c r="N60" i="87" s="1"/>
  <c r="AC60" i="87"/>
  <c r="Z60" i="87"/>
  <c r="Y60" i="87"/>
  <c r="U60" i="87"/>
  <c r="K60" i="87"/>
  <c r="AI60" i="87" s="1"/>
  <c r="E60" i="87"/>
  <c r="AN59" i="87"/>
  <c r="M59" i="87" s="1"/>
  <c r="N59" i="87" s="1"/>
  <c r="O59" i="87" s="1"/>
  <c r="AC59" i="87"/>
  <c r="Z59" i="87"/>
  <c r="Y59" i="87"/>
  <c r="U59" i="87"/>
  <c r="AJ59" i="87" s="1"/>
  <c r="K59" i="87"/>
  <c r="AH59" i="87" s="1"/>
  <c r="E59" i="87"/>
  <c r="AN58" i="87"/>
  <c r="M58" i="87" s="1"/>
  <c r="N58" i="87" s="1"/>
  <c r="Z58" i="87"/>
  <c r="Y58" i="87"/>
  <c r="U58" i="87"/>
  <c r="AD58" i="87" s="1"/>
  <c r="K58" i="87"/>
  <c r="AI58" i="87" s="1"/>
  <c r="E58" i="87"/>
  <c r="AN57" i="87"/>
  <c r="M57" i="87" s="1"/>
  <c r="N57" i="87" s="1"/>
  <c r="Z57" i="87"/>
  <c r="Y57" i="87"/>
  <c r="U57" i="87"/>
  <c r="K57" i="87"/>
  <c r="E57" i="87"/>
  <c r="AN56" i="87"/>
  <c r="M56" i="87" s="1"/>
  <c r="Z56" i="87"/>
  <c r="Y56" i="87"/>
  <c r="U56" i="87"/>
  <c r="K56" i="87"/>
  <c r="E56" i="87"/>
  <c r="AN55" i="87"/>
  <c r="M55" i="87" s="1"/>
  <c r="O55" i="87" s="1"/>
  <c r="S55" i="87" s="1"/>
  <c r="AC55" i="87" s="1"/>
  <c r="Z55" i="87"/>
  <c r="Y55" i="87"/>
  <c r="U55" i="87"/>
  <c r="AJ55" i="87" s="1"/>
  <c r="K55" i="87"/>
  <c r="E55" i="87"/>
  <c r="AN54" i="87"/>
  <c r="M54" i="87" s="1"/>
  <c r="O54" i="87" s="1"/>
  <c r="Z54" i="87"/>
  <c r="Y54" i="87"/>
  <c r="U54" i="87"/>
  <c r="K54" i="87"/>
  <c r="AI54" i="87" s="1"/>
  <c r="E54" i="87"/>
  <c r="AN53" i="87"/>
  <c r="M53" i="87" s="1"/>
  <c r="O53" i="87" s="1"/>
  <c r="Z53" i="87"/>
  <c r="Y53" i="87"/>
  <c r="U53" i="87"/>
  <c r="K53" i="87"/>
  <c r="AI53" i="87" s="1"/>
  <c r="E53" i="87"/>
  <c r="AN52" i="87"/>
  <c r="M52" i="87" s="1"/>
  <c r="O52" i="87" s="1"/>
  <c r="Z52" i="87"/>
  <c r="Y52" i="87"/>
  <c r="U52" i="87"/>
  <c r="AJ52" i="87" s="1"/>
  <c r="K52" i="87"/>
  <c r="AH52" i="87" s="1"/>
  <c r="E52" i="87"/>
  <c r="AN51" i="87"/>
  <c r="M51" i="87" s="1"/>
  <c r="N51" i="87" s="1"/>
  <c r="AJ51" i="87"/>
  <c r="AD51" i="87"/>
  <c r="AC51" i="87"/>
  <c r="Z51" i="87"/>
  <c r="AE51" i="87" s="1"/>
  <c r="K51" i="87"/>
  <c r="E51" i="87"/>
  <c r="AN50" i="87"/>
  <c r="M50" i="87" s="1"/>
  <c r="N50" i="87" s="1"/>
  <c r="Z50" i="87"/>
  <c r="Y50" i="87"/>
  <c r="U50" i="87"/>
  <c r="AD50" i="87" s="1"/>
  <c r="S50" i="87"/>
  <c r="AC50" i="87" s="1"/>
  <c r="K50" i="87"/>
  <c r="E50" i="87"/>
  <c r="AN49" i="87"/>
  <c r="M49" i="87" s="1"/>
  <c r="Z49" i="87"/>
  <c r="Y49" i="87"/>
  <c r="U49" i="87"/>
  <c r="AD49" i="87" s="1"/>
  <c r="K49" i="87"/>
  <c r="AH49" i="87" s="1"/>
  <c r="E49" i="87"/>
  <c r="AN48" i="87"/>
  <c r="M48" i="87" s="1"/>
  <c r="Z48" i="87"/>
  <c r="Y48" i="87"/>
  <c r="U48" i="87"/>
  <c r="K48" i="87"/>
  <c r="E48" i="87"/>
  <c r="AN47" i="87"/>
  <c r="M47" i="87" s="1"/>
  <c r="Z47" i="87"/>
  <c r="Y47" i="87"/>
  <c r="U47" i="87"/>
  <c r="AJ47" i="87" s="1"/>
  <c r="K47" i="87"/>
  <c r="E47" i="87"/>
  <c r="AN46" i="87"/>
  <c r="M46" i="87" s="1"/>
  <c r="O46" i="87" s="1"/>
  <c r="Z46" i="87"/>
  <c r="Y46" i="87"/>
  <c r="U46" i="87"/>
  <c r="AJ46" i="87" s="1"/>
  <c r="K46" i="87"/>
  <c r="E46" i="87"/>
  <c r="AN45" i="87"/>
  <c r="M45" i="87" s="1"/>
  <c r="Z45" i="87"/>
  <c r="Y45" i="87"/>
  <c r="U45" i="87"/>
  <c r="AJ45" i="87" s="1"/>
  <c r="K45" i="87"/>
  <c r="AH45" i="87" s="1"/>
  <c r="E45" i="87"/>
  <c r="AN44" i="87"/>
  <c r="M44" i="87" s="1"/>
  <c r="Z44" i="87"/>
  <c r="Y44" i="87"/>
  <c r="U44" i="87"/>
  <c r="K44" i="87"/>
  <c r="AI44" i="87" s="1"/>
  <c r="E44" i="87"/>
  <c r="AN43" i="87"/>
  <c r="M43" i="87" s="1"/>
  <c r="N43" i="87" s="1"/>
  <c r="Z43" i="87"/>
  <c r="Y43" i="87"/>
  <c r="U43" i="87"/>
  <c r="AJ43" i="87" s="1"/>
  <c r="K43" i="87"/>
  <c r="E43" i="87"/>
  <c r="AN42" i="87"/>
  <c r="M42" i="87" s="1"/>
  <c r="Z42" i="87"/>
  <c r="Y42" i="87"/>
  <c r="U42" i="87"/>
  <c r="K42" i="87"/>
  <c r="AH42" i="87" s="1"/>
  <c r="E42" i="87"/>
  <c r="AN41" i="87"/>
  <c r="M41" i="87" s="1"/>
  <c r="N41" i="87" s="1"/>
  <c r="Z41" i="87"/>
  <c r="Y41" i="87"/>
  <c r="U41" i="87"/>
  <c r="K41" i="87"/>
  <c r="E41" i="87"/>
  <c r="AN40" i="87"/>
  <c r="M40" i="87" s="1"/>
  <c r="N40" i="87" s="1"/>
  <c r="Z40" i="87"/>
  <c r="Y40" i="87"/>
  <c r="U40" i="87"/>
  <c r="AJ40" i="87" s="1"/>
  <c r="K40" i="87"/>
  <c r="AI40" i="87" s="1"/>
  <c r="E40" i="87"/>
  <c r="AN39" i="87"/>
  <c r="M39" i="87" s="1"/>
  <c r="O39" i="87" s="1"/>
  <c r="Z39" i="87"/>
  <c r="AA39" i="87" s="1"/>
  <c r="U39" i="87"/>
  <c r="K39" i="87"/>
  <c r="E39" i="87"/>
  <c r="AN38" i="87"/>
  <c r="M38" i="87" s="1"/>
  <c r="N38" i="87" s="1"/>
  <c r="Z38" i="87"/>
  <c r="U38" i="87"/>
  <c r="K38" i="87"/>
  <c r="AI38" i="87" s="1"/>
  <c r="E38" i="87"/>
  <c r="AN37" i="87"/>
  <c r="M37" i="87" s="1"/>
  <c r="N37" i="87" s="1"/>
  <c r="Z37" i="87"/>
  <c r="U37" i="87"/>
  <c r="AJ37" i="87" s="1"/>
  <c r="S37" i="87"/>
  <c r="AC37" i="87" s="1"/>
  <c r="K37" i="87"/>
  <c r="AK37" i="87" s="1"/>
  <c r="E37" i="87"/>
  <c r="AN36" i="87"/>
  <c r="M36" i="87" s="1"/>
  <c r="N36" i="87" s="1"/>
  <c r="Z36" i="87"/>
  <c r="U36" i="87"/>
  <c r="AJ36" i="87" s="1"/>
  <c r="K36" i="87"/>
  <c r="E36" i="87"/>
  <c r="AN35" i="87"/>
  <c r="M35" i="87" s="1"/>
  <c r="N35" i="87" s="1"/>
  <c r="Z35" i="87"/>
  <c r="U35" i="87"/>
  <c r="S35" i="87"/>
  <c r="AC35" i="87" s="1"/>
  <c r="K35" i="87"/>
  <c r="E35" i="87"/>
  <c r="AN34" i="87"/>
  <c r="M34" i="87" s="1"/>
  <c r="O34" i="87" s="1"/>
  <c r="Z34" i="87"/>
  <c r="U34" i="87"/>
  <c r="K34" i="87"/>
  <c r="E34" i="87"/>
  <c r="AN33" i="87"/>
  <c r="M33" i="87" s="1"/>
  <c r="O33" i="87" s="1"/>
  <c r="Z33" i="87"/>
  <c r="AE33" i="87" s="1"/>
  <c r="U33" i="87"/>
  <c r="K33" i="87"/>
  <c r="AH33" i="87" s="1"/>
  <c r="E33" i="87"/>
  <c r="AN32" i="87"/>
  <c r="M32" i="87" s="1"/>
  <c r="N32" i="87" s="1"/>
  <c r="Z32" i="87"/>
  <c r="Y32" i="87"/>
  <c r="U32" i="87"/>
  <c r="AD32" i="87" s="1"/>
  <c r="K32" i="87"/>
  <c r="E32" i="87"/>
  <c r="AN31" i="87"/>
  <c r="M31" i="87" s="1"/>
  <c r="O31" i="87" s="1"/>
  <c r="S31" i="87" s="1"/>
  <c r="AC31" i="87" s="1"/>
  <c r="Z31" i="87"/>
  <c r="AE31" i="87" s="1"/>
  <c r="U31" i="87"/>
  <c r="AJ31" i="87" s="1"/>
  <c r="K31" i="87"/>
  <c r="E31" i="87"/>
  <c r="AN30" i="87"/>
  <c r="M30" i="87" s="1"/>
  <c r="N30" i="87" s="1"/>
  <c r="Z30" i="87"/>
  <c r="Y30" i="87"/>
  <c r="U30" i="87"/>
  <c r="K30" i="87"/>
  <c r="E30" i="87"/>
  <c r="AN29" i="87"/>
  <c r="M29" i="87" s="1"/>
  <c r="N29" i="87" s="1"/>
  <c r="Z29" i="87"/>
  <c r="Y29" i="87"/>
  <c r="U29" i="87"/>
  <c r="AJ29" i="87" s="1"/>
  <c r="K29" i="87"/>
  <c r="E29" i="87"/>
  <c r="AN28" i="87"/>
  <c r="M28" i="87" s="1"/>
  <c r="N28" i="87" s="1"/>
  <c r="O28" i="87" s="1"/>
  <c r="Z28" i="87"/>
  <c r="Y28" i="87"/>
  <c r="U28" i="87"/>
  <c r="AJ28" i="87" s="1"/>
  <c r="K28" i="87"/>
  <c r="AI28" i="87" s="1"/>
  <c r="E28" i="87"/>
  <c r="AN27" i="87"/>
  <c r="M27" i="87" s="1"/>
  <c r="Y27" i="87"/>
  <c r="AE27" i="87" s="1"/>
  <c r="U27" i="87"/>
  <c r="AD27" i="87" s="1"/>
  <c r="K27" i="87"/>
  <c r="E27" i="87"/>
  <c r="AN26" i="87"/>
  <c r="M26" i="87" s="1"/>
  <c r="Y26" i="87"/>
  <c r="AE26" i="87" s="1"/>
  <c r="U26" i="87"/>
  <c r="K26" i="87"/>
  <c r="E26" i="87"/>
  <c r="AN25" i="87"/>
  <c r="M25" i="87" s="1"/>
  <c r="N25" i="87" s="1"/>
  <c r="Y25" i="87"/>
  <c r="U25" i="87"/>
  <c r="AD25" i="87" s="1"/>
  <c r="K25" i="87"/>
  <c r="AH25" i="87" s="1"/>
  <c r="E25" i="87"/>
  <c r="AN24" i="87"/>
  <c r="M24" i="87" s="1"/>
  <c r="Y24" i="87"/>
  <c r="AA24" i="87" s="1"/>
  <c r="U24" i="87"/>
  <c r="AJ24" i="87" s="1"/>
  <c r="K24" i="87"/>
  <c r="E24" i="87"/>
  <c r="AN23" i="87"/>
  <c r="M23" i="87" s="1"/>
  <c r="N23" i="87" s="1"/>
  <c r="Y23" i="87"/>
  <c r="AA23" i="87" s="1"/>
  <c r="U23" i="87"/>
  <c r="AJ23" i="87" s="1"/>
  <c r="K23" i="87"/>
  <c r="AI23" i="87" s="1"/>
  <c r="E23" i="87"/>
  <c r="AN22" i="87"/>
  <c r="M22" i="87" s="1"/>
  <c r="AE22" i="87"/>
  <c r="AA22" i="87"/>
  <c r="U22" i="87"/>
  <c r="AJ22" i="87" s="1"/>
  <c r="K22" i="87"/>
  <c r="E22" i="87"/>
  <c r="AN21" i="87"/>
  <c r="M21" i="87" s="1"/>
  <c r="N21" i="87" s="1"/>
  <c r="AE21" i="87"/>
  <c r="AA21" i="87"/>
  <c r="U21" i="87"/>
  <c r="K21" i="87"/>
  <c r="E21" i="87"/>
  <c r="AN20" i="87"/>
  <c r="M20" i="87" s="1"/>
  <c r="Z20" i="87"/>
  <c r="Y20" i="87"/>
  <c r="U20" i="87"/>
  <c r="AJ20" i="87" s="1"/>
  <c r="K20" i="87"/>
  <c r="E20" i="87"/>
  <c r="AN19" i="87"/>
  <c r="M19" i="87" s="1"/>
  <c r="O19" i="87" s="1"/>
  <c r="Z19" i="87"/>
  <c r="AA19" i="87" s="1"/>
  <c r="U19" i="87"/>
  <c r="AD19" i="87" s="1"/>
  <c r="K19" i="87"/>
  <c r="E19" i="87"/>
  <c r="AW38" i="87"/>
  <c r="AY38" i="87" s="1"/>
  <c r="BA38" i="87" s="1"/>
  <c r="AW37" i="87"/>
  <c r="AY37" i="87" s="1"/>
  <c r="BA37" i="87" s="1"/>
  <c r="AW36" i="87"/>
  <c r="AY36" i="87" s="1"/>
  <c r="BA36" i="87" s="1"/>
  <c r="AW35" i="87"/>
  <c r="AY35" i="87" s="1"/>
  <c r="BA35" i="87" s="1"/>
  <c r="AN18" i="87"/>
  <c r="M18" i="87" s="1"/>
  <c r="AE18" i="87"/>
  <c r="AA18" i="87"/>
  <c r="U18" i="87"/>
  <c r="K18" i="87"/>
  <c r="AI18" i="87" s="1"/>
  <c r="E18" i="87"/>
  <c r="AW34" i="87"/>
  <c r="AY34" i="87" s="1"/>
  <c r="BA34" i="87" s="1"/>
  <c r="AW33" i="87"/>
  <c r="AY33" i="87" s="1"/>
  <c r="BA33" i="87" s="1"/>
  <c r="AN17" i="87"/>
  <c r="M17" i="87" s="1"/>
  <c r="AE17" i="87"/>
  <c r="AA17" i="87"/>
  <c r="U17" i="87"/>
  <c r="AJ17" i="87" s="1"/>
  <c r="K17" i="87"/>
  <c r="AH17" i="87" s="1"/>
  <c r="E17" i="87"/>
  <c r="AN16" i="87"/>
  <c r="M16" i="87" s="1"/>
  <c r="AE16" i="87"/>
  <c r="AA16" i="87"/>
  <c r="U16" i="87"/>
  <c r="K16" i="87"/>
  <c r="AI16" i="87" s="1"/>
  <c r="E16" i="87"/>
  <c r="AN15" i="87"/>
  <c r="M15" i="87" s="1"/>
  <c r="N15" i="87" s="1"/>
  <c r="AE15" i="87"/>
  <c r="AA15" i="87"/>
  <c r="U15" i="87"/>
  <c r="AD15" i="87" s="1"/>
  <c r="K15" i="87"/>
  <c r="AH15" i="87" s="1"/>
  <c r="E15" i="87"/>
  <c r="AN14" i="87"/>
  <c r="M14" i="87" s="1"/>
  <c r="AE14" i="87"/>
  <c r="AA14" i="87"/>
  <c r="U14" i="87"/>
  <c r="K14" i="87"/>
  <c r="AI14" i="87" s="1"/>
  <c r="E14" i="87"/>
  <c r="AN13" i="87"/>
  <c r="M13" i="87" s="1"/>
  <c r="N13" i="87" s="1"/>
  <c r="O13" i="87" s="1"/>
  <c r="Z13" i="87"/>
  <c r="Y13" i="87"/>
  <c r="U13" i="87"/>
  <c r="AJ13" i="87" s="1"/>
  <c r="K13" i="87"/>
  <c r="AH13" i="87" s="1"/>
  <c r="E13" i="87"/>
  <c r="AN12" i="87"/>
  <c r="M12" i="87" s="1"/>
  <c r="Z12" i="87"/>
  <c r="Y12" i="87"/>
  <c r="U12" i="87"/>
  <c r="K12" i="87"/>
  <c r="E12" i="87"/>
  <c r="AN11" i="87"/>
  <c r="M11" i="87" s="1"/>
  <c r="N11" i="87" s="1"/>
  <c r="O11" i="87" s="1"/>
  <c r="Z11" i="87"/>
  <c r="Y11" i="87"/>
  <c r="U11" i="87"/>
  <c r="AJ11" i="87" s="1"/>
  <c r="K11" i="87"/>
  <c r="AI11" i="87" s="1"/>
  <c r="E11" i="87"/>
  <c r="AN10" i="87"/>
  <c r="M10" i="87" s="1"/>
  <c r="N10" i="87" s="1"/>
  <c r="O10" i="87" s="1"/>
  <c r="Z10" i="87"/>
  <c r="Y10" i="87"/>
  <c r="U10" i="87"/>
  <c r="AD10" i="87" s="1"/>
  <c r="K10" i="87"/>
  <c r="E10" i="87"/>
  <c r="BB18" i="87"/>
  <c r="AW18" i="87"/>
  <c r="BB17" i="87"/>
  <c r="AW17" i="87"/>
  <c r="AN9" i="87"/>
  <c r="M9" i="87" s="1"/>
  <c r="N9" i="87" s="1"/>
  <c r="AE9" i="87"/>
  <c r="AA9" i="87"/>
  <c r="U9" i="87"/>
  <c r="AD9" i="87" s="1"/>
  <c r="K9" i="87"/>
  <c r="AH9" i="87" s="1"/>
  <c r="E9" i="87"/>
  <c r="BB16" i="87"/>
  <c r="AW16" i="87"/>
  <c r="BB15" i="87"/>
  <c r="AW15" i="87"/>
  <c r="BB14" i="87"/>
  <c r="AW14" i="87"/>
  <c r="BB13" i="87"/>
  <c r="AW13" i="87"/>
  <c r="AN8" i="87"/>
  <c r="M8" i="87" s="1"/>
  <c r="Z8" i="87"/>
  <c r="Y8" i="87"/>
  <c r="U8" i="87"/>
  <c r="AJ8" i="87" s="1"/>
  <c r="K8" i="87"/>
  <c r="AH8" i="87" s="1"/>
  <c r="E8" i="87"/>
  <c r="AN7" i="87"/>
  <c r="M7" i="87" s="1"/>
  <c r="Z7" i="87"/>
  <c r="Y7" i="87"/>
  <c r="U7" i="87"/>
  <c r="K7" i="87"/>
  <c r="E7" i="87"/>
  <c r="AN6" i="87"/>
  <c r="E6" i="87"/>
  <c r="AN5" i="87"/>
  <c r="E5" i="87"/>
  <c r="I2" i="87"/>
  <c r="E29" i="77"/>
  <c r="AE8" i="87" l="1"/>
  <c r="AA67" i="87"/>
  <c r="AB67" i="87" s="1"/>
  <c r="AM67" i="87" s="1"/>
  <c r="AH60" i="87"/>
  <c r="AE79" i="87"/>
  <c r="AI42" i="87"/>
  <c r="AK52" i="87"/>
  <c r="AI52" i="87"/>
  <c r="AE13" i="87"/>
  <c r="AH107" i="87"/>
  <c r="AA10" i="87"/>
  <c r="AE73" i="87"/>
  <c r="AA46" i="87"/>
  <c r="AE109" i="87"/>
  <c r="AE98" i="87"/>
  <c r="O41" i="87"/>
  <c r="AF41" i="87" s="1"/>
  <c r="AA74" i="87"/>
  <c r="O25" i="87"/>
  <c r="S25" i="87" s="1"/>
  <c r="AC25" i="87" s="1"/>
  <c r="AE57" i="87"/>
  <c r="AA96" i="87"/>
  <c r="AA58" i="87"/>
  <c r="AA32" i="87"/>
  <c r="O38" i="87"/>
  <c r="S38" i="87" s="1"/>
  <c r="AC38" i="87" s="1"/>
  <c r="AK19" i="87"/>
  <c r="AA69" i="87"/>
  <c r="AD77" i="87"/>
  <c r="AE93" i="87"/>
  <c r="AH88" i="87"/>
  <c r="AH83" i="87"/>
  <c r="AE62" i="87"/>
  <c r="AA71" i="87"/>
  <c r="AA76" i="87"/>
  <c r="AB76" i="87" s="1"/>
  <c r="AM76" i="87" s="1"/>
  <c r="AA86" i="87"/>
  <c r="AA98" i="87"/>
  <c r="AA50" i="87"/>
  <c r="AB50" i="87" s="1"/>
  <c r="AM50" i="87" s="1"/>
  <c r="AJ105" i="87"/>
  <c r="AJ70" i="87"/>
  <c r="AA88" i="87"/>
  <c r="AH69" i="87"/>
  <c r="AH67" i="87"/>
  <c r="AJ69" i="87"/>
  <c r="AH44" i="87"/>
  <c r="AJ58" i="87"/>
  <c r="AH16" i="87"/>
  <c r="AE87" i="87"/>
  <c r="AE58" i="87"/>
  <c r="AH79" i="87"/>
  <c r="AA92" i="87"/>
  <c r="AH99" i="87"/>
  <c r="N107" i="87"/>
  <c r="O107" i="87" s="1"/>
  <c r="AA7" i="87"/>
  <c r="AA79" i="87"/>
  <c r="AE46" i="87"/>
  <c r="AE104" i="87"/>
  <c r="AJ10" i="87"/>
  <c r="AE108" i="87"/>
  <c r="AI106" i="87"/>
  <c r="AH23" i="87"/>
  <c r="AI15" i="87"/>
  <c r="AJ49" i="87"/>
  <c r="AI13" i="87"/>
  <c r="AE43" i="87"/>
  <c r="AE53" i="87"/>
  <c r="AD59" i="87"/>
  <c r="AH61" i="87"/>
  <c r="AA78" i="87"/>
  <c r="AD43" i="87"/>
  <c r="AI45" i="87"/>
  <c r="AH53" i="87"/>
  <c r="AE74" i="87"/>
  <c r="AE76" i="87"/>
  <c r="AJ78" i="87"/>
  <c r="AD46" i="87"/>
  <c r="AE50" i="87"/>
  <c r="AE10" i="87"/>
  <c r="AH28" i="87"/>
  <c r="AH40" i="87"/>
  <c r="AH84" i="87"/>
  <c r="AA102" i="87"/>
  <c r="AD104" i="87"/>
  <c r="AH102" i="87"/>
  <c r="AI9" i="87"/>
  <c r="AJ93" i="87"/>
  <c r="AD45" i="87"/>
  <c r="AH19" i="87"/>
  <c r="AD29" i="87"/>
  <c r="AK53" i="87"/>
  <c r="AI72" i="87"/>
  <c r="AJ80" i="87"/>
  <c r="AE69" i="87"/>
  <c r="AD20" i="87"/>
  <c r="AJ15" i="87"/>
  <c r="AI19" i="87"/>
  <c r="AE32" i="87"/>
  <c r="AE39" i="87"/>
  <c r="AJ72" i="87"/>
  <c r="AH90" i="87"/>
  <c r="AH105" i="87"/>
  <c r="AA77" i="87"/>
  <c r="AH38" i="87"/>
  <c r="AD91" i="87"/>
  <c r="AA93" i="87"/>
  <c r="AE106" i="87"/>
  <c r="AH91" i="87"/>
  <c r="AD108" i="87"/>
  <c r="AI8" i="87"/>
  <c r="AI49" i="87"/>
  <c r="AM8" i="87"/>
  <c r="AJ102" i="87"/>
  <c r="AH74" i="87"/>
  <c r="AK67" i="87"/>
  <c r="AJ96" i="87"/>
  <c r="N88" i="87"/>
  <c r="O88" i="87" s="1"/>
  <c r="AD66" i="87"/>
  <c r="AJ66" i="87"/>
  <c r="N104" i="87"/>
  <c r="O104" i="87" s="1"/>
  <c r="AK104" i="87" s="1"/>
  <c r="AD44" i="87"/>
  <c r="AJ44" i="87"/>
  <c r="AK46" i="87"/>
  <c r="AI46" i="87"/>
  <c r="AH46" i="87"/>
  <c r="N102" i="87"/>
  <c r="O102" i="87" s="1"/>
  <c r="S102" i="87" s="1"/>
  <c r="AC102" i="87" s="1"/>
  <c r="AJ42" i="87"/>
  <c r="AD42" i="87"/>
  <c r="AA59" i="87"/>
  <c r="AB59" i="87" s="1"/>
  <c r="AM59" i="87" s="1"/>
  <c r="AE59" i="87"/>
  <c r="N98" i="87"/>
  <c r="O98" i="87" s="1"/>
  <c r="AI10" i="87"/>
  <c r="AH10" i="87"/>
  <c r="AI87" i="87"/>
  <c r="AH87" i="87"/>
  <c r="AI86" i="87"/>
  <c r="AH86" i="87"/>
  <c r="AD101" i="87"/>
  <c r="AJ101" i="87"/>
  <c r="AD14" i="87"/>
  <c r="AJ14" i="87"/>
  <c r="AD36" i="87"/>
  <c r="O74" i="87"/>
  <c r="S74" i="87" s="1"/>
  <c r="AC74" i="87" s="1"/>
  <c r="AD86" i="87"/>
  <c r="AJ86" i="87"/>
  <c r="AJ89" i="87"/>
  <c r="AD89" i="87"/>
  <c r="O93" i="87"/>
  <c r="AF93" i="87" s="1"/>
  <c r="AA13" i="87"/>
  <c r="AI32" i="87"/>
  <c r="AH32" i="87"/>
  <c r="AD40" i="87"/>
  <c r="AD52" i="87"/>
  <c r="AI7" i="87"/>
  <c r="AH7" i="87"/>
  <c r="AD13" i="87"/>
  <c r="AI50" i="87"/>
  <c r="AK50" i="87"/>
  <c r="AH50" i="87"/>
  <c r="AJ54" i="87"/>
  <c r="AD54" i="87"/>
  <c r="AH64" i="87"/>
  <c r="AD84" i="87"/>
  <c r="AJ84" i="87"/>
  <c r="AD87" i="87"/>
  <c r="AD7" i="87"/>
  <c r="AJ7" i="87"/>
  <c r="AH14" i="87"/>
  <c r="AE54" i="87"/>
  <c r="AA54" i="87"/>
  <c r="N61" i="87"/>
  <c r="O61" i="87" s="1"/>
  <c r="AH78" i="87"/>
  <c r="AI78" i="87"/>
  <c r="AE86" i="87"/>
  <c r="AE25" i="87"/>
  <c r="AA25" i="87"/>
  <c r="O30" i="87"/>
  <c r="S30" i="87" s="1"/>
  <c r="AC30" i="87" s="1"/>
  <c r="AJ99" i="87"/>
  <c r="AI25" i="87"/>
  <c r="AD28" i="87"/>
  <c r="AD48" i="87"/>
  <c r="AJ48" i="87"/>
  <c r="AH54" i="87"/>
  <c r="AD60" i="87"/>
  <c r="AJ60" i="87"/>
  <c r="AD95" i="87"/>
  <c r="AJ95" i="87"/>
  <c r="AA36" i="87"/>
  <c r="AE36" i="87"/>
  <c r="AA45" i="87"/>
  <c r="AE45" i="87"/>
  <c r="AH58" i="87"/>
  <c r="AH93" i="87"/>
  <c r="AA37" i="87"/>
  <c r="AB37" i="87" s="1"/>
  <c r="AM37" i="87" s="1"/>
  <c r="AE37" i="87"/>
  <c r="AJ39" i="87"/>
  <c r="AD39" i="87"/>
  <c r="AH47" i="87"/>
  <c r="AI47" i="87"/>
  <c r="AA51" i="87"/>
  <c r="AJ57" i="87"/>
  <c r="AD57" i="87"/>
  <c r="AA60" i="87"/>
  <c r="AH76" i="87"/>
  <c r="AE95" i="87"/>
  <c r="AI100" i="87"/>
  <c r="AH100" i="87"/>
  <c r="AI26" i="87"/>
  <c r="AH26" i="87"/>
  <c r="AA41" i="87"/>
  <c r="AE41" i="87"/>
  <c r="AW9" i="87"/>
  <c r="BD9" i="87" s="1"/>
  <c r="AD65" i="87"/>
  <c r="AJ65" i="87"/>
  <c r="AD88" i="87"/>
  <c r="AJ88" i="87"/>
  <c r="AJ92" i="87"/>
  <c r="AD92" i="87"/>
  <c r="AD12" i="87"/>
  <c r="AJ12" i="87"/>
  <c r="O15" i="87"/>
  <c r="AK15" i="87" s="1"/>
  <c r="AK33" i="87"/>
  <c r="AI33" i="87"/>
  <c r="AD37" i="87"/>
  <c r="AJ63" i="87"/>
  <c r="AD63" i="87"/>
  <c r="AD90" i="87"/>
  <c r="O29" i="87"/>
  <c r="S29" i="87" s="1"/>
  <c r="AC29" i="87" s="1"/>
  <c r="AF37" i="87"/>
  <c r="AA57" i="87"/>
  <c r="AA73" i="87"/>
  <c r="AA100" i="87"/>
  <c r="AE100" i="87"/>
  <c r="AA104" i="87"/>
  <c r="N16" i="87"/>
  <c r="O16" i="87" s="1"/>
  <c r="S16" i="87" s="1"/>
  <c r="AC16" i="87" s="1"/>
  <c r="AI27" i="87"/>
  <c r="AH27" i="87"/>
  <c r="AD47" i="87"/>
  <c r="AE63" i="87"/>
  <c r="AD73" i="87"/>
  <c r="AD83" i="87"/>
  <c r="AJ83" i="87"/>
  <c r="AE92" i="87"/>
  <c r="N100" i="87"/>
  <c r="O100" i="87" s="1"/>
  <c r="O108" i="87"/>
  <c r="AF108" i="87" s="1"/>
  <c r="AH36" i="87"/>
  <c r="AI36" i="87"/>
  <c r="AE49" i="87"/>
  <c r="AA49" i="87"/>
  <c r="AD71" i="87"/>
  <c r="AH73" i="87"/>
  <c r="AE77" i="87"/>
  <c r="AI85" i="87"/>
  <c r="AD98" i="87"/>
  <c r="AH104" i="87"/>
  <c r="AH70" i="87"/>
  <c r="AI70" i="87"/>
  <c r="AA11" i="87"/>
  <c r="AE28" i="87"/>
  <c r="AH65" i="87"/>
  <c r="AI65" i="87"/>
  <c r="AE68" i="87"/>
  <c r="AE20" i="87"/>
  <c r="AA20" i="87"/>
  <c r="AA65" i="87"/>
  <c r="AE85" i="87"/>
  <c r="AJ97" i="87"/>
  <c r="AD97" i="87"/>
  <c r="AI109" i="87"/>
  <c r="AA55" i="87"/>
  <c r="AB55" i="87" s="1"/>
  <c r="AM55" i="87" s="1"/>
  <c r="AE101" i="87"/>
  <c r="AX17" i="87" a="1"/>
  <c r="AX17" i="87" s="1"/>
  <c r="BA17" i="87" s="1"/>
  <c r="AE12" i="87"/>
  <c r="AA70" i="87"/>
  <c r="AE75" i="87"/>
  <c r="AD106" i="87"/>
  <c r="AJ27" i="87"/>
  <c r="AE67" i="87"/>
  <c r="AA84" i="87"/>
  <c r="AD100" i="87"/>
  <c r="AE102" i="87"/>
  <c r="N8" i="87"/>
  <c r="O8" i="87" s="1"/>
  <c r="AF75" i="87"/>
  <c r="S75" i="87"/>
  <c r="AC75" i="87" s="1"/>
  <c r="S10" i="87"/>
  <c r="AC10" i="87" s="1"/>
  <c r="AK10" i="87"/>
  <c r="AF10" i="87"/>
  <c r="S13" i="87"/>
  <c r="AC13" i="87" s="1"/>
  <c r="AF13" i="87"/>
  <c r="AI51" i="87"/>
  <c r="AH51" i="87"/>
  <c r="AD26" i="87"/>
  <c r="AJ26" i="87"/>
  <c r="AJ18" i="87"/>
  <c r="AD18" i="87"/>
  <c r="N22" i="87"/>
  <c r="O22" i="87" s="1"/>
  <c r="AA26" i="87"/>
  <c r="N92" i="87"/>
  <c r="O92" i="87" s="1"/>
  <c r="S95" i="87"/>
  <c r="AC95" i="87" s="1"/>
  <c r="AF95" i="87"/>
  <c r="N12" i="87"/>
  <c r="O12" i="87" s="1"/>
  <c r="AK12" i="87" s="1"/>
  <c r="N81" i="87"/>
  <c r="O81" i="87" s="1"/>
  <c r="AA28" i="87"/>
  <c r="AE38" i="87"/>
  <c r="AA38" i="87"/>
  <c r="AJ56" i="87"/>
  <c r="AD56" i="87"/>
  <c r="AF62" i="87"/>
  <c r="AI63" i="87"/>
  <c r="AH63" i="87"/>
  <c r="AH96" i="87"/>
  <c r="AI96" i="87"/>
  <c r="AA30" i="87"/>
  <c r="AE30" i="87"/>
  <c r="N84" i="87"/>
  <c r="O84" i="87" s="1"/>
  <c r="AK11" i="87"/>
  <c r="S11" i="87"/>
  <c r="AC11" i="87" s="1"/>
  <c r="AF11" i="87"/>
  <c r="N24" i="87"/>
  <c r="O24" i="87" s="1"/>
  <c r="AE34" i="87"/>
  <c r="AA34" i="87"/>
  <c r="AH41" i="87"/>
  <c r="AW30" i="87"/>
  <c r="AY30" i="87" s="1"/>
  <c r="BA30" i="87" s="1"/>
  <c r="AI41" i="87"/>
  <c r="AH12" i="87"/>
  <c r="AW11" i="87"/>
  <c r="AX11" i="87" s="1" a="1"/>
  <c r="AX11" i="87" s="1"/>
  <c r="AI12" i="87"/>
  <c r="N7" i="87"/>
  <c r="O7" i="87" s="1"/>
  <c r="AF34" i="87"/>
  <c r="S34" i="87"/>
  <c r="AK34" i="87"/>
  <c r="N73" i="87"/>
  <c r="O73" i="87" s="1"/>
  <c r="AK73" i="87" s="1"/>
  <c r="AF39" i="87"/>
  <c r="S39" i="87"/>
  <c r="AC39" i="87" s="1"/>
  <c r="AI66" i="87"/>
  <c r="AH66" i="87"/>
  <c r="AH82" i="87"/>
  <c r="AI82" i="87"/>
  <c r="AD38" i="87"/>
  <c r="AJ38" i="87"/>
  <c r="AA56" i="87"/>
  <c r="AE56" i="87"/>
  <c r="N63" i="87"/>
  <c r="O63" i="87" s="1"/>
  <c r="AJ94" i="87"/>
  <c r="AD94" i="87"/>
  <c r="N96" i="87"/>
  <c r="O96" i="87" s="1"/>
  <c r="AK96" i="87" s="1"/>
  <c r="N17" i="87"/>
  <c r="O17" i="87" s="1"/>
  <c r="AE19" i="87"/>
  <c r="N103" i="87"/>
  <c r="O103" i="87" s="1"/>
  <c r="AX18" i="87" a="1"/>
  <c r="AX18" i="87" s="1"/>
  <c r="AX13" i="87" a="1"/>
  <c r="AX13" i="87" s="1"/>
  <c r="AX16" i="87" a="1"/>
  <c r="AX16" i="87" s="1"/>
  <c r="AX14" i="87" a="1"/>
  <c r="AX14" i="87" s="1"/>
  <c r="K2" i="87"/>
  <c r="AX15" i="87" a="1"/>
  <c r="AX15" i="87" s="1"/>
  <c r="AW31" i="87"/>
  <c r="AY31" i="87" s="1"/>
  <c r="BA31" i="87" s="1"/>
  <c r="N47" i="87"/>
  <c r="O47" i="87" s="1"/>
  <c r="AA42" i="87"/>
  <c r="AE42" i="87"/>
  <c r="AA94" i="87"/>
  <c r="AE94" i="87"/>
  <c r="AJ16" i="87"/>
  <c r="AD16" i="87"/>
  <c r="O51" i="87"/>
  <c r="AK51" i="87" s="1"/>
  <c r="N69" i="87"/>
  <c r="O69" i="87" s="1"/>
  <c r="AW12" i="87"/>
  <c r="AX12" i="87" s="1" a="1"/>
  <c r="AX12" i="87" s="1"/>
  <c r="AK54" i="87"/>
  <c r="AF54" i="87"/>
  <c r="S54" i="87"/>
  <c r="AC54" i="87" s="1"/>
  <c r="AK75" i="87"/>
  <c r="AI75" i="87"/>
  <c r="AH75" i="87"/>
  <c r="AA29" i="87"/>
  <c r="AE29" i="87"/>
  <c r="AF78" i="87"/>
  <c r="AK78" i="87"/>
  <c r="S78" i="87"/>
  <c r="AC78" i="87" s="1"/>
  <c r="AA52" i="87"/>
  <c r="AE52" i="87"/>
  <c r="AW10" i="87"/>
  <c r="AX10" i="87" s="1" a="1"/>
  <c r="AX10" i="87" s="1"/>
  <c r="AF33" i="87"/>
  <c r="S33" i="87"/>
  <c r="AC33" i="87" s="1"/>
  <c r="AF89" i="87"/>
  <c r="S89" i="87"/>
  <c r="AC89" i="87" s="1"/>
  <c r="AK89" i="87"/>
  <c r="AD17" i="87"/>
  <c r="AJ19" i="87"/>
  <c r="AF19" i="87"/>
  <c r="AA27" i="87"/>
  <c r="AK28" i="87"/>
  <c r="S28" i="87"/>
  <c r="AC28" i="87" s="1"/>
  <c r="AF28" i="87"/>
  <c r="AJ30" i="87"/>
  <c r="AD30" i="87"/>
  <c r="O32" i="87"/>
  <c r="AJ61" i="87"/>
  <c r="AD61" i="87"/>
  <c r="AE80" i="87"/>
  <c r="AA80" i="87"/>
  <c r="N44" i="87"/>
  <c r="O44" i="87" s="1"/>
  <c r="AA61" i="87"/>
  <c r="AE61" i="87"/>
  <c r="AA66" i="87"/>
  <c r="AE66" i="87"/>
  <c r="AA33" i="87"/>
  <c r="O79" i="87"/>
  <c r="AH31" i="87"/>
  <c r="AK31" i="87"/>
  <c r="AI31" i="87"/>
  <c r="AI35" i="87"/>
  <c r="AH35" i="87"/>
  <c r="AA12" i="87"/>
  <c r="AA8" i="87"/>
  <c r="AE40" i="87"/>
  <c r="AA40" i="87"/>
  <c r="N49" i="87"/>
  <c r="O49" i="87" s="1"/>
  <c r="AD55" i="87"/>
  <c r="N68" i="87"/>
  <c r="O68" i="87" s="1"/>
  <c r="AK68" i="87" s="1"/>
  <c r="AE70" i="87"/>
  <c r="S53" i="87"/>
  <c r="AC53" i="87" s="1"/>
  <c r="AF53" i="87"/>
  <c r="AK13" i="87"/>
  <c r="AM17" i="87"/>
  <c r="AW29" i="87"/>
  <c r="AY29" i="87" s="1"/>
  <c r="BA29" i="87" s="1"/>
  <c r="AI17" i="87"/>
  <c r="AE23" i="87"/>
  <c r="AI30" i="87"/>
  <c r="AH30" i="87"/>
  <c r="AD31" i="87"/>
  <c r="AJ32" i="87"/>
  <c r="AI34" i="87"/>
  <c r="AH34" i="87"/>
  <c r="AD53" i="87"/>
  <c r="AJ53" i="87"/>
  <c r="AJ62" i="87"/>
  <c r="AD62" i="87"/>
  <c r="N71" i="87"/>
  <c r="O71" i="87" s="1"/>
  <c r="S86" i="87"/>
  <c r="AF86" i="87"/>
  <c r="AK86" i="87"/>
  <c r="N99" i="87"/>
  <c r="O99" i="87" s="1"/>
  <c r="AJ107" i="87"/>
  <c r="AD107" i="87"/>
  <c r="AK55" i="87"/>
  <c r="AI55" i="87"/>
  <c r="AH55" i="87"/>
  <c r="AJ85" i="87"/>
  <c r="AD85" i="87"/>
  <c r="N83" i="87"/>
  <c r="O83" i="87" s="1"/>
  <c r="AI21" i="87"/>
  <c r="AH21" i="87"/>
  <c r="AJ79" i="87"/>
  <c r="AD79" i="87"/>
  <c r="AD82" i="87"/>
  <c r="O21" i="87"/>
  <c r="AK21" i="87" s="1"/>
  <c r="AE71" i="87"/>
  <c r="AH95" i="87"/>
  <c r="AI95" i="87"/>
  <c r="AK95" i="87"/>
  <c r="AI39" i="87"/>
  <c r="AH39" i="87"/>
  <c r="AK39" i="87"/>
  <c r="N66" i="87"/>
  <c r="O66" i="87" s="1"/>
  <c r="AH77" i="87"/>
  <c r="AI77" i="87"/>
  <c r="AD8" i="87"/>
  <c r="AD11" i="87"/>
  <c r="N14" i="87"/>
  <c r="O14" i="87" s="1"/>
  <c r="AD24" i="87"/>
  <c r="N26" i="87"/>
  <c r="O26" i="87" s="1"/>
  <c r="AA31" i="87"/>
  <c r="AB31" i="87" s="1"/>
  <c r="AM31" i="87" s="1"/>
  <c r="AA35" i="87"/>
  <c r="AB35" i="87" s="1"/>
  <c r="AM35" i="87" s="1"/>
  <c r="AE35" i="87"/>
  <c r="AE11" i="87"/>
  <c r="N20" i="87"/>
  <c r="O20" i="87" s="1"/>
  <c r="AK20" i="87" s="1"/>
  <c r="AD22" i="87"/>
  <c r="AD23" i="87"/>
  <c r="AE24" i="87"/>
  <c r="AJ25" i="87"/>
  <c r="AJ9" i="87"/>
  <c r="AH29" i="87"/>
  <c r="AI29" i="87"/>
  <c r="O43" i="87"/>
  <c r="AI48" i="87"/>
  <c r="AH48" i="87"/>
  <c r="AE107" i="87"/>
  <c r="AA107" i="87"/>
  <c r="AJ33" i="87"/>
  <c r="AD33" i="87"/>
  <c r="N90" i="87"/>
  <c r="O90" i="87" s="1"/>
  <c r="O9" i="87"/>
  <c r="AK9" i="87" s="1"/>
  <c r="AJ74" i="87"/>
  <c r="AD74" i="87"/>
  <c r="AE91" i="87"/>
  <c r="AA91" i="87"/>
  <c r="AE96" i="87"/>
  <c r="AD21" i="87"/>
  <c r="AJ21" i="87"/>
  <c r="AE55" i="87"/>
  <c r="O77" i="87"/>
  <c r="AK77" i="87" s="1"/>
  <c r="AE88" i="87"/>
  <c r="AW32" i="87"/>
  <c r="AY32" i="87" s="1"/>
  <c r="BA32" i="87" s="1"/>
  <c r="AH18" i="87"/>
  <c r="AF31" i="87"/>
  <c r="AK35" i="87"/>
  <c r="N48" i="87"/>
  <c r="O48" i="87" s="1"/>
  <c r="AJ64" i="87"/>
  <c r="AD64" i="87"/>
  <c r="AI98" i="87"/>
  <c r="AH98" i="87"/>
  <c r="AE103" i="87"/>
  <c r="AA103" i="87"/>
  <c r="O36" i="87"/>
  <c r="AK36" i="87" s="1"/>
  <c r="AD41" i="87"/>
  <c r="AJ41" i="87"/>
  <c r="N64" i="87"/>
  <c r="O64" i="87" s="1"/>
  <c r="N101" i="87"/>
  <c r="O101" i="87" s="1"/>
  <c r="N72" i="87"/>
  <c r="O72" i="87" s="1"/>
  <c r="AA75" i="87"/>
  <c r="N97" i="87"/>
  <c r="O97" i="87" s="1"/>
  <c r="AK97" i="87" s="1"/>
  <c r="AI22" i="87"/>
  <c r="AH22" i="87"/>
  <c r="N56" i="87"/>
  <c r="O56" i="87" s="1"/>
  <c r="AF52" i="87"/>
  <c r="AF59" i="87"/>
  <c r="AI68" i="87"/>
  <c r="AH68" i="87"/>
  <c r="N85" i="87"/>
  <c r="O85" i="87" s="1"/>
  <c r="AI20" i="87"/>
  <c r="AH20" i="87"/>
  <c r="AE7" i="87"/>
  <c r="N18" i="87"/>
  <c r="O18" i="87" s="1"/>
  <c r="S19" i="87"/>
  <c r="AC19" i="87" s="1"/>
  <c r="AJ34" i="87"/>
  <c r="AD34" i="87"/>
  <c r="AI37" i="87"/>
  <c r="AH37" i="87"/>
  <c r="N42" i="87"/>
  <c r="O42" i="87" s="1"/>
  <c r="S52" i="87"/>
  <c r="AC52" i="87" s="1"/>
  <c r="AA53" i="87"/>
  <c r="O60" i="87"/>
  <c r="AE64" i="87"/>
  <c r="AA64" i="87"/>
  <c r="AH80" i="87"/>
  <c r="AE48" i="87"/>
  <c r="AA48" i="87"/>
  <c r="AE90" i="87"/>
  <c r="AA90" i="87"/>
  <c r="AA106" i="87"/>
  <c r="AH43" i="87"/>
  <c r="AI43" i="87"/>
  <c r="N45" i="87"/>
  <c r="O45" i="87" s="1"/>
  <c r="AF46" i="87"/>
  <c r="S46" i="87"/>
  <c r="AH56" i="87"/>
  <c r="AI56" i="87"/>
  <c r="AA62" i="87"/>
  <c r="AB62" i="87" s="1"/>
  <c r="AM62" i="87" s="1"/>
  <c r="AE72" i="87"/>
  <c r="AA72" i="87"/>
  <c r="AK76" i="87"/>
  <c r="AF76" i="87"/>
  <c r="O40" i="87"/>
  <c r="AD81" i="87"/>
  <c r="AJ81" i="87"/>
  <c r="AE105" i="87"/>
  <c r="AA105" i="87"/>
  <c r="N109" i="87"/>
  <c r="O109" i="87" s="1"/>
  <c r="AH24" i="87"/>
  <c r="AI24" i="87"/>
  <c r="N27" i="87"/>
  <c r="O27" i="87" s="1"/>
  <c r="AD76" i="87"/>
  <c r="AJ76" i="87"/>
  <c r="AA81" i="87"/>
  <c r="AE81" i="87"/>
  <c r="AF35" i="87"/>
  <c r="AD35" i="87"/>
  <c r="AE78" i="87"/>
  <c r="AA99" i="87"/>
  <c r="AE99" i="87"/>
  <c r="AH11" i="87"/>
  <c r="AI81" i="87"/>
  <c r="AH81" i="87"/>
  <c r="O23" i="87"/>
  <c r="AA44" i="87"/>
  <c r="AE44" i="87"/>
  <c r="AA47" i="87"/>
  <c r="AE47" i="87"/>
  <c r="AJ50" i="87"/>
  <c r="AF50" i="87"/>
  <c r="AF55" i="87"/>
  <c r="AI57" i="87"/>
  <c r="AH57" i="87"/>
  <c r="O58" i="87"/>
  <c r="AK59" i="87"/>
  <c r="AI59" i="87"/>
  <c r="AI62" i="87"/>
  <c r="AK62" i="87"/>
  <c r="AJ67" i="87"/>
  <c r="AF67" i="87"/>
  <c r="AJ35" i="87"/>
  <c r="AA43" i="87"/>
  <c r="O57" i="87"/>
  <c r="O65" i="87"/>
  <c r="AA68" i="87"/>
  <c r="AE89" i="87"/>
  <c r="AA89" i="87"/>
  <c r="AI92" i="87"/>
  <c r="AH92" i="87"/>
  <c r="AF94" i="87"/>
  <c r="S94" i="87"/>
  <c r="AC94" i="87" s="1"/>
  <c r="AI101" i="87"/>
  <c r="O106" i="87"/>
  <c r="AK94" i="87"/>
  <c r="AI94" i="87"/>
  <c r="AJ103" i="87"/>
  <c r="AD103" i="87"/>
  <c r="AI71" i="87"/>
  <c r="AH71" i="87"/>
  <c r="AH89" i="87"/>
  <c r="AI89" i="87"/>
  <c r="O105" i="87"/>
  <c r="AI108" i="87"/>
  <c r="AH108" i="87"/>
  <c r="AE60" i="87"/>
  <c r="AD68" i="87"/>
  <c r="AJ68" i="87"/>
  <c r="O82" i="87"/>
  <c r="N87" i="87"/>
  <c r="O87" i="87" s="1"/>
  <c r="AH97" i="87"/>
  <c r="AI97" i="87"/>
  <c r="AD109" i="87"/>
  <c r="AJ109" i="87"/>
  <c r="O70" i="87"/>
  <c r="AA108" i="87"/>
  <c r="AH103" i="87"/>
  <c r="AI103" i="87"/>
  <c r="AA85" i="87"/>
  <c r="O91" i="87"/>
  <c r="AA101" i="87"/>
  <c r="AA95" i="87"/>
  <c r="AA109" i="87"/>
  <c r="AD75" i="87"/>
  <c r="AA63" i="87"/>
  <c r="N80" i="87"/>
  <c r="O80" i="87" s="1"/>
  <c r="AE84" i="87"/>
  <c r="AA87" i="87"/>
  <c r="AE97" i="87"/>
  <c r="AA97" i="87"/>
  <c r="AK41" i="87" l="1"/>
  <c r="AF38" i="87"/>
  <c r="AG38" i="87" s="1"/>
  <c r="AB25" i="87"/>
  <c r="AM25" i="87" s="1"/>
  <c r="AK25" i="87"/>
  <c r="AB11" i="87"/>
  <c r="AM11" i="87" s="1"/>
  <c r="AF25" i="87"/>
  <c r="AG25" i="87" s="1"/>
  <c r="S41" i="87"/>
  <c r="AC41" i="87" s="1"/>
  <c r="AG41" i="87" s="1"/>
  <c r="S104" i="87"/>
  <c r="AC104" i="87" s="1"/>
  <c r="AF104" i="87"/>
  <c r="AK108" i="87"/>
  <c r="S108" i="87"/>
  <c r="AC108" i="87" s="1"/>
  <c r="AG108" i="87" s="1"/>
  <c r="AK38" i="87"/>
  <c r="AG94" i="87"/>
  <c r="AB29" i="87"/>
  <c r="AM29" i="87" s="1"/>
  <c r="AB39" i="87"/>
  <c r="AM39" i="87" s="1"/>
  <c r="AG37" i="87"/>
  <c r="AK107" i="87"/>
  <c r="AF107" i="87"/>
  <c r="S107" i="87"/>
  <c r="AC107" i="87" s="1"/>
  <c r="S88" i="87"/>
  <c r="AC88" i="87" s="1"/>
  <c r="AK88" i="87"/>
  <c r="AF88" i="87"/>
  <c r="AB75" i="87"/>
  <c r="AM75" i="87" s="1"/>
  <c r="AG39" i="87"/>
  <c r="AG62" i="87"/>
  <c r="AG55" i="87"/>
  <c r="AF29" i="87"/>
  <c r="AG29" i="87" s="1"/>
  <c r="S98" i="87"/>
  <c r="AC98" i="87" s="1"/>
  <c r="AF98" i="87"/>
  <c r="AK98" i="87"/>
  <c r="AG31" i="87"/>
  <c r="AK16" i="87"/>
  <c r="BB10" i="87"/>
  <c r="AG50" i="87"/>
  <c r="AF16" i="87"/>
  <c r="AG16" i="87" s="1"/>
  <c r="AB13" i="87"/>
  <c r="AM13" i="87" s="1"/>
  <c r="AG67" i="87"/>
  <c r="BB12" i="87"/>
  <c r="AB16" i="87"/>
  <c r="AM16" i="87" s="1"/>
  <c r="AB78" i="87"/>
  <c r="AM78" i="87" s="1"/>
  <c r="AK102" i="87"/>
  <c r="AG76" i="87"/>
  <c r="AB94" i="87"/>
  <c r="AM94" i="87" s="1"/>
  <c r="AB53" i="87"/>
  <c r="AM53" i="87" s="1"/>
  <c r="AK61" i="87"/>
  <c r="S61" i="87"/>
  <c r="AC61" i="87" s="1"/>
  <c r="AF61" i="87"/>
  <c r="AB54" i="87"/>
  <c r="AM54" i="87" s="1"/>
  <c r="AG95" i="87"/>
  <c r="AG75" i="87"/>
  <c r="S93" i="87"/>
  <c r="AC93" i="87" s="1"/>
  <c r="AG93" i="87" s="1"/>
  <c r="S15" i="87"/>
  <c r="AC15" i="87" s="1"/>
  <c r="AF15" i="87"/>
  <c r="AG59" i="87"/>
  <c r="AB19" i="87"/>
  <c r="AM19" i="87" s="1"/>
  <c r="AB74" i="87"/>
  <c r="AM74" i="87" s="1"/>
  <c r="AF102" i="87"/>
  <c r="AG102" i="87" s="1"/>
  <c r="AZ11" i="87" a="1"/>
  <c r="AZ11" i="87" s="1"/>
  <c r="AY11" i="87" s="1"/>
  <c r="AG52" i="87"/>
  <c r="AF74" i="87"/>
  <c r="AG74" i="87" s="1"/>
  <c r="AG35" i="87"/>
  <c r="AF30" i="87"/>
  <c r="AG30" i="87" s="1"/>
  <c r="BB9" i="87"/>
  <c r="AK74" i="87"/>
  <c r="AB33" i="87"/>
  <c r="AM33" i="87" s="1"/>
  <c r="AB30" i="87"/>
  <c r="AM30" i="87" s="1"/>
  <c r="AK30" i="87"/>
  <c r="AG89" i="87"/>
  <c r="AX9" i="87" a="1"/>
  <c r="AX9" i="87" s="1"/>
  <c r="BA9" i="87" s="1"/>
  <c r="AF100" i="87"/>
  <c r="S100" i="87"/>
  <c r="AC100" i="87" s="1"/>
  <c r="AB28" i="87"/>
  <c r="AM28" i="87" s="1"/>
  <c r="AK100" i="87"/>
  <c r="AB102" i="87"/>
  <c r="AM102" i="87" s="1"/>
  <c r="AK93" i="87"/>
  <c r="AK29" i="87"/>
  <c r="AB38" i="87"/>
  <c r="AM38" i="87" s="1"/>
  <c r="BD10" i="87"/>
  <c r="AF14" i="87"/>
  <c r="S14" i="87"/>
  <c r="AC14" i="87" s="1"/>
  <c r="AK14" i="87"/>
  <c r="AF17" i="87"/>
  <c r="S17" i="87"/>
  <c r="AC17" i="87" s="1"/>
  <c r="AK17" i="87"/>
  <c r="S66" i="87"/>
  <c r="AC66" i="87" s="1"/>
  <c r="AF66" i="87"/>
  <c r="AK66" i="87"/>
  <c r="S24" i="87"/>
  <c r="AC24" i="87" s="1"/>
  <c r="AF24" i="87"/>
  <c r="AK24" i="87"/>
  <c r="S45" i="87"/>
  <c r="AC45" i="87" s="1"/>
  <c r="AF45" i="87"/>
  <c r="AK45" i="87"/>
  <c r="AF44" i="87"/>
  <c r="S44" i="87"/>
  <c r="AC44" i="87" s="1"/>
  <c r="AK44" i="87"/>
  <c r="S103" i="87"/>
  <c r="AC103" i="87" s="1"/>
  <c r="AK103" i="87"/>
  <c r="AF103" i="87"/>
  <c r="AK49" i="87"/>
  <c r="S49" i="87"/>
  <c r="AC49" i="87" s="1"/>
  <c r="AF49" i="87"/>
  <c r="S18" i="87"/>
  <c r="AC18" i="87" s="1"/>
  <c r="AF18" i="87"/>
  <c r="AK18" i="87"/>
  <c r="AK8" i="87"/>
  <c r="AF8" i="87"/>
  <c r="S8" i="87"/>
  <c r="AC8" i="87" s="1"/>
  <c r="S99" i="87"/>
  <c r="AC99" i="87" s="1"/>
  <c r="AF99" i="87"/>
  <c r="AK99" i="87"/>
  <c r="S27" i="87"/>
  <c r="AC27" i="87" s="1"/>
  <c r="AF27" i="87"/>
  <c r="AK27" i="87"/>
  <c r="AF92" i="87"/>
  <c r="S92" i="87"/>
  <c r="AC92" i="87" s="1"/>
  <c r="AK92" i="87"/>
  <c r="S109" i="87"/>
  <c r="AC109" i="87" s="1"/>
  <c r="AF109" i="87"/>
  <c r="AK109" i="87"/>
  <c r="AF63" i="87"/>
  <c r="S63" i="87"/>
  <c r="AC63" i="87" s="1"/>
  <c r="AK63" i="87"/>
  <c r="S22" i="87"/>
  <c r="AC22" i="87" s="1"/>
  <c r="AF22" i="87"/>
  <c r="AK22" i="87"/>
  <c r="S87" i="87"/>
  <c r="AC87" i="87" s="1"/>
  <c r="AK87" i="87"/>
  <c r="AF87" i="87"/>
  <c r="S101" i="87"/>
  <c r="AC101" i="87" s="1"/>
  <c r="AF101" i="87"/>
  <c r="AK101" i="87"/>
  <c r="S26" i="87"/>
  <c r="AC26" i="87" s="1"/>
  <c r="AK26" i="87"/>
  <c r="AF26" i="87"/>
  <c r="AF69" i="87"/>
  <c r="S69" i="87"/>
  <c r="AC69" i="87" s="1"/>
  <c r="AK69" i="87"/>
  <c r="S84" i="87"/>
  <c r="AC84" i="87" s="1"/>
  <c r="AK84" i="87"/>
  <c r="AF84" i="87"/>
  <c r="AF48" i="87"/>
  <c r="S48" i="87"/>
  <c r="AC48" i="87" s="1"/>
  <c r="AK48" i="87"/>
  <c r="S42" i="87"/>
  <c r="AC42" i="87" s="1"/>
  <c r="AF42" i="87"/>
  <c r="AK42" i="87"/>
  <c r="S83" i="87"/>
  <c r="AC83" i="87" s="1"/>
  <c r="AF83" i="87"/>
  <c r="AK83" i="87"/>
  <c r="AF64" i="87"/>
  <c r="S64" i="87"/>
  <c r="AC64" i="87" s="1"/>
  <c r="AK64" i="87"/>
  <c r="AF105" i="87"/>
  <c r="S105" i="87"/>
  <c r="AC105" i="87" s="1"/>
  <c r="AK105" i="87"/>
  <c r="AK40" i="87"/>
  <c r="AF40" i="87"/>
  <c r="S40" i="87"/>
  <c r="AC40" i="87" s="1"/>
  <c r="AF60" i="87"/>
  <c r="AG60" i="87" s="1"/>
  <c r="AB60" i="87"/>
  <c r="AM60" i="87" s="1"/>
  <c r="S85" i="87"/>
  <c r="AC85" i="87" s="1"/>
  <c r="AF85" i="87"/>
  <c r="AF106" i="87"/>
  <c r="AK106" i="87"/>
  <c r="S106" i="87"/>
  <c r="AC106" i="87" s="1"/>
  <c r="AC46" i="87"/>
  <c r="AG46" i="87" s="1"/>
  <c r="AB46" i="87"/>
  <c r="AM46" i="87" s="1"/>
  <c r="AF90" i="87"/>
  <c r="S90" i="87"/>
  <c r="AC90" i="87" s="1"/>
  <c r="AG28" i="87"/>
  <c r="AB89" i="87"/>
  <c r="AM89" i="87" s="1"/>
  <c r="AF96" i="87"/>
  <c r="S96" i="87"/>
  <c r="AC96" i="87" s="1"/>
  <c r="AZ12" i="87" a="1"/>
  <c r="AZ12" i="87" s="1"/>
  <c r="AY12" i="87" s="1"/>
  <c r="S82" i="87"/>
  <c r="AC82" i="87" s="1"/>
  <c r="AF82" i="87"/>
  <c r="AK90" i="87"/>
  <c r="AZ10" i="87" a="1"/>
  <c r="AZ10" i="87" s="1"/>
  <c r="AY10" i="87" s="1"/>
  <c r="S21" i="87"/>
  <c r="AC21" i="87" s="1"/>
  <c r="AF21" i="87"/>
  <c r="S71" i="87"/>
  <c r="AC71" i="87" s="1"/>
  <c r="AF71" i="87"/>
  <c r="AK71" i="87"/>
  <c r="AG53" i="87"/>
  <c r="AB51" i="87"/>
  <c r="AM51" i="87" s="1"/>
  <c r="AF51" i="87"/>
  <c r="AG51" i="87" s="1"/>
  <c r="BA15" i="87"/>
  <c r="AF81" i="87"/>
  <c r="S81" i="87"/>
  <c r="AC81" i="87" s="1"/>
  <c r="AK81" i="87"/>
  <c r="AK91" i="87"/>
  <c r="S91" i="87"/>
  <c r="AC91" i="87" s="1"/>
  <c r="AF91" i="87"/>
  <c r="S70" i="87"/>
  <c r="AC70" i="87" s="1"/>
  <c r="AK70" i="87"/>
  <c r="AF70" i="87"/>
  <c r="AG11" i="87"/>
  <c r="S58" i="87"/>
  <c r="AC58" i="87" s="1"/>
  <c r="AF58" i="87"/>
  <c r="AK58" i="87"/>
  <c r="BA11" i="87"/>
  <c r="AB52" i="87"/>
  <c r="AM52" i="87" s="1"/>
  <c r="AF97" i="87"/>
  <c r="S97" i="87"/>
  <c r="AC97" i="87" s="1"/>
  <c r="AF12" i="87"/>
  <c r="S12" i="87"/>
  <c r="AC12" i="87" s="1"/>
  <c r="AC34" i="87"/>
  <c r="AG34" i="87" s="1"/>
  <c r="AB34" i="87"/>
  <c r="AM34" i="87" s="1"/>
  <c r="BA27" i="87"/>
  <c r="AF73" i="87"/>
  <c r="S73" i="87"/>
  <c r="AC73" i="87" s="1"/>
  <c r="AK60" i="87"/>
  <c r="AF77" i="87"/>
  <c r="S77" i="87"/>
  <c r="AC77" i="87" s="1"/>
  <c r="AZ9" i="87" a="1"/>
  <c r="AZ9" i="87" s="1"/>
  <c r="AG78" i="87"/>
  <c r="AI3" i="87"/>
  <c r="E1" i="87" s="1"/>
  <c r="AF7" i="87"/>
  <c r="S7" i="87"/>
  <c r="AC7" i="87" s="1"/>
  <c r="AK7" i="87"/>
  <c r="BA13" i="87"/>
  <c r="BA12" i="87"/>
  <c r="S47" i="87"/>
  <c r="AC47" i="87" s="1"/>
  <c r="AF47" i="87"/>
  <c r="BB11" i="87"/>
  <c r="AK85" i="87"/>
  <c r="AK82" i="87"/>
  <c r="AF23" i="87"/>
  <c r="AK23" i="87"/>
  <c r="S23" i="87"/>
  <c r="AC23" i="87" s="1"/>
  <c r="AK47" i="87"/>
  <c r="AG33" i="87"/>
  <c r="L2" i="87"/>
  <c r="AJ3" i="87"/>
  <c r="AF80" i="87"/>
  <c r="S80" i="87"/>
  <c r="AC80" i="87" s="1"/>
  <c r="AK80" i="87"/>
  <c r="AF9" i="87"/>
  <c r="S9" i="87"/>
  <c r="AC9" i="87" s="1"/>
  <c r="Q2" i="87"/>
  <c r="G2" i="87" s="1"/>
  <c r="AZ17" i="87" a="1"/>
  <c r="AZ17" i="87" s="1"/>
  <c r="AY17" i="87" s="1"/>
  <c r="AH3" i="87"/>
  <c r="E2" i="87" s="1"/>
  <c r="AZ15" i="87" a="1"/>
  <c r="AZ15" i="87" s="1"/>
  <c r="AY15" i="87" s="1"/>
  <c r="AZ16" i="87" a="1"/>
  <c r="AZ16" i="87" s="1"/>
  <c r="AY16" i="87" s="1"/>
  <c r="P2" i="87"/>
  <c r="AZ13" i="87" a="1"/>
  <c r="AZ13" i="87" s="1"/>
  <c r="AY13" i="87" s="1"/>
  <c r="R2" i="87"/>
  <c r="AZ18" i="87" a="1"/>
  <c r="AZ18" i="87" s="1"/>
  <c r="AY18" i="87" s="1"/>
  <c r="AZ14" i="87" a="1"/>
  <c r="AZ14" i="87" s="1"/>
  <c r="AY14" i="87" s="1"/>
  <c r="AF65" i="87"/>
  <c r="AK65" i="87"/>
  <c r="S65" i="87"/>
  <c r="AC65" i="87" s="1"/>
  <c r="AF56" i="87"/>
  <c r="S56" i="87"/>
  <c r="AC56" i="87" s="1"/>
  <c r="AK56" i="87"/>
  <c r="AF43" i="87"/>
  <c r="S43" i="87"/>
  <c r="AC43" i="87" s="1"/>
  <c r="AK43" i="87"/>
  <c r="S20" i="87"/>
  <c r="AC20" i="87" s="1"/>
  <c r="AF20" i="87"/>
  <c r="AG54" i="87"/>
  <c r="BA14" i="87"/>
  <c r="AB95" i="87"/>
  <c r="AM95" i="87" s="1"/>
  <c r="AG13" i="87"/>
  <c r="BA18" i="87"/>
  <c r="AF36" i="87"/>
  <c r="S36" i="87"/>
  <c r="AC36" i="87" s="1"/>
  <c r="AG10" i="87"/>
  <c r="AC86" i="87"/>
  <c r="AG86" i="87" s="1"/>
  <c r="AB86" i="87"/>
  <c r="AM86" i="87" s="1"/>
  <c r="S79" i="87"/>
  <c r="AC79" i="87" s="1"/>
  <c r="AK79" i="87"/>
  <c r="AF79" i="87"/>
  <c r="AW7" i="87"/>
  <c r="BD11" i="87"/>
  <c r="BD12" i="87" s="1"/>
  <c r="BD13" i="87" s="1"/>
  <c r="BD14" i="87" s="1"/>
  <c r="BD15" i="87" s="1"/>
  <c r="BD16" i="87" s="1"/>
  <c r="BD17" i="87" s="1"/>
  <c r="BD18" i="87" s="1"/>
  <c r="AF57" i="87"/>
  <c r="S57" i="87"/>
  <c r="AC57" i="87" s="1"/>
  <c r="AK57" i="87"/>
  <c r="AG19" i="87"/>
  <c r="AF72" i="87"/>
  <c r="S72" i="87"/>
  <c r="AC72" i="87" s="1"/>
  <c r="AK72" i="87"/>
  <c r="S68" i="87"/>
  <c r="AC68" i="87" s="1"/>
  <c r="AF68" i="87"/>
  <c r="AF32" i="87"/>
  <c r="AK32" i="87"/>
  <c r="S32" i="87"/>
  <c r="AC32" i="87" s="1"/>
  <c r="BA10" i="87"/>
  <c r="BA16" i="87"/>
  <c r="AB10" i="87"/>
  <c r="AM10" i="87" s="1"/>
  <c r="AB41" i="87" l="1"/>
  <c r="AM41" i="87" s="1"/>
  <c r="AG36" i="87"/>
  <c r="AG81" i="87"/>
  <c r="AG7" i="87"/>
  <c r="AG104" i="87"/>
  <c r="AG105" i="87"/>
  <c r="AG17" i="87"/>
  <c r="AB42" i="87"/>
  <c r="AM42" i="87" s="1"/>
  <c r="AG65" i="87"/>
  <c r="AG40" i="87"/>
  <c r="AB97" i="87"/>
  <c r="AM97" i="87" s="1"/>
  <c r="AB68" i="87"/>
  <c r="AM68" i="87" s="1"/>
  <c r="AG98" i="87"/>
  <c r="AB104" i="87"/>
  <c r="AM104" i="87" s="1"/>
  <c r="AB108" i="87"/>
  <c r="AM108" i="87" s="1"/>
  <c r="AB87" i="87"/>
  <c r="AM87" i="87" s="1"/>
  <c r="AG107" i="87"/>
  <c r="AG92" i="87"/>
  <c r="AG88" i="87"/>
  <c r="AB107" i="87"/>
  <c r="AM107" i="87" s="1"/>
  <c r="AG72" i="87"/>
  <c r="AG90" i="87"/>
  <c r="AG43" i="87"/>
  <c r="AG69" i="87"/>
  <c r="AG63" i="87"/>
  <c r="AB88" i="87"/>
  <c r="AM88" i="87" s="1"/>
  <c r="AB47" i="87"/>
  <c r="AM47" i="87" s="1"/>
  <c r="AB81" i="87"/>
  <c r="AM81" i="87" s="1"/>
  <c r="AB92" i="87"/>
  <c r="AM92" i="87" s="1"/>
  <c r="AG100" i="87"/>
  <c r="AB98" i="87"/>
  <c r="AM98" i="87" s="1"/>
  <c r="AX7" i="87"/>
  <c r="AB56" i="87"/>
  <c r="AM56" i="87" s="1"/>
  <c r="AB58" i="87"/>
  <c r="AM58" i="87" s="1"/>
  <c r="AB15" i="87"/>
  <c r="AM15" i="87" s="1"/>
  <c r="AB64" i="87"/>
  <c r="AM64" i="87" s="1"/>
  <c r="AB24" i="87"/>
  <c r="AM24" i="87" s="1"/>
  <c r="AG61" i="87"/>
  <c r="AB20" i="87"/>
  <c r="AM20" i="87" s="1"/>
  <c r="AB23" i="87"/>
  <c r="AM23" i="87" s="1"/>
  <c r="AB26" i="87"/>
  <c r="AM26" i="87" s="1"/>
  <c r="AB63" i="87"/>
  <c r="AM63" i="87" s="1"/>
  <c r="AG8" i="87"/>
  <c r="AB93" i="87"/>
  <c r="AM93" i="87" s="1"/>
  <c r="AB96" i="87"/>
  <c r="AM96" i="87" s="1"/>
  <c r="AG103" i="87"/>
  <c r="AB14" i="87"/>
  <c r="AM14" i="87" s="1"/>
  <c r="AG57" i="87"/>
  <c r="AM7" i="87"/>
  <c r="AG12" i="87"/>
  <c r="AB70" i="87"/>
  <c r="AM70" i="87" s="1"/>
  <c r="AB22" i="87"/>
  <c r="AM22" i="87" s="1"/>
  <c r="AG44" i="87"/>
  <c r="AB73" i="87"/>
  <c r="AM73" i="87" s="1"/>
  <c r="AG18" i="87"/>
  <c r="AG101" i="87"/>
  <c r="AB99" i="87"/>
  <c r="AM99" i="87" s="1"/>
  <c r="AB80" i="87"/>
  <c r="AM80" i="87" s="1"/>
  <c r="AB32" i="87"/>
  <c r="AM32" i="87" s="1"/>
  <c r="AB100" i="87"/>
  <c r="AM100" i="87" s="1"/>
  <c r="AB61" i="87"/>
  <c r="AM61" i="87" s="1"/>
  <c r="AB9" i="87"/>
  <c r="AM9" i="87" s="1"/>
  <c r="AG23" i="87"/>
  <c r="BB7" i="87"/>
  <c r="BC29" i="87" s="1"/>
  <c r="AG106" i="87"/>
  <c r="AB109" i="87"/>
  <c r="AM109" i="87" s="1"/>
  <c r="AG15" i="87"/>
  <c r="AY9" i="87"/>
  <c r="AG77" i="87"/>
  <c r="AG97" i="87"/>
  <c r="AG66" i="87"/>
  <c r="AB85" i="87"/>
  <c r="AM85" i="87" s="1"/>
  <c r="AB66" i="87"/>
  <c r="AM66" i="87" s="1"/>
  <c r="AG27" i="87"/>
  <c r="AB65" i="87"/>
  <c r="AM65" i="87" s="1"/>
  <c r="AB105" i="87"/>
  <c r="AM105" i="87" s="1"/>
  <c r="AG71" i="87"/>
  <c r="AG48" i="87"/>
  <c r="AB49" i="87"/>
  <c r="AM49" i="87" s="1"/>
  <c r="AG45" i="87"/>
  <c r="AB43" i="87"/>
  <c r="AM43" i="87" s="1"/>
  <c r="AG80" i="87"/>
  <c r="AG47" i="87"/>
  <c r="AB12" i="87"/>
  <c r="AM12" i="87" s="1"/>
  <c r="AB91" i="87"/>
  <c r="AM91" i="87" s="1"/>
  <c r="AB71" i="87"/>
  <c r="AM71" i="87" s="1"/>
  <c r="AG96" i="87"/>
  <c r="AG64" i="87"/>
  <c r="AB83" i="87"/>
  <c r="AM83" i="87" s="1"/>
  <c r="AB48" i="87"/>
  <c r="AM48" i="87" s="1"/>
  <c r="AG22" i="87"/>
  <c r="AB45" i="87"/>
  <c r="AM45" i="87" s="1"/>
  <c r="AB106" i="87"/>
  <c r="AM106" i="87" s="1"/>
  <c r="AB40" i="87"/>
  <c r="AM40" i="87" s="1"/>
  <c r="AG68" i="87"/>
  <c r="AB69" i="87"/>
  <c r="AM69" i="87" s="1"/>
  <c r="AG109" i="87"/>
  <c r="AG91" i="87"/>
  <c r="AK3" i="87"/>
  <c r="AG20" i="87"/>
  <c r="AB72" i="87"/>
  <c r="AM72" i="87" s="1"/>
  <c r="AG21" i="87"/>
  <c r="AB21" i="87"/>
  <c r="AM21" i="87" s="1"/>
  <c r="AG85" i="87"/>
  <c r="AB84" i="87"/>
  <c r="AM84" i="87" s="1"/>
  <c r="AB103" i="87"/>
  <c r="AM103" i="87" s="1"/>
  <c r="AG79" i="87"/>
  <c r="AB36" i="87"/>
  <c r="AM36" i="87" s="1"/>
  <c r="AB79" i="87"/>
  <c r="AM79" i="87" s="1"/>
  <c r="AG99" i="87"/>
  <c r="AG58" i="87"/>
  <c r="AG49" i="87"/>
  <c r="AG83" i="87"/>
  <c r="BA7" i="87"/>
  <c r="BC9" i="87"/>
  <c r="BC10" i="87" s="1"/>
  <c r="BC11" i="87" s="1"/>
  <c r="BC12" i="87" s="1"/>
  <c r="BC13" i="87" s="1"/>
  <c r="BC14" i="87" s="1"/>
  <c r="BC15" i="87" s="1"/>
  <c r="BC16" i="87" s="1"/>
  <c r="BC17" i="87" s="1"/>
  <c r="BC18" i="87" s="1"/>
  <c r="AB77" i="87"/>
  <c r="AM77" i="87" s="1"/>
  <c r="AG84" i="87"/>
  <c r="AG26" i="87"/>
  <c r="AG56" i="87"/>
  <c r="AG42" i="87"/>
  <c r="AB101" i="87"/>
  <c r="AM101" i="87" s="1"/>
  <c r="AB27" i="87"/>
  <c r="AM27" i="87" s="1"/>
  <c r="AB18" i="87"/>
  <c r="AM18" i="87" s="1"/>
  <c r="AG14" i="87"/>
  <c r="AG82" i="87"/>
  <c r="AG70" i="87"/>
  <c r="AG87" i="87"/>
  <c r="AB44" i="87"/>
  <c r="AM44" i="87" s="1"/>
  <c r="AB57" i="87"/>
  <c r="AM57" i="87" s="1"/>
  <c r="AZ7" i="87"/>
  <c r="AG24" i="87"/>
  <c r="AG32" i="87"/>
  <c r="AG9" i="87"/>
  <c r="AG73" i="87"/>
  <c r="AB82" i="87"/>
  <c r="AM82" i="87" s="1"/>
  <c r="AB90" i="87"/>
  <c r="AM90" i="87" s="1"/>
  <c r="BC34" i="87" l="1"/>
  <c r="BC38" i="86" s="1"/>
  <c r="AG2" i="87"/>
  <c r="AM3" i="87"/>
  <c r="G1" i="87" s="1"/>
  <c r="AN138" i="86" l="1"/>
  <c r="M138" i="86" s="1"/>
  <c r="O138" i="86" s="1"/>
  <c r="Z138" i="86"/>
  <c r="Y138" i="86"/>
  <c r="U138" i="86"/>
  <c r="AJ138" i="86" s="1"/>
  <c r="K138" i="86"/>
  <c r="AI138" i="86" s="1"/>
  <c r="E138" i="86"/>
  <c r="AN137" i="86"/>
  <c r="M137" i="86" s="1"/>
  <c r="N137" i="86" s="1"/>
  <c r="O137" i="86" s="1"/>
  <c r="Z137" i="86"/>
  <c r="Y137" i="86"/>
  <c r="U137" i="86"/>
  <c r="K137" i="86"/>
  <c r="AI137" i="86" s="1"/>
  <c r="E137" i="86"/>
  <c r="AN136" i="86"/>
  <c r="M136" i="86" s="1"/>
  <c r="Z136" i="86"/>
  <c r="Y136" i="86"/>
  <c r="U136" i="86"/>
  <c r="K136" i="86"/>
  <c r="E136" i="86"/>
  <c r="AN135" i="86"/>
  <c r="M135" i="86" s="1"/>
  <c r="N135" i="86" s="1"/>
  <c r="Z135" i="86"/>
  <c r="Y135" i="86"/>
  <c r="U135" i="86"/>
  <c r="K135" i="86"/>
  <c r="E135" i="86"/>
  <c r="AN134" i="86"/>
  <c r="M134" i="86" s="1"/>
  <c r="Z134" i="86"/>
  <c r="Y134" i="86"/>
  <c r="U134" i="86"/>
  <c r="K134" i="86"/>
  <c r="AI134" i="86" s="1"/>
  <c r="E134" i="86"/>
  <c r="AN133" i="86"/>
  <c r="M133" i="86" s="1"/>
  <c r="Z133" i="86"/>
  <c r="Y133" i="86"/>
  <c r="U133" i="86"/>
  <c r="AD133" i="86" s="1"/>
  <c r="K133" i="86"/>
  <c r="AH133" i="86" s="1"/>
  <c r="E133" i="86"/>
  <c r="AN132" i="86"/>
  <c r="M132" i="86" s="1"/>
  <c r="N132" i="86" s="1"/>
  <c r="Z132" i="86"/>
  <c r="Y132" i="86"/>
  <c r="U132" i="86"/>
  <c r="K132" i="86"/>
  <c r="AH132" i="86" s="1"/>
  <c r="E132" i="86"/>
  <c r="AN131" i="86"/>
  <c r="M131" i="86" s="1"/>
  <c r="N131" i="86" s="1"/>
  <c r="Z131" i="86"/>
  <c r="Y131" i="86"/>
  <c r="U131" i="86"/>
  <c r="AJ131" i="86" s="1"/>
  <c r="K131" i="86"/>
  <c r="E131" i="86"/>
  <c r="AN130" i="86"/>
  <c r="M130" i="86" s="1"/>
  <c r="N130" i="86" s="1"/>
  <c r="Z130" i="86"/>
  <c r="U130" i="86"/>
  <c r="K130" i="86"/>
  <c r="AI130" i="86" s="1"/>
  <c r="E130" i="86"/>
  <c r="AN129" i="86"/>
  <c r="M129" i="86" s="1"/>
  <c r="Z129" i="86"/>
  <c r="AE129" i="86" s="1"/>
  <c r="U129" i="86"/>
  <c r="AJ129" i="86" s="1"/>
  <c r="K129" i="86"/>
  <c r="E129" i="86"/>
  <c r="AN128" i="86"/>
  <c r="M128" i="86" s="1"/>
  <c r="Z128" i="86"/>
  <c r="Y128" i="86"/>
  <c r="U128" i="86"/>
  <c r="AJ128" i="86" s="1"/>
  <c r="K128" i="86"/>
  <c r="AH128" i="86" s="1"/>
  <c r="E128" i="86"/>
  <c r="AN127" i="86"/>
  <c r="M127" i="86" s="1"/>
  <c r="Z127" i="86"/>
  <c r="Y127" i="86"/>
  <c r="U127" i="86"/>
  <c r="K127" i="86"/>
  <c r="E127" i="86"/>
  <c r="AN126" i="86"/>
  <c r="M126" i="86" s="1"/>
  <c r="O126" i="86" s="1"/>
  <c r="Z126" i="86"/>
  <c r="AE126" i="86" s="1"/>
  <c r="U126" i="86"/>
  <c r="AJ126" i="86" s="1"/>
  <c r="K126" i="86"/>
  <c r="E126" i="86"/>
  <c r="AN125" i="86"/>
  <c r="M125" i="86" s="1"/>
  <c r="O125" i="86" s="1"/>
  <c r="S125" i="86" s="1"/>
  <c r="Z125" i="86"/>
  <c r="AE125" i="86" s="1"/>
  <c r="U125" i="86"/>
  <c r="AJ125" i="86" s="1"/>
  <c r="K125" i="86"/>
  <c r="AH125" i="86" s="1"/>
  <c r="E125" i="86"/>
  <c r="AN124" i="86"/>
  <c r="M124" i="86" s="1"/>
  <c r="O124" i="86" s="1"/>
  <c r="Z124" i="86"/>
  <c r="U124" i="86"/>
  <c r="K124" i="86"/>
  <c r="E124" i="86"/>
  <c r="AN123" i="86"/>
  <c r="M123" i="86" s="1"/>
  <c r="N123" i="86" s="1"/>
  <c r="Y123" i="86"/>
  <c r="U123" i="86"/>
  <c r="AD123" i="86" s="1"/>
  <c r="K123" i="86"/>
  <c r="E123" i="86"/>
  <c r="AN122" i="86"/>
  <c r="M122" i="86" s="1"/>
  <c r="Y122" i="86"/>
  <c r="AE122" i="86" s="1"/>
  <c r="U122" i="86"/>
  <c r="K122" i="86"/>
  <c r="AI122" i="86" s="1"/>
  <c r="E122" i="86"/>
  <c r="AN121" i="86"/>
  <c r="M121" i="86" s="1"/>
  <c r="N121" i="86" s="1"/>
  <c r="O121" i="86" s="1"/>
  <c r="Y121" i="86"/>
  <c r="U121" i="86"/>
  <c r="K121" i="86"/>
  <c r="E121" i="86"/>
  <c r="AN120" i="86"/>
  <c r="M120" i="86" s="1"/>
  <c r="N120" i="86" s="1"/>
  <c r="O120" i="86" s="1"/>
  <c r="Y120" i="86"/>
  <c r="AE120" i="86" s="1"/>
  <c r="U120" i="86"/>
  <c r="K120" i="86"/>
  <c r="AI120" i="86" s="1"/>
  <c r="E120" i="86"/>
  <c r="AN119" i="86"/>
  <c r="M119" i="86" s="1"/>
  <c r="Y119" i="86"/>
  <c r="AE119" i="86" s="1"/>
  <c r="U119" i="86"/>
  <c r="AJ119" i="86" s="1"/>
  <c r="K119" i="86"/>
  <c r="E119" i="86"/>
  <c r="AN118" i="86"/>
  <c r="M118" i="86" s="1"/>
  <c r="Z118" i="86"/>
  <c r="Y118" i="86"/>
  <c r="U118" i="86"/>
  <c r="K118" i="86"/>
  <c r="E118" i="86"/>
  <c r="AN117" i="86"/>
  <c r="M117" i="86" s="1"/>
  <c r="N117" i="86" s="1"/>
  <c r="O117" i="86" s="1"/>
  <c r="Z117" i="86"/>
  <c r="Y117" i="86"/>
  <c r="U117" i="86"/>
  <c r="AJ117" i="86" s="1"/>
  <c r="K117" i="86"/>
  <c r="AI117" i="86" s="1"/>
  <c r="E117" i="86"/>
  <c r="AN116" i="86"/>
  <c r="M116" i="86" s="1"/>
  <c r="Z116" i="86"/>
  <c r="Y116" i="86"/>
  <c r="U116" i="86"/>
  <c r="AD116" i="86" s="1"/>
  <c r="K116" i="86"/>
  <c r="AI116" i="86" s="1"/>
  <c r="E116" i="86"/>
  <c r="AN115" i="86"/>
  <c r="M115" i="86" s="1"/>
  <c r="N115" i="86" s="1"/>
  <c r="Z115" i="86"/>
  <c r="Y115" i="86"/>
  <c r="U115" i="86"/>
  <c r="AJ115" i="86" s="1"/>
  <c r="K115" i="86"/>
  <c r="E115" i="86"/>
  <c r="AN114" i="86"/>
  <c r="M114" i="86" s="1"/>
  <c r="AE114" i="86"/>
  <c r="AA114" i="86"/>
  <c r="U114" i="86"/>
  <c r="K114" i="86"/>
  <c r="AH114" i="86" s="1"/>
  <c r="E114" i="86"/>
  <c r="AN113" i="86"/>
  <c r="M113" i="86" s="1"/>
  <c r="Z113" i="86"/>
  <c r="Y113" i="86"/>
  <c r="U113" i="86"/>
  <c r="K113" i="86"/>
  <c r="E113" i="86"/>
  <c r="AN112" i="86"/>
  <c r="M112" i="86" s="1"/>
  <c r="N112" i="86" s="1"/>
  <c r="O112" i="86" s="1"/>
  <c r="AE112" i="86"/>
  <c r="AA112" i="86"/>
  <c r="U112" i="86"/>
  <c r="AJ112" i="86" s="1"/>
  <c r="K112" i="86"/>
  <c r="AI112" i="86" s="1"/>
  <c r="E112" i="86"/>
  <c r="AN111" i="86"/>
  <c r="M111" i="86" s="1"/>
  <c r="Z111" i="86"/>
  <c r="Y111" i="86"/>
  <c r="U111" i="86"/>
  <c r="AD111" i="86" s="1"/>
  <c r="K111" i="86"/>
  <c r="E111" i="86"/>
  <c r="AN110" i="86"/>
  <c r="M110" i="86" s="1"/>
  <c r="O110" i="86" s="1"/>
  <c r="Z110" i="86"/>
  <c r="Y110" i="86"/>
  <c r="U110" i="86"/>
  <c r="AJ110" i="86" s="1"/>
  <c r="K110" i="86"/>
  <c r="AI110" i="86" s="1"/>
  <c r="E110" i="86"/>
  <c r="AN109" i="86"/>
  <c r="M109" i="86" s="1"/>
  <c r="AE109" i="86"/>
  <c r="AA109" i="86"/>
  <c r="U109" i="86"/>
  <c r="AJ109" i="86" s="1"/>
  <c r="K109" i="86"/>
  <c r="E109" i="86"/>
  <c r="AN108" i="86"/>
  <c r="M108" i="86" s="1"/>
  <c r="AE108" i="86"/>
  <c r="AA108" i="86"/>
  <c r="U108" i="86"/>
  <c r="AJ108" i="86" s="1"/>
  <c r="K108" i="86"/>
  <c r="AH108" i="86" s="1"/>
  <c r="E108" i="86"/>
  <c r="AN107" i="86"/>
  <c r="M107" i="86" s="1"/>
  <c r="O107" i="86" s="1"/>
  <c r="S107" i="86" s="1"/>
  <c r="AC107" i="86" s="1"/>
  <c r="AE107" i="86"/>
  <c r="AA107" i="86"/>
  <c r="U107" i="86"/>
  <c r="K107" i="86"/>
  <c r="AH107" i="86" s="1"/>
  <c r="E107" i="86"/>
  <c r="AN106" i="86"/>
  <c r="M106" i="86" s="1"/>
  <c r="AE106" i="86"/>
  <c r="AA106" i="86"/>
  <c r="U106" i="86"/>
  <c r="AJ106" i="86" s="1"/>
  <c r="K106" i="86"/>
  <c r="E106" i="86"/>
  <c r="AN105" i="86"/>
  <c r="M105" i="86" s="1"/>
  <c r="AE105" i="86"/>
  <c r="AA105" i="86"/>
  <c r="U105" i="86"/>
  <c r="K105" i="86"/>
  <c r="E105" i="86"/>
  <c r="AN104" i="86"/>
  <c r="M104" i="86" s="1"/>
  <c r="N104" i="86" s="1"/>
  <c r="AE104" i="86"/>
  <c r="AA104" i="86"/>
  <c r="U104" i="86"/>
  <c r="AD104" i="86" s="1"/>
  <c r="K104" i="86"/>
  <c r="E104" i="86"/>
  <c r="AN103" i="86"/>
  <c r="M103" i="86" s="1"/>
  <c r="AE103" i="86"/>
  <c r="AA103" i="86"/>
  <c r="U103" i="86"/>
  <c r="AD103" i="86" s="1"/>
  <c r="K103" i="86"/>
  <c r="E103" i="86"/>
  <c r="AN102" i="86"/>
  <c r="M102" i="86" s="1"/>
  <c r="AE102" i="86"/>
  <c r="AA102" i="86"/>
  <c r="U102" i="86"/>
  <c r="AD102" i="86" s="1"/>
  <c r="K102" i="86"/>
  <c r="AI102" i="86" s="1"/>
  <c r="E102" i="86"/>
  <c r="AN101" i="86"/>
  <c r="M101" i="86" s="1"/>
  <c r="Z101" i="86"/>
  <c r="Y101" i="86"/>
  <c r="U101" i="86"/>
  <c r="AD101" i="86" s="1"/>
  <c r="K101" i="86"/>
  <c r="AI101" i="86" s="1"/>
  <c r="E101" i="86"/>
  <c r="AN100" i="86"/>
  <c r="M100" i="86" s="1"/>
  <c r="Z100" i="86"/>
  <c r="Y100" i="86"/>
  <c r="U100" i="86"/>
  <c r="AJ100" i="86" s="1"/>
  <c r="K100" i="86"/>
  <c r="AH100" i="86" s="1"/>
  <c r="E100" i="86"/>
  <c r="AN99" i="86"/>
  <c r="M99" i="86" s="1"/>
  <c r="AE99" i="86"/>
  <c r="AA99" i="86"/>
  <c r="U99" i="86"/>
  <c r="AD99" i="86" s="1"/>
  <c r="K99" i="86"/>
  <c r="AI99" i="86" s="1"/>
  <c r="E99" i="86"/>
  <c r="AN98" i="86"/>
  <c r="M98" i="86" s="1"/>
  <c r="AE98" i="86"/>
  <c r="AA98" i="86"/>
  <c r="U98" i="86"/>
  <c r="AD98" i="86" s="1"/>
  <c r="K98" i="86"/>
  <c r="AH98" i="86" s="1"/>
  <c r="E98" i="86"/>
  <c r="AN97" i="86"/>
  <c r="M97" i="86" s="1"/>
  <c r="N97" i="86" s="1"/>
  <c r="AE97" i="86"/>
  <c r="AA97" i="86"/>
  <c r="U97" i="86"/>
  <c r="K97" i="86"/>
  <c r="E97" i="86"/>
  <c r="AN96" i="86"/>
  <c r="M96" i="86" s="1"/>
  <c r="AE96" i="86"/>
  <c r="AA96" i="86"/>
  <c r="U96" i="86"/>
  <c r="AJ96" i="86" s="1"/>
  <c r="K96" i="86"/>
  <c r="E96" i="86"/>
  <c r="AN95" i="86"/>
  <c r="AE95" i="86"/>
  <c r="AA95" i="86"/>
  <c r="U95" i="86"/>
  <c r="AJ95" i="86" s="1"/>
  <c r="N95" i="86"/>
  <c r="O95" i="86" s="1"/>
  <c r="K95" i="86"/>
  <c r="AI95" i="86" s="1"/>
  <c r="E95" i="86"/>
  <c r="AN94" i="86"/>
  <c r="M94" i="86" s="1"/>
  <c r="AE94" i="86"/>
  <c r="AA94" i="86"/>
  <c r="U94" i="86"/>
  <c r="K94" i="86"/>
  <c r="AH94" i="86" s="1"/>
  <c r="E94" i="86"/>
  <c r="AN93" i="86"/>
  <c r="M93" i="86" s="1"/>
  <c r="Z93" i="86"/>
  <c r="Y93" i="86"/>
  <c r="U93" i="86"/>
  <c r="AJ93" i="86" s="1"/>
  <c r="K93" i="86"/>
  <c r="E93" i="86"/>
  <c r="AN92" i="86"/>
  <c r="M92" i="86" s="1"/>
  <c r="Z92" i="86"/>
  <c r="Y92" i="86"/>
  <c r="U92" i="86"/>
  <c r="AD92" i="86" s="1"/>
  <c r="K92" i="86"/>
  <c r="AI92" i="86" s="1"/>
  <c r="E92" i="86"/>
  <c r="AN91" i="86"/>
  <c r="M91" i="86" s="1"/>
  <c r="O91" i="86" s="1"/>
  <c r="Z91" i="86"/>
  <c r="Y91" i="86"/>
  <c r="U91" i="86"/>
  <c r="K91" i="86"/>
  <c r="E91" i="86"/>
  <c r="AN90" i="86"/>
  <c r="M90" i="86" s="1"/>
  <c r="O90" i="86" s="1"/>
  <c r="Z90" i="86"/>
  <c r="AA90" i="86" s="1"/>
  <c r="U90" i="86"/>
  <c r="AD90" i="86" s="1"/>
  <c r="K90" i="86"/>
  <c r="E90" i="86"/>
  <c r="AN89" i="86"/>
  <c r="M89" i="86" s="1"/>
  <c r="AC89" i="86"/>
  <c r="Z89" i="86"/>
  <c r="Y89" i="86"/>
  <c r="U89" i="86"/>
  <c r="K89" i="86"/>
  <c r="E89" i="86"/>
  <c r="AN88" i="86"/>
  <c r="M88" i="86" s="1"/>
  <c r="AC88" i="86"/>
  <c r="Z88" i="86"/>
  <c r="Y88" i="86"/>
  <c r="U88" i="86"/>
  <c r="K88" i="86"/>
  <c r="AI88" i="86" s="1"/>
  <c r="E88" i="86"/>
  <c r="AN87" i="86"/>
  <c r="M87" i="86" s="1"/>
  <c r="O87" i="86" s="1"/>
  <c r="AC87" i="86"/>
  <c r="Z87" i="86"/>
  <c r="Y87" i="86"/>
  <c r="U87" i="86"/>
  <c r="K87" i="86"/>
  <c r="E87" i="86"/>
  <c r="AN86" i="86"/>
  <c r="M86" i="86" s="1"/>
  <c r="O86" i="86" s="1"/>
  <c r="AC86" i="86"/>
  <c r="Z86" i="86"/>
  <c r="Y86" i="86"/>
  <c r="U86" i="86"/>
  <c r="K86" i="86"/>
  <c r="E86" i="86"/>
  <c r="AN85" i="86"/>
  <c r="M85" i="86" s="1"/>
  <c r="O85" i="86" s="1"/>
  <c r="AC85" i="86"/>
  <c r="Z85" i="86"/>
  <c r="Y85" i="86"/>
  <c r="U85" i="86"/>
  <c r="K85" i="86"/>
  <c r="AH85" i="86" s="1"/>
  <c r="E85" i="86"/>
  <c r="AN84" i="86"/>
  <c r="M84" i="86" s="1"/>
  <c r="AC84" i="86"/>
  <c r="Z84" i="86"/>
  <c r="Y84" i="86"/>
  <c r="U84" i="86"/>
  <c r="AJ84" i="86" s="1"/>
  <c r="K84" i="86"/>
  <c r="AI84" i="86" s="1"/>
  <c r="E84" i="86"/>
  <c r="AN83" i="86"/>
  <c r="M83" i="86" s="1"/>
  <c r="Z83" i="86"/>
  <c r="Y83" i="86"/>
  <c r="U83" i="86"/>
  <c r="AD83" i="86" s="1"/>
  <c r="K83" i="86"/>
  <c r="E83" i="86"/>
  <c r="AN82" i="86"/>
  <c r="M82" i="86" s="1"/>
  <c r="N82" i="86" s="1"/>
  <c r="O82" i="86" s="1"/>
  <c r="AC82" i="86"/>
  <c r="Z82" i="86"/>
  <c r="Y82" i="86"/>
  <c r="U82" i="86"/>
  <c r="AJ82" i="86" s="1"/>
  <c r="K82" i="86"/>
  <c r="AH82" i="86" s="1"/>
  <c r="E82" i="86"/>
  <c r="AN81" i="86"/>
  <c r="M81" i="86" s="1"/>
  <c r="Z81" i="86"/>
  <c r="Y81" i="86"/>
  <c r="U81" i="86"/>
  <c r="AD81" i="86" s="1"/>
  <c r="K81" i="86"/>
  <c r="AI81" i="86" s="1"/>
  <c r="E81" i="86"/>
  <c r="AN80" i="86"/>
  <c r="M80" i="86" s="1"/>
  <c r="N80" i="86" s="1"/>
  <c r="O80" i="86" s="1"/>
  <c r="Z80" i="86"/>
  <c r="Y80" i="86"/>
  <c r="U80" i="86"/>
  <c r="AJ80" i="86" s="1"/>
  <c r="K80" i="86"/>
  <c r="E80" i="86"/>
  <c r="AN79" i="86"/>
  <c r="M79" i="86" s="1"/>
  <c r="Z79" i="86"/>
  <c r="Y79" i="86"/>
  <c r="U79" i="86"/>
  <c r="K79" i="86"/>
  <c r="AI79" i="86" s="1"/>
  <c r="E79" i="86"/>
  <c r="AN78" i="86"/>
  <c r="M78" i="86" s="1"/>
  <c r="Z78" i="86"/>
  <c r="Y78" i="86"/>
  <c r="U78" i="86"/>
  <c r="K78" i="86"/>
  <c r="E78" i="86"/>
  <c r="AN77" i="86"/>
  <c r="M77" i="86" s="1"/>
  <c r="Z77" i="86"/>
  <c r="Y77" i="86"/>
  <c r="U77" i="86"/>
  <c r="AD77" i="86" s="1"/>
  <c r="K77" i="86"/>
  <c r="AI77" i="86" s="1"/>
  <c r="E77" i="86"/>
  <c r="AN76" i="86"/>
  <c r="M76" i="86" s="1"/>
  <c r="Z76" i="86"/>
  <c r="Y76" i="86"/>
  <c r="U76" i="86"/>
  <c r="AJ76" i="86" s="1"/>
  <c r="K76" i="86"/>
  <c r="AH76" i="86" s="1"/>
  <c r="E76" i="86"/>
  <c r="AN75" i="86"/>
  <c r="M75" i="86" s="1"/>
  <c r="N75" i="86" s="1"/>
  <c r="AE75" i="86"/>
  <c r="AA75" i="86"/>
  <c r="U75" i="86"/>
  <c r="AJ75" i="86" s="1"/>
  <c r="K75" i="86"/>
  <c r="E75" i="86"/>
  <c r="AN74" i="86"/>
  <c r="M74" i="86" s="1"/>
  <c r="AE74" i="86"/>
  <c r="AA74" i="86"/>
  <c r="U74" i="86"/>
  <c r="K74" i="86"/>
  <c r="E74" i="86"/>
  <c r="AN73" i="86"/>
  <c r="M73" i="86" s="1"/>
  <c r="N73" i="86" s="1"/>
  <c r="O73" i="86" s="1"/>
  <c r="AE73" i="86"/>
  <c r="AA73" i="86"/>
  <c r="U73" i="86"/>
  <c r="K73" i="86"/>
  <c r="AH73" i="86" s="1"/>
  <c r="E73" i="86"/>
  <c r="AN72" i="86"/>
  <c r="M72" i="86" s="1"/>
  <c r="AE72" i="86"/>
  <c r="AA72" i="86"/>
  <c r="U72" i="86"/>
  <c r="AJ72" i="86" s="1"/>
  <c r="K72" i="86"/>
  <c r="E72" i="86"/>
  <c r="AN71" i="86"/>
  <c r="M71" i="86" s="1"/>
  <c r="AE71" i="86"/>
  <c r="AA71" i="86"/>
  <c r="U71" i="86"/>
  <c r="AJ71" i="86" s="1"/>
  <c r="K71" i="86"/>
  <c r="AH71" i="86" s="1"/>
  <c r="E71" i="86"/>
  <c r="AN70" i="86"/>
  <c r="M70" i="86" s="1"/>
  <c r="AE70" i="86"/>
  <c r="AA70" i="86"/>
  <c r="U70" i="86"/>
  <c r="K70" i="86"/>
  <c r="E70" i="86"/>
  <c r="AN69" i="86"/>
  <c r="M69" i="86" s="1"/>
  <c r="O69" i="86" s="1"/>
  <c r="Z69" i="86"/>
  <c r="Y69" i="86"/>
  <c r="U69" i="86"/>
  <c r="AD69" i="86" s="1"/>
  <c r="K69" i="86"/>
  <c r="E69" i="86"/>
  <c r="AN68" i="86"/>
  <c r="M68" i="86" s="1"/>
  <c r="N68" i="86" s="1"/>
  <c r="Z68" i="86"/>
  <c r="Y68" i="86"/>
  <c r="U68" i="86"/>
  <c r="AJ68" i="86" s="1"/>
  <c r="K68" i="86"/>
  <c r="E68" i="86"/>
  <c r="AN67" i="86"/>
  <c r="M67" i="86" s="1"/>
  <c r="Z67" i="86"/>
  <c r="Y67" i="86"/>
  <c r="U67" i="86"/>
  <c r="AD67" i="86" s="1"/>
  <c r="K67" i="86"/>
  <c r="AH67" i="86" s="1"/>
  <c r="E67" i="86"/>
  <c r="AN66" i="86"/>
  <c r="M66" i="86" s="1"/>
  <c r="O66" i="86" s="1"/>
  <c r="S66" i="86" s="1"/>
  <c r="AC66" i="86" s="1"/>
  <c r="Z66" i="86"/>
  <c r="Y66" i="86"/>
  <c r="U66" i="86"/>
  <c r="K66" i="86"/>
  <c r="AI66" i="86" s="1"/>
  <c r="E66" i="86"/>
  <c r="AN65" i="86"/>
  <c r="M65" i="86" s="1"/>
  <c r="AE65" i="86"/>
  <c r="AA65" i="86"/>
  <c r="U65" i="86"/>
  <c r="K65" i="86"/>
  <c r="AH65" i="86" s="1"/>
  <c r="E65" i="86"/>
  <c r="AN64" i="86"/>
  <c r="M64" i="86" s="1"/>
  <c r="AE64" i="86"/>
  <c r="AA64" i="86"/>
  <c r="U64" i="86"/>
  <c r="K64" i="86"/>
  <c r="E64" i="86"/>
  <c r="AN63" i="86"/>
  <c r="M63" i="86" s="1"/>
  <c r="AE63" i="86"/>
  <c r="AA63" i="86"/>
  <c r="U63" i="86"/>
  <c r="AD63" i="86" s="1"/>
  <c r="K63" i="86"/>
  <c r="AH63" i="86" s="1"/>
  <c r="E63" i="86"/>
  <c r="AN62" i="86"/>
  <c r="M62" i="86" s="1"/>
  <c r="AE62" i="86"/>
  <c r="AA62" i="86"/>
  <c r="U62" i="86"/>
  <c r="AJ62" i="86" s="1"/>
  <c r="K62" i="86"/>
  <c r="E62" i="86"/>
  <c r="AN61" i="86"/>
  <c r="M61" i="86" s="1"/>
  <c r="N61" i="86" s="1"/>
  <c r="O61" i="86" s="1"/>
  <c r="AE61" i="86"/>
  <c r="AA61" i="86"/>
  <c r="U61" i="86"/>
  <c r="K61" i="86"/>
  <c r="AH61" i="86" s="1"/>
  <c r="E61" i="86"/>
  <c r="AN60" i="86"/>
  <c r="M60" i="86" s="1"/>
  <c r="AE60" i="86"/>
  <c r="AA60" i="86"/>
  <c r="U60" i="86"/>
  <c r="AJ60" i="86" s="1"/>
  <c r="K60" i="86"/>
  <c r="E60" i="86"/>
  <c r="AN59" i="86"/>
  <c r="M59" i="86" s="1"/>
  <c r="AE59" i="86"/>
  <c r="AA59" i="86"/>
  <c r="U59" i="86"/>
  <c r="AJ59" i="86" s="1"/>
  <c r="K59" i="86"/>
  <c r="E59" i="86"/>
  <c r="AN58" i="86"/>
  <c r="M58" i="86" s="1"/>
  <c r="AE58" i="86"/>
  <c r="AA58" i="86"/>
  <c r="U58" i="86"/>
  <c r="K58" i="86"/>
  <c r="E58" i="86"/>
  <c r="AN57" i="86"/>
  <c r="M57" i="86" s="1"/>
  <c r="AE57" i="86"/>
  <c r="AA57" i="86"/>
  <c r="U57" i="86"/>
  <c r="AJ57" i="86" s="1"/>
  <c r="K57" i="86"/>
  <c r="E57" i="86"/>
  <c r="AN56" i="86"/>
  <c r="M56" i="86" s="1"/>
  <c r="N56" i="86" s="1"/>
  <c r="AE56" i="86"/>
  <c r="AA56" i="86"/>
  <c r="U56" i="86"/>
  <c r="K56" i="86"/>
  <c r="E56" i="86"/>
  <c r="AN55" i="86"/>
  <c r="M55" i="86" s="1"/>
  <c r="AE55" i="86"/>
  <c r="AA55" i="86"/>
  <c r="U55" i="86"/>
  <c r="AJ55" i="86" s="1"/>
  <c r="K55" i="86"/>
  <c r="E55" i="86"/>
  <c r="AN54" i="86"/>
  <c r="M54" i="86" s="1"/>
  <c r="AE54" i="86"/>
  <c r="AA54" i="86"/>
  <c r="U54" i="86"/>
  <c r="AJ54" i="86" s="1"/>
  <c r="K54" i="86"/>
  <c r="E54" i="86"/>
  <c r="AN53" i="86"/>
  <c r="M53" i="86" s="1"/>
  <c r="AE53" i="86"/>
  <c r="AA53" i="86"/>
  <c r="U53" i="86"/>
  <c r="AJ53" i="86" s="1"/>
  <c r="K53" i="86"/>
  <c r="E53" i="86"/>
  <c r="AN52" i="86"/>
  <c r="M52" i="86" s="1"/>
  <c r="AE52" i="86"/>
  <c r="AA52" i="86"/>
  <c r="U52" i="86"/>
  <c r="AD52" i="86" s="1"/>
  <c r="K52" i="86"/>
  <c r="E52" i="86"/>
  <c r="AN51" i="86"/>
  <c r="M51" i="86" s="1"/>
  <c r="AE51" i="86"/>
  <c r="AA51" i="86"/>
  <c r="U51" i="86"/>
  <c r="AJ51" i="86" s="1"/>
  <c r="K51" i="86"/>
  <c r="AH51" i="86" s="1"/>
  <c r="E51" i="86"/>
  <c r="AN50" i="86"/>
  <c r="M50" i="86" s="1"/>
  <c r="AE50" i="86"/>
  <c r="AA50" i="86"/>
  <c r="U50" i="86"/>
  <c r="K50" i="86"/>
  <c r="E50" i="86"/>
  <c r="AN49" i="86"/>
  <c r="M49" i="86" s="1"/>
  <c r="Z49" i="86"/>
  <c r="Y49" i="86"/>
  <c r="U49" i="86"/>
  <c r="AJ49" i="86" s="1"/>
  <c r="K49" i="86"/>
  <c r="AI49" i="86" s="1"/>
  <c r="E49" i="86"/>
  <c r="AN48" i="86"/>
  <c r="M48" i="86" s="1"/>
  <c r="Z48" i="86"/>
  <c r="Y48" i="86"/>
  <c r="U48" i="86"/>
  <c r="AD48" i="86" s="1"/>
  <c r="K48" i="86"/>
  <c r="E48" i="86"/>
  <c r="AN47" i="86"/>
  <c r="M47" i="86" s="1"/>
  <c r="N47" i="86" s="1"/>
  <c r="Z47" i="86"/>
  <c r="Y47" i="86"/>
  <c r="U47" i="86"/>
  <c r="K47" i="86"/>
  <c r="E47" i="86"/>
  <c r="AN46" i="86"/>
  <c r="M46" i="86" s="1"/>
  <c r="N46" i="86" s="1"/>
  <c r="Z46" i="86"/>
  <c r="Y46" i="86"/>
  <c r="U46" i="86"/>
  <c r="AJ46" i="86" s="1"/>
  <c r="K46" i="86"/>
  <c r="E46" i="86"/>
  <c r="AN45" i="86"/>
  <c r="M45" i="86" s="1"/>
  <c r="Z45" i="86"/>
  <c r="AE45" i="86" s="1"/>
  <c r="U45" i="86"/>
  <c r="K45" i="86"/>
  <c r="AH45" i="86" s="1"/>
  <c r="E45" i="86"/>
  <c r="AN44" i="86"/>
  <c r="M44" i="86" s="1"/>
  <c r="N44" i="86" s="1"/>
  <c r="Z44" i="86"/>
  <c r="AE44" i="86" s="1"/>
  <c r="U44" i="86"/>
  <c r="K44" i="86"/>
  <c r="AH44" i="86" s="1"/>
  <c r="E44" i="86"/>
  <c r="AN43" i="86"/>
  <c r="M43" i="86" s="1"/>
  <c r="N43" i="86" s="1"/>
  <c r="Z43" i="86"/>
  <c r="Y43" i="86"/>
  <c r="U43" i="86"/>
  <c r="K43" i="86"/>
  <c r="AH43" i="86" s="1"/>
  <c r="E43" i="86"/>
  <c r="AN42" i="86"/>
  <c r="M42" i="86" s="1"/>
  <c r="Z42" i="86"/>
  <c r="Y42" i="86"/>
  <c r="U42" i="86"/>
  <c r="AJ42" i="86" s="1"/>
  <c r="K42" i="86"/>
  <c r="AI42" i="86" s="1"/>
  <c r="E42" i="86"/>
  <c r="AN41" i="86"/>
  <c r="M41" i="86" s="1"/>
  <c r="Z41" i="86"/>
  <c r="Y41" i="86"/>
  <c r="U41" i="86"/>
  <c r="AJ41" i="86" s="1"/>
  <c r="K41" i="86"/>
  <c r="AI41" i="86" s="1"/>
  <c r="E41" i="86"/>
  <c r="AN40" i="86"/>
  <c r="M40" i="86" s="1"/>
  <c r="Z40" i="86"/>
  <c r="Y40" i="86"/>
  <c r="U40" i="86"/>
  <c r="AJ40" i="86" s="1"/>
  <c r="K40" i="86"/>
  <c r="AI40" i="86" s="1"/>
  <c r="E40" i="86"/>
  <c r="AN39" i="86"/>
  <c r="M39" i="86" s="1"/>
  <c r="N39" i="86" s="1"/>
  <c r="Z39" i="86"/>
  <c r="Y39" i="86"/>
  <c r="U39" i="86"/>
  <c r="AJ39" i="86" s="1"/>
  <c r="K39" i="86"/>
  <c r="AH39" i="86" s="1"/>
  <c r="E39" i="86"/>
  <c r="AN38" i="86"/>
  <c r="M38" i="86" s="1"/>
  <c r="AE38" i="86"/>
  <c r="AA38" i="86"/>
  <c r="U38" i="86"/>
  <c r="AD38" i="86" s="1"/>
  <c r="K38" i="86"/>
  <c r="AH38" i="86" s="1"/>
  <c r="E38" i="86"/>
  <c r="AN37" i="86"/>
  <c r="M37" i="86" s="1"/>
  <c r="N37" i="86" s="1"/>
  <c r="AE37" i="86"/>
  <c r="AA37" i="86"/>
  <c r="U37" i="86"/>
  <c r="AD37" i="86" s="1"/>
  <c r="K37" i="86"/>
  <c r="AI37" i="86" s="1"/>
  <c r="E37" i="86"/>
  <c r="AN36" i="86"/>
  <c r="M36" i="86" s="1"/>
  <c r="N36" i="86" s="1"/>
  <c r="Z36" i="86"/>
  <c r="AA36" i="86" s="1"/>
  <c r="U36" i="86"/>
  <c r="AJ36" i="86" s="1"/>
  <c r="K36" i="86"/>
  <c r="AH36" i="86" s="1"/>
  <c r="E36" i="86"/>
  <c r="AN35" i="86"/>
  <c r="M35" i="86" s="1"/>
  <c r="N35" i="86" s="1"/>
  <c r="Z35" i="86"/>
  <c r="AE35" i="86" s="1"/>
  <c r="U35" i="86"/>
  <c r="K35" i="86"/>
  <c r="AH35" i="86" s="1"/>
  <c r="E35" i="86"/>
  <c r="AN34" i="86"/>
  <c r="M34" i="86" s="1"/>
  <c r="Z34" i="86"/>
  <c r="Y34" i="86"/>
  <c r="U34" i="86"/>
  <c r="AD34" i="86" s="1"/>
  <c r="K34" i="86"/>
  <c r="AH34" i="86" s="1"/>
  <c r="E34" i="86"/>
  <c r="AN33" i="86"/>
  <c r="M33" i="86" s="1"/>
  <c r="AE33" i="86"/>
  <c r="AA33" i="86"/>
  <c r="U33" i="86"/>
  <c r="K33" i="86"/>
  <c r="AI33" i="86" s="1"/>
  <c r="E33" i="86"/>
  <c r="AN32" i="86"/>
  <c r="M32" i="86" s="1"/>
  <c r="AE32" i="86"/>
  <c r="AA32" i="86"/>
  <c r="U32" i="86"/>
  <c r="AJ32" i="86" s="1"/>
  <c r="K32" i="86"/>
  <c r="AH32" i="86" s="1"/>
  <c r="E32" i="86"/>
  <c r="AN31" i="86"/>
  <c r="M31" i="86" s="1"/>
  <c r="AE31" i="86"/>
  <c r="AA31" i="86"/>
  <c r="U31" i="86"/>
  <c r="AJ31" i="86" s="1"/>
  <c r="K31" i="86"/>
  <c r="AH31" i="86" s="1"/>
  <c r="E31" i="86"/>
  <c r="AN30" i="86"/>
  <c r="M30" i="86" s="1"/>
  <c r="AE30" i="86"/>
  <c r="AA30" i="86"/>
  <c r="U30" i="86"/>
  <c r="K30" i="86"/>
  <c r="AI30" i="86" s="1"/>
  <c r="E30" i="86"/>
  <c r="AN29" i="86"/>
  <c r="M29" i="86" s="1"/>
  <c r="Z29" i="86"/>
  <c r="Y29" i="86"/>
  <c r="U29" i="86"/>
  <c r="AD29" i="86" s="1"/>
  <c r="K29" i="86"/>
  <c r="E29" i="86"/>
  <c r="AN28" i="86"/>
  <c r="M28" i="86" s="1"/>
  <c r="O28" i="86" s="1"/>
  <c r="S28" i="86" s="1"/>
  <c r="AC28" i="86" s="1"/>
  <c r="AE28" i="86"/>
  <c r="AA28" i="86"/>
  <c r="U28" i="86"/>
  <c r="AD28" i="86" s="1"/>
  <c r="K28" i="86"/>
  <c r="E28" i="86"/>
  <c r="AN27" i="86"/>
  <c r="M27" i="86" s="1"/>
  <c r="O27" i="86" s="1"/>
  <c r="S27" i="86" s="1"/>
  <c r="AC27" i="86" s="1"/>
  <c r="AE27" i="86"/>
  <c r="AA27" i="86"/>
  <c r="U27" i="86"/>
  <c r="K27" i="86"/>
  <c r="E27" i="86"/>
  <c r="AW38" i="86"/>
  <c r="AY38" i="86" s="1"/>
  <c r="BA38" i="86" s="1"/>
  <c r="AW37" i="86"/>
  <c r="AY37" i="86" s="1"/>
  <c r="BA37" i="86" s="1"/>
  <c r="AN26" i="86"/>
  <c r="M26" i="86" s="1"/>
  <c r="Z26" i="86"/>
  <c r="Y26" i="86"/>
  <c r="U26" i="86"/>
  <c r="AD26" i="86" s="1"/>
  <c r="K26" i="86"/>
  <c r="E26" i="86"/>
  <c r="AW36" i="86"/>
  <c r="AY36" i="86" s="1"/>
  <c r="BA36" i="86" s="1"/>
  <c r="AN25" i="86"/>
  <c r="M25" i="86" s="1"/>
  <c r="Z25" i="86"/>
  <c r="Y25" i="86"/>
  <c r="U25" i="86"/>
  <c r="AD25" i="86" s="1"/>
  <c r="K25" i="86"/>
  <c r="E25" i="86"/>
  <c r="AW35" i="86"/>
  <c r="AY35" i="86" s="1"/>
  <c r="BA35" i="86" s="1"/>
  <c r="AN24" i="86"/>
  <c r="M24" i="86" s="1"/>
  <c r="Z24" i="86"/>
  <c r="Y24" i="86"/>
  <c r="U24" i="86"/>
  <c r="K24" i="86"/>
  <c r="AH24" i="86" s="1"/>
  <c r="E24" i="86"/>
  <c r="AW34" i="86"/>
  <c r="AY34" i="86" s="1"/>
  <c r="BA34" i="86" s="1"/>
  <c r="AN23" i="86"/>
  <c r="M23" i="86" s="1"/>
  <c r="Z23" i="86"/>
  <c r="Y23" i="86"/>
  <c r="U23" i="86"/>
  <c r="K23" i="86"/>
  <c r="E23" i="86"/>
  <c r="AW33" i="86"/>
  <c r="AY33" i="86" s="1"/>
  <c r="BA33" i="86" s="1"/>
  <c r="AN22" i="86"/>
  <c r="M22" i="86" s="1"/>
  <c r="Z22" i="86"/>
  <c r="Y22" i="86"/>
  <c r="U22" i="86"/>
  <c r="K22" i="86"/>
  <c r="AI22" i="86" s="1"/>
  <c r="E22" i="86"/>
  <c r="AN21" i="86"/>
  <c r="M21" i="86" s="1"/>
  <c r="Z21" i="86"/>
  <c r="Y21" i="86"/>
  <c r="U21" i="86"/>
  <c r="AJ21" i="86" s="1"/>
  <c r="K21" i="86"/>
  <c r="AH21" i="86" s="1"/>
  <c r="E21" i="86"/>
  <c r="AN20" i="86"/>
  <c r="M20" i="86" s="1"/>
  <c r="N20" i="86" s="1"/>
  <c r="Z20" i="86"/>
  <c r="Y20" i="86"/>
  <c r="U20" i="86"/>
  <c r="K20" i="86"/>
  <c r="AI20" i="86" s="1"/>
  <c r="E20" i="86"/>
  <c r="AN19" i="86"/>
  <c r="M19" i="86" s="1"/>
  <c r="Z19" i="86"/>
  <c r="Y19" i="86"/>
  <c r="U19" i="86"/>
  <c r="K19" i="86"/>
  <c r="AH19" i="86" s="1"/>
  <c r="E19" i="86"/>
  <c r="AN18" i="86"/>
  <c r="M18" i="86" s="1"/>
  <c r="Z18" i="86"/>
  <c r="Y18" i="86"/>
  <c r="U18" i="86"/>
  <c r="AD18" i="86" s="1"/>
  <c r="K18" i="86"/>
  <c r="AI18" i="86" s="1"/>
  <c r="E18" i="86"/>
  <c r="AN17" i="86"/>
  <c r="M17" i="86" s="1"/>
  <c r="N17" i="86" s="1"/>
  <c r="Z17" i="86"/>
  <c r="Y17" i="86"/>
  <c r="U17" i="86"/>
  <c r="AD17" i="86" s="1"/>
  <c r="K17" i="86"/>
  <c r="E17" i="86"/>
  <c r="AN16" i="86"/>
  <c r="M16" i="86" s="1"/>
  <c r="N16" i="86" s="1"/>
  <c r="AE16" i="86"/>
  <c r="AA16" i="86"/>
  <c r="U16" i="86"/>
  <c r="K16" i="86"/>
  <c r="AH16" i="86" s="1"/>
  <c r="E16" i="86"/>
  <c r="AN15" i="86"/>
  <c r="M15" i="86" s="1"/>
  <c r="Z15" i="86"/>
  <c r="Y15" i="86"/>
  <c r="U15" i="86"/>
  <c r="AJ15" i="86" s="1"/>
  <c r="K15" i="86"/>
  <c r="AH15" i="86" s="1"/>
  <c r="E15" i="86"/>
  <c r="AN14" i="86"/>
  <c r="M14" i="86" s="1"/>
  <c r="N14" i="86" s="1"/>
  <c r="Z14" i="86"/>
  <c r="AE14" i="86" s="1"/>
  <c r="U14" i="86"/>
  <c r="K14" i="86"/>
  <c r="AI14" i="86" s="1"/>
  <c r="E14" i="86"/>
  <c r="AN13" i="86"/>
  <c r="M13" i="86" s="1"/>
  <c r="Z13" i="86"/>
  <c r="Y13" i="86"/>
  <c r="U13" i="86"/>
  <c r="K13" i="86"/>
  <c r="AH13" i="86" s="1"/>
  <c r="E13" i="86"/>
  <c r="AN12" i="86"/>
  <c r="M12" i="86" s="1"/>
  <c r="Z12" i="86"/>
  <c r="Y12" i="86"/>
  <c r="U12" i="86"/>
  <c r="AD12" i="86" s="1"/>
  <c r="K12" i="86"/>
  <c r="E12" i="86"/>
  <c r="AN11" i="86"/>
  <c r="M11" i="86" s="1"/>
  <c r="Z11" i="86"/>
  <c r="Y11" i="86"/>
  <c r="U11" i="86"/>
  <c r="AJ11" i="86" s="1"/>
  <c r="K11" i="86"/>
  <c r="AI11" i="86" s="1"/>
  <c r="E11" i="86"/>
  <c r="BB18" i="86"/>
  <c r="AW18" i="86"/>
  <c r="AN10" i="86"/>
  <c r="M10" i="86" s="1"/>
  <c r="O10" i="86" s="1"/>
  <c r="S10" i="86" s="1"/>
  <c r="AC10" i="86" s="1"/>
  <c r="Z10" i="86"/>
  <c r="Y10" i="86"/>
  <c r="U10" i="86"/>
  <c r="K10" i="86"/>
  <c r="E10" i="86"/>
  <c r="BB17" i="86"/>
  <c r="AW17" i="86"/>
  <c r="AN9" i="86"/>
  <c r="M9" i="86" s="1"/>
  <c r="N9" i="86" s="1"/>
  <c r="O9" i="86" s="1"/>
  <c r="AE9" i="86"/>
  <c r="AA9" i="86"/>
  <c r="U9" i="86"/>
  <c r="K9" i="86"/>
  <c r="AH9" i="86" s="1"/>
  <c r="E9" i="86"/>
  <c r="BB16" i="86"/>
  <c r="AW16" i="86"/>
  <c r="AN8" i="86"/>
  <c r="M8" i="86" s="1"/>
  <c r="N8" i="86" s="1"/>
  <c r="Z8" i="86"/>
  <c r="Y8" i="86"/>
  <c r="U8" i="86"/>
  <c r="AJ8" i="86" s="1"/>
  <c r="K8" i="86"/>
  <c r="E8" i="86"/>
  <c r="BB15" i="86"/>
  <c r="AW15" i="86"/>
  <c r="BB14" i="86"/>
  <c r="AW14" i="86"/>
  <c r="AN7" i="86"/>
  <c r="M7" i="86" s="1"/>
  <c r="Z7" i="86"/>
  <c r="Y7" i="86"/>
  <c r="U7" i="86"/>
  <c r="AJ7" i="86" s="1"/>
  <c r="K7" i="86"/>
  <c r="E7" i="86"/>
  <c r="BB13" i="86"/>
  <c r="AW13" i="86"/>
  <c r="AN6" i="86"/>
  <c r="M6" i="86" s="1"/>
  <c r="Z6" i="86"/>
  <c r="Y6" i="86"/>
  <c r="U6" i="86"/>
  <c r="AD6" i="86" s="1"/>
  <c r="K6" i="86"/>
  <c r="AI6" i="86" s="1"/>
  <c r="E6" i="86"/>
  <c r="AN5" i="86"/>
  <c r="M5" i="86" s="1"/>
  <c r="N5" i="86" s="1"/>
  <c r="O5" i="86" s="1"/>
  <c r="S5" i="86" s="1"/>
  <c r="AC5" i="86" s="1"/>
  <c r="Z5" i="86"/>
  <c r="Y5" i="86"/>
  <c r="U5" i="86"/>
  <c r="K5" i="86"/>
  <c r="AH5" i="86" s="1"/>
  <c r="E5" i="86"/>
  <c r="I2" i="86"/>
  <c r="AE29" i="86" l="1"/>
  <c r="AE101" i="86"/>
  <c r="AA82" i="86"/>
  <c r="AB82" i="86" s="1"/>
  <c r="AM82" i="86" s="1"/>
  <c r="AE26" i="86"/>
  <c r="AE78" i="86"/>
  <c r="AJ102" i="86"/>
  <c r="AE138" i="86"/>
  <c r="AE83" i="86"/>
  <c r="AA68" i="86"/>
  <c r="AI24" i="86"/>
  <c r="AE10" i="86"/>
  <c r="AA11" i="86"/>
  <c r="AA13" i="86"/>
  <c r="AE17" i="86"/>
  <c r="AE21" i="86"/>
  <c r="AE40" i="86"/>
  <c r="O75" i="86"/>
  <c r="AF75" i="86" s="1"/>
  <c r="AA6" i="86"/>
  <c r="AE49" i="86"/>
  <c r="AA93" i="86"/>
  <c r="AK10" i="86"/>
  <c r="AE8" i="86"/>
  <c r="AA15" i="86"/>
  <c r="AJ26" i="86"/>
  <c r="AJ28" i="86"/>
  <c r="AE69" i="86"/>
  <c r="AE77" i="86"/>
  <c r="AJ92" i="86"/>
  <c r="AE100" i="86"/>
  <c r="AI125" i="86"/>
  <c r="AH41" i="86"/>
  <c r="AI71" i="86"/>
  <c r="AK85" i="86"/>
  <c r="AH102" i="86"/>
  <c r="AE5" i="86"/>
  <c r="AH6" i="86"/>
  <c r="AA34" i="86"/>
  <c r="AA48" i="86"/>
  <c r="AJ69" i="86"/>
  <c r="AJ98" i="86"/>
  <c r="AD115" i="86"/>
  <c r="AE23" i="86"/>
  <c r="AE118" i="86"/>
  <c r="AE132" i="86"/>
  <c r="AD100" i="86"/>
  <c r="AI67" i="86"/>
  <c r="AJ25" i="86"/>
  <c r="AD57" i="86"/>
  <c r="AI82" i="86"/>
  <c r="AE68" i="86"/>
  <c r="AA87" i="86"/>
  <c r="AB87" i="86" s="1"/>
  <c r="AM87" i="86" s="1"/>
  <c r="AJ111" i="86"/>
  <c r="AI39" i="86"/>
  <c r="O46" i="86"/>
  <c r="AF46" i="86" s="1"/>
  <c r="O97" i="86"/>
  <c r="AF97" i="86" s="1"/>
  <c r="AE115" i="86"/>
  <c r="AJ77" i="86"/>
  <c r="AH11" i="86"/>
  <c r="AH92" i="86"/>
  <c r="AJ12" i="86"/>
  <c r="AI85" i="86"/>
  <c r="AE67" i="86"/>
  <c r="AA92" i="86"/>
  <c r="AH14" i="86"/>
  <c r="AA21" i="86"/>
  <c r="AI63" i="86"/>
  <c r="AA84" i="86"/>
  <c r="AJ90" i="86"/>
  <c r="AI107" i="86"/>
  <c r="AI36" i="86"/>
  <c r="AX16" i="86" a="1"/>
  <c r="AX16" i="86" s="1"/>
  <c r="BA16" i="86" s="1"/>
  <c r="AE12" i="86"/>
  <c r="AE19" i="86"/>
  <c r="AD72" i="86"/>
  <c r="AI76" i="86"/>
  <c r="AD84" i="86"/>
  <c r="AA86" i="86"/>
  <c r="AB86" i="86" s="1"/>
  <c r="AM86" i="86" s="1"/>
  <c r="AI97" i="86"/>
  <c r="AH99" i="86"/>
  <c r="AE133" i="86"/>
  <c r="AE18" i="86"/>
  <c r="AA76" i="86"/>
  <c r="AE90" i="86"/>
  <c r="AK95" i="86"/>
  <c r="AA8" i="86"/>
  <c r="AD76" i="86"/>
  <c r="AE82" i="86"/>
  <c r="AD21" i="86"/>
  <c r="AD54" i="86"/>
  <c r="AJ63" i="86"/>
  <c r="AA78" i="86"/>
  <c r="AF82" i="86"/>
  <c r="AH97" i="86"/>
  <c r="AJ123" i="86"/>
  <c r="AD128" i="86"/>
  <c r="AF10" i="86"/>
  <c r="AE25" i="86"/>
  <c r="AJ34" i="86"/>
  <c r="AA40" i="86"/>
  <c r="AH95" i="86"/>
  <c r="AJ99" i="86"/>
  <c r="AH101" i="86"/>
  <c r="AD110" i="86"/>
  <c r="AI133" i="86"/>
  <c r="AA69" i="86"/>
  <c r="AH130" i="86"/>
  <c r="AE137" i="86"/>
  <c r="AD31" i="86"/>
  <c r="AA44" i="86"/>
  <c r="AD82" i="86"/>
  <c r="AH137" i="86"/>
  <c r="AD40" i="86"/>
  <c r="AD68" i="86"/>
  <c r="AJ101" i="86"/>
  <c r="AJ103" i="86"/>
  <c r="AH110" i="86"/>
  <c r="AH116" i="86"/>
  <c r="AJ133" i="86"/>
  <c r="AA45" i="86"/>
  <c r="AH66" i="86"/>
  <c r="AJ116" i="86"/>
  <c r="AD7" i="86"/>
  <c r="AH81" i="86"/>
  <c r="AA91" i="86"/>
  <c r="AD106" i="86"/>
  <c r="AH112" i="86"/>
  <c r="AE131" i="86"/>
  <c r="AD138" i="86"/>
  <c r="AI45" i="86"/>
  <c r="AH138" i="86"/>
  <c r="AD15" i="86"/>
  <c r="AH37" i="86"/>
  <c r="N134" i="86"/>
  <c r="O134" i="86" s="1"/>
  <c r="AK134" i="86" s="1"/>
  <c r="AE15" i="86"/>
  <c r="AH79" i="86"/>
  <c r="AA83" i="86"/>
  <c r="AH122" i="86"/>
  <c r="AA24" i="86"/>
  <c r="AA35" i="86"/>
  <c r="AJ37" i="86"/>
  <c r="AD39" i="86"/>
  <c r="AE48" i="86"/>
  <c r="AA100" i="86"/>
  <c r="AK125" i="86"/>
  <c r="N22" i="86"/>
  <c r="O22" i="86" s="1"/>
  <c r="S22" i="86" s="1"/>
  <c r="AC22" i="86" s="1"/>
  <c r="AF73" i="86"/>
  <c r="S73" i="86"/>
  <c r="AC73" i="86" s="1"/>
  <c r="N26" i="86"/>
  <c r="O26" i="86" s="1"/>
  <c r="AA10" i="86"/>
  <c r="AB10" i="86" s="1"/>
  <c r="AM10" i="86" s="1"/>
  <c r="AD14" i="86"/>
  <c r="AJ14" i="86"/>
  <c r="AD125" i="86"/>
  <c r="AF125" i="86"/>
  <c r="AI7" i="86"/>
  <c r="AH7" i="86"/>
  <c r="AW9" i="86"/>
  <c r="BD9" i="86" s="1"/>
  <c r="AE42" i="86"/>
  <c r="AE79" i="86"/>
  <c r="AH89" i="86"/>
  <c r="AI89" i="86"/>
  <c r="AF95" i="86"/>
  <c r="AI62" i="86"/>
  <c r="AH62" i="86"/>
  <c r="AA116" i="86"/>
  <c r="AJ19" i="86"/>
  <c r="AD19" i="86"/>
  <c r="AE127" i="86"/>
  <c r="AA127" i="86"/>
  <c r="AH12" i="86"/>
  <c r="AI12" i="86"/>
  <c r="N59" i="86"/>
  <c r="O59" i="86" s="1"/>
  <c r="AH91" i="86"/>
  <c r="AK91" i="86"/>
  <c r="AI83" i="86"/>
  <c r="AH83" i="86"/>
  <c r="AJ91" i="86"/>
  <c r="AD91" i="86"/>
  <c r="AI121" i="86"/>
  <c r="AH121" i="86"/>
  <c r="O135" i="86"/>
  <c r="AK135" i="86" s="1"/>
  <c r="AD42" i="86"/>
  <c r="AA49" i="86"/>
  <c r="AJ65" i="86"/>
  <c r="AD65" i="86"/>
  <c r="AD75" i="86"/>
  <c r="AJ81" i="86"/>
  <c r="N106" i="86"/>
  <c r="O106" i="86" s="1"/>
  <c r="AI132" i="86"/>
  <c r="AA7" i="86"/>
  <c r="AE7" i="86"/>
  <c r="N12" i="86"/>
  <c r="O12" i="86" s="1"/>
  <c r="AI35" i="86"/>
  <c r="AD49" i="86"/>
  <c r="N57" i="86"/>
  <c r="O57" i="86" s="1"/>
  <c r="N81" i="86"/>
  <c r="O81" i="86" s="1"/>
  <c r="S81" i="86" s="1"/>
  <c r="AC81" i="86" s="1"/>
  <c r="AA89" i="86"/>
  <c r="AJ121" i="86"/>
  <c r="AD121" i="86"/>
  <c r="AH52" i="86"/>
  <c r="AI52" i="86"/>
  <c r="AI72" i="86"/>
  <c r="AE87" i="86"/>
  <c r="S124" i="86"/>
  <c r="AC124" i="86" s="1"/>
  <c r="AF124" i="86"/>
  <c r="AA137" i="86"/>
  <c r="AI136" i="86"/>
  <c r="AH136" i="86"/>
  <c r="N11" i="86"/>
  <c r="O11" i="86" s="1"/>
  <c r="AJ23" i="86"/>
  <c r="AD23" i="86"/>
  <c r="AJ30" i="86"/>
  <c r="AD30" i="86"/>
  <c r="AD53" i="86"/>
  <c r="AH60" i="86"/>
  <c r="AI60" i="86"/>
  <c r="AI135" i="86"/>
  <c r="AH135" i="86"/>
  <c r="AE6" i="86"/>
  <c r="O35" i="86"/>
  <c r="AK35" i="86" s="1"/>
  <c r="N64" i="86"/>
  <c r="O64" i="86" s="1"/>
  <c r="AD51" i="86"/>
  <c r="AE20" i="86"/>
  <c r="AA20" i="86"/>
  <c r="N40" i="86"/>
  <c r="O40" i="86" s="1"/>
  <c r="S69" i="86"/>
  <c r="AC69" i="86" s="1"/>
  <c r="AF69" i="86"/>
  <c r="AW29" i="86"/>
  <c r="AY29" i="86" s="1"/>
  <c r="BA29" i="86" s="1"/>
  <c r="AJ13" i="86"/>
  <c r="AD13" i="86"/>
  <c r="AA29" i="86"/>
  <c r="AE34" i="86"/>
  <c r="AH50" i="86"/>
  <c r="AI50" i="86"/>
  <c r="AI56" i="86"/>
  <c r="AH56" i="86"/>
  <c r="N72" i="86"/>
  <c r="O72" i="86" s="1"/>
  <c r="S72" i="86" s="1"/>
  <c r="AC72" i="86" s="1"/>
  <c r="N77" i="86"/>
  <c r="O77" i="86" s="1"/>
  <c r="AF77" i="86" s="1"/>
  <c r="AD94" i="86"/>
  <c r="AJ94" i="86"/>
  <c r="AH96" i="86"/>
  <c r="AI96" i="86"/>
  <c r="AA119" i="86"/>
  <c r="AJ124" i="86"/>
  <c r="AD124" i="86"/>
  <c r="AI131" i="86"/>
  <c r="AH131" i="86"/>
  <c r="AD35" i="86"/>
  <c r="AJ35" i="86"/>
  <c r="AE121" i="86"/>
  <c r="AA121" i="86"/>
  <c r="AH26" i="86"/>
  <c r="AI26" i="86"/>
  <c r="AD43" i="86"/>
  <c r="AJ43" i="86"/>
  <c r="N45" i="86"/>
  <c r="O45" i="86" s="1"/>
  <c r="S45" i="86" s="1"/>
  <c r="AC45" i="86" s="1"/>
  <c r="AJ58" i="86"/>
  <c r="AD58" i="86"/>
  <c r="AI70" i="86"/>
  <c r="AH70" i="86"/>
  <c r="N99" i="86"/>
  <c r="O99" i="86" s="1"/>
  <c r="N102" i="86"/>
  <c r="O102" i="86" s="1"/>
  <c r="AJ105" i="86"/>
  <c r="AD105" i="86"/>
  <c r="AH109" i="86"/>
  <c r="AI109" i="86"/>
  <c r="AI118" i="86"/>
  <c r="AH118" i="86"/>
  <c r="AD119" i="86"/>
  <c r="AE124" i="86"/>
  <c r="AA124" i="86"/>
  <c r="AD64" i="86"/>
  <c r="AJ64" i="86"/>
  <c r="AD127" i="86"/>
  <c r="AJ127" i="86"/>
  <c r="AA111" i="86"/>
  <c r="AA125" i="86"/>
  <c r="AB125" i="86" s="1"/>
  <c r="AM125" i="86" s="1"/>
  <c r="AI9" i="86"/>
  <c r="AM9" i="86"/>
  <c r="AI75" i="86"/>
  <c r="AH75" i="86"/>
  <c r="AD97" i="86"/>
  <c r="AJ97" i="86"/>
  <c r="AD112" i="86"/>
  <c r="AH123" i="86"/>
  <c r="AI123" i="86"/>
  <c r="AA14" i="86"/>
  <c r="AK124" i="86"/>
  <c r="AI124" i="86"/>
  <c r="AH124" i="86"/>
  <c r="AJ70" i="86"/>
  <c r="AD70" i="86"/>
  <c r="AI78" i="86"/>
  <c r="AH78" i="86"/>
  <c r="AD11" i="86"/>
  <c r="AI13" i="86"/>
  <c r="AH18" i="86"/>
  <c r="AD36" i="86"/>
  <c r="AD56" i="86"/>
  <c r="AJ56" i="86"/>
  <c r="AJ78" i="86"/>
  <c r="AD78" i="86"/>
  <c r="AH86" i="86"/>
  <c r="AI86" i="86"/>
  <c r="AE92" i="86"/>
  <c r="AI94" i="86"/>
  <c r="AJ136" i="86"/>
  <c r="AD136" i="86"/>
  <c r="N76" i="86"/>
  <c r="O76" i="86" s="1"/>
  <c r="N98" i="86"/>
  <c r="O98" i="86" s="1"/>
  <c r="AF98" i="86" s="1"/>
  <c r="AJ16" i="86"/>
  <c r="AD16" i="86"/>
  <c r="AJ6" i="86"/>
  <c r="AJ29" i="86"/>
  <c r="N113" i="86"/>
  <c r="O113" i="86" s="1"/>
  <c r="AJ118" i="86"/>
  <c r="AD118" i="86"/>
  <c r="AD10" i="86"/>
  <c r="AJ10" i="86"/>
  <c r="AE11" i="86"/>
  <c r="AH23" i="86"/>
  <c r="AI23" i="86"/>
  <c r="AK28" i="86"/>
  <c r="AE36" i="86"/>
  <c r="AI64" i="86"/>
  <c r="AH64" i="86"/>
  <c r="AE84" i="86"/>
  <c r="AE13" i="86"/>
  <c r="AA23" i="86"/>
  <c r="AA135" i="86"/>
  <c r="AA136" i="86"/>
  <c r="AD96" i="86"/>
  <c r="AA129" i="86"/>
  <c r="AD131" i="86"/>
  <c r="AJ38" i="86"/>
  <c r="AA43" i="86"/>
  <c r="AD46" i="86"/>
  <c r="AJ67" i="86"/>
  <c r="AA120" i="86"/>
  <c r="AA133" i="86"/>
  <c r="AJ48" i="86"/>
  <c r="AD55" i="86"/>
  <c r="AA77" i="86"/>
  <c r="AE86" i="86"/>
  <c r="AD93" i="86"/>
  <c r="AD108" i="86"/>
  <c r="AD117" i="86"/>
  <c r="AH30" i="86"/>
  <c r="AE93" i="86"/>
  <c r="AH117" i="86"/>
  <c r="AH120" i="86"/>
  <c r="AA17" i="86"/>
  <c r="AA19" i="86"/>
  <c r="O36" i="86"/>
  <c r="AK36" i="86" s="1"/>
  <c r="AJ52" i="86"/>
  <c r="AE85" i="86"/>
  <c r="AH88" i="86"/>
  <c r="AD95" i="86"/>
  <c r="AI108" i="86"/>
  <c r="AA110" i="86"/>
  <c r="AK120" i="86"/>
  <c r="AD126" i="86"/>
  <c r="N21" i="86"/>
  <c r="O21" i="86" s="1"/>
  <c r="AF21" i="86" s="1"/>
  <c r="AH22" i="86"/>
  <c r="AD32" i="86"/>
  <c r="O39" i="86"/>
  <c r="AK39" i="86" s="1"/>
  <c r="AE66" i="86"/>
  <c r="AH77" i="86"/>
  <c r="AF126" i="86"/>
  <c r="AA128" i="86"/>
  <c r="AA138" i="86"/>
  <c r="AK9" i="86"/>
  <c r="AF9" i="86"/>
  <c r="S9" i="86"/>
  <c r="AC9" i="86" s="1"/>
  <c r="N7" i="86"/>
  <c r="O7" i="86" s="1"/>
  <c r="N54" i="86"/>
  <c r="O54" i="86" s="1"/>
  <c r="S80" i="86"/>
  <c r="AC80" i="86" s="1"/>
  <c r="AF80" i="86"/>
  <c r="N13" i="86"/>
  <c r="O13" i="86" s="1"/>
  <c r="N6" i="86"/>
  <c r="O6" i="86" s="1"/>
  <c r="S61" i="86"/>
  <c r="AC61" i="86" s="1"/>
  <c r="AF61" i="86"/>
  <c r="N67" i="86"/>
  <c r="O67" i="86" s="1"/>
  <c r="N25" i="86"/>
  <c r="O25" i="86" s="1"/>
  <c r="AH104" i="86"/>
  <c r="AI104" i="86"/>
  <c r="AJ22" i="86"/>
  <c r="AD22" i="86"/>
  <c r="N50" i="86"/>
  <c r="O50" i="86" s="1"/>
  <c r="AI46" i="86"/>
  <c r="AH46" i="86"/>
  <c r="AF86" i="86"/>
  <c r="AJ5" i="86"/>
  <c r="AD5" i="86"/>
  <c r="N92" i="86"/>
  <c r="O92" i="86" s="1"/>
  <c r="N48" i="86"/>
  <c r="O48" i="86" s="1"/>
  <c r="AK48" i="86" s="1"/>
  <c r="AA5" i="86"/>
  <c r="AM5" i="86" s="1"/>
  <c r="AD27" i="86"/>
  <c r="AJ27" i="86"/>
  <c r="AH29" i="86"/>
  <c r="AI55" i="86"/>
  <c r="AH55" i="86"/>
  <c r="N79" i="86"/>
  <c r="O79" i="86" s="1"/>
  <c r="AE88" i="86"/>
  <c r="AA88" i="86"/>
  <c r="AI90" i="86"/>
  <c r="AH90" i="86"/>
  <c r="AK90" i="86"/>
  <c r="S91" i="86"/>
  <c r="AC91" i="86" s="1"/>
  <c r="AF91" i="86"/>
  <c r="N108" i="86"/>
  <c r="O108" i="86" s="1"/>
  <c r="AK108" i="86" s="1"/>
  <c r="AA22" i="86"/>
  <c r="AE22" i="86"/>
  <c r="AJ18" i="86"/>
  <c r="AE81" i="86"/>
  <c r="AA81" i="86"/>
  <c r="AX17" i="86" a="1"/>
  <c r="AX17" i="86" s="1"/>
  <c r="N34" i="86"/>
  <c r="O34" i="86" s="1"/>
  <c r="AI93" i="86"/>
  <c r="AH93" i="86"/>
  <c r="O17" i="86"/>
  <c r="AE41" i="86"/>
  <c r="AA41" i="86"/>
  <c r="AH68" i="86"/>
  <c r="AI68" i="86"/>
  <c r="N89" i="86"/>
  <c r="O89" i="86" s="1"/>
  <c r="AJ114" i="86"/>
  <c r="AD114" i="86"/>
  <c r="AI59" i="86"/>
  <c r="AH59" i="86"/>
  <c r="O68" i="86"/>
  <c r="AK68" i="86" s="1"/>
  <c r="AI29" i="86"/>
  <c r="N33" i="86"/>
  <c r="O33" i="86" s="1"/>
  <c r="AD41" i="86"/>
  <c r="AJ61" i="86"/>
  <c r="AD61" i="86"/>
  <c r="AI74" i="86"/>
  <c r="AH74" i="86"/>
  <c r="AD107" i="86"/>
  <c r="AJ107" i="86"/>
  <c r="AI25" i="86"/>
  <c r="AH25" i="86"/>
  <c r="N103" i="86"/>
  <c r="O103" i="86" s="1"/>
  <c r="AK103" i="86" s="1"/>
  <c r="AK69" i="86"/>
  <c r="AI69" i="86"/>
  <c r="AH69" i="86"/>
  <c r="K2" i="86"/>
  <c r="AA12" i="86"/>
  <c r="N62" i="86"/>
  <c r="O62" i="86" s="1"/>
  <c r="AK80" i="86"/>
  <c r="AI80" i="86"/>
  <c r="AH80" i="86"/>
  <c r="AW10" i="86"/>
  <c r="AX10" i="86" s="1" a="1"/>
  <c r="AX10" i="86" s="1"/>
  <c r="AI10" i="86"/>
  <c r="AH10" i="86"/>
  <c r="AI28" i="86"/>
  <c r="AH28" i="86"/>
  <c r="AD45" i="86"/>
  <c r="AJ45" i="86"/>
  <c r="AH47" i="86"/>
  <c r="AI47" i="86"/>
  <c r="AI53" i="86"/>
  <c r="AH53" i="86"/>
  <c r="N74" i="86"/>
  <c r="O74" i="86" s="1"/>
  <c r="AW12" i="86"/>
  <c r="AX12" i="86" s="1" a="1"/>
  <c r="AX12" i="86" s="1"/>
  <c r="AW32" i="86"/>
  <c r="AY32" i="86" s="1"/>
  <c r="BA32" i="86" s="1"/>
  <c r="N78" i="86"/>
  <c r="O78" i="86" s="1"/>
  <c r="N53" i="86"/>
  <c r="O53" i="86" s="1"/>
  <c r="AD33" i="86"/>
  <c r="AJ33" i="86"/>
  <c r="AF5" i="86"/>
  <c r="N52" i="86"/>
  <c r="O52" i="86" s="1"/>
  <c r="N55" i="86"/>
  <c r="O55" i="86" s="1"/>
  <c r="AF90" i="86"/>
  <c r="S90" i="86"/>
  <c r="AC90" i="86" s="1"/>
  <c r="AI5" i="86"/>
  <c r="O16" i="86"/>
  <c r="AK16" i="86" s="1"/>
  <c r="N18" i="86"/>
  <c r="O18" i="86" s="1"/>
  <c r="N41" i="86"/>
  <c r="O41" i="86" s="1"/>
  <c r="AE43" i="86"/>
  <c r="AI51" i="86"/>
  <c r="AH58" i="86"/>
  <c r="AI58" i="86"/>
  <c r="N60" i="86"/>
  <c r="O60" i="86" s="1"/>
  <c r="AD71" i="86"/>
  <c r="AK87" i="86"/>
  <c r="AI87" i="86"/>
  <c r="AH87" i="86"/>
  <c r="AE111" i="86"/>
  <c r="S117" i="86"/>
  <c r="AC117" i="86" s="1"/>
  <c r="AK117" i="86"/>
  <c r="AF117" i="86"/>
  <c r="AI48" i="86"/>
  <c r="AH48" i="86"/>
  <c r="N49" i="86"/>
  <c r="O49" i="86" s="1"/>
  <c r="AE46" i="86"/>
  <c r="AA46" i="86"/>
  <c r="AD62" i="86"/>
  <c r="O8" i="86"/>
  <c r="AJ17" i="86"/>
  <c r="N23" i="86"/>
  <c r="O23" i="86" s="1"/>
  <c r="AI57" i="86"/>
  <c r="AH57" i="86"/>
  <c r="AF87" i="86"/>
  <c r="N88" i="86"/>
  <c r="O88" i="86" s="1"/>
  <c r="N96" i="86"/>
  <c r="O96" i="86" s="1"/>
  <c r="AF107" i="86"/>
  <c r="AI17" i="86"/>
  <c r="AH17" i="86"/>
  <c r="AK27" i="86"/>
  <c r="AI27" i="86"/>
  <c r="AH27" i="86"/>
  <c r="AF27" i="86"/>
  <c r="AB27" i="86"/>
  <c r="AM27" i="86" s="1"/>
  <c r="N42" i="86"/>
  <c r="O42" i="86" s="1"/>
  <c r="AJ9" i="86"/>
  <c r="AD9" i="86"/>
  <c r="N15" i="86"/>
  <c r="O15" i="86" s="1"/>
  <c r="AW31" i="86"/>
  <c r="AY31" i="86" s="1"/>
  <c r="BA31" i="86" s="1"/>
  <c r="AJ24" i="86"/>
  <c r="AD24" i="86"/>
  <c r="AJ47" i="86"/>
  <c r="AD47" i="86"/>
  <c r="AH54" i="86"/>
  <c r="AI54" i="86"/>
  <c r="N58" i="86"/>
  <c r="O58" i="86" s="1"/>
  <c r="N65" i="86"/>
  <c r="O65" i="86" s="1"/>
  <c r="AD87" i="86"/>
  <c r="AJ87" i="86"/>
  <c r="N51" i="86"/>
  <c r="O51" i="86" s="1"/>
  <c r="AK5" i="86"/>
  <c r="AW11" i="86"/>
  <c r="AX11" i="86" s="1" a="1"/>
  <c r="AX11" i="86" s="1"/>
  <c r="AX13" i="86" a="1"/>
  <c r="AX13" i="86" s="1"/>
  <c r="AH8" i="86"/>
  <c r="N19" i="86"/>
  <c r="O19" i="86" s="1"/>
  <c r="AW30" i="86"/>
  <c r="AY30" i="86" s="1"/>
  <c r="BA30" i="86" s="1"/>
  <c r="AE24" i="86"/>
  <c r="AJ44" i="86"/>
  <c r="AD44" i="86"/>
  <c r="AE47" i="86"/>
  <c r="AA47" i="86"/>
  <c r="AX15" i="86" a="1"/>
  <c r="AX15" i="86" s="1"/>
  <c r="AI8" i="86"/>
  <c r="AI34" i="86"/>
  <c r="AA42" i="86"/>
  <c r="AD60" i="86"/>
  <c r="N105" i="86"/>
  <c r="O105" i="86" s="1"/>
  <c r="AK105" i="86" s="1"/>
  <c r="S110" i="86"/>
  <c r="AC110" i="86" s="1"/>
  <c r="AF110" i="86"/>
  <c r="AK110" i="86"/>
  <c r="N83" i="86"/>
  <c r="O83" i="86" s="1"/>
  <c r="AI106" i="86"/>
  <c r="AH106" i="86"/>
  <c r="S112" i="86"/>
  <c r="AC112" i="86" s="1"/>
  <c r="AK112" i="86"/>
  <c r="AF112" i="86"/>
  <c r="AE113" i="86"/>
  <c r="AA113" i="86"/>
  <c r="O104" i="86"/>
  <c r="AK104" i="86" s="1"/>
  <c r="AJ113" i="86"/>
  <c r="AD113" i="86"/>
  <c r="O14" i="86"/>
  <c r="AI15" i="86"/>
  <c r="AI19" i="86"/>
  <c r="AI21" i="86"/>
  <c r="N29" i="86"/>
  <c r="O29" i="86" s="1"/>
  <c r="AK29" i="86" s="1"/>
  <c r="AI31" i="86"/>
  <c r="AH33" i="86"/>
  <c r="AH42" i="86"/>
  <c r="AJ74" i="86"/>
  <c r="AD74" i="86"/>
  <c r="AE80" i="86"/>
  <c r="AA80" i="86"/>
  <c r="AK82" i="86"/>
  <c r="AJ86" i="86"/>
  <c r="AD86" i="86"/>
  <c r="N111" i="86"/>
  <c r="O111" i="86" s="1"/>
  <c r="AH20" i="86"/>
  <c r="AA25" i="86"/>
  <c r="AI32" i="86"/>
  <c r="AI65" i="86"/>
  <c r="AJ66" i="86"/>
  <c r="AD66" i="86"/>
  <c r="N71" i="86"/>
  <c r="O71" i="86" s="1"/>
  <c r="N118" i="86"/>
  <c r="O118" i="86" s="1"/>
  <c r="AB28" i="86"/>
  <c r="AM28" i="86" s="1"/>
  <c r="AJ50" i="86"/>
  <c r="AD50" i="86"/>
  <c r="AA67" i="86"/>
  <c r="AJ79" i="86"/>
  <c r="AD79" i="86"/>
  <c r="AD80" i="86"/>
  <c r="AJ85" i="86"/>
  <c r="AD85" i="86"/>
  <c r="AJ89" i="86"/>
  <c r="AD89" i="86"/>
  <c r="AD109" i="86"/>
  <c r="N122" i="86"/>
  <c r="O122" i="86" s="1"/>
  <c r="AH40" i="86"/>
  <c r="AH103" i="86"/>
  <c r="AI103" i="86"/>
  <c r="AE130" i="86"/>
  <c r="AA130" i="86"/>
  <c r="AA18" i="86"/>
  <c r="O20" i="86"/>
  <c r="N30" i="86"/>
  <c r="O30" i="86" s="1"/>
  <c r="AK30" i="86" s="1"/>
  <c r="O37" i="86"/>
  <c r="AK37" i="86" s="1"/>
  <c r="N38" i="86"/>
  <c r="O38" i="86" s="1"/>
  <c r="AA66" i="86"/>
  <c r="AB66" i="86" s="1"/>
  <c r="AM66" i="86" s="1"/>
  <c r="AJ73" i="86"/>
  <c r="AD73" i="86"/>
  <c r="AI127" i="86"/>
  <c r="AH127" i="86"/>
  <c r="AX14" i="86" a="1"/>
  <c r="AX14" i="86" s="1"/>
  <c r="AD8" i="86"/>
  <c r="O44" i="86"/>
  <c r="N70" i="86"/>
  <c r="O70" i="86" s="1"/>
  <c r="AA79" i="86"/>
  <c r="AA85" i="86"/>
  <c r="AB85" i="86" s="1"/>
  <c r="AM85" i="86" s="1"/>
  <c r="AA101" i="86"/>
  <c r="AI105" i="86"/>
  <c r="AH105" i="86"/>
  <c r="N127" i="86"/>
  <c r="O127" i="86" s="1"/>
  <c r="N24" i="86"/>
  <c r="O24" i="86" s="1"/>
  <c r="AF28" i="86"/>
  <c r="AG28" i="86" s="1"/>
  <c r="N31" i="86"/>
  <c r="O31" i="86" s="1"/>
  <c r="AE39" i="86"/>
  <c r="AA39" i="86"/>
  <c r="N109" i="86"/>
  <c r="O109" i="86" s="1"/>
  <c r="N116" i="86"/>
  <c r="O116" i="86" s="1"/>
  <c r="AJ132" i="86"/>
  <c r="AD132" i="86"/>
  <c r="AX18" i="86" a="1"/>
  <c r="AX18" i="86" s="1"/>
  <c r="AA26" i="86"/>
  <c r="N32" i="86"/>
  <c r="O32" i="86" s="1"/>
  <c r="O43" i="86"/>
  <c r="AK43" i="86" s="1"/>
  <c r="O47" i="86"/>
  <c r="AK61" i="86"/>
  <c r="N63" i="86"/>
  <c r="O63" i="86" s="1"/>
  <c r="AJ88" i="86"/>
  <c r="AD88" i="86"/>
  <c r="AB107" i="86"/>
  <c r="AM107" i="86" s="1"/>
  <c r="AK107" i="86"/>
  <c r="AE110" i="86"/>
  <c r="AJ20" i="86"/>
  <c r="AD20" i="86"/>
  <c r="AI44" i="86"/>
  <c r="AF85" i="86"/>
  <c r="AD130" i="86"/>
  <c r="AJ130" i="86"/>
  <c r="S138" i="86"/>
  <c r="AC138" i="86" s="1"/>
  <c r="AK138" i="86"/>
  <c r="AF138" i="86"/>
  <c r="AH49" i="86"/>
  <c r="AF66" i="86"/>
  <c r="AJ83" i="86"/>
  <c r="AH84" i="86"/>
  <c r="AE89" i="86"/>
  <c r="N93" i="86"/>
  <c r="O93" i="86" s="1"/>
  <c r="N119" i="86"/>
  <c r="O119" i="86" s="1"/>
  <c r="O56" i="86"/>
  <c r="AH72" i="86"/>
  <c r="AE76" i="86"/>
  <c r="AE91" i="86"/>
  <c r="AE123" i="86"/>
  <c r="AA123" i="86"/>
  <c r="N94" i="86"/>
  <c r="O94" i="86" s="1"/>
  <c r="AI115" i="86"/>
  <c r="AH115" i="86"/>
  <c r="S121" i="86"/>
  <c r="AC121" i="86" s="1"/>
  <c r="AF121" i="86"/>
  <c r="S95" i="86"/>
  <c r="AC95" i="86" s="1"/>
  <c r="AI98" i="86"/>
  <c r="AI100" i="86"/>
  <c r="AA122" i="86"/>
  <c r="AA126" i="86"/>
  <c r="AI43" i="86"/>
  <c r="AI61" i="86"/>
  <c r="AK66" i="86"/>
  <c r="N100" i="86"/>
  <c r="O100" i="86" s="1"/>
  <c r="AI111" i="86"/>
  <c r="AH111" i="86"/>
  <c r="O115" i="86"/>
  <c r="S120" i="86"/>
  <c r="AC120" i="86" s="1"/>
  <c r="AF120" i="86"/>
  <c r="AD120" i="86"/>
  <c r="AJ120" i="86"/>
  <c r="AJ134" i="86"/>
  <c r="AD134" i="86"/>
  <c r="AI16" i="86"/>
  <c r="AI38" i="86"/>
  <c r="N84" i="86"/>
  <c r="O84" i="86" s="1"/>
  <c r="AK86" i="86"/>
  <c r="N101" i="86"/>
  <c r="O101" i="86" s="1"/>
  <c r="AI114" i="86"/>
  <c r="AE116" i="86"/>
  <c r="AA117" i="86"/>
  <c r="AE117" i="86"/>
  <c r="AI128" i="86"/>
  <c r="AD129" i="86"/>
  <c r="AE134" i="86"/>
  <c r="AC125" i="86"/>
  <c r="S126" i="86"/>
  <c r="AC126" i="86" s="1"/>
  <c r="AF137" i="86"/>
  <c r="AK137" i="86"/>
  <c r="AD59" i="86"/>
  <c r="AK73" i="86"/>
  <c r="AI91" i="86"/>
  <c r="AI113" i="86"/>
  <c r="AH113" i="86"/>
  <c r="N114" i="86"/>
  <c r="O114" i="86" s="1"/>
  <c r="AK114" i="86" s="1"/>
  <c r="O123" i="86"/>
  <c r="S137" i="86"/>
  <c r="AC137" i="86" s="1"/>
  <c r="AJ104" i="86"/>
  <c r="AA115" i="86"/>
  <c r="AI126" i="86"/>
  <c r="AH126" i="86"/>
  <c r="AK126" i="86"/>
  <c r="AD135" i="86"/>
  <c r="AJ135" i="86"/>
  <c r="AD137" i="86"/>
  <c r="AJ137" i="86"/>
  <c r="AE135" i="86"/>
  <c r="AE136" i="86"/>
  <c r="N129" i="86"/>
  <c r="O129" i="86" s="1"/>
  <c r="AI73" i="86"/>
  <c r="AA118" i="86"/>
  <c r="O132" i="86"/>
  <c r="AA134" i="86"/>
  <c r="AJ122" i="86"/>
  <c r="AD122" i="86"/>
  <c r="AA131" i="86"/>
  <c r="AA132" i="86"/>
  <c r="N136" i="86"/>
  <c r="O136" i="86" s="1"/>
  <c r="AI129" i="86"/>
  <c r="AH129" i="86"/>
  <c r="AI119" i="86"/>
  <c r="AH119" i="86"/>
  <c r="AK121" i="86"/>
  <c r="N128" i="86"/>
  <c r="O128" i="86" s="1"/>
  <c r="O130" i="86"/>
  <c r="O131" i="86"/>
  <c r="AE128" i="86"/>
  <c r="N133" i="86"/>
  <c r="O133" i="86" s="1"/>
  <c r="AK133" i="86" s="1"/>
  <c r="AH134" i="86"/>
  <c r="AK46" i="86" l="1"/>
  <c r="AF35" i="86"/>
  <c r="S35" i="86"/>
  <c r="AC35" i="86" s="1"/>
  <c r="AK75" i="86"/>
  <c r="S39" i="86"/>
  <c r="AC39" i="86" s="1"/>
  <c r="S75" i="86"/>
  <c r="AC75" i="86" s="1"/>
  <c r="AG75" i="86" s="1"/>
  <c r="S97" i="86"/>
  <c r="AC97" i="86" s="1"/>
  <c r="AG97" i="86" s="1"/>
  <c r="AF39" i="86"/>
  <c r="S46" i="86"/>
  <c r="AC46" i="86" s="1"/>
  <c r="AG46" i="86" s="1"/>
  <c r="AB73" i="86"/>
  <c r="AM73" i="86" s="1"/>
  <c r="AG73" i="86"/>
  <c r="AG5" i="86"/>
  <c r="AG107" i="86"/>
  <c r="AB91" i="86"/>
  <c r="AM91" i="86" s="1"/>
  <c r="S12" i="86"/>
  <c r="AC12" i="86" s="1"/>
  <c r="AK12" i="86"/>
  <c r="AB121" i="86"/>
  <c r="AM121" i="86" s="1"/>
  <c r="AK97" i="86"/>
  <c r="AG10" i="86"/>
  <c r="AK113" i="86"/>
  <c r="AF113" i="86"/>
  <c r="S113" i="86"/>
  <c r="AC113" i="86" s="1"/>
  <c r="AG87" i="86"/>
  <c r="AB22" i="86"/>
  <c r="AM22" i="86" s="1"/>
  <c r="AG27" i="86"/>
  <c r="AG82" i="86"/>
  <c r="AB124" i="86"/>
  <c r="AM124" i="86" s="1"/>
  <c r="AX9" i="86" a="1"/>
  <c r="AX9" i="86" s="1"/>
  <c r="AX7" i="86" s="1"/>
  <c r="S21" i="86"/>
  <c r="AC21" i="86" s="1"/>
  <c r="AG21" i="86" s="1"/>
  <c r="AF12" i="86"/>
  <c r="AG69" i="86"/>
  <c r="AK102" i="86"/>
  <c r="AF102" i="86"/>
  <c r="S102" i="86"/>
  <c r="AC102" i="86" s="1"/>
  <c r="AF57" i="86"/>
  <c r="AK57" i="86"/>
  <c r="AF11" i="86"/>
  <c r="S11" i="86"/>
  <c r="AC11" i="86" s="1"/>
  <c r="AK11" i="86"/>
  <c r="AG137" i="86"/>
  <c r="AF134" i="86"/>
  <c r="BB10" i="86"/>
  <c r="AG126" i="86"/>
  <c r="AF72" i="86"/>
  <c r="AG72" i="86" s="1"/>
  <c r="AK72" i="86"/>
  <c r="AB69" i="86"/>
  <c r="AM69" i="86" s="1"/>
  <c r="S77" i="86"/>
  <c r="AC77" i="86" s="1"/>
  <c r="AG77" i="86" s="1"/>
  <c r="S134" i="86"/>
  <c r="AC134" i="86" s="1"/>
  <c r="AG85" i="86"/>
  <c r="AF22" i="86"/>
  <c r="AG22" i="86" s="1"/>
  <c r="AK22" i="86"/>
  <c r="AK77" i="86"/>
  <c r="AG9" i="86"/>
  <c r="S106" i="86"/>
  <c r="AC106" i="86" s="1"/>
  <c r="AF106" i="86"/>
  <c r="AK106" i="86"/>
  <c r="AK59" i="86"/>
  <c r="S59" i="86"/>
  <c r="AC59" i="86" s="1"/>
  <c r="AF59" i="86"/>
  <c r="S26" i="86"/>
  <c r="AC26" i="86" s="1"/>
  <c r="AF26" i="86"/>
  <c r="AK26" i="86"/>
  <c r="AF64" i="86"/>
  <c r="AK64" i="86"/>
  <c r="S64" i="86"/>
  <c r="AC64" i="86" s="1"/>
  <c r="S40" i="86"/>
  <c r="AC40" i="86" s="1"/>
  <c r="AF40" i="86"/>
  <c r="AZ14" i="86" a="1"/>
  <c r="AZ14" i="86" s="1"/>
  <c r="AY14" i="86" s="1"/>
  <c r="AF45" i="86"/>
  <c r="AG45" i="86" s="1"/>
  <c r="AB138" i="86"/>
  <c r="AM138" i="86" s="1"/>
  <c r="AF135" i="86"/>
  <c r="AG90" i="86"/>
  <c r="AK81" i="86"/>
  <c r="BB12" i="86"/>
  <c r="AK45" i="86"/>
  <c r="AB81" i="86"/>
  <c r="AM81" i="86" s="1"/>
  <c r="AF76" i="86"/>
  <c r="AZ15" i="86" a="1"/>
  <c r="AZ15" i="86" s="1"/>
  <c r="AY15" i="86" s="1"/>
  <c r="S36" i="86"/>
  <c r="AC36" i="86" s="1"/>
  <c r="AF36" i="86"/>
  <c r="AG124" i="86"/>
  <c r="AK76" i="86"/>
  <c r="AG125" i="86"/>
  <c r="AK40" i="86"/>
  <c r="AI3" i="86"/>
  <c r="E1" i="86" s="1"/>
  <c r="S99" i="86"/>
  <c r="AC99" i="86" s="1"/>
  <c r="AF99" i="86"/>
  <c r="AK99" i="86"/>
  <c r="AZ16" i="86" a="1"/>
  <c r="AZ16" i="86" s="1"/>
  <c r="AY16" i="86" s="1"/>
  <c r="AF81" i="86"/>
  <c r="AG81" i="86" s="1"/>
  <c r="AG95" i="86"/>
  <c r="S76" i="86"/>
  <c r="AC76" i="86" s="1"/>
  <c r="AK21" i="86"/>
  <c r="S98" i="86"/>
  <c r="AC98" i="86" s="1"/>
  <c r="AG98" i="86" s="1"/>
  <c r="AB95" i="86"/>
  <c r="AM95" i="86" s="1"/>
  <c r="AG66" i="86"/>
  <c r="S57" i="86"/>
  <c r="AC57" i="86" s="1"/>
  <c r="BB11" i="86"/>
  <c r="S135" i="86"/>
  <c r="AC135" i="86" s="1"/>
  <c r="AK98" i="86"/>
  <c r="BA27" i="86"/>
  <c r="S136" i="86"/>
  <c r="AC136" i="86" s="1"/>
  <c r="AF136" i="86"/>
  <c r="AK136" i="86"/>
  <c r="S127" i="86"/>
  <c r="AC127" i="86" s="1"/>
  <c r="AF127" i="86"/>
  <c r="AK127" i="86"/>
  <c r="S83" i="86"/>
  <c r="AC83" i="86" s="1"/>
  <c r="AF83" i="86"/>
  <c r="AK83" i="86"/>
  <c r="AF129" i="86"/>
  <c r="AK129" i="86"/>
  <c r="S129" i="86"/>
  <c r="AC129" i="86" s="1"/>
  <c r="AF51" i="86"/>
  <c r="S51" i="86"/>
  <c r="AC51" i="86" s="1"/>
  <c r="AK51" i="86"/>
  <c r="S109" i="86"/>
  <c r="AC109" i="86" s="1"/>
  <c r="AK109" i="86"/>
  <c r="AF109" i="86"/>
  <c r="AF53" i="86"/>
  <c r="S53" i="86"/>
  <c r="AC53" i="86" s="1"/>
  <c r="AK53" i="86"/>
  <c r="AF13" i="86"/>
  <c r="S13" i="86"/>
  <c r="AC13" i="86" s="1"/>
  <c r="AK13" i="86"/>
  <c r="S118" i="86"/>
  <c r="AC118" i="86" s="1"/>
  <c r="AF118" i="86"/>
  <c r="AK118" i="86"/>
  <c r="AF111" i="86"/>
  <c r="S111" i="86"/>
  <c r="AC111" i="86" s="1"/>
  <c r="AK111" i="86"/>
  <c r="S78" i="86"/>
  <c r="AC78" i="86" s="1"/>
  <c r="AK78" i="86"/>
  <c r="AF78" i="86"/>
  <c r="S94" i="86"/>
  <c r="AC94" i="86" s="1"/>
  <c r="AF94" i="86"/>
  <c r="AK94" i="86"/>
  <c r="S38" i="86"/>
  <c r="AC38" i="86" s="1"/>
  <c r="AF38" i="86"/>
  <c r="AK38" i="86"/>
  <c r="S15" i="86"/>
  <c r="AC15" i="86" s="1"/>
  <c r="AF15" i="86"/>
  <c r="AK15" i="86"/>
  <c r="AF96" i="86"/>
  <c r="S96" i="86"/>
  <c r="AC96" i="86" s="1"/>
  <c r="AK96" i="86"/>
  <c r="AF33" i="86"/>
  <c r="AK33" i="86"/>
  <c r="S33" i="86"/>
  <c r="AC33" i="86" s="1"/>
  <c r="AF89" i="86"/>
  <c r="AG89" i="86" s="1"/>
  <c r="AB89" i="86"/>
  <c r="AM89" i="86" s="1"/>
  <c r="AK89" i="86"/>
  <c r="AF25" i="86"/>
  <c r="AK25" i="86"/>
  <c r="S25" i="86"/>
  <c r="AC25" i="86" s="1"/>
  <c r="AF54" i="86"/>
  <c r="S54" i="86"/>
  <c r="AC54" i="86" s="1"/>
  <c r="AK54" i="86"/>
  <c r="AF34" i="86"/>
  <c r="S34" i="86"/>
  <c r="AC34" i="86" s="1"/>
  <c r="AK34" i="86"/>
  <c r="AF32" i="86"/>
  <c r="S32" i="86"/>
  <c r="AC32" i="86" s="1"/>
  <c r="AK32" i="86"/>
  <c r="S70" i="86"/>
  <c r="AC70" i="86" s="1"/>
  <c r="AF70" i="86"/>
  <c r="AK70" i="86"/>
  <c r="S18" i="86"/>
  <c r="AC18" i="86" s="1"/>
  <c r="AF18" i="86"/>
  <c r="AK18" i="86"/>
  <c r="AF92" i="86"/>
  <c r="S92" i="86"/>
  <c r="AC92" i="86" s="1"/>
  <c r="AK92" i="86"/>
  <c r="AK6" i="86"/>
  <c r="AF6" i="86"/>
  <c r="S6" i="86"/>
  <c r="AC6" i="86" s="1"/>
  <c r="S100" i="86"/>
  <c r="AC100" i="86" s="1"/>
  <c r="AF100" i="86"/>
  <c r="AK100" i="86"/>
  <c r="S71" i="86"/>
  <c r="AC71" i="86" s="1"/>
  <c r="AF71" i="86"/>
  <c r="AK71" i="86"/>
  <c r="S55" i="86"/>
  <c r="AC55" i="86" s="1"/>
  <c r="AF55" i="86"/>
  <c r="AK55" i="86"/>
  <c r="AF62" i="86"/>
  <c r="S62" i="86"/>
  <c r="AC62" i="86" s="1"/>
  <c r="AK62" i="86"/>
  <c r="AF50" i="86"/>
  <c r="S50" i="86"/>
  <c r="AC50" i="86" s="1"/>
  <c r="AK50" i="86"/>
  <c r="S23" i="86"/>
  <c r="AC23" i="86" s="1"/>
  <c r="AK23" i="86"/>
  <c r="AF23" i="86"/>
  <c r="S60" i="86"/>
  <c r="AC60" i="86" s="1"/>
  <c r="AK60" i="86"/>
  <c r="AF60" i="86"/>
  <c r="AF31" i="86"/>
  <c r="S31" i="86"/>
  <c r="AC31" i="86" s="1"/>
  <c r="AK31" i="86"/>
  <c r="S19" i="86"/>
  <c r="AC19" i="86" s="1"/>
  <c r="AF19" i="86"/>
  <c r="AK19" i="86"/>
  <c r="S65" i="86"/>
  <c r="AC65" i="86" s="1"/>
  <c r="AF65" i="86"/>
  <c r="AK65" i="86"/>
  <c r="AK88" i="86"/>
  <c r="AF88" i="86"/>
  <c r="AG88" i="86" s="1"/>
  <c r="AB88" i="86"/>
  <c r="AM88" i="86" s="1"/>
  <c r="S41" i="86"/>
  <c r="AC41" i="86" s="1"/>
  <c r="AK41" i="86"/>
  <c r="AF41" i="86"/>
  <c r="AK84" i="86"/>
  <c r="AB84" i="86"/>
  <c r="AM84" i="86" s="1"/>
  <c r="AF84" i="86"/>
  <c r="AG84" i="86" s="1"/>
  <c r="AF93" i="86"/>
  <c r="S93" i="86"/>
  <c r="AC93" i="86" s="1"/>
  <c r="AK93" i="86"/>
  <c r="S17" i="86"/>
  <c r="AC17" i="86" s="1"/>
  <c r="AF17" i="86"/>
  <c r="AF56" i="86"/>
  <c r="S56" i="86"/>
  <c r="AC56" i="86" s="1"/>
  <c r="AK56" i="86"/>
  <c r="BB9" i="86"/>
  <c r="AZ9" i="86" a="1"/>
  <c r="AZ9" i="86" s="1"/>
  <c r="S42" i="86"/>
  <c r="AC42" i="86" s="1"/>
  <c r="AF42" i="86"/>
  <c r="AF47" i="86"/>
  <c r="S47" i="86"/>
  <c r="AC47" i="86" s="1"/>
  <c r="AB90" i="86"/>
  <c r="AM90" i="86" s="1"/>
  <c r="BA17" i="86"/>
  <c r="AF63" i="86"/>
  <c r="S63" i="86"/>
  <c r="AC63" i="86" s="1"/>
  <c r="AK63" i="86"/>
  <c r="AF44" i="86"/>
  <c r="S44" i="86"/>
  <c r="AC44" i="86" s="1"/>
  <c r="S24" i="86"/>
  <c r="AC24" i="86" s="1"/>
  <c r="AF24" i="86"/>
  <c r="S74" i="86"/>
  <c r="AC74" i="86" s="1"/>
  <c r="AF74" i="86"/>
  <c r="BA14" i="86"/>
  <c r="S101" i="86"/>
  <c r="AC101" i="86" s="1"/>
  <c r="AF101" i="86"/>
  <c r="AK101" i="86"/>
  <c r="BA13" i="86"/>
  <c r="AB117" i="86"/>
  <c r="AM117" i="86" s="1"/>
  <c r="L2" i="86"/>
  <c r="AJ3" i="86"/>
  <c r="AG80" i="86"/>
  <c r="AF119" i="86"/>
  <c r="S119" i="86"/>
  <c r="AC119" i="86" s="1"/>
  <c r="AK119" i="86"/>
  <c r="AK74" i="86"/>
  <c r="AG138" i="86"/>
  <c r="S43" i="86"/>
  <c r="AC43" i="86" s="1"/>
  <c r="AF43" i="86"/>
  <c r="AF8" i="86"/>
  <c r="AK8" i="86"/>
  <c r="S8" i="86"/>
  <c r="AC8" i="86" s="1"/>
  <c r="AK24" i="86"/>
  <c r="BA11" i="86"/>
  <c r="AZ12" i="86" a="1"/>
  <c r="AZ12" i="86" s="1"/>
  <c r="AY12" i="86" s="1"/>
  <c r="S7" i="86"/>
  <c r="AC7" i="86" s="1"/>
  <c r="AF7" i="86"/>
  <c r="AK7" i="86"/>
  <c r="AG112" i="86"/>
  <c r="BA15" i="86"/>
  <c r="S128" i="86"/>
  <c r="AC128" i="86" s="1"/>
  <c r="AF128" i="86"/>
  <c r="AK17" i="86"/>
  <c r="AB137" i="86"/>
  <c r="AM137" i="86" s="1"/>
  <c r="AB112" i="86"/>
  <c r="AM112" i="86" s="1"/>
  <c r="AF58" i="86"/>
  <c r="S58" i="86"/>
  <c r="AC58" i="86" s="1"/>
  <c r="S133" i="86"/>
  <c r="AC133" i="86" s="1"/>
  <c r="AF133" i="86"/>
  <c r="AZ10" i="86" a="1"/>
  <c r="AZ10" i="86" s="1"/>
  <c r="AY10" i="86" s="1"/>
  <c r="AW7" i="86"/>
  <c r="AG61" i="86"/>
  <c r="AK79" i="86"/>
  <c r="AF79" i="86"/>
  <c r="S79" i="86"/>
  <c r="AC79" i="86" s="1"/>
  <c r="AF132" i="86"/>
  <c r="S132" i="86"/>
  <c r="AC132" i="86" s="1"/>
  <c r="AK132" i="86"/>
  <c r="S122" i="86"/>
  <c r="AC122" i="86" s="1"/>
  <c r="AK122" i="86"/>
  <c r="AF122" i="86"/>
  <c r="AF29" i="86"/>
  <c r="S29" i="86"/>
  <c r="AC29" i="86" s="1"/>
  <c r="AG117" i="86"/>
  <c r="AF108" i="86"/>
  <c r="S108" i="86"/>
  <c r="AC108" i="86" s="1"/>
  <c r="S131" i="86"/>
  <c r="AC131" i="86" s="1"/>
  <c r="AK131" i="86"/>
  <c r="AF131" i="86"/>
  <c r="AF52" i="86"/>
  <c r="S52" i="86"/>
  <c r="AC52" i="86" s="1"/>
  <c r="AK52" i="86"/>
  <c r="BA10" i="86"/>
  <c r="AB45" i="86"/>
  <c r="AM45" i="86" s="1"/>
  <c r="AZ11" i="86" a="1"/>
  <c r="AZ11" i="86" s="1"/>
  <c r="AY11" i="86" s="1"/>
  <c r="AF48" i="86"/>
  <c r="S48" i="86"/>
  <c r="AC48" i="86" s="1"/>
  <c r="S116" i="86"/>
  <c r="AC116" i="86" s="1"/>
  <c r="AK116" i="86"/>
  <c r="AF116" i="86"/>
  <c r="AG121" i="86"/>
  <c r="S130" i="86"/>
  <c r="AC130" i="86" s="1"/>
  <c r="AK130" i="86"/>
  <c r="AF130" i="86"/>
  <c r="AF49" i="86"/>
  <c r="S49" i="86"/>
  <c r="AC49" i="86" s="1"/>
  <c r="AK49" i="86"/>
  <c r="AF123" i="86"/>
  <c r="AK123" i="86"/>
  <c r="S123" i="86"/>
  <c r="AC123" i="86" s="1"/>
  <c r="AG120" i="86"/>
  <c r="S14" i="86"/>
  <c r="AC14" i="86" s="1"/>
  <c r="AK14" i="86"/>
  <c r="AF14" i="86"/>
  <c r="AG110" i="86"/>
  <c r="AB120" i="86"/>
  <c r="AM120" i="86" s="1"/>
  <c r="S115" i="86"/>
  <c r="AC115" i="86" s="1"/>
  <c r="AF115" i="86"/>
  <c r="AK115" i="86"/>
  <c r="AB72" i="86"/>
  <c r="AM72" i="86" s="1"/>
  <c r="S37" i="86"/>
  <c r="AC37" i="86" s="1"/>
  <c r="AF37" i="86"/>
  <c r="R2" i="86"/>
  <c r="AB110" i="86"/>
  <c r="AM110" i="86" s="1"/>
  <c r="AF16" i="86"/>
  <c r="S16" i="86"/>
  <c r="AC16" i="86" s="1"/>
  <c r="AK47" i="86"/>
  <c r="BD10" i="86"/>
  <c r="BD11" i="86" s="1"/>
  <c r="BD12" i="86" s="1"/>
  <c r="BD13" i="86" s="1"/>
  <c r="BD14" i="86" s="1"/>
  <c r="BD15" i="86" s="1"/>
  <c r="BD16" i="86" s="1"/>
  <c r="BD17" i="86" s="1"/>
  <c r="BD18" i="86" s="1"/>
  <c r="AG91" i="86"/>
  <c r="AB126" i="86"/>
  <c r="AM126" i="86" s="1"/>
  <c r="AG86" i="86"/>
  <c r="Q2" i="86"/>
  <c r="G2" i="86" s="1"/>
  <c r="AZ13" i="86" a="1"/>
  <c r="AZ13" i="86" s="1"/>
  <c r="AY13" i="86" s="1"/>
  <c r="P2" i="86"/>
  <c r="AZ17" i="86" a="1"/>
  <c r="AZ17" i="86" s="1"/>
  <c r="AY17" i="86" s="1"/>
  <c r="AH3" i="86"/>
  <c r="E2" i="86" s="1"/>
  <c r="AZ18" i="86" a="1"/>
  <c r="AZ18" i="86" s="1"/>
  <c r="AY18" i="86" s="1"/>
  <c r="AK42" i="86"/>
  <c r="BA12" i="86"/>
  <c r="AK44" i="86"/>
  <c r="AF105" i="86"/>
  <c r="S105" i="86"/>
  <c r="AC105" i="86" s="1"/>
  <c r="AF103" i="86"/>
  <c r="S103" i="86"/>
  <c r="AC103" i="86" s="1"/>
  <c r="AF67" i="86"/>
  <c r="AK67" i="86"/>
  <c r="S67" i="86"/>
  <c r="AC67" i="86" s="1"/>
  <c r="AF114" i="86"/>
  <c r="S114" i="86"/>
  <c r="AC114" i="86" s="1"/>
  <c r="BA18" i="86"/>
  <c r="AK58" i="86"/>
  <c r="AK128" i="86"/>
  <c r="S20" i="86"/>
  <c r="AC20" i="86" s="1"/>
  <c r="AK20" i="86"/>
  <c r="AF20" i="86"/>
  <c r="AF104" i="86"/>
  <c r="S104" i="86"/>
  <c r="AC104" i="86" s="1"/>
  <c r="S30" i="86"/>
  <c r="AC30" i="86" s="1"/>
  <c r="AF30" i="86"/>
  <c r="S68" i="86"/>
  <c r="AC68" i="86" s="1"/>
  <c r="AF68" i="86"/>
  <c r="AB61" i="86"/>
  <c r="AM61" i="86" s="1"/>
  <c r="AB80" i="86"/>
  <c r="AM80" i="86" s="1"/>
  <c r="AG35" i="86" l="1"/>
  <c r="AB35" i="86"/>
  <c r="AM35" i="86" s="1"/>
  <c r="AG104" i="86"/>
  <c r="AG6" i="86"/>
  <c r="AG34" i="86"/>
  <c r="AB97" i="86"/>
  <c r="AM97" i="86" s="1"/>
  <c r="AG105" i="86"/>
  <c r="AB21" i="86"/>
  <c r="AM21" i="86" s="1"/>
  <c r="AB39" i="86"/>
  <c r="AM39" i="86" s="1"/>
  <c r="AG39" i="86"/>
  <c r="AB75" i="86"/>
  <c r="AM75" i="86" s="1"/>
  <c r="AG57" i="86"/>
  <c r="AB46" i="86"/>
  <c r="AM46" i="86" s="1"/>
  <c r="AG113" i="86"/>
  <c r="AB44" i="86"/>
  <c r="AM44" i="86" s="1"/>
  <c r="AG48" i="86"/>
  <c r="AG33" i="86"/>
  <c r="AG92" i="86"/>
  <c r="AG62" i="86"/>
  <c r="AG135" i="86"/>
  <c r="AB135" i="86"/>
  <c r="AM135" i="86" s="1"/>
  <c r="AB98" i="86"/>
  <c r="AM98" i="86" s="1"/>
  <c r="AB77" i="86"/>
  <c r="AM77" i="86" s="1"/>
  <c r="AG108" i="86"/>
  <c r="AG12" i="86"/>
  <c r="AG59" i="86"/>
  <c r="AB11" i="86"/>
  <c r="AM11" i="86" s="1"/>
  <c r="AB12" i="86"/>
  <c r="AM12" i="86" s="1"/>
  <c r="AB113" i="86"/>
  <c r="AM113" i="86" s="1"/>
  <c r="AG119" i="86"/>
  <c r="AB74" i="86"/>
  <c r="AM74" i="86" s="1"/>
  <c r="AG50" i="86"/>
  <c r="AG11" i="86"/>
  <c r="AG102" i="86"/>
  <c r="AG54" i="86"/>
  <c r="AB33" i="86"/>
  <c r="AM33" i="86" s="1"/>
  <c r="AB40" i="86"/>
  <c r="AM40" i="86" s="1"/>
  <c r="AG32" i="86"/>
  <c r="AG26" i="86"/>
  <c r="AB36" i="86"/>
  <c r="AM36" i="86" s="1"/>
  <c r="AY9" i="86"/>
  <c r="AB71" i="86"/>
  <c r="AM71" i="86" s="1"/>
  <c r="AB70" i="86"/>
  <c r="AM70" i="86" s="1"/>
  <c r="AG67" i="86"/>
  <c r="AB119" i="86"/>
  <c r="AM119" i="86" s="1"/>
  <c r="AG51" i="86"/>
  <c r="AB59" i="86"/>
  <c r="AM59" i="86" s="1"/>
  <c r="AB65" i="86"/>
  <c r="AM65" i="86" s="1"/>
  <c r="AG99" i="86"/>
  <c r="AG134" i="86"/>
  <c r="BA9" i="86"/>
  <c r="BA7" i="86" s="1"/>
  <c r="AB102" i="86"/>
  <c r="AM102" i="86" s="1"/>
  <c r="AB132" i="86"/>
  <c r="AM132" i="86" s="1"/>
  <c r="AG36" i="86"/>
  <c r="AG52" i="86"/>
  <c r="AG132" i="86"/>
  <c r="AG76" i="86"/>
  <c r="AG130" i="86"/>
  <c r="AG18" i="86"/>
  <c r="AB25" i="86"/>
  <c r="AM25" i="86" s="1"/>
  <c r="AG40" i="86"/>
  <c r="AG131" i="86"/>
  <c r="AG116" i="86"/>
  <c r="AB64" i="86"/>
  <c r="AM64" i="86" s="1"/>
  <c r="AB13" i="86"/>
  <c r="AM13" i="86" s="1"/>
  <c r="AB103" i="86"/>
  <c r="AM103" i="86" s="1"/>
  <c r="AG41" i="86"/>
  <c r="AB23" i="86"/>
  <c r="AM23" i="86" s="1"/>
  <c r="AG109" i="86"/>
  <c r="AG114" i="86"/>
  <c r="AG129" i="86"/>
  <c r="AB134" i="86"/>
  <c r="AM134" i="86" s="1"/>
  <c r="AB49" i="86"/>
  <c r="AM49" i="86" s="1"/>
  <c r="AG78" i="86"/>
  <c r="AG24" i="86"/>
  <c r="AG55" i="86"/>
  <c r="AB57" i="86"/>
  <c r="AM57" i="86" s="1"/>
  <c r="AB52" i="86"/>
  <c r="AM52" i="86" s="1"/>
  <c r="AB55" i="86"/>
  <c r="AM55" i="86" s="1"/>
  <c r="AB20" i="86"/>
  <c r="AM20" i="86" s="1"/>
  <c r="AB128" i="86"/>
  <c r="AM128" i="86" s="1"/>
  <c r="AB101" i="86"/>
  <c r="AM101" i="86" s="1"/>
  <c r="AG44" i="86"/>
  <c r="AG19" i="86"/>
  <c r="AG23" i="86"/>
  <c r="AG15" i="86"/>
  <c r="AG64" i="86"/>
  <c r="AB16" i="86"/>
  <c r="AM16" i="86" s="1"/>
  <c r="AG136" i="86"/>
  <c r="BB7" i="86"/>
  <c r="BC29" i="86" s="1"/>
  <c r="AG38" i="86"/>
  <c r="AB26" i="86"/>
  <c r="AM26" i="86" s="1"/>
  <c r="AG8" i="86"/>
  <c r="AB60" i="86"/>
  <c r="AM60" i="86" s="1"/>
  <c r="AB53" i="86"/>
  <c r="AM53" i="86" s="1"/>
  <c r="AB106" i="86"/>
  <c r="AM106" i="86" s="1"/>
  <c r="AG103" i="86"/>
  <c r="AG79" i="86"/>
  <c r="AB58" i="86"/>
  <c r="AM58" i="86" s="1"/>
  <c r="AB99" i="86"/>
  <c r="AM99" i="86" s="1"/>
  <c r="AB131" i="86"/>
  <c r="AM131" i="86" s="1"/>
  <c r="AG106" i="86"/>
  <c r="AG123" i="86"/>
  <c r="AG83" i="86"/>
  <c r="AG68" i="86"/>
  <c r="AG29" i="86"/>
  <c r="AG47" i="86"/>
  <c r="AB76" i="86"/>
  <c r="AM76" i="86" s="1"/>
  <c r="AB18" i="86"/>
  <c r="AM18" i="86" s="1"/>
  <c r="AB78" i="86"/>
  <c r="AM78" i="86" s="1"/>
  <c r="AB17" i="86"/>
  <c r="AM17" i="86" s="1"/>
  <c r="AB96" i="86"/>
  <c r="AM96" i="86" s="1"/>
  <c r="AG122" i="86"/>
  <c r="AB51" i="86"/>
  <c r="AM51" i="86" s="1"/>
  <c r="AG127" i="86"/>
  <c r="AB8" i="86"/>
  <c r="AM8" i="86" s="1"/>
  <c r="AG101" i="86"/>
  <c r="AB50" i="86"/>
  <c r="AM50" i="86" s="1"/>
  <c r="AB54" i="86"/>
  <c r="AM54" i="86" s="1"/>
  <c r="AG118" i="86"/>
  <c r="AB127" i="86"/>
  <c r="AM127" i="86" s="1"/>
  <c r="AG30" i="86"/>
  <c r="AG63" i="86"/>
  <c r="AG17" i="86"/>
  <c r="AG93" i="86"/>
  <c r="AG60" i="86"/>
  <c r="AG71" i="86"/>
  <c r="AG70" i="86"/>
  <c r="AB118" i="86"/>
  <c r="AM118" i="86" s="1"/>
  <c r="AB30" i="86"/>
  <c r="AM30" i="86" s="1"/>
  <c r="AB114" i="86"/>
  <c r="AM114" i="86" s="1"/>
  <c r="AG49" i="86"/>
  <c r="AB7" i="86"/>
  <c r="AM7" i="86" s="1"/>
  <c r="AB63" i="86"/>
  <c r="AM63" i="86" s="1"/>
  <c r="AB93" i="86"/>
  <c r="AM93" i="86" s="1"/>
  <c r="AG25" i="86"/>
  <c r="AG96" i="86"/>
  <c r="AG53" i="86"/>
  <c r="AB68" i="86"/>
  <c r="AM68" i="86" s="1"/>
  <c r="AB130" i="86"/>
  <c r="AM130" i="86" s="1"/>
  <c r="AB116" i="86"/>
  <c r="AM116" i="86" s="1"/>
  <c r="AG74" i="86"/>
  <c r="AG42" i="86"/>
  <c r="AB41" i="86"/>
  <c r="AM41" i="86" s="1"/>
  <c r="AG65" i="86"/>
  <c r="AB100" i="86"/>
  <c r="AM100" i="86" s="1"/>
  <c r="AB32" i="86"/>
  <c r="AM32" i="86" s="1"/>
  <c r="AB94" i="86"/>
  <c r="AM94" i="86" s="1"/>
  <c r="AB37" i="86"/>
  <c r="AM37" i="86" s="1"/>
  <c r="AG115" i="86"/>
  <c r="AB123" i="86"/>
  <c r="AM123" i="86" s="1"/>
  <c r="AK3" i="86"/>
  <c r="AG100" i="86"/>
  <c r="AB43" i="86"/>
  <c r="AM43" i="86" s="1"/>
  <c r="AG56" i="86"/>
  <c r="AB15" i="86"/>
  <c r="AM15" i="86" s="1"/>
  <c r="AB104" i="86"/>
  <c r="AM104" i="86" s="1"/>
  <c r="AG37" i="86"/>
  <c r="AG14" i="86"/>
  <c r="AB105" i="86"/>
  <c r="AM105" i="86" s="1"/>
  <c r="AB14" i="86"/>
  <c r="AM14" i="86" s="1"/>
  <c r="AB79" i="86"/>
  <c r="AM79" i="86" s="1"/>
  <c r="AB92" i="86"/>
  <c r="AM92" i="86" s="1"/>
  <c r="AB34" i="86"/>
  <c r="AM34" i="86" s="1"/>
  <c r="AB129" i="86"/>
  <c r="AM129" i="86" s="1"/>
  <c r="AB136" i="86"/>
  <c r="AM136" i="86" s="1"/>
  <c r="AZ7" i="86"/>
  <c r="AB62" i="86"/>
  <c r="AM62" i="86" s="1"/>
  <c r="AB48" i="86"/>
  <c r="AM48" i="86" s="1"/>
  <c r="AG133" i="86"/>
  <c r="AG43" i="86"/>
  <c r="AB56" i="86"/>
  <c r="AM56" i="86" s="1"/>
  <c r="AB19" i="86"/>
  <c r="AM19" i="86" s="1"/>
  <c r="AB109" i="86"/>
  <c r="AM109" i="86" s="1"/>
  <c r="AG7" i="86"/>
  <c r="AG94" i="86"/>
  <c r="AB108" i="86"/>
  <c r="AM108" i="86" s="1"/>
  <c r="AB67" i="86"/>
  <c r="AM67" i="86" s="1"/>
  <c r="AG20" i="86"/>
  <c r="AB29" i="86"/>
  <c r="AM29" i="86" s="1"/>
  <c r="AB133" i="86"/>
  <c r="AM133" i="86" s="1"/>
  <c r="AG128" i="86"/>
  <c r="AB24" i="86"/>
  <c r="AM24" i="86" s="1"/>
  <c r="AB47" i="86"/>
  <c r="AM47" i="86" s="1"/>
  <c r="AB111" i="86"/>
  <c r="AM111" i="86" s="1"/>
  <c r="AG58" i="86"/>
  <c r="AB31" i="86"/>
  <c r="AM31" i="86" s="1"/>
  <c r="AM6" i="86"/>
  <c r="AB38" i="86"/>
  <c r="AM38" i="86" s="1"/>
  <c r="AG13" i="86"/>
  <c r="AG16" i="86"/>
  <c r="AB115" i="86"/>
  <c r="AM115" i="86" s="1"/>
  <c r="AB122" i="86"/>
  <c r="AM122" i="86" s="1"/>
  <c r="AB42" i="86"/>
  <c r="AM42" i="86" s="1"/>
  <c r="AG31" i="86"/>
  <c r="AG111" i="86"/>
  <c r="AB83" i="86"/>
  <c r="AM83" i="86" s="1"/>
  <c r="BC34" i="86" l="1"/>
  <c r="BC37" i="86" s="1"/>
  <c r="BC42" i="86" s="1"/>
  <c r="BC9" i="86"/>
  <c r="BC10" i="86" s="1"/>
  <c r="BC11" i="86" s="1"/>
  <c r="BC12" i="86" s="1"/>
  <c r="BC13" i="86" s="1"/>
  <c r="BC14" i="86" s="1"/>
  <c r="BC15" i="86" s="1"/>
  <c r="BC16" i="86" s="1"/>
  <c r="BC17" i="86" s="1"/>
  <c r="BC18" i="86" s="1"/>
  <c r="AG2" i="86"/>
  <c r="AM3" i="86"/>
  <c r="G1" i="86" s="1"/>
  <c r="BC30" i="85" l="1"/>
  <c r="BB12" i="85"/>
  <c r="BC33" i="84"/>
  <c r="AN128" i="85" l="1"/>
  <c r="E128" i="85"/>
  <c r="AN127" i="85"/>
  <c r="E127" i="85"/>
  <c r="AN126" i="85"/>
  <c r="M126" i="85" s="1"/>
  <c r="N126" i="85" s="1"/>
  <c r="AE126" i="85"/>
  <c r="AA126" i="85"/>
  <c r="U126" i="85"/>
  <c r="K126" i="85"/>
  <c r="E126" i="85"/>
  <c r="AN125" i="85"/>
  <c r="M125" i="85" s="1"/>
  <c r="Z125" i="85"/>
  <c r="Y125" i="85"/>
  <c r="U125" i="85"/>
  <c r="AJ125" i="85" s="1"/>
  <c r="K125" i="85"/>
  <c r="E125" i="85"/>
  <c r="AN124" i="85"/>
  <c r="E124" i="85"/>
  <c r="AN123" i="85"/>
  <c r="E123" i="85"/>
  <c r="AN122" i="85"/>
  <c r="E122" i="85"/>
  <c r="AN121" i="85"/>
  <c r="E121" i="85"/>
  <c r="AN120" i="85"/>
  <c r="E120" i="85"/>
  <c r="AN119" i="85"/>
  <c r="M119" i="85" s="1"/>
  <c r="N119" i="85" s="1"/>
  <c r="O119" i="85" s="1"/>
  <c r="AE119" i="85"/>
  <c r="AA119" i="85"/>
  <c r="U119" i="85"/>
  <c r="K119" i="85"/>
  <c r="E119" i="85"/>
  <c r="AN118" i="85"/>
  <c r="M118" i="85" s="1"/>
  <c r="AE118" i="85"/>
  <c r="AA118" i="85"/>
  <c r="U118" i="85"/>
  <c r="AD118" i="85" s="1"/>
  <c r="K118" i="85"/>
  <c r="E118" i="85"/>
  <c r="AN117" i="85"/>
  <c r="M117" i="85" s="1"/>
  <c r="N117" i="85" s="1"/>
  <c r="O117" i="85" s="1"/>
  <c r="AE117" i="85"/>
  <c r="AA117" i="85"/>
  <c r="U117" i="85"/>
  <c r="K117" i="85"/>
  <c r="AI117" i="85" s="1"/>
  <c r="E117" i="85"/>
  <c r="AN116" i="85"/>
  <c r="M116" i="85" s="1"/>
  <c r="AE116" i="85"/>
  <c r="AA116" i="85"/>
  <c r="U116" i="85"/>
  <c r="AJ116" i="85" s="1"/>
  <c r="K116" i="85"/>
  <c r="E116" i="85"/>
  <c r="AN115" i="85"/>
  <c r="M115" i="85" s="1"/>
  <c r="AE115" i="85"/>
  <c r="AA115" i="85"/>
  <c r="U115" i="85"/>
  <c r="K115" i="85"/>
  <c r="E115" i="85"/>
  <c r="AN114" i="85"/>
  <c r="M114" i="85" s="1"/>
  <c r="N114" i="85" s="1"/>
  <c r="AE114" i="85"/>
  <c r="AA114" i="85"/>
  <c r="U114" i="85"/>
  <c r="AJ114" i="85" s="1"/>
  <c r="K114" i="85"/>
  <c r="E114" i="85"/>
  <c r="AN113" i="85"/>
  <c r="M113" i="85" s="1"/>
  <c r="AE113" i="85"/>
  <c r="AA113" i="85"/>
  <c r="U113" i="85"/>
  <c r="AD113" i="85" s="1"/>
  <c r="K113" i="85"/>
  <c r="AI113" i="85" s="1"/>
  <c r="E113" i="85"/>
  <c r="AN112" i="85"/>
  <c r="M112" i="85" s="1"/>
  <c r="AE112" i="85"/>
  <c r="AA112" i="85"/>
  <c r="U112" i="85"/>
  <c r="AJ112" i="85" s="1"/>
  <c r="K112" i="85"/>
  <c r="AI112" i="85" s="1"/>
  <c r="E112" i="85"/>
  <c r="AN111" i="85"/>
  <c r="M111" i="85" s="1"/>
  <c r="AE111" i="85"/>
  <c r="AA111" i="85"/>
  <c r="U111" i="85"/>
  <c r="AD111" i="85" s="1"/>
  <c r="K111" i="85"/>
  <c r="AI111" i="85" s="1"/>
  <c r="E111" i="85"/>
  <c r="AN110" i="85"/>
  <c r="M110" i="85" s="1"/>
  <c r="AE110" i="85"/>
  <c r="AA110" i="85"/>
  <c r="U110" i="85"/>
  <c r="AD110" i="85" s="1"/>
  <c r="K110" i="85"/>
  <c r="E110" i="85"/>
  <c r="AN109" i="85"/>
  <c r="M109" i="85" s="1"/>
  <c r="AE109" i="85"/>
  <c r="AA109" i="85"/>
  <c r="U109" i="85"/>
  <c r="AJ109" i="85" s="1"/>
  <c r="K109" i="85"/>
  <c r="AH109" i="85" s="1"/>
  <c r="E109" i="85"/>
  <c r="AN108" i="85"/>
  <c r="M108" i="85" s="1"/>
  <c r="AE108" i="85"/>
  <c r="AA108" i="85"/>
  <c r="U108" i="85"/>
  <c r="K108" i="85"/>
  <c r="E108" i="85"/>
  <c r="AN107" i="85"/>
  <c r="M107" i="85" s="1"/>
  <c r="N107" i="85" s="1"/>
  <c r="AE107" i="85"/>
  <c r="AA107" i="85"/>
  <c r="U107" i="85"/>
  <c r="S107" i="85"/>
  <c r="AC107" i="85" s="1"/>
  <c r="K107" i="85"/>
  <c r="AI107" i="85" s="1"/>
  <c r="E107" i="85"/>
  <c r="AN106" i="85"/>
  <c r="M106" i="85" s="1"/>
  <c r="O106" i="85" s="1"/>
  <c r="AE106" i="85"/>
  <c r="AA106" i="85"/>
  <c r="U106" i="85"/>
  <c r="AJ106" i="85" s="1"/>
  <c r="K106" i="85"/>
  <c r="AH106" i="85" s="1"/>
  <c r="E106" i="85"/>
  <c r="AN105" i="85"/>
  <c r="M105" i="85" s="1"/>
  <c r="AE105" i="85"/>
  <c r="AA105" i="85"/>
  <c r="U105" i="85"/>
  <c r="K105" i="85"/>
  <c r="E105" i="85"/>
  <c r="AN104" i="85"/>
  <c r="M104" i="85" s="1"/>
  <c r="N104" i="85" s="1"/>
  <c r="AE104" i="85"/>
  <c r="AA104" i="85"/>
  <c r="U104" i="85"/>
  <c r="AD104" i="85" s="1"/>
  <c r="S104" i="85"/>
  <c r="AC104" i="85" s="1"/>
  <c r="K104" i="85"/>
  <c r="AK104" i="85" s="1"/>
  <c r="E104" i="85"/>
  <c r="AN103" i="85"/>
  <c r="AC103" i="85"/>
  <c r="Y103" i="85"/>
  <c r="AE103" i="85" s="1"/>
  <c r="U103" i="85"/>
  <c r="AD103" i="85" s="1"/>
  <c r="N103" i="85"/>
  <c r="O103" i="85" s="1"/>
  <c r="K103" i="85"/>
  <c r="AI103" i="85" s="1"/>
  <c r="E103" i="85"/>
  <c r="AN102" i="85"/>
  <c r="M102" i="85" s="1"/>
  <c r="AE102" i="85"/>
  <c r="AA102" i="85"/>
  <c r="U102" i="85"/>
  <c r="AD102" i="85" s="1"/>
  <c r="K102" i="85"/>
  <c r="E102" i="85"/>
  <c r="AN101" i="85"/>
  <c r="M101" i="85" s="1"/>
  <c r="N101" i="85" s="1"/>
  <c r="O101" i="85" s="1"/>
  <c r="AE101" i="85"/>
  <c r="AA101" i="85"/>
  <c r="U101" i="85"/>
  <c r="K101" i="85"/>
  <c r="E101" i="85"/>
  <c r="AN100" i="85"/>
  <c r="M100" i="85" s="1"/>
  <c r="N100" i="85" s="1"/>
  <c r="O100" i="85" s="1"/>
  <c r="AE100" i="85"/>
  <c r="AA100" i="85"/>
  <c r="U100" i="85"/>
  <c r="AJ100" i="85" s="1"/>
  <c r="K100" i="85"/>
  <c r="AI100" i="85" s="1"/>
  <c r="E100" i="85"/>
  <c r="AN99" i="85"/>
  <c r="M99" i="85" s="1"/>
  <c r="Z99" i="85"/>
  <c r="Y99" i="85"/>
  <c r="U99" i="85"/>
  <c r="K99" i="85"/>
  <c r="E99" i="85"/>
  <c r="AN98" i="85"/>
  <c r="M98" i="85" s="1"/>
  <c r="Z98" i="85"/>
  <c r="Y98" i="85"/>
  <c r="U98" i="85"/>
  <c r="K98" i="85"/>
  <c r="AI98" i="85" s="1"/>
  <c r="E98" i="85"/>
  <c r="AN97" i="85"/>
  <c r="M97" i="85" s="1"/>
  <c r="N97" i="85" s="1"/>
  <c r="Z97" i="85"/>
  <c r="Y97" i="85"/>
  <c r="U97" i="85"/>
  <c r="K97" i="85"/>
  <c r="E97" i="85"/>
  <c r="AN96" i="85"/>
  <c r="M96" i="85" s="1"/>
  <c r="O96" i="85" s="1"/>
  <c r="AE96" i="85"/>
  <c r="AA96" i="85"/>
  <c r="U96" i="85"/>
  <c r="K96" i="85"/>
  <c r="E96" i="85"/>
  <c r="AN95" i="85"/>
  <c r="M95" i="85" s="1"/>
  <c r="N95" i="85" s="1"/>
  <c r="Z95" i="85"/>
  <c r="Y95" i="85"/>
  <c r="U95" i="85"/>
  <c r="AD95" i="85" s="1"/>
  <c r="K95" i="85"/>
  <c r="E95" i="85"/>
  <c r="AN94" i="85"/>
  <c r="M94" i="85" s="1"/>
  <c r="N94" i="85" s="1"/>
  <c r="Z94" i="85"/>
  <c r="Y94" i="85"/>
  <c r="U94" i="85"/>
  <c r="AJ94" i="85" s="1"/>
  <c r="K94" i="85"/>
  <c r="AH94" i="85" s="1"/>
  <c r="E94" i="85"/>
  <c r="AN93" i="85"/>
  <c r="M93" i="85" s="1"/>
  <c r="Z93" i="85"/>
  <c r="Y93" i="85"/>
  <c r="U93" i="85"/>
  <c r="AJ93" i="85" s="1"/>
  <c r="K93" i="85"/>
  <c r="E93" i="85"/>
  <c r="AN92" i="85"/>
  <c r="M92" i="85" s="1"/>
  <c r="Z92" i="85"/>
  <c r="Y92" i="85"/>
  <c r="U92" i="85"/>
  <c r="AJ92" i="85" s="1"/>
  <c r="K92" i="85"/>
  <c r="AH92" i="85" s="1"/>
  <c r="E92" i="85"/>
  <c r="AN91" i="85"/>
  <c r="M91" i="85" s="1"/>
  <c r="O91" i="85" s="1"/>
  <c r="S91" i="85" s="1"/>
  <c r="AC91" i="85" s="1"/>
  <c r="AE91" i="85"/>
  <c r="AA91" i="85"/>
  <c r="U91" i="85"/>
  <c r="AD91" i="85" s="1"/>
  <c r="K91" i="85"/>
  <c r="AI91" i="85" s="1"/>
  <c r="E91" i="85"/>
  <c r="AN90" i="85"/>
  <c r="M90" i="85" s="1"/>
  <c r="AE90" i="85"/>
  <c r="AA90" i="85"/>
  <c r="U90" i="85"/>
  <c r="K90" i="85"/>
  <c r="E90" i="85"/>
  <c r="AN89" i="85"/>
  <c r="M89" i="85" s="1"/>
  <c r="N89" i="85" s="1"/>
  <c r="AE89" i="85"/>
  <c r="AA89" i="85"/>
  <c r="U89" i="85"/>
  <c r="AJ89" i="85" s="1"/>
  <c r="K89" i="85"/>
  <c r="E89" i="85"/>
  <c r="AN88" i="85"/>
  <c r="M88" i="85" s="1"/>
  <c r="N88" i="85" s="1"/>
  <c r="Z88" i="85"/>
  <c r="U88" i="85"/>
  <c r="K88" i="85"/>
  <c r="E88" i="85"/>
  <c r="AN87" i="85"/>
  <c r="M87" i="85" s="1"/>
  <c r="AE87" i="85"/>
  <c r="AA87" i="85"/>
  <c r="U87" i="85"/>
  <c r="K87" i="85"/>
  <c r="E87" i="85"/>
  <c r="AN86" i="85"/>
  <c r="M86" i="85" s="1"/>
  <c r="AE86" i="85"/>
  <c r="AA86" i="85"/>
  <c r="U86" i="85"/>
  <c r="K86" i="85"/>
  <c r="E86" i="85"/>
  <c r="AN85" i="85"/>
  <c r="M85" i="85" s="1"/>
  <c r="AE85" i="85"/>
  <c r="AA85" i="85"/>
  <c r="U85" i="85"/>
  <c r="AD85" i="85" s="1"/>
  <c r="K85" i="85"/>
  <c r="E85" i="85"/>
  <c r="AN84" i="85"/>
  <c r="M84" i="85" s="1"/>
  <c r="O84" i="85" s="1"/>
  <c r="AC84" i="85"/>
  <c r="Z84" i="85"/>
  <c r="Y84" i="85"/>
  <c r="U84" i="85"/>
  <c r="AD84" i="85" s="1"/>
  <c r="K84" i="85"/>
  <c r="E84" i="85"/>
  <c r="AN83" i="85"/>
  <c r="M83" i="85" s="1"/>
  <c r="O83" i="85" s="1"/>
  <c r="AC83" i="85"/>
  <c r="Z83" i="85"/>
  <c r="Y83" i="85"/>
  <c r="U83" i="85"/>
  <c r="K83" i="85"/>
  <c r="E83" i="85"/>
  <c r="AN82" i="85"/>
  <c r="M82" i="85" s="1"/>
  <c r="N82" i="85" s="1"/>
  <c r="AC82" i="85"/>
  <c r="Z82" i="85"/>
  <c r="Y82" i="85"/>
  <c r="U82" i="85"/>
  <c r="K82" i="85"/>
  <c r="AH82" i="85" s="1"/>
  <c r="E82" i="85"/>
  <c r="AN81" i="85"/>
  <c r="M81" i="85" s="1"/>
  <c r="N81" i="85" s="1"/>
  <c r="O81" i="85" s="1"/>
  <c r="AC81" i="85"/>
  <c r="Z81" i="85"/>
  <c r="Y81" i="85"/>
  <c r="U81" i="85"/>
  <c r="K81" i="85"/>
  <c r="E81" i="85"/>
  <c r="AN80" i="85"/>
  <c r="M80" i="85" s="1"/>
  <c r="N80" i="85" s="1"/>
  <c r="AC80" i="85"/>
  <c r="Z80" i="85"/>
  <c r="Y80" i="85"/>
  <c r="U80" i="85"/>
  <c r="K80" i="85"/>
  <c r="E80" i="85"/>
  <c r="AN79" i="85"/>
  <c r="M79" i="85" s="1"/>
  <c r="O79" i="85" s="1"/>
  <c r="AC79" i="85"/>
  <c r="Z79" i="85"/>
  <c r="Y79" i="85"/>
  <c r="U79" i="85"/>
  <c r="AD79" i="85" s="1"/>
  <c r="K79" i="85"/>
  <c r="E79" i="85"/>
  <c r="AN78" i="85"/>
  <c r="M78" i="85" s="1"/>
  <c r="AC78" i="85"/>
  <c r="Z78" i="85"/>
  <c r="Y78" i="85"/>
  <c r="U78" i="85"/>
  <c r="K78" i="85"/>
  <c r="E78" i="85"/>
  <c r="AN77" i="85"/>
  <c r="M77" i="85" s="1"/>
  <c r="O77" i="85" s="1"/>
  <c r="AC77" i="85"/>
  <c r="Z77" i="85"/>
  <c r="Y77" i="85"/>
  <c r="U77" i="85"/>
  <c r="K77" i="85"/>
  <c r="AI77" i="85" s="1"/>
  <c r="E77" i="85"/>
  <c r="AN76" i="85"/>
  <c r="M76" i="85" s="1"/>
  <c r="Z76" i="85"/>
  <c r="Y76" i="85"/>
  <c r="U76" i="85"/>
  <c r="K76" i="85"/>
  <c r="E76" i="85"/>
  <c r="AN75" i="85"/>
  <c r="M75" i="85" s="1"/>
  <c r="N75" i="85" s="1"/>
  <c r="Z75" i="85"/>
  <c r="Y75" i="85"/>
  <c r="U75" i="85"/>
  <c r="AJ75" i="85" s="1"/>
  <c r="K75" i="85"/>
  <c r="AI75" i="85" s="1"/>
  <c r="E75" i="85"/>
  <c r="AN74" i="85"/>
  <c r="M74" i="85" s="1"/>
  <c r="Z74" i="85"/>
  <c r="Y74" i="85"/>
  <c r="U74" i="85"/>
  <c r="K74" i="85"/>
  <c r="E74" i="85"/>
  <c r="AN73" i="85"/>
  <c r="M73" i="85" s="1"/>
  <c r="O73" i="85" s="1"/>
  <c r="Z73" i="85"/>
  <c r="AE73" i="85" s="1"/>
  <c r="U73" i="85"/>
  <c r="K73" i="85"/>
  <c r="E73" i="85"/>
  <c r="AN72" i="85"/>
  <c r="M72" i="85" s="1"/>
  <c r="Z72" i="85"/>
  <c r="Y72" i="85"/>
  <c r="U72" i="85"/>
  <c r="K72" i="85"/>
  <c r="E72" i="85"/>
  <c r="AN71" i="85"/>
  <c r="M71" i="85" s="1"/>
  <c r="Z71" i="85"/>
  <c r="Y71" i="85"/>
  <c r="U71" i="85"/>
  <c r="AJ71" i="85" s="1"/>
  <c r="K71" i="85"/>
  <c r="AI71" i="85" s="1"/>
  <c r="E71" i="85"/>
  <c r="AN70" i="85"/>
  <c r="M70" i="85" s="1"/>
  <c r="Z70" i="85"/>
  <c r="Y70" i="85"/>
  <c r="U70" i="85"/>
  <c r="K70" i="85"/>
  <c r="AH70" i="85" s="1"/>
  <c r="E70" i="85"/>
  <c r="AN69" i="85"/>
  <c r="M69" i="85" s="1"/>
  <c r="Z69" i="85"/>
  <c r="Y69" i="85"/>
  <c r="U69" i="85"/>
  <c r="K69" i="85"/>
  <c r="AH69" i="85" s="1"/>
  <c r="E69" i="85"/>
  <c r="AN68" i="85"/>
  <c r="M68" i="85" s="1"/>
  <c r="N68" i="85" s="1"/>
  <c r="O68" i="85" s="1"/>
  <c r="Z68" i="85"/>
  <c r="Y68" i="85"/>
  <c r="U68" i="85"/>
  <c r="K68" i="85"/>
  <c r="AI68" i="85" s="1"/>
  <c r="E68" i="85"/>
  <c r="AN67" i="85"/>
  <c r="M67" i="85" s="1"/>
  <c r="Z67" i="85"/>
  <c r="Y67" i="85"/>
  <c r="U67" i="85"/>
  <c r="K67" i="85"/>
  <c r="E67" i="85"/>
  <c r="AN66" i="85"/>
  <c r="M66" i="85" s="1"/>
  <c r="O66" i="85" s="1"/>
  <c r="S66" i="85" s="1"/>
  <c r="AC66" i="85" s="1"/>
  <c r="Z66" i="85"/>
  <c r="Y66" i="85"/>
  <c r="U66" i="85"/>
  <c r="K66" i="85"/>
  <c r="E66" i="85"/>
  <c r="AN65" i="85"/>
  <c r="M65" i="85" s="1"/>
  <c r="O65" i="85" s="1"/>
  <c r="Z65" i="85"/>
  <c r="Y65" i="85"/>
  <c r="U65" i="85"/>
  <c r="K65" i="85"/>
  <c r="E65" i="85"/>
  <c r="AN64" i="85"/>
  <c r="M64" i="85" s="1"/>
  <c r="O64" i="85" s="1"/>
  <c r="S64" i="85" s="1"/>
  <c r="AC64" i="85" s="1"/>
  <c r="Z64" i="85"/>
  <c r="Y64" i="85"/>
  <c r="U64" i="85"/>
  <c r="K64" i="85"/>
  <c r="AI64" i="85" s="1"/>
  <c r="E64" i="85"/>
  <c r="AN63" i="85"/>
  <c r="M63" i="85" s="1"/>
  <c r="N63" i="85" s="1"/>
  <c r="Z63" i="85"/>
  <c r="Y63" i="85"/>
  <c r="U63" i="85"/>
  <c r="AJ63" i="85" s="1"/>
  <c r="K63" i="85"/>
  <c r="E63" i="85"/>
  <c r="AN62" i="85"/>
  <c r="M62" i="85" s="1"/>
  <c r="Z62" i="85"/>
  <c r="Y62" i="85"/>
  <c r="U62" i="85"/>
  <c r="AD62" i="85" s="1"/>
  <c r="K62" i="85"/>
  <c r="E62" i="85"/>
  <c r="AN61" i="85"/>
  <c r="M61" i="85" s="1"/>
  <c r="O61" i="85" s="1"/>
  <c r="S61" i="85" s="1"/>
  <c r="AC61" i="85" s="1"/>
  <c r="Z61" i="85"/>
  <c r="AE61" i="85" s="1"/>
  <c r="U61" i="85"/>
  <c r="AJ61" i="85" s="1"/>
  <c r="K61" i="85"/>
  <c r="AI61" i="85" s="1"/>
  <c r="E61" i="85"/>
  <c r="AN60" i="85"/>
  <c r="M60" i="85" s="1"/>
  <c r="AE60" i="85"/>
  <c r="AA60" i="85"/>
  <c r="U60" i="85"/>
  <c r="AJ60" i="85" s="1"/>
  <c r="K60" i="85"/>
  <c r="E60" i="85"/>
  <c r="AN59" i="85"/>
  <c r="M59" i="85" s="1"/>
  <c r="N59" i="85" s="1"/>
  <c r="Z59" i="85"/>
  <c r="AA59" i="85" s="1"/>
  <c r="U59" i="85"/>
  <c r="AD59" i="85" s="1"/>
  <c r="S59" i="85"/>
  <c r="AC59" i="85" s="1"/>
  <c r="K59" i="85"/>
  <c r="E59" i="85"/>
  <c r="AN58" i="85"/>
  <c r="M58" i="85" s="1"/>
  <c r="N58" i="85" s="1"/>
  <c r="AE58" i="85"/>
  <c r="AA58" i="85"/>
  <c r="U58" i="85"/>
  <c r="K58" i="85"/>
  <c r="E58" i="85"/>
  <c r="AN57" i="85"/>
  <c r="M57" i="85" s="1"/>
  <c r="AE57" i="85"/>
  <c r="AA57" i="85"/>
  <c r="U57" i="85"/>
  <c r="K57" i="85"/>
  <c r="E57" i="85"/>
  <c r="AN56" i="85"/>
  <c r="M56" i="85" s="1"/>
  <c r="N56" i="85" s="1"/>
  <c r="O56" i="85" s="1"/>
  <c r="AE56" i="85"/>
  <c r="AA56" i="85"/>
  <c r="U56" i="85"/>
  <c r="AJ56" i="85" s="1"/>
  <c r="K56" i="85"/>
  <c r="E56" i="85"/>
  <c r="AN55" i="85"/>
  <c r="M55" i="85" s="1"/>
  <c r="AE55" i="85"/>
  <c r="AA55" i="85"/>
  <c r="U55" i="85"/>
  <c r="K55" i="85"/>
  <c r="E55" i="85"/>
  <c r="AN54" i="85"/>
  <c r="M54" i="85" s="1"/>
  <c r="Z54" i="85"/>
  <c r="Y54" i="85"/>
  <c r="U54" i="85"/>
  <c r="AD54" i="85" s="1"/>
  <c r="K54" i="85"/>
  <c r="AH54" i="85" s="1"/>
  <c r="E54" i="85"/>
  <c r="AN53" i="85"/>
  <c r="M53" i="85" s="1"/>
  <c r="Z53" i="85"/>
  <c r="Y53" i="85"/>
  <c r="U53" i="85"/>
  <c r="AJ53" i="85" s="1"/>
  <c r="K53" i="85"/>
  <c r="AH53" i="85" s="1"/>
  <c r="E53" i="85"/>
  <c r="AN52" i="85"/>
  <c r="M52" i="85" s="1"/>
  <c r="Z52" i="85"/>
  <c r="Y52" i="85"/>
  <c r="U52" i="85"/>
  <c r="AJ52" i="85" s="1"/>
  <c r="K52" i="85"/>
  <c r="E52" i="85"/>
  <c r="AN51" i="85"/>
  <c r="M51" i="85" s="1"/>
  <c r="N51" i="85" s="1"/>
  <c r="O51" i="85" s="1"/>
  <c r="Z51" i="85"/>
  <c r="Y51" i="85"/>
  <c r="U51" i="85"/>
  <c r="K51" i="85"/>
  <c r="AI51" i="85" s="1"/>
  <c r="E51" i="85"/>
  <c r="AN50" i="85"/>
  <c r="M50" i="85" s="1"/>
  <c r="Z50" i="85"/>
  <c r="Y50" i="85"/>
  <c r="U50" i="85"/>
  <c r="AJ50" i="85" s="1"/>
  <c r="K50" i="85"/>
  <c r="E50" i="85"/>
  <c r="AN49" i="85"/>
  <c r="M49" i="85" s="1"/>
  <c r="Z49" i="85"/>
  <c r="Y49" i="85"/>
  <c r="U49" i="85"/>
  <c r="AD49" i="85" s="1"/>
  <c r="K49" i="85"/>
  <c r="AI49" i="85" s="1"/>
  <c r="E49" i="85"/>
  <c r="AN48" i="85"/>
  <c r="Z48" i="85"/>
  <c r="AE48" i="85" s="1"/>
  <c r="U48" i="85"/>
  <c r="AF48" i="85" s="1"/>
  <c r="S48" i="85"/>
  <c r="AC48" i="85" s="1"/>
  <c r="N48" i="85"/>
  <c r="K48" i="85"/>
  <c r="AH48" i="85" s="1"/>
  <c r="E48" i="85"/>
  <c r="AN47" i="85"/>
  <c r="M47" i="85" s="1"/>
  <c r="Z47" i="85"/>
  <c r="Y47" i="85"/>
  <c r="U47" i="85"/>
  <c r="K47" i="85"/>
  <c r="E47" i="85"/>
  <c r="AN46" i="85"/>
  <c r="M46" i="85" s="1"/>
  <c r="Z46" i="85"/>
  <c r="Y46" i="85"/>
  <c r="U46" i="85"/>
  <c r="AD46" i="85" s="1"/>
  <c r="K46" i="85"/>
  <c r="E46" i="85"/>
  <c r="AN45" i="85"/>
  <c r="M45" i="85" s="1"/>
  <c r="O45" i="85" s="1"/>
  <c r="Z45" i="85"/>
  <c r="Y45" i="85"/>
  <c r="U45" i="85"/>
  <c r="K45" i="85"/>
  <c r="E45" i="85"/>
  <c r="AN44" i="85"/>
  <c r="E44" i="85"/>
  <c r="AN43" i="85"/>
  <c r="M43" i="85" s="1"/>
  <c r="O43" i="85" s="1"/>
  <c r="AC43" i="85"/>
  <c r="Z43" i="85"/>
  <c r="Y43" i="85"/>
  <c r="U43" i="85"/>
  <c r="AJ43" i="85" s="1"/>
  <c r="K43" i="85"/>
  <c r="AI43" i="85" s="1"/>
  <c r="E43" i="85"/>
  <c r="AN42" i="85"/>
  <c r="M42" i="85" s="1"/>
  <c r="O42" i="85" s="1"/>
  <c r="AC42" i="85"/>
  <c r="Z42" i="85"/>
  <c r="Y42" i="85"/>
  <c r="U42" i="85"/>
  <c r="AD42" i="85" s="1"/>
  <c r="K42" i="85"/>
  <c r="AI42" i="85" s="1"/>
  <c r="E42" i="85"/>
  <c r="AN41" i="85"/>
  <c r="M41" i="85" s="1"/>
  <c r="N41" i="85" s="1"/>
  <c r="AC41" i="85"/>
  <c r="Z41" i="85"/>
  <c r="Y41" i="85"/>
  <c r="U41" i="85"/>
  <c r="K41" i="85"/>
  <c r="E41" i="85"/>
  <c r="AN40" i="85"/>
  <c r="M40" i="85" s="1"/>
  <c r="O40" i="85" s="1"/>
  <c r="AC40" i="85"/>
  <c r="Z40" i="85"/>
  <c r="Y40" i="85"/>
  <c r="U40" i="85"/>
  <c r="K40" i="85"/>
  <c r="E40" i="85"/>
  <c r="AN39" i="85"/>
  <c r="M39" i="85" s="1"/>
  <c r="AC39" i="85"/>
  <c r="Z39" i="85"/>
  <c r="Y39" i="85"/>
  <c r="U39" i="85"/>
  <c r="AD39" i="85" s="1"/>
  <c r="K39" i="85"/>
  <c r="E39" i="85"/>
  <c r="AN38" i="85"/>
  <c r="M38" i="85" s="1"/>
  <c r="O38" i="85" s="1"/>
  <c r="AC38" i="85"/>
  <c r="Z38" i="85"/>
  <c r="Y38" i="85"/>
  <c r="U38" i="85"/>
  <c r="K38" i="85"/>
  <c r="E38" i="85"/>
  <c r="AN37" i="85"/>
  <c r="M37" i="85" s="1"/>
  <c r="O37" i="85" s="1"/>
  <c r="AC37" i="85"/>
  <c r="Z37" i="85"/>
  <c r="Y37" i="85"/>
  <c r="U37" i="85"/>
  <c r="K37" i="85"/>
  <c r="E37" i="85"/>
  <c r="AW38" i="85"/>
  <c r="AY38" i="85" s="1"/>
  <c r="BA38" i="85" s="1"/>
  <c r="AN36" i="85"/>
  <c r="Z36" i="85"/>
  <c r="AE36" i="85" s="1"/>
  <c r="U36" i="85"/>
  <c r="AJ36" i="85" s="1"/>
  <c r="S36" i="85"/>
  <c r="AC36" i="85" s="1"/>
  <c r="N36" i="85"/>
  <c r="K36" i="85"/>
  <c r="AK36" i="85" s="1"/>
  <c r="E36" i="85"/>
  <c r="AW37" i="85"/>
  <c r="AY37" i="85" s="1"/>
  <c r="BA37" i="85" s="1"/>
  <c r="AN35" i="85"/>
  <c r="M35" i="85" s="1"/>
  <c r="N35" i="85" s="1"/>
  <c r="AE35" i="85"/>
  <c r="AA35" i="85"/>
  <c r="U35" i="85"/>
  <c r="AD35" i="85" s="1"/>
  <c r="K35" i="85"/>
  <c r="E35" i="85"/>
  <c r="AW36" i="85"/>
  <c r="AY36" i="85" s="1"/>
  <c r="BA36" i="85" s="1"/>
  <c r="AN34" i="85"/>
  <c r="E34" i="85"/>
  <c r="AW35" i="85"/>
  <c r="AY35" i="85" s="1"/>
  <c r="BA35" i="85" s="1"/>
  <c r="AN33" i="85"/>
  <c r="M33" i="85" s="1"/>
  <c r="Z33" i="85"/>
  <c r="Y33" i="85"/>
  <c r="U33" i="85"/>
  <c r="K33" i="85"/>
  <c r="AH33" i="85" s="1"/>
  <c r="E33" i="85"/>
  <c r="AW34" i="85"/>
  <c r="AY34" i="85" s="1"/>
  <c r="BA34" i="85" s="1"/>
  <c r="AN32" i="85"/>
  <c r="M32" i="85" s="1"/>
  <c r="N32" i="85" s="1"/>
  <c r="Z32" i="85"/>
  <c r="Y32" i="85"/>
  <c r="U32" i="85"/>
  <c r="K32" i="85"/>
  <c r="E32" i="85"/>
  <c r="AW33" i="85"/>
  <c r="AY33" i="85" s="1"/>
  <c r="BA33" i="85" s="1"/>
  <c r="AN31" i="85"/>
  <c r="M31" i="85" s="1"/>
  <c r="N31" i="85" s="1"/>
  <c r="Z31" i="85"/>
  <c r="Y31" i="85"/>
  <c r="U31" i="85"/>
  <c r="AD31" i="85" s="1"/>
  <c r="K31" i="85"/>
  <c r="E31" i="85"/>
  <c r="AW32" i="85"/>
  <c r="AY32" i="85" s="1"/>
  <c r="BA32" i="85" s="1"/>
  <c r="AN30" i="85"/>
  <c r="M30" i="85" s="1"/>
  <c r="AC30" i="85"/>
  <c r="Z30" i="85"/>
  <c r="AE30" i="85" s="1"/>
  <c r="U30" i="85"/>
  <c r="AJ30" i="85" s="1"/>
  <c r="K30" i="85"/>
  <c r="AH30" i="85" s="1"/>
  <c r="E30" i="85"/>
  <c r="Z29" i="85"/>
  <c r="AA29" i="85" s="1"/>
  <c r="U29" i="85"/>
  <c r="AJ29" i="85" s="1"/>
  <c r="N29" i="85"/>
  <c r="O29" i="85" s="1"/>
  <c r="S29" i="85" s="1"/>
  <c r="AC29" i="85" s="1"/>
  <c r="K29" i="85"/>
  <c r="E29" i="85"/>
  <c r="AN28" i="85"/>
  <c r="AE28" i="85"/>
  <c r="AA28" i="85"/>
  <c r="U28" i="85"/>
  <c r="AD28" i="85" s="1"/>
  <c r="O28" i="85"/>
  <c r="K28" i="85"/>
  <c r="E28" i="85"/>
  <c r="AN27" i="85"/>
  <c r="M27" i="85" s="1"/>
  <c r="O27" i="85" s="1"/>
  <c r="AE27" i="85"/>
  <c r="AA27" i="85"/>
  <c r="U27" i="85"/>
  <c r="AJ27" i="85" s="1"/>
  <c r="K27" i="85"/>
  <c r="E27" i="85"/>
  <c r="AN26" i="85"/>
  <c r="M26" i="85" s="1"/>
  <c r="N26" i="85" s="1"/>
  <c r="Z26" i="85"/>
  <c r="Y26" i="85"/>
  <c r="U26" i="85"/>
  <c r="AJ26" i="85" s="1"/>
  <c r="K26" i="85"/>
  <c r="AH26" i="85" s="1"/>
  <c r="E26" i="85"/>
  <c r="AN25" i="85"/>
  <c r="M25" i="85" s="1"/>
  <c r="AE25" i="85"/>
  <c r="AA25" i="85"/>
  <c r="U25" i="85"/>
  <c r="K25" i="85"/>
  <c r="AI25" i="85" s="1"/>
  <c r="E25" i="85"/>
  <c r="AN24" i="85"/>
  <c r="M24" i="85" s="1"/>
  <c r="AE24" i="85"/>
  <c r="AA24" i="85"/>
  <c r="U24" i="85"/>
  <c r="K24" i="85"/>
  <c r="E24" i="85"/>
  <c r="AN23" i="85"/>
  <c r="M23" i="85" s="1"/>
  <c r="AE23" i="85"/>
  <c r="AA23" i="85"/>
  <c r="U23" i="85"/>
  <c r="AJ23" i="85" s="1"/>
  <c r="K23" i="85"/>
  <c r="AH23" i="85" s="1"/>
  <c r="E23" i="85"/>
  <c r="AN22" i="85"/>
  <c r="M22" i="85" s="1"/>
  <c r="N22" i="85" s="1"/>
  <c r="O22" i="85" s="1"/>
  <c r="AE22" i="85"/>
  <c r="AA22" i="85"/>
  <c r="U22" i="85"/>
  <c r="AJ22" i="85" s="1"/>
  <c r="K22" i="85"/>
  <c r="AH22" i="85" s="1"/>
  <c r="E22" i="85"/>
  <c r="AN21" i="85"/>
  <c r="M21" i="85" s="1"/>
  <c r="AE21" i="85"/>
  <c r="AA21" i="85"/>
  <c r="U21" i="85"/>
  <c r="K21" i="85"/>
  <c r="AI21" i="85" s="1"/>
  <c r="E21" i="85"/>
  <c r="AN20" i="85"/>
  <c r="M20" i="85" s="1"/>
  <c r="N20" i="85" s="1"/>
  <c r="O20" i="85" s="1"/>
  <c r="Z20" i="85"/>
  <c r="Y20" i="85"/>
  <c r="U20" i="85"/>
  <c r="AD20" i="85" s="1"/>
  <c r="K20" i="85"/>
  <c r="E20" i="85"/>
  <c r="AN19" i="85"/>
  <c r="M19" i="85" s="1"/>
  <c r="Z19" i="85"/>
  <c r="Y19" i="85"/>
  <c r="U19" i="85"/>
  <c r="AD19" i="85" s="1"/>
  <c r="K19" i="85"/>
  <c r="E19" i="85"/>
  <c r="AN18" i="85"/>
  <c r="Z18" i="85"/>
  <c r="Y18" i="85"/>
  <c r="U18" i="85"/>
  <c r="AF18" i="85" s="1"/>
  <c r="S18" i="85"/>
  <c r="AC18" i="85" s="1"/>
  <c r="N18" i="85"/>
  <c r="K18" i="85"/>
  <c r="E18" i="85"/>
  <c r="AN17" i="85"/>
  <c r="M17" i="85" s="1"/>
  <c r="N17" i="85" s="1"/>
  <c r="O17" i="85" s="1"/>
  <c r="AE17" i="85"/>
  <c r="AA17" i="85"/>
  <c r="U17" i="85"/>
  <c r="K17" i="85"/>
  <c r="AH17" i="85" s="1"/>
  <c r="E17" i="85"/>
  <c r="BB18" i="85"/>
  <c r="AW18" i="85"/>
  <c r="AN16" i="85"/>
  <c r="M16" i="85" s="1"/>
  <c r="N16" i="85" s="1"/>
  <c r="AE16" i="85"/>
  <c r="AA16" i="85"/>
  <c r="U16" i="85"/>
  <c r="K16" i="85"/>
  <c r="AI16" i="85" s="1"/>
  <c r="E16" i="85"/>
  <c r="BB17" i="85"/>
  <c r="AW17" i="85"/>
  <c r="AN15" i="85"/>
  <c r="M15" i="85" s="1"/>
  <c r="N15" i="85" s="1"/>
  <c r="AE15" i="85"/>
  <c r="AA15" i="85"/>
  <c r="U15" i="85"/>
  <c r="K15" i="85"/>
  <c r="AI15" i="85" s="1"/>
  <c r="E15" i="85"/>
  <c r="BB16" i="85"/>
  <c r="AW16" i="85"/>
  <c r="AN14" i="85"/>
  <c r="M14" i="85" s="1"/>
  <c r="N14" i="85" s="1"/>
  <c r="AE14" i="85"/>
  <c r="AA14" i="85"/>
  <c r="U14" i="85"/>
  <c r="AJ14" i="85" s="1"/>
  <c r="K14" i="85"/>
  <c r="E14" i="85"/>
  <c r="BB15" i="85"/>
  <c r="AW15" i="85"/>
  <c r="AN13" i="85"/>
  <c r="M13" i="85" s="1"/>
  <c r="AE13" i="85"/>
  <c r="AA13" i="85"/>
  <c r="U13" i="85"/>
  <c r="AD13" i="85" s="1"/>
  <c r="K13" i="85"/>
  <c r="E13" i="85"/>
  <c r="BB14" i="85"/>
  <c r="AW14" i="85"/>
  <c r="AN12" i="85"/>
  <c r="M12" i="85" s="1"/>
  <c r="N12" i="85" s="1"/>
  <c r="O12" i="85" s="1"/>
  <c r="S12" i="85" s="1"/>
  <c r="AC12" i="85" s="1"/>
  <c r="AE12" i="85"/>
  <c r="AA12" i="85"/>
  <c r="U12" i="85"/>
  <c r="K12" i="85"/>
  <c r="AI12" i="85" s="1"/>
  <c r="E12" i="85"/>
  <c r="BB13" i="85"/>
  <c r="AW13" i="85"/>
  <c r="AN11" i="85"/>
  <c r="M11" i="85" s="1"/>
  <c r="N11" i="85" s="1"/>
  <c r="AE11" i="85"/>
  <c r="AA11" i="85"/>
  <c r="U11" i="85"/>
  <c r="K11" i="85"/>
  <c r="E11" i="85"/>
  <c r="AW12" i="85"/>
  <c r="AN10" i="85"/>
  <c r="M10" i="85" s="1"/>
  <c r="AE10" i="85"/>
  <c r="AA10" i="85"/>
  <c r="U10" i="85"/>
  <c r="K10" i="85"/>
  <c r="E10" i="85"/>
  <c r="AN9" i="85"/>
  <c r="M9" i="85" s="1"/>
  <c r="N9" i="85" s="1"/>
  <c r="AE9" i="85"/>
  <c r="AA9" i="85"/>
  <c r="U9" i="85"/>
  <c r="AD9" i="85" s="1"/>
  <c r="S9" i="85"/>
  <c r="AC9" i="85" s="1"/>
  <c r="K9" i="85"/>
  <c r="AK9" i="85" s="1"/>
  <c r="E9" i="85"/>
  <c r="AN8" i="85"/>
  <c r="M8" i="85" s="1"/>
  <c r="N8" i="85" s="1"/>
  <c r="O8" i="85" s="1"/>
  <c r="AE8" i="85"/>
  <c r="AA8" i="85"/>
  <c r="U8" i="85"/>
  <c r="K8" i="85"/>
  <c r="E8" i="85"/>
  <c r="AN7" i="85"/>
  <c r="M7" i="85" s="1"/>
  <c r="O7" i="85" s="1"/>
  <c r="AE7" i="85"/>
  <c r="AA7" i="85"/>
  <c r="U7" i="85"/>
  <c r="AD7" i="85" s="1"/>
  <c r="K7" i="85"/>
  <c r="AI7" i="85" s="1"/>
  <c r="E7" i="85"/>
  <c r="AN6" i="85"/>
  <c r="M6" i="85" s="1"/>
  <c r="N6" i="85" s="1"/>
  <c r="O6" i="85" s="1"/>
  <c r="AE6" i="85"/>
  <c r="AA6" i="85"/>
  <c r="U6" i="85"/>
  <c r="K6" i="85"/>
  <c r="E6" i="85"/>
  <c r="AN5" i="85"/>
  <c r="M5" i="85" s="1"/>
  <c r="O5" i="85" s="1"/>
  <c r="Z5" i="85"/>
  <c r="Y5" i="85"/>
  <c r="U5" i="85"/>
  <c r="K5" i="85"/>
  <c r="E5" i="85"/>
  <c r="I2" i="85"/>
  <c r="C42" i="12" s="1"/>
  <c r="AE37" i="85" l="1"/>
  <c r="AA46" i="85"/>
  <c r="AA62" i="85"/>
  <c r="AE74" i="85"/>
  <c r="AA52" i="85"/>
  <c r="AE42" i="85"/>
  <c r="AA63" i="85"/>
  <c r="AA71" i="85"/>
  <c r="AE94" i="85"/>
  <c r="AA75" i="85"/>
  <c r="AF22" i="85"/>
  <c r="AH112" i="85"/>
  <c r="AF42" i="85"/>
  <c r="AF119" i="85"/>
  <c r="AH15" i="85"/>
  <c r="AE33" i="85"/>
  <c r="AH64" i="85"/>
  <c r="AF103" i="85"/>
  <c r="AG103" i="85" s="1"/>
  <c r="AD71" i="85"/>
  <c r="AE43" i="85"/>
  <c r="AF68" i="85"/>
  <c r="AE80" i="85"/>
  <c r="AE97" i="85"/>
  <c r="AA68" i="85"/>
  <c r="AA43" i="85"/>
  <c r="AB43" i="85" s="1"/>
  <c r="AM43" i="85" s="1"/>
  <c r="AJ31" i="85"/>
  <c r="AJ102" i="85"/>
  <c r="AD109" i="85"/>
  <c r="AH12" i="85"/>
  <c r="AH113" i="85"/>
  <c r="AH25" i="85"/>
  <c r="AD75" i="85"/>
  <c r="AA36" i="85"/>
  <c r="AB36" i="85" s="1"/>
  <c r="AM36" i="85" s="1"/>
  <c r="AH43" i="85"/>
  <c r="AE75" i="85"/>
  <c r="AI109" i="85"/>
  <c r="AJ113" i="85"/>
  <c r="AH9" i="85"/>
  <c r="AJ28" i="85"/>
  <c r="AH42" i="85"/>
  <c r="AK77" i="85"/>
  <c r="AJ7" i="85"/>
  <c r="AI9" i="85"/>
  <c r="AE32" i="85"/>
  <c r="AF36" i="85"/>
  <c r="AH49" i="85"/>
  <c r="AF7" i="85"/>
  <c r="AI36" i="85"/>
  <c r="AJ42" i="85"/>
  <c r="AA47" i="85"/>
  <c r="AD112" i="85"/>
  <c r="AA125" i="85"/>
  <c r="AA80" i="85"/>
  <c r="AA54" i="85"/>
  <c r="AD52" i="85"/>
  <c r="AE52" i="85"/>
  <c r="AJ85" i="85"/>
  <c r="AI70" i="85"/>
  <c r="AJ54" i="85"/>
  <c r="AD43" i="85"/>
  <c r="AF43" i="85"/>
  <c r="AH98" i="85"/>
  <c r="AJ111" i="85"/>
  <c r="AD30" i="85"/>
  <c r="AH16" i="85"/>
  <c r="AD23" i="85"/>
  <c r="AI30" i="85"/>
  <c r="AH51" i="85"/>
  <c r="AH75" i="85"/>
  <c r="AH77" i="85"/>
  <c r="AK5" i="85"/>
  <c r="AD36" i="85"/>
  <c r="AD116" i="85"/>
  <c r="AF29" i="85"/>
  <c r="AH61" i="85"/>
  <c r="AI74" i="85"/>
  <c r="AH74" i="85"/>
  <c r="AJ103" i="85"/>
  <c r="AD74" i="85"/>
  <c r="AJ74" i="85"/>
  <c r="AD16" i="85"/>
  <c r="AJ16" i="85"/>
  <c r="AD53" i="85"/>
  <c r="AI72" i="85"/>
  <c r="AH72" i="85"/>
  <c r="AJ72" i="85"/>
  <c r="AD72" i="85"/>
  <c r="AA42" i="85"/>
  <c r="AB42" i="85" s="1"/>
  <c r="AM42" i="85" s="1"/>
  <c r="AE72" i="85"/>
  <c r="AA72" i="85"/>
  <c r="AI110" i="85"/>
  <c r="AH110" i="85"/>
  <c r="O11" i="85"/>
  <c r="S11" i="85" s="1"/>
  <c r="AC11" i="85" s="1"/>
  <c r="AJ15" i="85"/>
  <c r="AD15" i="85"/>
  <c r="AA26" i="85"/>
  <c r="AA64" i="85"/>
  <c r="AB64" i="85" s="1"/>
  <c r="AM64" i="85" s="1"/>
  <c r="AK84" i="85"/>
  <c r="N102" i="85"/>
  <c r="O102" i="85" s="1"/>
  <c r="AD27" i="85"/>
  <c r="AD29" i="85"/>
  <c r="AE29" i="85"/>
  <c r="AE41" i="85"/>
  <c r="AH100" i="85"/>
  <c r="AI23" i="85"/>
  <c r="AE71" i="85"/>
  <c r="AA94" i="85"/>
  <c r="AJ39" i="85"/>
  <c r="AH71" i="85"/>
  <c r="AD94" i="85"/>
  <c r="AE5" i="85"/>
  <c r="AA45" i="85"/>
  <c r="AE51" i="85"/>
  <c r="AJ62" i="85"/>
  <c r="AH68" i="85"/>
  <c r="AD92" i="85"/>
  <c r="AF104" i="85"/>
  <c r="AG104" i="85" s="1"/>
  <c r="AE125" i="85"/>
  <c r="AE47" i="85"/>
  <c r="AH21" i="85"/>
  <c r="AJ49" i="85"/>
  <c r="AE62" i="85"/>
  <c r="AD125" i="85"/>
  <c r="AJ118" i="85"/>
  <c r="N71" i="85"/>
  <c r="O71" i="85" s="1"/>
  <c r="AH13" i="85"/>
  <c r="AI13" i="85"/>
  <c r="AJ76" i="85"/>
  <c r="AD76" i="85"/>
  <c r="AK73" i="85"/>
  <c r="AK83" i="85"/>
  <c r="AF83" i="85"/>
  <c r="O88" i="85"/>
  <c r="AF88" i="85" s="1"/>
  <c r="AJ86" i="85"/>
  <c r="AD86" i="85"/>
  <c r="AK119" i="85"/>
  <c r="AI119" i="85"/>
  <c r="AJ20" i="85"/>
  <c r="AA84" i="85"/>
  <c r="AB84" i="85" s="1"/>
  <c r="AM84" i="85" s="1"/>
  <c r="AD18" i="85"/>
  <c r="AD22" i="85"/>
  <c r="AD56" i="85"/>
  <c r="AK61" i="85"/>
  <c r="AD63" i="85"/>
  <c r="AB9" i="85"/>
  <c r="AM9" i="85" s="1"/>
  <c r="AH39" i="85"/>
  <c r="AI39" i="85"/>
  <c r="AA48" i="85"/>
  <c r="AB48" i="85" s="1"/>
  <c r="AM48" i="85" s="1"/>
  <c r="AH117" i="85"/>
  <c r="O31" i="85"/>
  <c r="S31" i="85" s="1"/>
  <c r="AC31" i="85" s="1"/>
  <c r="AD100" i="85"/>
  <c r="AD10" i="85"/>
  <c r="AJ10" i="85"/>
  <c r="AI63" i="85"/>
  <c r="AH63" i="85"/>
  <c r="AD5" i="85"/>
  <c r="AJ5" i="85"/>
  <c r="N23" i="85"/>
  <c r="O23" i="85" s="1"/>
  <c r="AE63" i="85"/>
  <c r="AI82" i="85"/>
  <c r="AJ84" i="85"/>
  <c r="O89" i="85"/>
  <c r="S89" i="85" s="1"/>
  <c r="AC89" i="85" s="1"/>
  <c r="AI95" i="85"/>
  <c r="AH95" i="85"/>
  <c r="AA33" i="85"/>
  <c r="AI106" i="85"/>
  <c r="AH119" i="85"/>
  <c r="K2" i="85"/>
  <c r="AJ48" i="85"/>
  <c r="N70" i="85"/>
  <c r="O70" i="85" s="1"/>
  <c r="N99" i="85"/>
  <c r="O99" i="85" s="1"/>
  <c r="AH116" i="85"/>
  <c r="AI116" i="85"/>
  <c r="AA88" i="85"/>
  <c r="AE88" i="85"/>
  <c r="AD60" i="85"/>
  <c r="AE69" i="85"/>
  <c r="AF61" i="85"/>
  <c r="AH32" i="85"/>
  <c r="AM32" i="85"/>
  <c r="AI32" i="85"/>
  <c r="AA61" i="85"/>
  <c r="AB61" i="85" s="1"/>
  <c r="AM61" i="85" s="1"/>
  <c r="AF77" i="85"/>
  <c r="AA79" i="85"/>
  <c r="AB79" i="85" s="1"/>
  <c r="AM79" i="85" s="1"/>
  <c r="AD89" i="85"/>
  <c r="AD93" i="85"/>
  <c r="AA103" i="85"/>
  <c r="AB103" i="85" s="1"/>
  <c r="AM103" i="85" s="1"/>
  <c r="AW29" i="85"/>
  <c r="AY29" i="85" s="1"/>
  <c r="BA29" i="85" s="1"/>
  <c r="N74" i="85"/>
  <c r="O74" i="85" s="1"/>
  <c r="AI86" i="85"/>
  <c r="AH86" i="85"/>
  <c r="AD117" i="85"/>
  <c r="AJ117" i="85"/>
  <c r="AJ33" i="85"/>
  <c r="AD33" i="85"/>
  <c r="AJ35" i="85"/>
  <c r="AD119" i="85"/>
  <c r="AJ119" i="85"/>
  <c r="AH65" i="85"/>
  <c r="AI65" i="85"/>
  <c r="AF73" i="85"/>
  <c r="AD106" i="85"/>
  <c r="AD26" i="85"/>
  <c r="AK81" i="85"/>
  <c r="AI81" i="85"/>
  <c r="AH81" i="85"/>
  <c r="AD14" i="85"/>
  <c r="AH91" i="85"/>
  <c r="AH102" i="85"/>
  <c r="AI102" i="85"/>
  <c r="N72" i="85"/>
  <c r="O72" i="85" s="1"/>
  <c r="AK56" i="85"/>
  <c r="AI56" i="85"/>
  <c r="AH56" i="85"/>
  <c r="AI67" i="85"/>
  <c r="AH67" i="85"/>
  <c r="AH14" i="85"/>
  <c r="AI14" i="85"/>
  <c r="AE59" i="85"/>
  <c r="AJ79" i="85"/>
  <c r="AI105" i="85"/>
  <c r="AH105" i="85"/>
  <c r="AH114" i="85"/>
  <c r="AI114" i="85"/>
  <c r="AJ13" i="85"/>
  <c r="AK48" i="85"/>
  <c r="AI48" i="85"/>
  <c r="AJ73" i="85"/>
  <c r="AD73" i="85"/>
  <c r="AJ46" i="85"/>
  <c r="AI31" i="85"/>
  <c r="AM31" i="85"/>
  <c r="AH31" i="85"/>
  <c r="AJ32" i="85"/>
  <c r="AD32" i="85"/>
  <c r="AI45" i="85"/>
  <c r="AH45" i="85"/>
  <c r="AA53" i="85"/>
  <c r="AE53" i="85"/>
  <c r="AE64" i="85"/>
  <c r="AJ68" i="85"/>
  <c r="AD68" i="85"/>
  <c r="AA74" i="85"/>
  <c r="AI88" i="85"/>
  <c r="AH88" i="85"/>
  <c r="N98" i="85"/>
  <c r="O98" i="85" s="1"/>
  <c r="AJ105" i="85"/>
  <c r="AD105" i="85"/>
  <c r="AA32" i="85"/>
  <c r="AH36" i="85"/>
  <c r="AK7" i="85"/>
  <c r="AE31" i="85"/>
  <c r="AK42" i="85"/>
  <c r="AD50" i="85"/>
  <c r="AE65" i="85"/>
  <c r="AA67" i="85"/>
  <c r="AE78" i="85"/>
  <c r="AA92" i="85"/>
  <c r="AJ95" i="85"/>
  <c r="AA97" i="85"/>
  <c r="AE54" i="85"/>
  <c r="AE49" i="85"/>
  <c r="AI92" i="85"/>
  <c r="AE99" i="85"/>
  <c r="AB107" i="85"/>
  <c r="AM107" i="85" s="1"/>
  <c r="AH111" i="85"/>
  <c r="AF17" i="85"/>
  <c r="S17" i="85"/>
  <c r="AC17" i="85" s="1"/>
  <c r="AF20" i="85"/>
  <c r="S20" i="85"/>
  <c r="AC20" i="85" s="1"/>
  <c r="AF6" i="85"/>
  <c r="S6" i="85"/>
  <c r="AC6" i="85" s="1"/>
  <c r="AK8" i="85"/>
  <c r="S8" i="85"/>
  <c r="AC8" i="85" s="1"/>
  <c r="AF8" i="85"/>
  <c r="AA70" i="85"/>
  <c r="AE70" i="85"/>
  <c r="AH93" i="85"/>
  <c r="AI93" i="85"/>
  <c r="S7" i="85"/>
  <c r="AC7" i="85" s="1"/>
  <c r="AD21" i="85"/>
  <c r="AJ21" i="85"/>
  <c r="AF40" i="85"/>
  <c r="AA30" i="85"/>
  <c r="AH6" i="85"/>
  <c r="AI6" i="85"/>
  <c r="AK6" i="85"/>
  <c r="N10" i="85"/>
  <c r="O10" i="85" s="1"/>
  <c r="AA18" i="85"/>
  <c r="AB18" i="85" s="1"/>
  <c r="AM18" i="85" s="1"/>
  <c r="AE18" i="85"/>
  <c r="AF56" i="85"/>
  <c r="S56" i="85"/>
  <c r="AC56" i="85" s="1"/>
  <c r="AI58" i="85"/>
  <c r="AH58" i="85"/>
  <c r="AI90" i="85"/>
  <c r="AH90" i="85"/>
  <c r="AF106" i="85"/>
  <c r="S106" i="85"/>
  <c r="AC106" i="85" s="1"/>
  <c r="AF27" i="85"/>
  <c r="S27" i="85"/>
  <c r="AC27" i="85" s="1"/>
  <c r="AK29" i="85"/>
  <c r="AI29" i="85"/>
  <c r="AH29" i="85"/>
  <c r="AK79" i="85"/>
  <c r="AH79" i="85"/>
  <c r="AI79" i="85"/>
  <c r="N90" i="85"/>
  <c r="O90" i="85" s="1"/>
  <c r="AK90" i="85" s="1"/>
  <c r="AD70" i="85"/>
  <c r="AJ70" i="85"/>
  <c r="N116" i="85"/>
  <c r="O116" i="85" s="1"/>
  <c r="AJ8" i="85"/>
  <c r="AD8" i="85"/>
  <c r="O35" i="85"/>
  <c r="AK35" i="85" s="1"/>
  <c r="AA38" i="85"/>
  <c r="AB38" i="85" s="1"/>
  <c r="AM38" i="85" s="1"/>
  <c r="AE38" i="85"/>
  <c r="N85" i="85"/>
  <c r="O85" i="85" s="1"/>
  <c r="AJ17" i="85"/>
  <c r="AD17" i="85"/>
  <c r="S22" i="85"/>
  <c r="AC22" i="85" s="1"/>
  <c r="N49" i="85"/>
  <c r="O49" i="85" s="1"/>
  <c r="AI76" i="85"/>
  <c r="AH76" i="85"/>
  <c r="O82" i="85"/>
  <c r="AD99" i="85"/>
  <c r="AJ99" i="85"/>
  <c r="AF117" i="85"/>
  <c r="S117" i="85"/>
  <c r="AC117" i="85" s="1"/>
  <c r="AK117" i="85"/>
  <c r="N60" i="85"/>
  <c r="O60" i="85" s="1"/>
  <c r="AF65" i="85"/>
  <c r="S65" i="85"/>
  <c r="AC65" i="85" s="1"/>
  <c r="AX18" i="85" a="1"/>
  <c r="AX18" i="85" s="1"/>
  <c r="N57" i="85"/>
  <c r="O57" i="85" s="1"/>
  <c r="AE67" i="85"/>
  <c r="AJ110" i="85"/>
  <c r="AJ11" i="85"/>
  <c r="AD11" i="85"/>
  <c r="AD41" i="85"/>
  <c r="AJ41" i="85"/>
  <c r="N86" i="85"/>
  <c r="O86" i="85" s="1"/>
  <c r="AF45" i="85"/>
  <c r="S45" i="85"/>
  <c r="AI28" i="85"/>
  <c r="AH28" i="85"/>
  <c r="AK28" i="85"/>
  <c r="AF38" i="85"/>
  <c r="AI40" i="85"/>
  <c r="AH40" i="85"/>
  <c r="AK40" i="85"/>
  <c r="AE45" i="85"/>
  <c r="AK96" i="85"/>
  <c r="AH96" i="85"/>
  <c r="AI96" i="85"/>
  <c r="AH35" i="85"/>
  <c r="AI35" i="85"/>
  <c r="AF37" i="85"/>
  <c r="AJ12" i="85"/>
  <c r="AD12" i="85"/>
  <c r="AI24" i="85"/>
  <c r="AH24" i="85"/>
  <c r="N52" i="85"/>
  <c r="O52" i="85" s="1"/>
  <c r="AW30" i="85"/>
  <c r="AY30" i="85" s="1"/>
  <c r="BA30" i="85" s="1"/>
  <c r="AD88" i="85"/>
  <c r="AJ88" i="85"/>
  <c r="AH10" i="85"/>
  <c r="AI10" i="85"/>
  <c r="AF79" i="85"/>
  <c r="AE20" i="85"/>
  <c r="AA20" i="85"/>
  <c r="AF28" i="85"/>
  <c r="S28" i="85"/>
  <c r="AC28" i="85" s="1"/>
  <c r="AK37" i="85"/>
  <c r="AI37" i="85"/>
  <c r="AH37" i="85"/>
  <c r="N46" i="85"/>
  <c r="O46" i="85" s="1"/>
  <c r="AI59" i="85"/>
  <c r="AH59" i="85"/>
  <c r="AK59" i="85"/>
  <c r="AA76" i="85"/>
  <c r="AE76" i="85"/>
  <c r="AF96" i="85"/>
  <c r="S96" i="85"/>
  <c r="AC96" i="85" s="1"/>
  <c r="N113" i="85"/>
  <c r="O113" i="85" s="1"/>
  <c r="AH52" i="85"/>
  <c r="AI52" i="85"/>
  <c r="N109" i="85"/>
  <c r="O109" i="85" s="1"/>
  <c r="AF100" i="85"/>
  <c r="AK100" i="85"/>
  <c r="S100" i="85"/>
  <c r="AC100" i="85" s="1"/>
  <c r="AD24" i="85"/>
  <c r="AJ24" i="85"/>
  <c r="AI41" i="85"/>
  <c r="AH41" i="85"/>
  <c r="AI20" i="85"/>
  <c r="AH20" i="85"/>
  <c r="AM20" i="85"/>
  <c r="AK20" i="85"/>
  <c r="AJ38" i="85"/>
  <c r="AD38" i="85"/>
  <c r="AF51" i="85"/>
  <c r="AK51" i="85"/>
  <c r="S51" i="85"/>
  <c r="AC51" i="85" s="1"/>
  <c r="AK66" i="85"/>
  <c r="AF66" i="85"/>
  <c r="AD6" i="85"/>
  <c r="AJ6" i="85"/>
  <c r="S5" i="85"/>
  <c r="AC5" i="85" s="1"/>
  <c r="AF5" i="85"/>
  <c r="O32" i="85"/>
  <c r="N54" i="85"/>
  <c r="O54" i="85" s="1"/>
  <c r="AH62" i="85"/>
  <c r="AI62" i="85"/>
  <c r="N92" i="85"/>
  <c r="O92" i="85" s="1"/>
  <c r="AK92" i="85" s="1"/>
  <c r="N53" i="85"/>
  <c r="O53" i="85" s="1"/>
  <c r="AI55" i="85"/>
  <c r="AH55" i="85"/>
  <c r="AJ87" i="85"/>
  <c r="AD87" i="85"/>
  <c r="N19" i="85"/>
  <c r="O19" i="85" s="1"/>
  <c r="AJ81" i="85"/>
  <c r="AD81" i="85"/>
  <c r="AF81" i="85"/>
  <c r="O94" i="85"/>
  <c r="AK94" i="85" s="1"/>
  <c r="AE98" i="85"/>
  <c r="AA98" i="85"/>
  <c r="O114" i="85"/>
  <c r="AA5" i="85"/>
  <c r="AE19" i="85"/>
  <c r="AA19" i="85"/>
  <c r="N30" i="85"/>
  <c r="O30" i="85" s="1"/>
  <c r="AE39" i="85"/>
  <c r="AE50" i="85"/>
  <c r="AJ64" i="85"/>
  <c r="AF64" i="85"/>
  <c r="AD64" i="85"/>
  <c r="S68" i="85"/>
  <c r="AI80" i="85"/>
  <c r="AH80" i="85"/>
  <c r="N87" i="85"/>
  <c r="O87" i="85" s="1"/>
  <c r="AI126" i="85"/>
  <c r="AH126" i="85"/>
  <c r="AD96" i="85"/>
  <c r="AJ96" i="85"/>
  <c r="AI101" i="85"/>
  <c r="AH101" i="85"/>
  <c r="AK101" i="85"/>
  <c r="S101" i="85"/>
  <c r="AC101" i="85" s="1"/>
  <c r="AF101" i="85"/>
  <c r="N55" i="85"/>
  <c r="O55" i="85" s="1"/>
  <c r="O58" i="85"/>
  <c r="AK58" i="85" s="1"/>
  <c r="AJ98" i="85"/>
  <c r="AD98" i="85"/>
  <c r="N25" i="85"/>
  <c r="O25" i="85" s="1"/>
  <c r="AJ47" i="85"/>
  <c r="AD47" i="85"/>
  <c r="AA51" i="85"/>
  <c r="AJ55" i="85"/>
  <c r="AD55" i="85"/>
  <c r="AJ65" i="85"/>
  <c r="AD65" i="85"/>
  <c r="AK27" i="85"/>
  <c r="AI27" i="85"/>
  <c r="AH27" i="85"/>
  <c r="AJ69" i="85"/>
  <c r="AD69" i="85"/>
  <c r="AE81" i="85"/>
  <c r="AA81" i="85"/>
  <c r="AB81" i="85" s="1"/>
  <c r="AM81" i="85" s="1"/>
  <c r="AX12" i="85" a="1"/>
  <c r="AX12" i="85" s="1"/>
  <c r="O14" i="85"/>
  <c r="O41" i="85"/>
  <c r="AK41" i="85" s="1"/>
  <c r="AI57" i="85"/>
  <c r="AH57" i="85"/>
  <c r="N62" i="85"/>
  <c r="O62" i="85" s="1"/>
  <c r="AK62" i="85" s="1"/>
  <c r="AA65" i="85"/>
  <c r="AJ77" i="85"/>
  <c r="AD77" i="85"/>
  <c r="AA78" i="85"/>
  <c r="AE92" i="85"/>
  <c r="N93" i="85"/>
  <c r="O93" i="85" s="1"/>
  <c r="N108" i="85"/>
  <c r="O108" i="85" s="1"/>
  <c r="AD51" i="85"/>
  <c r="AJ51" i="85"/>
  <c r="O63" i="85"/>
  <c r="N67" i="85"/>
  <c r="O67" i="85" s="1"/>
  <c r="AH78" i="85"/>
  <c r="AI78" i="85"/>
  <c r="AJ82" i="85"/>
  <c r="AD82" i="85"/>
  <c r="AX15" i="85" a="1"/>
  <c r="AX15" i="85" s="1"/>
  <c r="AI5" i="85"/>
  <c r="AX17" i="85" a="1"/>
  <c r="AX17" i="85" s="1"/>
  <c r="AX14" i="85" a="1"/>
  <c r="AX14" i="85" s="1"/>
  <c r="AW10" i="85"/>
  <c r="AX10" i="85" s="1" a="1"/>
  <c r="AX10" i="85" s="1"/>
  <c r="AI47" i="85"/>
  <c r="AH47" i="85"/>
  <c r="N78" i="85"/>
  <c r="O78" i="85" s="1"/>
  <c r="AK78" i="85" s="1"/>
  <c r="AA37" i="85"/>
  <c r="AB37" i="85" s="1"/>
  <c r="AM37" i="85" s="1"/>
  <c r="AD78" i="85"/>
  <c r="AJ78" i="85"/>
  <c r="AJ19" i="85"/>
  <c r="N21" i="85"/>
  <c r="O21" i="85" s="1"/>
  <c r="N24" i="85"/>
  <c r="O24" i="85" s="1"/>
  <c r="AK38" i="85"/>
  <c r="AH38" i="85"/>
  <c r="AI38" i="85"/>
  <c r="AA39" i="85"/>
  <c r="N47" i="85"/>
  <c r="O47" i="85" s="1"/>
  <c r="AA50" i="85"/>
  <c r="AA73" i="85"/>
  <c r="AE77" i="85"/>
  <c r="AA77" i="85"/>
  <c r="AB77" i="85" s="1"/>
  <c r="AM77" i="85" s="1"/>
  <c r="AD66" i="85"/>
  <c r="AJ66" i="85"/>
  <c r="AK22" i="85"/>
  <c r="AI22" i="85"/>
  <c r="AA66" i="85"/>
  <c r="AB66" i="85" s="1"/>
  <c r="AM66" i="85" s="1"/>
  <c r="AE66" i="85"/>
  <c r="AE82" i="85"/>
  <c r="AA82" i="85"/>
  <c r="AI87" i="85"/>
  <c r="AH87" i="85"/>
  <c r="AH5" i="85"/>
  <c r="AW9" i="85"/>
  <c r="AH7" i="85"/>
  <c r="AI8" i="85"/>
  <c r="AH8" i="85"/>
  <c r="AX13" i="85" a="1"/>
  <c r="AX13" i="85" s="1"/>
  <c r="AF12" i="85"/>
  <c r="AB12" i="85"/>
  <c r="AM12" i="85" s="1"/>
  <c r="O15" i="85"/>
  <c r="AI54" i="85"/>
  <c r="AJ80" i="85"/>
  <c r="AD80" i="85"/>
  <c r="AF91" i="85"/>
  <c r="AG91" i="85" s="1"/>
  <c r="AB91" i="85"/>
  <c r="AM91" i="85" s="1"/>
  <c r="AJ97" i="85"/>
  <c r="AD97" i="85"/>
  <c r="AH107" i="85"/>
  <c r="AK107" i="85"/>
  <c r="AI97" i="85"/>
  <c r="AH97" i="85"/>
  <c r="AF9" i="85"/>
  <c r="AG9" i="85" s="1"/>
  <c r="AJ9" i="85"/>
  <c r="AM19" i="85"/>
  <c r="AI19" i="85"/>
  <c r="AH19" i="85"/>
  <c r="AJ37" i="85"/>
  <c r="AD37" i="85"/>
  <c r="AI46" i="85"/>
  <c r="AH46" i="85"/>
  <c r="AI69" i="85"/>
  <c r="O80" i="85"/>
  <c r="AK80" i="85" s="1"/>
  <c r="O97" i="85"/>
  <c r="AD101" i="85"/>
  <c r="AJ101" i="85"/>
  <c r="N118" i="85"/>
  <c r="O118" i="85" s="1"/>
  <c r="AK18" i="85"/>
  <c r="AH18" i="85"/>
  <c r="AI18" i="85"/>
  <c r="AJ91" i="85"/>
  <c r="AI115" i="85"/>
  <c r="AH115" i="85"/>
  <c r="S119" i="85"/>
  <c r="AC119" i="85" s="1"/>
  <c r="AJ126" i="85"/>
  <c r="AD126" i="85"/>
  <c r="AI11" i="85"/>
  <c r="AH11" i="85"/>
  <c r="AA31" i="85"/>
  <c r="AJ40" i="85"/>
  <c r="AD40" i="85"/>
  <c r="AJ57" i="85"/>
  <c r="AD57" i="85"/>
  <c r="AI60" i="85"/>
  <c r="AH60" i="85"/>
  <c r="AA69" i="85"/>
  <c r="AD90" i="85"/>
  <c r="AJ90" i="85"/>
  <c r="AI99" i="85"/>
  <c r="AH99" i="85"/>
  <c r="AI108" i="85"/>
  <c r="AH108" i="85"/>
  <c r="O16" i="85"/>
  <c r="O26" i="85"/>
  <c r="AX16" i="85" a="1"/>
  <c r="AX16" i="85" s="1"/>
  <c r="N39" i="85"/>
  <c r="O39" i="85" s="1"/>
  <c r="AD67" i="85"/>
  <c r="AJ67" i="85"/>
  <c r="S73" i="85"/>
  <c r="AJ83" i="85"/>
  <c r="AD83" i="85"/>
  <c r="O95" i="85"/>
  <c r="N115" i="85"/>
  <c r="O115" i="85" s="1"/>
  <c r="AK17" i="85"/>
  <c r="AI17" i="85"/>
  <c r="AJ18" i="85"/>
  <c r="AD25" i="85"/>
  <c r="AJ25" i="85"/>
  <c r="AE26" i="85"/>
  <c r="AE40" i="85"/>
  <c r="AA40" i="85"/>
  <c r="AB40" i="85" s="1"/>
  <c r="AM40" i="85" s="1"/>
  <c r="AD45" i="85"/>
  <c r="AJ45" i="85"/>
  <c r="AE79" i="85"/>
  <c r="AA83" i="85"/>
  <c r="AB83" i="85" s="1"/>
  <c r="AM83" i="85" s="1"/>
  <c r="AE83" i="85"/>
  <c r="AD115" i="85"/>
  <c r="AJ115" i="85"/>
  <c r="N125" i="85"/>
  <c r="O125" i="85" s="1"/>
  <c r="O126" i="85"/>
  <c r="AK126" i="85" s="1"/>
  <c r="AJ58" i="85"/>
  <c r="AD58" i="85"/>
  <c r="AF59" i="85"/>
  <c r="AB59" i="85"/>
  <c r="AM59" i="85" s="1"/>
  <c r="N13" i="85"/>
  <c r="O13" i="85" s="1"/>
  <c r="AI33" i="85"/>
  <c r="AI85" i="85"/>
  <c r="AH85" i="85"/>
  <c r="AA99" i="85"/>
  <c r="AI125" i="85"/>
  <c r="AH125" i="85"/>
  <c r="AM33" i="85"/>
  <c r="AE95" i="85"/>
  <c r="AA95" i="85"/>
  <c r="AI104" i="85"/>
  <c r="AH104" i="85"/>
  <c r="N111" i="85"/>
  <c r="O111" i="85" s="1"/>
  <c r="N112" i="85"/>
  <c r="O112" i="85" s="1"/>
  <c r="AW11" i="85"/>
  <c r="AX11" i="85" s="1" a="1"/>
  <c r="AX11" i="85" s="1"/>
  <c r="AK12" i="85"/>
  <c r="AI26" i="85"/>
  <c r="AB29" i="85"/>
  <c r="AM29" i="85" s="1"/>
  <c r="N33" i="85"/>
  <c r="O33" i="85" s="1"/>
  <c r="AA41" i="85"/>
  <c r="AK43" i="85"/>
  <c r="AD48" i="85"/>
  <c r="AG48" i="85" s="1"/>
  <c r="AD61" i="85"/>
  <c r="AF84" i="85"/>
  <c r="N110" i="85"/>
  <c r="O110" i="85" s="1"/>
  <c r="AJ107" i="85"/>
  <c r="AF107" i="85"/>
  <c r="AH84" i="85"/>
  <c r="AI84" i="85"/>
  <c r="AA49" i="85"/>
  <c r="N50" i="85"/>
  <c r="O50" i="85" s="1"/>
  <c r="AK68" i="85"/>
  <c r="O75" i="85"/>
  <c r="N76" i="85"/>
  <c r="O76" i="85" s="1"/>
  <c r="AE93" i="85"/>
  <c r="AA93" i="85"/>
  <c r="AK103" i="85"/>
  <c r="AH103" i="85"/>
  <c r="AB104" i="85"/>
  <c r="AM104" i="85" s="1"/>
  <c r="AJ104" i="85"/>
  <c r="AH118" i="85"/>
  <c r="AI118" i="85"/>
  <c r="AW31" i="85"/>
  <c r="AY31" i="85" s="1"/>
  <c r="BA31" i="85" s="1"/>
  <c r="AK45" i="85"/>
  <c r="AJ59" i="85"/>
  <c r="AI66" i="85"/>
  <c r="AH66" i="85"/>
  <c r="AI73" i="85"/>
  <c r="AH73" i="85"/>
  <c r="AI83" i="85"/>
  <c r="AH83" i="85"/>
  <c r="AE84" i="85"/>
  <c r="AD107" i="85"/>
  <c r="N69" i="85"/>
  <c r="O69" i="85" s="1"/>
  <c r="AD114" i="85"/>
  <c r="AH89" i="85"/>
  <c r="AI89" i="85"/>
  <c r="AK91" i="85"/>
  <c r="AD108" i="85"/>
  <c r="AJ108" i="85"/>
  <c r="AE46" i="85"/>
  <c r="AH50" i="85"/>
  <c r="AI53" i="85"/>
  <c r="AI94" i="85"/>
  <c r="AI50" i="85"/>
  <c r="AK65" i="85"/>
  <c r="AE68" i="85"/>
  <c r="N105" i="85"/>
  <c r="O105" i="85" s="1"/>
  <c r="AK106" i="85"/>
  <c r="AK64" i="85"/>
  <c r="AG42" i="85" l="1"/>
  <c r="AF11" i="85"/>
  <c r="AG11" i="85" s="1"/>
  <c r="BB9" i="85"/>
  <c r="AG43" i="85"/>
  <c r="AK11" i="85"/>
  <c r="BB11" i="85"/>
  <c r="AG59" i="85"/>
  <c r="L2" i="85"/>
  <c r="D42" i="12"/>
  <c r="BB10" i="85"/>
  <c r="AG36" i="85"/>
  <c r="AF31" i="85"/>
  <c r="AG31" i="85" s="1"/>
  <c r="AG18" i="85"/>
  <c r="AG106" i="85"/>
  <c r="AK31" i="85"/>
  <c r="AG119" i="85"/>
  <c r="AG100" i="85"/>
  <c r="AG7" i="85"/>
  <c r="AG29" i="85"/>
  <c r="S70" i="85"/>
  <c r="AC70" i="85" s="1"/>
  <c r="AK70" i="85"/>
  <c r="AG12" i="85"/>
  <c r="AG84" i="85"/>
  <c r="AB51" i="85"/>
  <c r="AM51" i="85" s="1"/>
  <c r="S88" i="85"/>
  <c r="AC88" i="85" s="1"/>
  <c r="AG88" i="85" s="1"/>
  <c r="AK88" i="85"/>
  <c r="AK89" i="85"/>
  <c r="AB27" i="85"/>
  <c r="AM27" i="85" s="1"/>
  <c r="AK102" i="85"/>
  <c r="AF102" i="85"/>
  <c r="S102" i="85"/>
  <c r="AC102" i="85" s="1"/>
  <c r="S71" i="85"/>
  <c r="AC71" i="85" s="1"/>
  <c r="AF71" i="85"/>
  <c r="AK71" i="85"/>
  <c r="AG37" i="85"/>
  <c r="AG27" i="85"/>
  <c r="AG20" i="85"/>
  <c r="AG66" i="85"/>
  <c r="AG64" i="85"/>
  <c r="AB17" i="85"/>
  <c r="AM17" i="85" s="1"/>
  <c r="AF89" i="85"/>
  <c r="AG89" i="85" s="1"/>
  <c r="AG61" i="85"/>
  <c r="AG83" i="85"/>
  <c r="AG51" i="85"/>
  <c r="AG56" i="85"/>
  <c r="AF70" i="85"/>
  <c r="AG22" i="85"/>
  <c r="AF98" i="85"/>
  <c r="S98" i="85"/>
  <c r="AC98" i="85" s="1"/>
  <c r="AK98" i="85"/>
  <c r="S99" i="85"/>
  <c r="AC99" i="85" s="1"/>
  <c r="AK99" i="85"/>
  <c r="AF99" i="85"/>
  <c r="S23" i="85"/>
  <c r="AC23" i="85" s="1"/>
  <c r="AF23" i="85"/>
  <c r="AK23" i="85"/>
  <c r="S74" i="85"/>
  <c r="AC74" i="85" s="1"/>
  <c r="AF74" i="85"/>
  <c r="AK74" i="85"/>
  <c r="AG38" i="85"/>
  <c r="AB117" i="85"/>
  <c r="AM117" i="85" s="1"/>
  <c r="AB119" i="85"/>
  <c r="AM119" i="85" s="1"/>
  <c r="AG6" i="85"/>
  <c r="AJ3" i="85"/>
  <c r="L42" i="12" s="1"/>
  <c r="AG77" i="85"/>
  <c r="BA27" i="85"/>
  <c r="AG81" i="85"/>
  <c r="AK72" i="85"/>
  <c r="AF72" i="85"/>
  <c r="S72" i="85"/>
  <c r="AC72" i="85" s="1"/>
  <c r="AG79" i="85"/>
  <c r="AG28" i="85"/>
  <c r="S33" i="85"/>
  <c r="AC33" i="85" s="1"/>
  <c r="AF33" i="85"/>
  <c r="AK33" i="85"/>
  <c r="S93" i="85"/>
  <c r="AC93" i="85" s="1"/>
  <c r="AF93" i="85"/>
  <c r="AK93" i="85"/>
  <c r="AF57" i="85"/>
  <c r="S57" i="85"/>
  <c r="AC57" i="85" s="1"/>
  <c r="AK57" i="85"/>
  <c r="S10" i="85"/>
  <c r="AC10" i="85" s="1"/>
  <c r="AF10" i="85"/>
  <c r="AK10" i="85"/>
  <c r="AF50" i="85"/>
  <c r="S50" i="85"/>
  <c r="AC50" i="85" s="1"/>
  <c r="AK50" i="85"/>
  <c r="AF47" i="85"/>
  <c r="S47" i="85"/>
  <c r="AC47" i="85" s="1"/>
  <c r="AK47" i="85"/>
  <c r="AK53" i="85"/>
  <c r="S53" i="85"/>
  <c r="AC53" i="85" s="1"/>
  <c r="AF53" i="85"/>
  <c r="AF46" i="85"/>
  <c r="S46" i="85"/>
  <c r="AC46" i="85" s="1"/>
  <c r="AK46" i="85"/>
  <c r="AF86" i="85"/>
  <c r="S86" i="85"/>
  <c r="AC86" i="85" s="1"/>
  <c r="AK86" i="85"/>
  <c r="AF49" i="85"/>
  <c r="AK49" i="85"/>
  <c r="S49" i="85"/>
  <c r="AC49" i="85" s="1"/>
  <c r="AF116" i="85"/>
  <c r="S116" i="85"/>
  <c r="AC116" i="85" s="1"/>
  <c r="AK116" i="85"/>
  <c r="S111" i="85"/>
  <c r="AC111" i="85" s="1"/>
  <c r="AK111" i="85"/>
  <c r="AF111" i="85"/>
  <c r="S118" i="85"/>
  <c r="AC118" i="85" s="1"/>
  <c r="AF118" i="85"/>
  <c r="AK118" i="85"/>
  <c r="AF21" i="85"/>
  <c r="S21" i="85"/>
  <c r="AC21" i="85" s="1"/>
  <c r="AK21" i="85"/>
  <c r="S25" i="85"/>
  <c r="AC25" i="85" s="1"/>
  <c r="AK25" i="85"/>
  <c r="AF25" i="85"/>
  <c r="S115" i="85"/>
  <c r="AC115" i="85" s="1"/>
  <c r="AF115" i="85"/>
  <c r="AK115" i="85"/>
  <c r="S19" i="85"/>
  <c r="AC19" i="85" s="1"/>
  <c r="AF19" i="85"/>
  <c r="AK19" i="85"/>
  <c r="S60" i="85"/>
  <c r="AC60" i="85" s="1"/>
  <c r="AF60" i="85"/>
  <c r="AK60" i="85"/>
  <c r="AF105" i="85"/>
  <c r="S105" i="85"/>
  <c r="AC105" i="85" s="1"/>
  <c r="AK105" i="85"/>
  <c r="S24" i="85"/>
  <c r="AC24" i="85" s="1"/>
  <c r="AF24" i="85"/>
  <c r="AK24" i="85"/>
  <c r="AF39" i="85"/>
  <c r="AG39" i="85" s="1"/>
  <c r="AB39" i="85"/>
  <c r="AM39" i="85" s="1"/>
  <c r="AK39" i="85"/>
  <c r="AF110" i="85"/>
  <c r="S110" i="85"/>
  <c r="AC110" i="85" s="1"/>
  <c r="AK110" i="85"/>
  <c r="S87" i="85"/>
  <c r="AC87" i="85" s="1"/>
  <c r="AF87" i="85"/>
  <c r="AK87" i="85"/>
  <c r="S113" i="85"/>
  <c r="AC113" i="85" s="1"/>
  <c r="AK113" i="85"/>
  <c r="AF113" i="85"/>
  <c r="AF69" i="85"/>
  <c r="S69" i="85"/>
  <c r="AC69" i="85" s="1"/>
  <c r="AK69" i="85"/>
  <c r="AF76" i="85"/>
  <c r="S76" i="85"/>
  <c r="AC76" i="85" s="1"/>
  <c r="AK76" i="85"/>
  <c r="S125" i="85"/>
  <c r="AC125" i="85" s="1"/>
  <c r="AF125" i="85"/>
  <c r="AK125" i="85"/>
  <c r="AF109" i="85"/>
  <c r="S109" i="85"/>
  <c r="AC109" i="85" s="1"/>
  <c r="AK109" i="85"/>
  <c r="S85" i="85"/>
  <c r="AC85" i="85" s="1"/>
  <c r="AF85" i="85"/>
  <c r="AK85" i="85"/>
  <c r="S13" i="85"/>
  <c r="AC13" i="85" s="1"/>
  <c r="AF13" i="85"/>
  <c r="AK13" i="85"/>
  <c r="AF108" i="85"/>
  <c r="S108" i="85"/>
  <c r="AC108" i="85" s="1"/>
  <c r="AK108" i="85"/>
  <c r="AF30" i="85"/>
  <c r="AG30" i="85" s="1"/>
  <c r="AB30" i="85"/>
  <c r="AM30" i="85" s="1"/>
  <c r="AK30" i="85"/>
  <c r="AF52" i="85"/>
  <c r="S52" i="85"/>
  <c r="AC52" i="85" s="1"/>
  <c r="AF16" i="85"/>
  <c r="S16" i="85"/>
  <c r="AC16" i="85" s="1"/>
  <c r="AK16" i="85"/>
  <c r="AK75" i="85"/>
  <c r="AF75" i="85"/>
  <c r="S75" i="85"/>
  <c r="AC75" i="85" s="1"/>
  <c r="S112" i="85"/>
  <c r="AC112" i="85" s="1"/>
  <c r="AF112" i="85"/>
  <c r="AG40" i="85"/>
  <c r="BA18" i="85"/>
  <c r="S63" i="85"/>
  <c r="AC63" i="85" s="1"/>
  <c r="AF63" i="85"/>
  <c r="AK63" i="85"/>
  <c r="AF62" i="85"/>
  <c r="S62" i="85"/>
  <c r="AC62" i="85" s="1"/>
  <c r="AC73" i="85"/>
  <c r="AG73" i="85" s="1"/>
  <c r="AB73" i="85"/>
  <c r="AM73" i="85" s="1"/>
  <c r="AB101" i="85"/>
  <c r="AM101" i="85" s="1"/>
  <c r="AF32" i="85"/>
  <c r="S32" i="85"/>
  <c r="AC32" i="85" s="1"/>
  <c r="AK32" i="85"/>
  <c r="BA10" i="85"/>
  <c r="AC68" i="85"/>
  <c r="AG68" i="85" s="1"/>
  <c r="AB68" i="85"/>
  <c r="AM68" i="85" s="1"/>
  <c r="AH3" i="85"/>
  <c r="E2" i="85" s="1"/>
  <c r="F42" i="12" s="1"/>
  <c r="AG17" i="85"/>
  <c r="AG107" i="85"/>
  <c r="S97" i="85"/>
  <c r="AC97" i="85" s="1"/>
  <c r="AF97" i="85"/>
  <c r="AK97" i="85"/>
  <c r="BA17" i="85"/>
  <c r="AK114" i="85"/>
  <c r="S114" i="85"/>
  <c r="AC114" i="85" s="1"/>
  <c r="AF114" i="85"/>
  <c r="AB56" i="85"/>
  <c r="AM56" i="85" s="1"/>
  <c r="AB11" i="85"/>
  <c r="AM11" i="85" s="1"/>
  <c r="AF15" i="85"/>
  <c r="S15" i="85"/>
  <c r="AC15" i="85" s="1"/>
  <c r="AK15" i="85"/>
  <c r="AB41" i="85"/>
  <c r="AM41" i="85" s="1"/>
  <c r="AF41" i="85"/>
  <c r="AG41" i="85" s="1"/>
  <c r="AG5" i="85"/>
  <c r="AB28" i="85"/>
  <c r="AM28" i="85" s="1"/>
  <c r="AF35" i="85"/>
  <c r="S35" i="85"/>
  <c r="AC35" i="85" s="1"/>
  <c r="AB6" i="85"/>
  <c r="AM6" i="85" s="1"/>
  <c r="BA16" i="85"/>
  <c r="BA15" i="85"/>
  <c r="AB5" i="85"/>
  <c r="AM5" i="85" s="1"/>
  <c r="AK52" i="85"/>
  <c r="S14" i="85"/>
  <c r="AC14" i="85" s="1"/>
  <c r="AF14" i="85"/>
  <c r="AK14" i="85"/>
  <c r="AF58" i="85"/>
  <c r="S58" i="85"/>
  <c r="AC58" i="85" s="1"/>
  <c r="S94" i="85"/>
  <c r="AC94" i="85" s="1"/>
  <c r="AF94" i="85"/>
  <c r="AB96" i="85"/>
  <c r="AM96" i="85" s="1"/>
  <c r="AB22" i="85"/>
  <c r="AM22" i="85" s="1"/>
  <c r="AF90" i="85"/>
  <c r="S90" i="85"/>
  <c r="AC90" i="85" s="1"/>
  <c r="S26" i="85"/>
  <c r="AC26" i="85" s="1"/>
  <c r="AF26" i="85"/>
  <c r="AF55" i="85"/>
  <c r="S55" i="85"/>
  <c r="AC55" i="85" s="1"/>
  <c r="AK26" i="85"/>
  <c r="AF92" i="85"/>
  <c r="S92" i="85"/>
  <c r="AC92" i="85" s="1"/>
  <c r="AZ9" i="85" a="1"/>
  <c r="AZ9" i="85" s="1"/>
  <c r="AW7" i="85"/>
  <c r="AX9" i="85" a="1"/>
  <c r="AX9" i="85" s="1"/>
  <c r="BD9" i="85"/>
  <c r="BD10" i="85" s="1"/>
  <c r="BD11" i="85" s="1"/>
  <c r="BD12" i="85" s="1"/>
  <c r="BD13" i="85" s="1"/>
  <c r="BD14" i="85" s="1"/>
  <c r="BD15" i="85" s="1"/>
  <c r="BD16" i="85" s="1"/>
  <c r="BD17" i="85" s="1"/>
  <c r="BD18" i="85" s="1"/>
  <c r="S67" i="85"/>
  <c r="AC67" i="85" s="1"/>
  <c r="AF67" i="85"/>
  <c r="AB89" i="85"/>
  <c r="AM89" i="85" s="1"/>
  <c r="AK55" i="85"/>
  <c r="AF126" i="85"/>
  <c r="S126" i="85"/>
  <c r="AC126" i="85" s="1"/>
  <c r="AF95" i="85"/>
  <c r="S95" i="85"/>
  <c r="AC95" i="85" s="1"/>
  <c r="AK95" i="85"/>
  <c r="AZ17" i="85" a="1"/>
  <c r="AZ17" i="85" s="1"/>
  <c r="AY17" i="85" s="1"/>
  <c r="AZ10" i="85" a="1"/>
  <c r="AZ10" i="85" s="1"/>
  <c r="AY10" i="85" s="1"/>
  <c r="R2" i="85"/>
  <c r="AZ15" i="85" a="1"/>
  <c r="AZ15" i="85" s="1"/>
  <c r="AY15" i="85" s="1"/>
  <c r="AZ16" i="85" a="1"/>
  <c r="AZ16" i="85" s="1"/>
  <c r="AY16" i="85" s="1"/>
  <c r="AZ13" i="85" a="1"/>
  <c r="AZ13" i="85" s="1"/>
  <c r="AY13" i="85" s="1"/>
  <c r="AZ18" i="85" a="1"/>
  <c r="AZ18" i="85" s="1"/>
  <c r="AY18" i="85" s="1"/>
  <c r="AZ12" i="85" a="1"/>
  <c r="AZ12" i="85" s="1"/>
  <c r="AY12" i="85" s="1"/>
  <c r="Q2" i="85"/>
  <c r="G2" i="85" s="1"/>
  <c r="I42" i="12" s="1"/>
  <c r="AZ14" i="85" a="1"/>
  <c r="AZ14" i="85" s="1"/>
  <c r="AY14" i="85" s="1"/>
  <c r="P2" i="85"/>
  <c r="AK67" i="85"/>
  <c r="AG65" i="85"/>
  <c r="AB82" i="85"/>
  <c r="AM82" i="85" s="1"/>
  <c r="AF82" i="85"/>
  <c r="AG82" i="85" s="1"/>
  <c r="AG101" i="85"/>
  <c r="AF54" i="85"/>
  <c r="S54" i="85"/>
  <c r="AC54" i="85" s="1"/>
  <c r="AK54" i="85"/>
  <c r="AB100" i="85"/>
  <c r="AM100" i="85" s="1"/>
  <c r="AB65" i="85"/>
  <c r="AM65" i="85" s="1"/>
  <c r="AF78" i="85"/>
  <c r="AG78" i="85" s="1"/>
  <c r="AB78" i="85"/>
  <c r="AM78" i="85" s="1"/>
  <c r="AZ11" i="85" a="1"/>
  <c r="AZ11" i="85" s="1"/>
  <c r="AY11" i="85" s="1"/>
  <c r="AB7" i="85"/>
  <c r="AM7" i="85" s="1"/>
  <c r="AG8" i="85"/>
  <c r="BA14" i="85"/>
  <c r="AI3" i="85"/>
  <c r="E1" i="85" s="1"/>
  <c r="E42" i="12" s="1"/>
  <c r="AC45" i="85"/>
  <c r="AG45" i="85" s="1"/>
  <c r="AB45" i="85"/>
  <c r="AM45" i="85" s="1"/>
  <c r="AB8" i="85"/>
  <c r="AM8" i="85" s="1"/>
  <c r="AF80" i="85"/>
  <c r="AG80" i="85" s="1"/>
  <c r="AB80" i="85"/>
  <c r="AM80" i="85" s="1"/>
  <c r="AK82" i="85"/>
  <c r="BA11" i="85"/>
  <c r="AK112" i="85"/>
  <c r="BA13" i="85"/>
  <c r="BA12" i="85"/>
  <c r="AG96" i="85"/>
  <c r="AG117" i="85"/>
  <c r="AB106" i="85"/>
  <c r="AM106" i="85" s="1"/>
  <c r="AG102" i="85" l="1"/>
  <c r="AG62" i="85"/>
  <c r="AG90" i="85"/>
  <c r="AG35" i="85"/>
  <c r="AB97" i="85"/>
  <c r="AM97" i="85" s="1"/>
  <c r="AG46" i="85"/>
  <c r="AG95" i="85"/>
  <c r="AB70" i="85"/>
  <c r="AM70" i="85" s="1"/>
  <c r="AB98" i="85"/>
  <c r="AM98" i="85" s="1"/>
  <c r="AG21" i="85"/>
  <c r="AG32" i="85"/>
  <c r="AB113" i="85"/>
  <c r="AM113" i="85" s="1"/>
  <c r="AG98" i="85"/>
  <c r="AG70" i="85"/>
  <c r="AG58" i="85"/>
  <c r="AG86" i="85"/>
  <c r="AB95" i="85"/>
  <c r="AM95" i="85" s="1"/>
  <c r="AB55" i="85"/>
  <c r="AM55" i="85" s="1"/>
  <c r="AB88" i="85"/>
  <c r="AM88" i="85" s="1"/>
  <c r="AB26" i="85"/>
  <c r="AM26" i="85" s="1"/>
  <c r="AG74" i="85"/>
  <c r="AG54" i="85"/>
  <c r="AG76" i="85"/>
  <c r="AG50" i="85"/>
  <c r="AG72" i="85"/>
  <c r="AB74" i="85"/>
  <c r="AM74" i="85" s="1"/>
  <c r="AB71" i="85"/>
  <c r="AM71" i="85" s="1"/>
  <c r="AB125" i="85"/>
  <c r="AM125" i="85" s="1"/>
  <c r="AB102" i="85"/>
  <c r="AM102" i="85" s="1"/>
  <c r="AG105" i="85"/>
  <c r="AB62" i="85"/>
  <c r="AM62" i="85" s="1"/>
  <c r="AG52" i="85"/>
  <c r="AG115" i="85"/>
  <c r="AB85" i="85"/>
  <c r="AM85" i="85" s="1"/>
  <c r="AG116" i="85"/>
  <c r="AB93" i="85"/>
  <c r="AM93" i="85" s="1"/>
  <c r="AG23" i="85"/>
  <c r="AB109" i="85"/>
  <c r="AM109" i="85" s="1"/>
  <c r="AG94" i="85"/>
  <c r="AG55" i="85"/>
  <c r="AB58" i="85"/>
  <c r="AM58" i="85" s="1"/>
  <c r="AG15" i="85"/>
  <c r="AG99" i="85"/>
  <c r="AG14" i="85"/>
  <c r="AG126" i="85"/>
  <c r="AG71" i="85"/>
  <c r="AG108" i="85"/>
  <c r="AB63" i="85"/>
  <c r="AM63" i="85" s="1"/>
  <c r="AB25" i="85"/>
  <c r="AM25" i="85" s="1"/>
  <c r="AB92" i="85"/>
  <c r="AM92" i="85" s="1"/>
  <c r="AB69" i="85"/>
  <c r="AM69" i="85" s="1"/>
  <c r="AG49" i="85"/>
  <c r="AG110" i="85"/>
  <c r="AB24" i="85"/>
  <c r="AM24" i="85" s="1"/>
  <c r="AB126" i="85"/>
  <c r="AM126" i="85" s="1"/>
  <c r="AB23" i="85"/>
  <c r="AM23" i="85" s="1"/>
  <c r="AB114" i="85"/>
  <c r="AM114" i="85" s="1"/>
  <c r="AB112" i="85"/>
  <c r="AM112" i="85" s="1"/>
  <c r="AB87" i="85"/>
  <c r="AM87" i="85" s="1"/>
  <c r="BB7" i="85"/>
  <c r="BC29" i="85" s="1"/>
  <c r="BC34" i="85" s="1"/>
  <c r="J42" i="12" s="1"/>
  <c r="AG75" i="85"/>
  <c r="AG16" i="85"/>
  <c r="AB116" i="85"/>
  <c r="AM116" i="85" s="1"/>
  <c r="AB57" i="85"/>
  <c r="AM57" i="85" s="1"/>
  <c r="AB99" i="85"/>
  <c r="AM99" i="85" s="1"/>
  <c r="AB72" i="85"/>
  <c r="AM72" i="85" s="1"/>
  <c r="AG53" i="85"/>
  <c r="AB90" i="85"/>
  <c r="AM90" i="85" s="1"/>
  <c r="AG125" i="85"/>
  <c r="AG111" i="85"/>
  <c r="AB53" i="85"/>
  <c r="AM53" i="85" s="1"/>
  <c r="AB75" i="85"/>
  <c r="AM75" i="85" s="1"/>
  <c r="AG85" i="85"/>
  <c r="AK3" i="85"/>
  <c r="G42" i="12" s="1"/>
  <c r="AB16" i="85"/>
  <c r="AM16" i="85" s="1"/>
  <c r="AG60" i="85"/>
  <c r="AG25" i="85"/>
  <c r="AG47" i="85"/>
  <c r="AG87" i="85"/>
  <c r="AB105" i="85"/>
  <c r="AM105" i="85" s="1"/>
  <c r="AB111" i="85"/>
  <c r="AM111" i="85" s="1"/>
  <c r="AB15" i="85"/>
  <c r="AM15" i="85" s="1"/>
  <c r="AG97" i="85"/>
  <c r="AG112" i="85"/>
  <c r="AG24" i="85"/>
  <c r="AB50" i="85"/>
  <c r="AM50" i="85" s="1"/>
  <c r="AB76" i="85"/>
  <c r="AM76" i="85" s="1"/>
  <c r="AG93" i="85"/>
  <c r="AB54" i="85"/>
  <c r="AM54" i="85" s="1"/>
  <c r="AG92" i="85"/>
  <c r="AB94" i="85"/>
  <c r="AM94" i="85" s="1"/>
  <c r="AB35" i="85"/>
  <c r="AM35" i="85" s="1"/>
  <c r="AG63" i="85"/>
  <c r="AG109" i="85"/>
  <c r="AG69" i="85"/>
  <c r="AB60" i="85"/>
  <c r="AM60" i="85" s="1"/>
  <c r="AB47" i="85"/>
  <c r="AM47" i="85" s="1"/>
  <c r="AB52" i="85"/>
  <c r="AM52" i="85" s="1"/>
  <c r="AB108" i="85"/>
  <c r="AM108" i="85" s="1"/>
  <c r="AG13" i="85"/>
  <c r="AB10" i="85"/>
  <c r="AM10" i="85" s="1"/>
  <c r="AB21" i="85"/>
  <c r="AM21" i="85" s="1"/>
  <c r="AB67" i="85"/>
  <c r="AM67" i="85" s="1"/>
  <c r="AB110" i="85"/>
  <c r="AM110" i="85" s="1"/>
  <c r="AG10" i="85"/>
  <c r="AY9" i="85"/>
  <c r="BA9" i="85"/>
  <c r="AX7" i="85"/>
  <c r="AB14" i="85"/>
  <c r="AM14" i="85" s="1"/>
  <c r="AB13" i="85"/>
  <c r="AM13" i="85" s="1"/>
  <c r="AG113" i="85"/>
  <c r="AB118" i="85"/>
  <c r="AM118" i="85" s="1"/>
  <c r="AB49" i="85"/>
  <c r="AM49" i="85" s="1"/>
  <c r="AB46" i="85"/>
  <c r="AM46" i="85" s="1"/>
  <c r="AZ7" i="85"/>
  <c r="AG67" i="85"/>
  <c r="AG26" i="85"/>
  <c r="AG19" i="85"/>
  <c r="AB86" i="85"/>
  <c r="AM86" i="85" s="1"/>
  <c r="AG114" i="85"/>
  <c r="AB115" i="85"/>
  <c r="AM115" i="85" s="1"/>
  <c r="AG118" i="85"/>
  <c r="AG57" i="85"/>
  <c r="AG33" i="85"/>
  <c r="E21" i="77"/>
  <c r="AG2" i="85" l="1"/>
  <c r="K42" i="12" s="1"/>
  <c r="M42" i="12" s="1"/>
  <c r="AM3" i="85"/>
  <c r="G1" i="85" s="1"/>
  <c r="BC9" i="85"/>
  <c r="BC10" i="85" s="1"/>
  <c r="BC11" i="85" s="1"/>
  <c r="BC12" i="85" s="1"/>
  <c r="BC13" i="85" s="1"/>
  <c r="BC14" i="85" s="1"/>
  <c r="BC15" i="85" s="1"/>
  <c r="BC16" i="85" s="1"/>
  <c r="BC17" i="85" s="1"/>
  <c r="BC18" i="85" s="1"/>
  <c r="BA7" i="85"/>
  <c r="BC30" i="84"/>
  <c r="AN43" i="84" l="1"/>
  <c r="M43" i="84" s="1"/>
  <c r="Z43" i="84"/>
  <c r="Y43" i="84"/>
  <c r="U43" i="84"/>
  <c r="AJ43" i="84" s="1"/>
  <c r="K43" i="84"/>
  <c r="AH43" i="84" s="1"/>
  <c r="E43" i="84"/>
  <c r="AN36" i="84"/>
  <c r="M36" i="84" s="1"/>
  <c r="AE36" i="84"/>
  <c r="AA36" i="84"/>
  <c r="U36" i="84"/>
  <c r="AD36" i="84" s="1"/>
  <c r="K36" i="84"/>
  <c r="AH36" i="84" s="1"/>
  <c r="E36" i="84"/>
  <c r="AN30" i="84"/>
  <c r="M30" i="84" s="1"/>
  <c r="AE30" i="84"/>
  <c r="AA30" i="84"/>
  <c r="U30" i="84"/>
  <c r="AD30" i="84" s="1"/>
  <c r="K30" i="84"/>
  <c r="AI30" i="84" s="1"/>
  <c r="E30" i="84"/>
  <c r="AN23" i="84"/>
  <c r="M23" i="84" s="1"/>
  <c r="AE23" i="84"/>
  <c r="AA23" i="84"/>
  <c r="U23" i="84"/>
  <c r="AD23" i="84" s="1"/>
  <c r="K23" i="84"/>
  <c r="AI23" i="84" s="1"/>
  <c r="E23" i="84"/>
  <c r="AN22" i="84"/>
  <c r="M22" i="84" s="1"/>
  <c r="O22" i="84" s="1"/>
  <c r="AE22" i="84"/>
  <c r="AA22" i="84"/>
  <c r="U22" i="84"/>
  <c r="AJ22" i="84" s="1"/>
  <c r="K22" i="84"/>
  <c r="AI22" i="84" s="1"/>
  <c r="E22" i="84"/>
  <c r="AN16" i="84"/>
  <c r="M16" i="84" s="1"/>
  <c r="AE16" i="84"/>
  <c r="AA16" i="84"/>
  <c r="U16" i="84"/>
  <c r="AD16" i="84" s="1"/>
  <c r="K16" i="84"/>
  <c r="AI16" i="84" s="1"/>
  <c r="E16" i="84"/>
  <c r="E17" i="84"/>
  <c r="K17" i="84"/>
  <c r="AH17" i="84" s="1"/>
  <c r="N17" i="84"/>
  <c r="O17" i="84"/>
  <c r="U17" i="84"/>
  <c r="AJ17" i="84" s="1"/>
  <c r="Z17" i="84"/>
  <c r="AA17" i="84" s="1"/>
  <c r="AN17" i="84"/>
  <c r="AN13" i="84"/>
  <c r="M13" i="84" s="1"/>
  <c r="O13" i="84" s="1"/>
  <c r="AE13" i="84"/>
  <c r="AA13" i="84"/>
  <c r="U13" i="84"/>
  <c r="AD13" i="84" s="1"/>
  <c r="K13" i="84"/>
  <c r="AI13" i="84" s="1"/>
  <c r="E13" i="84"/>
  <c r="AN11" i="84"/>
  <c r="M11" i="84" s="1"/>
  <c r="AE11" i="84"/>
  <c r="AA11" i="84"/>
  <c r="U11" i="84"/>
  <c r="AD11" i="84" s="1"/>
  <c r="K11" i="84"/>
  <c r="E11" i="84"/>
  <c r="AN9" i="84"/>
  <c r="M9" i="84" s="1"/>
  <c r="Z9" i="84"/>
  <c r="Y9" i="84"/>
  <c r="U9" i="84"/>
  <c r="AD9" i="84" s="1"/>
  <c r="K9" i="84"/>
  <c r="AI9" i="84" s="1"/>
  <c r="E9" i="84"/>
  <c r="AN8" i="84"/>
  <c r="M8" i="84" s="1"/>
  <c r="Z8" i="84"/>
  <c r="Y8" i="84"/>
  <c r="U8" i="84"/>
  <c r="AJ8" i="84" s="1"/>
  <c r="K8" i="84"/>
  <c r="AM8" i="84" s="1"/>
  <c r="E8" i="84"/>
  <c r="AE9" i="84" l="1"/>
  <c r="AE43" i="84"/>
  <c r="AA43" i="84"/>
  <c r="AD43" i="84"/>
  <c r="AI43" i="84"/>
  <c r="N43" i="84"/>
  <c r="O43" i="84" s="1"/>
  <c r="AI36" i="84"/>
  <c r="N36" i="84"/>
  <c r="O36" i="84" s="1"/>
  <c r="AJ36" i="84"/>
  <c r="AJ30" i="84"/>
  <c r="N30" i="84"/>
  <c r="O30" i="84" s="1"/>
  <c r="AH30" i="84"/>
  <c r="AK22" i="84"/>
  <c r="AH23" i="84"/>
  <c r="AJ23" i="84"/>
  <c r="N23" i="84"/>
  <c r="O23" i="84" s="1"/>
  <c r="AK17" i="84"/>
  <c r="AH22" i="84"/>
  <c r="S22" i="84"/>
  <c r="AC22" i="84" s="1"/>
  <c r="AD22" i="84"/>
  <c r="AF22" i="84"/>
  <c r="AI17" i="84"/>
  <c r="AH16" i="84"/>
  <c r="AF17" i="84"/>
  <c r="AE17" i="84"/>
  <c r="AJ16" i="84"/>
  <c r="AD17" i="84"/>
  <c r="N16" i="84"/>
  <c r="O16" i="84" s="1"/>
  <c r="S17" i="84"/>
  <c r="AK13" i="84"/>
  <c r="AH8" i="84"/>
  <c r="AI8" i="84"/>
  <c r="AH13" i="84"/>
  <c r="S13" i="84"/>
  <c r="AC13" i="84" s="1"/>
  <c r="AF13" i="84"/>
  <c r="AJ13" i="84"/>
  <c r="AE8" i="84"/>
  <c r="N11" i="84"/>
  <c r="O11" i="84" s="1"/>
  <c r="AK11" i="84" s="1"/>
  <c r="AH11" i="84"/>
  <c r="AI11" i="84"/>
  <c r="AJ11" i="84"/>
  <c r="AH9" i="84"/>
  <c r="AJ9" i="84"/>
  <c r="N9" i="84"/>
  <c r="O9" i="84" s="1"/>
  <c r="AA8" i="84"/>
  <c r="AD8" i="84"/>
  <c r="AA9" i="84"/>
  <c r="N8" i="84"/>
  <c r="O8" i="84" s="1"/>
  <c r="AG22" i="84" l="1"/>
  <c r="S43" i="84"/>
  <c r="AC43" i="84" s="1"/>
  <c r="AF43" i="84"/>
  <c r="AK43" i="84"/>
  <c r="AF36" i="84"/>
  <c r="S36" i="84"/>
  <c r="AC36" i="84" s="1"/>
  <c r="AG36" i="84" s="1"/>
  <c r="AK36" i="84"/>
  <c r="AF30" i="84"/>
  <c r="S30" i="84"/>
  <c r="AC30" i="84" s="1"/>
  <c r="AK30" i="84"/>
  <c r="AF23" i="84"/>
  <c r="S23" i="84"/>
  <c r="AC23" i="84" s="1"/>
  <c r="AK23" i="84"/>
  <c r="AG13" i="84"/>
  <c r="AB22" i="84"/>
  <c r="AM22" i="84" s="1"/>
  <c r="AF16" i="84"/>
  <c r="S16" i="84"/>
  <c r="AC16" i="84" s="1"/>
  <c r="AK16" i="84"/>
  <c r="AC17" i="84"/>
  <c r="AG17" i="84" s="1"/>
  <c r="AB17" i="84"/>
  <c r="AM17" i="84" s="1"/>
  <c r="AB13" i="84"/>
  <c r="AM13" i="84" s="1"/>
  <c r="AF11" i="84"/>
  <c r="S11" i="84"/>
  <c r="AC11" i="84" s="1"/>
  <c r="AF9" i="84"/>
  <c r="S9" i="84"/>
  <c r="AC9" i="84" s="1"/>
  <c r="AK9" i="84"/>
  <c r="S8" i="84"/>
  <c r="AC8" i="84" s="1"/>
  <c r="AF8" i="84"/>
  <c r="AK8" i="84"/>
  <c r="AG9" i="84" l="1"/>
  <c r="AG23" i="84"/>
  <c r="AG11" i="84"/>
  <c r="AB43" i="84"/>
  <c r="AM43" i="84" s="1"/>
  <c r="AG16" i="84"/>
  <c r="AG43" i="84"/>
  <c r="AB30" i="84"/>
  <c r="AM30" i="84" s="1"/>
  <c r="AB36" i="84"/>
  <c r="AM36" i="84" s="1"/>
  <c r="AG30" i="84"/>
  <c r="AB23" i="84"/>
  <c r="AM23" i="84" s="1"/>
  <c r="AB16" i="84"/>
  <c r="AM16" i="84" s="1"/>
  <c r="AB11" i="84"/>
  <c r="AM11" i="84" s="1"/>
  <c r="AG8" i="84"/>
  <c r="AB9" i="84"/>
  <c r="AM9" i="84" s="1"/>
  <c r="E9" i="77" l="1"/>
  <c r="E11" i="77" s="1"/>
  <c r="AN110" i="84" l="1"/>
  <c r="M110" i="84" s="1"/>
  <c r="N110" i="84" s="1"/>
  <c r="O110" i="84" s="1"/>
  <c r="Z110" i="84"/>
  <c r="Y110" i="84"/>
  <c r="U110" i="84"/>
  <c r="K110" i="84"/>
  <c r="AI110" i="84" s="1"/>
  <c r="E110" i="84"/>
  <c r="AN109" i="84"/>
  <c r="M109" i="84" s="1"/>
  <c r="Z109" i="84"/>
  <c r="Y109" i="84"/>
  <c r="U109" i="84"/>
  <c r="AD109" i="84" s="1"/>
  <c r="K109" i="84"/>
  <c r="AI109" i="84" s="1"/>
  <c r="E109" i="84"/>
  <c r="AN108" i="84"/>
  <c r="M108" i="84" s="1"/>
  <c r="N108" i="84" s="1"/>
  <c r="Z108" i="84"/>
  <c r="Y108" i="84"/>
  <c r="U108" i="84"/>
  <c r="AJ108" i="84" s="1"/>
  <c r="K108" i="84"/>
  <c r="AI108" i="84" s="1"/>
  <c r="E108" i="84"/>
  <c r="AN107" i="84"/>
  <c r="M107" i="84" s="1"/>
  <c r="N107" i="84" s="1"/>
  <c r="Z107" i="84"/>
  <c r="Y107" i="84"/>
  <c r="U107" i="84"/>
  <c r="K107" i="84"/>
  <c r="E107" i="84"/>
  <c r="AN106" i="84"/>
  <c r="M106" i="84" s="1"/>
  <c r="Z106" i="84"/>
  <c r="Y106" i="84"/>
  <c r="U106" i="84"/>
  <c r="K106" i="84"/>
  <c r="AI106" i="84" s="1"/>
  <c r="E106" i="84"/>
  <c r="AN105" i="84"/>
  <c r="M105" i="84" s="1"/>
  <c r="AE105" i="84"/>
  <c r="AA105" i="84"/>
  <c r="U105" i="84"/>
  <c r="K105" i="84"/>
  <c r="E105" i="84"/>
  <c r="AN104" i="84"/>
  <c r="M104" i="84" s="1"/>
  <c r="AE104" i="84"/>
  <c r="AA104" i="84"/>
  <c r="U104" i="84"/>
  <c r="K104" i="84"/>
  <c r="E104" i="84"/>
  <c r="AN103" i="84"/>
  <c r="M103" i="84" s="1"/>
  <c r="N103" i="84" s="1"/>
  <c r="AE103" i="84"/>
  <c r="AA103" i="84"/>
  <c r="U103" i="84"/>
  <c r="AJ103" i="84" s="1"/>
  <c r="K103" i="84"/>
  <c r="AI103" i="84" s="1"/>
  <c r="E103" i="84"/>
  <c r="AN102" i="84"/>
  <c r="M102" i="84" s="1"/>
  <c r="N102" i="84" s="1"/>
  <c r="AE102" i="84"/>
  <c r="AA102" i="84"/>
  <c r="U102" i="84"/>
  <c r="K102" i="84"/>
  <c r="AH102" i="84" s="1"/>
  <c r="E102" i="84"/>
  <c r="AN101" i="84"/>
  <c r="M101" i="84" s="1"/>
  <c r="AE101" i="84"/>
  <c r="AA101" i="84"/>
  <c r="U101" i="84"/>
  <c r="AD101" i="84" s="1"/>
  <c r="K101" i="84"/>
  <c r="AI101" i="84" s="1"/>
  <c r="E101" i="84"/>
  <c r="AN100" i="84"/>
  <c r="M100" i="84" s="1"/>
  <c r="AE100" i="84"/>
  <c r="AA100" i="84"/>
  <c r="U100" i="84"/>
  <c r="AJ100" i="84" s="1"/>
  <c r="K100" i="84"/>
  <c r="AI100" i="84" s="1"/>
  <c r="E100" i="84"/>
  <c r="AN99" i="84"/>
  <c r="M99" i="84" s="1"/>
  <c r="AE99" i="84"/>
  <c r="AA99" i="84"/>
  <c r="U99" i="84"/>
  <c r="AD99" i="84" s="1"/>
  <c r="K99" i="84"/>
  <c r="AH99" i="84" s="1"/>
  <c r="E99" i="84"/>
  <c r="AN98" i="84"/>
  <c r="M98" i="84" s="1"/>
  <c r="AE98" i="84"/>
  <c r="AA98" i="84"/>
  <c r="U98" i="84"/>
  <c r="AD98" i="84" s="1"/>
  <c r="K98" i="84"/>
  <c r="E98" i="84"/>
  <c r="AN97" i="84"/>
  <c r="M97" i="84" s="1"/>
  <c r="N97" i="84" s="1"/>
  <c r="AE97" i="84"/>
  <c r="AA97" i="84"/>
  <c r="U97" i="84"/>
  <c r="K97" i="84"/>
  <c r="E97" i="84"/>
  <c r="AN96" i="84"/>
  <c r="M96" i="84" s="1"/>
  <c r="N96" i="84" s="1"/>
  <c r="AE96" i="84"/>
  <c r="AA96" i="84"/>
  <c r="U96" i="84"/>
  <c r="AJ96" i="84" s="1"/>
  <c r="K96" i="84"/>
  <c r="AI96" i="84" s="1"/>
  <c r="E96" i="84"/>
  <c r="AN95" i="84"/>
  <c r="M95" i="84" s="1"/>
  <c r="N95" i="84" s="1"/>
  <c r="AE95" i="84"/>
  <c r="AA95" i="84"/>
  <c r="U95" i="84"/>
  <c r="AJ95" i="84" s="1"/>
  <c r="K95" i="84"/>
  <c r="AI95" i="84" s="1"/>
  <c r="E95" i="84"/>
  <c r="AN94" i="84"/>
  <c r="M94" i="84" s="1"/>
  <c r="N94" i="84" s="1"/>
  <c r="AE94" i="84"/>
  <c r="AA94" i="84"/>
  <c r="U94" i="84"/>
  <c r="K94" i="84"/>
  <c r="AI94" i="84" s="1"/>
  <c r="E94" i="84"/>
  <c r="AN93" i="84"/>
  <c r="M93" i="84" s="1"/>
  <c r="AE93" i="84"/>
  <c r="AA93" i="84"/>
  <c r="U93" i="84"/>
  <c r="K93" i="84"/>
  <c r="E93" i="84"/>
  <c r="AN92" i="84"/>
  <c r="M92" i="84" s="1"/>
  <c r="AE92" i="84"/>
  <c r="AA92" i="84"/>
  <c r="U92" i="84"/>
  <c r="AJ92" i="84" s="1"/>
  <c r="K92" i="84"/>
  <c r="AI92" i="84" s="1"/>
  <c r="E92" i="84"/>
  <c r="AN91" i="84"/>
  <c r="M91" i="84" s="1"/>
  <c r="AE91" i="84"/>
  <c r="AA91" i="84"/>
  <c r="U91" i="84"/>
  <c r="AD91" i="84" s="1"/>
  <c r="K91" i="84"/>
  <c r="E91" i="84"/>
  <c r="AN90" i="84"/>
  <c r="M90" i="84" s="1"/>
  <c r="AE90" i="84"/>
  <c r="AA90" i="84"/>
  <c r="U90" i="84"/>
  <c r="AJ90" i="84" s="1"/>
  <c r="K90" i="84"/>
  <c r="E90" i="84"/>
  <c r="AN89" i="84"/>
  <c r="M89" i="84" s="1"/>
  <c r="AE89" i="84"/>
  <c r="AA89" i="84"/>
  <c r="U89" i="84"/>
  <c r="K89" i="84"/>
  <c r="AM89" i="84" s="1"/>
  <c r="E89" i="84"/>
  <c r="AN88" i="84"/>
  <c r="M88" i="84" s="1"/>
  <c r="AE88" i="84"/>
  <c r="AA88" i="84"/>
  <c r="U88" i="84"/>
  <c r="K88" i="84"/>
  <c r="E88" i="84"/>
  <c r="AN87" i="84"/>
  <c r="M87" i="84" s="1"/>
  <c r="N87" i="84" s="1"/>
  <c r="O87" i="84" s="1"/>
  <c r="AE87" i="84"/>
  <c r="AA87" i="84"/>
  <c r="U87" i="84"/>
  <c r="AJ87" i="84" s="1"/>
  <c r="K87" i="84"/>
  <c r="E87" i="84"/>
  <c r="AN86" i="84"/>
  <c r="M86" i="84" s="1"/>
  <c r="Z86" i="84"/>
  <c r="Y86" i="84"/>
  <c r="U86" i="84"/>
  <c r="K86" i="84"/>
  <c r="AI86" i="84" s="1"/>
  <c r="E86" i="84"/>
  <c r="AN85" i="84"/>
  <c r="M85" i="84" s="1"/>
  <c r="N85" i="84" s="1"/>
  <c r="O85" i="84" s="1"/>
  <c r="Z85" i="84"/>
  <c r="Y85" i="84"/>
  <c r="U85" i="84"/>
  <c r="AJ85" i="84" s="1"/>
  <c r="K85" i="84"/>
  <c r="E85" i="84"/>
  <c r="AN84" i="84"/>
  <c r="M84" i="84" s="1"/>
  <c r="Z84" i="84"/>
  <c r="Y84" i="84"/>
  <c r="U84" i="84"/>
  <c r="AD84" i="84" s="1"/>
  <c r="K84" i="84"/>
  <c r="AI84" i="84" s="1"/>
  <c r="E84" i="84"/>
  <c r="AN83" i="84"/>
  <c r="M83" i="84" s="1"/>
  <c r="Z83" i="84"/>
  <c r="Y83" i="84"/>
  <c r="U83" i="84"/>
  <c r="AD83" i="84" s="1"/>
  <c r="K83" i="84"/>
  <c r="AI83" i="84" s="1"/>
  <c r="E83" i="84"/>
  <c r="AN82" i="84"/>
  <c r="M82" i="84" s="1"/>
  <c r="Z82" i="84"/>
  <c r="Y82" i="84"/>
  <c r="U82" i="84"/>
  <c r="AJ82" i="84" s="1"/>
  <c r="K82" i="84"/>
  <c r="AI82" i="84" s="1"/>
  <c r="E82" i="84"/>
  <c r="AN81" i="84"/>
  <c r="M81" i="84" s="1"/>
  <c r="Z81" i="84"/>
  <c r="Y81" i="84"/>
  <c r="U81" i="84"/>
  <c r="K81" i="84"/>
  <c r="E81" i="84"/>
  <c r="AN80" i="84"/>
  <c r="M80" i="84" s="1"/>
  <c r="N80" i="84" s="1"/>
  <c r="Z80" i="84"/>
  <c r="Y80" i="84"/>
  <c r="U80" i="84"/>
  <c r="K80" i="84"/>
  <c r="AH80" i="84" s="1"/>
  <c r="E80" i="84"/>
  <c r="AN79" i="84"/>
  <c r="M79" i="84" s="1"/>
  <c r="AE79" i="84"/>
  <c r="AA79" i="84"/>
  <c r="U79" i="84"/>
  <c r="K79" i="84"/>
  <c r="E79" i="84"/>
  <c r="AN78" i="84"/>
  <c r="M78" i="84" s="1"/>
  <c r="AE78" i="84"/>
  <c r="AA78" i="84"/>
  <c r="U78" i="84"/>
  <c r="AJ78" i="84" s="1"/>
  <c r="K78" i="84"/>
  <c r="AI78" i="84" s="1"/>
  <c r="E78" i="84"/>
  <c r="AN77" i="84"/>
  <c r="M77" i="84" s="1"/>
  <c r="AE77" i="84"/>
  <c r="AA77" i="84"/>
  <c r="U77" i="84"/>
  <c r="K77" i="84"/>
  <c r="E77" i="84"/>
  <c r="AN76" i="84"/>
  <c r="M76" i="84" s="1"/>
  <c r="Z76" i="84"/>
  <c r="Y76" i="84"/>
  <c r="U76" i="84"/>
  <c r="AJ76" i="84" s="1"/>
  <c r="K76" i="84"/>
  <c r="E76" i="84"/>
  <c r="AN75" i="84"/>
  <c r="M75" i="84" s="1"/>
  <c r="AE75" i="84"/>
  <c r="AA75" i="84"/>
  <c r="U75" i="84"/>
  <c r="K75" i="84"/>
  <c r="E75" i="84"/>
  <c r="AN74" i="84"/>
  <c r="M74" i="84" s="1"/>
  <c r="AE74" i="84"/>
  <c r="AA74" i="84"/>
  <c r="U74" i="84"/>
  <c r="K74" i="84"/>
  <c r="E74" i="84"/>
  <c r="AN73" i="84"/>
  <c r="M73" i="84" s="1"/>
  <c r="N73" i="84" s="1"/>
  <c r="AE73" i="84"/>
  <c r="AA73" i="84"/>
  <c r="U73" i="84"/>
  <c r="K73" i="84"/>
  <c r="AI73" i="84" s="1"/>
  <c r="E73" i="84"/>
  <c r="AN72" i="84"/>
  <c r="M72" i="84" s="1"/>
  <c r="N72" i="84" s="1"/>
  <c r="AE72" i="84"/>
  <c r="AA72" i="84"/>
  <c r="U72" i="84"/>
  <c r="K72" i="84"/>
  <c r="E72" i="84"/>
  <c r="AN71" i="84"/>
  <c r="M71" i="84" s="1"/>
  <c r="AE71" i="84"/>
  <c r="AA71" i="84"/>
  <c r="U71" i="84"/>
  <c r="K71" i="84"/>
  <c r="E71" i="84"/>
  <c r="AN70" i="84"/>
  <c r="M70" i="84" s="1"/>
  <c r="N70" i="84" s="1"/>
  <c r="O70" i="84" s="1"/>
  <c r="S70" i="84" s="1"/>
  <c r="AC70" i="84" s="1"/>
  <c r="Z70" i="84"/>
  <c r="Y70" i="84"/>
  <c r="U70" i="84"/>
  <c r="K70" i="84"/>
  <c r="E70" i="84"/>
  <c r="AN69" i="84"/>
  <c r="M69" i="84" s="1"/>
  <c r="AE69" i="84"/>
  <c r="AA69" i="84"/>
  <c r="U69" i="84"/>
  <c r="AD69" i="84" s="1"/>
  <c r="K69" i="84"/>
  <c r="AH69" i="84" s="1"/>
  <c r="E69" i="84"/>
  <c r="AN68" i="84"/>
  <c r="M68" i="84" s="1"/>
  <c r="AE68" i="84"/>
  <c r="AA68" i="84"/>
  <c r="U68" i="84"/>
  <c r="K68" i="84"/>
  <c r="E68" i="84"/>
  <c r="AN67" i="84"/>
  <c r="M67" i="84" s="1"/>
  <c r="N67" i="84" s="1"/>
  <c r="AE67" i="84"/>
  <c r="AA67" i="84"/>
  <c r="U67" i="84"/>
  <c r="K67" i="84"/>
  <c r="E67" i="84"/>
  <c r="AN66" i="84"/>
  <c r="M66" i="84" s="1"/>
  <c r="N66" i="84" s="1"/>
  <c r="O66" i="84" s="1"/>
  <c r="AE66" i="84"/>
  <c r="AA66" i="84"/>
  <c r="U66" i="84"/>
  <c r="AD66" i="84" s="1"/>
  <c r="K66" i="84"/>
  <c r="AH66" i="84" s="1"/>
  <c r="E66" i="84"/>
  <c r="AN65" i="84"/>
  <c r="M65" i="84" s="1"/>
  <c r="N65" i="84" s="1"/>
  <c r="AE65" i="84"/>
  <c r="AA65" i="84"/>
  <c r="U65" i="84"/>
  <c r="K65" i="84"/>
  <c r="E65" i="84"/>
  <c r="AN64" i="84"/>
  <c r="M64" i="84" s="1"/>
  <c r="N64" i="84" s="1"/>
  <c r="AE64" i="84"/>
  <c r="AA64" i="84"/>
  <c r="U64" i="84"/>
  <c r="AJ64" i="84" s="1"/>
  <c r="K64" i="84"/>
  <c r="E64" i="84"/>
  <c r="AN63" i="84"/>
  <c r="M63" i="84" s="1"/>
  <c r="N63" i="84" s="1"/>
  <c r="AE63" i="84"/>
  <c r="AA63" i="84"/>
  <c r="U63" i="84"/>
  <c r="AJ63" i="84" s="1"/>
  <c r="K63" i="84"/>
  <c r="E63" i="84"/>
  <c r="AN62" i="84"/>
  <c r="M62" i="84" s="1"/>
  <c r="AE62" i="84"/>
  <c r="AA62" i="84"/>
  <c r="U62" i="84"/>
  <c r="AD62" i="84" s="1"/>
  <c r="K62" i="84"/>
  <c r="E62" i="84"/>
  <c r="AN61" i="84"/>
  <c r="M61" i="84" s="1"/>
  <c r="AE61" i="84"/>
  <c r="AA61" i="84"/>
  <c r="U61" i="84"/>
  <c r="K61" i="84"/>
  <c r="AH61" i="84" s="1"/>
  <c r="E61" i="84"/>
  <c r="AN60" i="84"/>
  <c r="M60" i="84" s="1"/>
  <c r="N60" i="84" s="1"/>
  <c r="O60" i="84" s="1"/>
  <c r="Z60" i="84"/>
  <c r="Y60" i="84"/>
  <c r="U60" i="84"/>
  <c r="K60" i="84"/>
  <c r="E60" i="84"/>
  <c r="AN59" i="84"/>
  <c r="Z59" i="84"/>
  <c r="Y59" i="84"/>
  <c r="U59" i="84"/>
  <c r="AJ59" i="84" s="1"/>
  <c r="S59" i="84"/>
  <c r="N59" i="84"/>
  <c r="K59" i="84"/>
  <c r="AK59" i="84" s="1"/>
  <c r="E59" i="84"/>
  <c r="AN58" i="84"/>
  <c r="Z58" i="84"/>
  <c r="Y58" i="84"/>
  <c r="U58" i="84"/>
  <c r="S58" i="84"/>
  <c r="AC58" i="84" s="1"/>
  <c r="N58" i="84"/>
  <c r="K58" i="84"/>
  <c r="E58" i="84"/>
  <c r="AN57" i="84"/>
  <c r="M57" i="84" s="1"/>
  <c r="AE57" i="84"/>
  <c r="AA57" i="84"/>
  <c r="U57" i="84"/>
  <c r="K57" i="84"/>
  <c r="E57" i="84"/>
  <c r="AN56" i="84"/>
  <c r="M56" i="84" s="1"/>
  <c r="AE56" i="84"/>
  <c r="AA56" i="84"/>
  <c r="U56" i="84"/>
  <c r="K56" i="84"/>
  <c r="AI56" i="84" s="1"/>
  <c r="E56" i="84"/>
  <c r="AN55" i="84"/>
  <c r="M55" i="84" s="1"/>
  <c r="O55" i="84" s="1"/>
  <c r="AE55" i="84"/>
  <c r="AA55" i="84"/>
  <c r="U55" i="84"/>
  <c r="AJ55" i="84" s="1"/>
  <c r="K55" i="84"/>
  <c r="E55" i="84"/>
  <c r="AN54" i="84"/>
  <c r="M54" i="84" s="1"/>
  <c r="AE54" i="84"/>
  <c r="AA54" i="84"/>
  <c r="U54" i="84"/>
  <c r="K54" i="84"/>
  <c r="AI54" i="84" s="1"/>
  <c r="E54" i="84"/>
  <c r="AN53" i="84"/>
  <c r="M53" i="84" s="1"/>
  <c r="Z53" i="84"/>
  <c r="AA53" i="84" s="1"/>
  <c r="U53" i="84"/>
  <c r="AJ53" i="84" s="1"/>
  <c r="K53" i="84"/>
  <c r="E53" i="84"/>
  <c r="AN52" i="84"/>
  <c r="M52" i="84" s="1"/>
  <c r="Z52" i="84"/>
  <c r="Y52" i="84"/>
  <c r="U52" i="84"/>
  <c r="AJ52" i="84" s="1"/>
  <c r="K52" i="84"/>
  <c r="AH52" i="84" s="1"/>
  <c r="E52" i="84"/>
  <c r="AN51" i="84"/>
  <c r="M51" i="84" s="1"/>
  <c r="Z51" i="84"/>
  <c r="Y51" i="84"/>
  <c r="U51" i="84"/>
  <c r="K51" i="84"/>
  <c r="E51" i="84"/>
  <c r="AN50" i="84"/>
  <c r="M50" i="84" s="1"/>
  <c r="AE50" i="84"/>
  <c r="AA50" i="84"/>
  <c r="U50" i="84"/>
  <c r="K50" i="84"/>
  <c r="AI50" i="84" s="1"/>
  <c r="E50" i="84"/>
  <c r="AN49" i="84"/>
  <c r="M49" i="84" s="1"/>
  <c r="AE49" i="84"/>
  <c r="AA49" i="84"/>
  <c r="U49" i="84"/>
  <c r="AJ49" i="84" s="1"/>
  <c r="K49" i="84"/>
  <c r="AI49" i="84" s="1"/>
  <c r="E49" i="84"/>
  <c r="AN48" i="84"/>
  <c r="M48" i="84" s="1"/>
  <c r="N48" i="84" s="1"/>
  <c r="O48" i="84" s="1"/>
  <c r="AE48" i="84"/>
  <c r="AA48" i="84"/>
  <c r="U48" i="84"/>
  <c r="AJ48" i="84" s="1"/>
  <c r="K48" i="84"/>
  <c r="AI48" i="84" s="1"/>
  <c r="E48" i="84"/>
  <c r="AN47" i="84"/>
  <c r="M47" i="84" s="1"/>
  <c r="AE47" i="84"/>
  <c r="AA47" i="84"/>
  <c r="U47" i="84"/>
  <c r="AJ47" i="84" s="1"/>
  <c r="K47" i="84"/>
  <c r="E47" i="84"/>
  <c r="AN46" i="84"/>
  <c r="M46" i="84" s="1"/>
  <c r="AE46" i="84"/>
  <c r="AA46" i="84"/>
  <c r="U46" i="84"/>
  <c r="AJ46" i="84" s="1"/>
  <c r="K46" i="84"/>
  <c r="E46" i="84"/>
  <c r="AN45" i="84"/>
  <c r="M45" i="84" s="1"/>
  <c r="AE45" i="84"/>
  <c r="AA45" i="84"/>
  <c r="U45" i="84"/>
  <c r="AD45" i="84" s="1"/>
  <c r="K45" i="84"/>
  <c r="AH45" i="84" s="1"/>
  <c r="E45" i="84"/>
  <c r="AN44" i="84"/>
  <c r="M44" i="84" s="1"/>
  <c r="AE44" i="84"/>
  <c r="AA44" i="84"/>
  <c r="U44" i="84"/>
  <c r="AD44" i="84" s="1"/>
  <c r="K44" i="84"/>
  <c r="E44" i="84"/>
  <c r="AN42" i="84"/>
  <c r="M42" i="84" s="1"/>
  <c r="AE42" i="84"/>
  <c r="AA42" i="84"/>
  <c r="U42" i="84"/>
  <c r="K42" i="84"/>
  <c r="E42" i="84"/>
  <c r="AN41" i="84"/>
  <c r="M41" i="84" s="1"/>
  <c r="AE41" i="84"/>
  <c r="AA41" i="84"/>
  <c r="U41" i="84"/>
  <c r="K41" i="84"/>
  <c r="AI41" i="84" s="1"/>
  <c r="E41" i="84"/>
  <c r="AN40" i="84"/>
  <c r="M40" i="84" s="1"/>
  <c r="N40" i="84" s="1"/>
  <c r="AE40" i="84"/>
  <c r="AA40" i="84"/>
  <c r="U40" i="84"/>
  <c r="K40" i="84"/>
  <c r="E40" i="84"/>
  <c r="AN39" i="84"/>
  <c r="M39" i="84" s="1"/>
  <c r="AE39" i="84"/>
  <c r="AA39" i="84"/>
  <c r="U39" i="84"/>
  <c r="K39" i="84"/>
  <c r="AI39" i="84" s="1"/>
  <c r="E39" i="84"/>
  <c r="AN38" i="84"/>
  <c r="M38" i="84" s="1"/>
  <c r="N38" i="84" s="1"/>
  <c r="O38" i="84" s="1"/>
  <c r="AE38" i="84"/>
  <c r="AA38" i="84"/>
  <c r="U38" i="84"/>
  <c r="AJ38" i="84" s="1"/>
  <c r="K38" i="84"/>
  <c r="E38" i="84"/>
  <c r="AN37" i="84"/>
  <c r="M37" i="84" s="1"/>
  <c r="O37" i="84" s="1"/>
  <c r="Z37" i="84"/>
  <c r="AE37" i="84" s="1"/>
  <c r="U37" i="84"/>
  <c r="AD37" i="84" s="1"/>
  <c r="K37" i="84"/>
  <c r="E37" i="84"/>
  <c r="AW38" i="84"/>
  <c r="AY38" i="84" s="1"/>
  <c r="BA38" i="84" s="1"/>
  <c r="AN35" i="84"/>
  <c r="M35" i="84" s="1"/>
  <c r="N35" i="84" s="1"/>
  <c r="O35" i="84" s="1"/>
  <c r="AE35" i="84"/>
  <c r="AA35" i="84"/>
  <c r="U35" i="84"/>
  <c r="K35" i="84"/>
  <c r="AH35" i="84" s="1"/>
  <c r="E35" i="84"/>
  <c r="AW37" i="84"/>
  <c r="AY37" i="84" s="1"/>
  <c r="BA37" i="84" s="1"/>
  <c r="AW36" i="84"/>
  <c r="AY36" i="84" s="1"/>
  <c r="BA36" i="84" s="1"/>
  <c r="AW35" i="84"/>
  <c r="AY35" i="84" s="1"/>
  <c r="BA35" i="84" s="1"/>
  <c r="AN34" i="84"/>
  <c r="M34" i="84" s="1"/>
  <c r="N34" i="84" s="1"/>
  <c r="Z34" i="84"/>
  <c r="Y34" i="84"/>
  <c r="U34" i="84"/>
  <c r="AJ34" i="84" s="1"/>
  <c r="K34" i="84"/>
  <c r="AH34" i="84" s="1"/>
  <c r="E34" i="84"/>
  <c r="AW34" i="84"/>
  <c r="AY34" i="84" s="1"/>
  <c r="BA34" i="84" s="1"/>
  <c r="AN33" i="84"/>
  <c r="M33" i="84" s="1"/>
  <c r="N33" i="84" s="1"/>
  <c r="AE33" i="84"/>
  <c r="AA33" i="84"/>
  <c r="U33" i="84"/>
  <c r="K33" i="84"/>
  <c r="AI33" i="84" s="1"/>
  <c r="E33" i="84"/>
  <c r="AW33" i="84"/>
  <c r="AY33" i="84" s="1"/>
  <c r="BA33" i="84" s="1"/>
  <c r="AN32" i="84"/>
  <c r="M32" i="84" s="1"/>
  <c r="AE32" i="84"/>
  <c r="AA32" i="84"/>
  <c r="U32" i="84"/>
  <c r="AD32" i="84" s="1"/>
  <c r="K32" i="84"/>
  <c r="AH32" i="84" s="1"/>
  <c r="E32" i="84"/>
  <c r="AW32" i="84"/>
  <c r="AY32" i="84" s="1"/>
  <c r="BA32" i="84" s="1"/>
  <c r="AN31" i="84"/>
  <c r="M31" i="84" s="1"/>
  <c r="AE31" i="84"/>
  <c r="AA31" i="84"/>
  <c r="U31" i="84"/>
  <c r="AJ31" i="84" s="1"/>
  <c r="K31" i="84"/>
  <c r="E31" i="84"/>
  <c r="AN29" i="84"/>
  <c r="M29" i="84" s="1"/>
  <c r="AE29" i="84"/>
  <c r="AA29" i="84"/>
  <c r="U29" i="84"/>
  <c r="AJ29" i="84" s="1"/>
  <c r="K29" i="84"/>
  <c r="E29" i="84"/>
  <c r="AN28" i="84"/>
  <c r="M28" i="84" s="1"/>
  <c r="N28" i="84" s="1"/>
  <c r="O28" i="84" s="1"/>
  <c r="AE28" i="84"/>
  <c r="AA28" i="84"/>
  <c r="U28" i="84"/>
  <c r="AD28" i="84" s="1"/>
  <c r="K28" i="84"/>
  <c r="E28" i="84"/>
  <c r="AN27" i="84"/>
  <c r="M27" i="84" s="1"/>
  <c r="O27" i="84" s="1"/>
  <c r="AE27" i="84"/>
  <c r="AA27" i="84"/>
  <c r="U27" i="84"/>
  <c r="K27" i="84"/>
  <c r="E27" i="84"/>
  <c r="AN26" i="84"/>
  <c r="M26" i="84" s="1"/>
  <c r="O26" i="84" s="1"/>
  <c r="AE26" i="84"/>
  <c r="AA26" i="84"/>
  <c r="U26" i="84"/>
  <c r="AJ26" i="84" s="1"/>
  <c r="K26" i="84"/>
  <c r="E26" i="84"/>
  <c r="AN25" i="84"/>
  <c r="M25" i="84" s="1"/>
  <c r="N25" i="84" s="1"/>
  <c r="O25" i="84" s="1"/>
  <c r="AE25" i="84"/>
  <c r="AA25" i="84"/>
  <c r="U25" i="84"/>
  <c r="AJ25" i="84" s="1"/>
  <c r="K25" i="84"/>
  <c r="E25" i="84"/>
  <c r="AN24" i="84"/>
  <c r="M24" i="84" s="1"/>
  <c r="N24" i="84" s="1"/>
  <c r="O24" i="84" s="1"/>
  <c r="AE24" i="84"/>
  <c r="AA24" i="84"/>
  <c r="U24" i="84"/>
  <c r="K24" i="84"/>
  <c r="E24" i="84"/>
  <c r="BB18" i="84"/>
  <c r="AW18" i="84"/>
  <c r="BB17" i="84"/>
  <c r="AW17" i="84"/>
  <c r="BB16" i="84"/>
  <c r="AW16" i="84"/>
  <c r="AN21" i="84"/>
  <c r="M21" i="84" s="1"/>
  <c r="O21" i="84" s="1"/>
  <c r="Z21" i="84"/>
  <c r="Y21" i="84"/>
  <c r="U21" i="84"/>
  <c r="K21" i="84"/>
  <c r="E21" i="84"/>
  <c r="BB15" i="84"/>
  <c r="AW15" i="84"/>
  <c r="AN20" i="84"/>
  <c r="M20" i="84" s="1"/>
  <c r="O20" i="84" s="1"/>
  <c r="Z20" i="84"/>
  <c r="Y20" i="84"/>
  <c r="U20" i="84"/>
  <c r="AJ20" i="84" s="1"/>
  <c r="K20" i="84"/>
  <c r="AI20" i="84" s="1"/>
  <c r="E20" i="84"/>
  <c r="BB14" i="84"/>
  <c r="AW14" i="84"/>
  <c r="AN19" i="84"/>
  <c r="M19" i="84" s="1"/>
  <c r="O19" i="84" s="1"/>
  <c r="Z19" i="84"/>
  <c r="Y19" i="84"/>
  <c r="U19" i="84"/>
  <c r="K19" i="84"/>
  <c r="E19" i="84"/>
  <c r="BB13" i="84"/>
  <c r="AW13" i="84"/>
  <c r="AN18" i="84"/>
  <c r="M18" i="84" s="1"/>
  <c r="O18" i="84" s="1"/>
  <c r="Z18" i="84"/>
  <c r="Y18" i="84"/>
  <c r="U18" i="84"/>
  <c r="K18" i="84"/>
  <c r="E18" i="84"/>
  <c r="BB12" i="84"/>
  <c r="AW12" i="84"/>
  <c r="AN15" i="84"/>
  <c r="M15" i="84" s="1"/>
  <c r="AE15" i="84"/>
  <c r="AA15" i="84"/>
  <c r="U15" i="84"/>
  <c r="AJ15" i="84" s="1"/>
  <c r="K15" i="84"/>
  <c r="AI15" i="84" s="1"/>
  <c r="E15" i="84"/>
  <c r="AN14" i="84"/>
  <c r="M14" i="84" s="1"/>
  <c r="N14" i="84" s="1"/>
  <c r="Z14" i="84"/>
  <c r="Y14" i="84"/>
  <c r="U14" i="84"/>
  <c r="AJ14" i="84" s="1"/>
  <c r="K14" i="84"/>
  <c r="AI14" i="84" s="1"/>
  <c r="E14" i="84"/>
  <c r="AN12" i="84"/>
  <c r="M12" i="84" s="1"/>
  <c r="N12" i="84" s="1"/>
  <c r="AE12" i="84"/>
  <c r="AA12" i="84"/>
  <c r="U12" i="84"/>
  <c r="AD12" i="84" s="1"/>
  <c r="K12" i="84"/>
  <c r="AI12" i="84" s="1"/>
  <c r="E12" i="84"/>
  <c r="AN10" i="84"/>
  <c r="M10" i="84" s="1"/>
  <c r="Z10" i="84"/>
  <c r="Y10" i="84"/>
  <c r="U10" i="84"/>
  <c r="K10" i="84"/>
  <c r="E10" i="84"/>
  <c r="AN7" i="84"/>
  <c r="M7" i="84" s="1"/>
  <c r="N7" i="84" s="1"/>
  <c r="Z7" i="84"/>
  <c r="Y7" i="84"/>
  <c r="U7" i="84"/>
  <c r="AJ7" i="84" s="1"/>
  <c r="K7" i="84"/>
  <c r="AI7" i="84" s="1"/>
  <c r="E7" i="84"/>
  <c r="AN6" i="84"/>
  <c r="M6" i="84" s="1"/>
  <c r="Z6" i="84"/>
  <c r="Y6" i="84"/>
  <c r="U6" i="84"/>
  <c r="K6" i="84"/>
  <c r="E6" i="84"/>
  <c r="AN5" i="84"/>
  <c r="M5" i="84" s="1"/>
  <c r="Z5" i="84"/>
  <c r="Y5" i="84"/>
  <c r="U5" i="84"/>
  <c r="AD5" i="84" s="1"/>
  <c r="K5" i="84"/>
  <c r="AM5" i="84" s="1"/>
  <c r="E5" i="84"/>
  <c r="I2" i="84"/>
  <c r="C41" i="12" s="1"/>
  <c r="BC30" i="83"/>
  <c r="AH56" i="84" l="1"/>
  <c r="AE106" i="84"/>
  <c r="AA10" i="84"/>
  <c r="AA20" i="84"/>
  <c r="AA21" i="84"/>
  <c r="AF35" i="84"/>
  <c r="O97" i="84"/>
  <c r="AF97" i="84" s="1"/>
  <c r="AF60" i="84"/>
  <c r="AH108" i="84"/>
  <c r="AF19" i="84"/>
  <c r="AE19" i="84"/>
  <c r="AA82" i="84"/>
  <c r="AD96" i="84"/>
  <c r="AH106" i="84"/>
  <c r="AJ28" i="84"/>
  <c r="AD92" i="84"/>
  <c r="AH94" i="84"/>
  <c r="AH96" i="84"/>
  <c r="AH15" i="84"/>
  <c r="AH92" i="84"/>
  <c r="O63" i="84"/>
  <c r="AF63" i="84" s="1"/>
  <c r="AH54" i="84"/>
  <c r="AA80" i="84"/>
  <c r="AI34" i="84"/>
  <c r="AJ66" i="84"/>
  <c r="O33" i="84"/>
  <c r="S33" i="84" s="1"/>
  <c r="AC33" i="84" s="1"/>
  <c r="O73" i="84"/>
  <c r="AK73" i="84" s="1"/>
  <c r="O67" i="84"/>
  <c r="S67" i="84" s="1"/>
  <c r="AC67" i="84" s="1"/>
  <c r="AD15" i="84"/>
  <c r="O40" i="84"/>
  <c r="AF40" i="84" s="1"/>
  <c r="AD90" i="84"/>
  <c r="AD103" i="84"/>
  <c r="AA7" i="84"/>
  <c r="AE20" i="84"/>
  <c r="AJ5" i="84"/>
  <c r="AD7" i="84"/>
  <c r="AH20" i="84"/>
  <c r="AJ101" i="84"/>
  <c r="AH103" i="84"/>
  <c r="AH7" i="84"/>
  <c r="AH84" i="84"/>
  <c r="AH39" i="84"/>
  <c r="AI45" i="84"/>
  <c r="AD53" i="84"/>
  <c r="AJ37" i="84"/>
  <c r="AJ62" i="84"/>
  <c r="AE70" i="84"/>
  <c r="AH41" i="84"/>
  <c r="AJ69" i="84"/>
  <c r="AJ99" i="84"/>
  <c r="AD82" i="84"/>
  <c r="AJ84" i="84"/>
  <c r="AH73" i="84"/>
  <c r="AI80" i="84"/>
  <c r="AH82" i="84"/>
  <c r="AD95" i="84"/>
  <c r="AA19" i="84"/>
  <c r="AW9" i="84"/>
  <c r="AX9" i="84" s="1" a="1"/>
  <c r="AX9" i="84" s="1"/>
  <c r="BA9" i="84" s="1"/>
  <c r="AD48" i="84"/>
  <c r="AA52" i="84"/>
  <c r="AD55" i="84"/>
  <c r="AD59" i="84"/>
  <c r="AD52" i="84"/>
  <c r="AF59" i="84"/>
  <c r="AD87" i="84"/>
  <c r="AH89" i="84"/>
  <c r="AH48" i="84"/>
  <c r="AI52" i="84"/>
  <c r="AI89" i="84"/>
  <c r="AD46" i="84"/>
  <c r="AH50" i="84"/>
  <c r="AE76" i="84"/>
  <c r="AH78" i="84"/>
  <c r="AH100" i="84"/>
  <c r="AI102" i="84"/>
  <c r="AJ32" i="84"/>
  <c r="AJ44" i="84"/>
  <c r="AD76" i="84"/>
  <c r="AF87" i="84"/>
  <c r="AA108" i="84"/>
  <c r="AH110" i="84"/>
  <c r="AI66" i="84"/>
  <c r="AJ83" i="84"/>
  <c r="AD108" i="84"/>
  <c r="AI44" i="84"/>
  <c r="AH44" i="84"/>
  <c r="AH46" i="84"/>
  <c r="AI46" i="84"/>
  <c r="AH63" i="84"/>
  <c r="AI63" i="84"/>
  <c r="AD71" i="84"/>
  <c r="AJ71" i="84"/>
  <c r="AE7" i="84"/>
  <c r="AJ89" i="84"/>
  <c r="AD89" i="84"/>
  <c r="AM91" i="84"/>
  <c r="AI91" i="84"/>
  <c r="AH91" i="84"/>
  <c r="AD63" i="84"/>
  <c r="AD41" i="84"/>
  <c r="AJ41" i="84"/>
  <c r="AJ60" i="84"/>
  <c r="AD60" i="84"/>
  <c r="AH6" i="84"/>
  <c r="AI6" i="84"/>
  <c r="AJ33" i="84"/>
  <c r="AD33" i="84"/>
  <c r="AI29" i="84"/>
  <c r="AH29" i="84"/>
  <c r="AE60" i="84"/>
  <c r="AH62" i="84"/>
  <c r="AI62" i="84"/>
  <c r="AJ81" i="84"/>
  <c r="AD81" i="84"/>
  <c r="AW10" i="84"/>
  <c r="AX10" i="84" s="1" a="1"/>
  <c r="AX10" i="84" s="1"/>
  <c r="AE81" i="84"/>
  <c r="AA81" i="84"/>
  <c r="AE108" i="84"/>
  <c r="AJ110" i="84"/>
  <c r="AD110" i="84"/>
  <c r="AA110" i="84"/>
  <c r="AE110" i="84"/>
  <c r="AI79" i="84"/>
  <c r="AH79" i="84"/>
  <c r="AI77" i="84"/>
  <c r="AH77" i="84"/>
  <c r="AD75" i="84"/>
  <c r="AJ75" i="84"/>
  <c r="AJ77" i="84"/>
  <c r="AD77" i="84"/>
  <c r="AD25" i="84"/>
  <c r="AE52" i="84"/>
  <c r="AC59" i="84"/>
  <c r="AD73" i="84"/>
  <c r="AJ73" i="84"/>
  <c r="AX15" i="84" a="1"/>
  <c r="AX15" i="84" s="1"/>
  <c r="BA15" i="84" s="1"/>
  <c r="AD79" i="84"/>
  <c r="AJ79" i="84"/>
  <c r="AJ6" i="84"/>
  <c r="AD6" i="84"/>
  <c r="N31" i="84"/>
  <c r="O31" i="84" s="1"/>
  <c r="N39" i="84"/>
  <c r="O39" i="84" s="1"/>
  <c r="AF39" i="84" s="1"/>
  <c r="AE59" i="84"/>
  <c r="AA59" i="84"/>
  <c r="AB59" i="84" s="1"/>
  <c r="AM59" i="84" s="1"/>
  <c r="N62" i="84"/>
  <c r="O62" i="84" s="1"/>
  <c r="AH93" i="84"/>
  <c r="AI93" i="84"/>
  <c r="N105" i="84"/>
  <c r="O105" i="84" s="1"/>
  <c r="AK105" i="84" s="1"/>
  <c r="AA6" i="84"/>
  <c r="AE6" i="84"/>
  <c r="O64" i="84"/>
  <c r="AK64" i="84" s="1"/>
  <c r="AH21" i="84"/>
  <c r="AI21" i="84"/>
  <c r="AI42" i="84"/>
  <c r="AH42" i="84"/>
  <c r="AH107" i="84"/>
  <c r="AI107" i="84"/>
  <c r="AJ42" i="84"/>
  <c r="AD42" i="84"/>
  <c r="S87" i="84"/>
  <c r="AC87" i="84" s="1"/>
  <c r="AK19" i="84"/>
  <c r="AJ21" i="84"/>
  <c r="AD21" i="84"/>
  <c r="AD40" i="84"/>
  <c r="AJ40" i="84"/>
  <c r="AH53" i="84"/>
  <c r="AI53" i="84"/>
  <c r="N76" i="84"/>
  <c r="O76" i="84" s="1"/>
  <c r="AJ91" i="84"/>
  <c r="AJ107" i="84"/>
  <c r="AD107" i="84"/>
  <c r="AD26" i="84"/>
  <c r="AD47" i="84"/>
  <c r="AD51" i="84"/>
  <c r="AJ51" i="84"/>
  <c r="AI60" i="84"/>
  <c r="AH60" i="84"/>
  <c r="AI70" i="84"/>
  <c r="AK70" i="84"/>
  <c r="AD72" i="84"/>
  <c r="AJ72" i="84"/>
  <c r="N86" i="84"/>
  <c r="O86" i="84" s="1"/>
  <c r="AI18" i="84"/>
  <c r="AH18" i="84"/>
  <c r="AA37" i="84"/>
  <c r="AE51" i="84"/>
  <c r="AA51" i="84"/>
  <c r="AI67" i="84"/>
  <c r="AH67" i="84"/>
  <c r="AI90" i="84"/>
  <c r="AH90" i="84"/>
  <c r="O102" i="84"/>
  <c r="AF102" i="84" s="1"/>
  <c r="AD18" i="84"/>
  <c r="AJ18" i="84"/>
  <c r="AI32" i="84"/>
  <c r="AD38" i="84"/>
  <c r="AJ45" i="84"/>
  <c r="AE80" i="84"/>
  <c r="AD86" i="84"/>
  <c r="AJ86" i="84"/>
  <c r="O96" i="84"/>
  <c r="AF96" i="84" s="1"/>
  <c r="AD102" i="84"/>
  <c r="AJ102" i="84"/>
  <c r="AJ104" i="84"/>
  <c r="AD104" i="84"/>
  <c r="AD70" i="84"/>
  <c r="AJ70" i="84"/>
  <c r="AJ88" i="84"/>
  <c r="AD88" i="84"/>
  <c r="AE53" i="84"/>
  <c r="AI97" i="84"/>
  <c r="AH97" i="84"/>
  <c r="AX18" i="84" a="1"/>
  <c r="AX18" i="84" s="1"/>
  <c r="BA18" i="84" s="1"/>
  <c r="AI5" i="84"/>
  <c r="AD10" i="84"/>
  <c r="AJ10" i="84"/>
  <c r="AJ109" i="84"/>
  <c r="AH33" i="84"/>
  <c r="AE5" i="84"/>
  <c r="AE10" i="84"/>
  <c r="AD20" i="84"/>
  <c r="AD31" i="84"/>
  <c r="AD34" i="84"/>
  <c r="AJ80" i="84"/>
  <c r="AD80" i="84"/>
  <c r="AH83" i="84"/>
  <c r="AJ106" i="84"/>
  <c r="AD106" i="84"/>
  <c r="AA14" i="84"/>
  <c r="AX13" i="84" a="1"/>
  <c r="AX13" i="84" s="1"/>
  <c r="BA13" i="84" s="1"/>
  <c r="AE109" i="84"/>
  <c r="AA85" i="84"/>
  <c r="S38" i="84"/>
  <c r="AC38" i="84" s="1"/>
  <c r="AK38" i="84"/>
  <c r="AF38" i="84"/>
  <c r="AF28" i="84"/>
  <c r="S28" i="84"/>
  <c r="AC28" i="84" s="1"/>
  <c r="AF18" i="84"/>
  <c r="S18" i="84"/>
  <c r="AC18" i="84" s="1"/>
  <c r="AK18" i="84"/>
  <c r="S37" i="84"/>
  <c r="AC37" i="84" s="1"/>
  <c r="AK37" i="84"/>
  <c r="AF37" i="84"/>
  <c r="S66" i="84"/>
  <c r="AC66" i="84" s="1"/>
  <c r="AF66" i="84"/>
  <c r="AF85" i="84"/>
  <c r="AK85" i="84"/>
  <c r="S85" i="84"/>
  <c r="AC85" i="84" s="1"/>
  <c r="N10" i="84"/>
  <c r="O10" i="84" s="1"/>
  <c r="N52" i="84"/>
  <c r="O52" i="84" s="1"/>
  <c r="AF25" i="84"/>
  <c r="S25" i="84"/>
  <c r="AC25" i="84" s="1"/>
  <c r="S48" i="84"/>
  <c r="AC48" i="84" s="1"/>
  <c r="AK48" i="84"/>
  <c r="AF48" i="84"/>
  <c r="N5" i="84"/>
  <c r="O5" i="84" s="1"/>
  <c r="AF24" i="84"/>
  <c r="S24" i="84"/>
  <c r="AC24" i="84" s="1"/>
  <c r="AF20" i="84"/>
  <c r="S20" i="84"/>
  <c r="AC20" i="84" s="1"/>
  <c r="N106" i="84"/>
  <c r="O106" i="84" s="1"/>
  <c r="AE21" i="84"/>
  <c r="AD78" i="84"/>
  <c r="AJ93" i="84"/>
  <c r="AD93" i="84"/>
  <c r="AW30" i="84"/>
  <c r="AY30" i="84" s="1"/>
  <c r="BA30" i="84" s="1"/>
  <c r="AE14" i="84"/>
  <c r="AI27" i="84"/>
  <c r="AK27" i="84"/>
  <c r="AH27" i="84"/>
  <c r="AD49" i="84"/>
  <c r="N56" i="84"/>
  <c r="O56" i="84" s="1"/>
  <c r="AK56" i="84" s="1"/>
  <c r="N77" i="84"/>
  <c r="O77" i="84" s="1"/>
  <c r="AE84" i="84"/>
  <c r="AA84" i="84"/>
  <c r="AX17" i="84" a="1"/>
  <c r="AX17" i="84" s="1"/>
  <c r="AI25" i="84"/>
  <c r="AK25" i="84"/>
  <c r="AH25" i="84"/>
  <c r="AX12" i="84" a="1"/>
  <c r="AX12" i="84" s="1"/>
  <c r="N44" i="84"/>
  <c r="O44" i="84" s="1"/>
  <c r="AD58" i="84"/>
  <c r="AJ58" i="84"/>
  <c r="AF58" i="84"/>
  <c r="N83" i="84"/>
  <c r="O83" i="84" s="1"/>
  <c r="AD35" i="84"/>
  <c r="AJ35" i="84"/>
  <c r="AK55" i="84"/>
  <c r="AH55" i="84"/>
  <c r="AI55" i="84"/>
  <c r="S55" i="84"/>
  <c r="AC55" i="84" s="1"/>
  <c r="N6" i="84"/>
  <c r="O6" i="84" s="1"/>
  <c r="AJ27" i="84"/>
  <c r="AD27" i="84"/>
  <c r="O34" i="84"/>
  <c r="AI47" i="84"/>
  <c r="AH47" i="84"/>
  <c r="AI76" i="84"/>
  <c r="AH76" i="84"/>
  <c r="AA107" i="84"/>
  <c r="AE107" i="84"/>
  <c r="AF26" i="84"/>
  <c r="N57" i="84"/>
  <c r="O57" i="84" s="1"/>
  <c r="AK57" i="84" s="1"/>
  <c r="AI65" i="84"/>
  <c r="AH65" i="84"/>
  <c r="N69" i="84"/>
  <c r="O69" i="84" s="1"/>
  <c r="S26" i="84"/>
  <c r="AC26" i="84" s="1"/>
  <c r="AJ39" i="84"/>
  <c r="AD39" i="84"/>
  <c r="AI98" i="84"/>
  <c r="AH98" i="84"/>
  <c r="N46" i="84"/>
  <c r="O46" i="84" s="1"/>
  <c r="N71" i="84"/>
  <c r="O71" i="84" s="1"/>
  <c r="AX14" i="84" a="1"/>
  <c r="AX14" i="84" s="1"/>
  <c r="S35" i="84"/>
  <c r="AC35" i="84" s="1"/>
  <c r="AE58" i="84"/>
  <c r="AA58" i="84"/>
  <c r="AB58" i="84" s="1"/>
  <c r="AM58" i="84" s="1"/>
  <c r="N68" i="84"/>
  <c r="O68" i="84" s="1"/>
  <c r="AK87" i="84"/>
  <c r="AH87" i="84"/>
  <c r="AI87" i="84"/>
  <c r="AK26" i="84"/>
  <c r="AI26" i="84"/>
  <c r="AH26" i="84"/>
  <c r="N53" i="84"/>
  <c r="O53" i="84" s="1"/>
  <c r="AF55" i="84"/>
  <c r="AI71" i="84"/>
  <c r="AH71" i="84"/>
  <c r="AD54" i="84"/>
  <c r="AJ54" i="84"/>
  <c r="AI28" i="84"/>
  <c r="AK28" i="84"/>
  <c r="AH28" i="84"/>
  <c r="N74" i="84"/>
  <c r="O74" i="84" s="1"/>
  <c r="AK74" i="84" s="1"/>
  <c r="AD94" i="84"/>
  <c r="AJ94" i="84"/>
  <c r="N98" i="84"/>
  <c r="O98" i="84" s="1"/>
  <c r="N100" i="84"/>
  <c r="O100" i="84" s="1"/>
  <c r="N61" i="84"/>
  <c r="O61" i="84" s="1"/>
  <c r="AI99" i="84"/>
  <c r="AA109" i="84"/>
  <c r="AD29" i="84"/>
  <c r="N51" i="84"/>
  <c r="O51" i="84" s="1"/>
  <c r="AD61" i="84"/>
  <c r="AJ61" i="84"/>
  <c r="N78" i="84"/>
  <c r="O78" i="84" s="1"/>
  <c r="N92" i="84"/>
  <c r="O92" i="84" s="1"/>
  <c r="N99" i="84"/>
  <c r="O99" i="84" s="1"/>
  <c r="AJ105" i="84"/>
  <c r="AD105" i="84"/>
  <c r="N32" i="84"/>
  <c r="O32" i="84" s="1"/>
  <c r="AI72" i="84"/>
  <c r="AH72" i="84"/>
  <c r="N75" i="84"/>
  <c r="O75" i="84" s="1"/>
  <c r="O12" i="84"/>
  <c r="AK24" i="84"/>
  <c r="AI24" i="84"/>
  <c r="AH24" i="84"/>
  <c r="AD67" i="84"/>
  <c r="AJ67" i="84"/>
  <c r="O14" i="84"/>
  <c r="AK14" i="84" s="1"/>
  <c r="AI10" i="84"/>
  <c r="AH10" i="84"/>
  <c r="AF27" i="84"/>
  <c r="N50" i="84"/>
  <c r="O50" i="84" s="1"/>
  <c r="AK50" i="84" s="1"/>
  <c r="AW29" i="84"/>
  <c r="AY29" i="84" s="1"/>
  <c r="BA29" i="84" s="1"/>
  <c r="AH5" i="84"/>
  <c r="K2" i="84"/>
  <c r="D41" i="12" s="1"/>
  <c r="AW31" i="84"/>
  <c r="AY31" i="84" s="1"/>
  <c r="BA31" i="84" s="1"/>
  <c r="AW11" i="84"/>
  <c r="AX11" i="84" s="1" a="1"/>
  <c r="AX11" i="84" s="1"/>
  <c r="S19" i="84"/>
  <c r="S27" i="84"/>
  <c r="AC27" i="84" s="1"/>
  <c r="N42" i="84"/>
  <c r="O42" i="84" s="1"/>
  <c r="AD64" i="84"/>
  <c r="AI69" i="84"/>
  <c r="AJ12" i="84"/>
  <c r="AJ19" i="84"/>
  <c r="AD19" i="84"/>
  <c r="AK20" i="84"/>
  <c r="AD14" i="84"/>
  <c r="S21" i="84"/>
  <c r="AK21" i="84"/>
  <c r="AF21" i="84"/>
  <c r="AE34" i="84"/>
  <c r="AA34" i="84"/>
  <c r="N41" i="84"/>
  <c r="O41" i="84" s="1"/>
  <c r="N54" i="84"/>
  <c r="O54" i="84" s="1"/>
  <c r="AI51" i="84"/>
  <c r="AH51" i="84"/>
  <c r="AM51" i="84"/>
  <c r="AA86" i="84"/>
  <c r="AE86" i="84"/>
  <c r="N89" i="84"/>
  <c r="O89" i="84" s="1"/>
  <c r="AD24" i="84"/>
  <c r="AJ24" i="84"/>
  <c r="S60" i="84"/>
  <c r="AC60" i="84" s="1"/>
  <c r="AK60" i="84"/>
  <c r="AA76" i="84"/>
  <c r="O7" i="84"/>
  <c r="AF70" i="84"/>
  <c r="AA83" i="84"/>
  <c r="AE83" i="84"/>
  <c r="O65" i="84"/>
  <c r="N91" i="84"/>
  <c r="O91" i="84" s="1"/>
  <c r="AE18" i="84"/>
  <c r="AA18" i="84"/>
  <c r="N47" i="84"/>
  <c r="O47" i="84" s="1"/>
  <c r="AI59" i="84"/>
  <c r="AH59" i="84"/>
  <c r="AI64" i="84"/>
  <c r="AH64" i="84"/>
  <c r="N82" i="84"/>
  <c r="O82" i="84" s="1"/>
  <c r="AA60" i="84"/>
  <c r="AA70" i="84"/>
  <c r="AB70" i="84" s="1"/>
  <c r="AM70" i="84" s="1"/>
  <c r="O72" i="84"/>
  <c r="AK72" i="84" s="1"/>
  <c r="N81" i="84"/>
  <c r="O81" i="84" s="1"/>
  <c r="N88" i="84"/>
  <c r="O88" i="84" s="1"/>
  <c r="AJ98" i="84"/>
  <c r="AD100" i="84"/>
  <c r="AD65" i="84"/>
  <c r="AJ65" i="84"/>
  <c r="AJ57" i="84"/>
  <c r="AD57" i="84"/>
  <c r="AI74" i="84"/>
  <c r="AH74" i="84"/>
  <c r="AH81" i="84"/>
  <c r="AI81" i="84"/>
  <c r="N93" i="84"/>
  <c r="O93" i="84" s="1"/>
  <c r="N101" i="84"/>
  <c r="O101" i="84" s="1"/>
  <c r="AA5" i="84"/>
  <c r="AI19" i="84"/>
  <c r="AH19" i="84"/>
  <c r="AI31" i="84"/>
  <c r="AH31" i="84"/>
  <c r="AI68" i="84"/>
  <c r="AH68" i="84"/>
  <c r="AD85" i="84"/>
  <c r="AJ97" i="84"/>
  <c r="AD97" i="84"/>
  <c r="AH109" i="84"/>
  <c r="AH57" i="84"/>
  <c r="AI57" i="84"/>
  <c r="AI104" i="84"/>
  <c r="AH104" i="84"/>
  <c r="AM95" i="84"/>
  <c r="AH95" i="84"/>
  <c r="O103" i="84"/>
  <c r="S110" i="84"/>
  <c r="AC110" i="84" s="1"/>
  <c r="AK110" i="84"/>
  <c r="AF110" i="84"/>
  <c r="N15" i="84"/>
  <c r="O15" i="84" s="1"/>
  <c r="AK15" i="84" s="1"/>
  <c r="AH14" i="84"/>
  <c r="AX16" i="84" a="1"/>
  <c r="AX16" i="84" s="1"/>
  <c r="AK35" i="84"/>
  <c r="AI35" i="84"/>
  <c r="N49" i="84"/>
  <c r="O49" i="84" s="1"/>
  <c r="AD68" i="84"/>
  <c r="AJ68" i="84"/>
  <c r="O80" i="84"/>
  <c r="O94" i="84"/>
  <c r="AI58" i="84"/>
  <c r="AH58" i="84"/>
  <c r="AI75" i="84"/>
  <c r="AH75" i="84"/>
  <c r="AE82" i="84"/>
  <c r="AE85" i="84"/>
  <c r="O95" i="84"/>
  <c r="AK95" i="84" s="1"/>
  <c r="AH12" i="84"/>
  <c r="AI37" i="84"/>
  <c r="AH37" i="84"/>
  <c r="AH49" i="84"/>
  <c r="AK66" i="84"/>
  <c r="AI40" i="84"/>
  <c r="AH40" i="84"/>
  <c r="AJ50" i="84"/>
  <c r="AD50" i="84"/>
  <c r="AJ56" i="84"/>
  <c r="AD56" i="84"/>
  <c r="AK58" i="84"/>
  <c r="AI61" i="84"/>
  <c r="AD74" i="84"/>
  <c r="AJ74" i="84"/>
  <c r="N79" i="84"/>
  <c r="O79" i="84" s="1"/>
  <c r="AH86" i="84"/>
  <c r="AH101" i="84"/>
  <c r="N29" i="84"/>
  <c r="O29" i="84" s="1"/>
  <c r="AI38" i="84"/>
  <c r="AH38" i="84"/>
  <c r="N45" i="84"/>
  <c r="O45" i="84" s="1"/>
  <c r="N109" i="84"/>
  <c r="O109" i="84" s="1"/>
  <c r="N90" i="84"/>
  <c r="O90" i="84" s="1"/>
  <c r="O108" i="84"/>
  <c r="AK108" i="84" s="1"/>
  <c r="N84" i="84"/>
  <c r="O84" i="84" s="1"/>
  <c r="AI85" i="84"/>
  <c r="AH85" i="84"/>
  <c r="AI88" i="84"/>
  <c r="AH88" i="84"/>
  <c r="AI105" i="84"/>
  <c r="AH105" i="84"/>
  <c r="AH70" i="84"/>
  <c r="N104" i="84"/>
  <c r="O104" i="84" s="1"/>
  <c r="AK104" i="84" s="1"/>
  <c r="AA106" i="84"/>
  <c r="O107" i="84"/>
  <c r="AK107" i="84" s="1"/>
  <c r="AK67" i="84" l="1"/>
  <c r="AG110" i="84"/>
  <c r="AK33" i="84"/>
  <c r="S97" i="84"/>
  <c r="AC97" i="84" s="1"/>
  <c r="AG97" i="84" s="1"/>
  <c r="S73" i="84"/>
  <c r="AC73" i="84" s="1"/>
  <c r="AF33" i="84"/>
  <c r="AG33" i="84" s="1"/>
  <c r="AF67" i="84"/>
  <c r="AG67" i="84" s="1"/>
  <c r="AK97" i="84"/>
  <c r="AB55" i="84"/>
  <c r="AM55" i="84" s="1"/>
  <c r="AB38" i="84"/>
  <c r="AM38" i="84" s="1"/>
  <c r="S64" i="84"/>
  <c r="AC64" i="84" s="1"/>
  <c r="AB67" i="84"/>
  <c r="AM67" i="84" s="1"/>
  <c r="S96" i="84"/>
  <c r="AC96" i="84" s="1"/>
  <c r="AG96" i="84" s="1"/>
  <c r="AK40" i="84"/>
  <c r="S40" i="84"/>
  <c r="AC40" i="84" s="1"/>
  <c r="AG40" i="84" s="1"/>
  <c r="AK102" i="84"/>
  <c r="AG87" i="84"/>
  <c r="AK63" i="84"/>
  <c r="S63" i="84"/>
  <c r="AC63" i="84" s="1"/>
  <c r="AG63" i="84" s="1"/>
  <c r="AK96" i="84"/>
  <c r="AF73" i="84"/>
  <c r="AG58" i="84"/>
  <c r="S102" i="84"/>
  <c r="AC102" i="84" s="1"/>
  <c r="AG102" i="84" s="1"/>
  <c r="S39" i="84"/>
  <c r="AC39" i="84" s="1"/>
  <c r="AG39" i="84" s="1"/>
  <c r="AK39" i="84"/>
  <c r="AB35" i="84"/>
  <c r="AM35" i="84" s="1"/>
  <c r="AG70" i="84"/>
  <c r="AG28" i="84"/>
  <c r="AK86" i="84"/>
  <c r="AF86" i="84"/>
  <c r="AB85" i="84"/>
  <c r="AM85" i="84" s="1"/>
  <c r="AF64" i="84"/>
  <c r="AG37" i="84"/>
  <c r="BD9" i="84"/>
  <c r="BD10" i="84" s="1"/>
  <c r="BD11" i="84" s="1"/>
  <c r="BD12" i="84" s="1"/>
  <c r="BD13" i="84" s="1"/>
  <c r="BD14" i="84" s="1"/>
  <c r="BD15" i="84" s="1"/>
  <c r="BD16" i="84" s="1"/>
  <c r="BD17" i="84" s="1"/>
  <c r="BD18" i="84" s="1"/>
  <c r="AB26" i="84"/>
  <c r="AM26" i="84" s="1"/>
  <c r="AG59" i="84"/>
  <c r="AK31" i="84"/>
  <c r="S31" i="84"/>
  <c r="AC31" i="84" s="1"/>
  <c r="AF31" i="84"/>
  <c r="S62" i="84"/>
  <c r="AC62" i="84" s="1"/>
  <c r="AK62" i="84"/>
  <c r="AF62" i="84"/>
  <c r="AK76" i="84"/>
  <c r="S76" i="84"/>
  <c r="AC76" i="84" s="1"/>
  <c r="AF76" i="84"/>
  <c r="AI3" i="84"/>
  <c r="E1" i="84" s="1"/>
  <c r="E41" i="12" s="1"/>
  <c r="AB24" i="84"/>
  <c r="AM24" i="84" s="1"/>
  <c r="AM110" i="84"/>
  <c r="BB10" i="84"/>
  <c r="AB87" i="84"/>
  <c r="AM87" i="84" s="1"/>
  <c r="AB33" i="84"/>
  <c r="AM33" i="84" s="1"/>
  <c r="AG60" i="84"/>
  <c r="S86" i="84"/>
  <c r="AC86" i="84" s="1"/>
  <c r="BA27" i="84"/>
  <c r="AF105" i="84"/>
  <c r="S105" i="84"/>
  <c r="AC105" i="84" s="1"/>
  <c r="AB28" i="84"/>
  <c r="AM28" i="84" s="1"/>
  <c r="AG25" i="84"/>
  <c r="AF89" i="84"/>
  <c r="S89" i="84"/>
  <c r="AC89" i="84" s="1"/>
  <c r="AK89" i="84"/>
  <c r="AK53" i="84"/>
  <c r="S53" i="84"/>
  <c r="AC53" i="84" s="1"/>
  <c r="AF53" i="84"/>
  <c r="S98" i="84"/>
  <c r="AC98" i="84" s="1"/>
  <c r="AF98" i="84"/>
  <c r="AK98" i="84"/>
  <c r="S91" i="84"/>
  <c r="AC91" i="84" s="1"/>
  <c r="AK91" i="84"/>
  <c r="AF91" i="84"/>
  <c r="AF101" i="84"/>
  <c r="S101" i="84"/>
  <c r="AC101" i="84" s="1"/>
  <c r="AK101" i="84"/>
  <c r="AF78" i="84"/>
  <c r="S78" i="84"/>
  <c r="AC78" i="84" s="1"/>
  <c r="AK78" i="84"/>
  <c r="AF100" i="84"/>
  <c r="S100" i="84"/>
  <c r="AC100" i="84" s="1"/>
  <c r="AK100" i="84"/>
  <c r="AK29" i="84"/>
  <c r="AF29" i="84"/>
  <c r="S29" i="84"/>
  <c r="AC29" i="84" s="1"/>
  <c r="AF93" i="84"/>
  <c r="AK93" i="84"/>
  <c r="S93" i="84"/>
  <c r="AC93" i="84" s="1"/>
  <c r="S88" i="84"/>
  <c r="AC88" i="84" s="1"/>
  <c r="AF88" i="84"/>
  <c r="AK88" i="84"/>
  <c r="AF32" i="84"/>
  <c r="S32" i="84"/>
  <c r="AC32" i="84" s="1"/>
  <c r="AK32" i="84"/>
  <c r="S83" i="84"/>
  <c r="AC83" i="84" s="1"/>
  <c r="AF83" i="84"/>
  <c r="AK83" i="84"/>
  <c r="AF106" i="84"/>
  <c r="S106" i="84"/>
  <c r="AC106" i="84" s="1"/>
  <c r="AK106" i="84"/>
  <c r="AF52" i="84"/>
  <c r="S52" i="84"/>
  <c r="AC52" i="84" s="1"/>
  <c r="AK52" i="84"/>
  <c r="S46" i="84"/>
  <c r="AC46" i="84" s="1"/>
  <c r="AF46" i="84"/>
  <c r="AK46" i="84"/>
  <c r="S54" i="84"/>
  <c r="AC54" i="84" s="1"/>
  <c r="AF54" i="84"/>
  <c r="AK54" i="84"/>
  <c r="S42" i="84"/>
  <c r="AC42" i="84" s="1"/>
  <c r="AF42" i="84"/>
  <c r="AK42" i="84"/>
  <c r="S99" i="84"/>
  <c r="AC99" i="84" s="1"/>
  <c r="AF99" i="84"/>
  <c r="AK99" i="84"/>
  <c r="AF69" i="84"/>
  <c r="S69" i="84"/>
  <c r="AC69" i="84" s="1"/>
  <c r="AK69" i="84"/>
  <c r="S79" i="84"/>
  <c r="AC79" i="84" s="1"/>
  <c r="AF79" i="84"/>
  <c r="AK79" i="84"/>
  <c r="AF47" i="84"/>
  <c r="S47" i="84"/>
  <c r="AC47" i="84" s="1"/>
  <c r="AK47" i="84"/>
  <c r="S49" i="84"/>
  <c r="AC49" i="84" s="1"/>
  <c r="AF49" i="84"/>
  <c r="AK49" i="84"/>
  <c r="S81" i="84"/>
  <c r="AC81" i="84" s="1"/>
  <c r="AF81" i="84"/>
  <c r="AK81" i="84"/>
  <c r="S61" i="84"/>
  <c r="AC61" i="84" s="1"/>
  <c r="AF61" i="84"/>
  <c r="AK61" i="84"/>
  <c r="S68" i="84"/>
  <c r="AC68" i="84" s="1"/>
  <c r="AK68" i="84"/>
  <c r="AF68" i="84"/>
  <c r="S90" i="84"/>
  <c r="AC90" i="84" s="1"/>
  <c r="AF90" i="84"/>
  <c r="AK90" i="84"/>
  <c r="AF71" i="84"/>
  <c r="S71" i="84"/>
  <c r="AC71" i="84" s="1"/>
  <c r="AK71" i="84"/>
  <c r="AF109" i="84"/>
  <c r="S109" i="84"/>
  <c r="AC109" i="84" s="1"/>
  <c r="AK109" i="84"/>
  <c r="AF10" i="84"/>
  <c r="S10" i="84"/>
  <c r="AC10" i="84" s="1"/>
  <c r="AK10" i="84"/>
  <c r="S84" i="84"/>
  <c r="AC84" i="84" s="1"/>
  <c r="AF84" i="84"/>
  <c r="AK84" i="84"/>
  <c r="BA16" i="84"/>
  <c r="AF41" i="84"/>
  <c r="S41" i="84"/>
  <c r="AC41" i="84" s="1"/>
  <c r="S6" i="84"/>
  <c r="AC6" i="84" s="1"/>
  <c r="AK6" i="84"/>
  <c r="AF6" i="84"/>
  <c r="S104" i="84"/>
  <c r="AC104" i="84" s="1"/>
  <c r="AF104" i="84"/>
  <c r="AB48" i="84"/>
  <c r="AM48" i="84" s="1"/>
  <c r="BA17" i="84"/>
  <c r="AB25" i="84"/>
  <c r="AM25" i="84" s="1"/>
  <c r="S14" i="84"/>
  <c r="AC14" i="84" s="1"/>
  <c r="AF14" i="84"/>
  <c r="S95" i="84"/>
  <c r="AC95" i="84" s="1"/>
  <c r="AF95" i="84"/>
  <c r="AF75" i="84"/>
  <c r="S75" i="84"/>
  <c r="AC75" i="84" s="1"/>
  <c r="AW7" i="84"/>
  <c r="BA14" i="84"/>
  <c r="AG26" i="84"/>
  <c r="AB66" i="84"/>
  <c r="AM66" i="84" s="1"/>
  <c r="AK80" i="84"/>
  <c r="AF80" i="84"/>
  <c r="S80" i="84"/>
  <c r="AC80" i="84" s="1"/>
  <c r="AF82" i="84"/>
  <c r="S82" i="84"/>
  <c r="AC82" i="84" s="1"/>
  <c r="AK82" i="84"/>
  <c r="AF12" i="84"/>
  <c r="S12" i="84"/>
  <c r="AC12" i="84" s="1"/>
  <c r="AF44" i="84"/>
  <c r="S44" i="84"/>
  <c r="AC44" i="84" s="1"/>
  <c r="AK44" i="84"/>
  <c r="AF5" i="84"/>
  <c r="S5" i="84"/>
  <c r="AC5" i="84" s="1"/>
  <c r="AK5" i="84"/>
  <c r="AK12" i="84"/>
  <c r="AF34" i="84"/>
  <c r="S34" i="84"/>
  <c r="AC34" i="84" s="1"/>
  <c r="AK34" i="84"/>
  <c r="BA12" i="84"/>
  <c r="AG27" i="84"/>
  <c r="BB11" i="84"/>
  <c r="AZ11" i="84" a="1"/>
  <c r="AZ11" i="84" s="1"/>
  <c r="AY11" i="84" s="1"/>
  <c r="AF51" i="84"/>
  <c r="S51" i="84"/>
  <c r="AC51" i="84" s="1"/>
  <c r="AK51" i="84"/>
  <c r="AG35" i="84"/>
  <c r="S107" i="84"/>
  <c r="AC107" i="84" s="1"/>
  <c r="AF107" i="84"/>
  <c r="AF77" i="84"/>
  <c r="S77" i="84"/>
  <c r="AC77" i="84" s="1"/>
  <c r="AK75" i="84"/>
  <c r="AK7" i="84"/>
  <c r="S7" i="84"/>
  <c r="AC7" i="84" s="1"/>
  <c r="AF7" i="84"/>
  <c r="AC21" i="84"/>
  <c r="AG21" i="84" s="1"/>
  <c r="AB21" i="84"/>
  <c r="AM21" i="84" s="1"/>
  <c r="S50" i="84"/>
  <c r="AC50" i="84" s="1"/>
  <c r="AF50" i="84"/>
  <c r="AG66" i="84"/>
  <c r="AF65" i="84"/>
  <c r="S65" i="84"/>
  <c r="AC65" i="84" s="1"/>
  <c r="AB60" i="84"/>
  <c r="AM60" i="84" s="1"/>
  <c r="AK65" i="84"/>
  <c r="AG55" i="84"/>
  <c r="AB37" i="84"/>
  <c r="AM37" i="84" s="1"/>
  <c r="AB18" i="84"/>
  <c r="AM18" i="84" s="1"/>
  <c r="S92" i="84"/>
  <c r="AC92" i="84" s="1"/>
  <c r="AF92" i="84"/>
  <c r="AK41" i="84"/>
  <c r="S15" i="84"/>
  <c r="AC15" i="84" s="1"/>
  <c r="AF15" i="84"/>
  <c r="BA11" i="84"/>
  <c r="AG24" i="84"/>
  <c r="AJ3" i="84"/>
  <c r="L41" i="12" s="1"/>
  <c r="L2" i="84"/>
  <c r="AB20" i="84"/>
  <c r="AM20" i="84" s="1"/>
  <c r="AZ10" i="84" a="1"/>
  <c r="AZ10" i="84" s="1"/>
  <c r="AY10" i="84" s="1"/>
  <c r="BA10" i="84"/>
  <c r="AG48" i="84"/>
  <c r="AG85" i="84"/>
  <c r="S108" i="84"/>
  <c r="AC108" i="84" s="1"/>
  <c r="AF108" i="84"/>
  <c r="AC19" i="84"/>
  <c r="AG19" i="84" s="1"/>
  <c r="AB19" i="84"/>
  <c r="AM19" i="84" s="1"/>
  <c r="AF74" i="84"/>
  <c r="S74" i="84"/>
  <c r="AC74" i="84" s="1"/>
  <c r="AG38" i="84"/>
  <c r="AK92" i="84"/>
  <c r="S56" i="84"/>
  <c r="AC56" i="84" s="1"/>
  <c r="AF56" i="84"/>
  <c r="AG18" i="84"/>
  <c r="AK77" i="84"/>
  <c r="S45" i="84"/>
  <c r="AC45" i="84" s="1"/>
  <c r="AF45" i="84"/>
  <c r="AK45" i="84"/>
  <c r="AF94" i="84"/>
  <c r="AK94" i="84"/>
  <c r="S94" i="84"/>
  <c r="AC94" i="84" s="1"/>
  <c r="S103" i="84"/>
  <c r="AC103" i="84" s="1"/>
  <c r="AK103" i="84"/>
  <c r="AF103" i="84"/>
  <c r="S72" i="84"/>
  <c r="AC72" i="84" s="1"/>
  <c r="AF72" i="84"/>
  <c r="AZ17" i="84" a="1"/>
  <c r="AZ17" i="84" s="1"/>
  <c r="AY17" i="84" s="1"/>
  <c r="AZ18" i="84" a="1"/>
  <c r="AZ18" i="84" s="1"/>
  <c r="AY18" i="84" s="1"/>
  <c r="AZ12" i="84" a="1"/>
  <c r="AZ12" i="84" s="1"/>
  <c r="AY12" i="84" s="1"/>
  <c r="AZ13" i="84" a="1"/>
  <c r="AZ13" i="84" s="1"/>
  <c r="AY13" i="84" s="1"/>
  <c r="Q2" i="84"/>
  <c r="G2" i="84" s="1"/>
  <c r="I41" i="12" s="1"/>
  <c r="BB9" i="84"/>
  <c r="P2" i="84"/>
  <c r="AZ15" i="84" a="1"/>
  <c r="AZ15" i="84" s="1"/>
  <c r="AY15" i="84" s="1"/>
  <c r="AH3" i="84"/>
  <c r="E2" i="84" s="1"/>
  <c r="F41" i="12" s="1"/>
  <c r="R2" i="84"/>
  <c r="AZ9" i="84" a="1"/>
  <c r="AZ9" i="84" s="1"/>
  <c r="AZ16" i="84" a="1"/>
  <c r="AZ16" i="84" s="1"/>
  <c r="AY16" i="84" s="1"/>
  <c r="AZ14" i="84" a="1"/>
  <c r="AZ14" i="84" s="1"/>
  <c r="AY14" i="84" s="1"/>
  <c r="AB27" i="84"/>
  <c r="AM27" i="84" s="1"/>
  <c r="AF57" i="84"/>
  <c r="S57" i="84"/>
  <c r="AC57" i="84" s="1"/>
  <c r="AG20" i="84"/>
  <c r="AX7" i="84"/>
  <c r="AB97" i="84" l="1"/>
  <c r="AM97" i="84" s="1"/>
  <c r="AG10" i="84"/>
  <c r="AG106" i="84"/>
  <c r="AB64" i="84"/>
  <c r="AM64" i="84" s="1"/>
  <c r="AG108" i="84"/>
  <c r="AG14" i="84"/>
  <c r="AG34" i="84"/>
  <c r="AB96" i="84"/>
  <c r="AM96" i="84" s="1"/>
  <c r="AG32" i="84"/>
  <c r="AG107" i="84"/>
  <c r="AG109" i="84"/>
  <c r="AG65" i="84"/>
  <c r="AB73" i="84"/>
  <c r="AM73" i="84" s="1"/>
  <c r="AG73" i="84"/>
  <c r="AG47" i="84"/>
  <c r="AG71" i="84"/>
  <c r="AB29" i="84"/>
  <c r="AM29" i="84" s="1"/>
  <c r="AG44" i="84"/>
  <c r="AG57" i="84"/>
  <c r="AG75" i="84"/>
  <c r="AG89" i="84"/>
  <c r="AG105" i="84"/>
  <c r="AB15" i="84"/>
  <c r="AM15" i="84" s="1"/>
  <c r="AB77" i="84"/>
  <c r="AM77" i="84" s="1"/>
  <c r="AG41" i="84"/>
  <c r="AB104" i="84"/>
  <c r="AM104" i="84" s="1"/>
  <c r="AB88" i="84"/>
  <c r="AM88" i="84" s="1"/>
  <c r="AG82" i="84"/>
  <c r="AB40" i="84"/>
  <c r="AM40" i="84" s="1"/>
  <c r="AG100" i="84"/>
  <c r="AB63" i="84"/>
  <c r="AM63" i="84" s="1"/>
  <c r="AB62" i="84"/>
  <c r="AM62" i="84" s="1"/>
  <c r="AG74" i="84"/>
  <c r="AG86" i="84"/>
  <c r="AB61" i="84"/>
  <c r="AM61" i="84" s="1"/>
  <c r="AM109" i="84"/>
  <c r="AG51" i="84"/>
  <c r="AB76" i="84"/>
  <c r="AM76" i="84" s="1"/>
  <c r="AB84" i="84"/>
  <c r="AM84" i="84" s="1"/>
  <c r="AG80" i="84"/>
  <c r="AG5" i="84"/>
  <c r="AB45" i="84"/>
  <c r="AM45" i="84" s="1"/>
  <c r="AG62" i="84"/>
  <c r="AG78" i="84"/>
  <c r="AG77" i="84"/>
  <c r="AB102" i="84"/>
  <c r="AM102" i="84" s="1"/>
  <c r="AB39" i="84"/>
  <c r="AM39" i="84" s="1"/>
  <c r="AG64" i="84"/>
  <c r="AB49" i="84"/>
  <c r="AM49" i="84" s="1"/>
  <c r="AG69" i="84"/>
  <c r="AB103" i="84"/>
  <c r="AM103" i="84" s="1"/>
  <c r="AG76" i="84"/>
  <c r="AB42" i="84"/>
  <c r="AM42" i="84" s="1"/>
  <c r="AG52" i="84"/>
  <c r="AB94" i="84"/>
  <c r="AM94" i="84" s="1"/>
  <c r="AM107" i="84"/>
  <c r="AG29" i="84"/>
  <c r="AG31" i="84"/>
  <c r="AB72" i="84"/>
  <c r="AM72" i="84" s="1"/>
  <c r="AB31" i="84"/>
  <c r="AM31" i="84" s="1"/>
  <c r="AB99" i="84"/>
  <c r="AM99" i="84" s="1"/>
  <c r="AG6" i="84"/>
  <c r="AB69" i="84"/>
  <c r="AM69" i="84" s="1"/>
  <c r="AG103" i="84"/>
  <c r="AB86" i="84"/>
  <c r="AM86" i="84" s="1"/>
  <c r="AM108" i="84"/>
  <c r="AM14" i="84"/>
  <c r="AM10" i="84"/>
  <c r="AG93" i="84"/>
  <c r="AB46" i="84"/>
  <c r="AM46" i="84" s="1"/>
  <c r="BA7" i="84"/>
  <c r="AB68" i="84"/>
  <c r="AM68" i="84" s="1"/>
  <c r="AB105" i="84"/>
  <c r="AM105" i="84" s="1"/>
  <c r="AB81" i="84"/>
  <c r="AM81" i="84" s="1"/>
  <c r="AG53" i="84"/>
  <c r="AM106" i="84"/>
  <c r="AG98" i="84"/>
  <c r="BB7" i="84"/>
  <c r="BC29" i="84" s="1"/>
  <c r="BC34" i="84" s="1"/>
  <c r="J41" i="12" s="1"/>
  <c r="AG46" i="84"/>
  <c r="AB100" i="84"/>
  <c r="AM100" i="84" s="1"/>
  <c r="AB80" i="84"/>
  <c r="AM80" i="84" s="1"/>
  <c r="AB41" i="84"/>
  <c r="AM41" i="84" s="1"/>
  <c r="AG54" i="84"/>
  <c r="AB93" i="84"/>
  <c r="AM93" i="84" s="1"/>
  <c r="AB78" i="84"/>
  <c r="AM78" i="84" s="1"/>
  <c r="AG92" i="84"/>
  <c r="AB50" i="84"/>
  <c r="AM50" i="84" s="1"/>
  <c r="AK3" i="84"/>
  <c r="G41" i="12" s="1"/>
  <c r="AG104" i="84"/>
  <c r="AG90" i="84"/>
  <c r="AG61" i="84"/>
  <c r="AG72" i="84"/>
  <c r="AG12" i="84"/>
  <c r="AB75" i="84"/>
  <c r="AM75" i="84" s="1"/>
  <c r="AB90" i="84"/>
  <c r="AM90" i="84" s="1"/>
  <c r="AG101" i="84"/>
  <c r="AB53" i="84"/>
  <c r="AM53" i="84" s="1"/>
  <c r="AB47" i="84"/>
  <c r="AM47" i="84" s="1"/>
  <c r="AG45" i="84"/>
  <c r="AG15" i="84"/>
  <c r="AM34" i="84"/>
  <c r="AB71" i="84"/>
  <c r="AM71" i="84" s="1"/>
  <c r="AG91" i="84"/>
  <c r="AG50" i="84"/>
  <c r="AG79" i="84"/>
  <c r="AG95" i="84"/>
  <c r="AG49" i="84"/>
  <c r="AB79" i="84"/>
  <c r="AM79" i="84" s="1"/>
  <c r="AB54" i="84"/>
  <c r="AM54" i="84" s="1"/>
  <c r="AB52" i="84"/>
  <c r="AM52" i="84" s="1"/>
  <c r="AM32" i="84"/>
  <c r="AB92" i="84"/>
  <c r="AM92" i="84" s="1"/>
  <c r="AB7" i="84"/>
  <c r="AM7" i="84" s="1"/>
  <c r="AB12" i="84"/>
  <c r="AM12" i="84" s="1"/>
  <c r="AB101" i="84"/>
  <c r="AM101" i="84" s="1"/>
  <c r="AB57" i="84"/>
  <c r="AM57" i="84" s="1"/>
  <c r="AG42" i="84"/>
  <c r="AZ7" i="84"/>
  <c r="AY9" i="84"/>
  <c r="AG94" i="84"/>
  <c r="AB56" i="84"/>
  <c r="AM56" i="84" s="1"/>
  <c r="BC9" i="84"/>
  <c r="BC10" i="84" s="1"/>
  <c r="BC11" i="84" s="1"/>
  <c r="BC12" i="84" s="1"/>
  <c r="BC13" i="84" s="1"/>
  <c r="BC14" i="84" s="1"/>
  <c r="BC15" i="84" s="1"/>
  <c r="BC16" i="84" s="1"/>
  <c r="BC17" i="84" s="1"/>
  <c r="BC18" i="84" s="1"/>
  <c r="AB44" i="84"/>
  <c r="AM44" i="84" s="1"/>
  <c r="AB82" i="84"/>
  <c r="AM82" i="84" s="1"/>
  <c r="AG84" i="84"/>
  <c r="AG83" i="84"/>
  <c r="AB65" i="84"/>
  <c r="AM65" i="84" s="1"/>
  <c r="AG7" i="84"/>
  <c r="AB6" i="84"/>
  <c r="AM6" i="84" s="1"/>
  <c r="AB98" i="84"/>
  <c r="AM98" i="84" s="1"/>
  <c r="AG56" i="84"/>
  <c r="AB74" i="84"/>
  <c r="AM74" i="84" s="1"/>
  <c r="AG68" i="84"/>
  <c r="AG81" i="84"/>
  <c r="AG99" i="84"/>
  <c r="AB83" i="84"/>
  <c r="AM83" i="84" s="1"/>
  <c r="AG88" i="84"/>
  <c r="AG2" i="84" l="1"/>
  <c r="K41" i="12" s="1"/>
  <c r="M41" i="12" s="1"/>
  <c r="AM3" i="84"/>
  <c r="G1" i="84" s="1"/>
  <c r="AN64" i="83" l="1"/>
  <c r="M64" i="83" s="1"/>
  <c r="Z64" i="83"/>
  <c r="Y64" i="83"/>
  <c r="U64" i="83"/>
  <c r="AJ64" i="83" s="1"/>
  <c r="K64" i="83"/>
  <c r="AH64" i="83" s="1"/>
  <c r="E64" i="83"/>
  <c r="AN63" i="83"/>
  <c r="M63" i="83" s="1"/>
  <c r="AE63" i="83"/>
  <c r="AA63" i="83"/>
  <c r="U63" i="83"/>
  <c r="K63" i="83"/>
  <c r="E63" i="83"/>
  <c r="AN62" i="83"/>
  <c r="M62" i="83" s="1"/>
  <c r="Z62" i="83"/>
  <c r="Y62" i="83"/>
  <c r="U62" i="83"/>
  <c r="K62" i="83"/>
  <c r="E62" i="83"/>
  <c r="AN61" i="83"/>
  <c r="M61" i="83" s="1"/>
  <c r="N61" i="83" s="1"/>
  <c r="O61" i="83" s="1"/>
  <c r="Z61" i="83"/>
  <c r="Y61" i="83"/>
  <c r="U61" i="83"/>
  <c r="K61" i="83"/>
  <c r="AI61" i="83" s="1"/>
  <c r="E61" i="83"/>
  <c r="AN60" i="83"/>
  <c r="M60" i="83" s="1"/>
  <c r="Z60" i="83"/>
  <c r="Y60" i="83"/>
  <c r="U60" i="83"/>
  <c r="AD60" i="83" s="1"/>
  <c r="K60" i="83"/>
  <c r="AH60" i="83" s="1"/>
  <c r="E60" i="83"/>
  <c r="AN59" i="83"/>
  <c r="M59" i="83" s="1"/>
  <c r="Z59" i="83"/>
  <c r="Y59" i="83"/>
  <c r="U59" i="83"/>
  <c r="K59" i="83"/>
  <c r="E59" i="83"/>
  <c r="AN58" i="83"/>
  <c r="M58" i="83" s="1"/>
  <c r="N58" i="83" s="1"/>
  <c r="O58" i="83" s="1"/>
  <c r="S58" i="83" s="1"/>
  <c r="AC58" i="83" s="1"/>
  <c r="AE58" i="83"/>
  <c r="AA58" i="83"/>
  <c r="U58" i="83"/>
  <c r="K58" i="83"/>
  <c r="E58" i="83"/>
  <c r="AN57" i="83"/>
  <c r="M57" i="83" s="1"/>
  <c r="AE57" i="83"/>
  <c r="AA57" i="83"/>
  <c r="U57" i="83"/>
  <c r="AD57" i="83" s="1"/>
  <c r="K57" i="83"/>
  <c r="AH57" i="83" s="1"/>
  <c r="E57" i="83"/>
  <c r="AN56" i="83"/>
  <c r="Z56" i="83"/>
  <c r="Y56" i="83"/>
  <c r="U56" i="83"/>
  <c r="K56" i="83"/>
  <c r="E56" i="83"/>
  <c r="AN54" i="83"/>
  <c r="M54" i="83" s="1"/>
  <c r="O54" i="83" s="1"/>
  <c r="Z54" i="83"/>
  <c r="AE54" i="83" s="1"/>
  <c r="U54" i="83"/>
  <c r="AD54" i="83" s="1"/>
  <c r="K54" i="83"/>
  <c r="AH54" i="83" s="1"/>
  <c r="E54" i="83"/>
  <c r="AN53" i="83"/>
  <c r="M53" i="83" s="1"/>
  <c r="O53" i="83" s="1"/>
  <c r="Z53" i="83"/>
  <c r="AA53" i="83" s="1"/>
  <c r="U53" i="83"/>
  <c r="AD53" i="83" s="1"/>
  <c r="K53" i="83"/>
  <c r="AI53" i="83" s="1"/>
  <c r="E53" i="83"/>
  <c r="AN52" i="83"/>
  <c r="M52" i="83" s="1"/>
  <c r="N52" i="83" s="1"/>
  <c r="Z52" i="83"/>
  <c r="Y52" i="83"/>
  <c r="U52" i="83"/>
  <c r="AD52" i="83" s="1"/>
  <c r="K52" i="83"/>
  <c r="E52" i="83"/>
  <c r="AN51" i="83"/>
  <c r="M51" i="83" s="1"/>
  <c r="O51" i="83" s="1"/>
  <c r="Z51" i="83"/>
  <c r="AE51" i="83" s="1"/>
  <c r="U51" i="83"/>
  <c r="AJ51" i="83" s="1"/>
  <c r="K51" i="83"/>
  <c r="E51" i="83"/>
  <c r="AN50" i="83"/>
  <c r="M50" i="83" s="1"/>
  <c r="AE50" i="83"/>
  <c r="AA50" i="83"/>
  <c r="U50" i="83"/>
  <c r="K50" i="83"/>
  <c r="AI50" i="83" s="1"/>
  <c r="E50" i="83"/>
  <c r="AN49" i="83"/>
  <c r="M49" i="83" s="1"/>
  <c r="AE49" i="83"/>
  <c r="AA49" i="83"/>
  <c r="U49" i="83"/>
  <c r="AJ49" i="83" s="1"/>
  <c r="K49" i="83"/>
  <c r="AH49" i="83" s="1"/>
  <c r="E49" i="83"/>
  <c r="AN48" i="83"/>
  <c r="M48" i="83" s="1"/>
  <c r="O48" i="83" s="1"/>
  <c r="Z48" i="83"/>
  <c r="Y48" i="83"/>
  <c r="U48" i="83"/>
  <c r="AD48" i="83" s="1"/>
  <c r="K48" i="83"/>
  <c r="AH48" i="83" s="1"/>
  <c r="E48" i="83"/>
  <c r="AN47" i="83"/>
  <c r="M47" i="83" s="1"/>
  <c r="Z47" i="83"/>
  <c r="Y47" i="83"/>
  <c r="U47" i="83"/>
  <c r="K47" i="83"/>
  <c r="E47" i="83"/>
  <c r="AN46" i="83"/>
  <c r="M46" i="83" s="1"/>
  <c r="Z46" i="83"/>
  <c r="Y46" i="83"/>
  <c r="U46" i="83"/>
  <c r="K46" i="83"/>
  <c r="AM46" i="83" s="1"/>
  <c r="E46" i="83"/>
  <c r="AN45" i="83"/>
  <c r="M45" i="83" s="1"/>
  <c r="N45" i="83" s="1"/>
  <c r="Z45" i="83"/>
  <c r="Y45" i="83"/>
  <c r="U45" i="83"/>
  <c r="K45" i="83"/>
  <c r="AI45" i="83" s="1"/>
  <c r="E45" i="83"/>
  <c r="AN38" i="83"/>
  <c r="M38" i="83" s="1"/>
  <c r="N38" i="83" s="1"/>
  <c r="O38" i="83" s="1"/>
  <c r="AE38" i="83"/>
  <c r="AA38" i="83"/>
  <c r="U38" i="83"/>
  <c r="AD38" i="83" s="1"/>
  <c r="K38" i="83"/>
  <c r="AH38" i="83" s="1"/>
  <c r="E38" i="83"/>
  <c r="AN37" i="83"/>
  <c r="M37" i="83" s="1"/>
  <c r="AE37" i="83"/>
  <c r="AA37" i="83"/>
  <c r="U37" i="83"/>
  <c r="AJ37" i="83" s="1"/>
  <c r="K37" i="83"/>
  <c r="E37" i="83"/>
  <c r="AN36" i="83"/>
  <c r="M36" i="83" s="1"/>
  <c r="N36" i="83" s="1"/>
  <c r="O36" i="83" s="1"/>
  <c r="AE36" i="83"/>
  <c r="AA36" i="83"/>
  <c r="U36" i="83"/>
  <c r="AD36" i="83" s="1"/>
  <c r="K36" i="83"/>
  <c r="E36" i="83"/>
  <c r="AN35" i="83"/>
  <c r="M35" i="83" s="1"/>
  <c r="AE35" i="83"/>
  <c r="AA35" i="83"/>
  <c r="U35" i="83"/>
  <c r="AJ35" i="83" s="1"/>
  <c r="K35" i="83"/>
  <c r="AH35" i="83" s="1"/>
  <c r="E35" i="83"/>
  <c r="AN34" i="83"/>
  <c r="M34" i="83" s="1"/>
  <c r="N34" i="83" s="1"/>
  <c r="AE34" i="83"/>
  <c r="AA34" i="83"/>
  <c r="U34" i="83"/>
  <c r="AJ34" i="83" s="1"/>
  <c r="K34" i="83"/>
  <c r="AH34" i="83" s="1"/>
  <c r="E34" i="83"/>
  <c r="AN33" i="83"/>
  <c r="M33" i="83" s="1"/>
  <c r="O33" i="83" s="1"/>
  <c r="Z33" i="83"/>
  <c r="Y33" i="83"/>
  <c r="U33" i="83"/>
  <c r="AJ33" i="83" s="1"/>
  <c r="K33" i="83"/>
  <c r="E33" i="83"/>
  <c r="AN32" i="83"/>
  <c r="M32" i="83" s="1"/>
  <c r="O32" i="83" s="1"/>
  <c r="Z32" i="83"/>
  <c r="Y32" i="83"/>
  <c r="U32" i="83"/>
  <c r="K32" i="83"/>
  <c r="AI32" i="83" s="1"/>
  <c r="E32" i="83"/>
  <c r="AN31" i="83"/>
  <c r="M31" i="83" s="1"/>
  <c r="N31" i="83" s="1"/>
  <c r="O31" i="83" s="1"/>
  <c r="S31" i="83" s="1"/>
  <c r="AC31" i="83" s="1"/>
  <c r="AE31" i="83"/>
  <c r="AA31" i="83"/>
  <c r="U31" i="83"/>
  <c r="AJ31" i="83" s="1"/>
  <c r="K31" i="83"/>
  <c r="AH31" i="83" s="1"/>
  <c r="E31" i="83"/>
  <c r="AN30" i="83"/>
  <c r="M30" i="83" s="1"/>
  <c r="AE30" i="83"/>
  <c r="AA30" i="83"/>
  <c r="U30" i="83"/>
  <c r="K30" i="83"/>
  <c r="E30" i="83"/>
  <c r="AN29" i="83"/>
  <c r="M29" i="83" s="1"/>
  <c r="N29" i="83" s="1"/>
  <c r="AE29" i="83"/>
  <c r="AA29" i="83"/>
  <c r="U29" i="83"/>
  <c r="K29" i="83"/>
  <c r="E29" i="83"/>
  <c r="AN28" i="83"/>
  <c r="M28" i="83" s="1"/>
  <c r="AE28" i="83"/>
  <c r="AA28" i="83"/>
  <c r="U28" i="83"/>
  <c r="K28" i="83"/>
  <c r="E28" i="83"/>
  <c r="AN27" i="83"/>
  <c r="M27" i="83" s="1"/>
  <c r="N27" i="83" s="1"/>
  <c r="O27" i="83" s="1"/>
  <c r="AE27" i="83"/>
  <c r="AA27" i="83"/>
  <c r="U27" i="83"/>
  <c r="AJ27" i="83" s="1"/>
  <c r="K27" i="83"/>
  <c r="AI27" i="83" s="1"/>
  <c r="E27" i="83"/>
  <c r="AW38" i="83"/>
  <c r="AY38" i="83" s="1"/>
  <c r="BA38" i="83" s="1"/>
  <c r="AW37" i="83"/>
  <c r="AY37" i="83" s="1"/>
  <c r="BA37" i="83" s="1"/>
  <c r="AN26" i="83"/>
  <c r="M26" i="83" s="1"/>
  <c r="N26" i="83" s="1"/>
  <c r="AE26" i="83"/>
  <c r="AA26" i="83"/>
  <c r="U26" i="83"/>
  <c r="AJ26" i="83" s="1"/>
  <c r="K26" i="83"/>
  <c r="E26" i="83"/>
  <c r="AW36" i="83"/>
  <c r="AY36" i="83" s="1"/>
  <c r="BA36" i="83" s="1"/>
  <c r="AN25" i="83"/>
  <c r="M25" i="83" s="1"/>
  <c r="AE25" i="83"/>
  <c r="AA25" i="83"/>
  <c r="U25" i="83"/>
  <c r="AJ25" i="83" s="1"/>
  <c r="K25" i="83"/>
  <c r="AI25" i="83" s="1"/>
  <c r="E25" i="83"/>
  <c r="AW35" i="83"/>
  <c r="AY35" i="83" s="1"/>
  <c r="BA35" i="83" s="1"/>
  <c r="AN24" i="83"/>
  <c r="M24" i="83" s="1"/>
  <c r="N24" i="83" s="1"/>
  <c r="O24" i="83" s="1"/>
  <c r="AE24" i="83"/>
  <c r="AA24" i="83"/>
  <c r="U24" i="83"/>
  <c r="AJ24" i="83" s="1"/>
  <c r="K24" i="83"/>
  <c r="AI24" i="83" s="1"/>
  <c r="E24" i="83"/>
  <c r="AW34" i="83"/>
  <c r="AY34" i="83" s="1"/>
  <c r="BA34" i="83" s="1"/>
  <c r="AN23" i="83"/>
  <c r="M23" i="83" s="1"/>
  <c r="O23" i="83" s="1"/>
  <c r="AE23" i="83"/>
  <c r="AA23" i="83"/>
  <c r="U23" i="83"/>
  <c r="AJ23" i="83" s="1"/>
  <c r="K23" i="83"/>
  <c r="E23" i="83"/>
  <c r="AW33" i="83"/>
  <c r="AY33" i="83" s="1"/>
  <c r="BA33" i="83" s="1"/>
  <c r="AN22" i="83"/>
  <c r="M22" i="83" s="1"/>
  <c r="AE22" i="83"/>
  <c r="AA22" i="83"/>
  <c r="U22" i="83"/>
  <c r="AD22" i="83" s="1"/>
  <c r="K22" i="83"/>
  <c r="AI22" i="83" s="1"/>
  <c r="E22" i="83"/>
  <c r="AN21" i="83"/>
  <c r="M21" i="83" s="1"/>
  <c r="Z21" i="83"/>
  <c r="Y21" i="83"/>
  <c r="U21" i="83"/>
  <c r="K21" i="83"/>
  <c r="AI21" i="83" s="1"/>
  <c r="E21" i="83"/>
  <c r="AN20" i="83"/>
  <c r="M20" i="83" s="1"/>
  <c r="O20" i="83" s="1"/>
  <c r="S20" i="83" s="1"/>
  <c r="AC20" i="83" s="1"/>
  <c r="Z20" i="83"/>
  <c r="Y20" i="83"/>
  <c r="U20" i="83"/>
  <c r="K20" i="83"/>
  <c r="AI20" i="83" s="1"/>
  <c r="E20" i="83"/>
  <c r="AN18" i="83"/>
  <c r="M18" i="83" s="1"/>
  <c r="O18" i="83" s="1"/>
  <c r="AE18" i="83"/>
  <c r="AA18" i="83"/>
  <c r="U18" i="83"/>
  <c r="AJ18" i="83" s="1"/>
  <c r="K18" i="83"/>
  <c r="E18" i="83"/>
  <c r="AN17" i="83"/>
  <c r="M17" i="83" s="1"/>
  <c r="N17" i="83" s="1"/>
  <c r="AE17" i="83"/>
  <c r="AA17" i="83"/>
  <c r="U17" i="83"/>
  <c r="AJ17" i="83" s="1"/>
  <c r="K17" i="83"/>
  <c r="AI17" i="83" s="1"/>
  <c r="E17" i="83"/>
  <c r="AN16" i="83"/>
  <c r="AE16" i="83"/>
  <c r="AA16" i="83"/>
  <c r="U16" i="83"/>
  <c r="AJ16" i="83" s="1"/>
  <c r="O16" i="83"/>
  <c r="S16" i="83" s="1"/>
  <c r="AC16" i="83" s="1"/>
  <c r="K16" i="83"/>
  <c r="AI16" i="83" s="1"/>
  <c r="E16" i="83"/>
  <c r="AN15" i="83"/>
  <c r="M15" i="83" s="1"/>
  <c r="N15" i="83" s="1"/>
  <c r="AC15" i="83"/>
  <c r="Z15" i="83"/>
  <c r="Y15" i="83"/>
  <c r="U15" i="83"/>
  <c r="K15" i="83"/>
  <c r="AI15" i="83" s="1"/>
  <c r="E15" i="83"/>
  <c r="AN14" i="83"/>
  <c r="M14" i="83" s="1"/>
  <c r="Z14" i="83"/>
  <c r="Y14" i="83"/>
  <c r="U14" i="83"/>
  <c r="AJ14" i="83" s="1"/>
  <c r="K14" i="83"/>
  <c r="AI14" i="83" s="1"/>
  <c r="E14" i="83"/>
  <c r="AN13" i="83"/>
  <c r="M13" i="83" s="1"/>
  <c r="AE13" i="83"/>
  <c r="AA13" i="83"/>
  <c r="U13" i="83"/>
  <c r="K13" i="83"/>
  <c r="AI13" i="83" s="1"/>
  <c r="E13" i="83"/>
  <c r="BB18" i="83"/>
  <c r="AW18" i="83"/>
  <c r="BB17" i="83"/>
  <c r="AW17" i="83"/>
  <c r="AN12" i="83"/>
  <c r="M12" i="83" s="1"/>
  <c r="N12" i="83" s="1"/>
  <c r="O12" i="83" s="1"/>
  <c r="Z12" i="83"/>
  <c r="Y12" i="83"/>
  <c r="U12" i="83"/>
  <c r="AJ12" i="83" s="1"/>
  <c r="K12" i="83"/>
  <c r="E12" i="83"/>
  <c r="BB16" i="83"/>
  <c r="AW16" i="83"/>
  <c r="AN11" i="83"/>
  <c r="M11" i="83" s="1"/>
  <c r="Z11" i="83"/>
  <c r="Y11" i="83"/>
  <c r="U11" i="83"/>
  <c r="AD11" i="83" s="1"/>
  <c r="K11" i="83"/>
  <c r="E11" i="83"/>
  <c r="BB15" i="83"/>
  <c r="AW15" i="83"/>
  <c r="AN10" i="83"/>
  <c r="M10" i="83" s="1"/>
  <c r="Z10" i="83"/>
  <c r="Y10" i="83"/>
  <c r="U10" i="83"/>
  <c r="K10" i="83"/>
  <c r="E10" i="83"/>
  <c r="BB14" i="83"/>
  <c r="AW14" i="83"/>
  <c r="AN9" i="83"/>
  <c r="M9" i="83" s="1"/>
  <c r="Z9" i="83"/>
  <c r="Y9" i="83"/>
  <c r="U9" i="83"/>
  <c r="AD9" i="83" s="1"/>
  <c r="K9" i="83"/>
  <c r="AI9" i="83" s="1"/>
  <c r="E9" i="83"/>
  <c r="BB13" i="83"/>
  <c r="AW13" i="83"/>
  <c r="AN8" i="83"/>
  <c r="M8" i="83" s="1"/>
  <c r="N8" i="83" s="1"/>
  <c r="O8" i="83" s="1"/>
  <c r="Z8" i="83"/>
  <c r="Y8" i="83"/>
  <c r="U8" i="83"/>
  <c r="AD8" i="83" s="1"/>
  <c r="K8" i="83"/>
  <c r="AH8" i="83" s="1"/>
  <c r="E8" i="83"/>
  <c r="AN7" i="83"/>
  <c r="M7" i="83" s="1"/>
  <c r="Y7" i="83"/>
  <c r="AA7" i="83" s="1"/>
  <c r="U7" i="83"/>
  <c r="K7" i="83"/>
  <c r="AI7" i="83" s="1"/>
  <c r="E7" i="83"/>
  <c r="AN6" i="83"/>
  <c r="M6" i="83" s="1"/>
  <c r="N6" i="83" s="1"/>
  <c r="O6" i="83" s="1"/>
  <c r="Z6" i="83"/>
  <c r="Y6" i="83"/>
  <c r="U6" i="83"/>
  <c r="AD6" i="83" s="1"/>
  <c r="K6" i="83"/>
  <c r="E6" i="83"/>
  <c r="AN5" i="83"/>
  <c r="Z5" i="83"/>
  <c r="Y5" i="83"/>
  <c r="U5" i="83"/>
  <c r="AJ5" i="83" s="1"/>
  <c r="N5" i="83"/>
  <c r="O5" i="83" s="1"/>
  <c r="K5" i="83"/>
  <c r="AH5" i="83" s="1"/>
  <c r="E5" i="83"/>
  <c r="I2" i="83"/>
  <c r="C40" i="12" s="1"/>
  <c r="J31" i="12"/>
  <c r="I31" i="12"/>
  <c r="G31" i="12"/>
  <c r="F31" i="12"/>
  <c r="E31" i="12"/>
  <c r="D31" i="12"/>
  <c r="C31" i="12"/>
  <c r="BC24" i="82"/>
  <c r="J38" i="12"/>
  <c r="J37" i="12"/>
  <c r="J36" i="12"/>
  <c r="J35" i="12"/>
  <c r="J34" i="12"/>
  <c r="J33" i="12"/>
  <c r="J32" i="12"/>
  <c r="AW12" i="83" l="1"/>
  <c r="AW32" i="83"/>
  <c r="AY32" i="83" s="1"/>
  <c r="BA32" i="83" s="1"/>
  <c r="AH53" i="83"/>
  <c r="AI49" i="83"/>
  <c r="AI57" i="83"/>
  <c r="AH16" i="83"/>
  <c r="AE61" i="83"/>
  <c r="O45" i="83"/>
  <c r="S45" i="83" s="1"/>
  <c r="AC45" i="83" s="1"/>
  <c r="AE45" i="83"/>
  <c r="AE15" i="83"/>
  <c r="AK12" i="83"/>
  <c r="AF5" i="83"/>
  <c r="AE6" i="83"/>
  <c r="AE59" i="83"/>
  <c r="AA20" i="83"/>
  <c r="AB20" i="83" s="1"/>
  <c r="AM20" i="83" s="1"/>
  <c r="AJ57" i="83"/>
  <c r="AI31" i="83"/>
  <c r="AH45" i="83"/>
  <c r="AF18" i="83"/>
  <c r="AI64" i="83"/>
  <c r="AA21" i="83"/>
  <c r="AE46" i="83"/>
  <c r="AA54" i="83"/>
  <c r="AD17" i="83"/>
  <c r="AI5" i="83"/>
  <c r="AK20" i="83"/>
  <c r="AJ8" i="83"/>
  <c r="AI12" i="83"/>
  <c r="AH27" i="83"/>
  <c r="AH14" i="83"/>
  <c r="AE56" i="83"/>
  <c r="AD35" i="83"/>
  <c r="AH46" i="83"/>
  <c r="AJ22" i="83"/>
  <c r="AH50" i="83"/>
  <c r="AD18" i="83"/>
  <c r="AH20" i="83"/>
  <c r="AA9" i="83"/>
  <c r="AE11" i="83"/>
  <c r="AE62" i="83"/>
  <c r="AD49" i="83"/>
  <c r="AH17" i="83"/>
  <c r="AI46" i="83"/>
  <c r="AI8" i="83"/>
  <c r="AI38" i="83"/>
  <c r="AI35" i="83"/>
  <c r="AE9" i="83"/>
  <c r="AD16" i="83"/>
  <c r="AH22" i="83"/>
  <c r="AI60" i="83"/>
  <c r="AE53" i="83"/>
  <c r="AA6" i="83"/>
  <c r="AJ38" i="83"/>
  <c r="AJ6" i="83"/>
  <c r="AJ9" i="83"/>
  <c r="AE14" i="83"/>
  <c r="AD26" i="83"/>
  <c r="AA64" i="83"/>
  <c r="AX18" i="83" a="1"/>
  <c r="AX18" i="83" s="1"/>
  <c r="BA18" i="83" s="1"/>
  <c r="O34" i="83"/>
  <c r="AF34" i="83" s="1"/>
  <c r="AF23" i="83"/>
  <c r="AJ36" i="83"/>
  <c r="AF51" i="83"/>
  <c r="S51" i="83"/>
  <c r="AC51" i="83" s="1"/>
  <c r="S36" i="83"/>
  <c r="AC36" i="83" s="1"/>
  <c r="AF36" i="83"/>
  <c r="AK36" i="83"/>
  <c r="AE8" i="83"/>
  <c r="AE12" i="83"/>
  <c r="AD37" i="83"/>
  <c r="AH26" i="83"/>
  <c r="AD24" i="83"/>
  <c r="AJ30" i="83"/>
  <c r="AD30" i="83"/>
  <c r="AD33" i="83"/>
  <c r="AJ48" i="83"/>
  <c r="AJ50" i="83"/>
  <c r="AD50" i="83"/>
  <c r="AI58" i="83"/>
  <c r="AH58" i="83"/>
  <c r="AI28" i="83"/>
  <c r="AH28" i="83"/>
  <c r="AJ58" i="83"/>
  <c r="AD58" i="83"/>
  <c r="AB58" i="83"/>
  <c r="AM58" i="83" s="1"/>
  <c r="AI11" i="83"/>
  <c r="AH11" i="83"/>
  <c r="AE20" i="83"/>
  <c r="AJ10" i="83"/>
  <c r="AD10" i="83"/>
  <c r="AI33" i="83"/>
  <c r="AH33" i="83"/>
  <c r="AE10" i="83"/>
  <c r="AA10" i="83"/>
  <c r="O26" i="83"/>
  <c r="AH13" i="83"/>
  <c r="AE5" i="83"/>
  <c r="AK54" i="83"/>
  <c r="AE60" i="83"/>
  <c r="AE7" i="83"/>
  <c r="AJ11" i="83"/>
  <c r="AK27" i="83"/>
  <c r="AA47" i="83"/>
  <c r="AE47" i="83"/>
  <c r="AJ56" i="83"/>
  <c r="AD56" i="83"/>
  <c r="AI59" i="83"/>
  <c r="AH59" i="83"/>
  <c r="AE33" i="83"/>
  <c r="AA33" i="83"/>
  <c r="AE48" i="83"/>
  <c r="AJ13" i="83"/>
  <c r="AD13" i="83"/>
  <c r="AK24" i="83"/>
  <c r="AI54" i="83"/>
  <c r="AK32" i="83"/>
  <c r="AH32" i="83"/>
  <c r="AI26" i="83"/>
  <c r="AH36" i="83"/>
  <c r="AI36" i="83"/>
  <c r="AD34" i="83"/>
  <c r="AI34" i="83"/>
  <c r="AA56" i="83"/>
  <c r="AJ60" i="83"/>
  <c r="AI56" i="83"/>
  <c r="AH56" i="83"/>
  <c r="AH10" i="83"/>
  <c r="AI10" i="83"/>
  <c r="AD14" i="83"/>
  <c r="AJ21" i="83"/>
  <c r="AD21" i="83"/>
  <c r="AD51" i="83"/>
  <c r="AJ62" i="83"/>
  <c r="AD62" i="83"/>
  <c r="AF58" i="83"/>
  <c r="AK38" i="83"/>
  <c r="AD64" i="83"/>
  <c r="AH15" i="83"/>
  <c r="AE21" i="83"/>
  <c r="AE64" i="83"/>
  <c r="AF61" i="83"/>
  <c r="AK61" i="83"/>
  <c r="S61" i="83"/>
  <c r="AC61" i="83" s="1"/>
  <c r="AJ7" i="83"/>
  <c r="AD7" i="83"/>
  <c r="N22" i="83"/>
  <c r="O22" i="83" s="1"/>
  <c r="AA14" i="83"/>
  <c r="AF48" i="83"/>
  <c r="S48" i="83"/>
  <c r="AC48" i="83" s="1"/>
  <c r="O29" i="83"/>
  <c r="AX13" i="83" a="1"/>
  <c r="AX13" i="83" s="1"/>
  <c r="N25" i="83"/>
  <c r="O25" i="83" s="1"/>
  <c r="AX15" i="83" a="1"/>
  <c r="AX15" i="83" s="1"/>
  <c r="S6" i="83"/>
  <c r="AC6" i="83" s="1"/>
  <c r="AK6" i="83"/>
  <c r="N11" i="83"/>
  <c r="O11" i="83" s="1"/>
  <c r="AK18" i="83"/>
  <c r="AI18" i="83"/>
  <c r="AH18" i="83"/>
  <c r="AD15" i="83"/>
  <c r="AJ15" i="83"/>
  <c r="AF24" i="83"/>
  <c r="S24" i="83"/>
  <c r="AC24" i="83" s="1"/>
  <c r="N13" i="83"/>
  <c r="O13" i="83" s="1"/>
  <c r="AH12" i="83"/>
  <c r="AW10" i="83"/>
  <c r="AX10" i="83" s="1" a="1"/>
  <c r="AX10" i="83" s="1"/>
  <c r="AF12" i="83"/>
  <c r="S12" i="83"/>
  <c r="AC12" i="83" s="1"/>
  <c r="AD32" i="83"/>
  <c r="AJ32" i="83"/>
  <c r="AF32" i="83"/>
  <c r="AX17" i="83" a="1"/>
  <c r="AX17" i="83" s="1"/>
  <c r="N21" i="83"/>
  <c r="O21" i="83" s="1"/>
  <c r="AK21" i="83" s="1"/>
  <c r="AI37" i="83"/>
  <c r="AH37" i="83"/>
  <c r="N28" i="83"/>
  <c r="O28" i="83" s="1"/>
  <c r="O15" i="83"/>
  <c r="AF6" i="83"/>
  <c r="AF8" i="83"/>
  <c r="S8" i="83"/>
  <c r="AC8" i="83" s="1"/>
  <c r="AK8" i="83"/>
  <c r="AW29" i="83"/>
  <c r="AY29" i="83" s="1"/>
  <c r="BA29" i="83" s="1"/>
  <c r="AE32" i="83"/>
  <c r="AA32" i="83"/>
  <c r="AX12" i="83" a="1"/>
  <c r="AX12" i="83" s="1"/>
  <c r="N30" i="83"/>
  <c r="O30" i="83" s="1"/>
  <c r="AI23" i="83"/>
  <c r="AH23" i="83"/>
  <c r="AM8" i="83"/>
  <c r="AD29" i="83"/>
  <c r="AJ29" i="83"/>
  <c r="O17" i="83"/>
  <c r="S18" i="83"/>
  <c r="AC18" i="83" s="1"/>
  <c r="N37" i="83"/>
  <c r="O37" i="83" s="1"/>
  <c r="AK5" i="83"/>
  <c r="AH6" i="83"/>
  <c r="AW11" i="83"/>
  <c r="AX11" i="83" s="1" a="1"/>
  <c r="AX11" i="83" s="1"/>
  <c r="AA15" i="83"/>
  <c r="AA46" i="83"/>
  <c r="AI6" i="83"/>
  <c r="AH9" i="83"/>
  <c r="AB16" i="83"/>
  <c r="AM16" i="83" s="1"/>
  <c r="AW30" i="83"/>
  <c r="AY30" i="83" s="1"/>
  <c r="BA30" i="83" s="1"/>
  <c r="S23" i="83"/>
  <c r="AC23" i="83" s="1"/>
  <c r="S27" i="83"/>
  <c r="AC27" i="83" s="1"/>
  <c r="AF27" i="83"/>
  <c r="AJ28" i="83"/>
  <c r="AD28" i="83"/>
  <c r="AK31" i="83"/>
  <c r="AA60" i="83"/>
  <c r="AA61" i="83"/>
  <c r="AX16" i="83" a="1"/>
  <c r="AX16" i="83" s="1"/>
  <c r="AA12" i="83"/>
  <c r="AF16" i="83"/>
  <c r="AH21" i="83"/>
  <c r="K2" i="83"/>
  <c r="D40" i="12" s="1"/>
  <c r="AH7" i="83"/>
  <c r="N9" i="83"/>
  <c r="O9" i="83" s="1"/>
  <c r="AI30" i="83"/>
  <c r="AH30" i="83"/>
  <c r="AB31" i="83"/>
  <c r="AM31" i="83" s="1"/>
  <c r="AD59" i="83"/>
  <c r="AJ59" i="83"/>
  <c r="AD23" i="83"/>
  <c r="AD27" i="83"/>
  <c r="S33" i="83"/>
  <c r="AC33" i="83" s="1"/>
  <c r="AF33" i="83"/>
  <c r="AK33" i="83"/>
  <c r="AA11" i="83"/>
  <c r="AD12" i="83"/>
  <c r="AD25" i="83"/>
  <c r="AD31" i="83"/>
  <c r="N46" i="83"/>
  <c r="O46" i="83" s="1"/>
  <c r="N56" i="83"/>
  <c r="O56" i="83" s="1"/>
  <c r="O52" i="83"/>
  <c r="AK52" i="83" s="1"/>
  <c r="N47" i="83"/>
  <c r="O47" i="83" s="1"/>
  <c r="N10" i="83"/>
  <c r="O10" i="83" s="1"/>
  <c r="AW31" i="83"/>
  <c r="AY31" i="83" s="1"/>
  <c r="BA31" i="83" s="1"/>
  <c r="AM6" i="83"/>
  <c r="AX14" i="83" a="1"/>
  <c r="AX14" i="83" s="1"/>
  <c r="N14" i="83"/>
  <c r="O14" i="83" s="1"/>
  <c r="N35" i="83"/>
  <c r="O35" i="83" s="1"/>
  <c r="AF53" i="83"/>
  <c r="AD20" i="83"/>
  <c r="AJ20" i="83"/>
  <c r="AA5" i="83"/>
  <c r="AA8" i="83"/>
  <c r="N7" i="83"/>
  <c r="O7" i="83" s="1"/>
  <c r="AK16" i="83"/>
  <c r="AK23" i="83"/>
  <c r="AH24" i="83"/>
  <c r="AH25" i="83"/>
  <c r="AF31" i="83"/>
  <c r="AI48" i="83"/>
  <c r="N50" i="83"/>
  <c r="O50" i="83" s="1"/>
  <c r="S53" i="83"/>
  <c r="AC53" i="83" s="1"/>
  <c r="AJ54" i="83"/>
  <c r="S5" i="83"/>
  <c r="AC5" i="83" s="1"/>
  <c r="AW9" i="83"/>
  <c r="AF20" i="83"/>
  <c r="S38" i="83"/>
  <c r="AF38" i="83"/>
  <c r="AJ45" i="83"/>
  <c r="AD45" i="83"/>
  <c r="AD5" i="83"/>
  <c r="AI29" i="83"/>
  <c r="AH29" i="83"/>
  <c r="S32" i="83"/>
  <c r="AC32" i="83" s="1"/>
  <c r="AK48" i="83"/>
  <c r="AH62" i="83"/>
  <c r="AI62" i="83"/>
  <c r="AI52" i="83"/>
  <c r="AH52" i="83"/>
  <c r="AK51" i="83"/>
  <c r="AI51" i="83"/>
  <c r="AH51" i="83"/>
  <c r="AJ53" i="83"/>
  <c r="AE52" i="83"/>
  <c r="AA52" i="83"/>
  <c r="AA59" i="83"/>
  <c r="AI63" i="83"/>
  <c r="AH63" i="83"/>
  <c r="N49" i="83"/>
  <c r="O49" i="83" s="1"/>
  <c r="AJ52" i="83"/>
  <c r="N63" i="83"/>
  <c r="O63" i="83" s="1"/>
  <c r="N64" i="83"/>
  <c r="O64" i="83" s="1"/>
  <c r="AA48" i="83"/>
  <c r="N57" i="83"/>
  <c r="O57" i="83" s="1"/>
  <c r="AJ46" i="83"/>
  <c r="AD46" i="83"/>
  <c r="AD47" i="83"/>
  <c r="AJ47" i="83"/>
  <c r="AA51" i="83"/>
  <c r="S54" i="83"/>
  <c r="AC54" i="83" s="1"/>
  <c r="AF54" i="83"/>
  <c r="AK53" i="83"/>
  <c r="AJ61" i="83"/>
  <c r="AD61" i="83"/>
  <c r="N62" i="83"/>
  <c r="O62" i="83" s="1"/>
  <c r="AH47" i="83"/>
  <c r="AK58" i="83"/>
  <c r="AI47" i="83"/>
  <c r="AA45" i="83"/>
  <c r="N59" i="83"/>
  <c r="O59" i="83" s="1"/>
  <c r="AA62" i="83"/>
  <c r="AD63" i="83"/>
  <c r="AJ63" i="83"/>
  <c r="N60" i="83"/>
  <c r="O60" i="83" s="1"/>
  <c r="AH61" i="83"/>
  <c r="BB12" i="83" l="1"/>
  <c r="AK45" i="83"/>
  <c r="AF45" i="83"/>
  <c r="AG45" i="83" s="1"/>
  <c r="AK34" i="83"/>
  <c r="AB54" i="83"/>
  <c r="AM54" i="83" s="1"/>
  <c r="AG58" i="83"/>
  <c r="S34" i="83"/>
  <c r="AC34" i="83" s="1"/>
  <c r="AG34" i="83" s="1"/>
  <c r="AB51" i="83"/>
  <c r="AM51" i="83" s="1"/>
  <c r="AG8" i="83"/>
  <c r="AG20" i="83"/>
  <c r="AG18" i="83"/>
  <c r="AB36" i="83"/>
  <c r="AM36" i="83" s="1"/>
  <c r="AB23" i="83"/>
  <c r="AM23" i="83" s="1"/>
  <c r="AG48" i="83"/>
  <c r="AB33" i="83"/>
  <c r="AM33" i="83" s="1"/>
  <c r="AK26" i="83"/>
  <c r="AF26" i="83"/>
  <c r="S26" i="83"/>
  <c r="AC26" i="83" s="1"/>
  <c r="AB45" i="83"/>
  <c r="AM45" i="83" s="1"/>
  <c r="AG16" i="83"/>
  <c r="AB53" i="83"/>
  <c r="AM53" i="83" s="1"/>
  <c r="AG36" i="83"/>
  <c r="AG6" i="83"/>
  <c r="AG51" i="83"/>
  <c r="BB11" i="83"/>
  <c r="AG5" i="83"/>
  <c r="AG24" i="83"/>
  <c r="AG32" i="83"/>
  <c r="AG31" i="83"/>
  <c r="AB48" i="83"/>
  <c r="AM48" i="83" s="1"/>
  <c r="AB32" i="83"/>
  <c r="AM32" i="83" s="1"/>
  <c r="AG23" i="83"/>
  <c r="S30" i="83"/>
  <c r="AC30" i="83" s="1"/>
  <c r="AF30" i="83"/>
  <c r="AK30" i="83"/>
  <c r="S63" i="83"/>
  <c r="AC63" i="83" s="1"/>
  <c r="AK63" i="83"/>
  <c r="AF63" i="83"/>
  <c r="S9" i="83"/>
  <c r="AC9" i="83" s="1"/>
  <c r="AF9" i="83"/>
  <c r="AK9" i="83"/>
  <c r="S7" i="83"/>
  <c r="AC7" i="83" s="1"/>
  <c r="AF7" i="83"/>
  <c r="AK7" i="83"/>
  <c r="S50" i="83"/>
  <c r="AC50" i="83" s="1"/>
  <c r="AF50" i="83"/>
  <c r="AK50" i="83"/>
  <c r="S37" i="83"/>
  <c r="AC37" i="83" s="1"/>
  <c r="AF37" i="83"/>
  <c r="AK37" i="83"/>
  <c r="S57" i="83"/>
  <c r="AC57" i="83" s="1"/>
  <c r="AF57" i="83"/>
  <c r="AK57" i="83"/>
  <c r="AF28" i="83"/>
  <c r="S28" i="83"/>
  <c r="AC28" i="83" s="1"/>
  <c r="AK28" i="83"/>
  <c r="S13" i="83"/>
  <c r="AC13" i="83" s="1"/>
  <c r="AK13" i="83"/>
  <c r="AF13" i="83"/>
  <c r="S46" i="83"/>
  <c r="AC46" i="83" s="1"/>
  <c r="AK46" i="83"/>
  <c r="AF46" i="83"/>
  <c r="AK10" i="83"/>
  <c r="S10" i="83"/>
  <c r="AC10" i="83" s="1"/>
  <c r="AF10" i="83"/>
  <c r="S62" i="83"/>
  <c r="AC62" i="83" s="1"/>
  <c r="AF62" i="83"/>
  <c r="AK62" i="83"/>
  <c r="S60" i="83"/>
  <c r="AC60" i="83" s="1"/>
  <c r="AF60" i="83"/>
  <c r="AK60" i="83"/>
  <c r="AF47" i="83"/>
  <c r="S47" i="83"/>
  <c r="AC47" i="83" s="1"/>
  <c r="AK47" i="83"/>
  <c r="S49" i="83"/>
  <c r="AC49" i="83" s="1"/>
  <c r="AF49" i="83"/>
  <c r="AK49" i="83"/>
  <c r="S35" i="83"/>
  <c r="AC35" i="83" s="1"/>
  <c r="AF35" i="83"/>
  <c r="AK35" i="83"/>
  <c r="S59" i="83"/>
  <c r="AC59" i="83" s="1"/>
  <c r="AK59" i="83"/>
  <c r="AF59" i="83"/>
  <c r="BA14" i="83"/>
  <c r="AB24" i="83"/>
  <c r="AM24" i="83" s="1"/>
  <c r="AF52" i="83"/>
  <c r="S52" i="83"/>
  <c r="AC52" i="83" s="1"/>
  <c r="BB10" i="83"/>
  <c r="AZ10" i="83" a="1"/>
  <c r="AZ10" i="83" s="1"/>
  <c r="AY10" i="83" s="1"/>
  <c r="AF29" i="83"/>
  <c r="S29" i="83"/>
  <c r="AC29" i="83" s="1"/>
  <c r="AG54" i="83"/>
  <c r="L2" i="83"/>
  <c r="AJ3" i="83"/>
  <c r="L40" i="12" s="1"/>
  <c r="AG27" i="83"/>
  <c r="BA12" i="83"/>
  <c r="AG33" i="83"/>
  <c r="BA11" i="83"/>
  <c r="AF25" i="83"/>
  <c r="S25" i="83"/>
  <c r="AC25" i="83" s="1"/>
  <c r="BA15" i="83"/>
  <c r="BA16" i="83"/>
  <c r="AB5" i="83"/>
  <c r="AM5" i="83" s="1"/>
  <c r="AG61" i="83"/>
  <c r="AC38" i="83"/>
  <c r="AG38" i="83" s="1"/>
  <c r="AB38" i="83"/>
  <c r="AM38" i="83" s="1"/>
  <c r="S14" i="83"/>
  <c r="AC14" i="83" s="1"/>
  <c r="AF14" i="83"/>
  <c r="AK14" i="83"/>
  <c r="BA13" i="83"/>
  <c r="BB9" i="83"/>
  <c r="AH3" i="83"/>
  <c r="E2" i="83" s="1"/>
  <c r="F40" i="12" s="1"/>
  <c r="AZ14" i="83" a="1"/>
  <c r="AZ14" i="83" s="1"/>
  <c r="AY14" i="83" s="1"/>
  <c r="Q2" i="83"/>
  <c r="G2" i="83" s="1"/>
  <c r="I40" i="12" s="1"/>
  <c r="AZ9" i="83" a="1"/>
  <c r="AZ9" i="83" s="1"/>
  <c r="R2" i="83"/>
  <c r="P2" i="83"/>
  <c r="AZ17" i="83" a="1"/>
  <c r="AZ17" i="83" s="1"/>
  <c r="AY17" i="83" s="1"/>
  <c r="AZ15" i="83" a="1"/>
  <c r="AZ15" i="83" s="1"/>
  <c r="AY15" i="83" s="1"/>
  <c r="AZ16" i="83" a="1"/>
  <c r="AZ16" i="83" s="1"/>
  <c r="AY16" i="83" s="1"/>
  <c r="AZ18" i="83" a="1"/>
  <c r="AZ18" i="83" s="1"/>
  <c r="AY18" i="83" s="1"/>
  <c r="AZ12" i="83" a="1"/>
  <c r="AZ12" i="83" s="1"/>
  <c r="AY12" i="83" s="1"/>
  <c r="AZ13" i="83" a="1"/>
  <c r="AZ13" i="83" s="1"/>
  <c r="AY13" i="83" s="1"/>
  <c r="AF15" i="83"/>
  <c r="AG15" i="83" s="1"/>
  <c r="AB15" i="83"/>
  <c r="AM15" i="83" s="1"/>
  <c r="AK22" i="83"/>
  <c r="AF22" i="83"/>
  <c r="S22" i="83"/>
  <c r="AC22" i="83" s="1"/>
  <c r="S64" i="83"/>
  <c r="AC64" i="83" s="1"/>
  <c r="AK64" i="83"/>
  <c r="AF64" i="83"/>
  <c r="AK25" i="83"/>
  <c r="AB18" i="83"/>
  <c r="AM18" i="83" s="1"/>
  <c r="AG53" i="83"/>
  <c r="AK15" i="83"/>
  <c r="AI3" i="83"/>
  <c r="E1" i="83" s="1"/>
  <c r="E40" i="12" s="1"/>
  <c r="AB61" i="83"/>
  <c r="AM61" i="83" s="1"/>
  <c r="BA17" i="83"/>
  <c r="S11" i="83"/>
  <c r="AC11" i="83" s="1"/>
  <c r="AK11" i="83"/>
  <c r="AF11" i="83"/>
  <c r="S56" i="83"/>
  <c r="AC56" i="83" s="1"/>
  <c r="AK56" i="83"/>
  <c r="AF56" i="83"/>
  <c r="BA10" i="83"/>
  <c r="AB27" i="83"/>
  <c r="AM27" i="83" s="1"/>
  <c r="BA27" i="83"/>
  <c r="AF21" i="83"/>
  <c r="S21" i="83"/>
  <c r="AC21" i="83" s="1"/>
  <c r="AG12" i="83"/>
  <c r="S17" i="83"/>
  <c r="AC17" i="83" s="1"/>
  <c r="AK17" i="83"/>
  <c r="AF17" i="83"/>
  <c r="AW7" i="83"/>
  <c r="AX9" i="83" a="1"/>
  <c r="AX9" i="83" s="1"/>
  <c r="BD9" i="83"/>
  <c r="BD10" i="83" s="1"/>
  <c r="BD11" i="83" s="1"/>
  <c r="BD12" i="83" s="1"/>
  <c r="BD13" i="83" s="1"/>
  <c r="BD14" i="83" s="1"/>
  <c r="BD15" i="83" s="1"/>
  <c r="BD16" i="83" s="1"/>
  <c r="BD17" i="83" s="1"/>
  <c r="BD18" i="83" s="1"/>
  <c r="AZ11" i="83" a="1"/>
  <c r="AZ11" i="83" s="1"/>
  <c r="AY11" i="83" s="1"/>
  <c r="AK29" i="83"/>
  <c r="AB12" i="83"/>
  <c r="AM12" i="83" s="1"/>
  <c r="I38" i="12"/>
  <c r="I37" i="12"/>
  <c r="I36" i="12"/>
  <c r="I35" i="12"/>
  <c r="I34" i="12"/>
  <c r="I33" i="12"/>
  <c r="G33" i="12"/>
  <c r="F38" i="12"/>
  <c r="F37" i="12"/>
  <c r="F36" i="12"/>
  <c r="F35" i="12"/>
  <c r="F34" i="12"/>
  <c r="F33" i="12"/>
  <c r="E38" i="12"/>
  <c r="E37" i="12"/>
  <c r="E36" i="12"/>
  <c r="E35" i="12"/>
  <c r="E34" i="12"/>
  <c r="E33" i="12"/>
  <c r="D38" i="12"/>
  <c r="D37" i="12"/>
  <c r="D36" i="12"/>
  <c r="D35" i="12"/>
  <c r="D34" i="12"/>
  <c r="D33" i="12"/>
  <c r="C38" i="12"/>
  <c r="C37" i="12"/>
  <c r="C36" i="12"/>
  <c r="C35" i="12"/>
  <c r="C34" i="12"/>
  <c r="C33" i="12"/>
  <c r="I32" i="12"/>
  <c r="G32" i="12"/>
  <c r="F32" i="12"/>
  <c r="E32" i="12"/>
  <c r="D32" i="12"/>
  <c r="C32" i="12"/>
  <c r="AG22" i="83" l="1"/>
  <c r="AG21" i="83"/>
  <c r="AG46" i="83"/>
  <c r="AB9" i="83"/>
  <c r="AM9" i="83" s="1"/>
  <c r="AB34" i="83"/>
  <c r="AM34" i="83" s="1"/>
  <c r="AB17" i="83"/>
  <c r="AM17" i="83" s="1"/>
  <c r="AB47" i="83"/>
  <c r="AM47" i="83" s="1"/>
  <c r="AG47" i="83"/>
  <c r="AG26" i="83"/>
  <c r="AG57" i="83"/>
  <c r="AG29" i="83"/>
  <c r="AG25" i="83"/>
  <c r="AB7" i="83"/>
  <c r="AM7" i="83" s="1"/>
  <c r="AB14" i="83"/>
  <c r="AM14" i="83" s="1"/>
  <c r="AB26" i="83"/>
  <c r="AM26" i="83" s="1"/>
  <c r="AB52" i="83"/>
  <c r="AM52" i="83" s="1"/>
  <c r="AG56" i="83"/>
  <c r="AB50" i="83"/>
  <c r="AM50" i="83" s="1"/>
  <c r="AG63" i="83"/>
  <c r="AG13" i="83"/>
  <c r="AB60" i="83"/>
  <c r="AM60" i="83" s="1"/>
  <c r="AK3" i="83"/>
  <c r="G40" i="12" s="1"/>
  <c r="AB57" i="83"/>
  <c r="AM57" i="83" s="1"/>
  <c r="BB7" i="83"/>
  <c r="BC29" i="83" s="1"/>
  <c r="BC34" i="83" s="1"/>
  <c r="J40" i="12" s="1"/>
  <c r="AG37" i="83"/>
  <c r="AG11" i="83"/>
  <c r="AB22" i="83"/>
  <c r="AM22" i="83" s="1"/>
  <c r="AB11" i="83"/>
  <c r="AM11" i="83" s="1"/>
  <c r="AB62" i="83"/>
  <c r="AM62" i="83" s="1"/>
  <c r="AG30" i="83"/>
  <c r="BA9" i="83"/>
  <c r="AY9" i="83"/>
  <c r="AX7" i="83"/>
  <c r="AG28" i="83"/>
  <c r="AB30" i="83"/>
  <c r="AM30" i="83" s="1"/>
  <c r="AG14" i="83"/>
  <c r="AB28" i="83"/>
  <c r="AM28" i="83" s="1"/>
  <c r="AG50" i="83"/>
  <c r="AG35" i="83"/>
  <c r="AG7" i="83"/>
  <c r="AG9" i="83"/>
  <c r="AB29" i="83"/>
  <c r="AM29" i="83" s="1"/>
  <c r="AB35" i="83"/>
  <c r="AM35" i="83" s="1"/>
  <c r="AG64" i="83"/>
  <c r="AB64" i="83"/>
  <c r="AM64" i="83" s="1"/>
  <c r="AB37" i="83"/>
  <c r="AM37" i="83" s="1"/>
  <c r="AB56" i="83"/>
  <c r="AM56" i="83" s="1"/>
  <c r="AB63" i="83"/>
  <c r="AM63" i="83" s="1"/>
  <c r="AG17" i="83"/>
  <c r="AB21" i="83"/>
  <c r="AM21" i="83" s="1"/>
  <c r="AG59" i="83"/>
  <c r="AG49" i="83"/>
  <c r="AG10" i="83"/>
  <c r="AG62" i="83"/>
  <c r="AB10" i="83"/>
  <c r="AM10" i="83" s="1"/>
  <c r="AB13" i="83"/>
  <c r="AM13" i="83" s="1"/>
  <c r="AZ7" i="83"/>
  <c r="AB25" i="83"/>
  <c r="AM25" i="83" s="1"/>
  <c r="AG52" i="83"/>
  <c r="AB59" i="83"/>
  <c r="AM59" i="83" s="1"/>
  <c r="AB49" i="83"/>
  <c r="AM49" i="83" s="1"/>
  <c r="AG60" i="83"/>
  <c r="AM3" i="83" l="1"/>
  <c r="G1" i="83" s="1"/>
  <c r="BA7" i="83"/>
  <c r="BC9" i="83"/>
  <c r="BC10" i="83" s="1"/>
  <c r="BC11" i="83" s="1"/>
  <c r="BC12" i="83" s="1"/>
  <c r="BC13" i="83" s="1"/>
  <c r="BC14" i="83" s="1"/>
  <c r="BC15" i="83" s="1"/>
  <c r="BC16" i="83" s="1"/>
  <c r="BC17" i="83" s="1"/>
  <c r="BC18" i="83" s="1"/>
  <c r="AG2" i="83"/>
  <c r="K40" i="12" s="1"/>
  <c r="M40" i="12" s="1"/>
  <c r="AN121" i="82" l="1"/>
  <c r="AK121" i="82"/>
  <c r="AJ121" i="82"/>
  <c r="AI121" i="82"/>
  <c r="AH121" i="82"/>
  <c r="AF121" i="82"/>
  <c r="AD121" i="82"/>
  <c r="Y121" i="82"/>
  <c r="AA121" i="82" s="1"/>
  <c r="AB121" i="82" s="1"/>
  <c r="AM121" i="82" s="1"/>
  <c r="E121" i="82"/>
  <c r="AN120" i="82"/>
  <c r="AK120" i="82"/>
  <c r="AJ120" i="82"/>
  <c r="AI120" i="82"/>
  <c r="AH120" i="82"/>
  <c r="AF120" i="82"/>
  <c r="AD120" i="82"/>
  <c r="Y120" i="82"/>
  <c r="AA120" i="82" s="1"/>
  <c r="AB120" i="82" s="1"/>
  <c r="AM120" i="82" s="1"/>
  <c r="E120" i="82"/>
  <c r="AN119" i="82"/>
  <c r="M119" i="82" s="1"/>
  <c r="O119" i="82" s="1"/>
  <c r="AC119" i="82"/>
  <c r="Z119" i="82"/>
  <c r="Y119" i="82"/>
  <c r="U119" i="82"/>
  <c r="K119" i="82"/>
  <c r="E119" i="82"/>
  <c r="AN118" i="82"/>
  <c r="M118" i="82" s="1"/>
  <c r="N118" i="82" s="1"/>
  <c r="O118" i="82" s="1"/>
  <c r="AC118" i="82"/>
  <c r="Z118" i="82"/>
  <c r="Y118" i="82"/>
  <c r="U118" i="82"/>
  <c r="AJ118" i="82" s="1"/>
  <c r="K118" i="82"/>
  <c r="AI118" i="82" s="1"/>
  <c r="E118" i="82"/>
  <c r="AN117" i="82"/>
  <c r="M117" i="82" s="1"/>
  <c r="O117" i="82" s="1"/>
  <c r="AC117" i="82"/>
  <c r="Z117" i="82"/>
  <c r="Y117" i="82"/>
  <c r="U117" i="82"/>
  <c r="AD117" i="82" s="1"/>
  <c r="K117" i="82"/>
  <c r="E117" i="82"/>
  <c r="AN116" i="82"/>
  <c r="M116" i="82" s="1"/>
  <c r="AC116" i="82"/>
  <c r="Z116" i="82"/>
  <c r="Y116" i="82"/>
  <c r="U116" i="82"/>
  <c r="AJ116" i="82" s="1"/>
  <c r="K116" i="82"/>
  <c r="E116" i="82"/>
  <c r="AN115" i="82"/>
  <c r="M115" i="82" s="1"/>
  <c r="O115" i="82" s="1"/>
  <c r="AC115" i="82"/>
  <c r="Z115" i="82"/>
  <c r="Y115" i="82"/>
  <c r="U115" i="82"/>
  <c r="AJ115" i="82" s="1"/>
  <c r="K115" i="82"/>
  <c r="AH115" i="82" s="1"/>
  <c r="E115" i="82"/>
  <c r="AN114" i="82"/>
  <c r="M114" i="82" s="1"/>
  <c r="N114" i="82" s="1"/>
  <c r="AC114" i="82"/>
  <c r="Z114" i="82"/>
  <c r="Y114" i="82"/>
  <c r="U114" i="82"/>
  <c r="K114" i="82"/>
  <c r="E114" i="82"/>
  <c r="AN113" i="82"/>
  <c r="M113" i="82" s="1"/>
  <c r="O113" i="82" s="1"/>
  <c r="AC113" i="82"/>
  <c r="Z113" i="82"/>
  <c r="Y113" i="82"/>
  <c r="U113" i="82"/>
  <c r="K113" i="82"/>
  <c r="E113" i="82"/>
  <c r="AN112" i="82"/>
  <c r="M112" i="82" s="1"/>
  <c r="N112" i="82" s="1"/>
  <c r="Z112" i="82"/>
  <c r="Y112" i="82"/>
  <c r="U112" i="82"/>
  <c r="K112" i="82"/>
  <c r="E112" i="82"/>
  <c r="AN111" i="82"/>
  <c r="M111" i="82" s="1"/>
  <c r="O111" i="82" s="1"/>
  <c r="Z111" i="82"/>
  <c r="AE111" i="82" s="1"/>
  <c r="U111" i="82"/>
  <c r="AJ111" i="82" s="1"/>
  <c r="K111" i="82"/>
  <c r="E111" i="82"/>
  <c r="AN110" i="82"/>
  <c r="M110" i="82" s="1"/>
  <c r="Z110" i="82"/>
  <c r="Y110" i="82"/>
  <c r="U110" i="82"/>
  <c r="AJ110" i="82" s="1"/>
  <c r="K110" i="82"/>
  <c r="E110" i="82"/>
  <c r="AN109" i="82"/>
  <c r="M109" i="82" s="1"/>
  <c r="N109" i="82" s="1"/>
  <c r="Z109" i="82"/>
  <c r="Y109" i="82"/>
  <c r="U109" i="82"/>
  <c r="AJ109" i="82" s="1"/>
  <c r="K109" i="82"/>
  <c r="E109" i="82"/>
  <c r="AN108" i="82"/>
  <c r="M108" i="82" s="1"/>
  <c r="O108" i="82" s="1"/>
  <c r="Z108" i="82"/>
  <c r="AE108" i="82" s="1"/>
  <c r="U108" i="82"/>
  <c r="AJ108" i="82" s="1"/>
  <c r="K108" i="82"/>
  <c r="E108" i="82"/>
  <c r="AN107" i="82"/>
  <c r="M107" i="82" s="1"/>
  <c r="Z107" i="82"/>
  <c r="Y107" i="82"/>
  <c r="U107" i="82"/>
  <c r="AD107" i="82" s="1"/>
  <c r="K107" i="82"/>
  <c r="AH107" i="82" s="1"/>
  <c r="E107" i="82"/>
  <c r="AN106" i="82"/>
  <c r="M106" i="82" s="1"/>
  <c r="N106" i="82" s="1"/>
  <c r="O106" i="82" s="1"/>
  <c r="Z106" i="82"/>
  <c r="Y106" i="82"/>
  <c r="U106" i="82"/>
  <c r="K106" i="82"/>
  <c r="AI106" i="82" s="1"/>
  <c r="E106" i="82"/>
  <c r="AN105" i="82"/>
  <c r="M105" i="82" s="1"/>
  <c r="O105" i="82" s="1"/>
  <c r="AE105" i="82"/>
  <c r="AA105" i="82"/>
  <c r="U105" i="82"/>
  <c r="K105" i="82"/>
  <c r="E105" i="82"/>
  <c r="AN104" i="82"/>
  <c r="M104" i="82" s="1"/>
  <c r="AE104" i="82"/>
  <c r="AA104" i="82"/>
  <c r="U104" i="82"/>
  <c r="K104" i="82"/>
  <c r="AH104" i="82" s="1"/>
  <c r="E104" i="82"/>
  <c r="AN103" i="82"/>
  <c r="M103" i="82" s="1"/>
  <c r="AE103" i="82"/>
  <c r="AA103" i="82"/>
  <c r="U103" i="82"/>
  <c r="K103" i="82"/>
  <c r="E103" i="82"/>
  <c r="AN102" i="82"/>
  <c r="M102" i="82" s="1"/>
  <c r="Z102" i="82"/>
  <c r="Y102" i="82"/>
  <c r="U102" i="82"/>
  <c r="AD102" i="82" s="1"/>
  <c r="K102" i="82"/>
  <c r="E102" i="82"/>
  <c r="AN101" i="82"/>
  <c r="AE101" i="82"/>
  <c r="AA101" i="82"/>
  <c r="U101" i="82"/>
  <c r="AJ101" i="82" s="1"/>
  <c r="N101" i="82"/>
  <c r="O101" i="82" s="1"/>
  <c r="K101" i="82"/>
  <c r="AI101" i="82" s="1"/>
  <c r="E101" i="82"/>
  <c r="AN100" i="82"/>
  <c r="M100" i="82" s="1"/>
  <c r="N100" i="82" s="1"/>
  <c r="Z100" i="82"/>
  <c r="Y100" i="82"/>
  <c r="U100" i="82"/>
  <c r="AJ100" i="82" s="1"/>
  <c r="K100" i="82"/>
  <c r="E100" i="82"/>
  <c r="AN99" i="82"/>
  <c r="M99" i="82" s="1"/>
  <c r="Z99" i="82"/>
  <c r="Y99" i="82"/>
  <c r="U99" i="82"/>
  <c r="K99" i="82"/>
  <c r="AM99" i="82" s="1"/>
  <c r="E99" i="82"/>
  <c r="AN98" i="82"/>
  <c r="M98" i="82" s="1"/>
  <c r="Z98" i="82"/>
  <c r="Y98" i="82"/>
  <c r="U98" i="82"/>
  <c r="AD98" i="82" s="1"/>
  <c r="K98" i="82"/>
  <c r="E98" i="82"/>
  <c r="AN97" i="82"/>
  <c r="M97" i="82" s="1"/>
  <c r="Z97" i="82"/>
  <c r="Y97" i="82"/>
  <c r="U97" i="82"/>
  <c r="K97" i="82"/>
  <c r="AI97" i="82" s="1"/>
  <c r="E97" i="82"/>
  <c r="AN96" i="82"/>
  <c r="M96" i="82" s="1"/>
  <c r="AE96" i="82"/>
  <c r="AA96" i="82"/>
  <c r="U96" i="82"/>
  <c r="AJ96" i="82" s="1"/>
  <c r="K96" i="82"/>
  <c r="E96" i="82"/>
  <c r="AN95" i="82"/>
  <c r="M95" i="82" s="1"/>
  <c r="Z95" i="82"/>
  <c r="Y95" i="82"/>
  <c r="U95" i="82"/>
  <c r="K95" i="82"/>
  <c r="AI95" i="82" s="1"/>
  <c r="E95" i="82"/>
  <c r="AN94" i="82"/>
  <c r="M94" i="82" s="1"/>
  <c r="Z94" i="82"/>
  <c r="Y94" i="82"/>
  <c r="U94" i="82"/>
  <c r="K94" i="82"/>
  <c r="AH94" i="82" s="1"/>
  <c r="E94" i="82"/>
  <c r="AN93" i="82"/>
  <c r="M93" i="82" s="1"/>
  <c r="Z93" i="82"/>
  <c r="Y93" i="82"/>
  <c r="U93" i="82"/>
  <c r="AJ93" i="82" s="1"/>
  <c r="K93" i="82"/>
  <c r="E93" i="82"/>
  <c r="AN92" i="82"/>
  <c r="M92" i="82" s="1"/>
  <c r="Z92" i="82"/>
  <c r="Y92" i="82"/>
  <c r="U92" i="82"/>
  <c r="K92" i="82"/>
  <c r="AI92" i="82" s="1"/>
  <c r="E92" i="82"/>
  <c r="AN91" i="82"/>
  <c r="M91" i="82" s="1"/>
  <c r="AE91" i="82"/>
  <c r="AA91" i="82"/>
  <c r="U91" i="82"/>
  <c r="AD91" i="82" s="1"/>
  <c r="K91" i="82"/>
  <c r="AH91" i="82" s="1"/>
  <c r="E91" i="82"/>
  <c r="AN90" i="82"/>
  <c r="M90" i="82" s="1"/>
  <c r="N90" i="82" s="1"/>
  <c r="Z90" i="82"/>
  <c r="Y90" i="82"/>
  <c r="U90" i="82"/>
  <c r="AJ90" i="82" s="1"/>
  <c r="K90" i="82"/>
  <c r="AH90" i="82" s="1"/>
  <c r="E90" i="82"/>
  <c r="AN89" i="82"/>
  <c r="M89" i="82" s="1"/>
  <c r="AE89" i="82"/>
  <c r="AA89" i="82"/>
  <c r="U89" i="82"/>
  <c r="K89" i="82"/>
  <c r="AI89" i="82" s="1"/>
  <c r="E89" i="82"/>
  <c r="AN88" i="82"/>
  <c r="M88" i="82" s="1"/>
  <c r="N88" i="82" s="1"/>
  <c r="AE88" i="82"/>
  <c r="AA88" i="82"/>
  <c r="U88" i="82"/>
  <c r="AD88" i="82" s="1"/>
  <c r="K88" i="82"/>
  <c r="E88" i="82"/>
  <c r="AN87" i="82"/>
  <c r="M87" i="82" s="1"/>
  <c r="O87" i="82" s="1"/>
  <c r="AE87" i="82"/>
  <c r="AA87" i="82"/>
  <c r="U87" i="82"/>
  <c r="K87" i="82"/>
  <c r="E87" i="82"/>
  <c r="AN86" i="82"/>
  <c r="M86" i="82" s="1"/>
  <c r="AE86" i="82"/>
  <c r="AA86" i="82"/>
  <c r="U86" i="82"/>
  <c r="K86" i="82"/>
  <c r="AH86" i="82" s="1"/>
  <c r="E86" i="82"/>
  <c r="AN85" i="82"/>
  <c r="M85" i="82" s="1"/>
  <c r="N85" i="82" s="1"/>
  <c r="AE85" i="82"/>
  <c r="AA85" i="82"/>
  <c r="U85" i="82"/>
  <c r="K85" i="82"/>
  <c r="E85" i="82"/>
  <c r="AN84" i="82"/>
  <c r="M84" i="82" s="1"/>
  <c r="N84" i="82" s="1"/>
  <c r="O84" i="82" s="1"/>
  <c r="S84" i="82" s="1"/>
  <c r="AC84" i="82" s="1"/>
  <c r="AE84" i="82"/>
  <c r="AA84" i="82"/>
  <c r="U84" i="82"/>
  <c r="K84" i="82"/>
  <c r="E84" i="82"/>
  <c r="AN83" i="82"/>
  <c r="M83" i="82" s="1"/>
  <c r="O83" i="82" s="1"/>
  <c r="AE83" i="82"/>
  <c r="AA83" i="82"/>
  <c r="U83" i="82"/>
  <c r="K83" i="82"/>
  <c r="E83" i="82"/>
  <c r="AN82" i="82"/>
  <c r="M82" i="82" s="1"/>
  <c r="O82" i="82" s="1"/>
  <c r="Z82" i="82"/>
  <c r="Y82" i="82"/>
  <c r="U82" i="82"/>
  <c r="K82" i="82"/>
  <c r="AH82" i="82" s="1"/>
  <c r="E82" i="82"/>
  <c r="AN81" i="82"/>
  <c r="M81" i="82" s="1"/>
  <c r="AE81" i="82"/>
  <c r="AA81" i="82"/>
  <c r="U81" i="82"/>
  <c r="K81" i="82"/>
  <c r="E81" i="82"/>
  <c r="AN80" i="82"/>
  <c r="M80" i="82" s="1"/>
  <c r="AE80" i="82"/>
  <c r="AA80" i="82"/>
  <c r="U80" i="82"/>
  <c r="AJ80" i="82" s="1"/>
  <c r="K80" i="82"/>
  <c r="E80" i="82"/>
  <c r="AN79" i="82"/>
  <c r="M79" i="82" s="1"/>
  <c r="Z79" i="82"/>
  <c r="Y79" i="82"/>
  <c r="U79" i="82"/>
  <c r="AJ79" i="82" s="1"/>
  <c r="K79" i="82"/>
  <c r="E79" i="82"/>
  <c r="AN78" i="82"/>
  <c r="M78" i="82" s="1"/>
  <c r="N78" i="82" s="1"/>
  <c r="O78" i="82" s="1"/>
  <c r="Z78" i="82"/>
  <c r="Y78" i="82"/>
  <c r="U78" i="82"/>
  <c r="AJ78" i="82" s="1"/>
  <c r="K78" i="82"/>
  <c r="E78" i="82"/>
  <c r="AN77" i="82"/>
  <c r="M77" i="82" s="1"/>
  <c r="AE77" i="82"/>
  <c r="AA77" i="82"/>
  <c r="U77" i="82"/>
  <c r="K77" i="82"/>
  <c r="E77" i="82"/>
  <c r="AN76" i="82"/>
  <c r="M76" i="82" s="1"/>
  <c r="AE76" i="82"/>
  <c r="AA76" i="82"/>
  <c r="U76" i="82"/>
  <c r="K76" i="82"/>
  <c r="AI76" i="82" s="1"/>
  <c r="E76" i="82"/>
  <c r="AN75" i="82"/>
  <c r="M75" i="82" s="1"/>
  <c r="AE75" i="82"/>
  <c r="AA75" i="82"/>
  <c r="U75" i="82"/>
  <c r="K75" i="82"/>
  <c r="AH75" i="82" s="1"/>
  <c r="E75" i="82"/>
  <c r="AN74" i="82"/>
  <c r="M74" i="82" s="1"/>
  <c r="AE74" i="82"/>
  <c r="AA74" i="82"/>
  <c r="U74" i="82"/>
  <c r="K74" i="82"/>
  <c r="E74" i="82"/>
  <c r="AN73" i="82"/>
  <c r="M73" i="82" s="1"/>
  <c r="AE73" i="82"/>
  <c r="AA73" i="82"/>
  <c r="U73" i="82"/>
  <c r="AJ73" i="82" s="1"/>
  <c r="K73" i="82"/>
  <c r="AH73" i="82" s="1"/>
  <c r="E73" i="82"/>
  <c r="AN72" i="82"/>
  <c r="M72" i="82" s="1"/>
  <c r="N72" i="82" s="1"/>
  <c r="O72" i="82" s="1"/>
  <c r="AE72" i="82"/>
  <c r="AA72" i="82"/>
  <c r="U72" i="82"/>
  <c r="AD72" i="82" s="1"/>
  <c r="K72" i="82"/>
  <c r="E72" i="82"/>
  <c r="AN71" i="82"/>
  <c r="M71" i="82" s="1"/>
  <c r="N71" i="82" s="1"/>
  <c r="O71" i="82" s="1"/>
  <c r="AE71" i="82"/>
  <c r="AA71" i="82"/>
  <c r="U71" i="82"/>
  <c r="K71" i="82"/>
  <c r="E71" i="82"/>
  <c r="AN70" i="82"/>
  <c r="M70" i="82" s="1"/>
  <c r="N70" i="82" s="1"/>
  <c r="AE70" i="82"/>
  <c r="AA70" i="82"/>
  <c r="U70" i="82"/>
  <c r="K70" i="82"/>
  <c r="AI70" i="82" s="1"/>
  <c r="E70" i="82"/>
  <c r="AN69" i="82"/>
  <c r="M69" i="82" s="1"/>
  <c r="N69" i="82" s="1"/>
  <c r="O69" i="82" s="1"/>
  <c r="S69" i="82" s="1"/>
  <c r="AE69" i="82"/>
  <c r="AA69" i="82"/>
  <c r="U69" i="82"/>
  <c r="AD69" i="82" s="1"/>
  <c r="K69" i="82"/>
  <c r="AI69" i="82" s="1"/>
  <c r="E69" i="82"/>
  <c r="AN68" i="82"/>
  <c r="M68" i="82" s="1"/>
  <c r="AE68" i="82"/>
  <c r="AA68" i="82"/>
  <c r="U68" i="82"/>
  <c r="AJ68" i="82" s="1"/>
  <c r="K68" i="82"/>
  <c r="E68" i="82"/>
  <c r="AN67" i="82"/>
  <c r="M67" i="82" s="1"/>
  <c r="N67" i="82" s="1"/>
  <c r="AE67" i="82"/>
  <c r="AA67" i="82"/>
  <c r="U67" i="82"/>
  <c r="AD67" i="82" s="1"/>
  <c r="K67" i="82"/>
  <c r="AI67" i="82" s="1"/>
  <c r="E67" i="82"/>
  <c r="AN66" i="82"/>
  <c r="M66" i="82" s="1"/>
  <c r="AE66" i="82"/>
  <c r="AA66" i="82"/>
  <c r="U66" i="82"/>
  <c r="AD66" i="82" s="1"/>
  <c r="K66" i="82"/>
  <c r="E66" i="82"/>
  <c r="AN65" i="82"/>
  <c r="M65" i="82" s="1"/>
  <c r="Z65" i="82"/>
  <c r="Y65" i="82"/>
  <c r="U65" i="82"/>
  <c r="AJ65" i="82" s="1"/>
  <c r="K65" i="82"/>
  <c r="AI65" i="82" s="1"/>
  <c r="E65" i="82"/>
  <c r="AN64" i="82"/>
  <c r="M64" i="82" s="1"/>
  <c r="Z64" i="82"/>
  <c r="Y64" i="82"/>
  <c r="U64" i="82"/>
  <c r="AJ64" i="82" s="1"/>
  <c r="K64" i="82"/>
  <c r="AH64" i="82" s="1"/>
  <c r="E64" i="82"/>
  <c r="AN63" i="82"/>
  <c r="M63" i="82" s="1"/>
  <c r="N63" i="82" s="1"/>
  <c r="Z63" i="82"/>
  <c r="Y63" i="82"/>
  <c r="U63" i="82"/>
  <c r="AJ63" i="82" s="1"/>
  <c r="K63" i="82"/>
  <c r="E63" i="82"/>
  <c r="AN62" i="82"/>
  <c r="M62" i="82" s="1"/>
  <c r="AE62" i="82"/>
  <c r="AA62" i="82"/>
  <c r="U62" i="82"/>
  <c r="AD62" i="82" s="1"/>
  <c r="K62" i="82"/>
  <c r="AI62" i="82" s="1"/>
  <c r="E62" i="82"/>
  <c r="AN61" i="82"/>
  <c r="M61" i="82" s="1"/>
  <c r="AE61" i="82"/>
  <c r="AA61" i="82"/>
  <c r="U61" i="82"/>
  <c r="AD61" i="82" s="1"/>
  <c r="K61" i="82"/>
  <c r="AI61" i="82" s="1"/>
  <c r="E61" i="82"/>
  <c r="AN60" i="82"/>
  <c r="M60" i="82" s="1"/>
  <c r="N60" i="82" s="1"/>
  <c r="AE60" i="82"/>
  <c r="AA60" i="82"/>
  <c r="U60" i="82"/>
  <c r="AJ60" i="82" s="1"/>
  <c r="K60" i="82"/>
  <c r="E60" i="82"/>
  <c r="AN59" i="82"/>
  <c r="M59" i="82" s="1"/>
  <c r="AE59" i="82"/>
  <c r="AA59" i="82"/>
  <c r="U59" i="82"/>
  <c r="AD59" i="82" s="1"/>
  <c r="K59" i="82"/>
  <c r="AH59" i="82" s="1"/>
  <c r="E59" i="82"/>
  <c r="AN58" i="82"/>
  <c r="AJ58" i="82"/>
  <c r="AD58" i="82"/>
  <c r="Y58" i="82"/>
  <c r="AA58" i="82" s="1"/>
  <c r="N58" i="82"/>
  <c r="O58" i="82" s="1"/>
  <c r="AF58" i="82" s="1"/>
  <c r="K58" i="82"/>
  <c r="E58" i="82"/>
  <c r="AN57" i="82"/>
  <c r="AJ57" i="82"/>
  <c r="AD57" i="82"/>
  <c r="Y57" i="82"/>
  <c r="AA57" i="82" s="1"/>
  <c r="N57" i="82"/>
  <c r="O57" i="82" s="1"/>
  <c r="K57" i="82"/>
  <c r="AH57" i="82" s="1"/>
  <c r="E57" i="82"/>
  <c r="AN56" i="82"/>
  <c r="AJ56" i="82"/>
  <c r="AD56" i="82"/>
  <c r="Y56" i="82"/>
  <c r="AA56" i="82" s="1"/>
  <c r="N56" i="82"/>
  <c r="O56" i="82" s="1"/>
  <c r="AF56" i="82" s="1"/>
  <c r="K56" i="82"/>
  <c r="AH56" i="82" s="1"/>
  <c r="E56" i="82"/>
  <c r="AN55" i="82"/>
  <c r="AJ55" i="82"/>
  <c r="AD55" i="82"/>
  <c r="Y55" i="82"/>
  <c r="AA55" i="82" s="1"/>
  <c r="N55" i="82"/>
  <c r="O55" i="82" s="1"/>
  <c r="K55" i="82"/>
  <c r="E55" i="82"/>
  <c r="AN54" i="82"/>
  <c r="AJ54" i="82"/>
  <c r="AD54" i="82"/>
  <c r="Y54" i="82"/>
  <c r="AA54" i="82" s="1"/>
  <c r="N54" i="82"/>
  <c r="O54" i="82" s="1"/>
  <c r="K54" i="82"/>
  <c r="E54" i="82"/>
  <c r="AN53" i="82"/>
  <c r="AJ53" i="82"/>
  <c r="AD53" i="82"/>
  <c r="Y53" i="82"/>
  <c r="AA53" i="82" s="1"/>
  <c r="N53" i="82"/>
  <c r="O53" i="82" s="1"/>
  <c r="K53" i="82"/>
  <c r="E53" i="82"/>
  <c r="AN52" i="82"/>
  <c r="AJ52" i="82"/>
  <c r="AD52" i="82"/>
  <c r="Y52" i="82"/>
  <c r="AA52" i="82" s="1"/>
  <c r="N52" i="82"/>
  <c r="O52" i="82" s="1"/>
  <c r="K52" i="82"/>
  <c r="E52" i="82"/>
  <c r="AN51" i="82"/>
  <c r="M51" i="82" s="1"/>
  <c r="N51" i="82" s="1"/>
  <c r="O51" i="82" s="1"/>
  <c r="Z51" i="82"/>
  <c r="Y51" i="82"/>
  <c r="U51" i="82"/>
  <c r="K51" i="82"/>
  <c r="E51" i="82"/>
  <c r="AN50" i="82"/>
  <c r="M50" i="82" s="1"/>
  <c r="Z50" i="82"/>
  <c r="Y50" i="82"/>
  <c r="U50" i="82"/>
  <c r="AD50" i="82" s="1"/>
  <c r="K50" i="82"/>
  <c r="AH50" i="82" s="1"/>
  <c r="E50" i="82"/>
  <c r="AN49" i="82"/>
  <c r="M49" i="82" s="1"/>
  <c r="Z49" i="82"/>
  <c r="Y49" i="82"/>
  <c r="U49" i="82"/>
  <c r="K49" i="82"/>
  <c r="E49" i="82"/>
  <c r="AN48" i="82"/>
  <c r="AE48" i="82"/>
  <c r="AA48" i="82"/>
  <c r="U48" i="82"/>
  <c r="O48" i="82"/>
  <c r="K48" i="82"/>
  <c r="E48" i="82"/>
  <c r="AN47" i="82"/>
  <c r="M47" i="82" s="1"/>
  <c r="N47" i="82" s="1"/>
  <c r="AE47" i="82"/>
  <c r="AA47" i="82"/>
  <c r="U47" i="82"/>
  <c r="AJ47" i="82" s="1"/>
  <c r="K47" i="82"/>
  <c r="E47" i="82"/>
  <c r="AN46" i="82"/>
  <c r="M46" i="82" s="1"/>
  <c r="AE46" i="82"/>
  <c r="AA46" i="82"/>
  <c r="U46" i="82"/>
  <c r="K46" i="82"/>
  <c r="E46" i="82"/>
  <c r="AN45" i="82"/>
  <c r="M45" i="82" s="1"/>
  <c r="N45" i="82" s="1"/>
  <c r="O45" i="82" s="1"/>
  <c r="AE45" i="82"/>
  <c r="AA45" i="82"/>
  <c r="U45" i="82"/>
  <c r="K45" i="82"/>
  <c r="E45" i="82"/>
  <c r="AN44" i="82"/>
  <c r="M44" i="82" s="1"/>
  <c r="AE44" i="82"/>
  <c r="AA44" i="82"/>
  <c r="U44" i="82"/>
  <c r="K44" i="82"/>
  <c r="E44" i="82"/>
  <c r="AN43" i="82"/>
  <c r="M43" i="82" s="1"/>
  <c r="AE43" i="82"/>
  <c r="AA43" i="82"/>
  <c r="U43" i="82"/>
  <c r="K43" i="82"/>
  <c r="AH43" i="82" s="1"/>
  <c r="E43" i="82"/>
  <c r="AN42" i="82"/>
  <c r="M42" i="82" s="1"/>
  <c r="AE42" i="82"/>
  <c r="AA42" i="82"/>
  <c r="U42" i="82"/>
  <c r="K42" i="82"/>
  <c r="E42" i="82"/>
  <c r="AN41" i="82"/>
  <c r="M41" i="82" s="1"/>
  <c r="O41" i="82" s="1"/>
  <c r="AE41" i="82"/>
  <c r="AA41" i="82"/>
  <c r="U41" i="82"/>
  <c r="K41" i="82"/>
  <c r="E41" i="82"/>
  <c r="AN40" i="82"/>
  <c r="M40" i="82" s="1"/>
  <c r="O40" i="82" s="1"/>
  <c r="S40" i="82" s="1"/>
  <c r="AC40" i="82" s="1"/>
  <c r="AE40" i="82"/>
  <c r="AA40" i="82"/>
  <c r="U40" i="82"/>
  <c r="K40" i="82"/>
  <c r="E40" i="82"/>
  <c r="AN39" i="82"/>
  <c r="Z39" i="82"/>
  <c r="Y39" i="82"/>
  <c r="U39" i="82"/>
  <c r="AJ39" i="82" s="1"/>
  <c r="O39" i="82"/>
  <c r="K39" i="82"/>
  <c r="E39" i="82"/>
  <c r="AN38" i="82"/>
  <c r="M38" i="82" s="1"/>
  <c r="O38" i="82" s="1"/>
  <c r="AE38" i="82"/>
  <c r="AA38" i="82"/>
  <c r="U38" i="82"/>
  <c r="AJ38" i="82" s="1"/>
  <c r="K38" i="82"/>
  <c r="AH38" i="82" s="1"/>
  <c r="E38" i="82"/>
  <c r="AN37" i="82"/>
  <c r="M37" i="82" s="1"/>
  <c r="N37" i="82" s="1"/>
  <c r="AE37" i="82"/>
  <c r="AA37" i="82"/>
  <c r="U37" i="82"/>
  <c r="K37" i="82"/>
  <c r="AH37" i="82" s="1"/>
  <c r="E37" i="82"/>
  <c r="AN36" i="82"/>
  <c r="M36" i="82" s="1"/>
  <c r="AE36" i="82"/>
  <c r="AA36" i="82"/>
  <c r="U36" i="82"/>
  <c r="K36" i="82"/>
  <c r="E36" i="82"/>
  <c r="AN35" i="82"/>
  <c r="M35" i="82" s="1"/>
  <c r="O35" i="82" s="1"/>
  <c r="AE35" i="82"/>
  <c r="AA35" i="82"/>
  <c r="U35" i="82"/>
  <c r="AJ35" i="82" s="1"/>
  <c r="K35" i="82"/>
  <c r="AI35" i="82" s="1"/>
  <c r="E35" i="82"/>
  <c r="AN34" i="82"/>
  <c r="M34" i="82" s="1"/>
  <c r="O34" i="82" s="1"/>
  <c r="AE34" i="82"/>
  <c r="AA34" i="82"/>
  <c r="U34" i="82"/>
  <c r="AD34" i="82" s="1"/>
  <c r="K34" i="82"/>
  <c r="AH34" i="82" s="1"/>
  <c r="E34" i="82"/>
  <c r="AN33" i="82"/>
  <c r="M33" i="82" s="1"/>
  <c r="AE33" i="82"/>
  <c r="AA33" i="82"/>
  <c r="U33" i="82"/>
  <c r="K33" i="82"/>
  <c r="E33" i="82"/>
  <c r="AN32" i="82"/>
  <c r="M32" i="82" s="1"/>
  <c r="N32" i="82" s="1"/>
  <c r="AE32" i="82"/>
  <c r="AA32" i="82"/>
  <c r="U32" i="82"/>
  <c r="AD32" i="82" s="1"/>
  <c r="K32" i="82"/>
  <c r="AI32" i="82" s="1"/>
  <c r="E32" i="82"/>
  <c r="AN31" i="82"/>
  <c r="M31" i="82" s="1"/>
  <c r="N31" i="82" s="1"/>
  <c r="AE31" i="82"/>
  <c r="AA31" i="82"/>
  <c r="U31" i="82"/>
  <c r="AJ31" i="82" s="1"/>
  <c r="K31" i="82"/>
  <c r="E31" i="82"/>
  <c r="AN30" i="82"/>
  <c r="M30" i="82" s="1"/>
  <c r="N30" i="82" s="1"/>
  <c r="O30" i="82" s="1"/>
  <c r="AE30" i="82"/>
  <c r="AA30" i="82"/>
  <c r="U30" i="82"/>
  <c r="AJ30" i="82" s="1"/>
  <c r="K30" i="82"/>
  <c r="E30" i="82"/>
  <c r="AN29" i="82"/>
  <c r="M29" i="82" s="1"/>
  <c r="AE29" i="82"/>
  <c r="AA29" i="82"/>
  <c r="U29" i="82"/>
  <c r="AD29" i="82" s="1"/>
  <c r="K29" i="82"/>
  <c r="AM29" i="82" s="1"/>
  <c r="E29" i="82"/>
  <c r="AN28" i="82"/>
  <c r="M28" i="82" s="1"/>
  <c r="AE28" i="82"/>
  <c r="AA28" i="82"/>
  <c r="U28" i="82"/>
  <c r="AJ28" i="82" s="1"/>
  <c r="K28" i="82"/>
  <c r="AI28" i="82" s="1"/>
  <c r="E28" i="82"/>
  <c r="AN27" i="82"/>
  <c r="M27" i="82" s="1"/>
  <c r="AE27" i="82"/>
  <c r="AA27" i="82"/>
  <c r="U27" i="82"/>
  <c r="K27" i="82"/>
  <c r="AH27" i="82" s="1"/>
  <c r="E27" i="82"/>
  <c r="AN26" i="82"/>
  <c r="M26" i="82" s="1"/>
  <c r="AE26" i="82"/>
  <c r="AA26" i="82"/>
  <c r="U26" i="82"/>
  <c r="AJ26" i="82" s="1"/>
  <c r="K26" i="82"/>
  <c r="E26" i="82"/>
  <c r="AN25" i="82"/>
  <c r="M25" i="82" s="1"/>
  <c r="AE25" i="82"/>
  <c r="AA25" i="82"/>
  <c r="U25" i="82"/>
  <c r="K25" i="82"/>
  <c r="E25" i="82"/>
  <c r="AN24" i="82"/>
  <c r="M24" i="82" s="1"/>
  <c r="AE24" i="82"/>
  <c r="AA24" i="82"/>
  <c r="U24" i="82"/>
  <c r="K24" i="82"/>
  <c r="E24" i="82"/>
  <c r="AN23" i="82"/>
  <c r="M23" i="82" s="1"/>
  <c r="AE23" i="82"/>
  <c r="AA23" i="82"/>
  <c r="U23" i="82"/>
  <c r="K23" i="82"/>
  <c r="AH23" i="82" s="1"/>
  <c r="E23" i="82"/>
  <c r="AN22" i="82"/>
  <c r="M22" i="82" s="1"/>
  <c r="N22" i="82" s="1"/>
  <c r="AE22" i="82"/>
  <c r="AA22" i="82"/>
  <c r="U22" i="82"/>
  <c r="K22" i="82"/>
  <c r="AH22" i="82" s="1"/>
  <c r="E22" i="82"/>
  <c r="AN21" i="82"/>
  <c r="M21" i="82" s="1"/>
  <c r="AE21" i="82"/>
  <c r="AA21" i="82"/>
  <c r="U21" i="82"/>
  <c r="K21" i="82"/>
  <c r="E21" i="82"/>
  <c r="AN20" i="82"/>
  <c r="M20" i="82" s="1"/>
  <c r="AE20" i="82"/>
  <c r="AA20" i="82"/>
  <c r="U20" i="82"/>
  <c r="AJ20" i="82" s="1"/>
  <c r="K20" i="82"/>
  <c r="E20" i="82"/>
  <c r="AN19" i="82"/>
  <c r="M19" i="82" s="1"/>
  <c r="AE19" i="82"/>
  <c r="AA19" i="82"/>
  <c r="U19" i="82"/>
  <c r="AJ19" i="82" s="1"/>
  <c r="K19" i="82"/>
  <c r="E19" i="82"/>
  <c r="AW32" i="82"/>
  <c r="AY32" i="82" s="1"/>
  <c r="BA32" i="82" s="1"/>
  <c r="AN18" i="82"/>
  <c r="M18" i="82" s="1"/>
  <c r="N18" i="82" s="1"/>
  <c r="O18" i="82" s="1"/>
  <c r="AE18" i="82"/>
  <c r="AA18" i="82"/>
  <c r="U18" i="82"/>
  <c r="K18" i="82"/>
  <c r="AI18" i="82" s="1"/>
  <c r="E18" i="82"/>
  <c r="AW31" i="82"/>
  <c r="AY31" i="82" s="1"/>
  <c r="BA31" i="82" s="1"/>
  <c r="AN17" i="82"/>
  <c r="M17" i="82" s="1"/>
  <c r="N17" i="82" s="1"/>
  <c r="AE17" i="82"/>
  <c r="AA17" i="82"/>
  <c r="U17" i="82"/>
  <c r="AJ17" i="82" s="1"/>
  <c r="K17" i="82"/>
  <c r="AH17" i="82" s="1"/>
  <c r="E17" i="82"/>
  <c r="AW30" i="82"/>
  <c r="AY30" i="82" s="1"/>
  <c r="BA30" i="82" s="1"/>
  <c r="AN16" i="82"/>
  <c r="M16" i="82" s="1"/>
  <c r="N16" i="82" s="1"/>
  <c r="O16" i="82" s="1"/>
  <c r="S16" i="82" s="1"/>
  <c r="AC16" i="82" s="1"/>
  <c r="AE16" i="82"/>
  <c r="AA16" i="82"/>
  <c r="U16" i="82"/>
  <c r="K16" i="82"/>
  <c r="AH16" i="82" s="1"/>
  <c r="E16" i="82"/>
  <c r="AW29" i="82"/>
  <c r="AY29" i="82" s="1"/>
  <c r="BA29" i="82" s="1"/>
  <c r="AN15" i="82"/>
  <c r="M15" i="82" s="1"/>
  <c r="AE15" i="82"/>
  <c r="AA15" i="82"/>
  <c r="U15" i="82"/>
  <c r="K15" i="82"/>
  <c r="AH15" i="82" s="1"/>
  <c r="E15" i="82"/>
  <c r="AW28" i="82"/>
  <c r="AY28" i="82" s="1"/>
  <c r="BA28" i="82" s="1"/>
  <c r="AN14" i="82"/>
  <c r="M14" i="82" s="1"/>
  <c r="AE14" i="82"/>
  <c r="AA14" i="82"/>
  <c r="U14" i="82"/>
  <c r="AJ14" i="82" s="1"/>
  <c r="K14" i="82"/>
  <c r="E14" i="82"/>
  <c r="AW27" i="82"/>
  <c r="AY27" i="82" s="1"/>
  <c r="BA27" i="82" s="1"/>
  <c r="AN13" i="82"/>
  <c r="M13" i="82" s="1"/>
  <c r="AE13" i="82"/>
  <c r="AA13" i="82"/>
  <c r="U13" i="82"/>
  <c r="K13" i="82"/>
  <c r="AI13" i="82" s="1"/>
  <c r="E13" i="82"/>
  <c r="AN12" i="82"/>
  <c r="M12" i="82" s="1"/>
  <c r="AE12" i="82"/>
  <c r="AA12" i="82"/>
  <c r="U12" i="82"/>
  <c r="AD12" i="82" s="1"/>
  <c r="K12" i="82"/>
  <c r="AI12" i="82" s="1"/>
  <c r="E12" i="82"/>
  <c r="AN11" i="82"/>
  <c r="M11" i="82" s="1"/>
  <c r="N11" i="82" s="1"/>
  <c r="Z11" i="82"/>
  <c r="U11" i="82"/>
  <c r="K11" i="82"/>
  <c r="AI11" i="82" s="1"/>
  <c r="E11" i="82"/>
  <c r="AN10" i="82"/>
  <c r="M10" i="82" s="1"/>
  <c r="Z10" i="82"/>
  <c r="AE10" i="82" s="1"/>
  <c r="U10" i="82"/>
  <c r="K10" i="82"/>
  <c r="E10" i="82"/>
  <c r="AN9" i="82"/>
  <c r="M9" i="82" s="1"/>
  <c r="Z9" i="82"/>
  <c r="Y9" i="82"/>
  <c r="U9" i="82"/>
  <c r="AJ9" i="82" s="1"/>
  <c r="K9" i="82"/>
  <c r="AI9" i="82" s="1"/>
  <c r="E9" i="82"/>
  <c r="AN8" i="82"/>
  <c r="M8" i="82" s="1"/>
  <c r="Z8" i="82"/>
  <c r="Y8" i="82"/>
  <c r="U8" i="82"/>
  <c r="AD8" i="82" s="1"/>
  <c r="K8" i="82"/>
  <c r="E8" i="82"/>
  <c r="BB17" i="82"/>
  <c r="AW17" i="82"/>
  <c r="BB16" i="82"/>
  <c r="AW16" i="82"/>
  <c r="BB15" i="82"/>
  <c r="AW15" i="82"/>
  <c r="BB14" i="82"/>
  <c r="AW14" i="82"/>
  <c r="BB13" i="82"/>
  <c r="AW13" i="82"/>
  <c r="BB12" i="82"/>
  <c r="AW12" i="82"/>
  <c r="AN7" i="82"/>
  <c r="M7" i="82" s="1"/>
  <c r="N7" i="82" s="1"/>
  <c r="O7" i="82" s="1"/>
  <c r="Z7" i="82"/>
  <c r="Y7" i="82"/>
  <c r="U7" i="82"/>
  <c r="K7" i="82"/>
  <c r="AH7" i="82" s="1"/>
  <c r="E7" i="82"/>
  <c r="AN6" i="82"/>
  <c r="M6" i="82" s="1"/>
  <c r="Z6" i="82"/>
  <c r="Y6" i="82"/>
  <c r="U6" i="82"/>
  <c r="AD6" i="82" s="1"/>
  <c r="K6" i="82"/>
  <c r="E6" i="82"/>
  <c r="AN5" i="82"/>
  <c r="M5" i="82" s="1"/>
  <c r="Z5" i="82"/>
  <c r="Y5" i="82"/>
  <c r="U5" i="82"/>
  <c r="AD5" i="82" s="1"/>
  <c r="K5" i="82"/>
  <c r="AI5" i="82" s="1"/>
  <c r="E5" i="82"/>
  <c r="I2" i="82"/>
  <c r="C39" i="12" s="1"/>
  <c r="AH118" i="82" l="1"/>
  <c r="AA39" i="82"/>
  <c r="AK53" i="82"/>
  <c r="AI7" i="82"/>
  <c r="AA5" i="82"/>
  <c r="AE51" i="82"/>
  <c r="AI15" i="82"/>
  <c r="AI91" i="82"/>
  <c r="AA94" i="82"/>
  <c r="AA119" i="82"/>
  <c r="AB119" i="82" s="1"/>
  <c r="AM119" i="82" s="1"/>
  <c r="AA64" i="82"/>
  <c r="AA99" i="82"/>
  <c r="AE92" i="82"/>
  <c r="AD111" i="82"/>
  <c r="AA9" i="82"/>
  <c r="AE50" i="82"/>
  <c r="AJ102" i="82"/>
  <c r="O31" i="82"/>
  <c r="AK31" i="82" s="1"/>
  <c r="O109" i="82"/>
  <c r="AF109" i="82" s="1"/>
  <c r="O11" i="82"/>
  <c r="AF11" i="82" s="1"/>
  <c r="AD63" i="82"/>
  <c r="AJ91" i="82"/>
  <c r="AA98" i="82"/>
  <c r="AE100" i="82"/>
  <c r="AE117" i="82"/>
  <c r="AE5" i="82"/>
  <c r="AD60" i="82"/>
  <c r="AD116" i="82"/>
  <c r="AI27" i="82"/>
  <c r="AH69" i="82"/>
  <c r="AI82" i="82"/>
  <c r="AH95" i="82"/>
  <c r="AD110" i="82"/>
  <c r="AI16" i="82"/>
  <c r="AH13" i="82"/>
  <c r="AH99" i="82"/>
  <c r="AD118" i="82"/>
  <c r="AI99" i="82"/>
  <c r="AI107" i="82"/>
  <c r="AJ107" i="82"/>
  <c r="AF38" i="82"/>
  <c r="AJ6" i="82"/>
  <c r="AH61" i="82"/>
  <c r="AI90" i="82"/>
  <c r="AD109" i="82"/>
  <c r="AE115" i="82"/>
  <c r="AJ61" i="82"/>
  <c r="AE98" i="82"/>
  <c r="AH12" i="82"/>
  <c r="AD65" i="82"/>
  <c r="AJ72" i="82"/>
  <c r="AJ98" i="82"/>
  <c r="AI104" i="82"/>
  <c r="AD115" i="82"/>
  <c r="AH65" i="82"/>
  <c r="AA102" i="82"/>
  <c r="AI23" i="82"/>
  <c r="AD28" i="82"/>
  <c r="N44" i="82"/>
  <c r="O44" i="82" s="1"/>
  <c r="AJ22" i="82"/>
  <c r="AD22" i="82"/>
  <c r="AI33" i="82"/>
  <c r="AH33" i="82"/>
  <c r="AH96" i="82"/>
  <c r="AI96" i="82"/>
  <c r="AI20" i="82"/>
  <c r="AH20" i="82"/>
  <c r="AD27" i="82"/>
  <c r="AJ27" i="82"/>
  <c r="AJ43" i="82"/>
  <c r="AD43" i="82"/>
  <c r="AJ94" i="82"/>
  <c r="AD94" i="82"/>
  <c r="AD119" i="82"/>
  <c r="AJ119" i="82"/>
  <c r="AM30" i="82"/>
  <c r="AI30" i="82"/>
  <c r="AH30" i="82"/>
  <c r="AI46" i="82"/>
  <c r="AH46" i="82"/>
  <c r="AJ18" i="82"/>
  <c r="AD18" i="82"/>
  <c r="AD46" i="82"/>
  <c r="AJ46" i="82"/>
  <c r="AA115" i="82"/>
  <c r="AB115" i="82" s="1"/>
  <c r="AM115" i="82" s="1"/>
  <c r="AD23" i="82"/>
  <c r="AJ23" i="82"/>
  <c r="AI44" i="82"/>
  <c r="AH44" i="82"/>
  <c r="N73" i="82"/>
  <c r="O73" i="82" s="1"/>
  <c r="AJ92" i="82"/>
  <c r="AD92" i="82"/>
  <c r="AE102" i="82"/>
  <c r="AH10" i="82"/>
  <c r="AI10" i="82"/>
  <c r="AJ12" i="82"/>
  <c r="AD101" i="82"/>
  <c r="AI105" i="82"/>
  <c r="AH105" i="82"/>
  <c r="AJ10" i="82"/>
  <c r="AD10" i="82"/>
  <c r="AD30" i="82"/>
  <c r="AI26" i="82"/>
  <c r="AH26" i="82"/>
  <c r="AF69" i="82"/>
  <c r="AA111" i="82"/>
  <c r="AH8" i="82"/>
  <c r="AM8" i="82"/>
  <c r="AI8" i="82"/>
  <c r="AH42" i="82"/>
  <c r="AI42" i="82"/>
  <c r="AI19" i="82"/>
  <c r="AH19" i="82"/>
  <c r="AD42" i="82"/>
  <c r="AJ42" i="82"/>
  <c r="AJ77" i="82"/>
  <c r="AD77" i="82"/>
  <c r="AI24" i="82"/>
  <c r="AH24" i="82"/>
  <c r="AD26" i="82"/>
  <c r="AJ97" i="82"/>
  <c r="AD97" i="82"/>
  <c r="AJ24" i="82"/>
  <c r="AD24" i="82"/>
  <c r="AH6" i="82"/>
  <c r="AI6" i="82"/>
  <c r="AF53" i="82"/>
  <c r="AG53" i="82" s="1"/>
  <c r="AB53" i="82"/>
  <c r="AM53" i="82" s="1"/>
  <c r="AD68" i="82"/>
  <c r="AA92" i="82"/>
  <c r="AD64" i="82"/>
  <c r="AD38" i="82"/>
  <c r="AJ59" i="82"/>
  <c r="AH62" i="82"/>
  <c r="AE64" i="82"/>
  <c r="AJ88" i="82"/>
  <c r="AA106" i="82"/>
  <c r="AA93" i="82"/>
  <c r="AD9" i="82"/>
  <c r="AJ32" i="82"/>
  <c r="AI75" i="82"/>
  <c r="AD93" i="82"/>
  <c r="AK111" i="82"/>
  <c r="AF118" i="82"/>
  <c r="AI72" i="82"/>
  <c r="AH72" i="82"/>
  <c r="N94" i="82"/>
  <c r="O94" i="82" s="1"/>
  <c r="S94" i="82" s="1"/>
  <c r="AJ44" i="82"/>
  <c r="AD44" i="82"/>
  <c r="AE63" i="82"/>
  <c r="AA63" i="82"/>
  <c r="AI78" i="82"/>
  <c r="AH78" i="82"/>
  <c r="AA10" i="82"/>
  <c r="AJ8" i="82"/>
  <c r="N24" i="82"/>
  <c r="O24" i="82" s="1"/>
  <c r="AK24" i="82" s="1"/>
  <c r="AH32" i="82"/>
  <c r="AI51" i="82"/>
  <c r="AH51" i="82"/>
  <c r="N96" i="82"/>
  <c r="O96" i="82" s="1"/>
  <c r="AF96" i="82" s="1"/>
  <c r="AH18" i="82"/>
  <c r="AD76" i="82"/>
  <c r="AJ76" i="82"/>
  <c r="AI94" i="82"/>
  <c r="AJ13" i="82"/>
  <c r="AD13" i="82"/>
  <c r="AI37" i="82"/>
  <c r="AI93" i="82"/>
  <c r="AH93" i="82"/>
  <c r="AM98" i="82"/>
  <c r="AI98" i="82"/>
  <c r="AH98" i="82"/>
  <c r="AJ25" i="82"/>
  <c r="AD25" i="82"/>
  <c r="O32" i="82"/>
  <c r="AK32" i="82" s="1"/>
  <c r="N86" i="82"/>
  <c r="O86" i="82" s="1"/>
  <c r="AE112" i="82"/>
  <c r="AA112" i="82"/>
  <c r="AD89" i="82"/>
  <c r="AJ89" i="82"/>
  <c r="AA11" i="82"/>
  <c r="AE11" i="82"/>
  <c r="AD31" i="82"/>
  <c r="AA50" i="82"/>
  <c r="AI77" i="82"/>
  <c r="AH77" i="82"/>
  <c r="N107" i="82"/>
  <c r="O107" i="82" s="1"/>
  <c r="AE7" i="82"/>
  <c r="AE9" i="82"/>
  <c r="AH35" i="82"/>
  <c r="AI58" i="82"/>
  <c r="AH58" i="82"/>
  <c r="AK58" i="82"/>
  <c r="AE95" i="82"/>
  <c r="AA95" i="82"/>
  <c r="N91" i="82"/>
  <c r="O91" i="82" s="1"/>
  <c r="AB56" i="82"/>
  <c r="AM56" i="82" s="1"/>
  <c r="AD103" i="82"/>
  <c r="AJ103" i="82"/>
  <c r="AK119" i="82"/>
  <c r="AF119" i="82"/>
  <c r="AG56" i="82"/>
  <c r="AA108" i="82"/>
  <c r="AE6" i="82"/>
  <c r="AA6" i="82"/>
  <c r="AE90" i="82"/>
  <c r="AA90" i="82"/>
  <c r="AA100" i="82"/>
  <c r="AI22" i="82"/>
  <c r="AH97" i="82"/>
  <c r="AH39" i="82"/>
  <c r="AK39" i="82"/>
  <c r="AI39" i="82"/>
  <c r="AJ45" i="82"/>
  <c r="AD45" i="82"/>
  <c r="N64" i="82"/>
  <c r="O64" i="82" s="1"/>
  <c r="AF64" i="82" s="1"/>
  <c r="AJ67" i="82"/>
  <c r="AD73" i="82"/>
  <c r="AD95" i="82"/>
  <c r="AJ95" i="82"/>
  <c r="AJ5" i="82"/>
  <c r="AH63" i="82"/>
  <c r="AI63" i="82"/>
  <c r="AD83" i="82"/>
  <c r="AJ83" i="82"/>
  <c r="AD99" i="82"/>
  <c r="AJ99" i="82"/>
  <c r="AJ113" i="82"/>
  <c r="AD113" i="82"/>
  <c r="AD49" i="82"/>
  <c r="AJ49" i="82"/>
  <c r="N77" i="82"/>
  <c r="O77" i="82" s="1"/>
  <c r="N12" i="82"/>
  <c r="O12" i="82" s="1"/>
  <c r="AK40" i="82"/>
  <c r="AA49" i="82"/>
  <c r="AH71" i="82"/>
  <c r="AI71" i="82"/>
  <c r="AI29" i="82"/>
  <c r="AH29" i="82"/>
  <c r="AH101" i="82"/>
  <c r="AI108" i="82"/>
  <c r="AH108" i="82"/>
  <c r="AH11" i="82"/>
  <c r="O37" i="82"/>
  <c r="AJ69" i="82"/>
  <c r="AI81" i="82"/>
  <c r="AH81" i="82"/>
  <c r="AD35" i="82"/>
  <c r="N68" i="82"/>
  <c r="O68" i="82" s="1"/>
  <c r="O114" i="82"/>
  <c r="AF114" i="82" s="1"/>
  <c r="AE119" i="82"/>
  <c r="AH106" i="82"/>
  <c r="AD108" i="82"/>
  <c r="AI116" i="82"/>
  <c r="AH116" i="82"/>
  <c r="AH76" i="82"/>
  <c r="AH89" i="82"/>
  <c r="AD100" i="82"/>
  <c r="AM28" i="82"/>
  <c r="AH28" i="82"/>
  <c r="AI43" i="82"/>
  <c r="AI50" i="82"/>
  <c r="AJ62" i="82"/>
  <c r="AK69" i="82"/>
  <c r="AA82" i="82"/>
  <c r="AH92" i="82"/>
  <c r="AK108" i="82"/>
  <c r="AH109" i="82"/>
  <c r="AI109" i="82"/>
  <c r="AK16" i="82"/>
  <c r="AD17" i="82"/>
  <c r="AJ50" i="82"/>
  <c r="AE99" i="82"/>
  <c r="AG120" i="82"/>
  <c r="AX16" i="82" a="1"/>
  <c r="AX16" i="82" s="1"/>
  <c r="BA16" i="82" s="1"/>
  <c r="AG58" i="82"/>
  <c r="AE94" i="82"/>
  <c r="AE113" i="82"/>
  <c r="AE65" i="82"/>
  <c r="AK82" i="82"/>
  <c r="AF51" i="82"/>
  <c r="AK51" i="82"/>
  <c r="S51" i="82"/>
  <c r="AC51" i="82" s="1"/>
  <c r="AF7" i="82"/>
  <c r="S7" i="82"/>
  <c r="AC7" i="82" s="1"/>
  <c r="N19" i="82"/>
  <c r="O19" i="82" s="1"/>
  <c r="AK19" i="82" s="1"/>
  <c r="AH36" i="82"/>
  <c r="AW25" i="82"/>
  <c r="AY25" i="82" s="1"/>
  <c r="BA25" i="82" s="1"/>
  <c r="AI36" i="82"/>
  <c r="AF55" i="82"/>
  <c r="AG55" i="82" s="1"/>
  <c r="AB55" i="82"/>
  <c r="AM55" i="82" s="1"/>
  <c r="AD36" i="82"/>
  <c r="AJ36" i="82"/>
  <c r="O22" i="82"/>
  <c r="AX17" i="82" a="1"/>
  <c r="AX17" i="82" s="1"/>
  <c r="N29" i="82"/>
  <c r="O29" i="82" s="1"/>
  <c r="AD51" i="82"/>
  <c r="AJ51" i="82"/>
  <c r="AB52" i="82"/>
  <c r="AM52" i="82" s="1"/>
  <c r="AK52" i="82"/>
  <c r="AF52" i="82"/>
  <c r="AG52" i="82" s="1"/>
  <c r="AK72" i="82"/>
  <c r="AF72" i="82"/>
  <c r="S72" i="82"/>
  <c r="AC72" i="82" s="1"/>
  <c r="N79" i="82"/>
  <c r="O79" i="82" s="1"/>
  <c r="N81" i="82"/>
  <c r="O81" i="82" s="1"/>
  <c r="AE97" i="82"/>
  <c r="AA97" i="82"/>
  <c r="N15" i="82"/>
  <c r="O15" i="82" s="1"/>
  <c r="AK15" i="82" s="1"/>
  <c r="AW10" i="82"/>
  <c r="AX10" i="82" s="1" a="1"/>
  <c r="AX10" i="82" s="1"/>
  <c r="AA118" i="82"/>
  <c r="AB118" i="82" s="1"/>
  <c r="AM118" i="82" s="1"/>
  <c r="AE118" i="82"/>
  <c r="N20" i="82"/>
  <c r="O20" i="82" s="1"/>
  <c r="N23" i="82"/>
  <c r="O23" i="82" s="1"/>
  <c r="N116" i="82"/>
  <c r="O116" i="82" s="1"/>
  <c r="AF41" i="82"/>
  <c r="S41" i="82"/>
  <c r="AC41" i="82" s="1"/>
  <c r="AD41" i="82"/>
  <c r="AJ41" i="82"/>
  <c r="N59" i="82"/>
  <c r="O59" i="82" s="1"/>
  <c r="AF83" i="82"/>
  <c r="S83" i="82"/>
  <c r="AC83" i="82" s="1"/>
  <c r="S34" i="82"/>
  <c r="AC34" i="82" s="1"/>
  <c r="AF34" i="82"/>
  <c r="N5" i="82"/>
  <c r="O5" i="82" s="1"/>
  <c r="AJ7" i="82"/>
  <c r="AD7" i="82"/>
  <c r="AX15" i="82" a="1"/>
  <c r="AX15" i="82" s="1"/>
  <c r="N43" i="82"/>
  <c r="O43" i="82" s="1"/>
  <c r="AK48" i="82"/>
  <c r="AH48" i="82"/>
  <c r="AI48" i="82"/>
  <c r="AF54" i="82"/>
  <c r="AG54" i="82" s="1"/>
  <c r="AB54" i="82"/>
  <c r="AM54" i="82" s="1"/>
  <c r="AX13" i="82" a="1"/>
  <c r="AX13" i="82" s="1"/>
  <c r="AF71" i="82"/>
  <c r="AK71" i="82"/>
  <c r="N76" i="82"/>
  <c r="O76" i="82" s="1"/>
  <c r="N14" i="82"/>
  <c r="O14" i="82" s="1"/>
  <c r="S71" i="82"/>
  <c r="AC71" i="82" s="1"/>
  <c r="N99" i="82"/>
  <c r="O99" i="82" s="1"/>
  <c r="AF115" i="82"/>
  <c r="N6" i="82"/>
  <c r="O6" i="82" s="1"/>
  <c r="AF18" i="82"/>
  <c r="S18" i="82"/>
  <c r="AC18" i="82" s="1"/>
  <c r="AK18" i="82"/>
  <c r="N28" i="82"/>
  <c r="O28" i="82" s="1"/>
  <c r="N42" i="82"/>
  <c r="O42" i="82" s="1"/>
  <c r="AF78" i="82"/>
  <c r="AK78" i="82"/>
  <c r="S78" i="82"/>
  <c r="AC78" i="82" s="1"/>
  <c r="N27" i="82"/>
  <c r="O27" i="82" s="1"/>
  <c r="AI49" i="82"/>
  <c r="AH49" i="82"/>
  <c r="N93" i="82"/>
  <c r="O93" i="82" s="1"/>
  <c r="AX14" i="82" a="1"/>
  <c r="AX14" i="82" s="1"/>
  <c r="AH21" i="82"/>
  <c r="AI21" i="82"/>
  <c r="AF30" i="82"/>
  <c r="S30" i="82"/>
  <c r="AC30" i="82" s="1"/>
  <c r="AK30" i="82"/>
  <c r="AD37" i="82"/>
  <c r="AJ37" i="82"/>
  <c r="AF48" i="82"/>
  <c r="N102" i="82"/>
  <c r="O102" i="82" s="1"/>
  <c r="AW23" i="82"/>
  <c r="AY23" i="82" s="1"/>
  <c r="BA23" i="82" s="1"/>
  <c r="AJ11" i="82"/>
  <c r="AD11" i="82"/>
  <c r="N21" i="82"/>
  <c r="O21" i="82" s="1"/>
  <c r="S45" i="82"/>
  <c r="AC45" i="82" s="1"/>
  <c r="AF45" i="82"/>
  <c r="S48" i="82"/>
  <c r="AC48" i="82" s="1"/>
  <c r="N49" i="82"/>
  <c r="O49" i="82" s="1"/>
  <c r="N92" i="82"/>
  <c r="O92" i="82" s="1"/>
  <c r="AF101" i="82"/>
  <c r="AK101" i="82"/>
  <c r="S101" i="82"/>
  <c r="AC101" i="82" s="1"/>
  <c r="AJ112" i="82"/>
  <c r="AD112" i="82"/>
  <c r="AD48" i="82"/>
  <c r="AJ48" i="82"/>
  <c r="AD84" i="82"/>
  <c r="AJ84" i="82"/>
  <c r="AD71" i="82"/>
  <c r="AJ71" i="82"/>
  <c r="AI41" i="82"/>
  <c r="AH41" i="82"/>
  <c r="AK41" i="82"/>
  <c r="S35" i="82"/>
  <c r="AC35" i="82" s="1"/>
  <c r="O70" i="82"/>
  <c r="AK70" i="82" s="1"/>
  <c r="AD14" i="82"/>
  <c r="AF35" i="82"/>
  <c r="N62" i="82"/>
  <c r="O62" i="82" s="1"/>
  <c r="AD80" i="82"/>
  <c r="O85" i="82"/>
  <c r="AK85" i="82" s="1"/>
  <c r="AD96" i="82"/>
  <c r="AW11" i="82"/>
  <c r="AX11" i="82" s="1" a="1"/>
  <c r="AX11" i="82" s="1"/>
  <c r="AW8" i="82"/>
  <c r="AJ15" i="82"/>
  <c r="AD15" i="82"/>
  <c r="AA51" i="82"/>
  <c r="AI55" i="82"/>
  <c r="AH55" i="82"/>
  <c r="AK55" i="82"/>
  <c r="N66" i="82"/>
  <c r="O66" i="82" s="1"/>
  <c r="AK87" i="82"/>
  <c r="AI87" i="82"/>
  <c r="AH87" i="82"/>
  <c r="N46" i="82"/>
  <c r="O46" i="82" s="1"/>
  <c r="AA114" i="82"/>
  <c r="AE114" i="82"/>
  <c r="AA7" i="82"/>
  <c r="AH47" i="82"/>
  <c r="AI47" i="82"/>
  <c r="AD16" i="82"/>
  <c r="AB16" i="82"/>
  <c r="AM16" i="82" s="1"/>
  <c r="AC69" i="82"/>
  <c r="AB69" i="82"/>
  <c r="AM69" i="82" s="1"/>
  <c r="AJ70" i="82"/>
  <c r="AD70" i="82"/>
  <c r="AH74" i="82"/>
  <c r="AI74" i="82"/>
  <c r="AD86" i="82"/>
  <c r="AJ86" i="82"/>
  <c r="AF87" i="82"/>
  <c r="AF106" i="82"/>
  <c r="S106" i="82"/>
  <c r="AC106" i="82" s="1"/>
  <c r="AW9" i="82"/>
  <c r="AX9" i="82" s="1" a="1"/>
  <c r="AX9" i="82" s="1"/>
  <c r="O47" i="82"/>
  <c r="AK47" i="82" s="1"/>
  <c r="S87" i="82"/>
  <c r="AC87" i="82" s="1"/>
  <c r="AD104" i="82"/>
  <c r="AJ104" i="82"/>
  <c r="AF16" i="82"/>
  <c r="N26" i="82"/>
  <c r="O26" i="82" s="1"/>
  <c r="N33" i="82"/>
  <c r="O33" i="82" s="1"/>
  <c r="N36" i="82"/>
  <c r="O36" i="82" s="1"/>
  <c r="AH40" i="82"/>
  <c r="AD85" i="82"/>
  <c r="AJ85" i="82"/>
  <c r="S105" i="82"/>
  <c r="AC105" i="82" s="1"/>
  <c r="AK105" i="82"/>
  <c r="AF105" i="82"/>
  <c r="AW24" i="82"/>
  <c r="AY24" i="82" s="1"/>
  <c r="BA24" i="82" s="1"/>
  <c r="AI40" i="82"/>
  <c r="AE116" i="82"/>
  <c r="AA116" i="82"/>
  <c r="N13" i="82"/>
  <c r="O13" i="82" s="1"/>
  <c r="AI17" i="82"/>
  <c r="AD47" i="82"/>
  <c r="N89" i="82"/>
  <c r="O89" i="82" s="1"/>
  <c r="O100" i="82"/>
  <c r="AK100" i="82" s="1"/>
  <c r="AF111" i="82"/>
  <c r="S111" i="82"/>
  <c r="AA113" i="82"/>
  <c r="AB113" i="82" s="1"/>
  <c r="AM113" i="82" s="1"/>
  <c r="N10" i="82"/>
  <c r="O10" i="82" s="1"/>
  <c r="AD19" i="82"/>
  <c r="N25" i="82"/>
  <c r="O25" i="82" s="1"/>
  <c r="AJ29" i="82"/>
  <c r="AI34" i="82"/>
  <c r="O67" i="82"/>
  <c r="N75" i="82"/>
  <c r="O75" i="82" s="1"/>
  <c r="AE78" i="82"/>
  <c r="AA78" i="82"/>
  <c r="N103" i="82"/>
  <c r="O103" i="82" s="1"/>
  <c r="AK106" i="82"/>
  <c r="AE8" i="82"/>
  <c r="AA8" i="82"/>
  <c r="AJ16" i="82"/>
  <c r="AI31" i="82"/>
  <c r="AH31" i="82"/>
  <c r="AJ34" i="82"/>
  <c r="AK35" i="82"/>
  <c r="S38" i="82"/>
  <c r="AC38" i="82" s="1"/>
  <c r="AD39" i="82"/>
  <c r="AF40" i="82"/>
  <c r="AB40" i="82"/>
  <c r="AM40" i="82" s="1"/>
  <c r="AF57" i="82"/>
  <c r="AG57" i="82" s="1"/>
  <c r="AB57" i="82"/>
  <c r="AM57" i="82" s="1"/>
  <c r="AH84" i="82"/>
  <c r="AI84" i="82"/>
  <c r="AK84" i="82"/>
  <c r="AI112" i="82"/>
  <c r="AH112" i="82"/>
  <c r="N80" i="82"/>
  <c r="O80" i="82" s="1"/>
  <c r="AK80" i="82" s="1"/>
  <c r="AD21" i="82"/>
  <c r="AJ21" i="82"/>
  <c r="AJ40" i="82"/>
  <c r="AD40" i="82"/>
  <c r="AX12" i="82" a="1"/>
  <c r="AX12" i="82" s="1"/>
  <c r="N74" i="82"/>
  <c r="O74" i="82" s="1"/>
  <c r="AD20" i="82"/>
  <c r="AK38" i="82"/>
  <c r="AI38" i="82"/>
  <c r="AI60" i="82"/>
  <c r="AH60" i="82"/>
  <c r="AJ66" i="82"/>
  <c r="AH67" i="82"/>
  <c r="AD81" i="82"/>
  <c r="AJ81" i="82"/>
  <c r="AI103" i="82"/>
  <c r="AH103" i="82"/>
  <c r="AI119" i="82"/>
  <c r="AH119" i="82"/>
  <c r="N8" i="82"/>
  <c r="O8" i="82" s="1"/>
  <c r="N9" i="82"/>
  <c r="O9" i="82" s="1"/>
  <c r="AI25" i="82"/>
  <c r="AH25" i="82"/>
  <c r="AE110" i="82"/>
  <c r="AA110" i="82"/>
  <c r="AH5" i="82"/>
  <c r="AK7" i="82"/>
  <c r="AK34" i="82"/>
  <c r="AE39" i="82"/>
  <c r="AI59" i="82"/>
  <c r="AD75" i="82"/>
  <c r="AJ75" i="82"/>
  <c r="AB84" i="82"/>
  <c r="AM84" i="82" s="1"/>
  <c r="AF84" i="82"/>
  <c r="AD90" i="82"/>
  <c r="AK118" i="82"/>
  <c r="AK45" i="82"/>
  <c r="AH45" i="82"/>
  <c r="AI45" i="82"/>
  <c r="AI54" i="82"/>
  <c r="AH54" i="82"/>
  <c r="AW26" i="82"/>
  <c r="AY26" i="82" s="1"/>
  <c r="BA26" i="82" s="1"/>
  <c r="S39" i="82"/>
  <c r="AC39" i="82" s="1"/>
  <c r="AF39" i="82"/>
  <c r="AI57" i="82"/>
  <c r="AK57" i="82"/>
  <c r="AI64" i="82"/>
  <c r="N65" i="82"/>
  <c r="O65" i="82" s="1"/>
  <c r="AA79" i="82"/>
  <c r="AE79" i="82"/>
  <c r="AK83" i="82"/>
  <c r="AI83" i="82"/>
  <c r="AH83" i="82"/>
  <c r="N97" i="82"/>
  <c r="O97" i="82" s="1"/>
  <c r="AH102" i="82"/>
  <c r="AI102" i="82"/>
  <c r="AJ105" i="82"/>
  <c r="AD105" i="82"/>
  <c r="N61" i="82"/>
  <c r="O61" i="82" s="1"/>
  <c r="AI68" i="82"/>
  <c r="AH68" i="82"/>
  <c r="O17" i="82"/>
  <c r="N50" i="82"/>
  <c r="O50" i="82" s="1"/>
  <c r="AK50" i="82" s="1"/>
  <c r="AA65" i="82"/>
  <c r="O88" i="82"/>
  <c r="AK88" i="82" s="1"/>
  <c r="N110" i="82"/>
  <c r="O110" i="82" s="1"/>
  <c r="AF113" i="82"/>
  <c r="AJ117" i="82"/>
  <c r="AD79" i="82"/>
  <c r="N95" i="82"/>
  <c r="O95" i="82" s="1"/>
  <c r="S108" i="82"/>
  <c r="AC108" i="82" s="1"/>
  <c r="AF108" i="82"/>
  <c r="AJ33" i="82"/>
  <c r="AD33" i="82"/>
  <c r="AI56" i="82"/>
  <c r="AK56" i="82"/>
  <c r="AI73" i="82"/>
  <c r="AJ74" i="82"/>
  <c r="AD74" i="82"/>
  <c r="AH88" i="82"/>
  <c r="AI88" i="82"/>
  <c r="AI113" i="82"/>
  <c r="AH113" i="82"/>
  <c r="AK113" i="82"/>
  <c r="AK117" i="82"/>
  <c r="AH117" i="82"/>
  <c r="AI117" i="82"/>
  <c r="K2" i="82"/>
  <c r="D39" i="12" s="1"/>
  <c r="AI14" i="82"/>
  <c r="AH14" i="82"/>
  <c r="AK54" i="82"/>
  <c r="AD78" i="82"/>
  <c r="AI80" i="82"/>
  <c r="AH80" i="82"/>
  <c r="AI86" i="82"/>
  <c r="AH9" i="82"/>
  <c r="AE49" i="82"/>
  <c r="AI53" i="82"/>
  <c r="AH53" i="82"/>
  <c r="O60" i="82"/>
  <c r="S82" i="82"/>
  <c r="AC82" i="82" s="1"/>
  <c r="AF82" i="82"/>
  <c r="AE107" i="82"/>
  <c r="AA107" i="82"/>
  <c r="AI111" i="82"/>
  <c r="AH111" i="82"/>
  <c r="AI114" i="82"/>
  <c r="AH114" i="82"/>
  <c r="AB58" i="82"/>
  <c r="AM58" i="82" s="1"/>
  <c r="O63" i="82"/>
  <c r="AJ82" i="82"/>
  <c r="AD82" i="82"/>
  <c r="N104" i="82"/>
  <c r="O104" i="82" s="1"/>
  <c r="AH66" i="82"/>
  <c r="AI66" i="82"/>
  <c r="AI79" i="82"/>
  <c r="AH79" i="82"/>
  <c r="AE82" i="82"/>
  <c r="AH85" i="82"/>
  <c r="AI85" i="82"/>
  <c r="AJ106" i="82"/>
  <c r="AD106" i="82"/>
  <c r="AD114" i="82"/>
  <c r="AJ114" i="82"/>
  <c r="AA117" i="82"/>
  <c r="AB117" i="82" s="1"/>
  <c r="AM117" i="82" s="1"/>
  <c r="AH70" i="82"/>
  <c r="AE93" i="82"/>
  <c r="AH100" i="82"/>
  <c r="AI100" i="82"/>
  <c r="AH110" i="82"/>
  <c r="AI110" i="82"/>
  <c r="AI115" i="82"/>
  <c r="AK115" i="82"/>
  <c r="N98" i="82"/>
  <c r="O98" i="82" s="1"/>
  <c r="O90" i="82"/>
  <c r="AE106" i="82"/>
  <c r="AA109" i="82"/>
  <c r="AE109" i="82"/>
  <c r="AI52" i="82"/>
  <c r="AH52" i="82"/>
  <c r="AJ87" i="82"/>
  <c r="AD87" i="82"/>
  <c r="AF117" i="82"/>
  <c r="O112" i="82"/>
  <c r="AK112" i="82" s="1"/>
  <c r="AG121" i="82"/>
  <c r="AK11" i="82" l="1"/>
  <c r="S11" i="82"/>
  <c r="AC11" i="82" s="1"/>
  <c r="AG11" i="82" s="1"/>
  <c r="S31" i="82"/>
  <c r="AC31" i="82" s="1"/>
  <c r="AF31" i="82"/>
  <c r="AK109" i="82"/>
  <c r="AF12" i="82"/>
  <c r="S12" i="82"/>
  <c r="AC12" i="82" s="1"/>
  <c r="AF73" i="82"/>
  <c r="AK73" i="82"/>
  <c r="S109" i="82"/>
  <c r="AC109" i="82" s="1"/>
  <c r="AG109" i="82" s="1"/>
  <c r="S73" i="82"/>
  <c r="AC73" i="82" s="1"/>
  <c r="AF32" i="82"/>
  <c r="AG117" i="82"/>
  <c r="S32" i="82"/>
  <c r="AC32" i="82" s="1"/>
  <c r="AK12" i="82"/>
  <c r="AF44" i="82"/>
  <c r="S44" i="82"/>
  <c r="AC44" i="82" s="1"/>
  <c r="AK44" i="82"/>
  <c r="AZ12" i="82" a="1"/>
  <c r="AZ12" i="82" s="1"/>
  <c r="AY12" i="82" s="1"/>
  <c r="AB114" i="82"/>
  <c r="AM114" i="82" s="1"/>
  <c r="AG38" i="82"/>
  <c r="AB18" i="82"/>
  <c r="AM18" i="82" s="1"/>
  <c r="AK64" i="82"/>
  <c r="AB108" i="82"/>
  <c r="AM108" i="82" s="1"/>
  <c r="AB106" i="82"/>
  <c r="AM106" i="82" s="1"/>
  <c r="AK114" i="82"/>
  <c r="AG115" i="82"/>
  <c r="AG84" i="82"/>
  <c r="AF24" i="82"/>
  <c r="AG69" i="82"/>
  <c r="AG119" i="82"/>
  <c r="AG113" i="82"/>
  <c r="AG118" i="82"/>
  <c r="S37" i="82"/>
  <c r="AC37" i="82" s="1"/>
  <c r="AG16" i="82"/>
  <c r="S24" i="82"/>
  <c r="AC24" i="82" s="1"/>
  <c r="AB105" i="82"/>
  <c r="AM105" i="82" s="1"/>
  <c r="AB39" i="82"/>
  <c r="AM39" i="82" s="1"/>
  <c r="AF37" i="82"/>
  <c r="AB87" i="82"/>
  <c r="AM87" i="82" s="1"/>
  <c r="AG101" i="82"/>
  <c r="AG51" i="82"/>
  <c r="AF91" i="82"/>
  <c r="S91" i="82"/>
  <c r="AC91" i="82" s="1"/>
  <c r="AK91" i="82"/>
  <c r="AK77" i="82"/>
  <c r="S77" i="82"/>
  <c r="AC77" i="82" s="1"/>
  <c r="AF77" i="82"/>
  <c r="AF107" i="82"/>
  <c r="S107" i="82"/>
  <c r="AC107" i="82" s="1"/>
  <c r="AK107" i="82"/>
  <c r="S86" i="82"/>
  <c r="AC86" i="82" s="1"/>
  <c r="AF86" i="82"/>
  <c r="AK86" i="82"/>
  <c r="S68" i="82"/>
  <c r="AC68" i="82" s="1"/>
  <c r="AF68" i="82"/>
  <c r="AK68" i="82"/>
  <c r="AB72" i="82"/>
  <c r="AM72" i="82" s="1"/>
  <c r="AK37" i="82"/>
  <c r="AB38" i="82"/>
  <c r="AM38" i="82" s="1"/>
  <c r="AB48" i="82"/>
  <c r="AM48" i="82" s="1"/>
  <c r="BB9" i="82"/>
  <c r="AK96" i="82"/>
  <c r="AK94" i="82"/>
  <c r="AG40" i="82"/>
  <c r="AG45" i="82"/>
  <c r="AB45" i="82"/>
  <c r="AM45" i="82" s="1"/>
  <c r="AB34" i="82"/>
  <c r="AM34" i="82" s="1"/>
  <c r="S64" i="82"/>
  <c r="AB101" i="82"/>
  <c r="AM101" i="82" s="1"/>
  <c r="AF94" i="82"/>
  <c r="AB71" i="82"/>
  <c r="AM71" i="82" s="1"/>
  <c r="S96" i="82"/>
  <c r="AC96" i="82" s="1"/>
  <c r="AG96" i="82" s="1"/>
  <c r="AG18" i="82"/>
  <c r="S59" i="82"/>
  <c r="AC59" i="82" s="1"/>
  <c r="AF59" i="82"/>
  <c r="AK59" i="82"/>
  <c r="S46" i="82"/>
  <c r="AC46" i="82" s="1"/>
  <c r="AF46" i="82"/>
  <c r="AK46" i="82"/>
  <c r="S13" i="82"/>
  <c r="AC13" i="82" s="1"/>
  <c r="AK13" i="82"/>
  <c r="AF13" i="82"/>
  <c r="AF76" i="82"/>
  <c r="S76" i="82"/>
  <c r="AC76" i="82" s="1"/>
  <c r="AK76" i="82"/>
  <c r="S8" i="82"/>
  <c r="AC8" i="82" s="1"/>
  <c r="AK8" i="82"/>
  <c r="AF8" i="82"/>
  <c r="AF49" i="82"/>
  <c r="S49" i="82"/>
  <c r="AC49" i="82" s="1"/>
  <c r="BA12" i="82"/>
  <c r="S42" i="82"/>
  <c r="AC42" i="82" s="1"/>
  <c r="AF42" i="82"/>
  <c r="AK42" i="82"/>
  <c r="S23" i="82"/>
  <c r="AC23" i="82" s="1"/>
  <c r="AF23" i="82"/>
  <c r="AK23" i="82"/>
  <c r="AF81" i="82"/>
  <c r="S81" i="82"/>
  <c r="AC81" i="82" s="1"/>
  <c r="AK81" i="82"/>
  <c r="S80" i="82"/>
  <c r="AC80" i="82" s="1"/>
  <c r="AF80" i="82"/>
  <c r="S28" i="82"/>
  <c r="AC28" i="82" s="1"/>
  <c r="AF28" i="82"/>
  <c r="AK28" i="82"/>
  <c r="S103" i="82"/>
  <c r="AC103" i="82" s="1"/>
  <c r="AF103" i="82"/>
  <c r="AF62" i="82"/>
  <c r="S62" i="82"/>
  <c r="AC62" i="82" s="1"/>
  <c r="AK62" i="82"/>
  <c r="AF6" i="82"/>
  <c r="S6" i="82"/>
  <c r="AC6" i="82" s="1"/>
  <c r="AK6" i="82"/>
  <c r="AF10" i="82"/>
  <c r="S10" i="82"/>
  <c r="AC10" i="82" s="1"/>
  <c r="S75" i="82"/>
  <c r="AC75" i="82" s="1"/>
  <c r="AK75" i="82"/>
  <c r="AF75" i="82"/>
  <c r="AF99" i="82"/>
  <c r="S99" i="82"/>
  <c r="AC99" i="82" s="1"/>
  <c r="AK99" i="82"/>
  <c r="AZ9" i="82" a="1"/>
  <c r="AZ9" i="82" s="1"/>
  <c r="AY9" i="82" s="1"/>
  <c r="S95" i="82"/>
  <c r="AC95" i="82" s="1"/>
  <c r="AF95" i="82"/>
  <c r="AK95" i="82"/>
  <c r="AF26" i="82"/>
  <c r="S26" i="82"/>
  <c r="AC26" i="82" s="1"/>
  <c r="AK26" i="82"/>
  <c r="S92" i="82"/>
  <c r="AC92" i="82" s="1"/>
  <c r="AF92" i="82"/>
  <c r="AK92" i="82"/>
  <c r="AC94" i="82"/>
  <c r="AB94" i="82"/>
  <c r="AM94" i="82" s="1"/>
  <c r="AF110" i="82"/>
  <c r="S110" i="82"/>
  <c r="AC110" i="82" s="1"/>
  <c r="AK110" i="82"/>
  <c r="AF17" i="82"/>
  <c r="S17" i="82"/>
  <c r="AC17" i="82" s="1"/>
  <c r="AK17" i="82"/>
  <c r="AF47" i="82"/>
  <c r="S47" i="82"/>
  <c r="AC47" i="82" s="1"/>
  <c r="S61" i="82"/>
  <c r="AC61" i="82" s="1"/>
  <c r="AF61" i="82"/>
  <c r="AK61" i="82"/>
  <c r="S97" i="82"/>
  <c r="AC97" i="82" s="1"/>
  <c r="AK97" i="82"/>
  <c r="AF97" i="82"/>
  <c r="AF5" i="82"/>
  <c r="S5" i="82"/>
  <c r="AC5" i="82" s="1"/>
  <c r="AK5" i="82"/>
  <c r="BA17" i="82"/>
  <c r="AF104" i="82"/>
  <c r="S104" i="82"/>
  <c r="AC104" i="82" s="1"/>
  <c r="AK104" i="82"/>
  <c r="AF74" i="82"/>
  <c r="S74" i="82"/>
  <c r="AC74" i="82" s="1"/>
  <c r="AK74" i="82"/>
  <c r="AF66" i="82"/>
  <c r="AK66" i="82"/>
  <c r="S66" i="82"/>
  <c r="AC66" i="82" s="1"/>
  <c r="AF21" i="82"/>
  <c r="S21" i="82"/>
  <c r="AC21" i="82" s="1"/>
  <c r="AK21" i="82"/>
  <c r="AK93" i="82"/>
  <c r="S93" i="82"/>
  <c r="AC93" i="82" s="1"/>
  <c r="AF93" i="82"/>
  <c r="L2" i="82"/>
  <c r="AJ3" i="82"/>
  <c r="L39" i="12" s="1"/>
  <c r="AF65" i="82"/>
  <c r="AK65" i="82"/>
  <c r="S65" i="82"/>
  <c r="AC65" i="82" s="1"/>
  <c r="AC111" i="82"/>
  <c r="AG111" i="82" s="1"/>
  <c r="AB111" i="82"/>
  <c r="AM111" i="82" s="1"/>
  <c r="AF36" i="82"/>
  <c r="S36" i="82"/>
  <c r="AC36" i="82" s="1"/>
  <c r="AK36" i="82"/>
  <c r="AF20" i="82"/>
  <c r="S20" i="82"/>
  <c r="AC20" i="82" s="1"/>
  <c r="AK20" i="82"/>
  <c r="AK49" i="82"/>
  <c r="AK103" i="82"/>
  <c r="AI3" i="82"/>
  <c r="E1" i="82" s="1"/>
  <c r="E39" i="12" s="1"/>
  <c r="S102" i="82"/>
  <c r="AC102" i="82" s="1"/>
  <c r="AF102" i="82"/>
  <c r="AK102" i="82"/>
  <c r="S43" i="82"/>
  <c r="AC43" i="82" s="1"/>
  <c r="AF43" i="82"/>
  <c r="AK43" i="82"/>
  <c r="AK10" i="82"/>
  <c r="AZ8" i="82" a="1"/>
  <c r="AZ8" i="82" s="1"/>
  <c r="BB8" i="82"/>
  <c r="AZ17" i="82" a="1"/>
  <c r="AZ17" i="82" s="1"/>
  <c r="AY17" i="82" s="1"/>
  <c r="R2" i="82"/>
  <c r="S9" i="82"/>
  <c r="AC9" i="82" s="1"/>
  <c r="AF9" i="82"/>
  <c r="AK9" i="82"/>
  <c r="S89" i="82"/>
  <c r="AC89" i="82" s="1"/>
  <c r="AF89" i="82"/>
  <c r="AK89" i="82"/>
  <c r="AK29" i="82"/>
  <c r="AF29" i="82"/>
  <c r="S29" i="82"/>
  <c r="AC29" i="82" s="1"/>
  <c r="BA9" i="82"/>
  <c r="S33" i="82"/>
  <c r="AC33" i="82" s="1"/>
  <c r="AF33" i="82"/>
  <c r="AK33" i="82"/>
  <c r="AG41" i="82"/>
  <c r="S100" i="82"/>
  <c r="AC100" i="82" s="1"/>
  <c r="AF100" i="82"/>
  <c r="Q2" i="82"/>
  <c r="G2" i="82" s="1"/>
  <c r="I39" i="12" s="1"/>
  <c r="P2" i="82"/>
  <c r="AZ14" i="82" a="1"/>
  <c r="AZ14" i="82" s="1"/>
  <c r="AY14" i="82" s="1"/>
  <c r="AH3" i="82"/>
  <c r="E2" i="82" s="1"/>
  <c r="F39" i="12" s="1"/>
  <c r="AW6" i="82"/>
  <c r="BD8" i="82"/>
  <c r="BD9" i="82" s="1"/>
  <c r="BD10" i="82" s="1"/>
  <c r="BD11" i="82" s="1"/>
  <c r="BD12" i="82" s="1"/>
  <c r="BD13" i="82" s="1"/>
  <c r="BD14" i="82" s="1"/>
  <c r="BD15" i="82" s="1"/>
  <c r="BD16" i="82" s="1"/>
  <c r="BD17" i="82" s="1"/>
  <c r="AX8" i="82" a="1"/>
  <c r="AX8" i="82" s="1"/>
  <c r="AG71" i="82"/>
  <c r="AF14" i="82"/>
  <c r="AK14" i="82"/>
  <c r="S14" i="82"/>
  <c r="AC14" i="82" s="1"/>
  <c r="AG7" i="82"/>
  <c r="BA11" i="82"/>
  <c r="AF70" i="82"/>
  <c r="S70" i="82"/>
  <c r="AC70" i="82" s="1"/>
  <c r="BA21" i="82"/>
  <c r="BA13" i="82"/>
  <c r="AB41" i="82"/>
  <c r="AM41" i="82" s="1"/>
  <c r="AF79" i="82"/>
  <c r="AK79" i="82"/>
  <c r="S79" i="82"/>
  <c r="AC79" i="82" s="1"/>
  <c r="S19" i="82"/>
  <c r="AC19" i="82" s="1"/>
  <c r="AF19" i="82"/>
  <c r="S90" i="82"/>
  <c r="AC90" i="82" s="1"/>
  <c r="AF90" i="82"/>
  <c r="AK90" i="82"/>
  <c r="AB35" i="82"/>
  <c r="AM35" i="82" s="1"/>
  <c r="AG30" i="82"/>
  <c r="AB7" i="82"/>
  <c r="AM7" i="82" s="1"/>
  <c r="AF22" i="82"/>
  <c r="AK22" i="82"/>
  <c r="S22" i="82"/>
  <c r="AC22" i="82" s="1"/>
  <c r="AB82" i="82"/>
  <c r="AM82" i="82" s="1"/>
  <c r="S98" i="82"/>
  <c r="AC98" i="82" s="1"/>
  <c r="AK98" i="82"/>
  <c r="AF98" i="82"/>
  <c r="S60" i="82"/>
  <c r="AC60" i="82" s="1"/>
  <c r="AK60" i="82"/>
  <c r="AF60" i="82"/>
  <c r="AF88" i="82"/>
  <c r="S88" i="82"/>
  <c r="AC88" i="82" s="1"/>
  <c r="AG39" i="82"/>
  <c r="AZ10" i="82" a="1"/>
  <c r="AZ10" i="82" s="1"/>
  <c r="AY10" i="82" s="1"/>
  <c r="BB10" i="82"/>
  <c r="S85" i="82"/>
  <c r="AC85" i="82" s="1"/>
  <c r="AF85" i="82"/>
  <c r="AG35" i="82"/>
  <c r="S27" i="82"/>
  <c r="AC27" i="82" s="1"/>
  <c r="AF27" i="82"/>
  <c r="AK27" i="82"/>
  <c r="S25" i="82"/>
  <c r="AC25" i="82" s="1"/>
  <c r="AK25" i="82"/>
  <c r="AF25" i="82"/>
  <c r="AB51" i="82"/>
  <c r="AM51" i="82" s="1"/>
  <c r="AK63" i="82"/>
  <c r="S63" i="82"/>
  <c r="AC63" i="82" s="1"/>
  <c r="AF63" i="82"/>
  <c r="S50" i="82"/>
  <c r="AC50" i="82" s="1"/>
  <c r="AF50" i="82"/>
  <c r="AZ15" i="82" a="1"/>
  <c r="AZ15" i="82" s="1"/>
  <c r="AY15" i="82" s="1"/>
  <c r="AG78" i="82"/>
  <c r="BA10" i="82"/>
  <c r="S112" i="82"/>
  <c r="AC112" i="82" s="1"/>
  <c r="AF112" i="82"/>
  <c r="AZ13" i="82" a="1"/>
  <c r="AZ13" i="82" s="1"/>
  <c r="AY13" i="82" s="1"/>
  <c r="AG106" i="82"/>
  <c r="AG83" i="82"/>
  <c r="S15" i="82"/>
  <c r="AC15" i="82" s="1"/>
  <c r="AF15" i="82"/>
  <c r="AG34" i="82"/>
  <c r="AG82" i="82"/>
  <c r="AG108" i="82"/>
  <c r="BA15" i="82"/>
  <c r="AK116" i="82"/>
  <c r="AB116" i="82"/>
  <c r="AM116" i="82" s="1"/>
  <c r="AF116" i="82"/>
  <c r="AG116" i="82" s="1"/>
  <c r="AG114" i="82"/>
  <c r="AZ16" i="82" a="1"/>
  <c r="AZ16" i="82" s="1"/>
  <c r="AY16" i="82" s="1"/>
  <c r="S67" i="82"/>
  <c r="AC67" i="82" s="1"/>
  <c r="AF67" i="82"/>
  <c r="AG87" i="82"/>
  <c r="AG48" i="82"/>
  <c r="AB78" i="82"/>
  <c r="AM78" i="82" s="1"/>
  <c r="AK67" i="82"/>
  <c r="BB11" i="82"/>
  <c r="AZ11" i="82" a="1"/>
  <c r="AZ11" i="82" s="1"/>
  <c r="AY11" i="82" s="1"/>
  <c r="AG105" i="82"/>
  <c r="BA14" i="82"/>
  <c r="AB83" i="82"/>
  <c r="AM83" i="82" s="1"/>
  <c r="AG72" i="82"/>
  <c r="AB11" i="82" l="1"/>
  <c r="AM11" i="82" s="1"/>
  <c r="AG32" i="82"/>
  <c r="AG104" i="82"/>
  <c r="AG31" i="82"/>
  <c r="AG12" i="82"/>
  <c r="AB12" i="82"/>
  <c r="AM12" i="82" s="1"/>
  <c r="AB31" i="82"/>
  <c r="AM31" i="82" s="1"/>
  <c r="AG44" i="82"/>
  <c r="AG91" i="82"/>
  <c r="AB24" i="82"/>
  <c r="AM24" i="82" s="1"/>
  <c r="AG62" i="82"/>
  <c r="AB109" i="82"/>
  <c r="AM109" i="82" s="1"/>
  <c r="AG86" i="82"/>
  <c r="AG70" i="82"/>
  <c r="AG36" i="82"/>
  <c r="AG110" i="82"/>
  <c r="AG73" i="82"/>
  <c r="AB73" i="82"/>
  <c r="AM73" i="82" s="1"/>
  <c r="AG81" i="82"/>
  <c r="AB49" i="82"/>
  <c r="AM49" i="82" s="1"/>
  <c r="AB44" i="82"/>
  <c r="AM44" i="82" s="1"/>
  <c r="AB32" i="82"/>
  <c r="AM32" i="82" s="1"/>
  <c r="AB112" i="82"/>
  <c r="AM112" i="82" s="1"/>
  <c r="AB63" i="82"/>
  <c r="AM63" i="82" s="1"/>
  <c r="AG22" i="82"/>
  <c r="AG14" i="82"/>
  <c r="AB21" i="82"/>
  <c r="AM21" i="82" s="1"/>
  <c r="AB103" i="82"/>
  <c r="AM103" i="82" s="1"/>
  <c r="AG24" i="82"/>
  <c r="AB27" i="82"/>
  <c r="AM27" i="82" s="1"/>
  <c r="AG29" i="82"/>
  <c r="AG21" i="82"/>
  <c r="AB17" i="82"/>
  <c r="AM17" i="82" s="1"/>
  <c r="AB100" i="82"/>
  <c r="AM100" i="82" s="1"/>
  <c r="AG37" i="82"/>
  <c r="AG6" i="82"/>
  <c r="AB80" i="82"/>
  <c r="AM80" i="82" s="1"/>
  <c r="AB23" i="82"/>
  <c r="AM23" i="82" s="1"/>
  <c r="AB13" i="82"/>
  <c r="AM13" i="82" s="1"/>
  <c r="AG107" i="82"/>
  <c r="AB67" i="82"/>
  <c r="AM67" i="82" s="1"/>
  <c r="AB85" i="82"/>
  <c r="AM85" i="82" s="1"/>
  <c r="AG99" i="82"/>
  <c r="AG60" i="82"/>
  <c r="AG88" i="82"/>
  <c r="AG77" i="82"/>
  <c r="AG19" i="82"/>
  <c r="AB68" i="82"/>
  <c r="AM68" i="82" s="1"/>
  <c r="AB91" i="82"/>
  <c r="AM91" i="82" s="1"/>
  <c r="AG76" i="82"/>
  <c r="AB37" i="82"/>
  <c r="AM37" i="82" s="1"/>
  <c r="AB77" i="82"/>
  <c r="AM77" i="82" s="1"/>
  <c r="AB43" i="82"/>
  <c r="AM43" i="82" s="1"/>
  <c r="AB46" i="82"/>
  <c r="AM46" i="82" s="1"/>
  <c r="AG65" i="82"/>
  <c r="AG74" i="82"/>
  <c r="AB47" i="82"/>
  <c r="AM47" i="82" s="1"/>
  <c r="AC64" i="82"/>
  <c r="AG64" i="82" s="1"/>
  <c r="AB64" i="82"/>
  <c r="AM64" i="82" s="1"/>
  <c r="AB15" i="82"/>
  <c r="AM15" i="82" s="1"/>
  <c r="AG112" i="82"/>
  <c r="AB20" i="82"/>
  <c r="AM20" i="82" s="1"/>
  <c r="AG95" i="82"/>
  <c r="AB76" i="82"/>
  <c r="AM76" i="82" s="1"/>
  <c r="AB14" i="82"/>
  <c r="AM14" i="82" s="1"/>
  <c r="AG28" i="82"/>
  <c r="AB5" i="82"/>
  <c r="AM5" i="82" s="1"/>
  <c r="AG25" i="82"/>
  <c r="AB66" i="82"/>
  <c r="AM66" i="82" s="1"/>
  <c r="AB107" i="82"/>
  <c r="AM107" i="82" s="1"/>
  <c r="AB90" i="82"/>
  <c r="AM90" i="82" s="1"/>
  <c r="AG33" i="82"/>
  <c r="AB102" i="82"/>
  <c r="AM102" i="82" s="1"/>
  <c r="AG26" i="82"/>
  <c r="AB10" i="82"/>
  <c r="AM10" i="82" s="1"/>
  <c r="AB86" i="82"/>
  <c r="AM86" i="82" s="1"/>
  <c r="AB92" i="82"/>
  <c r="AM92" i="82" s="1"/>
  <c r="AG98" i="82"/>
  <c r="AG68" i="82"/>
  <c r="AG94" i="82"/>
  <c r="AB59" i="82"/>
  <c r="AM59" i="82" s="1"/>
  <c r="AB79" i="82"/>
  <c r="AM79" i="82" s="1"/>
  <c r="AG93" i="82"/>
  <c r="AG61" i="82"/>
  <c r="AB6" i="82"/>
  <c r="AM6" i="82" s="1"/>
  <c r="AB96" i="82"/>
  <c r="AM96" i="82" s="1"/>
  <c r="AB75" i="82"/>
  <c r="AM75" i="82" s="1"/>
  <c r="BB6" i="82"/>
  <c r="BC23" i="82" s="1"/>
  <c r="BC28" i="82" s="1"/>
  <c r="J39" i="12" s="1"/>
  <c r="AG50" i="82"/>
  <c r="AB33" i="82"/>
  <c r="AM33" i="82" s="1"/>
  <c r="AB60" i="82"/>
  <c r="AM60" i="82" s="1"/>
  <c r="AB25" i="82"/>
  <c r="AM25" i="82" s="1"/>
  <c r="AB61" i="82"/>
  <c r="AM61" i="82" s="1"/>
  <c r="AB26" i="82"/>
  <c r="AM26" i="82" s="1"/>
  <c r="AB81" i="82"/>
  <c r="AM81" i="82" s="1"/>
  <c r="AG15" i="82"/>
  <c r="AB50" i="82"/>
  <c r="AM50" i="82" s="1"/>
  <c r="AG79" i="82"/>
  <c r="AX6" i="82"/>
  <c r="BA8" i="82"/>
  <c r="AY8" i="82"/>
  <c r="AG9" i="82"/>
  <c r="AG20" i="82"/>
  <c r="AG5" i="82"/>
  <c r="AG92" i="82"/>
  <c r="AG10" i="82"/>
  <c r="AB62" i="82"/>
  <c r="AM62" i="82" s="1"/>
  <c r="AB65" i="82"/>
  <c r="AM65" i="82" s="1"/>
  <c r="AG27" i="82"/>
  <c r="AB88" i="82"/>
  <c r="AM88" i="82" s="1"/>
  <c r="AZ6" i="82"/>
  <c r="AG75" i="82"/>
  <c r="AB93" i="82"/>
  <c r="AM93" i="82" s="1"/>
  <c r="AB95" i="82"/>
  <c r="AM95" i="82" s="1"/>
  <c r="AG103" i="82"/>
  <c r="AG80" i="82"/>
  <c r="AG8" i="82"/>
  <c r="AG13" i="82"/>
  <c r="AG63" i="82"/>
  <c r="AB22" i="82"/>
  <c r="AM22" i="82" s="1"/>
  <c r="AG43" i="82"/>
  <c r="AB104" i="82"/>
  <c r="AM104" i="82" s="1"/>
  <c r="AG17" i="82"/>
  <c r="AG23" i="82"/>
  <c r="AG67" i="82"/>
  <c r="AG85" i="82"/>
  <c r="AG100" i="82"/>
  <c r="AG42" i="82"/>
  <c r="AG46" i="82"/>
  <c r="AG89" i="82"/>
  <c r="AG102" i="82"/>
  <c r="AB36" i="82"/>
  <c r="AM36" i="82" s="1"/>
  <c r="AB110" i="82"/>
  <c r="AM110" i="82" s="1"/>
  <c r="AK3" i="82"/>
  <c r="G39" i="12" s="1"/>
  <c r="AB42" i="82"/>
  <c r="AM42" i="82" s="1"/>
  <c r="AG90" i="82"/>
  <c r="AB70" i="82"/>
  <c r="AM70" i="82" s="1"/>
  <c r="AB89" i="82"/>
  <c r="AM89" i="82" s="1"/>
  <c r="AB74" i="82"/>
  <c r="AM74" i="82" s="1"/>
  <c r="AB19" i="82"/>
  <c r="AM19" i="82" s="1"/>
  <c r="AG97" i="82"/>
  <c r="AB9" i="82"/>
  <c r="AM9" i="82" s="1"/>
  <c r="AG66" i="82"/>
  <c r="AB97" i="82"/>
  <c r="AM97" i="82" s="1"/>
  <c r="AG47" i="82"/>
  <c r="AG49" i="82"/>
  <c r="AG59" i="82"/>
  <c r="BC24" i="81"/>
  <c r="BC23" i="81"/>
  <c r="BC28" i="81" s="1"/>
  <c r="AM3" i="82" l="1"/>
  <c r="G1" i="82" s="1"/>
  <c r="AG2" i="82"/>
  <c r="K39" i="12" s="1"/>
  <c r="M39" i="12" s="1"/>
  <c r="BC8" i="82"/>
  <c r="BC9" i="82" s="1"/>
  <c r="BC10" i="82" s="1"/>
  <c r="BC11" i="82" s="1"/>
  <c r="BC12" i="82" s="1"/>
  <c r="BC13" i="82" s="1"/>
  <c r="BC14" i="82" s="1"/>
  <c r="BC15" i="82" s="1"/>
  <c r="BC16" i="82" s="1"/>
  <c r="BC17" i="82" s="1"/>
  <c r="BA6" i="82"/>
  <c r="AN70" i="81" l="1"/>
  <c r="M70" i="81" s="1"/>
  <c r="Z70" i="81"/>
  <c r="Y70" i="81"/>
  <c r="U70" i="81"/>
  <c r="AD70" i="81" s="1"/>
  <c r="K70" i="81"/>
  <c r="AI70" i="81" s="1"/>
  <c r="E70" i="81"/>
  <c r="AN69" i="81"/>
  <c r="M69" i="81" s="1"/>
  <c r="N69" i="81" s="1"/>
  <c r="O69" i="81" s="1"/>
  <c r="Z69" i="81"/>
  <c r="Y69" i="81"/>
  <c r="U69" i="81"/>
  <c r="K69" i="81"/>
  <c r="E69" i="81"/>
  <c r="AN68" i="81"/>
  <c r="M68" i="81" s="1"/>
  <c r="N68" i="81" s="1"/>
  <c r="AE68" i="81"/>
  <c r="AA68" i="81"/>
  <c r="U68" i="81"/>
  <c r="K68" i="81"/>
  <c r="E68" i="81"/>
  <c r="AN67" i="81"/>
  <c r="M67" i="81" s="1"/>
  <c r="AE67" i="81"/>
  <c r="AA67" i="81"/>
  <c r="U67" i="81"/>
  <c r="AJ67" i="81" s="1"/>
  <c r="K67" i="81"/>
  <c r="E67" i="81"/>
  <c r="AN66" i="81"/>
  <c r="M66" i="81" s="1"/>
  <c r="O66" i="81" s="1"/>
  <c r="S66" i="81" s="1"/>
  <c r="AC66" i="81" s="1"/>
  <c r="Z66" i="81"/>
  <c r="Y66" i="81"/>
  <c r="U66" i="81"/>
  <c r="K66" i="81"/>
  <c r="E66" i="81"/>
  <c r="AN65" i="81"/>
  <c r="M65" i="81" s="1"/>
  <c r="N65" i="81" s="1"/>
  <c r="Z65" i="81"/>
  <c r="Y65" i="81"/>
  <c r="U65" i="81"/>
  <c r="AJ65" i="81" s="1"/>
  <c r="K65" i="81"/>
  <c r="AI65" i="81" s="1"/>
  <c r="E65" i="81"/>
  <c r="AN64" i="81"/>
  <c r="M64" i="81" s="1"/>
  <c r="Z64" i="81"/>
  <c r="Y64" i="81"/>
  <c r="U64" i="81"/>
  <c r="AD64" i="81" s="1"/>
  <c r="K64" i="81"/>
  <c r="E64" i="81"/>
  <c r="AN63" i="81"/>
  <c r="M63" i="81" s="1"/>
  <c r="Z63" i="81"/>
  <c r="Y63" i="81"/>
  <c r="U63" i="81"/>
  <c r="AD63" i="81" s="1"/>
  <c r="K63" i="81"/>
  <c r="E63" i="81"/>
  <c r="AN62" i="81"/>
  <c r="M62" i="81" s="1"/>
  <c r="Z62" i="81"/>
  <c r="Y62" i="81"/>
  <c r="U62" i="81"/>
  <c r="K62" i="81"/>
  <c r="E62" i="81"/>
  <c r="AN61" i="81"/>
  <c r="M61" i="81" s="1"/>
  <c r="Z61" i="81"/>
  <c r="Y61" i="81"/>
  <c r="U61" i="81"/>
  <c r="K61" i="81"/>
  <c r="E61" i="81"/>
  <c r="AN60" i="81"/>
  <c r="M60" i="81" s="1"/>
  <c r="Z60" i="81"/>
  <c r="Y60" i="81"/>
  <c r="U60" i="81"/>
  <c r="K60" i="81"/>
  <c r="E60" i="81"/>
  <c r="AN59" i="81"/>
  <c r="M59" i="81" s="1"/>
  <c r="N59" i="81" s="1"/>
  <c r="O59" i="81" s="1"/>
  <c r="Z59" i="81"/>
  <c r="Y59" i="81"/>
  <c r="U59" i="81"/>
  <c r="AJ59" i="81" s="1"/>
  <c r="K59" i="81"/>
  <c r="AH59" i="81" s="1"/>
  <c r="E59" i="81"/>
  <c r="AN58" i="81"/>
  <c r="M58" i="81" s="1"/>
  <c r="N58" i="81" s="1"/>
  <c r="O58" i="81" s="1"/>
  <c r="Z58" i="81"/>
  <c r="Y58" i="81"/>
  <c r="U58" i="81"/>
  <c r="K58" i="81"/>
  <c r="E58" i="81"/>
  <c r="AN57" i="81"/>
  <c r="M57" i="81" s="1"/>
  <c r="N57" i="81" s="1"/>
  <c r="Z57" i="81"/>
  <c r="Y57" i="81"/>
  <c r="U57" i="81"/>
  <c r="AJ57" i="81" s="1"/>
  <c r="K57" i="81"/>
  <c r="E57" i="81"/>
  <c r="AN56" i="81"/>
  <c r="M56" i="81" s="1"/>
  <c r="Z56" i="81"/>
  <c r="Y56" i="81"/>
  <c r="U56" i="81"/>
  <c r="K56" i="81"/>
  <c r="E56" i="81"/>
  <c r="AN55" i="81"/>
  <c r="M55" i="81" s="1"/>
  <c r="N55" i="81" s="1"/>
  <c r="O55" i="81" s="1"/>
  <c r="Z55" i="81"/>
  <c r="Y55" i="81"/>
  <c r="U55" i="81"/>
  <c r="K55" i="81"/>
  <c r="E55" i="81"/>
  <c r="AN54" i="81"/>
  <c r="M54" i="81" s="1"/>
  <c r="Z54" i="81"/>
  <c r="Y54" i="81"/>
  <c r="U54" i="81"/>
  <c r="K54" i="81"/>
  <c r="AI54" i="81" s="1"/>
  <c r="E54" i="81"/>
  <c r="AN53" i="81"/>
  <c r="M53" i="81" s="1"/>
  <c r="Z53" i="81"/>
  <c r="Y53" i="81"/>
  <c r="U53" i="81"/>
  <c r="K53" i="81"/>
  <c r="E53" i="81"/>
  <c r="AN52" i="81"/>
  <c r="M52" i="81" s="1"/>
  <c r="Z52" i="81"/>
  <c r="Y52" i="81"/>
  <c r="U52" i="81"/>
  <c r="AJ52" i="81" s="1"/>
  <c r="K52" i="81"/>
  <c r="E52" i="81"/>
  <c r="AN51" i="81"/>
  <c r="M51" i="81" s="1"/>
  <c r="N51" i="81" s="1"/>
  <c r="O51" i="81" s="1"/>
  <c r="Z51" i="81"/>
  <c r="Y51" i="81"/>
  <c r="U51" i="81"/>
  <c r="K51" i="81"/>
  <c r="AH51" i="81" s="1"/>
  <c r="E51" i="81"/>
  <c r="AN50" i="81"/>
  <c r="M50" i="81" s="1"/>
  <c r="Z50" i="81"/>
  <c r="Y50" i="81"/>
  <c r="U50" i="81"/>
  <c r="K50" i="81"/>
  <c r="AI50" i="81" s="1"/>
  <c r="E50" i="81"/>
  <c r="AN49" i="81"/>
  <c r="M49" i="81" s="1"/>
  <c r="Z49" i="81"/>
  <c r="Y49" i="81"/>
  <c r="U49" i="81"/>
  <c r="AJ49" i="81" s="1"/>
  <c r="K49" i="81"/>
  <c r="E49" i="81"/>
  <c r="AN48" i="81"/>
  <c r="M48" i="81" s="1"/>
  <c r="Z48" i="81"/>
  <c r="Y48" i="81"/>
  <c r="U48" i="81"/>
  <c r="AD48" i="81" s="1"/>
  <c r="K48" i="81"/>
  <c r="E48" i="81"/>
  <c r="AN47" i="81"/>
  <c r="M47" i="81" s="1"/>
  <c r="Z47" i="81"/>
  <c r="Y47" i="81"/>
  <c r="U47" i="81"/>
  <c r="AD47" i="81" s="1"/>
  <c r="K47" i="81"/>
  <c r="E47" i="81"/>
  <c r="AN46" i="81"/>
  <c r="M46" i="81" s="1"/>
  <c r="O46" i="81" s="1"/>
  <c r="Z46" i="81"/>
  <c r="Y46" i="81"/>
  <c r="U46" i="81"/>
  <c r="K46" i="81"/>
  <c r="AI46" i="81" s="1"/>
  <c r="E46" i="81"/>
  <c r="AN45" i="81"/>
  <c r="M45" i="81" s="1"/>
  <c r="Z45" i="81"/>
  <c r="Y45" i="81"/>
  <c r="U45" i="81"/>
  <c r="K45" i="81"/>
  <c r="E45" i="81"/>
  <c r="AN44" i="81"/>
  <c r="M44" i="81" s="1"/>
  <c r="Z44" i="81"/>
  <c r="Y44" i="81"/>
  <c r="U44" i="81"/>
  <c r="K44" i="81"/>
  <c r="AH44" i="81" s="1"/>
  <c r="E44" i="81"/>
  <c r="AN43" i="81"/>
  <c r="M43" i="81" s="1"/>
  <c r="Z43" i="81"/>
  <c r="Y43" i="81"/>
  <c r="U43" i="81"/>
  <c r="AJ43" i="81" s="1"/>
  <c r="K43" i="81"/>
  <c r="AH43" i="81" s="1"/>
  <c r="E43" i="81"/>
  <c r="AN42" i="81"/>
  <c r="M42" i="81" s="1"/>
  <c r="O42" i="81" s="1"/>
  <c r="AC42" i="81"/>
  <c r="Z42" i="81"/>
  <c r="Y42" i="81"/>
  <c r="U42" i="81"/>
  <c r="K42" i="81"/>
  <c r="AI42" i="81" s="1"/>
  <c r="E42" i="81"/>
  <c r="AN41" i="81"/>
  <c r="M41" i="81" s="1"/>
  <c r="N41" i="81" s="1"/>
  <c r="O41" i="81" s="1"/>
  <c r="AC41" i="81"/>
  <c r="Z41" i="81"/>
  <c r="Y41" i="81"/>
  <c r="U41" i="81"/>
  <c r="AJ41" i="81" s="1"/>
  <c r="K41" i="81"/>
  <c r="E41" i="81"/>
  <c r="AN40" i="81"/>
  <c r="M40" i="81" s="1"/>
  <c r="AC40" i="81"/>
  <c r="Z40" i="81"/>
  <c r="Y40" i="81"/>
  <c r="U40" i="81"/>
  <c r="AJ40" i="81" s="1"/>
  <c r="K40" i="81"/>
  <c r="E40" i="81"/>
  <c r="AN39" i="81"/>
  <c r="M39" i="81" s="1"/>
  <c r="AC39" i="81"/>
  <c r="Z39" i="81"/>
  <c r="Y39" i="81"/>
  <c r="U39" i="81"/>
  <c r="K39" i="81"/>
  <c r="AI39" i="81" s="1"/>
  <c r="E39" i="81"/>
  <c r="AN38" i="81"/>
  <c r="M38" i="81" s="1"/>
  <c r="N38" i="81" s="1"/>
  <c r="AC38" i="81"/>
  <c r="Z38" i="81"/>
  <c r="Y38" i="81"/>
  <c r="U38" i="81"/>
  <c r="K38" i="81"/>
  <c r="AH38" i="81" s="1"/>
  <c r="E38" i="81"/>
  <c r="AN37" i="81"/>
  <c r="M37" i="81" s="1"/>
  <c r="AC37" i="81"/>
  <c r="Z37" i="81"/>
  <c r="Y37" i="81"/>
  <c r="U37" i="81"/>
  <c r="K37" i="81"/>
  <c r="AH37" i="81" s="1"/>
  <c r="E37" i="81"/>
  <c r="AN36" i="81"/>
  <c r="M36" i="81" s="1"/>
  <c r="N36" i="81" s="1"/>
  <c r="O36" i="81" s="1"/>
  <c r="AC36" i="81"/>
  <c r="Z36" i="81"/>
  <c r="Y36" i="81"/>
  <c r="U36" i="81"/>
  <c r="K36" i="81"/>
  <c r="E36" i="81"/>
  <c r="AN35" i="81"/>
  <c r="M35" i="81" s="1"/>
  <c r="AC35" i="81"/>
  <c r="Z35" i="81"/>
  <c r="Y35" i="81"/>
  <c r="U35" i="81"/>
  <c r="K35" i="81"/>
  <c r="E35" i="81"/>
  <c r="AN34" i="81"/>
  <c r="M34" i="81" s="1"/>
  <c r="N34" i="81" s="1"/>
  <c r="Z34" i="81"/>
  <c r="Y34" i="81"/>
  <c r="U34" i="81"/>
  <c r="K34" i="81"/>
  <c r="E34" i="81"/>
  <c r="AN33" i="81"/>
  <c r="M33" i="81" s="1"/>
  <c r="Y33" i="81"/>
  <c r="AE33" i="81" s="1"/>
  <c r="U33" i="81"/>
  <c r="AJ33" i="81" s="1"/>
  <c r="S33" i="81"/>
  <c r="AC33" i="81" s="1"/>
  <c r="K33" i="81"/>
  <c r="AK33" i="81" s="1"/>
  <c r="E33" i="81"/>
  <c r="AN32" i="81"/>
  <c r="M32" i="81" s="1"/>
  <c r="O32" i="81" s="1"/>
  <c r="Y32" i="81"/>
  <c r="AE32" i="81" s="1"/>
  <c r="U32" i="81"/>
  <c r="AD32" i="81" s="1"/>
  <c r="K32" i="81"/>
  <c r="E32" i="81"/>
  <c r="AN31" i="81"/>
  <c r="M31" i="81" s="1"/>
  <c r="O31" i="81" s="1"/>
  <c r="Y31" i="81"/>
  <c r="AA31" i="81" s="1"/>
  <c r="U31" i="81"/>
  <c r="K31" i="81"/>
  <c r="E31" i="81"/>
  <c r="AN30" i="81"/>
  <c r="M30" i="81" s="1"/>
  <c r="Y30" i="81"/>
  <c r="AA30" i="81" s="1"/>
  <c r="U30" i="81"/>
  <c r="K30" i="81"/>
  <c r="E30" i="81"/>
  <c r="AN29" i="81"/>
  <c r="M29" i="81" s="1"/>
  <c r="N29" i="81" s="1"/>
  <c r="O29" i="81" s="1"/>
  <c r="Y29" i="81"/>
  <c r="AA29" i="81" s="1"/>
  <c r="U29" i="81"/>
  <c r="AJ29" i="81" s="1"/>
  <c r="K29" i="81"/>
  <c r="AI29" i="81" s="1"/>
  <c r="E29" i="81"/>
  <c r="AW32" i="81"/>
  <c r="AY32" i="81" s="1"/>
  <c r="BA32" i="81" s="1"/>
  <c r="AN28" i="81"/>
  <c r="M28" i="81" s="1"/>
  <c r="Y28" i="81"/>
  <c r="U28" i="81"/>
  <c r="AD28" i="81" s="1"/>
  <c r="K28" i="81"/>
  <c r="AH28" i="81" s="1"/>
  <c r="E28" i="81"/>
  <c r="AW31" i="81"/>
  <c r="AY31" i="81" s="1"/>
  <c r="BA31" i="81" s="1"/>
  <c r="AN27" i="81"/>
  <c r="M27" i="81" s="1"/>
  <c r="Y27" i="81"/>
  <c r="U27" i="81"/>
  <c r="AJ27" i="81" s="1"/>
  <c r="K27" i="81"/>
  <c r="AI27" i="81" s="1"/>
  <c r="E27" i="81"/>
  <c r="AW30" i="81"/>
  <c r="AY30" i="81" s="1"/>
  <c r="BA30" i="81" s="1"/>
  <c r="AN26" i="81"/>
  <c r="M26" i="81" s="1"/>
  <c r="Z26" i="81"/>
  <c r="Y26" i="81"/>
  <c r="U26" i="81"/>
  <c r="K26" i="81"/>
  <c r="E26" i="81"/>
  <c r="AW29" i="81"/>
  <c r="AY29" i="81" s="1"/>
  <c r="BA29" i="81" s="1"/>
  <c r="AN25" i="81"/>
  <c r="M25" i="81" s="1"/>
  <c r="O25" i="81" s="1"/>
  <c r="S25" i="81" s="1"/>
  <c r="AC25" i="81" s="1"/>
  <c r="Z25" i="81"/>
  <c r="Y25" i="81"/>
  <c r="U25" i="81"/>
  <c r="K25" i="81"/>
  <c r="E25" i="81"/>
  <c r="AW28" i="81"/>
  <c r="AY28" i="81" s="1"/>
  <c r="BA28" i="81" s="1"/>
  <c r="AN24" i="81"/>
  <c r="M24" i="81" s="1"/>
  <c r="Z24" i="81"/>
  <c r="Y24" i="81"/>
  <c r="U24" i="81"/>
  <c r="K24" i="81"/>
  <c r="E24" i="81"/>
  <c r="AW27" i="81"/>
  <c r="AY27" i="81" s="1"/>
  <c r="BA27" i="81" s="1"/>
  <c r="AN23" i="81"/>
  <c r="M23" i="81" s="1"/>
  <c r="N23" i="81" s="1"/>
  <c r="Z23" i="81"/>
  <c r="Y23" i="81"/>
  <c r="U23" i="81"/>
  <c r="K23" i="81"/>
  <c r="E23" i="81"/>
  <c r="AW26" i="81"/>
  <c r="AY26" i="81" s="1"/>
  <c r="BA26" i="81" s="1"/>
  <c r="AN22" i="81"/>
  <c r="M22" i="81" s="1"/>
  <c r="Z22" i="81"/>
  <c r="Y22" i="81"/>
  <c r="U22" i="81"/>
  <c r="AJ22" i="81" s="1"/>
  <c r="K22" i="81"/>
  <c r="E22" i="81"/>
  <c r="AN21" i="81"/>
  <c r="M21" i="81" s="1"/>
  <c r="O21" i="81" s="1"/>
  <c r="Z21" i="81"/>
  <c r="Y21" i="81"/>
  <c r="U21" i="81"/>
  <c r="K21" i="81"/>
  <c r="E21" i="81"/>
  <c r="AN20" i="81"/>
  <c r="M20" i="81" s="1"/>
  <c r="Z20" i="81"/>
  <c r="Y20" i="81"/>
  <c r="U20" i="81"/>
  <c r="AD20" i="81" s="1"/>
  <c r="K20" i="81"/>
  <c r="E20" i="81"/>
  <c r="AN19" i="81"/>
  <c r="M19" i="81" s="1"/>
  <c r="Z19" i="81"/>
  <c r="Y19" i="81"/>
  <c r="U19" i="81"/>
  <c r="K19" i="81"/>
  <c r="E19" i="81"/>
  <c r="AN18" i="81"/>
  <c r="M18" i="81" s="1"/>
  <c r="O18" i="81" s="1"/>
  <c r="S18" i="81" s="1"/>
  <c r="AC18" i="81" s="1"/>
  <c r="Z18" i="81"/>
  <c r="Y18" i="81"/>
  <c r="U18" i="81"/>
  <c r="K18" i="81"/>
  <c r="AH18" i="81" s="1"/>
  <c r="E18" i="81"/>
  <c r="AN17" i="81"/>
  <c r="M17" i="81" s="1"/>
  <c r="Y17" i="81"/>
  <c r="AE17" i="81" s="1"/>
  <c r="U17" i="81"/>
  <c r="AD17" i="81" s="1"/>
  <c r="K17" i="81"/>
  <c r="E17" i="81"/>
  <c r="AN16" i="81"/>
  <c r="M16" i="81" s="1"/>
  <c r="O16" i="81" s="1"/>
  <c r="Z16" i="81"/>
  <c r="Y16" i="81"/>
  <c r="U16" i="81"/>
  <c r="AD16" i="81" s="1"/>
  <c r="K16" i="81"/>
  <c r="E16" i="81"/>
  <c r="AN15" i="81"/>
  <c r="Y15" i="81"/>
  <c r="AE15" i="81" s="1"/>
  <c r="U15" i="81"/>
  <c r="N15" i="81"/>
  <c r="O15" i="81" s="1"/>
  <c r="S15" i="81" s="1"/>
  <c r="AC15" i="81" s="1"/>
  <c r="K15" i="81"/>
  <c r="AK15" i="81" s="1"/>
  <c r="E15" i="81"/>
  <c r="AN14" i="81"/>
  <c r="M14" i="81" s="1"/>
  <c r="Z14" i="81"/>
  <c r="Y14" i="81"/>
  <c r="U14" i="81"/>
  <c r="AD14" i="81" s="1"/>
  <c r="K14" i="81"/>
  <c r="E14" i="81"/>
  <c r="BB17" i="81"/>
  <c r="AW17" i="81"/>
  <c r="AN13" i="81"/>
  <c r="M13" i="81" s="1"/>
  <c r="Z13" i="81"/>
  <c r="Y13" i="81"/>
  <c r="U13" i="81"/>
  <c r="K13" i="81"/>
  <c r="E13" i="81"/>
  <c r="BB16" i="81"/>
  <c r="AW16" i="81"/>
  <c r="AN12" i="81"/>
  <c r="M12" i="81" s="1"/>
  <c r="Z12" i="81"/>
  <c r="Y12" i="81"/>
  <c r="U12" i="81"/>
  <c r="K12" i="81"/>
  <c r="E12" i="81"/>
  <c r="BB15" i="81"/>
  <c r="AW15" i="81"/>
  <c r="AN11" i="81"/>
  <c r="M11" i="81" s="1"/>
  <c r="N11" i="81" s="1"/>
  <c r="Z11" i="81"/>
  <c r="Y11" i="81"/>
  <c r="U11" i="81"/>
  <c r="AD11" i="81" s="1"/>
  <c r="K11" i="81"/>
  <c r="AH11" i="81" s="1"/>
  <c r="E11" i="81"/>
  <c r="BB14" i="81"/>
  <c r="AW14" i="81"/>
  <c r="AN10" i="81"/>
  <c r="M10" i="81" s="1"/>
  <c r="Z10" i="81"/>
  <c r="Y10" i="81"/>
  <c r="U10" i="81"/>
  <c r="AJ10" i="81" s="1"/>
  <c r="K10" i="81"/>
  <c r="AI10" i="81" s="1"/>
  <c r="E10" i="81"/>
  <c r="BB13" i="81"/>
  <c r="AW13" i="81"/>
  <c r="BB12" i="81"/>
  <c r="AW12" i="81"/>
  <c r="AN9" i="81"/>
  <c r="M9" i="81" s="1"/>
  <c r="Z9" i="81"/>
  <c r="Y9" i="81"/>
  <c r="U9" i="81"/>
  <c r="AD9" i="81" s="1"/>
  <c r="K9" i="81"/>
  <c r="AI9" i="81" s="1"/>
  <c r="E9" i="81"/>
  <c r="BB11" i="81"/>
  <c r="AW11" i="81"/>
  <c r="AN8" i="81"/>
  <c r="M8" i="81" s="1"/>
  <c r="Z8" i="81"/>
  <c r="Y8" i="81"/>
  <c r="U8" i="81"/>
  <c r="AD8" i="81" s="1"/>
  <c r="K8" i="81"/>
  <c r="E8" i="81"/>
  <c r="AN7" i="81"/>
  <c r="M7" i="81" s="1"/>
  <c r="Z7" i="81"/>
  <c r="Y7" i="81"/>
  <c r="U7" i="81"/>
  <c r="AJ7" i="81" s="1"/>
  <c r="K7" i="81"/>
  <c r="E7" i="81"/>
  <c r="AN6" i="81"/>
  <c r="M6" i="81" s="1"/>
  <c r="N6" i="81" s="1"/>
  <c r="O6" i="81" s="1"/>
  <c r="Y6" i="81"/>
  <c r="AA6" i="81" s="1"/>
  <c r="U6" i="81"/>
  <c r="AJ6" i="81" s="1"/>
  <c r="K6" i="81"/>
  <c r="E6" i="81"/>
  <c r="AN5" i="81"/>
  <c r="Z5" i="81"/>
  <c r="AE5" i="81" s="1"/>
  <c r="U5" i="81"/>
  <c r="AJ5" i="81" s="1"/>
  <c r="S5" i="81"/>
  <c r="AC5" i="81" s="1"/>
  <c r="K5" i="81"/>
  <c r="AI5" i="81" s="1"/>
  <c r="E5" i="81"/>
  <c r="I2" i="81"/>
  <c r="E18" i="77"/>
  <c r="AA46" i="81" l="1"/>
  <c r="AE48" i="81"/>
  <c r="AE35" i="81"/>
  <c r="AE55" i="81"/>
  <c r="AE69" i="81"/>
  <c r="AE58" i="81"/>
  <c r="AK66" i="81"/>
  <c r="AA20" i="81"/>
  <c r="AJ20" i="81"/>
  <c r="AK5" i="81"/>
  <c r="AI18" i="81"/>
  <c r="AD49" i="81"/>
  <c r="O65" i="81"/>
  <c r="AK65" i="81" s="1"/>
  <c r="AH66" i="81"/>
  <c r="AI66" i="81"/>
  <c r="AK18" i="81"/>
  <c r="AF41" i="81"/>
  <c r="AI51" i="81"/>
  <c r="O38" i="81"/>
  <c r="AA40" i="81"/>
  <c r="AJ32" i="81"/>
  <c r="AE39" i="81"/>
  <c r="AH46" i="81"/>
  <c r="AI37" i="81"/>
  <c r="AH39" i="81"/>
  <c r="AD59" i="81"/>
  <c r="AH10" i="81"/>
  <c r="AE63" i="81"/>
  <c r="AE7" i="81"/>
  <c r="AA49" i="81"/>
  <c r="AJ42" i="81"/>
  <c r="AD42" i="81"/>
  <c r="AE6" i="81"/>
  <c r="AE52" i="81"/>
  <c r="AF42" i="81"/>
  <c r="AK32" i="81"/>
  <c r="AH5" i="81"/>
  <c r="AI11" i="81"/>
  <c r="AA69" i="81"/>
  <c r="AE10" i="81"/>
  <c r="AD41" i="81"/>
  <c r="AD43" i="81"/>
  <c r="AJ16" i="81"/>
  <c r="AH27" i="81"/>
  <c r="AD29" i="81"/>
  <c r="AI43" i="81"/>
  <c r="AJ63" i="81"/>
  <c r="AD65" i="81"/>
  <c r="AE29" i="81"/>
  <c r="AH54" i="81"/>
  <c r="AH65" i="81"/>
  <c r="AE12" i="81"/>
  <c r="AA14" i="81"/>
  <c r="AA36" i="81"/>
  <c r="AB36" i="81" s="1"/>
  <c r="AM36" i="81" s="1"/>
  <c r="AE38" i="81"/>
  <c r="AA52" i="81"/>
  <c r="AA18" i="81"/>
  <c r="AB18" i="81" s="1"/>
  <c r="AM18" i="81" s="1"/>
  <c r="AE45" i="81"/>
  <c r="AA63" i="81"/>
  <c r="AD40" i="81"/>
  <c r="AE42" i="81"/>
  <c r="AA48" i="81"/>
  <c r="AH50" i="81"/>
  <c r="AI59" i="81"/>
  <c r="AA7" i="81"/>
  <c r="AE40" i="81"/>
  <c r="AJ48" i="81"/>
  <c r="AA64" i="81"/>
  <c r="AA35" i="81"/>
  <c r="AA43" i="81"/>
  <c r="AE49" i="81"/>
  <c r="AD27" i="81"/>
  <c r="AD57" i="81"/>
  <c r="O68" i="81"/>
  <c r="AD7" i="81"/>
  <c r="AH42" i="81"/>
  <c r="AA44" i="81"/>
  <c r="AE64" i="81"/>
  <c r="AH9" i="81"/>
  <c r="AJ64" i="81"/>
  <c r="AJ9" i="81"/>
  <c r="AJ11" i="81"/>
  <c r="AE30" i="81"/>
  <c r="AE37" i="81"/>
  <c r="AI44" i="81"/>
  <c r="N28" i="81"/>
  <c r="O28" i="81" s="1"/>
  <c r="AA32" i="81"/>
  <c r="AI36" i="81"/>
  <c r="AH36" i="81"/>
  <c r="AI62" i="81"/>
  <c r="AH62" i="81"/>
  <c r="AI6" i="81"/>
  <c r="AH6" i="81"/>
  <c r="AI34" i="81"/>
  <c r="AH34" i="81"/>
  <c r="AE22" i="81"/>
  <c r="AD22" i="81"/>
  <c r="AI28" i="81"/>
  <c r="AJ62" i="81"/>
  <c r="AD62" i="81"/>
  <c r="AI67" i="81"/>
  <c r="AH67" i="81"/>
  <c r="AE20" i="81"/>
  <c r="AJ28" i="81"/>
  <c r="AI58" i="81"/>
  <c r="AH58" i="81"/>
  <c r="AJ70" i="81"/>
  <c r="AI25" i="81"/>
  <c r="AH25" i="81"/>
  <c r="AI38" i="81"/>
  <c r="AJ45" i="81"/>
  <c r="AD45" i="81"/>
  <c r="AD51" i="81"/>
  <c r="AJ51" i="81"/>
  <c r="AA11" i="81"/>
  <c r="AE11" i="81"/>
  <c r="AA51" i="81"/>
  <c r="S46" i="81"/>
  <c r="AC46" i="81" s="1"/>
  <c r="AE65" i="81"/>
  <c r="AA27" i="81"/>
  <c r="AE27" i="81"/>
  <c r="AJ56" i="81"/>
  <c r="AD56" i="81"/>
  <c r="AH8" i="81"/>
  <c r="AI8" i="81"/>
  <c r="AJ19" i="81"/>
  <c r="AD19" i="81"/>
  <c r="AJ21" i="81"/>
  <c r="AD21" i="81"/>
  <c r="AE56" i="81"/>
  <c r="AA56" i="81"/>
  <c r="AI69" i="81"/>
  <c r="AH69" i="81"/>
  <c r="AA17" i="81"/>
  <c r="AK41" i="81"/>
  <c r="AI41" i="81"/>
  <c r="AH41" i="81"/>
  <c r="N44" i="81"/>
  <c r="O44" i="81" s="1"/>
  <c r="AA8" i="81"/>
  <c r="AE8" i="81"/>
  <c r="AD13" i="81"/>
  <c r="AJ13" i="81"/>
  <c r="AD15" i="81"/>
  <c r="AJ15" i="81"/>
  <c r="AJ17" i="81"/>
  <c r="AK42" i="81"/>
  <c r="AK46" i="81"/>
  <c r="AD61" i="81"/>
  <c r="AJ61" i="81"/>
  <c r="AJ8" i="81"/>
  <c r="N37" i="81"/>
  <c r="O37" i="81" s="1"/>
  <c r="AF37" i="81" s="1"/>
  <c r="AI57" i="81"/>
  <c r="AH57" i="81"/>
  <c r="AE59" i="81"/>
  <c r="AE66" i="81"/>
  <c r="AE21" i="81"/>
  <c r="AM29" i="81"/>
  <c r="AH29" i="81"/>
  <c r="AI33" i="81"/>
  <c r="AH33" i="81"/>
  <c r="AE34" i="81"/>
  <c r="AA34" i="81"/>
  <c r="AD38" i="81"/>
  <c r="AJ38" i="81"/>
  <c r="AI40" i="81"/>
  <c r="AH40" i="81"/>
  <c r="AI68" i="81"/>
  <c r="AH68" i="81"/>
  <c r="O34" i="81"/>
  <c r="AE36" i="81"/>
  <c r="AA12" i="81"/>
  <c r="AA33" i="81"/>
  <c r="AB33" i="81" s="1"/>
  <c r="AM33" i="81" s="1"/>
  <c r="AA45" i="81"/>
  <c r="AI49" i="81"/>
  <c r="AH49" i="81"/>
  <c r="AH70" i="81"/>
  <c r="AI21" i="81"/>
  <c r="AH21" i="81"/>
  <c r="AA16" i="81"/>
  <c r="AE16" i="81"/>
  <c r="AK21" i="81"/>
  <c r="AE25" i="81"/>
  <c r="AE57" i="81"/>
  <c r="AA10" i="81"/>
  <c r="AA39" i="81"/>
  <c r="N8" i="81"/>
  <c r="O8" i="81" s="1"/>
  <c r="S69" i="81"/>
  <c r="AC69" i="81" s="1"/>
  <c r="AK69" i="81"/>
  <c r="AF69" i="81"/>
  <c r="AF16" i="81"/>
  <c r="AK16" i="81"/>
  <c r="S16" i="81"/>
  <c r="AC16" i="81" s="1"/>
  <c r="AF36" i="81"/>
  <c r="AK36" i="81"/>
  <c r="N20" i="81"/>
  <c r="O20" i="81" s="1"/>
  <c r="AK20" i="81" s="1"/>
  <c r="N30" i="81"/>
  <c r="O30" i="81" s="1"/>
  <c r="AA42" i="81"/>
  <c r="AB42" i="81" s="1"/>
  <c r="AM42" i="81" s="1"/>
  <c r="AI53" i="81"/>
  <c r="AH53" i="81"/>
  <c r="AF55" i="81"/>
  <c r="S55" i="81"/>
  <c r="AC55" i="81" s="1"/>
  <c r="N67" i="81"/>
  <c r="O67" i="81" s="1"/>
  <c r="AD26" i="81"/>
  <c r="AJ26" i="81"/>
  <c r="N27" i="81"/>
  <c r="O27" i="81" s="1"/>
  <c r="AH19" i="81"/>
  <c r="AI19" i="81"/>
  <c r="AF29" i="81"/>
  <c r="S29" i="81"/>
  <c r="AC29" i="81" s="1"/>
  <c r="AD50" i="81"/>
  <c r="AJ50" i="81"/>
  <c r="AI56" i="81"/>
  <c r="AH56" i="81"/>
  <c r="AA25" i="81"/>
  <c r="AB25" i="81" s="1"/>
  <c r="AM25" i="81" s="1"/>
  <c r="AD39" i="81"/>
  <c r="AJ39" i="81"/>
  <c r="AW25" i="81"/>
  <c r="AY25" i="81" s="1"/>
  <c r="BA25" i="81" s="1"/>
  <c r="AW10" i="81"/>
  <c r="AX10" i="81" s="1" a="1"/>
  <c r="AX10" i="81" s="1"/>
  <c r="AI7" i="81"/>
  <c r="AH7" i="81"/>
  <c r="N12" i="81"/>
  <c r="O12" i="81" s="1"/>
  <c r="AJ36" i="81"/>
  <c r="AD36" i="81"/>
  <c r="AX17" i="81" a="1"/>
  <c r="AX17" i="81" s="1"/>
  <c r="AX16" i="81" a="1"/>
  <c r="AX16" i="81" s="1"/>
  <c r="AX13" i="81" a="1"/>
  <c r="AX13" i="81" s="1"/>
  <c r="K2" i="81"/>
  <c r="AX12" i="81" a="1"/>
  <c r="AX12" i="81" s="1"/>
  <c r="N7" i="81"/>
  <c r="O7" i="81" s="1"/>
  <c r="N47" i="81"/>
  <c r="O47" i="81" s="1"/>
  <c r="AK47" i="81" s="1"/>
  <c r="N64" i="81"/>
  <c r="O64" i="81" s="1"/>
  <c r="N52" i="81"/>
  <c r="O52" i="81" s="1"/>
  <c r="AK6" i="81"/>
  <c r="S6" i="81"/>
  <c r="AC6" i="81" s="1"/>
  <c r="AA21" i="81"/>
  <c r="AE51" i="81"/>
  <c r="AA58" i="81"/>
  <c r="AE41" i="81"/>
  <c r="AA41" i="81"/>
  <c r="AB41" i="81" s="1"/>
  <c r="AM41" i="81" s="1"/>
  <c r="AF6" i="81"/>
  <c r="AJ25" i="81"/>
  <c r="AD25" i="81"/>
  <c r="AF25" i="81"/>
  <c r="AJ37" i="81"/>
  <c r="AD37" i="81"/>
  <c r="AH13" i="81"/>
  <c r="AI13" i="81"/>
  <c r="AD66" i="81"/>
  <c r="AJ66" i="81"/>
  <c r="AF66" i="81"/>
  <c r="AI12" i="81"/>
  <c r="AH12" i="81"/>
  <c r="AA37" i="81"/>
  <c r="AJ44" i="81"/>
  <c r="AD44" i="81"/>
  <c r="N49" i="81"/>
  <c r="O49" i="81" s="1"/>
  <c r="AA66" i="81"/>
  <c r="AB66" i="81" s="1"/>
  <c r="AM66" i="81" s="1"/>
  <c r="N14" i="81"/>
  <c r="O14" i="81" s="1"/>
  <c r="AD31" i="81"/>
  <c r="AJ31" i="81"/>
  <c r="AI64" i="81"/>
  <c r="AH64" i="81"/>
  <c r="AA22" i="81"/>
  <c r="AJ12" i="81"/>
  <c r="AD12" i="81"/>
  <c r="AI24" i="81"/>
  <c r="AH24" i="81"/>
  <c r="AE31" i="81"/>
  <c r="AH35" i="81"/>
  <c r="AI35" i="81"/>
  <c r="AA70" i="81"/>
  <c r="AE70" i="81"/>
  <c r="AI20" i="81"/>
  <c r="AH20" i="81"/>
  <c r="AA24" i="81"/>
  <c r="AE24" i="81"/>
  <c r="AI30" i="81"/>
  <c r="AH30" i="81"/>
  <c r="N61" i="81"/>
  <c r="O61" i="81" s="1"/>
  <c r="AX14" i="81" a="1"/>
  <c r="AX14" i="81" s="1"/>
  <c r="AE26" i="81"/>
  <c r="AA26" i="81"/>
  <c r="AX11" i="81" a="1"/>
  <c r="AX11" i="81" s="1"/>
  <c r="AE50" i="81"/>
  <c r="AA50" i="81"/>
  <c r="N19" i="81"/>
  <c r="O19" i="81" s="1"/>
  <c r="N48" i="81"/>
  <c r="O48" i="81" s="1"/>
  <c r="N17" i="81"/>
  <c r="O17" i="81" s="1"/>
  <c r="AA57" i="81"/>
  <c r="AF58" i="81"/>
  <c r="S58" i="81"/>
  <c r="AW8" i="81"/>
  <c r="N13" i="81"/>
  <c r="O13" i="81" s="1"/>
  <c r="AJ54" i="81"/>
  <c r="AD54" i="81"/>
  <c r="N56" i="81"/>
  <c r="O56" i="81" s="1"/>
  <c r="S31" i="81"/>
  <c r="AC31" i="81" s="1"/>
  <c r="AE54" i="81"/>
  <c r="AA54" i="81"/>
  <c r="AA65" i="81"/>
  <c r="AA9" i="81"/>
  <c r="AE9" i="81"/>
  <c r="AD24" i="81"/>
  <c r="AJ24" i="81"/>
  <c r="AF31" i="81"/>
  <c r="N35" i="81"/>
  <c r="O35" i="81" s="1"/>
  <c r="AI48" i="81"/>
  <c r="AH48" i="81"/>
  <c r="S51" i="81"/>
  <c r="AC51" i="81" s="1"/>
  <c r="AF51" i="81"/>
  <c r="AK51" i="81"/>
  <c r="AH61" i="81"/>
  <c r="AI61" i="81"/>
  <c r="N22" i="81"/>
  <c r="O22" i="81" s="1"/>
  <c r="AD30" i="81"/>
  <c r="AJ30" i="81"/>
  <c r="AD35" i="81"/>
  <c r="AJ35" i="81"/>
  <c r="AI55" i="81"/>
  <c r="AH55" i="81"/>
  <c r="AK55" i="81"/>
  <c r="AJ18" i="81"/>
  <c r="AF18" i="81"/>
  <c r="AD18" i="81"/>
  <c r="S32" i="81"/>
  <c r="AF32" i="81"/>
  <c r="N63" i="81"/>
  <c r="O63" i="81" s="1"/>
  <c r="AA5" i="81"/>
  <c r="AB5" i="81" s="1"/>
  <c r="AM5" i="81" s="1"/>
  <c r="AA15" i="81"/>
  <c r="AB15" i="81" s="1"/>
  <c r="AM15" i="81" s="1"/>
  <c r="AE18" i="81"/>
  <c r="AE19" i="81"/>
  <c r="AA19" i="81"/>
  <c r="AD60" i="81"/>
  <c r="AJ60" i="81"/>
  <c r="AJ34" i="81"/>
  <c r="AD34" i="81"/>
  <c r="AI47" i="81"/>
  <c r="AH47" i="81"/>
  <c r="S59" i="81"/>
  <c r="AF59" i="81"/>
  <c r="AK59" i="81"/>
  <c r="AJ68" i="81"/>
  <c r="AD68" i="81"/>
  <c r="AD5" i="81"/>
  <c r="N9" i="81"/>
  <c r="O9" i="81" s="1"/>
  <c r="AI17" i="81"/>
  <c r="AH17" i="81"/>
  <c r="AE44" i="81"/>
  <c r="N62" i="81"/>
  <c r="O62" i="81" s="1"/>
  <c r="AK62" i="81" s="1"/>
  <c r="AF5" i="81"/>
  <c r="AD10" i="81"/>
  <c r="AW23" i="81"/>
  <c r="AY23" i="81" s="1"/>
  <c r="BA23" i="81" s="1"/>
  <c r="AH22" i="81"/>
  <c r="AI22" i="81"/>
  <c r="AJ23" i="81"/>
  <c r="AD23" i="81"/>
  <c r="N26" i="81"/>
  <c r="O26" i="81" s="1"/>
  <c r="O11" i="81"/>
  <c r="AE14" i="81"/>
  <c r="AA23" i="81"/>
  <c r="AE23" i="81"/>
  <c r="N54" i="81"/>
  <c r="O54" i="81" s="1"/>
  <c r="O23" i="81"/>
  <c r="AH26" i="81"/>
  <c r="AI26" i="81"/>
  <c r="N53" i="81"/>
  <c r="O53" i="81" s="1"/>
  <c r="AA60" i="81"/>
  <c r="AE60" i="81"/>
  <c r="AX15" i="81" a="1"/>
  <c r="AX15" i="81" s="1"/>
  <c r="AK31" i="81"/>
  <c r="AI31" i="81"/>
  <c r="AH31" i="81"/>
  <c r="AD55" i="81"/>
  <c r="AJ55" i="81"/>
  <c r="AD6" i="81"/>
  <c r="AJ14" i="81"/>
  <c r="AH16" i="81"/>
  <c r="AI16" i="81"/>
  <c r="AA38" i="81"/>
  <c r="N40" i="81"/>
  <c r="O40" i="81" s="1"/>
  <c r="AD52" i="81"/>
  <c r="AD58" i="81"/>
  <c r="AJ58" i="81"/>
  <c r="AA59" i="81"/>
  <c r="N60" i="81"/>
  <c r="O60" i="81" s="1"/>
  <c r="AA62" i="81"/>
  <c r="AE62" i="81"/>
  <c r="N39" i="81"/>
  <c r="O39" i="81" s="1"/>
  <c r="AI45" i="81"/>
  <c r="AH45" i="81"/>
  <c r="AA61" i="81"/>
  <c r="AE61" i="81"/>
  <c r="AJ69" i="81"/>
  <c r="AD69" i="81"/>
  <c r="AF15" i="81"/>
  <c r="AE28" i="81"/>
  <c r="AA28" i="81"/>
  <c r="N50" i="81"/>
  <c r="O50" i="81" s="1"/>
  <c r="AJ53" i="81"/>
  <c r="AD53" i="81"/>
  <c r="AI32" i="81"/>
  <c r="AH32" i="81"/>
  <c r="AW24" i="81"/>
  <c r="AY24" i="81" s="1"/>
  <c r="BA24" i="81" s="1"/>
  <c r="AW9" i="81"/>
  <c r="AX9" i="81" s="1" a="1"/>
  <c r="AX9" i="81" s="1"/>
  <c r="AI15" i="81"/>
  <c r="AH15" i="81"/>
  <c r="AF33" i="81"/>
  <c r="AD33" i="81"/>
  <c r="AH52" i="81"/>
  <c r="AI52" i="81"/>
  <c r="AH60" i="81"/>
  <c r="AI60" i="81"/>
  <c r="AA13" i="81"/>
  <c r="AE13" i="81"/>
  <c r="AI14" i="81"/>
  <c r="AH14" i="81"/>
  <c r="AJ47" i="81"/>
  <c r="AA53" i="81"/>
  <c r="AE53" i="81"/>
  <c r="AD67" i="81"/>
  <c r="AF21" i="81"/>
  <c r="S21" i="81"/>
  <c r="N24" i="81"/>
  <c r="O24" i="81" s="1"/>
  <c r="AK24" i="81" s="1"/>
  <c r="AJ46" i="81"/>
  <c r="AF46" i="81"/>
  <c r="AD46" i="81"/>
  <c r="AE47" i="81"/>
  <c r="AA47" i="81"/>
  <c r="N45" i="81"/>
  <c r="O45" i="81" s="1"/>
  <c r="AE46" i="81"/>
  <c r="AI23" i="81"/>
  <c r="AH23" i="81"/>
  <c r="AE43" i="81"/>
  <c r="AI63" i="81"/>
  <c r="AH63" i="81"/>
  <c r="N70" i="81"/>
  <c r="O70" i="81" s="1"/>
  <c r="N10" i="81"/>
  <c r="O10" i="81" s="1"/>
  <c r="AA55" i="81"/>
  <c r="O57" i="81"/>
  <c r="AK58" i="81"/>
  <c r="N43" i="81"/>
  <c r="O43" i="81" s="1"/>
  <c r="AK25" i="81"/>
  <c r="AK29" i="81"/>
  <c r="N14" i="1" l="1"/>
  <c r="AB38" i="81"/>
  <c r="AM38" i="81" s="1"/>
  <c r="AK38" i="81"/>
  <c r="AF38" i="81"/>
  <c r="AG38" i="81" s="1"/>
  <c r="S68" i="81"/>
  <c r="AF68" i="81"/>
  <c r="AK68" i="81"/>
  <c r="S65" i="81"/>
  <c r="AC65" i="81" s="1"/>
  <c r="AF65" i="81"/>
  <c r="AG15" i="81"/>
  <c r="AG41" i="81"/>
  <c r="AG42" i="81"/>
  <c r="AG18" i="81"/>
  <c r="AF28" i="81"/>
  <c r="AK28" i="81"/>
  <c r="S28" i="81"/>
  <c r="AC28" i="81" s="1"/>
  <c r="BA21" i="81"/>
  <c r="AG29" i="81"/>
  <c r="AG25" i="81"/>
  <c r="AK37" i="81"/>
  <c r="AG33" i="81"/>
  <c r="AG5" i="81"/>
  <c r="S44" i="81"/>
  <c r="AF44" i="81"/>
  <c r="AK44" i="81"/>
  <c r="AB37" i="81"/>
  <c r="AM37" i="81" s="1"/>
  <c r="AG55" i="81"/>
  <c r="AB51" i="81"/>
  <c r="AM51" i="81" s="1"/>
  <c r="AK34" i="81"/>
  <c r="AF34" i="81"/>
  <c r="S34" i="81"/>
  <c r="AB46" i="81"/>
  <c r="AM46" i="81" s="1"/>
  <c r="AG37" i="81"/>
  <c r="AG36" i="81"/>
  <c r="AG46" i="81"/>
  <c r="AB31" i="81"/>
  <c r="AM31" i="81" s="1"/>
  <c r="AG66" i="81"/>
  <c r="AG16" i="81"/>
  <c r="AF14" i="81"/>
  <c r="S14" i="81"/>
  <c r="AC14" i="81" s="1"/>
  <c r="AK14" i="81"/>
  <c r="S7" i="81"/>
  <c r="AF7" i="81"/>
  <c r="AK7" i="81"/>
  <c r="AF22" i="81"/>
  <c r="S22" i="81"/>
  <c r="AC22" i="81" s="1"/>
  <c r="AK22" i="81"/>
  <c r="S17" i="81"/>
  <c r="AC17" i="81" s="1"/>
  <c r="AF17" i="81"/>
  <c r="AK17" i="81"/>
  <c r="AF10" i="81"/>
  <c r="S10" i="81"/>
  <c r="AC10" i="81" s="1"/>
  <c r="AK10" i="81"/>
  <c r="S43" i="81"/>
  <c r="AC43" i="81" s="1"/>
  <c r="AF43" i="81"/>
  <c r="AK43" i="81"/>
  <c r="AF26" i="81"/>
  <c r="S26" i="81"/>
  <c r="AC26" i="81" s="1"/>
  <c r="AK26" i="81"/>
  <c r="AF9" i="81"/>
  <c r="AK9" i="81"/>
  <c r="S9" i="81"/>
  <c r="AF63" i="81"/>
  <c r="S63" i="81"/>
  <c r="AC63" i="81" s="1"/>
  <c r="AK63" i="81"/>
  <c r="S49" i="81"/>
  <c r="AC49" i="81" s="1"/>
  <c r="AF49" i="81"/>
  <c r="AK49" i="81"/>
  <c r="AF48" i="81"/>
  <c r="S48" i="81"/>
  <c r="AC48" i="81" s="1"/>
  <c r="AK48" i="81"/>
  <c r="AF19" i="81"/>
  <c r="S19" i="81"/>
  <c r="AC19" i="81" s="1"/>
  <c r="AK19" i="81"/>
  <c r="S64" i="81"/>
  <c r="AC64" i="81" s="1"/>
  <c r="AF64" i="81"/>
  <c r="AK64" i="81"/>
  <c r="AB35" i="81"/>
  <c r="AM35" i="81" s="1"/>
  <c r="AF35" i="81"/>
  <c r="AG35" i="81" s="1"/>
  <c r="AK35" i="81"/>
  <c r="AF52" i="81"/>
  <c r="S52" i="81"/>
  <c r="AC52" i="81" s="1"/>
  <c r="AK52" i="81"/>
  <c r="S56" i="81"/>
  <c r="AC56" i="81" s="1"/>
  <c r="AF56" i="81"/>
  <c r="AK56" i="81"/>
  <c r="S50" i="81"/>
  <c r="AC50" i="81" s="1"/>
  <c r="AF50" i="81"/>
  <c r="AK50" i="81"/>
  <c r="AF54" i="81"/>
  <c r="S54" i="81"/>
  <c r="AC54" i="81" s="1"/>
  <c r="AK54" i="81"/>
  <c r="AF13" i="81"/>
  <c r="S13" i="81"/>
  <c r="AC13" i="81" s="1"/>
  <c r="AK13" i="81"/>
  <c r="AF27" i="81"/>
  <c r="S27" i="81"/>
  <c r="AC27" i="81" s="1"/>
  <c r="AK27" i="81"/>
  <c r="S53" i="81"/>
  <c r="AC53" i="81" s="1"/>
  <c r="AF53" i="81"/>
  <c r="AK53" i="81"/>
  <c r="AF67" i="81"/>
  <c r="S67" i="81"/>
  <c r="AC67" i="81" s="1"/>
  <c r="AK67" i="81"/>
  <c r="AF60" i="81"/>
  <c r="S60" i="81"/>
  <c r="AC60" i="81" s="1"/>
  <c r="AK60" i="81"/>
  <c r="AF30" i="81"/>
  <c r="S30" i="81"/>
  <c r="AC30" i="81" s="1"/>
  <c r="AK30" i="81"/>
  <c r="AB39" i="81"/>
  <c r="AM39" i="81" s="1"/>
  <c r="AF39" i="81"/>
  <c r="AG39" i="81" s="1"/>
  <c r="AK39" i="81"/>
  <c r="S61" i="81"/>
  <c r="AC61" i="81" s="1"/>
  <c r="AF61" i="81"/>
  <c r="AK61" i="81"/>
  <c r="S8" i="81"/>
  <c r="AC8" i="81" s="1"/>
  <c r="AF8" i="81"/>
  <c r="AK8" i="81"/>
  <c r="BA15" i="81"/>
  <c r="S57" i="81"/>
  <c r="AC57" i="81" s="1"/>
  <c r="AF57" i="81"/>
  <c r="AK57" i="81"/>
  <c r="BA12" i="81"/>
  <c r="AJ3" i="81"/>
  <c r="L38" i="12" s="1"/>
  <c r="L2" i="81"/>
  <c r="S45" i="81"/>
  <c r="AC45" i="81" s="1"/>
  <c r="AK45" i="81"/>
  <c r="AF45" i="81"/>
  <c r="BA11" i="81"/>
  <c r="AB6" i="81"/>
  <c r="AM6" i="81" s="1"/>
  <c r="BA17" i="81"/>
  <c r="AB69" i="81"/>
  <c r="AM69" i="81" s="1"/>
  <c r="AC21" i="81"/>
  <c r="AG21" i="81" s="1"/>
  <c r="AB21" i="81"/>
  <c r="AM21" i="81" s="1"/>
  <c r="Q2" i="81"/>
  <c r="G2" i="81" s="1"/>
  <c r="AZ15" i="81" a="1"/>
  <c r="AZ15" i="81" s="1"/>
  <c r="AY15" i="81" s="1"/>
  <c r="AZ16" i="81" a="1"/>
  <c r="AZ16" i="81" s="1"/>
  <c r="AY16" i="81" s="1"/>
  <c r="AH3" i="81"/>
  <c r="E2" i="81" s="1"/>
  <c r="AZ12" i="81" a="1"/>
  <c r="AZ12" i="81" s="1"/>
  <c r="AY12" i="81" s="1"/>
  <c r="AZ11" i="81" a="1"/>
  <c r="AZ11" i="81" s="1"/>
  <c r="AY11" i="81" s="1"/>
  <c r="P2" i="81"/>
  <c r="AZ13" i="81" a="1"/>
  <c r="AZ13" i="81" s="1"/>
  <c r="AY13" i="81" s="1"/>
  <c r="R2" i="81"/>
  <c r="AZ14" i="81" a="1"/>
  <c r="AZ14" i="81" s="1"/>
  <c r="AY14" i="81" s="1"/>
  <c r="AZ17" i="81" a="1"/>
  <c r="AZ17" i="81" s="1"/>
  <c r="AY17" i="81" s="1"/>
  <c r="BA9" i="81"/>
  <c r="AB40" i="81"/>
  <c r="AM40" i="81" s="1"/>
  <c r="AF40" i="81"/>
  <c r="AG40" i="81" s="1"/>
  <c r="S20" i="81"/>
  <c r="AC20" i="81" s="1"/>
  <c r="AF20" i="81"/>
  <c r="AB59" i="81"/>
  <c r="AM59" i="81" s="1"/>
  <c r="AC59" i="81"/>
  <c r="AG59" i="81" s="1"/>
  <c r="AF12" i="81"/>
  <c r="S12" i="81"/>
  <c r="AC12" i="81" s="1"/>
  <c r="AI3" i="81"/>
  <c r="E1" i="81" s="1"/>
  <c r="AB55" i="81"/>
  <c r="AM55" i="81" s="1"/>
  <c r="AB16" i="81"/>
  <c r="AM16" i="81" s="1"/>
  <c r="AG6" i="81"/>
  <c r="AG51" i="81"/>
  <c r="BA14" i="81"/>
  <c r="BB8" i="81"/>
  <c r="AZ8" i="81" a="1"/>
  <c r="AZ8" i="81" s="1"/>
  <c r="S23" i="81"/>
  <c r="AC23" i="81" s="1"/>
  <c r="AF23" i="81"/>
  <c r="AK23" i="81"/>
  <c r="S11" i="81"/>
  <c r="AC11" i="81" s="1"/>
  <c r="AK11" i="81"/>
  <c r="AF11" i="81"/>
  <c r="AB32" i="81"/>
  <c r="AM32" i="81" s="1"/>
  <c r="AC32" i="81"/>
  <c r="AG32" i="81" s="1"/>
  <c r="AG31" i="81"/>
  <c r="BA10" i="81"/>
  <c r="AC58" i="81"/>
  <c r="AG58" i="81" s="1"/>
  <c r="AB58" i="81"/>
  <c r="AM58" i="81" s="1"/>
  <c r="BA13" i="81"/>
  <c r="S24" i="81"/>
  <c r="AC24" i="81" s="1"/>
  <c r="AF24" i="81"/>
  <c r="BA16" i="81"/>
  <c r="AG69" i="81"/>
  <c r="S70" i="81"/>
  <c r="AC70" i="81" s="1"/>
  <c r="AF70" i="81"/>
  <c r="AK70" i="81"/>
  <c r="AF62" i="81"/>
  <c r="S62" i="81"/>
  <c r="AC62" i="81" s="1"/>
  <c r="AX8" i="81" a="1"/>
  <c r="AX8" i="81" s="1"/>
  <c r="BD8" i="81"/>
  <c r="BD9" i="81" s="1"/>
  <c r="BD10" i="81" s="1"/>
  <c r="BD11" i="81" s="1"/>
  <c r="BD12" i="81" s="1"/>
  <c r="BD13" i="81" s="1"/>
  <c r="BD14" i="81" s="1"/>
  <c r="BD15" i="81" s="1"/>
  <c r="BD16" i="81" s="1"/>
  <c r="BD17" i="81" s="1"/>
  <c r="AW6" i="81"/>
  <c r="AK12" i="81"/>
  <c r="AK40" i="81"/>
  <c r="BB9" i="81"/>
  <c r="AZ9" i="81" a="1"/>
  <c r="AZ9" i="81" s="1"/>
  <c r="AY9" i="81" s="1"/>
  <c r="AF47" i="81"/>
  <c r="S47" i="81"/>
  <c r="AC47" i="81" s="1"/>
  <c r="AZ10" i="81" a="1"/>
  <c r="AZ10" i="81" s="1"/>
  <c r="AY10" i="81" s="1"/>
  <c r="BB10" i="81"/>
  <c r="AG14" i="81" l="1"/>
  <c r="AG28" i="81"/>
  <c r="AG48" i="81"/>
  <c r="AG26" i="81"/>
  <c r="AG22" i="81"/>
  <c r="AC68" i="81"/>
  <c r="AG68" i="81" s="1"/>
  <c r="AB68" i="81"/>
  <c r="AM68" i="81" s="1"/>
  <c r="AG65" i="81"/>
  <c r="AB65" i="81"/>
  <c r="AM65" i="81" s="1"/>
  <c r="AB23" i="81"/>
  <c r="AM23" i="81" s="1"/>
  <c r="AG62" i="81"/>
  <c r="AG12" i="81"/>
  <c r="AC7" i="81"/>
  <c r="AG7" i="81" s="1"/>
  <c r="AB7" i="81"/>
  <c r="AM7" i="81" s="1"/>
  <c r="AC44" i="81"/>
  <c r="AG44" i="81" s="1"/>
  <c r="AB44" i="81"/>
  <c r="AM44" i="81" s="1"/>
  <c r="AC9" i="81"/>
  <c r="AG9" i="81" s="1"/>
  <c r="AB9" i="81"/>
  <c r="AM9" i="81" s="1"/>
  <c r="AB20" i="81"/>
  <c r="AM20" i="81" s="1"/>
  <c r="AB45" i="81"/>
  <c r="AM45" i="81" s="1"/>
  <c r="AG27" i="81"/>
  <c r="AG54" i="81"/>
  <c r="AB50" i="81"/>
  <c r="AM50" i="81" s="1"/>
  <c r="AG67" i="81"/>
  <c r="AB13" i="81"/>
  <c r="AM13" i="81" s="1"/>
  <c r="AG63" i="81"/>
  <c r="AB28" i="81"/>
  <c r="AM28" i="81" s="1"/>
  <c r="AG60" i="81"/>
  <c r="AG52" i="81"/>
  <c r="AG30" i="81"/>
  <c r="AB49" i="81"/>
  <c r="AM49" i="81" s="1"/>
  <c r="AB63" i="81"/>
  <c r="AM63" i="81" s="1"/>
  <c r="AG70" i="81"/>
  <c r="BB6" i="81"/>
  <c r="AB24" i="81"/>
  <c r="AM24" i="81" s="1"/>
  <c r="AG13" i="81"/>
  <c r="AG19" i="81"/>
  <c r="AB64" i="81"/>
  <c r="AM64" i="81" s="1"/>
  <c r="AC34" i="81"/>
  <c r="AG34" i="81" s="1"/>
  <c r="AB34" i="81"/>
  <c r="AM34" i="81" s="1"/>
  <c r="AG53" i="81"/>
  <c r="AB53" i="81"/>
  <c r="AM53" i="81" s="1"/>
  <c r="AG61" i="81"/>
  <c r="AG64" i="81"/>
  <c r="AZ6" i="81"/>
  <c r="AB61" i="81"/>
  <c r="AM61" i="81" s="1"/>
  <c r="AG47" i="81"/>
  <c r="AB43" i="81"/>
  <c r="AM43" i="81" s="1"/>
  <c r="AG10" i="81"/>
  <c r="AG20" i="81"/>
  <c r="AB27" i="81"/>
  <c r="AM27" i="81" s="1"/>
  <c r="AG43" i="81"/>
  <c r="AG45" i="81"/>
  <c r="AB14" i="81"/>
  <c r="AM14" i="81" s="1"/>
  <c r="AG24" i="81"/>
  <c r="AG8" i="81"/>
  <c r="AB48" i="81"/>
  <c r="AM48" i="81" s="1"/>
  <c r="AB8" i="81"/>
  <c r="AM8" i="81" s="1"/>
  <c r="AK3" i="81"/>
  <c r="G38" i="12" s="1"/>
  <c r="AB54" i="81"/>
  <c r="AM54" i="81" s="1"/>
  <c r="AB56" i="81"/>
  <c r="AM56" i="81" s="1"/>
  <c r="AB10" i="81"/>
  <c r="AM10" i="81" s="1"/>
  <c r="AB70" i="81"/>
  <c r="AM70" i="81" s="1"/>
  <c r="AB12" i="81"/>
  <c r="AM12" i="81" s="1"/>
  <c r="AB19" i="81"/>
  <c r="AM19" i="81" s="1"/>
  <c r="AG23" i="81"/>
  <c r="BA8" i="81"/>
  <c r="AY8" i="81"/>
  <c r="AX6" i="81"/>
  <c r="AB62" i="81"/>
  <c r="AM62" i="81" s="1"/>
  <c r="AG17" i="81"/>
  <c r="AB47" i="81"/>
  <c r="AM47" i="81" s="1"/>
  <c r="AB52" i="81"/>
  <c r="AM52" i="81" s="1"/>
  <c r="AB17" i="81"/>
  <c r="AM17" i="81" s="1"/>
  <c r="AB67" i="81"/>
  <c r="AM67" i="81" s="1"/>
  <c r="AB22" i="81"/>
  <c r="AM22" i="81" s="1"/>
  <c r="AB11" i="81"/>
  <c r="AM11" i="81" s="1"/>
  <c r="AG57" i="81"/>
  <c r="AB30" i="81"/>
  <c r="AM30" i="81" s="1"/>
  <c r="AB60" i="81"/>
  <c r="AM60" i="81" s="1"/>
  <c r="AG50" i="81"/>
  <c r="AG49" i="81"/>
  <c r="AB26" i="81"/>
  <c r="AM26" i="81" s="1"/>
  <c r="AG56" i="81"/>
  <c r="AG11" i="81"/>
  <c r="AB57" i="81"/>
  <c r="AM57" i="81" s="1"/>
  <c r="AG2" i="81" l="1"/>
  <c r="K38" i="12" s="1"/>
  <c r="M38" i="12" s="1"/>
  <c r="AM3" i="81"/>
  <c r="G1" i="81" s="1"/>
  <c r="BA6" i="81"/>
  <c r="BC8" i="81"/>
  <c r="BC9" i="81" s="1"/>
  <c r="BC10" i="81" s="1"/>
  <c r="BC11" i="81" s="1"/>
  <c r="BC12" i="81" s="1"/>
  <c r="BC13" i="81" s="1"/>
  <c r="BC14" i="81" s="1"/>
  <c r="BC15" i="81" s="1"/>
  <c r="BC16" i="81" s="1"/>
  <c r="BC17" i="81" s="1"/>
  <c r="BC24" i="80" l="1"/>
  <c r="AN87" i="80" l="1"/>
  <c r="M87" i="80" s="1"/>
  <c r="O87" i="80" s="1"/>
  <c r="Z87" i="80"/>
  <c r="Y87" i="80"/>
  <c r="U87" i="80"/>
  <c r="AD87" i="80" s="1"/>
  <c r="K87" i="80"/>
  <c r="AI87" i="80" s="1"/>
  <c r="E87" i="80"/>
  <c r="AN86" i="80"/>
  <c r="M86" i="80" s="1"/>
  <c r="Y86" i="80"/>
  <c r="U86" i="80"/>
  <c r="AD86" i="80" s="1"/>
  <c r="K86" i="80"/>
  <c r="E86" i="80"/>
  <c r="AN85" i="80"/>
  <c r="M85" i="80" s="1"/>
  <c r="O85" i="80" s="1"/>
  <c r="S85" i="80" s="1"/>
  <c r="AC85" i="80" s="1"/>
  <c r="Y85" i="80"/>
  <c r="AE85" i="80" s="1"/>
  <c r="U85" i="80"/>
  <c r="K85" i="80"/>
  <c r="E85" i="80"/>
  <c r="AN84" i="80"/>
  <c r="M84" i="80" s="1"/>
  <c r="Y84" i="80"/>
  <c r="AA84" i="80" s="1"/>
  <c r="U84" i="80"/>
  <c r="AJ84" i="80" s="1"/>
  <c r="K84" i="80"/>
  <c r="AI84" i="80" s="1"/>
  <c r="E84" i="80"/>
  <c r="AN83" i="80"/>
  <c r="M83" i="80" s="1"/>
  <c r="Y83" i="80"/>
  <c r="U83" i="80"/>
  <c r="AD83" i="80" s="1"/>
  <c r="K83" i="80"/>
  <c r="AI83" i="80" s="1"/>
  <c r="E83" i="80"/>
  <c r="AN82" i="80"/>
  <c r="M82" i="80" s="1"/>
  <c r="N82" i="80" s="1"/>
  <c r="O82" i="80" s="1"/>
  <c r="Y82" i="80"/>
  <c r="AE82" i="80" s="1"/>
  <c r="U82" i="80"/>
  <c r="AJ82" i="80" s="1"/>
  <c r="K82" i="80"/>
  <c r="E82" i="80"/>
  <c r="AN81" i="80"/>
  <c r="M81" i="80" s="1"/>
  <c r="Y81" i="80"/>
  <c r="AE81" i="80" s="1"/>
  <c r="U81" i="80"/>
  <c r="K81" i="80"/>
  <c r="E81" i="80"/>
  <c r="AN80" i="80"/>
  <c r="M80" i="80" s="1"/>
  <c r="Y80" i="80"/>
  <c r="AA80" i="80" s="1"/>
  <c r="U80" i="80"/>
  <c r="K80" i="80"/>
  <c r="E80" i="80"/>
  <c r="AN79" i="80"/>
  <c r="M79" i="80" s="1"/>
  <c r="N79" i="80" s="1"/>
  <c r="Y79" i="80"/>
  <c r="AA79" i="80" s="1"/>
  <c r="U79" i="80"/>
  <c r="AJ79" i="80" s="1"/>
  <c r="K79" i="80"/>
  <c r="AI79" i="80" s="1"/>
  <c r="E79" i="80"/>
  <c r="AN78" i="80"/>
  <c r="M78" i="80" s="1"/>
  <c r="Y78" i="80"/>
  <c r="AA78" i="80" s="1"/>
  <c r="U78" i="80"/>
  <c r="AD78" i="80" s="1"/>
  <c r="K78" i="80"/>
  <c r="E78" i="80"/>
  <c r="AN77" i="80"/>
  <c r="M77" i="80" s="1"/>
  <c r="Y77" i="80"/>
  <c r="AE77" i="80" s="1"/>
  <c r="U77" i="80"/>
  <c r="K77" i="80"/>
  <c r="AH77" i="80" s="1"/>
  <c r="E77" i="80"/>
  <c r="AN76" i="80"/>
  <c r="M76" i="80" s="1"/>
  <c r="Y76" i="80"/>
  <c r="U76" i="80"/>
  <c r="AJ76" i="80" s="1"/>
  <c r="K76" i="80"/>
  <c r="E76" i="80"/>
  <c r="AN75" i="80"/>
  <c r="M75" i="80" s="1"/>
  <c r="N75" i="80" s="1"/>
  <c r="Y75" i="80"/>
  <c r="AA75" i="80" s="1"/>
  <c r="U75" i="80"/>
  <c r="AJ75" i="80" s="1"/>
  <c r="K75" i="80"/>
  <c r="E75" i="80"/>
  <c r="AN74" i="80"/>
  <c r="M74" i="80" s="1"/>
  <c r="Z74" i="80"/>
  <c r="Y74" i="80"/>
  <c r="U74" i="80"/>
  <c r="K74" i="80"/>
  <c r="AH74" i="80" s="1"/>
  <c r="E74" i="80"/>
  <c r="AN73" i="80"/>
  <c r="M73" i="80" s="1"/>
  <c r="N73" i="80" s="1"/>
  <c r="O73" i="80" s="1"/>
  <c r="Z73" i="80"/>
  <c r="Y73" i="80"/>
  <c r="U73" i="80"/>
  <c r="AD73" i="80" s="1"/>
  <c r="K73" i="80"/>
  <c r="E73" i="80"/>
  <c r="AN72" i="80"/>
  <c r="M72" i="80" s="1"/>
  <c r="Y72" i="80"/>
  <c r="AA72" i="80" s="1"/>
  <c r="U72" i="80"/>
  <c r="AD72" i="80" s="1"/>
  <c r="K72" i="80"/>
  <c r="E72" i="80"/>
  <c r="AN71" i="80"/>
  <c r="M71" i="80" s="1"/>
  <c r="N71" i="80" s="1"/>
  <c r="O71" i="80" s="1"/>
  <c r="Z71" i="80"/>
  <c r="Y71" i="80"/>
  <c r="U71" i="80"/>
  <c r="AD71" i="80" s="1"/>
  <c r="K71" i="80"/>
  <c r="AI71" i="80" s="1"/>
  <c r="E71" i="80"/>
  <c r="AN70" i="80"/>
  <c r="M70" i="80" s="1"/>
  <c r="Y70" i="80"/>
  <c r="AA70" i="80" s="1"/>
  <c r="U70" i="80"/>
  <c r="AJ70" i="80" s="1"/>
  <c r="K70" i="80"/>
  <c r="AI70" i="80" s="1"/>
  <c r="E70" i="80"/>
  <c r="AN69" i="80"/>
  <c r="M69" i="80" s="1"/>
  <c r="N69" i="80" s="1"/>
  <c r="Y69" i="80"/>
  <c r="AA69" i="80" s="1"/>
  <c r="U69" i="80"/>
  <c r="AD69" i="80" s="1"/>
  <c r="K69" i="80"/>
  <c r="AH69" i="80" s="1"/>
  <c r="E69" i="80"/>
  <c r="AN68" i="80"/>
  <c r="M68" i="80" s="1"/>
  <c r="Y68" i="80"/>
  <c r="AA68" i="80" s="1"/>
  <c r="U68" i="80"/>
  <c r="AJ68" i="80" s="1"/>
  <c r="K68" i="80"/>
  <c r="E68" i="80"/>
  <c r="AN67" i="80"/>
  <c r="M67" i="80" s="1"/>
  <c r="N67" i="80" s="1"/>
  <c r="Y67" i="80"/>
  <c r="AE67" i="80" s="1"/>
  <c r="U67" i="80"/>
  <c r="K67" i="80"/>
  <c r="E67" i="80"/>
  <c r="AN66" i="80"/>
  <c r="M66" i="80" s="1"/>
  <c r="O66" i="80" s="1"/>
  <c r="S66" i="80" s="1"/>
  <c r="AC66" i="80" s="1"/>
  <c r="Z66" i="80"/>
  <c r="Y66" i="80"/>
  <c r="U66" i="80"/>
  <c r="AD66" i="80" s="1"/>
  <c r="K66" i="80"/>
  <c r="AH66" i="80" s="1"/>
  <c r="E66" i="80"/>
  <c r="AN65" i="80"/>
  <c r="M65" i="80" s="1"/>
  <c r="Z65" i="80"/>
  <c r="Y65" i="80"/>
  <c r="U65" i="80"/>
  <c r="K65" i="80"/>
  <c r="E65" i="80"/>
  <c r="AN64" i="80"/>
  <c r="M64" i="80" s="1"/>
  <c r="Z64" i="80"/>
  <c r="Y64" i="80"/>
  <c r="U64" i="80"/>
  <c r="AJ64" i="80" s="1"/>
  <c r="K64" i="80"/>
  <c r="AH64" i="80" s="1"/>
  <c r="E64" i="80"/>
  <c r="AN63" i="80"/>
  <c r="M63" i="80" s="1"/>
  <c r="N63" i="80" s="1"/>
  <c r="Z63" i="80"/>
  <c r="Y63" i="80"/>
  <c r="U63" i="80"/>
  <c r="AD63" i="80" s="1"/>
  <c r="K63" i="80"/>
  <c r="E63" i="80"/>
  <c r="AN62" i="80"/>
  <c r="M62" i="80" s="1"/>
  <c r="O62" i="80" s="1"/>
  <c r="Z62" i="80"/>
  <c r="Y62" i="80"/>
  <c r="U62" i="80"/>
  <c r="AJ62" i="80" s="1"/>
  <c r="K62" i="80"/>
  <c r="AI62" i="80" s="1"/>
  <c r="E62" i="80"/>
  <c r="AN61" i="80"/>
  <c r="M61" i="80" s="1"/>
  <c r="O61" i="80" s="1"/>
  <c r="Z61" i="80"/>
  <c r="Y61" i="80"/>
  <c r="U61" i="80"/>
  <c r="AD61" i="80" s="1"/>
  <c r="K61" i="80"/>
  <c r="E61" i="80"/>
  <c r="AN60" i="80"/>
  <c r="M60" i="80" s="1"/>
  <c r="N60" i="80" s="1"/>
  <c r="O60" i="80" s="1"/>
  <c r="S60" i="80" s="1"/>
  <c r="AC60" i="80" s="1"/>
  <c r="Z60" i="80"/>
  <c r="Y60" i="80"/>
  <c r="U60" i="80"/>
  <c r="K60" i="80"/>
  <c r="AI60" i="80" s="1"/>
  <c r="E60" i="80"/>
  <c r="AN59" i="80"/>
  <c r="M59" i="80" s="1"/>
  <c r="Z59" i="80"/>
  <c r="Y59" i="80"/>
  <c r="U59" i="80"/>
  <c r="K59" i="80"/>
  <c r="E59" i="80"/>
  <c r="AN58" i="80"/>
  <c r="M58" i="80" s="1"/>
  <c r="N58" i="80" s="1"/>
  <c r="Z58" i="80"/>
  <c r="Y58" i="80"/>
  <c r="U58" i="80"/>
  <c r="K58" i="80"/>
  <c r="AM58" i="80" s="1"/>
  <c r="E58" i="80"/>
  <c r="AN57" i="80"/>
  <c r="M57" i="80" s="1"/>
  <c r="Z57" i="80"/>
  <c r="Y57" i="80"/>
  <c r="U57" i="80"/>
  <c r="AJ57" i="80" s="1"/>
  <c r="K57" i="80"/>
  <c r="AI57" i="80" s="1"/>
  <c r="E57" i="80"/>
  <c r="AN56" i="80"/>
  <c r="M56" i="80" s="1"/>
  <c r="O56" i="80" s="1"/>
  <c r="Z56" i="80"/>
  <c r="Y56" i="80"/>
  <c r="U56" i="80"/>
  <c r="AD56" i="80" s="1"/>
  <c r="K56" i="80"/>
  <c r="E56" i="80"/>
  <c r="AN55" i="80"/>
  <c r="M55" i="80" s="1"/>
  <c r="O55" i="80" s="1"/>
  <c r="S55" i="80" s="1"/>
  <c r="AC55" i="80" s="1"/>
  <c r="Z55" i="80"/>
  <c r="Y55" i="80"/>
  <c r="U55" i="80"/>
  <c r="AJ55" i="80" s="1"/>
  <c r="K55" i="80"/>
  <c r="E55" i="80"/>
  <c r="AN54" i="80"/>
  <c r="M54" i="80" s="1"/>
  <c r="O54" i="80" s="1"/>
  <c r="Z54" i="80"/>
  <c r="Y54" i="80"/>
  <c r="U54" i="80"/>
  <c r="K54" i="80"/>
  <c r="E54" i="80"/>
  <c r="AN53" i="80"/>
  <c r="M53" i="80" s="1"/>
  <c r="O53" i="80" s="1"/>
  <c r="Z53" i="80"/>
  <c r="Y53" i="80"/>
  <c r="U53" i="80"/>
  <c r="AD53" i="80" s="1"/>
  <c r="K53" i="80"/>
  <c r="E53" i="80"/>
  <c r="AN52" i="80"/>
  <c r="M52" i="80" s="1"/>
  <c r="Z52" i="80"/>
  <c r="Y52" i="80"/>
  <c r="U52" i="80"/>
  <c r="AD52" i="80" s="1"/>
  <c r="K52" i="80"/>
  <c r="E52" i="80"/>
  <c r="AN51" i="80"/>
  <c r="M51" i="80" s="1"/>
  <c r="N51" i="80" s="1"/>
  <c r="Z51" i="80"/>
  <c r="Y51" i="80"/>
  <c r="U51" i="80"/>
  <c r="AD51" i="80" s="1"/>
  <c r="K51" i="80"/>
  <c r="E51" i="80"/>
  <c r="AN50" i="80"/>
  <c r="M50" i="80" s="1"/>
  <c r="O50" i="80" s="1"/>
  <c r="S50" i="80" s="1"/>
  <c r="AC50" i="80" s="1"/>
  <c r="Z50" i="80"/>
  <c r="Y50" i="80"/>
  <c r="U50" i="80"/>
  <c r="K50" i="80"/>
  <c r="E50" i="80"/>
  <c r="AN49" i="80"/>
  <c r="M49" i="80" s="1"/>
  <c r="O49" i="80" s="1"/>
  <c r="Z49" i="80"/>
  <c r="AA49" i="80" s="1"/>
  <c r="U49" i="80"/>
  <c r="K49" i="80"/>
  <c r="E49" i="80"/>
  <c r="AN48" i="80"/>
  <c r="M48" i="80" s="1"/>
  <c r="O48" i="80" s="1"/>
  <c r="Z48" i="80"/>
  <c r="AE48" i="80" s="1"/>
  <c r="U48" i="80"/>
  <c r="K48" i="80"/>
  <c r="E48" i="80"/>
  <c r="AN47" i="80"/>
  <c r="M47" i="80" s="1"/>
  <c r="O47" i="80" s="1"/>
  <c r="S47" i="80" s="1"/>
  <c r="AC47" i="80" s="1"/>
  <c r="Z47" i="80"/>
  <c r="Y47" i="80"/>
  <c r="U47" i="80"/>
  <c r="K47" i="80"/>
  <c r="E47" i="80"/>
  <c r="AN46" i="80"/>
  <c r="M46" i="80" s="1"/>
  <c r="O46" i="80" s="1"/>
  <c r="Z46" i="80"/>
  <c r="Y46" i="80"/>
  <c r="U46" i="80"/>
  <c r="AD46" i="80" s="1"/>
  <c r="K46" i="80"/>
  <c r="AH46" i="80" s="1"/>
  <c r="E46" i="80"/>
  <c r="AN45" i="80"/>
  <c r="M45" i="80" s="1"/>
  <c r="N45" i="80" s="1"/>
  <c r="Z45" i="80"/>
  <c r="Y45" i="80"/>
  <c r="U45" i="80"/>
  <c r="AJ45" i="80" s="1"/>
  <c r="K45" i="80"/>
  <c r="AI45" i="80" s="1"/>
  <c r="E45" i="80"/>
  <c r="AN44" i="80"/>
  <c r="M44" i="80" s="1"/>
  <c r="Z44" i="80"/>
  <c r="Y44" i="80"/>
  <c r="U44" i="80"/>
  <c r="K44" i="80"/>
  <c r="E44" i="80"/>
  <c r="AN43" i="80"/>
  <c r="M43" i="80" s="1"/>
  <c r="O43" i="80" s="1"/>
  <c r="Z43" i="80"/>
  <c r="Y43" i="80"/>
  <c r="U43" i="80"/>
  <c r="AD43" i="80" s="1"/>
  <c r="K43" i="80"/>
  <c r="E43" i="80"/>
  <c r="AN42" i="80"/>
  <c r="M42" i="80" s="1"/>
  <c r="Y42" i="80"/>
  <c r="AE42" i="80" s="1"/>
  <c r="U42" i="80"/>
  <c r="K42" i="80"/>
  <c r="E42" i="80"/>
  <c r="AN41" i="80"/>
  <c r="M41" i="80" s="1"/>
  <c r="Y41" i="80"/>
  <c r="AE41" i="80" s="1"/>
  <c r="U41" i="80"/>
  <c r="AD41" i="80" s="1"/>
  <c r="K41" i="80"/>
  <c r="AH41" i="80" s="1"/>
  <c r="E41" i="80"/>
  <c r="AN40" i="80"/>
  <c r="M40" i="80" s="1"/>
  <c r="N40" i="80" s="1"/>
  <c r="Y40" i="80"/>
  <c r="AA40" i="80" s="1"/>
  <c r="U40" i="80"/>
  <c r="AD40" i="80" s="1"/>
  <c r="K40" i="80"/>
  <c r="E40" i="80"/>
  <c r="AN39" i="80"/>
  <c r="M39" i="80" s="1"/>
  <c r="N39" i="80" s="1"/>
  <c r="Y39" i="80"/>
  <c r="U39" i="80"/>
  <c r="K39" i="80"/>
  <c r="E39" i="80"/>
  <c r="AN38" i="80"/>
  <c r="M38" i="80" s="1"/>
  <c r="O38" i="80" s="1"/>
  <c r="AC38" i="80"/>
  <c r="Z38" i="80"/>
  <c r="Y38" i="80"/>
  <c r="U38" i="80"/>
  <c r="AJ38" i="80" s="1"/>
  <c r="K38" i="80"/>
  <c r="E38" i="80"/>
  <c r="AN37" i="80"/>
  <c r="M37" i="80" s="1"/>
  <c r="O37" i="80" s="1"/>
  <c r="AC37" i="80"/>
  <c r="Z37" i="80"/>
  <c r="Y37" i="80"/>
  <c r="U37" i="80"/>
  <c r="K37" i="80"/>
  <c r="E37" i="80"/>
  <c r="AN36" i="80"/>
  <c r="M36" i="80" s="1"/>
  <c r="AC36" i="80"/>
  <c r="Z36" i="80"/>
  <c r="Y36" i="80"/>
  <c r="U36" i="80"/>
  <c r="K36" i="80"/>
  <c r="E36" i="80"/>
  <c r="AN35" i="80"/>
  <c r="M35" i="80" s="1"/>
  <c r="N35" i="80" s="1"/>
  <c r="AC35" i="80"/>
  <c r="Z35" i="80"/>
  <c r="Y35" i="80"/>
  <c r="U35" i="80"/>
  <c r="AJ35" i="80" s="1"/>
  <c r="K35" i="80"/>
  <c r="AH35" i="80" s="1"/>
  <c r="E35" i="80"/>
  <c r="AN34" i="80"/>
  <c r="M34" i="80" s="1"/>
  <c r="O34" i="80" s="1"/>
  <c r="AC34" i="80"/>
  <c r="Z34" i="80"/>
  <c r="Y34" i="80"/>
  <c r="U34" i="80"/>
  <c r="AJ34" i="80" s="1"/>
  <c r="K34" i="80"/>
  <c r="AH34" i="80" s="1"/>
  <c r="E34" i="80"/>
  <c r="AN33" i="80"/>
  <c r="M33" i="80" s="1"/>
  <c r="AC33" i="80"/>
  <c r="Z33" i="80"/>
  <c r="Y33" i="80"/>
  <c r="U33" i="80"/>
  <c r="AD33" i="80" s="1"/>
  <c r="K33" i="80"/>
  <c r="AI33" i="80" s="1"/>
  <c r="E33" i="80"/>
  <c r="AN32" i="80"/>
  <c r="M32" i="80" s="1"/>
  <c r="O32" i="80" s="1"/>
  <c r="AC32" i="80"/>
  <c r="Z32" i="80"/>
  <c r="Y32" i="80"/>
  <c r="U32" i="80"/>
  <c r="AD32" i="80" s="1"/>
  <c r="K32" i="80"/>
  <c r="E32" i="80"/>
  <c r="AW32" i="80"/>
  <c r="AY32" i="80" s="1"/>
  <c r="BA32" i="80" s="1"/>
  <c r="AN31" i="80"/>
  <c r="M31" i="80" s="1"/>
  <c r="AC31" i="80"/>
  <c r="Z31" i="80"/>
  <c r="Y31" i="80"/>
  <c r="U31" i="80"/>
  <c r="AD31" i="80" s="1"/>
  <c r="K31" i="80"/>
  <c r="E31" i="80"/>
  <c r="AW31" i="80"/>
  <c r="AY31" i="80" s="1"/>
  <c r="BA31" i="80" s="1"/>
  <c r="AN30" i="80"/>
  <c r="M30" i="80" s="1"/>
  <c r="Z30" i="80"/>
  <c r="Y30" i="80"/>
  <c r="U30" i="80"/>
  <c r="K30" i="80"/>
  <c r="E30" i="80"/>
  <c r="AW30" i="80"/>
  <c r="AY30" i="80" s="1"/>
  <c r="BA30" i="80" s="1"/>
  <c r="AN29" i="80"/>
  <c r="M29" i="80" s="1"/>
  <c r="Z29" i="80"/>
  <c r="Y29" i="80"/>
  <c r="U29" i="80"/>
  <c r="AJ29" i="80" s="1"/>
  <c r="K29" i="80"/>
  <c r="E29" i="80"/>
  <c r="AW29" i="80"/>
  <c r="AY29" i="80" s="1"/>
  <c r="BA29" i="80" s="1"/>
  <c r="AN28" i="80"/>
  <c r="M28" i="80" s="1"/>
  <c r="N28" i="80" s="1"/>
  <c r="O28" i="80" s="1"/>
  <c r="Z28" i="80"/>
  <c r="Y28" i="80"/>
  <c r="U28" i="80"/>
  <c r="K28" i="80"/>
  <c r="AI28" i="80" s="1"/>
  <c r="E28" i="80"/>
  <c r="AW28" i="80"/>
  <c r="AY28" i="80" s="1"/>
  <c r="BA28" i="80" s="1"/>
  <c r="AN27" i="80"/>
  <c r="M27" i="80" s="1"/>
  <c r="Z27" i="80"/>
  <c r="Y27" i="80"/>
  <c r="U27" i="80"/>
  <c r="AJ27" i="80" s="1"/>
  <c r="K27" i="80"/>
  <c r="E27" i="80"/>
  <c r="AN26" i="80"/>
  <c r="M26" i="80" s="1"/>
  <c r="Z26" i="80"/>
  <c r="Y26" i="80"/>
  <c r="U26" i="80"/>
  <c r="K26" i="80"/>
  <c r="AH26" i="80" s="1"/>
  <c r="E26" i="80"/>
  <c r="AN25" i="80"/>
  <c r="M25" i="80" s="1"/>
  <c r="N25" i="80" s="1"/>
  <c r="Y25" i="80"/>
  <c r="U25" i="80"/>
  <c r="AD25" i="80" s="1"/>
  <c r="K25" i="80"/>
  <c r="AI25" i="80" s="1"/>
  <c r="E25" i="80"/>
  <c r="AN24" i="80"/>
  <c r="M24" i="80" s="1"/>
  <c r="N24" i="80" s="1"/>
  <c r="Y24" i="80"/>
  <c r="AE24" i="80" s="1"/>
  <c r="U24" i="80"/>
  <c r="AD24" i="80" s="1"/>
  <c r="K24" i="80"/>
  <c r="AI24" i="80" s="1"/>
  <c r="E24" i="80"/>
  <c r="AN23" i="80"/>
  <c r="M23" i="80" s="1"/>
  <c r="N23" i="80" s="1"/>
  <c r="Z23" i="80"/>
  <c r="Y23" i="80"/>
  <c r="U23" i="80"/>
  <c r="K23" i="80"/>
  <c r="E23" i="80"/>
  <c r="AN22" i="80"/>
  <c r="M22" i="80" s="1"/>
  <c r="O22" i="80" s="1"/>
  <c r="S22" i="80" s="1"/>
  <c r="AC22" i="80" s="1"/>
  <c r="Y22" i="80"/>
  <c r="AA22" i="80" s="1"/>
  <c r="U22" i="80"/>
  <c r="AJ22" i="80" s="1"/>
  <c r="K22" i="80"/>
  <c r="E22" i="80"/>
  <c r="AN21" i="80"/>
  <c r="M21" i="80" s="1"/>
  <c r="O21" i="80" s="1"/>
  <c r="Y21" i="80"/>
  <c r="AE21" i="80" s="1"/>
  <c r="U21" i="80"/>
  <c r="AJ21" i="80" s="1"/>
  <c r="K21" i="80"/>
  <c r="AI21" i="80" s="1"/>
  <c r="E21" i="80"/>
  <c r="AN20" i="80"/>
  <c r="Y20" i="80"/>
  <c r="AE20" i="80" s="1"/>
  <c r="U20" i="80"/>
  <c r="AJ20" i="80" s="1"/>
  <c r="S20" i="80"/>
  <c r="AC20" i="80" s="1"/>
  <c r="N20" i="80"/>
  <c r="K20" i="80"/>
  <c r="E20" i="80"/>
  <c r="AN19" i="80"/>
  <c r="M19" i="80" s="1"/>
  <c r="Y19" i="80"/>
  <c r="AE19" i="80" s="1"/>
  <c r="U19" i="80"/>
  <c r="AD19" i="80" s="1"/>
  <c r="K19" i="80"/>
  <c r="E19" i="80"/>
  <c r="AN18" i="80"/>
  <c r="M18" i="80" s="1"/>
  <c r="O18" i="80" s="1"/>
  <c r="Z18" i="80"/>
  <c r="AE18" i="80" s="1"/>
  <c r="U18" i="80"/>
  <c r="K18" i="80"/>
  <c r="E18" i="80"/>
  <c r="AN17" i="80"/>
  <c r="M17" i="80" s="1"/>
  <c r="O17" i="80" s="1"/>
  <c r="Z17" i="80"/>
  <c r="AA17" i="80" s="1"/>
  <c r="U17" i="80"/>
  <c r="AJ17" i="80" s="1"/>
  <c r="K17" i="80"/>
  <c r="E17" i="80"/>
  <c r="BB17" i="80"/>
  <c r="AW17" i="80"/>
  <c r="AN16" i="80"/>
  <c r="M16" i="80" s="1"/>
  <c r="O16" i="80" s="1"/>
  <c r="Z16" i="80"/>
  <c r="Y16" i="80"/>
  <c r="U16" i="80"/>
  <c r="K16" i="80"/>
  <c r="AI16" i="80" s="1"/>
  <c r="E16" i="80"/>
  <c r="BB16" i="80"/>
  <c r="AW16" i="80"/>
  <c r="AN15" i="80"/>
  <c r="M15" i="80" s="1"/>
  <c r="Z15" i="80"/>
  <c r="Y15" i="80"/>
  <c r="U15" i="80"/>
  <c r="AJ15" i="80" s="1"/>
  <c r="K15" i="80"/>
  <c r="AM15" i="80" s="1"/>
  <c r="E15" i="80"/>
  <c r="BB15" i="80"/>
  <c r="AW15" i="80"/>
  <c r="AN14" i="80"/>
  <c r="M14" i="80" s="1"/>
  <c r="Z14" i="80"/>
  <c r="Y14" i="80"/>
  <c r="U14" i="80"/>
  <c r="AD14" i="80" s="1"/>
  <c r="K14" i="80"/>
  <c r="AH14" i="80" s="1"/>
  <c r="E14" i="80"/>
  <c r="BB14" i="80"/>
  <c r="AW14" i="80"/>
  <c r="AN13" i="80"/>
  <c r="M13" i="80" s="1"/>
  <c r="Z13" i="80"/>
  <c r="Y13" i="80"/>
  <c r="U13" i="80"/>
  <c r="AJ13" i="80" s="1"/>
  <c r="K13" i="80"/>
  <c r="E13" i="80"/>
  <c r="BB13" i="80"/>
  <c r="AW13" i="80"/>
  <c r="AN12" i="80"/>
  <c r="M12" i="80" s="1"/>
  <c r="Z12" i="80"/>
  <c r="Y12" i="80"/>
  <c r="U12" i="80"/>
  <c r="AD12" i="80" s="1"/>
  <c r="K12" i="80"/>
  <c r="E12" i="80"/>
  <c r="AN11" i="80"/>
  <c r="M11" i="80" s="1"/>
  <c r="N11" i="80" s="1"/>
  <c r="O11" i="80" s="1"/>
  <c r="Z11" i="80"/>
  <c r="Y11" i="80"/>
  <c r="U11" i="80"/>
  <c r="AJ11" i="80" s="1"/>
  <c r="K11" i="80"/>
  <c r="AI11" i="80" s="1"/>
  <c r="E11" i="80"/>
  <c r="AN10" i="80"/>
  <c r="Z10" i="80"/>
  <c r="Y10" i="80"/>
  <c r="U10" i="80"/>
  <c r="AJ10" i="80" s="1"/>
  <c r="N10" i="80"/>
  <c r="O10" i="80" s="1"/>
  <c r="K10" i="80"/>
  <c r="AM10" i="80" s="1"/>
  <c r="E10" i="80"/>
  <c r="AN9" i="80"/>
  <c r="Z9" i="80"/>
  <c r="Y9" i="80"/>
  <c r="U9" i="80"/>
  <c r="AD9" i="80" s="1"/>
  <c r="N9" i="80"/>
  <c r="O9" i="80" s="1"/>
  <c r="K9" i="80"/>
  <c r="AI9" i="80" s="1"/>
  <c r="E9" i="80"/>
  <c r="AN8" i="80"/>
  <c r="Z8" i="80"/>
  <c r="Y8" i="80"/>
  <c r="U8" i="80"/>
  <c r="AJ8" i="80" s="1"/>
  <c r="N8" i="80"/>
  <c r="O8" i="80" s="1"/>
  <c r="K8" i="80"/>
  <c r="E8" i="80"/>
  <c r="AN7" i="80"/>
  <c r="AC7" i="80"/>
  <c r="Z7" i="80"/>
  <c r="Y7" i="80"/>
  <c r="U7" i="80"/>
  <c r="AJ7" i="80" s="1"/>
  <c r="N7" i="80"/>
  <c r="O7" i="80" s="1"/>
  <c r="K7" i="80"/>
  <c r="E7" i="80"/>
  <c r="AN6" i="80"/>
  <c r="Z6" i="80"/>
  <c r="Y6" i="80"/>
  <c r="U6" i="80"/>
  <c r="AJ6" i="80" s="1"/>
  <c r="N6" i="80"/>
  <c r="O6" i="80" s="1"/>
  <c r="K6" i="80"/>
  <c r="E6" i="80"/>
  <c r="AN5" i="80"/>
  <c r="Z5" i="80"/>
  <c r="Y5" i="80"/>
  <c r="U5" i="80"/>
  <c r="AJ5" i="80" s="1"/>
  <c r="N5" i="80"/>
  <c r="O5" i="80" s="1"/>
  <c r="K5" i="80"/>
  <c r="E5" i="80"/>
  <c r="I2" i="80"/>
  <c r="AA28" i="80" l="1"/>
  <c r="AE47" i="80"/>
  <c r="AK61" i="80"/>
  <c r="AI78" i="80"/>
  <c r="AH78" i="80"/>
  <c r="AH61" i="80"/>
  <c r="AI61" i="80"/>
  <c r="AH52" i="80"/>
  <c r="AI52" i="80"/>
  <c r="AF10" i="80"/>
  <c r="AE6" i="80"/>
  <c r="AE23" i="80"/>
  <c r="AE38" i="80"/>
  <c r="AA57" i="80"/>
  <c r="O23" i="80"/>
  <c r="AF23" i="80" s="1"/>
  <c r="AE45" i="80"/>
  <c r="AA43" i="80"/>
  <c r="AA29" i="80"/>
  <c r="AF46" i="80"/>
  <c r="AE7" i="80"/>
  <c r="AA44" i="80"/>
  <c r="AE17" i="80"/>
  <c r="AA27" i="80"/>
  <c r="AA31" i="80"/>
  <c r="AE36" i="80"/>
  <c r="AE55" i="80"/>
  <c r="AE58" i="80"/>
  <c r="AJ61" i="80"/>
  <c r="AJ41" i="80"/>
  <c r="AF61" i="80"/>
  <c r="AI64" i="80"/>
  <c r="AA6" i="80"/>
  <c r="AD22" i="80"/>
  <c r="AH62" i="80"/>
  <c r="AF22" i="80"/>
  <c r="AJ71" i="80"/>
  <c r="AI35" i="80"/>
  <c r="AE56" i="80"/>
  <c r="AA61" i="80"/>
  <c r="AE22" i="80"/>
  <c r="AD27" i="80"/>
  <c r="AA11" i="80"/>
  <c r="AA46" i="80"/>
  <c r="O63" i="80"/>
  <c r="AF63" i="80" s="1"/>
  <c r="AE71" i="80"/>
  <c r="AI66" i="80"/>
  <c r="AK5" i="80"/>
  <c r="AF7" i="80"/>
  <c r="AH33" i="80"/>
  <c r="AE59" i="80"/>
  <c r="AJ78" i="80"/>
  <c r="AE34" i="80"/>
  <c r="AM5" i="80"/>
  <c r="AE40" i="80"/>
  <c r="AD34" i="80"/>
  <c r="AJ40" i="80"/>
  <c r="AJ51" i="80"/>
  <c r="AH58" i="80"/>
  <c r="AE70" i="80"/>
  <c r="AI74" i="80"/>
  <c r="AE84" i="80"/>
  <c r="AJ69" i="80"/>
  <c r="AJ86" i="80"/>
  <c r="AA65" i="80"/>
  <c r="AJ9" i="80"/>
  <c r="AD15" i="80"/>
  <c r="AK17" i="80"/>
  <c r="AA45" i="80"/>
  <c r="AI58" i="80"/>
  <c r="AH60" i="80"/>
  <c r="AH70" i="80"/>
  <c r="AF16" i="80"/>
  <c r="AM9" i="80"/>
  <c r="AH11" i="80"/>
  <c r="AE15" i="80"/>
  <c r="AD38" i="80"/>
  <c r="AD45" i="80"/>
  <c r="AE54" i="80"/>
  <c r="AE68" i="80"/>
  <c r="AH79" i="80"/>
  <c r="AA71" i="80"/>
  <c r="AE69" i="80"/>
  <c r="AE78" i="80"/>
  <c r="AD55" i="80"/>
  <c r="AE13" i="80"/>
  <c r="AM11" i="80"/>
  <c r="AK8" i="80"/>
  <c r="AI77" i="80"/>
  <c r="AH87" i="80"/>
  <c r="AH16" i="80"/>
  <c r="AJ63" i="80"/>
  <c r="AJ32" i="80"/>
  <c r="AB22" i="80"/>
  <c r="AM22" i="80" s="1"/>
  <c r="AA33" i="80"/>
  <c r="AJ43" i="80"/>
  <c r="AH45" i="80"/>
  <c r="AD64" i="80"/>
  <c r="AD82" i="80"/>
  <c r="AE32" i="80"/>
  <c r="AE5" i="80"/>
  <c r="AI46" i="80"/>
  <c r="AH21" i="80"/>
  <c r="AD84" i="80"/>
  <c r="AA10" i="80"/>
  <c r="AM45" i="80"/>
  <c r="AA47" i="80"/>
  <c r="AB47" i="80" s="1"/>
  <c r="AM47" i="80" s="1"/>
  <c r="AJ87" i="80"/>
  <c r="AH25" i="80"/>
  <c r="AE11" i="80"/>
  <c r="AK53" i="80"/>
  <c r="AE12" i="80"/>
  <c r="AD17" i="80"/>
  <c r="AA35" i="80"/>
  <c r="AE50" i="80"/>
  <c r="AH44" i="80"/>
  <c r="AI44" i="80"/>
  <c r="AD44" i="80"/>
  <c r="AJ44" i="80"/>
  <c r="AJ83" i="80"/>
  <c r="AI42" i="80"/>
  <c r="AH42" i="80"/>
  <c r="AH40" i="80"/>
  <c r="AI40" i="80"/>
  <c r="AA55" i="80"/>
  <c r="AB55" i="80" s="1"/>
  <c r="AM55" i="80" s="1"/>
  <c r="AK7" i="80"/>
  <c r="AM7" i="80"/>
  <c r="AH7" i="80"/>
  <c r="AI7" i="80"/>
  <c r="AH22" i="80"/>
  <c r="AK22" i="80"/>
  <c r="AI22" i="80"/>
  <c r="AX15" i="80" a="1"/>
  <c r="AX15" i="80" s="1"/>
  <c r="BA15" i="80" s="1"/>
  <c r="AH18" i="80"/>
  <c r="AI18" i="80"/>
  <c r="AH67" i="80"/>
  <c r="AI67" i="80"/>
  <c r="AD20" i="80"/>
  <c r="AE25" i="80"/>
  <c r="AA25" i="80"/>
  <c r="AD29" i="80"/>
  <c r="AI65" i="80"/>
  <c r="AH65" i="80"/>
  <c r="AA13" i="80"/>
  <c r="AK16" i="80"/>
  <c r="AE29" i="80"/>
  <c r="AE31" i="80"/>
  <c r="N86" i="80"/>
  <c r="O86" i="80" s="1"/>
  <c r="AF86" i="80" s="1"/>
  <c r="N74" i="80"/>
  <c r="O74" i="80" s="1"/>
  <c r="AH12" i="80"/>
  <c r="AI12" i="80"/>
  <c r="AA8" i="80"/>
  <c r="AJ80" i="80"/>
  <c r="AD80" i="80"/>
  <c r="AJ42" i="80"/>
  <c r="AD42" i="80"/>
  <c r="AK20" i="80"/>
  <c r="AH20" i="80"/>
  <c r="AI20" i="80"/>
  <c r="AF32" i="80"/>
  <c r="AA51" i="80"/>
  <c r="AD81" i="80"/>
  <c r="AJ81" i="80"/>
  <c r="AI47" i="80"/>
  <c r="AH47" i="80"/>
  <c r="AA16" i="80"/>
  <c r="AE16" i="80"/>
  <c r="AJ47" i="80"/>
  <c r="AF47" i="80"/>
  <c r="AD47" i="80"/>
  <c r="AI8" i="80"/>
  <c r="AM8" i="80"/>
  <c r="AD13" i="80"/>
  <c r="AD18" i="80"/>
  <c r="AJ18" i="80"/>
  <c r="AJ25" i="80"/>
  <c r="O24" i="80"/>
  <c r="AF24" i="80" s="1"/>
  <c r="AA42" i="80"/>
  <c r="AA81" i="80"/>
  <c r="AK82" i="80"/>
  <c r="AI82" i="80"/>
  <c r="AE79" i="80"/>
  <c r="AD7" i="80"/>
  <c r="AI26" i="80"/>
  <c r="AD57" i="80"/>
  <c r="AH84" i="80"/>
  <c r="AJ52" i="80"/>
  <c r="AD75" i="80"/>
  <c r="AH9" i="80"/>
  <c r="AD39" i="80"/>
  <c r="AJ39" i="80"/>
  <c r="AI73" i="80"/>
  <c r="AH73" i="80"/>
  <c r="AJ26" i="80"/>
  <c r="AD26" i="80"/>
  <c r="AE44" i="80"/>
  <c r="AA26" i="80"/>
  <c r="AE26" i="80"/>
  <c r="AA7" i="80"/>
  <c r="S17" i="80"/>
  <c r="AC17" i="80" s="1"/>
  <c r="AF17" i="80"/>
  <c r="AA54" i="80"/>
  <c r="AD79" i="80"/>
  <c r="AH6" i="80"/>
  <c r="AI6" i="80"/>
  <c r="AJ12" i="80"/>
  <c r="AH24" i="80"/>
  <c r="AK48" i="80"/>
  <c r="AA62" i="80"/>
  <c r="AE62" i="80"/>
  <c r="AI68" i="80"/>
  <c r="AH68" i="80"/>
  <c r="AJ73" i="80"/>
  <c r="AA56" i="80"/>
  <c r="AA32" i="80"/>
  <c r="AB32" i="80" s="1"/>
  <c r="AM32" i="80" s="1"/>
  <c r="AJ56" i="80"/>
  <c r="AH57" i="80"/>
  <c r="AH82" i="80"/>
  <c r="AE14" i="80"/>
  <c r="AJ19" i="80"/>
  <c r="AA21" i="80"/>
  <c r="AJ46" i="80"/>
  <c r="AD21" i="80"/>
  <c r="AD35" i="80"/>
  <c r="AA39" i="80"/>
  <c r="AE39" i="80"/>
  <c r="AA41" i="80"/>
  <c r="AH48" i="80"/>
  <c r="AD68" i="80"/>
  <c r="AD70" i="80"/>
  <c r="AD6" i="80"/>
  <c r="AI13" i="80"/>
  <c r="AH13" i="80"/>
  <c r="AA34" i="80"/>
  <c r="AB34" i="80" s="1"/>
  <c r="AM34" i="80" s="1"/>
  <c r="AI48" i="80"/>
  <c r="AI63" i="80"/>
  <c r="AH63" i="80"/>
  <c r="AJ74" i="80"/>
  <c r="AD74" i="80"/>
  <c r="AE57" i="80"/>
  <c r="AA20" i="80"/>
  <c r="AB20" i="80" s="1"/>
  <c r="AM20" i="80" s="1"/>
  <c r="AE65" i="80"/>
  <c r="AA19" i="80"/>
  <c r="AE72" i="80"/>
  <c r="AE80" i="80"/>
  <c r="AH28" i="80"/>
  <c r="AI41" i="80"/>
  <c r="AA59" i="80"/>
  <c r="AK32" i="80"/>
  <c r="AA15" i="80"/>
  <c r="AA85" i="80"/>
  <c r="AB85" i="80" s="1"/>
  <c r="AM85" i="80" s="1"/>
  <c r="AK54" i="80"/>
  <c r="AI54" i="80"/>
  <c r="AH54" i="80"/>
  <c r="AW25" i="80"/>
  <c r="AY25" i="80" s="1"/>
  <c r="BA25" i="80" s="1"/>
  <c r="AW10" i="80"/>
  <c r="AX10" i="80" s="1" a="1"/>
  <c r="AX10" i="80" s="1"/>
  <c r="N36" i="80"/>
  <c r="O36" i="80" s="1"/>
  <c r="N41" i="80"/>
  <c r="O41" i="80" s="1"/>
  <c r="AF54" i="80"/>
  <c r="S54" i="80"/>
  <c r="AC54" i="80" s="1"/>
  <c r="AA64" i="80"/>
  <c r="AE64" i="80"/>
  <c r="AF62" i="80"/>
  <c r="S62" i="80"/>
  <c r="AC62" i="80" s="1"/>
  <c r="S8" i="80"/>
  <c r="AC8" i="80" s="1"/>
  <c r="AF8" i="80"/>
  <c r="AF6" i="80"/>
  <c r="S6" i="80"/>
  <c r="AC6" i="80" s="1"/>
  <c r="AK6" i="80"/>
  <c r="AK11" i="80"/>
  <c r="S11" i="80"/>
  <c r="AC11" i="80" s="1"/>
  <c r="AI31" i="80"/>
  <c r="AH31" i="80"/>
  <c r="AF34" i="80"/>
  <c r="AF37" i="80"/>
  <c r="S71" i="80"/>
  <c r="AC71" i="80" s="1"/>
  <c r="AF71" i="80"/>
  <c r="AD60" i="80"/>
  <c r="AJ60" i="80"/>
  <c r="N13" i="80"/>
  <c r="O13" i="80" s="1"/>
  <c r="AK13" i="80" s="1"/>
  <c r="S21" i="80"/>
  <c r="AC21" i="80" s="1"/>
  <c r="AK21" i="80"/>
  <c r="AF21" i="80"/>
  <c r="AA60" i="80"/>
  <c r="AB60" i="80" s="1"/>
  <c r="AM60" i="80" s="1"/>
  <c r="AE60" i="80"/>
  <c r="S43" i="80"/>
  <c r="AC43" i="80" s="1"/>
  <c r="AF43" i="80"/>
  <c r="N44" i="80"/>
  <c r="O44" i="80" s="1"/>
  <c r="S28" i="80"/>
  <c r="AC28" i="80" s="1"/>
  <c r="AK28" i="80"/>
  <c r="AF28" i="80"/>
  <c r="S10" i="80"/>
  <c r="AC10" i="80" s="1"/>
  <c r="AF73" i="80"/>
  <c r="S73" i="80"/>
  <c r="AC73" i="80" s="1"/>
  <c r="AF5" i="80"/>
  <c r="S5" i="80"/>
  <c r="AC5" i="80" s="1"/>
  <c r="N31" i="80"/>
  <c r="O31" i="80" s="1"/>
  <c r="AK31" i="80" s="1"/>
  <c r="AH49" i="80"/>
  <c r="AK49" i="80"/>
  <c r="AW26" i="80"/>
  <c r="AY26" i="80" s="1"/>
  <c r="BA26" i="80" s="1"/>
  <c r="AW11" i="80"/>
  <c r="AX11" i="80" s="1" a="1"/>
  <c r="AX11" i="80" s="1"/>
  <c r="AI49" i="80"/>
  <c r="AX17" i="80" a="1"/>
  <c r="AX17" i="80" s="1"/>
  <c r="AF38" i="80"/>
  <c r="AK38" i="80"/>
  <c r="AF49" i="80"/>
  <c r="S49" i="80"/>
  <c r="AC49" i="80" s="1"/>
  <c r="N12" i="80"/>
  <c r="O12" i="80" s="1"/>
  <c r="N80" i="80"/>
  <c r="O80" i="80" s="1"/>
  <c r="AF11" i="80"/>
  <c r="AF9" i="80"/>
  <c r="S9" i="80"/>
  <c r="AC9" i="80" s="1"/>
  <c r="AK9" i="80"/>
  <c r="N15" i="80"/>
  <c r="O15" i="80" s="1"/>
  <c r="N19" i="80"/>
  <c r="O19" i="80" s="1"/>
  <c r="AK43" i="80"/>
  <c r="AI43" i="80"/>
  <c r="AH43" i="80"/>
  <c r="AW9" i="80"/>
  <c r="AX9" i="80" s="1" a="1"/>
  <c r="AX9" i="80" s="1"/>
  <c r="AX16" i="80" a="1"/>
  <c r="AX16" i="80" s="1"/>
  <c r="AA67" i="80"/>
  <c r="AI85" i="80"/>
  <c r="AK85" i="80"/>
  <c r="AH85" i="80"/>
  <c r="N29" i="80"/>
  <c r="O29" i="80" s="1"/>
  <c r="AK37" i="80"/>
  <c r="AI37" i="80"/>
  <c r="AH37" i="80"/>
  <c r="AA77" i="80"/>
  <c r="AF48" i="80"/>
  <c r="AI56" i="80"/>
  <c r="AH56" i="80"/>
  <c r="AK56" i="80"/>
  <c r="AH76" i="80"/>
  <c r="AI76" i="80"/>
  <c r="N78" i="80"/>
  <c r="O78" i="80" s="1"/>
  <c r="AJ85" i="80"/>
  <c r="AD85" i="80"/>
  <c r="AF85" i="80"/>
  <c r="AW24" i="80"/>
  <c r="AY24" i="80" s="1"/>
  <c r="BA24" i="80" s="1"/>
  <c r="AE10" i="80"/>
  <c r="AA23" i="80"/>
  <c r="AJ24" i="80"/>
  <c r="O25" i="80"/>
  <c r="AJ30" i="80"/>
  <c r="AD30" i="80"/>
  <c r="O35" i="80"/>
  <c r="S48" i="80"/>
  <c r="AC48" i="80" s="1"/>
  <c r="N52" i="80"/>
  <c r="O52" i="80" s="1"/>
  <c r="S56" i="80"/>
  <c r="AC56" i="80" s="1"/>
  <c r="AF56" i="80"/>
  <c r="AJ59" i="80"/>
  <c r="AD59" i="80"/>
  <c r="AF66" i="80"/>
  <c r="N76" i="80"/>
  <c r="O76" i="80" s="1"/>
  <c r="AI59" i="80"/>
  <c r="AH59" i="80"/>
  <c r="AD67" i="80"/>
  <c r="AJ67" i="80"/>
  <c r="AA38" i="80"/>
  <c r="AB38" i="80" s="1"/>
  <c r="AM38" i="80" s="1"/>
  <c r="AD23" i="80"/>
  <c r="AJ23" i="80"/>
  <c r="AI29" i="80"/>
  <c r="AH29" i="80"/>
  <c r="N30" i="80"/>
  <c r="O30" i="80" s="1"/>
  <c r="AK30" i="80" s="1"/>
  <c r="AD10" i="80"/>
  <c r="AA5" i="80"/>
  <c r="N27" i="80"/>
  <c r="O27" i="80" s="1"/>
  <c r="AK27" i="80" s="1"/>
  <c r="AH8" i="80"/>
  <c r="AJ31" i="80"/>
  <c r="O39" i="80"/>
  <c r="S46" i="80"/>
  <c r="AC46" i="80" s="1"/>
  <c r="AK46" i="80"/>
  <c r="AD76" i="80"/>
  <c r="AA82" i="80"/>
  <c r="N84" i="80"/>
  <c r="O84" i="80" s="1"/>
  <c r="AH30" i="80"/>
  <c r="AI30" i="80"/>
  <c r="AI32" i="80"/>
  <c r="AH32" i="80"/>
  <c r="AA24" i="80"/>
  <c r="AJ49" i="80"/>
  <c r="AD49" i="80"/>
  <c r="AD77" i="80"/>
  <c r="AJ77" i="80"/>
  <c r="AH83" i="80"/>
  <c r="AJ54" i="80"/>
  <c r="AD54" i="80"/>
  <c r="N59" i="80"/>
  <c r="O59" i="80" s="1"/>
  <c r="S16" i="80"/>
  <c r="AC16" i="80" s="1"/>
  <c r="N57" i="80"/>
  <c r="O57" i="80" s="1"/>
  <c r="S18" i="80"/>
  <c r="AC18" i="80" s="1"/>
  <c r="AF18" i="80"/>
  <c r="AE30" i="80"/>
  <c r="AA30" i="80"/>
  <c r="AI36" i="80"/>
  <c r="AH36" i="80"/>
  <c r="AA37" i="80"/>
  <c r="AB37" i="80" s="1"/>
  <c r="AM37" i="80" s="1"/>
  <c r="AE37" i="80"/>
  <c r="AA76" i="80"/>
  <c r="AE76" i="80"/>
  <c r="AK87" i="80"/>
  <c r="AF87" i="80"/>
  <c r="S87" i="80"/>
  <c r="AC87" i="80" s="1"/>
  <c r="AI14" i="80"/>
  <c r="AI17" i="80"/>
  <c r="AH17" i="80"/>
  <c r="AJ28" i="80"/>
  <c r="AD28" i="80"/>
  <c r="AJ33" i="80"/>
  <c r="AD5" i="80"/>
  <c r="AA18" i="80"/>
  <c r="AE9" i="80"/>
  <c r="AA9" i="80"/>
  <c r="AI10" i="80"/>
  <c r="AK10" i="80"/>
  <c r="AH10" i="80"/>
  <c r="AM14" i="80"/>
  <c r="AE27" i="80"/>
  <c r="AE28" i="80"/>
  <c r="O45" i="80"/>
  <c r="AA50" i="80"/>
  <c r="AB50" i="80" s="1"/>
  <c r="AM50" i="80" s="1"/>
  <c r="AF60" i="80"/>
  <c r="AJ66" i="80"/>
  <c r="AI75" i="80"/>
  <c r="AH75" i="80"/>
  <c r="AX13" i="80" a="1"/>
  <c r="AX13" i="80" s="1"/>
  <c r="AX14" i="80" a="1"/>
  <c r="AX14" i="80" s="1"/>
  <c r="N77" i="80"/>
  <c r="O77" i="80" s="1"/>
  <c r="AI81" i="80"/>
  <c r="AH81" i="80"/>
  <c r="AE86" i="80"/>
  <c r="AA86" i="80"/>
  <c r="AW23" i="80"/>
  <c r="AY23" i="80" s="1"/>
  <c r="BA23" i="80" s="1"/>
  <c r="AW8" i="80"/>
  <c r="AH5" i="80"/>
  <c r="N14" i="80"/>
  <c r="O14" i="80" s="1"/>
  <c r="N42" i="80"/>
  <c r="O42" i="80" s="1"/>
  <c r="AI15" i="80"/>
  <c r="AH15" i="80"/>
  <c r="K2" i="80"/>
  <c r="AW12" i="80"/>
  <c r="AX12" i="80" s="1" a="1"/>
  <c r="AX12" i="80" s="1"/>
  <c r="AA12" i="80"/>
  <c r="AJ37" i="80"/>
  <c r="AD37" i="80"/>
  <c r="AJ48" i="80"/>
  <c r="AD48" i="80"/>
  <c r="AD8" i="80"/>
  <c r="AJ50" i="80"/>
  <c r="AF50" i="80"/>
  <c r="AA66" i="80"/>
  <c r="AB66" i="80" s="1"/>
  <c r="AM66" i="80" s="1"/>
  <c r="AE66" i="80"/>
  <c r="AJ14" i="80"/>
  <c r="AK55" i="80"/>
  <c r="AI55" i="80"/>
  <c r="AH55" i="80"/>
  <c r="AJ58" i="80"/>
  <c r="AD58" i="80"/>
  <c r="AJ65" i="80"/>
  <c r="AD65" i="80"/>
  <c r="N72" i="80"/>
  <c r="O72" i="80" s="1"/>
  <c r="AA74" i="80"/>
  <c r="AE74" i="80"/>
  <c r="AI5" i="80"/>
  <c r="AD11" i="80"/>
  <c r="AK34" i="80"/>
  <c r="AD50" i="80"/>
  <c r="S53" i="80"/>
  <c r="AC53" i="80" s="1"/>
  <c r="AF53" i="80"/>
  <c r="O75" i="80"/>
  <c r="AJ36" i="80"/>
  <c r="AD36" i="80"/>
  <c r="AI53" i="80"/>
  <c r="AH53" i="80"/>
  <c r="S61" i="80"/>
  <c r="AC61" i="80" s="1"/>
  <c r="N83" i="80"/>
  <c r="O83" i="80" s="1"/>
  <c r="AM12" i="80"/>
  <c r="AA48" i="80"/>
  <c r="AI19" i="80"/>
  <c r="AH19" i="80"/>
  <c r="AE35" i="80"/>
  <c r="O40" i="80"/>
  <c r="AA58" i="80"/>
  <c r="AE61" i="80"/>
  <c r="AE83" i="80"/>
  <c r="AA83" i="80"/>
  <c r="AA14" i="80"/>
  <c r="AE8" i="80"/>
  <c r="AI23" i="80"/>
  <c r="AH23" i="80"/>
  <c r="N26" i="80"/>
  <c r="O26" i="80" s="1"/>
  <c r="AK26" i="80" s="1"/>
  <c r="AA36" i="80"/>
  <c r="AI39" i="80"/>
  <c r="AH39" i="80"/>
  <c r="AE53" i="80"/>
  <c r="AA53" i="80"/>
  <c r="AK60" i="80"/>
  <c r="AD62" i="80"/>
  <c r="N70" i="80"/>
  <c r="O70" i="80" s="1"/>
  <c r="N81" i="80"/>
  <c r="O81" i="80" s="1"/>
  <c r="AK81" i="80" s="1"/>
  <c r="AI86" i="80"/>
  <c r="AH86" i="80"/>
  <c r="AJ16" i="80"/>
  <c r="AD16" i="80"/>
  <c r="AK18" i="80"/>
  <c r="AW27" i="80"/>
  <c r="AY27" i="80" s="1"/>
  <c r="BA27" i="80" s="1"/>
  <c r="AE49" i="80"/>
  <c r="AF55" i="80"/>
  <c r="AI69" i="80"/>
  <c r="AH71" i="80"/>
  <c r="AK71" i="80"/>
  <c r="AK73" i="80"/>
  <c r="AF20" i="80"/>
  <c r="AI27" i="80"/>
  <c r="AH27" i="80"/>
  <c r="AE33" i="80"/>
  <c r="AI38" i="80"/>
  <c r="AH38" i="80"/>
  <c r="AI51" i="80"/>
  <c r="AH51" i="80"/>
  <c r="AJ53" i="80"/>
  <c r="AJ72" i="80"/>
  <c r="AE75" i="80"/>
  <c r="S82" i="80"/>
  <c r="AF82" i="80"/>
  <c r="AI34" i="80"/>
  <c r="O51" i="80"/>
  <c r="N64" i="80"/>
  <c r="O64" i="80" s="1"/>
  <c r="AK64" i="80" s="1"/>
  <c r="O69" i="80"/>
  <c r="AK69" i="80" s="1"/>
  <c r="AA73" i="80"/>
  <c r="AE73" i="80"/>
  <c r="AA87" i="80"/>
  <c r="AE87" i="80"/>
  <c r="AM26" i="80"/>
  <c r="N33" i="80"/>
  <c r="O33" i="80" s="1"/>
  <c r="AE43" i="80"/>
  <c r="AK50" i="80"/>
  <c r="AI50" i="80"/>
  <c r="AH50" i="80"/>
  <c r="AK62" i="80"/>
  <c r="N68" i="80"/>
  <c r="O68" i="80" s="1"/>
  <c r="AE51" i="80"/>
  <c r="AA52" i="80"/>
  <c r="AE52" i="80"/>
  <c r="AI72" i="80"/>
  <c r="AH72" i="80"/>
  <c r="AK47" i="80"/>
  <c r="AK66" i="80"/>
  <c r="AI80" i="80"/>
  <c r="AH80" i="80"/>
  <c r="O67" i="80"/>
  <c r="AK67" i="80" s="1"/>
  <c r="AE46" i="80"/>
  <c r="AA63" i="80"/>
  <c r="AE63" i="80"/>
  <c r="N65" i="80"/>
  <c r="O65" i="80" s="1"/>
  <c r="O79" i="80"/>
  <c r="O58" i="80"/>
  <c r="AK58" i="80" s="1"/>
  <c r="AG7" i="80" l="1"/>
  <c r="AG55" i="80"/>
  <c r="AK23" i="80"/>
  <c r="S23" i="80"/>
  <c r="AC23" i="80" s="1"/>
  <c r="AG23" i="80" s="1"/>
  <c r="AB56" i="80"/>
  <c r="AM56" i="80" s="1"/>
  <c r="AB28" i="80"/>
  <c r="AM28" i="80" s="1"/>
  <c r="AB61" i="80"/>
  <c r="AM61" i="80" s="1"/>
  <c r="AK24" i="80"/>
  <c r="S24" i="80"/>
  <c r="AC24" i="80" s="1"/>
  <c r="AG24" i="80" s="1"/>
  <c r="AG47" i="80"/>
  <c r="AK63" i="80"/>
  <c r="AG46" i="80"/>
  <c r="AG6" i="80"/>
  <c r="AG22" i="80"/>
  <c r="AB71" i="80"/>
  <c r="AM71" i="80" s="1"/>
  <c r="AG34" i="80"/>
  <c r="S63" i="80"/>
  <c r="AC63" i="80" s="1"/>
  <c r="AG63" i="80" s="1"/>
  <c r="AG32" i="80"/>
  <c r="AG38" i="80"/>
  <c r="AG85" i="80"/>
  <c r="AG20" i="80"/>
  <c r="S74" i="80"/>
  <c r="AC74" i="80" s="1"/>
  <c r="AK74" i="80"/>
  <c r="BB10" i="80"/>
  <c r="AB53" i="80"/>
  <c r="AM53" i="80" s="1"/>
  <c r="AG66" i="80"/>
  <c r="AB43" i="80"/>
  <c r="AM43" i="80" s="1"/>
  <c r="AG62" i="80"/>
  <c r="AG56" i="80"/>
  <c r="BB9" i="80"/>
  <c r="AG48" i="80"/>
  <c r="AK86" i="80"/>
  <c r="BB12" i="80"/>
  <c r="AZ10" i="80" a="1"/>
  <c r="AZ10" i="80" s="1"/>
  <c r="AY10" i="80" s="1"/>
  <c r="AF74" i="80"/>
  <c r="AZ17" i="80" a="1"/>
  <c r="AZ17" i="80" s="1"/>
  <c r="AY17" i="80" s="1"/>
  <c r="AG37" i="80"/>
  <c r="AG50" i="80"/>
  <c r="AB17" i="80"/>
  <c r="AM17" i="80" s="1"/>
  <c r="S86" i="80"/>
  <c r="AC86" i="80" s="1"/>
  <c r="AG86" i="80" s="1"/>
  <c r="AG17" i="80"/>
  <c r="AB73" i="80"/>
  <c r="AM73" i="80" s="1"/>
  <c r="AG11" i="80"/>
  <c r="AZ13" i="80" a="1"/>
  <c r="AZ13" i="80" s="1"/>
  <c r="AY13" i="80" s="1"/>
  <c r="AZ9" i="80" a="1"/>
  <c r="AZ9" i="80" s="1"/>
  <c r="AY9" i="80" s="1"/>
  <c r="AG60" i="80"/>
  <c r="AZ12" i="80" a="1"/>
  <c r="AZ12" i="80" s="1"/>
  <c r="AY12" i="80" s="1"/>
  <c r="AB6" i="80"/>
  <c r="AM6" i="80" s="1"/>
  <c r="BA21" i="80"/>
  <c r="AF72" i="80"/>
  <c r="S72" i="80"/>
  <c r="AC72" i="80" s="1"/>
  <c r="AK72" i="80"/>
  <c r="AF57" i="80"/>
  <c r="S57" i="80"/>
  <c r="AC57" i="80" s="1"/>
  <c r="AK57" i="80"/>
  <c r="AF36" i="80"/>
  <c r="AG36" i="80" s="1"/>
  <c r="AB36" i="80"/>
  <c r="AM36" i="80" s="1"/>
  <c r="AK36" i="80"/>
  <c r="AF15" i="80"/>
  <c r="S15" i="80"/>
  <c r="AC15" i="80" s="1"/>
  <c r="AK15" i="80"/>
  <c r="S41" i="80"/>
  <c r="AC41" i="80" s="1"/>
  <c r="AK41" i="80"/>
  <c r="AF41" i="80"/>
  <c r="S42" i="80"/>
  <c r="AC42" i="80" s="1"/>
  <c r="AF42" i="80"/>
  <c r="AK42" i="80"/>
  <c r="S52" i="80"/>
  <c r="AC52" i="80" s="1"/>
  <c r="AF52" i="80"/>
  <c r="AK52" i="80"/>
  <c r="S80" i="80"/>
  <c r="AC80" i="80" s="1"/>
  <c r="AF80" i="80"/>
  <c r="AK80" i="80"/>
  <c r="AB33" i="80"/>
  <c r="AM33" i="80" s="1"/>
  <c r="AK33" i="80"/>
  <c r="AF33" i="80"/>
  <c r="AG33" i="80" s="1"/>
  <c r="AF83" i="80"/>
  <c r="S83" i="80"/>
  <c r="AC83" i="80" s="1"/>
  <c r="AK83" i="80"/>
  <c r="AF19" i="80"/>
  <c r="AK19" i="80"/>
  <c r="S19" i="80"/>
  <c r="AC19" i="80" s="1"/>
  <c r="AK68" i="80"/>
  <c r="AF68" i="80"/>
  <c r="S68" i="80"/>
  <c r="AC68" i="80" s="1"/>
  <c r="S76" i="80"/>
  <c r="AC76" i="80" s="1"/>
  <c r="AF76" i="80"/>
  <c r="AK76" i="80"/>
  <c r="AF65" i="80"/>
  <c r="S65" i="80"/>
  <c r="AC65" i="80" s="1"/>
  <c r="AK65" i="80"/>
  <c r="AK70" i="80"/>
  <c r="S70" i="80"/>
  <c r="AC70" i="80" s="1"/>
  <c r="AF70" i="80"/>
  <c r="S29" i="80"/>
  <c r="AC29" i="80" s="1"/>
  <c r="AF29" i="80"/>
  <c r="AK29" i="80"/>
  <c r="AF59" i="80"/>
  <c r="S59" i="80"/>
  <c r="AC59" i="80" s="1"/>
  <c r="AK59" i="80"/>
  <c r="AZ16" i="80" a="1"/>
  <c r="AZ16" i="80" s="1"/>
  <c r="AY16" i="80" s="1"/>
  <c r="AC82" i="80"/>
  <c r="AG82" i="80" s="1"/>
  <c r="AB82" i="80"/>
  <c r="AM82" i="80" s="1"/>
  <c r="AF14" i="80"/>
  <c r="S14" i="80"/>
  <c r="AC14" i="80" s="1"/>
  <c r="AF40" i="80"/>
  <c r="S40" i="80"/>
  <c r="AC40" i="80" s="1"/>
  <c r="AK40" i="80"/>
  <c r="AF30" i="80"/>
  <c r="S30" i="80"/>
  <c r="AC30" i="80" s="1"/>
  <c r="AG10" i="80"/>
  <c r="BA11" i="80"/>
  <c r="BB11" i="80"/>
  <c r="AZ11" i="80" a="1"/>
  <c r="AZ11" i="80" s="1"/>
  <c r="AY11" i="80" s="1"/>
  <c r="AF75" i="80"/>
  <c r="S75" i="80"/>
  <c r="AC75" i="80" s="1"/>
  <c r="AK14" i="80"/>
  <c r="R2" i="80"/>
  <c r="AK75" i="80"/>
  <c r="AK35" i="80"/>
  <c r="AF35" i="80"/>
  <c r="AG35" i="80" s="1"/>
  <c r="AB35" i="80"/>
  <c r="AM35" i="80" s="1"/>
  <c r="S84" i="80"/>
  <c r="AC84" i="80" s="1"/>
  <c r="AK84" i="80"/>
  <c r="AF84" i="80"/>
  <c r="BA16" i="80"/>
  <c r="AG5" i="80"/>
  <c r="BA10" i="80"/>
  <c r="S26" i="80"/>
  <c r="AC26" i="80" s="1"/>
  <c r="AF26" i="80"/>
  <c r="AG16" i="80"/>
  <c r="S13" i="80"/>
  <c r="AC13" i="80" s="1"/>
  <c r="AF13" i="80"/>
  <c r="S79" i="80"/>
  <c r="AC79" i="80" s="1"/>
  <c r="AF79" i="80"/>
  <c r="AK79" i="80"/>
  <c r="AB16" i="80"/>
  <c r="AM16" i="80" s="1"/>
  <c r="AG8" i="80"/>
  <c r="BA13" i="80"/>
  <c r="P2" i="80"/>
  <c r="AF39" i="80"/>
  <c r="AK39" i="80"/>
  <c r="S39" i="80"/>
  <c r="AC39" i="80" s="1"/>
  <c r="Q2" i="80"/>
  <c r="G2" i="80" s="1"/>
  <c r="BA12" i="80"/>
  <c r="S27" i="80"/>
  <c r="AC27" i="80" s="1"/>
  <c r="AF27" i="80"/>
  <c r="AG61" i="80"/>
  <c r="AG87" i="80"/>
  <c r="AB48" i="80"/>
  <c r="AM48" i="80" s="1"/>
  <c r="AG49" i="80"/>
  <c r="AG54" i="80"/>
  <c r="AG9" i="80"/>
  <c r="AB49" i="80"/>
  <c r="AM49" i="80" s="1"/>
  <c r="AG21" i="80"/>
  <c r="AF58" i="80"/>
  <c r="S58" i="80"/>
  <c r="AC58" i="80" s="1"/>
  <c r="S45" i="80"/>
  <c r="AC45" i="80" s="1"/>
  <c r="AK45" i="80"/>
  <c r="AF45" i="80"/>
  <c r="AB21" i="80"/>
  <c r="AM21" i="80" s="1"/>
  <c r="AB54" i="80"/>
  <c r="AM54" i="80" s="1"/>
  <c r="S81" i="80"/>
  <c r="AC81" i="80" s="1"/>
  <c r="AF81" i="80"/>
  <c r="AI3" i="80"/>
  <c r="E1" i="80" s="1"/>
  <c r="BA9" i="80"/>
  <c r="AG73" i="80"/>
  <c r="AG71" i="80"/>
  <c r="BA14" i="80"/>
  <c r="S12" i="80"/>
  <c r="AC12" i="80" s="1"/>
  <c r="AF12" i="80"/>
  <c r="BB8" i="80"/>
  <c r="AZ8" i="80" a="1"/>
  <c r="AZ8" i="80" s="1"/>
  <c r="AX8" i="80" a="1"/>
  <c r="AX8" i="80" s="1"/>
  <c r="AW6" i="80"/>
  <c r="BD8" i="80"/>
  <c r="BD9" i="80" s="1"/>
  <c r="BD10" i="80" s="1"/>
  <c r="BD11" i="80" s="1"/>
  <c r="BD12" i="80" s="1"/>
  <c r="BD13" i="80" s="1"/>
  <c r="BD14" i="80" s="1"/>
  <c r="BD15" i="80" s="1"/>
  <c r="BD16" i="80" s="1"/>
  <c r="BD17" i="80" s="1"/>
  <c r="AG43" i="80"/>
  <c r="AB62" i="80"/>
  <c r="AM62" i="80" s="1"/>
  <c r="AK12" i="80"/>
  <c r="AZ15" i="80" a="1"/>
  <c r="AZ15" i="80" s="1"/>
  <c r="AY15" i="80" s="1"/>
  <c r="AJ3" i="80"/>
  <c r="L37" i="12" s="1"/>
  <c r="L2" i="80"/>
  <c r="AZ14" i="80" a="1"/>
  <c r="AZ14" i="80" s="1"/>
  <c r="AY14" i="80" s="1"/>
  <c r="S69" i="80"/>
  <c r="AC69" i="80" s="1"/>
  <c r="AF69" i="80"/>
  <c r="AG18" i="80"/>
  <c r="AG28" i="80"/>
  <c r="AH3" i="80"/>
  <c r="E2" i="80" s="1"/>
  <c r="S67" i="80"/>
  <c r="AC67" i="80" s="1"/>
  <c r="AF67" i="80"/>
  <c r="S64" i="80"/>
  <c r="AC64" i="80" s="1"/>
  <c r="AF64" i="80"/>
  <c r="AK77" i="80"/>
  <c r="S77" i="80"/>
  <c r="AC77" i="80" s="1"/>
  <c r="AF77" i="80"/>
  <c r="S25" i="80"/>
  <c r="AC25" i="80" s="1"/>
  <c r="AK25" i="80"/>
  <c r="AF25" i="80"/>
  <c r="AB31" i="80"/>
  <c r="AM31" i="80" s="1"/>
  <c r="AF31" i="80"/>
  <c r="AG31" i="80" s="1"/>
  <c r="AG53" i="80"/>
  <c r="AB87" i="80"/>
  <c r="AM87" i="80" s="1"/>
  <c r="S78" i="80"/>
  <c r="AC78" i="80" s="1"/>
  <c r="AF78" i="80"/>
  <c r="AK78" i="80"/>
  <c r="S51" i="80"/>
  <c r="AC51" i="80" s="1"/>
  <c r="AF51" i="80"/>
  <c r="AK51" i="80"/>
  <c r="AB18" i="80"/>
  <c r="AM18" i="80" s="1"/>
  <c r="AB46" i="80"/>
  <c r="AM46" i="80" s="1"/>
  <c r="BA17" i="80"/>
  <c r="S44" i="80"/>
  <c r="AC44" i="80" s="1"/>
  <c r="AK44" i="80"/>
  <c r="AF44" i="80"/>
  <c r="AG15" i="80" l="1"/>
  <c r="AG65" i="80"/>
  <c r="AB24" i="80"/>
  <c r="AM24" i="80" s="1"/>
  <c r="AB23" i="80"/>
  <c r="AM23" i="80" s="1"/>
  <c r="AG40" i="80"/>
  <c r="AG59" i="80"/>
  <c r="AG83" i="80"/>
  <c r="AB41" i="80"/>
  <c r="AM41" i="80" s="1"/>
  <c r="AB63" i="80"/>
  <c r="AM63" i="80" s="1"/>
  <c r="AG75" i="80"/>
  <c r="AG14" i="80"/>
  <c r="AG68" i="80"/>
  <c r="AG57" i="80"/>
  <c r="AB51" i="80"/>
  <c r="AM51" i="80" s="1"/>
  <c r="AB65" i="80"/>
  <c r="AM65" i="80" s="1"/>
  <c r="AG74" i="80"/>
  <c r="AB76" i="80"/>
  <c r="AM76" i="80" s="1"/>
  <c r="AG58" i="80"/>
  <c r="AB86" i="80"/>
  <c r="AM86" i="80" s="1"/>
  <c r="AB69" i="80"/>
  <c r="AM69" i="80" s="1"/>
  <c r="AB77" i="80"/>
  <c r="AM77" i="80" s="1"/>
  <c r="AB79" i="80"/>
  <c r="AM79" i="80" s="1"/>
  <c r="AB74" i="80"/>
  <c r="AM74" i="80" s="1"/>
  <c r="AB29" i="80"/>
  <c r="AM29" i="80" s="1"/>
  <c r="AB44" i="80"/>
  <c r="AM44" i="80" s="1"/>
  <c r="AG30" i="80"/>
  <c r="AG19" i="80"/>
  <c r="AB70" i="80"/>
  <c r="AM70" i="80" s="1"/>
  <c r="AG78" i="80"/>
  <c r="AB64" i="80"/>
  <c r="AM64" i="80" s="1"/>
  <c r="AB81" i="80"/>
  <c r="AM81" i="80" s="1"/>
  <c r="AB80" i="80"/>
  <c r="AM80" i="80" s="1"/>
  <c r="AB42" i="80"/>
  <c r="AM42" i="80" s="1"/>
  <c r="AG72" i="80"/>
  <c r="AG39" i="80"/>
  <c r="AB25" i="80"/>
  <c r="AM25" i="80" s="1"/>
  <c r="AG12" i="80"/>
  <c r="AG81" i="80"/>
  <c r="AG27" i="80"/>
  <c r="AG84" i="80"/>
  <c r="AG70" i="80"/>
  <c r="AG52" i="80"/>
  <c r="AK3" i="80"/>
  <c r="G37" i="12" s="1"/>
  <c r="AB27" i="80"/>
  <c r="AM27" i="80" s="1"/>
  <c r="AB84" i="80"/>
  <c r="AM84" i="80" s="1"/>
  <c r="AG76" i="80"/>
  <c r="AG51" i="80"/>
  <c r="AG25" i="80"/>
  <c r="AB75" i="80"/>
  <c r="AM75" i="80" s="1"/>
  <c r="AB30" i="80"/>
  <c r="AM30" i="80" s="1"/>
  <c r="AZ6" i="80"/>
  <c r="AB40" i="80"/>
  <c r="AM40" i="80" s="1"/>
  <c r="AB72" i="80"/>
  <c r="AM72" i="80" s="1"/>
  <c r="AG77" i="80"/>
  <c r="AB78" i="80"/>
  <c r="AM78" i="80" s="1"/>
  <c r="AB39" i="80"/>
  <c r="AM39" i="80" s="1"/>
  <c r="BA8" i="80"/>
  <c r="AY8" i="80"/>
  <c r="AX6" i="80"/>
  <c r="AG69" i="80"/>
  <c r="BB6" i="80"/>
  <c r="BC23" i="80" s="1"/>
  <c r="BC28" i="80" s="1"/>
  <c r="AG64" i="80"/>
  <c r="AG79" i="80"/>
  <c r="AG41" i="80"/>
  <c r="AG67" i="80"/>
  <c r="AG13" i="80"/>
  <c r="AB52" i="80"/>
  <c r="AM52" i="80" s="1"/>
  <c r="AB19" i="80"/>
  <c r="AM19" i="80" s="1"/>
  <c r="AG26" i="80"/>
  <c r="AB59" i="80"/>
  <c r="AM59" i="80" s="1"/>
  <c r="AG44" i="80"/>
  <c r="AG80" i="80"/>
  <c r="AB57" i="80"/>
  <c r="AM57" i="80" s="1"/>
  <c r="AG45" i="80"/>
  <c r="AG42" i="80"/>
  <c r="AB67" i="80"/>
  <c r="AM67" i="80" s="1"/>
  <c r="AB13" i="80"/>
  <c r="AM13" i="80" s="1"/>
  <c r="AG29" i="80"/>
  <c r="AB68" i="80"/>
  <c r="AM68" i="80" s="1"/>
  <c r="AB83" i="80"/>
  <c r="AM83" i="80" s="1"/>
  <c r="AG2" i="80" l="1"/>
  <c r="K37" i="12" s="1"/>
  <c r="M37" i="12" s="1"/>
  <c r="AM3" i="80"/>
  <c r="G1" i="80" s="1"/>
  <c r="BA6" i="80"/>
  <c r="BC8" i="80"/>
  <c r="BC9" i="80" s="1"/>
  <c r="BC10" i="80" s="1"/>
  <c r="BC11" i="80" s="1"/>
  <c r="BC12" i="80" s="1"/>
  <c r="BC13" i="80" s="1"/>
  <c r="BC14" i="80" s="1"/>
  <c r="BC15" i="80" s="1"/>
  <c r="BC16" i="80" s="1"/>
  <c r="BC17" i="80" s="1"/>
  <c r="BC24" i="79" l="1"/>
  <c r="AN112" i="79" l="1"/>
  <c r="M112" i="79" s="1"/>
  <c r="Z112" i="79"/>
  <c r="Y112" i="79"/>
  <c r="U112" i="79"/>
  <c r="AJ112" i="79" s="1"/>
  <c r="K112" i="79"/>
  <c r="AI112" i="79" s="1"/>
  <c r="E112" i="79"/>
  <c r="AN111" i="79"/>
  <c r="M111" i="79" s="1"/>
  <c r="Z111" i="79"/>
  <c r="Y111" i="79"/>
  <c r="U111" i="79"/>
  <c r="K111" i="79"/>
  <c r="AH111" i="79" s="1"/>
  <c r="E111" i="79"/>
  <c r="AN110" i="79"/>
  <c r="M110" i="79" s="1"/>
  <c r="N110" i="79" s="1"/>
  <c r="O110" i="79" s="1"/>
  <c r="Z110" i="79"/>
  <c r="Y110" i="79"/>
  <c r="U110" i="79"/>
  <c r="AD110" i="79" s="1"/>
  <c r="K110" i="79"/>
  <c r="AH110" i="79" s="1"/>
  <c r="E110" i="79"/>
  <c r="AN109" i="79"/>
  <c r="M109" i="79" s="1"/>
  <c r="N109" i="79" s="1"/>
  <c r="Z109" i="79"/>
  <c r="Y109" i="79"/>
  <c r="U109" i="79"/>
  <c r="AD109" i="79" s="1"/>
  <c r="K109" i="79"/>
  <c r="E109" i="79"/>
  <c r="AN108" i="79"/>
  <c r="M108" i="79" s="1"/>
  <c r="N108" i="79" s="1"/>
  <c r="Z108" i="79"/>
  <c r="Y108" i="79"/>
  <c r="U108" i="79"/>
  <c r="K108" i="79"/>
  <c r="AI108" i="79" s="1"/>
  <c r="E108" i="79"/>
  <c r="AN107" i="79"/>
  <c r="M107" i="79" s="1"/>
  <c r="N107" i="79" s="1"/>
  <c r="Z107" i="79"/>
  <c r="Y107" i="79"/>
  <c r="U107" i="79"/>
  <c r="AD107" i="79" s="1"/>
  <c r="K107" i="79"/>
  <c r="AI107" i="79" s="1"/>
  <c r="E107" i="79"/>
  <c r="AN106" i="79"/>
  <c r="M106" i="79" s="1"/>
  <c r="Z106" i="79"/>
  <c r="Y106" i="79"/>
  <c r="U106" i="79"/>
  <c r="K106" i="79"/>
  <c r="E106" i="79"/>
  <c r="AN105" i="79"/>
  <c r="M105" i="79" s="1"/>
  <c r="Z105" i="79"/>
  <c r="Y105" i="79"/>
  <c r="U105" i="79"/>
  <c r="K105" i="79"/>
  <c r="E105" i="79"/>
  <c r="AN104" i="79"/>
  <c r="M104" i="79" s="1"/>
  <c r="N104" i="79" s="1"/>
  <c r="Z104" i="79"/>
  <c r="Y104" i="79"/>
  <c r="U104" i="79"/>
  <c r="AJ104" i="79" s="1"/>
  <c r="K104" i="79"/>
  <c r="E104" i="79"/>
  <c r="AN103" i="79"/>
  <c r="M103" i="79" s="1"/>
  <c r="N103" i="79" s="1"/>
  <c r="O103" i="79" s="1"/>
  <c r="Y103" i="79"/>
  <c r="AA103" i="79" s="1"/>
  <c r="U103" i="79"/>
  <c r="K103" i="79"/>
  <c r="AH103" i="79" s="1"/>
  <c r="E103" i="79"/>
  <c r="AN102" i="79"/>
  <c r="M102" i="79" s="1"/>
  <c r="Y102" i="79"/>
  <c r="AA102" i="79" s="1"/>
  <c r="U102" i="79"/>
  <c r="AJ102" i="79" s="1"/>
  <c r="K102" i="79"/>
  <c r="E102" i="79"/>
  <c r="AN101" i="79"/>
  <c r="M101" i="79" s="1"/>
  <c r="Y101" i="79"/>
  <c r="AA101" i="79" s="1"/>
  <c r="U101" i="79"/>
  <c r="AJ101" i="79" s="1"/>
  <c r="K101" i="79"/>
  <c r="AH101" i="79" s="1"/>
  <c r="E101" i="79"/>
  <c r="AN100" i="79"/>
  <c r="M100" i="79" s="1"/>
  <c r="Y100" i="79"/>
  <c r="U100" i="79"/>
  <c r="AD100" i="79" s="1"/>
  <c r="K100" i="79"/>
  <c r="AI100" i="79" s="1"/>
  <c r="E100" i="79"/>
  <c r="AN99" i="79"/>
  <c r="M99" i="79" s="1"/>
  <c r="Y99" i="79"/>
  <c r="U99" i="79"/>
  <c r="K99" i="79"/>
  <c r="AI99" i="79" s="1"/>
  <c r="E99" i="79"/>
  <c r="AN98" i="79"/>
  <c r="M98" i="79" s="1"/>
  <c r="Y98" i="79"/>
  <c r="AE98" i="79" s="1"/>
  <c r="U98" i="79"/>
  <c r="AJ98" i="79" s="1"/>
  <c r="K98" i="79"/>
  <c r="E98" i="79"/>
  <c r="AN97" i="79"/>
  <c r="M97" i="79" s="1"/>
  <c r="N97" i="79" s="1"/>
  <c r="Y97" i="79"/>
  <c r="AE97" i="79" s="1"/>
  <c r="U97" i="79"/>
  <c r="AD97" i="79" s="1"/>
  <c r="K97" i="79"/>
  <c r="AH97" i="79" s="1"/>
  <c r="E97" i="79"/>
  <c r="AN96" i="79"/>
  <c r="M96" i="79" s="1"/>
  <c r="Y96" i="79"/>
  <c r="AE96" i="79" s="1"/>
  <c r="U96" i="79"/>
  <c r="K96" i="79"/>
  <c r="E96" i="79"/>
  <c r="AN95" i="79"/>
  <c r="M95" i="79" s="1"/>
  <c r="Y95" i="79"/>
  <c r="AE95" i="79" s="1"/>
  <c r="U95" i="79"/>
  <c r="AJ95" i="79" s="1"/>
  <c r="K95" i="79"/>
  <c r="E95" i="79"/>
  <c r="AN94" i="79"/>
  <c r="M94" i="79" s="1"/>
  <c r="Y94" i="79"/>
  <c r="U94" i="79"/>
  <c r="K94" i="79"/>
  <c r="E94" i="79"/>
  <c r="AN93" i="79"/>
  <c r="M93" i="79" s="1"/>
  <c r="Y93" i="79"/>
  <c r="AE93" i="79" s="1"/>
  <c r="U93" i="79"/>
  <c r="AJ93" i="79" s="1"/>
  <c r="K93" i="79"/>
  <c r="E93" i="79"/>
  <c r="AN92" i="79"/>
  <c r="M92" i="79" s="1"/>
  <c r="Y92" i="79"/>
  <c r="AE92" i="79" s="1"/>
  <c r="U92" i="79"/>
  <c r="AJ92" i="79" s="1"/>
  <c r="K92" i="79"/>
  <c r="E92" i="79"/>
  <c r="AN91" i="79"/>
  <c r="M91" i="79" s="1"/>
  <c r="N91" i="79" s="1"/>
  <c r="Z91" i="79"/>
  <c r="Y91" i="79"/>
  <c r="U91" i="79"/>
  <c r="AD91" i="79" s="1"/>
  <c r="K91" i="79"/>
  <c r="AI91" i="79" s="1"/>
  <c r="E91" i="79"/>
  <c r="AN90" i="79"/>
  <c r="M90" i="79" s="1"/>
  <c r="N90" i="79" s="1"/>
  <c r="O90" i="79" s="1"/>
  <c r="Z90" i="79"/>
  <c r="Y90" i="79"/>
  <c r="U90" i="79"/>
  <c r="K90" i="79"/>
  <c r="E90" i="79"/>
  <c r="AN89" i="79"/>
  <c r="M89" i="79" s="1"/>
  <c r="O89" i="79" s="1"/>
  <c r="Z89" i="79"/>
  <c r="Y89" i="79"/>
  <c r="U89" i="79"/>
  <c r="K89" i="79"/>
  <c r="E89" i="79"/>
  <c r="AN88" i="79"/>
  <c r="M88" i="79" s="1"/>
  <c r="O88" i="79" s="1"/>
  <c r="Z88" i="79"/>
  <c r="AE88" i="79" s="1"/>
  <c r="U88" i="79"/>
  <c r="AJ88" i="79" s="1"/>
  <c r="K88" i="79"/>
  <c r="E88" i="79"/>
  <c r="AN87" i="79"/>
  <c r="M87" i="79" s="1"/>
  <c r="O87" i="79" s="1"/>
  <c r="Z87" i="79"/>
  <c r="Y87" i="79"/>
  <c r="U87" i="79"/>
  <c r="K87" i="79"/>
  <c r="E87" i="79"/>
  <c r="Z86" i="79"/>
  <c r="Y86" i="79"/>
  <c r="U86" i="79"/>
  <c r="M86" i="79"/>
  <c r="N86" i="79" s="1"/>
  <c r="O86" i="79" s="1"/>
  <c r="K86" i="79"/>
  <c r="E86" i="79"/>
  <c r="AN85" i="79"/>
  <c r="M85" i="79" s="1"/>
  <c r="Z85" i="79"/>
  <c r="Y85" i="79"/>
  <c r="U85" i="79"/>
  <c r="K85" i="79"/>
  <c r="AI85" i="79" s="1"/>
  <c r="E85" i="79"/>
  <c r="AN84" i="79"/>
  <c r="M84" i="79" s="1"/>
  <c r="Z84" i="79"/>
  <c r="Y84" i="79"/>
  <c r="U84" i="79"/>
  <c r="K84" i="79"/>
  <c r="E84" i="79"/>
  <c r="AN83" i="79"/>
  <c r="M83" i="79" s="1"/>
  <c r="Z83" i="79"/>
  <c r="Y83" i="79"/>
  <c r="U83" i="79"/>
  <c r="AJ83" i="79" s="1"/>
  <c r="K83" i="79"/>
  <c r="E83" i="79"/>
  <c r="AN82" i="79"/>
  <c r="M82" i="79" s="1"/>
  <c r="Z82" i="79"/>
  <c r="Y82" i="79"/>
  <c r="U82" i="79"/>
  <c r="K82" i="79"/>
  <c r="E82" i="79"/>
  <c r="AN81" i="79"/>
  <c r="M81" i="79" s="1"/>
  <c r="O81" i="79" s="1"/>
  <c r="Z81" i="79"/>
  <c r="AA81" i="79" s="1"/>
  <c r="U81" i="79"/>
  <c r="AJ81" i="79" s="1"/>
  <c r="K81" i="79"/>
  <c r="AH81" i="79" s="1"/>
  <c r="E81" i="79"/>
  <c r="AN80" i="79"/>
  <c r="M80" i="79" s="1"/>
  <c r="Z80" i="79"/>
  <c r="Y80" i="79"/>
  <c r="U80" i="79"/>
  <c r="AJ80" i="79" s="1"/>
  <c r="K80" i="79"/>
  <c r="AI80" i="79" s="1"/>
  <c r="E80" i="79"/>
  <c r="AN79" i="79"/>
  <c r="M79" i="79" s="1"/>
  <c r="Y79" i="79"/>
  <c r="U79" i="79"/>
  <c r="K79" i="79"/>
  <c r="AH79" i="79" s="1"/>
  <c r="E79" i="79"/>
  <c r="AN78" i="79"/>
  <c r="M78" i="79" s="1"/>
  <c r="AE78" i="79"/>
  <c r="AA78" i="79"/>
  <c r="U78" i="79"/>
  <c r="AD78" i="79" s="1"/>
  <c r="K78" i="79"/>
  <c r="AI78" i="79" s="1"/>
  <c r="E78" i="79"/>
  <c r="AN77" i="79"/>
  <c r="M77" i="79" s="1"/>
  <c r="N77" i="79" s="1"/>
  <c r="O77" i="79" s="1"/>
  <c r="Y77" i="79"/>
  <c r="AE77" i="79" s="1"/>
  <c r="U77" i="79"/>
  <c r="K77" i="79"/>
  <c r="AI77" i="79" s="1"/>
  <c r="E77" i="79"/>
  <c r="AN76" i="79"/>
  <c r="M76" i="79" s="1"/>
  <c r="N76" i="79" s="1"/>
  <c r="Y76" i="79"/>
  <c r="AA76" i="79" s="1"/>
  <c r="U76" i="79"/>
  <c r="AJ76" i="79" s="1"/>
  <c r="K76" i="79"/>
  <c r="E76" i="79"/>
  <c r="AN75" i="79"/>
  <c r="M75" i="79" s="1"/>
  <c r="O75" i="79" s="1"/>
  <c r="S75" i="79" s="1"/>
  <c r="AC75" i="79" s="1"/>
  <c r="Z75" i="79"/>
  <c r="U75" i="79"/>
  <c r="K75" i="79"/>
  <c r="AH75" i="79" s="1"/>
  <c r="E75" i="79"/>
  <c r="AN74" i="79"/>
  <c r="M74" i="79" s="1"/>
  <c r="O74" i="79" s="1"/>
  <c r="Z74" i="79"/>
  <c r="Y74" i="79"/>
  <c r="U74" i="79"/>
  <c r="K74" i="79"/>
  <c r="E74" i="79"/>
  <c r="AN73" i="79"/>
  <c r="M73" i="79" s="1"/>
  <c r="O73" i="79" s="1"/>
  <c r="Z73" i="79"/>
  <c r="Y73" i="79"/>
  <c r="U73" i="79"/>
  <c r="AJ73" i="79" s="1"/>
  <c r="K73" i="79"/>
  <c r="E73" i="79"/>
  <c r="AN72" i="79"/>
  <c r="M72" i="79" s="1"/>
  <c r="Z72" i="79"/>
  <c r="Y72" i="79"/>
  <c r="U72" i="79"/>
  <c r="AD72" i="79" s="1"/>
  <c r="K72" i="79"/>
  <c r="E72" i="79"/>
  <c r="AN71" i="79"/>
  <c r="M71" i="79" s="1"/>
  <c r="O71" i="79" s="1"/>
  <c r="AC71" i="79"/>
  <c r="Z71" i="79"/>
  <c r="AA71" i="79" s="1"/>
  <c r="U71" i="79"/>
  <c r="AJ71" i="79" s="1"/>
  <c r="K71" i="79"/>
  <c r="E71" i="79"/>
  <c r="AN70" i="79"/>
  <c r="M70" i="79" s="1"/>
  <c r="O70" i="79" s="1"/>
  <c r="AC70" i="79"/>
  <c r="Z70" i="79"/>
  <c r="AE70" i="79" s="1"/>
  <c r="U70" i="79"/>
  <c r="K70" i="79"/>
  <c r="E70" i="79"/>
  <c r="AN69" i="79"/>
  <c r="M69" i="79" s="1"/>
  <c r="N69" i="79" s="1"/>
  <c r="Z69" i="79"/>
  <c r="Y69" i="79"/>
  <c r="U69" i="79"/>
  <c r="K69" i="79"/>
  <c r="E69" i="79"/>
  <c r="AN68" i="79"/>
  <c r="M68" i="79" s="1"/>
  <c r="Z68" i="79"/>
  <c r="Y68" i="79"/>
  <c r="U68" i="79"/>
  <c r="K68" i="79"/>
  <c r="E68" i="79"/>
  <c r="AN67" i="79"/>
  <c r="M67" i="79" s="1"/>
  <c r="O67" i="79" s="1"/>
  <c r="Z67" i="79"/>
  <c r="Y67" i="79"/>
  <c r="U67" i="79"/>
  <c r="K67" i="79"/>
  <c r="AI67" i="79" s="1"/>
  <c r="E67" i="79"/>
  <c r="AN66" i="79"/>
  <c r="M66" i="79" s="1"/>
  <c r="Z66" i="79"/>
  <c r="Y66" i="79"/>
  <c r="U66" i="79"/>
  <c r="AJ66" i="79" s="1"/>
  <c r="K66" i="79"/>
  <c r="E66" i="79"/>
  <c r="AN65" i="79"/>
  <c r="M65" i="79" s="1"/>
  <c r="Z65" i="79"/>
  <c r="Y65" i="79"/>
  <c r="U65" i="79"/>
  <c r="K65" i="79"/>
  <c r="E65" i="79"/>
  <c r="AN64" i="79"/>
  <c r="M64" i="79" s="1"/>
  <c r="O64" i="79" s="1"/>
  <c r="AC64" i="79"/>
  <c r="Z64" i="79"/>
  <c r="Y64" i="79"/>
  <c r="U64" i="79"/>
  <c r="AD64" i="79" s="1"/>
  <c r="K64" i="79"/>
  <c r="AI64" i="79" s="1"/>
  <c r="E64" i="79"/>
  <c r="AN63" i="79"/>
  <c r="M63" i="79" s="1"/>
  <c r="AC63" i="79"/>
  <c r="Z63" i="79"/>
  <c r="Y63" i="79"/>
  <c r="U63" i="79"/>
  <c r="K63" i="79"/>
  <c r="E63" i="79"/>
  <c r="AN62" i="79"/>
  <c r="M62" i="79" s="1"/>
  <c r="AC62" i="79"/>
  <c r="Z62" i="79"/>
  <c r="Y62" i="79"/>
  <c r="U62" i="79"/>
  <c r="AD62" i="79" s="1"/>
  <c r="K62" i="79"/>
  <c r="AH62" i="79" s="1"/>
  <c r="E62" i="79"/>
  <c r="AN61" i="79"/>
  <c r="M61" i="79" s="1"/>
  <c r="AC61" i="79"/>
  <c r="Z61" i="79"/>
  <c r="Y61" i="79"/>
  <c r="U61" i="79"/>
  <c r="K61" i="79"/>
  <c r="AI61" i="79" s="1"/>
  <c r="E61" i="79"/>
  <c r="AN60" i="79"/>
  <c r="M60" i="79" s="1"/>
  <c r="AC60" i="79"/>
  <c r="Z60" i="79"/>
  <c r="Y60" i="79"/>
  <c r="U60" i="79"/>
  <c r="AD60" i="79" s="1"/>
  <c r="K60" i="79"/>
  <c r="AH60" i="79" s="1"/>
  <c r="E60" i="79"/>
  <c r="AN59" i="79"/>
  <c r="M59" i="79" s="1"/>
  <c r="AC59" i="79"/>
  <c r="Z59" i="79"/>
  <c r="Y59" i="79"/>
  <c r="U59" i="79"/>
  <c r="AD59" i="79" s="1"/>
  <c r="K59" i="79"/>
  <c r="AI59" i="79" s="1"/>
  <c r="E59" i="79"/>
  <c r="AN58" i="79"/>
  <c r="M58" i="79" s="1"/>
  <c r="AC58" i="79"/>
  <c r="Z58" i="79"/>
  <c r="Y58" i="79"/>
  <c r="U58" i="79"/>
  <c r="AJ58" i="79" s="1"/>
  <c r="K58" i="79"/>
  <c r="E58" i="79"/>
  <c r="AN57" i="79"/>
  <c r="M57" i="79" s="1"/>
  <c r="N57" i="79" s="1"/>
  <c r="O57" i="79" s="1"/>
  <c r="AC57" i="79"/>
  <c r="Z57" i="79"/>
  <c r="Y57" i="79"/>
  <c r="U57" i="79"/>
  <c r="AJ57" i="79" s="1"/>
  <c r="K57" i="79"/>
  <c r="AI57" i="79" s="1"/>
  <c r="E57" i="79"/>
  <c r="AN56" i="79"/>
  <c r="M56" i="79" s="1"/>
  <c r="AC56" i="79"/>
  <c r="Z56" i="79"/>
  <c r="Y56" i="79"/>
  <c r="U56" i="79"/>
  <c r="AD56" i="79" s="1"/>
  <c r="K56" i="79"/>
  <c r="AH56" i="79" s="1"/>
  <c r="E56" i="79"/>
  <c r="AN55" i="79"/>
  <c r="M55" i="79" s="1"/>
  <c r="AC55" i="79"/>
  <c r="Z55" i="79"/>
  <c r="Y55" i="79"/>
  <c r="U55" i="79"/>
  <c r="K55" i="79"/>
  <c r="E55" i="79"/>
  <c r="AN54" i="79"/>
  <c r="M54" i="79" s="1"/>
  <c r="Z54" i="79"/>
  <c r="Y54" i="79"/>
  <c r="U54" i="79"/>
  <c r="AJ54" i="79" s="1"/>
  <c r="K54" i="79"/>
  <c r="E54" i="79"/>
  <c r="AN53" i="79"/>
  <c r="M53" i="79" s="1"/>
  <c r="N53" i="79" s="1"/>
  <c r="Z53" i="79"/>
  <c r="Y53" i="79"/>
  <c r="U53" i="79"/>
  <c r="K53" i="79"/>
  <c r="E53" i="79"/>
  <c r="AN52" i="79"/>
  <c r="M52" i="79" s="1"/>
  <c r="N52" i="79" s="1"/>
  <c r="Z52" i="79"/>
  <c r="AE52" i="79" s="1"/>
  <c r="U52" i="79"/>
  <c r="S52" i="79"/>
  <c r="K52" i="79"/>
  <c r="E52" i="79"/>
  <c r="AN51" i="79"/>
  <c r="M51" i="79" s="1"/>
  <c r="N51" i="79" s="1"/>
  <c r="O51" i="79" s="1"/>
  <c r="Z51" i="79"/>
  <c r="Y51" i="79"/>
  <c r="U51" i="79"/>
  <c r="AJ51" i="79" s="1"/>
  <c r="K51" i="79"/>
  <c r="AI51" i="79" s="1"/>
  <c r="E51" i="79"/>
  <c r="AN50" i="79"/>
  <c r="M50" i="79" s="1"/>
  <c r="O50" i="79" s="1"/>
  <c r="Z50" i="79"/>
  <c r="Y50" i="79"/>
  <c r="U50" i="79"/>
  <c r="AD50" i="79" s="1"/>
  <c r="K50" i="79"/>
  <c r="E50" i="79"/>
  <c r="AN49" i="79"/>
  <c r="M49" i="79" s="1"/>
  <c r="Z49" i="79"/>
  <c r="Y49" i="79"/>
  <c r="U49" i="79"/>
  <c r="AD49" i="79" s="1"/>
  <c r="K49" i="79"/>
  <c r="AH49" i="79" s="1"/>
  <c r="E49" i="79"/>
  <c r="AN48" i="79"/>
  <c r="M48" i="79" s="1"/>
  <c r="O48" i="79" s="1"/>
  <c r="Z48" i="79"/>
  <c r="Y48" i="79"/>
  <c r="U48" i="79"/>
  <c r="K48" i="79"/>
  <c r="E48" i="79"/>
  <c r="AN47" i="79"/>
  <c r="M47" i="79" s="1"/>
  <c r="N47" i="79" s="1"/>
  <c r="Z47" i="79"/>
  <c r="Y47" i="79"/>
  <c r="U47" i="79"/>
  <c r="K47" i="79"/>
  <c r="AH47" i="79" s="1"/>
  <c r="E47" i="79"/>
  <c r="AN46" i="79"/>
  <c r="M46" i="79" s="1"/>
  <c r="N46" i="79" s="1"/>
  <c r="Z46" i="79"/>
  <c r="Y46" i="79"/>
  <c r="U46" i="79"/>
  <c r="AD46" i="79" s="1"/>
  <c r="S46" i="79"/>
  <c r="AC46" i="79" s="1"/>
  <c r="K46" i="79"/>
  <c r="E46" i="79"/>
  <c r="AN45" i="79"/>
  <c r="M45" i="79" s="1"/>
  <c r="N45" i="79" s="1"/>
  <c r="O45" i="79" s="1"/>
  <c r="Z45" i="79"/>
  <c r="Y45" i="79"/>
  <c r="U45" i="79"/>
  <c r="AD45" i="79" s="1"/>
  <c r="K45" i="79"/>
  <c r="E45" i="79"/>
  <c r="AN44" i="79"/>
  <c r="M44" i="79" s="1"/>
  <c r="N44" i="79" s="1"/>
  <c r="Z44" i="79"/>
  <c r="Y44" i="79"/>
  <c r="U44" i="79"/>
  <c r="K44" i="79"/>
  <c r="E44" i="79"/>
  <c r="AN43" i="79"/>
  <c r="M43" i="79" s="1"/>
  <c r="Z43" i="79"/>
  <c r="Y43" i="79"/>
  <c r="U43" i="79"/>
  <c r="AJ43" i="79" s="1"/>
  <c r="K43" i="79"/>
  <c r="AI43" i="79" s="1"/>
  <c r="E43" i="79"/>
  <c r="AN42" i="79"/>
  <c r="M42" i="79" s="1"/>
  <c r="Z42" i="79"/>
  <c r="Y42" i="79"/>
  <c r="U42" i="79"/>
  <c r="AD42" i="79" s="1"/>
  <c r="K42" i="79"/>
  <c r="AI42" i="79" s="1"/>
  <c r="E42" i="79"/>
  <c r="AN41" i="79"/>
  <c r="M41" i="79" s="1"/>
  <c r="Z41" i="79"/>
  <c r="Y41" i="79"/>
  <c r="U41" i="79"/>
  <c r="AJ41" i="79" s="1"/>
  <c r="K41" i="79"/>
  <c r="AM41" i="79" s="1"/>
  <c r="E41" i="79"/>
  <c r="AN40" i="79"/>
  <c r="M40" i="79" s="1"/>
  <c r="Z40" i="79"/>
  <c r="Y40" i="79"/>
  <c r="U40" i="79"/>
  <c r="AD40" i="79" s="1"/>
  <c r="K40" i="79"/>
  <c r="E40" i="79"/>
  <c r="AN39" i="79"/>
  <c r="M39" i="79" s="1"/>
  <c r="Z39" i="79"/>
  <c r="Y39" i="79"/>
  <c r="U39" i="79"/>
  <c r="K39" i="79"/>
  <c r="E39" i="79"/>
  <c r="AN38" i="79"/>
  <c r="M38" i="79" s="1"/>
  <c r="Z38" i="79"/>
  <c r="Y38" i="79"/>
  <c r="U38" i="79"/>
  <c r="AD38" i="79" s="1"/>
  <c r="K38" i="79"/>
  <c r="AH38" i="79" s="1"/>
  <c r="E38" i="79"/>
  <c r="AN37" i="79"/>
  <c r="M37" i="79" s="1"/>
  <c r="Z37" i="79"/>
  <c r="Y37" i="79"/>
  <c r="U37" i="79"/>
  <c r="K37" i="79"/>
  <c r="AI37" i="79" s="1"/>
  <c r="E37" i="79"/>
  <c r="AN36" i="79"/>
  <c r="M36" i="79" s="1"/>
  <c r="N36" i="79" s="1"/>
  <c r="Z36" i="79"/>
  <c r="U36" i="79"/>
  <c r="S36" i="79"/>
  <c r="AC36" i="79" s="1"/>
  <c r="K36" i="79"/>
  <c r="E36" i="79"/>
  <c r="AN35" i="79"/>
  <c r="M35" i="79" s="1"/>
  <c r="Z35" i="79"/>
  <c r="Y35" i="79"/>
  <c r="U35" i="79"/>
  <c r="AJ35" i="79" s="1"/>
  <c r="K35" i="79"/>
  <c r="E35" i="79"/>
  <c r="AN34" i="79"/>
  <c r="M34" i="79" s="1"/>
  <c r="N34" i="79" s="1"/>
  <c r="Z34" i="79"/>
  <c r="Y34" i="79"/>
  <c r="U34" i="79"/>
  <c r="K34" i="79"/>
  <c r="AI34" i="79" s="1"/>
  <c r="E34" i="79"/>
  <c r="AN33" i="79"/>
  <c r="M33" i="79" s="1"/>
  <c r="N33" i="79" s="1"/>
  <c r="Z33" i="79"/>
  <c r="Y33" i="79"/>
  <c r="U33" i="79"/>
  <c r="AJ33" i="79" s="1"/>
  <c r="K33" i="79"/>
  <c r="E33" i="79"/>
  <c r="AN32" i="79"/>
  <c r="M32" i="79" s="1"/>
  <c r="Z32" i="79"/>
  <c r="Y32" i="79"/>
  <c r="U32" i="79"/>
  <c r="AD32" i="79" s="1"/>
  <c r="K32" i="79"/>
  <c r="E32" i="79"/>
  <c r="AN31" i="79"/>
  <c r="M31" i="79" s="1"/>
  <c r="O31" i="79" s="1"/>
  <c r="Z31" i="79"/>
  <c r="AE31" i="79" s="1"/>
  <c r="U31" i="79"/>
  <c r="K31" i="79"/>
  <c r="E31" i="79"/>
  <c r="AN30" i="79"/>
  <c r="M30" i="79" s="1"/>
  <c r="Z30" i="79"/>
  <c r="Y30" i="79"/>
  <c r="U30" i="79"/>
  <c r="K30" i="79"/>
  <c r="AI30" i="79" s="1"/>
  <c r="E30" i="79"/>
  <c r="AN29" i="79"/>
  <c r="M29" i="79" s="1"/>
  <c r="Z29" i="79"/>
  <c r="Y29" i="79"/>
  <c r="U29" i="79"/>
  <c r="K29" i="79"/>
  <c r="E29" i="79"/>
  <c r="AN28" i="79"/>
  <c r="M28" i="79" s="1"/>
  <c r="O28" i="79" s="1"/>
  <c r="S28" i="79" s="1"/>
  <c r="AC28" i="79" s="1"/>
  <c r="Z28" i="79"/>
  <c r="U28" i="79"/>
  <c r="K28" i="79"/>
  <c r="AI28" i="79" s="1"/>
  <c r="E28" i="79"/>
  <c r="AN27" i="79"/>
  <c r="M27" i="79" s="1"/>
  <c r="N27" i="79" s="1"/>
  <c r="Z27" i="79"/>
  <c r="Y27" i="79"/>
  <c r="U27" i="79"/>
  <c r="K27" i="79"/>
  <c r="AH27" i="79" s="1"/>
  <c r="E27" i="79"/>
  <c r="AN26" i="79"/>
  <c r="M26" i="79" s="1"/>
  <c r="O26" i="79" s="1"/>
  <c r="Z26" i="79"/>
  <c r="Y26" i="79"/>
  <c r="U26" i="79"/>
  <c r="K26" i="79"/>
  <c r="AH26" i="79" s="1"/>
  <c r="E26" i="79"/>
  <c r="AN25" i="79"/>
  <c r="M25" i="79" s="1"/>
  <c r="N25" i="79" s="1"/>
  <c r="Z25" i="79"/>
  <c r="Y25" i="79"/>
  <c r="U25" i="79"/>
  <c r="K25" i="79"/>
  <c r="AH25" i="79" s="1"/>
  <c r="E25" i="79"/>
  <c r="AW32" i="79"/>
  <c r="AY32" i="79" s="1"/>
  <c r="BA32" i="79" s="1"/>
  <c r="AN24" i="79"/>
  <c r="M24" i="79" s="1"/>
  <c r="N24" i="79" s="1"/>
  <c r="O24" i="79" s="1"/>
  <c r="Y24" i="79"/>
  <c r="AA24" i="79" s="1"/>
  <c r="U24" i="79"/>
  <c r="K24" i="79"/>
  <c r="E24" i="79"/>
  <c r="AW31" i="79"/>
  <c r="AY31" i="79" s="1"/>
  <c r="BA31" i="79" s="1"/>
  <c r="AN23" i="79"/>
  <c r="M23" i="79" s="1"/>
  <c r="Z23" i="79"/>
  <c r="Y23" i="79"/>
  <c r="U23" i="79"/>
  <c r="AD23" i="79" s="1"/>
  <c r="K23" i="79"/>
  <c r="AI23" i="79" s="1"/>
  <c r="E23" i="79"/>
  <c r="AW30" i="79"/>
  <c r="AY30" i="79" s="1"/>
  <c r="BA30" i="79" s="1"/>
  <c r="AN22" i="79"/>
  <c r="M22" i="79" s="1"/>
  <c r="Z22" i="79"/>
  <c r="Y22" i="79"/>
  <c r="U22" i="79"/>
  <c r="AD22" i="79" s="1"/>
  <c r="K22" i="79"/>
  <c r="E22" i="79"/>
  <c r="AW29" i="79"/>
  <c r="AY29" i="79" s="1"/>
  <c r="BA29" i="79" s="1"/>
  <c r="AN21" i="79"/>
  <c r="M21" i="79" s="1"/>
  <c r="N21" i="79" s="1"/>
  <c r="Z21" i="79"/>
  <c r="Y21" i="79"/>
  <c r="U21" i="79"/>
  <c r="AJ21" i="79" s="1"/>
  <c r="K21" i="79"/>
  <c r="AI21" i="79" s="1"/>
  <c r="E21" i="79"/>
  <c r="AW28" i="79"/>
  <c r="AY28" i="79" s="1"/>
  <c r="BA28" i="79" s="1"/>
  <c r="AN20" i="79"/>
  <c r="M20" i="79" s="1"/>
  <c r="O20" i="79" s="1"/>
  <c r="AJ20" i="79"/>
  <c r="AD20" i="79"/>
  <c r="Z20" i="79"/>
  <c r="AE20" i="79" s="1"/>
  <c r="K20" i="79"/>
  <c r="AH20" i="79" s="1"/>
  <c r="E20" i="79"/>
  <c r="AN19" i="79"/>
  <c r="M19" i="79" s="1"/>
  <c r="Z19" i="79"/>
  <c r="Y19" i="79"/>
  <c r="U19" i="79"/>
  <c r="AD19" i="79" s="1"/>
  <c r="K19" i="79"/>
  <c r="AH19" i="79" s="1"/>
  <c r="E19" i="79"/>
  <c r="AN18" i="79"/>
  <c r="M18" i="79" s="1"/>
  <c r="N18" i="79" s="1"/>
  <c r="Z18" i="79"/>
  <c r="Y18" i="79"/>
  <c r="U18" i="79"/>
  <c r="AF18" i="79" s="1"/>
  <c r="S18" i="79"/>
  <c r="AC18" i="79" s="1"/>
  <c r="K18" i="79"/>
  <c r="AK18" i="79" s="1"/>
  <c r="E18" i="79"/>
  <c r="AN17" i="79"/>
  <c r="M17" i="79" s="1"/>
  <c r="Z17" i="79"/>
  <c r="Y17" i="79"/>
  <c r="U17" i="79"/>
  <c r="K17" i="79"/>
  <c r="E17" i="79"/>
  <c r="AN16" i="79"/>
  <c r="M16" i="79" s="1"/>
  <c r="N16" i="79" s="1"/>
  <c r="Z16" i="79"/>
  <c r="Y16" i="79"/>
  <c r="U16" i="79"/>
  <c r="S16" i="79"/>
  <c r="AC16" i="79" s="1"/>
  <c r="K16" i="79"/>
  <c r="E16" i="79"/>
  <c r="AN15" i="79"/>
  <c r="M15" i="79" s="1"/>
  <c r="N15" i="79" s="1"/>
  <c r="Z15" i="79"/>
  <c r="Y15" i="79"/>
  <c r="U15" i="79"/>
  <c r="AJ15" i="79" s="1"/>
  <c r="S15" i="79"/>
  <c r="AC15" i="79" s="1"/>
  <c r="K15" i="79"/>
  <c r="AK15" i="79" s="1"/>
  <c r="E15" i="79"/>
  <c r="AN14" i="79"/>
  <c r="M14" i="79" s="1"/>
  <c r="Z14" i="79"/>
  <c r="Y14" i="79"/>
  <c r="U14" i="79"/>
  <c r="K14" i="79"/>
  <c r="E14" i="79"/>
  <c r="AN13" i="79"/>
  <c r="M13" i="79" s="1"/>
  <c r="Z13" i="79"/>
  <c r="Y13" i="79"/>
  <c r="U13" i="79"/>
  <c r="K13" i="79"/>
  <c r="E13" i="79"/>
  <c r="AN12" i="79"/>
  <c r="Z12" i="79"/>
  <c r="Y12" i="79"/>
  <c r="U12" i="79"/>
  <c r="N12" i="79"/>
  <c r="O12" i="79" s="1"/>
  <c r="K12" i="79"/>
  <c r="AI12" i="79" s="1"/>
  <c r="E12" i="79"/>
  <c r="AN11" i="79"/>
  <c r="M11" i="79" s="1"/>
  <c r="Z11" i="79"/>
  <c r="Y11" i="79"/>
  <c r="U11" i="79"/>
  <c r="AD11" i="79" s="1"/>
  <c r="K11" i="79"/>
  <c r="E11" i="79"/>
  <c r="BB17" i="79"/>
  <c r="AW17" i="79"/>
  <c r="AN10" i="79"/>
  <c r="M10" i="79" s="1"/>
  <c r="Z10" i="79"/>
  <c r="Y10" i="79"/>
  <c r="U10" i="79"/>
  <c r="K10" i="79"/>
  <c r="AI10" i="79" s="1"/>
  <c r="E10" i="79"/>
  <c r="BB16" i="79"/>
  <c r="AW16" i="79"/>
  <c r="BB15" i="79"/>
  <c r="AW15" i="79"/>
  <c r="BB14" i="79"/>
  <c r="AW14" i="79"/>
  <c r="AN9" i="79"/>
  <c r="Z9" i="79"/>
  <c r="Y9" i="79"/>
  <c r="U9" i="79"/>
  <c r="AJ9" i="79" s="1"/>
  <c r="N9" i="79"/>
  <c r="O9" i="79" s="1"/>
  <c r="K9" i="79"/>
  <c r="AM9" i="79" s="1"/>
  <c r="E9" i="79"/>
  <c r="BB13" i="79"/>
  <c r="AW13" i="79"/>
  <c r="AN8" i="79"/>
  <c r="Z8" i="79"/>
  <c r="Y8" i="79"/>
  <c r="U8" i="79"/>
  <c r="O8" i="79"/>
  <c r="S8" i="79" s="1"/>
  <c r="AC8" i="79" s="1"/>
  <c r="K8" i="79"/>
  <c r="E8" i="79"/>
  <c r="AN7" i="79"/>
  <c r="Y7" i="79"/>
  <c r="AA7" i="79" s="1"/>
  <c r="U7" i="79"/>
  <c r="AJ7" i="79" s="1"/>
  <c r="N7" i="79"/>
  <c r="O7" i="79" s="1"/>
  <c r="K7" i="79"/>
  <c r="E7" i="79"/>
  <c r="AN6" i="79"/>
  <c r="Y6" i="79"/>
  <c r="AE6" i="79" s="1"/>
  <c r="U6" i="79"/>
  <c r="O6" i="79"/>
  <c r="K6" i="79"/>
  <c r="E6" i="79"/>
  <c r="AN5" i="79"/>
  <c r="Z5" i="79"/>
  <c r="Y5" i="79"/>
  <c r="U5" i="79"/>
  <c r="AJ5" i="79" s="1"/>
  <c r="N5" i="79"/>
  <c r="O5" i="79" s="1"/>
  <c r="S5" i="79" s="1"/>
  <c r="AC5" i="79" s="1"/>
  <c r="K5" i="79"/>
  <c r="E5" i="79"/>
  <c r="I2" i="79"/>
  <c r="AE112" i="79" l="1"/>
  <c r="AA54" i="79"/>
  <c r="AA33" i="79"/>
  <c r="AA41" i="79"/>
  <c r="AE13" i="79"/>
  <c r="AA21" i="79"/>
  <c r="AE110" i="79"/>
  <c r="AK7" i="79"/>
  <c r="AF9" i="79"/>
  <c r="AK8" i="79"/>
  <c r="AE9" i="79"/>
  <c r="AA22" i="79"/>
  <c r="AA53" i="79"/>
  <c r="AE55" i="79"/>
  <c r="AF71" i="79"/>
  <c r="AE72" i="79"/>
  <c r="AE111" i="79"/>
  <c r="AH10" i="79"/>
  <c r="AF7" i="79"/>
  <c r="AE58" i="79"/>
  <c r="AI47" i="79"/>
  <c r="AA19" i="79"/>
  <c r="AE50" i="79"/>
  <c r="AE7" i="79"/>
  <c r="AI62" i="79"/>
  <c r="AH64" i="79"/>
  <c r="AE89" i="79"/>
  <c r="AE101" i="79"/>
  <c r="AF89" i="79"/>
  <c r="AJ109" i="79"/>
  <c r="AE37" i="79"/>
  <c r="AJ38" i="79"/>
  <c r="AH43" i="79"/>
  <c r="AJ60" i="79"/>
  <c r="AJ62" i="79"/>
  <c r="AD5" i="79"/>
  <c r="AH107" i="79"/>
  <c r="AJ107" i="79"/>
  <c r="AD54" i="79"/>
  <c r="AH77" i="79"/>
  <c r="AI111" i="79"/>
  <c r="AI110" i="79"/>
  <c r="AI27" i="79"/>
  <c r="AJ46" i="79"/>
  <c r="AE54" i="79"/>
  <c r="AA29" i="79"/>
  <c r="AE41" i="79"/>
  <c r="AH37" i="79"/>
  <c r="AF15" i="79"/>
  <c r="AH67" i="79"/>
  <c r="AD21" i="79"/>
  <c r="AD7" i="79"/>
  <c r="AE21" i="79"/>
  <c r="AD33" i="79"/>
  <c r="AA80" i="79"/>
  <c r="AH85" i="79"/>
  <c r="AK20" i="79"/>
  <c r="AH34" i="79"/>
  <c r="AD41" i="79"/>
  <c r="AD15" i="79"/>
  <c r="AJ23" i="79"/>
  <c r="AH91" i="79"/>
  <c r="AJ97" i="79"/>
  <c r="AD101" i="79"/>
  <c r="AJ49" i="79"/>
  <c r="AJ56" i="79"/>
  <c r="AI19" i="79"/>
  <c r="AJ19" i="79"/>
  <c r="AE15" i="79"/>
  <c r="AJ110" i="79"/>
  <c r="AF46" i="79"/>
  <c r="AH28" i="79"/>
  <c r="AI38" i="79"/>
  <c r="AA47" i="79"/>
  <c r="AA89" i="79"/>
  <c r="AE109" i="79"/>
  <c r="AW26" i="79"/>
  <c r="AY26" i="79" s="1"/>
  <c r="BA26" i="79" s="1"/>
  <c r="AH41" i="79"/>
  <c r="AA65" i="79"/>
  <c r="AI7" i="79"/>
  <c r="AD35" i="79"/>
  <c r="AK48" i="79"/>
  <c r="AJ59" i="79"/>
  <c r="AD80" i="79"/>
  <c r="AI18" i="79"/>
  <c r="AH61" i="79"/>
  <c r="AH78" i="79"/>
  <c r="AE80" i="79"/>
  <c r="AE108" i="79"/>
  <c r="AE16" i="79"/>
  <c r="AE29" i="79"/>
  <c r="AE34" i="79"/>
  <c r="AA38" i="79"/>
  <c r="AD66" i="79"/>
  <c r="AA85" i="79"/>
  <c r="AI101" i="79"/>
  <c r="AH108" i="79"/>
  <c r="AA12" i="79"/>
  <c r="AA70" i="79"/>
  <c r="AB70" i="79" s="1"/>
  <c r="AM70" i="79" s="1"/>
  <c r="AA73" i="79"/>
  <c r="AK81" i="79"/>
  <c r="AE83" i="79"/>
  <c r="O97" i="79"/>
  <c r="AK97" i="79" s="1"/>
  <c r="AJ72" i="79"/>
  <c r="AD73" i="79"/>
  <c r="AD83" i="79"/>
  <c r="AD104" i="79"/>
  <c r="AI25" i="79"/>
  <c r="AE17" i="79"/>
  <c r="AH23" i="79"/>
  <c r="AD81" i="79"/>
  <c r="AI97" i="79"/>
  <c r="AH7" i="79"/>
  <c r="AE53" i="79"/>
  <c r="AJ64" i="79"/>
  <c r="AE33" i="79"/>
  <c r="AI41" i="79"/>
  <c r="AD76" i="79"/>
  <c r="AD95" i="79"/>
  <c r="AH51" i="79"/>
  <c r="AD57" i="79"/>
  <c r="AE76" i="79"/>
  <c r="AH112" i="79"/>
  <c r="AJ22" i="79"/>
  <c r="AH57" i="79"/>
  <c r="AH59" i="79"/>
  <c r="AD71" i="79"/>
  <c r="AI103" i="79"/>
  <c r="AE61" i="79"/>
  <c r="AA68" i="79"/>
  <c r="AE71" i="79"/>
  <c r="AJ29" i="79"/>
  <c r="AD29" i="79"/>
  <c r="N66" i="79"/>
  <c r="O66" i="79" s="1"/>
  <c r="S66" i="79" s="1"/>
  <c r="AC66" i="79" s="1"/>
  <c r="AI54" i="79"/>
  <c r="AH54" i="79"/>
  <c r="AI63" i="79"/>
  <c r="AH63" i="79"/>
  <c r="AK16" i="79"/>
  <c r="AI16" i="79"/>
  <c r="AF103" i="79"/>
  <c r="AK103" i="79"/>
  <c r="AM5" i="79"/>
  <c r="AK5" i="79"/>
  <c r="AI56" i="79"/>
  <c r="N10" i="79"/>
  <c r="O10" i="79" s="1"/>
  <c r="S10" i="79" s="1"/>
  <c r="AC10" i="79" s="1"/>
  <c r="AA25" i="79"/>
  <c r="AE25" i="79"/>
  <c r="AJ111" i="79"/>
  <c r="AD111" i="79"/>
  <c r="AI84" i="79"/>
  <c r="AH84" i="79"/>
  <c r="AD31" i="79"/>
  <c r="AJ31" i="79"/>
  <c r="AI46" i="79"/>
  <c r="AK46" i="79"/>
  <c r="AJ82" i="79"/>
  <c r="AD82" i="79"/>
  <c r="AI90" i="79"/>
  <c r="AH90" i="79"/>
  <c r="AE63" i="79"/>
  <c r="AA63" i="79"/>
  <c r="AD88" i="79"/>
  <c r="AK50" i="79"/>
  <c r="AI50" i="79"/>
  <c r="S73" i="79"/>
  <c r="AC73" i="79" s="1"/>
  <c r="AF73" i="79"/>
  <c r="AH45" i="79"/>
  <c r="AI45" i="79"/>
  <c r="AD94" i="79"/>
  <c r="AJ94" i="79"/>
  <c r="AI102" i="79"/>
  <c r="AH102" i="79"/>
  <c r="S110" i="79"/>
  <c r="AC110" i="79" s="1"/>
  <c r="AK110" i="79"/>
  <c r="AF110" i="79"/>
  <c r="AH22" i="79"/>
  <c r="AI22" i="79"/>
  <c r="AA45" i="79"/>
  <c r="AE45" i="79"/>
  <c r="AF57" i="79"/>
  <c r="AW27" i="79"/>
  <c r="AY27" i="79" s="1"/>
  <c r="BA27" i="79" s="1"/>
  <c r="AA8" i="79"/>
  <c r="AB8" i="79" s="1"/>
  <c r="AM8" i="79" s="1"/>
  <c r="AE8" i="79"/>
  <c r="AE43" i="79"/>
  <c r="AJ65" i="79"/>
  <c r="AD65" i="79"/>
  <c r="AE81" i="79"/>
  <c r="AJ74" i="79"/>
  <c r="AD74" i="79"/>
  <c r="AH40" i="79"/>
  <c r="AI40" i="79"/>
  <c r="AI66" i="79"/>
  <c r="AH66" i="79"/>
  <c r="AJ44" i="79"/>
  <c r="AD44" i="79"/>
  <c r="AD12" i="79"/>
  <c r="AJ12" i="79"/>
  <c r="AD17" i="79"/>
  <c r="AJ17" i="79"/>
  <c r="AD55" i="79"/>
  <c r="AJ55" i="79"/>
  <c r="AE11" i="79"/>
  <c r="AA11" i="79"/>
  <c r="AA28" i="79"/>
  <c r="AB28" i="79" s="1"/>
  <c r="AM28" i="79" s="1"/>
  <c r="AE28" i="79"/>
  <c r="AE107" i="79"/>
  <c r="AA107" i="79"/>
  <c r="AE12" i="79"/>
  <c r="AA18" i="79"/>
  <c r="AB18" i="79" s="1"/>
  <c r="AM18" i="79" s="1"/>
  <c r="AE18" i="79"/>
  <c r="AD63" i="79"/>
  <c r="AJ63" i="79"/>
  <c r="AE65" i="79"/>
  <c r="AH94" i="79"/>
  <c r="AI94" i="79"/>
  <c r="K2" i="79"/>
  <c r="L2" i="79" s="1"/>
  <c r="N54" i="79"/>
  <c r="O54" i="79" s="1"/>
  <c r="AA58" i="79"/>
  <c r="AD67" i="79"/>
  <c r="AJ67" i="79"/>
  <c r="AJ99" i="79"/>
  <c r="AD99" i="79"/>
  <c r="AI104" i="79"/>
  <c r="AH104" i="79"/>
  <c r="AF52" i="79"/>
  <c r="AJ52" i="79"/>
  <c r="AI73" i="79"/>
  <c r="AH73" i="79"/>
  <c r="AE99" i="79"/>
  <c r="AA99" i="79"/>
  <c r="AK26" i="79"/>
  <c r="AJ45" i="79"/>
  <c r="AD58" i="79"/>
  <c r="AA92" i="79"/>
  <c r="AH99" i="79"/>
  <c r="O104" i="79"/>
  <c r="AF104" i="79" s="1"/>
  <c r="AA52" i="79"/>
  <c r="AB52" i="79" s="1"/>
  <c r="AM52" i="79" s="1"/>
  <c r="AI82" i="79"/>
  <c r="AH82" i="79"/>
  <c r="AD92" i="79"/>
  <c r="AI95" i="79"/>
  <c r="AH95" i="79"/>
  <c r="AD102" i="79"/>
  <c r="AJ106" i="79"/>
  <c r="AD106" i="79"/>
  <c r="AI13" i="79"/>
  <c r="AH13" i="79"/>
  <c r="AA15" i="79"/>
  <c r="AB15" i="79" s="1"/>
  <c r="AM15" i="79" s="1"/>
  <c r="AJ40" i="79"/>
  <c r="AE42" i="79"/>
  <c r="O44" i="79"/>
  <c r="AK44" i="79" s="1"/>
  <c r="AE47" i="79"/>
  <c r="AJ50" i="79"/>
  <c r="AD52" i="79"/>
  <c r="AA57" i="79"/>
  <c r="AB57" i="79" s="1"/>
  <c r="AM57" i="79" s="1"/>
  <c r="AE57" i="79"/>
  <c r="N85" i="79"/>
  <c r="O85" i="79" s="1"/>
  <c r="S85" i="79" s="1"/>
  <c r="AC85" i="79" s="1"/>
  <c r="AA97" i="79"/>
  <c r="AE102" i="79"/>
  <c r="AE106" i="79"/>
  <c r="AA106" i="79"/>
  <c r="AK64" i="79"/>
  <c r="AA82" i="79"/>
  <c r="AE82" i="79"/>
  <c r="AI93" i="79"/>
  <c r="AH93" i="79"/>
  <c r="AA95" i="79"/>
  <c r="AI53" i="79"/>
  <c r="AH53" i="79"/>
  <c r="O91" i="79"/>
  <c r="AK91" i="79" s="1"/>
  <c r="AA9" i="79"/>
  <c r="AE19" i="79"/>
  <c r="AA20" i="79"/>
  <c r="AI26" i="79"/>
  <c r="AK28" i="79"/>
  <c r="AE30" i="79"/>
  <c r="AI60" i="79"/>
  <c r="AJ68" i="79"/>
  <c r="AD68" i="79"/>
  <c r="AA110" i="79"/>
  <c r="AD9" i="79"/>
  <c r="AD37" i="79"/>
  <c r="AJ37" i="79"/>
  <c r="AA49" i="79"/>
  <c r="AE49" i="79"/>
  <c r="AE73" i="79"/>
  <c r="AA93" i="79"/>
  <c r="AJ100" i="79"/>
  <c r="AK12" i="79"/>
  <c r="AH12" i="79"/>
  <c r="AI20" i="79"/>
  <c r="AE23" i="79"/>
  <c r="AJ39" i="79"/>
  <c r="AD39" i="79"/>
  <c r="AD48" i="79"/>
  <c r="AJ48" i="79"/>
  <c r="AA59" i="79"/>
  <c r="AE59" i="79"/>
  <c r="AE68" i="79"/>
  <c r="AB71" i="79"/>
  <c r="AM71" i="79" s="1"/>
  <c r="AD93" i="79"/>
  <c r="AD98" i="79"/>
  <c r="AJ8" i="79"/>
  <c r="AD8" i="79"/>
  <c r="AD14" i="79"/>
  <c r="AJ14" i="79"/>
  <c r="AJ25" i="79"/>
  <c r="AD25" i="79"/>
  <c r="AA37" i="79"/>
  <c r="AI49" i="79"/>
  <c r="AI65" i="79"/>
  <c r="AH65" i="79"/>
  <c r="AI96" i="79"/>
  <c r="AH96" i="79"/>
  <c r="AA56" i="79"/>
  <c r="AE5" i="79"/>
  <c r="AE10" i="79"/>
  <c r="AF28" i="79"/>
  <c r="AA60" i="79"/>
  <c r="AA104" i="79"/>
  <c r="AA109" i="79"/>
  <c r="AE14" i="79"/>
  <c r="AE22" i="79"/>
  <c r="AE103" i="79"/>
  <c r="AA17" i="79"/>
  <c r="AA55" i="79"/>
  <c r="AI81" i="79"/>
  <c r="AA111" i="79"/>
  <c r="AK57" i="79"/>
  <c r="AA83" i="79"/>
  <c r="AA108" i="79"/>
  <c r="AF24" i="79"/>
  <c r="AK24" i="79"/>
  <c r="S24" i="79"/>
  <c r="AC24" i="79" s="1"/>
  <c r="N11" i="79"/>
  <c r="O11" i="79" s="1"/>
  <c r="AF45" i="79"/>
  <c r="S45" i="79"/>
  <c r="AC45" i="79" s="1"/>
  <c r="N14" i="79"/>
  <c r="O14" i="79" s="1"/>
  <c r="AF90" i="79"/>
  <c r="S90" i="79"/>
  <c r="AC90" i="79" s="1"/>
  <c r="AK90" i="79"/>
  <c r="AF51" i="79"/>
  <c r="AK51" i="79"/>
  <c r="S51" i="79"/>
  <c r="AC51" i="79" s="1"/>
  <c r="AK77" i="79"/>
  <c r="AF77" i="79"/>
  <c r="S77" i="79"/>
  <c r="AC77" i="79" s="1"/>
  <c r="AI33" i="79"/>
  <c r="AH33" i="79"/>
  <c r="N68" i="79"/>
  <c r="O68" i="79" s="1"/>
  <c r="AK68" i="79" s="1"/>
  <c r="AE79" i="79"/>
  <c r="AA79" i="79"/>
  <c r="AA5" i="79"/>
  <c r="AF6" i="79"/>
  <c r="O27" i="79"/>
  <c r="S67" i="79"/>
  <c r="AC67" i="79" s="1"/>
  <c r="AF67" i="79"/>
  <c r="N78" i="79"/>
  <c r="O78" i="79" s="1"/>
  <c r="AD24" i="79"/>
  <c r="AJ24" i="79"/>
  <c r="N35" i="79"/>
  <c r="O35" i="79" s="1"/>
  <c r="AK35" i="79" s="1"/>
  <c r="AI15" i="79"/>
  <c r="AH15" i="79"/>
  <c r="AW10" i="79"/>
  <c r="AX10" i="79" s="1" a="1"/>
  <c r="AX10" i="79" s="1"/>
  <c r="AA23" i="79"/>
  <c r="AF26" i="79"/>
  <c r="AA30" i="79"/>
  <c r="S87" i="79"/>
  <c r="AC87" i="79" s="1"/>
  <c r="AF87" i="79"/>
  <c r="AI106" i="79"/>
  <c r="AH106" i="79"/>
  <c r="AH109" i="79"/>
  <c r="AI109" i="79"/>
  <c r="AF12" i="79"/>
  <c r="S12" i="79"/>
  <c r="AC12" i="79" s="1"/>
  <c r="S26" i="79"/>
  <c r="AC26" i="79" s="1"/>
  <c r="N43" i="79"/>
  <c r="O43" i="79" s="1"/>
  <c r="AJ87" i="79"/>
  <c r="AD87" i="79"/>
  <c r="N49" i="79"/>
  <c r="O49" i="79" s="1"/>
  <c r="AJ85" i="79"/>
  <c r="AD85" i="79"/>
  <c r="AA46" i="79"/>
  <c r="AB46" i="79" s="1"/>
  <c r="AM46" i="79" s="1"/>
  <c r="AE46" i="79"/>
  <c r="AK6" i="79"/>
  <c r="AI6" i="79"/>
  <c r="AH6" i="79"/>
  <c r="AW8" i="79"/>
  <c r="N17" i="79"/>
  <c r="O17" i="79" s="1"/>
  <c r="AK17" i="79" s="1"/>
  <c r="AW23" i="79"/>
  <c r="AY23" i="79" s="1"/>
  <c r="BA23" i="79" s="1"/>
  <c r="O55" i="79"/>
  <c r="N63" i="79"/>
  <c r="O63" i="79" s="1"/>
  <c r="AX15" i="79" a="1"/>
  <c r="AX15" i="79" s="1"/>
  <c r="N32" i="79"/>
  <c r="O32" i="79" s="1"/>
  <c r="O33" i="79"/>
  <c r="AK33" i="79" s="1"/>
  <c r="AE44" i="79"/>
  <c r="AA44" i="79"/>
  <c r="AF50" i="79"/>
  <c r="S50" i="79"/>
  <c r="AC50" i="79" s="1"/>
  <c r="AI87" i="79"/>
  <c r="AK87" i="79"/>
  <c r="AH87" i="79"/>
  <c r="N13" i="79"/>
  <c r="O13" i="79" s="1"/>
  <c r="AJ26" i="79"/>
  <c r="AD26" i="79"/>
  <c r="AJ47" i="79"/>
  <c r="AD47" i="79"/>
  <c r="AF48" i="79"/>
  <c r="S48" i="79"/>
  <c r="AE87" i="79"/>
  <c r="N106" i="79"/>
  <c r="O106" i="79" s="1"/>
  <c r="AD79" i="79"/>
  <c r="AJ79" i="79"/>
  <c r="AK36" i="79"/>
  <c r="AI36" i="79"/>
  <c r="AH36" i="79"/>
  <c r="N22" i="79"/>
  <c r="O22" i="79" s="1"/>
  <c r="S6" i="79"/>
  <c r="AC6" i="79" s="1"/>
  <c r="N40" i="79"/>
  <c r="O40" i="79" s="1"/>
  <c r="AJ6" i="79"/>
  <c r="AD6" i="79"/>
  <c r="N94" i="79"/>
  <c r="O94" i="79" s="1"/>
  <c r="AF31" i="79"/>
  <c r="S31" i="79"/>
  <c r="AC31" i="79" s="1"/>
  <c r="AX16" i="79" a="1"/>
  <c r="AX16" i="79" s="1"/>
  <c r="AI11" i="79"/>
  <c r="AH11" i="79"/>
  <c r="AE26" i="79"/>
  <c r="AA26" i="79"/>
  <c r="AD10" i="79"/>
  <c r="AJ10" i="79"/>
  <c r="AD53" i="79"/>
  <c r="AJ53" i="79"/>
  <c r="AE75" i="79"/>
  <c r="AA75" i="79"/>
  <c r="AB75" i="79" s="1"/>
  <c r="AM75" i="79" s="1"/>
  <c r="AI35" i="79"/>
  <c r="AH35" i="79"/>
  <c r="AM44" i="79"/>
  <c r="AH44" i="79"/>
  <c r="AI44" i="79"/>
  <c r="N98" i="79"/>
  <c r="O98" i="79" s="1"/>
  <c r="AA6" i="79"/>
  <c r="AF20" i="79"/>
  <c r="S20" i="79"/>
  <c r="AD27" i="79"/>
  <c r="AJ27" i="79"/>
  <c r="AI74" i="79"/>
  <c r="AH74" i="79"/>
  <c r="AK74" i="79"/>
  <c r="AX17" i="79" a="1"/>
  <c r="AX17" i="79" s="1"/>
  <c r="AW25" i="79"/>
  <c r="AY25" i="79" s="1"/>
  <c r="BA25" i="79" s="1"/>
  <c r="AI14" i="79"/>
  <c r="AH14" i="79"/>
  <c r="AH17" i="79"/>
  <c r="O25" i="79"/>
  <c r="N65" i="79"/>
  <c r="O65" i="79" s="1"/>
  <c r="N82" i="79"/>
  <c r="O82" i="79" s="1"/>
  <c r="AA87" i="79"/>
  <c r="AD28" i="79"/>
  <c r="AJ28" i="79"/>
  <c r="S9" i="79"/>
  <c r="AC9" i="79" s="1"/>
  <c r="AA10" i="79"/>
  <c r="AJ36" i="79"/>
  <c r="AF36" i="79"/>
  <c r="AD36" i="79"/>
  <c r="AE36" i="79"/>
  <c r="AA36" i="79"/>
  <c r="AB36" i="79" s="1"/>
  <c r="AM36" i="79" s="1"/>
  <c r="AH52" i="79"/>
  <c r="AK52" i="79"/>
  <c r="AI52" i="79"/>
  <c r="AC52" i="79"/>
  <c r="AK71" i="79"/>
  <c r="AI71" i="79"/>
  <c r="AH71" i="79"/>
  <c r="AH8" i="79"/>
  <c r="AE27" i="79"/>
  <c r="AA27" i="79"/>
  <c r="AI32" i="79"/>
  <c r="AH32" i="79"/>
  <c r="AA61" i="79"/>
  <c r="S74" i="79"/>
  <c r="AC74" i="79" s="1"/>
  <c r="AF74" i="79"/>
  <c r="AW11" i="79"/>
  <c r="AX11" i="79" s="1" a="1"/>
  <c r="AX11" i="79" s="1"/>
  <c r="AI8" i="79"/>
  <c r="N39" i="79"/>
  <c r="O39" i="79" s="1"/>
  <c r="AI17" i="79"/>
  <c r="N30" i="79"/>
  <c r="O30" i="79" s="1"/>
  <c r="AE66" i="79"/>
  <c r="AA66" i="79"/>
  <c r="AH68" i="79"/>
  <c r="AI68" i="79"/>
  <c r="N95" i="79"/>
  <c r="O95" i="79" s="1"/>
  <c r="AA50" i="79"/>
  <c r="AJ84" i="79"/>
  <c r="AD84" i="79"/>
  <c r="AE85" i="79"/>
  <c r="O53" i="79"/>
  <c r="N61" i="79"/>
  <c r="O61" i="79" s="1"/>
  <c r="AI98" i="79"/>
  <c r="AH98" i="79"/>
  <c r="AX13" i="79" a="1"/>
  <c r="AX13" i="79" s="1"/>
  <c r="AA13" i="79"/>
  <c r="AA14" i="79"/>
  <c r="AA16" i="79"/>
  <c r="AB16" i="79" s="1"/>
  <c r="AM16" i="79" s="1"/>
  <c r="AW24" i="79"/>
  <c r="AY24" i="79" s="1"/>
  <c r="BA24" i="79" s="1"/>
  <c r="AH21" i="79"/>
  <c r="AA40" i="79"/>
  <c r="AE40" i="79"/>
  <c r="AI48" i="79"/>
  <c r="AH48" i="79"/>
  <c r="AD51" i="79"/>
  <c r="N56" i="79"/>
  <c r="O56" i="79" s="1"/>
  <c r="AE60" i="79"/>
  <c r="S86" i="79"/>
  <c r="AC86" i="79" s="1"/>
  <c r="AF86" i="79"/>
  <c r="N93" i="79"/>
  <c r="O93" i="79" s="1"/>
  <c r="AE35" i="79"/>
  <c r="AA35" i="79"/>
  <c r="N38" i="79"/>
  <c r="O38" i="79" s="1"/>
  <c r="AF70" i="79"/>
  <c r="AJ13" i="79"/>
  <c r="AD13" i="79"/>
  <c r="AJ16" i="79"/>
  <c r="AD16" i="79"/>
  <c r="N19" i="79"/>
  <c r="O19" i="79" s="1"/>
  <c r="AK31" i="79"/>
  <c r="AI31" i="79"/>
  <c r="AH31" i="79"/>
  <c r="AE32" i="79"/>
  <c r="AA32" i="79"/>
  <c r="N41" i="79"/>
  <c r="O41" i="79" s="1"/>
  <c r="AE51" i="79"/>
  <c r="AA51" i="79"/>
  <c r="AI58" i="79"/>
  <c r="AH58" i="79"/>
  <c r="AE64" i="79"/>
  <c r="AA64" i="79"/>
  <c r="AB64" i="79" s="1"/>
  <c r="AM64" i="79" s="1"/>
  <c r="AK67" i="79"/>
  <c r="AJ70" i="79"/>
  <c r="AD70" i="79"/>
  <c r="O76" i="79"/>
  <c r="AH92" i="79"/>
  <c r="AH9" i="79"/>
  <c r="AA34" i="79"/>
  <c r="AH39" i="79"/>
  <c r="AI39" i="79"/>
  <c r="AA42" i="79"/>
  <c r="AD43" i="79"/>
  <c r="AI9" i="79"/>
  <c r="AJ18" i="79"/>
  <c r="AD18" i="79"/>
  <c r="AA84" i="79"/>
  <c r="AE84" i="79"/>
  <c r="AW12" i="79"/>
  <c r="AX12" i="79" s="1" a="1"/>
  <c r="AX12" i="79" s="1"/>
  <c r="AI5" i="79"/>
  <c r="AH5" i="79"/>
  <c r="AW9" i="79"/>
  <c r="AX9" i="79" s="1" a="1"/>
  <c r="AX9" i="79" s="1"/>
  <c r="AK9" i="79"/>
  <c r="AI29" i="79"/>
  <c r="AH29" i="79"/>
  <c r="AH72" i="79"/>
  <c r="AI72" i="79"/>
  <c r="AI83" i="79"/>
  <c r="AH83" i="79"/>
  <c r="AJ105" i="79"/>
  <c r="AD105" i="79"/>
  <c r="AJ108" i="79"/>
  <c r="AD108" i="79"/>
  <c r="N112" i="79"/>
  <c r="O112" i="79" s="1"/>
  <c r="AD34" i="79"/>
  <c r="AJ34" i="79"/>
  <c r="AI76" i="79"/>
  <c r="AH76" i="79"/>
  <c r="S7" i="79"/>
  <c r="AC7" i="79" s="1"/>
  <c r="AF5" i="79"/>
  <c r="N29" i="79"/>
  <c r="O29" i="79" s="1"/>
  <c r="AK70" i="79"/>
  <c r="AI79" i="79"/>
  <c r="S81" i="79"/>
  <c r="AC81" i="79" s="1"/>
  <c r="AF81" i="79"/>
  <c r="AF88" i="79"/>
  <c r="S88" i="79"/>
  <c r="AC88" i="79" s="1"/>
  <c r="AE105" i="79"/>
  <c r="AA105" i="79"/>
  <c r="AF16" i="79"/>
  <c r="N23" i="79"/>
  <c r="O23" i="79" s="1"/>
  <c r="AI24" i="79"/>
  <c r="AH24" i="79"/>
  <c r="AJ30" i="79"/>
  <c r="AD30" i="79"/>
  <c r="AJ32" i="79"/>
  <c r="N37" i="79"/>
  <c r="O37" i="79" s="1"/>
  <c r="AE38" i="79"/>
  <c r="AJ42" i="79"/>
  <c r="AD69" i="79"/>
  <c r="AJ69" i="79"/>
  <c r="AA72" i="79"/>
  <c r="N79" i="79"/>
  <c r="O79" i="79" s="1"/>
  <c r="AH80" i="79"/>
  <c r="AI92" i="79"/>
  <c r="O107" i="79"/>
  <c r="N62" i="79"/>
  <c r="O62" i="79" s="1"/>
  <c r="AX14" i="79" a="1"/>
  <c r="AX14" i="79" s="1"/>
  <c r="AF8" i="79"/>
  <c r="AJ11" i="79"/>
  <c r="AE39" i="79"/>
  <c r="AA39" i="79"/>
  <c r="N42" i="79"/>
  <c r="O42" i="79" s="1"/>
  <c r="O47" i="79"/>
  <c r="AK47" i="79" s="1"/>
  <c r="AE48" i="79"/>
  <c r="AA48" i="79"/>
  <c r="N60" i="79"/>
  <c r="O60" i="79" s="1"/>
  <c r="AF64" i="79"/>
  <c r="AE69" i="79"/>
  <c r="AA69" i="79"/>
  <c r="AK45" i="79"/>
  <c r="AH46" i="79"/>
  <c r="AM54" i="79"/>
  <c r="AI70" i="79"/>
  <c r="AH70" i="79"/>
  <c r="N99" i="79"/>
  <c r="O99" i="79" s="1"/>
  <c r="AE100" i="79"/>
  <c r="AA100" i="79"/>
  <c r="AA31" i="79"/>
  <c r="AH42" i="79"/>
  <c r="AH50" i="79"/>
  <c r="AI55" i="79"/>
  <c r="AH55" i="79"/>
  <c r="AD75" i="79"/>
  <c r="AJ75" i="79"/>
  <c r="AK86" i="79"/>
  <c r="AI86" i="79"/>
  <c r="AH86" i="79"/>
  <c r="AE91" i="79"/>
  <c r="AA91" i="79"/>
  <c r="AA96" i="79"/>
  <c r="N111" i="79"/>
  <c r="O111" i="79" s="1"/>
  <c r="AE24" i="79"/>
  <c r="N58" i="79"/>
  <c r="O58" i="79" s="1"/>
  <c r="AH16" i="79"/>
  <c r="AH18" i="79"/>
  <c r="O21" i="79"/>
  <c r="AH30" i="79"/>
  <c r="AE56" i="79"/>
  <c r="AF75" i="79"/>
  <c r="AA86" i="79"/>
  <c r="AE86" i="79"/>
  <c r="AI89" i="79"/>
  <c r="AH89" i="79"/>
  <c r="AK89" i="79"/>
  <c r="AJ90" i="79"/>
  <c r="AD90" i="79"/>
  <c r="S103" i="79"/>
  <c r="AC103" i="79" s="1"/>
  <c r="AD112" i="79"/>
  <c r="AI69" i="79"/>
  <c r="AH69" i="79"/>
  <c r="AJ78" i="79"/>
  <c r="AE90" i="79"/>
  <c r="AA90" i="79"/>
  <c r="AJ91" i="79"/>
  <c r="AD103" i="79"/>
  <c r="AJ103" i="79"/>
  <c r="AE62" i="79"/>
  <c r="AA62" i="79"/>
  <c r="AE74" i="79"/>
  <c r="AA74" i="79"/>
  <c r="S89" i="79"/>
  <c r="N100" i="79"/>
  <c r="O100" i="79" s="1"/>
  <c r="AK100" i="79" s="1"/>
  <c r="N80" i="79"/>
  <c r="O80" i="79" s="1"/>
  <c r="AJ86" i="79"/>
  <c r="AD86" i="79"/>
  <c r="N92" i="79"/>
  <c r="O92" i="79" s="1"/>
  <c r="O109" i="79"/>
  <c r="AK109" i="79" s="1"/>
  <c r="O34" i="79"/>
  <c r="AK34" i="79" s="1"/>
  <c r="AJ61" i="79"/>
  <c r="AD61" i="79"/>
  <c r="O69" i="79"/>
  <c r="AA88" i="79"/>
  <c r="AD89" i="79"/>
  <c r="AJ89" i="79"/>
  <c r="AE104" i="79"/>
  <c r="O108" i="79"/>
  <c r="AJ96" i="79"/>
  <c r="AD96" i="79"/>
  <c r="AJ77" i="79"/>
  <c r="AD77" i="79"/>
  <c r="AI88" i="79"/>
  <c r="AH88" i="79"/>
  <c r="AK88" i="79"/>
  <c r="AH105" i="79"/>
  <c r="AI105" i="79"/>
  <c r="AK75" i="79"/>
  <c r="AI75" i="79"/>
  <c r="N105" i="79"/>
  <c r="O105" i="79" s="1"/>
  <c r="AA112" i="79"/>
  <c r="AA43" i="79"/>
  <c r="N59" i="79"/>
  <c r="O59" i="79" s="1"/>
  <c r="AE67" i="79"/>
  <c r="AA67" i="79"/>
  <c r="N72" i="79"/>
  <c r="O72" i="79" s="1"/>
  <c r="AA77" i="79"/>
  <c r="AK73" i="79"/>
  <c r="N83" i="79"/>
  <c r="O83" i="79" s="1"/>
  <c r="AK83" i="79" s="1"/>
  <c r="AH100" i="79"/>
  <c r="N84" i="79"/>
  <c r="O84" i="79" s="1"/>
  <c r="N96" i="79"/>
  <c r="O96" i="79" s="1"/>
  <c r="AA98" i="79"/>
  <c r="N101" i="79"/>
  <c r="O101" i="79" s="1"/>
  <c r="N102" i="79"/>
  <c r="O102" i="79" s="1"/>
  <c r="AE94" i="79"/>
  <c r="AA94" i="79"/>
  <c r="AG15" i="79" l="1"/>
  <c r="AG57" i="79"/>
  <c r="AK85" i="79"/>
  <c r="AG73" i="79"/>
  <c r="AG45" i="79"/>
  <c r="AG36" i="79"/>
  <c r="AG75" i="79"/>
  <c r="AG50" i="79"/>
  <c r="AG28" i="79"/>
  <c r="AG5" i="79"/>
  <c r="AG52" i="79"/>
  <c r="AG46" i="79"/>
  <c r="AF44" i="79"/>
  <c r="AG71" i="79"/>
  <c r="S97" i="79"/>
  <c r="AC97" i="79" s="1"/>
  <c r="AG7" i="79"/>
  <c r="S44" i="79"/>
  <c r="AC44" i="79" s="1"/>
  <c r="AB67" i="79"/>
  <c r="AM67" i="79" s="1"/>
  <c r="AF66" i="79"/>
  <c r="AG66" i="79" s="1"/>
  <c r="AK66" i="79"/>
  <c r="AJ3" i="79"/>
  <c r="L36" i="12" s="1"/>
  <c r="AG110" i="79"/>
  <c r="AF97" i="79"/>
  <c r="AG18" i="79"/>
  <c r="AG6" i="79"/>
  <c r="AG90" i="79"/>
  <c r="AG64" i="79"/>
  <c r="AG8" i="79"/>
  <c r="S54" i="79"/>
  <c r="AC54" i="79" s="1"/>
  <c r="AF54" i="79"/>
  <c r="AK54" i="79"/>
  <c r="S91" i="79"/>
  <c r="AC91" i="79" s="1"/>
  <c r="AB7" i="79"/>
  <c r="AM7" i="79" s="1"/>
  <c r="AG16" i="79"/>
  <c r="BB11" i="79"/>
  <c r="AB51" i="79"/>
  <c r="AM51" i="79" s="1"/>
  <c r="AB45" i="79"/>
  <c r="AM45" i="79" s="1"/>
  <c r="AK104" i="79"/>
  <c r="AZ11" i="79" a="1"/>
  <c r="AZ11" i="79" s="1"/>
  <c r="AY11" i="79" s="1"/>
  <c r="AK10" i="79"/>
  <c r="AB110" i="79"/>
  <c r="AM110" i="79" s="1"/>
  <c r="AF10" i="79"/>
  <c r="AG10" i="79" s="1"/>
  <c r="AF85" i="79"/>
  <c r="AG85" i="79" s="1"/>
  <c r="AF91" i="79"/>
  <c r="AB85" i="79"/>
  <c r="AM85" i="79" s="1"/>
  <c r="AG88" i="79"/>
  <c r="AB50" i="79"/>
  <c r="AM50" i="79" s="1"/>
  <c r="AG31" i="79"/>
  <c r="AB73" i="79"/>
  <c r="AM73" i="79" s="1"/>
  <c r="BA21" i="79"/>
  <c r="S104" i="79"/>
  <c r="AC104" i="79" s="1"/>
  <c r="AG104" i="79" s="1"/>
  <c r="AB10" i="79"/>
  <c r="AM10" i="79" s="1"/>
  <c r="AG81" i="79"/>
  <c r="AG9" i="79"/>
  <c r="AG77" i="79"/>
  <c r="AG26" i="79"/>
  <c r="AI3" i="79"/>
  <c r="E1" i="79" s="1"/>
  <c r="AG12" i="79"/>
  <c r="AB63" i="79"/>
  <c r="AM63" i="79" s="1"/>
  <c r="AF63" i="79"/>
  <c r="AG63" i="79" s="1"/>
  <c r="AK63" i="79"/>
  <c r="AB58" i="79"/>
  <c r="AM58" i="79" s="1"/>
  <c r="AF58" i="79"/>
  <c r="AG58" i="79" s="1"/>
  <c r="AK58" i="79"/>
  <c r="AF62" i="79"/>
  <c r="AG62" i="79" s="1"/>
  <c r="AK62" i="79"/>
  <c r="AB62" i="79"/>
  <c r="AM62" i="79" s="1"/>
  <c r="AF111" i="79"/>
  <c r="S111" i="79"/>
  <c r="AC111" i="79" s="1"/>
  <c r="AK111" i="79"/>
  <c r="S38" i="79"/>
  <c r="AC38" i="79" s="1"/>
  <c r="AF38" i="79"/>
  <c r="AK38" i="79"/>
  <c r="S99" i="79"/>
  <c r="AC99" i="79" s="1"/>
  <c r="AF99" i="79"/>
  <c r="AK99" i="79"/>
  <c r="S32" i="79"/>
  <c r="AC32" i="79" s="1"/>
  <c r="AF32" i="79"/>
  <c r="AK32" i="79"/>
  <c r="AB60" i="79"/>
  <c r="AM60" i="79" s="1"/>
  <c r="AF60" i="79"/>
  <c r="AG60" i="79" s="1"/>
  <c r="AK60" i="79"/>
  <c r="S105" i="79"/>
  <c r="AC105" i="79" s="1"/>
  <c r="AF105" i="79"/>
  <c r="AK105" i="79"/>
  <c r="S92" i="79"/>
  <c r="AC92" i="79" s="1"/>
  <c r="AF92" i="79"/>
  <c r="AK92" i="79"/>
  <c r="S23" i="79"/>
  <c r="AC23" i="79" s="1"/>
  <c r="AK23" i="79"/>
  <c r="AF23" i="79"/>
  <c r="AF65" i="79"/>
  <c r="AK65" i="79"/>
  <c r="S65" i="79"/>
  <c r="AC65" i="79" s="1"/>
  <c r="AF19" i="79"/>
  <c r="S19" i="79"/>
  <c r="AC19" i="79" s="1"/>
  <c r="AK19" i="79"/>
  <c r="AF61" i="79"/>
  <c r="AG61" i="79" s="1"/>
  <c r="AB61" i="79"/>
  <c r="AM61" i="79" s="1"/>
  <c r="AK61" i="79"/>
  <c r="S37" i="79"/>
  <c r="AC37" i="79" s="1"/>
  <c r="AF37" i="79"/>
  <c r="AK37" i="79"/>
  <c r="S82" i="79"/>
  <c r="AC82" i="79" s="1"/>
  <c r="AF82" i="79"/>
  <c r="AK82" i="79"/>
  <c r="S84" i="79"/>
  <c r="AC84" i="79" s="1"/>
  <c r="AF84" i="79"/>
  <c r="AK84" i="79"/>
  <c r="S42" i="79"/>
  <c r="AC42" i="79" s="1"/>
  <c r="AF42" i="79"/>
  <c r="AK42" i="79"/>
  <c r="S72" i="79"/>
  <c r="AC72" i="79" s="1"/>
  <c r="AF72" i="79"/>
  <c r="AK72" i="79"/>
  <c r="AF106" i="79"/>
  <c r="S106" i="79"/>
  <c r="AC106" i="79" s="1"/>
  <c r="AK106" i="79"/>
  <c r="S112" i="79"/>
  <c r="AC112" i="79" s="1"/>
  <c r="AF112" i="79"/>
  <c r="AK112" i="79"/>
  <c r="S30" i="79"/>
  <c r="AC30" i="79" s="1"/>
  <c r="AF30" i="79"/>
  <c r="AK30" i="79"/>
  <c r="AF78" i="79"/>
  <c r="S78" i="79"/>
  <c r="AC78" i="79" s="1"/>
  <c r="AK78" i="79"/>
  <c r="S40" i="79"/>
  <c r="AC40" i="79" s="1"/>
  <c r="AF40" i="79"/>
  <c r="AK40" i="79"/>
  <c r="AK59" i="79"/>
  <c r="AF59" i="79"/>
  <c r="AG59" i="79" s="1"/>
  <c r="AB59" i="79"/>
  <c r="AM59" i="79" s="1"/>
  <c r="AF22" i="79"/>
  <c r="S22" i="79"/>
  <c r="AC22" i="79" s="1"/>
  <c r="AK22" i="79"/>
  <c r="S101" i="79"/>
  <c r="AC101" i="79" s="1"/>
  <c r="AF101" i="79"/>
  <c r="AK101" i="79"/>
  <c r="AK96" i="79"/>
  <c r="AF96" i="79"/>
  <c r="S96" i="79"/>
  <c r="AC96" i="79" s="1"/>
  <c r="S94" i="79"/>
  <c r="AC94" i="79" s="1"/>
  <c r="AF94" i="79"/>
  <c r="AK94" i="79"/>
  <c r="AF98" i="79"/>
  <c r="S98" i="79"/>
  <c r="AC98" i="79" s="1"/>
  <c r="AK98" i="79"/>
  <c r="AF79" i="79"/>
  <c r="S79" i="79"/>
  <c r="AC79" i="79" s="1"/>
  <c r="AK79" i="79"/>
  <c r="S95" i="79"/>
  <c r="AC95" i="79" s="1"/>
  <c r="AF95" i="79"/>
  <c r="AK95" i="79"/>
  <c r="BA14" i="79"/>
  <c r="AB81" i="79"/>
  <c r="AM81" i="79" s="1"/>
  <c r="BA11" i="79"/>
  <c r="BA13" i="79"/>
  <c r="S25" i="79"/>
  <c r="AC25" i="79" s="1"/>
  <c r="AK25" i="79"/>
  <c r="AF25" i="79"/>
  <c r="BA10" i="79"/>
  <c r="S27" i="79"/>
  <c r="AC27" i="79" s="1"/>
  <c r="AF27" i="79"/>
  <c r="AK27" i="79"/>
  <c r="AC89" i="79"/>
  <c r="AG89" i="79" s="1"/>
  <c r="AB89" i="79"/>
  <c r="AM89" i="79" s="1"/>
  <c r="AG103" i="79"/>
  <c r="AF47" i="79"/>
  <c r="S47" i="79"/>
  <c r="AC47" i="79" s="1"/>
  <c r="AF107" i="79"/>
  <c r="AK107" i="79"/>
  <c r="S107" i="79"/>
  <c r="AC107" i="79" s="1"/>
  <c r="S29" i="79"/>
  <c r="AC29" i="79" s="1"/>
  <c r="AK29" i="79"/>
  <c r="AF29" i="79"/>
  <c r="AF14" i="79"/>
  <c r="S14" i="79"/>
  <c r="AC14" i="79" s="1"/>
  <c r="AK14" i="79"/>
  <c r="S69" i="79"/>
  <c r="AC69" i="79" s="1"/>
  <c r="AF69" i="79"/>
  <c r="AK69" i="79"/>
  <c r="AB74" i="79"/>
  <c r="AM74" i="79" s="1"/>
  <c r="AB31" i="79"/>
  <c r="AM31" i="79" s="1"/>
  <c r="AB103" i="79"/>
  <c r="AM103" i="79" s="1"/>
  <c r="AB48" i="79"/>
  <c r="AM48" i="79" s="1"/>
  <c r="AC48" i="79"/>
  <c r="AG48" i="79" s="1"/>
  <c r="AF17" i="79"/>
  <c r="S17" i="79"/>
  <c r="AC17" i="79" s="1"/>
  <c r="S33" i="79"/>
  <c r="AC33" i="79" s="1"/>
  <c r="AF33" i="79"/>
  <c r="BD8" i="79"/>
  <c r="BD9" i="79" s="1"/>
  <c r="BD10" i="79" s="1"/>
  <c r="BD11" i="79" s="1"/>
  <c r="BD12" i="79" s="1"/>
  <c r="BD13" i="79" s="1"/>
  <c r="BD14" i="79" s="1"/>
  <c r="BD15" i="79" s="1"/>
  <c r="BD16" i="79" s="1"/>
  <c r="BD17" i="79" s="1"/>
  <c r="AW6" i="79"/>
  <c r="AX8" i="79" a="1"/>
  <c r="AX8" i="79" s="1"/>
  <c r="AB77" i="79"/>
  <c r="AM77" i="79" s="1"/>
  <c r="BA9" i="79"/>
  <c r="AF76" i="79"/>
  <c r="S76" i="79"/>
  <c r="AC76" i="79" s="1"/>
  <c r="S41" i="79"/>
  <c r="AC41" i="79" s="1"/>
  <c r="AK41" i="79"/>
  <c r="AF41" i="79"/>
  <c r="BA12" i="79"/>
  <c r="AH3" i="79"/>
  <c r="E2" i="79" s="1"/>
  <c r="AZ14" i="79" a="1"/>
  <c r="AZ14" i="79" s="1"/>
  <c r="AY14" i="79" s="1"/>
  <c r="AZ15" i="79" a="1"/>
  <c r="AZ15" i="79" s="1"/>
  <c r="AY15" i="79" s="1"/>
  <c r="Q2" i="79"/>
  <c r="G2" i="79" s="1"/>
  <c r="AZ16" i="79" a="1"/>
  <c r="AZ16" i="79" s="1"/>
  <c r="AY16" i="79" s="1"/>
  <c r="R2" i="79"/>
  <c r="AZ13" i="79" a="1"/>
  <c r="AZ13" i="79" s="1"/>
  <c r="AY13" i="79" s="1"/>
  <c r="P2" i="79"/>
  <c r="AZ17" i="79" a="1"/>
  <c r="AZ17" i="79" s="1"/>
  <c r="AY17" i="79" s="1"/>
  <c r="AG67" i="79"/>
  <c r="AF68" i="79"/>
  <c r="S68" i="79"/>
  <c r="AC68" i="79" s="1"/>
  <c r="AB90" i="79"/>
  <c r="AM90" i="79" s="1"/>
  <c r="S21" i="79"/>
  <c r="AC21" i="79" s="1"/>
  <c r="AF21" i="79"/>
  <c r="AF11" i="79"/>
  <c r="S11" i="79"/>
  <c r="AC11" i="79" s="1"/>
  <c r="AK11" i="79"/>
  <c r="BB8" i="79"/>
  <c r="AZ8" i="79" a="1"/>
  <c r="AZ8" i="79" s="1"/>
  <c r="AG24" i="79"/>
  <c r="AF102" i="79"/>
  <c r="S102" i="79"/>
  <c r="AC102" i="79" s="1"/>
  <c r="AK102" i="79"/>
  <c r="AF53" i="79"/>
  <c r="S53" i="79"/>
  <c r="AC53" i="79" s="1"/>
  <c r="AF39" i="79"/>
  <c r="S39" i="79"/>
  <c r="AC39" i="79" s="1"/>
  <c r="AK39" i="79"/>
  <c r="AC20" i="79"/>
  <c r="AG20" i="79" s="1"/>
  <c r="AB20" i="79"/>
  <c r="AM20" i="79" s="1"/>
  <c r="AK13" i="79"/>
  <c r="AF13" i="79"/>
  <c r="S13" i="79"/>
  <c r="AC13" i="79" s="1"/>
  <c r="AG86" i="79"/>
  <c r="AF35" i="79"/>
  <c r="S35" i="79"/>
  <c r="AC35" i="79" s="1"/>
  <c r="AB66" i="79"/>
  <c r="AM66" i="79" s="1"/>
  <c r="BA17" i="79"/>
  <c r="AF34" i="79"/>
  <c r="S34" i="79"/>
  <c r="AC34" i="79" s="1"/>
  <c r="AB88" i="79"/>
  <c r="AM88" i="79" s="1"/>
  <c r="BB9" i="79"/>
  <c r="AZ9" i="79" a="1"/>
  <c r="AZ9" i="79" s="1"/>
  <c r="AY9" i="79" s="1"/>
  <c r="AB87" i="79"/>
  <c r="AM87" i="79" s="1"/>
  <c r="AB6" i="79"/>
  <c r="AM6" i="79" s="1"/>
  <c r="BA15" i="79"/>
  <c r="AG51" i="79"/>
  <c r="AB24" i="79"/>
  <c r="AM24" i="79" s="1"/>
  <c r="BA16" i="79"/>
  <c r="AB55" i="79"/>
  <c r="AM55" i="79" s="1"/>
  <c r="AK55" i="79"/>
  <c r="AF55" i="79"/>
  <c r="AG55" i="79" s="1"/>
  <c r="AZ12" i="79" a="1"/>
  <c r="AZ12" i="79" s="1"/>
  <c r="AY12" i="79" s="1"/>
  <c r="BB12" i="79"/>
  <c r="AG70" i="79"/>
  <c r="AB56" i="79"/>
  <c r="AM56" i="79" s="1"/>
  <c r="AK56" i="79"/>
  <c r="AF56" i="79"/>
  <c r="AG56" i="79" s="1"/>
  <c r="S49" i="79"/>
  <c r="AC49" i="79" s="1"/>
  <c r="AF49" i="79"/>
  <c r="AB12" i="79"/>
  <c r="AM12" i="79" s="1"/>
  <c r="AB26" i="79"/>
  <c r="AM26" i="79" s="1"/>
  <c r="S100" i="79"/>
  <c r="AC100" i="79" s="1"/>
  <c r="AF100" i="79"/>
  <c r="AK49" i="79"/>
  <c r="AK53" i="79"/>
  <c r="AK76" i="79"/>
  <c r="AF80" i="79"/>
  <c r="S80" i="79"/>
  <c r="AC80" i="79" s="1"/>
  <c r="AK80" i="79"/>
  <c r="AG74" i="79"/>
  <c r="BB10" i="79"/>
  <c r="AZ10" i="79" a="1"/>
  <c r="AZ10" i="79" s="1"/>
  <c r="AY10" i="79" s="1"/>
  <c r="AF43" i="79"/>
  <c r="AK43" i="79"/>
  <c r="S43" i="79"/>
  <c r="AC43" i="79" s="1"/>
  <c r="AF83" i="79"/>
  <c r="S83" i="79"/>
  <c r="AC83" i="79" s="1"/>
  <c r="AF93" i="79"/>
  <c r="S93" i="79"/>
  <c r="AC93" i="79" s="1"/>
  <c r="AK93" i="79"/>
  <c r="AF108" i="79"/>
  <c r="S108" i="79"/>
  <c r="AC108" i="79" s="1"/>
  <c r="AK108" i="79"/>
  <c r="S109" i="79"/>
  <c r="AC109" i="79" s="1"/>
  <c r="AF109" i="79"/>
  <c r="AB86" i="79"/>
  <c r="AM86" i="79" s="1"/>
  <c r="AK21" i="79"/>
  <c r="AG87" i="79"/>
  <c r="AB27" i="79" l="1"/>
  <c r="AM27" i="79" s="1"/>
  <c r="AB37" i="79"/>
  <c r="AM37" i="79" s="1"/>
  <c r="AG35" i="79"/>
  <c r="AG47" i="79"/>
  <c r="AG22" i="79"/>
  <c r="AB84" i="79"/>
  <c r="AM84" i="79" s="1"/>
  <c r="AG107" i="79"/>
  <c r="AB102" i="79"/>
  <c r="AM102" i="79" s="1"/>
  <c r="AG106" i="79"/>
  <c r="AB23" i="79"/>
  <c r="AM23" i="79" s="1"/>
  <c r="AG44" i="79"/>
  <c r="AG14" i="79"/>
  <c r="AB92" i="79"/>
  <c r="AM92" i="79" s="1"/>
  <c r="AB83" i="79"/>
  <c r="AM83" i="79" s="1"/>
  <c r="AG11" i="79"/>
  <c r="AB95" i="79"/>
  <c r="AM95" i="79" s="1"/>
  <c r="AB68" i="79"/>
  <c r="AM68" i="79" s="1"/>
  <c r="AG97" i="79"/>
  <c r="AB65" i="79"/>
  <c r="AM65" i="79" s="1"/>
  <c r="AB112" i="79"/>
  <c r="AM112" i="79" s="1"/>
  <c r="AG91" i="79"/>
  <c r="AG13" i="79"/>
  <c r="AB76" i="79"/>
  <c r="AM76" i="79" s="1"/>
  <c r="AB99" i="79"/>
  <c r="AM99" i="79" s="1"/>
  <c r="AB97" i="79"/>
  <c r="AM97" i="79" s="1"/>
  <c r="AG39" i="79"/>
  <c r="AG79" i="79"/>
  <c r="AB109" i="79"/>
  <c r="AM109" i="79" s="1"/>
  <c r="AG19" i="79"/>
  <c r="AB105" i="79"/>
  <c r="AM105" i="79" s="1"/>
  <c r="AG21" i="79"/>
  <c r="AB33" i="79"/>
  <c r="AM33" i="79" s="1"/>
  <c r="AB104" i="79"/>
  <c r="AM104" i="79" s="1"/>
  <c r="AB29" i="79"/>
  <c r="AM29" i="79" s="1"/>
  <c r="AB25" i="79"/>
  <c r="AM25" i="79" s="1"/>
  <c r="AG72" i="79"/>
  <c r="AB82" i="79"/>
  <c r="AM82" i="79" s="1"/>
  <c r="AG83" i="79"/>
  <c r="AG68" i="79"/>
  <c r="AG78" i="79"/>
  <c r="AG94" i="79"/>
  <c r="AB35" i="79"/>
  <c r="AM35" i="79" s="1"/>
  <c r="AG95" i="79"/>
  <c r="AG96" i="79"/>
  <c r="AB43" i="79"/>
  <c r="AM43" i="79" s="1"/>
  <c r="BB6" i="79"/>
  <c r="BC23" i="79" s="1"/>
  <c r="BC28" i="79" s="1"/>
  <c r="AB38" i="79"/>
  <c r="AM38" i="79" s="1"/>
  <c r="AG109" i="79"/>
  <c r="AG34" i="79"/>
  <c r="AG17" i="79"/>
  <c r="AB91" i="79"/>
  <c r="AM91" i="79" s="1"/>
  <c r="AB108" i="79"/>
  <c r="AM108" i="79" s="1"/>
  <c r="AB39" i="79"/>
  <c r="AM39" i="79" s="1"/>
  <c r="AB21" i="79"/>
  <c r="AM21" i="79" s="1"/>
  <c r="AB30" i="79"/>
  <c r="AM30" i="79" s="1"/>
  <c r="AB111" i="79"/>
  <c r="AM111" i="79" s="1"/>
  <c r="AG93" i="79"/>
  <c r="AG53" i="79"/>
  <c r="AG54" i="79"/>
  <c r="AB78" i="79"/>
  <c r="AM78" i="79" s="1"/>
  <c r="AG80" i="79"/>
  <c r="AB79" i="79"/>
  <c r="AM79" i="79" s="1"/>
  <c r="AZ6" i="79"/>
  <c r="AB14" i="79"/>
  <c r="AM14" i="79" s="1"/>
  <c r="AG92" i="79"/>
  <c r="AG30" i="79"/>
  <c r="AG49" i="79"/>
  <c r="AK3" i="79"/>
  <c r="G36" i="12" s="1"/>
  <c r="AB19" i="79"/>
  <c r="AM19" i="79" s="1"/>
  <c r="AB49" i="79"/>
  <c r="AM49" i="79" s="1"/>
  <c r="AG41" i="79"/>
  <c r="AG27" i="79"/>
  <c r="AG38" i="79"/>
  <c r="AB11" i="79"/>
  <c r="AM11" i="79" s="1"/>
  <c r="AG98" i="79"/>
  <c r="AG101" i="79"/>
  <c r="AG82" i="79"/>
  <c r="AG65" i="79"/>
  <c r="AG105" i="79"/>
  <c r="AG43" i="79"/>
  <c r="AG76" i="79"/>
  <c r="AG29" i="79"/>
  <c r="AB98" i="79"/>
  <c r="AM98" i="79" s="1"/>
  <c r="AB101" i="79"/>
  <c r="AM101" i="79" s="1"/>
  <c r="AG112" i="79"/>
  <c r="AB42" i="79"/>
  <c r="AM42" i="79" s="1"/>
  <c r="AG111" i="79"/>
  <c r="AG100" i="79"/>
  <c r="AB34" i="79"/>
  <c r="AM34" i="79" s="1"/>
  <c r="AG33" i="79"/>
  <c r="AB96" i="79"/>
  <c r="AM96" i="79" s="1"/>
  <c r="AG99" i="79"/>
  <c r="AB80" i="79"/>
  <c r="AM80" i="79" s="1"/>
  <c r="AG40" i="79"/>
  <c r="AG42" i="79"/>
  <c r="AB107" i="79"/>
  <c r="AM107" i="79" s="1"/>
  <c r="AB40" i="79"/>
  <c r="AM40" i="79" s="1"/>
  <c r="AB106" i="79"/>
  <c r="AM106" i="79" s="1"/>
  <c r="AG108" i="79"/>
  <c r="AB17" i="79"/>
  <c r="AM17" i="79" s="1"/>
  <c r="AG25" i="79"/>
  <c r="AB22" i="79"/>
  <c r="AM22" i="79" s="1"/>
  <c r="BA8" i="79"/>
  <c r="AY8" i="79"/>
  <c r="AX6" i="79"/>
  <c r="AB69" i="79"/>
  <c r="AM69" i="79" s="1"/>
  <c r="AB47" i="79"/>
  <c r="AM47" i="79" s="1"/>
  <c r="AG32" i="79"/>
  <c r="AB13" i="79"/>
  <c r="AM13" i="79" s="1"/>
  <c r="AB94" i="79"/>
  <c r="AM94" i="79" s="1"/>
  <c r="AB72" i="79"/>
  <c r="AM72" i="79" s="1"/>
  <c r="AG84" i="79"/>
  <c r="AG37" i="79"/>
  <c r="AB32" i="79"/>
  <c r="AM32" i="79" s="1"/>
  <c r="AB53" i="79"/>
  <c r="AM53" i="79" s="1"/>
  <c r="AB93" i="79"/>
  <c r="AM93" i="79" s="1"/>
  <c r="AB100" i="79"/>
  <c r="AM100" i="79" s="1"/>
  <c r="AG102" i="79"/>
  <c r="AG69" i="79"/>
  <c r="AG23" i="79"/>
  <c r="AM3" i="79" l="1"/>
  <c r="G1" i="79" s="1"/>
  <c r="AG2" i="79"/>
  <c r="K36" i="12" s="1"/>
  <c r="M36" i="12" s="1"/>
  <c r="BA6" i="79"/>
  <c r="BC8" i="79"/>
  <c r="BC9" i="79" s="1"/>
  <c r="BC10" i="79" s="1"/>
  <c r="BC11" i="79" s="1"/>
  <c r="BC12" i="79" s="1"/>
  <c r="BC13" i="79" s="1"/>
  <c r="BC14" i="79" s="1"/>
  <c r="BC15" i="79" s="1"/>
  <c r="BC16" i="79" s="1"/>
  <c r="BC17" i="79" s="1"/>
  <c r="BC25" i="74" l="1"/>
  <c r="BC25" i="71"/>
  <c r="AN83" i="78" l="1"/>
  <c r="M83" i="78" s="1"/>
  <c r="Z83" i="78"/>
  <c r="Y83" i="78"/>
  <c r="U83" i="78"/>
  <c r="K83" i="78"/>
  <c r="AH83" i="78" s="1"/>
  <c r="E83" i="78"/>
  <c r="AN82" i="78"/>
  <c r="M82" i="78" s="1"/>
  <c r="O82" i="78" s="1"/>
  <c r="Z82" i="78"/>
  <c r="Y82" i="78"/>
  <c r="U82" i="78"/>
  <c r="AJ82" i="78" s="1"/>
  <c r="K82" i="78"/>
  <c r="E82" i="78"/>
  <c r="AN81" i="78"/>
  <c r="M81" i="78" s="1"/>
  <c r="O81" i="78" s="1"/>
  <c r="Y81" i="78"/>
  <c r="AE81" i="78" s="1"/>
  <c r="U81" i="78"/>
  <c r="AD81" i="78" s="1"/>
  <c r="K81" i="78"/>
  <c r="E81" i="78"/>
  <c r="AN80" i="78"/>
  <c r="M80" i="78" s="1"/>
  <c r="Y80" i="78"/>
  <c r="AA80" i="78" s="1"/>
  <c r="U80" i="78"/>
  <c r="K80" i="78"/>
  <c r="AI80" i="78" s="1"/>
  <c r="E80" i="78"/>
  <c r="AN79" i="78"/>
  <c r="M79" i="78" s="1"/>
  <c r="Y79" i="78"/>
  <c r="U79" i="78"/>
  <c r="K79" i="78"/>
  <c r="E79" i="78"/>
  <c r="AN78" i="78"/>
  <c r="M78" i="78" s="1"/>
  <c r="Y78" i="78"/>
  <c r="AA78" i="78" s="1"/>
  <c r="U78" i="78"/>
  <c r="AD78" i="78" s="1"/>
  <c r="K78" i="78"/>
  <c r="AH78" i="78" s="1"/>
  <c r="E78" i="78"/>
  <c r="AN77" i="78"/>
  <c r="M77" i="78" s="1"/>
  <c r="O77" i="78" s="1"/>
  <c r="S77" i="78" s="1"/>
  <c r="AC77" i="78" s="1"/>
  <c r="Y77" i="78"/>
  <c r="AE77" i="78" s="1"/>
  <c r="U77" i="78"/>
  <c r="K77" i="78"/>
  <c r="AI77" i="78" s="1"/>
  <c r="E77" i="78"/>
  <c r="AN76" i="78"/>
  <c r="M76" i="78" s="1"/>
  <c r="O76" i="78" s="1"/>
  <c r="Y76" i="78"/>
  <c r="U76" i="78"/>
  <c r="K76" i="78"/>
  <c r="E76" i="78"/>
  <c r="AN75" i="78"/>
  <c r="M75" i="78" s="1"/>
  <c r="Y75" i="78"/>
  <c r="AE75" i="78" s="1"/>
  <c r="U75" i="78"/>
  <c r="AD75" i="78" s="1"/>
  <c r="K75" i="78"/>
  <c r="AH75" i="78" s="1"/>
  <c r="E75" i="78"/>
  <c r="AN74" i="78"/>
  <c r="M74" i="78" s="1"/>
  <c r="Y74" i="78"/>
  <c r="AE74" i="78" s="1"/>
  <c r="U74" i="78"/>
  <c r="K74" i="78"/>
  <c r="AH74" i="78" s="1"/>
  <c r="E74" i="78"/>
  <c r="AN73" i="78"/>
  <c r="M73" i="78" s="1"/>
  <c r="N73" i="78" s="1"/>
  <c r="Y73" i="78"/>
  <c r="U73" i="78"/>
  <c r="K73" i="78"/>
  <c r="AI73" i="78" s="1"/>
  <c r="E73" i="78"/>
  <c r="AN72" i="78"/>
  <c r="M72" i="78" s="1"/>
  <c r="N72" i="78" s="1"/>
  <c r="O72" i="78" s="1"/>
  <c r="Z72" i="78"/>
  <c r="AE72" i="78" s="1"/>
  <c r="U72" i="78"/>
  <c r="AJ72" i="78" s="1"/>
  <c r="K72" i="78"/>
  <c r="AI72" i="78" s="1"/>
  <c r="E72" i="78"/>
  <c r="AN71" i="78"/>
  <c r="M71" i="78" s="1"/>
  <c r="O71" i="78" s="1"/>
  <c r="Z71" i="78"/>
  <c r="U71" i="78"/>
  <c r="K71" i="78"/>
  <c r="AI71" i="78" s="1"/>
  <c r="E71" i="78"/>
  <c r="AN70" i="78"/>
  <c r="M70" i="78" s="1"/>
  <c r="Z70" i="78"/>
  <c r="Y70" i="78"/>
  <c r="U70" i="78"/>
  <c r="AJ70" i="78" s="1"/>
  <c r="K70" i="78"/>
  <c r="AI70" i="78" s="1"/>
  <c r="E70" i="78"/>
  <c r="AN69" i="78"/>
  <c r="M69" i="78" s="1"/>
  <c r="Z69" i="78"/>
  <c r="Y69" i="78"/>
  <c r="U69" i="78"/>
  <c r="AD69" i="78" s="1"/>
  <c r="K69" i="78"/>
  <c r="E69" i="78"/>
  <c r="AN68" i="78"/>
  <c r="M68" i="78" s="1"/>
  <c r="Z68" i="78"/>
  <c r="Y68" i="78"/>
  <c r="U68" i="78"/>
  <c r="AJ68" i="78" s="1"/>
  <c r="K68" i="78"/>
  <c r="E68" i="78"/>
  <c r="AN67" i="78"/>
  <c r="M67" i="78" s="1"/>
  <c r="N67" i="78" s="1"/>
  <c r="O67" i="78" s="1"/>
  <c r="Z67" i="78"/>
  <c r="Y67" i="78"/>
  <c r="U67" i="78"/>
  <c r="AD67" i="78" s="1"/>
  <c r="K67" i="78"/>
  <c r="AI67" i="78" s="1"/>
  <c r="E67" i="78"/>
  <c r="AN66" i="78"/>
  <c r="M66" i="78" s="1"/>
  <c r="N66" i="78" s="1"/>
  <c r="O66" i="78" s="1"/>
  <c r="Z66" i="78"/>
  <c r="Y66" i="78"/>
  <c r="U66" i="78"/>
  <c r="AJ66" i="78" s="1"/>
  <c r="K66" i="78"/>
  <c r="AH66" i="78" s="1"/>
  <c r="E66" i="78"/>
  <c r="AN65" i="78"/>
  <c r="M65" i="78" s="1"/>
  <c r="N65" i="78" s="1"/>
  <c r="Z65" i="78"/>
  <c r="Y65" i="78"/>
  <c r="U65" i="78"/>
  <c r="AJ65" i="78" s="1"/>
  <c r="K65" i="78"/>
  <c r="E65" i="78"/>
  <c r="AN64" i="78"/>
  <c r="M64" i="78" s="1"/>
  <c r="Z64" i="78"/>
  <c r="Y64" i="78"/>
  <c r="U64" i="78"/>
  <c r="AJ64" i="78" s="1"/>
  <c r="K64" i="78"/>
  <c r="AI64" i="78" s="1"/>
  <c r="E64" i="78"/>
  <c r="AN63" i="78"/>
  <c r="M63" i="78" s="1"/>
  <c r="Z63" i="78"/>
  <c r="Y63" i="78"/>
  <c r="U63" i="78"/>
  <c r="AJ63" i="78" s="1"/>
  <c r="K63" i="78"/>
  <c r="AH63" i="78" s="1"/>
  <c r="E63" i="78"/>
  <c r="AN62" i="78"/>
  <c r="M62" i="78" s="1"/>
  <c r="N62" i="78" s="1"/>
  <c r="Z62" i="78"/>
  <c r="Y62" i="78"/>
  <c r="U62" i="78"/>
  <c r="K62" i="78"/>
  <c r="E62" i="78"/>
  <c r="AN61" i="78"/>
  <c r="M61" i="78" s="1"/>
  <c r="Z61" i="78"/>
  <c r="Y61" i="78"/>
  <c r="U61" i="78"/>
  <c r="AD61" i="78" s="1"/>
  <c r="K61" i="78"/>
  <c r="E61" i="78"/>
  <c r="AN60" i="78"/>
  <c r="M60" i="78" s="1"/>
  <c r="Z60" i="78"/>
  <c r="Y60" i="78"/>
  <c r="U60" i="78"/>
  <c r="K60" i="78"/>
  <c r="E60" i="78"/>
  <c r="AN59" i="78"/>
  <c r="M59" i="78" s="1"/>
  <c r="Z59" i="78"/>
  <c r="Y59" i="78"/>
  <c r="U59" i="78"/>
  <c r="AJ59" i="78" s="1"/>
  <c r="K59" i="78"/>
  <c r="AI59" i="78" s="1"/>
  <c r="E59" i="78"/>
  <c r="AN58" i="78"/>
  <c r="M58" i="78" s="1"/>
  <c r="N58" i="78" s="1"/>
  <c r="O58" i="78" s="1"/>
  <c r="Z58" i="78"/>
  <c r="Y58" i="78"/>
  <c r="U58" i="78"/>
  <c r="AJ58" i="78" s="1"/>
  <c r="K58" i="78"/>
  <c r="AH58" i="78" s="1"/>
  <c r="E58" i="78"/>
  <c r="AN57" i="78"/>
  <c r="M57" i="78" s="1"/>
  <c r="N57" i="78" s="1"/>
  <c r="Z57" i="78"/>
  <c r="Y57" i="78"/>
  <c r="U57" i="78"/>
  <c r="AD57" i="78" s="1"/>
  <c r="K57" i="78"/>
  <c r="AH57" i="78" s="1"/>
  <c r="E57" i="78"/>
  <c r="AN56" i="78"/>
  <c r="M56" i="78" s="1"/>
  <c r="Z56" i="78"/>
  <c r="Y56" i="78"/>
  <c r="U56" i="78"/>
  <c r="K56" i="78"/>
  <c r="AI56" i="78" s="1"/>
  <c r="E56" i="78"/>
  <c r="AN55" i="78"/>
  <c r="M55" i="78" s="1"/>
  <c r="Z55" i="78"/>
  <c r="Y55" i="78"/>
  <c r="U55" i="78"/>
  <c r="AJ55" i="78" s="1"/>
  <c r="K55" i="78"/>
  <c r="AH55" i="78" s="1"/>
  <c r="E55" i="78"/>
  <c r="AN54" i="78"/>
  <c r="M54" i="78" s="1"/>
  <c r="N54" i="78" s="1"/>
  <c r="Z54" i="78"/>
  <c r="Y54" i="78"/>
  <c r="U54" i="78"/>
  <c r="AD54" i="78" s="1"/>
  <c r="K54" i="78"/>
  <c r="AH54" i="78" s="1"/>
  <c r="E54" i="78"/>
  <c r="AN53" i="78"/>
  <c r="M53" i="78" s="1"/>
  <c r="Z53" i="78"/>
  <c r="Y53" i="78"/>
  <c r="U53" i="78"/>
  <c r="K53" i="78"/>
  <c r="E53" i="78"/>
  <c r="AN52" i="78"/>
  <c r="M52" i="78" s="1"/>
  <c r="Z52" i="78"/>
  <c r="Y52" i="78"/>
  <c r="U52" i="78"/>
  <c r="K52" i="78"/>
  <c r="AI52" i="78" s="1"/>
  <c r="E52" i="78"/>
  <c r="AN51" i="78"/>
  <c r="M51" i="78" s="1"/>
  <c r="Z51" i="78"/>
  <c r="Y51" i="78"/>
  <c r="U51" i="78"/>
  <c r="AJ51" i="78" s="1"/>
  <c r="K51" i="78"/>
  <c r="AH51" i="78" s="1"/>
  <c r="E51" i="78"/>
  <c r="AN50" i="78"/>
  <c r="M50" i="78" s="1"/>
  <c r="O50" i="78" s="1"/>
  <c r="S50" i="78" s="1"/>
  <c r="Z50" i="78"/>
  <c r="Y50" i="78"/>
  <c r="U50" i="78"/>
  <c r="AJ50" i="78" s="1"/>
  <c r="K50" i="78"/>
  <c r="AH50" i="78" s="1"/>
  <c r="E50" i="78"/>
  <c r="AN49" i="78"/>
  <c r="M49" i="78" s="1"/>
  <c r="Z49" i="78"/>
  <c r="Y49" i="78"/>
  <c r="U49" i="78"/>
  <c r="AD49" i="78" s="1"/>
  <c r="K49" i="78"/>
  <c r="AI49" i="78" s="1"/>
  <c r="E49" i="78"/>
  <c r="AN48" i="78"/>
  <c r="M48" i="78" s="1"/>
  <c r="N48" i="78" s="1"/>
  <c r="Z48" i="78"/>
  <c r="Y48" i="78"/>
  <c r="U48" i="78"/>
  <c r="AJ48" i="78" s="1"/>
  <c r="K48" i="78"/>
  <c r="AI48" i="78" s="1"/>
  <c r="E48" i="78"/>
  <c r="AN47" i="78"/>
  <c r="M47" i="78" s="1"/>
  <c r="Y47" i="78"/>
  <c r="U47" i="78"/>
  <c r="AJ47" i="78" s="1"/>
  <c r="K47" i="78"/>
  <c r="E47" i="78"/>
  <c r="AN46" i="78"/>
  <c r="M46" i="78" s="1"/>
  <c r="Y46" i="78"/>
  <c r="U46" i="78"/>
  <c r="K46" i="78"/>
  <c r="AI46" i="78" s="1"/>
  <c r="E46" i="78"/>
  <c r="AN45" i="78"/>
  <c r="M45" i="78" s="1"/>
  <c r="N45" i="78" s="1"/>
  <c r="Y45" i="78"/>
  <c r="AA45" i="78" s="1"/>
  <c r="U45" i="78"/>
  <c r="K45" i="78"/>
  <c r="AI45" i="78" s="1"/>
  <c r="E45" i="78"/>
  <c r="AN44" i="78"/>
  <c r="M44" i="78" s="1"/>
  <c r="Z44" i="78"/>
  <c r="Y44" i="78"/>
  <c r="U44" i="78"/>
  <c r="AD44" i="78" s="1"/>
  <c r="K44" i="78"/>
  <c r="E44" i="78"/>
  <c r="AN43" i="78"/>
  <c r="M43" i="78" s="1"/>
  <c r="N43" i="78" s="1"/>
  <c r="Y43" i="78"/>
  <c r="AE43" i="78" s="1"/>
  <c r="U43" i="78"/>
  <c r="AD43" i="78" s="1"/>
  <c r="K43" i="78"/>
  <c r="AI43" i="78" s="1"/>
  <c r="E43" i="78"/>
  <c r="AN42" i="78"/>
  <c r="M42" i="78" s="1"/>
  <c r="Y42" i="78"/>
  <c r="AE42" i="78" s="1"/>
  <c r="U42" i="78"/>
  <c r="K42" i="78"/>
  <c r="E42" i="78"/>
  <c r="AN41" i="78"/>
  <c r="M41" i="78" s="1"/>
  <c r="Y41" i="78"/>
  <c r="U41" i="78"/>
  <c r="K41" i="78"/>
  <c r="AH41" i="78" s="1"/>
  <c r="E41" i="78"/>
  <c r="AN40" i="78"/>
  <c r="M40" i="78" s="1"/>
  <c r="O40" i="78" s="1"/>
  <c r="Y40" i="78"/>
  <c r="AA40" i="78" s="1"/>
  <c r="U40" i="78"/>
  <c r="AJ40" i="78" s="1"/>
  <c r="K40" i="78"/>
  <c r="E40" i="78"/>
  <c r="AN39" i="78"/>
  <c r="M39" i="78" s="1"/>
  <c r="Y39" i="78"/>
  <c r="AE39" i="78" s="1"/>
  <c r="U39" i="78"/>
  <c r="AJ39" i="78" s="1"/>
  <c r="K39" i="78"/>
  <c r="E39" i="78"/>
  <c r="AN38" i="78"/>
  <c r="M38" i="78" s="1"/>
  <c r="Y38" i="78"/>
  <c r="U38" i="78"/>
  <c r="AD38" i="78" s="1"/>
  <c r="K38" i="78"/>
  <c r="AH38" i="78" s="1"/>
  <c r="E38" i="78"/>
  <c r="AN37" i="78"/>
  <c r="M37" i="78" s="1"/>
  <c r="Z37" i="78"/>
  <c r="Y37" i="78"/>
  <c r="U37" i="78"/>
  <c r="AJ37" i="78" s="1"/>
  <c r="K37" i="78"/>
  <c r="AI37" i="78" s="1"/>
  <c r="E37" i="78"/>
  <c r="AN36" i="78"/>
  <c r="Z36" i="78"/>
  <c r="Y36" i="78"/>
  <c r="U36" i="78"/>
  <c r="N36" i="78"/>
  <c r="O36" i="78" s="1"/>
  <c r="K36" i="78"/>
  <c r="AI36" i="78" s="1"/>
  <c r="E36" i="78"/>
  <c r="AN35" i="78"/>
  <c r="Z35" i="78"/>
  <c r="Y35" i="78"/>
  <c r="U35" i="78"/>
  <c r="AJ35" i="78" s="1"/>
  <c r="N35" i="78"/>
  <c r="O35" i="78" s="1"/>
  <c r="K35" i="78"/>
  <c r="E35" i="78"/>
  <c r="AN34" i="78"/>
  <c r="Z34" i="78"/>
  <c r="Y34" i="78"/>
  <c r="U34" i="78"/>
  <c r="N34" i="78"/>
  <c r="O34" i="78" s="1"/>
  <c r="K34" i="78"/>
  <c r="E34" i="78"/>
  <c r="AN33" i="78"/>
  <c r="Z33" i="78"/>
  <c r="Y33" i="78"/>
  <c r="U33" i="78"/>
  <c r="N33" i="78"/>
  <c r="O33" i="78" s="1"/>
  <c r="K33" i="78"/>
  <c r="E33" i="78"/>
  <c r="AN32" i="78"/>
  <c r="Z32" i="78"/>
  <c r="Y32" i="78"/>
  <c r="U32" i="78"/>
  <c r="N32" i="78"/>
  <c r="O32" i="78" s="1"/>
  <c r="K32" i="78"/>
  <c r="E32" i="78"/>
  <c r="AN31" i="78"/>
  <c r="Y31" i="78"/>
  <c r="U31" i="78"/>
  <c r="N31" i="78"/>
  <c r="O31" i="78" s="1"/>
  <c r="K31" i="78"/>
  <c r="AI31" i="78" s="1"/>
  <c r="E31" i="78"/>
  <c r="AN30" i="78"/>
  <c r="AE30" i="78"/>
  <c r="AA30" i="78"/>
  <c r="U30" i="78"/>
  <c r="AJ30" i="78" s="1"/>
  <c r="N30" i="78"/>
  <c r="O30" i="78" s="1"/>
  <c r="K30" i="78"/>
  <c r="E30" i="78"/>
  <c r="AN29" i="78"/>
  <c r="Z29" i="78"/>
  <c r="AA29" i="78" s="1"/>
  <c r="U29" i="78"/>
  <c r="AJ29" i="78" s="1"/>
  <c r="N29" i="78"/>
  <c r="O29" i="78" s="1"/>
  <c r="K29" i="78"/>
  <c r="AI29" i="78" s="1"/>
  <c r="E29" i="78"/>
  <c r="AN28" i="78"/>
  <c r="AE28" i="78"/>
  <c r="AA28" i="78"/>
  <c r="U28" i="78"/>
  <c r="O28" i="78"/>
  <c r="K28" i="78"/>
  <c r="E28" i="78"/>
  <c r="AN27" i="78"/>
  <c r="Y27" i="78"/>
  <c r="AE27" i="78" s="1"/>
  <c r="U27" i="78"/>
  <c r="N27" i="78"/>
  <c r="O27" i="78" s="1"/>
  <c r="S27" i="78" s="1"/>
  <c r="AC27" i="78" s="1"/>
  <c r="K27" i="78"/>
  <c r="AH27" i="78" s="1"/>
  <c r="E27" i="78"/>
  <c r="AN26" i="78"/>
  <c r="Z26" i="78"/>
  <c r="AE26" i="78" s="1"/>
  <c r="U26" i="78"/>
  <c r="AJ26" i="78" s="1"/>
  <c r="O26" i="78"/>
  <c r="S26" i="78" s="1"/>
  <c r="AC26" i="78" s="1"/>
  <c r="K26" i="78"/>
  <c r="AI26" i="78" s="1"/>
  <c r="E26" i="78"/>
  <c r="AW32" i="78"/>
  <c r="AY32" i="78" s="1"/>
  <c r="BA32" i="78" s="1"/>
  <c r="AN25" i="78"/>
  <c r="Z25" i="78"/>
  <c r="AE25" i="78" s="1"/>
  <c r="U25" i="78"/>
  <c r="O25" i="78"/>
  <c r="S25" i="78" s="1"/>
  <c r="AC25" i="78" s="1"/>
  <c r="K25" i="78"/>
  <c r="AH25" i="78" s="1"/>
  <c r="E25" i="78"/>
  <c r="AW31" i="78"/>
  <c r="AY31" i="78" s="1"/>
  <c r="BA31" i="78" s="1"/>
  <c r="AN24" i="78"/>
  <c r="Z24" i="78"/>
  <c r="AE24" i="78" s="1"/>
  <c r="U24" i="78"/>
  <c r="O24" i="78"/>
  <c r="S24" i="78" s="1"/>
  <c r="AC24" i="78" s="1"/>
  <c r="K24" i="78"/>
  <c r="AI24" i="78" s="1"/>
  <c r="E24" i="78"/>
  <c r="AW30" i="78"/>
  <c r="AY30" i="78" s="1"/>
  <c r="BA30" i="78" s="1"/>
  <c r="AN23" i="78"/>
  <c r="Z23" i="78"/>
  <c r="AA23" i="78" s="1"/>
  <c r="U23" i="78"/>
  <c r="AJ23" i="78" s="1"/>
  <c r="O23" i="78"/>
  <c r="K23" i="78"/>
  <c r="AI23" i="78" s="1"/>
  <c r="E23" i="78"/>
  <c r="AW29" i="78"/>
  <c r="AY29" i="78" s="1"/>
  <c r="BA29" i="78" s="1"/>
  <c r="AN22" i="78"/>
  <c r="Y22" i="78"/>
  <c r="U22" i="78"/>
  <c r="AD22" i="78" s="1"/>
  <c r="N22" i="78"/>
  <c r="O22" i="78" s="1"/>
  <c r="K22" i="78"/>
  <c r="AH22" i="78" s="1"/>
  <c r="E22" i="78"/>
  <c r="AW28" i="78"/>
  <c r="AY28" i="78" s="1"/>
  <c r="BA28" i="78" s="1"/>
  <c r="AN21" i="78"/>
  <c r="AE21" i="78"/>
  <c r="AA21" i="78"/>
  <c r="U21" i="78"/>
  <c r="AJ21" i="78" s="1"/>
  <c r="O21" i="78"/>
  <c r="S21" i="78" s="1"/>
  <c r="AC21" i="78" s="1"/>
  <c r="K21" i="78"/>
  <c r="E21" i="78"/>
  <c r="AW27" i="78"/>
  <c r="AY27" i="78" s="1"/>
  <c r="BA27" i="78" s="1"/>
  <c r="AN20" i="78"/>
  <c r="AE20" i="78"/>
  <c r="AA20" i="78"/>
  <c r="U20" i="78"/>
  <c r="AD20" i="78" s="1"/>
  <c r="N20" i="78"/>
  <c r="O20" i="78" s="1"/>
  <c r="K20" i="78"/>
  <c r="AI20" i="78" s="1"/>
  <c r="E20" i="78"/>
  <c r="AN19" i="78"/>
  <c r="AE19" i="78"/>
  <c r="AA19" i="78"/>
  <c r="U19" i="78"/>
  <c r="AJ19" i="78" s="1"/>
  <c r="O19" i="78"/>
  <c r="K19" i="78"/>
  <c r="E19" i="78"/>
  <c r="AN18" i="78"/>
  <c r="Y18" i="78"/>
  <c r="U18" i="78"/>
  <c r="AJ18" i="78" s="1"/>
  <c r="O18" i="78"/>
  <c r="S18" i="78" s="1"/>
  <c r="AC18" i="78" s="1"/>
  <c r="K18" i="78"/>
  <c r="E18" i="78"/>
  <c r="AN17" i="78"/>
  <c r="AE17" i="78"/>
  <c r="AA17" i="78"/>
  <c r="U17" i="78"/>
  <c r="AJ17" i="78" s="1"/>
  <c r="N17" i="78"/>
  <c r="O17" i="78" s="1"/>
  <c r="K17" i="78"/>
  <c r="AI17" i="78" s="1"/>
  <c r="E17" i="78"/>
  <c r="AN16" i="78"/>
  <c r="Z16" i="78"/>
  <c r="Y16" i="78"/>
  <c r="U16" i="78"/>
  <c r="O16" i="78"/>
  <c r="S16" i="78" s="1"/>
  <c r="AC16" i="78" s="1"/>
  <c r="K16" i="78"/>
  <c r="AI16" i="78" s="1"/>
  <c r="E16" i="78"/>
  <c r="AN15" i="78"/>
  <c r="Z15" i="78"/>
  <c r="Y15" i="78"/>
  <c r="U15" i="78"/>
  <c r="N15" i="78"/>
  <c r="O15" i="78" s="1"/>
  <c r="S15" i="78" s="1"/>
  <c r="AC15" i="78" s="1"/>
  <c r="K15" i="78"/>
  <c r="AI15" i="78" s="1"/>
  <c r="E15" i="78"/>
  <c r="AN14" i="78"/>
  <c r="AE14" i="78"/>
  <c r="AA14" i="78"/>
  <c r="U14" i="78"/>
  <c r="N14" i="78"/>
  <c r="O14" i="78" s="1"/>
  <c r="K14" i="78"/>
  <c r="AI14" i="78" s="1"/>
  <c r="E14" i="78"/>
  <c r="BB17" i="78"/>
  <c r="AW17" i="78"/>
  <c r="AN13" i="78"/>
  <c r="AE13" i="78"/>
  <c r="AA13" i="78"/>
  <c r="U13" i="78"/>
  <c r="N13" i="78"/>
  <c r="O13" i="78" s="1"/>
  <c r="K13" i="78"/>
  <c r="E13" i="78"/>
  <c r="BB16" i="78"/>
  <c r="AW16" i="78"/>
  <c r="AN12" i="78"/>
  <c r="AE12" i="78"/>
  <c r="AA12" i="78"/>
  <c r="U12" i="78"/>
  <c r="AD12" i="78" s="1"/>
  <c r="N12" i="78"/>
  <c r="O12" i="78" s="1"/>
  <c r="K12" i="78"/>
  <c r="E12" i="78"/>
  <c r="BB15" i="78"/>
  <c r="AW15" i="78"/>
  <c r="AN11" i="78"/>
  <c r="Y11" i="78"/>
  <c r="U11" i="78"/>
  <c r="AD11" i="78" s="1"/>
  <c r="N11" i="78"/>
  <c r="O11" i="78" s="1"/>
  <c r="K11" i="78"/>
  <c r="E11" i="78"/>
  <c r="BB14" i="78"/>
  <c r="AW14" i="78"/>
  <c r="AN10" i="78"/>
  <c r="Y10" i="78"/>
  <c r="AA10" i="78" s="1"/>
  <c r="U10" i="78"/>
  <c r="AD10" i="78" s="1"/>
  <c r="N10" i="78"/>
  <c r="O10" i="78" s="1"/>
  <c r="K10" i="78"/>
  <c r="E10" i="78"/>
  <c r="BB13" i="78"/>
  <c r="AW13" i="78"/>
  <c r="AN9" i="78"/>
  <c r="Y9" i="78"/>
  <c r="AA9" i="78" s="1"/>
  <c r="U9" i="78"/>
  <c r="AD9" i="78" s="1"/>
  <c r="O9" i="78"/>
  <c r="S9" i="78" s="1"/>
  <c r="AC9" i="78" s="1"/>
  <c r="K9" i="78"/>
  <c r="AH9" i="78" s="1"/>
  <c r="E9" i="78"/>
  <c r="BB12" i="78"/>
  <c r="AW12" i="78"/>
  <c r="AN8" i="78"/>
  <c r="Y8" i="78"/>
  <c r="U8" i="78"/>
  <c r="O8" i="78"/>
  <c r="K8" i="78"/>
  <c r="AI8" i="78" s="1"/>
  <c r="E8" i="78"/>
  <c r="AN7" i="78"/>
  <c r="Z7" i="78"/>
  <c r="AE7" i="78" s="1"/>
  <c r="U7" i="78"/>
  <c r="O7" i="78"/>
  <c r="S7" i="78" s="1"/>
  <c r="AC7" i="78" s="1"/>
  <c r="K7" i="78"/>
  <c r="E7" i="78"/>
  <c r="AN6" i="78"/>
  <c r="Z6" i="78"/>
  <c r="Y6" i="78"/>
  <c r="U6" i="78"/>
  <c r="N6" i="78"/>
  <c r="O6" i="78" s="1"/>
  <c r="K6" i="78"/>
  <c r="E6" i="78"/>
  <c r="AN5" i="78"/>
  <c r="Z5" i="78"/>
  <c r="Y5" i="78"/>
  <c r="U5" i="78"/>
  <c r="S5" i="78"/>
  <c r="AC5" i="78" s="1"/>
  <c r="N5" i="78"/>
  <c r="K5" i="78"/>
  <c r="E5" i="78"/>
  <c r="I2" i="78"/>
  <c r="AA82" i="78" l="1"/>
  <c r="AK11" i="78"/>
  <c r="AK19" i="78"/>
  <c r="AF19" i="78"/>
  <c r="AK21" i="78"/>
  <c r="AK28" i="78"/>
  <c r="AF76" i="78"/>
  <c r="AF30" i="78"/>
  <c r="AI50" i="78"/>
  <c r="AH48" i="78"/>
  <c r="AA70" i="78"/>
  <c r="AF17" i="78"/>
  <c r="AF23" i="78"/>
  <c r="AE52" i="78"/>
  <c r="AF29" i="78"/>
  <c r="AK20" i="78"/>
  <c r="AI54" i="78"/>
  <c r="AJ67" i="78"/>
  <c r="AA25" i="78"/>
  <c r="AB25" i="78" s="1"/>
  <c r="AM25" i="78" s="1"/>
  <c r="AE48" i="78"/>
  <c r="AA55" i="78"/>
  <c r="AE29" i="78"/>
  <c r="AE53" i="78"/>
  <c r="AD29" i="78"/>
  <c r="AI58" i="78"/>
  <c r="AH46" i="78"/>
  <c r="AH70" i="78"/>
  <c r="AA64" i="78"/>
  <c r="AD37" i="78"/>
  <c r="AD82" i="78"/>
  <c r="AD23" i="78"/>
  <c r="AA60" i="78"/>
  <c r="AE55" i="78"/>
  <c r="AJ54" i="78"/>
  <c r="AW9" i="78"/>
  <c r="AX9" i="78" s="1" a="1"/>
  <c r="AX9" i="78" s="1"/>
  <c r="BA9" i="78" s="1"/>
  <c r="AA74" i="78"/>
  <c r="AE70" i="78"/>
  <c r="AH14" i="78"/>
  <c r="AD59" i="78"/>
  <c r="AI9" i="78"/>
  <c r="AH26" i="78"/>
  <c r="AE32" i="78"/>
  <c r="AA39" i="78"/>
  <c r="AD51" i="78"/>
  <c r="AE78" i="78"/>
  <c r="AJ9" i="78"/>
  <c r="AK26" i="78"/>
  <c r="AK35" i="78"/>
  <c r="AE37" i="78"/>
  <c r="AA42" i="78"/>
  <c r="AD55" i="78"/>
  <c r="AD64" i="78"/>
  <c r="AI66" i="78"/>
  <c r="AI78" i="78"/>
  <c r="AK81" i="78"/>
  <c r="AF7" i="78"/>
  <c r="AI83" i="78"/>
  <c r="AD70" i="78"/>
  <c r="AK9" i="78"/>
  <c r="AH37" i="78"/>
  <c r="AE62" i="78"/>
  <c r="AE50" i="78"/>
  <c r="AE54" i="78"/>
  <c r="AE58" i="78"/>
  <c r="AE44" i="78"/>
  <c r="AE34" i="78"/>
  <c r="AH80" i="78"/>
  <c r="AJ78" i="78"/>
  <c r="AI55" i="78"/>
  <c r="AE33" i="78"/>
  <c r="O65" i="78"/>
  <c r="AF65" i="78" s="1"/>
  <c r="AE82" i="78"/>
  <c r="AA61" i="78"/>
  <c r="AJ44" i="78"/>
  <c r="AK29" i="78"/>
  <c r="AH64" i="78"/>
  <c r="AI21" i="78"/>
  <c r="AE23" i="78"/>
  <c r="AH8" i="78"/>
  <c r="AK12" i="78"/>
  <c r="AD50" i="78"/>
  <c r="S33" i="78"/>
  <c r="AC33" i="78" s="1"/>
  <c r="AF33" i="78"/>
  <c r="AK33" i="78"/>
  <c r="AI33" i="78"/>
  <c r="AH33" i="78"/>
  <c r="AF58" i="78"/>
  <c r="AE76" i="78"/>
  <c r="AA76" i="78"/>
  <c r="AI30" i="78"/>
  <c r="AH30" i="78"/>
  <c r="AD33" i="78"/>
  <c r="AJ33" i="78"/>
  <c r="AE35" i="78"/>
  <c r="AA43" i="78"/>
  <c r="N51" i="78"/>
  <c r="O51" i="78" s="1"/>
  <c r="AK51" i="78" s="1"/>
  <c r="AE57" i="78"/>
  <c r="O73" i="78"/>
  <c r="S73" i="78" s="1"/>
  <c r="AC73" i="78" s="1"/>
  <c r="AI75" i="78"/>
  <c r="AK18" i="78"/>
  <c r="AI18" i="78"/>
  <c r="AA53" i="78"/>
  <c r="AD58" i="78"/>
  <c r="AJ43" i="78"/>
  <c r="AJ75" i="78"/>
  <c r="AH18" i="78"/>
  <c r="AI65" i="78"/>
  <c r="AH65" i="78"/>
  <c r="AI41" i="78"/>
  <c r="N52" i="78"/>
  <c r="O52" i="78" s="1"/>
  <c r="AH73" i="78"/>
  <c r="AI79" i="78"/>
  <c r="AH79" i="78"/>
  <c r="AK16" i="78"/>
  <c r="AH16" i="78"/>
  <c r="AA26" i="78"/>
  <c r="AB26" i="78" s="1"/>
  <c r="AM26" i="78" s="1"/>
  <c r="AJ28" i="78"/>
  <c r="AD28" i="78"/>
  <c r="AF50" i="78"/>
  <c r="N79" i="78"/>
  <c r="O79" i="78" s="1"/>
  <c r="AI13" i="78"/>
  <c r="AH13" i="78"/>
  <c r="AD47" i="78"/>
  <c r="AD62" i="78"/>
  <c r="AJ62" i="78"/>
  <c r="AD68" i="78"/>
  <c r="AM32" i="78"/>
  <c r="AK32" i="78"/>
  <c r="AI32" i="78"/>
  <c r="AH32" i="78"/>
  <c r="AI60" i="78"/>
  <c r="AH60" i="78"/>
  <c r="AD18" i="78"/>
  <c r="AA33" i="78"/>
  <c r="S58" i="78"/>
  <c r="AC58" i="78" s="1"/>
  <c r="AK58" i="78"/>
  <c r="AK5" i="78"/>
  <c r="AH5" i="78"/>
  <c r="AI6" i="78"/>
  <c r="AW26" i="78"/>
  <c r="AY26" i="78" s="1"/>
  <c r="BA26" i="78" s="1"/>
  <c r="AW11" i="78"/>
  <c r="AX11" i="78" s="1" a="1"/>
  <c r="AX11" i="78" s="1"/>
  <c r="AI25" i="78"/>
  <c r="AK25" i="78"/>
  <c r="AA54" i="78"/>
  <c r="AD79" i="78"/>
  <c r="AJ79" i="78"/>
  <c r="AH45" i="78"/>
  <c r="AD26" i="78"/>
  <c r="AE64" i="78"/>
  <c r="AJ13" i="78"/>
  <c r="AD13" i="78"/>
  <c r="N46" i="78"/>
  <c r="O46" i="78" s="1"/>
  <c r="AA77" i="78"/>
  <c r="AB77" i="78" s="1"/>
  <c r="AM77" i="78" s="1"/>
  <c r="AH62" i="78"/>
  <c r="AI62" i="78"/>
  <c r="AD53" i="78"/>
  <c r="AJ53" i="78"/>
  <c r="AK76" i="78"/>
  <c r="AI76" i="78"/>
  <c r="AH76" i="78"/>
  <c r="AE80" i="78"/>
  <c r="AW23" i="78"/>
  <c r="AY23" i="78" s="1"/>
  <c r="BA23" i="78" s="1"/>
  <c r="S76" i="78"/>
  <c r="AC76" i="78" s="1"/>
  <c r="AJ76" i="78"/>
  <c r="AD76" i="78"/>
  <c r="AX16" i="78" a="1"/>
  <c r="AX16" i="78" s="1"/>
  <c r="BA16" i="78" s="1"/>
  <c r="AJ25" i="78"/>
  <c r="AD25" i="78"/>
  <c r="AD34" i="78"/>
  <c r="AJ34" i="78"/>
  <c r="AA37" i="78"/>
  <c r="AH77" i="78"/>
  <c r="AA49" i="78"/>
  <c r="AE49" i="78"/>
  <c r="AD66" i="78"/>
  <c r="AF5" i="78"/>
  <c r="AJ5" i="78"/>
  <c r="AD5" i="78"/>
  <c r="AD7" i="78"/>
  <c r="AJ7" i="78"/>
  <c r="AI53" i="78"/>
  <c r="AH53" i="78"/>
  <c r="AA5" i="78"/>
  <c r="AB5" i="78" s="1"/>
  <c r="AM5" i="78" s="1"/>
  <c r="AF28" i="78"/>
  <c r="AE60" i="78"/>
  <c r="AE68" i="78"/>
  <c r="AE5" i="78"/>
  <c r="AB9" i="78"/>
  <c r="AM9" i="78" s="1"/>
  <c r="AE10" i="78"/>
  <c r="AD17" i="78"/>
  <c r="AD19" i="78"/>
  <c r="AH56" i="78"/>
  <c r="AA65" i="78"/>
  <c r="AA72" i="78"/>
  <c r="AD72" i="78"/>
  <c r="AE9" i="78"/>
  <c r="AJ12" i="78"/>
  <c r="AH15" i="78"/>
  <c r="AH17" i="78"/>
  <c r="AK23" i="78"/>
  <c r="AH24" i="78"/>
  <c r="AK27" i="78"/>
  <c r="AD40" i="78"/>
  <c r="AA44" i="78"/>
  <c r="AJ49" i="78"/>
  <c r="AD63" i="78"/>
  <c r="AA81" i="78"/>
  <c r="AK40" i="78"/>
  <c r="AE56" i="78"/>
  <c r="AF9" i="78"/>
  <c r="AH36" i="78"/>
  <c r="AJ38" i="78"/>
  <c r="AE40" i="78"/>
  <c r="AA52" i="78"/>
  <c r="AI63" i="78"/>
  <c r="AI40" i="78"/>
  <c r="AA48" i="78"/>
  <c r="AH67" i="78"/>
  <c r="AJ81" i="78"/>
  <c r="AF26" i="78"/>
  <c r="AH52" i="78"/>
  <c r="AE61" i="78"/>
  <c r="AX15" i="78" a="1"/>
  <c r="AX15" i="78" s="1"/>
  <c r="BA15" i="78" s="1"/>
  <c r="S66" i="78"/>
  <c r="AC66" i="78" s="1"/>
  <c r="AF66" i="78"/>
  <c r="AK6" i="78"/>
  <c r="AF6" i="78"/>
  <c r="S6" i="78"/>
  <c r="AC6" i="78" s="1"/>
  <c r="AF31" i="78"/>
  <c r="S31" i="78"/>
  <c r="AC31" i="78" s="1"/>
  <c r="AF10" i="78"/>
  <c r="S10" i="78"/>
  <c r="AC10" i="78" s="1"/>
  <c r="AF36" i="78"/>
  <c r="S36" i="78"/>
  <c r="AC36" i="78" s="1"/>
  <c r="AK36" i="78"/>
  <c r="AK10" i="78"/>
  <c r="AI10" i="78"/>
  <c r="AH10" i="78"/>
  <c r="AX17" i="78" a="1"/>
  <c r="AX17" i="78" s="1"/>
  <c r="AW24" i="78"/>
  <c r="AY24" i="78" s="1"/>
  <c r="BA24" i="78" s="1"/>
  <c r="S14" i="78"/>
  <c r="AC14" i="78" s="1"/>
  <c r="AK14" i="78"/>
  <c r="AF14" i="78"/>
  <c r="S71" i="78"/>
  <c r="AC71" i="78" s="1"/>
  <c r="AF71" i="78"/>
  <c r="AJ14" i="78"/>
  <c r="AD14" i="78"/>
  <c r="AM39" i="78"/>
  <c r="AI39" i="78"/>
  <c r="AH39" i="78"/>
  <c r="AA75" i="78"/>
  <c r="AK13" i="78"/>
  <c r="S13" i="78"/>
  <c r="AC13" i="78" s="1"/>
  <c r="N38" i="78"/>
  <c r="O38" i="78" s="1"/>
  <c r="AK38" i="78" s="1"/>
  <c r="AE8" i="78"/>
  <c r="AA8" i="78"/>
  <c r="AK24" i="78"/>
  <c r="AF24" i="78"/>
  <c r="N70" i="78"/>
  <c r="O70" i="78" s="1"/>
  <c r="AF16" i="78"/>
  <c r="AD16" i="78"/>
  <c r="AJ16" i="78"/>
  <c r="AJ24" i="78"/>
  <c r="AD24" i="78"/>
  <c r="AA34" i="78"/>
  <c r="N47" i="78"/>
  <c r="O47" i="78" s="1"/>
  <c r="AJ15" i="78"/>
  <c r="AD15" i="78"/>
  <c r="AE15" i="78"/>
  <c r="AA15" i="78"/>
  <c r="AB15" i="78" s="1"/>
  <c r="AM15" i="78" s="1"/>
  <c r="N56" i="78"/>
  <c r="O56" i="78" s="1"/>
  <c r="AC50" i="78"/>
  <c r="AX14" i="78" a="1"/>
  <c r="AX14" i="78" s="1"/>
  <c r="AF12" i="78"/>
  <c r="S12" i="78"/>
  <c r="AC12" i="78" s="1"/>
  <c r="AF67" i="78"/>
  <c r="S67" i="78"/>
  <c r="AC67" i="78" s="1"/>
  <c r="AJ6" i="78"/>
  <c r="AD6" i="78"/>
  <c r="S82" i="78"/>
  <c r="AC82" i="78" s="1"/>
  <c r="AK82" i="78"/>
  <c r="AF82" i="78"/>
  <c r="AE36" i="78"/>
  <c r="AA36" i="78"/>
  <c r="AF40" i="78"/>
  <c r="S40" i="78"/>
  <c r="AC40" i="78" s="1"/>
  <c r="AF22" i="78"/>
  <c r="S22" i="78"/>
  <c r="AC22" i="78" s="1"/>
  <c r="AA27" i="78"/>
  <c r="AB27" i="78" s="1"/>
  <c r="AM27" i="78" s="1"/>
  <c r="AK31" i="78"/>
  <c r="AE66" i="78"/>
  <c r="AA66" i="78"/>
  <c r="AF34" i="78"/>
  <c r="S34" i="78"/>
  <c r="AC34" i="78" s="1"/>
  <c r="AE47" i="78"/>
  <c r="AA47" i="78"/>
  <c r="AJ8" i="78"/>
  <c r="AD8" i="78"/>
  <c r="AE16" i="78"/>
  <c r="AA16" i="78"/>
  <c r="AB16" i="78" s="1"/>
  <c r="AM16" i="78" s="1"/>
  <c r="AK34" i="78"/>
  <c r="N42" i="78"/>
  <c r="O42" i="78" s="1"/>
  <c r="N68" i="78"/>
  <c r="O68" i="78" s="1"/>
  <c r="AE6" i="78"/>
  <c r="AA6" i="78"/>
  <c r="AK17" i="78"/>
  <c r="S17" i="78"/>
  <c r="AC17" i="78" s="1"/>
  <c r="N44" i="78"/>
  <c r="O44" i="78" s="1"/>
  <c r="AJ27" i="78"/>
  <c r="AD27" i="78"/>
  <c r="AD36" i="78"/>
  <c r="AJ36" i="78"/>
  <c r="AX12" i="78" a="1"/>
  <c r="AX12" i="78" s="1"/>
  <c r="AF13" i="78"/>
  <c r="AD32" i="78"/>
  <c r="AJ32" i="78"/>
  <c r="AJ41" i="78"/>
  <c r="AD41" i="78"/>
  <c r="AD52" i="78"/>
  <c r="AJ52" i="78"/>
  <c r="AE67" i="78"/>
  <c r="AA67" i="78"/>
  <c r="O62" i="78"/>
  <c r="AF11" i="78"/>
  <c r="S11" i="78"/>
  <c r="AC11" i="78" s="1"/>
  <c r="N60" i="78"/>
  <c r="O60" i="78" s="1"/>
  <c r="S8" i="78"/>
  <c r="AC8" i="78" s="1"/>
  <c r="AK8" i="78"/>
  <c r="AF8" i="78"/>
  <c r="AF15" i="78"/>
  <c r="AK15" i="78"/>
  <c r="AA41" i="78"/>
  <c r="AE41" i="78"/>
  <c r="AD46" i="78"/>
  <c r="AJ46" i="78"/>
  <c r="AA24" i="78"/>
  <c r="AB24" i="78" s="1"/>
  <c r="AM24" i="78" s="1"/>
  <c r="AH69" i="78"/>
  <c r="AI69" i="78"/>
  <c r="AE31" i="78"/>
  <c r="AA31" i="78"/>
  <c r="AI19" i="78"/>
  <c r="AH19" i="78"/>
  <c r="AX13" i="78" a="1"/>
  <c r="AX13" i="78" s="1"/>
  <c r="AE11" i="78"/>
  <c r="AA11" i="78"/>
  <c r="AJ22" i="78"/>
  <c r="AI34" i="78"/>
  <c r="AH34" i="78"/>
  <c r="AA35" i="78"/>
  <c r="AI42" i="78"/>
  <c r="AH42" i="78"/>
  <c r="AI57" i="78"/>
  <c r="AD65" i="78"/>
  <c r="N69" i="78"/>
  <c r="O69" i="78" s="1"/>
  <c r="AK69" i="78" s="1"/>
  <c r="N39" i="78"/>
  <c r="O39" i="78" s="1"/>
  <c r="AJ45" i="78"/>
  <c r="AD45" i="78"/>
  <c r="AI61" i="78"/>
  <c r="AH61" i="78"/>
  <c r="S19" i="78"/>
  <c r="AC19" i="78" s="1"/>
  <c r="AB21" i="78"/>
  <c r="AM21" i="78" s="1"/>
  <c r="AI22" i="78"/>
  <c r="AI28" i="78"/>
  <c r="AH28" i="78"/>
  <c r="AD30" i="78"/>
  <c r="AE45" i="78"/>
  <c r="AJ69" i="78"/>
  <c r="AA7" i="78"/>
  <c r="AB7" i="78" s="1"/>
  <c r="AM7" i="78" s="1"/>
  <c r="AD21" i="78"/>
  <c r="AK22" i="78"/>
  <c r="S28" i="78"/>
  <c r="AI47" i="78"/>
  <c r="AH47" i="78"/>
  <c r="AJ57" i="78"/>
  <c r="AE65" i="78"/>
  <c r="AK67" i="78"/>
  <c r="AD73" i="78"/>
  <c r="AJ73" i="78"/>
  <c r="N37" i="78"/>
  <c r="O37" i="78" s="1"/>
  <c r="AE71" i="78"/>
  <c r="AA71" i="78"/>
  <c r="AJ83" i="78"/>
  <c r="AD83" i="78"/>
  <c r="AA50" i="78"/>
  <c r="AB50" i="78" s="1"/>
  <c r="AM50" i="78" s="1"/>
  <c r="S20" i="78"/>
  <c r="AC20" i="78" s="1"/>
  <c r="O43" i="78"/>
  <c r="O48" i="78"/>
  <c r="AI68" i="78"/>
  <c r="AH68" i="78"/>
  <c r="AW25" i="78"/>
  <c r="AY25" i="78" s="1"/>
  <c r="BA25" i="78" s="1"/>
  <c r="AI5" i="78"/>
  <c r="AH6" i="78"/>
  <c r="AW10" i="78"/>
  <c r="AX10" i="78" s="1" a="1"/>
  <c r="AX10" i="78" s="1"/>
  <c r="AJ10" i="78"/>
  <c r="AH11" i="78"/>
  <c r="AE18" i="78"/>
  <c r="AA18" i="78"/>
  <c r="AB18" i="78" s="1"/>
  <c r="AM18" i="78" s="1"/>
  <c r="AF20" i="78"/>
  <c r="AD35" i="78"/>
  <c r="AE38" i="78"/>
  <c r="AA38" i="78"/>
  <c r="AJ61" i="78"/>
  <c r="AA73" i="78"/>
  <c r="AE73" i="78"/>
  <c r="N59" i="78"/>
  <c r="O59" i="78" s="1"/>
  <c r="N61" i="78"/>
  <c r="O61" i="78" s="1"/>
  <c r="AI38" i="78"/>
  <c r="AD56" i="78"/>
  <c r="AJ56" i="78"/>
  <c r="AJ60" i="78"/>
  <c r="AD60" i="78"/>
  <c r="AF72" i="78"/>
  <c r="AE46" i="78"/>
  <c r="AA46" i="78"/>
  <c r="AD71" i="78"/>
  <c r="AJ71" i="78"/>
  <c r="AJ31" i="78"/>
  <c r="AD31" i="78"/>
  <c r="AF35" i="78"/>
  <c r="AH44" i="78"/>
  <c r="O57" i="78"/>
  <c r="AK57" i="78" s="1"/>
  <c r="AD74" i="78"/>
  <c r="AJ74" i="78"/>
  <c r="AJ11" i="78"/>
  <c r="AF32" i="78"/>
  <c r="S72" i="78"/>
  <c r="AC72" i="78" s="1"/>
  <c r="S30" i="78"/>
  <c r="AC30" i="78" s="1"/>
  <c r="AK30" i="78"/>
  <c r="AE51" i="78"/>
  <c r="AA51" i="78"/>
  <c r="AW8" i="78"/>
  <c r="AK7" i="78"/>
  <c r="AI7" i="78"/>
  <c r="AH7" i="78"/>
  <c r="S35" i="78"/>
  <c r="AC35" i="78" s="1"/>
  <c r="AJ77" i="78"/>
  <c r="AD77" i="78"/>
  <c r="AH81" i="78"/>
  <c r="AI81" i="78"/>
  <c r="AI12" i="78"/>
  <c r="AH12" i="78"/>
  <c r="AE22" i="78"/>
  <c r="AA22" i="78"/>
  <c r="N63" i="78"/>
  <c r="O63" i="78" s="1"/>
  <c r="AF18" i="78"/>
  <c r="AI11" i="78"/>
  <c r="AF21" i="78"/>
  <c r="AH20" i="78"/>
  <c r="AJ42" i="78"/>
  <c r="AD42" i="78"/>
  <c r="AH43" i="78"/>
  <c r="AI44" i="78"/>
  <c r="K2" i="78"/>
  <c r="AF25" i="78"/>
  <c r="AF27" i="78"/>
  <c r="S32" i="78"/>
  <c r="AC32" i="78" s="1"/>
  <c r="N49" i="78"/>
  <c r="O49" i="78" s="1"/>
  <c r="N53" i="78"/>
  <c r="O53" i="78" s="1"/>
  <c r="AA59" i="78"/>
  <c r="AE59" i="78"/>
  <c r="AF77" i="78"/>
  <c r="AF81" i="78"/>
  <c r="S81" i="78"/>
  <c r="AC81" i="78" s="1"/>
  <c r="AJ20" i="78"/>
  <c r="AH23" i="78"/>
  <c r="AH29" i="78"/>
  <c r="AH40" i="78"/>
  <c r="AH49" i="78"/>
  <c r="AA56" i="78"/>
  <c r="N80" i="78"/>
  <c r="O80" i="78" s="1"/>
  <c r="N83" i="78"/>
  <c r="O83" i="78" s="1"/>
  <c r="AH21" i="78"/>
  <c r="AH59" i="78"/>
  <c r="AA69" i="78"/>
  <c r="AE83" i="78"/>
  <c r="AA83" i="78"/>
  <c r="AA32" i="78"/>
  <c r="S23" i="78"/>
  <c r="AC23" i="78" s="1"/>
  <c r="AH35" i="78"/>
  <c r="S29" i="78"/>
  <c r="AC29" i="78" s="1"/>
  <c r="O54" i="78"/>
  <c r="AI27" i="78"/>
  <c r="AH31" i="78"/>
  <c r="AI35" i="78"/>
  <c r="AK50" i="78"/>
  <c r="AI51" i="78"/>
  <c r="AA62" i="78"/>
  <c r="AK66" i="78"/>
  <c r="AE69" i="78"/>
  <c r="AJ80" i="78"/>
  <c r="AD80" i="78"/>
  <c r="AI74" i="78"/>
  <c r="N78" i="78"/>
  <c r="O78" i="78" s="1"/>
  <c r="N41" i="78"/>
  <c r="O41" i="78" s="1"/>
  <c r="O45" i="78"/>
  <c r="N55" i="78"/>
  <c r="O55" i="78" s="1"/>
  <c r="N64" i="78"/>
  <c r="O64" i="78" s="1"/>
  <c r="AK72" i="78"/>
  <c r="N75" i="78"/>
  <c r="O75" i="78" s="1"/>
  <c r="AK77" i="78"/>
  <c r="AH82" i="78"/>
  <c r="AI82" i="78"/>
  <c r="AD39" i="78"/>
  <c r="AD48" i="78"/>
  <c r="AA58" i="78"/>
  <c r="AA63" i="78"/>
  <c r="AE63" i="78"/>
  <c r="N74" i="78"/>
  <c r="O74" i="78" s="1"/>
  <c r="AA79" i="78"/>
  <c r="AE79" i="78"/>
  <c r="AK71" i="78"/>
  <c r="AA57" i="78"/>
  <c r="AA68" i="78"/>
  <c r="AH71" i="78"/>
  <c r="AH72" i="78"/>
  <c r="AG77" i="78" l="1"/>
  <c r="AG81" i="78"/>
  <c r="AK65" i="78"/>
  <c r="AG25" i="78"/>
  <c r="AB58" i="78"/>
  <c r="AM58" i="78" s="1"/>
  <c r="S65" i="78"/>
  <c r="AC65" i="78" s="1"/>
  <c r="AG65" i="78" s="1"/>
  <c r="AG58" i="78"/>
  <c r="AG29" i="78"/>
  <c r="AG12" i="78"/>
  <c r="AG7" i="78"/>
  <c r="AG24" i="78"/>
  <c r="AB73" i="78"/>
  <c r="AM73" i="78" s="1"/>
  <c r="AG5" i="78"/>
  <c r="AB12" i="78"/>
  <c r="AM12" i="78" s="1"/>
  <c r="AG16" i="78"/>
  <c r="AK73" i="78"/>
  <c r="AG19" i="78"/>
  <c r="AG33" i="78"/>
  <c r="AF73" i="78"/>
  <c r="AG73" i="78" s="1"/>
  <c r="AG9" i="78"/>
  <c r="S51" i="78"/>
  <c r="AC51" i="78" s="1"/>
  <c r="AG27" i="78"/>
  <c r="AG26" i="78"/>
  <c r="AG23" i="78"/>
  <c r="AG76" i="78"/>
  <c r="AG10" i="78"/>
  <c r="AB29" i="78"/>
  <c r="AM29" i="78" s="1"/>
  <c r="AG11" i="78"/>
  <c r="AB19" i="78"/>
  <c r="AM19" i="78" s="1"/>
  <c r="AF51" i="78"/>
  <c r="AB14" i="78"/>
  <c r="AM14" i="78" s="1"/>
  <c r="AG30" i="78"/>
  <c r="AG17" i="78"/>
  <c r="AG13" i="78"/>
  <c r="S79" i="78"/>
  <c r="AC79" i="78" s="1"/>
  <c r="AF79" i="78"/>
  <c r="AK79" i="78"/>
  <c r="AK46" i="78"/>
  <c r="AF46" i="78"/>
  <c r="S46" i="78"/>
  <c r="AC46" i="78" s="1"/>
  <c r="AF52" i="78"/>
  <c r="S52" i="78"/>
  <c r="AC52" i="78" s="1"/>
  <c r="AK52" i="78"/>
  <c r="AB33" i="78"/>
  <c r="AM33" i="78" s="1"/>
  <c r="AZ8" i="78" a="1"/>
  <c r="AZ8" i="78" s="1"/>
  <c r="AG34" i="78"/>
  <c r="AB67" i="78"/>
  <c r="AM67" i="78" s="1"/>
  <c r="AB30" i="78"/>
  <c r="AM30" i="78" s="1"/>
  <c r="AG18" i="78"/>
  <c r="AB76" i="78"/>
  <c r="AM76" i="78" s="1"/>
  <c r="AG20" i="78"/>
  <c r="AG35" i="78"/>
  <c r="AG15" i="78"/>
  <c r="BA21" i="78"/>
  <c r="AB71" i="78"/>
  <c r="AM71" i="78" s="1"/>
  <c r="AG21" i="78"/>
  <c r="AB40" i="78"/>
  <c r="AM40" i="78" s="1"/>
  <c r="AZ13" i="78" a="1"/>
  <c r="AZ13" i="78" s="1"/>
  <c r="AY13" i="78" s="1"/>
  <c r="AB72" i="78"/>
  <c r="AM72" i="78" s="1"/>
  <c r="AG40" i="78"/>
  <c r="AG82" i="78"/>
  <c r="AG50" i="78"/>
  <c r="AB8" i="78"/>
  <c r="AM8" i="78" s="1"/>
  <c r="AF42" i="78"/>
  <c r="S42" i="78"/>
  <c r="AC42" i="78" s="1"/>
  <c r="AK42" i="78"/>
  <c r="S44" i="78"/>
  <c r="AC44" i="78" s="1"/>
  <c r="AF44" i="78"/>
  <c r="AK44" i="78"/>
  <c r="AK60" i="78"/>
  <c r="AF60" i="78"/>
  <c r="S60" i="78"/>
  <c r="AC60" i="78" s="1"/>
  <c r="AF61" i="78"/>
  <c r="S61" i="78"/>
  <c r="AC61" i="78" s="1"/>
  <c r="AK61" i="78"/>
  <c r="AF64" i="78"/>
  <c r="S64" i="78"/>
  <c r="AC64" i="78" s="1"/>
  <c r="AK64" i="78"/>
  <c r="S41" i="78"/>
  <c r="AC41" i="78" s="1"/>
  <c r="AF41" i="78"/>
  <c r="AK41" i="78"/>
  <c r="AF68" i="78"/>
  <c r="S68" i="78"/>
  <c r="AC68" i="78" s="1"/>
  <c r="AK68" i="78"/>
  <c r="S37" i="78"/>
  <c r="AC37" i="78" s="1"/>
  <c r="AK37" i="78"/>
  <c r="AF37" i="78"/>
  <c r="AK56" i="78"/>
  <c r="AF56" i="78"/>
  <c r="S56" i="78"/>
  <c r="AC56" i="78" s="1"/>
  <c r="S39" i="78"/>
  <c r="AC39" i="78" s="1"/>
  <c r="AF39" i="78"/>
  <c r="AK39" i="78"/>
  <c r="S63" i="78"/>
  <c r="AC63" i="78" s="1"/>
  <c r="AF63" i="78"/>
  <c r="AK63" i="78"/>
  <c r="AF47" i="78"/>
  <c r="S47" i="78"/>
  <c r="AC47" i="78" s="1"/>
  <c r="AK47" i="78"/>
  <c r="S59" i="78"/>
  <c r="AC59" i="78" s="1"/>
  <c r="AF59" i="78"/>
  <c r="AK59" i="78"/>
  <c r="AF74" i="78"/>
  <c r="S74" i="78"/>
  <c r="AC74" i="78" s="1"/>
  <c r="AK74" i="78"/>
  <c r="AF83" i="78"/>
  <c r="AK83" i="78"/>
  <c r="S83" i="78"/>
  <c r="AC83" i="78" s="1"/>
  <c r="S49" i="78"/>
  <c r="AC49" i="78" s="1"/>
  <c r="AF49" i="78"/>
  <c r="AK49" i="78"/>
  <c r="BB9" i="78"/>
  <c r="AZ9" i="78" a="1"/>
  <c r="AZ9" i="78" s="1"/>
  <c r="AY9" i="78" s="1"/>
  <c r="BA11" i="78"/>
  <c r="BD8" i="78"/>
  <c r="BD9" i="78" s="1"/>
  <c r="BD10" i="78" s="1"/>
  <c r="BD11" i="78" s="1"/>
  <c r="BD12" i="78" s="1"/>
  <c r="BD13" i="78" s="1"/>
  <c r="BD14" i="78" s="1"/>
  <c r="BD15" i="78" s="1"/>
  <c r="BD16" i="78" s="1"/>
  <c r="BD17" i="78" s="1"/>
  <c r="AW6" i="78"/>
  <c r="AX8" i="78" a="1"/>
  <c r="AX8" i="78" s="1"/>
  <c r="S55" i="78"/>
  <c r="AC55" i="78" s="1"/>
  <c r="AK55" i="78"/>
  <c r="AF55" i="78"/>
  <c r="AB23" i="78"/>
  <c r="AM23" i="78" s="1"/>
  <c r="S54" i="78"/>
  <c r="AC54" i="78" s="1"/>
  <c r="AF54" i="78"/>
  <c r="AK54" i="78"/>
  <c r="BB11" i="78"/>
  <c r="AZ11" i="78" a="1"/>
  <c r="AZ11" i="78" s="1"/>
  <c r="AY11" i="78" s="1"/>
  <c r="Q2" i="78"/>
  <c r="G2" i="78" s="1"/>
  <c r="AZ12" i="78" a="1"/>
  <c r="AZ12" i="78" s="1"/>
  <c r="AY12" i="78" s="1"/>
  <c r="R2" i="78"/>
  <c r="AB82" i="78"/>
  <c r="AM82" i="78" s="1"/>
  <c r="AF38" i="78"/>
  <c r="S38" i="78"/>
  <c r="AC38" i="78" s="1"/>
  <c r="S80" i="78"/>
  <c r="AC80" i="78" s="1"/>
  <c r="AK80" i="78"/>
  <c r="AF80" i="78"/>
  <c r="AI3" i="78"/>
  <c r="E1" i="78" s="1"/>
  <c r="AG8" i="78"/>
  <c r="AG22" i="78"/>
  <c r="AB10" i="78"/>
  <c r="AM10" i="78" s="1"/>
  <c r="AB22" i="78"/>
  <c r="AM22" i="78" s="1"/>
  <c r="BB8" i="78"/>
  <c r="AH3" i="78"/>
  <c r="E2" i="78" s="1"/>
  <c r="S75" i="78"/>
  <c r="AC75" i="78" s="1"/>
  <c r="AK75" i="78"/>
  <c r="AF75" i="78"/>
  <c r="AB35" i="78"/>
  <c r="AM35" i="78" s="1"/>
  <c r="AB81" i="78"/>
  <c r="AM81" i="78" s="1"/>
  <c r="AB13" i="78"/>
  <c r="AM13" i="78" s="1"/>
  <c r="AB31" i="78"/>
  <c r="AM31" i="78" s="1"/>
  <c r="AB11" i="78"/>
  <c r="AM11" i="78" s="1"/>
  <c r="BA14" i="78"/>
  <c r="AG6" i="78"/>
  <c r="BA17" i="78"/>
  <c r="AF78" i="78"/>
  <c r="S78" i="78"/>
  <c r="AC78" i="78" s="1"/>
  <c r="AK78" i="78"/>
  <c r="AB17" i="78"/>
  <c r="AM17" i="78" s="1"/>
  <c r="S70" i="78"/>
  <c r="AC70" i="78" s="1"/>
  <c r="AF70" i="78"/>
  <c r="AG36" i="78"/>
  <c r="BA13" i="78"/>
  <c r="AG31" i="78"/>
  <c r="AG32" i="78"/>
  <c r="AF69" i="78"/>
  <c r="S69" i="78"/>
  <c r="AC69" i="78" s="1"/>
  <c r="S62" i="78"/>
  <c r="AC62" i="78" s="1"/>
  <c r="AF62" i="78"/>
  <c r="AK62" i="78"/>
  <c r="AB34" i="78"/>
  <c r="AM34" i="78" s="1"/>
  <c r="AK70" i="78"/>
  <c r="P2" i="78"/>
  <c r="AG71" i="78"/>
  <c r="AB36" i="78"/>
  <c r="AM36" i="78" s="1"/>
  <c r="AB6" i="78"/>
  <c r="AM6" i="78" s="1"/>
  <c r="BA10" i="78"/>
  <c r="AZ10" i="78" a="1"/>
  <c r="AZ10" i="78" s="1"/>
  <c r="AY10" i="78" s="1"/>
  <c r="BB10" i="78"/>
  <c r="S45" i="78"/>
  <c r="AC45" i="78" s="1"/>
  <c r="AK45" i="78"/>
  <c r="AF45" i="78"/>
  <c r="AF57" i="78"/>
  <c r="S57" i="78"/>
  <c r="AC57" i="78" s="1"/>
  <c r="AZ17" i="78" a="1"/>
  <c r="AZ17" i="78" s="1"/>
  <c r="AY17" i="78" s="1"/>
  <c r="AJ3" i="78"/>
  <c r="L35" i="12" s="1"/>
  <c r="L2" i="78"/>
  <c r="AB20" i="78"/>
  <c r="AM20" i="78" s="1"/>
  <c r="S53" i="78"/>
  <c r="AC53" i="78" s="1"/>
  <c r="AK53" i="78"/>
  <c r="AF53" i="78"/>
  <c r="AG72" i="78"/>
  <c r="AF48" i="78"/>
  <c r="S48" i="78"/>
  <c r="AC48" i="78" s="1"/>
  <c r="AK48" i="78"/>
  <c r="AZ16" i="78" a="1"/>
  <c r="AZ16" i="78" s="1"/>
  <c r="AY16" i="78" s="1"/>
  <c r="AB66" i="78"/>
  <c r="AM66" i="78" s="1"/>
  <c r="AF43" i="78"/>
  <c r="S43" i="78"/>
  <c r="AC43" i="78" s="1"/>
  <c r="AK43" i="78"/>
  <c r="AZ15" i="78" a="1"/>
  <c r="AZ15" i="78" s="1"/>
  <c r="AY15" i="78" s="1"/>
  <c r="BA12" i="78"/>
  <c r="AG67" i="78"/>
  <c r="AG14" i="78"/>
  <c r="AZ14" i="78" a="1"/>
  <c r="AZ14" i="78" s="1"/>
  <c r="AY14" i="78" s="1"/>
  <c r="AC28" i="78"/>
  <c r="AG28" i="78" s="1"/>
  <c r="AB28" i="78"/>
  <c r="AM28" i="78" s="1"/>
  <c r="AG66" i="78"/>
  <c r="AG61" i="78" l="1"/>
  <c r="AB65" i="78"/>
  <c r="AM65" i="78" s="1"/>
  <c r="AB64" i="78"/>
  <c r="AM64" i="78" s="1"/>
  <c r="AB59" i="78"/>
  <c r="AM59" i="78" s="1"/>
  <c r="AG42" i="78"/>
  <c r="AG48" i="78"/>
  <c r="AB49" i="78"/>
  <c r="AM49" i="78" s="1"/>
  <c r="AG47" i="78"/>
  <c r="AG51" i="78"/>
  <c r="AG78" i="78"/>
  <c r="AB56" i="78"/>
  <c r="AM56" i="78" s="1"/>
  <c r="AG60" i="78"/>
  <c r="AG52" i="78"/>
  <c r="AG46" i="78"/>
  <c r="AG39" i="78"/>
  <c r="AG79" i="78"/>
  <c r="AB55" i="78"/>
  <c r="AM55" i="78" s="1"/>
  <c r="AG43" i="78"/>
  <c r="AG69" i="78"/>
  <c r="AG74" i="78"/>
  <c r="AG56" i="78"/>
  <c r="AG54" i="78"/>
  <c r="AB51" i="78"/>
  <c r="AM51" i="78" s="1"/>
  <c r="AB37" i="78"/>
  <c r="AM37" i="78" s="1"/>
  <c r="AG70" i="78"/>
  <c r="AB46" i="78"/>
  <c r="AM46" i="78" s="1"/>
  <c r="AB52" i="78"/>
  <c r="AM52" i="78" s="1"/>
  <c r="AB41" i="78"/>
  <c r="AM41" i="78" s="1"/>
  <c r="AB79" i="78"/>
  <c r="AM79" i="78" s="1"/>
  <c r="AG59" i="78"/>
  <c r="AB38" i="78"/>
  <c r="AM38" i="78" s="1"/>
  <c r="AG57" i="78"/>
  <c r="AK3" i="78"/>
  <c r="G35" i="12" s="1"/>
  <c r="AB78" i="78"/>
  <c r="AM78" i="78" s="1"/>
  <c r="AB75" i="78"/>
  <c r="AM75" i="78" s="1"/>
  <c r="AG83" i="78"/>
  <c r="AB63" i="78"/>
  <c r="AM63" i="78" s="1"/>
  <c r="AG62" i="78"/>
  <c r="AG64" i="78"/>
  <c r="AG68" i="78"/>
  <c r="AB80" i="78"/>
  <c r="AM80" i="78" s="1"/>
  <c r="AB61" i="78"/>
  <c r="AM61" i="78" s="1"/>
  <c r="BA8" i="78"/>
  <c r="AX6" i="78"/>
  <c r="AY8" i="78"/>
  <c r="AG37" i="78"/>
  <c r="AG80" i="78"/>
  <c r="AB69" i="78"/>
  <c r="AM69" i="78" s="1"/>
  <c r="AB68" i="78"/>
  <c r="AM68" i="78" s="1"/>
  <c r="AB48" i="78"/>
  <c r="AM48" i="78" s="1"/>
  <c r="AG55" i="78"/>
  <c r="AZ6" i="78"/>
  <c r="AG53" i="78"/>
  <c r="AB44" i="78"/>
  <c r="AM44" i="78" s="1"/>
  <c r="AB53" i="78"/>
  <c r="AM53" i="78" s="1"/>
  <c r="AG49" i="78"/>
  <c r="AB47" i="78"/>
  <c r="AM47" i="78" s="1"/>
  <c r="AB83" i="78"/>
  <c r="AM83" i="78" s="1"/>
  <c r="AB43" i="78"/>
  <c r="AM43" i="78" s="1"/>
  <c r="AB57" i="78"/>
  <c r="AM57" i="78" s="1"/>
  <c r="AB45" i="78"/>
  <c r="AM45" i="78" s="1"/>
  <c r="AG41" i="78"/>
  <c r="AB70" i="78"/>
  <c r="AM70" i="78" s="1"/>
  <c r="AG75" i="78"/>
  <c r="AG63" i="78"/>
  <c r="AB60" i="78"/>
  <c r="AM60" i="78" s="1"/>
  <c r="AB42" i="78"/>
  <c r="AM42" i="78" s="1"/>
  <c r="AG45" i="78"/>
  <c r="AB74" i="78"/>
  <c r="AM74" i="78" s="1"/>
  <c r="AG44" i="78"/>
  <c r="AB62" i="78"/>
  <c r="AM62" i="78" s="1"/>
  <c r="BB6" i="78"/>
  <c r="BC23" i="78" s="1"/>
  <c r="AG38" i="78"/>
  <c r="AB54" i="78"/>
  <c r="AM54" i="78" s="1"/>
  <c r="AM3" i="78" l="1"/>
  <c r="G1" i="78" s="1"/>
  <c r="AG2" i="78"/>
  <c r="K35" i="12" s="1"/>
  <c r="M35" i="12" s="1"/>
  <c r="BC8" i="78"/>
  <c r="BC9" i="78" s="1"/>
  <c r="BC10" i="78" s="1"/>
  <c r="BC11" i="78" s="1"/>
  <c r="BC12" i="78" s="1"/>
  <c r="BC13" i="78" s="1"/>
  <c r="BC14" i="78" s="1"/>
  <c r="BC15" i="78" s="1"/>
  <c r="BC16" i="78" s="1"/>
  <c r="BC17" i="78" s="1"/>
  <c r="BA6" i="78"/>
  <c r="C5" i="1" l="1"/>
  <c r="C6" i="1" s="1"/>
  <c r="L5" i="1" s="1"/>
  <c r="BC27" i="76" l="1"/>
  <c r="BC24" i="78" s="1"/>
  <c r="BC28" i="78" s="1"/>
  <c r="BC25" i="76"/>
  <c r="L14" i="1" l="1"/>
  <c r="I14" i="1"/>
  <c r="F14" i="1"/>
  <c r="AN93" i="76" l="1"/>
  <c r="M93" i="76" s="1"/>
  <c r="N93" i="76" s="1"/>
  <c r="O93" i="76" s="1"/>
  <c r="Z93" i="76"/>
  <c r="Y93" i="76"/>
  <c r="U93" i="76"/>
  <c r="AJ93" i="76" s="1"/>
  <c r="K93" i="76"/>
  <c r="AH93" i="76" s="1"/>
  <c r="E93" i="76"/>
  <c r="AN92" i="76"/>
  <c r="M92" i="76" s="1"/>
  <c r="N92" i="76" s="1"/>
  <c r="O92" i="76" s="1"/>
  <c r="Z92" i="76"/>
  <c r="Y92" i="76"/>
  <c r="U92" i="76"/>
  <c r="K92" i="76"/>
  <c r="E92" i="76"/>
  <c r="AN91" i="76"/>
  <c r="M91" i="76" s="1"/>
  <c r="Z91" i="76"/>
  <c r="Y91" i="76"/>
  <c r="U91" i="76"/>
  <c r="K91" i="76"/>
  <c r="E91" i="76"/>
  <c r="AN90" i="76"/>
  <c r="Z90" i="76"/>
  <c r="Y90" i="76"/>
  <c r="U90" i="76"/>
  <c r="N90" i="76"/>
  <c r="O90" i="76" s="1"/>
  <c r="K90" i="76"/>
  <c r="E90" i="76"/>
  <c r="AN89" i="76"/>
  <c r="Z89" i="76"/>
  <c r="Y89" i="76"/>
  <c r="U89" i="76"/>
  <c r="AD89" i="76" s="1"/>
  <c r="N89" i="76"/>
  <c r="O89" i="76" s="1"/>
  <c r="S89" i="76" s="1"/>
  <c r="AC89" i="76" s="1"/>
  <c r="K89" i="76"/>
  <c r="E89" i="76"/>
  <c r="AN88" i="76"/>
  <c r="Z88" i="76"/>
  <c r="Y88" i="76"/>
  <c r="U88" i="76"/>
  <c r="AJ88" i="76" s="1"/>
  <c r="N88" i="76"/>
  <c r="O88" i="76" s="1"/>
  <c r="K88" i="76"/>
  <c r="E88" i="76"/>
  <c r="AN87" i="76"/>
  <c r="Z87" i="76"/>
  <c r="Y87" i="76"/>
  <c r="U87" i="76"/>
  <c r="AJ87" i="76" s="1"/>
  <c r="N87" i="76"/>
  <c r="O87" i="76" s="1"/>
  <c r="K87" i="76"/>
  <c r="E87" i="76"/>
  <c r="AN86" i="76"/>
  <c r="Y86" i="76"/>
  <c r="U86" i="76"/>
  <c r="AD86" i="76" s="1"/>
  <c r="N86" i="76"/>
  <c r="O86" i="76" s="1"/>
  <c r="S86" i="76" s="1"/>
  <c r="AC86" i="76" s="1"/>
  <c r="K86" i="76"/>
  <c r="AI86" i="76" s="1"/>
  <c r="E86" i="76"/>
  <c r="AN85" i="76"/>
  <c r="Y85" i="76"/>
  <c r="AA85" i="76" s="1"/>
  <c r="U85" i="76"/>
  <c r="N85" i="76"/>
  <c r="O85" i="76" s="1"/>
  <c r="K85" i="76"/>
  <c r="E85" i="76"/>
  <c r="AN84" i="76"/>
  <c r="AE84" i="76"/>
  <c r="AA84" i="76"/>
  <c r="U84" i="76"/>
  <c r="O84" i="76"/>
  <c r="K84" i="76"/>
  <c r="AI84" i="76" s="1"/>
  <c r="E84" i="76"/>
  <c r="AN83" i="76"/>
  <c r="Y83" i="76"/>
  <c r="AE83" i="76" s="1"/>
  <c r="U83" i="76"/>
  <c r="O83" i="76"/>
  <c r="S83" i="76" s="1"/>
  <c r="AC83" i="76" s="1"/>
  <c r="K83" i="76"/>
  <c r="AI83" i="76" s="1"/>
  <c r="E83" i="76"/>
  <c r="AN82" i="76"/>
  <c r="Y82" i="76"/>
  <c r="AE82" i="76" s="1"/>
  <c r="U82" i="76"/>
  <c r="N82" i="76"/>
  <c r="O82" i="76" s="1"/>
  <c r="K82" i="76"/>
  <c r="E82" i="76"/>
  <c r="AN81" i="76"/>
  <c r="Y81" i="76"/>
  <c r="AE81" i="76" s="1"/>
  <c r="U81" i="76"/>
  <c r="N81" i="76"/>
  <c r="O81" i="76" s="1"/>
  <c r="S81" i="76" s="1"/>
  <c r="AC81" i="76" s="1"/>
  <c r="K81" i="76"/>
  <c r="E81" i="76"/>
  <c r="AN80" i="76"/>
  <c r="Y80" i="76"/>
  <c r="AE80" i="76" s="1"/>
  <c r="U80" i="76"/>
  <c r="AJ80" i="76" s="1"/>
  <c r="N80" i="76"/>
  <c r="O80" i="76" s="1"/>
  <c r="K80" i="76"/>
  <c r="E80" i="76"/>
  <c r="AN79" i="76"/>
  <c r="Y79" i="76"/>
  <c r="AA79" i="76" s="1"/>
  <c r="U79" i="76"/>
  <c r="N79" i="76"/>
  <c r="O79" i="76" s="1"/>
  <c r="K79" i="76"/>
  <c r="E79" i="76"/>
  <c r="AN78" i="76"/>
  <c r="Y78" i="76"/>
  <c r="AE78" i="76" s="1"/>
  <c r="U78" i="76"/>
  <c r="N78" i="76"/>
  <c r="O78" i="76" s="1"/>
  <c r="K78" i="76"/>
  <c r="E78" i="76"/>
  <c r="AN77" i="76"/>
  <c r="Y77" i="76"/>
  <c r="AE77" i="76" s="1"/>
  <c r="U77" i="76"/>
  <c r="AD77" i="76" s="1"/>
  <c r="N77" i="76"/>
  <c r="O77" i="76" s="1"/>
  <c r="S77" i="76" s="1"/>
  <c r="AC77" i="76" s="1"/>
  <c r="K77" i="76"/>
  <c r="AI77" i="76" s="1"/>
  <c r="E77" i="76"/>
  <c r="AN76" i="76"/>
  <c r="AC76" i="76"/>
  <c r="Z76" i="76"/>
  <c r="Y76" i="76"/>
  <c r="U76" i="76"/>
  <c r="O76" i="76"/>
  <c r="K76" i="76"/>
  <c r="E76" i="76"/>
  <c r="AN75" i="76"/>
  <c r="AC75" i="76"/>
  <c r="Z75" i="76"/>
  <c r="Y75" i="76"/>
  <c r="U75" i="76"/>
  <c r="AD75" i="76" s="1"/>
  <c r="N75" i="76"/>
  <c r="O75" i="76" s="1"/>
  <c r="K75" i="76"/>
  <c r="E75" i="76"/>
  <c r="AN74" i="76"/>
  <c r="AC74" i="76"/>
  <c r="Z74" i="76"/>
  <c r="Y74" i="76"/>
  <c r="U74" i="76"/>
  <c r="AJ74" i="76" s="1"/>
  <c r="N74" i="76"/>
  <c r="O74" i="76" s="1"/>
  <c r="K74" i="76"/>
  <c r="AI74" i="76" s="1"/>
  <c r="E74" i="76"/>
  <c r="AN73" i="76"/>
  <c r="AC73" i="76"/>
  <c r="Z73" i="76"/>
  <c r="Y73" i="76"/>
  <c r="U73" i="76"/>
  <c r="AD73" i="76" s="1"/>
  <c r="N73" i="76"/>
  <c r="O73" i="76" s="1"/>
  <c r="K73" i="76"/>
  <c r="AI73" i="76" s="1"/>
  <c r="E73" i="76"/>
  <c r="AN72" i="76"/>
  <c r="AC72" i="76"/>
  <c r="Z72" i="76"/>
  <c r="Y72" i="76"/>
  <c r="U72" i="76"/>
  <c r="N72" i="76"/>
  <c r="O72" i="76" s="1"/>
  <c r="K72" i="76"/>
  <c r="E72" i="76"/>
  <c r="AN71" i="76"/>
  <c r="AC71" i="76"/>
  <c r="Z71" i="76"/>
  <c r="Y71" i="76"/>
  <c r="U71" i="76"/>
  <c r="AD71" i="76" s="1"/>
  <c r="N71" i="76"/>
  <c r="O71" i="76" s="1"/>
  <c r="K71" i="76"/>
  <c r="AH71" i="76" s="1"/>
  <c r="E71" i="76"/>
  <c r="AN70" i="76"/>
  <c r="AC70" i="76"/>
  <c r="Z70" i="76"/>
  <c r="Y70" i="76"/>
  <c r="U70" i="76"/>
  <c r="AD70" i="76" s="1"/>
  <c r="O70" i="76"/>
  <c r="K70" i="76"/>
  <c r="E70" i="76"/>
  <c r="AN69" i="76"/>
  <c r="Z69" i="76"/>
  <c r="Y69" i="76"/>
  <c r="U69" i="76"/>
  <c r="AJ69" i="76" s="1"/>
  <c r="N69" i="76"/>
  <c r="O69" i="76" s="1"/>
  <c r="K69" i="76"/>
  <c r="E69" i="76"/>
  <c r="AN68" i="76"/>
  <c r="Z68" i="76"/>
  <c r="Y68" i="76"/>
  <c r="U68" i="76"/>
  <c r="N68" i="76"/>
  <c r="O68" i="76" s="1"/>
  <c r="K68" i="76"/>
  <c r="E68" i="76"/>
  <c r="AN67" i="76"/>
  <c r="Z67" i="76"/>
  <c r="Y67" i="76"/>
  <c r="U67" i="76"/>
  <c r="N67" i="76"/>
  <c r="O67" i="76" s="1"/>
  <c r="K67" i="76"/>
  <c r="AH67" i="76" s="1"/>
  <c r="E67" i="76"/>
  <c r="AN66" i="76"/>
  <c r="Z66" i="76"/>
  <c r="Y66" i="76"/>
  <c r="U66" i="76"/>
  <c r="N66" i="76"/>
  <c r="O66" i="76" s="1"/>
  <c r="K66" i="76"/>
  <c r="E66" i="76"/>
  <c r="AN65" i="76"/>
  <c r="Z65" i="76"/>
  <c r="Y65" i="76"/>
  <c r="U65" i="76"/>
  <c r="AD65" i="76" s="1"/>
  <c r="N65" i="76"/>
  <c r="O65" i="76" s="1"/>
  <c r="K65" i="76"/>
  <c r="E65" i="76"/>
  <c r="AN64" i="76"/>
  <c r="Y64" i="76"/>
  <c r="AE64" i="76" s="1"/>
  <c r="U64" i="76"/>
  <c r="N64" i="76"/>
  <c r="O64" i="76" s="1"/>
  <c r="K64" i="76"/>
  <c r="AI64" i="76" s="1"/>
  <c r="E64" i="76"/>
  <c r="AN63" i="76"/>
  <c r="Y63" i="76"/>
  <c r="AA63" i="76" s="1"/>
  <c r="U63" i="76"/>
  <c r="AJ63" i="76" s="1"/>
  <c r="N63" i="76"/>
  <c r="O63" i="76" s="1"/>
  <c r="S63" i="76" s="1"/>
  <c r="AC63" i="76" s="1"/>
  <c r="K63" i="76"/>
  <c r="E63" i="76"/>
  <c r="AN62" i="76"/>
  <c r="Z62" i="76"/>
  <c r="Y62" i="76"/>
  <c r="U62" i="76"/>
  <c r="AD62" i="76" s="1"/>
  <c r="N62" i="76"/>
  <c r="O62" i="76" s="1"/>
  <c r="K62" i="76"/>
  <c r="AM62" i="76" s="1"/>
  <c r="E62" i="76"/>
  <c r="AN61" i="76"/>
  <c r="Z61" i="76"/>
  <c r="AE61" i="76" s="1"/>
  <c r="U61" i="76"/>
  <c r="O61" i="76"/>
  <c r="S61" i="76" s="1"/>
  <c r="AC61" i="76" s="1"/>
  <c r="K61" i="76"/>
  <c r="E61" i="76"/>
  <c r="AN60" i="76"/>
  <c r="Z60" i="76"/>
  <c r="AE60" i="76" s="1"/>
  <c r="U60" i="76"/>
  <c r="O60" i="76"/>
  <c r="K60" i="76"/>
  <c r="E60" i="76"/>
  <c r="AN59" i="76"/>
  <c r="Z59" i="76"/>
  <c r="Y59" i="76"/>
  <c r="U59" i="76"/>
  <c r="AD59" i="76" s="1"/>
  <c r="O59" i="76"/>
  <c r="K59" i="76"/>
  <c r="E59" i="76"/>
  <c r="AN58" i="76"/>
  <c r="Z58" i="76"/>
  <c r="Y58" i="76"/>
  <c r="U58" i="76"/>
  <c r="AJ58" i="76" s="1"/>
  <c r="O58" i="76"/>
  <c r="S58" i="76" s="1"/>
  <c r="AC58" i="76" s="1"/>
  <c r="K58" i="76"/>
  <c r="E58" i="76"/>
  <c r="AN57" i="76"/>
  <c r="Z57" i="76"/>
  <c r="Y57" i="76"/>
  <c r="U57" i="76"/>
  <c r="N57" i="76"/>
  <c r="O57" i="76" s="1"/>
  <c r="K57" i="76"/>
  <c r="E57" i="76"/>
  <c r="AN56" i="76"/>
  <c r="Z56" i="76"/>
  <c r="Y56" i="76"/>
  <c r="U56" i="76"/>
  <c r="AD56" i="76" s="1"/>
  <c r="O56" i="76"/>
  <c r="K56" i="76"/>
  <c r="E56" i="76"/>
  <c r="AN55" i="76"/>
  <c r="Y55" i="76"/>
  <c r="AE55" i="76" s="1"/>
  <c r="U55" i="76"/>
  <c r="N55" i="76"/>
  <c r="O55" i="76" s="1"/>
  <c r="K55" i="76"/>
  <c r="E55" i="76"/>
  <c r="AN54" i="76"/>
  <c r="Y54" i="76"/>
  <c r="AA54" i="76" s="1"/>
  <c r="U54" i="76"/>
  <c r="AJ54" i="76" s="1"/>
  <c r="N54" i="76"/>
  <c r="O54" i="76" s="1"/>
  <c r="S54" i="76" s="1"/>
  <c r="AC54" i="76" s="1"/>
  <c r="K54" i="76"/>
  <c r="E54" i="76"/>
  <c r="AN53" i="76"/>
  <c r="Y53" i="76"/>
  <c r="AE53" i="76" s="1"/>
  <c r="U53" i="76"/>
  <c r="AJ53" i="76" s="1"/>
  <c r="N53" i="76"/>
  <c r="O53" i="76" s="1"/>
  <c r="K53" i="76"/>
  <c r="AI53" i="76" s="1"/>
  <c r="E53" i="76"/>
  <c r="AN52" i="76"/>
  <c r="Y52" i="76"/>
  <c r="AE52" i="76" s="1"/>
  <c r="U52" i="76"/>
  <c r="N52" i="76"/>
  <c r="K52" i="76"/>
  <c r="E52" i="76"/>
  <c r="AN51" i="76"/>
  <c r="Y51" i="76"/>
  <c r="AE51" i="76" s="1"/>
  <c r="U51" i="76"/>
  <c r="AD51" i="76" s="1"/>
  <c r="N51" i="76"/>
  <c r="O51" i="76" s="1"/>
  <c r="K51" i="76"/>
  <c r="E51" i="76"/>
  <c r="AN50" i="76"/>
  <c r="Y50" i="76"/>
  <c r="AE50" i="76" s="1"/>
  <c r="U50" i="76"/>
  <c r="AD50" i="76" s="1"/>
  <c r="O50" i="76"/>
  <c r="K50" i="76"/>
  <c r="E50" i="76"/>
  <c r="AN49" i="76"/>
  <c r="Y49" i="76"/>
  <c r="U49" i="76"/>
  <c r="N49" i="76"/>
  <c r="O49" i="76" s="1"/>
  <c r="K49" i="76"/>
  <c r="E49" i="76"/>
  <c r="AN48" i="76"/>
  <c r="Y48" i="76"/>
  <c r="AA48" i="76" s="1"/>
  <c r="U48" i="76"/>
  <c r="AJ48" i="76" s="1"/>
  <c r="N48" i="76"/>
  <c r="O48" i="76" s="1"/>
  <c r="K48" i="76"/>
  <c r="E48" i="76"/>
  <c r="AN47" i="76"/>
  <c r="Y47" i="76"/>
  <c r="AE47" i="76" s="1"/>
  <c r="U47" i="76"/>
  <c r="AD47" i="76" s="1"/>
  <c r="N47" i="76"/>
  <c r="O47" i="76" s="1"/>
  <c r="S47" i="76" s="1"/>
  <c r="AC47" i="76" s="1"/>
  <c r="K47" i="76"/>
  <c r="AI47" i="76" s="1"/>
  <c r="E47" i="76"/>
  <c r="AN46" i="76"/>
  <c r="Y46" i="76"/>
  <c r="AA46" i="76" s="1"/>
  <c r="U46" i="76"/>
  <c r="AD46" i="76" s="1"/>
  <c r="N46" i="76"/>
  <c r="O46" i="76" s="1"/>
  <c r="K46" i="76"/>
  <c r="AH46" i="76" s="1"/>
  <c r="E46" i="76"/>
  <c r="AN45" i="76"/>
  <c r="Y45" i="76"/>
  <c r="AE45" i="76" s="1"/>
  <c r="U45" i="76"/>
  <c r="AD45" i="76" s="1"/>
  <c r="N45" i="76"/>
  <c r="O45" i="76" s="1"/>
  <c r="K45" i="76"/>
  <c r="AI45" i="76" s="1"/>
  <c r="E45" i="76"/>
  <c r="AN44" i="76"/>
  <c r="Y44" i="76"/>
  <c r="AA44" i="76" s="1"/>
  <c r="U44" i="76"/>
  <c r="AJ44" i="76" s="1"/>
  <c r="N44" i="76"/>
  <c r="O44" i="76" s="1"/>
  <c r="K44" i="76"/>
  <c r="AI44" i="76" s="1"/>
  <c r="E44" i="76"/>
  <c r="AN43" i="76"/>
  <c r="Y43" i="76"/>
  <c r="AE43" i="76" s="1"/>
  <c r="U43" i="76"/>
  <c r="N43" i="76"/>
  <c r="O43" i="76" s="1"/>
  <c r="K43" i="76"/>
  <c r="AH43" i="76" s="1"/>
  <c r="E43" i="76"/>
  <c r="AN42" i="76"/>
  <c r="Y42" i="76"/>
  <c r="AE42" i="76" s="1"/>
  <c r="U42" i="76"/>
  <c r="AJ42" i="76" s="1"/>
  <c r="N42" i="76"/>
  <c r="O42" i="76" s="1"/>
  <c r="S42" i="76" s="1"/>
  <c r="AC42" i="76" s="1"/>
  <c r="K42" i="76"/>
  <c r="E42" i="76"/>
  <c r="AN41" i="76"/>
  <c r="Y41" i="76"/>
  <c r="AA41" i="76" s="1"/>
  <c r="U41" i="76"/>
  <c r="AJ41" i="76" s="1"/>
  <c r="N41" i="76"/>
  <c r="O41" i="76" s="1"/>
  <c r="K41" i="76"/>
  <c r="AI41" i="76" s="1"/>
  <c r="E41" i="76"/>
  <c r="AN40" i="76"/>
  <c r="Y40" i="76"/>
  <c r="AE40" i="76" s="1"/>
  <c r="U40" i="76"/>
  <c r="AJ40" i="76" s="1"/>
  <c r="N40" i="76"/>
  <c r="O40" i="76" s="1"/>
  <c r="K40" i="76"/>
  <c r="AI40" i="76" s="1"/>
  <c r="E40" i="76"/>
  <c r="AN39" i="76"/>
  <c r="Y39" i="76"/>
  <c r="AE39" i="76" s="1"/>
  <c r="U39" i="76"/>
  <c r="AD39" i="76" s="1"/>
  <c r="N39" i="76"/>
  <c r="O39" i="76" s="1"/>
  <c r="K39" i="76"/>
  <c r="E39" i="76"/>
  <c r="AN38" i="76"/>
  <c r="Y38" i="76"/>
  <c r="AE38" i="76" s="1"/>
  <c r="U38" i="76"/>
  <c r="AJ38" i="76" s="1"/>
  <c r="S38" i="76"/>
  <c r="K38" i="76"/>
  <c r="E38" i="76"/>
  <c r="AN37" i="76"/>
  <c r="Z37" i="76"/>
  <c r="Y37" i="76"/>
  <c r="U37" i="76"/>
  <c r="N37" i="76"/>
  <c r="O37" i="76" s="1"/>
  <c r="K37" i="76"/>
  <c r="E37" i="76"/>
  <c r="AN36" i="76"/>
  <c r="Z36" i="76"/>
  <c r="Y36" i="76"/>
  <c r="U36" i="76"/>
  <c r="AD36" i="76" s="1"/>
  <c r="N36" i="76"/>
  <c r="O36" i="76" s="1"/>
  <c r="K36" i="76"/>
  <c r="AI36" i="76" s="1"/>
  <c r="E36" i="76"/>
  <c r="AN35" i="76"/>
  <c r="Y35" i="76"/>
  <c r="AE35" i="76" s="1"/>
  <c r="U35" i="76"/>
  <c r="N35" i="76"/>
  <c r="O35" i="76" s="1"/>
  <c r="K35" i="76"/>
  <c r="E35" i="76"/>
  <c r="AN34" i="76"/>
  <c r="Z34" i="76"/>
  <c r="Y34" i="76"/>
  <c r="U34" i="76"/>
  <c r="AJ34" i="76" s="1"/>
  <c r="N34" i="76"/>
  <c r="O34" i="76" s="1"/>
  <c r="K34" i="76"/>
  <c r="AK34" i="76" s="1"/>
  <c r="E34" i="76"/>
  <c r="AN33" i="76"/>
  <c r="Z33" i="76"/>
  <c r="Y33" i="76"/>
  <c r="U33" i="76"/>
  <c r="AD33" i="76" s="1"/>
  <c r="N33" i="76"/>
  <c r="O33" i="76" s="1"/>
  <c r="K33" i="76"/>
  <c r="E33" i="76"/>
  <c r="AN32" i="76"/>
  <c r="Z32" i="76"/>
  <c r="Y32" i="76"/>
  <c r="U32" i="76"/>
  <c r="AJ32" i="76" s="1"/>
  <c r="N32" i="76"/>
  <c r="O32" i="76" s="1"/>
  <c r="K32" i="76"/>
  <c r="E32" i="76"/>
  <c r="AN31" i="76"/>
  <c r="Z31" i="76"/>
  <c r="Y31" i="76"/>
  <c r="U31" i="76"/>
  <c r="N31" i="76"/>
  <c r="O31" i="76" s="1"/>
  <c r="K31" i="76"/>
  <c r="E31" i="76"/>
  <c r="AN30" i="76"/>
  <c r="Z30" i="76"/>
  <c r="Y30" i="76"/>
  <c r="U30" i="76"/>
  <c r="AJ30" i="76" s="1"/>
  <c r="N30" i="76"/>
  <c r="O30" i="76" s="1"/>
  <c r="K30" i="76"/>
  <c r="E30" i="76"/>
  <c r="AN29" i="76"/>
  <c r="Z29" i="76"/>
  <c r="Y29" i="76"/>
  <c r="U29" i="76"/>
  <c r="N29" i="76"/>
  <c r="O29" i="76" s="1"/>
  <c r="K29" i="76"/>
  <c r="E29" i="76"/>
  <c r="AW33" i="76"/>
  <c r="AY33" i="76" s="1"/>
  <c r="BA33" i="76" s="1"/>
  <c r="AN28" i="76"/>
  <c r="Z28" i="76"/>
  <c r="Y28" i="76"/>
  <c r="U28" i="76"/>
  <c r="AJ28" i="76" s="1"/>
  <c r="N28" i="76"/>
  <c r="O28" i="76" s="1"/>
  <c r="K28" i="76"/>
  <c r="E28" i="76"/>
  <c r="AW32" i="76"/>
  <c r="AY32" i="76" s="1"/>
  <c r="BA32" i="76" s="1"/>
  <c r="AN27" i="76"/>
  <c r="Z27" i="76"/>
  <c r="Y27" i="76"/>
  <c r="U27" i="76"/>
  <c r="O27" i="76"/>
  <c r="K27" i="76"/>
  <c r="E27" i="76"/>
  <c r="AW31" i="76"/>
  <c r="AY31" i="76" s="1"/>
  <c r="BA31" i="76" s="1"/>
  <c r="AN26" i="76"/>
  <c r="Z26" i="76"/>
  <c r="Y26" i="76"/>
  <c r="U26" i="76"/>
  <c r="O26" i="76"/>
  <c r="K26" i="76"/>
  <c r="E26" i="76"/>
  <c r="AW30" i="76"/>
  <c r="AY30" i="76" s="1"/>
  <c r="BA30" i="76" s="1"/>
  <c r="AN25" i="76"/>
  <c r="Z25" i="76"/>
  <c r="Y25" i="76"/>
  <c r="U25" i="76"/>
  <c r="AD25" i="76" s="1"/>
  <c r="O25" i="76"/>
  <c r="S25" i="76" s="1"/>
  <c r="AC25" i="76" s="1"/>
  <c r="K25" i="76"/>
  <c r="AI25" i="76" s="1"/>
  <c r="E25" i="76"/>
  <c r="AW29" i="76"/>
  <c r="AY29" i="76" s="1"/>
  <c r="BA29" i="76" s="1"/>
  <c r="AN24" i="76"/>
  <c r="Z24" i="76"/>
  <c r="Y24" i="76"/>
  <c r="U24" i="76"/>
  <c r="AD24" i="76" s="1"/>
  <c r="O24" i="76"/>
  <c r="K24" i="76"/>
  <c r="AI24" i="76" s="1"/>
  <c r="E24" i="76"/>
  <c r="AW28" i="76"/>
  <c r="AY28" i="76" s="1"/>
  <c r="BA28" i="76" s="1"/>
  <c r="AN23" i="76"/>
  <c r="Z23" i="76"/>
  <c r="Y23" i="76"/>
  <c r="U23" i="76"/>
  <c r="O23" i="76"/>
  <c r="S23" i="76" s="1"/>
  <c r="AC23" i="76" s="1"/>
  <c r="K23" i="76"/>
  <c r="E23" i="76"/>
  <c r="AN22" i="76"/>
  <c r="Y22" i="76"/>
  <c r="AA22" i="76" s="1"/>
  <c r="U22" i="76"/>
  <c r="AD22" i="76" s="1"/>
  <c r="S22" i="76"/>
  <c r="AC22" i="76" s="1"/>
  <c r="N22" i="76"/>
  <c r="K22" i="76"/>
  <c r="AK22" i="76" s="1"/>
  <c r="E22" i="76"/>
  <c r="AN21" i="76"/>
  <c r="Y21" i="76"/>
  <c r="U21" i="76"/>
  <c r="AD21" i="76" s="1"/>
  <c r="N21" i="76"/>
  <c r="O21" i="76" s="1"/>
  <c r="K21" i="76"/>
  <c r="E21" i="76"/>
  <c r="AN20" i="76"/>
  <c r="Y20" i="76"/>
  <c r="AE20" i="76" s="1"/>
  <c r="U20" i="76"/>
  <c r="O20" i="76"/>
  <c r="S20" i="76" s="1"/>
  <c r="AC20" i="76" s="1"/>
  <c r="K20" i="76"/>
  <c r="AH20" i="76" s="1"/>
  <c r="E20" i="76"/>
  <c r="AN19" i="76"/>
  <c r="Z19" i="76"/>
  <c r="Y19" i="76"/>
  <c r="U19" i="76"/>
  <c r="N19" i="76"/>
  <c r="O19" i="76" s="1"/>
  <c r="K19" i="76"/>
  <c r="AI19" i="76" s="1"/>
  <c r="E19" i="76"/>
  <c r="AN18" i="76"/>
  <c r="Z18" i="76"/>
  <c r="Y18" i="76"/>
  <c r="U18" i="76"/>
  <c r="AJ18" i="76" s="1"/>
  <c r="N18" i="76"/>
  <c r="O18" i="76" s="1"/>
  <c r="K18" i="76"/>
  <c r="AH18" i="76" s="1"/>
  <c r="E18" i="76"/>
  <c r="AN17" i="76"/>
  <c r="Z17" i="76"/>
  <c r="Y17" i="76"/>
  <c r="U17" i="76"/>
  <c r="O17" i="76"/>
  <c r="S17" i="76" s="1"/>
  <c r="AC17" i="76" s="1"/>
  <c r="K17" i="76"/>
  <c r="E17" i="76"/>
  <c r="BB18" i="76"/>
  <c r="AW18" i="76"/>
  <c r="AN16" i="76"/>
  <c r="Y16" i="76"/>
  <c r="U16" i="76"/>
  <c r="N16" i="76"/>
  <c r="O16" i="76" s="1"/>
  <c r="S16" i="76" s="1"/>
  <c r="AC16" i="76" s="1"/>
  <c r="K16" i="76"/>
  <c r="E16" i="76"/>
  <c r="BB17" i="76"/>
  <c r="AW17" i="76"/>
  <c r="AN15" i="76"/>
  <c r="Z15" i="76"/>
  <c r="Y15" i="76"/>
  <c r="U15" i="76"/>
  <c r="AD15" i="76" s="1"/>
  <c r="O15" i="76"/>
  <c r="S15" i="76" s="1"/>
  <c r="AC15" i="76" s="1"/>
  <c r="K15" i="76"/>
  <c r="E15" i="76"/>
  <c r="BB16" i="76"/>
  <c r="AW16" i="76"/>
  <c r="AN14" i="76"/>
  <c r="Z14" i="76"/>
  <c r="Y14" i="76"/>
  <c r="U14" i="76"/>
  <c r="O14" i="76"/>
  <c r="K14" i="76"/>
  <c r="AI14" i="76" s="1"/>
  <c r="E14" i="76"/>
  <c r="BB15" i="76"/>
  <c r="AW15" i="76"/>
  <c r="AN13" i="76"/>
  <c r="Z13" i="76"/>
  <c r="Y13" i="76"/>
  <c r="U13" i="76"/>
  <c r="AD13" i="76" s="1"/>
  <c r="O13" i="76"/>
  <c r="K13" i="76"/>
  <c r="E13" i="76"/>
  <c r="BB14" i="76"/>
  <c r="AW14" i="76"/>
  <c r="AN12" i="76"/>
  <c r="Z12" i="76"/>
  <c r="Y12" i="76"/>
  <c r="U12" i="76"/>
  <c r="AJ12" i="76" s="1"/>
  <c r="N12" i="76"/>
  <c r="O12" i="76" s="1"/>
  <c r="K12" i="76"/>
  <c r="E12" i="76"/>
  <c r="BB13" i="76"/>
  <c r="AW13" i="76"/>
  <c r="AN11" i="76"/>
  <c r="Z11" i="76"/>
  <c r="Y11" i="76"/>
  <c r="U11" i="76"/>
  <c r="AJ11" i="76" s="1"/>
  <c r="O11" i="76"/>
  <c r="K11" i="76"/>
  <c r="E11" i="76"/>
  <c r="AN10" i="76"/>
  <c r="Z10" i="76"/>
  <c r="Y10" i="76"/>
  <c r="U10" i="76"/>
  <c r="N10" i="76"/>
  <c r="O10" i="76" s="1"/>
  <c r="K10" i="76"/>
  <c r="E10" i="76"/>
  <c r="AN9" i="76"/>
  <c r="Z9" i="76"/>
  <c r="Y9" i="76"/>
  <c r="U9" i="76"/>
  <c r="N9" i="76"/>
  <c r="O9" i="76" s="1"/>
  <c r="K9" i="76"/>
  <c r="AI9" i="76" s="1"/>
  <c r="E9" i="76"/>
  <c r="AN8" i="76"/>
  <c r="Z8" i="76"/>
  <c r="Y8" i="76"/>
  <c r="U8" i="76"/>
  <c r="N8" i="76"/>
  <c r="O8" i="76" s="1"/>
  <c r="S8" i="76" s="1"/>
  <c r="AC8" i="76" s="1"/>
  <c r="K8" i="76"/>
  <c r="E8" i="76"/>
  <c r="AN7" i="76"/>
  <c r="Y7" i="76"/>
  <c r="AE7" i="76" s="1"/>
  <c r="U7" i="76"/>
  <c r="AD7" i="76" s="1"/>
  <c r="N7" i="76"/>
  <c r="O7" i="76" s="1"/>
  <c r="K7" i="76"/>
  <c r="E7" i="76"/>
  <c r="AN6" i="76"/>
  <c r="Z6" i="76"/>
  <c r="Y6" i="76"/>
  <c r="U6" i="76"/>
  <c r="O6" i="76"/>
  <c r="K6" i="76"/>
  <c r="E6" i="76"/>
  <c r="AN5" i="76"/>
  <c r="Z5" i="76"/>
  <c r="Y5" i="76"/>
  <c r="U5" i="76"/>
  <c r="O5" i="76"/>
  <c r="K5" i="76"/>
  <c r="E5" i="76"/>
  <c r="I2" i="76"/>
  <c r="AK7" i="76" l="1"/>
  <c r="AH9" i="76"/>
  <c r="AK70" i="76"/>
  <c r="AI43" i="76"/>
  <c r="AK65" i="76"/>
  <c r="AK69" i="76"/>
  <c r="AK87" i="76"/>
  <c r="AF82" i="76"/>
  <c r="AF84" i="76"/>
  <c r="AE17" i="76"/>
  <c r="AA27" i="76"/>
  <c r="AA29" i="76"/>
  <c r="AF49" i="76"/>
  <c r="AF53" i="76"/>
  <c r="AA62" i="76"/>
  <c r="AF9" i="76"/>
  <c r="AF87" i="76"/>
  <c r="AA71" i="76"/>
  <c r="AB71" i="76" s="1"/>
  <c r="AM71" i="76" s="1"/>
  <c r="AE73" i="76"/>
  <c r="AE46" i="76"/>
  <c r="AF46" i="76"/>
  <c r="AE87" i="76"/>
  <c r="AJ73" i="76"/>
  <c r="AA70" i="76"/>
  <c r="AB70" i="76" s="1"/>
  <c r="AM70" i="76" s="1"/>
  <c r="AE88" i="76"/>
  <c r="AE15" i="76"/>
  <c r="AA18" i="76"/>
  <c r="AJ36" i="76"/>
  <c r="AD18" i="76"/>
  <c r="AJ7" i="76"/>
  <c r="AD80" i="76"/>
  <c r="AJ89" i="76"/>
  <c r="AJ56" i="76"/>
  <c r="AF54" i="76"/>
  <c r="AE25" i="76"/>
  <c r="AH25" i="76"/>
  <c r="AA52" i="76"/>
  <c r="AH45" i="76"/>
  <c r="AK24" i="76"/>
  <c r="AD38" i="76"/>
  <c r="AJ47" i="76"/>
  <c r="AK11" i="76"/>
  <c r="AJ25" i="76"/>
  <c r="AF38" i="76"/>
  <c r="AE57" i="76"/>
  <c r="AE69" i="76"/>
  <c r="AK14" i="76"/>
  <c r="AE93" i="76"/>
  <c r="AE54" i="76"/>
  <c r="AJ77" i="76"/>
  <c r="AD93" i="76"/>
  <c r="AH14" i="76"/>
  <c r="AI20" i="76"/>
  <c r="AI22" i="76"/>
  <c r="AH24" i="76"/>
  <c r="AH41" i="76"/>
  <c r="AI7" i="76"/>
  <c r="AD11" i="76"/>
  <c r="AF28" i="76"/>
  <c r="AA28" i="76"/>
  <c r="AH22" i="76"/>
  <c r="AK15" i="76"/>
  <c r="AF56" i="76"/>
  <c r="AF89" i="76"/>
  <c r="S18" i="76"/>
  <c r="AC18" i="76" s="1"/>
  <c r="AF18" i="76"/>
  <c r="S45" i="76"/>
  <c r="AC45" i="76" s="1"/>
  <c r="AF45" i="76"/>
  <c r="AW26" i="76"/>
  <c r="AY26" i="76" s="1"/>
  <c r="BA26" i="76" s="1"/>
  <c r="AJ13" i="76"/>
  <c r="AD44" i="76"/>
  <c r="AF59" i="76"/>
  <c r="AF65" i="76"/>
  <c r="AF6" i="76"/>
  <c r="AK17" i="76"/>
  <c r="AH40" i="76"/>
  <c r="AE44" i="76"/>
  <c r="AJ45" i="76"/>
  <c r="AH53" i="76"/>
  <c r="AJ59" i="76"/>
  <c r="AJ65" i="76"/>
  <c r="AD74" i="76"/>
  <c r="AH84" i="76"/>
  <c r="AD88" i="76"/>
  <c r="AE90" i="76"/>
  <c r="AE48" i="76"/>
  <c r="AE32" i="76"/>
  <c r="AH47" i="76"/>
  <c r="AJ71" i="76"/>
  <c r="AA78" i="76"/>
  <c r="AD32" i="76"/>
  <c r="AH34" i="76"/>
  <c r="AK44" i="76"/>
  <c r="AF62" i="76"/>
  <c r="AE68" i="76"/>
  <c r="AJ24" i="76"/>
  <c r="AE19" i="76"/>
  <c r="AA23" i="76"/>
  <c r="AB23" i="76" s="1"/>
  <c r="AM23" i="76" s="1"/>
  <c r="AI34" i="76"/>
  <c r="AE58" i="76"/>
  <c r="AH62" i="76"/>
  <c r="AH64" i="76"/>
  <c r="AF70" i="76"/>
  <c r="AH73" i="76"/>
  <c r="AK25" i="76"/>
  <c r="AI62" i="76"/>
  <c r="AH70" i="76"/>
  <c r="AF75" i="76"/>
  <c r="AA24" i="76"/>
  <c r="AE71" i="76"/>
  <c r="AE14" i="76"/>
  <c r="AK18" i="76"/>
  <c r="AJ62" i="76"/>
  <c r="AI70" i="76"/>
  <c r="AH83" i="76"/>
  <c r="AE59" i="76"/>
  <c r="AE13" i="76"/>
  <c r="AH44" i="76"/>
  <c r="AK48" i="76"/>
  <c r="AJ70" i="76"/>
  <c r="AI93" i="76"/>
  <c r="AE22" i="76"/>
  <c r="AI46" i="76"/>
  <c r="AA77" i="76"/>
  <c r="AB77" i="76" s="1"/>
  <c r="AM77" i="76" s="1"/>
  <c r="AA45" i="76"/>
  <c r="AK84" i="76"/>
  <c r="AA47" i="76"/>
  <c r="AB47" i="76" s="1"/>
  <c r="AM47" i="76" s="1"/>
  <c r="AF14" i="76"/>
  <c r="AF41" i="76"/>
  <c r="AK50" i="76"/>
  <c r="AH7" i="76"/>
  <c r="AE11" i="76"/>
  <c r="AK13" i="76"/>
  <c r="AK29" i="76"/>
  <c r="AJ46" i="76"/>
  <c r="AF79" i="76"/>
  <c r="AA81" i="76"/>
  <c r="AB81" i="76" s="1"/>
  <c r="AM81" i="76" s="1"/>
  <c r="AK86" i="76"/>
  <c r="AF88" i="76"/>
  <c r="S88" i="76"/>
  <c r="AC88" i="76" s="1"/>
  <c r="AF12" i="76"/>
  <c r="S12" i="76"/>
  <c r="AC12" i="76" s="1"/>
  <c r="AF40" i="76"/>
  <c r="S40" i="76"/>
  <c r="AA10" i="76"/>
  <c r="AE10" i="76"/>
  <c r="S53" i="76"/>
  <c r="AC53" i="76" s="1"/>
  <c r="AK58" i="76"/>
  <c r="AI58" i="76"/>
  <c r="AE65" i="76"/>
  <c r="AK76" i="76"/>
  <c r="AH76" i="76"/>
  <c r="AI76" i="76"/>
  <c r="AK23" i="76"/>
  <c r="AI23" i="76"/>
  <c r="AD40" i="76"/>
  <c r="AK46" i="76"/>
  <c r="AK63" i="76"/>
  <c r="AI63" i="76"/>
  <c r="AH63" i="76"/>
  <c r="AA69" i="76"/>
  <c r="AF76" i="76"/>
  <c r="AH90" i="76"/>
  <c r="AI90" i="76"/>
  <c r="AA43" i="76"/>
  <c r="AA73" i="76"/>
  <c r="AB73" i="76" s="1"/>
  <c r="AM73" i="76" s="1"/>
  <c r="AF83" i="76"/>
  <c r="AH17" i="76"/>
  <c r="AJ52" i="76"/>
  <c r="AD52" i="76"/>
  <c r="AD43" i="76"/>
  <c r="AJ43" i="76"/>
  <c r="AJ57" i="76"/>
  <c r="AD57" i="76"/>
  <c r="AA93" i="76"/>
  <c r="AE41" i="76"/>
  <c r="AA12" i="76"/>
  <c r="AE12" i="76"/>
  <c r="AH61" i="76"/>
  <c r="AK61" i="76"/>
  <c r="AI61" i="76"/>
  <c r="AD12" i="76"/>
  <c r="AI67" i="76"/>
  <c r="AE37" i="76"/>
  <c r="AA37" i="76"/>
  <c r="AE9" i="76"/>
  <c r="AK16" i="76"/>
  <c r="AI17" i="76"/>
  <c r="AJ22" i="76"/>
  <c r="AF22" i="76"/>
  <c r="AE23" i="76"/>
  <c r="AA50" i="76"/>
  <c r="AH58" i="76"/>
  <c r="AI66" i="76"/>
  <c r="AH66" i="76"/>
  <c r="AA83" i="76"/>
  <c r="AB83" i="76" s="1"/>
  <c r="AM83" i="76" s="1"/>
  <c r="AJ31" i="76"/>
  <c r="AD31" i="76"/>
  <c r="S49" i="76"/>
  <c r="AC49" i="76" s="1"/>
  <c r="AI82" i="76"/>
  <c r="AH82" i="76"/>
  <c r="AA38" i="76"/>
  <c r="AB38" i="76" s="1"/>
  <c r="AM38" i="76" s="1"/>
  <c r="AD49" i="76"/>
  <c r="AJ49" i="76"/>
  <c r="S48" i="76"/>
  <c r="AC48" i="76" s="1"/>
  <c r="AF48" i="76"/>
  <c r="AJ76" i="76"/>
  <c r="AD76" i="76"/>
  <c r="AF23" i="76"/>
  <c r="AD34" i="76"/>
  <c r="S62" i="76"/>
  <c r="AC62" i="76" s="1"/>
  <c r="AK62" i="76"/>
  <c r="AK75" i="76"/>
  <c r="AI75" i="76"/>
  <c r="AH75" i="76"/>
  <c r="AK10" i="76"/>
  <c r="AI10" i="76"/>
  <c r="AH10" i="76"/>
  <c r="AH23" i="76"/>
  <c r="AF50" i="76"/>
  <c r="AA8" i="76"/>
  <c r="AE8" i="76"/>
  <c r="AE49" i="76"/>
  <c r="AA49" i="76"/>
  <c r="AI37" i="76"/>
  <c r="AH37" i="76"/>
  <c r="AB22" i="76"/>
  <c r="AM22" i="76" s="1"/>
  <c r="AJ50" i="76"/>
  <c r="AK57" i="76"/>
  <c r="AI57" i="76"/>
  <c r="AH57" i="76"/>
  <c r="AA16" i="76"/>
  <c r="AB16" i="76" s="1"/>
  <c r="AM16" i="76" s="1"/>
  <c r="AE16" i="76"/>
  <c r="AM88" i="76"/>
  <c r="AH88" i="76"/>
  <c r="AJ8" i="76"/>
  <c r="AD8" i="76"/>
  <c r="AA40" i="76"/>
  <c r="AK52" i="76"/>
  <c r="AD69" i="76"/>
  <c r="S50" i="76"/>
  <c r="AC50" i="76" s="1"/>
  <c r="AK60" i="76"/>
  <c r="AI60" i="76"/>
  <c r="AH60" i="76"/>
  <c r="AA11" i="76"/>
  <c r="AI28" i="76"/>
  <c r="AH28" i="76"/>
  <c r="S10" i="76"/>
  <c r="AC10" i="76" s="1"/>
  <c r="AF10" i="76"/>
  <c r="AK49" i="76"/>
  <c r="AH49" i="76"/>
  <c r="AI49" i="76"/>
  <c r="AJ10" i="76"/>
  <c r="AD10" i="76"/>
  <c r="AK12" i="76"/>
  <c r="AH12" i="76"/>
  <c r="AI12" i="76"/>
  <c r="AA13" i="76"/>
  <c r="AD16" i="76"/>
  <c r="AJ16" i="76"/>
  <c r="S46" i="76"/>
  <c r="AC46" i="76" s="1"/>
  <c r="AK45" i="76"/>
  <c r="AK47" i="76"/>
  <c r="AF25" i="76"/>
  <c r="AA61" i="76"/>
  <c r="AB61" i="76" s="1"/>
  <c r="AM61" i="76" s="1"/>
  <c r="AA90" i="76"/>
  <c r="AA92" i="76"/>
  <c r="S84" i="76"/>
  <c r="AC84" i="76" s="1"/>
  <c r="AJ33" i="76"/>
  <c r="AD48" i="76"/>
  <c r="AE28" i="76"/>
  <c r="AE36" i="76"/>
  <c r="AJ39" i="76"/>
  <c r="S56" i="76"/>
  <c r="AC56" i="76" s="1"/>
  <c r="AE66" i="76"/>
  <c r="AF74" i="76"/>
  <c r="AA82" i="76"/>
  <c r="AJ15" i="76"/>
  <c r="AH19" i="76"/>
  <c r="AW9" i="76"/>
  <c r="BD9" i="76" s="1"/>
  <c r="AF5" i="76"/>
  <c r="S14" i="76"/>
  <c r="AC14" i="76" s="1"/>
  <c r="AH36" i="76"/>
  <c r="AD42" i="76"/>
  <c r="AK53" i="76"/>
  <c r="AK64" i="76"/>
  <c r="AJ75" i="76"/>
  <c r="AA87" i="76"/>
  <c r="AX17" i="76" a="1"/>
  <c r="AX17" i="76" s="1"/>
  <c r="BA17" i="76" s="1"/>
  <c r="AA32" i="76"/>
  <c r="AK40" i="76"/>
  <c r="AF47" i="76"/>
  <c r="AG47" i="76" s="1"/>
  <c r="AJ51" i="76"/>
  <c r="AK83" i="76"/>
  <c r="AH86" i="76"/>
  <c r="AD87" i="76"/>
  <c r="N91" i="76"/>
  <c r="O91" i="76" s="1"/>
  <c r="AF35" i="76"/>
  <c r="S35" i="76"/>
  <c r="AC35" i="76" s="1"/>
  <c r="AF90" i="76"/>
  <c r="S90" i="76"/>
  <c r="AC90" i="76" s="1"/>
  <c r="AF21" i="76"/>
  <c r="S21" i="76"/>
  <c r="AC21" i="76" s="1"/>
  <c r="S51" i="76"/>
  <c r="AC51" i="76" s="1"/>
  <c r="AF51" i="76"/>
  <c r="AF30" i="76"/>
  <c r="S30" i="76"/>
  <c r="AC30" i="76" s="1"/>
  <c r="AF67" i="76"/>
  <c r="AK67" i="76"/>
  <c r="S67" i="76"/>
  <c r="AC67" i="76" s="1"/>
  <c r="AF37" i="76"/>
  <c r="AK37" i="76"/>
  <c r="S37" i="76"/>
  <c r="AC37" i="76" s="1"/>
  <c r="AF36" i="76"/>
  <c r="S36" i="76"/>
  <c r="AC36" i="76" s="1"/>
  <c r="AF32" i="76"/>
  <c r="S32" i="76"/>
  <c r="AC32" i="76" s="1"/>
  <c r="AF93" i="76"/>
  <c r="AK93" i="76"/>
  <c r="S93" i="76"/>
  <c r="AC93" i="76" s="1"/>
  <c r="AI8" i="76"/>
  <c r="AH8" i="76"/>
  <c r="AI39" i="76"/>
  <c r="AH39" i="76"/>
  <c r="AK39" i="76"/>
  <c r="AK92" i="76"/>
  <c r="AI92" i="76"/>
  <c r="AH92" i="76"/>
  <c r="AH72" i="76"/>
  <c r="AI72" i="76"/>
  <c r="AK72" i="76"/>
  <c r="S5" i="76"/>
  <c r="AC5" i="76" s="1"/>
  <c r="AJ27" i="76"/>
  <c r="AD27" i="76"/>
  <c r="AF43" i="76"/>
  <c r="S43" i="76"/>
  <c r="AC43" i="76" s="1"/>
  <c r="S33" i="76"/>
  <c r="AC33" i="76" s="1"/>
  <c r="AF33" i="76"/>
  <c r="AA64" i="76"/>
  <c r="AJ72" i="76"/>
  <c r="AD72" i="76"/>
  <c r="AH81" i="76"/>
  <c r="AK81" i="76"/>
  <c r="AI81" i="76"/>
  <c r="AA9" i="76"/>
  <c r="AW27" i="76"/>
  <c r="AY27" i="76" s="1"/>
  <c r="BA27" i="76" s="1"/>
  <c r="AI26" i="76"/>
  <c r="AH26" i="76"/>
  <c r="AK26" i="76"/>
  <c r="AF26" i="76"/>
  <c r="AI32" i="76"/>
  <c r="AH32" i="76"/>
  <c r="AK32" i="76"/>
  <c r="AI50" i="76"/>
  <c r="AH50" i="76"/>
  <c r="AF60" i="76"/>
  <c r="AA33" i="76"/>
  <c r="AE33" i="76"/>
  <c r="AK56" i="76"/>
  <c r="AI56" i="76"/>
  <c r="AH56" i="76"/>
  <c r="S60" i="76"/>
  <c r="AC60" i="76" s="1"/>
  <c r="AB63" i="76"/>
  <c r="AM63" i="76" s="1"/>
  <c r="AE62" i="76"/>
  <c r="AD91" i="76"/>
  <c r="AJ91" i="76"/>
  <c r="AE18" i="76"/>
  <c r="AD61" i="76"/>
  <c r="AJ61" i="76"/>
  <c r="AF69" i="76"/>
  <c r="S69" i="76"/>
  <c r="AI13" i="76"/>
  <c r="AJ17" i="76"/>
  <c r="AD17" i="76"/>
  <c r="AA25" i="76"/>
  <c r="AB25" i="76" s="1"/>
  <c r="AM25" i="76" s="1"/>
  <c r="AJ37" i="76"/>
  <c r="AD37" i="76"/>
  <c r="AK78" i="76"/>
  <c r="AI78" i="76"/>
  <c r="AH78" i="76"/>
  <c r="AX15" i="76" a="1"/>
  <c r="AX15" i="76" s="1"/>
  <c r="AF27" i="76"/>
  <c r="AE31" i="76"/>
  <c r="AA31" i="76"/>
  <c r="AA80" i="76"/>
  <c r="AE86" i="76"/>
  <c r="AA86" i="76"/>
  <c r="AB86" i="76" s="1"/>
  <c r="AM86" i="76" s="1"/>
  <c r="AK89" i="76"/>
  <c r="AI89" i="76"/>
  <c r="AH89" i="76"/>
  <c r="AF68" i="76"/>
  <c r="AJ9" i="76"/>
  <c r="AD9" i="76"/>
  <c r="AD19" i="76"/>
  <c r="AJ19" i="76"/>
  <c r="AK35" i="76"/>
  <c r="AI35" i="76"/>
  <c r="AH35" i="76"/>
  <c r="S55" i="76"/>
  <c r="AC55" i="76" s="1"/>
  <c r="AK55" i="76"/>
  <c r="AF55" i="76"/>
  <c r="AD64" i="76"/>
  <c r="AJ64" i="76"/>
  <c r="S68" i="76"/>
  <c r="AC68" i="76" s="1"/>
  <c r="AJ5" i="76"/>
  <c r="AD5" i="76"/>
  <c r="S28" i="76"/>
  <c r="AC28" i="76" s="1"/>
  <c r="AK28" i="76"/>
  <c r="AI52" i="76"/>
  <c r="AH52" i="76"/>
  <c r="S59" i="76"/>
  <c r="AC59" i="76" s="1"/>
  <c r="AF73" i="76"/>
  <c r="AA74" i="76"/>
  <c r="AB74" i="76" s="1"/>
  <c r="AM74" i="76" s="1"/>
  <c r="AE74" i="76"/>
  <c r="S78" i="76"/>
  <c r="AC78" i="76" s="1"/>
  <c r="AF78" i="76"/>
  <c r="AF19" i="76"/>
  <c r="AK19" i="76"/>
  <c r="AA34" i="76"/>
  <c r="AE34" i="76"/>
  <c r="S39" i="76"/>
  <c r="AC39" i="76" s="1"/>
  <c r="AF39" i="76"/>
  <c r="AD82" i="76"/>
  <c r="AJ82" i="76"/>
  <c r="AD83" i="76"/>
  <c r="AJ83" i="76"/>
  <c r="AD90" i="76"/>
  <c r="AJ90" i="76"/>
  <c r="S9" i="76"/>
  <c r="AC9" i="76" s="1"/>
  <c r="S19" i="76"/>
  <c r="AC19" i="76" s="1"/>
  <c r="AA20" i="76"/>
  <c r="AB20" i="76" s="1"/>
  <c r="AM20" i="76" s="1"/>
  <c r="S27" i="76"/>
  <c r="AC27" i="76" s="1"/>
  <c r="AX13" i="76" a="1"/>
  <c r="AX13" i="76" s="1"/>
  <c r="AW25" i="76"/>
  <c r="AY25" i="76" s="1"/>
  <c r="BA25" i="76" s="1"/>
  <c r="AH30" i="76"/>
  <c r="AK30" i="76"/>
  <c r="AI30" i="76"/>
  <c r="AH38" i="76"/>
  <c r="AI38" i="76"/>
  <c r="AK38" i="76"/>
  <c r="AA89" i="76"/>
  <c r="AB89" i="76" s="1"/>
  <c r="AM89" i="76" s="1"/>
  <c r="AE89" i="76"/>
  <c r="S7" i="76"/>
  <c r="AC7" i="76" s="1"/>
  <c r="AF7" i="76"/>
  <c r="AF42" i="76"/>
  <c r="AA68" i="76"/>
  <c r="AI11" i="76"/>
  <c r="AH11" i="76"/>
  <c r="AF64" i="76"/>
  <c r="AM6" i="76"/>
  <c r="AK6" i="76"/>
  <c r="AH6" i="76"/>
  <c r="AW11" i="76"/>
  <c r="AX11" i="76" s="1" a="1"/>
  <c r="AX11" i="76" s="1"/>
  <c r="AI6" i="76"/>
  <c r="AM8" i="76"/>
  <c r="S11" i="76"/>
  <c r="AC11" i="76" s="1"/>
  <c r="AF11" i="76"/>
  <c r="AJ26" i="76"/>
  <c r="AD26" i="76"/>
  <c r="AJ60" i="76"/>
  <c r="AD60" i="76"/>
  <c r="AA14" i="76"/>
  <c r="AF17" i="76"/>
  <c r="AJ67" i="76"/>
  <c r="AD67" i="76"/>
  <c r="AW10" i="76"/>
  <c r="AX10" i="76" s="1" a="1"/>
  <c r="AX10" i="76" s="1"/>
  <c r="AH13" i="76"/>
  <c r="AK36" i="76"/>
  <c r="S41" i="76"/>
  <c r="AC41" i="76" s="1"/>
  <c r="AI59" i="76"/>
  <c r="AH59" i="76"/>
  <c r="AK59" i="76"/>
  <c r="AE63" i="76"/>
  <c r="AE75" i="76"/>
  <c r="AA75" i="76"/>
  <c r="AB75" i="76" s="1"/>
  <c r="AM75" i="76" s="1"/>
  <c r="AA91" i="76"/>
  <c r="AE91" i="76"/>
  <c r="AE6" i="76"/>
  <c r="AA6" i="76"/>
  <c r="AK20" i="76"/>
  <c r="AF20" i="76"/>
  <c r="AK31" i="76"/>
  <c r="AI31" i="76"/>
  <c r="AH31" i="76"/>
  <c r="S34" i="76"/>
  <c r="AC34" i="76" s="1"/>
  <c r="AF34" i="76"/>
  <c r="AK42" i="76"/>
  <c r="AF44" i="76"/>
  <c r="S44" i="76"/>
  <c r="AC44" i="76" s="1"/>
  <c r="AK82" i="76"/>
  <c r="AF86" i="76"/>
  <c r="AJ20" i="76"/>
  <c r="AD20" i="76"/>
  <c r="AH27" i="76"/>
  <c r="AK27" i="76"/>
  <c r="AI27" i="76"/>
  <c r="AI65" i="76"/>
  <c r="AH65" i="76"/>
  <c r="S82" i="76"/>
  <c r="AC82" i="76" s="1"/>
  <c r="AI5" i="76"/>
  <c r="AH5" i="76"/>
  <c r="AM5" i="76"/>
  <c r="AX16" i="76" a="1"/>
  <c r="AX16" i="76" s="1"/>
  <c r="AK5" i="76"/>
  <c r="K2" i="76"/>
  <c r="AX18" i="76" a="1"/>
  <c r="AX18" i="76" s="1"/>
  <c r="AK33" i="76"/>
  <c r="AI33" i="76"/>
  <c r="AH33" i="76"/>
  <c r="AA39" i="76"/>
  <c r="AK51" i="76"/>
  <c r="AI51" i="76"/>
  <c r="AH51" i="76"/>
  <c r="AD55" i="76"/>
  <c r="AJ55" i="76"/>
  <c r="AD68" i="76"/>
  <c r="AJ68" i="76"/>
  <c r="AF72" i="76"/>
  <c r="AI79" i="76"/>
  <c r="AH79" i="76"/>
  <c r="AK79" i="76"/>
  <c r="AJ86" i="76"/>
  <c r="AA5" i="76"/>
  <c r="AE5" i="76"/>
  <c r="AI15" i="76"/>
  <c r="AH15" i="76"/>
  <c r="AA19" i="76"/>
  <c r="AC38" i="76"/>
  <c r="AA72" i="76"/>
  <c r="AB72" i="76" s="1"/>
  <c r="AM72" i="76" s="1"/>
  <c r="AE72" i="76"/>
  <c r="AF8" i="76"/>
  <c r="AD14" i="76"/>
  <c r="AJ14" i="76"/>
  <c r="AF15" i="76"/>
  <c r="AK8" i="76"/>
  <c r="S26" i="76"/>
  <c r="AC26" i="76" s="1"/>
  <c r="AK21" i="76"/>
  <c r="AI21" i="76"/>
  <c r="AH21" i="76"/>
  <c r="AK43" i="76"/>
  <c r="AH29" i="76"/>
  <c r="AI29" i="76"/>
  <c r="AD63" i="76"/>
  <c r="S6" i="76"/>
  <c r="AC6" i="76" s="1"/>
  <c r="AW24" i="76"/>
  <c r="AY24" i="76" s="1"/>
  <c r="BA24" i="76" s="1"/>
  <c r="AA26" i="76"/>
  <c r="AE26" i="76"/>
  <c r="AF29" i="76"/>
  <c r="S29" i="76"/>
  <c r="AC29" i="76" s="1"/>
  <c r="AD6" i="76"/>
  <c r="AJ6" i="76"/>
  <c r="S31" i="76"/>
  <c r="AC31" i="76" s="1"/>
  <c r="AF31" i="76"/>
  <c r="AD41" i="76"/>
  <c r="S52" i="76"/>
  <c r="AC52" i="76" s="1"/>
  <c r="AF52" i="76"/>
  <c r="AF71" i="76"/>
  <c r="AA21" i="76"/>
  <c r="AE21" i="76"/>
  <c r="AA36" i="76"/>
  <c r="AA55" i="76"/>
  <c r="AA60" i="76"/>
  <c r="AJ66" i="76"/>
  <c r="AD66" i="76"/>
  <c r="AD81" i="76"/>
  <c r="AJ81" i="76"/>
  <c r="AD92" i="76"/>
  <c r="AJ92" i="76"/>
  <c r="AA17" i="76"/>
  <c r="AB17" i="76" s="1"/>
  <c r="AM17" i="76" s="1"/>
  <c r="AA30" i="76"/>
  <c r="AE30" i="76"/>
  <c r="AA35" i="76"/>
  <c r="AA15" i="76"/>
  <c r="AB15" i="76" s="1"/>
  <c r="AM15" i="76" s="1"/>
  <c r="AE27" i="76"/>
  <c r="AA58" i="76"/>
  <c r="AB58" i="76" s="1"/>
  <c r="AM58" i="76" s="1"/>
  <c r="AA59" i="76"/>
  <c r="AJ85" i="76"/>
  <c r="AD85" i="76"/>
  <c r="AI16" i="76"/>
  <c r="AH16" i="76"/>
  <c r="AD23" i="76"/>
  <c r="AJ23" i="76"/>
  <c r="AE29" i="76"/>
  <c r="AD30" i="76"/>
  <c r="AD58" i="76"/>
  <c r="AA65" i="76"/>
  <c r="AA66" i="76"/>
  <c r="AE70" i="76"/>
  <c r="AH80" i="76"/>
  <c r="AI80" i="76"/>
  <c r="AK80" i="76"/>
  <c r="AI91" i="76"/>
  <c r="AH91" i="76"/>
  <c r="AE92" i="76"/>
  <c r="AD35" i="76"/>
  <c r="AJ35" i="76"/>
  <c r="AI48" i="76"/>
  <c r="AH48" i="76"/>
  <c r="S65" i="76"/>
  <c r="AC65" i="76" s="1"/>
  <c r="S66" i="76"/>
  <c r="AC66" i="76" s="1"/>
  <c r="AF66" i="76"/>
  <c r="AH85" i="76"/>
  <c r="AK85" i="76"/>
  <c r="AI85" i="76"/>
  <c r="S92" i="76"/>
  <c r="AC92" i="76" s="1"/>
  <c r="S13" i="76"/>
  <c r="AC13" i="76" s="1"/>
  <c r="AF85" i="76"/>
  <c r="AA7" i="76"/>
  <c r="AA57" i="76"/>
  <c r="S85" i="76"/>
  <c r="AC85" i="76" s="1"/>
  <c r="AJ29" i="76"/>
  <c r="AD29" i="76"/>
  <c r="AA53" i="76"/>
  <c r="S24" i="76"/>
  <c r="AF24" i="76"/>
  <c r="AH42" i="76"/>
  <c r="AI42" i="76"/>
  <c r="AB54" i="76"/>
  <c r="AM54" i="76" s="1"/>
  <c r="AA76" i="76"/>
  <c r="AB76" i="76" s="1"/>
  <c r="AM76" i="76" s="1"/>
  <c r="AE76" i="76"/>
  <c r="AF92" i="76"/>
  <c r="AE67" i="76"/>
  <c r="AA67" i="76"/>
  <c r="AI69" i="76"/>
  <c r="AH69" i="76"/>
  <c r="AF16" i="76"/>
  <c r="AJ21" i="76"/>
  <c r="AD28" i="76"/>
  <c r="AK41" i="76"/>
  <c r="AD53" i="76"/>
  <c r="AF58" i="76"/>
  <c r="AK68" i="76"/>
  <c r="AI68" i="76"/>
  <c r="AH68" i="76"/>
  <c r="S80" i="76"/>
  <c r="AC80" i="76" s="1"/>
  <c r="AF80" i="76"/>
  <c r="AI87" i="76"/>
  <c r="AH87" i="76"/>
  <c r="AW12" i="76"/>
  <c r="AX12" i="76" s="1" a="1"/>
  <c r="AX12" i="76" s="1"/>
  <c r="AX14" i="76" a="1"/>
  <c r="AX14" i="76" s="1"/>
  <c r="AF13" i="76"/>
  <c r="AE24" i="76"/>
  <c r="AD54" i="76"/>
  <c r="AF63" i="76"/>
  <c r="S64" i="76"/>
  <c r="AC64" i="76" s="1"/>
  <c r="AK73" i="76"/>
  <c r="AH74" i="76"/>
  <c r="AK74" i="76"/>
  <c r="S87" i="76"/>
  <c r="AC87" i="76" s="1"/>
  <c r="AI18" i="76"/>
  <c r="AI55" i="76"/>
  <c r="AH55" i="76"/>
  <c r="AJ79" i="76"/>
  <c r="AD79" i="76"/>
  <c r="AI54" i="76"/>
  <c r="AH54" i="76"/>
  <c r="AK54" i="76"/>
  <c r="AH77" i="76"/>
  <c r="AK77" i="76"/>
  <c r="AE85" i="76"/>
  <c r="S79" i="76"/>
  <c r="AC79" i="76" s="1"/>
  <c r="AA42" i="76"/>
  <c r="AB42" i="76" s="1"/>
  <c r="AM42" i="76" s="1"/>
  <c r="AD78" i="76"/>
  <c r="AJ78" i="76"/>
  <c r="AJ84" i="76"/>
  <c r="AD84" i="76"/>
  <c r="AA88" i="76"/>
  <c r="AK9" i="76"/>
  <c r="AA56" i="76"/>
  <c r="AE56" i="76"/>
  <c r="AF57" i="76"/>
  <c r="S57" i="76"/>
  <c r="AF61" i="76"/>
  <c r="AF77" i="76"/>
  <c r="AG77" i="76" s="1"/>
  <c r="AE79" i="76"/>
  <c r="AI71" i="76"/>
  <c r="AK71" i="76"/>
  <c r="AA51" i="76"/>
  <c r="AK66" i="76"/>
  <c r="AK88" i="76"/>
  <c r="AK90" i="76"/>
  <c r="AF81" i="76"/>
  <c r="AI88" i="76"/>
  <c r="BD10" i="76" l="1"/>
  <c r="AG73" i="76"/>
  <c r="AG54" i="76"/>
  <c r="AG45" i="76"/>
  <c r="AG25" i="76"/>
  <c r="AG46" i="76"/>
  <c r="AB40" i="76"/>
  <c r="AM40" i="76" s="1"/>
  <c r="AG22" i="76"/>
  <c r="AG88" i="76"/>
  <c r="AB28" i="76"/>
  <c r="AM28" i="76" s="1"/>
  <c r="AG15" i="76"/>
  <c r="AB45" i="76"/>
  <c r="AM45" i="76" s="1"/>
  <c r="AB87" i="76"/>
  <c r="AM87" i="76" s="1"/>
  <c r="AG74" i="76"/>
  <c r="AG83" i="76"/>
  <c r="AG16" i="76"/>
  <c r="AG8" i="76"/>
  <c r="AG86" i="76"/>
  <c r="AG70" i="76"/>
  <c r="AG53" i="76"/>
  <c r="AG18" i="76"/>
  <c r="AB55" i="76"/>
  <c r="AM55" i="76" s="1"/>
  <c r="AB18" i="76"/>
  <c r="AM18" i="76" s="1"/>
  <c r="AB56" i="76"/>
  <c r="AM56" i="76" s="1"/>
  <c r="AB53" i="76"/>
  <c r="AM53" i="76" s="1"/>
  <c r="AB7" i="76"/>
  <c r="AM7" i="76" s="1"/>
  <c r="AB92" i="76"/>
  <c r="AM92" i="76" s="1"/>
  <c r="AB19" i="76"/>
  <c r="AM19" i="76" s="1"/>
  <c r="AB41" i="76"/>
  <c r="AM41" i="76" s="1"/>
  <c r="AG27" i="76"/>
  <c r="AB64" i="76"/>
  <c r="AM64" i="76" s="1"/>
  <c r="AG38" i="76"/>
  <c r="AB52" i="76"/>
  <c r="AM52" i="76" s="1"/>
  <c r="AG20" i="76"/>
  <c r="AG61" i="76"/>
  <c r="AG51" i="76"/>
  <c r="AG21" i="76"/>
  <c r="AG65" i="76"/>
  <c r="AB31" i="76"/>
  <c r="AM31" i="76" s="1"/>
  <c r="AG89" i="76"/>
  <c r="AK91" i="76"/>
  <c r="AF91" i="76"/>
  <c r="S91" i="76"/>
  <c r="AC91" i="76" s="1"/>
  <c r="AG14" i="76"/>
  <c r="AG23" i="76"/>
  <c r="AG81" i="76"/>
  <c r="AG48" i="76"/>
  <c r="AG75" i="76"/>
  <c r="AG84" i="76"/>
  <c r="AG42" i="76"/>
  <c r="AG87" i="76"/>
  <c r="AB80" i="76"/>
  <c r="AM80" i="76" s="1"/>
  <c r="AG49" i="76"/>
  <c r="AG44" i="76"/>
  <c r="AB68" i="76"/>
  <c r="AM68" i="76" s="1"/>
  <c r="AB34" i="76"/>
  <c r="AM34" i="76" s="1"/>
  <c r="AG59" i="76"/>
  <c r="AG32" i="76"/>
  <c r="AW7" i="76"/>
  <c r="AG10" i="76"/>
  <c r="AB84" i="76"/>
  <c r="AM84" i="76" s="1"/>
  <c r="AG92" i="76"/>
  <c r="AG41" i="76"/>
  <c r="AG71" i="76"/>
  <c r="AX9" i="76" a="1"/>
  <c r="AX9" i="76" s="1"/>
  <c r="BA9" i="76" s="1"/>
  <c r="AG31" i="76"/>
  <c r="AB12" i="76"/>
  <c r="AM12" i="76" s="1"/>
  <c r="AB66" i="76"/>
  <c r="AM66" i="76" s="1"/>
  <c r="AG17" i="76"/>
  <c r="AB60" i="76"/>
  <c r="AM60" i="76" s="1"/>
  <c r="AB49" i="76"/>
  <c r="AM49" i="76" s="1"/>
  <c r="AG12" i="76"/>
  <c r="AC40" i="76"/>
  <c r="AG40" i="76" s="1"/>
  <c r="AG36" i="76"/>
  <c r="AG43" i="76"/>
  <c r="AB10" i="76"/>
  <c r="AM10" i="76" s="1"/>
  <c r="AB48" i="76"/>
  <c r="AM48" i="76" s="1"/>
  <c r="AG7" i="76"/>
  <c r="AB46" i="76"/>
  <c r="AM46" i="76" s="1"/>
  <c r="AG35" i="76"/>
  <c r="AG58" i="76"/>
  <c r="AG13" i="76"/>
  <c r="AB50" i="76"/>
  <c r="AM50" i="76" s="1"/>
  <c r="AG64" i="76"/>
  <c r="AG63" i="76"/>
  <c r="AG55" i="76"/>
  <c r="AG62" i="76"/>
  <c r="AB14" i="76"/>
  <c r="AM14" i="76" s="1"/>
  <c r="AG50" i="76"/>
  <c r="AG72" i="76"/>
  <c r="AG76" i="76"/>
  <c r="AG56" i="76"/>
  <c r="AG28" i="76"/>
  <c r="BA18" i="76"/>
  <c r="AG11" i="76"/>
  <c r="AG78" i="76"/>
  <c r="AG85" i="76"/>
  <c r="AJ3" i="76"/>
  <c r="L34" i="12" s="1"/>
  <c r="L2" i="76"/>
  <c r="BA14" i="76"/>
  <c r="AG6" i="76"/>
  <c r="BB11" i="76"/>
  <c r="AZ11" i="76" a="1"/>
  <c r="AZ11" i="76" s="1"/>
  <c r="AY11" i="76" s="1"/>
  <c r="AC24" i="76"/>
  <c r="AG24" i="76" s="1"/>
  <c r="AB24" i="76"/>
  <c r="AM24" i="76" s="1"/>
  <c r="AG60" i="76"/>
  <c r="AB26" i="76"/>
  <c r="AM26" i="76" s="1"/>
  <c r="AG9" i="76"/>
  <c r="AG52" i="76"/>
  <c r="AB39" i="76"/>
  <c r="AM39" i="76" s="1"/>
  <c r="AG68" i="76"/>
  <c r="AG30" i="76"/>
  <c r="AB35" i="76"/>
  <c r="AM35" i="76" s="1"/>
  <c r="AB51" i="76"/>
  <c r="AM51" i="76" s="1"/>
  <c r="AG34" i="76"/>
  <c r="AG33" i="76"/>
  <c r="AG29" i="76"/>
  <c r="AG90" i="76"/>
  <c r="BA22" i="76"/>
  <c r="BA12" i="76"/>
  <c r="AB13" i="76"/>
  <c r="AM13" i="76" s="1"/>
  <c r="AB65" i="76"/>
  <c r="AM65" i="76" s="1"/>
  <c r="AB11" i="76"/>
  <c r="AM11" i="76" s="1"/>
  <c r="AB69" i="76"/>
  <c r="AM69" i="76" s="1"/>
  <c r="AC69" i="76"/>
  <c r="AG69" i="76" s="1"/>
  <c r="AB43" i="76"/>
  <c r="AM43" i="76" s="1"/>
  <c r="AG82" i="76"/>
  <c r="AB82" i="76"/>
  <c r="AM82" i="76" s="1"/>
  <c r="AB59" i="76"/>
  <c r="AM59" i="76" s="1"/>
  <c r="AB36" i="76"/>
  <c r="AM36" i="76" s="1"/>
  <c r="AG37" i="76"/>
  <c r="BA13" i="76"/>
  <c r="AB32" i="76"/>
  <c r="AM32" i="76" s="1"/>
  <c r="AC57" i="76"/>
  <c r="AG57" i="76" s="1"/>
  <c r="AB57" i="76"/>
  <c r="AM57" i="76" s="1"/>
  <c r="AB78" i="76"/>
  <c r="AM78" i="76" s="1"/>
  <c r="AB21" i="76"/>
  <c r="AM21" i="76" s="1"/>
  <c r="AG39" i="76"/>
  <c r="BA11" i="76"/>
  <c r="AG19" i="76"/>
  <c r="BD11" i="76"/>
  <c r="BD12" i="76" s="1"/>
  <c r="BD13" i="76" s="1"/>
  <c r="BD14" i="76" s="1"/>
  <c r="BD15" i="76" s="1"/>
  <c r="BD16" i="76" s="1"/>
  <c r="BD17" i="76" s="1"/>
  <c r="BD18" i="76" s="1"/>
  <c r="AB90" i="76"/>
  <c r="AM90" i="76" s="1"/>
  <c r="AG66" i="76"/>
  <c r="AG80" i="76"/>
  <c r="AZ15" i="76" a="1"/>
  <c r="AZ15" i="76" s="1"/>
  <c r="AY15" i="76" s="1"/>
  <c r="AZ16" i="76" a="1"/>
  <c r="AZ16" i="76" s="1"/>
  <c r="AY16" i="76" s="1"/>
  <c r="AZ18" i="76" a="1"/>
  <c r="AZ18" i="76" s="1"/>
  <c r="AY18" i="76" s="1"/>
  <c r="R2" i="76"/>
  <c r="Q2" i="76"/>
  <c r="G2" i="76" s="1"/>
  <c r="P2" i="76"/>
  <c r="AZ17" i="76" a="1"/>
  <c r="AZ17" i="76" s="1"/>
  <c r="AY17" i="76" s="1"/>
  <c r="BB9" i="76"/>
  <c r="AZ9" i="76" a="1"/>
  <c r="AZ9" i="76" s="1"/>
  <c r="AH3" i="76"/>
  <c r="E2" i="76" s="1"/>
  <c r="AZ14" i="76" a="1"/>
  <c r="AZ14" i="76" s="1"/>
  <c r="AY14" i="76" s="1"/>
  <c r="AZ13" i="76" a="1"/>
  <c r="AZ13" i="76" s="1"/>
  <c r="AY13" i="76" s="1"/>
  <c r="AI3" i="76"/>
  <c r="E1" i="76" s="1"/>
  <c r="AB85" i="76"/>
  <c r="AM85" i="76" s="1"/>
  <c r="AZ12" i="76" a="1"/>
  <c r="AZ12" i="76" s="1"/>
  <c r="AY12" i="76" s="1"/>
  <c r="BB12" i="76"/>
  <c r="AB79" i="76"/>
  <c r="AM79" i="76" s="1"/>
  <c r="AB44" i="76"/>
  <c r="AM44" i="76" s="1"/>
  <c r="AG93" i="76"/>
  <c r="AB37" i="76"/>
  <c r="AM37" i="76" s="1"/>
  <c r="AB30" i="76"/>
  <c r="AM30" i="76" s="1"/>
  <c r="BA15" i="76"/>
  <c r="AG26" i="76"/>
  <c r="AG67" i="76"/>
  <c r="AB33" i="76"/>
  <c r="AM33" i="76" s="1"/>
  <c r="AB67" i="76"/>
  <c r="AM67" i="76" s="1"/>
  <c r="AB29" i="76"/>
  <c r="AM29" i="76" s="1"/>
  <c r="BA16" i="76"/>
  <c r="BB10" i="76"/>
  <c r="AZ10" i="76" a="1"/>
  <c r="AZ10" i="76" s="1"/>
  <c r="AY10" i="76" s="1"/>
  <c r="BA10" i="76"/>
  <c r="AB9" i="76"/>
  <c r="AM9" i="76" s="1"/>
  <c r="AG79" i="76"/>
  <c r="AB27" i="76"/>
  <c r="AM27" i="76" s="1"/>
  <c r="AG5" i="76"/>
  <c r="AB93" i="76"/>
  <c r="AM93" i="76" s="1"/>
  <c r="AG91" i="76" l="1"/>
  <c r="AG2" i="76" s="1"/>
  <c r="K34" i="12" s="1"/>
  <c r="M34" i="12" s="1"/>
  <c r="AB91" i="76"/>
  <c r="AM91" i="76" s="1"/>
  <c r="AM3" i="76" s="1"/>
  <c r="G1" i="76" s="1"/>
  <c r="AX7" i="76"/>
  <c r="AY9" i="76"/>
  <c r="AK3" i="76"/>
  <c r="G34" i="12" s="1"/>
  <c r="BC9" i="76"/>
  <c r="BC10" i="76" s="1"/>
  <c r="BC11" i="76" s="1"/>
  <c r="BC12" i="76" s="1"/>
  <c r="BC13" i="76" s="1"/>
  <c r="BC14" i="76" s="1"/>
  <c r="BC15" i="76" s="1"/>
  <c r="BC16" i="76" s="1"/>
  <c r="BC17" i="76" s="1"/>
  <c r="BC18" i="76" s="1"/>
  <c r="BA7" i="76"/>
  <c r="AZ7" i="76"/>
  <c r="BB7" i="76"/>
  <c r="BC24" i="76" s="1"/>
  <c r="BC29" i="76" s="1"/>
  <c r="BD24" i="75" l="1"/>
  <c r="K14" i="1" l="1"/>
  <c r="E14" i="1" l="1"/>
  <c r="O14" i="1" s="1"/>
  <c r="J14" i="1" l="1"/>
  <c r="AN93" i="75"/>
  <c r="Y93" i="75"/>
  <c r="AA93" i="75" s="1"/>
  <c r="U93" i="75"/>
  <c r="N93" i="75"/>
  <c r="O93" i="75" s="1"/>
  <c r="K93" i="75"/>
  <c r="E93" i="75"/>
  <c r="AN92" i="75"/>
  <c r="AC92" i="75"/>
  <c r="Z92" i="75"/>
  <c r="Y92" i="75"/>
  <c r="U92" i="75"/>
  <c r="N92" i="75"/>
  <c r="O92" i="75" s="1"/>
  <c r="K92" i="75"/>
  <c r="AI92" i="75" s="1"/>
  <c r="E92" i="75"/>
  <c r="AN91" i="75"/>
  <c r="Z91" i="75"/>
  <c r="Y91" i="75"/>
  <c r="U91" i="75"/>
  <c r="N91" i="75"/>
  <c r="O91" i="75" s="1"/>
  <c r="K91" i="75"/>
  <c r="E91" i="75"/>
  <c r="AN90" i="75"/>
  <c r="AC90" i="75"/>
  <c r="Z90" i="75"/>
  <c r="Y90" i="75"/>
  <c r="U90" i="75"/>
  <c r="N90" i="75"/>
  <c r="O90" i="75" s="1"/>
  <c r="K90" i="75"/>
  <c r="E90" i="75"/>
  <c r="AN89" i="75"/>
  <c r="Z89" i="75"/>
  <c r="Y89" i="75"/>
  <c r="U89" i="75"/>
  <c r="AJ89" i="75" s="1"/>
  <c r="N89" i="75"/>
  <c r="O89" i="75" s="1"/>
  <c r="K89" i="75"/>
  <c r="AI89" i="75" s="1"/>
  <c r="E89" i="75"/>
  <c r="AN88" i="75"/>
  <c r="Z88" i="75"/>
  <c r="Y88" i="75"/>
  <c r="U88" i="75"/>
  <c r="N88" i="75"/>
  <c r="O88" i="75" s="1"/>
  <c r="K88" i="75"/>
  <c r="AI88" i="75" s="1"/>
  <c r="E88" i="75"/>
  <c r="AN87" i="75"/>
  <c r="Z87" i="75"/>
  <c r="Y87" i="75"/>
  <c r="U87" i="75"/>
  <c r="N87" i="75"/>
  <c r="O87" i="75" s="1"/>
  <c r="K87" i="75"/>
  <c r="E87" i="75"/>
  <c r="AN86" i="75"/>
  <c r="Z86" i="75"/>
  <c r="Y86" i="75"/>
  <c r="U86" i="75"/>
  <c r="AD86" i="75" s="1"/>
  <c r="N86" i="75"/>
  <c r="O86" i="75" s="1"/>
  <c r="S86" i="75" s="1"/>
  <c r="AC86" i="75" s="1"/>
  <c r="K86" i="75"/>
  <c r="E86" i="75"/>
  <c r="AN85" i="75"/>
  <c r="Z85" i="75"/>
  <c r="Y85" i="75"/>
  <c r="U85" i="75"/>
  <c r="AJ85" i="75" s="1"/>
  <c r="N85" i="75"/>
  <c r="O85" i="75" s="1"/>
  <c r="K85" i="75"/>
  <c r="AH85" i="75" s="1"/>
  <c r="E85" i="75"/>
  <c r="AN84" i="75"/>
  <c r="Z84" i="75"/>
  <c r="Y84" i="75"/>
  <c r="U84" i="75"/>
  <c r="N84" i="75"/>
  <c r="O84" i="75" s="1"/>
  <c r="S84" i="75" s="1"/>
  <c r="AC84" i="75" s="1"/>
  <c r="K84" i="75"/>
  <c r="E84" i="75"/>
  <c r="AN83" i="75"/>
  <c r="Z83" i="75"/>
  <c r="Y83" i="75"/>
  <c r="U83" i="75"/>
  <c r="N83" i="75"/>
  <c r="O83" i="75" s="1"/>
  <c r="S83" i="75" s="1"/>
  <c r="AC83" i="75" s="1"/>
  <c r="K83" i="75"/>
  <c r="E83" i="75"/>
  <c r="AN82" i="75"/>
  <c r="AE82" i="75"/>
  <c r="AA82" i="75"/>
  <c r="U82" i="75"/>
  <c r="AJ82" i="75" s="1"/>
  <c r="O82" i="75"/>
  <c r="S82" i="75" s="1"/>
  <c r="AC82" i="75" s="1"/>
  <c r="K82" i="75"/>
  <c r="AI82" i="75" s="1"/>
  <c r="E82" i="75"/>
  <c r="AN81" i="75"/>
  <c r="Y81" i="75"/>
  <c r="U81" i="75"/>
  <c r="AJ81" i="75" s="1"/>
  <c r="N81" i="75"/>
  <c r="O81" i="75" s="1"/>
  <c r="K81" i="75"/>
  <c r="E81" i="75"/>
  <c r="AN80" i="75"/>
  <c r="AE80" i="75"/>
  <c r="AA80" i="75"/>
  <c r="U80" i="75"/>
  <c r="AJ80" i="75" s="1"/>
  <c r="O80" i="75"/>
  <c r="K80" i="75"/>
  <c r="AH80" i="75" s="1"/>
  <c r="E80" i="75"/>
  <c r="AN79" i="75"/>
  <c r="AE79" i="75"/>
  <c r="AA79" i="75"/>
  <c r="U79" i="75"/>
  <c r="AJ79" i="75" s="1"/>
  <c r="O79" i="75"/>
  <c r="S79" i="75" s="1"/>
  <c r="AC79" i="75" s="1"/>
  <c r="K79" i="75"/>
  <c r="E79" i="75"/>
  <c r="AN78" i="75"/>
  <c r="Y78" i="75"/>
  <c r="AE78" i="75" s="1"/>
  <c r="U78" i="75"/>
  <c r="AJ78" i="75" s="1"/>
  <c r="N78" i="75"/>
  <c r="O78" i="75" s="1"/>
  <c r="K78" i="75"/>
  <c r="AI78" i="75" s="1"/>
  <c r="E78" i="75"/>
  <c r="AN77" i="75"/>
  <c r="Y77" i="75"/>
  <c r="U77" i="75"/>
  <c r="AJ77" i="75" s="1"/>
  <c r="N77" i="75"/>
  <c r="O77" i="75" s="1"/>
  <c r="K77" i="75"/>
  <c r="E77" i="75"/>
  <c r="AN76" i="75"/>
  <c r="Y76" i="75"/>
  <c r="AE76" i="75" s="1"/>
  <c r="U76" i="75"/>
  <c r="AJ76" i="75" s="1"/>
  <c r="N76" i="75"/>
  <c r="O76" i="75" s="1"/>
  <c r="K76" i="75"/>
  <c r="E76" i="75"/>
  <c r="AN75" i="75"/>
  <c r="Y75" i="75"/>
  <c r="AA75" i="75" s="1"/>
  <c r="U75" i="75"/>
  <c r="AD75" i="75" s="1"/>
  <c r="N75" i="75"/>
  <c r="O75" i="75" s="1"/>
  <c r="K75" i="75"/>
  <c r="AH75" i="75" s="1"/>
  <c r="E75" i="75"/>
  <c r="AN74" i="75"/>
  <c r="Y74" i="75"/>
  <c r="AA74" i="75" s="1"/>
  <c r="U74" i="75"/>
  <c r="AD74" i="75" s="1"/>
  <c r="N74" i="75"/>
  <c r="O74" i="75" s="1"/>
  <c r="K74" i="75"/>
  <c r="AH74" i="75" s="1"/>
  <c r="E74" i="75"/>
  <c r="AN73" i="75"/>
  <c r="Y73" i="75"/>
  <c r="AE73" i="75" s="1"/>
  <c r="U73" i="75"/>
  <c r="N73" i="75"/>
  <c r="O73" i="75" s="1"/>
  <c r="K73" i="75"/>
  <c r="AI73" i="75" s="1"/>
  <c r="E73" i="75"/>
  <c r="AN72" i="75"/>
  <c r="Y72" i="75"/>
  <c r="U72" i="75"/>
  <c r="AD72" i="75" s="1"/>
  <c r="N72" i="75"/>
  <c r="O72" i="75" s="1"/>
  <c r="K72" i="75"/>
  <c r="E72" i="75"/>
  <c r="AN71" i="75"/>
  <c r="Z71" i="75"/>
  <c r="Y71" i="75"/>
  <c r="U71" i="75"/>
  <c r="N71" i="75"/>
  <c r="O71" i="75" s="1"/>
  <c r="K71" i="75"/>
  <c r="E71" i="75"/>
  <c r="AN70" i="75"/>
  <c r="Z70" i="75"/>
  <c r="Y70" i="75"/>
  <c r="U70" i="75"/>
  <c r="N70" i="75"/>
  <c r="O70" i="75" s="1"/>
  <c r="K70" i="75"/>
  <c r="E70" i="75"/>
  <c r="AN69" i="75"/>
  <c r="Z69" i="75"/>
  <c r="Y69" i="75"/>
  <c r="U69" i="75"/>
  <c r="AJ69" i="75" s="1"/>
  <c r="O69" i="75"/>
  <c r="S69" i="75" s="1"/>
  <c r="AC69" i="75" s="1"/>
  <c r="K69" i="75"/>
  <c r="AI69" i="75" s="1"/>
  <c r="E69" i="75"/>
  <c r="AN68" i="75"/>
  <c r="AC68" i="75"/>
  <c r="Z68" i="75"/>
  <c r="Y68" i="75"/>
  <c r="U68" i="75"/>
  <c r="N68" i="75"/>
  <c r="O68" i="75" s="1"/>
  <c r="K68" i="75"/>
  <c r="E68" i="75"/>
  <c r="AN67" i="75"/>
  <c r="AC67" i="75"/>
  <c r="Z67" i="75"/>
  <c r="Y67" i="75"/>
  <c r="U67" i="75"/>
  <c r="O67" i="75"/>
  <c r="K67" i="75"/>
  <c r="E67" i="75"/>
  <c r="AN66" i="75"/>
  <c r="AC66" i="75"/>
  <c r="Z66" i="75"/>
  <c r="Y66" i="75"/>
  <c r="U66" i="75"/>
  <c r="N66" i="75"/>
  <c r="O66" i="75" s="1"/>
  <c r="K66" i="75"/>
  <c r="E66" i="75"/>
  <c r="AN65" i="75"/>
  <c r="AC65" i="75"/>
  <c r="Z65" i="75"/>
  <c r="Y65" i="75"/>
  <c r="U65" i="75"/>
  <c r="N65" i="75"/>
  <c r="O65" i="75" s="1"/>
  <c r="K65" i="75"/>
  <c r="E65" i="75"/>
  <c r="AN64" i="75"/>
  <c r="AC64" i="75"/>
  <c r="Z64" i="75"/>
  <c r="Y64" i="75"/>
  <c r="U64" i="75"/>
  <c r="O64" i="75"/>
  <c r="K64" i="75"/>
  <c r="E64" i="75"/>
  <c r="AN63" i="75"/>
  <c r="AC63" i="75"/>
  <c r="Z63" i="75"/>
  <c r="Y63" i="75"/>
  <c r="U63" i="75"/>
  <c r="N63" i="75"/>
  <c r="O63" i="75" s="1"/>
  <c r="K63" i="75"/>
  <c r="E63" i="75"/>
  <c r="AN62" i="75"/>
  <c r="Z62" i="75"/>
  <c r="Y62" i="75"/>
  <c r="U62" i="75"/>
  <c r="O62" i="75"/>
  <c r="K62" i="75"/>
  <c r="E62" i="75"/>
  <c r="AN61" i="75"/>
  <c r="Z61" i="75"/>
  <c r="Y61" i="75"/>
  <c r="U61" i="75"/>
  <c r="AJ61" i="75" s="1"/>
  <c r="N61" i="75"/>
  <c r="O61" i="75" s="1"/>
  <c r="S61" i="75" s="1"/>
  <c r="AC61" i="75" s="1"/>
  <c r="K61" i="75"/>
  <c r="AH61" i="75" s="1"/>
  <c r="E61" i="75"/>
  <c r="AN60" i="75"/>
  <c r="Y60" i="75"/>
  <c r="AA60" i="75" s="1"/>
  <c r="U60" i="75"/>
  <c r="AJ60" i="75" s="1"/>
  <c r="N60" i="75"/>
  <c r="O60" i="75" s="1"/>
  <c r="K60" i="75"/>
  <c r="AH60" i="75" s="1"/>
  <c r="E60" i="75"/>
  <c r="AN59" i="75"/>
  <c r="Y59" i="75"/>
  <c r="AA59" i="75" s="1"/>
  <c r="U59" i="75"/>
  <c r="N59" i="75"/>
  <c r="O59" i="75" s="1"/>
  <c r="S59" i="75" s="1"/>
  <c r="AC59" i="75" s="1"/>
  <c r="K59" i="75"/>
  <c r="E59" i="75"/>
  <c r="AN58" i="75"/>
  <c r="Y58" i="75"/>
  <c r="U58" i="75"/>
  <c r="AD58" i="75" s="1"/>
  <c r="N58" i="75"/>
  <c r="O58" i="75" s="1"/>
  <c r="K58" i="75"/>
  <c r="E58" i="75"/>
  <c r="AN57" i="75"/>
  <c r="Y57" i="75"/>
  <c r="AE57" i="75" s="1"/>
  <c r="U57" i="75"/>
  <c r="AJ57" i="75" s="1"/>
  <c r="N57" i="75"/>
  <c r="O57" i="75" s="1"/>
  <c r="K57" i="75"/>
  <c r="AH57" i="75" s="1"/>
  <c r="E57" i="75"/>
  <c r="AN56" i="75"/>
  <c r="Z56" i="75"/>
  <c r="Y56" i="75"/>
  <c r="U56" i="75"/>
  <c r="AJ56" i="75" s="1"/>
  <c r="N56" i="75"/>
  <c r="O56" i="75" s="1"/>
  <c r="S56" i="75" s="1"/>
  <c r="AC56" i="75" s="1"/>
  <c r="K56" i="75"/>
  <c r="E56" i="75"/>
  <c r="AN55" i="75"/>
  <c r="Z55" i="75"/>
  <c r="Y55" i="75"/>
  <c r="U55" i="75"/>
  <c r="N55" i="75"/>
  <c r="O55" i="75" s="1"/>
  <c r="K55" i="75"/>
  <c r="AH55" i="75" s="1"/>
  <c r="E55" i="75"/>
  <c r="AN54" i="75"/>
  <c r="Z54" i="75"/>
  <c r="Y54" i="75"/>
  <c r="U54" i="75"/>
  <c r="N54" i="75"/>
  <c r="O54" i="75" s="1"/>
  <c r="K54" i="75"/>
  <c r="AI54" i="75" s="1"/>
  <c r="E54" i="75"/>
  <c r="AN53" i="75"/>
  <c r="Z53" i="75"/>
  <c r="Y53" i="75"/>
  <c r="U53" i="75"/>
  <c r="AD53" i="75" s="1"/>
  <c r="N53" i="75"/>
  <c r="O53" i="75" s="1"/>
  <c r="K53" i="75"/>
  <c r="E53" i="75"/>
  <c r="AN52" i="75"/>
  <c r="Z52" i="75"/>
  <c r="Y52" i="75"/>
  <c r="U52" i="75"/>
  <c r="N52" i="75"/>
  <c r="O52" i="75" s="1"/>
  <c r="S52" i="75" s="1"/>
  <c r="AC52" i="75" s="1"/>
  <c r="K52" i="75"/>
  <c r="AI52" i="75" s="1"/>
  <c r="E52" i="75"/>
  <c r="AN51" i="75"/>
  <c r="Z51" i="75"/>
  <c r="Y51" i="75"/>
  <c r="U51" i="75"/>
  <c r="AJ51" i="75" s="1"/>
  <c r="N51" i="75"/>
  <c r="O51" i="75" s="1"/>
  <c r="S51" i="75" s="1"/>
  <c r="K51" i="75"/>
  <c r="AI51" i="75" s="1"/>
  <c r="E51" i="75"/>
  <c r="AN50" i="75"/>
  <c r="Z50" i="75"/>
  <c r="Y50" i="75"/>
  <c r="U50" i="75"/>
  <c r="N50" i="75"/>
  <c r="O50" i="75" s="1"/>
  <c r="S50" i="75" s="1"/>
  <c r="AC50" i="75" s="1"/>
  <c r="K50" i="75"/>
  <c r="E50" i="75"/>
  <c r="AN49" i="75"/>
  <c r="Z49" i="75"/>
  <c r="Y49" i="75"/>
  <c r="U49" i="75"/>
  <c r="AD49" i="75" s="1"/>
  <c r="N49" i="75"/>
  <c r="O49" i="75" s="1"/>
  <c r="S49" i="75" s="1"/>
  <c r="AC49" i="75" s="1"/>
  <c r="K49" i="75"/>
  <c r="E49" i="75"/>
  <c r="AN48" i="75"/>
  <c r="Z48" i="75"/>
  <c r="Y48" i="75"/>
  <c r="U48" i="75"/>
  <c r="N48" i="75"/>
  <c r="O48" i="75" s="1"/>
  <c r="K48" i="75"/>
  <c r="AI48" i="75" s="1"/>
  <c r="E48" i="75"/>
  <c r="AN47" i="75"/>
  <c r="Z47" i="75"/>
  <c r="Y47" i="75"/>
  <c r="U47" i="75"/>
  <c r="AJ47" i="75" s="1"/>
  <c r="N47" i="75"/>
  <c r="O47" i="75" s="1"/>
  <c r="K47" i="75"/>
  <c r="AH47" i="75" s="1"/>
  <c r="E47" i="75"/>
  <c r="AN46" i="75"/>
  <c r="Z46" i="75"/>
  <c r="Y46" i="75"/>
  <c r="U46" i="75"/>
  <c r="AJ46" i="75" s="1"/>
  <c r="N46" i="75"/>
  <c r="O46" i="75" s="1"/>
  <c r="K46" i="75"/>
  <c r="E46" i="75"/>
  <c r="AN45" i="75"/>
  <c r="Z45" i="75"/>
  <c r="Y45" i="75"/>
  <c r="U45" i="75"/>
  <c r="AJ45" i="75" s="1"/>
  <c r="N45" i="75"/>
  <c r="O45" i="75" s="1"/>
  <c r="S45" i="75" s="1"/>
  <c r="AC45" i="75" s="1"/>
  <c r="K45" i="75"/>
  <c r="AH45" i="75" s="1"/>
  <c r="E45" i="75"/>
  <c r="AN44" i="75"/>
  <c r="Z44" i="75"/>
  <c r="Y44" i="75"/>
  <c r="U44" i="75"/>
  <c r="AD44" i="75" s="1"/>
  <c r="N44" i="75"/>
  <c r="O44" i="75" s="1"/>
  <c r="S44" i="75" s="1"/>
  <c r="AC44" i="75" s="1"/>
  <c r="K44" i="75"/>
  <c r="AK44" i="75" s="1"/>
  <c r="E44" i="75"/>
  <c r="AN43" i="75"/>
  <c r="Z43" i="75"/>
  <c r="Y43" i="75"/>
  <c r="U43" i="75"/>
  <c r="AD43" i="75" s="1"/>
  <c r="N43" i="75"/>
  <c r="O43" i="75" s="1"/>
  <c r="K43" i="75"/>
  <c r="AH43" i="75" s="1"/>
  <c r="E43" i="75"/>
  <c r="AN42" i="75"/>
  <c r="Z42" i="75"/>
  <c r="Y42" i="75"/>
  <c r="U42" i="75"/>
  <c r="N42" i="75"/>
  <c r="O42" i="75" s="1"/>
  <c r="S42" i="75" s="1"/>
  <c r="AC42" i="75" s="1"/>
  <c r="K42" i="75"/>
  <c r="AH42" i="75" s="1"/>
  <c r="E42" i="75"/>
  <c r="AN41" i="75"/>
  <c r="Z41" i="75"/>
  <c r="Y41" i="75"/>
  <c r="U41" i="75"/>
  <c r="N41" i="75"/>
  <c r="O41" i="75" s="1"/>
  <c r="K41" i="75"/>
  <c r="E41" i="75"/>
  <c r="AN40" i="75"/>
  <c r="Z40" i="75"/>
  <c r="Y40" i="75"/>
  <c r="U40" i="75"/>
  <c r="AD40" i="75" s="1"/>
  <c r="O40" i="75"/>
  <c r="K40" i="75"/>
  <c r="E40" i="75"/>
  <c r="AN39" i="75"/>
  <c r="Z39" i="75"/>
  <c r="Y39" i="75"/>
  <c r="U39" i="75"/>
  <c r="AJ39" i="75" s="1"/>
  <c r="N39" i="75"/>
  <c r="O39" i="75" s="1"/>
  <c r="K39" i="75"/>
  <c r="AH39" i="75" s="1"/>
  <c r="E39" i="75"/>
  <c r="AN38" i="75"/>
  <c r="Z38" i="75"/>
  <c r="Y38" i="75"/>
  <c r="U38" i="75"/>
  <c r="AD38" i="75" s="1"/>
  <c r="O38" i="75"/>
  <c r="K38" i="75"/>
  <c r="AI38" i="75" s="1"/>
  <c r="E38" i="75"/>
  <c r="AN37" i="75"/>
  <c r="Y37" i="75"/>
  <c r="AE37" i="75" s="1"/>
  <c r="U37" i="75"/>
  <c r="N37" i="75"/>
  <c r="O37" i="75" s="1"/>
  <c r="K37" i="75"/>
  <c r="E37" i="75"/>
  <c r="AN36" i="75"/>
  <c r="Y36" i="75"/>
  <c r="AA36" i="75" s="1"/>
  <c r="U36" i="75"/>
  <c r="N36" i="75"/>
  <c r="O36" i="75" s="1"/>
  <c r="K36" i="75"/>
  <c r="E36" i="75"/>
  <c r="AN35" i="75"/>
  <c r="Y35" i="75"/>
  <c r="AE35" i="75" s="1"/>
  <c r="U35" i="75"/>
  <c r="AJ35" i="75" s="1"/>
  <c r="N35" i="75"/>
  <c r="O35" i="75" s="1"/>
  <c r="K35" i="75"/>
  <c r="E35" i="75"/>
  <c r="AN34" i="75"/>
  <c r="Z34" i="75"/>
  <c r="Y34" i="75"/>
  <c r="U34" i="75"/>
  <c r="N34" i="75"/>
  <c r="O34" i="75" s="1"/>
  <c r="S34" i="75" s="1"/>
  <c r="AC34" i="75" s="1"/>
  <c r="K34" i="75"/>
  <c r="E34" i="75"/>
  <c r="AN33" i="75"/>
  <c r="Z33" i="75"/>
  <c r="Y33" i="75"/>
  <c r="U33" i="75"/>
  <c r="N33" i="75"/>
  <c r="O33" i="75" s="1"/>
  <c r="K33" i="75"/>
  <c r="E33" i="75"/>
  <c r="AN32" i="75"/>
  <c r="Z32" i="75"/>
  <c r="Y32" i="75"/>
  <c r="U32" i="75"/>
  <c r="AD32" i="75" s="1"/>
  <c r="O32" i="75"/>
  <c r="K32" i="75"/>
  <c r="E32" i="75"/>
  <c r="AN31" i="75"/>
  <c r="Z31" i="75"/>
  <c r="Y31" i="75"/>
  <c r="U31" i="75"/>
  <c r="AJ31" i="75" s="1"/>
  <c r="N31" i="75"/>
  <c r="O31" i="75" s="1"/>
  <c r="S31" i="75" s="1"/>
  <c r="AC31" i="75" s="1"/>
  <c r="K31" i="75"/>
  <c r="E31" i="75"/>
  <c r="AN30" i="75"/>
  <c r="Z30" i="75"/>
  <c r="Y30" i="75"/>
  <c r="U30" i="75"/>
  <c r="N30" i="75"/>
  <c r="O30" i="75" s="1"/>
  <c r="K30" i="75"/>
  <c r="AH30" i="75" s="1"/>
  <c r="E30" i="75"/>
  <c r="AX32" i="75"/>
  <c r="AZ32" i="75" s="1"/>
  <c r="BB32" i="75" s="1"/>
  <c r="AM29" i="75"/>
  <c r="AK29" i="75"/>
  <c r="AJ29" i="75"/>
  <c r="AI29" i="75"/>
  <c r="AH29" i="75"/>
  <c r="AF29" i="75"/>
  <c r="AE29" i="75"/>
  <c r="AD29" i="75"/>
  <c r="AC29" i="75"/>
  <c r="E29" i="75"/>
  <c r="AX31" i="75"/>
  <c r="AZ31" i="75" s="1"/>
  <c r="BB31" i="75" s="1"/>
  <c r="AN28" i="75"/>
  <c r="Z28" i="75"/>
  <c r="Y28" i="75"/>
  <c r="U28" i="75"/>
  <c r="N28" i="75"/>
  <c r="O28" i="75" s="1"/>
  <c r="K28" i="75"/>
  <c r="E28" i="75"/>
  <c r="AX30" i="75"/>
  <c r="AZ30" i="75" s="1"/>
  <c r="BB30" i="75" s="1"/>
  <c r="AN27" i="75"/>
  <c r="Z27" i="75"/>
  <c r="Y27" i="75"/>
  <c r="U27" i="75"/>
  <c r="AJ27" i="75" s="1"/>
  <c r="O27" i="75"/>
  <c r="K27" i="75"/>
  <c r="E27" i="75"/>
  <c r="AX29" i="75"/>
  <c r="AZ29" i="75" s="1"/>
  <c r="BB29" i="75" s="1"/>
  <c r="AX28" i="75"/>
  <c r="AZ28" i="75" s="1"/>
  <c r="BB28" i="75" s="1"/>
  <c r="AN26" i="75"/>
  <c r="Y26" i="75"/>
  <c r="AE26" i="75" s="1"/>
  <c r="U26" i="75"/>
  <c r="AJ26" i="75" s="1"/>
  <c r="N26" i="75"/>
  <c r="O26" i="75" s="1"/>
  <c r="K26" i="75"/>
  <c r="E26" i="75"/>
  <c r="AM25" i="75"/>
  <c r="AK25" i="75"/>
  <c r="AJ25" i="75"/>
  <c r="AI25" i="75"/>
  <c r="AH25" i="75"/>
  <c r="AF25" i="75"/>
  <c r="AE25" i="75"/>
  <c r="AD25" i="75"/>
  <c r="AC25" i="75"/>
  <c r="E25" i="75"/>
  <c r="AN24" i="75"/>
  <c r="Z24" i="75"/>
  <c r="Y24" i="75"/>
  <c r="U24" i="75"/>
  <c r="N24" i="75"/>
  <c r="O24" i="75" s="1"/>
  <c r="K24" i="75"/>
  <c r="E24" i="75"/>
  <c r="AN23" i="75"/>
  <c r="Z23" i="75"/>
  <c r="Y23" i="75"/>
  <c r="U23" i="75"/>
  <c r="AD23" i="75" s="1"/>
  <c r="N23" i="75"/>
  <c r="O23" i="75" s="1"/>
  <c r="K23" i="75"/>
  <c r="E23" i="75"/>
  <c r="AN22" i="75"/>
  <c r="Z22" i="75"/>
  <c r="Y22" i="75"/>
  <c r="U22" i="75"/>
  <c r="N22" i="75"/>
  <c r="O22" i="75" s="1"/>
  <c r="K22" i="75"/>
  <c r="AH22" i="75" s="1"/>
  <c r="E22" i="75"/>
  <c r="AN21" i="75"/>
  <c r="Y21" i="75"/>
  <c r="AA21" i="75" s="1"/>
  <c r="U21" i="75"/>
  <c r="N21" i="75"/>
  <c r="O21" i="75" s="1"/>
  <c r="K21" i="75"/>
  <c r="E21" i="75"/>
  <c r="AN20" i="75"/>
  <c r="Z20" i="75"/>
  <c r="Y20" i="75"/>
  <c r="U20" i="75"/>
  <c r="AJ20" i="75" s="1"/>
  <c r="O20" i="75"/>
  <c r="S20" i="75" s="1"/>
  <c r="AC20" i="75" s="1"/>
  <c r="K20" i="75"/>
  <c r="E20" i="75"/>
  <c r="AN19" i="75"/>
  <c r="Z19" i="75"/>
  <c r="Y19" i="75"/>
  <c r="U19" i="75"/>
  <c r="AJ19" i="75" s="1"/>
  <c r="O19" i="75"/>
  <c r="S19" i="75" s="1"/>
  <c r="AC19" i="75" s="1"/>
  <c r="K19" i="75"/>
  <c r="AM19" i="75" s="1"/>
  <c r="E19" i="75"/>
  <c r="AN18" i="75"/>
  <c r="Z18" i="75"/>
  <c r="Y18" i="75"/>
  <c r="U18" i="75"/>
  <c r="O18" i="75"/>
  <c r="K18" i="75"/>
  <c r="E18" i="75"/>
  <c r="BC17" i="75"/>
  <c r="AX17" i="75"/>
  <c r="AN17" i="75"/>
  <c r="Z17" i="75"/>
  <c r="Y17" i="75"/>
  <c r="U17" i="75"/>
  <c r="O17" i="75"/>
  <c r="S17" i="75" s="1"/>
  <c r="AC17" i="75" s="1"/>
  <c r="K17" i="75"/>
  <c r="E17" i="75"/>
  <c r="BC16" i="75"/>
  <c r="AX16" i="75"/>
  <c r="AN16" i="75"/>
  <c r="Y16" i="75"/>
  <c r="AE16" i="75" s="1"/>
  <c r="U16" i="75"/>
  <c r="AJ16" i="75" s="1"/>
  <c r="O16" i="75"/>
  <c r="K16" i="75"/>
  <c r="E16" i="75"/>
  <c r="BC15" i="75"/>
  <c r="AX15" i="75"/>
  <c r="AN15" i="75"/>
  <c r="AJ15" i="75"/>
  <c r="AD15" i="75"/>
  <c r="Y15" i="75"/>
  <c r="O15" i="75"/>
  <c r="S15" i="75" s="1"/>
  <c r="AC15" i="75" s="1"/>
  <c r="K15" i="75"/>
  <c r="AI15" i="75" s="1"/>
  <c r="E15" i="75"/>
  <c r="BC14" i="75"/>
  <c r="AX14" i="75"/>
  <c r="AN14" i="75"/>
  <c r="Z14" i="75"/>
  <c r="Y14" i="75"/>
  <c r="U14" i="75"/>
  <c r="AJ14" i="75" s="1"/>
  <c r="O14" i="75"/>
  <c r="K14" i="75"/>
  <c r="AI14" i="75" s="1"/>
  <c r="E14" i="75"/>
  <c r="BC13" i="75"/>
  <c r="AX13" i="75"/>
  <c r="AN13" i="75"/>
  <c r="Y13" i="75"/>
  <c r="AA13" i="75" s="1"/>
  <c r="U13" i="75"/>
  <c r="AJ13" i="75" s="1"/>
  <c r="O13" i="75"/>
  <c r="S13" i="75" s="1"/>
  <c r="AC13" i="75" s="1"/>
  <c r="K13" i="75"/>
  <c r="E13" i="75"/>
  <c r="AN12" i="75"/>
  <c r="Y12" i="75"/>
  <c r="AE12" i="75" s="1"/>
  <c r="U12" i="75"/>
  <c r="O12" i="75"/>
  <c r="S12" i="75" s="1"/>
  <c r="AC12" i="75" s="1"/>
  <c r="K12" i="75"/>
  <c r="E12" i="75"/>
  <c r="AN11" i="75"/>
  <c r="Z11" i="75"/>
  <c r="Y11" i="75"/>
  <c r="U11" i="75"/>
  <c r="AJ11" i="75" s="1"/>
  <c r="O11" i="75"/>
  <c r="S11" i="75" s="1"/>
  <c r="AC11" i="75" s="1"/>
  <c r="K11" i="75"/>
  <c r="AK11" i="75" s="1"/>
  <c r="E11" i="75"/>
  <c r="AN10" i="75"/>
  <c r="Z10" i="75"/>
  <c r="AE10" i="75" s="1"/>
  <c r="U10" i="75"/>
  <c r="O10" i="75"/>
  <c r="K10" i="75"/>
  <c r="AH10" i="75" s="1"/>
  <c r="E10" i="75"/>
  <c r="AN9" i="75"/>
  <c r="Z9" i="75"/>
  <c r="Y9" i="75"/>
  <c r="U9" i="75"/>
  <c r="O9" i="75"/>
  <c r="K9" i="75"/>
  <c r="E9" i="75"/>
  <c r="AN8" i="75"/>
  <c r="Z8" i="75"/>
  <c r="Y8" i="75"/>
  <c r="U8" i="75"/>
  <c r="AD8" i="75" s="1"/>
  <c r="O8" i="75"/>
  <c r="S8" i="75" s="1"/>
  <c r="AC8" i="75" s="1"/>
  <c r="K8" i="75"/>
  <c r="AI8" i="75" s="1"/>
  <c r="E8" i="75"/>
  <c r="AN7" i="75"/>
  <c r="AC7" i="75"/>
  <c r="Z7" i="75"/>
  <c r="Y7" i="75"/>
  <c r="U7" i="75"/>
  <c r="AD7" i="75" s="1"/>
  <c r="O7" i="75"/>
  <c r="K7" i="75"/>
  <c r="AI7" i="75" s="1"/>
  <c r="E7" i="75"/>
  <c r="AN6" i="75"/>
  <c r="AE6" i="75"/>
  <c r="AA6" i="75"/>
  <c r="U6" i="75"/>
  <c r="AJ6" i="75" s="1"/>
  <c r="O6" i="75"/>
  <c r="K6" i="75"/>
  <c r="AI6" i="75" s="1"/>
  <c r="E6" i="75"/>
  <c r="AN5" i="75"/>
  <c r="AC5" i="75"/>
  <c r="Z5" i="75"/>
  <c r="Y5" i="75"/>
  <c r="U5" i="75"/>
  <c r="AJ5" i="75" s="1"/>
  <c r="O5" i="75"/>
  <c r="K5" i="75"/>
  <c r="E5" i="75"/>
  <c r="I2" i="75"/>
  <c r="AI85" i="75" l="1"/>
  <c r="AK40" i="75"/>
  <c r="AK93" i="75"/>
  <c r="AK23" i="75"/>
  <c r="AE47" i="75"/>
  <c r="AF39" i="75"/>
  <c r="AA49" i="75"/>
  <c r="AB49" i="75" s="1"/>
  <c r="AM49" i="75" s="1"/>
  <c r="AF60" i="75"/>
  <c r="AF87" i="75"/>
  <c r="AA61" i="75"/>
  <c r="AB61" i="75" s="1"/>
  <c r="AM61" i="75" s="1"/>
  <c r="AA39" i="75"/>
  <c r="AA89" i="75"/>
  <c r="AA43" i="75"/>
  <c r="AF7" i="75"/>
  <c r="AE41" i="75"/>
  <c r="AE32" i="75"/>
  <c r="AF16" i="75"/>
  <c r="AE67" i="75"/>
  <c r="AK16" i="75"/>
  <c r="AA88" i="75"/>
  <c r="AE54" i="75"/>
  <c r="AH69" i="75"/>
  <c r="AI42" i="75"/>
  <c r="AJ38" i="75"/>
  <c r="AH15" i="75"/>
  <c r="AE44" i="75"/>
  <c r="AK38" i="75"/>
  <c r="AE11" i="75"/>
  <c r="AH82" i="75"/>
  <c r="AI61" i="75"/>
  <c r="AK57" i="75"/>
  <c r="AH48" i="75"/>
  <c r="AI57" i="75"/>
  <c r="AK13" i="75"/>
  <c r="AF73" i="75"/>
  <c r="AI74" i="75"/>
  <c r="AK7" i="75"/>
  <c r="AK15" i="75"/>
  <c r="AD85" i="75"/>
  <c r="AA27" i="75"/>
  <c r="AE33" i="75"/>
  <c r="AE38" i="75"/>
  <c r="AE40" i="75"/>
  <c r="AH78" i="75"/>
  <c r="AM7" i="75"/>
  <c r="AE64" i="75"/>
  <c r="AB82" i="75"/>
  <c r="AM82" i="75" s="1"/>
  <c r="AF83" i="75"/>
  <c r="AK80" i="75"/>
  <c r="AI22" i="75"/>
  <c r="AD82" i="75"/>
  <c r="AH6" i="75"/>
  <c r="AA16" i="75"/>
  <c r="AK22" i="75"/>
  <c r="AJ43" i="75"/>
  <c r="AI55" i="75"/>
  <c r="AI43" i="75"/>
  <c r="AE8" i="75"/>
  <c r="AA18" i="75"/>
  <c r="AD20" i="75"/>
  <c r="AE30" i="75"/>
  <c r="AK43" i="75"/>
  <c r="AF82" i="75"/>
  <c r="AF38" i="75"/>
  <c r="AF40" i="75"/>
  <c r="AK82" i="75"/>
  <c r="AH52" i="75"/>
  <c r="AH54" i="75"/>
  <c r="AK47" i="75"/>
  <c r="S47" i="75"/>
  <c r="AC47" i="75" s="1"/>
  <c r="AE14" i="75"/>
  <c r="AD61" i="75"/>
  <c r="AJ72" i="75"/>
  <c r="AH14" i="75"/>
  <c r="AE45" i="75"/>
  <c r="AE19" i="75"/>
  <c r="AI45" i="75"/>
  <c r="AD60" i="75"/>
  <c r="AH89" i="75"/>
  <c r="AA7" i="75"/>
  <c r="AI13" i="75"/>
  <c r="AK14" i="75"/>
  <c r="AD19" i="75"/>
  <c r="AD39" i="75"/>
  <c r="AI47" i="75"/>
  <c r="AE49" i="75"/>
  <c r="AH51" i="75"/>
  <c r="AE53" i="75"/>
  <c r="AE60" i="75"/>
  <c r="AK62" i="75"/>
  <c r="AF64" i="75"/>
  <c r="AE13" i="75"/>
  <c r="AE39" i="75"/>
  <c r="AH73" i="75"/>
  <c r="AA50" i="75"/>
  <c r="AB50" i="75" s="1"/>
  <c r="AM50" i="75" s="1"/>
  <c r="AD69" i="75"/>
  <c r="AF13" i="75"/>
  <c r="AF19" i="75"/>
  <c r="AE88" i="75"/>
  <c r="AE74" i="75"/>
  <c r="AJ40" i="75"/>
  <c r="AE61" i="75"/>
  <c r="AJ74" i="75"/>
  <c r="AJ32" i="75"/>
  <c r="AD79" i="75"/>
  <c r="AF44" i="75"/>
  <c r="AK66" i="75"/>
  <c r="AI19" i="75"/>
  <c r="AI60" i="75"/>
  <c r="AE75" i="75"/>
  <c r="AF79" i="75"/>
  <c r="AH7" i="75"/>
  <c r="AJ8" i="75"/>
  <c r="AI10" i="75"/>
  <c r="AK39" i="75"/>
  <c r="AI44" i="75"/>
  <c r="AK48" i="75"/>
  <c r="AA64" i="75"/>
  <c r="AB64" i="75" s="1"/>
  <c r="AM64" i="75" s="1"/>
  <c r="AE66" i="75"/>
  <c r="AE68" i="75"/>
  <c r="AF86" i="75"/>
  <c r="AH88" i="75"/>
  <c r="AD13" i="75"/>
  <c r="AD14" i="75"/>
  <c r="AF69" i="75"/>
  <c r="AD89" i="75"/>
  <c r="AD45" i="75"/>
  <c r="AF8" i="75"/>
  <c r="AH19" i="75"/>
  <c r="AF6" i="75"/>
  <c r="AK8" i="75"/>
  <c r="AD27" i="75"/>
  <c r="AH38" i="75"/>
  <c r="AE43" i="75"/>
  <c r="AJ44" i="75"/>
  <c r="AA46" i="75"/>
  <c r="AJ86" i="75"/>
  <c r="AB13" i="75"/>
  <c r="AM13" i="75" s="1"/>
  <c r="AE89" i="75"/>
  <c r="AE93" i="75"/>
  <c r="AH13" i="75"/>
  <c r="AH8" i="75"/>
  <c r="AI39" i="75"/>
  <c r="AK68" i="75"/>
  <c r="AH44" i="75"/>
  <c r="AH92" i="75"/>
  <c r="AJ7" i="75"/>
  <c r="AD16" i="75"/>
  <c r="AE27" i="75"/>
  <c r="AK69" i="75"/>
  <c r="AF74" i="75"/>
  <c r="S77" i="75"/>
  <c r="AC77" i="75" s="1"/>
  <c r="AF77" i="75"/>
  <c r="AK46" i="75"/>
  <c r="AF46" i="75"/>
  <c r="AF36" i="75"/>
  <c r="S36" i="75"/>
  <c r="AC36" i="75" s="1"/>
  <c r="AK12" i="75"/>
  <c r="AH12" i="75"/>
  <c r="AH84" i="75"/>
  <c r="AK84" i="75"/>
  <c r="AI84" i="75"/>
  <c r="AK77" i="75"/>
  <c r="AI77" i="75"/>
  <c r="AH77" i="75"/>
  <c r="AX23" i="75"/>
  <c r="AZ23" i="75" s="1"/>
  <c r="BB23" i="75" s="1"/>
  <c r="AA10" i="75"/>
  <c r="AH49" i="75"/>
  <c r="AI49" i="75"/>
  <c r="AA19" i="75"/>
  <c r="AJ36" i="75"/>
  <c r="AD36" i="75"/>
  <c r="AI46" i="75"/>
  <c r="AH46" i="75"/>
  <c r="AD18" i="75"/>
  <c r="AJ18" i="75"/>
  <c r="AK49" i="75"/>
  <c r="AI35" i="75"/>
  <c r="AH35" i="75"/>
  <c r="AA57" i="75"/>
  <c r="S78" i="75"/>
  <c r="AC78" i="75" s="1"/>
  <c r="AF78" i="75"/>
  <c r="AD88" i="75"/>
  <c r="AJ88" i="75"/>
  <c r="AI33" i="75"/>
  <c r="AH33" i="75"/>
  <c r="AA37" i="75"/>
  <c r="AH40" i="75"/>
  <c r="AK56" i="75"/>
  <c r="AH65" i="75"/>
  <c r="AI65" i="75"/>
  <c r="AA68" i="75"/>
  <c r="AB68" i="75" s="1"/>
  <c r="AM68" i="75" s="1"/>
  <c r="AA73" i="75"/>
  <c r="AK92" i="75"/>
  <c r="AF92" i="75"/>
  <c r="AJ54" i="75"/>
  <c r="AD54" i="75"/>
  <c r="AM28" i="75"/>
  <c r="AI28" i="75"/>
  <c r="AH28" i="75"/>
  <c r="AM5" i="75"/>
  <c r="AK5" i="75"/>
  <c r="AI5" i="75"/>
  <c r="AH5" i="75"/>
  <c r="AA66" i="75"/>
  <c r="AB66" i="75" s="1"/>
  <c r="AM66" i="75" s="1"/>
  <c r="AD42" i="75"/>
  <c r="AJ42" i="75"/>
  <c r="AK50" i="75"/>
  <c r="AI50" i="75"/>
  <c r="AH50" i="75"/>
  <c r="AK17" i="75"/>
  <c r="AI17" i="75"/>
  <c r="AH17" i="75"/>
  <c r="AI40" i="75"/>
  <c r="AD92" i="75"/>
  <c r="AJ92" i="75"/>
  <c r="AD47" i="75"/>
  <c r="AD77" i="75"/>
  <c r="S93" i="75"/>
  <c r="AC93" i="75" s="1"/>
  <c r="AF93" i="75"/>
  <c r="AE28" i="75"/>
  <c r="AA28" i="75"/>
  <c r="AE51" i="75"/>
  <c r="AK81" i="75"/>
  <c r="AH81" i="75"/>
  <c r="AI81" i="75"/>
  <c r="S37" i="75"/>
  <c r="AC37" i="75" s="1"/>
  <c r="AF37" i="75"/>
  <c r="AE18" i="75"/>
  <c r="AF42" i="75"/>
  <c r="S60" i="75"/>
  <c r="AC60" i="75" s="1"/>
  <c r="AK60" i="75"/>
  <c r="AA78" i="75"/>
  <c r="AE92" i="75"/>
  <c r="AF51" i="75"/>
  <c r="AK51" i="75"/>
  <c r="AA54" i="75"/>
  <c r="S76" i="75"/>
  <c r="AC76" i="75" s="1"/>
  <c r="AF76" i="75"/>
  <c r="AK18" i="75"/>
  <c r="AH18" i="75"/>
  <c r="AI18" i="75"/>
  <c r="AJ28" i="75"/>
  <c r="AD28" i="75"/>
  <c r="AI53" i="75"/>
  <c r="AH53" i="75"/>
  <c r="AJ24" i="75"/>
  <c r="AD24" i="75"/>
  <c r="AJ37" i="75"/>
  <c r="AD37" i="75"/>
  <c r="AK74" i="75"/>
  <c r="AA24" i="75"/>
  <c r="AE24" i="75"/>
  <c r="AA77" i="75"/>
  <c r="AE77" i="75"/>
  <c r="S57" i="75"/>
  <c r="AC57" i="75" s="1"/>
  <c r="AK76" i="75"/>
  <c r="AI24" i="75"/>
  <c r="AH24" i="75"/>
  <c r="AD51" i="75"/>
  <c r="AF10" i="75"/>
  <c r="AK10" i="75"/>
  <c r="AD10" i="75"/>
  <c r="AJ10" i="75"/>
  <c r="AK36" i="75"/>
  <c r="AI36" i="75"/>
  <c r="AH36" i="75"/>
  <c r="S54" i="75"/>
  <c r="AC54" i="75" s="1"/>
  <c r="AF54" i="75"/>
  <c r="AF61" i="75"/>
  <c r="AD78" i="75"/>
  <c r="AA92" i="75"/>
  <c r="AB92" i="75" s="1"/>
  <c r="AM92" i="75" s="1"/>
  <c r="AX10" i="75"/>
  <c r="AY10" i="75" s="1" a="1"/>
  <c r="AY10" i="75" s="1"/>
  <c r="BB10" i="75" s="1"/>
  <c r="AX26" i="75"/>
  <c r="AZ26" i="75" s="1"/>
  <c r="BB26" i="75" s="1"/>
  <c r="AK19" i="75"/>
  <c r="AK75" i="75"/>
  <c r="AA35" i="75"/>
  <c r="AE36" i="75"/>
  <c r="AE46" i="75"/>
  <c r="AE62" i="75"/>
  <c r="S40" i="75"/>
  <c r="AC40" i="75" s="1"/>
  <c r="AE21" i="75"/>
  <c r="AD56" i="75"/>
  <c r="AE59" i="75"/>
  <c r="AD35" i="75"/>
  <c r="AA8" i="75"/>
  <c r="AB8" i="75" s="1"/>
  <c r="AM8" i="75" s="1"/>
  <c r="AE23" i="75"/>
  <c r="AA40" i="75"/>
  <c r="AA44" i="75"/>
  <c r="AB44" i="75" s="1"/>
  <c r="AM44" i="75" s="1"/>
  <c r="AA45" i="75"/>
  <c r="AB45" i="75" s="1"/>
  <c r="AM45" i="75" s="1"/>
  <c r="AJ53" i="75"/>
  <c r="AK58" i="75"/>
  <c r="AH62" i="75"/>
  <c r="AD80" i="75"/>
  <c r="AE87" i="75"/>
  <c r="AA65" i="75"/>
  <c r="AB65" i="75" s="1"/>
  <c r="AM65" i="75" s="1"/>
  <c r="AI62" i="75"/>
  <c r="AX24" i="75"/>
  <c r="AZ24" i="75" s="1"/>
  <c r="BB24" i="75" s="1"/>
  <c r="AH23" i="75"/>
  <c r="AK42" i="75"/>
  <c r="AX9" i="75"/>
  <c r="AY9" i="75" s="1" a="1"/>
  <c r="AY9" i="75" s="1"/>
  <c r="BB9" i="75" s="1"/>
  <c r="AI75" i="75"/>
  <c r="AI30" i="75"/>
  <c r="AA32" i="75"/>
  <c r="AK54" i="75"/>
  <c r="AJ75" i="75"/>
  <c r="AD76" i="75"/>
  <c r="AI80" i="75"/>
  <c r="AY17" i="75" a="1"/>
  <c r="AY17" i="75" s="1"/>
  <c r="BB17" i="75" s="1"/>
  <c r="AI23" i="75"/>
  <c r="AF49" i="75"/>
  <c r="AJ23" i="75"/>
  <c r="AA14" i="75"/>
  <c r="AE20" i="75"/>
  <c r="AF45" i="75"/>
  <c r="AA48" i="75"/>
  <c r="AJ49" i="75"/>
  <c r="AE71" i="75"/>
  <c r="AE83" i="75"/>
  <c r="AK85" i="75"/>
  <c r="AY13" i="75" a="1"/>
  <c r="AY13" i="75" s="1"/>
  <c r="BB13" i="75" s="1"/>
  <c r="AF26" i="75"/>
  <c r="S26" i="75"/>
  <c r="AC26" i="75" s="1"/>
  <c r="AF30" i="75"/>
  <c r="AK30" i="75"/>
  <c r="S30" i="75"/>
  <c r="AC30" i="75" s="1"/>
  <c r="AF71" i="75"/>
  <c r="S71" i="75"/>
  <c r="AC71" i="75" s="1"/>
  <c r="S72" i="75"/>
  <c r="AC72" i="75" s="1"/>
  <c r="AF72" i="75"/>
  <c r="AF55" i="75"/>
  <c r="S55" i="75"/>
  <c r="AC55" i="75" s="1"/>
  <c r="AD34" i="75"/>
  <c r="AJ34" i="75"/>
  <c r="AK72" i="75"/>
  <c r="AI72" i="75"/>
  <c r="AH72" i="75"/>
  <c r="AI71" i="75"/>
  <c r="AH71" i="75"/>
  <c r="AK71" i="75"/>
  <c r="AY14" i="75" a="1"/>
  <c r="AY14" i="75" s="1"/>
  <c r="AK9" i="75"/>
  <c r="AF35" i="75"/>
  <c r="AK35" i="75"/>
  <c r="AJ64" i="75"/>
  <c r="AD64" i="75"/>
  <c r="S35" i="75"/>
  <c r="AC35" i="75" s="1"/>
  <c r="AD41" i="75"/>
  <c r="S53" i="75"/>
  <c r="AC53" i="75" s="1"/>
  <c r="AK53" i="75"/>
  <c r="AE84" i="75"/>
  <c r="AA84" i="75"/>
  <c r="AB84" i="75" s="1"/>
  <c r="AM84" i="75" s="1"/>
  <c r="S87" i="75"/>
  <c r="AC87" i="75" s="1"/>
  <c r="AD11" i="75"/>
  <c r="S14" i="75"/>
  <c r="AC14" i="75" s="1"/>
  <c r="AF14" i="75"/>
  <c r="AI16" i="75"/>
  <c r="AH16" i="75"/>
  <c r="AM16" i="75"/>
  <c r="S21" i="75"/>
  <c r="AC21" i="75" s="1"/>
  <c r="S28" i="75"/>
  <c r="AC28" i="75" s="1"/>
  <c r="AK28" i="75"/>
  <c r="AF28" i="75"/>
  <c r="AA30" i="75"/>
  <c r="AJ41" i="75"/>
  <c r="AJ50" i="75"/>
  <c r="AF50" i="75"/>
  <c r="AD50" i="75"/>
  <c r="AF90" i="75"/>
  <c r="AA56" i="75"/>
  <c r="AB56" i="75" s="1"/>
  <c r="AM56" i="75" s="1"/>
  <c r="AE56" i="75"/>
  <c r="AF12" i="75"/>
  <c r="AF68" i="75"/>
  <c r="S75" i="75"/>
  <c r="AC75" i="75" s="1"/>
  <c r="AF75" i="75"/>
  <c r="AD91" i="75"/>
  <c r="AJ91" i="75"/>
  <c r="AF5" i="75"/>
  <c r="AD5" i="75"/>
  <c r="AJ12" i="75"/>
  <c r="AD12" i="75"/>
  <c r="AD68" i="75"/>
  <c r="AJ68" i="75"/>
  <c r="AA9" i="75"/>
  <c r="AE9" i="75"/>
  <c r="AA12" i="75"/>
  <c r="AB12" i="75" s="1"/>
  <c r="AM12" i="75" s="1"/>
  <c r="AD31" i="75"/>
  <c r="AA41" i="75"/>
  <c r="AA11" i="75"/>
  <c r="AB11" i="75" s="1"/>
  <c r="AM11" i="75" s="1"/>
  <c r="AH26" i="75"/>
  <c r="AK26" i="75"/>
  <c r="AI26" i="75"/>
  <c r="AX11" i="75"/>
  <c r="AY11" i="75" s="1" a="1"/>
  <c r="AY11" i="75" s="1"/>
  <c r="AF33" i="75"/>
  <c r="S33" i="75"/>
  <c r="AC33" i="75" s="1"/>
  <c r="AK33" i="75"/>
  <c r="AE69" i="75"/>
  <c r="AA69" i="75"/>
  <c r="AB69" i="75" s="1"/>
  <c r="AM69" i="75" s="1"/>
  <c r="AH27" i="75"/>
  <c r="AK27" i="75"/>
  <c r="AI27" i="75"/>
  <c r="AF53" i="75"/>
  <c r="AD73" i="75"/>
  <c r="AJ73" i="75"/>
  <c r="AA87" i="75"/>
  <c r="AA20" i="75"/>
  <c r="AB20" i="75" s="1"/>
  <c r="AM20" i="75" s="1"/>
  <c r="AE34" i="75"/>
  <c r="AA34" i="75"/>
  <c r="AB34" i="75" s="1"/>
  <c r="AM34" i="75" s="1"/>
  <c r="AY15" i="75" a="1"/>
  <c r="AY15" i="75" s="1"/>
  <c r="AJ30" i="75"/>
  <c r="AD30" i="75"/>
  <c r="AF31" i="75"/>
  <c r="AD71" i="75"/>
  <c r="AJ71" i="75"/>
  <c r="S16" i="75"/>
  <c r="AC16" i="75" s="1"/>
  <c r="AA17" i="75"/>
  <c r="AB17" i="75" s="1"/>
  <c r="AM17" i="75" s="1"/>
  <c r="AE17" i="75"/>
  <c r="AI59" i="75"/>
  <c r="AH59" i="75"/>
  <c r="AK59" i="75"/>
  <c r="AE15" i="75"/>
  <c r="AA15" i="75"/>
  <c r="AB15" i="75" s="1"/>
  <c r="AM15" i="75" s="1"/>
  <c r="S27" i="75"/>
  <c r="AC27" i="75" s="1"/>
  <c r="AF27" i="75"/>
  <c r="AI34" i="75"/>
  <c r="AH34" i="75"/>
  <c r="AK34" i="75"/>
  <c r="AB59" i="75"/>
  <c r="AM59" i="75" s="1"/>
  <c r="AF59" i="75"/>
  <c r="AK63" i="75"/>
  <c r="AI63" i="75"/>
  <c r="AH63" i="75"/>
  <c r="AD83" i="75"/>
  <c r="AJ83" i="75"/>
  <c r="AA86" i="75"/>
  <c r="AB86" i="75" s="1"/>
  <c r="AM86" i="75" s="1"/>
  <c r="AE86" i="75"/>
  <c r="AI9" i="75"/>
  <c r="AH9" i="75"/>
  <c r="AJ52" i="75"/>
  <c r="AD52" i="75"/>
  <c r="AF88" i="75"/>
  <c r="AK88" i="75"/>
  <c r="S88" i="75"/>
  <c r="AC88" i="75" s="1"/>
  <c r="AF9" i="75"/>
  <c r="S9" i="75"/>
  <c r="AC9" i="75" s="1"/>
  <c r="AC51" i="75"/>
  <c r="AE91" i="75"/>
  <c r="AA91" i="75"/>
  <c r="AE55" i="75"/>
  <c r="AA55" i="75"/>
  <c r="AK64" i="75"/>
  <c r="AI64" i="75"/>
  <c r="AH64" i="75"/>
  <c r="AX12" i="75"/>
  <c r="AY12" i="75" s="1" a="1"/>
  <c r="AY12" i="75" s="1"/>
  <c r="AD17" i="75"/>
  <c r="AJ17" i="75"/>
  <c r="AF17" i="75"/>
  <c r="AK6" i="75"/>
  <c r="AX8" i="75"/>
  <c r="AY16" i="75" a="1"/>
  <c r="AY16" i="75" s="1"/>
  <c r="K2" i="75"/>
  <c r="AF21" i="75"/>
  <c r="AD48" i="75"/>
  <c r="AJ48" i="75"/>
  <c r="AF48" i="75"/>
  <c r="AE31" i="75"/>
  <c r="AA31" i="75"/>
  <c r="AB31" i="75" s="1"/>
  <c r="AM31" i="75" s="1"/>
  <c r="AE5" i="75"/>
  <c r="AA5" i="75"/>
  <c r="AD9" i="75"/>
  <c r="AJ9" i="75"/>
  <c r="AJ55" i="75"/>
  <c r="AD55" i="75"/>
  <c r="AI86" i="75"/>
  <c r="AK86" i="75"/>
  <c r="AH86" i="75"/>
  <c r="S6" i="75"/>
  <c r="AC6" i="75" s="1"/>
  <c r="AF34" i="75"/>
  <c r="AF52" i="75"/>
  <c r="AK52" i="75"/>
  <c r="AD59" i="75"/>
  <c r="AJ59" i="75"/>
  <c r="AE52" i="75"/>
  <c r="AA52" i="75"/>
  <c r="AB52" i="75" s="1"/>
  <c r="AM52" i="75" s="1"/>
  <c r="S23" i="75"/>
  <c r="AC23" i="75" s="1"/>
  <c r="AK24" i="75"/>
  <c r="AF24" i="75"/>
  <c r="AK21" i="75"/>
  <c r="AI21" i="75"/>
  <c r="AH21" i="75"/>
  <c r="AJ22" i="75"/>
  <c r="AD22" i="75"/>
  <c r="AJ66" i="75"/>
  <c r="AD66" i="75"/>
  <c r="AA85" i="75"/>
  <c r="AE85" i="75"/>
  <c r="AF63" i="75"/>
  <c r="AE72" i="75"/>
  <c r="AA72" i="75"/>
  <c r="AJ63" i="75"/>
  <c r="AD63" i="75"/>
  <c r="AA76" i="75"/>
  <c r="AF18" i="75"/>
  <c r="S18" i="75"/>
  <c r="AC18" i="75" s="1"/>
  <c r="AE22" i="75"/>
  <c r="AA22" i="75"/>
  <c r="AA33" i="75"/>
  <c r="AA47" i="75"/>
  <c r="AE50" i="75"/>
  <c r="AI70" i="75"/>
  <c r="AK70" i="75"/>
  <c r="AH70" i="75"/>
  <c r="AK73" i="75"/>
  <c r="S74" i="75"/>
  <c r="AC74" i="75" s="1"/>
  <c r="AF80" i="75"/>
  <c r="S80" i="75"/>
  <c r="AC80" i="75" s="1"/>
  <c r="AK32" i="75"/>
  <c r="AI32" i="75"/>
  <c r="AH32" i="75"/>
  <c r="AE48" i="75"/>
  <c r="AA51" i="75"/>
  <c r="AB51" i="75" s="1"/>
  <c r="AM51" i="75" s="1"/>
  <c r="AA63" i="75"/>
  <c r="AB63" i="75" s="1"/>
  <c r="AM63" i="75" s="1"/>
  <c r="AE63" i="75"/>
  <c r="AF66" i="75"/>
  <c r="AA71" i="75"/>
  <c r="AA81" i="75"/>
  <c r="AE81" i="75"/>
  <c r="AX25" i="75"/>
  <c r="AZ25" i="75" s="1"/>
  <c r="BB25" i="75" s="1"/>
  <c r="AX27" i="75"/>
  <c r="AZ27" i="75" s="1"/>
  <c r="BB27" i="75" s="1"/>
  <c r="AI11" i="75"/>
  <c r="AH11" i="75"/>
  <c r="AD26" i="75"/>
  <c r="AK31" i="75"/>
  <c r="AI31" i="75"/>
  <c r="AH31" i="75"/>
  <c r="AF62" i="75"/>
  <c r="S62" i="75"/>
  <c r="AC62" i="75" s="1"/>
  <c r="AF65" i="75"/>
  <c r="AH68" i="75"/>
  <c r="AI68" i="75"/>
  <c r="S70" i="75"/>
  <c r="AC70" i="75" s="1"/>
  <c r="AF70" i="75"/>
  <c r="AF84" i="75"/>
  <c r="AK91" i="75"/>
  <c r="AF85" i="75"/>
  <c r="AJ33" i="75"/>
  <c r="AD33" i="75"/>
  <c r="S39" i="75"/>
  <c r="AC39" i="75" s="1"/>
  <c r="AF43" i="75"/>
  <c r="S43" i="75"/>
  <c r="AC43" i="75" s="1"/>
  <c r="S46" i="75"/>
  <c r="AC46" i="75" s="1"/>
  <c r="AI58" i="75"/>
  <c r="AH58" i="75"/>
  <c r="AF81" i="75"/>
  <c r="AD81" i="75"/>
  <c r="S85" i="75"/>
  <c r="AC85" i="75" s="1"/>
  <c r="S22" i="75"/>
  <c r="AC22" i="75" s="1"/>
  <c r="S24" i="75"/>
  <c r="AC24" i="75" s="1"/>
  <c r="AA26" i="75"/>
  <c r="S32" i="75"/>
  <c r="AC32" i="75" s="1"/>
  <c r="AF32" i="75"/>
  <c r="AF58" i="75"/>
  <c r="S58" i="75"/>
  <c r="AC58" i="75" s="1"/>
  <c r="S89" i="75"/>
  <c r="AC89" i="75" s="1"/>
  <c r="AK89" i="75"/>
  <c r="AF89" i="75"/>
  <c r="S10" i="75"/>
  <c r="AD6" i="75"/>
  <c r="AE7" i="75"/>
  <c r="AF11" i="75"/>
  <c r="AH20" i="75"/>
  <c r="AK20" i="75"/>
  <c r="AI20" i="75"/>
  <c r="AD21" i="75"/>
  <c r="AJ21" i="75"/>
  <c r="AF22" i="75"/>
  <c r="AF41" i="75"/>
  <c r="AK41" i="75"/>
  <c r="AD65" i="75"/>
  <c r="AJ65" i="75"/>
  <c r="AJ70" i="75"/>
  <c r="AD70" i="75"/>
  <c r="AF91" i="75"/>
  <c r="AF15" i="75"/>
  <c r="AF20" i="75"/>
  <c r="AF23" i="75"/>
  <c r="S41" i="75"/>
  <c r="AC41" i="75" s="1"/>
  <c r="AE42" i="75"/>
  <c r="AA42" i="75"/>
  <c r="AB42" i="75" s="1"/>
  <c r="AM42" i="75" s="1"/>
  <c r="AD46" i="75"/>
  <c r="AE65" i="75"/>
  <c r="AE70" i="75"/>
  <c r="AA70" i="75"/>
  <c r="S73" i="75"/>
  <c r="AC73" i="75" s="1"/>
  <c r="AJ84" i="75"/>
  <c r="AD84" i="75"/>
  <c r="S91" i="75"/>
  <c r="AC91" i="75" s="1"/>
  <c r="AK37" i="75"/>
  <c r="AH67" i="75"/>
  <c r="AK67" i="75"/>
  <c r="AI67" i="75"/>
  <c r="S38" i="75"/>
  <c r="AD62" i="75"/>
  <c r="AJ62" i="75"/>
  <c r="AF67" i="75"/>
  <c r="AI79" i="75"/>
  <c r="AH79" i="75"/>
  <c r="AK79" i="75"/>
  <c r="AI90" i="75"/>
  <c r="AK90" i="75"/>
  <c r="AH90" i="75"/>
  <c r="AI12" i="75"/>
  <c r="AD67" i="75"/>
  <c r="AJ67" i="75"/>
  <c r="AA83" i="75"/>
  <c r="AB83" i="75" s="1"/>
  <c r="AM83" i="75" s="1"/>
  <c r="AI93" i="75"/>
  <c r="AH93" i="75"/>
  <c r="AE58" i="75"/>
  <c r="AA58" i="75"/>
  <c r="AD93" i="75"/>
  <c r="AJ93" i="75"/>
  <c r="AI41" i="75"/>
  <c r="AH41" i="75"/>
  <c r="AI56" i="75"/>
  <c r="AH56" i="75"/>
  <c r="AA62" i="75"/>
  <c r="AI66" i="75"/>
  <c r="AH66" i="75"/>
  <c r="AJ90" i="75"/>
  <c r="AD90" i="75"/>
  <c r="AA23" i="75"/>
  <c r="AA38" i="75"/>
  <c r="AF47" i="75"/>
  <c r="S48" i="75"/>
  <c r="AC48" i="75" s="1"/>
  <c r="AK55" i="75"/>
  <c r="AF56" i="75"/>
  <c r="AF57" i="75"/>
  <c r="AD57" i="75"/>
  <c r="AJ58" i="75"/>
  <c r="AA67" i="75"/>
  <c r="AB67" i="75" s="1"/>
  <c r="AM67" i="75" s="1"/>
  <c r="AB79" i="75"/>
  <c r="AM79" i="75" s="1"/>
  <c r="AA90" i="75"/>
  <c r="AB90" i="75" s="1"/>
  <c r="AM90" i="75" s="1"/>
  <c r="AE90" i="75"/>
  <c r="AK61" i="75"/>
  <c r="AH37" i="75"/>
  <c r="AK45" i="75"/>
  <c r="AH76" i="75"/>
  <c r="AI76" i="75"/>
  <c r="AI37" i="75"/>
  <c r="AA53" i="75"/>
  <c r="AK83" i="75"/>
  <c r="AI83" i="75"/>
  <c r="AH83" i="75"/>
  <c r="S81" i="75"/>
  <c r="AC81" i="75" s="1"/>
  <c r="AK78" i="75"/>
  <c r="AK87" i="75"/>
  <c r="AK65" i="75"/>
  <c r="AD87" i="75"/>
  <c r="AJ87" i="75"/>
  <c r="AI91" i="75"/>
  <c r="AH91" i="75"/>
  <c r="AH87" i="75"/>
  <c r="AI87" i="75"/>
  <c r="AG7" i="75" l="1"/>
  <c r="AG44" i="75"/>
  <c r="AG20" i="75"/>
  <c r="AG49" i="75"/>
  <c r="AG82" i="75"/>
  <c r="AG64" i="75"/>
  <c r="AG40" i="75"/>
  <c r="AG79" i="75"/>
  <c r="AG8" i="75"/>
  <c r="AB76" i="75"/>
  <c r="AM76" i="75" s="1"/>
  <c r="AG92" i="75"/>
  <c r="AB87" i="75"/>
  <c r="AM87" i="75" s="1"/>
  <c r="AB70" i="75"/>
  <c r="AM70" i="75" s="1"/>
  <c r="AG37" i="75"/>
  <c r="AG19" i="75"/>
  <c r="AG42" i="75"/>
  <c r="AG47" i="75"/>
  <c r="AB73" i="75"/>
  <c r="AM73" i="75" s="1"/>
  <c r="AG16" i="75"/>
  <c r="AB40" i="75"/>
  <c r="AM40" i="75" s="1"/>
  <c r="AG86" i="75"/>
  <c r="AG51" i="75"/>
  <c r="AG69" i="75"/>
  <c r="AG12" i="75"/>
  <c r="AG83" i="75"/>
  <c r="AG90" i="75"/>
  <c r="AG61" i="75"/>
  <c r="AB77" i="75"/>
  <c r="AM77" i="75" s="1"/>
  <c r="AG76" i="75"/>
  <c r="AG67" i="75"/>
  <c r="AB80" i="75"/>
  <c r="AM80" i="75" s="1"/>
  <c r="AG17" i="75"/>
  <c r="AG60" i="75"/>
  <c r="AB48" i="75"/>
  <c r="AM48" i="75" s="1"/>
  <c r="AG80" i="75"/>
  <c r="AG52" i="75"/>
  <c r="AB37" i="75"/>
  <c r="AM37" i="75" s="1"/>
  <c r="AG13" i="75"/>
  <c r="AB47" i="75"/>
  <c r="AM47" i="75" s="1"/>
  <c r="BC10" i="75"/>
  <c r="BB21" i="75"/>
  <c r="AB36" i="75"/>
  <c r="AM36" i="75" s="1"/>
  <c r="BA14" i="75" a="1"/>
  <c r="BA14" i="75" s="1"/>
  <c r="AZ14" i="75" s="1"/>
  <c r="AG18" i="75"/>
  <c r="AB22" i="75"/>
  <c r="AM22" i="75" s="1"/>
  <c r="AG5" i="75"/>
  <c r="AB81" i="75"/>
  <c r="AM81" i="75" s="1"/>
  <c r="AG74" i="75"/>
  <c r="AB9" i="75"/>
  <c r="AM9" i="75" s="1"/>
  <c r="AG56" i="75"/>
  <c r="AG23" i="75"/>
  <c r="AG57" i="75"/>
  <c r="AG39" i="75"/>
  <c r="AG45" i="75"/>
  <c r="AG78" i="75"/>
  <c r="AG15" i="75"/>
  <c r="AG88" i="75"/>
  <c r="AB41" i="75"/>
  <c r="AM41" i="75" s="1"/>
  <c r="AG53" i="75"/>
  <c r="AB58" i="75"/>
  <c r="AM58" i="75" s="1"/>
  <c r="AG77" i="75"/>
  <c r="AB57" i="75"/>
  <c r="AM57" i="75" s="1"/>
  <c r="BC12" i="75"/>
  <c r="AG36" i="75"/>
  <c r="AB62" i="75"/>
  <c r="AM62" i="75" s="1"/>
  <c r="AG24" i="75"/>
  <c r="AB78" i="75"/>
  <c r="AM78" i="75" s="1"/>
  <c r="AB60" i="75"/>
  <c r="AM60" i="75" s="1"/>
  <c r="AG65" i="75"/>
  <c r="AG84" i="75"/>
  <c r="AG30" i="75"/>
  <c r="AB75" i="75"/>
  <c r="AM75" i="75" s="1"/>
  <c r="AG54" i="75"/>
  <c r="AB93" i="75"/>
  <c r="AM93" i="75" s="1"/>
  <c r="AG89" i="75"/>
  <c r="AB54" i="75"/>
  <c r="AM54" i="75" s="1"/>
  <c r="BA10" i="75" a="1"/>
  <c r="BA10" i="75" s="1"/>
  <c r="AZ10" i="75" s="1"/>
  <c r="AG34" i="75"/>
  <c r="AK3" i="75"/>
  <c r="AG93" i="75"/>
  <c r="AB89" i="75"/>
  <c r="AM89" i="75" s="1"/>
  <c r="AG22" i="75"/>
  <c r="AG66" i="75"/>
  <c r="AG31" i="75"/>
  <c r="AB46" i="75"/>
  <c r="AM46" i="75" s="1"/>
  <c r="AG59" i="75"/>
  <c r="AG50" i="75"/>
  <c r="AG11" i="75"/>
  <c r="BA16" i="75" a="1"/>
  <c r="BA16" i="75" s="1"/>
  <c r="AZ16" i="75" s="1"/>
  <c r="BC9" i="75"/>
  <c r="P2" i="75"/>
  <c r="BC11" i="75"/>
  <c r="AB74" i="75"/>
  <c r="AM74" i="75" s="1"/>
  <c r="AB88" i="75"/>
  <c r="AM88" i="75" s="1"/>
  <c r="AG73" i="75"/>
  <c r="AI3" i="75"/>
  <c r="E1" i="75" s="1"/>
  <c r="AG72" i="75"/>
  <c r="AB39" i="75"/>
  <c r="AM39" i="75" s="1"/>
  <c r="AB23" i="75"/>
  <c r="AM23" i="75" s="1"/>
  <c r="BB12" i="75"/>
  <c r="AG33" i="75"/>
  <c r="AB53" i="75"/>
  <c r="AM53" i="75" s="1"/>
  <c r="BB11" i="75"/>
  <c r="AG21" i="75"/>
  <c r="AB71" i="75"/>
  <c r="AM71" i="75" s="1"/>
  <c r="AG26" i="75"/>
  <c r="AG48" i="75"/>
  <c r="AC38" i="75"/>
  <c r="AG38" i="75" s="1"/>
  <c r="AB38" i="75"/>
  <c r="AM38" i="75" s="1"/>
  <c r="AB24" i="75"/>
  <c r="AM24" i="75" s="1"/>
  <c r="AG62" i="75"/>
  <c r="AH3" i="75"/>
  <c r="E2" i="75" s="1"/>
  <c r="AB21" i="75"/>
  <c r="AM21" i="75" s="1"/>
  <c r="AB26" i="75"/>
  <c r="AM26" i="75" s="1"/>
  <c r="BA17" i="75" a="1"/>
  <c r="BA17" i="75" s="1"/>
  <c r="AZ17" i="75" s="1"/>
  <c r="AG14" i="75"/>
  <c r="BA8" i="75" a="1"/>
  <c r="BA8" i="75" s="1"/>
  <c r="AC10" i="75"/>
  <c r="AG10" i="75" s="1"/>
  <c r="AB10" i="75"/>
  <c r="AM10" i="75" s="1"/>
  <c r="AB30" i="75"/>
  <c r="AM30" i="75" s="1"/>
  <c r="AG70" i="75"/>
  <c r="BC8" i="75"/>
  <c r="AG85" i="75"/>
  <c r="AG9" i="75"/>
  <c r="AG41" i="75"/>
  <c r="R2" i="75"/>
  <c r="AG28" i="75"/>
  <c r="AG35" i="75"/>
  <c r="AG71" i="75"/>
  <c r="AB32" i="75"/>
  <c r="AM32" i="75" s="1"/>
  <c r="AB18" i="75"/>
  <c r="AM18" i="75" s="1"/>
  <c r="AG63" i="75"/>
  <c r="Q2" i="75"/>
  <c r="G2" i="75" s="1"/>
  <c r="AB91" i="75"/>
  <c r="AM91" i="75" s="1"/>
  <c r="BA11" i="75" a="1"/>
  <c r="BA11" i="75" s="1"/>
  <c r="AZ11" i="75" s="1"/>
  <c r="AB55" i="75"/>
  <c r="AM55" i="75" s="1"/>
  <c r="AG27" i="75"/>
  <c r="BB16" i="75"/>
  <c r="AG6" i="75"/>
  <c r="AB85" i="75"/>
  <c r="AM85" i="75" s="1"/>
  <c r="AB6" i="75"/>
  <c r="AM6" i="75" s="1"/>
  <c r="BA13" i="75" a="1"/>
  <c r="BA13" i="75" s="1"/>
  <c r="AZ13" i="75" s="1"/>
  <c r="BA12" i="75" a="1"/>
  <c r="BA12" i="75" s="1"/>
  <c r="AZ12" i="75" s="1"/>
  <c r="AG68" i="75"/>
  <c r="AG55" i="75"/>
  <c r="AG32" i="75"/>
  <c r="AB27" i="75"/>
  <c r="AM27" i="75" s="1"/>
  <c r="BB15" i="75"/>
  <c r="AB33" i="75"/>
  <c r="AM33" i="75" s="1"/>
  <c r="AG91" i="75"/>
  <c r="AG46" i="75"/>
  <c r="AG43" i="75"/>
  <c r="BA15" i="75" a="1"/>
  <c r="BA15" i="75" s="1"/>
  <c r="AZ15" i="75" s="1"/>
  <c r="AG75" i="75"/>
  <c r="BB14" i="75"/>
  <c r="L2" i="75"/>
  <c r="AJ3" i="75"/>
  <c r="L33" i="12" s="1"/>
  <c r="AY8" i="75" a="1"/>
  <c r="AY8" i="75" s="1"/>
  <c r="BE8" i="75"/>
  <c r="BE9" i="75" s="1"/>
  <c r="BE10" i="75" s="1"/>
  <c r="BE11" i="75" s="1"/>
  <c r="BE12" i="75" s="1"/>
  <c r="BE13" i="75" s="1"/>
  <c r="BE14" i="75" s="1"/>
  <c r="BE15" i="75" s="1"/>
  <c r="BE16" i="75" s="1"/>
  <c r="BE17" i="75" s="1"/>
  <c r="AX6" i="75"/>
  <c r="BA9" i="75" a="1"/>
  <c r="BA9" i="75" s="1"/>
  <c r="AZ9" i="75" s="1"/>
  <c r="AG81" i="75"/>
  <c r="AG58" i="75"/>
  <c r="AB43" i="75"/>
  <c r="AM43" i="75" s="1"/>
  <c r="AB14" i="75"/>
  <c r="AM14" i="75" s="1"/>
  <c r="AG87" i="75"/>
  <c r="AB35" i="75"/>
  <c r="AM35" i="75" s="1"/>
  <c r="AB72" i="75"/>
  <c r="AM72" i="75" s="1"/>
  <c r="BC6" i="75" l="1"/>
  <c r="BD23" i="75" s="1"/>
  <c r="AG2" i="75"/>
  <c r="K33" i="12" s="1"/>
  <c r="M33" i="12" s="1"/>
  <c r="BA6" i="75"/>
  <c r="AZ8" i="75"/>
  <c r="BB8" i="75"/>
  <c r="BD8" i="75" s="1"/>
  <c r="AY6" i="75"/>
  <c r="AM3" i="75"/>
  <c r="G1" i="75" s="1"/>
  <c r="BD28" i="75" l="1"/>
  <c r="BD9" i="75"/>
  <c r="BD10" i="75" s="1"/>
  <c r="BD11" i="75" s="1"/>
  <c r="BD12" i="75" s="1"/>
  <c r="BD13" i="75" s="1"/>
  <c r="BD14" i="75" s="1"/>
  <c r="BD15" i="75" s="1"/>
  <c r="BD16" i="75" s="1"/>
  <c r="BD17" i="75" s="1"/>
  <c r="BB6" i="75"/>
  <c r="AW33" i="74" l="1"/>
  <c r="AY33" i="74" s="1"/>
  <c r="BA33" i="74" s="1"/>
  <c r="AW32" i="74"/>
  <c r="AY32" i="74" s="1"/>
  <c r="BA32" i="74" s="1"/>
  <c r="AW31" i="74"/>
  <c r="AY31" i="74" s="1"/>
  <c r="BA31" i="74" s="1"/>
  <c r="AW30" i="74"/>
  <c r="AY30" i="74" s="1"/>
  <c r="BA30" i="74" s="1"/>
  <c r="AW29" i="74"/>
  <c r="AY29" i="74" s="1"/>
  <c r="BA29" i="74" s="1"/>
  <c r="BB18" i="74"/>
  <c r="AW18" i="74"/>
  <c r="BB17" i="74"/>
  <c r="AW17" i="74"/>
  <c r="BB16" i="74"/>
  <c r="AW16" i="74"/>
  <c r="BB15" i="74"/>
  <c r="AW15" i="74"/>
  <c r="BB14" i="74"/>
  <c r="AW14" i="74"/>
  <c r="AJ48" i="74"/>
  <c r="AJ54" i="74"/>
  <c r="AJ55" i="74"/>
  <c r="AJ56" i="74"/>
  <c r="AJ57" i="74"/>
  <c r="AC27" i="74"/>
  <c r="AC28" i="74"/>
  <c r="AC29" i="74"/>
  <c r="AD48" i="74"/>
  <c r="AE50" i="74"/>
  <c r="AD54" i="74"/>
  <c r="AD55" i="74"/>
  <c r="AD56" i="74"/>
  <c r="AD57" i="74"/>
  <c r="AC62" i="74"/>
  <c r="AC98" i="74"/>
  <c r="AC100" i="74"/>
  <c r="AC102" i="74"/>
  <c r="AN104" i="74"/>
  <c r="Z104" i="74"/>
  <c r="Y104" i="74"/>
  <c r="U104" i="74"/>
  <c r="AJ104" i="74" s="1"/>
  <c r="N104" i="74"/>
  <c r="O104" i="74" s="1"/>
  <c r="K104" i="74"/>
  <c r="AI104" i="74" s="1"/>
  <c r="E104" i="74"/>
  <c r="AN103" i="74"/>
  <c r="Z103" i="74"/>
  <c r="Y103" i="74"/>
  <c r="U103" i="74"/>
  <c r="AJ103" i="74" s="1"/>
  <c r="N103" i="74"/>
  <c r="O103" i="74" s="1"/>
  <c r="K103" i="74"/>
  <c r="AI103" i="74" s="1"/>
  <c r="E103" i="74"/>
  <c r="AN102" i="74"/>
  <c r="Z102" i="74"/>
  <c r="Y102" i="74"/>
  <c r="U102" i="74"/>
  <c r="AJ102" i="74" s="1"/>
  <c r="N102" i="74"/>
  <c r="O102" i="74" s="1"/>
  <c r="K102" i="74"/>
  <c r="AI102" i="74" s="1"/>
  <c r="E102" i="74"/>
  <c r="AN101" i="74"/>
  <c r="Z101" i="74"/>
  <c r="Y101" i="74"/>
  <c r="U101" i="74"/>
  <c r="AJ101" i="74" s="1"/>
  <c r="N101" i="74"/>
  <c r="O101" i="74" s="1"/>
  <c r="K101" i="74"/>
  <c r="AI101" i="74" s="1"/>
  <c r="E101" i="74"/>
  <c r="AN100" i="74"/>
  <c r="Z100" i="74"/>
  <c r="Y100" i="74"/>
  <c r="U100" i="74"/>
  <c r="AJ100" i="74" s="1"/>
  <c r="N100" i="74"/>
  <c r="O100" i="74" s="1"/>
  <c r="K100" i="74"/>
  <c r="AI100" i="74" s="1"/>
  <c r="E100" i="74"/>
  <c r="AN99" i="74"/>
  <c r="Z99" i="74"/>
  <c r="Y99" i="74"/>
  <c r="U99" i="74"/>
  <c r="AJ99" i="74" s="1"/>
  <c r="N99" i="74"/>
  <c r="O99" i="74" s="1"/>
  <c r="K99" i="74"/>
  <c r="AI99" i="74" s="1"/>
  <c r="E99" i="74"/>
  <c r="AN98" i="74"/>
  <c r="Z98" i="74"/>
  <c r="Y98" i="74"/>
  <c r="U98" i="74"/>
  <c r="AJ98" i="74" s="1"/>
  <c r="N98" i="74"/>
  <c r="O98" i="74" s="1"/>
  <c r="K98" i="74"/>
  <c r="AI98" i="74" s="1"/>
  <c r="E98" i="74"/>
  <c r="AN97" i="74"/>
  <c r="Z97" i="74"/>
  <c r="Y97" i="74"/>
  <c r="U97" i="74"/>
  <c r="AJ97" i="74" s="1"/>
  <c r="O97" i="74"/>
  <c r="S97" i="74" s="1"/>
  <c r="AC97" i="74" s="1"/>
  <c r="K97" i="74"/>
  <c r="AI97" i="74" s="1"/>
  <c r="E97" i="74"/>
  <c r="AN96" i="74"/>
  <c r="Z96" i="74"/>
  <c r="Y96" i="74"/>
  <c r="U96" i="74"/>
  <c r="AJ96" i="74" s="1"/>
  <c r="N96" i="74"/>
  <c r="O96" i="74" s="1"/>
  <c r="K96" i="74"/>
  <c r="E96" i="74"/>
  <c r="AN95" i="74"/>
  <c r="Z95" i="74"/>
  <c r="Y95" i="74"/>
  <c r="U95" i="74"/>
  <c r="AJ95" i="74" s="1"/>
  <c r="N95" i="74"/>
  <c r="O95" i="74" s="1"/>
  <c r="K95" i="74"/>
  <c r="AI95" i="74" s="1"/>
  <c r="E95" i="74"/>
  <c r="AN94" i="74"/>
  <c r="Z94" i="74"/>
  <c r="Y94" i="74"/>
  <c r="U94" i="74"/>
  <c r="AD94" i="74" s="1"/>
  <c r="N94" i="74"/>
  <c r="O94" i="74" s="1"/>
  <c r="S94" i="74" s="1"/>
  <c r="AC94" i="74" s="1"/>
  <c r="K94" i="74"/>
  <c r="AI94" i="74" s="1"/>
  <c r="E94" i="74"/>
  <c r="AN93" i="74"/>
  <c r="Z93" i="74"/>
  <c r="Y93" i="74"/>
  <c r="U93" i="74"/>
  <c r="AJ93" i="74" s="1"/>
  <c r="N93" i="74"/>
  <c r="O93" i="74" s="1"/>
  <c r="K93" i="74"/>
  <c r="AI93" i="74" s="1"/>
  <c r="E93" i="74"/>
  <c r="AN92" i="74"/>
  <c r="Z92" i="74"/>
  <c r="Y92" i="74"/>
  <c r="U92" i="74"/>
  <c r="AD92" i="74" s="1"/>
  <c r="N92" i="74"/>
  <c r="O92" i="74" s="1"/>
  <c r="K92" i="74"/>
  <c r="AI92" i="74" s="1"/>
  <c r="E92" i="74"/>
  <c r="AN91" i="74"/>
  <c r="Z91" i="74"/>
  <c r="Y91" i="74"/>
  <c r="U91" i="74"/>
  <c r="AJ91" i="74" s="1"/>
  <c r="N91" i="74"/>
  <c r="O91" i="74" s="1"/>
  <c r="S91" i="74" s="1"/>
  <c r="AC91" i="74" s="1"/>
  <c r="K91" i="74"/>
  <c r="AI91" i="74" s="1"/>
  <c r="E91" i="74"/>
  <c r="AN90" i="74"/>
  <c r="Z90" i="74"/>
  <c r="Y90" i="74"/>
  <c r="U90" i="74"/>
  <c r="AJ90" i="74" s="1"/>
  <c r="N90" i="74"/>
  <c r="O90" i="74" s="1"/>
  <c r="K90" i="74"/>
  <c r="AI90" i="74" s="1"/>
  <c r="E90" i="74"/>
  <c r="AN89" i="74"/>
  <c r="Z89" i="74"/>
  <c r="Y89" i="74"/>
  <c r="U89" i="74"/>
  <c r="AJ89" i="74" s="1"/>
  <c r="N89" i="74"/>
  <c r="O89" i="74" s="1"/>
  <c r="K89" i="74"/>
  <c r="AI89" i="74" s="1"/>
  <c r="E89" i="74"/>
  <c r="AN88" i="74"/>
  <c r="Z88" i="74"/>
  <c r="Y88" i="74"/>
  <c r="U88" i="74"/>
  <c r="AJ88" i="74" s="1"/>
  <c r="N88" i="74"/>
  <c r="O88" i="74" s="1"/>
  <c r="K88" i="74"/>
  <c r="AI88" i="74" s="1"/>
  <c r="E88" i="74"/>
  <c r="AN87" i="74"/>
  <c r="Z87" i="74"/>
  <c r="Y87" i="74"/>
  <c r="U87" i="74"/>
  <c r="N87" i="74"/>
  <c r="O87" i="74" s="1"/>
  <c r="K87" i="74"/>
  <c r="AI87" i="74" s="1"/>
  <c r="E87" i="74"/>
  <c r="AN86" i="74"/>
  <c r="Z86" i="74"/>
  <c r="Y86" i="74"/>
  <c r="U86" i="74"/>
  <c r="AJ86" i="74" s="1"/>
  <c r="N86" i="74"/>
  <c r="O86" i="74" s="1"/>
  <c r="K86" i="74"/>
  <c r="AI86" i="74" s="1"/>
  <c r="E86" i="74"/>
  <c r="AN85" i="74"/>
  <c r="Z85" i="74"/>
  <c r="Y85" i="74"/>
  <c r="U85" i="74"/>
  <c r="AJ85" i="74" s="1"/>
  <c r="N85" i="74"/>
  <c r="O85" i="74" s="1"/>
  <c r="K85" i="74"/>
  <c r="AI85" i="74" s="1"/>
  <c r="E85" i="74"/>
  <c r="AN84" i="74"/>
  <c r="Z84" i="74"/>
  <c r="Y84" i="74"/>
  <c r="U84" i="74"/>
  <c r="AJ84" i="74" s="1"/>
  <c r="N84" i="74"/>
  <c r="O84" i="74" s="1"/>
  <c r="K84" i="74"/>
  <c r="AI84" i="74" s="1"/>
  <c r="E84" i="74"/>
  <c r="AN83" i="74"/>
  <c r="Z83" i="74"/>
  <c r="Y83" i="74"/>
  <c r="U83" i="74"/>
  <c r="AJ83" i="74" s="1"/>
  <c r="O83" i="74"/>
  <c r="K83" i="74"/>
  <c r="AI83" i="74" s="1"/>
  <c r="E83" i="74"/>
  <c r="AN82" i="74"/>
  <c r="Z82" i="74"/>
  <c r="Y82" i="74"/>
  <c r="U82" i="74"/>
  <c r="AJ82" i="74" s="1"/>
  <c r="O82" i="74"/>
  <c r="K82" i="74"/>
  <c r="AI82" i="74" s="1"/>
  <c r="E82" i="74"/>
  <c r="AN81" i="74"/>
  <c r="Z81" i="74"/>
  <c r="Y81" i="74"/>
  <c r="U81" i="74"/>
  <c r="AJ81" i="74" s="1"/>
  <c r="N81" i="74"/>
  <c r="O81" i="74" s="1"/>
  <c r="S81" i="74" s="1"/>
  <c r="AC81" i="74" s="1"/>
  <c r="K81" i="74"/>
  <c r="AI81" i="74" s="1"/>
  <c r="E81" i="74"/>
  <c r="AN80" i="74"/>
  <c r="Z80" i="74"/>
  <c r="Y80" i="74"/>
  <c r="U80" i="74"/>
  <c r="AJ80" i="74" s="1"/>
  <c r="N80" i="74"/>
  <c r="O80" i="74" s="1"/>
  <c r="K80" i="74"/>
  <c r="AI80" i="74" s="1"/>
  <c r="E80" i="74"/>
  <c r="AN79" i="74"/>
  <c r="Z79" i="74"/>
  <c r="Y79" i="74"/>
  <c r="U79" i="74"/>
  <c r="AJ79" i="74" s="1"/>
  <c r="N79" i="74"/>
  <c r="O79" i="74" s="1"/>
  <c r="K79" i="74"/>
  <c r="AI79" i="74" s="1"/>
  <c r="E79" i="74"/>
  <c r="AN78" i="74"/>
  <c r="Z78" i="74"/>
  <c r="Y78" i="74"/>
  <c r="U78" i="74"/>
  <c r="AJ78" i="74" s="1"/>
  <c r="N78" i="74"/>
  <c r="O78" i="74" s="1"/>
  <c r="S78" i="74" s="1"/>
  <c r="AC78" i="74" s="1"/>
  <c r="K78" i="74"/>
  <c r="E78" i="74"/>
  <c r="AN77" i="74"/>
  <c r="Z77" i="74"/>
  <c r="Y77" i="74"/>
  <c r="U77" i="74"/>
  <c r="AJ77" i="74" s="1"/>
  <c r="O77" i="74"/>
  <c r="K77" i="74"/>
  <c r="AI77" i="74" s="1"/>
  <c r="E77" i="74"/>
  <c r="AN76" i="74"/>
  <c r="Z76" i="74"/>
  <c r="Y76" i="74"/>
  <c r="U76" i="74"/>
  <c r="AJ76" i="74" s="1"/>
  <c r="O76" i="74"/>
  <c r="K76" i="74"/>
  <c r="AI76" i="74" s="1"/>
  <c r="E76" i="74"/>
  <c r="AN75" i="74"/>
  <c r="Z75" i="74"/>
  <c r="Y75" i="74"/>
  <c r="U75" i="74"/>
  <c r="AJ75" i="74" s="1"/>
  <c r="N75" i="74"/>
  <c r="O75" i="74" s="1"/>
  <c r="K75" i="74"/>
  <c r="AI75" i="74" s="1"/>
  <c r="E75" i="74"/>
  <c r="AN74" i="74"/>
  <c r="Z74" i="74"/>
  <c r="Y74" i="74"/>
  <c r="U74" i="74"/>
  <c r="O74" i="74"/>
  <c r="S74" i="74" s="1"/>
  <c r="AC74" i="74" s="1"/>
  <c r="K74" i="74"/>
  <c r="AI74" i="74" s="1"/>
  <c r="E74" i="74"/>
  <c r="AN73" i="74"/>
  <c r="Z73" i="74"/>
  <c r="Y73" i="74"/>
  <c r="U73" i="74"/>
  <c r="N73" i="74"/>
  <c r="O73" i="74" s="1"/>
  <c r="K73" i="74"/>
  <c r="AI73" i="74" s="1"/>
  <c r="E73" i="74"/>
  <c r="AN72" i="74"/>
  <c r="Z72" i="74"/>
  <c r="Y72" i="74"/>
  <c r="U72" i="74"/>
  <c r="AJ72" i="74" s="1"/>
  <c r="N72" i="74"/>
  <c r="O72" i="74" s="1"/>
  <c r="K72" i="74"/>
  <c r="AI72" i="74" s="1"/>
  <c r="E72" i="74"/>
  <c r="AN71" i="74"/>
  <c r="Z71" i="74"/>
  <c r="Y71" i="74"/>
  <c r="U71" i="74"/>
  <c r="N71" i="74"/>
  <c r="O71" i="74" s="1"/>
  <c r="K71" i="74"/>
  <c r="AI71" i="74" s="1"/>
  <c r="E71" i="74"/>
  <c r="AN70" i="74"/>
  <c r="Z70" i="74"/>
  <c r="Y70" i="74"/>
  <c r="U70" i="74"/>
  <c r="AJ70" i="74" s="1"/>
  <c r="O70" i="74"/>
  <c r="K70" i="74"/>
  <c r="AI70" i="74" s="1"/>
  <c r="E70" i="74"/>
  <c r="AN69" i="74"/>
  <c r="Z69" i="74"/>
  <c r="Y69" i="74"/>
  <c r="U69" i="74"/>
  <c r="O69" i="74"/>
  <c r="K69" i="74"/>
  <c r="AI69" i="74" s="1"/>
  <c r="E69" i="74"/>
  <c r="AN68" i="74"/>
  <c r="Z68" i="74"/>
  <c r="Y68" i="74"/>
  <c r="U68" i="74"/>
  <c r="AJ68" i="74" s="1"/>
  <c r="O68" i="74"/>
  <c r="K68" i="74"/>
  <c r="E68" i="74"/>
  <c r="AN67" i="74"/>
  <c r="Z67" i="74"/>
  <c r="Y67" i="74"/>
  <c r="U67" i="74"/>
  <c r="O67" i="74"/>
  <c r="K67" i="74"/>
  <c r="E67" i="74"/>
  <c r="AN66" i="74"/>
  <c r="Z66" i="74"/>
  <c r="Y66" i="74"/>
  <c r="U66" i="74"/>
  <c r="AJ66" i="74" s="1"/>
  <c r="O66" i="74"/>
  <c r="K66" i="74"/>
  <c r="E66" i="74"/>
  <c r="AN65" i="74"/>
  <c r="Z65" i="74"/>
  <c r="Y65" i="74"/>
  <c r="U65" i="74"/>
  <c r="AJ65" i="74" s="1"/>
  <c r="O65" i="74"/>
  <c r="K65" i="74"/>
  <c r="AI65" i="74" s="1"/>
  <c r="E65" i="74"/>
  <c r="AN64" i="74"/>
  <c r="Z64" i="74"/>
  <c r="Y64" i="74"/>
  <c r="U64" i="74"/>
  <c r="O64" i="74"/>
  <c r="K64" i="74"/>
  <c r="E64" i="74"/>
  <c r="AN63" i="74"/>
  <c r="Z63" i="74"/>
  <c r="Y63" i="74"/>
  <c r="U63" i="74"/>
  <c r="AD63" i="74" s="1"/>
  <c r="O63" i="74"/>
  <c r="K63" i="74"/>
  <c r="E63" i="74"/>
  <c r="AN62" i="74"/>
  <c r="Z62" i="74"/>
  <c r="Y62" i="74"/>
  <c r="U62" i="74"/>
  <c r="O62" i="74"/>
  <c r="K62" i="74"/>
  <c r="AI62" i="74" s="1"/>
  <c r="E62" i="74"/>
  <c r="AN61" i="74"/>
  <c r="Z61" i="74"/>
  <c r="Y61" i="74"/>
  <c r="U61" i="74"/>
  <c r="AJ61" i="74" s="1"/>
  <c r="O61" i="74"/>
  <c r="K61" i="74"/>
  <c r="E61" i="74"/>
  <c r="AN60" i="74"/>
  <c r="Z60" i="74"/>
  <c r="Y60" i="74"/>
  <c r="U60" i="74"/>
  <c r="O60" i="74"/>
  <c r="K60" i="74"/>
  <c r="E60" i="74"/>
  <c r="AN59" i="74"/>
  <c r="Y59" i="74"/>
  <c r="AE59" i="74" s="1"/>
  <c r="U59" i="74"/>
  <c r="AJ59" i="74" s="1"/>
  <c r="O59" i="74"/>
  <c r="K59" i="74"/>
  <c r="E59" i="74"/>
  <c r="AN58" i="74"/>
  <c r="Y58" i="74"/>
  <c r="U58" i="74"/>
  <c r="O58" i="74"/>
  <c r="K58" i="74"/>
  <c r="AI58" i="74" s="1"/>
  <c r="E58" i="74"/>
  <c r="AN57" i="74"/>
  <c r="Y57" i="74"/>
  <c r="O57" i="74"/>
  <c r="AF57" i="74" s="1"/>
  <c r="K57" i="74"/>
  <c r="AI57" i="74" s="1"/>
  <c r="E57" i="74"/>
  <c r="AN56" i="74"/>
  <c r="Y56" i="74"/>
  <c r="O56" i="74"/>
  <c r="K56" i="74"/>
  <c r="AW13" i="74" s="1"/>
  <c r="AX13" i="74" s="1" a="1"/>
  <c r="AX13" i="74" s="1"/>
  <c r="E56" i="74"/>
  <c r="AN55" i="74"/>
  <c r="Y55" i="74"/>
  <c r="AE55" i="74" s="1"/>
  <c r="O55" i="74"/>
  <c r="AF55" i="74" s="1"/>
  <c r="K55" i="74"/>
  <c r="AI55" i="74" s="1"/>
  <c r="E55" i="74"/>
  <c r="AN54" i="74"/>
  <c r="Y54" i="74"/>
  <c r="AE54" i="74" s="1"/>
  <c r="O54" i="74"/>
  <c r="AF54" i="74" s="1"/>
  <c r="K54" i="74"/>
  <c r="AI54" i="74" s="1"/>
  <c r="E54" i="74"/>
  <c r="AN53" i="74"/>
  <c r="Z53" i="74"/>
  <c r="Y53" i="74"/>
  <c r="U53" i="74"/>
  <c r="AJ53" i="74" s="1"/>
  <c r="O53" i="74"/>
  <c r="K53" i="74"/>
  <c r="AI53" i="74" s="1"/>
  <c r="E53" i="74"/>
  <c r="AN52" i="74"/>
  <c r="Y52" i="74"/>
  <c r="AE52" i="74" s="1"/>
  <c r="U52" i="74"/>
  <c r="AJ52" i="74" s="1"/>
  <c r="O52" i="74"/>
  <c r="K52" i="74"/>
  <c r="AI52" i="74" s="1"/>
  <c r="E52" i="74"/>
  <c r="AN51" i="74"/>
  <c r="Y51" i="74"/>
  <c r="U51" i="74"/>
  <c r="O51" i="74"/>
  <c r="K51" i="74"/>
  <c r="E51" i="74"/>
  <c r="AN50" i="74"/>
  <c r="AA50" i="74"/>
  <c r="U50" i="74"/>
  <c r="O50" i="74"/>
  <c r="K50" i="74"/>
  <c r="E50" i="74"/>
  <c r="AN49" i="74"/>
  <c r="Y49" i="74"/>
  <c r="AE49" i="74" s="1"/>
  <c r="U49" i="74"/>
  <c r="AJ49" i="74" s="1"/>
  <c r="O49" i="74"/>
  <c r="K49" i="74"/>
  <c r="AI49" i="74" s="1"/>
  <c r="E49" i="74"/>
  <c r="AN48" i="74"/>
  <c r="Z48" i="74"/>
  <c r="Y48" i="74"/>
  <c r="O48" i="74"/>
  <c r="AF48" i="74" s="1"/>
  <c r="K48" i="74"/>
  <c r="E48" i="74"/>
  <c r="AN47" i="74"/>
  <c r="Z47" i="74"/>
  <c r="Y47" i="74"/>
  <c r="U47" i="74"/>
  <c r="AJ47" i="74" s="1"/>
  <c r="O47" i="74"/>
  <c r="K47" i="74"/>
  <c r="AI47" i="74" s="1"/>
  <c r="E47" i="74"/>
  <c r="AN46" i="74"/>
  <c r="Z46" i="74"/>
  <c r="Y46" i="74"/>
  <c r="U46" i="74"/>
  <c r="O46" i="74"/>
  <c r="K46" i="74"/>
  <c r="AI46" i="74" s="1"/>
  <c r="E46" i="74"/>
  <c r="AN45" i="74"/>
  <c r="Z45" i="74"/>
  <c r="Y45" i="74"/>
  <c r="U45" i="74"/>
  <c r="AJ45" i="74" s="1"/>
  <c r="O45" i="74"/>
  <c r="K45" i="74"/>
  <c r="AI45" i="74" s="1"/>
  <c r="E45" i="74"/>
  <c r="AN44" i="74"/>
  <c r="Z44" i="74"/>
  <c r="Y44" i="74"/>
  <c r="U44" i="74"/>
  <c r="O44" i="74"/>
  <c r="K44" i="74"/>
  <c r="AI44" i="74" s="1"/>
  <c r="E44" i="74"/>
  <c r="AN43" i="74"/>
  <c r="Z43" i="74"/>
  <c r="Y43" i="74"/>
  <c r="U43" i="74"/>
  <c r="AJ43" i="74" s="1"/>
  <c r="O43" i="74"/>
  <c r="K43" i="74"/>
  <c r="AI43" i="74" s="1"/>
  <c r="E43" i="74"/>
  <c r="AN42" i="74"/>
  <c r="Z42" i="74"/>
  <c r="Y42" i="74"/>
  <c r="U42" i="74"/>
  <c r="AJ42" i="74" s="1"/>
  <c r="O42" i="74"/>
  <c r="K42" i="74"/>
  <c r="AI42" i="74" s="1"/>
  <c r="E42" i="74"/>
  <c r="AN41" i="74"/>
  <c r="Z41" i="74"/>
  <c r="Y41" i="74"/>
  <c r="U41" i="74"/>
  <c r="AJ41" i="74" s="1"/>
  <c r="O41" i="74"/>
  <c r="K41" i="74"/>
  <c r="AI41" i="74" s="1"/>
  <c r="E41" i="74"/>
  <c r="AN40" i="74"/>
  <c r="Z40" i="74"/>
  <c r="Y40" i="74"/>
  <c r="U40" i="74"/>
  <c r="O40" i="74"/>
  <c r="K40" i="74"/>
  <c r="AI40" i="74" s="1"/>
  <c r="E40" i="74"/>
  <c r="AN39" i="74"/>
  <c r="Z39" i="74"/>
  <c r="Y39" i="74"/>
  <c r="U39" i="74"/>
  <c r="AJ39" i="74" s="1"/>
  <c r="O39" i="74"/>
  <c r="K39" i="74"/>
  <c r="AI39" i="74" s="1"/>
  <c r="E39" i="74"/>
  <c r="AN38" i="74"/>
  <c r="Z38" i="74"/>
  <c r="Y38" i="74"/>
  <c r="U38" i="74"/>
  <c r="AJ38" i="74" s="1"/>
  <c r="O38" i="74"/>
  <c r="K38" i="74"/>
  <c r="AI38" i="74" s="1"/>
  <c r="E38" i="74"/>
  <c r="AN37" i="74"/>
  <c r="Z37" i="74"/>
  <c r="Y37" i="74"/>
  <c r="U37" i="74"/>
  <c r="AJ37" i="74" s="1"/>
  <c r="O37" i="74"/>
  <c r="K37" i="74"/>
  <c r="AI37" i="74" s="1"/>
  <c r="E37" i="74"/>
  <c r="AN36" i="74"/>
  <c r="Z36" i="74"/>
  <c r="Y36" i="74"/>
  <c r="U36" i="74"/>
  <c r="O36" i="74"/>
  <c r="K36" i="74"/>
  <c r="AI36" i="74" s="1"/>
  <c r="E36" i="74"/>
  <c r="AN35" i="74"/>
  <c r="Z35" i="74"/>
  <c r="Y35" i="74"/>
  <c r="U35" i="74"/>
  <c r="AJ35" i="74" s="1"/>
  <c r="O35" i="74"/>
  <c r="K35" i="74"/>
  <c r="AI35" i="74" s="1"/>
  <c r="E35" i="74"/>
  <c r="AN34" i="74"/>
  <c r="Z34" i="74"/>
  <c r="Y34" i="74"/>
  <c r="U34" i="74"/>
  <c r="AJ34" i="74" s="1"/>
  <c r="O34" i="74"/>
  <c r="K34" i="74"/>
  <c r="AI34" i="74" s="1"/>
  <c r="E34" i="74"/>
  <c r="AN33" i="74"/>
  <c r="Z33" i="74"/>
  <c r="Y33" i="74"/>
  <c r="U33" i="74"/>
  <c r="AJ33" i="74" s="1"/>
  <c r="O33" i="74"/>
  <c r="K33" i="74"/>
  <c r="AI33" i="74" s="1"/>
  <c r="E33" i="74"/>
  <c r="AN32" i="74"/>
  <c r="Z32" i="74"/>
  <c r="Y32" i="74"/>
  <c r="U32" i="74"/>
  <c r="AJ32" i="74" s="1"/>
  <c r="O32" i="74"/>
  <c r="K32" i="74"/>
  <c r="AI32" i="74" s="1"/>
  <c r="E32" i="74"/>
  <c r="AN31" i="74"/>
  <c r="Z31" i="74"/>
  <c r="Y31" i="74"/>
  <c r="U31" i="74"/>
  <c r="AJ31" i="74" s="1"/>
  <c r="O31" i="74"/>
  <c r="K31" i="74"/>
  <c r="AI31" i="74" s="1"/>
  <c r="E31" i="74"/>
  <c r="AN30" i="74"/>
  <c r="Z30" i="74"/>
  <c r="Y30" i="74"/>
  <c r="U30" i="74"/>
  <c r="O30" i="74"/>
  <c r="K30" i="74"/>
  <c r="E30" i="74"/>
  <c r="AN29" i="74"/>
  <c r="Z29" i="74"/>
  <c r="Y29" i="74"/>
  <c r="U29" i="74"/>
  <c r="AJ29" i="74" s="1"/>
  <c r="O29" i="74"/>
  <c r="K29" i="74"/>
  <c r="E29" i="74"/>
  <c r="AN28" i="74"/>
  <c r="Z28" i="74"/>
  <c r="Y28" i="74"/>
  <c r="U28" i="74"/>
  <c r="O28" i="74"/>
  <c r="K28" i="74"/>
  <c r="AI28" i="74" s="1"/>
  <c r="E28" i="74"/>
  <c r="AN27" i="74"/>
  <c r="Z27" i="74"/>
  <c r="Y27" i="74"/>
  <c r="U27" i="74"/>
  <c r="AJ27" i="74" s="1"/>
  <c r="O27" i="74"/>
  <c r="K27" i="74"/>
  <c r="E27" i="74"/>
  <c r="AN26" i="74"/>
  <c r="Z26" i="74"/>
  <c r="Y26" i="74"/>
  <c r="U26" i="74"/>
  <c r="AJ26" i="74" s="1"/>
  <c r="O26" i="74"/>
  <c r="K26" i="74"/>
  <c r="E26" i="74"/>
  <c r="AN25" i="74"/>
  <c r="Z25" i="74"/>
  <c r="Y25" i="74"/>
  <c r="U25" i="74"/>
  <c r="O25" i="74"/>
  <c r="K25" i="74"/>
  <c r="AI25" i="74" s="1"/>
  <c r="E25" i="74"/>
  <c r="AN24" i="74"/>
  <c r="Y24" i="74"/>
  <c r="AE24" i="74" s="1"/>
  <c r="U24" i="74"/>
  <c r="AJ24" i="74" s="1"/>
  <c r="O24" i="74"/>
  <c r="K24" i="74"/>
  <c r="AI24" i="74" s="1"/>
  <c r="E24" i="74"/>
  <c r="AN23" i="74"/>
  <c r="Y23" i="74"/>
  <c r="U23" i="74"/>
  <c r="O23" i="74"/>
  <c r="K23" i="74"/>
  <c r="AW27" i="74" s="1"/>
  <c r="AY27" i="74" s="1"/>
  <c r="BA27" i="74" s="1"/>
  <c r="E23" i="74"/>
  <c r="AN22" i="74"/>
  <c r="Z22" i="74"/>
  <c r="Y22" i="74"/>
  <c r="U22" i="74"/>
  <c r="AJ22" i="74" s="1"/>
  <c r="O22" i="74"/>
  <c r="K22" i="74"/>
  <c r="AI22" i="74" s="1"/>
  <c r="E22" i="74"/>
  <c r="AN21" i="74"/>
  <c r="Z21" i="74"/>
  <c r="Y21" i="74"/>
  <c r="U21" i="74"/>
  <c r="O21" i="74"/>
  <c r="K21" i="74"/>
  <c r="AI21" i="74" s="1"/>
  <c r="E21" i="74"/>
  <c r="AN20" i="74"/>
  <c r="Z20" i="74"/>
  <c r="Y20" i="74"/>
  <c r="U20" i="74"/>
  <c r="AJ20" i="74" s="1"/>
  <c r="O20" i="74"/>
  <c r="K20" i="74"/>
  <c r="AI20" i="74" s="1"/>
  <c r="E20" i="74"/>
  <c r="AN19" i="74"/>
  <c r="Z19" i="74"/>
  <c r="Y19" i="74"/>
  <c r="U19" i="74"/>
  <c r="O19" i="74"/>
  <c r="S19" i="74" s="1"/>
  <c r="AC19" i="74" s="1"/>
  <c r="K19" i="74"/>
  <c r="AI19" i="74" s="1"/>
  <c r="E19" i="74"/>
  <c r="AN18" i="74"/>
  <c r="Z18" i="74"/>
  <c r="Y18" i="74"/>
  <c r="U18" i="74"/>
  <c r="AJ18" i="74" s="1"/>
  <c r="O18" i="74"/>
  <c r="K18" i="74"/>
  <c r="AI18" i="74" s="1"/>
  <c r="E18" i="74"/>
  <c r="AN17" i="74"/>
  <c r="Z17" i="74"/>
  <c r="Y17" i="74"/>
  <c r="U17" i="74"/>
  <c r="O17" i="74"/>
  <c r="S17" i="74" s="1"/>
  <c r="AC17" i="74" s="1"/>
  <c r="K17" i="74"/>
  <c r="AI17" i="74" s="1"/>
  <c r="E17" i="74"/>
  <c r="AN16" i="74"/>
  <c r="Z16" i="74"/>
  <c r="Y16" i="74"/>
  <c r="U16" i="74"/>
  <c r="AJ16" i="74" s="1"/>
  <c r="O16" i="74"/>
  <c r="K16" i="74"/>
  <c r="AI16" i="74" s="1"/>
  <c r="E16" i="74"/>
  <c r="AN15" i="74"/>
  <c r="Y15" i="74"/>
  <c r="AE15" i="74" s="1"/>
  <c r="U15" i="74"/>
  <c r="O15" i="74"/>
  <c r="K15" i="74"/>
  <c r="E15" i="74"/>
  <c r="AN14" i="74"/>
  <c r="Z14" i="74"/>
  <c r="AE14" i="74" s="1"/>
  <c r="U14" i="74"/>
  <c r="O14" i="74"/>
  <c r="K14" i="74"/>
  <c r="E14" i="74"/>
  <c r="AN13" i="74"/>
  <c r="Z13" i="74"/>
  <c r="Y13" i="74"/>
  <c r="U13" i="74"/>
  <c r="O13" i="74"/>
  <c r="K13" i="74"/>
  <c r="AW11" i="74" s="1"/>
  <c r="AX11" i="74" s="1" a="1"/>
  <c r="AX11" i="74" s="1"/>
  <c r="E13" i="74"/>
  <c r="AN12" i="74"/>
  <c r="Z12" i="74"/>
  <c r="Y12" i="74"/>
  <c r="U12" i="74"/>
  <c r="AJ12" i="74" s="1"/>
  <c r="O12" i="74"/>
  <c r="K12" i="74"/>
  <c r="AI12" i="74" s="1"/>
  <c r="E12" i="74"/>
  <c r="AN11" i="74"/>
  <c r="Z11" i="74"/>
  <c r="Y11" i="74"/>
  <c r="U11" i="74"/>
  <c r="O11" i="74"/>
  <c r="K11" i="74"/>
  <c r="AI11" i="74" s="1"/>
  <c r="E11" i="74"/>
  <c r="AN10" i="74"/>
  <c r="Y10" i="74"/>
  <c r="AE10" i="74" s="1"/>
  <c r="U10" i="74"/>
  <c r="O10" i="74"/>
  <c r="K10" i="74"/>
  <c r="AI10" i="74" s="1"/>
  <c r="E10" i="74"/>
  <c r="AN9" i="74"/>
  <c r="Z9" i="74"/>
  <c r="Y9" i="74"/>
  <c r="U9" i="74"/>
  <c r="O9" i="74"/>
  <c r="K9" i="74"/>
  <c r="AI9" i="74" s="1"/>
  <c r="E9" i="74"/>
  <c r="AN8" i="74"/>
  <c r="Y8" i="74"/>
  <c r="AE8" i="74" s="1"/>
  <c r="U8" i="74"/>
  <c r="AJ8" i="74" s="1"/>
  <c r="O8" i="74"/>
  <c r="S8" i="74" s="1"/>
  <c r="AC8" i="74" s="1"/>
  <c r="K8" i="74"/>
  <c r="AW24" i="74" s="1"/>
  <c r="AY24" i="74" s="1"/>
  <c r="BA24" i="74" s="1"/>
  <c r="E8" i="74"/>
  <c r="AN7" i="74"/>
  <c r="Z7" i="74"/>
  <c r="Y7" i="74"/>
  <c r="U7" i="74"/>
  <c r="AJ7" i="74" s="1"/>
  <c r="O7" i="74"/>
  <c r="K7" i="74"/>
  <c r="AH7" i="74" s="1"/>
  <c r="E7" i="74"/>
  <c r="AN6" i="74"/>
  <c r="AC6" i="74"/>
  <c r="Z6" i="74"/>
  <c r="Y6" i="74"/>
  <c r="U6" i="74"/>
  <c r="O6" i="74"/>
  <c r="K6" i="74"/>
  <c r="AI6" i="74" s="1"/>
  <c r="E6" i="74"/>
  <c r="AN5" i="74"/>
  <c r="Z5" i="74"/>
  <c r="Y5" i="74"/>
  <c r="U5" i="74"/>
  <c r="O5" i="74"/>
  <c r="S5" i="74" s="1"/>
  <c r="AC5" i="74" s="1"/>
  <c r="K5" i="74"/>
  <c r="AH5" i="74" s="1"/>
  <c r="E5" i="74"/>
  <c r="I2" i="74"/>
  <c r="AX15" i="74" l="1" a="1"/>
  <c r="AX15" i="74" s="1"/>
  <c r="AX16" i="74" a="1"/>
  <c r="AX16" i="74" s="1"/>
  <c r="AX17" i="74" a="1"/>
  <c r="AX17" i="74" s="1"/>
  <c r="AX18" i="74" a="1"/>
  <c r="AX18" i="74" s="1"/>
  <c r="AX14" i="74" a="1"/>
  <c r="AX14" i="74" s="1"/>
  <c r="AW25" i="74"/>
  <c r="AY25" i="74" s="1"/>
  <c r="BA25" i="74" s="1"/>
  <c r="AW28" i="74"/>
  <c r="AY28" i="74" s="1"/>
  <c r="BA28" i="74" s="1"/>
  <c r="AW9" i="74"/>
  <c r="AW26" i="74"/>
  <c r="AY26" i="74" s="1"/>
  <c r="BA26" i="74" s="1"/>
  <c r="AW10" i="74"/>
  <c r="AX10" i="74" s="1" a="1"/>
  <c r="AX10" i="74" s="1"/>
  <c r="BA10" i="74" s="1"/>
  <c r="AW12" i="74"/>
  <c r="AX12" i="74" s="1" a="1"/>
  <c r="AX12" i="74" s="1"/>
  <c r="BA12" i="74" s="1"/>
  <c r="AE61" i="74"/>
  <c r="AE97" i="74"/>
  <c r="AF63" i="74"/>
  <c r="AE65" i="74"/>
  <c r="AF95" i="74"/>
  <c r="AE69" i="74"/>
  <c r="AF99" i="74"/>
  <c r="AE101" i="74"/>
  <c r="AF71" i="74"/>
  <c r="AE73" i="74"/>
  <c r="AF87" i="74"/>
  <c r="AE89" i="74"/>
  <c r="AF103" i="74"/>
  <c r="BA22" i="74"/>
  <c r="BA11" i="74"/>
  <c r="BA15" i="74"/>
  <c r="BA16" i="74"/>
  <c r="BA13" i="74"/>
  <c r="BA14" i="74"/>
  <c r="BA17" i="74"/>
  <c r="BA18" i="74"/>
  <c r="AX9" i="74" a="1"/>
  <c r="AX9" i="74" s="1"/>
  <c r="AF45" i="74"/>
  <c r="AE47" i="74"/>
  <c r="AE64" i="74"/>
  <c r="AF70" i="74"/>
  <c r="AF90" i="74"/>
  <c r="AF23" i="74"/>
  <c r="AF25" i="74"/>
  <c r="AE27" i="74"/>
  <c r="AF29" i="74"/>
  <c r="AE31" i="74"/>
  <c r="AE80" i="74"/>
  <c r="AF11" i="74"/>
  <c r="AF61" i="74"/>
  <c r="AE63" i="74"/>
  <c r="AE67" i="74"/>
  <c r="AF69" i="74"/>
  <c r="AE71" i="74"/>
  <c r="AF73" i="74"/>
  <c r="AE75" i="74"/>
  <c r="AF77" i="74"/>
  <c r="AE79" i="74"/>
  <c r="AE83" i="74"/>
  <c r="AF85" i="74"/>
  <c r="AE87" i="74"/>
  <c r="AF89" i="74"/>
  <c r="AE91" i="74"/>
  <c r="AF93" i="74"/>
  <c r="AE95" i="74"/>
  <c r="AE99" i="74"/>
  <c r="AF101" i="74"/>
  <c r="AE103" i="74"/>
  <c r="AD33" i="74"/>
  <c r="AF91" i="74"/>
  <c r="AD24" i="74"/>
  <c r="AD79" i="74"/>
  <c r="AD16" i="74"/>
  <c r="AE76" i="74"/>
  <c r="AE84" i="74"/>
  <c r="AE9" i="74"/>
  <c r="AE12" i="74"/>
  <c r="AF14" i="74"/>
  <c r="AF16" i="74"/>
  <c r="AE18" i="74"/>
  <c r="AE19" i="74"/>
  <c r="AE20" i="74"/>
  <c r="AE21" i="74"/>
  <c r="AE22" i="74"/>
  <c r="AF24" i="74"/>
  <c r="AE25" i="74"/>
  <c r="AF27" i="74"/>
  <c r="AE29" i="74"/>
  <c r="AE33" i="74"/>
  <c r="AF35" i="74"/>
  <c r="AE37" i="74"/>
  <c r="AF39" i="74"/>
  <c r="AE41" i="74"/>
  <c r="AF43" i="74"/>
  <c r="AE45" i="74"/>
  <c r="AE48" i="74"/>
  <c r="AF72" i="74"/>
  <c r="AE74" i="74"/>
  <c r="AE82" i="74"/>
  <c r="AE86" i="74"/>
  <c r="AD95" i="74"/>
  <c r="AD39" i="74"/>
  <c r="AF81" i="74"/>
  <c r="AJ94" i="74"/>
  <c r="AF34" i="74"/>
  <c r="AE36" i="74"/>
  <c r="AF38" i="74"/>
  <c r="AE40" i="74"/>
  <c r="AF42" i="74"/>
  <c r="AF53" i="74"/>
  <c r="AH57" i="74"/>
  <c r="AF58" i="74"/>
  <c r="AF60" i="74"/>
  <c r="AE66" i="74"/>
  <c r="AF68" i="74"/>
  <c r="AE70" i="74"/>
  <c r="AF76" i="74"/>
  <c r="AA78" i="74"/>
  <c r="AB78" i="74" s="1"/>
  <c r="AM78" i="74" s="1"/>
  <c r="AF80" i="74"/>
  <c r="AF84" i="74"/>
  <c r="AF88" i="74"/>
  <c r="AE90" i="74"/>
  <c r="AF92" i="74"/>
  <c r="AE94" i="74"/>
  <c r="AF96" i="74"/>
  <c r="AF100" i="74"/>
  <c r="AE102" i="74"/>
  <c r="AF97" i="74"/>
  <c r="AF94" i="74"/>
  <c r="AD91" i="74"/>
  <c r="AD84" i="74"/>
  <c r="AD81" i="74"/>
  <c r="AE78" i="74"/>
  <c r="AD76" i="74"/>
  <c r="AD66" i="74"/>
  <c r="AD61" i="74"/>
  <c r="AD38" i="74"/>
  <c r="AD32" i="74"/>
  <c r="AD27" i="74"/>
  <c r="AD22" i="74"/>
  <c r="AD12" i="74"/>
  <c r="AJ92" i="74"/>
  <c r="AF9" i="74"/>
  <c r="AF12" i="74"/>
  <c r="AF15" i="74"/>
  <c r="AE16" i="74"/>
  <c r="AF18" i="74"/>
  <c r="AF20" i="74"/>
  <c r="AF22" i="74"/>
  <c r="AE93" i="74"/>
  <c r="AD103" i="74"/>
  <c r="AD97" i="74"/>
  <c r="AD83" i="74"/>
  <c r="AD75" i="74"/>
  <c r="AD72" i="74"/>
  <c r="AD70" i="74"/>
  <c r="AD53" i="74"/>
  <c r="AD47" i="74"/>
  <c r="AD35" i="74"/>
  <c r="AD31" i="74"/>
  <c r="AD20" i="74"/>
  <c r="AF28" i="74"/>
  <c r="AE30" i="74"/>
  <c r="AF32" i="74"/>
  <c r="AE34" i="74"/>
  <c r="AF36" i="74"/>
  <c r="AE38" i="74"/>
  <c r="AF40" i="74"/>
  <c r="AE42" i="74"/>
  <c r="AE46" i="74"/>
  <c r="AF52" i="74"/>
  <c r="AE53" i="74"/>
  <c r="AF62" i="74"/>
  <c r="AE68" i="74"/>
  <c r="AE72" i="74"/>
  <c r="AF75" i="74"/>
  <c r="AE77" i="74"/>
  <c r="AE81" i="74"/>
  <c r="AF82" i="74"/>
  <c r="AE85" i="74"/>
  <c r="AF86" i="74"/>
  <c r="AE88" i="74"/>
  <c r="AE92" i="74"/>
  <c r="AE96" i="74"/>
  <c r="AF98" i="74"/>
  <c r="AE100" i="74"/>
  <c r="AE104" i="74"/>
  <c r="AD98" i="74"/>
  <c r="AD93" i="74"/>
  <c r="AD89" i="74"/>
  <c r="AD85" i="74"/>
  <c r="AD80" i="74"/>
  <c r="AD77" i="74"/>
  <c r="AD52" i="74"/>
  <c r="AD42" i="74"/>
  <c r="AD34" i="74"/>
  <c r="AD26" i="74"/>
  <c r="AD18" i="74"/>
  <c r="AJ63" i="74"/>
  <c r="AJ13" i="74"/>
  <c r="AD13" i="74"/>
  <c r="AJ30" i="74"/>
  <c r="AD30" i="74"/>
  <c r="AJ64" i="74"/>
  <c r="AD64" i="74"/>
  <c r="AH66" i="74"/>
  <c r="AI66" i="74"/>
  <c r="AJ71" i="74"/>
  <c r="AD71" i="74"/>
  <c r="AH96" i="74"/>
  <c r="AI96" i="74"/>
  <c r="AF102" i="74"/>
  <c r="AD101" i="74"/>
  <c r="AD99" i="74"/>
  <c r="AD90" i="74"/>
  <c r="AF78" i="74"/>
  <c r="AF74" i="74"/>
  <c r="AD59" i="74"/>
  <c r="AJ10" i="74"/>
  <c r="AD10" i="74"/>
  <c r="S21" i="74"/>
  <c r="AC21" i="74" s="1"/>
  <c r="AF21" i="74"/>
  <c r="AI26" i="74"/>
  <c r="AH26" i="74"/>
  <c r="AF19" i="74"/>
  <c r="AJ46" i="74"/>
  <c r="AD46" i="74"/>
  <c r="AH48" i="74"/>
  <c r="AI48" i="74"/>
  <c r="AK50" i="74"/>
  <c r="AI50" i="74"/>
  <c r="AJ51" i="74"/>
  <c r="AD51" i="74"/>
  <c r="AA57" i="74"/>
  <c r="AE57" i="74"/>
  <c r="AH60" i="74"/>
  <c r="AI60" i="74"/>
  <c r="AJ67" i="74"/>
  <c r="AD67" i="74"/>
  <c r="AJ69" i="74"/>
  <c r="AD69" i="74"/>
  <c r="AJ11" i="74"/>
  <c r="AD11" i="74"/>
  <c r="AM13" i="74"/>
  <c r="AI13" i="74"/>
  <c r="AJ17" i="74"/>
  <c r="AD17" i="74"/>
  <c r="AA23" i="74"/>
  <c r="AE23" i="74"/>
  <c r="AH27" i="74"/>
  <c r="AI27" i="74"/>
  <c r="AJ36" i="74"/>
  <c r="AD36" i="74"/>
  <c r="AJ40" i="74"/>
  <c r="AD40" i="74"/>
  <c r="S44" i="74"/>
  <c r="AC44" i="74" s="1"/>
  <c r="AF44" i="74"/>
  <c r="S50" i="74"/>
  <c r="AC50" i="74" s="1"/>
  <c r="AF50" i="74"/>
  <c r="AA51" i="74"/>
  <c r="AE51" i="74"/>
  <c r="AH56" i="74"/>
  <c r="AI56" i="74"/>
  <c r="AH61" i="74"/>
  <c r="AI61" i="74"/>
  <c r="S66" i="74"/>
  <c r="AC66" i="74" s="1"/>
  <c r="AF66" i="74"/>
  <c r="AH68" i="74"/>
  <c r="AI68" i="74"/>
  <c r="AJ74" i="74"/>
  <c r="AD74" i="74"/>
  <c r="AJ87" i="74"/>
  <c r="AD87" i="74"/>
  <c r="AF104" i="74"/>
  <c r="AD102" i="74"/>
  <c r="AF83" i="74"/>
  <c r="AF79" i="74"/>
  <c r="AD49" i="74"/>
  <c r="AD41" i="74"/>
  <c r="AF10" i="74"/>
  <c r="AE11" i="74"/>
  <c r="AF13" i="74"/>
  <c r="AJ14" i="74"/>
  <c r="AD14" i="74"/>
  <c r="AH15" i="74"/>
  <c r="AI15" i="74"/>
  <c r="AE17" i="74"/>
  <c r="AH23" i="74"/>
  <c r="AI23" i="74"/>
  <c r="AJ25" i="74"/>
  <c r="AD25" i="74"/>
  <c r="AE26" i="74"/>
  <c r="AJ28" i="74"/>
  <c r="AD28" i="74"/>
  <c r="AH30" i="74"/>
  <c r="AI30" i="74"/>
  <c r="S31" i="74"/>
  <c r="AC31" i="74" s="1"/>
  <c r="AF31" i="74"/>
  <c r="AH31" i="74"/>
  <c r="AJ44" i="74"/>
  <c r="AD44" i="74"/>
  <c r="S47" i="74"/>
  <c r="AC47" i="74" s="1"/>
  <c r="AF47" i="74"/>
  <c r="AJ50" i="74"/>
  <c r="AD50" i="74"/>
  <c r="AH51" i="74"/>
  <c r="AI51" i="74"/>
  <c r="S56" i="74"/>
  <c r="AC56" i="74" s="1"/>
  <c r="AF56" i="74"/>
  <c r="AJ58" i="74"/>
  <c r="AD58" i="74"/>
  <c r="AH59" i="74"/>
  <c r="AI59" i="74"/>
  <c r="AJ60" i="74"/>
  <c r="AD60" i="74"/>
  <c r="AJ62" i="74"/>
  <c r="AD62" i="74"/>
  <c r="AH64" i="74"/>
  <c r="AI64" i="74"/>
  <c r="S65" i="74"/>
  <c r="AC65" i="74" s="1"/>
  <c r="AF65" i="74"/>
  <c r="AH67" i="74"/>
  <c r="AI67" i="74"/>
  <c r="AJ73" i="74"/>
  <c r="AD73" i="74"/>
  <c r="AA98" i="74"/>
  <c r="AB98" i="74" s="1"/>
  <c r="AM98" i="74" s="1"/>
  <c r="AE98" i="74"/>
  <c r="AD104" i="74"/>
  <c r="AD100" i="74"/>
  <c r="AD96" i="74"/>
  <c r="AD88" i="74"/>
  <c r="AD86" i="74"/>
  <c r="AD82" i="74"/>
  <c r="AD78" i="74"/>
  <c r="AD45" i="74"/>
  <c r="AD43" i="74"/>
  <c r="AD37" i="74"/>
  <c r="AD29" i="74"/>
  <c r="AK8" i="74"/>
  <c r="AJ9" i="74"/>
  <c r="AD9" i="74"/>
  <c r="AE13" i="74"/>
  <c r="AH14" i="74"/>
  <c r="AI14" i="74"/>
  <c r="AJ15" i="74"/>
  <c r="AD15" i="74"/>
  <c r="AJ19" i="74"/>
  <c r="AD19" i="74"/>
  <c r="AJ21" i="74"/>
  <c r="AD21" i="74"/>
  <c r="AJ23" i="74"/>
  <c r="AD23" i="74"/>
  <c r="AF26" i="74"/>
  <c r="AE28" i="74"/>
  <c r="AH29" i="74"/>
  <c r="AI29" i="74"/>
  <c r="AF30" i="74"/>
  <c r="AE32" i="74"/>
  <c r="AF33" i="74"/>
  <c r="AE35" i="74"/>
  <c r="AK36" i="74"/>
  <c r="AF37" i="74"/>
  <c r="AE39" i="74"/>
  <c r="AF41" i="74"/>
  <c r="AE43" i="74"/>
  <c r="AE44" i="74"/>
  <c r="AF46" i="74"/>
  <c r="AF49" i="74"/>
  <c r="AF51" i="74"/>
  <c r="AA56" i="74"/>
  <c r="AE56" i="74"/>
  <c r="AA58" i="74"/>
  <c r="AE58" i="74"/>
  <c r="AF59" i="74"/>
  <c r="AE60" i="74"/>
  <c r="AE62" i="74"/>
  <c r="AH63" i="74"/>
  <c r="AI63" i="74"/>
  <c r="S64" i="74"/>
  <c r="AC64" i="74" s="1"/>
  <c r="AF64" i="74"/>
  <c r="AF67" i="74"/>
  <c r="AH78" i="74"/>
  <c r="AI78" i="74"/>
  <c r="AD68" i="74"/>
  <c r="AD65" i="74"/>
  <c r="AF17" i="74"/>
  <c r="AA97" i="74"/>
  <c r="AB97" i="74" s="1"/>
  <c r="AM97" i="74" s="1"/>
  <c r="AA7" i="74"/>
  <c r="AH40" i="74"/>
  <c r="AA76" i="74"/>
  <c r="AK11" i="74"/>
  <c r="AK17" i="74"/>
  <c r="AA74" i="74"/>
  <c r="AB74" i="74" s="1"/>
  <c r="AM74" i="74" s="1"/>
  <c r="AA81" i="74"/>
  <c r="AB81" i="74" s="1"/>
  <c r="AM81" i="74" s="1"/>
  <c r="AA94" i="74"/>
  <c r="AB94" i="74" s="1"/>
  <c r="AM94" i="74" s="1"/>
  <c r="S46" i="74"/>
  <c r="AA55" i="74"/>
  <c r="AA59" i="74"/>
  <c r="AH38" i="74"/>
  <c r="AA15" i="74"/>
  <c r="S16" i="74"/>
  <c r="AC16" i="74" s="1"/>
  <c r="AH24" i="74"/>
  <c r="S26" i="74"/>
  <c r="AC26" i="74" s="1"/>
  <c r="AH37" i="74"/>
  <c r="AA61" i="74"/>
  <c r="AA14" i="74"/>
  <c r="S24" i="74"/>
  <c r="AC24" i="74" s="1"/>
  <c r="S45" i="74"/>
  <c r="S63" i="74"/>
  <c r="S96" i="74"/>
  <c r="AC96" i="74" s="1"/>
  <c r="S25" i="74"/>
  <c r="AC25" i="74" s="1"/>
  <c r="AA10" i="74"/>
  <c r="AK14" i="74"/>
  <c r="AH20" i="74"/>
  <c r="AA53" i="74"/>
  <c r="AK59" i="74"/>
  <c r="S60" i="74"/>
  <c r="AC60" i="74" s="1"/>
  <c r="S61" i="74"/>
  <c r="AC61" i="74" s="1"/>
  <c r="AA84" i="74"/>
  <c r="S14" i="74"/>
  <c r="AC14" i="74" s="1"/>
  <c r="AA82" i="74"/>
  <c r="AA102" i="74"/>
  <c r="AB102" i="74" s="1"/>
  <c r="AM102" i="74" s="1"/>
  <c r="AK7" i="74"/>
  <c r="AK16" i="74"/>
  <c r="AA11" i="74"/>
  <c r="S20" i="74"/>
  <c r="AC20" i="74" s="1"/>
  <c r="AA20" i="74"/>
  <c r="AA29" i="74"/>
  <c r="AB29" i="74" s="1"/>
  <c r="AM29" i="74" s="1"/>
  <c r="AH42" i="74"/>
  <c r="S57" i="74"/>
  <c r="AC57" i="74" s="1"/>
  <c r="S59" i="74"/>
  <c r="AA73" i="74"/>
  <c r="S92" i="74"/>
  <c r="AC92" i="74" s="1"/>
  <c r="AA30" i="74"/>
  <c r="AH34" i="74"/>
  <c r="AK48" i="74"/>
  <c r="AK51" i="74"/>
  <c r="AH53" i="74"/>
  <c r="AA90" i="74"/>
  <c r="AA93" i="74"/>
  <c r="AH98" i="74"/>
  <c r="S72" i="74"/>
  <c r="AC72" i="74" s="1"/>
  <c r="AA77" i="74"/>
  <c r="AH32" i="74"/>
  <c r="AK25" i="74"/>
  <c r="AA25" i="74"/>
  <c r="AK57" i="74"/>
  <c r="AA60" i="74"/>
  <c r="AK65" i="74"/>
  <c r="AA72" i="74"/>
  <c r="AK74" i="74"/>
  <c r="AH77" i="74"/>
  <c r="AA83" i="74"/>
  <c r="AH87" i="74"/>
  <c r="AA96" i="74"/>
  <c r="AH99" i="74"/>
  <c r="AM8" i="74"/>
  <c r="AK43" i="74"/>
  <c r="AH43" i="74"/>
  <c r="S75" i="74"/>
  <c r="AC75" i="74" s="1"/>
  <c r="AH92" i="74"/>
  <c r="AK92" i="74"/>
  <c r="AA92" i="74"/>
  <c r="AH103" i="74"/>
  <c r="AA8" i="74"/>
  <c r="AH16" i="74"/>
  <c r="AH19" i="74"/>
  <c r="AK24" i="74"/>
  <c r="AA36" i="74"/>
  <c r="AK41" i="74"/>
  <c r="AH41" i="74"/>
  <c r="AH94" i="74"/>
  <c r="AK58" i="74"/>
  <c r="AH58" i="74"/>
  <c r="K2" i="74"/>
  <c r="L2" i="74" s="1"/>
  <c r="AH8" i="74"/>
  <c r="AA13" i="74"/>
  <c r="AH13" i="74"/>
  <c r="AA16" i="74"/>
  <c r="AK20" i="74"/>
  <c r="AA24" i="74"/>
  <c r="AH25" i="74"/>
  <c r="AK26" i="74"/>
  <c r="AA26" i="74"/>
  <c r="AH33" i="74"/>
  <c r="AK34" i="74"/>
  <c r="AA34" i="74"/>
  <c r="AH35" i="74"/>
  <c r="AK39" i="74"/>
  <c r="AH39" i="74"/>
  <c r="S49" i="74"/>
  <c r="AC49" i="74" s="1"/>
  <c r="S53" i="74"/>
  <c r="AC53" i="74" s="1"/>
  <c r="S55" i="74"/>
  <c r="AC55" i="74" s="1"/>
  <c r="AA75" i="74"/>
  <c r="AH82" i="74"/>
  <c r="AF5" i="74"/>
  <c r="AE5" i="74"/>
  <c r="AH6" i="74"/>
  <c r="BB10" i="74" s="1"/>
  <c r="AI7" i="74"/>
  <c r="AK10" i="74"/>
  <c r="AH11" i="74"/>
  <c r="AK15" i="74"/>
  <c r="AK27" i="74"/>
  <c r="AK30" i="74"/>
  <c r="AH36" i="74"/>
  <c r="AH72" i="74"/>
  <c r="AK72" i="74"/>
  <c r="AK94" i="74"/>
  <c r="AH101" i="74"/>
  <c r="S104" i="74"/>
  <c r="AC104" i="74" s="1"/>
  <c r="AH54" i="74"/>
  <c r="AH76" i="74"/>
  <c r="AH83" i="74"/>
  <c r="AH84" i="74"/>
  <c r="AK85" i="74"/>
  <c r="AH89" i="74"/>
  <c r="AH90" i="74"/>
  <c r="AH91" i="74"/>
  <c r="AK102" i="74"/>
  <c r="AH102" i="74"/>
  <c r="AK38" i="74"/>
  <c r="AK42" i="74"/>
  <c r="AH44" i="74"/>
  <c r="AH45" i="74"/>
  <c r="AH46" i="74"/>
  <c r="AH47" i="74"/>
  <c r="AH50" i="74"/>
  <c r="S52" i="74"/>
  <c r="AC52" i="74" s="1"/>
  <c r="S58" i="74"/>
  <c r="AK63" i="74"/>
  <c r="AH65" i="74"/>
  <c r="AK73" i="74"/>
  <c r="AK77" i="74"/>
  <c r="AH88" i="74"/>
  <c r="AH97" i="74"/>
  <c r="AK98" i="74"/>
  <c r="AK49" i="74"/>
  <c r="AK53" i="74"/>
  <c r="AK55" i="74"/>
  <c r="AK79" i="74"/>
  <c r="AK81" i="74"/>
  <c r="AK83" i="74"/>
  <c r="AD8" i="74"/>
  <c r="AH21" i="74"/>
  <c r="AH22" i="74"/>
  <c r="AA39" i="74"/>
  <c r="S40" i="74"/>
  <c r="AC40" i="74" s="1"/>
  <c r="AA43" i="74"/>
  <c r="AI5" i="74"/>
  <c r="AD5" i="74"/>
  <c r="AJ5" i="74"/>
  <c r="AE6" i="74"/>
  <c r="AA6" i="74"/>
  <c r="AB6" i="74" s="1"/>
  <c r="AM6" i="74" s="1"/>
  <c r="AD6" i="74"/>
  <c r="AJ6" i="74"/>
  <c r="AE7" i="74"/>
  <c r="S10" i="74"/>
  <c r="AC10" i="74" s="1"/>
  <c r="AA12" i="74"/>
  <c r="AA19" i="74"/>
  <c r="AB19" i="74" s="1"/>
  <c r="AM19" i="74" s="1"/>
  <c r="S22" i="74"/>
  <c r="AC22" i="74" s="1"/>
  <c r="AK22" i="74"/>
  <c r="AA31" i="74"/>
  <c r="S33" i="74"/>
  <c r="AC33" i="74" s="1"/>
  <c r="AA33" i="74"/>
  <c r="S37" i="74"/>
  <c r="AC37" i="74" s="1"/>
  <c r="AA37" i="74"/>
  <c r="S39" i="74"/>
  <c r="AC39" i="74" s="1"/>
  <c r="S43" i="74"/>
  <c r="AC43" i="74" s="1"/>
  <c r="AF8" i="74"/>
  <c r="AA9" i="74"/>
  <c r="S11" i="74"/>
  <c r="AC11" i="74" s="1"/>
  <c r="AH12" i="74"/>
  <c r="AA18" i="74"/>
  <c r="S23" i="74"/>
  <c r="AC23" i="74" s="1"/>
  <c r="AH28" i="74"/>
  <c r="S38" i="74"/>
  <c r="AC38" i="74" s="1"/>
  <c r="AA41" i="74"/>
  <c r="S42" i="74"/>
  <c r="AC42" i="74" s="1"/>
  <c r="AD7" i="74"/>
  <c r="S9" i="74"/>
  <c r="AC9" i="74" s="1"/>
  <c r="AK9" i="74"/>
  <c r="S13" i="74"/>
  <c r="AC13" i="74" s="1"/>
  <c r="S18" i="74"/>
  <c r="AC18" i="74" s="1"/>
  <c r="AK18" i="74"/>
  <c r="AA21" i="74"/>
  <c r="AA28" i="74"/>
  <c r="AB28" i="74" s="1"/>
  <c r="AM28" i="74" s="1"/>
  <c r="S32" i="74"/>
  <c r="AC32" i="74" s="1"/>
  <c r="AA32" i="74"/>
  <c r="S35" i="74"/>
  <c r="AC35" i="74" s="1"/>
  <c r="AA35" i="74"/>
  <c r="AA38" i="74"/>
  <c r="AA42" i="74"/>
  <c r="AK5" i="74"/>
  <c r="AF6" i="74"/>
  <c r="AK6" i="74"/>
  <c r="AM7" i="74"/>
  <c r="AA5" i="74"/>
  <c r="AM5" i="74"/>
  <c r="AF7" i="74"/>
  <c r="S7" i="74"/>
  <c r="AC7" i="74" s="1"/>
  <c r="AH9" i="74"/>
  <c r="AH10" i="74"/>
  <c r="S12" i="74"/>
  <c r="AC12" i="74" s="1"/>
  <c r="AK12" i="74"/>
  <c r="AK13" i="74"/>
  <c r="S15" i="74"/>
  <c r="AC15" i="74" s="1"/>
  <c r="AH17" i="74"/>
  <c r="AA17" i="74"/>
  <c r="AB17" i="74" s="1"/>
  <c r="AM17" i="74" s="1"/>
  <c r="AH18" i="74"/>
  <c r="AK19" i="74"/>
  <c r="AK21" i="74"/>
  <c r="AA22" i="74"/>
  <c r="AA27" i="74"/>
  <c r="AB27" i="74" s="1"/>
  <c r="AK28" i="74"/>
  <c r="AK29" i="74"/>
  <c r="S30" i="74"/>
  <c r="AC30" i="74" s="1"/>
  <c r="AK31" i="74"/>
  <c r="AK32" i="74"/>
  <c r="AK33" i="74"/>
  <c r="S34" i="74"/>
  <c r="AC34" i="74" s="1"/>
  <c r="AK35" i="74"/>
  <c r="S36" i="74"/>
  <c r="AK37" i="74"/>
  <c r="AK40" i="74"/>
  <c r="AA40" i="74"/>
  <c r="S41" i="74"/>
  <c r="AC41" i="74" s="1"/>
  <c r="AH49" i="74"/>
  <c r="AK56" i="74"/>
  <c r="S67" i="74"/>
  <c r="AC67" i="74" s="1"/>
  <c r="S69" i="74"/>
  <c r="AC69" i="74" s="1"/>
  <c r="S70" i="74"/>
  <c r="AC70" i="74" s="1"/>
  <c r="AA80" i="74"/>
  <c r="AK84" i="74"/>
  <c r="AH86" i="74"/>
  <c r="AK86" i="74"/>
  <c r="AA88" i="74"/>
  <c r="AI8" i="74"/>
  <c r="AK23" i="74"/>
  <c r="AK44" i="74"/>
  <c r="AK45" i="74"/>
  <c r="AK46" i="74"/>
  <c r="AK47" i="74"/>
  <c r="AA49" i="74"/>
  <c r="S51" i="74"/>
  <c r="AC51" i="74" s="1"/>
  <c r="AK52" i="74"/>
  <c r="S54" i="74"/>
  <c r="AC54" i="74" s="1"/>
  <c r="AH55" i="74"/>
  <c r="AK64" i="74"/>
  <c r="AA71" i="74"/>
  <c r="S76" i="74"/>
  <c r="AC76" i="74" s="1"/>
  <c r="AH80" i="74"/>
  <c r="AK80" i="74"/>
  <c r="S82" i="74"/>
  <c r="AC82" i="74" s="1"/>
  <c r="S84" i="74"/>
  <c r="AC84" i="74" s="1"/>
  <c r="S87" i="74"/>
  <c r="AC87" i="74" s="1"/>
  <c r="AK87" i="74"/>
  <c r="S95" i="74"/>
  <c r="AC95" i="74" s="1"/>
  <c r="AK101" i="74"/>
  <c r="S101" i="74"/>
  <c r="AC101" i="74" s="1"/>
  <c r="AA48" i="74"/>
  <c r="AH52" i="74"/>
  <c r="AA54" i="74"/>
  <c r="AK54" i="74"/>
  <c r="AK60" i="74"/>
  <c r="AK62" i="74"/>
  <c r="S68" i="74"/>
  <c r="AC68" i="74" s="1"/>
  <c r="AH71" i="74"/>
  <c r="AK71" i="74"/>
  <c r="S85" i="74"/>
  <c r="AC85" i="74" s="1"/>
  <c r="AA44" i="74"/>
  <c r="AA45" i="74"/>
  <c r="AA46" i="74"/>
  <c r="AA47" i="74"/>
  <c r="S48" i="74"/>
  <c r="AC48" i="74" s="1"/>
  <c r="AA52" i="74"/>
  <c r="AK61" i="74"/>
  <c r="AH62" i="74"/>
  <c r="AK66" i="74"/>
  <c r="AK67" i="74"/>
  <c r="S71" i="74"/>
  <c r="AC71" i="74" s="1"/>
  <c r="S79" i="74"/>
  <c r="AC79" i="74" s="1"/>
  <c r="AA86" i="74"/>
  <c r="AA62" i="74"/>
  <c r="AB62" i="74" s="1"/>
  <c r="AA63" i="74"/>
  <c r="AA64" i="74"/>
  <c r="AA65" i="74"/>
  <c r="AA66" i="74"/>
  <c r="AA67" i="74"/>
  <c r="AA68" i="74"/>
  <c r="AH69" i="74"/>
  <c r="AH70" i="74"/>
  <c r="AK75" i="74"/>
  <c r="AH75" i="74"/>
  <c r="AH81" i="74"/>
  <c r="AK88" i="74"/>
  <c r="S88" i="74"/>
  <c r="AC88" i="74" s="1"/>
  <c r="S89" i="74"/>
  <c r="AC89" i="74" s="1"/>
  <c r="AA99" i="74"/>
  <c r="S103" i="74"/>
  <c r="AC103" i="74" s="1"/>
  <c r="AK103" i="74"/>
  <c r="AK68" i="74"/>
  <c r="AA69" i="74"/>
  <c r="AA70" i="74"/>
  <c r="S73" i="74"/>
  <c r="AC73" i="74" s="1"/>
  <c r="S77" i="74"/>
  <c r="AC77" i="74" s="1"/>
  <c r="AH79" i="74"/>
  <c r="S80" i="74"/>
  <c r="AC80" i="74" s="1"/>
  <c r="S83" i="74"/>
  <c r="AC83" i="74" s="1"/>
  <c r="AH85" i="74"/>
  <c r="S86" i="74"/>
  <c r="AC86" i="74" s="1"/>
  <c r="AA87" i="74"/>
  <c r="AK90" i="74"/>
  <c r="S90" i="74"/>
  <c r="AC90" i="74" s="1"/>
  <c r="AA95" i="74"/>
  <c r="AK69" i="74"/>
  <c r="AK70" i="74"/>
  <c r="AH73" i="74"/>
  <c r="AK76" i="74"/>
  <c r="AK78" i="74"/>
  <c r="AA79" i="74"/>
  <c r="AK82" i="74"/>
  <c r="AA85" i="74"/>
  <c r="AA89" i="74"/>
  <c r="AH95" i="74"/>
  <c r="AK95" i="74"/>
  <c r="S99" i="74"/>
  <c r="AC99" i="74" s="1"/>
  <c r="AK99" i="74"/>
  <c r="AA101" i="74"/>
  <c r="AA103" i="74"/>
  <c r="AH104" i="74"/>
  <c r="AK104" i="74"/>
  <c r="AA91" i="74"/>
  <c r="AH74" i="74"/>
  <c r="AK91" i="74"/>
  <c r="S93" i="74"/>
  <c r="AC93" i="74" s="1"/>
  <c r="AK89" i="74"/>
  <c r="AK93" i="74"/>
  <c r="AH93" i="74"/>
  <c r="AK96" i="74"/>
  <c r="AK97" i="74"/>
  <c r="AH100" i="74"/>
  <c r="AA100" i="74"/>
  <c r="AB100" i="74" s="1"/>
  <c r="AK100" i="74"/>
  <c r="AA104" i="74"/>
  <c r="AZ13" i="74" l="1" a="1"/>
  <c r="AZ13" i="74" s="1"/>
  <c r="AY13" i="74" s="1"/>
  <c r="BB13" i="74"/>
  <c r="AZ16" i="74" a="1"/>
  <c r="AZ16" i="74" s="1"/>
  <c r="AY16" i="74" s="1"/>
  <c r="BB9" i="74"/>
  <c r="AZ9" i="74" a="1"/>
  <c r="AZ9" i="74" s="1"/>
  <c r="BB12" i="74"/>
  <c r="AZ12" i="74" a="1"/>
  <c r="AZ12" i="74" s="1"/>
  <c r="AY12" i="74" s="1"/>
  <c r="AZ15" i="74" a="1"/>
  <c r="AZ15" i="74" s="1"/>
  <c r="AY15" i="74" s="1"/>
  <c r="AZ10" i="74" a="1"/>
  <c r="AZ10" i="74" s="1"/>
  <c r="AY10" i="74" s="1"/>
  <c r="AZ14" i="74" a="1"/>
  <c r="AZ14" i="74" s="1"/>
  <c r="AY14" i="74" s="1"/>
  <c r="AZ18" i="74" a="1"/>
  <c r="AZ18" i="74" s="1"/>
  <c r="AY18" i="74" s="1"/>
  <c r="AZ11" i="74" a="1"/>
  <c r="AZ11" i="74" s="1"/>
  <c r="AY11" i="74" s="1"/>
  <c r="BB11" i="74"/>
  <c r="BD9" i="74"/>
  <c r="BD10" i="74" s="1"/>
  <c r="BD11" i="74" s="1"/>
  <c r="BD12" i="74" s="1"/>
  <c r="BD13" i="74" s="1"/>
  <c r="BD14" i="74" s="1"/>
  <c r="BD15" i="74" s="1"/>
  <c r="BD16" i="74" s="1"/>
  <c r="BD17" i="74" s="1"/>
  <c r="BD18" i="74" s="1"/>
  <c r="AW7" i="74"/>
  <c r="AZ17" i="74" a="1"/>
  <c r="AZ17" i="74" s="1"/>
  <c r="AY17" i="74" s="1"/>
  <c r="AB46" i="74"/>
  <c r="AM46" i="74" s="1"/>
  <c r="AG17" i="74"/>
  <c r="AG92" i="74"/>
  <c r="AG65" i="74"/>
  <c r="AG64" i="74"/>
  <c r="AG60" i="74"/>
  <c r="AG98" i="74"/>
  <c r="AG47" i="74"/>
  <c r="BA9" i="74"/>
  <c r="AX7" i="74"/>
  <c r="AY9" i="74"/>
  <c r="AB65" i="74"/>
  <c r="AM65" i="74" s="1"/>
  <c r="AG28" i="74"/>
  <c r="AG74" i="74"/>
  <c r="AG100" i="74"/>
  <c r="AB16" i="74"/>
  <c r="AM16" i="74" s="1"/>
  <c r="AG20" i="74"/>
  <c r="AB21" i="74"/>
  <c r="AM21" i="74" s="1"/>
  <c r="AB31" i="74"/>
  <c r="AM31" i="74" s="1"/>
  <c r="AG24" i="74"/>
  <c r="AG21" i="74"/>
  <c r="AG29" i="74"/>
  <c r="AG50" i="74"/>
  <c r="AG81" i="74"/>
  <c r="AG104" i="74"/>
  <c r="AB24" i="74"/>
  <c r="AM24" i="74" s="1"/>
  <c r="AB60" i="74"/>
  <c r="AM60" i="74" s="1"/>
  <c r="AB50" i="74"/>
  <c r="AM50" i="74" s="1"/>
  <c r="AG44" i="74"/>
  <c r="AB66" i="74"/>
  <c r="AM66" i="74" s="1"/>
  <c r="AB96" i="74"/>
  <c r="AM96" i="74" s="1"/>
  <c r="AG16" i="74"/>
  <c r="AC45" i="74"/>
  <c r="AG45" i="74" s="1"/>
  <c r="AB82" i="74"/>
  <c r="AM82" i="74" s="1"/>
  <c r="AB67" i="74"/>
  <c r="AM67" i="74" s="1"/>
  <c r="AC46" i="74"/>
  <c r="AG46" i="74" s="1"/>
  <c r="AB56" i="74"/>
  <c r="AM56" i="74" s="1"/>
  <c r="AB36" i="74"/>
  <c r="AM36" i="74" s="1"/>
  <c r="AC36" i="74"/>
  <c r="AG36" i="74" s="1"/>
  <c r="AB92" i="74"/>
  <c r="AM92" i="74" s="1"/>
  <c r="AC58" i="74"/>
  <c r="AG58" i="74" s="1"/>
  <c r="AG5" i="74"/>
  <c r="AC59" i="74"/>
  <c r="AG59" i="74" s="1"/>
  <c r="AC63" i="74"/>
  <c r="AG63" i="74" s="1"/>
  <c r="AB34" i="74"/>
  <c r="AM34" i="74" s="1"/>
  <c r="AG97" i="74"/>
  <c r="AG19" i="74"/>
  <c r="AG75" i="74"/>
  <c r="AB88" i="74"/>
  <c r="AM88" i="74" s="1"/>
  <c r="AB20" i="74"/>
  <c r="AM20" i="74" s="1"/>
  <c r="AG14" i="74"/>
  <c r="AB86" i="74"/>
  <c r="AM86" i="74" s="1"/>
  <c r="AB68" i="74"/>
  <c r="AM68" i="74" s="1"/>
  <c r="AB63" i="74"/>
  <c r="AM63" i="74" s="1"/>
  <c r="AG56" i="74"/>
  <c r="AB40" i="74"/>
  <c r="AM40" i="74" s="1"/>
  <c r="AG53" i="74"/>
  <c r="AG23" i="74"/>
  <c r="AB33" i="74"/>
  <c r="AM33" i="74" s="1"/>
  <c r="AB83" i="74"/>
  <c r="AM83" i="74" s="1"/>
  <c r="AB89" i="74"/>
  <c r="AM89" i="74" s="1"/>
  <c r="AB35" i="74"/>
  <c r="AM35" i="74" s="1"/>
  <c r="AB59" i="74"/>
  <c r="AM59" i="74" s="1"/>
  <c r="AB87" i="74"/>
  <c r="AM87" i="74" s="1"/>
  <c r="AB41" i="74"/>
  <c r="AM41" i="74" s="1"/>
  <c r="AB64" i="74"/>
  <c r="AM64" i="74" s="1"/>
  <c r="AB79" i="74"/>
  <c r="AM79" i="74" s="1"/>
  <c r="AB101" i="74"/>
  <c r="AM101" i="74" s="1"/>
  <c r="AB23" i="74"/>
  <c r="AM23" i="74" s="1"/>
  <c r="AB53" i="74"/>
  <c r="AM53" i="74" s="1"/>
  <c r="AB80" i="74"/>
  <c r="AM80" i="74" s="1"/>
  <c r="AG48" i="74"/>
  <c r="AB48" i="74"/>
  <c r="AM48" i="74" s="1"/>
  <c r="AB44" i="74"/>
  <c r="AM44" i="74" s="1"/>
  <c r="AB95" i="74"/>
  <c r="AM95" i="74" s="1"/>
  <c r="AG95" i="74"/>
  <c r="AG84" i="74"/>
  <c r="AB84" i="74"/>
  <c r="AM84" i="74" s="1"/>
  <c r="AG12" i="74"/>
  <c r="AG32" i="74"/>
  <c r="AB38" i="74"/>
  <c r="AM38" i="74" s="1"/>
  <c r="AG55" i="74"/>
  <c r="AB55" i="74"/>
  <c r="AM55" i="74" s="1"/>
  <c r="AG72" i="74"/>
  <c r="AB39" i="74"/>
  <c r="AM39" i="74" s="1"/>
  <c r="AB103" i="74"/>
  <c r="AM103" i="74" s="1"/>
  <c r="AB49" i="74"/>
  <c r="AM49" i="74" s="1"/>
  <c r="AB72" i="74"/>
  <c r="AM72" i="74" s="1"/>
  <c r="AB104" i="74"/>
  <c r="AM104" i="74" s="1"/>
  <c r="AB71" i="74"/>
  <c r="AM71" i="74" s="1"/>
  <c r="AB37" i="74"/>
  <c r="AM37" i="74" s="1"/>
  <c r="AB58" i="74"/>
  <c r="AM58" i="74" s="1"/>
  <c r="AB70" i="74"/>
  <c r="AM70" i="74" s="1"/>
  <c r="AB32" i="74"/>
  <c r="AM32" i="74" s="1"/>
  <c r="AB76" i="74"/>
  <c r="AM76" i="74" s="1"/>
  <c r="AB30" i="74"/>
  <c r="AM30" i="74" s="1"/>
  <c r="AM100" i="74"/>
  <c r="AG93" i="74"/>
  <c r="AB93" i="74"/>
  <c r="AM93" i="74" s="1"/>
  <c r="AM62" i="74"/>
  <c r="AB42" i="74"/>
  <c r="AM42" i="74" s="1"/>
  <c r="AG52" i="74"/>
  <c r="AB61" i="74"/>
  <c r="AM61" i="74" s="1"/>
  <c r="AB52" i="74"/>
  <c r="AM52" i="74" s="1"/>
  <c r="AB26" i="74"/>
  <c r="AM26" i="74" s="1"/>
  <c r="AB85" i="74"/>
  <c r="AM85" i="74" s="1"/>
  <c r="AB54" i="74"/>
  <c r="AM54" i="74" s="1"/>
  <c r="AB14" i="74"/>
  <c r="AM14" i="74" s="1"/>
  <c r="AB99" i="74"/>
  <c r="AM99" i="74" s="1"/>
  <c r="AG73" i="74"/>
  <c r="AB73" i="74"/>
  <c r="AM73" i="74" s="1"/>
  <c r="AM27" i="74"/>
  <c r="AG15" i="74"/>
  <c r="AG43" i="74"/>
  <c r="AB43" i="74"/>
  <c r="AM43" i="74" s="1"/>
  <c r="AB77" i="74"/>
  <c r="AM77" i="74" s="1"/>
  <c r="AB57" i="74"/>
  <c r="AM57" i="74" s="1"/>
  <c r="AG25" i="74"/>
  <c r="AB25" i="74"/>
  <c r="AM25" i="74" s="1"/>
  <c r="AB45" i="74"/>
  <c r="AM45" i="74" s="1"/>
  <c r="AB91" i="74"/>
  <c r="AM91" i="74" s="1"/>
  <c r="AB75" i="74"/>
  <c r="AM75" i="74" s="1"/>
  <c r="AB69" i="74"/>
  <c r="AM69" i="74" s="1"/>
  <c r="AB51" i="74"/>
  <c r="AM51" i="74" s="1"/>
  <c r="AB90" i="74"/>
  <c r="AM90" i="74" s="1"/>
  <c r="AB47" i="74"/>
  <c r="AM47" i="74" s="1"/>
  <c r="AG94" i="74"/>
  <c r="AG78" i="74"/>
  <c r="AG83" i="74"/>
  <c r="AG61" i="74"/>
  <c r="AG57" i="74"/>
  <c r="AG87" i="74"/>
  <c r="AB11" i="74"/>
  <c r="AM11" i="74" s="1"/>
  <c r="AG77" i="74"/>
  <c r="AG68" i="74"/>
  <c r="AG26" i="74"/>
  <c r="AG66" i="74"/>
  <c r="AG49" i="74"/>
  <c r="AG91" i="74"/>
  <c r="AG31" i="74"/>
  <c r="AG88" i="74"/>
  <c r="AG76" i="74"/>
  <c r="AG51" i="74"/>
  <c r="AG69" i="74"/>
  <c r="AG30" i="74"/>
  <c r="AG102" i="74"/>
  <c r="AG71" i="74"/>
  <c r="AG67" i="74"/>
  <c r="AB9" i="74"/>
  <c r="AM9" i="74" s="1"/>
  <c r="AG10" i="74"/>
  <c r="AG6" i="74"/>
  <c r="AJ3" i="74"/>
  <c r="L32" i="12" s="1"/>
  <c r="AG90" i="74"/>
  <c r="AG89" i="74"/>
  <c r="AG82" i="74"/>
  <c r="AG62" i="74"/>
  <c r="P2" i="74"/>
  <c r="AG18" i="74"/>
  <c r="AG33" i="74"/>
  <c r="AG8" i="74"/>
  <c r="AI3" i="74"/>
  <c r="E1" i="74" s="1"/>
  <c r="Q2" i="74"/>
  <c r="G2" i="74" s="1"/>
  <c r="AB18" i="74"/>
  <c r="AM18" i="74" s="1"/>
  <c r="AG22" i="74"/>
  <c r="AG86" i="74"/>
  <c r="AG103" i="74"/>
  <c r="AG101" i="74"/>
  <c r="AG70" i="74"/>
  <c r="AB15" i="74"/>
  <c r="AM15" i="74" s="1"/>
  <c r="AG99" i="74"/>
  <c r="AG79" i="74"/>
  <c r="AG85" i="74"/>
  <c r="AG41" i="74"/>
  <c r="AG27" i="74"/>
  <c r="AB12" i="74"/>
  <c r="AM12" i="74" s="1"/>
  <c r="AG7" i="74"/>
  <c r="R2" i="74"/>
  <c r="AG35" i="74"/>
  <c r="AG42" i="74"/>
  <c r="AG11" i="74"/>
  <c r="AB22" i="74"/>
  <c r="AM22" i="74" s="1"/>
  <c r="AB10" i="74"/>
  <c r="AM10" i="74" s="1"/>
  <c r="AH3" i="74"/>
  <c r="E2" i="74" s="1"/>
  <c r="AG96" i="74"/>
  <c r="AG80" i="74"/>
  <c r="AG54" i="74"/>
  <c r="AG34" i="74"/>
  <c r="AK3" i="74"/>
  <c r="AG13" i="74"/>
  <c r="AG9" i="74"/>
  <c r="AG38" i="74"/>
  <c r="AG39" i="74"/>
  <c r="AG37" i="74"/>
  <c r="AG40" i="74"/>
  <c r="AZ7" i="74" l="1"/>
  <c r="BB7" i="74"/>
  <c r="BC24" i="74" s="1"/>
  <c r="BC29" i="74" s="1"/>
  <c r="BA7" i="74"/>
  <c r="BC9" i="74"/>
  <c r="BC10" i="74" s="1"/>
  <c r="BC11" i="74" s="1"/>
  <c r="BC12" i="74" s="1"/>
  <c r="BC13" i="74" s="1"/>
  <c r="BC14" i="74" s="1"/>
  <c r="BC15" i="74" s="1"/>
  <c r="BC16" i="74" s="1"/>
  <c r="BC17" i="74" s="1"/>
  <c r="BC18" i="74" s="1"/>
  <c r="AB1" i="74"/>
  <c r="AG2" i="74"/>
  <c r="K32" i="12" s="1"/>
  <c r="M32" i="12" s="1"/>
  <c r="AM3" i="74"/>
  <c r="G1" i="74" s="1"/>
  <c r="C6" i="39"/>
  <c r="E13" i="39" l="1"/>
  <c r="C5" i="39" l="1"/>
  <c r="AW27" i="71" l="1"/>
  <c r="AY27" i="71" s="1"/>
  <c r="BA27" i="71" s="1"/>
  <c r="AW28" i="71"/>
  <c r="AY28" i="71" s="1"/>
  <c r="BA28" i="71" s="1"/>
  <c r="AW29" i="71"/>
  <c r="AY29" i="71" s="1"/>
  <c r="BA29" i="71" s="1"/>
  <c r="AW30" i="71"/>
  <c r="AY30" i="71" s="1"/>
  <c r="BA30" i="71" s="1"/>
  <c r="AW31" i="71"/>
  <c r="AY31" i="71" s="1"/>
  <c r="BA31" i="71" s="1"/>
  <c r="BB17" i="71"/>
  <c r="BB12" i="71"/>
  <c r="BB13" i="71"/>
  <c r="BB14" i="71"/>
  <c r="BB15" i="71"/>
  <c r="BB16" i="71"/>
  <c r="AW12" i="71"/>
  <c r="AW13" i="71"/>
  <c r="AW14" i="71"/>
  <c r="AW15" i="71"/>
  <c r="AW16" i="71"/>
  <c r="AN109" i="71"/>
  <c r="AE109" i="71"/>
  <c r="AA109" i="71"/>
  <c r="U109" i="71"/>
  <c r="O109" i="71"/>
  <c r="K109" i="71"/>
  <c r="E109" i="71"/>
  <c r="AN108" i="71"/>
  <c r="AE108" i="71"/>
  <c r="AA108" i="71"/>
  <c r="U108" i="71"/>
  <c r="O108" i="71"/>
  <c r="S108" i="71" s="1"/>
  <c r="AC108" i="71" s="1"/>
  <c r="K108" i="71"/>
  <c r="AH108" i="71" s="1"/>
  <c r="E108" i="71"/>
  <c r="AN107" i="71"/>
  <c r="Y107" i="71"/>
  <c r="AE107" i="71" s="1"/>
  <c r="U107" i="71"/>
  <c r="AJ107" i="71" s="1"/>
  <c r="O107" i="71"/>
  <c r="K107" i="71"/>
  <c r="AH107" i="71" s="1"/>
  <c r="E107" i="71"/>
  <c r="AN106" i="71"/>
  <c r="AC106" i="71"/>
  <c r="Z106" i="71"/>
  <c r="Y106" i="71"/>
  <c r="U106" i="71"/>
  <c r="AJ106" i="71" s="1"/>
  <c r="O106" i="71"/>
  <c r="K106" i="71"/>
  <c r="E106" i="71"/>
  <c r="AN105" i="71"/>
  <c r="AC105" i="71"/>
  <c r="Z105" i="71"/>
  <c r="Y105" i="71"/>
  <c r="U105" i="71"/>
  <c r="O105" i="71"/>
  <c r="K105" i="71"/>
  <c r="AI105" i="71" s="1"/>
  <c r="E105" i="71"/>
  <c r="AN104" i="71"/>
  <c r="Z104" i="71"/>
  <c r="Y104" i="71"/>
  <c r="U104" i="71"/>
  <c r="O104" i="71"/>
  <c r="S104" i="71" s="1"/>
  <c r="AC104" i="71" s="1"/>
  <c r="K104" i="71"/>
  <c r="AI104" i="71" s="1"/>
  <c r="E104" i="71"/>
  <c r="AN103" i="71"/>
  <c r="Z103" i="71"/>
  <c r="Y103" i="71"/>
  <c r="U103" i="71"/>
  <c r="AD103" i="71" s="1"/>
  <c r="O103" i="71"/>
  <c r="S103" i="71" s="1"/>
  <c r="AC103" i="71" s="1"/>
  <c r="K103" i="71"/>
  <c r="E103" i="71"/>
  <c r="AN102" i="71"/>
  <c r="Z102" i="71"/>
  <c r="Y102" i="71"/>
  <c r="U102" i="71"/>
  <c r="AD102" i="71" s="1"/>
  <c r="O102" i="71"/>
  <c r="S102" i="71" s="1"/>
  <c r="AC102" i="71" s="1"/>
  <c r="K102" i="71"/>
  <c r="AI102" i="71" s="1"/>
  <c r="E102" i="71"/>
  <c r="AN101" i="71"/>
  <c r="Z101" i="71"/>
  <c r="Y101" i="71"/>
  <c r="U101" i="71"/>
  <c r="O101" i="71"/>
  <c r="S101" i="71" s="1"/>
  <c r="AC101" i="71" s="1"/>
  <c r="K101" i="71"/>
  <c r="E101" i="71"/>
  <c r="AN100" i="71"/>
  <c r="Z100" i="71"/>
  <c r="Y100" i="71"/>
  <c r="U100" i="71"/>
  <c r="O100" i="71"/>
  <c r="K100" i="71"/>
  <c r="E100" i="71"/>
  <c r="AN99" i="71"/>
  <c r="Z99" i="71"/>
  <c r="Y99" i="71"/>
  <c r="U99" i="71"/>
  <c r="O99" i="71"/>
  <c r="K99" i="71"/>
  <c r="AH99" i="71" s="1"/>
  <c r="E99" i="71"/>
  <c r="AN98" i="71"/>
  <c r="Z98" i="71"/>
  <c r="Y98" i="71"/>
  <c r="U98" i="71"/>
  <c r="O98" i="71"/>
  <c r="K98" i="71"/>
  <c r="E98" i="71"/>
  <c r="AN97" i="71"/>
  <c r="Z97" i="71"/>
  <c r="AA97" i="71" s="1"/>
  <c r="U97" i="71"/>
  <c r="O97" i="71"/>
  <c r="S97" i="71" s="1"/>
  <c r="AC97" i="71" s="1"/>
  <c r="K97" i="71"/>
  <c r="E97" i="71"/>
  <c r="AN96" i="71"/>
  <c r="Z96" i="71"/>
  <c r="U96" i="71"/>
  <c r="AJ96" i="71" s="1"/>
  <c r="O96" i="71"/>
  <c r="S96" i="71" s="1"/>
  <c r="AC96" i="71" s="1"/>
  <c r="K96" i="71"/>
  <c r="AH96" i="71" s="1"/>
  <c r="E96" i="71"/>
  <c r="AN95" i="71"/>
  <c r="Z95" i="71"/>
  <c r="Y95" i="71"/>
  <c r="U95" i="71"/>
  <c r="AJ95" i="71" s="1"/>
  <c r="O95" i="71"/>
  <c r="K95" i="71"/>
  <c r="AH95" i="71" s="1"/>
  <c r="E95" i="71"/>
  <c r="AN94" i="71"/>
  <c r="Z94" i="71"/>
  <c r="Y94" i="71"/>
  <c r="U94" i="71"/>
  <c r="O94" i="71"/>
  <c r="S94" i="71" s="1"/>
  <c r="AC94" i="71" s="1"/>
  <c r="K94" i="71"/>
  <c r="E94" i="71"/>
  <c r="AN93" i="71"/>
  <c r="Z93" i="71"/>
  <c r="Y93" i="71"/>
  <c r="U93" i="71"/>
  <c r="AD93" i="71" s="1"/>
  <c r="O93" i="71"/>
  <c r="K93" i="71"/>
  <c r="AI93" i="71" s="1"/>
  <c r="E93" i="71"/>
  <c r="AN92" i="71"/>
  <c r="Z92" i="71"/>
  <c r="Y92" i="71"/>
  <c r="U92" i="71"/>
  <c r="AJ92" i="71" s="1"/>
  <c r="O92" i="71"/>
  <c r="S92" i="71" s="1"/>
  <c r="AC92" i="71" s="1"/>
  <c r="K92" i="71"/>
  <c r="AI92" i="71" s="1"/>
  <c r="E92" i="71"/>
  <c r="AN91" i="71"/>
  <c r="Z91" i="71"/>
  <c r="Y91" i="71"/>
  <c r="U91" i="71"/>
  <c r="AJ91" i="71" s="1"/>
  <c r="O91" i="71"/>
  <c r="S91" i="71" s="1"/>
  <c r="AC91" i="71" s="1"/>
  <c r="K91" i="71"/>
  <c r="AI91" i="71" s="1"/>
  <c r="E91" i="71"/>
  <c r="AN90" i="71"/>
  <c r="Z90" i="71"/>
  <c r="Y90" i="71"/>
  <c r="U90" i="71"/>
  <c r="AJ90" i="71" s="1"/>
  <c r="O90" i="71"/>
  <c r="K90" i="71"/>
  <c r="AH90" i="71" s="1"/>
  <c r="E90" i="71"/>
  <c r="AN89" i="71"/>
  <c r="Z89" i="71"/>
  <c r="Y89" i="71"/>
  <c r="U89" i="71"/>
  <c r="AD89" i="71" s="1"/>
  <c r="O89" i="71"/>
  <c r="S89" i="71" s="1"/>
  <c r="AC89" i="71" s="1"/>
  <c r="K89" i="71"/>
  <c r="AI89" i="71" s="1"/>
  <c r="E89" i="71"/>
  <c r="AN88" i="71"/>
  <c r="AC88" i="71"/>
  <c r="Z88" i="71"/>
  <c r="Y88" i="71"/>
  <c r="U88" i="71"/>
  <c r="O88" i="71"/>
  <c r="K88" i="71"/>
  <c r="AI88" i="71" s="1"/>
  <c r="E88" i="71"/>
  <c r="AN87" i="71"/>
  <c r="Z87" i="71"/>
  <c r="Y87" i="71"/>
  <c r="U87" i="71"/>
  <c r="AJ87" i="71" s="1"/>
  <c r="O87" i="71"/>
  <c r="S87" i="71" s="1"/>
  <c r="K87" i="71"/>
  <c r="AH87" i="71" s="1"/>
  <c r="E87" i="71"/>
  <c r="AN86" i="71"/>
  <c r="Z86" i="71"/>
  <c r="Y86" i="71"/>
  <c r="U86" i="71"/>
  <c r="AD86" i="71" s="1"/>
  <c r="O86" i="71"/>
  <c r="S86" i="71" s="1"/>
  <c r="AC86" i="71" s="1"/>
  <c r="K86" i="71"/>
  <c r="E86" i="71"/>
  <c r="AN85" i="71"/>
  <c r="Z85" i="71"/>
  <c r="Y85" i="71"/>
  <c r="U85" i="71"/>
  <c r="AD85" i="71" s="1"/>
  <c r="O85" i="71"/>
  <c r="K85" i="71"/>
  <c r="E85" i="71"/>
  <c r="AN84" i="71"/>
  <c r="Z84" i="71"/>
  <c r="Y84" i="71"/>
  <c r="U84" i="71"/>
  <c r="AJ84" i="71" s="1"/>
  <c r="O84" i="71"/>
  <c r="K84" i="71"/>
  <c r="E84" i="71"/>
  <c r="AN83" i="71"/>
  <c r="Z83" i="71"/>
  <c r="Y83" i="71"/>
  <c r="U83" i="71"/>
  <c r="O83" i="71"/>
  <c r="S83" i="71" s="1"/>
  <c r="AC83" i="71" s="1"/>
  <c r="K83" i="71"/>
  <c r="AH83" i="71" s="1"/>
  <c r="E83" i="71"/>
  <c r="AN82" i="71"/>
  <c r="Z82" i="71"/>
  <c r="Y82" i="71"/>
  <c r="U82" i="71"/>
  <c r="AD82" i="71" s="1"/>
  <c r="O82" i="71"/>
  <c r="S82" i="71" s="1"/>
  <c r="AC82" i="71" s="1"/>
  <c r="K82" i="71"/>
  <c r="E82" i="71"/>
  <c r="AN81" i="71"/>
  <c r="Z81" i="71"/>
  <c r="Y81" i="71"/>
  <c r="U81" i="71"/>
  <c r="AJ81" i="71" s="1"/>
  <c r="O81" i="71"/>
  <c r="K81" i="71"/>
  <c r="AI81" i="71" s="1"/>
  <c r="E81" i="71"/>
  <c r="AN80" i="71"/>
  <c r="Z80" i="71"/>
  <c r="U80" i="71"/>
  <c r="O80" i="71"/>
  <c r="K80" i="71"/>
  <c r="E80" i="71"/>
  <c r="AN79" i="71"/>
  <c r="Z79" i="71"/>
  <c r="AE79" i="71" s="1"/>
  <c r="U79" i="71"/>
  <c r="AF79" i="71" s="1"/>
  <c r="S79" i="71"/>
  <c r="AC79" i="71" s="1"/>
  <c r="K79" i="71"/>
  <c r="E79" i="71"/>
  <c r="AN78" i="71"/>
  <c r="AC78" i="71"/>
  <c r="Z78" i="71"/>
  <c r="Y78" i="71"/>
  <c r="U78" i="71"/>
  <c r="AJ78" i="71" s="1"/>
  <c r="K78" i="71"/>
  <c r="E78" i="71"/>
  <c r="AN77" i="71"/>
  <c r="Z77" i="71"/>
  <c r="U77" i="71"/>
  <c r="S77" i="71"/>
  <c r="AC77" i="71" s="1"/>
  <c r="K77" i="71"/>
  <c r="AI77" i="71" s="1"/>
  <c r="E77" i="71"/>
  <c r="AN76" i="71"/>
  <c r="AC76" i="71"/>
  <c r="Z76" i="71"/>
  <c r="Y76" i="71"/>
  <c r="U76" i="71"/>
  <c r="AD76" i="71" s="1"/>
  <c r="O76" i="71"/>
  <c r="K76" i="71"/>
  <c r="E76" i="71"/>
  <c r="AN75" i="71"/>
  <c r="Z75" i="71"/>
  <c r="Y75" i="71"/>
  <c r="U75" i="71"/>
  <c r="AD75" i="71" s="1"/>
  <c r="S75" i="71"/>
  <c r="AC75" i="71" s="1"/>
  <c r="K75" i="71"/>
  <c r="AH75" i="71" s="1"/>
  <c r="E75" i="71"/>
  <c r="AN74" i="71"/>
  <c r="Z74" i="71"/>
  <c r="Y74" i="71"/>
  <c r="U74" i="71"/>
  <c r="AF74" i="71" s="1"/>
  <c r="S74" i="71"/>
  <c r="AC74" i="71" s="1"/>
  <c r="K74" i="71"/>
  <c r="AK74" i="71" s="1"/>
  <c r="E74" i="71"/>
  <c r="AN73" i="71"/>
  <c r="Z73" i="71"/>
  <c r="Y73" i="71"/>
  <c r="U73" i="71"/>
  <c r="AJ73" i="71" s="1"/>
  <c r="O73" i="71"/>
  <c r="K73" i="71"/>
  <c r="E73" i="71"/>
  <c r="AN72" i="71"/>
  <c r="Z72" i="71"/>
  <c r="Y72" i="71"/>
  <c r="U72" i="71"/>
  <c r="AD72" i="71" s="1"/>
  <c r="O72" i="71"/>
  <c r="S72" i="71" s="1"/>
  <c r="AC72" i="71" s="1"/>
  <c r="K72" i="71"/>
  <c r="E72" i="71"/>
  <c r="AN71" i="71"/>
  <c r="Z71" i="71"/>
  <c r="Y71" i="71"/>
  <c r="U71" i="71"/>
  <c r="AD71" i="71" s="1"/>
  <c r="O71" i="71"/>
  <c r="K71" i="71"/>
  <c r="E71" i="71"/>
  <c r="AN70" i="71"/>
  <c r="Z70" i="71"/>
  <c r="Y70" i="71"/>
  <c r="U70" i="71"/>
  <c r="AJ70" i="71" s="1"/>
  <c r="O70" i="71"/>
  <c r="K70" i="71"/>
  <c r="AH70" i="71" s="1"/>
  <c r="E70" i="71"/>
  <c r="AN69" i="71"/>
  <c r="Z69" i="71"/>
  <c r="Y69" i="71"/>
  <c r="U69" i="71"/>
  <c r="AF69" i="71" s="1"/>
  <c r="S69" i="71"/>
  <c r="AC69" i="71" s="1"/>
  <c r="K69" i="71"/>
  <c r="AH69" i="71" s="1"/>
  <c r="E69" i="71"/>
  <c r="AN68" i="71"/>
  <c r="Z68" i="71"/>
  <c r="Y68" i="71"/>
  <c r="U68" i="71"/>
  <c r="AJ68" i="71" s="1"/>
  <c r="O68" i="71"/>
  <c r="K68" i="71"/>
  <c r="AH68" i="71" s="1"/>
  <c r="E68" i="71"/>
  <c r="AN67" i="71"/>
  <c r="Z67" i="71"/>
  <c r="Y67" i="71"/>
  <c r="U67" i="71"/>
  <c r="O67" i="71"/>
  <c r="S67" i="71" s="1"/>
  <c r="AC67" i="71" s="1"/>
  <c r="K67" i="71"/>
  <c r="E67" i="71"/>
  <c r="AN66" i="71"/>
  <c r="Z66" i="71"/>
  <c r="Y66" i="71"/>
  <c r="U66" i="71"/>
  <c r="O66" i="71"/>
  <c r="K66" i="71"/>
  <c r="AI66" i="71" s="1"/>
  <c r="E66" i="71"/>
  <c r="AN65" i="71"/>
  <c r="Z65" i="71"/>
  <c r="Y65" i="71"/>
  <c r="U65" i="71"/>
  <c r="AJ65" i="71" s="1"/>
  <c r="O65" i="71"/>
  <c r="S65" i="71" s="1"/>
  <c r="AC65" i="71" s="1"/>
  <c r="K65" i="71"/>
  <c r="AH65" i="71" s="1"/>
  <c r="E65" i="71"/>
  <c r="AN64" i="71"/>
  <c r="Z64" i="71"/>
  <c r="Y64" i="71"/>
  <c r="U64" i="71"/>
  <c r="AF64" i="71" s="1"/>
  <c r="S64" i="71"/>
  <c r="AC64" i="71" s="1"/>
  <c r="K64" i="71"/>
  <c r="AI64" i="71" s="1"/>
  <c r="E64" i="71"/>
  <c r="AN63" i="71"/>
  <c r="Z63" i="71"/>
  <c r="Y63" i="71"/>
  <c r="U63" i="71"/>
  <c r="O63" i="71"/>
  <c r="S63" i="71" s="1"/>
  <c r="AC63" i="71" s="1"/>
  <c r="K63" i="71"/>
  <c r="AI63" i="71" s="1"/>
  <c r="E63" i="71"/>
  <c r="AN62" i="71"/>
  <c r="Z62" i="71"/>
  <c r="Y62" i="71"/>
  <c r="U62" i="71"/>
  <c r="AJ62" i="71" s="1"/>
  <c r="O62" i="71"/>
  <c r="S62" i="71" s="1"/>
  <c r="AC62" i="71" s="1"/>
  <c r="K62" i="71"/>
  <c r="AI62" i="71" s="1"/>
  <c r="E62" i="71"/>
  <c r="AN61" i="71"/>
  <c r="Z61" i="71"/>
  <c r="Y61" i="71"/>
  <c r="U61" i="71"/>
  <c r="O61" i="71"/>
  <c r="K61" i="71"/>
  <c r="AI61" i="71" s="1"/>
  <c r="E61" i="71"/>
  <c r="AN60" i="71"/>
  <c r="Z60" i="71"/>
  <c r="Y60" i="71"/>
  <c r="U60" i="71"/>
  <c r="AD60" i="71" s="1"/>
  <c r="O60" i="71"/>
  <c r="S60" i="71" s="1"/>
  <c r="AC60" i="71" s="1"/>
  <c r="K60" i="71"/>
  <c r="AH60" i="71" s="1"/>
  <c r="E60" i="71"/>
  <c r="AN59" i="71"/>
  <c r="Z59" i="71"/>
  <c r="Y59" i="71"/>
  <c r="U59" i="71"/>
  <c r="AD59" i="71" s="1"/>
  <c r="O59" i="71"/>
  <c r="S59" i="71" s="1"/>
  <c r="K59" i="71"/>
  <c r="E59" i="71"/>
  <c r="AN58" i="71"/>
  <c r="Y58" i="71"/>
  <c r="AE58" i="71" s="1"/>
  <c r="U58" i="71"/>
  <c r="O58" i="71"/>
  <c r="K58" i="71"/>
  <c r="E58" i="71"/>
  <c r="AN57" i="71"/>
  <c r="Z57" i="71"/>
  <c r="Y57" i="71"/>
  <c r="U57" i="71"/>
  <c r="AJ57" i="71" s="1"/>
  <c r="O57" i="71"/>
  <c r="K57" i="71"/>
  <c r="E57" i="71"/>
  <c r="AN56" i="71"/>
  <c r="Y56" i="71"/>
  <c r="AE56" i="71" s="1"/>
  <c r="U56" i="71"/>
  <c r="AJ56" i="71" s="1"/>
  <c r="O56" i="71"/>
  <c r="K56" i="71"/>
  <c r="AI56" i="71" s="1"/>
  <c r="E56" i="71"/>
  <c r="AN55" i="71"/>
  <c r="Z55" i="71"/>
  <c r="Y55" i="71"/>
  <c r="U55" i="71"/>
  <c r="AD55" i="71" s="1"/>
  <c r="O55" i="71"/>
  <c r="K55" i="71"/>
  <c r="AI55" i="71" s="1"/>
  <c r="E55" i="71"/>
  <c r="AN54" i="71"/>
  <c r="Y54" i="71"/>
  <c r="AA54" i="71" s="1"/>
  <c r="U54" i="71"/>
  <c r="AD54" i="71" s="1"/>
  <c r="O54" i="71"/>
  <c r="S54" i="71" s="1"/>
  <c r="AC54" i="71" s="1"/>
  <c r="K54" i="71"/>
  <c r="AH54" i="71" s="1"/>
  <c r="E54" i="71"/>
  <c r="AN53" i="71"/>
  <c r="Z53" i="71"/>
  <c r="Y53" i="71"/>
  <c r="U53" i="71"/>
  <c r="AD53" i="71" s="1"/>
  <c r="O53" i="71"/>
  <c r="K53" i="71"/>
  <c r="E53" i="71"/>
  <c r="AN52" i="71"/>
  <c r="Z52" i="71"/>
  <c r="Y52" i="71"/>
  <c r="U52" i="71"/>
  <c r="O52" i="71"/>
  <c r="S52" i="71" s="1"/>
  <c r="AC52" i="71" s="1"/>
  <c r="K52" i="71"/>
  <c r="E52" i="71"/>
  <c r="AN51" i="71"/>
  <c r="Z51" i="71"/>
  <c r="AE51" i="71" s="1"/>
  <c r="U51" i="71"/>
  <c r="AD51" i="71" s="1"/>
  <c r="O51" i="71"/>
  <c r="K51" i="71"/>
  <c r="E51" i="71"/>
  <c r="AN50" i="71"/>
  <c r="Z50" i="71"/>
  <c r="U50" i="71"/>
  <c r="AJ50" i="71" s="1"/>
  <c r="O50" i="71"/>
  <c r="K50" i="71"/>
  <c r="AI50" i="71" s="1"/>
  <c r="E50" i="71"/>
  <c r="AN49" i="71"/>
  <c r="Z49" i="71"/>
  <c r="Y49" i="71"/>
  <c r="U49" i="71"/>
  <c r="O49" i="71"/>
  <c r="K49" i="71"/>
  <c r="AI49" i="71" s="1"/>
  <c r="E49" i="71"/>
  <c r="AN48" i="71"/>
  <c r="Z48" i="71"/>
  <c r="Y48" i="71"/>
  <c r="U48" i="71"/>
  <c r="AJ48" i="71" s="1"/>
  <c r="O48" i="71"/>
  <c r="S48" i="71" s="1"/>
  <c r="AC48" i="71" s="1"/>
  <c r="K48" i="71"/>
  <c r="AI48" i="71" s="1"/>
  <c r="E48" i="71"/>
  <c r="AN47" i="71"/>
  <c r="Y47" i="71"/>
  <c r="U47" i="71"/>
  <c r="O47" i="71"/>
  <c r="S47" i="71" s="1"/>
  <c r="AC47" i="71" s="1"/>
  <c r="K47" i="71"/>
  <c r="E47" i="71"/>
  <c r="AN46" i="71"/>
  <c r="Y46" i="71"/>
  <c r="AA46" i="71" s="1"/>
  <c r="U46" i="71"/>
  <c r="AD46" i="71" s="1"/>
  <c r="O46" i="71"/>
  <c r="K46" i="71"/>
  <c r="AH46" i="71" s="1"/>
  <c r="E46" i="71"/>
  <c r="AN45" i="71"/>
  <c r="Z45" i="71"/>
  <c r="Y45" i="71"/>
  <c r="U45" i="71"/>
  <c r="AJ45" i="71" s="1"/>
  <c r="O45" i="71"/>
  <c r="K45" i="71"/>
  <c r="AH45" i="71" s="1"/>
  <c r="E45" i="71"/>
  <c r="AN44" i="71"/>
  <c r="Z44" i="71"/>
  <c r="Y44" i="71"/>
  <c r="U44" i="71"/>
  <c r="O44" i="71"/>
  <c r="S44" i="71" s="1"/>
  <c r="AC44" i="71" s="1"/>
  <c r="K44" i="71"/>
  <c r="E44" i="71"/>
  <c r="AN43" i="71"/>
  <c r="AC43" i="71"/>
  <c r="Z43" i="71"/>
  <c r="Y43" i="71"/>
  <c r="U43" i="71"/>
  <c r="AD43" i="71" s="1"/>
  <c r="O43" i="71"/>
  <c r="K43" i="71"/>
  <c r="AI43" i="71" s="1"/>
  <c r="E43" i="71"/>
  <c r="AN42" i="71"/>
  <c r="Y42" i="71"/>
  <c r="AE42" i="71" s="1"/>
  <c r="U42" i="71"/>
  <c r="O42" i="71"/>
  <c r="S42" i="71" s="1"/>
  <c r="AC42" i="71" s="1"/>
  <c r="K42" i="71"/>
  <c r="AI42" i="71" s="1"/>
  <c r="E42" i="71"/>
  <c r="AN41" i="71"/>
  <c r="Z41" i="71"/>
  <c r="Y41" i="71"/>
  <c r="U41" i="71"/>
  <c r="AJ41" i="71" s="1"/>
  <c r="O41" i="71"/>
  <c r="S41" i="71" s="1"/>
  <c r="AC41" i="71" s="1"/>
  <c r="K41" i="71"/>
  <c r="AH41" i="71" s="1"/>
  <c r="E41" i="71"/>
  <c r="AN40" i="71"/>
  <c r="Z40" i="71"/>
  <c r="Y40" i="71"/>
  <c r="U40" i="71"/>
  <c r="O40" i="71"/>
  <c r="K40" i="71"/>
  <c r="AI40" i="71" s="1"/>
  <c r="E40" i="71"/>
  <c r="AN39" i="71"/>
  <c r="Y39" i="71"/>
  <c r="AE39" i="71" s="1"/>
  <c r="U39" i="71"/>
  <c r="O39" i="71"/>
  <c r="S39" i="71" s="1"/>
  <c r="AC39" i="71" s="1"/>
  <c r="K39" i="71"/>
  <c r="E39" i="71"/>
  <c r="AN38" i="71"/>
  <c r="Y38" i="71"/>
  <c r="AE38" i="71" s="1"/>
  <c r="U38" i="71"/>
  <c r="AD38" i="71" s="1"/>
  <c r="O38" i="71"/>
  <c r="K38" i="71"/>
  <c r="AI38" i="71" s="1"/>
  <c r="E38" i="71"/>
  <c r="AN37" i="71"/>
  <c r="Y37" i="71"/>
  <c r="U37" i="71"/>
  <c r="AJ37" i="71" s="1"/>
  <c r="O37" i="71"/>
  <c r="K37" i="71"/>
  <c r="AH37" i="71" s="1"/>
  <c r="E37" i="71"/>
  <c r="AN36" i="71"/>
  <c r="Y36" i="71"/>
  <c r="AE36" i="71" s="1"/>
  <c r="U36" i="71"/>
  <c r="AJ36" i="71" s="1"/>
  <c r="O36" i="71"/>
  <c r="K36" i="71"/>
  <c r="AI36" i="71" s="1"/>
  <c r="E36" i="71"/>
  <c r="AN35" i="71"/>
  <c r="Y35" i="71"/>
  <c r="U35" i="71"/>
  <c r="O35" i="71"/>
  <c r="S35" i="71" s="1"/>
  <c r="AC35" i="71" s="1"/>
  <c r="K35" i="71"/>
  <c r="AI35" i="71" s="1"/>
  <c r="E35" i="71"/>
  <c r="AN34" i="71"/>
  <c r="AC34" i="71"/>
  <c r="Z34" i="71"/>
  <c r="Y34" i="71"/>
  <c r="U34" i="71"/>
  <c r="O34" i="71"/>
  <c r="K34" i="71"/>
  <c r="E34" i="71"/>
  <c r="AN33" i="71"/>
  <c r="AC33" i="71"/>
  <c r="Z33" i="71"/>
  <c r="Y33" i="71"/>
  <c r="U33" i="71"/>
  <c r="N33" i="71"/>
  <c r="O33" i="71" s="1"/>
  <c r="K33" i="71"/>
  <c r="AH33" i="71" s="1"/>
  <c r="E33" i="71"/>
  <c r="AN32" i="71"/>
  <c r="AC32" i="71"/>
  <c r="Z32" i="71"/>
  <c r="Y32" i="71"/>
  <c r="U32" i="71"/>
  <c r="AJ32" i="71" s="1"/>
  <c r="O32" i="71"/>
  <c r="K32" i="71"/>
  <c r="AH32" i="71" s="1"/>
  <c r="E32" i="71"/>
  <c r="AN31" i="71"/>
  <c r="AC31" i="71"/>
  <c r="Z31" i="71"/>
  <c r="Y31" i="71"/>
  <c r="U31" i="71"/>
  <c r="AD31" i="71" s="1"/>
  <c r="O31" i="71"/>
  <c r="K31" i="71"/>
  <c r="AH31" i="71" s="1"/>
  <c r="E31" i="71"/>
  <c r="AN30" i="71"/>
  <c r="AC30" i="71"/>
  <c r="Z30" i="71"/>
  <c r="Y30" i="71"/>
  <c r="U30" i="71"/>
  <c r="AD30" i="71" s="1"/>
  <c r="O30" i="71"/>
  <c r="K30" i="71"/>
  <c r="AI30" i="71" s="1"/>
  <c r="E30" i="71"/>
  <c r="AN29" i="71"/>
  <c r="AC29" i="71"/>
  <c r="Z29" i="71"/>
  <c r="Y29" i="71"/>
  <c r="U29" i="71"/>
  <c r="AD29" i="71" s="1"/>
  <c r="O29" i="71"/>
  <c r="K29" i="71"/>
  <c r="AI29" i="71" s="1"/>
  <c r="E29" i="71"/>
  <c r="AN28" i="71"/>
  <c r="Z28" i="71"/>
  <c r="Y28" i="71"/>
  <c r="U28" i="71"/>
  <c r="AJ28" i="71" s="1"/>
  <c r="O28" i="71"/>
  <c r="K28" i="71"/>
  <c r="AK28" i="71" s="1"/>
  <c r="E28" i="71"/>
  <c r="AN27" i="71"/>
  <c r="Z27" i="71"/>
  <c r="Y27" i="71"/>
  <c r="U27" i="71"/>
  <c r="AD27" i="71" s="1"/>
  <c r="O27" i="71"/>
  <c r="S27" i="71" s="1"/>
  <c r="AC27" i="71" s="1"/>
  <c r="K27" i="71"/>
  <c r="AI27" i="71" s="1"/>
  <c r="E27" i="71"/>
  <c r="AN26" i="71"/>
  <c r="Z26" i="71"/>
  <c r="Y26" i="71"/>
  <c r="U26" i="71"/>
  <c r="AD26" i="71" s="1"/>
  <c r="O26" i="71"/>
  <c r="K26" i="71"/>
  <c r="E26" i="71"/>
  <c r="AN25" i="71"/>
  <c r="Z25" i="71"/>
  <c r="Y25" i="71"/>
  <c r="U25" i="71"/>
  <c r="AD25" i="71" s="1"/>
  <c r="O25" i="71"/>
  <c r="K25" i="71"/>
  <c r="E25" i="71"/>
  <c r="AN24" i="71"/>
  <c r="AI24" i="71"/>
  <c r="AC24" i="71"/>
  <c r="Z24" i="71"/>
  <c r="Y24" i="71"/>
  <c r="U24" i="71"/>
  <c r="AD24" i="71" s="1"/>
  <c r="O24" i="71"/>
  <c r="K24" i="71"/>
  <c r="AH24" i="71" s="1"/>
  <c r="E24" i="71"/>
  <c r="AN23" i="71"/>
  <c r="AC23" i="71"/>
  <c r="Z23" i="71"/>
  <c r="Y23" i="71"/>
  <c r="U23" i="71"/>
  <c r="AJ23" i="71" s="1"/>
  <c r="O23" i="71"/>
  <c r="K23" i="71"/>
  <c r="AI23" i="71" s="1"/>
  <c r="E23" i="71"/>
  <c r="AN22" i="71"/>
  <c r="AC22" i="71"/>
  <c r="Z22" i="71"/>
  <c r="Y22" i="71"/>
  <c r="U22" i="71"/>
  <c r="AD22" i="71" s="1"/>
  <c r="O22" i="71"/>
  <c r="K22" i="71"/>
  <c r="AH22" i="71" s="1"/>
  <c r="E22" i="71"/>
  <c r="AN21" i="71"/>
  <c r="AC21" i="71"/>
  <c r="Z21" i="71"/>
  <c r="Y21" i="71"/>
  <c r="U21" i="71"/>
  <c r="AJ21" i="71" s="1"/>
  <c r="O21" i="71"/>
  <c r="K21" i="71"/>
  <c r="AI21" i="71" s="1"/>
  <c r="E21" i="71"/>
  <c r="AN20" i="71"/>
  <c r="AC20" i="71"/>
  <c r="Z20" i="71"/>
  <c r="Y20" i="71"/>
  <c r="U20" i="71"/>
  <c r="AD20" i="71" s="1"/>
  <c r="O20" i="71"/>
  <c r="K20" i="71"/>
  <c r="E20" i="71"/>
  <c r="AN19" i="71"/>
  <c r="AC19" i="71"/>
  <c r="Z19" i="71"/>
  <c r="Y19" i="71"/>
  <c r="U19" i="71"/>
  <c r="O19" i="71"/>
  <c r="K19" i="71"/>
  <c r="AH19" i="71" s="1"/>
  <c r="E19" i="71"/>
  <c r="AN18" i="71"/>
  <c r="Z18" i="71"/>
  <c r="Y18" i="71"/>
  <c r="U18" i="71"/>
  <c r="O18" i="71"/>
  <c r="K18" i="71"/>
  <c r="E18" i="71"/>
  <c r="AN17" i="71"/>
  <c r="Z17" i="71"/>
  <c r="Y17" i="71"/>
  <c r="U17" i="71"/>
  <c r="AD17" i="71" s="1"/>
  <c r="O17" i="71"/>
  <c r="S17" i="71" s="1"/>
  <c r="AC17" i="71" s="1"/>
  <c r="K17" i="71"/>
  <c r="AI17" i="71" s="1"/>
  <c r="E17" i="71"/>
  <c r="AN16" i="71"/>
  <c r="Z16" i="71"/>
  <c r="Y16" i="71"/>
  <c r="U16" i="71"/>
  <c r="AJ16" i="71" s="1"/>
  <c r="O16" i="71"/>
  <c r="S16" i="71" s="1"/>
  <c r="AC16" i="71" s="1"/>
  <c r="K16" i="71"/>
  <c r="E16" i="71"/>
  <c r="AN15" i="71"/>
  <c r="Z15" i="71"/>
  <c r="Y15" i="71"/>
  <c r="U15" i="71"/>
  <c r="O15" i="71"/>
  <c r="S15" i="71" s="1"/>
  <c r="AC15" i="71" s="1"/>
  <c r="K15" i="71"/>
  <c r="AI15" i="71" s="1"/>
  <c r="E15" i="71"/>
  <c r="AN14" i="71"/>
  <c r="Z14" i="71"/>
  <c r="Y14" i="71"/>
  <c r="U14" i="71"/>
  <c r="O14" i="71"/>
  <c r="S14" i="71" s="1"/>
  <c r="AC14" i="71" s="1"/>
  <c r="K14" i="71"/>
  <c r="E14" i="71"/>
  <c r="AN13" i="71"/>
  <c r="Z13" i="71"/>
  <c r="Y13" i="71"/>
  <c r="U13" i="71"/>
  <c r="AJ13" i="71" s="1"/>
  <c r="O13" i="71"/>
  <c r="S13" i="71" s="1"/>
  <c r="AC13" i="71" s="1"/>
  <c r="K13" i="71"/>
  <c r="E13" i="71"/>
  <c r="AN12" i="71"/>
  <c r="Z12" i="71"/>
  <c r="Y12" i="71"/>
  <c r="U12" i="71"/>
  <c r="AD12" i="71" s="1"/>
  <c r="O12" i="71"/>
  <c r="K12" i="71"/>
  <c r="E12" i="71"/>
  <c r="AN11" i="71"/>
  <c r="Z11" i="71"/>
  <c r="Y11" i="71"/>
  <c r="U11" i="71"/>
  <c r="AJ11" i="71" s="1"/>
  <c r="O11" i="71"/>
  <c r="K11" i="71"/>
  <c r="E11" i="71"/>
  <c r="AN10" i="71"/>
  <c r="Z10" i="71"/>
  <c r="Y10" i="71"/>
  <c r="U10" i="71"/>
  <c r="AJ10" i="71" s="1"/>
  <c r="O10" i="71"/>
  <c r="K10" i="71"/>
  <c r="AI10" i="71" s="1"/>
  <c r="E10" i="71"/>
  <c r="AN9" i="71"/>
  <c r="Z9" i="71"/>
  <c r="Y9" i="71"/>
  <c r="U9" i="71"/>
  <c r="O9" i="71"/>
  <c r="K9" i="71"/>
  <c r="AI9" i="71" s="1"/>
  <c r="E9" i="71"/>
  <c r="AN8" i="71"/>
  <c r="Z8" i="71"/>
  <c r="Y8" i="71"/>
  <c r="U8" i="71"/>
  <c r="AJ8" i="71" s="1"/>
  <c r="O8" i="71"/>
  <c r="K8" i="71"/>
  <c r="AH8" i="71" s="1"/>
  <c r="E8" i="71"/>
  <c r="AN7" i="71"/>
  <c r="Z7" i="71"/>
  <c r="Y7" i="71"/>
  <c r="U7" i="71"/>
  <c r="AD7" i="71" s="1"/>
  <c r="O7" i="71"/>
  <c r="K7" i="71"/>
  <c r="AH7" i="71" s="1"/>
  <c r="E7" i="71"/>
  <c r="AN6" i="71"/>
  <c r="AC6" i="71"/>
  <c r="Z6" i="71"/>
  <c r="Y6" i="71"/>
  <c r="U6" i="71"/>
  <c r="AJ6" i="71" s="1"/>
  <c r="O6" i="71"/>
  <c r="K6" i="71"/>
  <c r="E6" i="71"/>
  <c r="AN5" i="71"/>
  <c r="Z5" i="71"/>
  <c r="Y5" i="71"/>
  <c r="U5" i="71"/>
  <c r="AJ5" i="71" s="1"/>
  <c r="O5" i="71"/>
  <c r="K5" i="71"/>
  <c r="E5" i="71"/>
  <c r="I2" i="71"/>
  <c r="AK86" i="71" l="1"/>
  <c r="AK16" i="71"/>
  <c r="AK44" i="71"/>
  <c r="AK47" i="71"/>
  <c r="AE61" i="71"/>
  <c r="AE73" i="71"/>
  <c r="AF31" i="71"/>
  <c r="AE10" i="71"/>
  <c r="AA31" i="71"/>
  <c r="AB31" i="71" s="1"/>
  <c r="AM31" i="71" s="1"/>
  <c r="AA94" i="71"/>
  <c r="AB94" i="71" s="1"/>
  <c r="AM94" i="71" s="1"/>
  <c r="AA72" i="71"/>
  <c r="AB72" i="71" s="1"/>
  <c r="AM72" i="71" s="1"/>
  <c r="AA86" i="71"/>
  <c r="AB86" i="71" s="1"/>
  <c r="AM86" i="71" s="1"/>
  <c r="AK72" i="71"/>
  <c r="AE82" i="71"/>
  <c r="AI6" i="71"/>
  <c r="AH6" i="71"/>
  <c r="AK79" i="71"/>
  <c r="AI79" i="71"/>
  <c r="AH39" i="71"/>
  <c r="AI39" i="71"/>
  <c r="AH78" i="71"/>
  <c r="AI78" i="71"/>
  <c r="AH82" i="71"/>
  <c r="AI82" i="71"/>
  <c r="AA104" i="71"/>
  <c r="AB104" i="71" s="1"/>
  <c r="AM104" i="71" s="1"/>
  <c r="AE11" i="71"/>
  <c r="AK73" i="71"/>
  <c r="AE17" i="71"/>
  <c r="AK25" i="71"/>
  <c r="AK67" i="71"/>
  <c r="AA84" i="71"/>
  <c r="AK59" i="71"/>
  <c r="AF37" i="71"/>
  <c r="AW26" i="71"/>
  <c r="AY26" i="71" s="1"/>
  <c r="BA26" i="71" s="1"/>
  <c r="AW24" i="71"/>
  <c r="AY24" i="71" s="1"/>
  <c r="BA24" i="71" s="1"/>
  <c r="AF8" i="71"/>
  <c r="AW23" i="71"/>
  <c r="AY23" i="71" s="1"/>
  <c r="BA23" i="71" s="1"/>
  <c r="AK26" i="71"/>
  <c r="AA32" i="71"/>
  <c r="AB32" i="71" s="1"/>
  <c r="AM32" i="71" s="1"/>
  <c r="AF50" i="71"/>
  <c r="AH5" i="71"/>
  <c r="AW7" i="71"/>
  <c r="AX7" i="71" s="1" a="1"/>
  <c r="AX7" i="71" s="1"/>
  <c r="BA7" i="71" s="1"/>
  <c r="AA41" i="71"/>
  <c r="AB41" i="71" s="1"/>
  <c r="AM41" i="71" s="1"/>
  <c r="AF106" i="71"/>
  <c r="AE62" i="71"/>
  <c r="AE88" i="71"/>
  <c r="AF32" i="71"/>
  <c r="AE64" i="71"/>
  <c r="AE76" i="71"/>
  <c r="AW8" i="71"/>
  <c r="AX8" i="71" s="1" a="1"/>
  <c r="AX8" i="71" s="1"/>
  <c r="BA8" i="71" s="1"/>
  <c r="AF30" i="71"/>
  <c r="AW22" i="71"/>
  <c r="AY22" i="71" s="1"/>
  <c r="BA22" i="71" s="1"/>
  <c r="AE14" i="71"/>
  <c r="AF93" i="71"/>
  <c r="AW25" i="71"/>
  <c r="AY25" i="71" s="1"/>
  <c r="BA25" i="71" s="1"/>
  <c r="AI45" i="71"/>
  <c r="AK62" i="71"/>
  <c r="AE55" i="71"/>
  <c r="AW11" i="71"/>
  <c r="AX11" i="71" s="1" a="1"/>
  <c r="AX11" i="71" s="1"/>
  <c r="AE23" i="71"/>
  <c r="AD106" i="71"/>
  <c r="AD23" i="71"/>
  <c r="AK7" i="71"/>
  <c r="AJ46" i="71"/>
  <c r="AK55" i="71"/>
  <c r="AW10" i="71"/>
  <c r="AX10" i="71" s="1" a="1"/>
  <c r="AX10" i="71" s="1"/>
  <c r="AW9" i="71"/>
  <c r="AX9" i="71" s="1" a="1"/>
  <c r="AX9" i="71" s="1"/>
  <c r="AD32" i="71"/>
  <c r="AE9" i="71"/>
  <c r="AF11" i="71"/>
  <c r="AF40" i="71"/>
  <c r="AE59" i="71"/>
  <c r="AF73" i="71"/>
  <c r="AA95" i="71"/>
  <c r="AH105" i="71"/>
  <c r="AK13" i="71"/>
  <c r="AF18" i="71"/>
  <c r="AI22" i="71"/>
  <c r="AE25" i="71"/>
  <c r="AE45" i="71"/>
  <c r="AE52" i="71"/>
  <c r="BA17" i="71"/>
  <c r="AD87" i="71"/>
  <c r="AE16" i="71"/>
  <c r="AD84" i="71"/>
  <c r="AF87" i="71"/>
  <c r="AD28" i="71"/>
  <c r="AI54" i="71"/>
  <c r="AD37" i="71"/>
  <c r="AE18" i="71"/>
  <c r="AK33" i="71"/>
  <c r="AA49" i="71"/>
  <c r="AK54" i="71"/>
  <c r="AF56" i="71"/>
  <c r="AK58" i="71"/>
  <c r="AE72" i="71"/>
  <c r="AI83" i="71"/>
  <c r="AE101" i="71"/>
  <c r="AF16" i="71"/>
  <c r="AF39" i="71"/>
  <c r="AH61" i="71"/>
  <c r="AH72" i="71"/>
  <c r="AI73" i="71"/>
  <c r="AK83" i="71"/>
  <c r="AI31" i="71"/>
  <c r="AH62" i="71"/>
  <c r="AH15" i="71"/>
  <c r="AF29" i="71"/>
  <c r="AF46" i="71"/>
  <c r="AI72" i="71"/>
  <c r="AI96" i="71"/>
  <c r="AE97" i="71"/>
  <c r="AF102" i="71"/>
  <c r="AD73" i="71"/>
  <c r="AD36" i="71"/>
  <c r="AJ72" i="71"/>
  <c r="AA90" i="71"/>
  <c r="AE28" i="71"/>
  <c r="AD16" i="71"/>
  <c r="AA73" i="71"/>
  <c r="AJ54" i="71"/>
  <c r="AI7" i="71"/>
  <c r="AF9" i="71"/>
  <c r="AE29" i="71"/>
  <c r="AH36" i="71"/>
  <c r="AE60" i="71"/>
  <c r="AK82" i="71"/>
  <c r="AF105" i="71"/>
  <c r="AE53" i="71"/>
  <c r="AK70" i="71"/>
  <c r="AE27" i="71"/>
  <c r="AK38" i="71"/>
  <c r="AD57" i="71"/>
  <c r="AJ71" i="71"/>
  <c r="AJ82" i="71"/>
  <c r="AF88" i="71"/>
  <c r="AJ31" i="71"/>
  <c r="AA79" i="71"/>
  <c r="AB79" i="71" s="1"/>
  <c r="AM79" i="71" s="1"/>
  <c r="AF94" i="71"/>
  <c r="AD41" i="71"/>
  <c r="S56" i="71"/>
  <c r="AC56" i="71" s="1"/>
  <c r="AD21" i="71"/>
  <c r="AI41" i="71"/>
  <c r="AH50" i="71"/>
  <c r="AE95" i="71"/>
  <c r="AD5" i="71"/>
  <c r="AI70" i="71"/>
  <c r="AA17" i="71"/>
  <c r="AB17" i="71" s="1"/>
  <c r="AM17" i="71" s="1"/>
  <c r="AJ30" i="71"/>
  <c r="AH59" i="71"/>
  <c r="AI60" i="71"/>
  <c r="AF80" i="71"/>
  <c r="AF92" i="71"/>
  <c r="AH93" i="71"/>
  <c r="AE94" i="71"/>
  <c r="AI95" i="71"/>
  <c r="AK95" i="71"/>
  <c r="AE32" i="71"/>
  <c r="AJ22" i="71"/>
  <c r="AF95" i="71"/>
  <c r="AD107" i="71"/>
  <c r="AI26" i="71"/>
  <c r="AA7" i="71"/>
  <c r="AD8" i="71"/>
  <c r="AK12" i="71"/>
  <c r="AF19" i="71"/>
  <c r="AH25" i="71"/>
  <c r="AJ26" i="71"/>
  <c r="AK42" i="71"/>
  <c r="AI59" i="71"/>
  <c r="AE63" i="71"/>
  <c r="AA66" i="71"/>
  <c r="AH77" i="71"/>
  <c r="S80" i="71"/>
  <c r="AC80" i="71" s="1"/>
  <c r="AH92" i="71"/>
  <c r="AJ94" i="71"/>
  <c r="AJ103" i="71"/>
  <c r="AA106" i="71"/>
  <c r="AB106" i="71" s="1"/>
  <c r="AM106" i="71" s="1"/>
  <c r="AA93" i="71"/>
  <c r="AK21" i="71"/>
  <c r="S37" i="71"/>
  <c r="AC37" i="71" s="1"/>
  <c r="AF59" i="71"/>
  <c r="AH13" i="71"/>
  <c r="AJ43" i="71"/>
  <c r="AK49" i="71"/>
  <c r="AH55" i="71"/>
  <c r="AJ59" i="71"/>
  <c r="AD69" i="71"/>
  <c r="AK77" i="71"/>
  <c r="AK88" i="71"/>
  <c r="AD91" i="71"/>
  <c r="AJ93" i="71"/>
  <c r="AF82" i="71"/>
  <c r="AJ86" i="71"/>
  <c r="AJ53" i="71"/>
  <c r="AJ27" i="71"/>
  <c r="AH35" i="71"/>
  <c r="AD95" i="71"/>
  <c r="AH104" i="71"/>
  <c r="AE81" i="71"/>
  <c r="AK104" i="71"/>
  <c r="AH26" i="71"/>
  <c r="AJ17" i="71"/>
  <c r="AI25" i="71"/>
  <c r="AF6" i="71"/>
  <c r="AI13" i="71"/>
  <c r="AE19" i="71"/>
  <c r="AF22" i="71"/>
  <c r="AA23" i="71"/>
  <c r="AB23" i="71" s="1"/>
  <c r="AM23" i="71" s="1"/>
  <c r="AJ25" i="71"/>
  <c r="AE33" i="71"/>
  <c r="AJ55" i="71"/>
  <c r="AH63" i="71"/>
  <c r="AF68" i="71"/>
  <c r="AF71" i="71"/>
  <c r="AK92" i="71"/>
  <c r="AA99" i="71"/>
  <c r="AD98" i="71"/>
  <c r="AJ98" i="71"/>
  <c r="AA91" i="71"/>
  <c r="AB91" i="71" s="1"/>
  <c r="AM91" i="71" s="1"/>
  <c r="AE91" i="71"/>
  <c r="AA30" i="71"/>
  <c r="AB30" i="71" s="1"/>
  <c r="AM30" i="71" s="1"/>
  <c r="AE30" i="71"/>
  <c r="AH29" i="71"/>
  <c r="AJ58" i="71"/>
  <c r="AD58" i="71"/>
  <c r="S90" i="71"/>
  <c r="AC90" i="71" s="1"/>
  <c r="AF90" i="71"/>
  <c r="AJ49" i="71"/>
  <c r="AD49" i="71"/>
  <c r="AD14" i="71"/>
  <c r="AJ14" i="71"/>
  <c r="AF14" i="71"/>
  <c r="AK97" i="71"/>
  <c r="AI97" i="71"/>
  <c r="AH97" i="71"/>
  <c r="AH81" i="71"/>
  <c r="AI20" i="71"/>
  <c r="AK20" i="71"/>
  <c r="AD109" i="71"/>
  <c r="AJ109" i="71"/>
  <c r="AA8" i="71"/>
  <c r="AK10" i="71"/>
  <c r="S11" i="71"/>
  <c r="AC11" i="71" s="1"/>
  <c r="AE13" i="71"/>
  <c r="AA14" i="71"/>
  <c r="AB14" i="71" s="1"/>
  <c r="AM14" i="71" s="1"/>
  <c r="AA15" i="71"/>
  <c r="AB15" i="71" s="1"/>
  <c r="AM15" i="71" s="1"/>
  <c r="AJ19" i="71"/>
  <c r="AD19" i="71"/>
  <c r="AF23" i="71"/>
  <c r="AH34" i="71"/>
  <c r="AI34" i="71"/>
  <c r="AF65" i="71"/>
  <c r="AA70" i="71"/>
  <c r="AH73" i="71"/>
  <c r="AD15" i="71"/>
  <c r="AJ15" i="71"/>
  <c r="AH80" i="71"/>
  <c r="AI80" i="71"/>
  <c r="AA52" i="71"/>
  <c r="AB52" i="71" s="1"/>
  <c r="AM52" i="71" s="1"/>
  <c r="AK106" i="71"/>
  <c r="AH106" i="71"/>
  <c r="AI106" i="71"/>
  <c r="AH42" i="71"/>
  <c r="AE46" i="71"/>
  <c r="AE69" i="71"/>
  <c r="AA69" i="71"/>
  <c r="AB69" i="71" s="1"/>
  <c r="AM69" i="71" s="1"/>
  <c r="AD70" i="71"/>
  <c r="AF99" i="71"/>
  <c r="S99" i="71"/>
  <c r="AC99" i="71" s="1"/>
  <c r="AE89" i="71"/>
  <c r="AD99" i="71"/>
  <c r="AJ99" i="71"/>
  <c r="AF38" i="71"/>
  <c r="AD63" i="71"/>
  <c r="AJ63" i="71"/>
  <c r="AA65" i="71"/>
  <c r="AH89" i="71"/>
  <c r="AD90" i="71"/>
  <c r="AB54" i="71"/>
  <c r="AM54" i="71" s="1"/>
  <c r="AA61" i="71"/>
  <c r="AA62" i="71"/>
  <c r="AB62" i="71" s="1"/>
  <c r="AM62" i="71" s="1"/>
  <c r="AE86" i="71"/>
  <c r="AK81" i="71"/>
  <c r="AJ97" i="71"/>
  <c r="AD97" i="71"/>
  <c r="AH51" i="71"/>
  <c r="AI51" i="71"/>
  <c r="AE7" i="71"/>
  <c r="AF13" i="71"/>
  <c r="AK18" i="71"/>
  <c r="AI18" i="71"/>
  <c r="AB108" i="71"/>
  <c r="AM108" i="71" s="1"/>
  <c r="AA11" i="71"/>
  <c r="AH12" i="71"/>
  <c r="AK17" i="71"/>
  <c r="AH17" i="71"/>
  <c r="AA76" i="71"/>
  <c r="AB76" i="71" s="1"/>
  <c r="AM76" i="71" s="1"/>
  <c r="AE105" i="71"/>
  <c r="AA105" i="71"/>
  <c r="AB105" i="71" s="1"/>
  <c r="AM105" i="71" s="1"/>
  <c r="AA6" i="71"/>
  <c r="AB6" i="71" s="1"/>
  <c r="AM6" i="71" s="1"/>
  <c r="AA10" i="71"/>
  <c r="AA28" i="71"/>
  <c r="S73" i="71"/>
  <c r="AD10" i="71"/>
  <c r="AJ33" i="71"/>
  <c r="AD33" i="71"/>
  <c r="AA64" i="71"/>
  <c r="AB64" i="71" s="1"/>
  <c r="AM64" i="71" s="1"/>
  <c r="AK69" i="71"/>
  <c r="AJ76" i="71"/>
  <c r="AJ9" i="71"/>
  <c r="AD9" i="71"/>
  <c r="AA18" i="71"/>
  <c r="AK19" i="71"/>
  <c r="AF21" i="71"/>
  <c r="AE22" i="71"/>
  <c r="AE24" i="71"/>
  <c r="AA26" i="71"/>
  <c r="AH27" i="71"/>
  <c r="AK30" i="71"/>
  <c r="AJ39" i="71"/>
  <c r="AD39" i="71"/>
  <c r="AE41" i="71"/>
  <c r="AK43" i="71"/>
  <c r="AH43" i="71"/>
  <c r="AD45" i="71"/>
  <c r="AA55" i="71"/>
  <c r="AA56" i="71"/>
  <c r="AA60" i="71"/>
  <c r="AB60" i="71" s="1"/>
  <c r="AM60" i="71" s="1"/>
  <c r="AD62" i="71"/>
  <c r="AD65" i="71"/>
  <c r="AI11" i="71"/>
  <c r="AH11" i="71"/>
  <c r="AK48" i="71"/>
  <c r="AD13" i="71"/>
  <c r="AK34" i="71"/>
  <c r="AF34" i="71"/>
  <c r="AA87" i="71"/>
  <c r="AB87" i="71" s="1"/>
  <c r="AM87" i="71" s="1"/>
  <c r="AE87" i="71"/>
  <c r="AA42" i="71"/>
  <c r="AB42" i="71" s="1"/>
  <c r="AM42" i="71" s="1"/>
  <c r="AA59" i="71"/>
  <c r="AB59" i="71" s="1"/>
  <c r="AM59" i="71" s="1"/>
  <c r="AJ105" i="71"/>
  <c r="AD105" i="71"/>
  <c r="AK39" i="71"/>
  <c r="AD11" i="71"/>
  <c r="AI12" i="71"/>
  <c r="AI16" i="71"/>
  <c r="AH16" i="71"/>
  <c r="AK80" i="71"/>
  <c r="S5" i="71"/>
  <c r="AC5" i="71" s="1"/>
  <c r="AF5" i="71"/>
  <c r="AI19" i="71"/>
  <c r="AH10" i="71"/>
  <c r="AK14" i="71"/>
  <c r="AI14" i="71"/>
  <c r="AH14" i="71"/>
  <c r="AH18" i="71"/>
  <c r="AA25" i="71"/>
  <c r="AH40" i="71"/>
  <c r="AE50" i="71"/>
  <c r="AA50" i="71"/>
  <c r="AD68" i="71"/>
  <c r="AI75" i="71"/>
  <c r="AJ85" i="71"/>
  <c r="AJ52" i="71"/>
  <c r="AD52" i="71"/>
  <c r="AE12" i="71"/>
  <c r="AJ34" i="71"/>
  <c r="AD34" i="71"/>
  <c r="AD81" i="71"/>
  <c r="AA19" i="71"/>
  <c r="AB19" i="71" s="1"/>
  <c r="AM19" i="71" s="1"/>
  <c r="AD18" i="71"/>
  <c r="AJ18" i="71"/>
  <c r="AA27" i="71"/>
  <c r="AB27" i="71" s="1"/>
  <c r="AM27" i="71" s="1"/>
  <c r="AA34" i="71"/>
  <c r="AB34" i="71" s="1"/>
  <c r="AM34" i="71" s="1"/>
  <c r="AI44" i="71"/>
  <c r="AH44" i="71"/>
  <c r="AI46" i="71"/>
  <c r="AF107" i="71"/>
  <c r="S107" i="71"/>
  <c r="AC107" i="71" s="1"/>
  <c r="AJ44" i="71"/>
  <c r="AD44" i="71"/>
  <c r="AE54" i="71"/>
  <c r="AF55" i="71"/>
  <c r="AA63" i="71"/>
  <c r="AB63" i="71" s="1"/>
  <c r="AM63" i="71" s="1"/>
  <c r="AH64" i="71"/>
  <c r="AE5" i="71"/>
  <c r="AE21" i="71"/>
  <c r="AA22" i="71"/>
  <c r="AB22" i="71" s="1"/>
  <c r="AM22" i="71" s="1"/>
  <c r="AK35" i="71"/>
  <c r="AA39" i="71"/>
  <c r="AB39" i="71" s="1"/>
  <c r="AM39" i="71" s="1"/>
  <c r="AK40" i="71"/>
  <c r="AD50" i="71"/>
  <c r="AF52" i="71"/>
  <c r="AF54" i="71"/>
  <c r="AD56" i="71"/>
  <c r="AF62" i="71"/>
  <c r="AK64" i="71"/>
  <c r="AK75" i="71"/>
  <c r="AK101" i="71"/>
  <c r="AH86" i="71"/>
  <c r="AI86" i="71"/>
  <c r="AJ88" i="71"/>
  <c r="AD88" i="71"/>
  <c r="AA38" i="71"/>
  <c r="AH47" i="71"/>
  <c r="AI47" i="71"/>
  <c r="AD79" i="71"/>
  <c r="AG79" i="71" s="1"/>
  <c r="AJ79" i="71"/>
  <c r="AF101" i="71"/>
  <c r="AA107" i="71"/>
  <c r="AA44" i="71"/>
  <c r="AB44" i="71" s="1"/>
  <c r="AM44" i="71" s="1"/>
  <c r="AH74" i="71"/>
  <c r="AI74" i="71"/>
  <c r="AK24" i="71"/>
  <c r="AF26" i="71"/>
  <c r="AA29" i="71"/>
  <c r="AB29" i="71" s="1"/>
  <c r="AM29" i="71" s="1"/>
  <c r="AK57" i="71"/>
  <c r="AK66" i="71"/>
  <c r="AK78" i="71"/>
  <c r="AA81" i="71"/>
  <c r="AA82" i="71"/>
  <c r="AB82" i="71" s="1"/>
  <c r="AM82" i="71" s="1"/>
  <c r="AE93" i="71"/>
  <c r="AI98" i="71"/>
  <c r="AK98" i="71"/>
  <c r="AA101" i="71"/>
  <c r="AB101" i="71" s="1"/>
  <c r="AM101" i="71" s="1"/>
  <c r="AE90" i="71"/>
  <c r="AK105" i="71"/>
  <c r="AA98" i="71"/>
  <c r="AK45" i="71"/>
  <c r="AF67" i="71"/>
  <c r="AK93" i="71"/>
  <c r="AE102" i="71"/>
  <c r="AF33" i="71"/>
  <c r="AA5" i="71"/>
  <c r="S9" i="71"/>
  <c r="AC9" i="71" s="1"/>
  <c r="AE20" i="71"/>
  <c r="AA20" i="71"/>
  <c r="AB20" i="71" s="1"/>
  <c r="AM20" i="71" s="1"/>
  <c r="AA24" i="71"/>
  <c r="AB24" i="71" s="1"/>
  <c r="AM24" i="71" s="1"/>
  <c r="AK31" i="71"/>
  <c r="AA33" i="71"/>
  <c r="AB33" i="71" s="1"/>
  <c r="AM33" i="71" s="1"/>
  <c r="AE47" i="71"/>
  <c r="AA47" i="71"/>
  <c r="AB47" i="71" s="1"/>
  <c r="AM47" i="71" s="1"/>
  <c r="AF61" i="71"/>
  <c r="AD74" i="71"/>
  <c r="AJ74" i="71"/>
  <c r="AE75" i="71"/>
  <c r="AA75" i="71"/>
  <c r="AB75" i="71" s="1"/>
  <c r="AM75" i="71" s="1"/>
  <c r="AK84" i="71"/>
  <c r="AI84" i="71"/>
  <c r="AH84" i="71"/>
  <c r="AD108" i="71"/>
  <c r="AJ108" i="71"/>
  <c r="AE6" i="71"/>
  <c r="AJ7" i="71"/>
  <c r="AA12" i="71"/>
  <c r="AA16" i="71"/>
  <c r="AB16" i="71" s="1"/>
  <c r="AM16" i="71" s="1"/>
  <c r="AK22" i="71"/>
  <c r="S25" i="71"/>
  <c r="AC25" i="71" s="1"/>
  <c r="AK37" i="71"/>
  <c r="AI37" i="71"/>
  <c r="AA45" i="71"/>
  <c r="S61" i="71"/>
  <c r="AC61" i="71" s="1"/>
  <c r="AE66" i="71"/>
  <c r="AI69" i="71"/>
  <c r="AE70" i="71"/>
  <c r="AA74" i="71"/>
  <c r="AB74" i="71" s="1"/>
  <c r="AM74" i="71" s="1"/>
  <c r="AE74" i="71"/>
  <c r="S84" i="71"/>
  <c r="AC84" i="71" s="1"/>
  <c r="AF84" i="71"/>
  <c r="AE85" i="71"/>
  <c r="AA85" i="71"/>
  <c r="AK90" i="71"/>
  <c r="AI90" i="71"/>
  <c r="AJ47" i="71"/>
  <c r="AF47" i="71"/>
  <c r="AK52" i="71"/>
  <c r="AI52" i="71"/>
  <c r="AH52" i="71"/>
  <c r="AA58" i="71"/>
  <c r="AA77" i="71"/>
  <c r="AB77" i="71" s="1"/>
  <c r="AM77" i="71" s="1"/>
  <c r="AE77" i="71"/>
  <c r="AF85" i="71"/>
  <c r="S85" i="71"/>
  <c r="AC85" i="71" s="1"/>
  <c r="S49" i="71"/>
  <c r="AC49" i="71" s="1"/>
  <c r="AK53" i="71"/>
  <c r="AH53" i="71"/>
  <c r="S7" i="71"/>
  <c r="AC7" i="71" s="1"/>
  <c r="AF7" i="71"/>
  <c r="AF53" i="71"/>
  <c r="AD100" i="71"/>
  <c r="AJ100" i="71"/>
  <c r="AA9" i="71"/>
  <c r="AA21" i="71"/>
  <c r="AB21" i="71" s="1"/>
  <c r="AM21" i="71" s="1"/>
  <c r="AK23" i="71"/>
  <c r="AH23" i="71"/>
  <c r="AD40" i="71"/>
  <c r="AJ40" i="71"/>
  <c r="AE48" i="71"/>
  <c r="AA48" i="71"/>
  <c r="AB48" i="71" s="1"/>
  <c r="AM48" i="71" s="1"/>
  <c r="S53" i="71"/>
  <c r="AC53" i="71" s="1"/>
  <c r="AE83" i="71"/>
  <c r="AA83" i="71"/>
  <c r="AB83" i="71" s="1"/>
  <c r="AM83" i="71" s="1"/>
  <c r="AE100" i="71"/>
  <c r="AA100" i="71"/>
  <c r="AF108" i="71"/>
  <c r="K2" i="71"/>
  <c r="AD6" i="71"/>
  <c r="AM11" i="71"/>
  <c r="AK11" i="71"/>
  <c r="AJ12" i="71"/>
  <c r="AK15" i="71"/>
  <c r="S18" i="71"/>
  <c r="AH20" i="71"/>
  <c r="AF27" i="71"/>
  <c r="AH28" i="71"/>
  <c r="AE31" i="71"/>
  <c r="AI33" i="71"/>
  <c r="AA35" i="71"/>
  <c r="AB35" i="71" s="1"/>
  <c r="AM35" i="71" s="1"/>
  <c r="AE35" i="71"/>
  <c r="AA36" i="71"/>
  <c r="AE37" i="71"/>
  <c r="AA37" i="71"/>
  <c r="AE40" i="71"/>
  <c r="AA40" i="71"/>
  <c r="AF42" i="71"/>
  <c r="AM45" i="71"/>
  <c r="AK46" i="71"/>
  <c r="AA51" i="71"/>
  <c r="S55" i="71"/>
  <c r="AC55" i="71" s="1"/>
  <c r="AK63" i="71"/>
  <c r="AI68" i="71"/>
  <c r="AK68" i="71"/>
  <c r="AA88" i="71"/>
  <c r="AB88" i="71" s="1"/>
  <c r="AM88" i="71" s="1"/>
  <c r="AF96" i="71"/>
  <c r="AD96" i="71"/>
  <c r="AK6" i="71"/>
  <c r="AD66" i="71"/>
  <c r="AJ66" i="71"/>
  <c r="AF76" i="71"/>
  <c r="AK85" i="71"/>
  <c r="AI85" i="71"/>
  <c r="AH85" i="71"/>
  <c r="AF51" i="71"/>
  <c r="S51" i="71"/>
  <c r="AC51" i="71" s="1"/>
  <c r="S10" i="71"/>
  <c r="AC10" i="71" s="1"/>
  <c r="AF10" i="71"/>
  <c r="AA13" i="71"/>
  <c r="AB13" i="71" s="1"/>
  <c r="AM13" i="71" s="1"/>
  <c r="AD83" i="71"/>
  <c r="AJ83" i="71"/>
  <c r="AF89" i="71"/>
  <c r="S26" i="71"/>
  <c r="AC26" i="71" s="1"/>
  <c r="AF35" i="71"/>
  <c r="AD35" i="71"/>
  <c r="AJ35" i="71"/>
  <c r="AK8" i="71"/>
  <c r="AI8" i="71"/>
  <c r="AF15" i="71"/>
  <c r="AJ20" i="71"/>
  <c r="AE26" i="71"/>
  <c r="AI28" i="71"/>
  <c r="AJ29" i="71"/>
  <c r="AI57" i="71"/>
  <c r="AH57" i="71"/>
  <c r="AF63" i="71"/>
  <c r="AI67" i="71"/>
  <c r="AH67" i="71"/>
  <c r="S68" i="71"/>
  <c r="AC68" i="71" s="1"/>
  <c r="AM71" i="71"/>
  <c r="AK71" i="71"/>
  <c r="AI71" i="71"/>
  <c r="AH71" i="71"/>
  <c r="AE96" i="71"/>
  <c r="AA96" i="71"/>
  <c r="AB96" i="71" s="1"/>
  <c r="AM96" i="71" s="1"/>
  <c r="AE106" i="71"/>
  <c r="AK9" i="71"/>
  <c r="AE67" i="71"/>
  <c r="AA67" i="71"/>
  <c r="AB67" i="71" s="1"/>
  <c r="AM67" i="71" s="1"/>
  <c r="AF75" i="71"/>
  <c r="AJ75" i="71"/>
  <c r="AF20" i="71"/>
  <c r="AM5" i="71"/>
  <c r="AI5" i="71"/>
  <c r="AK5" i="71"/>
  <c r="AK29" i="71"/>
  <c r="AE34" i="71"/>
  <c r="AD42" i="71"/>
  <c r="AJ42" i="71"/>
  <c r="AE49" i="71"/>
  <c r="AJ51" i="71"/>
  <c r="S57" i="71"/>
  <c r="AC57" i="71" s="1"/>
  <c r="AF57" i="71"/>
  <c r="AC59" i="71"/>
  <c r="AA78" i="71"/>
  <c r="AB78" i="71" s="1"/>
  <c r="AM78" i="71" s="1"/>
  <c r="AE78" i="71"/>
  <c r="AI87" i="71"/>
  <c r="AE99" i="71"/>
  <c r="AJ77" i="71"/>
  <c r="AF77" i="71"/>
  <c r="AD77" i="71"/>
  <c r="AE8" i="71"/>
  <c r="S8" i="71"/>
  <c r="AH9" i="71"/>
  <c r="AF12" i="71"/>
  <c r="AF24" i="71"/>
  <c r="AF25" i="71"/>
  <c r="S28" i="71"/>
  <c r="AC28" i="71" s="1"/>
  <c r="AF28" i="71"/>
  <c r="AD48" i="71"/>
  <c r="AF49" i="71"/>
  <c r="AK51" i="71"/>
  <c r="AA53" i="71"/>
  <c r="AJ60" i="71"/>
  <c r="AD64" i="71"/>
  <c r="AJ64" i="71"/>
  <c r="S71" i="71"/>
  <c r="AC71" i="71" s="1"/>
  <c r="AK87" i="71"/>
  <c r="AA89" i="71"/>
  <c r="AB89" i="71" s="1"/>
  <c r="AM89" i="71" s="1"/>
  <c r="AK103" i="71"/>
  <c r="AI103" i="71"/>
  <c r="AH103" i="71"/>
  <c r="AJ101" i="71"/>
  <c r="AD101" i="71"/>
  <c r="AA71" i="71"/>
  <c r="AE71" i="71"/>
  <c r="AD61" i="71"/>
  <c r="AJ61" i="71"/>
  <c r="AF66" i="71"/>
  <c r="AF100" i="71"/>
  <c r="S100" i="71"/>
  <c r="AC100" i="71" s="1"/>
  <c r="AK100" i="71"/>
  <c r="AK32" i="71"/>
  <c r="AI32" i="71"/>
  <c r="S40" i="71"/>
  <c r="AC40" i="71" s="1"/>
  <c r="AD47" i="71"/>
  <c r="S12" i="71"/>
  <c r="AC12" i="71" s="1"/>
  <c r="AE15" i="71"/>
  <c r="AF17" i="71"/>
  <c r="AH30" i="71"/>
  <c r="AA43" i="71"/>
  <c r="AB43" i="71" s="1"/>
  <c r="AM43" i="71" s="1"/>
  <c r="AE43" i="71"/>
  <c r="S45" i="71"/>
  <c r="AC45" i="71" s="1"/>
  <c r="AF45" i="71"/>
  <c r="S46" i="71"/>
  <c r="AC46" i="71" s="1"/>
  <c r="AI53" i="71"/>
  <c r="AF60" i="71"/>
  <c r="AJ67" i="71"/>
  <c r="AD67" i="71"/>
  <c r="AI76" i="71"/>
  <c r="AK76" i="71"/>
  <c r="AH76" i="71"/>
  <c r="AJ24" i="71"/>
  <c r="AH49" i="71"/>
  <c r="AA57" i="71"/>
  <c r="AK61" i="71"/>
  <c r="AF72" i="71"/>
  <c r="AD78" i="71"/>
  <c r="AI100" i="71"/>
  <c r="AH100" i="71"/>
  <c r="AF103" i="71"/>
  <c r="AD104" i="71"/>
  <c r="AJ104" i="71"/>
  <c r="AH38" i="71"/>
  <c r="AF41" i="71"/>
  <c r="AH56" i="71"/>
  <c r="AE57" i="71"/>
  <c r="AH58" i="71"/>
  <c r="AM65" i="71"/>
  <c r="AI65" i="71"/>
  <c r="AK65" i="71"/>
  <c r="AH66" i="71"/>
  <c r="AA68" i="71"/>
  <c r="AE68" i="71"/>
  <c r="AD80" i="71"/>
  <c r="AJ80" i="71"/>
  <c r="AD92" i="71"/>
  <c r="AK94" i="71"/>
  <c r="AH94" i="71"/>
  <c r="AI94" i="71"/>
  <c r="AA102" i="71"/>
  <c r="AB102" i="71" s="1"/>
  <c r="AM102" i="71" s="1"/>
  <c r="AF104" i="71"/>
  <c r="AA103" i="71"/>
  <c r="AB103" i="71" s="1"/>
  <c r="AM103" i="71" s="1"/>
  <c r="AE103" i="71"/>
  <c r="AK41" i="71"/>
  <c r="AF44" i="71"/>
  <c r="AH48" i="71"/>
  <c r="AK56" i="71"/>
  <c r="AI58" i="71"/>
  <c r="AF78" i="71"/>
  <c r="AE80" i="71"/>
  <c r="AA80" i="71"/>
  <c r="AC87" i="71"/>
  <c r="AE92" i="71"/>
  <c r="AA92" i="71"/>
  <c r="AB92" i="71" s="1"/>
  <c r="AM92" i="71" s="1"/>
  <c r="AK109" i="71"/>
  <c r="AI109" i="71"/>
  <c r="AH109" i="71"/>
  <c r="AH21" i="71"/>
  <c r="AF36" i="71"/>
  <c r="AJ38" i="71"/>
  <c r="AK50" i="71"/>
  <c r="AF98" i="71"/>
  <c r="S109" i="71"/>
  <c r="AC109" i="71" s="1"/>
  <c r="AF109" i="71"/>
  <c r="AK27" i="71"/>
  <c r="S36" i="71"/>
  <c r="AK36" i="71"/>
  <c r="S38" i="71"/>
  <c r="AF43" i="71"/>
  <c r="AF48" i="71"/>
  <c r="S50" i="71"/>
  <c r="AC50" i="71" s="1"/>
  <c r="S58" i="71"/>
  <c r="AF58" i="71"/>
  <c r="AK60" i="71"/>
  <c r="S70" i="71"/>
  <c r="AC70" i="71" s="1"/>
  <c r="AF70" i="71"/>
  <c r="AJ89" i="71"/>
  <c r="AD94" i="71"/>
  <c r="S98" i="71"/>
  <c r="AC98" i="71" s="1"/>
  <c r="AE44" i="71"/>
  <c r="AE65" i="71"/>
  <c r="S66" i="71"/>
  <c r="AC66" i="71" s="1"/>
  <c r="AJ69" i="71"/>
  <c r="AE84" i="71"/>
  <c r="AK96" i="71"/>
  <c r="AF97" i="71"/>
  <c r="AE98" i="71"/>
  <c r="AH79" i="71"/>
  <c r="AF81" i="71"/>
  <c r="AF91" i="71"/>
  <c r="AE104" i="71"/>
  <c r="AI108" i="71"/>
  <c r="AF86" i="71"/>
  <c r="AK91" i="71"/>
  <c r="AH91" i="71"/>
  <c r="AH101" i="71"/>
  <c r="AJ102" i="71"/>
  <c r="AH88" i="71"/>
  <c r="AI101" i="71"/>
  <c r="AK108" i="71"/>
  <c r="S81" i="71"/>
  <c r="AC81" i="71" s="1"/>
  <c r="S93" i="71"/>
  <c r="AC93" i="71" s="1"/>
  <c r="S95" i="71"/>
  <c r="AC95" i="71" s="1"/>
  <c r="AH98" i="71"/>
  <c r="AK99" i="71"/>
  <c r="AI99" i="71"/>
  <c r="AF83" i="71"/>
  <c r="AK89" i="71"/>
  <c r="AB97" i="71"/>
  <c r="AM97" i="71" s="1"/>
  <c r="AK102" i="71"/>
  <c r="AH102" i="71"/>
  <c r="AK107" i="71"/>
  <c r="AI107" i="71"/>
  <c r="AG31" i="71" l="1"/>
  <c r="AG82" i="71"/>
  <c r="AG17" i="71"/>
  <c r="AG75" i="71"/>
  <c r="AZ10" i="71" a="1"/>
  <c r="AZ10" i="71" s="1"/>
  <c r="AZ7" i="71" a="1"/>
  <c r="AZ7" i="71" s="1"/>
  <c r="AG108" i="71"/>
  <c r="AG37" i="71"/>
  <c r="BA20" i="71"/>
  <c r="AG64" i="71"/>
  <c r="AG39" i="71"/>
  <c r="AZ9" i="71" a="1"/>
  <c r="AZ9" i="71" s="1"/>
  <c r="AZ11" i="71" a="1"/>
  <c r="AZ11" i="71" s="1"/>
  <c r="AZ8" i="71" a="1"/>
  <c r="AZ8" i="71" s="1"/>
  <c r="AG62" i="71"/>
  <c r="AG76" i="71"/>
  <c r="AG30" i="71"/>
  <c r="AB90" i="71"/>
  <c r="AM90" i="71" s="1"/>
  <c r="AB56" i="71"/>
  <c r="AM56" i="71" s="1"/>
  <c r="AG51" i="71"/>
  <c r="AG29" i="71"/>
  <c r="AG43" i="71"/>
  <c r="AG69" i="71"/>
  <c r="AG14" i="71"/>
  <c r="AG91" i="71"/>
  <c r="AG54" i="71"/>
  <c r="AG22" i="71"/>
  <c r="AG11" i="71"/>
  <c r="AG16" i="71"/>
  <c r="AG72" i="71"/>
  <c r="BB7" i="71"/>
  <c r="AG53" i="71"/>
  <c r="AG23" i="71"/>
  <c r="AG32" i="71"/>
  <c r="AG106" i="71"/>
  <c r="BB11" i="71"/>
  <c r="AG60" i="71"/>
  <c r="AG21" i="71"/>
  <c r="AG95" i="71"/>
  <c r="BD7" i="71"/>
  <c r="AW5" i="71"/>
  <c r="BB9" i="71"/>
  <c r="BB8" i="71"/>
  <c r="BB10" i="71"/>
  <c r="Q2" i="71"/>
  <c r="G2" i="71" s="1"/>
  <c r="AG44" i="71"/>
  <c r="AB9" i="71"/>
  <c r="AM9" i="71" s="1"/>
  <c r="AG35" i="71"/>
  <c r="AG13" i="71"/>
  <c r="AG77" i="71"/>
  <c r="AG20" i="71"/>
  <c r="AG34" i="71"/>
  <c r="AG70" i="71"/>
  <c r="AB40" i="71"/>
  <c r="AM40" i="71" s="1"/>
  <c r="AB55" i="71"/>
  <c r="AM55" i="71" s="1"/>
  <c r="AG102" i="71"/>
  <c r="AG48" i="71"/>
  <c r="AB68" i="71"/>
  <c r="AM68" i="71" s="1"/>
  <c r="AB26" i="71"/>
  <c r="AM26" i="71" s="1"/>
  <c r="AG86" i="71"/>
  <c r="AG87" i="71"/>
  <c r="AG56" i="71"/>
  <c r="AG93" i="71"/>
  <c r="AB80" i="71"/>
  <c r="AM80" i="71" s="1"/>
  <c r="AG63" i="71"/>
  <c r="AB107" i="71"/>
  <c r="AM107" i="71" s="1"/>
  <c r="AG105" i="71"/>
  <c r="AG19" i="71"/>
  <c r="AG6" i="71"/>
  <c r="AG90" i="71"/>
  <c r="AG97" i="71"/>
  <c r="AG94" i="71"/>
  <c r="AG92" i="71"/>
  <c r="AG47" i="71"/>
  <c r="AG59" i="71"/>
  <c r="AG52" i="71"/>
  <c r="AG83" i="71"/>
  <c r="AG80" i="71"/>
  <c r="AG61" i="71"/>
  <c r="AG46" i="71"/>
  <c r="AG89" i="71"/>
  <c r="AB37" i="71"/>
  <c r="AM37" i="71" s="1"/>
  <c r="AG41" i="71"/>
  <c r="AB95" i="71"/>
  <c r="AM95" i="71" s="1"/>
  <c r="AG27" i="71"/>
  <c r="AG88" i="71"/>
  <c r="AG33" i="71"/>
  <c r="AG96" i="71"/>
  <c r="AG5" i="71"/>
  <c r="AB99" i="71"/>
  <c r="AM99" i="71" s="1"/>
  <c r="AG81" i="71"/>
  <c r="P2" i="71"/>
  <c r="AG24" i="71"/>
  <c r="AG103" i="71"/>
  <c r="AG109" i="71"/>
  <c r="AG101" i="71"/>
  <c r="AG10" i="71"/>
  <c r="AG9" i="71"/>
  <c r="AG104" i="71"/>
  <c r="AG107" i="71"/>
  <c r="AB93" i="71"/>
  <c r="AM93" i="71" s="1"/>
  <c r="AK3" i="71"/>
  <c r="AG67" i="71"/>
  <c r="AG50" i="71"/>
  <c r="AB57" i="71"/>
  <c r="AM57" i="71" s="1"/>
  <c r="R2" i="71"/>
  <c r="AG66" i="71"/>
  <c r="AB70" i="71"/>
  <c r="AM70" i="71" s="1"/>
  <c r="AG100" i="71"/>
  <c r="AG99" i="71"/>
  <c r="AB12" i="71"/>
  <c r="AM12" i="71" s="1"/>
  <c r="AC73" i="71"/>
  <c r="AG73" i="71" s="1"/>
  <c r="AB73" i="71"/>
  <c r="AM73" i="71" s="1"/>
  <c r="AG65" i="71"/>
  <c r="AG15" i="71"/>
  <c r="AG55" i="71"/>
  <c r="AB66" i="71"/>
  <c r="AM66" i="71" s="1"/>
  <c r="AC36" i="71"/>
  <c r="AG36" i="71" s="1"/>
  <c r="AB36" i="71"/>
  <c r="AM36" i="71" s="1"/>
  <c r="AJ3" i="71"/>
  <c r="L31" i="12" s="1"/>
  <c r="L2" i="71"/>
  <c r="AB49" i="71"/>
  <c r="AM49" i="71" s="1"/>
  <c r="AC38" i="71"/>
  <c r="AG38" i="71" s="1"/>
  <c r="AB38" i="71"/>
  <c r="AM38" i="71" s="1"/>
  <c r="AG78" i="71"/>
  <c r="AG84" i="71"/>
  <c r="AG12" i="71"/>
  <c r="AB100" i="71"/>
  <c r="AM100" i="71" s="1"/>
  <c r="AC58" i="71"/>
  <c r="AG58" i="71" s="1"/>
  <c r="AB58" i="71"/>
  <c r="AM58" i="71" s="1"/>
  <c r="AB98" i="71"/>
  <c r="AM98" i="71" s="1"/>
  <c r="AC8" i="71"/>
  <c r="AG8" i="71" s="1"/>
  <c r="AB8" i="71"/>
  <c r="AM8" i="71" s="1"/>
  <c r="AG42" i="71"/>
  <c r="AG68" i="71"/>
  <c r="AB53" i="71"/>
  <c r="AM53" i="71" s="1"/>
  <c r="AG85" i="71"/>
  <c r="AB28" i="71"/>
  <c r="AM28" i="71" s="1"/>
  <c r="AI3" i="71"/>
  <c r="E1" i="71" s="1"/>
  <c r="AG25" i="71"/>
  <c r="AB81" i="71"/>
  <c r="AM81" i="71" s="1"/>
  <c r="AB46" i="71"/>
  <c r="AM46" i="71" s="1"/>
  <c r="AG98" i="71"/>
  <c r="AG45" i="71"/>
  <c r="AG74" i="71"/>
  <c r="AG28" i="71"/>
  <c r="AH3" i="71"/>
  <c r="E2" i="71" s="1"/>
  <c r="AB51" i="71"/>
  <c r="AM51" i="71" s="1"/>
  <c r="AB84" i="71"/>
  <c r="AM84" i="71" s="1"/>
  <c r="AB25" i="71"/>
  <c r="AM25" i="71" s="1"/>
  <c r="AG40" i="71"/>
  <c r="AC18" i="71"/>
  <c r="AG18" i="71" s="1"/>
  <c r="AB18" i="71"/>
  <c r="AM18" i="71" s="1"/>
  <c r="AB7" i="71"/>
  <c r="AM7" i="71" s="1"/>
  <c r="AB85" i="71"/>
  <c r="AM85" i="71" s="1"/>
  <c r="AB61" i="71"/>
  <c r="AM61" i="71" s="1"/>
  <c r="AB109" i="71"/>
  <c r="AM109" i="71" s="1"/>
  <c r="AG49" i="71"/>
  <c r="AB10" i="71"/>
  <c r="AM10" i="71" s="1"/>
  <c r="AB50" i="71"/>
  <c r="AM50" i="71" s="1"/>
  <c r="AG71" i="71"/>
  <c r="AG57" i="71"/>
  <c r="AG26" i="71"/>
  <c r="AG7" i="71"/>
  <c r="BB5" i="71" l="1"/>
  <c r="BC22" i="71" s="1"/>
  <c r="BC27" i="71" s="1"/>
  <c r="BD8" i="71"/>
  <c r="BD9" i="71" s="1"/>
  <c r="BD10" i="71" s="1"/>
  <c r="BD11" i="71" s="1"/>
  <c r="BD12" i="71" s="1"/>
  <c r="BD13" i="71" s="1"/>
  <c r="BD14" i="71" s="1"/>
  <c r="BD15" i="71" s="1"/>
  <c r="BD16" i="71" s="1"/>
  <c r="BC7" i="71"/>
  <c r="AY7" i="71"/>
  <c r="AM3" i="71"/>
  <c r="G1" i="71" s="1"/>
  <c r="AG2" i="71"/>
  <c r="K31" i="12" s="1"/>
  <c r="M31" i="12" s="1"/>
  <c r="C8" i="1" l="1"/>
  <c r="H9" i="69" l="1"/>
  <c r="H10" i="69"/>
  <c r="H11" i="69"/>
  <c r="H12" i="69"/>
  <c r="H13" i="69"/>
  <c r="N9" i="69" l="1"/>
  <c r="N10" i="69"/>
  <c r="N11" i="69"/>
  <c r="N12" i="69"/>
  <c r="N13" i="69"/>
  <c r="C15" i="69"/>
  <c r="C9" i="69"/>
  <c r="C10" i="69"/>
  <c r="C11" i="69"/>
  <c r="C12" i="69"/>
  <c r="C13" i="69"/>
  <c r="N10" i="63" l="1"/>
  <c r="N11" i="63"/>
  <c r="N12" i="63"/>
  <c r="N13" i="63"/>
  <c r="N14" i="63"/>
  <c r="P14" i="63" s="1"/>
  <c r="R14" i="63" s="1"/>
  <c r="H10" i="63"/>
  <c r="H11" i="63"/>
  <c r="H12" i="63"/>
  <c r="H13" i="63"/>
  <c r="C14" i="63"/>
  <c r="C10" i="63"/>
  <c r="C11" i="63"/>
  <c r="C12" i="63"/>
  <c r="C13" i="63"/>
  <c r="F24" i="69"/>
  <c r="G24" i="69" s="1"/>
  <c r="I23" i="69"/>
  <c r="K22" i="69"/>
  <c r="I22" i="69"/>
  <c r="I24" i="69" s="1"/>
  <c r="H16" i="69"/>
  <c r="N15" i="69"/>
  <c r="J15" i="69"/>
  <c r="P13" i="69"/>
  <c r="R13" i="69" s="1"/>
  <c r="P12" i="69"/>
  <c r="R12" i="69" s="1"/>
  <c r="P11" i="69"/>
  <c r="R11" i="69" s="1"/>
  <c r="P10" i="69"/>
  <c r="R10" i="69" s="1"/>
  <c r="P9" i="69"/>
  <c r="R9" i="69" s="1"/>
  <c r="AN102" i="66"/>
  <c r="Z102" i="66"/>
  <c r="Y102" i="66"/>
  <c r="U102" i="66"/>
  <c r="O102" i="66"/>
  <c r="K102" i="66"/>
  <c r="E102" i="66"/>
  <c r="AN101" i="66"/>
  <c r="Z101" i="66"/>
  <c r="Y101" i="66"/>
  <c r="U101" i="66"/>
  <c r="O101" i="66"/>
  <c r="S101" i="66" s="1"/>
  <c r="AC101" i="66" s="1"/>
  <c r="K101" i="66"/>
  <c r="E101" i="66"/>
  <c r="AN100" i="66"/>
  <c r="Z100" i="66"/>
  <c r="Y100" i="66"/>
  <c r="U100" i="66"/>
  <c r="O100" i="66"/>
  <c r="K100" i="66"/>
  <c r="E100" i="66"/>
  <c r="AN99" i="66"/>
  <c r="Z99" i="66"/>
  <c r="Y99" i="66"/>
  <c r="U99" i="66"/>
  <c r="O99" i="66"/>
  <c r="K99" i="66"/>
  <c r="AI99" i="66" s="1"/>
  <c r="E99" i="66"/>
  <c r="AN98" i="66"/>
  <c r="Z98" i="66"/>
  <c r="Y98" i="66"/>
  <c r="U98" i="66"/>
  <c r="AD98" i="66" s="1"/>
  <c r="O98" i="66"/>
  <c r="K98" i="66"/>
  <c r="E98" i="66"/>
  <c r="AN97" i="66"/>
  <c r="AC97" i="66"/>
  <c r="Z97" i="66"/>
  <c r="Y97" i="66"/>
  <c r="U97" i="66"/>
  <c r="O97" i="66"/>
  <c r="K97" i="66"/>
  <c r="AI97" i="66" s="1"/>
  <c r="E97" i="66"/>
  <c r="AN96" i="66"/>
  <c r="AC96" i="66"/>
  <c r="Z96" i="66"/>
  <c r="Y96" i="66"/>
  <c r="U96" i="66"/>
  <c r="AJ96" i="66" s="1"/>
  <c r="O96" i="66"/>
  <c r="K96" i="66"/>
  <c r="E96" i="66"/>
  <c r="AN95" i="66"/>
  <c r="AC95" i="66"/>
  <c r="Z95" i="66"/>
  <c r="Y95" i="66"/>
  <c r="U95" i="66"/>
  <c r="AD95" i="66" s="1"/>
  <c r="O95" i="66"/>
  <c r="K95" i="66"/>
  <c r="AI95" i="66" s="1"/>
  <c r="E95" i="66"/>
  <c r="AN94" i="66"/>
  <c r="AC94" i="66"/>
  <c r="Z94" i="66"/>
  <c r="Y94" i="66"/>
  <c r="U94" i="66"/>
  <c r="AJ94" i="66" s="1"/>
  <c r="O94" i="66"/>
  <c r="K94" i="66"/>
  <c r="AI94" i="66" s="1"/>
  <c r="E94" i="66"/>
  <c r="AN93" i="66"/>
  <c r="AC93" i="66"/>
  <c r="Z93" i="66"/>
  <c r="Y93" i="66"/>
  <c r="U93" i="66"/>
  <c r="AD93" i="66" s="1"/>
  <c r="O93" i="66"/>
  <c r="K93" i="66"/>
  <c r="AK93" i="66" s="1"/>
  <c r="E93" i="66"/>
  <c r="AN92" i="66"/>
  <c r="AC92" i="66"/>
  <c r="Z92" i="66"/>
  <c r="Y92" i="66"/>
  <c r="U92" i="66"/>
  <c r="AJ92" i="66" s="1"/>
  <c r="O92" i="66"/>
  <c r="K92" i="66"/>
  <c r="E92" i="66"/>
  <c r="AN91" i="66"/>
  <c r="AC91" i="66"/>
  <c r="Z91" i="66"/>
  <c r="Y91" i="66"/>
  <c r="U91" i="66"/>
  <c r="O91" i="66"/>
  <c r="K91" i="66"/>
  <c r="E91" i="66"/>
  <c r="AN90" i="66"/>
  <c r="AC90" i="66"/>
  <c r="Z90" i="66"/>
  <c r="Y90" i="66"/>
  <c r="U90" i="66"/>
  <c r="O90" i="66"/>
  <c r="K90" i="66"/>
  <c r="E90" i="66"/>
  <c r="AN89" i="66"/>
  <c r="Z89" i="66"/>
  <c r="Y89" i="66"/>
  <c r="U89" i="66"/>
  <c r="O89" i="66"/>
  <c r="K89" i="66"/>
  <c r="AH89" i="66" s="1"/>
  <c r="E89" i="66"/>
  <c r="AN88" i="66"/>
  <c r="Z88" i="66"/>
  <c r="Y88" i="66"/>
  <c r="U88" i="66"/>
  <c r="O88" i="66"/>
  <c r="K88" i="66"/>
  <c r="E88" i="66"/>
  <c r="AN87" i="66"/>
  <c r="Z87" i="66"/>
  <c r="Y87" i="66"/>
  <c r="U87" i="66"/>
  <c r="O87" i="66"/>
  <c r="S87" i="66" s="1"/>
  <c r="AC87" i="66" s="1"/>
  <c r="K87" i="66"/>
  <c r="AH87" i="66" s="1"/>
  <c r="E87" i="66"/>
  <c r="AN86" i="66"/>
  <c r="Z86" i="66"/>
  <c r="Y86" i="66"/>
  <c r="U86" i="66"/>
  <c r="AJ86" i="66" s="1"/>
  <c r="O86" i="66"/>
  <c r="S86" i="66" s="1"/>
  <c r="AC86" i="66" s="1"/>
  <c r="K86" i="66"/>
  <c r="E86" i="66"/>
  <c r="AN85" i="66"/>
  <c r="Z85" i="66"/>
  <c r="Y85" i="66"/>
  <c r="U85" i="66"/>
  <c r="AD85" i="66" s="1"/>
  <c r="O85" i="66"/>
  <c r="K85" i="66"/>
  <c r="E85" i="66"/>
  <c r="AN84" i="66"/>
  <c r="Z84" i="66"/>
  <c r="Y84" i="66"/>
  <c r="U84" i="66"/>
  <c r="AJ84" i="66" s="1"/>
  <c r="O84" i="66"/>
  <c r="K84" i="66"/>
  <c r="AH84" i="66" s="1"/>
  <c r="E84" i="66"/>
  <c r="AN83" i="66"/>
  <c r="Z83" i="66"/>
  <c r="Y83" i="66"/>
  <c r="U83" i="66"/>
  <c r="O83" i="66"/>
  <c r="S83" i="66" s="1"/>
  <c r="AC83" i="66" s="1"/>
  <c r="K83" i="66"/>
  <c r="AH83" i="66" s="1"/>
  <c r="E83" i="66"/>
  <c r="AN82" i="66"/>
  <c r="Z82" i="66"/>
  <c r="Y82" i="66"/>
  <c r="U82" i="66"/>
  <c r="AD82" i="66" s="1"/>
  <c r="O82" i="66"/>
  <c r="S82" i="66" s="1"/>
  <c r="AC82" i="66" s="1"/>
  <c r="K82" i="66"/>
  <c r="E82" i="66"/>
  <c r="AN81" i="66"/>
  <c r="Z81" i="66"/>
  <c r="Y81" i="66"/>
  <c r="U81" i="66"/>
  <c r="AJ81" i="66" s="1"/>
  <c r="O81" i="66"/>
  <c r="S81" i="66" s="1"/>
  <c r="AC81" i="66" s="1"/>
  <c r="K81" i="66"/>
  <c r="AI81" i="66" s="1"/>
  <c r="E81" i="66"/>
  <c r="AN80" i="66"/>
  <c r="Z80" i="66"/>
  <c r="Y80" i="66"/>
  <c r="U80" i="66"/>
  <c r="AD80" i="66" s="1"/>
  <c r="O80" i="66"/>
  <c r="K80" i="66"/>
  <c r="AH80" i="66" s="1"/>
  <c r="E80" i="66"/>
  <c r="AN79" i="66"/>
  <c r="Z79" i="66"/>
  <c r="Y79" i="66"/>
  <c r="U79" i="66"/>
  <c r="AD79" i="66" s="1"/>
  <c r="O79" i="66"/>
  <c r="S79" i="66" s="1"/>
  <c r="AC79" i="66" s="1"/>
  <c r="K79" i="66"/>
  <c r="AH79" i="66" s="1"/>
  <c r="E79" i="66"/>
  <c r="AN78" i="66"/>
  <c r="Z78" i="66"/>
  <c r="Y78" i="66"/>
  <c r="U78" i="66"/>
  <c r="O78" i="66"/>
  <c r="K78" i="66"/>
  <c r="E78" i="66"/>
  <c r="AN77" i="66"/>
  <c r="Z77" i="66"/>
  <c r="Y77" i="66"/>
  <c r="U77" i="66"/>
  <c r="AJ77" i="66" s="1"/>
  <c r="O77" i="66"/>
  <c r="S77" i="66" s="1"/>
  <c r="AC77" i="66" s="1"/>
  <c r="K77" i="66"/>
  <c r="E77" i="66"/>
  <c r="AN76" i="66"/>
  <c r="Z76" i="66"/>
  <c r="Y76" i="66"/>
  <c r="U76" i="66"/>
  <c r="O76" i="66"/>
  <c r="K76" i="66"/>
  <c r="E76" i="66"/>
  <c r="AN75" i="66"/>
  <c r="Z75" i="66"/>
  <c r="Y75" i="66"/>
  <c r="U75" i="66"/>
  <c r="O75" i="66"/>
  <c r="S75" i="66" s="1"/>
  <c r="AC75" i="66" s="1"/>
  <c r="K75" i="66"/>
  <c r="AH75" i="66" s="1"/>
  <c r="E75" i="66"/>
  <c r="AN74" i="66"/>
  <c r="Z74" i="66"/>
  <c r="Y74" i="66"/>
  <c r="U74" i="66"/>
  <c r="AJ74" i="66" s="1"/>
  <c r="O74" i="66"/>
  <c r="K74" i="66"/>
  <c r="E74" i="66"/>
  <c r="AN73" i="66"/>
  <c r="Z73" i="66"/>
  <c r="Y73" i="66"/>
  <c r="U73" i="66"/>
  <c r="AD73" i="66" s="1"/>
  <c r="O73" i="66"/>
  <c r="K73" i="66"/>
  <c r="AI73" i="66" s="1"/>
  <c r="E73" i="66"/>
  <c r="AN72" i="66"/>
  <c r="Z72" i="66"/>
  <c r="Y72" i="66"/>
  <c r="U72" i="66"/>
  <c r="AJ72" i="66" s="1"/>
  <c r="O72" i="66"/>
  <c r="K72" i="66"/>
  <c r="AH72" i="66" s="1"/>
  <c r="E72" i="66"/>
  <c r="AN71" i="66"/>
  <c r="Z71" i="66"/>
  <c r="Y71" i="66"/>
  <c r="U71" i="66"/>
  <c r="O71" i="66"/>
  <c r="S71" i="66" s="1"/>
  <c r="AC71" i="66" s="1"/>
  <c r="K71" i="66"/>
  <c r="E71" i="66"/>
  <c r="AN70" i="66"/>
  <c r="Z70" i="66"/>
  <c r="Y70" i="66"/>
  <c r="U70" i="66"/>
  <c r="O70" i="66"/>
  <c r="S70" i="66" s="1"/>
  <c r="AC70" i="66" s="1"/>
  <c r="K70" i="66"/>
  <c r="AI70" i="66" s="1"/>
  <c r="E70" i="66"/>
  <c r="AN69" i="66"/>
  <c r="Z69" i="66"/>
  <c r="Y69" i="66"/>
  <c r="U69" i="66"/>
  <c r="AJ69" i="66" s="1"/>
  <c r="O69" i="66"/>
  <c r="S69" i="66" s="1"/>
  <c r="AC69" i="66" s="1"/>
  <c r="K69" i="66"/>
  <c r="AI69" i="66" s="1"/>
  <c r="E69" i="66"/>
  <c r="AN68" i="66"/>
  <c r="Z68" i="66"/>
  <c r="Y68" i="66"/>
  <c r="U68" i="66"/>
  <c r="AD68" i="66" s="1"/>
  <c r="O68" i="66"/>
  <c r="S68" i="66" s="1"/>
  <c r="AC68" i="66" s="1"/>
  <c r="K68" i="66"/>
  <c r="AH68" i="66" s="1"/>
  <c r="E68" i="66"/>
  <c r="AN67" i="66"/>
  <c r="AC67" i="66"/>
  <c r="Z67" i="66"/>
  <c r="Y67" i="66"/>
  <c r="U67" i="66"/>
  <c r="AD67" i="66" s="1"/>
  <c r="O67" i="66"/>
  <c r="K67" i="66"/>
  <c r="E67" i="66"/>
  <c r="AN66" i="66"/>
  <c r="AC66" i="66"/>
  <c r="Z66" i="66"/>
  <c r="Y66" i="66"/>
  <c r="U66" i="66"/>
  <c r="O66" i="66"/>
  <c r="K66" i="66"/>
  <c r="E66" i="66"/>
  <c r="AN65" i="66"/>
  <c r="AC65" i="66"/>
  <c r="Z65" i="66"/>
  <c r="Y65" i="66"/>
  <c r="U65" i="66"/>
  <c r="O65" i="66"/>
  <c r="K65" i="66"/>
  <c r="E65" i="66"/>
  <c r="AN64" i="66"/>
  <c r="AC64" i="66"/>
  <c r="Z64" i="66"/>
  <c r="Y64" i="66"/>
  <c r="U64" i="66"/>
  <c r="O64" i="66"/>
  <c r="K64" i="66"/>
  <c r="AH64" i="66" s="1"/>
  <c r="E64" i="66"/>
  <c r="AN63" i="66"/>
  <c r="AC63" i="66"/>
  <c r="Z63" i="66"/>
  <c r="Y63" i="66"/>
  <c r="U63" i="66"/>
  <c r="O63" i="66"/>
  <c r="K63" i="66"/>
  <c r="AH63" i="66" s="1"/>
  <c r="E63" i="66"/>
  <c r="AN62" i="66"/>
  <c r="AC62" i="66"/>
  <c r="Z62" i="66"/>
  <c r="Y62" i="66"/>
  <c r="U62" i="66"/>
  <c r="AD62" i="66" s="1"/>
  <c r="O62" i="66"/>
  <c r="K62" i="66"/>
  <c r="E62" i="66"/>
  <c r="AN61" i="66"/>
  <c r="AC61" i="66"/>
  <c r="Z61" i="66"/>
  <c r="Y61" i="66"/>
  <c r="U61" i="66"/>
  <c r="O61" i="66"/>
  <c r="K61" i="66"/>
  <c r="E61" i="66"/>
  <c r="AN60" i="66"/>
  <c r="AC60" i="66"/>
  <c r="Z60" i="66"/>
  <c r="Y60" i="66"/>
  <c r="U60" i="66"/>
  <c r="AD60" i="66" s="1"/>
  <c r="O60" i="66"/>
  <c r="K60" i="66"/>
  <c r="E60" i="66"/>
  <c r="AN59" i="66"/>
  <c r="Z59" i="66"/>
  <c r="Y59" i="66"/>
  <c r="U59" i="66"/>
  <c r="O59" i="66"/>
  <c r="S59" i="66" s="1"/>
  <c r="AC59" i="66" s="1"/>
  <c r="K59" i="66"/>
  <c r="AH59" i="66" s="1"/>
  <c r="E59" i="66"/>
  <c r="AN58" i="66"/>
  <c r="Z58" i="66"/>
  <c r="Y58" i="66"/>
  <c r="U58" i="66"/>
  <c r="AJ58" i="66" s="1"/>
  <c r="O58" i="66"/>
  <c r="S58" i="66" s="1"/>
  <c r="AC58" i="66" s="1"/>
  <c r="K58" i="66"/>
  <c r="E58" i="66"/>
  <c r="AN57" i="66"/>
  <c r="Z57" i="66"/>
  <c r="Y57" i="66"/>
  <c r="U57" i="66"/>
  <c r="AD57" i="66" s="1"/>
  <c r="O57" i="66"/>
  <c r="K57" i="66"/>
  <c r="AI57" i="66" s="1"/>
  <c r="E57" i="66"/>
  <c r="AN56" i="66"/>
  <c r="Z56" i="66"/>
  <c r="Y56" i="66"/>
  <c r="U56" i="66"/>
  <c r="AJ56" i="66" s="1"/>
  <c r="O56" i="66"/>
  <c r="S56" i="66" s="1"/>
  <c r="AC56" i="66" s="1"/>
  <c r="K56" i="66"/>
  <c r="E56" i="66"/>
  <c r="AN55" i="66"/>
  <c r="Z55" i="66"/>
  <c r="Y55" i="66"/>
  <c r="U55" i="66"/>
  <c r="AD55" i="66" s="1"/>
  <c r="O55" i="66"/>
  <c r="K55" i="66"/>
  <c r="E55" i="66"/>
  <c r="AN54" i="66"/>
  <c r="Z54" i="66"/>
  <c r="Y54" i="66"/>
  <c r="U54" i="66"/>
  <c r="AJ54" i="66" s="1"/>
  <c r="O54" i="66"/>
  <c r="S54" i="66" s="1"/>
  <c r="AC54" i="66" s="1"/>
  <c r="K54" i="66"/>
  <c r="AI54" i="66" s="1"/>
  <c r="E54" i="66"/>
  <c r="AN53" i="66"/>
  <c r="Z53" i="66"/>
  <c r="Y53" i="66"/>
  <c r="U53" i="66"/>
  <c r="AD53" i="66" s="1"/>
  <c r="O53" i="66"/>
  <c r="K53" i="66"/>
  <c r="AH53" i="66" s="1"/>
  <c r="E53" i="66"/>
  <c r="AN52" i="66"/>
  <c r="Z52" i="66"/>
  <c r="Y52" i="66"/>
  <c r="U52" i="66"/>
  <c r="O52" i="66"/>
  <c r="K52" i="66"/>
  <c r="AH52" i="66" s="1"/>
  <c r="E52" i="66"/>
  <c r="AN51" i="66"/>
  <c r="Z51" i="66"/>
  <c r="Y51" i="66"/>
  <c r="U51" i="66"/>
  <c r="O51" i="66"/>
  <c r="K51" i="66"/>
  <c r="E51" i="66"/>
  <c r="AN50" i="66"/>
  <c r="Z50" i="66"/>
  <c r="Y50" i="66"/>
  <c r="U50" i="66"/>
  <c r="AD50" i="66" s="1"/>
  <c r="O50" i="66"/>
  <c r="S50" i="66" s="1"/>
  <c r="AC50" i="66" s="1"/>
  <c r="K50" i="66"/>
  <c r="E50" i="66"/>
  <c r="AN49" i="66"/>
  <c r="Z49" i="66"/>
  <c r="Y49" i="66"/>
  <c r="U49" i="66"/>
  <c r="AJ49" i="66" s="1"/>
  <c r="O49" i="66"/>
  <c r="K49" i="66"/>
  <c r="AH49" i="66" s="1"/>
  <c r="E49" i="66"/>
  <c r="AN48" i="66"/>
  <c r="Z48" i="66"/>
  <c r="Y48" i="66"/>
  <c r="U48" i="66"/>
  <c r="AJ48" i="66" s="1"/>
  <c r="O48" i="66"/>
  <c r="S48" i="66" s="1"/>
  <c r="K48" i="66"/>
  <c r="AI48" i="66" s="1"/>
  <c r="E48" i="66"/>
  <c r="AN47" i="66"/>
  <c r="Z47" i="66"/>
  <c r="Y47" i="66"/>
  <c r="U47" i="66"/>
  <c r="AD47" i="66" s="1"/>
  <c r="O47" i="66"/>
  <c r="S47" i="66" s="1"/>
  <c r="AC47" i="66" s="1"/>
  <c r="K47" i="66"/>
  <c r="AI47" i="66" s="1"/>
  <c r="E47" i="66"/>
  <c r="AN46" i="66"/>
  <c r="Z46" i="66"/>
  <c r="Y46" i="66"/>
  <c r="U46" i="66"/>
  <c r="O46" i="66"/>
  <c r="K46" i="66"/>
  <c r="E46" i="66"/>
  <c r="AN45" i="66"/>
  <c r="Z45" i="66"/>
  <c r="Y45" i="66"/>
  <c r="U45" i="66"/>
  <c r="AJ45" i="66" s="1"/>
  <c r="O45" i="66"/>
  <c r="S45" i="66" s="1"/>
  <c r="AC45" i="66" s="1"/>
  <c r="K45" i="66"/>
  <c r="E45" i="66"/>
  <c r="AN44" i="66"/>
  <c r="Z44" i="66"/>
  <c r="Y44" i="66"/>
  <c r="U44" i="66"/>
  <c r="AD44" i="66" s="1"/>
  <c r="O44" i="66"/>
  <c r="S44" i="66" s="1"/>
  <c r="AC44" i="66" s="1"/>
  <c r="K44" i="66"/>
  <c r="E44" i="66"/>
  <c r="AN43" i="66"/>
  <c r="Z43" i="66"/>
  <c r="Y43" i="66"/>
  <c r="U43" i="66"/>
  <c r="O43" i="66"/>
  <c r="K43" i="66"/>
  <c r="AH43" i="66" s="1"/>
  <c r="E43" i="66"/>
  <c r="AN42" i="66"/>
  <c r="Z42" i="66"/>
  <c r="Y42" i="66"/>
  <c r="U42" i="66"/>
  <c r="AJ42" i="66" s="1"/>
  <c r="O42" i="66"/>
  <c r="K42" i="66"/>
  <c r="AK42" i="66" s="1"/>
  <c r="E42" i="66"/>
  <c r="AN41" i="66"/>
  <c r="Z41" i="66"/>
  <c r="Y41" i="66"/>
  <c r="U41" i="66"/>
  <c r="O41" i="66"/>
  <c r="S41" i="66" s="1"/>
  <c r="AC41" i="66" s="1"/>
  <c r="K41" i="66"/>
  <c r="E41" i="66"/>
  <c r="AN40" i="66"/>
  <c r="Z40" i="66"/>
  <c r="Y40" i="66"/>
  <c r="U40" i="66"/>
  <c r="O40" i="66"/>
  <c r="K40" i="66"/>
  <c r="E40" i="66"/>
  <c r="AN39" i="66"/>
  <c r="Z39" i="66"/>
  <c r="Y39" i="66"/>
  <c r="U39" i="66"/>
  <c r="O39" i="66"/>
  <c r="K39" i="66"/>
  <c r="E39" i="66"/>
  <c r="AN38" i="66"/>
  <c r="Z38" i="66"/>
  <c r="AA38" i="66" s="1"/>
  <c r="U38" i="66"/>
  <c r="AD38" i="66" s="1"/>
  <c r="O38" i="66"/>
  <c r="S38" i="66" s="1"/>
  <c r="AC38" i="66" s="1"/>
  <c r="K38" i="66"/>
  <c r="AI38" i="66" s="1"/>
  <c r="E38" i="66"/>
  <c r="AN37" i="66"/>
  <c r="Z37" i="66"/>
  <c r="AA37" i="66" s="1"/>
  <c r="U37" i="66"/>
  <c r="AD37" i="66" s="1"/>
  <c r="O37" i="66"/>
  <c r="K37" i="66"/>
  <c r="AI37" i="66" s="1"/>
  <c r="E37" i="66"/>
  <c r="AN36" i="66"/>
  <c r="Z36" i="66"/>
  <c r="Y36" i="66"/>
  <c r="U36" i="66"/>
  <c r="AF36" i="66" s="1"/>
  <c r="S36" i="66"/>
  <c r="AC36" i="66" s="1"/>
  <c r="K36" i="66"/>
  <c r="AH36" i="66" s="1"/>
  <c r="E36" i="66"/>
  <c r="AN35" i="66"/>
  <c r="Z35" i="66"/>
  <c r="Y35" i="66"/>
  <c r="U35" i="66"/>
  <c r="AD35" i="66" s="1"/>
  <c r="O35" i="66"/>
  <c r="K35" i="66"/>
  <c r="E35" i="66"/>
  <c r="AN34" i="66"/>
  <c r="Z34" i="66"/>
  <c r="Y34" i="66"/>
  <c r="U34" i="66"/>
  <c r="AJ34" i="66" s="1"/>
  <c r="O34" i="66"/>
  <c r="S34" i="66" s="1"/>
  <c r="AC34" i="66" s="1"/>
  <c r="K34" i="66"/>
  <c r="E34" i="66"/>
  <c r="AN33" i="66"/>
  <c r="Z33" i="66"/>
  <c r="Y33" i="66"/>
  <c r="U33" i="66"/>
  <c r="AJ33" i="66" s="1"/>
  <c r="O33" i="66"/>
  <c r="K33" i="66"/>
  <c r="AH33" i="66" s="1"/>
  <c r="E33" i="66"/>
  <c r="AN32" i="66"/>
  <c r="AC32" i="66"/>
  <c r="Z32" i="66"/>
  <c r="Y32" i="66"/>
  <c r="U32" i="66"/>
  <c r="AD32" i="66" s="1"/>
  <c r="O32" i="66"/>
  <c r="K32" i="66"/>
  <c r="E32" i="66"/>
  <c r="AN31" i="66"/>
  <c r="AC31" i="66"/>
  <c r="Z31" i="66"/>
  <c r="Y31" i="66"/>
  <c r="U31" i="66"/>
  <c r="AJ31" i="66" s="1"/>
  <c r="O31" i="66"/>
  <c r="K31" i="66"/>
  <c r="E31" i="66"/>
  <c r="AN30" i="66"/>
  <c r="AC30" i="66"/>
  <c r="Z30" i="66"/>
  <c r="Y30" i="66"/>
  <c r="U30" i="66"/>
  <c r="AJ30" i="66" s="1"/>
  <c r="O30" i="66"/>
  <c r="K30" i="66"/>
  <c r="AH30" i="66" s="1"/>
  <c r="E30" i="66"/>
  <c r="AN29" i="66"/>
  <c r="Z29" i="66"/>
  <c r="Y29" i="66"/>
  <c r="U29" i="66"/>
  <c r="AJ29" i="66" s="1"/>
  <c r="O29" i="66"/>
  <c r="S29" i="66" s="1"/>
  <c r="AC29" i="66" s="1"/>
  <c r="K29" i="66"/>
  <c r="AH29" i="66" s="1"/>
  <c r="E29" i="66"/>
  <c r="AN28" i="66"/>
  <c r="Z28" i="66"/>
  <c r="Y28" i="66"/>
  <c r="U28" i="66"/>
  <c r="O28" i="66"/>
  <c r="S28" i="66" s="1"/>
  <c r="AC28" i="66" s="1"/>
  <c r="K28" i="66"/>
  <c r="E28" i="66"/>
  <c r="AN27" i="66"/>
  <c r="Z27" i="66"/>
  <c r="Y27" i="66"/>
  <c r="U27" i="66"/>
  <c r="AD27" i="66" s="1"/>
  <c r="O27" i="66"/>
  <c r="K27" i="66"/>
  <c r="AH27" i="66" s="1"/>
  <c r="E27" i="66"/>
  <c r="AN26" i="66"/>
  <c r="Z26" i="66"/>
  <c r="Y26" i="66"/>
  <c r="U26" i="66"/>
  <c r="AJ26" i="66" s="1"/>
  <c r="O26" i="66"/>
  <c r="S26" i="66" s="1"/>
  <c r="AC26" i="66" s="1"/>
  <c r="K26" i="66"/>
  <c r="AH26" i="66" s="1"/>
  <c r="E26" i="66"/>
  <c r="AN25" i="66"/>
  <c r="Z25" i="66"/>
  <c r="Y25" i="66"/>
  <c r="U25" i="66"/>
  <c r="O25" i="66"/>
  <c r="K25" i="66"/>
  <c r="E25" i="66"/>
  <c r="AN24" i="66"/>
  <c r="Z24" i="66"/>
  <c r="Y24" i="66"/>
  <c r="U24" i="66"/>
  <c r="AD24" i="66" s="1"/>
  <c r="O24" i="66"/>
  <c r="S24" i="66" s="1"/>
  <c r="AC24" i="66" s="1"/>
  <c r="K24" i="66"/>
  <c r="E24" i="66"/>
  <c r="AN23" i="66"/>
  <c r="Z23" i="66"/>
  <c r="Y23" i="66"/>
  <c r="U23" i="66"/>
  <c r="AJ23" i="66" s="1"/>
  <c r="O23" i="66"/>
  <c r="S23" i="66" s="1"/>
  <c r="AC23" i="66" s="1"/>
  <c r="K23" i="66"/>
  <c r="AI23" i="66" s="1"/>
  <c r="E23" i="66"/>
  <c r="AN22" i="66"/>
  <c r="Z22" i="66"/>
  <c r="Y22" i="66"/>
  <c r="U22" i="66"/>
  <c r="AJ22" i="66" s="1"/>
  <c r="O22" i="66"/>
  <c r="S22" i="66" s="1"/>
  <c r="AC22" i="66" s="1"/>
  <c r="K22" i="66"/>
  <c r="E22" i="66"/>
  <c r="E21" i="66"/>
  <c r="AN20" i="66"/>
  <c r="Z20" i="66"/>
  <c r="Y20" i="66"/>
  <c r="U20" i="66"/>
  <c r="AD20" i="66" s="1"/>
  <c r="O20" i="66"/>
  <c r="K20" i="66"/>
  <c r="AM20" i="66" s="1"/>
  <c r="E20" i="66"/>
  <c r="AN19" i="66"/>
  <c r="Z19" i="66"/>
  <c r="Y19" i="66"/>
  <c r="U19" i="66"/>
  <c r="AJ19" i="66" s="1"/>
  <c r="O19" i="66"/>
  <c r="S19" i="66" s="1"/>
  <c r="K19" i="66"/>
  <c r="E19" i="66"/>
  <c r="AN18" i="66"/>
  <c r="AJ18" i="66"/>
  <c r="AE18" i="66"/>
  <c r="AD18" i="66"/>
  <c r="AC18" i="66"/>
  <c r="AA18" i="66"/>
  <c r="O18" i="66"/>
  <c r="AF18" i="66" s="1"/>
  <c r="K18" i="66"/>
  <c r="E18" i="66"/>
  <c r="AN17" i="66"/>
  <c r="AJ17" i="66"/>
  <c r="AE17" i="66"/>
  <c r="AD17" i="66"/>
  <c r="AC17" i="66"/>
  <c r="AA17" i="66"/>
  <c r="O17" i="66"/>
  <c r="AF17" i="66" s="1"/>
  <c r="K17" i="66"/>
  <c r="AH17" i="66" s="1"/>
  <c r="E17" i="66"/>
  <c r="AN16" i="66"/>
  <c r="AJ16" i="66"/>
  <c r="AE16" i="66"/>
  <c r="AD16" i="66"/>
  <c r="AC16" i="66"/>
  <c r="AA16" i="66"/>
  <c r="O16" i="66"/>
  <c r="AF16" i="66" s="1"/>
  <c r="K16" i="66"/>
  <c r="AH16" i="66" s="1"/>
  <c r="E16" i="66"/>
  <c r="AN15" i="66"/>
  <c r="AJ15" i="66"/>
  <c r="AE15" i="66"/>
  <c r="AD15" i="66"/>
  <c r="AC15" i="66"/>
  <c r="AA15" i="66"/>
  <c r="O15" i="66"/>
  <c r="AF15" i="66" s="1"/>
  <c r="K15" i="66"/>
  <c r="AH15" i="66" s="1"/>
  <c r="E15" i="66"/>
  <c r="AN14" i="66"/>
  <c r="AJ14" i="66"/>
  <c r="AE14" i="66"/>
  <c r="AD14" i="66"/>
  <c r="AC14" i="66"/>
  <c r="AA14" i="66"/>
  <c r="O14" i="66"/>
  <c r="AF14" i="66" s="1"/>
  <c r="K14" i="66"/>
  <c r="AM14" i="66" s="1"/>
  <c r="E14" i="66"/>
  <c r="AN13" i="66"/>
  <c r="AJ13" i="66"/>
  <c r="AD13" i="66"/>
  <c r="AC13" i="66"/>
  <c r="Z13" i="66"/>
  <c r="AE13" i="66" s="1"/>
  <c r="O13" i="66"/>
  <c r="AF13" i="66" s="1"/>
  <c r="K13" i="66"/>
  <c r="E13" i="66"/>
  <c r="AN12" i="66"/>
  <c r="AJ12" i="66"/>
  <c r="AD12" i="66"/>
  <c r="Z12" i="66"/>
  <c r="O12" i="66"/>
  <c r="AF12" i="66" s="1"/>
  <c r="K12" i="66"/>
  <c r="E12" i="66"/>
  <c r="AN11" i="66"/>
  <c r="AJ11" i="66"/>
  <c r="AD11" i="66"/>
  <c r="Z11" i="66"/>
  <c r="AE11" i="66" s="1"/>
  <c r="O11" i="66"/>
  <c r="K11" i="66"/>
  <c r="E11" i="66"/>
  <c r="AN10" i="66"/>
  <c r="AJ10" i="66"/>
  <c r="AE10" i="66"/>
  <c r="AD10" i="66"/>
  <c r="AC10" i="66"/>
  <c r="AA10" i="66"/>
  <c r="O10" i="66"/>
  <c r="K10" i="66"/>
  <c r="AH10" i="66" s="1"/>
  <c r="E10" i="66"/>
  <c r="AN9" i="66"/>
  <c r="AJ9" i="66"/>
  <c r="AD9" i="66"/>
  <c r="Z9" i="66"/>
  <c r="AE9" i="66" s="1"/>
  <c r="O9" i="66"/>
  <c r="AF9" i="66" s="1"/>
  <c r="K9" i="66"/>
  <c r="E9" i="66"/>
  <c r="AN8" i="66"/>
  <c r="AJ8" i="66"/>
  <c r="AD8" i="66"/>
  <c r="AC8" i="66"/>
  <c r="Z8" i="66"/>
  <c r="AE8" i="66" s="1"/>
  <c r="O8" i="66"/>
  <c r="K8" i="66"/>
  <c r="AH8" i="66" s="1"/>
  <c r="E8" i="66"/>
  <c r="AN7" i="66"/>
  <c r="AJ7" i="66"/>
  <c r="AE7" i="66"/>
  <c r="AD7" i="66"/>
  <c r="AC7" i="66"/>
  <c r="AA7" i="66"/>
  <c r="O7" i="66"/>
  <c r="K7" i="66"/>
  <c r="E7" i="66"/>
  <c r="AN6" i="66"/>
  <c r="AJ6" i="66"/>
  <c r="AE6" i="66"/>
  <c r="AD6" i="66"/>
  <c r="AC6" i="66"/>
  <c r="AA6" i="66"/>
  <c r="O6" i="66"/>
  <c r="AF6" i="66" s="1"/>
  <c r="K6" i="66"/>
  <c r="D12" i="63" s="1" a="1"/>
  <c r="D12" i="63" s="1"/>
  <c r="E6" i="66"/>
  <c r="AN5" i="66"/>
  <c r="AJ5" i="66"/>
  <c r="AD5" i="66"/>
  <c r="Z5" i="66"/>
  <c r="AE5" i="66" s="1"/>
  <c r="O5" i="66"/>
  <c r="AF5" i="66" s="1"/>
  <c r="K5" i="66"/>
  <c r="AM5" i="66" s="1"/>
  <c r="E5" i="66"/>
  <c r="I2" i="66"/>
  <c r="N5" i="63" l="1"/>
  <c r="AK41" i="66"/>
  <c r="N4" i="63"/>
  <c r="C4" i="63"/>
  <c r="D4" i="63" s="1" a="1"/>
  <c r="D4" i="63" s="1"/>
  <c r="G4" i="63" s="1"/>
  <c r="C6" i="63"/>
  <c r="D6" i="63" s="1" a="1"/>
  <c r="D6" i="63" s="1"/>
  <c r="C5" i="63"/>
  <c r="D5" i="63" s="1" a="1"/>
  <c r="D5" i="63" s="1"/>
  <c r="D10" i="63" a="1"/>
  <c r="D10" i="63" s="1"/>
  <c r="N9" i="63"/>
  <c r="D14" i="63" a="1"/>
  <c r="D14" i="63" s="1"/>
  <c r="D11" i="63" a="1"/>
  <c r="D11" i="63" s="1"/>
  <c r="AE19" i="66"/>
  <c r="N8" i="63"/>
  <c r="AF78" i="66"/>
  <c r="C9" i="63"/>
  <c r="D9" i="63" s="1" a="1"/>
  <c r="D9" i="63" s="1"/>
  <c r="N7" i="63"/>
  <c r="C8" i="63"/>
  <c r="D8" i="63" s="1" a="1"/>
  <c r="D8" i="63" s="1"/>
  <c r="N6" i="63"/>
  <c r="N15" i="63" s="1"/>
  <c r="P15" i="63" s="1"/>
  <c r="D13" i="63" a="1"/>
  <c r="D13" i="63" s="1"/>
  <c r="C7" i="63"/>
  <c r="D7" i="63" s="1" a="1"/>
  <c r="D7" i="63" s="1"/>
  <c r="AF92" i="66"/>
  <c r="AF95" i="66"/>
  <c r="AE30" i="66"/>
  <c r="P4" i="63"/>
  <c r="AA32" i="66"/>
  <c r="AB32" i="66" s="1"/>
  <c r="AM32" i="66" s="1"/>
  <c r="AE46" i="66"/>
  <c r="AE58" i="66"/>
  <c r="AE20" i="66"/>
  <c r="AE26" i="66"/>
  <c r="AF33" i="66"/>
  <c r="AE57" i="66"/>
  <c r="AA35" i="66"/>
  <c r="AF37" i="66"/>
  <c r="AF39" i="66"/>
  <c r="AE82" i="66"/>
  <c r="AE27" i="66"/>
  <c r="AE61" i="66"/>
  <c r="AE69" i="66"/>
  <c r="AE94" i="66"/>
  <c r="AE97" i="66"/>
  <c r="L22" i="69"/>
  <c r="K23" i="69"/>
  <c r="L23" i="69" s="1"/>
  <c r="AD56" i="66"/>
  <c r="AA56" i="66"/>
  <c r="AB56" i="66" s="1"/>
  <c r="AM56" i="66" s="1"/>
  <c r="AA20" i="66"/>
  <c r="AJ20" i="66"/>
  <c r="AA45" i="66"/>
  <c r="AB45" i="66" s="1"/>
  <c r="AM45" i="66" s="1"/>
  <c r="AJ37" i="66"/>
  <c r="AA54" i="66"/>
  <c r="AB54" i="66" s="1"/>
  <c r="AM54" i="66" s="1"/>
  <c r="AJ60" i="66"/>
  <c r="AH69" i="66"/>
  <c r="AK78" i="66"/>
  <c r="AD84" i="66"/>
  <c r="AF20" i="66"/>
  <c r="AA33" i="66"/>
  <c r="AF35" i="66"/>
  <c r="AI36" i="66"/>
  <c r="AI63" i="66"/>
  <c r="AF19" i="66"/>
  <c r="AE84" i="66"/>
  <c r="AK36" i="66"/>
  <c r="AF43" i="66"/>
  <c r="AI59" i="66"/>
  <c r="AE65" i="66"/>
  <c r="AE78" i="66"/>
  <c r="AF93" i="66"/>
  <c r="AD19" i="66"/>
  <c r="AE95" i="66"/>
  <c r="AE28" i="66"/>
  <c r="AD22" i="66"/>
  <c r="AK67" i="66"/>
  <c r="AE99" i="66"/>
  <c r="AI55" i="66"/>
  <c r="AH55" i="66"/>
  <c r="AK55" i="66"/>
  <c r="AI5" i="66"/>
  <c r="AF30" i="66"/>
  <c r="AI28" i="66"/>
  <c r="AK28" i="66"/>
  <c r="AM15" i="66"/>
  <c r="AI15" i="66"/>
  <c r="AK29" i="66"/>
  <c r="AE41" i="66"/>
  <c r="AA57" i="66"/>
  <c r="AI80" i="66"/>
  <c r="AI83" i="66"/>
  <c r="AD48" i="66"/>
  <c r="AH81" i="66"/>
  <c r="AJ46" i="66"/>
  <c r="AD46" i="66"/>
  <c r="AI29" i="66"/>
  <c r="AD28" i="66"/>
  <c r="AJ28" i="66"/>
  <c r="AF48" i="66"/>
  <c r="AE59" i="66"/>
  <c r="AD77" i="66"/>
  <c r="AE90" i="66"/>
  <c r="AE31" i="66"/>
  <c r="AJ47" i="66"/>
  <c r="AH70" i="66"/>
  <c r="AK20" i="66"/>
  <c r="AI82" i="66"/>
  <c r="AH82" i="66"/>
  <c r="AE23" i="66"/>
  <c r="AF25" i="66"/>
  <c r="AK47" i="66"/>
  <c r="AH47" i="66"/>
  <c r="AH71" i="66"/>
  <c r="AK71" i="66"/>
  <c r="AI71" i="66"/>
  <c r="AF76" i="66"/>
  <c r="AK99" i="66"/>
  <c r="AE24" i="66"/>
  <c r="AK86" i="66"/>
  <c r="AB10" i="66"/>
  <c r="AM10" i="66" s="1"/>
  <c r="AK30" i="66"/>
  <c r="AA43" i="66"/>
  <c r="AF70" i="66"/>
  <c r="AF73" i="66"/>
  <c r="AF84" i="66"/>
  <c r="AA87" i="66"/>
  <c r="AB87" i="66" s="1"/>
  <c r="AM87" i="66" s="1"/>
  <c r="AA40" i="66"/>
  <c r="AF49" i="66"/>
  <c r="AF57" i="66"/>
  <c r="AE81" i="66"/>
  <c r="AE92" i="66"/>
  <c r="AE66" i="66"/>
  <c r="S20" i="66"/>
  <c r="AC20" i="66" s="1"/>
  <c r="AA97" i="66"/>
  <c r="AB97" i="66" s="1"/>
  <c r="AM97" i="66" s="1"/>
  <c r="AK18" i="66"/>
  <c r="AH23" i="66"/>
  <c r="AE32" i="66"/>
  <c r="AE39" i="66"/>
  <c r="AE42" i="66"/>
  <c r="AI53" i="66"/>
  <c r="AF54" i="66"/>
  <c r="AE68" i="66"/>
  <c r="AH73" i="66"/>
  <c r="AE79" i="66"/>
  <c r="AK80" i="66"/>
  <c r="AF85" i="66"/>
  <c r="AF88" i="66"/>
  <c r="AD92" i="66"/>
  <c r="AJ93" i="66"/>
  <c r="AF102" i="66"/>
  <c r="AA84" i="66"/>
  <c r="AA46" i="66"/>
  <c r="AA80" i="66"/>
  <c r="AA81" i="66"/>
  <c r="AB81" i="66" s="1"/>
  <c r="AM81" i="66" s="1"/>
  <c r="AD81" i="66"/>
  <c r="AJ36" i="66"/>
  <c r="AF82" i="66"/>
  <c r="AK83" i="66"/>
  <c r="AD54" i="66"/>
  <c r="AJ80" i="66"/>
  <c r="AI89" i="66"/>
  <c r="AF10" i="66"/>
  <c r="AG10" i="66" s="1"/>
  <c r="AA22" i="66"/>
  <c r="AB22" i="66" s="1"/>
  <c r="AM22" i="66" s="1"/>
  <c r="AF32" i="66"/>
  <c r="AD42" i="66"/>
  <c r="AA49" i="66"/>
  <c r="AE52" i="66"/>
  <c r="AJ53" i="66"/>
  <c r="AK56" i="66"/>
  <c r="AJ79" i="66"/>
  <c r="AJ82" i="66"/>
  <c r="AE70" i="66"/>
  <c r="AE40" i="66"/>
  <c r="S76" i="66"/>
  <c r="AC76" i="66" s="1"/>
  <c r="AB17" i="66"/>
  <c r="AM17" i="66" s="1"/>
  <c r="AA44" i="66"/>
  <c r="AB44" i="66" s="1"/>
  <c r="AM44" i="66" s="1"/>
  <c r="AE37" i="66"/>
  <c r="AK89" i="66"/>
  <c r="AD69" i="66"/>
  <c r="AE73" i="66"/>
  <c r="AA27" i="66"/>
  <c r="AF28" i="66"/>
  <c r="AD30" i="66"/>
  <c r="AD31" i="66"/>
  <c r="AD49" i="66"/>
  <c r="AA52" i="66"/>
  <c r="AE64" i="66"/>
  <c r="AE72" i="66"/>
  <c r="AA78" i="66"/>
  <c r="AF90" i="66"/>
  <c r="AH99" i="66"/>
  <c r="AE77" i="66"/>
  <c r="AA36" i="66"/>
  <c r="AB36" i="66" s="1"/>
  <c r="AM36" i="66" s="1"/>
  <c r="AA94" i="66"/>
  <c r="AB94" i="66" s="1"/>
  <c r="AM94" i="66" s="1"/>
  <c r="AE93" i="66"/>
  <c r="AK33" i="66"/>
  <c r="AI20" i="66"/>
  <c r="AF22" i="66"/>
  <c r="AH28" i="66"/>
  <c r="AA34" i="66"/>
  <c r="AB34" i="66" s="1"/>
  <c r="AM34" i="66" s="1"/>
  <c r="AA48" i="66"/>
  <c r="AB48" i="66" s="1"/>
  <c r="AM48" i="66" s="1"/>
  <c r="AE49" i="66"/>
  <c r="AF51" i="66"/>
  <c r="AK54" i="66"/>
  <c r="AD72" i="66"/>
  <c r="S42" i="66"/>
  <c r="AC42" i="66" s="1"/>
  <c r="AK59" i="66"/>
  <c r="AH61" i="66"/>
  <c r="AI61" i="66"/>
  <c r="AD65" i="66"/>
  <c r="AJ65" i="66"/>
  <c r="AA72" i="66"/>
  <c r="AJ75" i="66"/>
  <c r="AD75" i="66"/>
  <c r="AK65" i="66"/>
  <c r="AH65" i="66"/>
  <c r="AJ90" i="66"/>
  <c r="AD90" i="66"/>
  <c r="AA13" i="66"/>
  <c r="AB13" i="66" s="1"/>
  <c r="AM13" i="66" s="1"/>
  <c r="AA31" i="66"/>
  <c r="AB31" i="66" s="1"/>
  <c r="AM31" i="66" s="1"/>
  <c r="S39" i="66"/>
  <c r="AC39" i="66" s="1"/>
  <c r="AD70" i="66"/>
  <c r="AJ70" i="66"/>
  <c r="AJ39" i="66"/>
  <c r="AD39" i="66"/>
  <c r="AK51" i="66"/>
  <c r="AI51" i="66"/>
  <c r="AK61" i="66"/>
  <c r="AF61" i="66"/>
  <c r="AA70" i="66"/>
  <c r="AB70" i="66" s="1"/>
  <c r="AM70" i="66" s="1"/>
  <c r="AE71" i="66"/>
  <c r="AE75" i="66"/>
  <c r="AA75" i="66"/>
  <c r="AB75" i="66" s="1"/>
  <c r="AM75" i="66" s="1"/>
  <c r="S89" i="66"/>
  <c r="AC89" i="66" s="1"/>
  <c r="AA90" i="66"/>
  <c r="AB90" i="66" s="1"/>
  <c r="AM90" i="66" s="1"/>
  <c r="AK102" i="66"/>
  <c r="AH102" i="66"/>
  <c r="AK39" i="66"/>
  <c r="AI39" i="66"/>
  <c r="AK96" i="66"/>
  <c r="AH96" i="66"/>
  <c r="AJ43" i="66"/>
  <c r="AD43" i="66"/>
  <c r="AJ89" i="66"/>
  <c r="AD89" i="66"/>
  <c r="S51" i="66"/>
  <c r="AC51" i="66" s="1"/>
  <c r="AF74" i="66"/>
  <c r="S74" i="66"/>
  <c r="AC74" i="66" s="1"/>
  <c r="AA89" i="66"/>
  <c r="AE89" i="66"/>
  <c r="AJ27" i="66"/>
  <c r="AI44" i="66"/>
  <c r="AH44" i="66"/>
  <c r="AB7" i="66"/>
  <c r="AM7" i="66" s="1"/>
  <c r="AF7" i="66"/>
  <c r="AG7" i="66" s="1"/>
  <c r="S33" i="66"/>
  <c r="AC33" i="66" s="1"/>
  <c r="AE45" i="66"/>
  <c r="AK50" i="66"/>
  <c r="AI50" i="66"/>
  <c r="AH50" i="66"/>
  <c r="AF56" i="66"/>
  <c r="S88" i="66"/>
  <c r="AC88" i="66" s="1"/>
  <c r="AK10" i="66"/>
  <c r="AI10" i="66"/>
  <c r="AK11" i="66"/>
  <c r="AI24" i="66"/>
  <c r="AK24" i="66"/>
  <c r="AA25" i="66"/>
  <c r="AE25" i="66"/>
  <c r="AK26" i="66"/>
  <c r="AI42" i="66"/>
  <c r="AI56" i="66"/>
  <c r="AH95" i="66"/>
  <c r="AI12" i="66"/>
  <c r="AH12" i="66"/>
  <c r="AJ61" i="66"/>
  <c r="AD61" i="66"/>
  <c r="AH74" i="66"/>
  <c r="AI74" i="66"/>
  <c r="AE86" i="66"/>
  <c r="AA86" i="66"/>
  <c r="AB86" i="66" s="1"/>
  <c r="AM86" i="66" s="1"/>
  <c r="AJ99" i="66"/>
  <c r="AD99" i="66"/>
  <c r="AC48" i="66"/>
  <c r="AH60" i="66"/>
  <c r="AI60" i="66"/>
  <c r="AH85" i="66"/>
  <c r="AI85" i="66"/>
  <c r="AI88" i="66"/>
  <c r="AH88" i="66"/>
  <c r="AK7" i="66"/>
  <c r="AH7" i="66"/>
  <c r="AI7" i="66"/>
  <c r="AA12" i="66"/>
  <c r="AE12" i="66"/>
  <c r="AK17" i="66"/>
  <c r="AI17" i="66"/>
  <c r="S25" i="66"/>
  <c r="AC25" i="66" s="1"/>
  <c r="AJ51" i="66"/>
  <c r="AD51" i="66"/>
  <c r="AA68" i="66"/>
  <c r="AB68" i="66" s="1"/>
  <c r="AM68" i="66" s="1"/>
  <c r="AA69" i="66"/>
  <c r="AB69" i="66" s="1"/>
  <c r="AM69" i="66" s="1"/>
  <c r="AI96" i="66"/>
  <c r="AK98" i="66"/>
  <c r="AI98" i="66"/>
  <c r="AM16" i="66"/>
  <c r="AI16" i="66"/>
  <c r="AJ25" i="66"/>
  <c r="AD25" i="66"/>
  <c r="AI26" i="66"/>
  <c r="AK32" i="66"/>
  <c r="AI32" i="66"/>
  <c r="AH32" i="66"/>
  <c r="AD41" i="66"/>
  <c r="AJ41" i="66"/>
  <c r="AF42" i="66"/>
  <c r="AF59" i="66"/>
  <c r="AI8" i="66"/>
  <c r="AD45" i="66"/>
  <c r="AJ59" i="66"/>
  <c r="AD59" i="66"/>
  <c r="AJ63" i="66"/>
  <c r="AD63" i="66"/>
  <c r="AK74" i="66"/>
  <c r="AE98" i="66"/>
  <c r="AA98" i="66"/>
  <c r="AE54" i="66"/>
  <c r="AA63" i="66"/>
  <c r="AB63" i="66" s="1"/>
  <c r="AM63" i="66" s="1"/>
  <c r="AE63" i="66"/>
  <c r="AJ66" i="66"/>
  <c r="AD66" i="66"/>
  <c r="AF66" i="66"/>
  <c r="AJ101" i="66"/>
  <c r="AD101" i="66"/>
  <c r="S5" i="66"/>
  <c r="AC5" i="66" s="1"/>
  <c r="AG5" i="66" s="1"/>
  <c r="AJ52" i="66"/>
  <c r="AD52" i="66"/>
  <c r="AH25" i="66"/>
  <c r="AI25" i="66"/>
  <c r="AI22" i="66"/>
  <c r="AK22" i="66"/>
  <c r="AH22" i="66"/>
  <c r="AI79" i="66"/>
  <c r="S102" i="66"/>
  <c r="AC102" i="66" s="1"/>
  <c r="AA8" i="66"/>
  <c r="AB8" i="66" s="1"/>
  <c r="AM8" i="66" s="1"/>
  <c r="AJ102" i="66"/>
  <c r="AD102" i="66"/>
  <c r="AK44" i="66"/>
  <c r="AK79" i="66"/>
  <c r="AH101" i="66"/>
  <c r="AK101" i="66"/>
  <c r="AK6" i="66"/>
  <c r="AH6" i="66"/>
  <c r="AF11" i="66"/>
  <c r="S11" i="66"/>
  <c r="AC11" i="66" s="1"/>
  <c r="AG11" i="66" s="1"/>
  <c r="AC19" i="66"/>
  <c r="AH58" i="66"/>
  <c r="AK58" i="66"/>
  <c r="AI58" i="66"/>
  <c r="AK94" i="66"/>
  <c r="AJ95" i="66"/>
  <c r="AJ40" i="66"/>
  <c r="AD40" i="66"/>
  <c r="AK5" i="66"/>
  <c r="AH5" i="66"/>
  <c r="AB6" i="66"/>
  <c r="AM6" i="66" s="1"/>
  <c r="AG15" i="66"/>
  <c r="AH18" i="66"/>
  <c r="F8" i="63" s="1" a="1"/>
  <c r="F8" i="63" s="1"/>
  <c r="AI33" i="66"/>
  <c r="AK35" i="66"/>
  <c r="AK57" i="66"/>
  <c r="AI62" i="66"/>
  <c r="AK62" i="66"/>
  <c r="AA66" i="66"/>
  <c r="AB66" i="66" s="1"/>
  <c r="AM66" i="66" s="1"/>
  <c r="AF80" i="66"/>
  <c r="S80" i="66"/>
  <c r="AC80" i="66" s="1"/>
  <c r="AK90" i="66"/>
  <c r="AE91" i="66"/>
  <c r="AJ97" i="66"/>
  <c r="AD97" i="66"/>
  <c r="AH98" i="66"/>
  <c r="AA101" i="66"/>
  <c r="AB101" i="66" s="1"/>
  <c r="AM101" i="66" s="1"/>
  <c r="AE101" i="66"/>
  <c r="AE51" i="66"/>
  <c r="AH77" i="66"/>
  <c r="AK77" i="66"/>
  <c r="AI77" i="66"/>
  <c r="S78" i="66"/>
  <c r="AC78" i="66" s="1"/>
  <c r="AA5" i="66"/>
  <c r="AK31" i="66"/>
  <c r="AI41" i="66"/>
  <c r="AH41" i="66"/>
  <c r="AJ87" i="66"/>
  <c r="AD87" i="66"/>
  <c r="AA11" i="66"/>
  <c r="AK19" i="66"/>
  <c r="AA30" i="66"/>
  <c r="AB30" i="66" s="1"/>
  <c r="AM30" i="66" s="1"/>
  <c r="AE34" i="66"/>
  <c r="AB38" i="66"/>
  <c r="AM38" i="66" s="1"/>
  <c r="AA42" i="66"/>
  <c r="AE43" i="66"/>
  <c r="AF45" i="66"/>
  <c r="AE48" i="66"/>
  <c r="AA82" i="66"/>
  <c r="AB82" i="66" s="1"/>
  <c r="AM82" i="66" s="1"/>
  <c r="AE83" i="66"/>
  <c r="AH86" i="66"/>
  <c r="AI86" i="66"/>
  <c r="AE87" i="66"/>
  <c r="AA92" i="66"/>
  <c r="AB92" i="66" s="1"/>
  <c r="AM92" i="66" s="1"/>
  <c r="AA93" i="66"/>
  <c r="AB93" i="66" s="1"/>
  <c r="AM93" i="66" s="1"/>
  <c r="AD100" i="66"/>
  <c r="AJ100" i="66"/>
  <c r="AH31" i="66"/>
  <c r="AI31" i="66"/>
  <c r="AK45" i="66"/>
  <c r="AI45" i="66"/>
  <c r="AE74" i="66"/>
  <c r="AA74" i="66"/>
  <c r="AJ78" i="66"/>
  <c r="AD78" i="66"/>
  <c r="AI9" i="66"/>
  <c r="AM9" i="66"/>
  <c r="AF27" i="66"/>
  <c r="AE29" i="66"/>
  <c r="AE36" i="66"/>
  <c r="AI76" i="66"/>
  <c r="AH76" i="66"/>
  <c r="AA77" i="66"/>
  <c r="AB77" i="66" s="1"/>
  <c r="AM77" i="66" s="1"/>
  <c r="AF86" i="66"/>
  <c r="S99" i="66"/>
  <c r="AC99" i="66" s="1"/>
  <c r="AF99" i="66"/>
  <c r="AK38" i="66"/>
  <c r="AA59" i="66"/>
  <c r="AB59" i="66" s="1"/>
  <c r="AM59" i="66" s="1"/>
  <c r="AA61" i="66"/>
  <c r="AB61" i="66" s="1"/>
  <c r="AM61" i="66" s="1"/>
  <c r="AA79" i="66"/>
  <c r="AB79" i="66" s="1"/>
  <c r="AM79" i="66" s="1"/>
  <c r="AE80" i="66"/>
  <c r="AE85" i="66"/>
  <c r="AF94" i="66"/>
  <c r="AA95" i="66"/>
  <c r="AB95" i="66" s="1"/>
  <c r="AM95" i="66" s="1"/>
  <c r="AB18" i="66"/>
  <c r="AM18" i="66" s="1"/>
  <c r="AF68" i="66"/>
  <c r="AG6" i="66"/>
  <c r="AK13" i="66"/>
  <c r="AG14" i="66"/>
  <c r="AG16" i="66"/>
  <c r="AG17" i="66"/>
  <c r="AA19" i="66"/>
  <c r="AB19" i="66" s="1"/>
  <c r="AM19" i="66" s="1"/>
  <c r="AK27" i="66"/>
  <c r="AA39" i="66"/>
  <c r="AK48" i="66"/>
  <c r="AK53" i="66"/>
  <c r="S55" i="66"/>
  <c r="AC55" i="66" s="1"/>
  <c r="AG13" i="66"/>
  <c r="AG18" i="66"/>
  <c r="AA29" i="66"/>
  <c r="AB29" i="66" s="1"/>
  <c r="AM29" i="66" s="1"/>
  <c r="AE38" i="66"/>
  <c r="AI91" i="66"/>
  <c r="AH91" i="66"/>
  <c r="AE67" i="66"/>
  <c r="AA67" i="66"/>
  <c r="AB67" i="66" s="1"/>
  <c r="AM67" i="66" s="1"/>
  <c r="AI30" i="66"/>
  <c r="S40" i="66"/>
  <c r="AC40" i="66" s="1"/>
  <c r="AE44" i="66"/>
  <c r="S46" i="66"/>
  <c r="AC46" i="66" s="1"/>
  <c r="AA51" i="66"/>
  <c r="S53" i="66"/>
  <c r="AC53" i="66" s="1"/>
  <c r="AE55" i="66"/>
  <c r="AA55" i="66"/>
  <c r="AA9" i="66"/>
  <c r="S12" i="66"/>
  <c r="AC12" i="66" s="1"/>
  <c r="AK12" i="66"/>
  <c r="AH19" i="66"/>
  <c r="AA24" i="66"/>
  <c r="AB24" i="66" s="1"/>
  <c r="AM24" i="66" s="1"/>
  <c r="AA26" i="66"/>
  <c r="AB26" i="66" s="1"/>
  <c r="AM26" i="66" s="1"/>
  <c r="AI27" i="66"/>
  <c r="AH38" i="66"/>
  <c r="AF41" i="66"/>
  <c r="AF47" i="66"/>
  <c r="AJ50" i="66"/>
  <c r="AE56" i="66"/>
  <c r="S57" i="66"/>
  <c r="AC57" i="66" s="1"/>
  <c r="AK60" i="66"/>
  <c r="AJ62" i="66"/>
  <c r="AI65" i="66"/>
  <c r="AJ67" i="66"/>
  <c r="AF71" i="66"/>
  <c r="AJ71" i="66"/>
  <c r="AD71" i="66"/>
  <c r="AD74" i="66"/>
  <c r="AJ83" i="66"/>
  <c r="AD83" i="66"/>
  <c r="AD86" i="66"/>
  <c r="AF91" i="66"/>
  <c r="AE96" i="66"/>
  <c r="AI100" i="66"/>
  <c r="AH100" i="66"/>
  <c r="S52" i="66"/>
  <c r="AC52" i="66" s="1"/>
  <c r="S9" i="66"/>
  <c r="AC9" i="66" s="1"/>
  <c r="AG9" i="66" s="1"/>
  <c r="S35" i="66"/>
  <c r="AC35" i="66" s="1"/>
  <c r="AA23" i="66"/>
  <c r="AB23" i="66" s="1"/>
  <c r="AM23" i="66" s="1"/>
  <c r="AE53" i="66"/>
  <c r="AA53" i="66"/>
  <c r="AD91" i="66"/>
  <c r="AJ91" i="66"/>
  <c r="AF100" i="66"/>
  <c r="S100" i="66"/>
  <c r="AC100" i="66" s="1"/>
  <c r="K2" i="66"/>
  <c r="AH13" i="66"/>
  <c r="AK25" i="66"/>
  <c r="AD26" i="66"/>
  <c r="S27" i="66"/>
  <c r="AC27" i="66" s="1"/>
  <c r="AD29" i="66"/>
  <c r="AD34" i="66"/>
  <c r="AJ38" i="66"/>
  <c r="AJ44" i="66"/>
  <c r="AA73" i="66"/>
  <c r="AD76" i="66"/>
  <c r="AJ76" i="66"/>
  <c r="AA85" i="66"/>
  <c r="AD88" i="66"/>
  <c r="AJ88" i="66"/>
  <c r="AA96" i="66"/>
  <c r="AB96" i="66" s="1"/>
  <c r="AM96" i="66" s="1"/>
  <c r="AA102" i="66"/>
  <c r="AE102" i="66"/>
  <c r="S72" i="66"/>
  <c r="AC72" i="66" s="1"/>
  <c r="AF97" i="66"/>
  <c r="AF8" i="66"/>
  <c r="AG8" i="66" s="1"/>
  <c r="AI19" i="66"/>
  <c r="AH11" i="66"/>
  <c r="AI13" i="66"/>
  <c r="AA28" i="66"/>
  <c r="AB28" i="66" s="1"/>
  <c r="AM28" i="66" s="1"/>
  <c r="AF29" i="66"/>
  <c r="AE35" i="66"/>
  <c r="AK37" i="66"/>
  <c r="AA41" i="66"/>
  <c r="AB41" i="66" s="1"/>
  <c r="AM41" i="66" s="1"/>
  <c r="AE47" i="66"/>
  <c r="AA47" i="66"/>
  <c r="AB47" i="66" s="1"/>
  <c r="AM47" i="66" s="1"/>
  <c r="AK49" i="66"/>
  <c r="AI49" i="66"/>
  <c r="AJ55" i="66"/>
  <c r="AF58" i="66"/>
  <c r="AD58" i="66"/>
  <c r="AA71" i="66"/>
  <c r="AB71" i="66" s="1"/>
  <c r="AM71" i="66" s="1"/>
  <c r="AE76" i="66"/>
  <c r="AA76" i="66"/>
  <c r="AF79" i="66"/>
  <c r="AA83" i="66"/>
  <c r="AB83" i="66" s="1"/>
  <c r="AM83" i="66" s="1"/>
  <c r="AE88" i="66"/>
  <c r="AA88" i="66"/>
  <c r="AA99" i="66"/>
  <c r="AK8" i="66"/>
  <c r="AI11" i="66"/>
  <c r="AD23" i="66"/>
  <c r="AF26" i="66"/>
  <c r="S37" i="66"/>
  <c r="AC37" i="66" s="1"/>
  <c r="AK43" i="66"/>
  <c r="AI43" i="66"/>
  <c r="S49" i="66"/>
  <c r="AC49" i="66" s="1"/>
  <c r="AF52" i="66"/>
  <c r="AF72" i="66"/>
  <c r="AK23" i="66"/>
  <c r="AI6" i="66"/>
  <c r="AH14" i="66"/>
  <c r="AI18" i="66"/>
  <c r="AH24" i="66"/>
  <c r="AF31" i="66"/>
  <c r="AD33" i="66"/>
  <c r="S43" i="66"/>
  <c r="AC43" i="66" s="1"/>
  <c r="AF50" i="66"/>
  <c r="AF60" i="66"/>
  <c r="AF65" i="66"/>
  <c r="AK91" i="66"/>
  <c r="AH9" i="66"/>
  <c r="AI14" i="66"/>
  <c r="AE22" i="66"/>
  <c r="AF23" i="66"/>
  <c r="AE33" i="66"/>
  <c r="AK34" i="66"/>
  <c r="AI34" i="66"/>
  <c r="AH34" i="66"/>
  <c r="AH35" i="66"/>
  <c r="AF38" i="66"/>
  <c r="AF40" i="66"/>
  <c r="AF44" i="66"/>
  <c r="AF46" i="66"/>
  <c r="AA58" i="66"/>
  <c r="AB58" i="66" s="1"/>
  <c r="AM58" i="66" s="1"/>
  <c r="AF62" i="66"/>
  <c r="AI67" i="66"/>
  <c r="AH67" i="66"/>
  <c r="AH97" i="66"/>
  <c r="AK100" i="66"/>
  <c r="AH20" i="66"/>
  <c r="AF24" i="66"/>
  <c r="AJ24" i="66"/>
  <c r="AI35" i="66"/>
  <c r="AD36" i="66"/>
  <c r="AE60" i="66"/>
  <c r="AA60" i="66"/>
  <c r="AB60" i="66" s="1"/>
  <c r="AM60" i="66" s="1"/>
  <c r="AJ64" i="66"/>
  <c r="AF64" i="66"/>
  <c r="AD64" i="66"/>
  <c r="AF67" i="66"/>
  <c r="AF69" i="66"/>
  <c r="AF81" i="66"/>
  <c r="S84" i="66"/>
  <c r="AC84" i="66" s="1"/>
  <c r="AK40" i="66"/>
  <c r="AI40" i="66"/>
  <c r="AK46" i="66"/>
  <c r="AI46" i="66"/>
  <c r="AF53" i="66"/>
  <c r="AH40" i="66"/>
  <c r="AH46" i="66"/>
  <c r="AE50" i="66"/>
  <c r="AA50" i="66"/>
  <c r="AB50" i="66" s="1"/>
  <c r="AM50" i="66" s="1"/>
  <c r="AK52" i="66"/>
  <c r="AI52" i="66"/>
  <c r="AF55" i="66"/>
  <c r="AH57" i="66"/>
  <c r="AA62" i="66"/>
  <c r="AB62" i="66" s="1"/>
  <c r="AM62" i="66" s="1"/>
  <c r="AE62" i="66"/>
  <c r="AA64" i="66"/>
  <c r="AB64" i="66" s="1"/>
  <c r="AM64" i="66" s="1"/>
  <c r="AK72" i="66"/>
  <c r="AI72" i="66"/>
  <c r="AK84" i="66"/>
  <c r="AI84" i="66"/>
  <c r="AK97" i="66"/>
  <c r="AJ32" i="66"/>
  <c r="AF34" i="66"/>
  <c r="AJ35" i="66"/>
  <c r="AH37" i="66"/>
  <c r="AJ57" i="66"/>
  <c r="AF75" i="66"/>
  <c r="AF77" i="66"/>
  <c r="AF87" i="66"/>
  <c r="AF89" i="66"/>
  <c r="AK92" i="66"/>
  <c r="AI92" i="66"/>
  <c r="AH92" i="66"/>
  <c r="AJ98" i="66"/>
  <c r="AF63" i="66"/>
  <c r="AK63" i="66"/>
  <c r="AI68" i="66"/>
  <c r="AK70" i="66"/>
  <c r="AK75" i="66"/>
  <c r="AK82" i="66"/>
  <c r="AK87" i="66"/>
  <c r="AA91" i="66"/>
  <c r="AB91" i="66" s="1"/>
  <c r="AM91" i="66" s="1"/>
  <c r="AD96" i="66"/>
  <c r="AE100" i="66"/>
  <c r="AA100" i="66"/>
  <c r="AJ68" i="66"/>
  <c r="AH93" i="66"/>
  <c r="AK95" i="66"/>
  <c r="AF98" i="66"/>
  <c r="AH39" i="66"/>
  <c r="AH42" i="66"/>
  <c r="AH45" i="66"/>
  <c r="AH48" i="66"/>
  <c r="AH51" i="66"/>
  <c r="AH54" i="66"/>
  <c r="AH56" i="66"/>
  <c r="AA65" i="66"/>
  <c r="AB65" i="66" s="1"/>
  <c r="AM65" i="66" s="1"/>
  <c r="AK66" i="66"/>
  <c r="AI66" i="66"/>
  <c r="AH66" i="66"/>
  <c r="AK68" i="66"/>
  <c r="AJ73" i="66"/>
  <c r="AI75" i="66"/>
  <c r="AJ85" i="66"/>
  <c r="AI87" i="66"/>
  <c r="AH90" i="66"/>
  <c r="AI93" i="66"/>
  <c r="S98" i="66"/>
  <c r="AC98" i="66" s="1"/>
  <c r="AI102" i="66"/>
  <c r="AK73" i="66"/>
  <c r="AK85" i="66"/>
  <c r="AI90" i="66"/>
  <c r="AH62" i="66"/>
  <c r="AK64" i="66"/>
  <c r="AI64" i="66"/>
  <c r="S73" i="66"/>
  <c r="AC73" i="66" s="1"/>
  <c r="AH78" i="66"/>
  <c r="S85" i="66"/>
  <c r="AC85" i="66" s="1"/>
  <c r="AD94" i="66"/>
  <c r="AI78" i="66"/>
  <c r="AF83" i="66"/>
  <c r="AF96" i="66"/>
  <c r="AK69" i="66"/>
  <c r="AK76" i="66"/>
  <c r="AK81" i="66"/>
  <c r="AK88" i="66"/>
  <c r="AI101" i="66"/>
  <c r="AH94" i="66"/>
  <c r="AF101" i="66"/>
  <c r="H6" i="63" l="1"/>
  <c r="H9" i="63"/>
  <c r="F9" i="63" a="1"/>
  <c r="F9" i="63" s="1"/>
  <c r="F6" i="63" a="1"/>
  <c r="F6" i="63" s="1"/>
  <c r="F7" i="63" a="1"/>
  <c r="F7" i="63" s="1"/>
  <c r="AG98" i="66"/>
  <c r="H8" i="63"/>
  <c r="F5" i="63" a="1"/>
  <c r="F5" i="63" s="1"/>
  <c r="F14" i="63" a="1"/>
  <c r="F14" i="63" s="1"/>
  <c r="H5" i="63"/>
  <c r="F12" i="63" a="1"/>
  <c r="F12" i="63" s="1"/>
  <c r="F11" i="63" a="1"/>
  <c r="F11" i="63" s="1"/>
  <c r="F10" i="63" a="1"/>
  <c r="F10" i="63" s="1"/>
  <c r="F13" i="63" a="1"/>
  <c r="F13" i="63" s="1"/>
  <c r="H7" i="63"/>
  <c r="F4" i="63" a="1"/>
  <c r="F4" i="63" s="1"/>
  <c r="H4" i="63"/>
  <c r="N4" i="69"/>
  <c r="AG99" i="66"/>
  <c r="AG95" i="66"/>
  <c r="AG64" i="66"/>
  <c r="AG45" i="66"/>
  <c r="AG94" i="66"/>
  <c r="AG23" i="66"/>
  <c r="AG58" i="66"/>
  <c r="AG82" i="66"/>
  <c r="AG30" i="66"/>
  <c r="AG32" i="66"/>
  <c r="AG20" i="66"/>
  <c r="AG25" i="66"/>
  <c r="AB89" i="66"/>
  <c r="AM89" i="66" s="1"/>
  <c r="AG12" i="66"/>
  <c r="AB88" i="66"/>
  <c r="AM88" i="66" s="1"/>
  <c r="AG57" i="66"/>
  <c r="AG22" i="66"/>
  <c r="AG19" i="66"/>
  <c r="AG24" i="66"/>
  <c r="AG47" i="66"/>
  <c r="AB55" i="66"/>
  <c r="AM55" i="66" s="1"/>
  <c r="AG93" i="66"/>
  <c r="AG66" i="66"/>
  <c r="AG79" i="66"/>
  <c r="AG37" i="66"/>
  <c r="AG92" i="66"/>
  <c r="AG36" i="66"/>
  <c r="AG39" i="66"/>
  <c r="AG101" i="66"/>
  <c r="AG41" i="66"/>
  <c r="AB85" i="66"/>
  <c r="AM85" i="66" s="1"/>
  <c r="AG63" i="66"/>
  <c r="AG34" i="66"/>
  <c r="AG84" i="66"/>
  <c r="AG90" i="66"/>
  <c r="AG67" i="66"/>
  <c r="AG73" i="66"/>
  <c r="AG54" i="66"/>
  <c r="AG102" i="66"/>
  <c r="AG28" i="66"/>
  <c r="AG77" i="66"/>
  <c r="AB80" i="66"/>
  <c r="AM80" i="66" s="1"/>
  <c r="AG69" i="66"/>
  <c r="AG100" i="66"/>
  <c r="AG96" i="66"/>
  <c r="AB72" i="66"/>
  <c r="AM72" i="66" s="1"/>
  <c r="AG91" i="66"/>
  <c r="AB76" i="66"/>
  <c r="AM76" i="66" s="1"/>
  <c r="AG35" i="66"/>
  <c r="AG38" i="66"/>
  <c r="AG61" i="66"/>
  <c r="AG81" i="66"/>
  <c r="AG43" i="66"/>
  <c r="AG71" i="66"/>
  <c r="AG53" i="66"/>
  <c r="AG78" i="66"/>
  <c r="AG80" i="66"/>
  <c r="AG48" i="66"/>
  <c r="AG74" i="66"/>
  <c r="AG29" i="66"/>
  <c r="AG52" i="66"/>
  <c r="AG76" i="66"/>
  <c r="AG68" i="66"/>
  <c r="AG51" i="66"/>
  <c r="AG31" i="66"/>
  <c r="AG49" i="66"/>
  <c r="AG59" i="66"/>
  <c r="AG89" i="66"/>
  <c r="AG70" i="66"/>
  <c r="AB78" i="66"/>
  <c r="AM78" i="66" s="1"/>
  <c r="AG33" i="66"/>
  <c r="AG87" i="66"/>
  <c r="AG42" i="66"/>
  <c r="AG88" i="66"/>
  <c r="AB52" i="66"/>
  <c r="AM52" i="66" s="1"/>
  <c r="AG27" i="66"/>
  <c r="AG26" i="66"/>
  <c r="AB84" i="66"/>
  <c r="AM84" i="66" s="1"/>
  <c r="AK3" i="66"/>
  <c r="AG83" i="66"/>
  <c r="AG62" i="66"/>
  <c r="AG85" i="66"/>
  <c r="AG65" i="66"/>
  <c r="AG97" i="66"/>
  <c r="AG56" i="66"/>
  <c r="AB11" i="66"/>
  <c r="AM11" i="66" s="1"/>
  <c r="AB42" i="66"/>
  <c r="AM42" i="66" s="1"/>
  <c r="AB37" i="66"/>
  <c r="AM37" i="66" s="1"/>
  <c r="AB33" i="66"/>
  <c r="AM33" i="66" s="1"/>
  <c r="AG55" i="66"/>
  <c r="AB73" i="66"/>
  <c r="AM73" i="66" s="1"/>
  <c r="AB51" i="66"/>
  <c r="AM51" i="66" s="1"/>
  <c r="AB25" i="66"/>
  <c r="AM25" i="66" s="1"/>
  <c r="AG50" i="66"/>
  <c r="AB102" i="66"/>
  <c r="AM102" i="66" s="1"/>
  <c r="AG86" i="66"/>
  <c r="AG44" i="66"/>
  <c r="AG75" i="66"/>
  <c r="AG60" i="66"/>
  <c r="AB99" i="66"/>
  <c r="AM99" i="66" s="1"/>
  <c r="AB39" i="66"/>
  <c r="AM39" i="66" s="1"/>
  <c r="AB74" i="66"/>
  <c r="AM74" i="66" s="1"/>
  <c r="AB100" i="66"/>
  <c r="AM100" i="66" s="1"/>
  <c r="AG46" i="66"/>
  <c r="AB53" i="66"/>
  <c r="AM53" i="66" s="1"/>
  <c r="AG72" i="66"/>
  <c r="AB46" i="66"/>
  <c r="AM46" i="66" s="1"/>
  <c r="AI3" i="66"/>
  <c r="E1" i="66" s="1"/>
  <c r="AG40" i="66"/>
  <c r="AB27" i="66"/>
  <c r="AM27" i="66" s="1"/>
  <c r="AB57" i="66"/>
  <c r="AM57" i="66" s="1"/>
  <c r="AB98" i="66"/>
  <c r="AM98" i="66" s="1"/>
  <c r="L2" i="66"/>
  <c r="AJ3" i="66"/>
  <c r="AB40" i="66"/>
  <c r="AM40" i="66" s="1"/>
  <c r="AH3" i="66"/>
  <c r="E2" i="66" s="1"/>
  <c r="R2" i="66"/>
  <c r="Q2" i="66"/>
  <c r="G2" i="66" s="1"/>
  <c r="P2" i="66"/>
  <c r="AB49" i="66"/>
  <c r="AM49" i="66" s="1"/>
  <c r="AB43" i="66"/>
  <c r="AM43" i="66" s="1"/>
  <c r="AB35" i="66"/>
  <c r="AM35" i="66" s="1"/>
  <c r="AB12" i="66"/>
  <c r="AM12" i="66" s="1"/>
  <c r="H2" i="63" l="1"/>
  <c r="F2" i="63"/>
  <c r="E4" i="63"/>
  <c r="I4" i="63"/>
  <c r="AM3" i="66"/>
  <c r="G1" i="66" s="1"/>
  <c r="AG2" i="66"/>
  <c r="I1" i="66"/>
  <c r="L47" i="65"/>
  <c r="M43" i="65"/>
  <c r="M44" i="65"/>
  <c r="M45" i="65"/>
  <c r="L43" i="65"/>
  <c r="L44" i="65"/>
  <c r="L45" i="65"/>
  <c r="L42" i="65"/>
  <c r="C13" i="39"/>
  <c r="D13" i="39"/>
  <c r="F13" i="39"/>
  <c r="K13" i="39"/>
  <c r="L13" i="39" s="1"/>
  <c r="M13" i="39" s="1"/>
  <c r="J16" i="65" l="1"/>
  <c r="L16" i="65" s="1"/>
  <c r="K16" i="65"/>
  <c r="M16" i="65" s="1"/>
  <c r="K17" i="65"/>
  <c r="M17" i="65" s="1"/>
  <c r="L17" i="65"/>
  <c r="K18" i="65"/>
  <c r="M18" i="65" s="1"/>
  <c r="L18" i="65"/>
  <c r="K19" i="65"/>
  <c r="L19" i="65"/>
  <c r="K20" i="65"/>
  <c r="M20" i="65" s="1"/>
  <c r="L20" i="65"/>
  <c r="K21" i="65"/>
  <c r="M21" i="65" s="1"/>
  <c r="L21" i="65"/>
  <c r="J22" i="65"/>
  <c r="L22" i="65" s="1"/>
  <c r="K22" i="65"/>
  <c r="M22" i="65" s="1"/>
  <c r="J23" i="65"/>
  <c r="L23" i="65" s="1"/>
  <c r="K23" i="65"/>
  <c r="M23" i="65" s="1"/>
  <c r="J24" i="65"/>
  <c r="L24" i="65" s="1"/>
  <c r="K24" i="65"/>
  <c r="M24" i="65" s="1"/>
  <c r="J25" i="65"/>
  <c r="L25" i="65" s="1"/>
  <c r="K25" i="65"/>
  <c r="M25" i="65" s="1"/>
  <c r="J26" i="65"/>
  <c r="L26" i="65" s="1"/>
  <c r="K26" i="65"/>
  <c r="M26" i="65" s="1"/>
  <c r="J27" i="65"/>
  <c r="L27" i="65" s="1"/>
  <c r="K27" i="65"/>
  <c r="M27" i="65" s="1"/>
  <c r="J28" i="65"/>
  <c r="L28" i="65" s="1"/>
  <c r="K28" i="65"/>
  <c r="M28" i="65" s="1"/>
  <c r="J29" i="65"/>
  <c r="L29" i="65" s="1"/>
  <c r="K29" i="65"/>
  <c r="M29" i="65" s="1"/>
  <c r="J30" i="65"/>
  <c r="L30" i="65" s="1"/>
  <c r="K30" i="65"/>
  <c r="M30" i="65" s="1"/>
  <c r="J31" i="65"/>
  <c r="L31" i="65" s="1"/>
  <c r="K31" i="65"/>
  <c r="M31" i="65" s="1"/>
  <c r="J32" i="65"/>
  <c r="L32" i="65" s="1"/>
  <c r="K32" i="65"/>
  <c r="M32" i="65" s="1"/>
  <c r="L37" i="65"/>
  <c r="M37" i="65"/>
  <c r="L38" i="65"/>
  <c r="M38" i="65"/>
  <c r="L39" i="65"/>
  <c r="M39" i="65"/>
  <c r="L40" i="65"/>
  <c r="M40" i="65"/>
  <c r="L41" i="65"/>
  <c r="M41" i="65"/>
  <c r="M42" i="65"/>
  <c r="K47" i="65"/>
  <c r="M47" i="65" s="1"/>
  <c r="K48" i="65"/>
  <c r="M48" i="65" s="1"/>
  <c r="F54" i="65"/>
  <c r="J54" i="65" s="1"/>
  <c r="L54" i="65" s="1"/>
  <c r="M54" i="65"/>
  <c r="N40" i="65" l="1"/>
  <c r="N38" i="65"/>
  <c r="M51" i="65"/>
  <c r="L51" i="65"/>
  <c r="K51" i="65"/>
  <c r="L8" i="1" l="1"/>
  <c r="N7" i="69" l="1"/>
  <c r="P7" i="69" s="1"/>
  <c r="R7" i="69" s="1"/>
  <c r="C7" i="69"/>
  <c r="C15" i="63"/>
  <c r="H7" i="69" l="1"/>
  <c r="F9" i="65"/>
  <c r="J15" i="63"/>
  <c r="P13" i="63" l="1"/>
  <c r="R13" i="63" s="1"/>
  <c r="P12" i="63"/>
  <c r="R12" i="63" s="1"/>
  <c r="P11" i="63"/>
  <c r="R11" i="63" s="1"/>
  <c r="P10" i="63"/>
  <c r="R10" i="63" s="1"/>
  <c r="AX15" i="71" l="1" a="1"/>
  <c r="AX15" i="71" s="1"/>
  <c r="AX13" i="71" a="1"/>
  <c r="AX13" i="71" s="1"/>
  <c r="AX14" i="71" a="1"/>
  <c r="AX14" i="71" s="1"/>
  <c r="AX12" i="71" a="1"/>
  <c r="AX12" i="71" s="1"/>
  <c r="AX16" i="71" a="1"/>
  <c r="AX16" i="71" s="1"/>
  <c r="C8" i="69"/>
  <c r="D8" i="69" s="1" a="1"/>
  <c r="D8" i="69" s="1"/>
  <c r="G8" i="69" s="1"/>
  <c r="N8" i="69"/>
  <c r="P8" i="69" s="1"/>
  <c r="R8" i="69" s="1"/>
  <c r="C6" i="69"/>
  <c r="D6" i="69" s="1" a="1"/>
  <c r="D6" i="69" s="1"/>
  <c r="G6" i="69" s="1"/>
  <c r="N6" i="69"/>
  <c r="P6" i="69" s="1"/>
  <c r="R6" i="69" s="1"/>
  <c r="C5" i="69"/>
  <c r="D5" i="69" s="1" a="1"/>
  <c r="D5" i="69" s="1"/>
  <c r="G5" i="69" s="1"/>
  <c r="N5" i="69"/>
  <c r="P5" i="69" s="1"/>
  <c r="R5" i="69" s="1"/>
  <c r="P4" i="69"/>
  <c r="C4" i="69"/>
  <c r="D13" i="69" a="1"/>
  <c r="D13" i="69" s="1"/>
  <c r="G13" i="69" s="1"/>
  <c r="N14" i="69"/>
  <c r="D9" i="69" a="1"/>
  <c r="D9" i="69" s="1"/>
  <c r="G9" i="69" s="1"/>
  <c r="D10" i="69" a="1"/>
  <c r="D10" i="69" s="1"/>
  <c r="G10" i="69" s="1"/>
  <c r="D7" i="69" a="1"/>
  <c r="D7" i="69" s="1"/>
  <c r="G7" i="69" s="1"/>
  <c r="C14" i="69"/>
  <c r="D11" i="69" a="1"/>
  <c r="D11" i="69" s="1"/>
  <c r="G11" i="69" s="1"/>
  <c r="D15" i="69" a="1"/>
  <c r="D15" i="69" s="1"/>
  <c r="D12" i="69" a="1"/>
  <c r="D12" i="69" s="1"/>
  <c r="G12" i="69" s="1"/>
  <c r="H5" i="69" l="1"/>
  <c r="H8" i="69"/>
  <c r="J4" i="69"/>
  <c r="J5" i="69" s="1"/>
  <c r="J6" i="69" s="1"/>
  <c r="J7" i="69" s="1"/>
  <c r="J8" i="69" s="1"/>
  <c r="J9" i="69" s="1"/>
  <c r="J10" i="69" s="1"/>
  <c r="J11" i="69" s="1"/>
  <c r="J12" i="69" s="1"/>
  <c r="J13" i="69" s="1"/>
  <c r="BA11" i="71"/>
  <c r="AY11" i="71"/>
  <c r="BA12" i="71"/>
  <c r="H4" i="69"/>
  <c r="BA14" i="71"/>
  <c r="BA10" i="71"/>
  <c r="AY10" i="71"/>
  <c r="BA16" i="71"/>
  <c r="AY8" i="71"/>
  <c r="AX5" i="71"/>
  <c r="BA13" i="71"/>
  <c r="BA9" i="71"/>
  <c r="AY9" i="71"/>
  <c r="H6" i="69"/>
  <c r="BA15" i="71"/>
  <c r="D4" i="69" a="1"/>
  <c r="D4" i="69" s="1"/>
  <c r="C4" i="60"/>
  <c r="E4" i="60" s="1"/>
  <c r="E25" i="60" s="1"/>
  <c r="P14" i="69"/>
  <c r="P15" i="69"/>
  <c r="R4" i="69"/>
  <c r="E15" i="69"/>
  <c r="G15" i="69"/>
  <c r="H15" i="69" s="1"/>
  <c r="J14" i="69"/>
  <c r="D14" i="69" a="1"/>
  <c r="D14" i="69" s="1"/>
  <c r="J14" i="63"/>
  <c r="F8" i="65"/>
  <c r="I214" i="62"/>
  <c r="K213" i="62"/>
  <c r="I213" i="62"/>
  <c r="K212" i="62"/>
  <c r="I212" i="62"/>
  <c r="K211" i="62"/>
  <c r="I211" i="62"/>
  <c r="K210" i="62"/>
  <c r="I210" i="62"/>
  <c r="I209" i="62"/>
  <c r="I208" i="62"/>
  <c r="I207" i="62"/>
  <c r="I206" i="62"/>
  <c r="I205" i="62"/>
  <c r="I204" i="62"/>
  <c r="AN101" i="62"/>
  <c r="Z101" i="62"/>
  <c r="Y101" i="62"/>
  <c r="U101" i="62"/>
  <c r="AJ101" i="62" s="1"/>
  <c r="O101" i="62"/>
  <c r="S101" i="62" s="1"/>
  <c r="AC101" i="62" s="1"/>
  <c r="K101" i="62"/>
  <c r="E101" i="62"/>
  <c r="AN100" i="62"/>
  <c r="Z100" i="62"/>
  <c r="Y100" i="62"/>
  <c r="U100" i="62"/>
  <c r="O100" i="62"/>
  <c r="S100" i="62" s="1"/>
  <c r="AC100" i="62" s="1"/>
  <c r="K100" i="62"/>
  <c r="E100" i="62"/>
  <c r="AN99" i="62"/>
  <c r="Z99" i="62"/>
  <c r="Y99" i="62"/>
  <c r="U99" i="62"/>
  <c r="AD99" i="62" s="1"/>
  <c r="O99" i="62"/>
  <c r="K99" i="62"/>
  <c r="AI99" i="62" s="1"/>
  <c r="E99" i="62"/>
  <c r="AN98" i="62"/>
  <c r="Z98" i="62"/>
  <c r="Y98" i="62"/>
  <c r="U98" i="62"/>
  <c r="AD98" i="62" s="1"/>
  <c r="O98" i="62"/>
  <c r="S98" i="62" s="1"/>
  <c r="AC98" i="62" s="1"/>
  <c r="K98" i="62"/>
  <c r="AH98" i="62" s="1"/>
  <c r="E98" i="62"/>
  <c r="AN97" i="62"/>
  <c r="Z97" i="62"/>
  <c r="Y97" i="62"/>
  <c r="U97" i="62"/>
  <c r="O97" i="62"/>
  <c r="S97" i="62" s="1"/>
  <c r="AC97" i="62" s="1"/>
  <c r="K97" i="62"/>
  <c r="AI97" i="62" s="1"/>
  <c r="E97" i="62"/>
  <c r="AN96" i="62"/>
  <c r="Z96" i="62"/>
  <c r="Y96" i="62"/>
  <c r="U96" i="62"/>
  <c r="O96" i="62"/>
  <c r="K96" i="62"/>
  <c r="AH96" i="62" s="1"/>
  <c r="E96" i="62"/>
  <c r="AN95" i="62"/>
  <c r="Z95" i="62"/>
  <c r="Y95" i="62"/>
  <c r="U95" i="62"/>
  <c r="AJ95" i="62" s="1"/>
  <c r="O95" i="62"/>
  <c r="S95" i="62" s="1"/>
  <c r="AC95" i="62" s="1"/>
  <c r="K95" i="62"/>
  <c r="AI95" i="62" s="1"/>
  <c r="E95" i="62"/>
  <c r="AN94" i="62"/>
  <c r="Z94" i="62"/>
  <c r="Y94" i="62"/>
  <c r="U94" i="62"/>
  <c r="AJ94" i="62" s="1"/>
  <c r="O94" i="62"/>
  <c r="K94" i="62"/>
  <c r="AH94" i="62" s="1"/>
  <c r="E94" i="62"/>
  <c r="AN93" i="62"/>
  <c r="AC93" i="62"/>
  <c r="Z93" i="62"/>
  <c r="Y93" i="62"/>
  <c r="U93" i="62"/>
  <c r="AJ93" i="62" s="1"/>
  <c r="O93" i="62"/>
  <c r="K93" i="62"/>
  <c r="AI93" i="62" s="1"/>
  <c r="E93" i="62"/>
  <c r="AN92" i="62"/>
  <c r="AC92" i="62"/>
  <c r="Z92" i="62"/>
  <c r="Y92" i="62"/>
  <c r="U92" i="62"/>
  <c r="AD92" i="62" s="1"/>
  <c r="O92" i="62"/>
  <c r="K92" i="62"/>
  <c r="AH92" i="62" s="1"/>
  <c r="E92" i="62"/>
  <c r="AN91" i="62"/>
  <c r="AC91" i="62"/>
  <c r="Z91" i="62"/>
  <c r="Y91" i="62"/>
  <c r="U91" i="62"/>
  <c r="AD91" i="62" s="1"/>
  <c r="O91" i="62"/>
  <c r="K91" i="62"/>
  <c r="E91" i="62"/>
  <c r="AN90" i="62"/>
  <c r="AC90" i="62"/>
  <c r="Z90" i="62"/>
  <c r="Y90" i="62"/>
  <c r="U90" i="62"/>
  <c r="AJ90" i="62" s="1"/>
  <c r="O90" i="62"/>
  <c r="K90" i="62"/>
  <c r="AI90" i="62" s="1"/>
  <c r="E90" i="62"/>
  <c r="AN89" i="62"/>
  <c r="AC89" i="62"/>
  <c r="Z89" i="62"/>
  <c r="Y89" i="62"/>
  <c r="U89" i="62"/>
  <c r="AD89" i="62" s="1"/>
  <c r="O89" i="62"/>
  <c r="K89" i="62"/>
  <c r="AH89" i="62" s="1"/>
  <c r="E89" i="62"/>
  <c r="AN88" i="62"/>
  <c r="AC88" i="62"/>
  <c r="Z88" i="62"/>
  <c r="Y88" i="62"/>
  <c r="U88" i="62"/>
  <c r="AD88" i="62" s="1"/>
  <c r="O88" i="62"/>
  <c r="K88" i="62"/>
  <c r="AI88" i="62" s="1"/>
  <c r="E88" i="62"/>
  <c r="AN87" i="62"/>
  <c r="AC87" i="62"/>
  <c r="Z87" i="62"/>
  <c r="Y87" i="62"/>
  <c r="U87" i="62"/>
  <c r="AJ87" i="62" s="1"/>
  <c r="O87" i="62"/>
  <c r="K87" i="62"/>
  <c r="AI87" i="62" s="1"/>
  <c r="E87" i="62"/>
  <c r="AN86" i="62"/>
  <c r="AC86" i="62"/>
  <c r="Z86" i="62"/>
  <c r="Y86" i="62"/>
  <c r="U86" i="62"/>
  <c r="AD86" i="62" s="1"/>
  <c r="O86" i="62"/>
  <c r="K86" i="62"/>
  <c r="AH86" i="62" s="1"/>
  <c r="E86" i="62"/>
  <c r="AN85" i="62"/>
  <c r="AC85" i="62"/>
  <c r="Z85" i="62"/>
  <c r="Y85" i="62"/>
  <c r="U85" i="62"/>
  <c r="AD85" i="62" s="1"/>
  <c r="O85" i="62"/>
  <c r="K85" i="62"/>
  <c r="E85" i="62"/>
  <c r="AN84" i="62"/>
  <c r="AC84" i="62"/>
  <c r="Z84" i="62"/>
  <c r="Y84" i="62"/>
  <c r="U84" i="62"/>
  <c r="AJ84" i="62" s="1"/>
  <c r="O84" i="62"/>
  <c r="K84" i="62"/>
  <c r="AI84" i="62" s="1"/>
  <c r="E84" i="62"/>
  <c r="AN83" i="62"/>
  <c r="Z83" i="62"/>
  <c r="Y83" i="62"/>
  <c r="U83" i="62"/>
  <c r="AJ83" i="62" s="1"/>
  <c r="O83" i="62"/>
  <c r="K83" i="62"/>
  <c r="AH83" i="62" s="1"/>
  <c r="E83" i="62"/>
  <c r="AN82" i="62"/>
  <c r="Z82" i="62"/>
  <c r="Y82" i="62"/>
  <c r="U82" i="62"/>
  <c r="AJ82" i="62" s="1"/>
  <c r="O82" i="62"/>
  <c r="S82" i="62" s="1"/>
  <c r="AC82" i="62" s="1"/>
  <c r="K82" i="62"/>
  <c r="AI82" i="62" s="1"/>
  <c r="E82" i="62"/>
  <c r="AN81" i="62"/>
  <c r="Z81" i="62"/>
  <c r="Y81" i="62"/>
  <c r="U81" i="62"/>
  <c r="AD81" i="62" s="1"/>
  <c r="O81" i="62"/>
  <c r="K81" i="62"/>
  <c r="AH81" i="62" s="1"/>
  <c r="E81" i="62"/>
  <c r="AN80" i="62"/>
  <c r="Z80" i="62"/>
  <c r="Y80" i="62"/>
  <c r="U80" i="62"/>
  <c r="AJ80" i="62" s="1"/>
  <c r="O80" i="62"/>
  <c r="S80" i="62" s="1"/>
  <c r="AC80" i="62" s="1"/>
  <c r="K80" i="62"/>
  <c r="AI80" i="62" s="1"/>
  <c r="E80" i="62"/>
  <c r="AN79" i="62"/>
  <c r="Z79" i="62"/>
  <c r="Y79" i="62"/>
  <c r="U79" i="62"/>
  <c r="AJ79" i="62" s="1"/>
  <c r="O79" i="62"/>
  <c r="K79" i="62"/>
  <c r="AI79" i="62" s="1"/>
  <c r="E79" i="62"/>
  <c r="AN78" i="62"/>
  <c r="Z78" i="62"/>
  <c r="Y78" i="62"/>
  <c r="U78" i="62"/>
  <c r="AJ78" i="62" s="1"/>
  <c r="O78" i="62"/>
  <c r="S78" i="62" s="1"/>
  <c r="AC78" i="62" s="1"/>
  <c r="K78" i="62"/>
  <c r="E78" i="62"/>
  <c r="AN77" i="62"/>
  <c r="Z77" i="62"/>
  <c r="Y77" i="62"/>
  <c r="U77" i="62"/>
  <c r="AD77" i="62" s="1"/>
  <c r="O77" i="62"/>
  <c r="S77" i="62" s="1"/>
  <c r="AC77" i="62" s="1"/>
  <c r="K77" i="62"/>
  <c r="AI77" i="62" s="1"/>
  <c r="E77" i="62"/>
  <c r="AN76" i="62"/>
  <c r="Z76" i="62"/>
  <c r="Y76" i="62"/>
  <c r="U76" i="62"/>
  <c r="AJ76" i="62" s="1"/>
  <c r="O76" i="62"/>
  <c r="S76" i="62" s="1"/>
  <c r="AC76" i="62" s="1"/>
  <c r="K76" i="62"/>
  <c r="E76" i="62"/>
  <c r="AN75" i="62"/>
  <c r="Z75" i="62"/>
  <c r="Y75" i="62"/>
  <c r="U75" i="62"/>
  <c r="AJ75" i="62" s="1"/>
  <c r="O75" i="62"/>
  <c r="K75" i="62"/>
  <c r="AI75" i="62" s="1"/>
  <c r="E75" i="62"/>
  <c r="AN74" i="62"/>
  <c r="Z74" i="62"/>
  <c r="Y74" i="62"/>
  <c r="U74" i="62"/>
  <c r="AD74" i="62" s="1"/>
  <c r="O74" i="62"/>
  <c r="S74" i="62" s="1"/>
  <c r="AC74" i="62" s="1"/>
  <c r="K74" i="62"/>
  <c r="AH74" i="62" s="1"/>
  <c r="E74" i="62"/>
  <c r="AN73" i="62"/>
  <c r="Z73" i="62"/>
  <c r="Y73" i="62"/>
  <c r="U73" i="62"/>
  <c r="AD73" i="62" s="1"/>
  <c r="O73" i="62"/>
  <c r="K73" i="62"/>
  <c r="AH73" i="62" s="1"/>
  <c r="E73" i="62"/>
  <c r="AN72" i="62"/>
  <c r="Z72" i="62"/>
  <c r="Y72" i="62"/>
  <c r="U72" i="62"/>
  <c r="AJ72" i="62" s="1"/>
  <c r="O72" i="62"/>
  <c r="S72" i="62" s="1"/>
  <c r="AC72" i="62" s="1"/>
  <c r="K72" i="62"/>
  <c r="E72" i="62"/>
  <c r="AN71" i="62"/>
  <c r="Z71" i="62"/>
  <c r="Y71" i="62"/>
  <c r="U71" i="62"/>
  <c r="AJ71" i="62" s="1"/>
  <c r="O71" i="62"/>
  <c r="S71" i="62" s="1"/>
  <c r="K71" i="62"/>
  <c r="AI71" i="62" s="1"/>
  <c r="E71" i="62"/>
  <c r="AN70" i="62"/>
  <c r="Z70" i="62"/>
  <c r="Y70" i="62"/>
  <c r="U70" i="62"/>
  <c r="AD70" i="62" s="1"/>
  <c r="O70" i="62"/>
  <c r="S70" i="62" s="1"/>
  <c r="AC70" i="62" s="1"/>
  <c r="K70" i="62"/>
  <c r="AH70" i="62" s="1"/>
  <c r="E70" i="62"/>
  <c r="AN69" i="62"/>
  <c r="Z69" i="62"/>
  <c r="Y69" i="62"/>
  <c r="U69" i="62"/>
  <c r="AD69" i="62" s="1"/>
  <c r="O69" i="62"/>
  <c r="S69" i="62" s="1"/>
  <c r="AC69" i="62" s="1"/>
  <c r="K69" i="62"/>
  <c r="AI69" i="62" s="1"/>
  <c r="E69" i="62"/>
  <c r="AN68" i="62"/>
  <c r="Z68" i="62"/>
  <c r="Y68" i="62"/>
  <c r="U68" i="62"/>
  <c r="AJ68" i="62" s="1"/>
  <c r="O68" i="62"/>
  <c r="K68" i="62"/>
  <c r="E68" i="62"/>
  <c r="AN67" i="62"/>
  <c r="Z67" i="62"/>
  <c r="Y67" i="62"/>
  <c r="U67" i="62"/>
  <c r="AJ67" i="62" s="1"/>
  <c r="S67" i="62"/>
  <c r="AC67" i="62" s="1"/>
  <c r="K67" i="62"/>
  <c r="AI67" i="62" s="1"/>
  <c r="E67" i="62"/>
  <c r="AN66" i="62"/>
  <c r="Z66" i="62"/>
  <c r="Y66" i="62"/>
  <c r="U66" i="62"/>
  <c r="AD66" i="62" s="1"/>
  <c r="S66" i="62"/>
  <c r="AC66" i="62" s="1"/>
  <c r="K66" i="62"/>
  <c r="AH66" i="62" s="1"/>
  <c r="E66" i="62"/>
  <c r="AN65" i="62"/>
  <c r="Z65" i="62"/>
  <c r="Y65" i="62"/>
  <c r="U65" i="62"/>
  <c r="AD65" i="62" s="1"/>
  <c r="O65" i="62"/>
  <c r="K65" i="62"/>
  <c r="AH65" i="62" s="1"/>
  <c r="E65" i="62"/>
  <c r="AN64" i="62"/>
  <c r="Z64" i="62"/>
  <c r="Y64" i="62"/>
  <c r="U64" i="62"/>
  <c r="AJ64" i="62" s="1"/>
  <c r="O64" i="62"/>
  <c r="S64" i="62" s="1"/>
  <c r="AC64" i="62" s="1"/>
  <c r="K64" i="62"/>
  <c r="AH64" i="62" s="1"/>
  <c r="E64" i="62"/>
  <c r="AN63" i="62"/>
  <c r="Z63" i="62"/>
  <c r="Y63" i="62"/>
  <c r="U63" i="62"/>
  <c r="AJ63" i="62" s="1"/>
  <c r="O63" i="62"/>
  <c r="K63" i="62"/>
  <c r="AI63" i="62" s="1"/>
  <c r="E63" i="62"/>
  <c r="AN62" i="62"/>
  <c r="Z62" i="62"/>
  <c r="Y62" i="62"/>
  <c r="U62" i="62"/>
  <c r="AJ62" i="62" s="1"/>
  <c r="O62" i="62"/>
  <c r="S62" i="62" s="1"/>
  <c r="K62" i="62"/>
  <c r="E62" i="62"/>
  <c r="AN61" i="62"/>
  <c r="Z61" i="62"/>
  <c r="Y61" i="62"/>
  <c r="U61" i="62"/>
  <c r="AJ61" i="62" s="1"/>
  <c r="O61" i="62"/>
  <c r="S61" i="62" s="1"/>
  <c r="AC61" i="62" s="1"/>
  <c r="K61" i="62"/>
  <c r="AH61" i="62" s="1"/>
  <c r="E61" i="62"/>
  <c r="AN60" i="62"/>
  <c r="Z60" i="62"/>
  <c r="Y60" i="62"/>
  <c r="U60" i="62"/>
  <c r="AD60" i="62" s="1"/>
  <c r="O60" i="62"/>
  <c r="K60" i="62"/>
  <c r="E60" i="62"/>
  <c r="AN59" i="62"/>
  <c r="Z59" i="62"/>
  <c r="Y59" i="62"/>
  <c r="U59" i="62"/>
  <c r="AJ59" i="62" s="1"/>
  <c r="O59" i="62"/>
  <c r="S59" i="62" s="1"/>
  <c r="AC59" i="62" s="1"/>
  <c r="K59" i="62"/>
  <c r="AI59" i="62" s="1"/>
  <c r="E59" i="62"/>
  <c r="AN58" i="62"/>
  <c r="AC58" i="62"/>
  <c r="Z58" i="62"/>
  <c r="Y58" i="62"/>
  <c r="U58" i="62"/>
  <c r="AJ58" i="62" s="1"/>
  <c r="O58" i="62"/>
  <c r="K58" i="62"/>
  <c r="AH58" i="62" s="1"/>
  <c r="E58" i="62"/>
  <c r="AN57" i="62"/>
  <c r="AC57" i="62"/>
  <c r="Z57" i="62"/>
  <c r="Y57" i="62"/>
  <c r="U57" i="62"/>
  <c r="AD57" i="62" s="1"/>
  <c r="O57" i="62"/>
  <c r="K57" i="62"/>
  <c r="AH57" i="62" s="1"/>
  <c r="E57" i="62"/>
  <c r="AN56" i="62"/>
  <c r="AC56" i="62"/>
  <c r="Z56" i="62"/>
  <c r="Y56" i="62"/>
  <c r="U56" i="62"/>
  <c r="AD56" i="62" s="1"/>
  <c r="O56" i="62"/>
  <c r="K56" i="62"/>
  <c r="AH56" i="62" s="1"/>
  <c r="E56" i="62"/>
  <c r="AN55" i="62"/>
  <c r="AC55" i="62"/>
  <c r="Z55" i="62"/>
  <c r="Y55" i="62"/>
  <c r="U55" i="62"/>
  <c r="AJ55" i="62" s="1"/>
  <c r="O55" i="62"/>
  <c r="K55" i="62"/>
  <c r="AH55" i="62" s="1"/>
  <c r="E55" i="62"/>
  <c r="AN54" i="62"/>
  <c r="AC54" i="62"/>
  <c r="Z54" i="62"/>
  <c r="Y54" i="62"/>
  <c r="U54" i="62"/>
  <c r="AD54" i="62" s="1"/>
  <c r="O54" i="62"/>
  <c r="K54" i="62"/>
  <c r="AH54" i="62" s="1"/>
  <c r="E54" i="62"/>
  <c r="AN53" i="62"/>
  <c r="AC53" i="62"/>
  <c r="Z53" i="62"/>
  <c r="Y53" i="62"/>
  <c r="U53" i="62"/>
  <c r="AD53" i="62" s="1"/>
  <c r="O53" i="62"/>
  <c r="K53" i="62"/>
  <c r="AI53" i="62" s="1"/>
  <c r="E53" i="62"/>
  <c r="AN52" i="62"/>
  <c r="AC52" i="62"/>
  <c r="Z52" i="62"/>
  <c r="Y52" i="62"/>
  <c r="U52" i="62"/>
  <c r="AJ52" i="62" s="1"/>
  <c r="O52" i="62"/>
  <c r="K52" i="62"/>
  <c r="AH52" i="62" s="1"/>
  <c r="E52" i="62"/>
  <c r="AN51" i="62"/>
  <c r="AC51" i="62"/>
  <c r="Z51" i="62"/>
  <c r="Y51" i="62"/>
  <c r="U51" i="62"/>
  <c r="AD51" i="62" s="1"/>
  <c r="O51" i="62"/>
  <c r="K51" i="62"/>
  <c r="AH51" i="62" s="1"/>
  <c r="E51" i="62"/>
  <c r="AN50" i="62"/>
  <c r="AC50" i="62"/>
  <c r="Z50" i="62"/>
  <c r="Y50" i="62"/>
  <c r="U50" i="62"/>
  <c r="AD50" i="62" s="1"/>
  <c r="O50" i="62"/>
  <c r="K50" i="62"/>
  <c r="E50" i="62"/>
  <c r="AN49" i="62"/>
  <c r="Z49" i="62"/>
  <c r="Y49" i="62"/>
  <c r="U49" i="62"/>
  <c r="AJ49" i="62" s="1"/>
  <c r="O49" i="62"/>
  <c r="S49" i="62" s="1"/>
  <c r="AC49" i="62" s="1"/>
  <c r="K49" i="62"/>
  <c r="AH49" i="62" s="1"/>
  <c r="E49" i="62"/>
  <c r="AN48" i="62"/>
  <c r="AC48" i="62"/>
  <c r="Z48" i="62"/>
  <c r="Y48" i="62"/>
  <c r="U48" i="62"/>
  <c r="AD48" i="62" s="1"/>
  <c r="O48" i="62"/>
  <c r="K48" i="62"/>
  <c r="E48" i="62"/>
  <c r="AN47" i="62"/>
  <c r="Z47" i="62"/>
  <c r="Y47" i="62"/>
  <c r="U47" i="62"/>
  <c r="O47" i="62"/>
  <c r="S47" i="62" s="1"/>
  <c r="AC47" i="62" s="1"/>
  <c r="K47" i="62"/>
  <c r="AI47" i="62" s="1"/>
  <c r="E47" i="62"/>
  <c r="AN46" i="62"/>
  <c r="AC46" i="62"/>
  <c r="Z46" i="62"/>
  <c r="Y46" i="62"/>
  <c r="U46" i="62"/>
  <c r="AD46" i="62" s="1"/>
  <c r="O46" i="62"/>
  <c r="K46" i="62"/>
  <c r="AI46" i="62" s="1"/>
  <c r="E46" i="62"/>
  <c r="AN45" i="62"/>
  <c r="AC45" i="62"/>
  <c r="Z45" i="62"/>
  <c r="Y45" i="62"/>
  <c r="U45" i="62"/>
  <c r="AD45" i="62" s="1"/>
  <c r="O45" i="62"/>
  <c r="K45" i="62"/>
  <c r="AH45" i="62" s="1"/>
  <c r="E45" i="62"/>
  <c r="AN44" i="62"/>
  <c r="AC44" i="62"/>
  <c r="Z44" i="62"/>
  <c r="Y44" i="62"/>
  <c r="U44" i="62"/>
  <c r="AD44" i="62" s="1"/>
  <c r="O44" i="62"/>
  <c r="K44" i="62"/>
  <c r="AH44" i="62" s="1"/>
  <c r="E44" i="62"/>
  <c r="AN43" i="62"/>
  <c r="AC43" i="62"/>
  <c r="Z43" i="62"/>
  <c r="Y43" i="62"/>
  <c r="U43" i="62"/>
  <c r="AD43" i="62" s="1"/>
  <c r="O43" i="62"/>
  <c r="K43" i="62"/>
  <c r="E43" i="62"/>
  <c r="AN42" i="62"/>
  <c r="AC42" i="62"/>
  <c r="Z42" i="62"/>
  <c r="Y42" i="62"/>
  <c r="U42" i="62"/>
  <c r="AJ42" i="62" s="1"/>
  <c r="O42" i="62"/>
  <c r="K42" i="62"/>
  <c r="AH42" i="62" s="1"/>
  <c r="E42" i="62"/>
  <c r="AN41" i="62"/>
  <c r="AC41" i="62"/>
  <c r="Z41" i="62"/>
  <c r="Y41" i="62"/>
  <c r="U41" i="62"/>
  <c r="AD41" i="62" s="1"/>
  <c r="O41" i="62"/>
  <c r="K41" i="62"/>
  <c r="AH41" i="62" s="1"/>
  <c r="E41" i="62"/>
  <c r="AN40" i="62"/>
  <c r="AC40" i="62"/>
  <c r="Z40" i="62"/>
  <c r="Y40" i="62"/>
  <c r="U40" i="62"/>
  <c r="AD40" i="62" s="1"/>
  <c r="O40" i="62"/>
  <c r="K40" i="62"/>
  <c r="AI40" i="62" s="1"/>
  <c r="E40" i="62"/>
  <c r="AN39" i="62"/>
  <c r="AC39" i="62"/>
  <c r="Z39" i="62"/>
  <c r="Y39" i="62"/>
  <c r="U39" i="62"/>
  <c r="AD39" i="62" s="1"/>
  <c r="O39" i="62"/>
  <c r="K39" i="62"/>
  <c r="AH39" i="62" s="1"/>
  <c r="E39" i="62"/>
  <c r="AN38" i="62"/>
  <c r="AC38" i="62"/>
  <c r="Z38" i="62"/>
  <c r="Y38" i="62"/>
  <c r="U38" i="62"/>
  <c r="AD38" i="62" s="1"/>
  <c r="O38" i="62"/>
  <c r="K38" i="62"/>
  <c r="AH38" i="62" s="1"/>
  <c r="E38" i="62"/>
  <c r="AN37" i="62"/>
  <c r="Z37" i="62"/>
  <c r="Y37" i="62"/>
  <c r="U37" i="62"/>
  <c r="AD37" i="62" s="1"/>
  <c r="O37" i="62"/>
  <c r="K37" i="62"/>
  <c r="E37" i="62"/>
  <c r="AN36" i="62"/>
  <c r="Z36" i="62"/>
  <c r="Y36" i="62"/>
  <c r="U36" i="62"/>
  <c r="AJ36" i="62" s="1"/>
  <c r="O36" i="62"/>
  <c r="K36" i="62"/>
  <c r="AI36" i="62" s="1"/>
  <c r="E36" i="62"/>
  <c r="AN35" i="62"/>
  <c r="Z35" i="62"/>
  <c r="Y35" i="62"/>
  <c r="U35" i="62"/>
  <c r="AD35" i="62" s="1"/>
  <c r="O35" i="62"/>
  <c r="K35" i="62"/>
  <c r="AI35" i="62" s="1"/>
  <c r="E35" i="62"/>
  <c r="AN34" i="62"/>
  <c r="Z34" i="62"/>
  <c r="Y34" i="62"/>
  <c r="U34" i="62"/>
  <c r="AD34" i="62" s="1"/>
  <c r="O34" i="62"/>
  <c r="K34" i="62"/>
  <c r="E34" i="62"/>
  <c r="AN33" i="62"/>
  <c r="AC33" i="62"/>
  <c r="Z33" i="62"/>
  <c r="Y33" i="62"/>
  <c r="U33" i="62"/>
  <c r="AJ33" i="62" s="1"/>
  <c r="O33" i="62"/>
  <c r="K33" i="62"/>
  <c r="AI33" i="62" s="1"/>
  <c r="E33" i="62"/>
  <c r="AN32" i="62"/>
  <c r="AC32" i="62"/>
  <c r="Z32" i="62"/>
  <c r="Y32" i="62"/>
  <c r="U32" i="62"/>
  <c r="AJ32" i="62" s="1"/>
  <c r="O32" i="62"/>
  <c r="K32" i="62"/>
  <c r="E32" i="62"/>
  <c r="AN31" i="62"/>
  <c r="AC31" i="62"/>
  <c r="Z31" i="62"/>
  <c r="Y31" i="62"/>
  <c r="U31" i="62"/>
  <c r="AJ31" i="62" s="1"/>
  <c r="O31" i="62"/>
  <c r="K31" i="62"/>
  <c r="AH31" i="62" s="1"/>
  <c r="E31" i="62"/>
  <c r="AN30" i="62"/>
  <c r="AC30" i="62"/>
  <c r="Z30" i="62"/>
  <c r="Y30" i="62"/>
  <c r="U30" i="62"/>
  <c r="AJ30" i="62" s="1"/>
  <c r="O30" i="62"/>
  <c r="K30" i="62"/>
  <c r="AI30" i="62" s="1"/>
  <c r="E30" i="62"/>
  <c r="AN29" i="62"/>
  <c r="AC29" i="62"/>
  <c r="Z29" i="62"/>
  <c r="Y29" i="62"/>
  <c r="U29" i="62"/>
  <c r="AJ29" i="62" s="1"/>
  <c r="O29" i="62"/>
  <c r="K29" i="62"/>
  <c r="E29" i="62"/>
  <c r="AN28" i="62"/>
  <c r="AC28" i="62"/>
  <c r="Z28" i="62"/>
  <c r="Y28" i="62"/>
  <c r="U28" i="62"/>
  <c r="AJ28" i="62" s="1"/>
  <c r="O28" i="62"/>
  <c r="K28" i="62"/>
  <c r="AH28" i="62" s="1"/>
  <c r="E28" i="62"/>
  <c r="AN27" i="62"/>
  <c r="AC27" i="62"/>
  <c r="Z27" i="62"/>
  <c r="Y27" i="62"/>
  <c r="U27" i="62"/>
  <c r="AJ27" i="62" s="1"/>
  <c r="O27" i="62"/>
  <c r="K27" i="62"/>
  <c r="AI27" i="62" s="1"/>
  <c r="E27" i="62"/>
  <c r="AN26" i="62"/>
  <c r="AC26" i="62"/>
  <c r="Z26" i="62"/>
  <c r="Y26" i="62"/>
  <c r="U26" i="62"/>
  <c r="AJ26" i="62" s="1"/>
  <c r="O26" i="62"/>
  <c r="K26" i="62"/>
  <c r="E26" i="62"/>
  <c r="AN25" i="62"/>
  <c r="Z25" i="62"/>
  <c r="Y25" i="62"/>
  <c r="U25" i="62"/>
  <c r="AJ25" i="62" s="1"/>
  <c r="O25" i="62"/>
  <c r="K25" i="62"/>
  <c r="AH25" i="62" s="1"/>
  <c r="E25" i="62"/>
  <c r="AN24" i="62"/>
  <c r="Z24" i="62"/>
  <c r="Y24" i="62"/>
  <c r="U24" i="62"/>
  <c r="AJ24" i="62" s="1"/>
  <c r="O24" i="62"/>
  <c r="K24" i="62"/>
  <c r="E24" i="62"/>
  <c r="AN23" i="62"/>
  <c r="Z23" i="62"/>
  <c r="Y23" i="62"/>
  <c r="U23" i="62"/>
  <c r="AJ23" i="62" s="1"/>
  <c r="O23" i="62"/>
  <c r="S23" i="62" s="1"/>
  <c r="AC23" i="62" s="1"/>
  <c r="K23" i="62"/>
  <c r="E23" i="62"/>
  <c r="AN22" i="62"/>
  <c r="Z22" i="62"/>
  <c r="Y22" i="62"/>
  <c r="U22" i="62"/>
  <c r="AJ22" i="62" s="1"/>
  <c r="O22" i="62"/>
  <c r="S22" i="62" s="1"/>
  <c r="K22" i="62"/>
  <c r="AI22" i="62" s="1"/>
  <c r="E22" i="62"/>
  <c r="AN21" i="62"/>
  <c r="Z21" i="62"/>
  <c r="Y21" i="62"/>
  <c r="U21" i="62"/>
  <c r="AJ21" i="62" s="1"/>
  <c r="O21" i="62"/>
  <c r="S21" i="62" s="1"/>
  <c r="AC21" i="62" s="1"/>
  <c r="K21" i="62"/>
  <c r="AI21" i="62" s="1"/>
  <c r="E21" i="62"/>
  <c r="AN20" i="62"/>
  <c r="Z20" i="62"/>
  <c r="Y20" i="62"/>
  <c r="U20" i="62"/>
  <c r="AJ20" i="62" s="1"/>
  <c r="O20" i="62"/>
  <c r="K20" i="62"/>
  <c r="E20" i="62"/>
  <c r="AN19" i="62"/>
  <c r="AC19" i="62"/>
  <c r="Z19" i="62"/>
  <c r="Y19" i="62"/>
  <c r="U19" i="62"/>
  <c r="AD19" i="62" s="1"/>
  <c r="O19" i="62"/>
  <c r="K19" i="62"/>
  <c r="AH19" i="62" s="1"/>
  <c r="E19" i="62"/>
  <c r="AN18" i="62"/>
  <c r="AC18" i="62"/>
  <c r="Z18" i="62"/>
  <c r="Y18" i="62"/>
  <c r="U18" i="62"/>
  <c r="AD18" i="62" s="1"/>
  <c r="O18" i="62"/>
  <c r="K18" i="62"/>
  <c r="E18" i="62"/>
  <c r="AN17" i="62"/>
  <c r="Z17" i="62"/>
  <c r="Y17" i="62"/>
  <c r="U17" i="62"/>
  <c r="O17" i="62"/>
  <c r="S17" i="62" s="1"/>
  <c r="AC17" i="62" s="1"/>
  <c r="K17" i="62"/>
  <c r="AI17" i="62" s="1"/>
  <c r="E17" i="62"/>
  <c r="AN16" i="62"/>
  <c r="Z16" i="62"/>
  <c r="Y16" i="62"/>
  <c r="U16" i="62"/>
  <c r="AJ16" i="62" s="1"/>
  <c r="O16" i="62"/>
  <c r="K16" i="62"/>
  <c r="E16" i="62"/>
  <c r="AN15" i="62"/>
  <c r="Z15" i="62"/>
  <c r="Y15" i="62"/>
  <c r="U15" i="62"/>
  <c r="AJ15" i="62" s="1"/>
  <c r="O15" i="62"/>
  <c r="K15" i="62"/>
  <c r="E15" i="62"/>
  <c r="AN14" i="62"/>
  <c r="AJ14" i="62"/>
  <c r="AE14" i="62"/>
  <c r="AD14" i="62"/>
  <c r="AC14" i="62"/>
  <c r="AA14" i="62"/>
  <c r="O14" i="62"/>
  <c r="AF14" i="62" s="1"/>
  <c r="K14" i="62"/>
  <c r="AI14" i="62" s="1"/>
  <c r="E14" i="62"/>
  <c r="AN13" i="62"/>
  <c r="AJ13" i="62"/>
  <c r="AE13" i="62"/>
  <c r="AD13" i="62"/>
  <c r="AC13" i="62"/>
  <c r="AA13" i="62"/>
  <c r="O13" i="62"/>
  <c r="AF13" i="62" s="1"/>
  <c r="K13" i="62"/>
  <c r="AI13" i="62" s="1"/>
  <c r="E13" i="62"/>
  <c r="AN12" i="62"/>
  <c r="AJ12" i="62"/>
  <c r="AD12" i="62"/>
  <c r="AC12" i="62"/>
  <c r="Z12" i="62"/>
  <c r="AA12" i="62" s="1"/>
  <c r="O12" i="62"/>
  <c r="AF12" i="62" s="1"/>
  <c r="K12" i="62"/>
  <c r="E12" i="62"/>
  <c r="AN11" i="62"/>
  <c r="AJ11" i="62"/>
  <c r="AD11" i="62"/>
  <c r="Z11" i="62"/>
  <c r="AE11" i="62" s="1"/>
  <c r="O11" i="62"/>
  <c r="K11" i="62"/>
  <c r="AI11" i="62" s="1"/>
  <c r="E11" i="62"/>
  <c r="AN10" i="62"/>
  <c r="AJ10" i="62"/>
  <c r="AD10" i="62"/>
  <c r="Z10" i="62"/>
  <c r="AA10" i="62" s="1"/>
  <c r="O10" i="62"/>
  <c r="K10" i="62"/>
  <c r="AI10" i="62" s="1"/>
  <c r="E10" i="62"/>
  <c r="AN9" i="62"/>
  <c r="AJ9" i="62"/>
  <c r="AE9" i="62"/>
  <c r="AD9" i="62"/>
  <c r="AC9" i="62"/>
  <c r="AA9" i="62"/>
  <c r="O9" i="62"/>
  <c r="AF9" i="62" s="1"/>
  <c r="K9" i="62"/>
  <c r="AI9" i="62" s="1"/>
  <c r="E9" i="62"/>
  <c r="AN8" i="62"/>
  <c r="AJ8" i="62"/>
  <c r="AE8" i="62"/>
  <c r="AD8" i="62"/>
  <c r="AC8" i="62"/>
  <c r="AA8" i="62"/>
  <c r="O8" i="62"/>
  <c r="K8" i="62"/>
  <c r="AI8" i="62" s="1"/>
  <c r="E8" i="62"/>
  <c r="AN7" i="62"/>
  <c r="AJ7" i="62"/>
  <c r="AE7" i="62"/>
  <c r="AD7" i="62"/>
  <c r="AC7" i="62"/>
  <c r="AA7" i="62"/>
  <c r="O7" i="62"/>
  <c r="AF7" i="62" s="1"/>
  <c r="K7" i="62"/>
  <c r="E7" i="62"/>
  <c r="AN6" i="62"/>
  <c r="AJ6" i="62"/>
  <c r="AD6" i="62"/>
  <c r="AC6" i="62"/>
  <c r="Z6" i="62"/>
  <c r="AE6" i="62" s="1"/>
  <c r="O6" i="62"/>
  <c r="AF6" i="62" s="1"/>
  <c r="K6" i="62"/>
  <c r="E6" i="62"/>
  <c r="AN5" i="62"/>
  <c r="AJ5" i="62"/>
  <c r="AE5" i="62"/>
  <c r="AD5" i="62"/>
  <c r="AC5" i="62"/>
  <c r="AA5" i="62"/>
  <c r="O5" i="62"/>
  <c r="K5" i="62"/>
  <c r="AH5" i="62" s="1"/>
  <c r="E5" i="62"/>
  <c r="I2" i="62"/>
  <c r="AG13" i="62" l="1"/>
  <c r="D2" i="69"/>
  <c r="G4" i="69"/>
  <c r="I4" i="69" s="1"/>
  <c r="I5" i="69" s="1"/>
  <c r="I6" i="69" s="1"/>
  <c r="I7" i="69" s="1"/>
  <c r="I8" i="69" s="1"/>
  <c r="I9" i="69" s="1"/>
  <c r="I10" i="69" s="1"/>
  <c r="I11" i="69" s="1"/>
  <c r="I12" i="69" s="1"/>
  <c r="I13" i="69" s="1"/>
  <c r="BA5" i="71"/>
  <c r="BC8" i="71"/>
  <c r="BC9" i="71" s="1"/>
  <c r="BC10" i="71" s="1"/>
  <c r="BC11" i="71" s="1"/>
  <c r="BC12" i="71" s="1"/>
  <c r="BC13" i="71" s="1"/>
  <c r="BC14" i="71" s="1"/>
  <c r="BC15" i="71" s="1"/>
  <c r="BC16" i="71" s="1"/>
  <c r="H2" i="69"/>
  <c r="H19" i="69" s="1"/>
  <c r="R15" i="69"/>
  <c r="R14" i="69"/>
  <c r="G14" i="69"/>
  <c r="H8" i="65"/>
  <c r="G14" i="63"/>
  <c r="AA15" i="62"/>
  <c r="AK91" i="62"/>
  <c r="AK81" i="62"/>
  <c r="AA75" i="62"/>
  <c r="AE101" i="62"/>
  <c r="AA32" i="62"/>
  <c r="AB32" i="62" s="1"/>
  <c r="AM32" i="62" s="1"/>
  <c r="AD90" i="62"/>
  <c r="AE36" i="62"/>
  <c r="AA53" i="62"/>
  <c r="AB53" i="62" s="1"/>
  <c r="AM53" i="62" s="1"/>
  <c r="AA33" i="62"/>
  <c r="AB33" i="62" s="1"/>
  <c r="AM33" i="62" s="1"/>
  <c r="AD24" i="62"/>
  <c r="AD30" i="62"/>
  <c r="AF65" i="62"/>
  <c r="AA93" i="62"/>
  <c r="AB93" i="62" s="1"/>
  <c r="AM93" i="62" s="1"/>
  <c r="AE17" i="62"/>
  <c r="AF30" i="62"/>
  <c r="AE18" i="62"/>
  <c r="AF76" i="62"/>
  <c r="AA83" i="62"/>
  <c r="AD61" i="62"/>
  <c r="AI66" i="62"/>
  <c r="AJ43" i="62"/>
  <c r="AF45" i="62"/>
  <c r="AE68" i="62"/>
  <c r="AE65" i="62"/>
  <c r="AA70" i="62"/>
  <c r="AB70" i="62" s="1"/>
  <c r="AM70" i="62" s="1"/>
  <c r="AS70" i="62" s="1"/>
  <c r="AA30" i="62"/>
  <c r="AB30" i="62" s="1"/>
  <c r="AM30" i="62" s="1"/>
  <c r="AJ39" i="62"/>
  <c r="AA90" i="62"/>
  <c r="AB90" i="62" s="1"/>
  <c r="AM90" i="62" s="1"/>
  <c r="AF47" i="62"/>
  <c r="AE21" i="62"/>
  <c r="AA29" i="62"/>
  <c r="AB29" i="62" s="1"/>
  <c r="AM29" i="62" s="1"/>
  <c r="AF37" i="62"/>
  <c r="AE76" i="62"/>
  <c r="AK78" i="62"/>
  <c r="AE27" i="62"/>
  <c r="AA20" i="62"/>
  <c r="AA45" i="62"/>
  <c r="AB45" i="62" s="1"/>
  <c r="AM45" i="62" s="1"/>
  <c r="AS45" i="62" s="1"/>
  <c r="AA51" i="62"/>
  <c r="AB51" i="62" s="1"/>
  <c r="AM51" i="62" s="1"/>
  <c r="AS51" i="62" s="1"/>
  <c r="AE54" i="62"/>
  <c r="AB8" i="62"/>
  <c r="AM8" i="62" s="1"/>
  <c r="AE16" i="62"/>
  <c r="AK30" i="62"/>
  <c r="AF32" i="62"/>
  <c r="AK37" i="62"/>
  <c r="AJ45" i="62"/>
  <c r="AE62" i="62"/>
  <c r="AI83" i="62"/>
  <c r="AA37" i="62"/>
  <c r="AA67" i="62"/>
  <c r="AB67" i="62" s="1"/>
  <c r="AM67" i="62" s="1"/>
  <c r="AE60" i="62"/>
  <c r="AK76" i="62"/>
  <c r="AJ65" i="62"/>
  <c r="AJ37" i="62"/>
  <c r="AF24" i="62"/>
  <c r="AE34" i="62"/>
  <c r="AH69" i="62"/>
  <c r="AF93" i="62"/>
  <c r="AI94" i="62"/>
  <c r="AB5" i="62"/>
  <c r="AM5" i="62" s="1"/>
  <c r="AS5" i="62" s="1"/>
  <c r="AF25" i="62"/>
  <c r="AD29" i="62"/>
  <c r="AE38" i="62"/>
  <c r="AI52" i="62"/>
  <c r="AF54" i="62"/>
  <c r="AA66" i="62"/>
  <c r="AB66" i="62" s="1"/>
  <c r="AM66" i="62" s="1"/>
  <c r="AS66" i="62" s="1"/>
  <c r="AF68" i="62"/>
  <c r="AE71" i="62"/>
  <c r="AD80" i="62"/>
  <c r="AE83" i="62"/>
  <c r="AA89" i="62"/>
  <c r="AB89" i="62" s="1"/>
  <c r="AM89" i="62" s="1"/>
  <c r="AS89" i="62" s="1"/>
  <c r="AI96" i="62"/>
  <c r="AI42" i="62"/>
  <c r="AI61" i="62"/>
  <c r="AE63" i="62"/>
  <c r="AA64" i="62"/>
  <c r="AB64" i="62" s="1"/>
  <c r="AM64" i="62" s="1"/>
  <c r="AS64" i="62" s="1"/>
  <c r="AE82" i="62"/>
  <c r="AF88" i="62"/>
  <c r="AD93" i="62"/>
  <c r="AE10" i="62"/>
  <c r="AK24" i="62"/>
  <c r="AF27" i="62"/>
  <c r="AK34" i="62"/>
  <c r="AK35" i="62"/>
  <c r="AI38" i="62"/>
  <c r="AA41" i="62"/>
  <c r="AB41" i="62" s="1"/>
  <c r="AM41" i="62" s="1"/>
  <c r="AS41" i="62" s="1"/>
  <c r="AE47" i="62"/>
  <c r="AD58" i="62"/>
  <c r="AE79" i="62"/>
  <c r="AI89" i="62"/>
  <c r="AA95" i="62"/>
  <c r="AB95" i="62" s="1"/>
  <c r="AM95" i="62" s="1"/>
  <c r="AD63" i="62"/>
  <c r="AD64" i="62"/>
  <c r="AH9" i="62"/>
  <c r="AE31" i="62"/>
  <c r="AE50" i="62"/>
  <c r="AF64" i="62"/>
  <c r="AK72" i="62"/>
  <c r="AA85" i="62"/>
  <c r="AB85" i="62" s="1"/>
  <c r="AM85" i="62" s="1"/>
  <c r="AA88" i="62"/>
  <c r="AB88" i="62" s="1"/>
  <c r="AM88" i="62" s="1"/>
  <c r="AH95" i="62"/>
  <c r="AF84" i="62"/>
  <c r="AE24" i="62"/>
  <c r="AF36" i="62"/>
  <c r="AF39" i="62"/>
  <c r="AK48" i="62"/>
  <c r="AE59" i="62"/>
  <c r="AA78" i="62"/>
  <c r="AB78" i="62" s="1"/>
  <c r="AM78" i="62" s="1"/>
  <c r="AA43" i="62"/>
  <c r="AB43" i="62" s="1"/>
  <c r="AM43" i="62" s="1"/>
  <c r="AK62" i="62"/>
  <c r="AA87" i="62"/>
  <c r="AB87" i="62" s="1"/>
  <c r="AM87" i="62" s="1"/>
  <c r="AK38" i="62"/>
  <c r="AE90" i="62"/>
  <c r="AA96" i="62"/>
  <c r="AE84" i="62"/>
  <c r="AA79" i="62"/>
  <c r="AE25" i="62"/>
  <c r="AE46" i="62"/>
  <c r="AF50" i="62"/>
  <c r="AK55" i="62"/>
  <c r="AA56" i="62"/>
  <c r="AB56" i="62" s="1"/>
  <c r="AM56" i="62" s="1"/>
  <c r="AS56" i="62" s="1"/>
  <c r="AK68" i="62"/>
  <c r="AK70" i="62"/>
  <c r="AD79" i="62"/>
  <c r="AE87" i="62"/>
  <c r="AF97" i="62"/>
  <c r="AE64" i="62"/>
  <c r="AD20" i="62"/>
  <c r="AA22" i="62"/>
  <c r="AB22" i="62" s="1"/>
  <c r="AM22" i="62" s="1"/>
  <c r="AD25" i="62"/>
  <c r="AF51" i="62"/>
  <c r="AK58" i="62"/>
  <c r="AH78" i="62"/>
  <c r="AH79" i="62"/>
  <c r="AI92" i="62"/>
  <c r="AE93" i="62"/>
  <c r="AH99" i="62"/>
  <c r="AD101" i="62"/>
  <c r="AA11" i="62"/>
  <c r="AF17" i="62"/>
  <c r="AH8" i="62"/>
  <c r="AF35" i="62"/>
  <c r="AH36" i="62"/>
  <c r="AK46" i="62"/>
  <c r="AF49" i="62"/>
  <c r="AI51" i="62"/>
  <c r="AA62" i="62"/>
  <c r="AB62" i="62" s="1"/>
  <c r="AM62" i="62" s="1"/>
  <c r="AJ69" i="62"/>
  <c r="AI78" i="62"/>
  <c r="AF81" i="62"/>
  <c r="AD87" i="62"/>
  <c r="AA91" i="62"/>
  <c r="AB91" i="62" s="1"/>
  <c r="AM91" i="62" s="1"/>
  <c r="AJ92" i="62"/>
  <c r="AK16" i="62"/>
  <c r="AK18" i="62"/>
  <c r="AA24" i="62"/>
  <c r="AI28" i="62"/>
  <c r="AF31" i="62"/>
  <c r="AE33" i="62"/>
  <c r="AA39" i="62"/>
  <c r="AB39" i="62" s="1"/>
  <c r="AM39" i="62" s="1"/>
  <c r="AS39" i="62" s="1"/>
  <c r="AK51" i="62"/>
  <c r="AF62" i="62"/>
  <c r="AH77" i="62"/>
  <c r="AK92" i="62"/>
  <c r="AD97" i="62"/>
  <c r="AF16" i="62"/>
  <c r="AK23" i="62"/>
  <c r="AK26" i="62"/>
  <c r="AE35" i="62"/>
  <c r="AJ41" i="62"/>
  <c r="AE44" i="62"/>
  <c r="AJ50" i="62"/>
  <c r="AF53" i="62"/>
  <c r="AI55" i="62"/>
  <c r="AI62" i="62"/>
  <c r="AK63" i="62"/>
  <c r="AD68" i="62"/>
  <c r="AK74" i="62"/>
  <c r="AD76" i="62"/>
  <c r="AI86" i="62"/>
  <c r="AJ91" i="62"/>
  <c r="AF95" i="62"/>
  <c r="AK97" i="62"/>
  <c r="AE98" i="62"/>
  <c r="AF63" i="62"/>
  <c r="AI65" i="62"/>
  <c r="AF5" i="62"/>
  <c r="AG5" i="62" s="1"/>
  <c r="AI19" i="62"/>
  <c r="AK27" i="62"/>
  <c r="AD32" i="62"/>
  <c r="AH40" i="62"/>
  <c r="AI49" i="62"/>
  <c r="AE67" i="62"/>
  <c r="AH72" i="62"/>
  <c r="AE75" i="62"/>
  <c r="AI5" i="62"/>
  <c r="AA18" i="62"/>
  <c r="AB18" i="62" s="1"/>
  <c r="AM18" i="62" s="1"/>
  <c r="AK19" i="62"/>
  <c r="AE26" i="62"/>
  <c r="AF29" i="62"/>
  <c r="AF34" i="62"/>
  <c r="AK40" i="62"/>
  <c r="AA47" i="62"/>
  <c r="AB47" i="62" s="1"/>
  <c r="AM47" i="62" s="1"/>
  <c r="AK52" i="62"/>
  <c r="AI54" i="62"/>
  <c r="AI58" i="62"/>
  <c r="AH67" i="62"/>
  <c r="AA71" i="62"/>
  <c r="AB71" i="62" s="1"/>
  <c r="AM71" i="62" s="1"/>
  <c r="AH75" i="62"/>
  <c r="AI76" i="62"/>
  <c r="AK10" i="62"/>
  <c r="AH14" i="62"/>
  <c r="AF15" i="62"/>
  <c r="AF20" i="62"/>
  <c r="AE23" i="62"/>
  <c r="AD31" i="62"/>
  <c r="AF38" i="62"/>
  <c r="AI39" i="62"/>
  <c r="AE70" i="62"/>
  <c r="AD71" i="62"/>
  <c r="AA74" i="62"/>
  <c r="AB74" i="62" s="1"/>
  <c r="AM74" i="62" s="1"/>
  <c r="AS74" i="62" s="1"/>
  <c r="AF92" i="62"/>
  <c r="AA94" i="62"/>
  <c r="AC71" i="62"/>
  <c r="AB9" i="62"/>
  <c r="AM9" i="62" s="1"/>
  <c r="AH10" i="62"/>
  <c r="AF19" i="62"/>
  <c r="AF26" i="62"/>
  <c r="AA27" i="62"/>
  <c r="AB27" i="62" s="1"/>
  <c r="AM27" i="62" s="1"/>
  <c r="AE28" i="62"/>
  <c r="AE30" i="62"/>
  <c r="AI31" i="62"/>
  <c r="S35" i="62"/>
  <c r="AC35" i="62" s="1"/>
  <c r="AE39" i="62"/>
  <c r="AF40" i="62"/>
  <c r="AI41" i="62"/>
  <c r="AK42" i="62"/>
  <c r="AA48" i="62"/>
  <c r="AB48" i="62" s="1"/>
  <c r="AM48" i="62" s="1"/>
  <c r="AJ51" i="62"/>
  <c r="AE56" i="62"/>
  <c r="AA59" i="62"/>
  <c r="AB59" i="62" s="1"/>
  <c r="AM59" i="62" s="1"/>
  <c r="AH63" i="62"/>
  <c r="AI64" i="62"/>
  <c r="AK65" i="62"/>
  <c r="AF66" i="62"/>
  <c r="AD67" i="62"/>
  <c r="AI70" i="62"/>
  <c r="AA72" i="62"/>
  <c r="AB72" i="62" s="1"/>
  <c r="AM72" i="62" s="1"/>
  <c r="AE74" i="62"/>
  <c r="AD75" i="62"/>
  <c r="AK82" i="62"/>
  <c r="AK85" i="62"/>
  <c r="AE86" i="62"/>
  <c r="AE88" i="62"/>
  <c r="AE91" i="62"/>
  <c r="AK44" i="62"/>
  <c r="AF48" i="62"/>
  <c r="AK49" i="62"/>
  <c r="AF57" i="62"/>
  <c r="AF58" i="62"/>
  <c r="AD59" i="62"/>
  <c r="AJ66" i="62"/>
  <c r="AD72" i="62"/>
  <c r="AI74" i="62"/>
  <c r="AH88" i="62"/>
  <c r="AJ89" i="62"/>
  <c r="S96" i="62"/>
  <c r="AC96" i="62" s="1"/>
  <c r="AA98" i="62"/>
  <c r="AB98" i="62" s="1"/>
  <c r="AM98" i="62" s="1"/>
  <c r="AS98" i="62" s="1"/>
  <c r="AF101" i="62"/>
  <c r="AH13" i="62"/>
  <c r="AK14" i="62"/>
  <c r="K208" i="62"/>
  <c r="L208" i="62" s="1" a="1"/>
  <c r="L208" i="62" s="1"/>
  <c r="O208" i="62" s="1"/>
  <c r="S16" i="62"/>
  <c r="AC16" i="62" s="1"/>
  <c r="AA17" i="62"/>
  <c r="AB17" i="62" s="1"/>
  <c r="AM17" i="62" s="1"/>
  <c r="AA21" i="62"/>
  <c r="AB21" i="62" s="1"/>
  <c r="AM21" i="62" s="1"/>
  <c r="AD27" i="62"/>
  <c r="AD28" i="62"/>
  <c r="AK32" i="62"/>
  <c r="AA36" i="62"/>
  <c r="AK43" i="62"/>
  <c r="AJ48" i="62"/>
  <c r="AI57" i="62"/>
  <c r="AH59" i="62"/>
  <c r="AF61" i="62"/>
  <c r="AK66" i="62"/>
  <c r="AF71" i="62"/>
  <c r="AE72" i="62"/>
  <c r="AH76" i="62"/>
  <c r="AF87" i="62"/>
  <c r="AK89" i="62"/>
  <c r="AF90" i="62"/>
  <c r="AD95" i="62"/>
  <c r="AF96" i="62"/>
  <c r="AK101" i="62"/>
  <c r="AA26" i="62"/>
  <c r="AB26" i="62" s="1"/>
  <c r="AM26" i="62" s="1"/>
  <c r="AH47" i="62"/>
  <c r="AE53" i="62"/>
  <c r="AK57" i="62"/>
  <c r="AK69" i="62"/>
  <c r="AK71" i="62"/>
  <c r="AH71" i="62"/>
  <c r="AF72" i="62"/>
  <c r="AE95" i="62"/>
  <c r="AK20" i="62"/>
  <c r="AE45" i="62"/>
  <c r="AH46" i="62"/>
  <c r="AK50" i="62"/>
  <c r="AJ56" i="62"/>
  <c r="S65" i="62"/>
  <c r="AC65" i="62" s="1"/>
  <c r="S81" i="62"/>
  <c r="AC81" i="62" s="1"/>
  <c r="AA84" i="62"/>
  <c r="AB84" i="62" s="1"/>
  <c r="AM84" i="62" s="1"/>
  <c r="AE96" i="62"/>
  <c r="AG7" i="62"/>
  <c r="AB14" i="62"/>
  <c r="AM14" i="62" s="1"/>
  <c r="AD26" i="62"/>
  <c r="AH34" i="62"/>
  <c r="S63" i="62"/>
  <c r="AC63" i="62" s="1"/>
  <c r="AI72" i="62"/>
  <c r="AA82" i="62"/>
  <c r="AB82" i="62" s="1"/>
  <c r="AM82" i="62" s="1"/>
  <c r="AE85" i="62"/>
  <c r="K206" i="62"/>
  <c r="L206" i="62" s="1" a="1"/>
  <c r="L206" i="62" s="1"/>
  <c r="O206" i="62" s="1"/>
  <c r="S10" i="62"/>
  <c r="AC10" i="62" s="1"/>
  <c r="AG14" i="62"/>
  <c r="AE15" i="62"/>
  <c r="AD16" i="62"/>
  <c r="AF18" i="62"/>
  <c r="AI25" i="62"/>
  <c r="AK29" i="62"/>
  <c r="AE32" i="62"/>
  <c r="AD33" i="62"/>
  <c r="AI34" i="62"/>
  <c r="AE42" i="62"/>
  <c r="AI44" i="62"/>
  <c r="AI45" i="62"/>
  <c r="AA49" i="62"/>
  <c r="AB49" i="62" s="1"/>
  <c r="AM49" i="62" s="1"/>
  <c r="AS49" i="62" s="1"/>
  <c r="AA52" i="62"/>
  <c r="AB52" i="62" s="1"/>
  <c r="AM52" i="62" s="1"/>
  <c r="AS52" i="62" s="1"/>
  <c r="AE61" i="62"/>
  <c r="AK77" i="62"/>
  <c r="AF79" i="62"/>
  <c r="AD84" i="62"/>
  <c r="AF89" i="62"/>
  <c r="AF100" i="62"/>
  <c r="S25" i="62"/>
  <c r="AC25" i="62" s="1"/>
  <c r="AE12" i="62"/>
  <c r="AG12" i="62" s="1"/>
  <c r="AI16" i="62"/>
  <c r="AH53" i="62"/>
  <c r="AD94" i="62"/>
  <c r="AA23" i="62"/>
  <c r="AB23" i="62" s="1"/>
  <c r="AM23" i="62" s="1"/>
  <c r="AK25" i="62"/>
  <c r="AK9" i="62"/>
  <c r="AD15" i="62"/>
  <c r="AE20" i="62"/>
  <c r="AK21" i="62"/>
  <c r="AE22" i="62"/>
  <c r="AF33" i="62"/>
  <c r="AK36" i="62"/>
  <c r="AE40" i="62"/>
  <c r="AF43" i="62"/>
  <c r="AE51" i="62"/>
  <c r="AK54" i="62"/>
  <c r="AF59" i="62"/>
  <c r="AE66" i="62"/>
  <c r="AE78" i="62"/>
  <c r="AJ81" i="62"/>
  <c r="AD83" i="62"/>
  <c r="AE89" i="62"/>
  <c r="AE94" i="62"/>
  <c r="AK95" i="62"/>
  <c r="AF28" i="62"/>
  <c r="AE29" i="62"/>
  <c r="AK33" i="62"/>
  <c r="AF42" i="62"/>
  <c r="AA50" i="62"/>
  <c r="AB50" i="62" s="1"/>
  <c r="AM50" i="62" s="1"/>
  <c r="AA63" i="62"/>
  <c r="AA76" i="62"/>
  <c r="AB76" i="62" s="1"/>
  <c r="AM76" i="62" s="1"/>
  <c r="AA80" i="62"/>
  <c r="AB80" i="62" s="1"/>
  <c r="AM80" i="62" s="1"/>
  <c r="AH82" i="62"/>
  <c r="AF86" i="62"/>
  <c r="AE97" i="62"/>
  <c r="AF10" i="62"/>
  <c r="AH11" i="62"/>
  <c r="AF22" i="62"/>
  <c r="AI23" i="62"/>
  <c r="S36" i="62"/>
  <c r="AC36" i="62" s="1"/>
  <c r="AF41" i="62"/>
  <c r="AD49" i="62"/>
  <c r="K205" i="62"/>
  <c r="L205" i="62" s="1" a="1"/>
  <c r="L205" i="62" s="1"/>
  <c r="AI7" i="62"/>
  <c r="AH7" i="62"/>
  <c r="K207" i="62"/>
  <c r="L207" i="62" s="1" a="1"/>
  <c r="L207" i="62" s="1"/>
  <c r="AK6" i="62"/>
  <c r="AH6" i="62"/>
  <c r="AF11" i="62"/>
  <c r="AK11" i="62"/>
  <c r="S11" i="62"/>
  <c r="AC11" i="62" s="1"/>
  <c r="AG6" i="62"/>
  <c r="K209" i="62"/>
  <c r="L209" i="62" s="1" a="1"/>
  <c r="L209" i="62" s="1"/>
  <c r="AC22" i="62"/>
  <c r="AG9" i="62"/>
  <c r="AI6" i="62"/>
  <c r="AF8" i="62"/>
  <c r="AG8" i="62" s="1"/>
  <c r="AE19" i="62"/>
  <c r="AA19" i="62"/>
  <c r="AB19" i="62" s="1"/>
  <c r="AM19" i="62" s="1"/>
  <c r="AS19" i="62" s="1"/>
  <c r="AK12" i="62"/>
  <c r="AI12" i="62"/>
  <c r="AH12" i="62"/>
  <c r="AM7" i="62"/>
  <c r="AB12" i="62"/>
  <c r="AM12" i="62" s="1"/>
  <c r="AJ17" i="62"/>
  <c r="AK8" i="62"/>
  <c r="AH16" i="62"/>
  <c r="AK17" i="62"/>
  <c r="AJ19" i="62"/>
  <c r="AK22" i="62"/>
  <c r="AJ35" i="62"/>
  <c r="AE37" i="62"/>
  <c r="AE41" i="62"/>
  <c r="AE43" i="62"/>
  <c r="AJ47" i="62"/>
  <c r="AE48" i="62"/>
  <c r="AI50" i="62"/>
  <c r="AE58" i="62"/>
  <c r="AA58" i="62"/>
  <c r="AB58" i="62" s="1"/>
  <c r="AM58" i="62" s="1"/>
  <c r="AS58" i="62" s="1"/>
  <c r="AI60" i="62"/>
  <c r="AK60" i="62"/>
  <c r="AH18" i="62"/>
  <c r="AD21" i="62"/>
  <c r="AD23" i="62"/>
  <c r="S34" i="62"/>
  <c r="AC34" i="62" s="1"/>
  <c r="S60" i="62"/>
  <c r="AC60" i="62" s="1"/>
  <c r="AF60" i="62"/>
  <c r="AH15" i="62"/>
  <c r="AI18" i="62"/>
  <c r="AH20" i="62"/>
  <c r="AH24" i="62"/>
  <c r="AK28" i="62"/>
  <c r="AK31" i="62"/>
  <c r="AJ34" i="62"/>
  <c r="AA35" i="62"/>
  <c r="AD36" i="62"/>
  <c r="AH37" i="62"/>
  <c r="AA38" i="62"/>
  <c r="AB38" i="62" s="1"/>
  <c r="AM38" i="62" s="1"/>
  <c r="AS38" i="62" s="1"/>
  <c r="AA40" i="62"/>
  <c r="AB40" i="62" s="1"/>
  <c r="AM40" i="62" s="1"/>
  <c r="AA42" i="62"/>
  <c r="AB42" i="62" s="1"/>
  <c r="AM42" i="62" s="1"/>
  <c r="AS42" i="62" s="1"/>
  <c r="AH43" i="62"/>
  <c r="AA44" i="62"/>
  <c r="AB44" i="62" s="1"/>
  <c r="AM44" i="62" s="1"/>
  <c r="AS44" i="62" s="1"/>
  <c r="AA46" i="62"/>
  <c r="AB46" i="62" s="1"/>
  <c r="AM46" i="62" s="1"/>
  <c r="AH48" i="62"/>
  <c r="AK53" i="62"/>
  <c r="AJ53" i="62"/>
  <c r="AE55" i="62"/>
  <c r="AA55" i="62"/>
  <c r="AB55" i="62" s="1"/>
  <c r="AM55" i="62" s="1"/>
  <c r="AS55" i="62" s="1"/>
  <c r="AK56" i="62"/>
  <c r="AI56" i="62"/>
  <c r="S15" i="62"/>
  <c r="AC15" i="62" s="1"/>
  <c r="AI15" i="62"/>
  <c r="AJ18" i="62"/>
  <c r="S20" i="62"/>
  <c r="AC20" i="62" s="1"/>
  <c r="AI20" i="62"/>
  <c r="AF21" i="62"/>
  <c r="AF23" i="62"/>
  <c r="S24" i="62"/>
  <c r="AC24" i="62" s="1"/>
  <c r="AI24" i="62"/>
  <c r="AH27" i="62"/>
  <c r="AH30" i="62"/>
  <c r="AH33" i="62"/>
  <c r="AI37" i="62"/>
  <c r="AI43" i="62"/>
  <c r="AI48" i="62"/>
  <c r="AC62" i="62"/>
  <c r="AK5" i="62"/>
  <c r="K2" i="62"/>
  <c r="AA6" i="62"/>
  <c r="AB6" i="62" s="1"/>
  <c r="AM6" i="62" s="1"/>
  <c r="K214" i="62"/>
  <c r="L214" i="62" s="1" a="1"/>
  <c r="L214" i="62" s="1"/>
  <c r="AA16" i="62"/>
  <c r="AD17" i="62"/>
  <c r="AD22" i="62"/>
  <c r="AA25" i="62"/>
  <c r="AA28" i="62"/>
  <c r="AB28" i="62" s="1"/>
  <c r="AM28" i="62" s="1"/>
  <c r="AS28" i="62" s="1"/>
  <c r="AA31" i="62"/>
  <c r="AB31" i="62" s="1"/>
  <c r="AM31" i="62" s="1"/>
  <c r="AS31" i="62" s="1"/>
  <c r="S37" i="62"/>
  <c r="AC37" i="62" s="1"/>
  <c r="AK41" i="62"/>
  <c r="AE49" i="62"/>
  <c r="L213" i="62" a="1"/>
  <c r="L213" i="62" s="1"/>
  <c r="AK15" i="62"/>
  <c r="AH21" i="62"/>
  <c r="AH23" i="62"/>
  <c r="AA34" i="62"/>
  <c r="AK39" i="62"/>
  <c r="AD42" i="62"/>
  <c r="AK45" i="62"/>
  <c r="AD52" i="62"/>
  <c r="AJ54" i="62"/>
  <c r="AF44" i="62"/>
  <c r="AF46" i="62"/>
  <c r="AD47" i="62"/>
  <c r="AE52" i="62"/>
  <c r="AD55" i="62"/>
  <c r="AA61" i="62"/>
  <c r="AB61" i="62" s="1"/>
  <c r="AM61" i="62" s="1"/>
  <c r="AS61" i="62" s="1"/>
  <c r="AA65" i="62"/>
  <c r="AH26" i="62"/>
  <c r="AH29" i="62"/>
  <c r="AH32" i="62"/>
  <c r="AF52" i="62"/>
  <c r="AF55" i="62"/>
  <c r="AH60" i="62"/>
  <c r="AH17" i="62"/>
  <c r="AH22" i="62"/>
  <c r="AI26" i="62"/>
  <c r="AI29" i="62"/>
  <c r="AI32" i="62"/>
  <c r="AE57" i="62"/>
  <c r="AA57" i="62"/>
  <c r="AB57" i="62" s="1"/>
  <c r="AM57" i="62" s="1"/>
  <c r="AS57" i="62" s="1"/>
  <c r="AH35" i="62"/>
  <c r="AJ38" i="62"/>
  <c r="AJ44" i="62"/>
  <c r="AK47" i="62"/>
  <c r="AA54" i="62"/>
  <c r="AB54" i="62" s="1"/>
  <c r="AM54" i="62" s="1"/>
  <c r="AS54" i="62" s="1"/>
  <c r="K204" i="62"/>
  <c r="L204" i="62" s="1" a="1"/>
  <c r="L204" i="62" s="1"/>
  <c r="AM13" i="62"/>
  <c r="AJ40" i="62"/>
  <c r="AJ46" i="62"/>
  <c r="AH50" i="62"/>
  <c r="AF56" i="62"/>
  <c r="AJ60" i="62"/>
  <c r="AD62" i="62"/>
  <c r="AH68" i="62"/>
  <c r="AI73" i="62"/>
  <c r="AF75" i="62"/>
  <c r="AK80" i="62"/>
  <c r="AI81" i="62"/>
  <c r="AK86" i="62"/>
  <c r="AI91" i="62"/>
  <c r="AJ57" i="62"/>
  <c r="AI68" i="62"/>
  <c r="AJ73" i="62"/>
  <c r="AK75" i="62"/>
  <c r="S83" i="62"/>
  <c r="AC83" i="62" s="1"/>
  <c r="AK83" i="62"/>
  <c r="AJ99" i="62"/>
  <c r="AK73" i="62"/>
  <c r="AA77" i="62"/>
  <c r="AB77" i="62" s="1"/>
  <c r="AM77" i="62" s="1"/>
  <c r="AE77" i="62"/>
  <c r="AA60" i="62"/>
  <c r="AF73" i="62"/>
  <c r="S75" i="62"/>
  <c r="AC75" i="62" s="1"/>
  <c r="AK59" i="62"/>
  <c r="AK61" i="62"/>
  <c r="AH62" i="62"/>
  <c r="S68" i="62"/>
  <c r="AC68" i="62" s="1"/>
  <c r="S73" i="62"/>
  <c r="AC73" i="62" s="1"/>
  <c r="AF74" i="62"/>
  <c r="AF78" i="62"/>
  <c r="AD78" i="62"/>
  <c r="AA68" i="62"/>
  <c r="AA73" i="62"/>
  <c r="AE73" i="62"/>
  <c r="AJ88" i="62"/>
  <c r="AF69" i="62"/>
  <c r="AJ74" i="62"/>
  <c r="AE80" i="62"/>
  <c r="AA81" i="62"/>
  <c r="AE81" i="62"/>
  <c r="AF85" i="62"/>
  <c r="AA86" i="62"/>
  <c r="AB86" i="62" s="1"/>
  <c r="AM86" i="62" s="1"/>
  <c r="AS86" i="62" s="1"/>
  <c r="AK88" i="62"/>
  <c r="AE92" i="62"/>
  <c r="AA97" i="62"/>
  <c r="AB97" i="62" s="1"/>
  <c r="AM97" i="62" s="1"/>
  <c r="S99" i="62"/>
  <c r="AC99" i="62" s="1"/>
  <c r="AK99" i="62"/>
  <c r="AF99" i="62"/>
  <c r="AF67" i="62"/>
  <c r="AF80" i="62"/>
  <c r="AK67" i="62"/>
  <c r="AF70" i="62"/>
  <c r="AJ77" i="62"/>
  <c r="S79" i="62"/>
  <c r="AK79" i="62"/>
  <c r="AF82" i="62"/>
  <c r="AD82" i="62"/>
  <c r="AH85" i="62"/>
  <c r="AF91" i="62"/>
  <c r="AA92" i="62"/>
  <c r="AB92" i="62" s="1"/>
  <c r="AM92" i="62" s="1"/>
  <c r="AS92" i="62" s="1"/>
  <c r="AK94" i="62"/>
  <c r="AA99" i="62"/>
  <c r="AE99" i="62"/>
  <c r="AA100" i="62"/>
  <c r="AB100" i="62" s="1"/>
  <c r="AM100" i="62" s="1"/>
  <c r="AE100" i="62"/>
  <c r="AA69" i="62"/>
  <c r="AB69" i="62" s="1"/>
  <c r="AM69" i="62" s="1"/>
  <c r="AE69" i="62"/>
  <c r="AH80" i="62"/>
  <c r="AF83" i="62"/>
  <c r="AI85" i="62"/>
  <c r="AF94" i="62"/>
  <c r="AK64" i="62"/>
  <c r="AJ70" i="62"/>
  <c r="AF77" i="62"/>
  <c r="AJ85" i="62"/>
  <c r="AJ86" i="62"/>
  <c r="AH91" i="62"/>
  <c r="S94" i="62"/>
  <c r="AC94" i="62" s="1"/>
  <c r="AK96" i="62"/>
  <c r="AH97" i="62"/>
  <c r="AK98" i="62"/>
  <c r="AI98" i="62"/>
  <c r="AA101" i="62"/>
  <c r="AB101" i="62" s="1"/>
  <c r="AM101" i="62" s="1"/>
  <c r="AK84" i="62"/>
  <c r="AK87" i="62"/>
  <c r="AK90" i="62"/>
  <c r="AK93" i="62"/>
  <c r="AF98" i="62"/>
  <c r="AJ98" i="62"/>
  <c r="AJ100" i="62"/>
  <c r="AJ97" i="62"/>
  <c r="AI100" i="62"/>
  <c r="AH100" i="62"/>
  <c r="AK100" i="62"/>
  <c r="AJ96" i="62"/>
  <c r="L210" i="62" a="1"/>
  <c r="L210" i="62" s="1"/>
  <c r="L211" i="62" a="1"/>
  <c r="L211" i="62" s="1"/>
  <c r="L212" i="62" a="1"/>
  <c r="L212" i="62" s="1"/>
  <c r="AD96" i="62"/>
  <c r="AD100" i="62"/>
  <c r="AI101" i="62"/>
  <c r="AH101" i="62"/>
  <c r="AH84" i="62"/>
  <c r="AH87" i="62"/>
  <c r="AH90" i="62"/>
  <c r="AH93" i="62"/>
  <c r="G2" i="69" l="1"/>
  <c r="G19" i="69" s="1"/>
  <c r="J8" i="65"/>
  <c r="AS77" i="62"/>
  <c r="AS76" i="62"/>
  <c r="AS67" i="62"/>
  <c r="AS78" i="62"/>
  <c r="AB35" i="62"/>
  <c r="AM35" i="62" s="1"/>
  <c r="AS35" i="62" s="1"/>
  <c r="AS7" i="62"/>
  <c r="AS72" i="62"/>
  <c r="AS53" i="62"/>
  <c r="AS95" i="62"/>
  <c r="AG38" i="62"/>
  <c r="AG31" i="62"/>
  <c r="AG53" i="62"/>
  <c r="AG44" i="62"/>
  <c r="AG18" i="62"/>
  <c r="AG54" i="62"/>
  <c r="AG98" i="62"/>
  <c r="AG63" i="62"/>
  <c r="AS87" i="62"/>
  <c r="AG84" i="62"/>
  <c r="AG101" i="62"/>
  <c r="AS84" i="62"/>
  <c r="AG56" i="62"/>
  <c r="AG88" i="62"/>
  <c r="AG17" i="62"/>
  <c r="AG70" i="62"/>
  <c r="AS32" i="62"/>
  <c r="AG90" i="62"/>
  <c r="AG96" i="62"/>
  <c r="AG34" i="62"/>
  <c r="AG91" i="62"/>
  <c r="AS13" i="62"/>
  <c r="AG57" i="62"/>
  <c r="AG42" i="62"/>
  <c r="AG76" i="62"/>
  <c r="AG45" i="62"/>
  <c r="AG24" i="62"/>
  <c r="AG30" i="62"/>
  <c r="AS59" i="62"/>
  <c r="AG27" i="62"/>
  <c r="AG85" i="62"/>
  <c r="AG32" i="62"/>
  <c r="AG58" i="62"/>
  <c r="AS29" i="62"/>
  <c r="AG25" i="62"/>
  <c r="AB16" i="62"/>
  <c r="AM16" i="62" s="1"/>
  <c r="AS16" i="62" s="1"/>
  <c r="AG59" i="62"/>
  <c r="AG74" i="62"/>
  <c r="AG28" i="62"/>
  <c r="AG89" i="62"/>
  <c r="AS93" i="62"/>
  <c r="AS90" i="62"/>
  <c r="AS47" i="62"/>
  <c r="AG37" i="62"/>
  <c r="AG16" i="62"/>
  <c r="AG64" i="62"/>
  <c r="AS14" i="62"/>
  <c r="AG35" i="62"/>
  <c r="AG51" i="62"/>
  <c r="AB25" i="62"/>
  <c r="AM25" i="62" s="1"/>
  <c r="AS25" i="62" s="1"/>
  <c r="AS8" i="62"/>
  <c r="AG97" i="62"/>
  <c r="AG29" i="62"/>
  <c r="AS88" i="62"/>
  <c r="AG11" i="62"/>
  <c r="AG92" i="62"/>
  <c r="AG65" i="62"/>
  <c r="AG93" i="62"/>
  <c r="AG55" i="62"/>
  <c r="AG36" i="62"/>
  <c r="AG43" i="62"/>
  <c r="AS69" i="62"/>
  <c r="AG71" i="62"/>
  <c r="AG50" i="62"/>
  <c r="AG48" i="62"/>
  <c r="AG61" i="62"/>
  <c r="AS18" i="62"/>
  <c r="AG41" i="62"/>
  <c r="AG19" i="62"/>
  <c r="AG86" i="62"/>
  <c r="AS9" i="62"/>
  <c r="AS22" i="62"/>
  <c r="AG39" i="62"/>
  <c r="AG95" i="62"/>
  <c r="AG47" i="62"/>
  <c r="AG20" i="62"/>
  <c r="AG69" i="62"/>
  <c r="AG46" i="62"/>
  <c r="AG66" i="62"/>
  <c r="AS85" i="62"/>
  <c r="AS30" i="62"/>
  <c r="AG82" i="62"/>
  <c r="AG68" i="62"/>
  <c r="AB96" i="62"/>
  <c r="AM96" i="62" s="1"/>
  <c r="AS96" i="62" s="1"/>
  <c r="AS71" i="62"/>
  <c r="AG15" i="62"/>
  <c r="AS46" i="62"/>
  <c r="AS40" i="62"/>
  <c r="AG26" i="62"/>
  <c r="AG87" i="62"/>
  <c r="AB34" i="62"/>
  <c r="AM34" i="62" s="1"/>
  <c r="AS34" i="62" s="1"/>
  <c r="AG67" i="62"/>
  <c r="AG78" i="62"/>
  <c r="AS100" i="62"/>
  <c r="AS21" i="62"/>
  <c r="AG33" i="62"/>
  <c r="AG81" i="62"/>
  <c r="AB36" i="62"/>
  <c r="AM36" i="62" s="1"/>
  <c r="AS36" i="62" s="1"/>
  <c r="AG72" i="62"/>
  <c r="AG100" i="62"/>
  <c r="AG73" i="62"/>
  <c r="AS33" i="62"/>
  <c r="AS26" i="62"/>
  <c r="AG49" i="62"/>
  <c r="AH3" i="62"/>
  <c r="E2" i="62" s="1"/>
  <c r="AS101" i="62"/>
  <c r="AK3" i="62"/>
  <c r="AG75" i="62"/>
  <c r="AS23" i="62"/>
  <c r="AS97" i="62"/>
  <c r="AB20" i="62"/>
  <c r="AM20" i="62" s="1"/>
  <c r="AS20" i="62" s="1"/>
  <c r="AB63" i="62"/>
  <c r="AM63" i="62" s="1"/>
  <c r="AS63" i="62" s="1"/>
  <c r="AB65" i="62"/>
  <c r="AM65" i="62" s="1"/>
  <c r="AS65" i="62" s="1"/>
  <c r="AG10" i="62"/>
  <c r="AS17" i="62"/>
  <c r="AG52" i="62"/>
  <c r="AG60" i="62"/>
  <c r="AS82" i="62"/>
  <c r="AG94" i="62"/>
  <c r="AB81" i="62"/>
  <c r="AM81" i="62" s="1"/>
  <c r="AS81" i="62" s="1"/>
  <c r="AB10" i="62"/>
  <c r="AM10" i="62" s="1"/>
  <c r="AS10" i="62" s="1"/>
  <c r="AS91" i="62"/>
  <c r="AG80" i="62"/>
  <c r="AG77" i="62"/>
  <c r="AS43" i="62"/>
  <c r="AG23" i="62"/>
  <c r="AG40" i="62"/>
  <c r="AG21" i="62"/>
  <c r="AI3" i="62"/>
  <c r="E1" i="62" s="1"/>
  <c r="O213" i="62"/>
  <c r="AJ3" i="62"/>
  <c r="L2" i="62"/>
  <c r="AS48" i="62"/>
  <c r="O207" i="62"/>
  <c r="N205" i="62" a="1"/>
  <c r="N205" i="62" s="1"/>
  <c r="M205" i="62" s="1"/>
  <c r="AS80" i="62"/>
  <c r="AB73" i="62"/>
  <c r="AM73" i="62" s="1"/>
  <c r="AS73" i="62" s="1"/>
  <c r="N210" i="62" a="1"/>
  <c r="N210" i="62" s="1"/>
  <c r="M210" i="62" s="1"/>
  <c r="R2" i="62"/>
  <c r="N214" i="62" a="1"/>
  <c r="N214" i="62" s="1"/>
  <c r="M214" i="62" s="1"/>
  <c r="O205" i="62"/>
  <c r="N213" i="62" a="1"/>
  <c r="N213" i="62" s="1"/>
  <c r="M213" i="62" s="1"/>
  <c r="AB37" i="62"/>
  <c r="AM37" i="62" s="1"/>
  <c r="AS37" i="62" s="1"/>
  <c r="AS12" i="62"/>
  <c r="N209" i="62" a="1"/>
  <c r="N209" i="62" s="1"/>
  <c r="M209" i="62" s="1"/>
  <c r="AB24" i="62"/>
  <c r="AM24" i="62" s="1"/>
  <c r="AS24" i="62" s="1"/>
  <c r="N212" i="62" a="1"/>
  <c r="N212" i="62" s="1"/>
  <c r="M212" i="62" s="1"/>
  <c r="AB60" i="62"/>
  <c r="AM60" i="62" s="1"/>
  <c r="AS60" i="62" s="1"/>
  <c r="AB15" i="62"/>
  <c r="AM15" i="62" s="1"/>
  <c r="AS15" i="62" s="1"/>
  <c r="N211" i="62" a="1"/>
  <c r="N211" i="62" s="1"/>
  <c r="M211" i="62" s="1"/>
  <c r="N208" i="62" a="1"/>
  <c r="N208" i="62" s="1"/>
  <c r="M208" i="62" s="1"/>
  <c r="AG83" i="62"/>
  <c r="AG99" i="62"/>
  <c r="AB83" i="62"/>
  <c r="AM83" i="62" s="1"/>
  <c r="AS83" i="62" s="1"/>
  <c r="O209" i="62"/>
  <c r="O204" i="62"/>
  <c r="O211" i="62"/>
  <c r="AB94" i="62"/>
  <c r="AM94" i="62" s="1"/>
  <c r="AS94" i="62" s="1"/>
  <c r="AG62" i="62"/>
  <c r="O210" i="62"/>
  <c r="AB99" i="62"/>
  <c r="AM99" i="62" s="1"/>
  <c r="AS99" i="62" s="1"/>
  <c r="AB68" i="62"/>
  <c r="AM68" i="62" s="1"/>
  <c r="AS68" i="62" s="1"/>
  <c r="AS62" i="62"/>
  <c r="AB75" i="62"/>
  <c r="AM75" i="62" s="1"/>
  <c r="AS75" i="62" s="1"/>
  <c r="O212" i="62"/>
  <c r="AC79" i="62"/>
  <c r="AG79" i="62" s="1"/>
  <c r="AB79" i="62"/>
  <c r="AM79" i="62" s="1"/>
  <c r="AS79" i="62" s="1"/>
  <c r="O214" i="62"/>
  <c r="AB11" i="62"/>
  <c r="AM11" i="62" s="1"/>
  <c r="AS11" i="62" s="1"/>
  <c r="N204" i="62" a="1"/>
  <c r="N204" i="62" s="1"/>
  <c r="M204" i="62" s="1"/>
  <c r="AS50" i="62"/>
  <c r="Q2" i="62"/>
  <c r="G2" i="62" s="1"/>
  <c r="P2" i="62"/>
  <c r="AS27" i="62"/>
  <c r="N206" i="62" a="1"/>
  <c r="N206" i="62" s="1"/>
  <c r="M206" i="62" s="1"/>
  <c r="AG22" i="62"/>
  <c r="N207" i="62" a="1"/>
  <c r="N207" i="62" s="1"/>
  <c r="M207" i="62" s="1"/>
  <c r="AS6" i="62"/>
  <c r="I1" i="62" l="1"/>
  <c r="AG2" i="62"/>
  <c r="AS3" i="62"/>
  <c r="O215" i="62"/>
  <c r="P204" i="62"/>
  <c r="P208" i="62"/>
  <c r="P212" i="62"/>
  <c r="P210" i="62"/>
  <c r="P205" i="62"/>
  <c r="P206" i="62"/>
  <c r="P213" i="62"/>
  <c r="P207" i="62"/>
  <c r="P209" i="62"/>
  <c r="P214" i="62"/>
  <c r="P211" i="62"/>
  <c r="AM3" i="62"/>
  <c r="G1" i="62" s="1"/>
  <c r="P215" i="62" l="1"/>
  <c r="Q204" i="62"/>
  <c r="Q205" i="62" s="1"/>
  <c r="Q206" i="62" s="1"/>
  <c r="Q207" i="62" s="1"/>
  <c r="Q208" i="62" s="1"/>
  <c r="Q209" i="62" s="1"/>
  <c r="Q210" i="62" s="1"/>
  <c r="Q211" i="62" s="1"/>
  <c r="Q212" i="62" s="1"/>
  <c r="Q213" i="62" s="1"/>
  <c r="Q214" i="62" s="1"/>
  <c r="G1" i="57" l="1"/>
  <c r="F15" i="65" l="1"/>
  <c r="P9" i="63"/>
  <c r="R9" i="63" l="1"/>
  <c r="M15" i="65" s="1"/>
  <c r="K15" i="65"/>
  <c r="L15" i="65"/>
  <c r="AM108" i="61" l="1"/>
  <c r="Z108" i="61"/>
  <c r="Y108" i="61"/>
  <c r="U108" i="61"/>
  <c r="AD108" i="61" s="1"/>
  <c r="O108" i="61"/>
  <c r="S108" i="61" s="1"/>
  <c r="AC108" i="61" s="1"/>
  <c r="K108" i="61"/>
  <c r="AH108" i="61" s="1"/>
  <c r="E108" i="61"/>
  <c r="AM107" i="61"/>
  <c r="Z107" i="61"/>
  <c r="Y107" i="61"/>
  <c r="U107" i="61"/>
  <c r="O107" i="61"/>
  <c r="K107" i="61"/>
  <c r="AH107" i="61" s="1"/>
  <c r="E107" i="61"/>
  <c r="AM106" i="61"/>
  <c r="Z106" i="61"/>
  <c r="Y106" i="61"/>
  <c r="U106" i="61"/>
  <c r="AI106" i="61" s="1"/>
  <c r="O106" i="61"/>
  <c r="K106" i="61"/>
  <c r="AJ106" i="61" s="1"/>
  <c r="E106" i="61"/>
  <c r="AM105" i="61"/>
  <c r="Z105" i="61"/>
  <c r="Y105" i="61"/>
  <c r="U105" i="61"/>
  <c r="AI105" i="61" s="1"/>
  <c r="O105" i="61"/>
  <c r="K105" i="61"/>
  <c r="AH105" i="61" s="1"/>
  <c r="E105" i="61"/>
  <c r="AM104" i="61"/>
  <c r="Z104" i="61"/>
  <c r="Y104" i="61"/>
  <c r="U104" i="61"/>
  <c r="AI104" i="61" s="1"/>
  <c r="O104" i="61"/>
  <c r="K104" i="61"/>
  <c r="AH104" i="61" s="1"/>
  <c r="E104" i="61"/>
  <c r="AM103" i="61"/>
  <c r="Z103" i="61"/>
  <c r="Y103" i="61"/>
  <c r="U103" i="61"/>
  <c r="AD103" i="61" s="1"/>
  <c r="O103" i="61"/>
  <c r="S103" i="61" s="1"/>
  <c r="K103" i="61"/>
  <c r="AH103" i="61" s="1"/>
  <c r="E103" i="61"/>
  <c r="AM102" i="61"/>
  <c r="Z102" i="61"/>
  <c r="Y102" i="61"/>
  <c r="U102" i="61"/>
  <c r="AI102" i="61" s="1"/>
  <c r="O102" i="61"/>
  <c r="K102" i="61"/>
  <c r="AH102" i="61" s="1"/>
  <c r="E102" i="61"/>
  <c r="AM101" i="61"/>
  <c r="Z101" i="61"/>
  <c r="Y101" i="61"/>
  <c r="U101" i="61"/>
  <c r="AI101" i="61" s="1"/>
  <c r="O101" i="61"/>
  <c r="S101" i="61" s="1"/>
  <c r="K101" i="61"/>
  <c r="E101" i="61"/>
  <c r="AM100" i="61"/>
  <c r="Z100" i="61"/>
  <c r="Y100" i="61"/>
  <c r="U100" i="61"/>
  <c r="AI100" i="61" s="1"/>
  <c r="O100" i="61"/>
  <c r="K100" i="61"/>
  <c r="E100" i="61"/>
  <c r="AM99" i="61"/>
  <c r="Z99" i="61"/>
  <c r="Y99" i="61"/>
  <c r="U99" i="61"/>
  <c r="AD99" i="61" s="1"/>
  <c r="O99" i="61"/>
  <c r="S99" i="61" s="1"/>
  <c r="AC99" i="61" s="1"/>
  <c r="K99" i="61"/>
  <c r="AH99" i="61" s="1"/>
  <c r="E99" i="61"/>
  <c r="AM98" i="61"/>
  <c r="Z98" i="61"/>
  <c r="Y98" i="61"/>
  <c r="U98" i="61"/>
  <c r="AD98" i="61" s="1"/>
  <c r="O98" i="61"/>
  <c r="K98" i="61"/>
  <c r="AH98" i="61" s="1"/>
  <c r="E98" i="61"/>
  <c r="AM97" i="61"/>
  <c r="Z97" i="61"/>
  <c r="Y97" i="61"/>
  <c r="U97" i="61"/>
  <c r="AD97" i="61" s="1"/>
  <c r="O97" i="61"/>
  <c r="S97" i="61" s="1"/>
  <c r="AC97" i="61" s="1"/>
  <c r="K97" i="61"/>
  <c r="E97" i="61"/>
  <c r="AM96" i="61"/>
  <c r="AC96" i="61"/>
  <c r="Z96" i="61"/>
  <c r="Y96" i="61"/>
  <c r="U96" i="61"/>
  <c r="O96" i="61"/>
  <c r="K96" i="61"/>
  <c r="E96" i="61"/>
  <c r="AM95" i="61"/>
  <c r="AC95" i="61"/>
  <c r="Z95" i="61"/>
  <c r="Y95" i="61"/>
  <c r="U95" i="61"/>
  <c r="AI95" i="61" s="1"/>
  <c r="O95" i="61"/>
  <c r="K95" i="61"/>
  <c r="E95" i="61"/>
  <c r="AM94" i="61"/>
  <c r="AC94" i="61"/>
  <c r="Z94" i="61"/>
  <c r="Y94" i="61"/>
  <c r="U94" i="61"/>
  <c r="AD94" i="61" s="1"/>
  <c r="O94" i="61"/>
  <c r="K94" i="61"/>
  <c r="AJ94" i="61" s="1"/>
  <c r="E94" i="61"/>
  <c r="AM93" i="61"/>
  <c r="AC93" i="61"/>
  <c r="Z93" i="61"/>
  <c r="Y93" i="61"/>
  <c r="U93" i="61"/>
  <c r="AI93" i="61" s="1"/>
  <c r="O93" i="61"/>
  <c r="K93" i="61"/>
  <c r="E93" i="61"/>
  <c r="AM92" i="61"/>
  <c r="AC92" i="61"/>
  <c r="Z92" i="61"/>
  <c r="Y92" i="61"/>
  <c r="U92" i="61"/>
  <c r="O92" i="61"/>
  <c r="K92" i="61"/>
  <c r="AJ92" i="61" s="1"/>
  <c r="E92" i="61"/>
  <c r="AM91" i="61"/>
  <c r="AC91" i="61"/>
  <c r="Z91" i="61"/>
  <c r="Y91" i="61"/>
  <c r="U91" i="61"/>
  <c r="AI91" i="61" s="1"/>
  <c r="O91" i="61"/>
  <c r="K91" i="61"/>
  <c r="AH91" i="61" s="1"/>
  <c r="E91" i="61"/>
  <c r="AM90" i="61"/>
  <c r="AC90" i="61"/>
  <c r="Z90" i="61"/>
  <c r="Y90" i="61"/>
  <c r="U90" i="61"/>
  <c r="AD90" i="61" s="1"/>
  <c r="O90" i="61"/>
  <c r="K90" i="61"/>
  <c r="E90" i="61"/>
  <c r="AM89" i="61"/>
  <c r="AC89" i="61"/>
  <c r="Z89" i="61"/>
  <c r="Y89" i="61"/>
  <c r="U89" i="61"/>
  <c r="AD89" i="61" s="1"/>
  <c r="O89" i="61"/>
  <c r="K89" i="61"/>
  <c r="AJ89" i="61" s="1"/>
  <c r="E89" i="61"/>
  <c r="AM88" i="61"/>
  <c r="Z88" i="61"/>
  <c r="Y88" i="61"/>
  <c r="U88" i="61"/>
  <c r="AI88" i="61" s="1"/>
  <c r="O88" i="61"/>
  <c r="K88" i="61"/>
  <c r="AH88" i="61" s="1"/>
  <c r="E88" i="61"/>
  <c r="AM87" i="61"/>
  <c r="Z87" i="61"/>
  <c r="Y87" i="61"/>
  <c r="U87" i="61"/>
  <c r="O87" i="61"/>
  <c r="K87" i="61"/>
  <c r="AH87" i="61" s="1"/>
  <c r="E87" i="61"/>
  <c r="AM86" i="61"/>
  <c r="Z86" i="61"/>
  <c r="Y86" i="61"/>
  <c r="U86" i="61"/>
  <c r="O86" i="61"/>
  <c r="S86" i="61" s="1"/>
  <c r="AC86" i="61" s="1"/>
  <c r="K86" i="61"/>
  <c r="AH86" i="61" s="1"/>
  <c r="E86" i="61"/>
  <c r="AM85" i="61"/>
  <c r="Z85" i="61"/>
  <c r="Y85" i="61"/>
  <c r="U85" i="61"/>
  <c r="AD85" i="61" s="1"/>
  <c r="O85" i="61"/>
  <c r="K85" i="61"/>
  <c r="E85" i="61"/>
  <c r="AM84" i="61"/>
  <c r="Z84" i="61"/>
  <c r="Y84" i="61"/>
  <c r="U84" i="61"/>
  <c r="AI84" i="61" s="1"/>
  <c r="O84" i="61"/>
  <c r="S84" i="61" s="1"/>
  <c r="AC84" i="61" s="1"/>
  <c r="K84" i="61"/>
  <c r="E84" i="61"/>
  <c r="AM83" i="61"/>
  <c r="Z83" i="61"/>
  <c r="Y83" i="61"/>
  <c r="U83" i="61"/>
  <c r="AD83" i="61" s="1"/>
  <c r="O83" i="61"/>
  <c r="K83" i="61"/>
  <c r="E83" i="61"/>
  <c r="AM82" i="61"/>
  <c r="Z82" i="61"/>
  <c r="Y82" i="61"/>
  <c r="U82" i="61"/>
  <c r="O82" i="61"/>
  <c r="K82" i="61"/>
  <c r="AH82" i="61" s="1"/>
  <c r="E82" i="61"/>
  <c r="AM81" i="61"/>
  <c r="Z81" i="61"/>
  <c r="Y81" i="61"/>
  <c r="U81" i="61"/>
  <c r="AI81" i="61" s="1"/>
  <c r="O81" i="61"/>
  <c r="S81" i="61" s="1"/>
  <c r="AC81" i="61" s="1"/>
  <c r="K81" i="61"/>
  <c r="AH81" i="61" s="1"/>
  <c r="E81" i="61"/>
  <c r="AM80" i="61"/>
  <c r="Z80" i="61"/>
  <c r="Y80" i="61"/>
  <c r="AE80" i="61" s="1"/>
  <c r="U80" i="61"/>
  <c r="AI80" i="61" s="1"/>
  <c r="O80" i="61"/>
  <c r="S80" i="61" s="1"/>
  <c r="AC80" i="61" s="1"/>
  <c r="K80" i="61"/>
  <c r="AH80" i="61" s="1"/>
  <c r="E80" i="61"/>
  <c r="AM79" i="61"/>
  <c r="Z79" i="61"/>
  <c r="Y79" i="61"/>
  <c r="U79" i="61"/>
  <c r="AI79" i="61" s="1"/>
  <c r="O79" i="61"/>
  <c r="K79" i="61"/>
  <c r="AH79" i="61" s="1"/>
  <c r="E79" i="61"/>
  <c r="AM78" i="61"/>
  <c r="Z78" i="61"/>
  <c r="Y78" i="61"/>
  <c r="U78" i="61"/>
  <c r="AD78" i="61" s="1"/>
  <c r="O78" i="61"/>
  <c r="K78" i="61"/>
  <c r="AH78" i="61" s="1"/>
  <c r="E78" i="61"/>
  <c r="AM77" i="61"/>
  <c r="Z77" i="61"/>
  <c r="Y77" i="61"/>
  <c r="U77" i="61"/>
  <c r="AI77" i="61" s="1"/>
  <c r="O77" i="61"/>
  <c r="S77" i="61" s="1"/>
  <c r="AC77" i="61" s="1"/>
  <c r="K77" i="61"/>
  <c r="AH77" i="61" s="1"/>
  <c r="E77" i="61"/>
  <c r="AM76" i="61"/>
  <c r="Z76" i="61"/>
  <c r="Y76" i="61"/>
  <c r="U76" i="61"/>
  <c r="AD76" i="61" s="1"/>
  <c r="O76" i="61"/>
  <c r="S76" i="61" s="1"/>
  <c r="AC76" i="61" s="1"/>
  <c r="K76" i="61"/>
  <c r="AH76" i="61" s="1"/>
  <c r="E76" i="61"/>
  <c r="AM75" i="61"/>
  <c r="Z75" i="61"/>
  <c r="Y75" i="61"/>
  <c r="U75" i="61"/>
  <c r="AD75" i="61" s="1"/>
  <c r="O75" i="61"/>
  <c r="K75" i="61"/>
  <c r="AH75" i="61" s="1"/>
  <c r="E75" i="61"/>
  <c r="AM74" i="61"/>
  <c r="Z74" i="61"/>
  <c r="Y74" i="61"/>
  <c r="U74" i="61"/>
  <c r="AD74" i="61" s="1"/>
  <c r="O74" i="61"/>
  <c r="K74" i="61"/>
  <c r="E74" i="61"/>
  <c r="AM73" i="61"/>
  <c r="Z73" i="61"/>
  <c r="Y73" i="61"/>
  <c r="U73" i="61"/>
  <c r="AI73" i="61" s="1"/>
  <c r="O73" i="61"/>
  <c r="K73" i="61"/>
  <c r="AH73" i="61" s="1"/>
  <c r="E73" i="61"/>
  <c r="AM72" i="61"/>
  <c r="AI72" i="61"/>
  <c r="AE72" i="61"/>
  <c r="AD72" i="61"/>
  <c r="AC72" i="61"/>
  <c r="AA72" i="61"/>
  <c r="O72" i="61"/>
  <c r="K72" i="61"/>
  <c r="AH72" i="61" s="1"/>
  <c r="E72" i="61"/>
  <c r="AM71" i="61"/>
  <c r="AI71" i="61"/>
  <c r="AD71" i="61"/>
  <c r="Z71" i="61"/>
  <c r="O71" i="61"/>
  <c r="S71" i="61" s="1"/>
  <c r="AC71" i="61" s="1"/>
  <c r="K71" i="61"/>
  <c r="E71" i="61"/>
  <c r="AM70" i="61"/>
  <c r="AI70" i="61"/>
  <c r="AD70" i="61"/>
  <c r="AC70" i="61"/>
  <c r="Z70" i="61"/>
  <c r="AA70" i="61" s="1"/>
  <c r="O70" i="61"/>
  <c r="AF70" i="61" s="1"/>
  <c r="K70" i="61"/>
  <c r="AH70" i="61" s="1"/>
  <c r="E70" i="61"/>
  <c r="AM69" i="61"/>
  <c r="AI69" i="61"/>
  <c r="AD69" i="61"/>
  <c r="Z69" i="61"/>
  <c r="AA69" i="61" s="1"/>
  <c r="O69" i="61"/>
  <c r="S69" i="61" s="1"/>
  <c r="AC69" i="61" s="1"/>
  <c r="K69" i="61"/>
  <c r="E69" i="61"/>
  <c r="AM68" i="61"/>
  <c r="AI68" i="61"/>
  <c r="AD68" i="61"/>
  <c r="AC68" i="61"/>
  <c r="Z68" i="61"/>
  <c r="O68" i="61"/>
  <c r="K68" i="61"/>
  <c r="E68" i="61"/>
  <c r="AM67" i="61"/>
  <c r="AI67" i="61"/>
  <c r="AD67" i="61"/>
  <c r="Z67" i="61"/>
  <c r="AE67" i="61" s="1"/>
  <c r="O67" i="61"/>
  <c r="K67" i="61"/>
  <c r="AH67" i="61" s="1"/>
  <c r="E67" i="61"/>
  <c r="AM66" i="61"/>
  <c r="AI66" i="61"/>
  <c r="AF66" i="61"/>
  <c r="AD66" i="61"/>
  <c r="AC66" i="61"/>
  <c r="Z66" i="61"/>
  <c r="AE66" i="61" s="1"/>
  <c r="K66" i="61"/>
  <c r="E66" i="61"/>
  <c r="AM65" i="61"/>
  <c r="AI65" i="61"/>
  <c r="AD65" i="61"/>
  <c r="Z65" i="61"/>
  <c r="AA65" i="61" s="1"/>
  <c r="O65" i="61"/>
  <c r="AF65" i="61" s="1"/>
  <c r="K65" i="61"/>
  <c r="E65" i="61"/>
  <c r="AM64" i="61"/>
  <c r="AI64" i="61"/>
  <c r="AD64" i="61"/>
  <c r="Z64" i="61"/>
  <c r="AA64" i="61" s="1"/>
  <c r="O64" i="61"/>
  <c r="AF64" i="61" s="1"/>
  <c r="K64" i="61"/>
  <c r="AH64" i="61" s="1"/>
  <c r="E64" i="61"/>
  <c r="AM63" i="61"/>
  <c r="AI63" i="61"/>
  <c r="AD63" i="61"/>
  <c r="Z63" i="61"/>
  <c r="O63" i="61"/>
  <c r="S63" i="61" s="1"/>
  <c r="AC63" i="61" s="1"/>
  <c r="K63" i="61"/>
  <c r="E63" i="61"/>
  <c r="AM62" i="61"/>
  <c r="AI62" i="61"/>
  <c r="AD62" i="61"/>
  <c r="AC62" i="61"/>
  <c r="Z62" i="61"/>
  <c r="AE62" i="61" s="1"/>
  <c r="O62" i="61"/>
  <c r="K62" i="61"/>
  <c r="AH62" i="61" s="1"/>
  <c r="E62" i="61"/>
  <c r="AM61" i="61"/>
  <c r="AI61" i="61"/>
  <c r="AD61" i="61"/>
  <c r="Z61" i="61"/>
  <c r="AE61" i="61" s="1"/>
  <c r="O61" i="61"/>
  <c r="S61" i="61" s="1"/>
  <c r="AC61" i="61" s="1"/>
  <c r="K61" i="61"/>
  <c r="AH61" i="61" s="1"/>
  <c r="E61" i="61"/>
  <c r="AM60" i="61"/>
  <c r="AI60" i="61"/>
  <c r="AD60" i="61"/>
  <c r="Z60" i="61"/>
  <c r="AA60" i="61" s="1"/>
  <c r="O60" i="61"/>
  <c r="AF60" i="61" s="1"/>
  <c r="K60" i="61"/>
  <c r="AH60" i="61" s="1"/>
  <c r="E60" i="61"/>
  <c r="AM59" i="61"/>
  <c r="AI59" i="61"/>
  <c r="AD59" i="61"/>
  <c r="Z59" i="61"/>
  <c r="AE59" i="61" s="1"/>
  <c r="O59" i="61"/>
  <c r="AF59" i="61" s="1"/>
  <c r="K59" i="61"/>
  <c r="AH59" i="61" s="1"/>
  <c r="E59" i="61"/>
  <c r="AM58" i="61"/>
  <c r="AI58" i="61"/>
  <c r="AD58" i="61"/>
  <c r="Z58" i="61"/>
  <c r="AA58" i="61" s="1"/>
  <c r="O58" i="61"/>
  <c r="S58" i="61" s="1"/>
  <c r="AC58" i="61" s="1"/>
  <c r="K58" i="61"/>
  <c r="E58" i="61"/>
  <c r="AM57" i="61"/>
  <c r="AI57" i="61"/>
  <c r="AD57" i="61"/>
  <c r="Z57" i="61"/>
  <c r="O57" i="61"/>
  <c r="S57" i="61" s="1"/>
  <c r="AC57" i="61" s="1"/>
  <c r="K57" i="61"/>
  <c r="E57" i="61"/>
  <c r="AM56" i="61"/>
  <c r="AI56" i="61"/>
  <c r="AD56" i="61"/>
  <c r="Z56" i="61"/>
  <c r="AE56" i="61" s="1"/>
  <c r="O56" i="61"/>
  <c r="AF56" i="61" s="1"/>
  <c r="K56" i="61"/>
  <c r="E56" i="61"/>
  <c r="AM55" i="61"/>
  <c r="AI55" i="61"/>
  <c r="AD55" i="61"/>
  <c r="Z55" i="61"/>
  <c r="AE55" i="61" s="1"/>
  <c r="O55" i="61"/>
  <c r="S55" i="61" s="1"/>
  <c r="AC55" i="61" s="1"/>
  <c r="K55" i="61"/>
  <c r="AH55" i="61" s="1"/>
  <c r="E55" i="61"/>
  <c r="AM54" i="61"/>
  <c r="AI54" i="61"/>
  <c r="AD54" i="61"/>
  <c r="Z54" i="61"/>
  <c r="AA54" i="61" s="1"/>
  <c r="O54" i="61"/>
  <c r="S54" i="61" s="1"/>
  <c r="AC54" i="61" s="1"/>
  <c r="K54" i="61"/>
  <c r="AH54" i="61" s="1"/>
  <c r="E54" i="61"/>
  <c r="AM53" i="61"/>
  <c r="AI53" i="61"/>
  <c r="AD53" i="61"/>
  <c r="Z53" i="61"/>
  <c r="AE53" i="61" s="1"/>
  <c r="O53" i="61"/>
  <c r="AF53" i="61" s="1"/>
  <c r="K53" i="61"/>
  <c r="E53" i="61"/>
  <c r="AM52" i="61"/>
  <c r="AI52" i="61"/>
  <c r="AD52" i="61"/>
  <c r="Z52" i="61"/>
  <c r="AE52" i="61" s="1"/>
  <c r="O52" i="61"/>
  <c r="AF52" i="61" s="1"/>
  <c r="K52" i="61"/>
  <c r="AH52" i="61" s="1"/>
  <c r="E52" i="61"/>
  <c r="AM51" i="61"/>
  <c r="AI51" i="61"/>
  <c r="AD51" i="61"/>
  <c r="Z51" i="61"/>
  <c r="AE51" i="61" s="1"/>
  <c r="O51" i="61"/>
  <c r="K51" i="61"/>
  <c r="AH51" i="61" s="1"/>
  <c r="E51" i="61"/>
  <c r="AM50" i="61"/>
  <c r="AI50" i="61"/>
  <c r="AD50" i="61"/>
  <c r="Z50" i="61"/>
  <c r="AE50" i="61" s="1"/>
  <c r="O50" i="61"/>
  <c r="AF50" i="61" s="1"/>
  <c r="K50" i="61"/>
  <c r="AH50" i="61" s="1"/>
  <c r="E50" i="61"/>
  <c r="AM49" i="61"/>
  <c r="AI49" i="61"/>
  <c r="AD49" i="61"/>
  <c r="Z49" i="61"/>
  <c r="AE49" i="61" s="1"/>
  <c r="O49" i="61"/>
  <c r="S49" i="61" s="1"/>
  <c r="AC49" i="61" s="1"/>
  <c r="K49" i="61"/>
  <c r="AH49" i="61" s="1"/>
  <c r="E49" i="61"/>
  <c r="AM48" i="61"/>
  <c r="AI48" i="61"/>
  <c r="AD48" i="61"/>
  <c r="Z48" i="61"/>
  <c r="AE48" i="61" s="1"/>
  <c r="O48" i="61"/>
  <c r="AF48" i="61" s="1"/>
  <c r="K48" i="61"/>
  <c r="E48" i="61"/>
  <c r="AM47" i="61"/>
  <c r="AI47" i="61"/>
  <c r="AD47" i="61"/>
  <c r="AC47" i="61"/>
  <c r="Z47" i="61"/>
  <c r="AE47" i="61" s="1"/>
  <c r="O47" i="61"/>
  <c r="K47" i="61"/>
  <c r="E47" i="61"/>
  <c r="AM46" i="61"/>
  <c r="AI46" i="61"/>
  <c r="AE46" i="61"/>
  <c r="AD46" i="61"/>
  <c r="AC46" i="61"/>
  <c r="AA46" i="61"/>
  <c r="O46" i="61"/>
  <c r="AF46" i="61" s="1"/>
  <c r="K46" i="61"/>
  <c r="AH46" i="61" s="1"/>
  <c r="E46" i="61"/>
  <c r="AM45" i="61"/>
  <c r="AI45" i="61"/>
  <c r="AD45" i="61"/>
  <c r="AC45" i="61"/>
  <c r="Z45" i="61"/>
  <c r="O45" i="61"/>
  <c r="K45" i="61"/>
  <c r="AH45" i="61" s="1"/>
  <c r="E45" i="61"/>
  <c r="AM44" i="61"/>
  <c r="AI44" i="61"/>
  <c r="AD44" i="61"/>
  <c r="AC44" i="61"/>
  <c r="Z44" i="61"/>
  <c r="AE44" i="61" s="1"/>
  <c r="O44" i="61"/>
  <c r="AF44" i="61" s="1"/>
  <c r="K44" i="61"/>
  <c r="E44" i="61"/>
  <c r="AM43" i="61"/>
  <c r="AI43" i="61"/>
  <c r="AD43" i="61"/>
  <c r="Z43" i="61"/>
  <c r="AA43" i="61" s="1"/>
  <c r="O43" i="61"/>
  <c r="AF43" i="61" s="1"/>
  <c r="K43" i="61"/>
  <c r="AH43" i="61" s="1"/>
  <c r="E43" i="61"/>
  <c r="AM42" i="61"/>
  <c r="AI42" i="61"/>
  <c r="AD42" i="61"/>
  <c r="Z42" i="61"/>
  <c r="AE42" i="61" s="1"/>
  <c r="O42" i="61"/>
  <c r="S42" i="61" s="1"/>
  <c r="AC42" i="61" s="1"/>
  <c r="K42" i="61"/>
  <c r="AH42" i="61" s="1"/>
  <c r="E42" i="61"/>
  <c r="AM41" i="61"/>
  <c r="AI41" i="61"/>
  <c r="AD41" i="61"/>
  <c r="Z41" i="61"/>
  <c r="AA41" i="61" s="1"/>
  <c r="O41" i="61"/>
  <c r="K41" i="61"/>
  <c r="E41" i="61"/>
  <c r="AM40" i="61"/>
  <c r="AI40" i="61"/>
  <c r="AD40" i="61"/>
  <c r="Z40" i="61"/>
  <c r="AE40" i="61" s="1"/>
  <c r="O40" i="61"/>
  <c r="S40" i="61" s="1"/>
  <c r="AC40" i="61" s="1"/>
  <c r="K40" i="61"/>
  <c r="AH40" i="61" s="1"/>
  <c r="E40" i="61"/>
  <c r="AM39" i="61"/>
  <c r="AI39" i="61"/>
  <c r="AD39" i="61"/>
  <c r="Z39" i="61"/>
  <c r="AA39" i="61" s="1"/>
  <c r="O39" i="61"/>
  <c r="S39" i="61" s="1"/>
  <c r="AC39" i="61" s="1"/>
  <c r="K39" i="61"/>
  <c r="E39" i="61"/>
  <c r="AM38" i="61"/>
  <c r="AI38" i="61"/>
  <c r="AD38" i="61"/>
  <c r="Z38" i="61"/>
  <c r="O38" i="61"/>
  <c r="K38" i="61"/>
  <c r="AH38" i="61" s="1"/>
  <c r="E38" i="61"/>
  <c r="AM37" i="61"/>
  <c r="AI37" i="61"/>
  <c r="AF37" i="61"/>
  <c r="AD37" i="61"/>
  <c r="AC37" i="61"/>
  <c r="Z37" i="61"/>
  <c r="AE37" i="61" s="1"/>
  <c r="K37" i="61"/>
  <c r="AJ37" i="61" s="1"/>
  <c r="E37" i="61"/>
  <c r="AM36" i="61"/>
  <c r="AI36" i="61"/>
  <c r="AE36" i="61"/>
  <c r="AD36" i="61"/>
  <c r="AC36" i="61"/>
  <c r="AA36" i="61"/>
  <c r="O36" i="61"/>
  <c r="AF36" i="61" s="1"/>
  <c r="K36" i="61"/>
  <c r="E36" i="61"/>
  <c r="AM35" i="61"/>
  <c r="AI35" i="61"/>
  <c r="AE35" i="61"/>
  <c r="AD35" i="61"/>
  <c r="AC35" i="61"/>
  <c r="AA35" i="61"/>
  <c r="O35" i="61"/>
  <c r="K35" i="61"/>
  <c r="AH35" i="61" s="1"/>
  <c r="E35" i="61"/>
  <c r="AM34" i="61"/>
  <c r="AI34" i="61"/>
  <c r="AE34" i="61"/>
  <c r="AD34" i="61"/>
  <c r="AC34" i="61"/>
  <c r="AA34" i="61"/>
  <c r="O34" i="61"/>
  <c r="AF34" i="61" s="1"/>
  <c r="K34" i="61"/>
  <c r="E34" i="61"/>
  <c r="AM33" i="61"/>
  <c r="AI33" i="61"/>
  <c r="AE33" i="61"/>
  <c r="AD33" i="61"/>
  <c r="AC33" i="61"/>
  <c r="AA33" i="61"/>
  <c r="O33" i="61"/>
  <c r="K33" i="61"/>
  <c r="AH33" i="61" s="1"/>
  <c r="E33" i="61"/>
  <c r="AM32" i="61"/>
  <c r="AI32" i="61"/>
  <c r="AD32" i="61"/>
  <c r="Z32" i="61"/>
  <c r="AE32" i="61" s="1"/>
  <c r="O32" i="61"/>
  <c r="K32" i="61"/>
  <c r="AH32" i="61" s="1"/>
  <c r="E32" i="61"/>
  <c r="AM31" i="61"/>
  <c r="AI31" i="61"/>
  <c r="AE31" i="61"/>
  <c r="AD31" i="61"/>
  <c r="AC31" i="61"/>
  <c r="AA31" i="61"/>
  <c r="O31" i="61"/>
  <c r="AF31" i="61" s="1"/>
  <c r="K31" i="61"/>
  <c r="AH31" i="61" s="1"/>
  <c r="E31" i="61"/>
  <c r="AM30" i="61"/>
  <c r="AI30" i="61"/>
  <c r="AD30" i="61"/>
  <c r="Z30" i="61"/>
  <c r="AE30" i="61" s="1"/>
  <c r="O30" i="61"/>
  <c r="S30" i="61" s="1"/>
  <c r="K30" i="61"/>
  <c r="E30" i="61"/>
  <c r="AM29" i="61"/>
  <c r="AI29" i="61"/>
  <c r="AD29" i="61"/>
  <c r="Z29" i="61"/>
  <c r="AE29" i="61" s="1"/>
  <c r="O29" i="61"/>
  <c r="S29" i="61" s="1"/>
  <c r="AC29" i="61" s="1"/>
  <c r="K29" i="61"/>
  <c r="E29" i="61"/>
  <c r="AM28" i="61"/>
  <c r="AI28" i="61"/>
  <c r="AD28" i="61"/>
  <c r="AC28" i="61"/>
  <c r="Z28" i="61"/>
  <c r="AE28" i="61" s="1"/>
  <c r="O28" i="61"/>
  <c r="AF28" i="61" s="1"/>
  <c r="K28" i="61"/>
  <c r="E28" i="61"/>
  <c r="AM27" i="61"/>
  <c r="AL27" i="61"/>
  <c r="E27" i="61"/>
  <c r="AM26" i="61"/>
  <c r="AL26" i="61"/>
  <c r="E26" i="61"/>
  <c r="AM25" i="61"/>
  <c r="AL25" i="61"/>
  <c r="E25" i="61"/>
  <c r="AM24" i="61"/>
  <c r="AL24" i="61"/>
  <c r="E24" i="61"/>
  <c r="AM23" i="61"/>
  <c r="AL23" i="61"/>
  <c r="E23" i="61"/>
  <c r="AM22" i="61"/>
  <c r="AL22" i="61"/>
  <c r="E22" i="61"/>
  <c r="AM21" i="61"/>
  <c r="AL21" i="61"/>
  <c r="E21" i="61"/>
  <c r="AM20" i="61"/>
  <c r="AI20" i="61"/>
  <c r="AD20" i="61"/>
  <c r="Z20" i="61"/>
  <c r="AA20" i="61" s="1"/>
  <c r="O20" i="61"/>
  <c r="S20" i="61" s="1"/>
  <c r="AC20" i="61" s="1"/>
  <c r="K20" i="61"/>
  <c r="E20" i="61"/>
  <c r="AM19" i="61"/>
  <c r="AI19" i="61"/>
  <c r="AD19" i="61"/>
  <c r="Z19" i="61"/>
  <c r="AE19" i="61" s="1"/>
  <c r="O19" i="61"/>
  <c r="AF19" i="61" s="1"/>
  <c r="K19" i="61"/>
  <c r="E19" i="61"/>
  <c r="AM18" i="61"/>
  <c r="AI18" i="61"/>
  <c r="AD18" i="61"/>
  <c r="AC18" i="61"/>
  <c r="Z18" i="61"/>
  <c r="AA18" i="61" s="1"/>
  <c r="O18" i="61"/>
  <c r="AF18" i="61" s="1"/>
  <c r="K18" i="61"/>
  <c r="E18" i="61"/>
  <c r="AM17" i="61"/>
  <c r="AI17" i="61"/>
  <c r="AD17" i="61"/>
  <c r="AC17" i="61"/>
  <c r="Z17" i="61"/>
  <c r="AE17" i="61" s="1"/>
  <c r="O17" i="61"/>
  <c r="K17" i="61"/>
  <c r="AH17" i="61" s="1"/>
  <c r="E17" i="61"/>
  <c r="AM16" i="61"/>
  <c r="AI16" i="61"/>
  <c r="AD16" i="61"/>
  <c r="AC16" i="61"/>
  <c r="Z16" i="61"/>
  <c r="AE16" i="61" s="1"/>
  <c r="O16" i="61"/>
  <c r="AF16" i="61" s="1"/>
  <c r="K16" i="61"/>
  <c r="E16" i="61"/>
  <c r="AM15" i="61"/>
  <c r="AI15" i="61"/>
  <c r="AD15" i="61"/>
  <c r="Z15" i="61"/>
  <c r="AE15" i="61" s="1"/>
  <c r="O15" i="61"/>
  <c r="S15" i="61" s="1"/>
  <c r="AC15" i="61" s="1"/>
  <c r="K15" i="61"/>
  <c r="AH15" i="61" s="1"/>
  <c r="E15" i="61"/>
  <c r="AM14" i="61"/>
  <c r="AI14" i="61"/>
  <c r="AD14" i="61"/>
  <c r="Z14" i="61"/>
  <c r="AE14" i="61" s="1"/>
  <c r="O14" i="61"/>
  <c r="AF14" i="61" s="1"/>
  <c r="K14" i="61"/>
  <c r="AH14" i="61" s="1"/>
  <c r="E14" i="61"/>
  <c r="AM13" i="61"/>
  <c r="AI13" i="61"/>
  <c r="AD13" i="61"/>
  <c r="Z13" i="61"/>
  <c r="AE13" i="61" s="1"/>
  <c r="O13" i="61"/>
  <c r="S13" i="61" s="1"/>
  <c r="AC13" i="61" s="1"/>
  <c r="K13" i="61"/>
  <c r="AH13" i="61" s="1"/>
  <c r="E13" i="61"/>
  <c r="AM12" i="61"/>
  <c r="AI12" i="61"/>
  <c r="AD12" i="61"/>
  <c r="Z12" i="61"/>
  <c r="AE12" i="61" s="1"/>
  <c r="O12" i="61"/>
  <c r="K12" i="61"/>
  <c r="AH12" i="61" s="1"/>
  <c r="E12" i="61"/>
  <c r="AM7" i="61"/>
  <c r="AI7" i="61"/>
  <c r="AD7" i="61"/>
  <c r="Z7" i="61"/>
  <c r="AA7" i="61" s="1"/>
  <c r="O7" i="61"/>
  <c r="K7" i="61"/>
  <c r="AH7" i="61" s="1"/>
  <c r="E7" i="61"/>
  <c r="AM6" i="61"/>
  <c r="AI6" i="61"/>
  <c r="AD6" i="61"/>
  <c r="Z6" i="61"/>
  <c r="AE6" i="61" s="1"/>
  <c r="O6" i="61"/>
  <c r="K6" i="61"/>
  <c r="AH6" i="61" s="1"/>
  <c r="E6" i="61"/>
  <c r="AM5" i="61"/>
  <c r="AI5" i="61"/>
  <c r="AD5" i="61"/>
  <c r="Z5" i="61"/>
  <c r="AE5" i="61" s="1"/>
  <c r="O5" i="61"/>
  <c r="AF5" i="61" s="1"/>
  <c r="K5" i="61"/>
  <c r="E5" i="61"/>
  <c r="I2" i="61"/>
  <c r="L7" i="1"/>
  <c r="B13" i="39"/>
  <c r="AJ20" i="61" l="1"/>
  <c r="AJ84" i="61"/>
  <c r="AJ18" i="61"/>
  <c r="AJ56" i="61"/>
  <c r="AE73" i="61"/>
  <c r="AA78" i="61"/>
  <c r="AJ47" i="61"/>
  <c r="AJ93" i="61"/>
  <c r="AJ96" i="61"/>
  <c r="AJ101" i="61"/>
  <c r="AJ88" i="61"/>
  <c r="AJ33" i="61"/>
  <c r="AE82" i="61"/>
  <c r="AJ5" i="61"/>
  <c r="AJ34" i="61"/>
  <c r="AJ58" i="61"/>
  <c r="AJ63" i="61"/>
  <c r="AJ19" i="61"/>
  <c r="AJ53" i="61"/>
  <c r="AA97" i="61"/>
  <c r="AB97" i="61" s="1"/>
  <c r="AL97" i="61" s="1"/>
  <c r="F10" i="65"/>
  <c r="K10" i="65"/>
  <c r="F13" i="65"/>
  <c r="P7" i="63"/>
  <c r="AE107" i="61"/>
  <c r="AE100" i="61"/>
  <c r="AF78" i="61"/>
  <c r="AF74" i="61"/>
  <c r="AF104" i="61"/>
  <c r="AI76" i="61"/>
  <c r="AE85" i="61"/>
  <c r="AA106" i="61"/>
  <c r="AA93" i="61"/>
  <c r="AB93" i="61" s="1"/>
  <c r="AL93" i="61" s="1"/>
  <c r="AA52" i="61"/>
  <c r="AD102" i="61"/>
  <c r="AJ74" i="61"/>
  <c r="AJ76" i="61"/>
  <c r="AF89" i="61"/>
  <c r="AH34" i="61"/>
  <c r="AJ36" i="61"/>
  <c r="AJ39" i="61"/>
  <c r="AJ44" i="61"/>
  <c r="AE79" i="61"/>
  <c r="AD84" i="61"/>
  <c r="AF58" i="61"/>
  <c r="AA92" i="61"/>
  <c r="AB92" i="61" s="1"/>
  <c r="AL92" i="61" s="1"/>
  <c r="AF105" i="61"/>
  <c r="AE108" i="61"/>
  <c r="AJ87" i="61"/>
  <c r="AJ51" i="61"/>
  <c r="AF81" i="61"/>
  <c r="AI78" i="61"/>
  <c r="AJ57" i="61"/>
  <c r="AH58" i="61"/>
  <c r="AJ70" i="61"/>
  <c r="AJ80" i="61"/>
  <c r="AE81" i="61"/>
  <c r="AE75" i="61"/>
  <c r="AF84" i="61"/>
  <c r="AJ98" i="61"/>
  <c r="AE106" i="61"/>
  <c r="AI74" i="61"/>
  <c r="AF85" i="61"/>
  <c r="AI89" i="61"/>
  <c r="AA49" i="61"/>
  <c r="AB49" i="61" s="1"/>
  <c r="AL49" i="61" s="1"/>
  <c r="AD101" i="61"/>
  <c r="AJ15" i="61"/>
  <c r="AE20" i="61"/>
  <c r="AJ28" i="61"/>
  <c r="AE69" i="61"/>
  <c r="AF80" i="61"/>
  <c r="AJ90" i="61"/>
  <c r="AF101" i="61"/>
  <c r="AD104" i="61"/>
  <c r="AE105" i="61"/>
  <c r="AH53" i="61"/>
  <c r="AD79" i="61"/>
  <c r="AE97" i="61"/>
  <c r="AJ16" i="61"/>
  <c r="S50" i="61"/>
  <c r="AF51" i="61"/>
  <c r="AA77" i="61"/>
  <c r="AB77" i="61" s="1"/>
  <c r="AL77" i="61" s="1"/>
  <c r="AE83" i="61"/>
  <c r="AA89" i="61"/>
  <c r="AB89" i="61" s="1"/>
  <c r="AL89" i="61" s="1"/>
  <c r="AI97" i="61"/>
  <c r="AF102" i="61"/>
  <c r="AI103" i="61"/>
  <c r="S87" i="61"/>
  <c r="AC87" i="61" s="1"/>
  <c r="AF63" i="61"/>
  <c r="AF69" i="61"/>
  <c r="AH20" i="61"/>
  <c r="AF39" i="61"/>
  <c r="AA103" i="61"/>
  <c r="AB103" i="61" s="1"/>
  <c r="AL103" i="61" s="1"/>
  <c r="AD77" i="61"/>
  <c r="AA84" i="61"/>
  <c r="AB84" i="61" s="1"/>
  <c r="AL84" i="61" s="1"/>
  <c r="AJ30" i="61"/>
  <c r="AI83" i="61"/>
  <c r="AE64" i="61"/>
  <c r="AF20" i="61"/>
  <c r="AH63" i="61"/>
  <c r="AH39" i="61"/>
  <c r="AJ59" i="61"/>
  <c r="AA100" i="61"/>
  <c r="AB33" i="61"/>
  <c r="AL33" i="61" s="1"/>
  <c r="AE58" i="61"/>
  <c r="AF76" i="61"/>
  <c r="AJ77" i="61"/>
  <c r="AE89" i="61"/>
  <c r="AH90" i="61"/>
  <c r="AE102" i="61"/>
  <c r="AB58" i="61"/>
  <c r="AL58" i="61" s="1"/>
  <c r="AC103" i="61"/>
  <c r="AJ6" i="61"/>
  <c r="AA14" i="61"/>
  <c r="AA50" i="61"/>
  <c r="S105" i="61"/>
  <c r="AC105" i="61" s="1"/>
  <c r="AJ12" i="61"/>
  <c r="AA37" i="61"/>
  <c r="AB37" i="61" s="1"/>
  <c r="AL37" i="61" s="1"/>
  <c r="S74" i="61"/>
  <c r="AC74" i="61" s="1"/>
  <c r="AJ81" i="61"/>
  <c r="AA108" i="61"/>
  <c r="AB108" i="61" s="1"/>
  <c r="AL108" i="61" s="1"/>
  <c r="AA5" i="61"/>
  <c r="AA6" i="61"/>
  <c r="AJ7" i="61"/>
  <c r="S12" i="61"/>
  <c r="AC12" i="61" s="1"/>
  <c r="AA19" i="61"/>
  <c r="AA28" i="61"/>
  <c r="AB28" i="61" s="1"/>
  <c r="AL28" i="61" s="1"/>
  <c r="AJ29" i="61"/>
  <c r="AF30" i="61"/>
  <c r="AJ41" i="61"/>
  <c r="AE43" i="61"/>
  <c r="AA47" i="61"/>
  <c r="AB47" i="61" s="1"/>
  <c r="AL47" i="61" s="1"/>
  <c r="S48" i="61"/>
  <c r="AC48" i="61" s="1"/>
  <c r="AG48" i="61" s="1"/>
  <c r="AA56" i="61"/>
  <c r="AA66" i="61"/>
  <c r="AB66" i="61" s="1"/>
  <c r="AL66" i="61" s="1"/>
  <c r="AJ71" i="61"/>
  <c r="AA75" i="61"/>
  <c r="AE84" i="61"/>
  <c r="AJ85" i="61"/>
  <c r="AA107" i="61"/>
  <c r="S19" i="61"/>
  <c r="AC19" i="61" s="1"/>
  <c r="AG19" i="61" s="1"/>
  <c r="AG28" i="61"/>
  <c r="AH30" i="61"/>
  <c r="AE18" i="61"/>
  <c r="AG18" i="61" s="1"/>
  <c r="AA86" i="61"/>
  <c r="AB86" i="61" s="1"/>
  <c r="AL86" i="61" s="1"/>
  <c r="AD93" i="61"/>
  <c r="AH106" i="61"/>
  <c r="AA16" i="61"/>
  <c r="AB16" i="61" s="1"/>
  <c r="AL16" i="61" s="1"/>
  <c r="AH18" i="61"/>
  <c r="AE60" i="61"/>
  <c r="AJ67" i="61"/>
  <c r="AB70" i="61"/>
  <c r="AL70" i="61" s="1"/>
  <c r="AA73" i="61"/>
  <c r="AH74" i="61"/>
  <c r="AI75" i="61"/>
  <c r="AH92" i="61"/>
  <c r="AF93" i="61"/>
  <c r="AH94" i="61"/>
  <c r="AA98" i="61"/>
  <c r="AE7" i="61"/>
  <c r="AD106" i="61"/>
  <c r="AA12" i="61"/>
  <c r="AF42" i="61"/>
  <c r="AG42" i="61" s="1"/>
  <c r="AA48" i="61"/>
  <c r="AF55" i="61"/>
  <c r="AG55" i="61" s="1"/>
  <c r="S65" i="61"/>
  <c r="AC65" i="61" s="1"/>
  <c r="S85" i="61"/>
  <c r="AC85" i="61" s="1"/>
  <c r="AH36" i="61"/>
  <c r="AE93" i="61"/>
  <c r="AA40" i="61"/>
  <c r="AB40" i="61" s="1"/>
  <c r="AL40" i="61" s="1"/>
  <c r="AG16" i="61"/>
  <c r="AF47" i="61"/>
  <c r="AG47" i="61" s="1"/>
  <c r="AJ55" i="61"/>
  <c r="AH56" i="61"/>
  <c r="AA59" i="61"/>
  <c r="AE65" i="61"/>
  <c r="AF71" i="61"/>
  <c r="AA80" i="61"/>
  <c r="AB80" i="61" s="1"/>
  <c r="AL80" i="61" s="1"/>
  <c r="AF98" i="61"/>
  <c r="AI99" i="61"/>
  <c r="S102" i="61"/>
  <c r="AC102" i="61" s="1"/>
  <c r="AJ105" i="61"/>
  <c r="AA51" i="61"/>
  <c r="AA42" i="61"/>
  <c r="AB42" i="61" s="1"/>
  <c r="AL42" i="61" s="1"/>
  <c r="AB18" i="61"/>
  <c r="AL18" i="61" s="1"/>
  <c r="AG36" i="61"/>
  <c r="AG37" i="61"/>
  <c r="AD95" i="61"/>
  <c r="AB34" i="61"/>
  <c r="AL34" i="61" s="1"/>
  <c r="AE74" i="61"/>
  <c r="AH28" i="61"/>
  <c r="AG34" i="61"/>
  <c r="AF57" i="61"/>
  <c r="AJ86" i="61"/>
  <c r="AH5" i="61"/>
  <c r="AH57" i="61"/>
  <c r="AB20" i="61"/>
  <c r="AL20" i="61" s="1"/>
  <c r="AJ31" i="61"/>
  <c r="AF33" i="61"/>
  <c r="AG33" i="61" s="1"/>
  <c r="AJ46" i="61"/>
  <c r="AH47" i="61"/>
  <c r="AJ50" i="61"/>
  <c r="AJ52" i="61"/>
  <c r="S53" i="61"/>
  <c r="AC53" i="61" s="1"/>
  <c r="AG53" i="61" s="1"/>
  <c r="AJ61" i="61"/>
  <c r="AH71" i="61"/>
  <c r="AF77" i="61"/>
  <c r="AH85" i="61"/>
  <c r="AD91" i="61"/>
  <c r="AF103" i="61"/>
  <c r="S6" i="61"/>
  <c r="AC6" i="61" s="1"/>
  <c r="S56" i="61"/>
  <c r="AC56" i="61" s="1"/>
  <c r="AG56" i="61" s="1"/>
  <c r="AI108" i="61"/>
  <c r="AA61" i="61"/>
  <c r="AB61" i="61" s="1"/>
  <c r="AL61" i="61" s="1"/>
  <c r="AG66" i="61"/>
  <c r="AA17" i="61"/>
  <c r="AB17" i="61" s="1"/>
  <c r="AL17" i="61" s="1"/>
  <c r="AF99" i="61"/>
  <c r="AJ42" i="61"/>
  <c r="AF12" i="61"/>
  <c r="AJ14" i="61"/>
  <c r="AE39" i="61"/>
  <c r="AF40" i="61"/>
  <c r="AG40" i="61" s="1"/>
  <c r="AE70" i="61"/>
  <c r="AG70" i="61" s="1"/>
  <c r="AE77" i="61"/>
  <c r="AD80" i="61"/>
  <c r="AI85" i="61"/>
  <c r="AA88" i="61"/>
  <c r="AJ91" i="61"/>
  <c r="AA96" i="61"/>
  <c r="AB96" i="61" s="1"/>
  <c r="AL96" i="61" s="1"/>
  <c r="AI98" i="61"/>
  <c r="AA102" i="61"/>
  <c r="AE103" i="61"/>
  <c r="AA104" i="61"/>
  <c r="AA85" i="61"/>
  <c r="AA44" i="61"/>
  <c r="AB44" i="61" s="1"/>
  <c r="AL44" i="61" s="1"/>
  <c r="S7" i="61"/>
  <c r="AC7" i="61" s="1"/>
  <c r="AF35" i="61"/>
  <c r="AG35" i="61" s="1"/>
  <c r="AB35" i="61"/>
  <c r="AL35" i="61" s="1"/>
  <c r="AF38" i="61"/>
  <c r="AG44" i="61"/>
  <c r="AF73" i="61"/>
  <c r="AJ73" i="61"/>
  <c r="AA13" i="61"/>
  <c r="AB13" i="61" s="1"/>
  <c r="AL13" i="61" s="1"/>
  <c r="AF29" i="61"/>
  <c r="AG29" i="61" s="1"/>
  <c r="AG31" i="61"/>
  <c r="AA32" i="61"/>
  <c r="S38" i="61"/>
  <c r="AC38" i="61" s="1"/>
  <c r="S73" i="61"/>
  <c r="AC73" i="61" s="1"/>
  <c r="AA83" i="61"/>
  <c r="AJ97" i="61"/>
  <c r="AH97" i="61"/>
  <c r="AF32" i="61"/>
  <c r="AF41" i="61"/>
  <c r="S41" i="61"/>
  <c r="AC41" i="61" s="1"/>
  <c r="S75" i="61"/>
  <c r="AC75" i="61" s="1"/>
  <c r="AF75" i="61"/>
  <c r="AA15" i="61"/>
  <c r="AB15" i="61" s="1"/>
  <c r="AL15" i="61" s="1"/>
  <c r="AB54" i="61"/>
  <c r="AL54" i="61" s="1"/>
  <c r="AF54" i="61"/>
  <c r="AA57" i="61"/>
  <c r="AB57" i="61" s="1"/>
  <c r="AL57" i="61" s="1"/>
  <c r="AE57" i="61"/>
  <c r="AF17" i="61"/>
  <c r="AG17" i="61" s="1"/>
  <c r="AA38" i="61"/>
  <c r="AE38" i="61"/>
  <c r="AH41" i="61"/>
  <c r="AF45" i="61"/>
  <c r="AE86" i="61"/>
  <c r="S32" i="61"/>
  <c r="AC32" i="61" s="1"/>
  <c r="AI107" i="61"/>
  <c r="AD107" i="61"/>
  <c r="AC30" i="61"/>
  <c r="AJ69" i="61"/>
  <c r="AH69" i="61"/>
  <c r="AJ13" i="61"/>
  <c r="AJ32" i="61"/>
  <c r="AJ38" i="61"/>
  <c r="AF13" i="61"/>
  <c r="AG13" i="61" s="1"/>
  <c r="AF7" i="61"/>
  <c r="AJ17" i="61"/>
  <c r="AH29" i="61"/>
  <c r="AJ35" i="61"/>
  <c r="AJ45" i="61"/>
  <c r="AJ49" i="61"/>
  <c r="AF49" i="61"/>
  <c r="AG49" i="61" s="1"/>
  <c r="AA53" i="61"/>
  <c r="AJ68" i="61"/>
  <c r="AH68" i="61"/>
  <c r="K2" i="61"/>
  <c r="AE45" i="61"/>
  <c r="AA45" i="61"/>
  <c r="AB45" i="61" s="1"/>
  <c r="AL45" i="61" s="1"/>
  <c r="AJ54" i="61"/>
  <c r="AF72" i="61"/>
  <c r="AG72" i="61" s="1"/>
  <c r="AB72" i="61"/>
  <c r="AL72" i="61" s="1"/>
  <c r="AC101" i="61"/>
  <c r="AJ108" i="61"/>
  <c r="AF108" i="61"/>
  <c r="AA29" i="61"/>
  <c r="AB29" i="61" s="1"/>
  <c r="AL29" i="61" s="1"/>
  <c r="AH37" i="61"/>
  <c r="AB46" i="61"/>
  <c r="AL46" i="61" s="1"/>
  <c r="S67" i="61"/>
  <c r="AC67" i="61" s="1"/>
  <c r="AF67" i="61"/>
  <c r="AJ79" i="61"/>
  <c r="AF91" i="61"/>
  <c r="AF95" i="61"/>
  <c r="AI96" i="61"/>
  <c r="AF96" i="61"/>
  <c r="AD96" i="61"/>
  <c r="S5" i="61"/>
  <c r="AC5" i="61" s="1"/>
  <c r="AG5" i="61" s="1"/>
  <c r="AF6" i="61"/>
  <c r="S14" i="61"/>
  <c r="AC14" i="61" s="1"/>
  <c r="AG14" i="61" s="1"/>
  <c r="AF15" i="61"/>
  <c r="AG15" i="61" s="1"/>
  <c r="AH16" i="61"/>
  <c r="AB36" i="61"/>
  <c r="AL36" i="61" s="1"/>
  <c r="AJ43" i="61"/>
  <c r="AG46" i="61"/>
  <c r="S51" i="61"/>
  <c r="AC51" i="61" s="1"/>
  <c r="AE54" i="61"/>
  <c r="AA55" i="61"/>
  <c r="AB55" i="61" s="1"/>
  <c r="AL55" i="61" s="1"/>
  <c r="S59" i="61"/>
  <c r="AC59" i="61" s="1"/>
  <c r="AG59" i="61" s="1"/>
  <c r="AJ65" i="61"/>
  <c r="AH65" i="61"/>
  <c r="AA76" i="61"/>
  <c r="AB76" i="61" s="1"/>
  <c r="AL76" i="61" s="1"/>
  <c r="AE76" i="61"/>
  <c r="AF79" i="61"/>
  <c r="S79" i="61"/>
  <c r="AC79" i="61" s="1"/>
  <c r="S88" i="61"/>
  <c r="AC88" i="61" s="1"/>
  <c r="AF88" i="61"/>
  <c r="AA71" i="61"/>
  <c r="AB71" i="61" s="1"/>
  <c r="AL71" i="61" s="1"/>
  <c r="AE71" i="61"/>
  <c r="AH100" i="61"/>
  <c r="AJ100" i="61"/>
  <c r="AJ66" i="61"/>
  <c r="AH66" i="61"/>
  <c r="AA101" i="61"/>
  <c r="AB101" i="61" s="1"/>
  <c r="AL101" i="61" s="1"/>
  <c r="AE101" i="61"/>
  <c r="AH19" i="61"/>
  <c r="AH44" i="61"/>
  <c r="S60" i="61"/>
  <c r="AJ60" i="61"/>
  <c r="AF61" i="61"/>
  <c r="AG61" i="61" s="1"/>
  <c r="AF62" i="61"/>
  <c r="AG62" i="61" s="1"/>
  <c r="AA67" i="61"/>
  <c r="AF68" i="61"/>
  <c r="AD73" i="61"/>
  <c r="S78" i="61"/>
  <c r="AI90" i="61"/>
  <c r="AF90" i="61"/>
  <c r="AA91" i="61"/>
  <c r="AB91" i="61" s="1"/>
  <c r="AL91" i="61" s="1"/>
  <c r="AE91" i="61"/>
  <c r="AI94" i="61"/>
  <c r="AF94" i="61"/>
  <c r="AA95" i="61"/>
  <c r="AB95" i="61" s="1"/>
  <c r="AL95" i="61" s="1"/>
  <c r="AE95" i="61"/>
  <c r="AE98" i="61"/>
  <c r="AE99" i="61"/>
  <c r="AA99" i="61"/>
  <c r="AB99" i="61" s="1"/>
  <c r="AL99" i="61" s="1"/>
  <c r="AJ40" i="61"/>
  <c r="AE41" i="61"/>
  <c r="AJ48" i="61"/>
  <c r="AH48" i="61"/>
  <c r="S52" i="61"/>
  <c r="AC52" i="61" s="1"/>
  <c r="AG52" i="61" s="1"/>
  <c r="S82" i="61"/>
  <c r="AC82" i="61" s="1"/>
  <c r="AF82" i="61"/>
  <c r="AJ82" i="61"/>
  <c r="AJ83" i="61"/>
  <c r="AH83" i="61"/>
  <c r="AA90" i="61"/>
  <c r="AB90" i="61" s="1"/>
  <c r="AL90" i="61" s="1"/>
  <c r="AE90" i="61"/>
  <c r="AA94" i="61"/>
  <c r="AB94" i="61" s="1"/>
  <c r="AL94" i="61" s="1"/>
  <c r="AE94" i="61"/>
  <c r="AA68" i="61"/>
  <c r="AB68" i="61" s="1"/>
  <c r="AL68" i="61" s="1"/>
  <c r="AE68" i="61"/>
  <c r="AJ95" i="61"/>
  <c r="AH95" i="61"/>
  <c r="S104" i="61"/>
  <c r="AC104" i="61" s="1"/>
  <c r="AA30" i="61"/>
  <c r="AB30" i="61" s="1"/>
  <c r="AL30" i="61" s="1"/>
  <c r="S43" i="61"/>
  <c r="AA62" i="61"/>
  <c r="AB62" i="61" s="1"/>
  <c r="AL62" i="61" s="1"/>
  <c r="AA81" i="61"/>
  <c r="AB81" i="61" s="1"/>
  <c r="AL81" i="61" s="1"/>
  <c r="AI82" i="61"/>
  <c r="AD82" i="61"/>
  <c r="S83" i="61"/>
  <c r="AC83" i="61" s="1"/>
  <c r="AF83" i="61"/>
  <c r="AH96" i="61"/>
  <c r="AB39" i="61"/>
  <c r="AL39" i="61" s="1"/>
  <c r="AB31" i="61"/>
  <c r="AL31" i="61" s="1"/>
  <c r="AA82" i="61"/>
  <c r="AI86" i="61"/>
  <c r="AF86" i="61"/>
  <c r="AD86" i="61"/>
  <c r="AA87" i="61"/>
  <c r="AE87" i="61"/>
  <c r="AE88" i="61"/>
  <c r="AE92" i="61"/>
  <c r="AJ62" i="61"/>
  <c r="AD87" i="61"/>
  <c r="AH89" i="61"/>
  <c r="AH93" i="61"/>
  <c r="AJ102" i="61"/>
  <c r="AJ75" i="61"/>
  <c r="AI92" i="61"/>
  <c r="AF92" i="61"/>
  <c r="AF97" i="61"/>
  <c r="AJ64" i="61"/>
  <c r="AA79" i="61"/>
  <c r="AD100" i="61"/>
  <c r="AJ103" i="61"/>
  <c r="AD105" i="61"/>
  <c r="S106" i="61"/>
  <c r="AF106" i="61"/>
  <c r="AB69" i="61"/>
  <c r="AL69" i="61" s="1"/>
  <c r="AA74" i="61"/>
  <c r="AF87" i="61"/>
  <c r="AF100" i="61"/>
  <c r="AA105" i="61"/>
  <c r="AA63" i="61"/>
  <c r="AB63" i="61" s="1"/>
  <c r="AL63" i="61" s="1"/>
  <c r="AE63" i="61"/>
  <c r="AF107" i="61"/>
  <c r="AJ107" i="61"/>
  <c r="S64" i="61"/>
  <c r="AJ72" i="61"/>
  <c r="AJ78" i="61"/>
  <c r="AD81" i="61"/>
  <c r="AI87" i="61"/>
  <c r="AD88" i="61"/>
  <c r="AD92" i="61"/>
  <c r="AE96" i="61"/>
  <c r="S98" i="61"/>
  <c r="AJ99" i="61"/>
  <c r="AJ104" i="61"/>
  <c r="S107" i="61"/>
  <c r="AC107" i="61" s="1"/>
  <c r="AE78" i="61"/>
  <c r="S100" i="61"/>
  <c r="AC100" i="61" s="1"/>
  <c r="AE104" i="61"/>
  <c r="AH84" i="61"/>
  <c r="AH101" i="61"/>
  <c r="AB105" i="61" l="1"/>
  <c r="AL105" i="61" s="1"/>
  <c r="AB102" i="61"/>
  <c r="AL102" i="61" s="1"/>
  <c r="AB12" i="61"/>
  <c r="AL12" i="61" s="1"/>
  <c r="AG12" i="61"/>
  <c r="AG71" i="61"/>
  <c r="AG39" i="61"/>
  <c r="AB65" i="61"/>
  <c r="AL65" i="61" s="1"/>
  <c r="AG69" i="61"/>
  <c r="R7" i="63"/>
  <c r="M13" i="65" s="1"/>
  <c r="K13" i="65"/>
  <c r="J4" i="63"/>
  <c r="K8" i="65"/>
  <c r="M8" i="65" s="1"/>
  <c r="D15" i="63" a="1"/>
  <c r="D15" i="63" s="1"/>
  <c r="R4" i="63"/>
  <c r="L13" i="65"/>
  <c r="L10" i="65"/>
  <c r="AG74" i="61"/>
  <c r="AG108" i="61"/>
  <c r="AG95" i="61"/>
  <c r="AG89" i="61"/>
  <c r="AB83" i="61"/>
  <c r="AL83" i="61" s="1"/>
  <c r="AB7" i="61"/>
  <c r="AL7" i="61" s="1"/>
  <c r="AG80" i="61"/>
  <c r="AB88" i="61"/>
  <c r="AL88" i="61" s="1"/>
  <c r="AG51" i="61"/>
  <c r="AB75" i="61"/>
  <c r="AL75" i="61" s="1"/>
  <c r="AG58" i="61"/>
  <c r="AG57" i="61"/>
  <c r="AG85" i="61"/>
  <c r="AG73" i="61"/>
  <c r="AB59" i="61"/>
  <c r="AL59" i="61" s="1"/>
  <c r="AB85" i="61"/>
  <c r="AL85" i="61" s="1"/>
  <c r="AG84" i="61"/>
  <c r="AB19" i="61"/>
  <c r="AL19" i="61" s="1"/>
  <c r="AG68" i="61"/>
  <c r="AG65" i="61"/>
  <c r="AG81" i="61"/>
  <c r="AG90" i="61"/>
  <c r="AB50" i="61"/>
  <c r="AL50" i="61" s="1"/>
  <c r="AG20" i="61"/>
  <c r="AG103" i="61"/>
  <c r="AG45" i="61"/>
  <c r="AG91" i="61"/>
  <c r="AG93" i="61"/>
  <c r="AG76" i="61"/>
  <c r="AC50" i="61"/>
  <c r="AG50" i="61" s="1"/>
  <c r="AG97" i="61"/>
  <c r="AB87" i="61"/>
  <c r="AL87" i="61" s="1"/>
  <c r="AG94" i="61"/>
  <c r="AG99" i="61"/>
  <c r="AG102" i="61"/>
  <c r="AB56" i="61"/>
  <c r="AL56" i="61" s="1"/>
  <c r="AG63" i="61"/>
  <c r="AG105" i="61"/>
  <c r="AG104" i="61"/>
  <c r="AG54" i="61"/>
  <c r="AG96" i="61"/>
  <c r="AG77" i="61"/>
  <c r="AB38" i="61"/>
  <c r="AL38" i="61" s="1"/>
  <c r="AB82" i="61"/>
  <c r="AL82" i="61" s="1"/>
  <c r="AB79" i="61"/>
  <c r="AL79" i="61" s="1"/>
  <c r="AG92" i="61"/>
  <c r="AG86" i="61"/>
  <c r="AB74" i="61"/>
  <c r="AL74" i="61" s="1"/>
  <c r="AG30" i="61"/>
  <c r="AG83" i="61"/>
  <c r="AB32" i="61"/>
  <c r="AL32" i="61" s="1"/>
  <c r="AB5" i="61"/>
  <c r="AL5" i="61" s="1"/>
  <c r="AG107" i="61"/>
  <c r="AG6" i="61"/>
  <c r="AB48" i="61"/>
  <c r="AL48" i="61" s="1"/>
  <c r="AG87" i="61"/>
  <c r="AB6" i="61"/>
  <c r="AL6" i="61" s="1"/>
  <c r="AG7" i="61"/>
  <c r="AB53" i="61"/>
  <c r="AL53" i="61" s="1"/>
  <c r="AB51" i="61"/>
  <c r="AL51" i="61" s="1"/>
  <c r="Q2" i="61"/>
  <c r="G2" i="61" s="1"/>
  <c r="AC43" i="61"/>
  <c r="AG43" i="61" s="1"/>
  <c r="AB43" i="61"/>
  <c r="AL43" i="61" s="1"/>
  <c r="AB52" i="61"/>
  <c r="AL52" i="61" s="1"/>
  <c r="AB64" i="61"/>
  <c r="AL64" i="61" s="1"/>
  <c r="AC64" i="61"/>
  <c r="AG64" i="61" s="1"/>
  <c r="AB100" i="61"/>
  <c r="AL100" i="61" s="1"/>
  <c r="AI3" i="61"/>
  <c r="L2" i="61"/>
  <c r="AG75" i="61"/>
  <c r="AG38" i="61"/>
  <c r="AB14" i="61"/>
  <c r="AL14" i="61" s="1"/>
  <c r="R2" i="61"/>
  <c r="AB104" i="61"/>
  <c r="AL104" i="61" s="1"/>
  <c r="AG32" i="61"/>
  <c r="AB73" i="61"/>
  <c r="AL73" i="61" s="1"/>
  <c r="AH3" i="61"/>
  <c r="E2" i="61" s="1"/>
  <c r="AB106" i="61"/>
  <c r="AL106" i="61" s="1"/>
  <c r="AC106" i="61"/>
  <c r="AG106" i="61" s="1"/>
  <c r="AG67" i="61"/>
  <c r="AC60" i="61"/>
  <c r="AG60" i="61" s="1"/>
  <c r="AB60" i="61"/>
  <c r="AL60" i="61" s="1"/>
  <c r="AC78" i="61"/>
  <c r="AG78" i="61" s="1"/>
  <c r="AB78" i="61"/>
  <c r="AL78" i="61" s="1"/>
  <c r="AG88" i="61"/>
  <c r="AG100" i="61"/>
  <c r="AG82" i="61"/>
  <c r="AG101" i="61"/>
  <c r="AJ3" i="61"/>
  <c r="AB41" i="61"/>
  <c r="AL41" i="61" s="1"/>
  <c r="AB98" i="61"/>
  <c r="AL98" i="61" s="1"/>
  <c r="AC98" i="61"/>
  <c r="AG98" i="61" s="1"/>
  <c r="AG41" i="61"/>
  <c r="AB107" i="61"/>
  <c r="AL107" i="61" s="1"/>
  <c r="AG79" i="61"/>
  <c r="AB67" i="61"/>
  <c r="AL67" i="61" s="1"/>
  <c r="M10" i="65" l="1"/>
  <c r="AL3" i="61"/>
  <c r="G1" i="61" s="1"/>
  <c r="P2" i="61"/>
  <c r="E1" i="61"/>
  <c r="AG2" i="61"/>
  <c r="E17" i="47" l="1"/>
  <c r="D16" i="47"/>
  <c r="E18" i="47"/>
  <c r="E19" i="47"/>
  <c r="E20" i="47"/>
  <c r="E21" i="47"/>
  <c r="E22" i="47"/>
  <c r="E23" i="47"/>
  <c r="E24" i="47"/>
  <c r="E25" i="47"/>
  <c r="E16" i="47"/>
  <c r="P8" i="63" l="1"/>
  <c r="R8" i="63" l="1"/>
  <c r="M14" i="65" s="1"/>
  <c r="K14" i="65"/>
  <c r="F14" i="65"/>
  <c r="L14" i="65" l="1"/>
  <c r="E68" i="57" l="1"/>
  <c r="E67" i="57"/>
  <c r="E66" i="57"/>
  <c r="E65" i="57"/>
  <c r="E64" i="57"/>
  <c r="E63" i="57"/>
  <c r="E62" i="57"/>
  <c r="AI61" i="57"/>
  <c r="AE61" i="57"/>
  <c r="AD61" i="57"/>
  <c r="AC61" i="57"/>
  <c r="AA61" i="57"/>
  <c r="O61" i="57"/>
  <c r="AF61" i="57" s="1"/>
  <c r="K61" i="57"/>
  <c r="E61" i="57"/>
  <c r="AI60" i="57"/>
  <c r="AE60" i="57"/>
  <c r="AD60" i="57"/>
  <c r="AC60" i="57"/>
  <c r="AA60" i="57"/>
  <c r="O60" i="57"/>
  <c r="K60" i="57"/>
  <c r="AH60" i="57" s="1"/>
  <c r="E60" i="57"/>
  <c r="AI59" i="57"/>
  <c r="AE59" i="57"/>
  <c r="AD59" i="57"/>
  <c r="AC59" i="57"/>
  <c r="AA59" i="57"/>
  <c r="O59" i="57"/>
  <c r="K59" i="57"/>
  <c r="E59" i="57"/>
  <c r="AI58" i="57"/>
  <c r="AE58" i="57"/>
  <c r="AD58" i="57"/>
  <c r="AC58" i="57"/>
  <c r="AA58" i="57"/>
  <c r="O58" i="57"/>
  <c r="AF58" i="57" s="1"/>
  <c r="K58" i="57"/>
  <c r="E58" i="57"/>
  <c r="AI57" i="57"/>
  <c r="AE57" i="57"/>
  <c r="AD57" i="57"/>
  <c r="AC57" i="57"/>
  <c r="AA57" i="57"/>
  <c r="O57" i="57"/>
  <c r="AF57" i="57" s="1"/>
  <c r="K57" i="57"/>
  <c r="AH57" i="57" s="1"/>
  <c r="E57" i="57"/>
  <c r="AI56" i="57"/>
  <c r="AE56" i="57"/>
  <c r="AD56" i="57"/>
  <c r="AC56" i="57"/>
  <c r="AA56" i="57"/>
  <c r="O56" i="57"/>
  <c r="AF56" i="57" s="1"/>
  <c r="K56" i="57"/>
  <c r="AH56" i="57" s="1"/>
  <c r="E56" i="57"/>
  <c r="AI55" i="57"/>
  <c r="AE55" i="57"/>
  <c r="AD55" i="57"/>
  <c r="AC55" i="57"/>
  <c r="AA55" i="57"/>
  <c r="O55" i="57"/>
  <c r="AF55" i="57" s="1"/>
  <c r="K55" i="57"/>
  <c r="AH55" i="57" s="1"/>
  <c r="E55" i="57"/>
  <c r="AI54" i="57"/>
  <c r="AE54" i="57"/>
  <c r="AD54" i="57"/>
  <c r="AC54" i="57"/>
  <c r="AA54" i="57"/>
  <c r="O54" i="57"/>
  <c r="K54" i="57"/>
  <c r="AH54" i="57" s="1"/>
  <c r="E54" i="57"/>
  <c r="AI53" i="57"/>
  <c r="AF53" i="57"/>
  <c r="AE53" i="57"/>
  <c r="AD53" i="57"/>
  <c r="AC53" i="57"/>
  <c r="AA53" i="57"/>
  <c r="AB53" i="57" s="1"/>
  <c r="K53" i="57"/>
  <c r="AH53" i="57" s="1"/>
  <c r="E53" i="57"/>
  <c r="AI52" i="57"/>
  <c r="AE52" i="57"/>
  <c r="AD52" i="57"/>
  <c r="AC52" i="57"/>
  <c r="AA52" i="57"/>
  <c r="O52" i="57"/>
  <c r="AF52" i="57" s="1"/>
  <c r="K52" i="57"/>
  <c r="AH52" i="57" s="1"/>
  <c r="E52" i="57"/>
  <c r="AI51" i="57"/>
  <c r="AE51" i="57"/>
  <c r="AD51" i="57"/>
  <c r="AC51" i="57"/>
  <c r="AA51" i="57"/>
  <c r="O51" i="57"/>
  <c r="K51" i="57"/>
  <c r="AH51" i="57" s="1"/>
  <c r="E51" i="57"/>
  <c r="AI50" i="57"/>
  <c r="AE50" i="57"/>
  <c r="AD50" i="57"/>
  <c r="AC50" i="57"/>
  <c r="AA50" i="57"/>
  <c r="O50" i="57"/>
  <c r="AF50" i="57" s="1"/>
  <c r="K50" i="57"/>
  <c r="AH50" i="57" s="1"/>
  <c r="E50" i="57"/>
  <c r="AI49" i="57"/>
  <c r="AE49" i="57"/>
  <c r="AD49" i="57"/>
  <c r="AC49" i="57"/>
  <c r="AA49" i="57"/>
  <c r="O49" i="57"/>
  <c r="AF49" i="57" s="1"/>
  <c r="K49" i="57"/>
  <c r="E49" i="57"/>
  <c r="AI48" i="57"/>
  <c r="AE48" i="57"/>
  <c r="AD48" i="57"/>
  <c r="AC48" i="57"/>
  <c r="AA48" i="57"/>
  <c r="O48" i="57"/>
  <c r="AF48" i="57" s="1"/>
  <c r="K48" i="57"/>
  <c r="AH48" i="57" s="1"/>
  <c r="E48" i="57"/>
  <c r="AI47" i="57"/>
  <c r="AE47" i="57"/>
  <c r="AD47" i="57"/>
  <c r="AC47" i="57"/>
  <c r="AA47" i="57"/>
  <c r="O47" i="57"/>
  <c r="K47" i="57"/>
  <c r="AH47" i="57" s="1"/>
  <c r="E47" i="57"/>
  <c r="AI46" i="57"/>
  <c r="AE46" i="57"/>
  <c r="AD46" i="57"/>
  <c r="AC46" i="57"/>
  <c r="AA46" i="57"/>
  <c r="O46" i="57"/>
  <c r="K46" i="57"/>
  <c r="E46" i="57"/>
  <c r="AI45" i="57"/>
  <c r="AE45" i="57"/>
  <c r="AD45" i="57"/>
  <c r="AC45" i="57"/>
  <c r="AA45" i="57"/>
  <c r="O45" i="57"/>
  <c r="AF45" i="57" s="1"/>
  <c r="K45" i="57"/>
  <c r="E45" i="57"/>
  <c r="AI44" i="57"/>
  <c r="AE44" i="57"/>
  <c r="AD44" i="57"/>
  <c r="AC44" i="57"/>
  <c r="AA44" i="57"/>
  <c r="O44" i="57"/>
  <c r="K44" i="57"/>
  <c r="AH44" i="57" s="1"/>
  <c r="E44" i="57"/>
  <c r="AI43" i="57"/>
  <c r="AE43" i="57"/>
  <c r="AD43" i="57"/>
  <c r="AC43" i="57"/>
  <c r="AA43" i="57"/>
  <c r="O43" i="57"/>
  <c r="K43" i="57"/>
  <c r="AH43" i="57" s="1"/>
  <c r="E43" i="57"/>
  <c r="AI42" i="57"/>
  <c r="AE42" i="57"/>
  <c r="AD42" i="57"/>
  <c r="AC42" i="57"/>
  <c r="AA42" i="57"/>
  <c r="O42" i="57"/>
  <c r="K42" i="57"/>
  <c r="AH42" i="57" s="1"/>
  <c r="E42" i="57"/>
  <c r="AI41" i="57"/>
  <c r="AE41" i="57"/>
  <c r="AD41" i="57"/>
  <c r="AC41" i="57"/>
  <c r="AA41" i="57"/>
  <c r="O41" i="57"/>
  <c r="AF41" i="57" s="1"/>
  <c r="K41" i="57"/>
  <c r="AH41" i="57" s="1"/>
  <c r="E41" i="57"/>
  <c r="AI36" i="57"/>
  <c r="AE36" i="57"/>
  <c r="AD36" i="57"/>
  <c r="AC36" i="57"/>
  <c r="AA36" i="57"/>
  <c r="O36" i="57"/>
  <c r="AF36" i="57" s="1"/>
  <c r="K36" i="57"/>
  <c r="AH36" i="57" s="1"/>
  <c r="E36" i="57"/>
  <c r="AI35" i="57"/>
  <c r="AE35" i="57"/>
  <c r="AD35" i="57"/>
  <c r="AC35" i="57"/>
  <c r="AA35" i="57"/>
  <c r="O35" i="57"/>
  <c r="K35" i="57"/>
  <c r="AH35" i="57" s="1"/>
  <c r="E35" i="57"/>
  <c r="AI34" i="57"/>
  <c r="AE34" i="57"/>
  <c r="AD34" i="57"/>
  <c r="AC34" i="57"/>
  <c r="AA34" i="57"/>
  <c r="O34" i="57"/>
  <c r="K34" i="57"/>
  <c r="AH34" i="57" s="1"/>
  <c r="E34" i="57"/>
  <c r="AI33" i="57"/>
  <c r="AE33" i="57"/>
  <c r="AD33" i="57"/>
  <c r="AC33" i="57"/>
  <c r="AA33" i="57"/>
  <c r="O33" i="57"/>
  <c r="AF33" i="57" s="1"/>
  <c r="K33" i="57"/>
  <c r="AH33" i="57" s="1"/>
  <c r="E33" i="57"/>
  <c r="AI32" i="57"/>
  <c r="AE32" i="57"/>
  <c r="AD32" i="57"/>
  <c r="AC32" i="57"/>
  <c r="AA32" i="57"/>
  <c r="O32" i="57"/>
  <c r="K32" i="57"/>
  <c r="E32" i="57"/>
  <c r="AI31" i="57"/>
  <c r="AE31" i="57"/>
  <c r="AD31" i="57"/>
  <c r="AC31" i="57"/>
  <c r="AA31" i="57"/>
  <c r="O31" i="57"/>
  <c r="AF31" i="57" s="1"/>
  <c r="K31" i="57"/>
  <c r="E31" i="57"/>
  <c r="AI30" i="57"/>
  <c r="AE30" i="57"/>
  <c r="AD30" i="57"/>
  <c r="AC30" i="57"/>
  <c r="AA30" i="57"/>
  <c r="O30" i="57"/>
  <c r="AF30" i="57" s="1"/>
  <c r="K30" i="57"/>
  <c r="E30" i="57"/>
  <c r="AI29" i="57"/>
  <c r="AE29" i="57"/>
  <c r="AD29" i="57"/>
  <c r="AC29" i="57"/>
  <c r="AA29" i="57"/>
  <c r="O29" i="57"/>
  <c r="AF29" i="57" s="1"/>
  <c r="K29" i="57"/>
  <c r="AH29" i="57" s="1"/>
  <c r="E29" i="57"/>
  <c r="AI28" i="57"/>
  <c r="AE28" i="57"/>
  <c r="AD28" i="57"/>
  <c r="AC28" i="57"/>
  <c r="AA28" i="57"/>
  <c r="O28" i="57"/>
  <c r="K28" i="57"/>
  <c r="E28" i="57"/>
  <c r="AI27" i="57"/>
  <c r="AE27" i="57"/>
  <c r="AD27" i="57"/>
  <c r="AA27" i="57"/>
  <c r="O27" i="57"/>
  <c r="S27" i="57" s="1"/>
  <c r="AC27" i="57" s="1"/>
  <c r="K27" i="57"/>
  <c r="E27" i="57"/>
  <c r="AI26" i="57"/>
  <c r="AE26" i="57"/>
  <c r="AD26" i="57"/>
  <c r="AA26" i="57"/>
  <c r="O26" i="57"/>
  <c r="AF26" i="57" s="1"/>
  <c r="K26" i="57"/>
  <c r="E26" i="57"/>
  <c r="AI25" i="57"/>
  <c r="AD25" i="57"/>
  <c r="Z25" i="57"/>
  <c r="AE25" i="57" s="1"/>
  <c r="O25" i="57"/>
  <c r="AF25" i="57" s="1"/>
  <c r="K25" i="57"/>
  <c r="E25" i="57"/>
  <c r="AI24" i="57"/>
  <c r="AE24" i="57"/>
  <c r="AD24" i="57"/>
  <c r="AC24" i="57"/>
  <c r="AA24" i="57"/>
  <c r="O24" i="57"/>
  <c r="K24" i="57"/>
  <c r="E24" i="57"/>
  <c r="AI23" i="57"/>
  <c r="AE23" i="57"/>
  <c r="AD23" i="57"/>
  <c r="AC23" i="57"/>
  <c r="AA23" i="57"/>
  <c r="O23" i="57"/>
  <c r="AF23" i="57" s="1"/>
  <c r="K23" i="57"/>
  <c r="E23" i="57"/>
  <c r="AI22" i="57"/>
  <c r="AD22" i="57"/>
  <c r="Z22" i="57"/>
  <c r="O22" i="57"/>
  <c r="AF22" i="57" s="1"/>
  <c r="K22" i="57"/>
  <c r="E22" i="57"/>
  <c r="AI21" i="57"/>
  <c r="AD21" i="57"/>
  <c r="Z21" i="57"/>
  <c r="AA21" i="57" s="1"/>
  <c r="O21" i="57"/>
  <c r="AF21" i="57" s="1"/>
  <c r="K21" i="57"/>
  <c r="AH21" i="57" s="1"/>
  <c r="E21" i="57"/>
  <c r="AI20" i="57"/>
  <c r="AD20" i="57"/>
  <c r="Z20" i="57"/>
  <c r="AA20" i="57" s="1"/>
  <c r="O20" i="57"/>
  <c r="AF20" i="57" s="1"/>
  <c r="K20" i="57"/>
  <c r="AH20" i="57" s="1"/>
  <c r="E20" i="57"/>
  <c r="AI19" i="57"/>
  <c r="AD19" i="57"/>
  <c r="Z19" i="57"/>
  <c r="AE19" i="57" s="1"/>
  <c r="O19" i="57"/>
  <c r="S19" i="57" s="1"/>
  <c r="AC19" i="57" s="1"/>
  <c r="K19" i="57"/>
  <c r="AH19" i="57" s="1"/>
  <c r="E19" i="57"/>
  <c r="AI18" i="57"/>
  <c r="AD18" i="57"/>
  <c r="Z18" i="57"/>
  <c r="AE18" i="57" s="1"/>
  <c r="O18" i="57"/>
  <c r="K18" i="57"/>
  <c r="AH18" i="57" s="1"/>
  <c r="E18" i="57"/>
  <c r="AI17" i="57"/>
  <c r="AD17" i="57"/>
  <c r="Z17" i="57"/>
  <c r="O17" i="57"/>
  <c r="S17" i="57" s="1"/>
  <c r="K17" i="57"/>
  <c r="E17" i="57"/>
  <c r="AI16" i="57"/>
  <c r="AE16" i="57"/>
  <c r="AD16" i="57"/>
  <c r="AC16" i="57"/>
  <c r="AA16" i="57"/>
  <c r="O16" i="57"/>
  <c r="K16" i="57"/>
  <c r="AH16" i="57" s="1"/>
  <c r="E16" i="57"/>
  <c r="AI15" i="57"/>
  <c r="AE15" i="57"/>
  <c r="AD15" i="57"/>
  <c r="AC15" i="57"/>
  <c r="AA15" i="57"/>
  <c r="O15" i="57"/>
  <c r="K15" i="57"/>
  <c r="E15" i="57"/>
  <c r="AI14" i="57"/>
  <c r="AE14" i="57"/>
  <c r="AD14" i="57"/>
  <c r="AC14" i="57"/>
  <c r="AA14" i="57"/>
  <c r="O14" i="57"/>
  <c r="AF14" i="57" s="1"/>
  <c r="K14" i="57"/>
  <c r="E14" i="57"/>
  <c r="AI13" i="57"/>
  <c r="AE13" i="57"/>
  <c r="AD13" i="57"/>
  <c r="AC13" i="57"/>
  <c r="AA13" i="57"/>
  <c r="O13" i="57"/>
  <c r="K13" i="57"/>
  <c r="E13" i="57"/>
  <c r="AI12" i="57"/>
  <c r="AD12" i="57"/>
  <c r="Z12" i="57"/>
  <c r="AA12" i="57" s="1"/>
  <c r="O12" i="57"/>
  <c r="AF12" i="57" s="1"/>
  <c r="K12" i="57"/>
  <c r="E12" i="57"/>
  <c r="AI11" i="57"/>
  <c r="AD11" i="57"/>
  <c r="Z11" i="57"/>
  <c r="AE11" i="57" s="1"/>
  <c r="O11" i="57"/>
  <c r="S11" i="57" s="1"/>
  <c r="AC11" i="57" s="1"/>
  <c r="K11" i="57"/>
  <c r="AH11" i="57" s="1"/>
  <c r="E11" i="57"/>
  <c r="AI10" i="57"/>
  <c r="AD10" i="57"/>
  <c r="Z10" i="57"/>
  <c r="O10" i="57"/>
  <c r="S10" i="57" s="1"/>
  <c r="AC10" i="57" s="1"/>
  <c r="K10" i="57"/>
  <c r="AH10" i="57" s="1"/>
  <c r="E10" i="57"/>
  <c r="AI9" i="57"/>
  <c r="AD9" i="57"/>
  <c r="Z9" i="57"/>
  <c r="O9" i="57"/>
  <c r="AF9" i="57" s="1"/>
  <c r="K9" i="57"/>
  <c r="E9" i="57"/>
  <c r="AI8" i="57"/>
  <c r="AD8" i="57"/>
  <c r="Z8" i="57"/>
  <c r="AE8" i="57" s="1"/>
  <c r="O8" i="57"/>
  <c r="AF8" i="57" s="1"/>
  <c r="K8" i="57"/>
  <c r="AH8" i="57" s="1"/>
  <c r="E8" i="57"/>
  <c r="AI7" i="57"/>
  <c r="AD7" i="57"/>
  <c r="Z7" i="57"/>
  <c r="AA7" i="57" s="1"/>
  <c r="O7" i="57"/>
  <c r="AF7" i="57" s="1"/>
  <c r="K7" i="57"/>
  <c r="AH7" i="57" s="1"/>
  <c r="E7" i="57"/>
  <c r="AI6" i="57"/>
  <c r="AD6" i="57"/>
  <c r="Z6" i="57"/>
  <c r="AA6" i="57" s="1"/>
  <c r="O6" i="57"/>
  <c r="AF6" i="57" s="1"/>
  <c r="K6" i="57"/>
  <c r="E6" i="57"/>
  <c r="AI5" i="57"/>
  <c r="AD5" i="57"/>
  <c r="Z5" i="57"/>
  <c r="AE5" i="57" s="1"/>
  <c r="O5" i="57"/>
  <c r="S5" i="57" s="1"/>
  <c r="AC5" i="57" s="1"/>
  <c r="K5" i="57"/>
  <c r="E5" i="57"/>
  <c r="I2" i="57"/>
  <c r="AB59" i="57" l="1"/>
  <c r="F12" i="65"/>
  <c r="P6" i="63"/>
  <c r="AJ14" i="57"/>
  <c r="AJ28" i="57"/>
  <c r="AB28" i="57"/>
  <c r="AL28" i="57" s="1"/>
  <c r="AB34" i="57"/>
  <c r="AL34" i="57" s="1"/>
  <c r="AJ13" i="57"/>
  <c r="AJ25" i="57"/>
  <c r="AJ45" i="57"/>
  <c r="AB24" i="57"/>
  <c r="AL24" i="57" s="1"/>
  <c r="AB32" i="57"/>
  <c r="AL32" i="57" s="1"/>
  <c r="AJ59" i="57"/>
  <c r="AB47" i="57"/>
  <c r="AL47" i="57" s="1"/>
  <c r="AH25" i="57"/>
  <c r="AJ54" i="57"/>
  <c r="AJ12" i="57"/>
  <c r="AG45" i="57"/>
  <c r="AG58" i="57"/>
  <c r="AJ26" i="57"/>
  <c r="AF17" i="57"/>
  <c r="AJ35" i="57"/>
  <c r="AJ50" i="57"/>
  <c r="AJ11" i="57"/>
  <c r="AJ15" i="57"/>
  <c r="AJ41" i="57"/>
  <c r="AB54" i="57"/>
  <c r="AL54" i="57" s="1"/>
  <c r="AJ16" i="57"/>
  <c r="AG49" i="57"/>
  <c r="AJ6" i="57"/>
  <c r="AB15" i="57"/>
  <c r="AL15" i="57" s="1"/>
  <c r="AJ27" i="57"/>
  <c r="AB29" i="57"/>
  <c r="AL29" i="57" s="1"/>
  <c r="AF34" i="57"/>
  <c r="AG34" i="57" s="1"/>
  <c r="AJ60" i="57"/>
  <c r="AJ9" i="57"/>
  <c r="AJ21" i="57"/>
  <c r="AJ33" i="57"/>
  <c r="AB48" i="57"/>
  <c r="AL48" i="57" s="1"/>
  <c r="AG48" i="57"/>
  <c r="AF16" i="57"/>
  <c r="AG16" i="57" s="1"/>
  <c r="AG29" i="57"/>
  <c r="AJ8" i="57"/>
  <c r="S20" i="57"/>
  <c r="AC20" i="57" s="1"/>
  <c r="AJ56" i="57"/>
  <c r="AJ48" i="57"/>
  <c r="AF54" i="57"/>
  <c r="AG54" i="57" s="1"/>
  <c r="AE21" i="57"/>
  <c r="AH15" i="57"/>
  <c r="AB13" i="57"/>
  <c r="AL13" i="57" s="1"/>
  <c r="AJ22" i="57"/>
  <c r="AB46" i="57"/>
  <c r="AL46" i="57" s="1"/>
  <c r="AB45" i="57"/>
  <c r="AL45" i="57" s="1"/>
  <c r="AG61" i="57"/>
  <c r="AG14" i="57"/>
  <c r="AG23" i="57"/>
  <c r="S9" i="57"/>
  <c r="AC9" i="57" s="1"/>
  <c r="S22" i="57"/>
  <c r="AC22" i="57" s="1"/>
  <c r="S12" i="57"/>
  <c r="AC12" i="57" s="1"/>
  <c r="AH14" i="57"/>
  <c r="AJ19" i="57"/>
  <c r="AH27" i="57"/>
  <c r="AH28" i="57"/>
  <c r="AB41" i="57"/>
  <c r="AL41" i="57" s="1"/>
  <c r="AF46" i="57"/>
  <c r="AG46" i="57" s="1"/>
  <c r="AJ53" i="57"/>
  <c r="AH59" i="57"/>
  <c r="AE20" i="57"/>
  <c r="AB23" i="57"/>
  <c r="AL23" i="57" s="1"/>
  <c r="AF27" i="57"/>
  <c r="AG27" i="57" s="1"/>
  <c r="AG52" i="57"/>
  <c r="AB57" i="57"/>
  <c r="AL57" i="57" s="1"/>
  <c r="AH6" i="57"/>
  <c r="AF13" i="57"/>
  <c r="AG13" i="57" s="1"/>
  <c r="AJ34" i="57"/>
  <c r="AG41" i="57"/>
  <c r="AB56" i="57"/>
  <c r="AL56" i="57" s="1"/>
  <c r="AL59" i="57"/>
  <c r="S6" i="57"/>
  <c r="AC6" i="57" s="1"/>
  <c r="AB52" i="57"/>
  <c r="AL52" i="57" s="1"/>
  <c r="AG53" i="57"/>
  <c r="AF15" i="57"/>
  <c r="AG15" i="57" s="1"/>
  <c r="AF60" i="57"/>
  <c r="AG60" i="57" s="1"/>
  <c r="AF28" i="57"/>
  <c r="AG28" i="57" s="1"/>
  <c r="AH13" i="57"/>
  <c r="AJ17" i="57"/>
  <c r="AJ20" i="57"/>
  <c r="S25" i="57"/>
  <c r="AC25" i="57" s="1"/>
  <c r="AG25" i="57" s="1"/>
  <c r="AH26" i="57"/>
  <c r="AJ36" i="57"/>
  <c r="AH45" i="57"/>
  <c r="AJ52" i="57"/>
  <c r="AH58" i="57"/>
  <c r="AL53" i="57"/>
  <c r="AE7" i="57"/>
  <c r="AF47" i="57"/>
  <c r="AG47" i="57" s="1"/>
  <c r="AH22" i="57"/>
  <c r="AG33" i="57"/>
  <c r="AB60" i="57"/>
  <c r="AL60" i="57" s="1"/>
  <c r="AB27" i="57"/>
  <c r="AL27" i="57" s="1"/>
  <c r="AB58" i="57"/>
  <c r="AL58" i="57" s="1"/>
  <c r="AH9" i="57"/>
  <c r="AH12" i="57"/>
  <c r="AB16" i="57"/>
  <c r="AL16" i="57" s="1"/>
  <c r="AJ24" i="57"/>
  <c r="AJ29" i="57"/>
  <c r="AG30" i="57"/>
  <c r="AB33" i="57"/>
  <c r="AL33" i="57" s="1"/>
  <c r="AJ47" i="57"/>
  <c r="AJ51" i="57"/>
  <c r="AJ57" i="57"/>
  <c r="AJ58" i="57"/>
  <c r="AA10" i="57"/>
  <c r="AB10" i="57" s="1"/>
  <c r="AL10" i="57" s="1"/>
  <c r="AE10" i="57"/>
  <c r="AA9" i="57"/>
  <c r="AE9" i="57"/>
  <c r="AJ42" i="57"/>
  <c r="AF42" i="57"/>
  <c r="AG42" i="57" s="1"/>
  <c r="AB42" i="57"/>
  <c r="AL42" i="57" s="1"/>
  <c r="AJ23" i="57"/>
  <c r="AH23" i="57"/>
  <c r="AJ31" i="57"/>
  <c r="AH31" i="57"/>
  <c r="AF43" i="57"/>
  <c r="AG43" i="57" s="1"/>
  <c r="AB43" i="57"/>
  <c r="AL43" i="57" s="1"/>
  <c r="AJ43" i="57"/>
  <c r="AJ32" i="57"/>
  <c r="AH32" i="57"/>
  <c r="AF44" i="57"/>
  <c r="AG44" i="57" s="1"/>
  <c r="AB44" i="57"/>
  <c r="AL44" i="57" s="1"/>
  <c r="AJ44" i="57"/>
  <c r="K2" i="57"/>
  <c r="AH30" i="57"/>
  <c r="AJ30" i="57"/>
  <c r="AF18" i="57"/>
  <c r="S18" i="57"/>
  <c r="AC18" i="57" s="1"/>
  <c r="AJ5" i="57"/>
  <c r="AH5" i="57"/>
  <c r="AC17" i="57"/>
  <c r="AJ18" i="57"/>
  <c r="AE22" i="57"/>
  <c r="AA22" i="57"/>
  <c r="AJ46" i="57"/>
  <c r="AH46" i="57"/>
  <c r="AF5" i="57"/>
  <c r="AG5" i="57" s="1"/>
  <c r="AF10" i="57"/>
  <c r="AJ10" i="57"/>
  <c r="AA17" i="57"/>
  <c r="AB17" i="57" s="1"/>
  <c r="AL17" i="57" s="1"/>
  <c r="AE17" i="57"/>
  <c r="AA5" i="57"/>
  <c r="AB5" i="57" s="1"/>
  <c r="AL5" i="57" s="1"/>
  <c r="AJ7" i="57"/>
  <c r="AA18" i="57"/>
  <c r="AB30" i="57"/>
  <c r="AL30" i="57" s="1"/>
  <c r="AB31" i="57"/>
  <c r="AL31" i="57" s="1"/>
  <c r="AF51" i="57"/>
  <c r="AG51" i="57" s="1"/>
  <c r="AB51" i="57"/>
  <c r="AL51" i="57" s="1"/>
  <c r="AJ55" i="57"/>
  <c r="AJ49" i="57"/>
  <c r="AH49" i="57"/>
  <c r="S7" i="57"/>
  <c r="AC7" i="57" s="1"/>
  <c r="AB35" i="57"/>
  <c r="AL35" i="57" s="1"/>
  <c r="AH17" i="57"/>
  <c r="S26" i="57"/>
  <c r="AC26" i="57" s="1"/>
  <c r="AG26" i="57" s="1"/>
  <c r="AG36" i="57"/>
  <c r="AB49" i="57"/>
  <c r="AL49" i="57" s="1"/>
  <c r="AG50" i="57"/>
  <c r="AG55" i="57"/>
  <c r="AG57" i="57"/>
  <c r="AA11" i="57"/>
  <c r="AB11" i="57" s="1"/>
  <c r="AL11" i="57" s="1"/>
  <c r="AJ61" i="57"/>
  <c r="AH61" i="57"/>
  <c r="AA19" i="57"/>
  <c r="AB19" i="57" s="1"/>
  <c r="AL19" i="57" s="1"/>
  <c r="AA25" i="57"/>
  <c r="AE6" i="57"/>
  <c r="S8" i="57"/>
  <c r="AC8" i="57" s="1"/>
  <c r="AG8" i="57" s="1"/>
  <c r="AF11" i="57"/>
  <c r="AG11" i="57" s="1"/>
  <c r="S21" i="57"/>
  <c r="AF24" i="57"/>
  <c r="AG24" i="57" s="1"/>
  <c r="AB61" i="57"/>
  <c r="AL61" i="57" s="1"/>
  <c r="AG31" i="57"/>
  <c r="AF32" i="57"/>
  <c r="AG32" i="57" s="1"/>
  <c r="AB36" i="57"/>
  <c r="AL36" i="57" s="1"/>
  <c r="AB55" i="57"/>
  <c r="AL55" i="57" s="1"/>
  <c r="AB14" i="57"/>
  <c r="AL14" i="57" s="1"/>
  <c r="AF19" i="57"/>
  <c r="AG19" i="57" s="1"/>
  <c r="AB50" i="57"/>
  <c r="AL50" i="57" s="1"/>
  <c r="AG56" i="57"/>
  <c r="AA8" i="57"/>
  <c r="AE12" i="57"/>
  <c r="AH24" i="57"/>
  <c r="AF35" i="57"/>
  <c r="AG35" i="57" s="1"/>
  <c r="AF59" i="57"/>
  <c r="AG59" i="57" s="1"/>
  <c r="R6" i="63" l="1"/>
  <c r="M12" i="65" s="1"/>
  <c r="K12" i="65"/>
  <c r="L12" i="65"/>
  <c r="AG10" i="57"/>
  <c r="AB18" i="57"/>
  <c r="AL18" i="57" s="1"/>
  <c r="AB9" i="57"/>
  <c r="AL9" i="57" s="1"/>
  <c r="AG20" i="57"/>
  <c r="AB12" i="57"/>
  <c r="AL12" i="57" s="1"/>
  <c r="AG12" i="57"/>
  <c r="AG18" i="57"/>
  <c r="AB26" i="57"/>
  <c r="AL26" i="57" s="1"/>
  <c r="AB7" i="57"/>
  <c r="AL7" i="57" s="1"/>
  <c r="AB20" i="57"/>
  <c r="AL20" i="57" s="1"/>
  <c r="AG22" i="57"/>
  <c r="AB22" i="57"/>
  <c r="AL22" i="57" s="1"/>
  <c r="AG7" i="57"/>
  <c r="AB6" i="57"/>
  <c r="AL6" i="57" s="1"/>
  <c r="AG6" i="57"/>
  <c r="AG17" i="57"/>
  <c r="AB25" i="57"/>
  <c r="AL25" i="57" s="1"/>
  <c r="AG9" i="57"/>
  <c r="AJ3" i="57"/>
  <c r="AH3" i="57"/>
  <c r="E2" i="57" s="1"/>
  <c r="Q2" i="57"/>
  <c r="G2" i="57" s="1"/>
  <c r="R2" i="57"/>
  <c r="AB21" i="57"/>
  <c r="AL21" i="57" s="1"/>
  <c r="AC21" i="57"/>
  <c r="AG21" i="57" s="1"/>
  <c r="AB8" i="57"/>
  <c r="AL8" i="57" s="1"/>
  <c r="AI3" i="57"/>
  <c r="L2" i="57"/>
  <c r="H21" i="12"/>
  <c r="P2" i="57" l="1"/>
  <c r="AL3" i="57"/>
  <c r="E1" i="57" s="1"/>
  <c r="AG2" i="57"/>
  <c r="E5" i="55" l="1"/>
  <c r="E6" i="55"/>
  <c r="E7" i="55"/>
  <c r="E8" i="55"/>
  <c r="E9" i="55"/>
  <c r="AI39" i="55"/>
  <c r="AE39" i="55"/>
  <c r="AD39" i="55"/>
  <c r="AC39" i="55"/>
  <c r="AA39" i="55"/>
  <c r="O39" i="55"/>
  <c r="K39" i="55"/>
  <c r="AH39" i="55" s="1"/>
  <c r="E39" i="55"/>
  <c r="AI38" i="55"/>
  <c r="AE38" i="55"/>
  <c r="AD38" i="55"/>
  <c r="AC38" i="55"/>
  <c r="AA38" i="55"/>
  <c r="O38" i="55"/>
  <c r="AB38" i="55" s="1"/>
  <c r="K38" i="55"/>
  <c r="AJ38" i="55" s="1"/>
  <c r="E38" i="55"/>
  <c r="AI37" i="55"/>
  <c r="AE37" i="55"/>
  <c r="AD37" i="55"/>
  <c r="AC37" i="55"/>
  <c r="AA37" i="55"/>
  <c r="O37" i="55"/>
  <c r="AF37" i="55" s="1"/>
  <c r="K37" i="55"/>
  <c r="AH37" i="55" s="1"/>
  <c r="E37" i="55"/>
  <c r="AI36" i="55"/>
  <c r="AE36" i="55"/>
  <c r="AD36" i="55"/>
  <c r="AC36" i="55"/>
  <c r="AA36" i="55"/>
  <c r="O36" i="55"/>
  <c r="K36" i="55"/>
  <c r="AH36" i="55" s="1"/>
  <c r="E36" i="55"/>
  <c r="AI35" i="55"/>
  <c r="AD35" i="55"/>
  <c r="Z35" i="55"/>
  <c r="AE35" i="55" s="1"/>
  <c r="O35" i="55"/>
  <c r="S35" i="55" s="1"/>
  <c r="AC35" i="55" s="1"/>
  <c r="K35" i="55"/>
  <c r="AH35" i="55" s="1"/>
  <c r="E35" i="55"/>
  <c r="AI34" i="55"/>
  <c r="AE34" i="55"/>
  <c r="AD34" i="55"/>
  <c r="AC34" i="55"/>
  <c r="AA34" i="55"/>
  <c r="O34" i="55"/>
  <c r="AF34" i="55" s="1"/>
  <c r="K34" i="55"/>
  <c r="AH34" i="55" s="1"/>
  <c r="E34" i="55"/>
  <c r="AI33" i="55"/>
  <c r="AE33" i="55"/>
  <c r="AD33" i="55"/>
  <c r="AC33" i="55"/>
  <c r="AA33" i="55"/>
  <c r="O33" i="55"/>
  <c r="K33" i="55"/>
  <c r="AH33" i="55" s="1"/>
  <c r="E33" i="55"/>
  <c r="AI32" i="55"/>
  <c r="AE32" i="55"/>
  <c r="AD32" i="55"/>
  <c r="AC32" i="55"/>
  <c r="AA32" i="55"/>
  <c r="O32" i="55"/>
  <c r="AF32" i="55" s="1"/>
  <c r="K32" i="55"/>
  <c r="E32" i="55"/>
  <c r="AI31" i="55"/>
  <c r="AE31" i="55"/>
  <c r="AD31" i="55"/>
  <c r="AC31" i="55"/>
  <c r="AA31" i="55"/>
  <c r="O31" i="55"/>
  <c r="K31" i="55"/>
  <c r="AH31" i="55" s="1"/>
  <c r="E31" i="55"/>
  <c r="AI30" i="55"/>
  <c r="AE30" i="55"/>
  <c r="AD30" i="55"/>
  <c r="AC30" i="55"/>
  <c r="AA30" i="55"/>
  <c r="O30" i="55"/>
  <c r="AF30" i="55" s="1"/>
  <c r="K30" i="55"/>
  <c r="AH30" i="55" s="1"/>
  <c r="E30" i="55"/>
  <c r="AI29" i="55"/>
  <c r="AE29" i="55"/>
  <c r="AD29" i="55"/>
  <c r="AC29" i="55"/>
  <c r="AA29" i="55"/>
  <c r="O29" i="55"/>
  <c r="K29" i="55"/>
  <c r="E29" i="55"/>
  <c r="AI28" i="55"/>
  <c r="AE28" i="55"/>
  <c r="AD28" i="55"/>
  <c r="AC28" i="55"/>
  <c r="AA28" i="55"/>
  <c r="O28" i="55"/>
  <c r="AF28" i="55" s="1"/>
  <c r="K28" i="55"/>
  <c r="AH28" i="55" s="1"/>
  <c r="E28" i="55"/>
  <c r="AI27" i="55"/>
  <c r="AE27" i="55"/>
  <c r="AD27" i="55"/>
  <c r="AC27" i="55"/>
  <c r="AA27" i="55"/>
  <c r="O27" i="55"/>
  <c r="K27" i="55"/>
  <c r="AH27" i="55" s="1"/>
  <c r="E27" i="55"/>
  <c r="AI26" i="55"/>
  <c r="AE26" i="55"/>
  <c r="AD26" i="55"/>
  <c r="AC26" i="55"/>
  <c r="AA26" i="55"/>
  <c r="O26" i="55"/>
  <c r="AF26" i="55" s="1"/>
  <c r="K26" i="55"/>
  <c r="E26" i="55"/>
  <c r="AI25" i="55"/>
  <c r="AD25" i="55"/>
  <c r="Z25" i="55"/>
  <c r="AE25" i="55" s="1"/>
  <c r="O25" i="55"/>
  <c r="AF25" i="55" s="1"/>
  <c r="K25" i="55"/>
  <c r="E25" i="55"/>
  <c r="AI24" i="55"/>
  <c r="AD24" i="55"/>
  <c r="AC24" i="55"/>
  <c r="Z24" i="55"/>
  <c r="AA24" i="55" s="1"/>
  <c r="O24" i="55"/>
  <c r="AF24" i="55" s="1"/>
  <c r="K24" i="55"/>
  <c r="AJ24" i="55" s="1"/>
  <c r="E24" i="55"/>
  <c r="AI23" i="55"/>
  <c r="AE23" i="55"/>
  <c r="AD23" i="55"/>
  <c r="AC23" i="55"/>
  <c r="AA23" i="55"/>
  <c r="O23" i="55"/>
  <c r="AF23" i="55" s="1"/>
  <c r="K23" i="55"/>
  <c r="AJ23" i="55" s="1"/>
  <c r="E23" i="55"/>
  <c r="AI22" i="55"/>
  <c r="AD22" i="55"/>
  <c r="Z22" i="55"/>
  <c r="AE22" i="55" s="1"/>
  <c r="O22" i="55"/>
  <c r="K22" i="55"/>
  <c r="AH22" i="55" s="1"/>
  <c r="E22" i="55"/>
  <c r="AI21" i="55"/>
  <c r="AD21" i="55"/>
  <c r="AC21" i="55"/>
  <c r="Z21" i="55"/>
  <c r="AE21" i="55" s="1"/>
  <c r="O21" i="55"/>
  <c r="AF21" i="55" s="1"/>
  <c r="K21" i="55"/>
  <c r="E21" i="55"/>
  <c r="AI20" i="55"/>
  <c r="AD20" i="55"/>
  <c r="Z20" i="55"/>
  <c r="AA20" i="55" s="1"/>
  <c r="O20" i="55"/>
  <c r="AF20" i="55" s="1"/>
  <c r="K20" i="55"/>
  <c r="AH20" i="55" s="1"/>
  <c r="E20" i="55"/>
  <c r="AI19" i="55"/>
  <c r="AD19" i="55"/>
  <c r="AC19" i="55"/>
  <c r="Z19" i="55"/>
  <c r="AA19" i="55" s="1"/>
  <c r="O19" i="55"/>
  <c r="AF19" i="55" s="1"/>
  <c r="K19" i="55"/>
  <c r="E19" i="55"/>
  <c r="AI18" i="55"/>
  <c r="AE18" i="55"/>
  <c r="AD18" i="55"/>
  <c r="AC18" i="55"/>
  <c r="AA18" i="55"/>
  <c r="O18" i="55"/>
  <c r="K18" i="55"/>
  <c r="E18" i="55"/>
  <c r="AI17" i="55"/>
  <c r="AE17" i="55"/>
  <c r="AD17" i="55"/>
  <c r="AA17" i="55"/>
  <c r="O17" i="55"/>
  <c r="AF17" i="55" s="1"/>
  <c r="K17" i="55"/>
  <c r="E17" i="55"/>
  <c r="AI16" i="55"/>
  <c r="AE16" i="55"/>
  <c r="AD16" i="55"/>
  <c r="AA16" i="55"/>
  <c r="O16" i="55"/>
  <c r="AF16" i="55" s="1"/>
  <c r="K16" i="55"/>
  <c r="AH16" i="55" s="1"/>
  <c r="E16" i="55"/>
  <c r="AI15" i="55"/>
  <c r="AE15" i="55"/>
  <c r="AD15" i="55"/>
  <c r="AA15" i="55"/>
  <c r="O15" i="55"/>
  <c r="S15" i="55" s="1"/>
  <c r="AC15" i="55" s="1"/>
  <c r="K15" i="55"/>
  <c r="E15" i="55"/>
  <c r="AI14" i="55"/>
  <c r="AE14" i="55"/>
  <c r="AD14" i="55"/>
  <c r="AA14" i="55"/>
  <c r="O14" i="55"/>
  <c r="S14" i="55" s="1"/>
  <c r="AC14" i="55" s="1"/>
  <c r="K14" i="55"/>
  <c r="E14" i="55"/>
  <c r="AI13" i="55"/>
  <c r="AE13" i="55"/>
  <c r="AD13" i="55"/>
  <c r="AA13" i="55"/>
  <c r="O13" i="55"/>
  <c r="AF13" i="55" s="1"/>
  <c r="K13" i="55"/>
  <c r="E13" i="55"/>
  <c r="AI12" i="55"/>
  <c r="AE12" i="55"/>
  <c r="AD12" i="55"/>
  <c r="AA12" i="55"/>
  <c r="O12" i="55"/>
  <c r="S12" i="55" s="1"/>
  <c r="AC12" i="55" s="1"/>
  <c r="K12" i="55"/>
  <c r="E12" i="55"/>
  <c r="AI11" i="55"/>
  <c r="AE11" i="55"/>
  <c r="AD11" i="55"/>
  <c r="AA11" i="55"/>
  <c r="O11" i="55"/>
  <c r="S11" i="55" s="1"/>
  <c r="AC11" i="55" s="1"/>
  <c r="K11" i="55"/>
  <c r="E11" i="55"/>
  <c r="AI10" i="55"/>
  <c r="AE10" i="55"/>
  <c r="AD10" i="55"/>
  <c r="AA10" i="55"/>
  <c r="O10" i="55"/>
  <c r="K10" i="55"/>
  <c r="AH10" i="55" s="1"/>
  <c r="E10" i="55"/>
  <c r="I2" i="55"/>
  <c r="AJ37" i="55" l="1"/>
  <c r="AB18" i="55"/>
  <c r="AF38" i="55"/>
  <c r="AH38" i="55"/>
  <c r="AJ15" i="55"/>
  <c r="AB27" i="55"/>
  <c r="AJ26" i="55"/>
  <c r="AJ29" i="55"/>
  <c r="AJ32" i="55"/>
  <c r="AJ17" i="55"/>
  <c r="AJ27" i="55"/>
  <c r="AH26" i="55"/>
  <c r="AJ19" i="55"/>
  <c r="AJ12" i="55"/>
  <c r="AH23" i="55"/>
  <c r="AJ14" i="55"/>
  <c r="AB29" i="55"/>
  <c r="AL29" i="55" s="1"/>
  <c r="S25" i="55"/>
  <c r="AC25" i="55" s="1"/>
  <c r="AG25" i="55" s="1"/>
  <c r="AH29" i="55"/>
  <c r="S16" i="55"/>
  <c r="AC16" i="55" s="1"/>
  <c r="AG16" i="55" s="1"/>
  <c r="AA22" i="55"/>
  <c r="AJ33" i="55"/>
  <c r="AL18" i="55"/>
  <c r="AB24" i="55"/>
  <c r="AL24" i="55" s="1"/>
  <c r="AJ30" i="55"/>
  <c r="AF33" i="55"/>
  <c r="AG33" i="55" s="1"/>
  <c r="AL38" i="55"/>
  <c r="AE24" i="55"/>
  <c r="AG24" i="55" s="1"/>
  <c r="AH24" i="55"/>
  <c r="AB33" i="55"/>
  <c r="AL33" i="55" s="1"/>
  <c r="AL27" i="55"/>
  <c r="AJ39" i="55"/>
  <c r="AE20" i="55"/>
  <c r="AF27" i="55"/>
  <c r="AG27" i="55" s="1"/>
  <c r="AG23" i="55"/>
  <c r="AA25" i="55"/>
  <c r="K2" i="55"/>
  <c r="AI3" i="55" s="1"/>
  <c r="AJ11" i="55"/>
  <c r="AB12" i="55"/>
  <c r="AL12" i="55" s="1"/>
  <c r="AJ18" i="55"/>
  <c r="AJ21" i="55"/>
  <c r="AJ31" i="55"/>
  <c r="AJ36" i="55"/>
  <c r="AG37" i="55"/>
  <c r="AH32" i="55"/>
  <c r="AF12" i="55"/>
  <c r="AG12" i="55" s="1"/>
  <c r="AH15" i="55"/>
  <c r="AJ10" i="55"/>
  <c r="AH12" i="55"/>
  <c r="AB28" i="55"/>
  <c r="AL28" i="55" s="1"/>
  <c r="AG26" i="55"/>
  <c r="AG38" i="55"/>
  <c r="AG34" i="55"/>
  <c r="AH19" i="55"/>
  <c r="AA21" i="55"/>
  <c r="AB21" i="55" s="1"/>
  <c r="AL21" i="55" s="1"/>
  <c r="AH11" i="55"/>
  <c r="AJ16" i="55"/>
  <c r="AB23" i="55"/>
  <c r="AL23" i="55" s="1"/>
  <c r="AJ25" i="55"/>
  <c r="AB30" i="55"/>
  <c r="AL30" i="55" s="1"/>
  <c r="AJ13" i="55"/>
  <c r="AH14" i="55"/>
  <c r="AG28" i="55"/>
  <c r="AF29" i="55"/>
  <c r="AG29" i="55" s="1"/>
  <c r="AB34" i="55"/>
  <c r="AL34" i="55" s="1"/>
  <c r="AG30" i="55"/>
  <c r="AG32" i="55"/>
  <c r="AG21" i="55"/>
  <c r="AB14" i="55"/>
  <c r="AL14" i="55" s="1"/>
  <c r="AB19" i="55"/>
  <c r="AL19" i="55" s="1"/>
  <c r="AJ20" i="55"/>
  <c r="AB31" i="55"/>
  <c r="AL31" i="55" s="1"/>
  <c r="AB36" i="55"/>
  <c r="AL36" i="55" s="1"/>
  <c r="AB39" i="55"/>
  <c r="AL39" i="55" s="1"/>
  <c r="AB11" i="55"/>
  <c r="AL11" i="55" s="1"/>
  <c r="AH13" i="55"/>
  <c r="AB15" i="55"/>
  <c r="AL15" i="55" s="1"/>
  <c r="AH17" i="55"/>
  <c r="AF18" i="55"/>
  <c r="AG18" i="55" s="1"/>
  <c r="S20" i="55"/>
  <c r="AC20" i="55" s="1"/>
  <c r="AH21" i="55"/>
  <c r="AA35" i="55"/>
  <c r="AB35" i="55" s="1"/>
  <c r="AL35" i="55" s="1"/>
  <c r="AF10" i="55"/>
  <c r="AF14" i="55"/>
  <c r="AG14" i="55" s="1"/>
  <c r="AB26" i="55"/>
  <c r="AL26" i="55" s="1"/>
  <c r="AJ28" i="55"/>
  <c r="AB32" i="55"/>
  <c r="AL32" i="55" s="1"/>
  <c r="AJ34" i="55"/>
  <c r="AB37" i="55"/>
  <c r="AL37" i="55" s="1"/>
  <c r="AH18" i="55"/>
  <c r="AE19" i="55"/>
  <c r="AG19" i="55" s="1"/>
  <c r="AF22" i="55"/>
  <c r="AJ22" i="55"/>
  <c r="AJ35" i="55"/>
  <c r="AF39" i="55"/>
  <c r="AG39" i="55" s="1"/>
  <c r="AF11" i="55"/>
  <c r="AG11" i="55" s="1"/>
  <c r="S13" i="55"/>
  <c r="AF15" i="55"/>
  <c r="AG15" i="55" s="1"/>
  <c r="S17" i="55"/>
  <c r="AF31" i="55"/>
  <c r="AG31" i="55" s="1"/>
  <c r="AF36" i="55"/>
  <c r="AG36" i="55" s="1"/>
  <c r="AF35" i="55"/>
  <c r="AG35" i="55" s="1"/>
  <c r="AH25" i="55"/>
  <c r="S10" i="55"/>
  <c r="AC10" i="55" s="1"/>
  <c r="S22" i="55"/>
  <c r="AC22" i="55" s="1"/>
  <c r="E105" i="53"/>
  <c r="E104" i="53"/>
  <c r="E103" i="53"/>
  <c r="E102" i="53"/>
  <c r="E101" i="53"/>
  <c r="E100" i="53"/>
  <c r="AI99" i="53"/>
  <c r="AD99" i="53"/>
  <c r="Z99" i="53"/>
  <c r="AE99" i="53" s="1"/>
  <c r="O99" i="53"/>
  <c r="K99" i="53"/>
  <c r="E99" i="53"/>
  <c r="AI98" i="53"/>
  <c r="AD98" i="53"/>
  <c r="Z98" i="53"/>
  <c r="AE98" i="53" s="1"/>
  <c r="O98" i="53"/>
  <c r="S98" i="53" s="1"/>
  <c r="AC98" i="53" s="1"/>
  <c r="K98" i="53"/>
  <c r="E98" i="53"/>
  <c r="AI97" i="53"/>
  <c r="AD97" i="53"/>
  <c r="Z97" i="53"/>
  <c r="AA97" i="53" s="1"/>
  <c r="O97" i="53"/>
  <c r="S97" i="53" s="1"/>
  <c r="AC97" i="53" s="1"/>
  <c r="K97" i="53"/>
  <c r="E97" i="53"/>
  <c r="AI96" i="53"/>
  <c r="AD96" i="53"/>
  <c r="Z96" i="53"/>
  <c r="AE96" i="53" s="1"/>
  <c r="O96" i="53"/>
  <c r="AF96" i="53" s="1"/>
  <c r="K96" i="53"/>
  <c r="AH96" i="53" s="1"/>
  <c r="E96" i="53"/>
  <c r="AI95" i="53"/>
  <c r="AD95" i="53"/>
  <c r="Z95" i="53"/>
  <c r="AA95" i="53" s="1"/>
  <c r="O95" i="53"/>
  <c r="S95" i="53" s="1"/>
  <c r="AC95" i="53" s="1"/>
  <c r="K95" i="53"/>
  <c r="E95" i="53"/>
  <c r="E94" i="53"/>
  <c r="E93" i="53"/>
  <c r="AI92" i="53"/>
  <c r="AD92" i="53"/>
  <c r="Z92" i="53"/>
  <c r="AE92" i="53" s="1"/>
  <c r="O92" i="53"/>
  <c r="K92" i="53"/>
  <c r="E92" i="53"/>
  <c r="AI91" i="53"/>
  <c r="AD91" i="53"/>
  <c r="Z91" i="53"/>
  <c r="AA91" i="53" s="1"/>
  <c r="O91" i="53"/>
  <c r="K91" i="53"/>
  <c r="AH91" i="53" s="1"/>
  <c r="E91" i="53"/>
  <c r="AI90" i="53"/>
  <c r="AD90" i="53"/>
  <c r="Z90" i="53"/>
  <c r="AA90" i="53" s="1"/>
  <c r="O90" i="53"/>
  <c r="K90" i="53"/>
  <c r="AH90" i="53" s="1"/>
  <c r="E90" i="53"/>
  <c r="AI89" i="53"/>
  <c r="AD89" i="53"/>
  <c r="Z89" i="53"/>
  <c r="AE89" i="53" s="1"/>
  <c r="O89" i="53"/>
  <c r="AF89" i="53" s="1"/>
  <c r="K89" i="53"/>
  <c r="AH89" i="53" s="1"/>
  <c r="E89" i="53"/>
  <c r="AI88" i="53"/>
  <c r="AD88" i="53"/>
  <c r="Z88" i="53"/>
  <c r="AA88" i="53" s="1"/>
  <c r="O88" i="53"/>
  <c r="AF88" i="53" s="1"/>
  <c r="K88" i="53"/>
  <c r="AH88" i="53" s="1"/>
  <c r="E88" i="53"/>
  <c r="AI87" i="53"/>
  <c r="AD87" i="53"/>
  <c r="Z87" i="53"/>
  <c r="AA87" i="53" s="1"/>
  <c r="O87" i="53"/>
  <c r="K87" i="53"/>
  <c r="E87" i="53"/>
  <c r="AI86" i="53"/>
  <c r="AD86" i="53"/>
  <c r="Z86" i="53"/>
  <c r="O86" i="53"/>
  <c r="S86" i="53" s="1"/>
  <c r="AC86" i="53" s="1"/>
  <c r="K86" i="53"/>
  <c r="E86" i="53"/>
  <c r="AI85" i="53"/>
  <c r="AD85" i="53"/>
  <c r="Z85" i="53"/>
  <c r="AE85" i="53" s="1"/>
  <c r="O85" i="53"/>
  <c r="AF85" i="53" s="1"/>
  <c r="K85" i="53"/>
  <c r="AH85" i="53" s="1"/>
  <c r="E85" i="53"/>
  <c r="AI84" i="53"/>
  <c r="AD84" i="53"/>
  <c r="Z84" i="53"/>
  <c r="AA84" i="53" s="1"/>
  <c r="O84" i="53"/>
  <c r="K84" i="53"/>
  <c r="AH84" i="53" s="1"/>
  <c r="E84" i="53"/>
  <c r="AI83" i="53"/>
  <c r="AD83" i="53"/>
  <c r="Z83" i="53"/>
  <c r="O83" i="53"/>
  <c r="AF83" i="53" s="1"/>
  <c r="K83" i="53"/>
  <c r="AH83" i="53" s="1"/>
  <c r="E83" i="53"/>
  <c r="AI82" i="53"/>
  <c r="AD82" i="53"/>
  <c r="Z82" i="53"/>
  <c r="AA82" i="53" s="1"/>
  <c r="O82" i="53"/>
  <c r="K82" i="53"/>
  <c r="AH82" i="53" s="1"/>
  <c r="E82" i="53"/>
  <c r="AI81" i="53"/>
  <c r="AD81" i="53"/>
  <c r="Z81" i="53"/>
  <c r="AA81" i="53" s="1"/>
  <c r="O81" i="53"/>
  <c r="AF81" i="53" s="1"/>
  <c r="K81" i="53"/>
  <c r="AH81" i="53" s="1"/>
  <c r="E81" i="53"/>
  <c r="AI80" i="53"/>
  <c r="AD80" i="53"/>
  <c r="AC80" i="53"/>
  <c r="Z80" i="53"/>
  <c r="AE80" i="53" s="1"/>
  <c r="O80" i="53"/>
  <c r="K80" i="53"/>
  <c r="E80" i="53"/>
  <c r="AI79" i="53"/>
  <c r="AE79" i="53"/>
  <c r="AD79" i="53"/>
  <c r="AC79" i="53"/>
  <c r="AA79" i="53"/>
  <c r="O79" i="53"/>
  <c r="AF79" i="53" s="1"/>
  <c r="K79" i="53"/>
  <c r="AH79" i="53" s="1"/>
  <c r="E79" i="53"/>
  <c r="AI78" i="53"/>
  <c r="AD78" i="53"/>
  <c r="Z78" i="53"/>
  <c r="AA78" i="53" s="1"/>
  <c r="O78" i="53"/>
  <c r="AF78" i="53" s="1"/>
  <c r="K78" i="53"/>
  <c r="E78" i="53"/>
  <c r="AI77" i="53"/>
  <c r="AD77" i="53"/>
  <c r="Z77" i="53"/>
  <c r="AA77" i="53" s="1"/>
  <c r="O77" i="53"/>
  <c r="S77" i="53" s="1"/>
  <c r="AC77" i="53" s="1"/>
  <c r="K77" i="53"/>
  <c r="AH77" i="53" s="1"/>
  <c r="E77" i="53"/>
  <c r="AI76" i="53"/>
  <c r="AD76" i="53"/>
  <c r="Z76" i="53"/>
  <c r="AE76" i="53" s="1"/>
  <c r="O76" i="53"/>
  <c r="AF76" i="53" s="1"/>
  <c r="K76" i="53"/>
  <c r="E76" i="53"/>
  <c r="AI75" i="53"/>
  <c r="AD75" i="53"/>
  <c r="Z75" i="53"/>
  <c r="AA75" i="53" s="1"/>
  <c r="O75" i="53"/>
  <c r="S75" i="53" s="1"/>
  <c r="K75" i="53"/>
  <c r="E75" i="53"/>
  <c r="AI74" i="53"/>
  <c r="AE74" i="53"/>
  <c r="AD74" i="53"/>
  <c r="AC74" i="53"/>
  <c r="AA74" i="53"/>
  <c r="O74" i="53"/>
  <c r="AF74" i="53" s="1"/>
  <c r="K74" i="53"/>
  <c r="E74" i="53"/>
  <c r="AI73" i="53"/>
  <c r="AE73" i="53"/>
  <c r="AD73" i="53"/>
  <c r="AC73" i="53"/>
  <c r="AA73" i="53"/>
  <c r="O73" i="53"/>
  <c r="K73" i="53"/>
  <c r="AH73" i="53" s="1"/>
  <c r="E73" i="53"/>
  <c r="AI72" i="53"/>
  <c r="AE72" i="53"/>
  <c r="AD72" i="53"/>
  <c r="AC72" i="53"/>
  <c r="AA72" i="53"/>
  <c r="O72" i="53"/>
  <c r="K72" i="53"/>
  <c r="AH72" i="53" s="1"/>
  <c r="E72" i="53"/>
  <c r="AI71" i="53"/>
  <c r="AE71" i="53"/>
  <c r="AD71" i="53"/>
  <c r="AC71" i="53"/>
  <c r="AA71" i="53"/>
  <c r="O71" i="53"/>
  <c r="AF71" i="53" s="1"/>
  <c r="K71" i="53"/>
  <c r="E71" i="53"/>
  <c r="AI70" i="53"/>
  <c r="AE70" i="53"/>
  <c r="AD70" i="53"/>
  <c r="AC70" i="53"/>
  <c r="AA70" i="53"/>
  <c r="O70" i="53"/>
  <c r="AF70" i="53" s="1"/>
  <c r="K70" i="53"/>
  <c r="AH70" i="53" s="1"/>
  <c r="E70" i="53"/>
  <c r="AI69" i="53"/>
  <c r="AE69" i="53"/>
  <c r="AD69" i="53"/>
  <c r="AC69" i="53"/>
  <c r="AA69" i="53"/>
  <c r="O69" i="53"/>
  <c r="AF69" i="53" s="1"/>
  <c r="K69" i="53"/>
  <c r="AH69" i="53" s="1"/>
  <c r="E69" i="53"/>
  <c r="AI68" i="53"/>
  <c r="AE68" i="53"/>
  <c r="AD68" i="53"/>
  <c r="AC68" i="53"/>
  <c r="AA68" i="53"/>
  <c r="O68" i="53"/>
  <c r="K68" i="53"/>
  <c r="AH68" i="53" s="1"/>
  <c r="E68" i="53"/>
  <c r="AI67" i="53"/>
  <c r="AE67" i="53"/>
  <c r="AD67" i="53"/>
  <c r="AC67" i="53"/>
  <c r="AA67" i="53"/>
  <c r="O67" i="53"/>
  <c r="AF67" i="53" s="1"/>
  <c r="K67" i="53"/>
  <c r="E67" i="53"/>
  <c r="AI66" i="53"/>
  <c r="AE66" i="53"/>
  <c r="AD66" i="53"/>
  <c r="AC66" i="53"/>
  <c r="AA66" i="53"/>
  <c r="O66" i="53"/>
  <c r="AF66" i="53" s="1"/>
  <c r="K66" i="53"/>
  <c r="AH66" i="53" s="1"/>
  <c r="E66" i="53"/>
  <c r="AI65" i="53"/>
  <c r="AD65" i="53"/>
  <c r="Z65" i="53"/>
  <c r="AE65" i="53" s="1"/>
  <c r="O65" i="53"/>
  <c r="AF65" i="53" s="1"/>
  <c r="K65" i="53"/>
  <c r="AH65" i="53" s="1"/>
  <c r="E65" i="53"/>
  <c r="AI64" i="53"/>
  <c r="AD64" i="53"/>
  <c r="Z64" i="53"/>
  <c r="AA64" i="53" s="1"/>
  <c r="O64" i="53"/>
  <c r="S64" i="53" s="1"/>
  <c r="K64" i="53"/>
  <c r="E64" i="53"/>
  <c r="AI63" i="53"/>
  <c r="AD63" i="53"/>
  <c r="Z63" i="53"/>
  <c r="AE63" i="53" s="1"/>
  <c r="O63" i="53"/>
  <c r="AF63" i="53" s="1"/>
  <c r="K63" i="53"/>
  <c r="E63" i="53"/>
  <c r="AI62" i="53"/>
  <c r="AD62" i="53"/>
  <c r="Z62" i="53"/>
  <c r="AA62" i="53" s="1"/>
  <c r="O62" i="53"/>
  <c r="K62" i="53"/>
  <c r="AH62" i="53" s="1"/>
  <c r="E62" i="53"/>
  <c r="Z61" i="53"/>
  <c r="AA61" i="53" s="1"/>
  <c r="O61" i="53"/>
  <c r="S61" i="53" s="1"/>
  <c r="L61" i="53"/>
  <c r="K61" i="53"/>
  <c r="E61" i="53"/>
  <c r="AI60" i="53"/>
  <c r="AD60" i="53"/>
  <c r="Z60" i="53"/>
  <c r="O60" i="53"/>
  <c r="AF60" i="53" s="1"/>
  <c r="K60" i="53"/>
  <c r="AH60" i="53" s="1"/>
  <c r="E60" i="53"/>
  <c r="AI59" i="53"/>
  <c r="AD59" i="53"/>
  <c r="Z59" i="53"/>
  <c r="AE59" i="53" s="1"/>
  <c r="O59" i="53"/>
  <c r="K59" i="53"/>
  <c r="E59" i="53"/>
  <c r="AI58" i="53"/>
  <c r="AD58" i="53"/>
  <c r="Z58" i="53"/>
  <c r="AA58" i="53" s="1"/>
  <c r="O58" i="53"/>
  <c r="S58" i="53" s="1"/>
  <c r="AC58" i="53" s="1"/>
  <c r="K58" i="53"/>
  <c r="E58" i="53"/>
  <c r="AI57" i="53"/>
  <c r="AD57" i="53"/>
  <c r="Z57" i="53"/>
  <c r="AE57" i="53" s="1"/>
  <c r="O57" i="53"/>
  <c r="S57" i="53" s="1"/>
  <c r="AC57" i="53" s="1"/>
  <c r="K57" i="53"/>
  <c r="E57" i="53"/>
  <c r="AI56" i="53"/>
  <c r="AD56" i="53"/>
  <c r="AC56" i="53"/>
  <c r="Z56" i="53"/>
  <c r="O56" i="53"/>
  <c r="AF56" i="53" s="1"/>
  <c r="K56" i="53"/>
  <c r="E56" i="53"/>
  <c r="AI55" i="53"/>
  <c r="AD55" i="53"/>
  <c r="AC55" i="53"/>
  <c r="Z55" i="53"/>
  <c r="AA55" i="53" s="1"/>
  <c r="O55" i="53"/>
  <c r="AF55" i="53" s="1"/>
  <c r="K55" i="53"/>
  <c r="E55" i="53"/>
  <c r="AI54" i="53"/>
  <c r="AD54" i="53"/>
  <c r="AC54" i="53"/>
  <c r="Z54" i="53"/>
  <c r="AA54" i="53" s="1"/>
  <c r="O54" i="53"/>
  <c r="K54" i="53"/>
  <c r="AH54" i="53" s="1"/>
  <c r="E54" i="53"/>
  <c r="AI53" i="53"/>
  <c r="AD53" i="53"/>
  <c r="Z53" i="53"/>
  <c r="AE53" i="53" s="1"/>
  <c r="O53" i="53"/>
  <c r="AF53" i="53" s="1"/>
  <c r="K53" i="53"/>
  <c r="AH53" i="53" s="1"/>
  <c r="E53" i="53"/>
  <c r="E52" i="53"/>
  <c r="E51" i="53"/>
  <c r="E50" i="53"/>
  <c r="AI49" i="53"/>
  <c r="AD49" i="53"/>
  <c r="Z49" i="53"/>
  <c r="AA49" i="53" s="1"/>
  <c r="O49" i="53"/>
  <c r="S49" i="53" s="1"/>
  <c r="K49" i="53"/>
  <c r="E49" i="53"/>
  <c r="AI48" i="53"/>
  <c r="AD48" i="53"/>
  <c r="Z48" i="53"/>
  <c r="AE48" i="53" s="1"/>
  <c r="O48" i="53"/>
  <c r="K48" i="53"/>
  <c r="E48" i="53"/>
  <c r="AI47" i="53"/>
  <c r="AD47" i="53"/>
  <c r="Z47" i="53"/>
  <c r="AA47" i="53" s="1"/>
  <c r="O47" i="53"/>
  <c r="S47" i="53" s="1"/>
  <c r="AC47" i="53" s="1"/>
  <c r="K47" i="53"/>
  <c r="AH47" i="53" s="1"/>
  <c r="E47" i="53"/>
  <c r="AI46" i="53"/>
  <c r="AD46" i="53"/>
  <c r="Z46" i="53"/>
  <c r="AA46" i="53" s="1"/>
  <c r="O46" i="53"/>
  <c r="S46" i="53" s="1"/>
  <c r="AC46" i="53" s="1"/>
  <c r="K46" i="53"/>
  <c r="E46" i="53"/>
  <c r="AI45" i="53"/>
  <c r="AE45" i="53"/>
  <c r="AD45" i="53"/>
  <c r="AA45" i="53"/>
  <c r="O45" i="53"/>
  <c r="S45" i="53" s="1"/>
  <c r="AC45" i="53" s="1"/>
  <c r="K45" i="53"/>
  <c r="AH45" i="53" s="1"/>
  <c r="E45" i="53"/>
  <c r="AI44" i="53"/>
  <c r="AE44" i="53"/>
  <c r="AD44" i="53"/>
  <c r="AA44" i="53"/>
  <c r="O44" i="53"/>
  <c r="K44" i="53"/>
  <c r="E44" i="53"/>
  <c r="AI43" i="53"/>
  <c r="AE43" i="53"/>
  <c r="AD43" i="53"/>
  <c r="AA43" i="53"/>
  <c r="O43" i="53"/>
  <c r="AF43" i="53" s="1"/>
  <c r="K43" i="53"/>
  <c r="AH43" i="53" s="1"/>
  <c r="E43" i="53"/>
  <c r="AI42" i="53"/>
  <c r="AE42" i="53"/>
  <c r="AD42" i="53"/>
  <c r="AA42" i="53"/>
  <c r="O42" i="53"/>
  <c r="AF42" i="53" s="1"/>
  <c r="K42" i="53"/>
  <c r="AH42" i="53" s="1"/>
  <c r="E42" i="53"/>
  <c r="AI41" i="53"/>
  <c r="AE41" i="53"/>
  <c r="AD41" i="53"/>
  <c r="AA41" i="53"/>
  <c r="O41" i="53"/>
  <c r="AF41" i="53" s="1"/>
  <c r="K41" i="53"/>
  <c r="AH41" i="53" s="1"/>
  <c r="E41" i="53"/>
  <c r="AI40" i="53"/>
  <c r="AE40" i="53"/>
  <c r="AD40" i="53"/>
  <c r="AA40" i="53"/>
  <c r="O40" i="53"/>
  <c r="S40" i="53" s="1"/>
  <c r="AC40" i="53" s="1"/>
  <c r="K40" i="53"/>
  <c r="AH40" i="53" s="1"/>
  <c r="E40" i="53"/>
  <c r="AI39" i="53"/>
  <c r="AE39" i="53"/>
  <c r="AD39" i="53"/>
  <c r="AA39" i="53"/>
  <c r="O39" i="53"/>
  <c r="S39" i="53" s="1"/>
  <c r="K39" i="53"/>
  <c r="AH39" i="53" s="1"/>
  <c r="E39" i="53"/>
  <c r="AI38" i="53"/>
  <c r="AE38" i="53"/>
  <c r="AD38" i="53"/>
  <c r="AA38" i="53"/>
  <c r="O38" i="53"/>
  <c r="AF38" i="53" s="1"/>
  <c r="K38" i="53"/>
  <c r="E38" i="53"/>
  <c r="AI37" i="53"/>
  <c r="AD37" i="53"/>
  <c r="Z37" i="53"/>
  <c r="O37" i="53"/>
  <c r="AF37" i="53" s="1"/>
  <c r="K37" i="53"/>
  <c r="AH37" i="53" s="1"/>
  <c r="E37" i="53"/>
  <c r="AI36" i="53"/>
  <c r="AD36" i="53"/>
  <c r="Z36" i="53"/>
  <c r="AA36" i="53" s="1"/>
  <c r="O36" i="53"/>
  <c r="S36" i="53" s="1"/>
  <c r="AC36" i="53" s="1"/>
  <c r="K36" i="53"/>
  <c r="AH36" i="53" s="1"/>
  <c r="E36" i="53"/>
  <c r="AI35" i="53"/>
  <c r="AD35" i="53"/>
  <c r="Z35" i="53"/>
  <c r="AA35" i="53" s="1"/>
  <c r="O35" i="53"/>
  <c r="S35" i="53" s="1"/>
  <c r="AC35" i="53" s="1"/>
  <c r="K35" i="53"/>
  <c r="AH35" i="53" s="1"/>
  <c r="E35" i="53"/>
  <c r="AI34" i="53"/>
  <c r="AD34" i="53"/>
  <c r="Z34" i="53"/>
  <c r="AE34" i="53" s="1"/>
  <c r="O34" i="53"/>
  <c r="K34" i="53"/>
  <c r="AH34" i="53" s="1"/>
  <c r="E34" i="53"/>
  <c r="AI33" i="53"/>
  <c r="AD33" i="53"/>
  <c r="Z33" i="53"/>
  <c r="AE33" i="53" s="1"/>
  <c r="O33" i="53"/>
  <c r="AF33" i="53" s="1"/>
  <c r="K33" i="53"/>
  <c r="AH33" i="53" s="1"/>
  <c r="E33" i="53"/>
  <c r="AI32" i="53"/>
  <c r="AD32" i="53"/>
  <c r="Z32" i="53"/>
  <c r="AA32" i="53" s="1"/>
  <c r="O32" i="53"/>
  <c r="AF32" i="53" s="1"/>
  <c r="K32" i="53"/>
  <c r="E32" i="53"/>
  <c r="AI31" i="53"/>
  <c r="AD31" i="53"/>
  <c r="Z31" i="53"/>
  <c r="AE31" i="53" s="1"/>
  <c r="O31" i="53"/>
  <c r="AF31" i="53" s="1"/>
  <c r="K31" i="53"/>
  <c r="E31" i="53"/>
  <c r="AI30" i="53"/>
  <c r="AE30" i="53"/>
  <c r="AD30" i="53"/>
  <c r="AA30" i="53"/>
  <c r="O30" i="53"/>
  <c r="K30" i="53"/>
  <c r="AH30" i="53" s="1"/>
  <c r="E30" i="53"/>
  <c r="AI29" i="53"/>
  <c r="AE29" i="53"/>
  <c r="AD29" i="53"/>
  <c r="AA29" i="53"/>
  <c r="O29" i="53"/>
  <c r="S29" i="53" s="1"/>
  <c r="K29" i="53"/>
  <c r="E29" i="53"/>
  <c r="AI28" i="53"/>
  <c r="AE28" i="53"/>
  <c r="AD28" i="53"/>
  <c r="AA28" i="53"/>
  <c r="O28" i="53"/>
  <c r="K28" i="53"/>
  <c r="AH28" i="53" s="1"/>
  <c r="E28" i="53"/>
  <c r="AI27" i="53"/>
  <c r="AD27" i="53"/>
  <c r="AC27" i="53"/>
  <c r="Z27" i="53"/>
  <c r="AE27" i="53" s="1"/>
  <c r="O27" i="53"/>
  <c r="K27" i="53"/>
  <c r="AH27" i="53" s="1"/>
  <c r="E27" i="53"/>
  <c r="AI26" i="53"/>
  <c r="AE26" i="53"/>
  <c r="AD26" i="53"/>
  <c r="AA26" i="53"/>
  <c r="O26" i="53"/>
  <c r="S26" i="53" s="1"/>
  <c r="AC26" i="53" s="1"/>
  <c r="K26" i="53"/>
  <c r="AH26" i="53" s="1"/>
  <c r="E26" i="53"/>
  <c r="AI25" i="53"/>
  <c r="AE25" i="53"/>
  <c r="AD25" i="53"/>
  <c r="AA25" i="53"/>
  <c r="O25" i="53"/>
  <c r="S25" i="53" s="1"/>
  <c r="AC25" i="53" s="1"/>
  <c r="K25" i="53"/>
  <c r="AH25" i="53" s="1"/>
  <c r="E25" i="53"/>
  <c r="AI24" i="53"/>
  <c r="AE24" i="53"/>
  <c r="AD24" i="53"/>
  <c r="AA24" i="53"/>
  <c r="O24" i="53"/>
  <c r="K24" i="53"/>
  <c r="E24" i="53"/>
  <c r="AI23" i="53"/>
  <c r="AE23" i="53"/>
  <c r="AD23" i="53"/>
  <c r="AA23" i="53"/>
  <c r="O23" i="53"/>
  <c r="AF23" i="53" s="1"/>
  <c r="K23" i="53"/>
  <c r="AH23" i="53" s="1"/>
  <c r="E23" i="53"/>
  <c r="AI22" i="53"/>
  <c r="AE22" i="53"/>
  <c r="AD22" i="53"/>
  <c r="AA22" i="53"/>
  <c r="O22" i="53"/>
  <c r="K22" i="53"/>
  <c r="E22" i="53"/>
  <c r="AI21" i="53"/>
  <c r="AD21" i="53"/>
  <c r="Z21" i="53"/>
  <c r="O21" i="53"/>
  <c r="K21" i="53"/>
  <c r="AH21" i="53" s="1"/>
  <c r="E21" i="53"/>
  <c r="AI20" i="53"/>
  <c r="AD20" i="53"/>
  <c r="Z20" i="53"/>
  <c r="AE20" i="53" s="1"/>
  <c r="O20" i="53"/>
  <c r="S20" i="53" s="1"/>
  <c r="AC20" i="53" s="1"/>
  <c r="K20" i="53"/>
  <c r="E20" i="53"/>
  <c r="AI19" i="53"/>
  <c r="AD19" i="53"/>
  <c r="Z19" i="53"/>
  <c r="AA19" i="53" s="1"/>
  <c r="O19" i="53"/>
  <c r="K19" i="53"/>
  <c r="AH19" i="53" s="1"/>
  <c r="E19" i="53"/>
  <c r="AI18" i="53"/>
  <c r="AD18" i="53"/>
  <c r="Z18" i="53"/>
  <c r="AE18" i="53" s="1"/>
  <c r="O18" i="53"/>
  <c r="S18" i="53" s="1"/>
  <c r="AC18" i="53" s="1"/>
  <c r="K18" i="53"/>
  <c r="E18" i="53"/>
  <c r="AI17" i="53"/>
  <c r="AD17" i="53"/>
  <c r="Z17" i="53"/>
  <c r="AA17" i="53" s="1"/>
  <c r="O17" i="53"/>
  <c r="AF17" i="53" s="1"/>
  <c r="K17" i="53"/>
  <c r="AH17" i="53" s="1"/>
  <c r="E17" i="53"/>
  <c r="AI16" i="53"/>
  <c r="AD16" i="53"/>
  <c r="Z16" i="53"/>
  <c r="AA16" i="53" s="1"/>
  <c r="O16" i="53"/>
  <c r="AF16" i="53" s="1"/>
  <c r="K16" i="53"/>
  <c r="E16" i="53"/>
  <c r="AI15" i="53"/>
  <c r="AD15" i="53"/>
  <c r="Z15" i="53"/>
  <c r="O15" i="53"/>
  <c r="S15" i="53" s="1"/>
  <c r="AC15" i="53" s="1"/>
  <c r="K15" i="53"/>
  <c r="AL15" i="53" s="1"/>
  <c r="E15" i="53"/>
  <c r="AI14" i="53"/>
  <c r="AD14" i="53"/>
  <c r="Z14" i="53"/>
  <c r="AA14" i="53" s="1"/>
  <c r="O14" i="53"/>
  <c r="S14" i="53" s="1"/>
  <c r="AC14" i="53" s="1"/>
  <c r="K14" i="53"/>
  <c r="AH14" i="53" s="1"/>
  <c r="E14" i="53"/>
  <c r="AI13" i="53"/>
  <c r="AD13" i="53"/>
  <c r="Z13" i="53"/>
  <c r="AE13" i="53" s="1"/>
  <c r="O13" i="53"/>
  <c r="AF13" i="53" s="1"/>
  <c r="K13" i="53"/>
  <c r="E13" i="53"/>
  <c r="AI12" i="53"/>
  <c r="AD12" i="53"/>
  <c r="Z12" i="53"/>
  <c r="AA12" i="53" s="1"/>
  <c r="O12" i="53"/>
  <c r="K12" i="53"/>
  <c r="AH12" i="53" s="1"/>
  <c r="E12" i="53"/>
  <c r="AI11" i="53"/>
  <c r="AE11" i="53"/>
  <c r="AD11" i="53"/>
  <c r="AA11" i="53"/>
  <c r="O11" i="53"/>
  <c r="S11" i="53" s="1"/>
  <c r="K11" i="53"/>
  <c r="E11" i="53"/>
  <c r="AI10" i="53"/>
  <c r="AE10" i="53"/>
  <c r="AD10" i="53"/>
  <c r="AA10" i="53"/>
  <c r="O10" i="53"/>
  <c r="S10" i="53" s="1"/>
  <c r="AC10" i="53" s="1"/>
  <c r="K10" i="53"/>
  <c r="E10" i="53"/>
  <c r="AI9" i="53"/>
  <c r="AE9" i="53"/>
  <c r="AD9" i="53"/>
  <c r="AA9" i="53"/>
  <c r="O9" i="53"/>
  <c r="AF9" i="53" s="1"/>
  <c r="K9" i="53"/>
  <c r="AH9" i="53" s="1"/>
  <c r="E9" i="53"/>
  <c r="AI8" i="53"/>
  <c r="AF8" i="53"/>
  <c r="AD8" i="53"/>
  <c r="AC8" i="53"/>
  <c r="Z8" i="53"/>
  <c r="AE8" i="53" s="1"/>
  <c r="K8" i="53"/>
  <c r="AH8" i="53" s="1"/>
  <c r="E8" i="53"/>
  <c r="AI7" i="53"/>
  <c r="AD7" i="53"/>
  <c r="Z7" i="53"/>
  <c r="AE7" i="53" s="1"/>
  <c r="O7" i="53"/>
  <c r="S7" i="53" s="1"/>
  <c r="K7" i="53"/>
  <c r="E7" i="53"/>
  <c r="AI6" i="53"/>
  <c r="AE6" i="53"/>
  <c r="AD6" i="53"/>
  <c r="AA6" i="53"/>
  <c r="O6" i="53"/>
  <c r="K6" i="53"/>
  <c r="AH6" i="53" s="1"/>
  <c r="E6" i="53"/>
  <c r="AI5" i="53"/>
  <c r="AD5" i="53"/>
  <c r="Z5" i="53"/>
  <c r="AE5" i="53" s="1"/>
  <c r="O5" i="53"/>
  <c r="K5" i="53"/>
  <c r="E5" i="53"/>
  <c r="I2" i="53"/>
  <c r="C25" i="12" s="1"/>
  <c r="I1" i="53"/>
  <c r="AJ31" i="53" l="1"/>
  <c r="L2" i="55"/>
  <c r="AB10" i="55"/>
  <c r="AL10" i="55" s="1"/>
  <c r="AB25" i="55"/>
  <c r="AL25" i="55" s="1"/>
  <c r="AB16" i="55"/>
  <c r="AL16" i="55" s="1"/>
  <c r="AG20" i="55"/>
  <c r="AG10" i="55"/>
  <c r="AJ3" i="55"/>
  <c r="AB22" i="55"/>
  <c r="AL22" i="55" s="1"/>
  <c r="AC17" i="55"/>
  <c r="AG17" i="55" s="1"/>
  <c r="AB17" i="55"/>
  <c r="AL17" i="55" s="1"/>
  <c r="AB20" i="55"/>
  <c r="AL20" i="55" s="1"/>
  <c r="AG22" i="55"/>
  <c r="AC13" i="55"/>
  <c r="AG13" i="55" s="1"/>
  <c r="AB13" i="55"/>
  <c r="AL13" i="55" s="1"/>
  <c r="Q2" i="55"/>
  <c r="G2" i="55" s="1"/>
  <c r="AH3" i="55"/>
  <c r="E2" i="55" s="1"/>
  <c r="AJ89" i="53"/>
  <c r="AJ55" i="53"/>
  <c r="AJ13" i="53"/>
  <c r="AJ16" i="53"/>
  <c r="AJ18" i="53"/>
  <c r="AJ20" i="53"/>
  <c r="AJ67" i="53"/>
  <c r="AJ68" i="53"/>
  <c r="AJ98" i="53"/>
  <c r="AJ69" i="53"/>
  <c r="AJ11" i="53"/>
  <c r="AJ46" i="53"/>
  <c r="AJ48" i="53"/>
  <c r="AB64" i="53"/>
  <c r="AL64" i="53" s="1"/>
  <c r="AF68" i="53"/>
  <c r="AG68" i="53" s="1"/>
  <c r="AH67" i="53"/>
  <c r="AJ78" i="53"/>
  <c r="AF39" i="53"/>
  <c r="S88" i="53"/>
  <c r="AC88" i="53" s="1"/>
  <c r="AJ7" i="53"/>
  <c r="AJ30" i="53"/>
  <c r="AJ61" i="53"/>
  <c r="AG66" i="53"/>
  <c r="AJ63" i="53"/>
  <c r="AJ80" i="53"/>
  <c r="AJ81" i="53"/>
  <c r="AH7" i="53"/>
  <c r="AB55" i="53"/>
  <c r="AL55" i="53" s="1"/>
  <c r="AA57" i="53"/>
  <c r="AB57" i="53" s="1"/>
  <c r="AL57" i="53" s="1"/>
  <c r="AB68" i="53"/>
  <c r="AL68" i="53" s="1"/>
  <c r="AE88" i="53"/>
  <c r="AB67" i="53"/>
  <c r="AL67" i="53" s="1"/>
  <c r="AJ96" i="53"/>
  <c r="AF7" i="53"/>
  <c r="AJ15" i="53"/>
  <c r="AJ40" i="53"/>
  <c r="AF57" i="53"/>
  <c r="AG57" i="53" s="1"/>
  <c r="AJ75" i="53"/>
  <c r="AJ95" i="53"/>
  <c r="AA76" i="53"/>
  <c r="AJ6" i="53"/>
  <c r="AB11" i="53"/>
  <c r="AL11" i="53" s="1"/>
  <c r="S33" i="53"/>
  <c r="AC33" i="53" s="1"/>
  <c r="AG33" i="53" s="1"/>
  <c r="AE36" i="53"/>
  <c r="AH48" i="53"/>
  <c r="AJ66" i="53"/>
  <c r="AE75" i="53"/>
  <c r="AJ85" i="53"/>
  <c r="AJ14" i="53"/>
  <c r="AJ32" i="53"/>
  <c r="AB69" i="53"/>
  <c r="AL69" i="53" s="1"/>
  <c r="AJ90" i="53"/>
  <c r="AF36" i="53"/>
  <c r="AH75" i="53"/>
  <c r="AJ84" i="53"/>
  <c r="AF95" i="53"/>
  <c r="AH80" i="53"/>
  <c r="AJ5" i="53"/>
  <c r="AH13" i="53"/>
  <c r="AF18" i="53"/>
  <c r="AG18" i="53" s="1"/>
  <c r="AJ23" i="53"/>
  <c r="AJ64" i="53"/>
  <c r="AB95" i="53"/>
  <c r="AL95" i="53" s="1"/>
  <c r="AE14" i="53"/>
  <c r="AF75" i="53"/>
  <c r="AH95" i="53"/>
  <c r="AJ53" i="53"/>
  <c r="AJ60" i="53"/>
  <c r="AJ77" i="53"/>
  <c r="AH63" i="53"/>
  <c r="AE95" i="53"/>
  <c r="S13" i="53"/>
  <c r="AC13" i="53" s="1"/>
  <c r="AG13" i="53" s="1"/>
  <c r="AF14" i="53"/>
  <c r="AH18" i="53"/>
  <c r="AJ59" i="53"/>
  <c r="AL60" i="53"/>
  <c r="AB66" i="53"/>
  <c r="AL66" i="53" s="1"/>
  <c r="S76" i="53"/>
  <c r="AC76" i="53" s="1"/>
  <c r="AG76" i="53" s="1"/>
  <c r="AC75" i="53"/>
  <c r="AB75" i="53"/>
  <c r="AL75" i="53" s="1"/>
  <c r="AE84" i="53"/>
  <c r="AJ91" i="53"/>
  <c r="AA98" i="53"/>
  <c r="AB98" i="53" s="1"/>
  <c r="AL98" i="53" s="1"/>
  <c r="AF6" i="53"/>
  <c r="S16" i="53"/>
  <c r="AC16" i="53" s="1"/>
  <c r="AE17" i="53"/>
  <c r="AF20" i="53"/>
  <c r="AG20" i="53" s="1"/>
  <c r="S78" i="53"/>
  <c r="AC78" i="53" s="1"/>
  <c r="AJ82" i="53"/>
  <c r="AF84" i="53"/>
  <c r="S91" i="53"/>
  <c r="AC91" i="53" s="1"/>
  <c r="AH20" i="53"/>
  <c r="AF29" i="53"/>
  <c r="S82" i="53"/>
  <c r="AC82" i="53" s="1"/>
  <c r="AE87" i="53"/>
  <c r="AE12" i="53"/>
  <c r="S53" i="53"/>
  <c r="AC53" i="53" s="1"/>
  <c r="AG53" i="53" s="1"/>
  <c r="AE55" i="53"/>
  <c r="AG55" i="53" s="1"/>
  <c r="AB58" i="53"/>
  <c r="AL58" i="53" s="1"/>
  <c r="AH98" i="53"/>
  <c r="AE54" i="53"/>
  <c r="AJ65" i="53"/>
  <c r="AE78" i="53"/>
  <c r="AJ79" i="53"/>
  <c r="AF91" i="53"/>
  <c r="AF97" i="53"/>
  <c r="AJ10" i="53"/>
  <c r="AF15" i="53"/>
  <c r="AE19" i="53"/>
  <c r="AH31" i="53"/>
  <c r="AJ33" i="53"/>
  <c r="AJ39" i="53"/>
  <c r="AJ42" i="53"/>
  <c r="AF45" i="53"/>
  <c r="AG45" i="53" s="1"/>
  <c r="AH46" i="53"/>
  <c r="AE49" i="53"/>
  <c r="AE58" i="53"/>
  <c r="AE61" i="53"/>
  <c r="AE64" i="53"/>
  <c r="AE77" i="53"/>
  <c r="AE82" i="53"/>
  <c r="AJ83" i="53"/>
  <c r="AJ88" i="53"/>
  <c r="AE90" i="53"/>
  <c r="S96" i="53"/>
  <c r="AE62" i="53"/>
  <c r="AE47" i="53"/>
  <c r="AG69" i="53"/>
  <c r="AH59" i="53"/>
  <c r="AA65" i="53"/>
  <c r="AJ9" i="53"/>
  <c r="AC64" i="53"/>
  <c r="AC11" i="53"/>
  <c r="AF25" i="53"/>
  <c r="AG25" i="53" s="1"/>
  <c r="AA34" i="53"/>
  <c r="AJ8" i="53"/>
  <c r="AH15" i="53"/>
  <c r="AF49" i="53"/>
  <c r="S9" i="53"/>
  <c r="AC9" i="53" s="1"/>
  <c r="AG9" i="53" s="1"/>
  <c r="AG67" i="53"/>
  <c r="AG74" i="53"/>
  <c r="AB25" i="53"/>
  <c r="AL25" i="53" s="1"/>
  <c r="AF26" i="53"/>
  <c r="AG26" i="53" s="1"/>
  <c r="AE32" i="53"/>
  <c r="AB46" i="53"/>
  <c r="AL46" i="53" s="1"/>
  <c r="AE35" i="53"/>
  <c r="AJ17" i="53"/>
  <c r="AJ26" i="53"/>
  <c r="AE46" i="53"/>
  <c r="AJ47" i="53"/>
  <c r="AF98" i="53"/>
  <c r="AG98" i="53" s="1"/>
  <c r="AF46" i="53"/>
  <c r="AE91" i="53"/>
  <c r="AE97" i="53"/>
  <c r="AH16" i="53"/>
  <c r="AA53" i="53"/>
  <c r="AH55" i="53"/>
  <c r="AF58" i="53"/>
  <c r="AF64" i="53"/>
  <c r="AH78" i="53"/>
  <c r="AE81" i="53"/>
  <c r="AF82" i="53"/>
  <c r="AA18" i="53"/>
  <c r="AB18" i="53" s="1"/>
  <c r="AL18" i="53" s="1"/>
  <c r="AJ45" i="53"/>
  <c r="AH64" i="53"/>
  <c r="AB70" i="53"/>
  <c r="AL70" i="53" s="1"/>
  <c r="AB74" i="53"/>
  <c r="AL74" i="53" s="1"/>
  <c r="S85" i="53"/>
  <c r="AC85" i="53" s="1"/>
  <c r="AG85" i="53" s="1"/>
  <c r="S89" i="53"/>
  <c r="AC89" i="53" s="1"/>
  <c r="AG89" i="53" s="1"/>
  <c r="AF28" i="53"/>
  <c r="AC39" i="53"/>
  <c r="AB39" i="53"/>
  <c r="AL39" i="53" s="1"/>
  <c r="AE16" i="53"/>
  <c r="AE56" i="53"/>
  <c r="AG56" i="53" s="1"/>
  <c r="AA56" i="53"/>
  <c r="AB56" i="53" s="1"/>
  <c r="AL56" i="53" s="1"/>
  <c r="AA27" i="53"/>
  <c r="AB27" i="53" s="1"/>
  <c r="AL27" i="53" s="1"/>
  <c r="AF34" i="53"/>
  <c r="S34" i="53"/>
  <c r="AC34" i="53" s="1"/>
  <c r="AJ34" i="53"/>
  <c r="AF62" i="53"/>
  <c r="AJ62" i="53"/>
  <c r="S87" i="53"/>
  <c r="AC87" i="53" s="1"/>
  <c r="AA89" i="53"/>
  <c r="AA5" i="53"/>
  <c r="AB10" i="53"/>
  <c r="AL10" i="53" s="1"/>
  <c r="AF10" i="53"/>
  <c r="AG10" i="53" s="1"/>
  <c r="S19" i="53"/>
  <c r="AC19" i="53" s="1"/>
  <c r="AJ24" i="53"/>
  <c r="AH24" i="53"/>
  <c r="AB26" i="53"/>
  <c r="AL26" i="53" s="1"/>
  <c r="AA33" i="53"/>
  <c r="S37" i="53"/>
  <c r="AC37" i="53" s="1"/>
  <c r="AJ49" i="53"/>
  <c r="AH49" i="53"/>
  <c r="AB54" i="53"/>
  <c r="AL54" i="53" s="1"/>
  <c r="AJ54" i="53"/>
  <c r="AF54" i="53"/>
  <c r="S62" i="53"/>
  <c r="AC62" i="53" s="1"/>
  <c r="AE83" i="53"/>
  <c r="AA83" i="53"/>
  <c r="AJ92" i="53"/>
  <c r="AH92" i="53"/>
  <c r="AH56" i="53"/>
  <c r="AJ56" i="53"/>
  <c r="S21" i="53"/>
  <c r="AC21" i="53" s="1"/>
  <c r="AF21" i="53"/>
  <c r="AF27" i="53"/>
  <c r="AG27" i="53" s="1"/>
  <c r="AJ27" i="53"/>
  <c r="S28" i="53"/>
  <c r="AC28" i="53" s="1"/>
  <c r="AA85" i="53"/>
  <c r="AF5" i="53"/>
  <c r="S5" i="53"/>
  <c r="AC5" i="53" s="1"/>
  <c r="S12" i="53"/>
  <c r="AC12" i="53" s="1"/>
  <c r="AE15" i="53"/>
  <c r="AA15" i="53"/>
  <c r="AE21" i="53"/>
  <c r="AA21" i="53"/>
  <c r="AB21" i="53" s="1"/>
  <c r="AL21" i="53" s="1"/>
  <c r="AF44" i="53"/>
  <c r="S44" i="53"/>
  <c r="AC44" i="53" s="1"/>
  <c r="AF72" i="53"/>
  <c r="AG72" i="53" s="1"/>
  <c r="AJ72" i="53"/>
  <c r="AB72" i="53"/>
  <c r="AL72" i="53" s="1"/>
  <c r="AJ21" i="53"/>
  <c r="AB36" i="53"/>
  <c r="AL36" i="53" s="1"/>
  <c r="AE37" i="53"/>
  <c r="AA37" i="53"/>
  <c r="AC49" i="53"/>
  <c r="AB49" i="53"/>
  <c r="AL49" i="53" s="1"/>
  <c r="AA31" i="53"/>
  <c r="AF12" i="53"/>
  <c r="AH74" i="53"/>
  <c r="AJ74" i="53"/>
  <c r="AA8" i="53"/>
  <c r="AB8" i="53" s="1"/>
  <c r="AL8" i="53" s="1"/>
  <c r="AF22" i="53"/>
  <c r="S22" i="53"/>
  <c r="AH29" i="53"/>
  <c r="AJ29" i="53"/>
  <c r="AH32" i="53"/>
  <c r="S41" i="53"/>
  <c r="AC41" i="53" s="1"/>
  <c r="AG41" i="53" s="1"/>
  <c r="AF86" i="53"/>
  <c r="AC7" i="53"/>
  <c r="AH10" i="53"/>
  <c r="AH11" i="53"/>
  <c r="AF19" i="53"/>
  <c r="AB29" i="53"/>
  <c r="AL29" i="53" s="1"/>
  <c r="AD61" i="53"/>
  <c r="AI61" i="53"/>
  <c r="AH61" i="53"/>
  <c r="AF61" i="53"/>
  <c r="AH38" i="53"/>
  <c r="AJ38" i="53"/>
  <c r="AH5" i="53"/>
  <c r="K2" i="53"/>
  <c r="D25" i="12" s="1"/>
  <c r="AH44" i="53"/>
  <c r="AJ44" i="53"/>
  <c r="AB35" i="53"/>
  <c r="AL35" i="53" s="1"/>
  <c r="AF24" i="53"/>
  <c r="AH76" i="53"/>
  <c r="AJ76" i="53"/>
  <c r="AF92" i="53"/>
  <c r="S92" i="53"/>
  <c r="AC92" i="53" s="1"/>
  <c r="S23" i="53"/>
  <c r="AC23" i="53" s="1"/>
  <c r="AG23" i="53" s="1"/>
  <c r="S24" i="53"/>
  <c r="AC24" i="53" s="1"/>
  <c r="AH99" i="53"/>
  <c r="AJ99" i="53"/>
  <c r="AH22" i="53"/>
  <c r="AJ22" i="53"/>
  <c r="AF35" i="53"/>
  <c r="AH86" i="53"/>
  <c r="AJ86" i="53"/>
  <c r="AF87" i="53"/>
  <c r="AJ12" i="53"/>
  <c r="AJ37" i="53"/>
  <c r="AB61" i="53"/>
  <c r="AL61" i="53" s="1"/>
  <c r="AC61" i="53"/>
  <c r="AE86" i="53"/>
  <c r="AA86" i="53"/>
  <c r="AB86" i="53" s="1"/>
  <c r="AL86" i="53" s="1"/>
  <c r="S6" i="53"/>
  <c r="AC6" i="53" s="1"/>
  <c r="AA7" i="53"/>
  <c r="AB7" i="53" s="1"/>
  <c r="AL7" i="53" s="1"/>
  <c r="AJ19" i="53"/>
  <c r="AJ25" i="53"/>
  <c r="AJ28" i="53"/>
  <c r="AC29" i="53"/>
  <c r="AJ35" i="53"/>
  <c r="AG70" i="53"/>
  <c r="AB73" i="53"/>
  <c r="AL73" i="53" s="1"/>
  <c r="AJ73" i="53"/>
  <c r="AF73" i="53"/>
  <c r="AG73" i="53" s="1"/>
  <c r="AF99" i="53"/>
  <c r="S99" i="53"/>
  <c r="AC99" i="53" s="1"/>
  <c r="AG8" i="53"/>
  <c r="AF48" i="53"/>
  <c r="AH71" i="53"/>
  <c r="AJ71" i="53"/>
  <c r="AF80" i="53"/>
  <c r="AG80" i="53" s="1"/>
  <c r="AA96" i="53"/>
  <c r="AJ97" i="53"/>
  <c r="AH97" i="53"/>
  <c r="AB14" i="53"/>
  <c r="AL14" i="53" s="1"/>
  <c r="S17" i="53"/>
  <c r="AC17" i="53" s="1"/>
  <c r="AA20" i="53"/>
  <c r="AB20" i="53" s="1"/>
  <c r="AL20" i="53" s="1"/>
  <c r="AJ41" i="53"/>
  <c r="S43" i="53"/>
  <c r="AC43" i="53" s="1"/>
  <c r="AG43" i="53" s="1"/>
  <c r="AJ43" i="53"/>
  <c r="S48" i="53"/>
  <c r="AC48" i="53" s="1"/>
  <c r="AF59" i="53"/>
  <c r="S59" i="53"/>
  <c r="AC59" i="53" s="1"/>
  <c r="S60" i="53"/>
  <c r="AC60" i="53" s="1"/>
  <c r="AJ70" i="53"/>
  <c r="S90" i="53"/>
  <c r="AC90" i="53" s="1"/>
  <c r="AF90" i="53"/>
  <c r="AB97" i="53"/>
  <c r="AL97" i="53" s="1"/>
  <c r="AA99" i="53"/>
  <c r="AJ58" i="53"/>
  <c r="AH58" i="53"/>
  <c r="AE60" i="53"/>
  <c r="AA60" i="53"/>
  <c r="S32" i="53"/>
  <c r="AC32" i="53" s="1"/>
  <c r="AA59" i="53"/>
  <c r="AB71" i="53"/>
  <c r="AL71" i="53" s="1"/>
  <c r="AF47" i="53"/>
  <c r="AB47" i="53"/>
  <c r="AL47" i="53" s="1"/>
  <c r="AA13" i="53"/>
  <c r="AF30" i="53"/>
  <c r="S30" i="53"/>
  <c r="S31" i="53"/>
  <c r="AC31" i="53" s="1"/>
  <c r="AG31" i="53" s="1"/>
  <c r="AF40" i="53"/>
  <c r="AG40" i="53" s="1"/>
  <c r="AB40" i="53"/>
  <c r="AL40" i="53" s="1"/>
  <c r="AJ57" i="53"/>
  <c r="AH57" i="53"/>
  <c r="AB77" i="53"/>
  <c r="AL77" i="53" s="1"/>
  <c r="AF77" i="53"/>
  <c r="AJ87" i="53"/>
  <c r="AH87" i="53"/>
  <c r="AF11" i="53"/>
  <c r="S38" i="53"/>
  <c r="AC38" i="53" s="1"/>
  <c r="AG38" i="53" s="1"/>
  <c r="AB45" i="53"/>
  <c r="AL45" i="53" s="1"/>
  <c r="AG71" i="53"/>
  <c r="S42" i="53"/>
  <c r="AC42" i="53" s="1"/>
  <c r="AG42" i="53" s="1"/>
  <c r="S81" i="53"/>
  <c r="AC81" i="53" s="1"/>
  <c r="AJ36" i="53"/>
  <c r="AA48" i="53"/>
  <c r="S63" i="53"/>
  <c r="AC63" i="53" s="1"/>
  <c r="AG63" i="53" s="1"/>
  <c r="AA80" i="53"/>
  <c r="AB80" i="53" s="1"/>
  <c r="AL80" i="53" s="1"/>
  <c r="S65" i="53"/>
  <c r="AB79" i="53"/>
  <c r="AL79" i="53" s="1"/>
  <c r="AA92" i="53"/>
  <c r="AA63" i="53"/>
  <c r="AG79" i="53"/>
  <c r="S83" i="53"/>
  <c r="S84" i="53"/>
  <c r="AC84" i="53" s="1"/>
  <c r="AB5" i="53" l="1"/>
  <c r="AL5" i="53" s="1"/>
  <c r="P2" i="55"/>
  <c r="AB16" i="53"/>
  <c r="AL16" i="53" s="1"/>
  <c r="AL3" i="55"/>
  <c r="E1" i="55" s="1"/>
  <c r="AG2" i="55"/>
  <c r="AB91" i="53"/>
  <c r="AL91" i="53" s="1"/>
  <c r="AG36" i="53"/>
  <c r="AG88" i="53"/>
  <c r="AG97" i="53"/>
  <c r="AG17" i="53"/>
  <c r="AG5" i="53"/>
  <c r="AG16" i="53"/>
  <c r="AG39" i="53"/>
  <c r="AB76" i="53"/>
  <c r="AL76" i="53" s="1"/>
  <c r="AG77" i="53"/>
  <c r="AG82" i="53"/>
  <c r="AG7" i="53"/>
  <c r="AG6" i="53"/>
  <c r="AG58" i="53"/>
  <c r="AG78" i="53"/>
  <c r="AB53" i="53"/>
  <c r="AL53" i="53" s="1"/>
  <c r="AB88" i="53"/>
  <c r="AL88" i="53" s="1"/>
  <c r="AG95" i="53"/>
  <c r="AB9" i="53"/>
  <c r="AL9" i="53" s="1"/>
  <c r="AG99" i="53"/>
  <c r="AB85" i="53"/>
  <c r="AL85" i="53" s="1"/>
  <c r="AB89" i="53"/>
  <c r="AL89" i="53" s="1"/>
  <c r="AG14" i="53"/>
  <c r="AG32" i="53"/>
  <c r="AG35" i="53"/>
  <c r="AG75" i="53"/>
  <c r="AG37" i="53"/>
  <c r="AG59" i="53"/>
  <c r="AG86" i="53"/>
  <c r="AG28" i="53"/>
  <c r="AB33" i="53"/>
  <c r="AL33" i="53" s="1"/>
  <c r="AG46" i="53"/>
  <c r="AB13" i="53"/>
  <c r="AL13" i="53" s="1"/>
  <c r="AG48" i="53"/>
  <c r="AB96" i="53"/>
  <c r="AL96" i="53" s="1"/>
  <c r="AB78" i="53"/>
  <c r="AL78" i="53" s="1"/>
  <c r="AG60" i="53"/>
  <c r="AG84" i="53"/>
  <c r="AB31" i="53"/>
  <c r="AL31" i="53" s="1"/>
  <c r="AG19" i="53"/>
  <c r="AG62" i="53"/>
  <c r="AG64" i="53"/>
  <c r="AG29" i="53"/>
  <c r="AG24" i="53"/>
  <c r="AC96" i="53"/>
  <c r="AG96" i="53" s="1"/>
  <c r="AJ3" i="53"/>
  <c r="G25" i="12" s="1"/>
  <c r="AG54" i="53"/>
  <c r="AG91" i="53"/>
  <c r="AB32" i="53"/>
  <c r="AL32" i="53" s="1"/>
  <c r="AG87" i="53"/>
  <c r="AG49" i="53"/>
  <c r="AG81" i="53"/>
  <c r="AB82" i="53"/>
  <c r="AL82" i="53" s="1"/>
  <c r="AB44" i="53"/>
  <c r="AL44" i="53" s="1"/>
  <c r="AG47" i="53"/>
  <c r="AG11" i="53"/>
  <c r="AB34" i="53"/>
  <c r="AL34" i="53" s="1"/>
  <c r="AB84" i="53"/>
  <c r="AL84" i="53" s="1"/>
  <c r="AB38" i="53"/>
  <c r="AL38" i="53" s="1"/>
  <c r="AG61" i="53"/>
  <c r="AG92" i="53"/>
  <c r="AC83" i="53"/>
  <c r="AG83" i="53" s="1"/>
  <c r="AB83" i="53"/>
  <c r="AL83" i="53" s="1"/>
  <c r="AB92" i="53"/>
  <c r="AL92" i="53" s="1"/>
  <c r="AB87" i="53"/>
  <c r="AL87" i="53" s="1"/>
  <c r="AB28" i="53"/>
  <c r="AL28" i="53" s="1"/>
  <c r="AI3" i="53"/>
  <c r="L25" i="12" s="1"/>
  <c r="L2" i="53"/>
  <c r="AC22" i="53"/>
  <c r="AG22" i="53" s="1"/>
  <c r="AB22" i="53"/>
  <c r="AL22" i="53" s="1"/>
  <c r="AB63" i="53"/>
  <c r="AL63" i="53" s="1"/>
  <c r="AB62" i="53"/>
  <c r="AL62" i="53" s="1"/>
  <c r="AB99" i="53"/>
  <c r="AL99" i="53" s="1"/>
  <c r="AB41" i="53"/>
  <c r="AL41" i="53" s="1"/>
  <c r="AG21" i="53"/>
  <c r="AG90" i="53"/>
  <c r="AB42" i="53"/>
  <c r="AL42" i="53" s="1"/>
  <c r="AB90" i="53"/>
  <c r="AL90" i="53" s="1"/>
  <c r="AB43" i="53"/>
  <c r="AL43" i="53" s="1"/>
  <c r="AB24" i="53"/>
  <c r="AL24" i="53" s="1"/>
  <c r="AB59" i="53"/>
  <c r="AL59" i="53" s="1"/>
  <c r="AG12" i="53"/>
  <c r="AH3" i="53"/>
  <c r="R2" i="53"/>
  <c r="Q2" i="53"/>
  <c r="AB65" i="53"/>
  <c r="AL65" i="53" s="1"/>
  <c r="AC65" i="53"/>
  <c r="AG65" i="53" s="1"/>
  <c r="AB6" i="53"/>
  <c r="AL6" i="53" s="1"/>
  <c r="AB17" i="53"/>
  <c r="AL17" i="53" s="1"/>
  <c r="AB23" i="53"/>
  <c r="AL23" i="53" s="1"/>
  <c r="AB81" i="53"/>
  <c r="AL81" i="53" s="1"/>
  <c r="AB12" i="53"/>
  <c r="AL12" i="53" s="1"/>
  <c r="AB19" i="53"/>
  <c r="AL19" i="53" s="1"/>
  <c r="AC30" i="53"/>
  <c r="AG30" i="53" s="1"/>
  <c r="AB30" i="53"/>
  <c r="AL30" i="53" s="1"/>
  <c r="AB48" i="53"/>
  <c r="AL48" i="53" s="1"/>
  <c r="AB37" i="53"/>
  <c r="AL37" i="53" s="1"/>
  <c r="AG44" i="53"/>
  <c r="AG34" i="53"/>
  <c r="G2" i="53" l="1"/>
  <c r="I25" i="12"/>
  <c r="E2" i="53"/>
  <c r="F25" i="12"/>
  <c r="E25" i="12" s="1"/>
  <c r="P2" i="53"/>
  <c r="AG2" i="53"/>
  <c r="K25" i="12" s="1"/>
  <c r="M25" i="12" s="1"/>
  <c r="R25" i="12" s="1"/>
  <c r="AL3" i="53"/>
  <c r="E1" i="53" s="1"/>
  <c r="J25" i="12" l="1"/>
  <c r="P5" i="63"/>
  <c r="R5" i="63" l="1"/>
  <c r="H15" i="65"/>
  <c r="H10" i="65"/>
  <c r="H13" i="65"/>
  <c r="H14" i="65"/>
  <c r="H12" i="65"/>
  <c r="M11" i="65" l="1"/>
  <c r="N13" i="65" s="1"/>
  <c r="R15" i="63"/>
  <c r="N15" i="65"/>
  <c r="O15" i="65" s="1"/>
  <c r="J5" i="63"/>
  <c r="J6" i="63" s="1"/>
  <c r="J7" i="63" s="1"/>
  <c r="J8" i="63" s="1"/>
  <c r="J9" i="63" s="1"/>
  <c r="J10" i="63" s="1"/>
  <c r="J11" i="63" s="1"/>
  <c r="J12" i="63" s="1"/>
  <c r="J13" i="63" s="1"/>
  <c r="G15" i="63"/>
  <c r="J10" i="65"/>
  <c r="G6" i="63"/>
  <c r="J12" i="65" s="1"/>
  <c r="G7" i="63"/>
  <c r="J13" i="65" s="1"/>
  <c r="G9" i="63"/>
  <c r="J15" i="65" s="1"/>
  <c r="G12" i="63"/>
  <c r="G10" i="63"/>
  <c r="G11" i="63"/>
  <c r="G8" i="63"/>
  <c r="J14" i="65" s="1"/>
  <c r="G13" i="63"/>
  <c r="E10" i="63"/>
  <c r="E13" i="63"/>
  <c r="E12" i="63"/>
  <c r="E11" i="63"/>
  <c r="E9" i="63"/>
  <c r="E15" i="63"/>
  <c r="E7" i="63"/>
  <c r="E8" i="63"/>
  <c r="E6" i="63"/>
  <c r="E14" i="63" l="1"/>
  <c r="H14" i="63"/>
  <c r="L8" i="65" s="1"/>
  <c r="E5" i="63"/>
  <c r="G5" i="63"/>
  <c r="I5" i="63" s="1"/>
  <c r="I6" i="63" s="1"/>
  <c r="I7" i="63" s="1"/>
  <c r="I8" i="63" s="1"/>
  <c r="I9" i="63" s="1"/>
  <c r="I10" i="63" s="1"/>
  <c r="I11" i="63" s="1"/>
  <c r="I12" i="63" s="1"/>
  <c r="I13" i="63" s="1"/>
  <c r="H15" i="63"/>
  <c r="D2" i="63"/>
  <c r="D25" i="47"/>
  <c r="D24" i="47"/>
  <c r="D23" i="47"/>
  <c r="D22" i="47"/>
  <c r="D21" i="47"/>
  <c r="D20" i="47"/>
  <c r="D19" i="47"/>
  <c r="D18" i="47"/>
  <c r="D17" i="47"/>
  <c r="G2" i="63" l="1"/>
  <c r="I14" i="63"/>
  <c r="D111" i="24" l="1"/>
  <c r="E111" i="24" s="1"/>
  <c r="D92" i="24"/>
  <c r="E92" i="24" s="1"/>
  <c r="L111" i="24"/>
  <c r="I109" i="24" s="1"/>
  <c r="H112" i="24"/>
  <c r="L106" i="24"/>
  <c r="I112" i="24" s="1"/>
  <c r="I110" i="24"/>
  <c r="E109" i="24"/>
  <c r="F106" i="24"/>
  <c r="E106" i="24"/>
  <c r="G106" i="24" s="1"/>
  <c r="G105" i="24"/>
  <c r="I105" i="24" s="1"/>
  <c r="D104" i="24"/>
  <c r="D106" i="24" s="1"/>
  <c r="H102" i="24"/>
  <c r="I102" i="24" s="1"/>
  <c r="F1" i="50"/>
  <c r="E5" i="50"/>
  <c r="K5" i="50"/>
  <c r="O5" i="50"/>
  <c r="AJ5" i="50" s="1"/>
  <c r="Z5" i="50"/>
  <c r="AA5" i="50" s="1"/>
  <c r="AD5" i="50"/>
  <c r="AF5" i="50"/>
  <c r="AH5" i="50"/>
  <c r="AI5" i="50"/>
  <c r="AL5" i="50"/>
  <c r="E61" i="50"/>
  <c r="K61" i="50"/>
  <c r="AH61" i="50" s="1"/>
  <c r="O61" i="50"/>
  <c r="S61" i="50" s="1"/>
  <c r="AC61" i="50" s="1"/>
  <c r="AA61" i="50"/>
  <c r="AD61" i="50"/>
  <c r="AE61" i="50"/>
  <c r="AI61" i="50"/>
  <c r="AI87" i="50"/>
  <c r="AE87" i="50"/>
  <c r="AD87" i="50"/>
  <c r="AC87" i="50"/>
  <c r="AA87" i="50"/>
  <c r="O87" i="50"/>
  <c r="AF87" i="50" s="1"/>
  <c r="K87" i="50"/>
  <c r="AH87" i="50" s="1"/>
  <c r="E87" i="50"/>
  <c r="AI86" i="50"/>
  <c r="AE86" i="50"/>
  <c r="AD86" i="50"/>
  <c r="AC86" i="50"/>
  <c r="AA86" i="50"/>
  <c r="O86" i="50"/>
  <c r="K86" i="50"/>
  <c r="AH86" i="50" s="1"/>
  <c r="E86" i="50"/>
  <c r="AI85" i="50"/>
  <c r="AE85" i="50"/>
  <c r="AD85" i="50"/>
  <c r="AC85" i="50"/>
  <c r="AA85" i="50"/>
  <c r="O85" i="50"/>
  <c r="AF85" i="50" s="1"/>
  <c r="K85" i="50"/>
  <c r="AH85" i="50" s="1"/>
  <c r="E85" i="50"/>
  <c r="AI84" i="50"/>
  <c r="AE84" i="50"/>
  <c r="AD84" i="50"/>
  <c r="AC84" i="50"/>
  <c r="AA84" i="50"/>
  <c r="O84" i="50"/>
  <c r="AF84" i="50" s="1"/>
  <c r="K84" i="50"/>
  <c r="AH84" i="50" s="1"/>
  <c r="E84" i="50"/>
  <c r="AI83" i="50"/>
  <c r="AE83" i="50"/>
  <c r="AD83" i="50"/>
  <c r="AC83" i="50"/>
  <c r="AA83" i="50"/>
  <c r="O83" i="50"/>
  <c r="AF83" i="50" s="1"/>
  <c r="K83" i="50"/>
  <c r="AH83" i="50" s="1"/>
  <c r="E83" i="50"/>
  <c r="AI82" i="50"/>
  <c r="AE82" i="50"/>
  <c r="AD82" i="50"/>
  <c r="AC82" i="50"/>
  <c r="AA82" i="50"/>
  <c r="O82" i="50"/>
  <c r="K82" i="50"/>
  <c r="AH82" i="50" s="1"/>
  <c r="E82" i="50"/>
  <c r="AI81" i="50"/>
  <c r="AE81" i="50"/>
  <c r="AD81" i="50"/>
  <c r="AC81" i="50"/>
  <c r="AA81" i="50"/>
  <c r="O81" i="50"/>
  <c r="AF81" i="50" s="1"/>
  <c r="K81" i="50"/>
  <c r="AH81" i="50" s="1"/>
  <c r="E81" i="50"/>
  <c r="AI80" i="50"/>
  <c r="AE80" i="50"/>
  <c r="AD80" i="50"/>
  <c r="AA80" i="50"/>
  <c r="O80" i="50"/>
  <c r="S80" i="50" s="1"/>
  <c r="K80" i="50"/>
  <c r="E80" i="50"/>
  <c r="AI79" i="50"/>
  <c r="AE79" i="50"/>
  <c r="AD79" i="50"/>
  <c r="AA79" i="50"/>
  <c r="O79" i="50"/>
  <c r="S79" i="50" s="1"/>
  <c r="K79" i="50"/>
  <c r="E79" i="50"/>
  <c r="AI78" i="50"/>
  <c r="AE78" i="50"/>
  <c r="AD78" i="50"/>
  <c r="AA78" i="50"/>
  <c r="O78" i="50"/>
  <c r="AF78" i="50" s="1"/>
  <c r="K78" i="50"/>
  <c r="E78" i="50"/>
  <c r="AI77" i="50"/>
  <c r="AD77" i="50"/>
  <c r="Z77" i="50"/>
  <c r="AA77" i="50" s="1"/>
  <c r="O77" i="50"/>
  <c r="AF77" i="50" s="1"/>
  <c r="K77" i="50"/>
  <c r="AH77" i="50" s="1"/>
  <c r="E77" i="50"/>
  <c r="AI76" i="50"/>
  <c r="AD76" i="50"/>
  <c r="Z76" i="50"/>
  <c r="AA76" i="50" s="1"/>
  <c r="O76" i="50"/>
  <c r="S76" i="50" s="1"/>
  <c r="AC76" i="50" s="1"/>
  <c r="K76" i="50"/>
  <c r="E76" i="50"/>
  <c r="AI75" i="50"/>
  <c r="AD75" i="50"/>
  <c r="Z75" i="50"/>
  <c r="AE75" i="50" s="1"/>
  <c r="O75" i="50"/>
  <c r="K75" i="50"/>
  <c r="E75" i="50"/>
  <c r="AI74" i="50"/>
  <c r="AE74" i="50"/>
  <c r="AD74" i="50"/>
  <c r="AC74" i="50"/>
  <c r="AA74" i="50"/>
  <c r="O74" i="50"/>
  <c r="AF74" i="50" s="1"/>
  <c r="K74" i="50"/>
  <c r="AH74" i="50" s="1"/>
  <c r="E74" i="50"/>
  <c r="AI73" i="50"/>
  <c r="AD73" i="50"/>
  <c r="Z73" i="50"/>
  <c r="O73" i="50"/>
  <c r="K73" i="50"/>
  <c r="E73" i="50"/>
  <c r="AI72" i="50"/>
  <c r="AD72" i="50"/>
  <c r="Z72" i="50"/>
  <c r="O72" i="50"/>
  <c r="AF72" i="50" s="1"/>
  <c r="K72" i="50"/>
  <c r="AH72" i="50" s="1"/>
  <c r="E72" i="50"/>
  <c r="AI71" i="50"/>
  <c r="AD71" i="50"/>
  <c r="AC71" i="50"/>
  <c r="Z71" i="50"/>
  <c r="AE71" i="50" s="1"/>
  <c r="O71" i="50"/>
  <c r="AF71" i="50" s="1"/>
  <c r="K71" i="50"/>
  <c r="AH71" i="50" s="1"/>
  <c r="E71" i="50"/>
  <c r="AI70" i="50"/>
  <c r="AD70" i="50"/>
  <c r="Z70" i="50"/>
  <c r="AE70" i="50" s="1"/>
  <c r="O70" i="50"/>
  <c r="AF70" i="50" s="1"/>
  <c r="K70" i="50"/>
  <c r="E70" i="50"/>
  <c r="AI69" i="50"/>
  <c r="AD69" i="50"/>
  <c r="Z69" i="50"/>
  <c r="AE69" i="50" s="1"/>
  <c r="O69" i="50"/>
  <c r="AF69" i="50" s="1"/>
  <c r="K69" i="50"/>
  <c r="AH69" i="50" s="1"/>
  <c r="E69" i="50"/>
  <c r="AI68" i="50"/>
  <c r="AE68" i="50"/>
  <c r="AD68" i="50"/>
  <c r="AA68" i="50"/>
  <c r="O68" i="50"/>
  <c r="AF68" i="50" s="1"/>
  <c r="K68" i="50"/>
  <c r="AH68" i="50" s="1"/>
  <c r="E68" i="50"/>
  <c r="AI67" i="50"/>
  <c r="AE67" i="50"/>
  <c r="AD67" i="50"/>
  <c r="AA67" i="50"/>
  <c r="O67" i="50"/>
  <c r="K67" i="50"/>
  <c r="AH67" i="50" s="1"/>
  <c r="E67" i="50"/>
  <c r="AI66" i="50"/>
  <c r="AE66" i="50"/>
  <c r="AD66" i="50"/>
  <c r="AA66" i="50"/>
  <c r="O66" i="50"/>
  <c r="AF66" i="50" s="1"/>
  <c r="K66" i="50"/>
  <c r="E66" i="50"/>
  <c r="AI65" i="50"/>
  <c r="AE65" i="50"/>
  <c r="AD65" i="50"/>
  <c r="AA65" i="50"/>
  <c r="O65" i="50"/>
  <c r="S65" i="50" s="1"/>
  <c r="AC65" i="50" s="1"/>
  <c r="K65" i="50"/>
  <c r="AH65" i="50" s="1"/>
  <c r="E65" i="50"/>
  <c r="AI64" i="50"/>
  <c r="AE64" i="50"/>
  <c r="AD64" i="50"/>
  <c r="AA64" i="50"/>
  <c r="O64" i="50"/>
  <c r="S64" i="50" s="1"/>
  <c r="AC64" i="50" s="1"/>
  <c r="K64" i="50"/>
  <c r="AH64" i="50" s="1"/>
  <c r="E64" i="50"/>
  <c r="AI63" i="50"/>
  <c r="AD63" i="50"/>
  <c r="Z63" i="50"/>
  <c r="AE63" i="50" s="1"/>
  <c r="O63" i="50"/>
  <c r="AF63" i="50" s="1"/>
  <c r="K63" i="50"/>
  <c r="AH63" i="50" s="1"/>
  <c r="E63" i="50"/>
  <c r="AI62" i="50"/>
  <c r="AD62" i="50"/>
  <c r="Z62" i="50"/>
  <c r="AE62" i="50" s="1"/>
  <c r="O62" i="50"/>
  <c r="K62" i="50"/>
  <c r="AH62" i="50" s="1"/>
  <c r="E62" i="50"/>
  <c r="AI60" i="50"/>
  <c r="AE60" i="50"/>
  <c r="AD60" i="50"/>
  <c r="AA60" i="50"/>
  <c r="O60" i="50"/>
  <c r="K60" i="50"/>
  <c r="AH60" i="50" s="1"/>
  <c r="E60" i="50"/>
  <c r="AI59" i="50"/>
  <c r="AE59" i="50"/>
  <c r="AD59" i="50"/>
  <c r="AA59" i="50"/>
  <c r="O59" i="50"/>
  <c r="K59" i="50"/>
  <c r="E59" i="50"/>
  <c r="AI58" i="50"/>
  <c r="AE58" i="50"/>
  <c r="AD58" i="50"/>
  <c r="AA58" i="50"/>
  <c r="O58" i="50"/>
  <c r="K58" i="50"/>
  <c r="E58" i="50"/>
  <c r="AI57" i="50"/>
  <c r="AE57" i="50"/>
  <c r="AD57" i="50"/>
  <c r="AA57" i="50"/>
  <c r="O57" i="50"/>
  <c r="S57" i="50" s="1"/>
  <c r="AC57" i="50" s="1"/>
  <c r="K57" i="50"/>
  <c r="AH57" i="50" s="1"/>
  <c r="E57" i="50"/>
  <c r="AI56" i="50"/>
  <c r="AE56" i="50"/>
  <c r="AD56" i="50"/>
  <c r="AA56" i="50"/>
  <c r="O56" i="50"/>
  <c r="S56" i="50" s="1"/>
  <c r="AC56" i="50" s="1"/>
  <c r="K56" i="50"/>
  <c r="AH56" i="50" s="1"/>
  <c r="E56" i="50"/>
  <c r="AI55" i="50"/>
  <c r="AE55" i="50"/>
  <c r="AD55" i="50"/>
  <c r="AA55" i="50"/>
  <c r="O55" i="50"/>
  <c r="S55" i="50" s="1"/>
  <c r="AC55" i="50" s="1"/>
  <c r="K55" i="50"/>
  <c r="E55" i="50"/>
  <c r="AI54" i="50"/>
  <c r="AE54" i="50"/>
  <c r="AD54" i="50"/>
  <c r="AA54" i="50"/>
  <c r="O54" i="50"/>
  <c r="K54" i="50"/>
  <c r="E54" i="50"/>
  <c r="AI53" i="50"/>
  <c r="AE53" i="50"/>
  <c r="AD53" i="50"/>
  <c r="AA53" i="50"/>
  <c r="O53" i="50"/>
  <c r="S53" i="50" s="1"/>
  <c r="K53" i="50"/>
  <c r="AH53" i="50" s="1"/>
  <c r="E53" i="50"/>
  <c r="AI52" i="50"/>
  <c r="AD52" i="50"/>
  <c r="Z52" i="50"/>
  <c r="AE52" i="50" s="1"/>
  <c r="O52" i="50"/>
  <c r="AF52" i="50" s="1"/>
  <c r="K52" i="50"/>
  <c r="E52" i="50"/>
  <c r="AI51" i="50"/>
  <c r="AD51" i="50"/>
  <c r="Z51" i="50"/>
  <c r="AE51" i="50" s="1"/>
  <c r="O51" i="50"/>
  <c r="K51" i="50"/>
  <c r="AH51" i="50" s="1"/>
  <c r="E51" i="50"/>
  <c r="AI50" i="50"/>
  <c r="AD50" i="50"/>
  <c r="Z50" i="50"/>
  <c r="AA50" i="50" s="1"/>
  <c r="O50" i="50"/>
  <c r="AF50" i="50" s="1"/>
  <c r="K50" i="50"/>
  <c r="E50" i="50"/>
  <c r="AI49" i="50"/>
  <c r="AD49" i="50"/>
  <c r="Z49" i="50"/>
  <c r="AA49" i="50" s="1"/>
  <c r="O49" i="50"/>
  <c r="S49" i="50" s="1"/>
  <c r="AC49" i="50" s="1"/>
  <c r="K49" i="50"/>
  <c r="E49" i="50"/>
  <c r="AI48" i="50"/>
  <c r="AD48" i="50"/>
  <c r="Z48" i="50"/>
  <c r="AA48" i="50" s="1"/>
  <c r="O48" i="50"/>
  <c r="K48" i="50"/>
  <c r="AH48" i="50" s="1"/>
  <c r="E48" i="50"/>
  <c r="AI47" i="50"/>
  <c r="AD47" i="50"/>
  <c r="Z47" i="50"/>
  <c r="O47" i="50"/>
  <c r="S47" i="50" s="1"/>
  <c r="AC47" i="50" s="1"/>
  <c r="K47" i="50"/>
  <c r="E47" i="50"/>
  <c r="AI46" i="50"/>
  <c r="AD46" i="50"/>
  <c r="Z46" i="50"/>
  <c r="AE46" i="50" s="1"/>
  <c r="O46" i="50"/>
  <c r="AF46" i="50" s="1"/>
  <c r="K46" i="50"/>
  <c r="E46" i="50"/>
  <c r="AI45" i="50"/>
  <c r="AD45" i="50"/>
  <c r="Z45" i="50"/>
  <c r="AE45" i="50" s="1"/>
  <c r="O45" i="50"/>
  <c r="AF45" i="50" s="1"/>
  <c r="K45" i="50"/>
  <c r="AH45" i="50" s="1"/>
  <c r="E45" i="50"/>
  <c r="AI44" i="50"/>
  <c r="AD44" i="50"/>
  <c r="Z44" i="50"/>
  <c r="AE44" i="50" s="1"/>
  <c r="O44" i="50"/>
  <c r="AF44" i="50" s="1"/>
  <c r="K44" i="50"/>
  <c r="AH44" i="50" s="1"/>
  <c r="E44" i="50"/>
  <c r="AI43" i="50"/>
  <c r="AD43" i="50"/>
  <c r="Z43" i="50"/>
  <c r="AA43" i="50" s="1"/>
  <c r="O43" i="50"/>
  <c r="S43" i="50" s="1"/>
  <c r="AC43" i="50" s="1"/>
  <c r="K43" i="50"/>
  <c r="AH43" i="50" s="1"/>
  <c r="E43" i="50"/>
  <c r="AI42" i="50"/>
  <c r="AD42" i="50"/>
  <c r="Z42" i="50"/>
  <c r="AE42" i="50" s="1"/>
  <c r="O42" i="50"/>
  <c r="K42" i="50"/>
  <c r="E42" i="50"/>
  <c r="AI41" i="50"/>
  <c r="AD41" i="50"/>
  <c r="Z41" i="50"/>
  <c r="AE41" i="50" s="1"/>
  <c r="O41" i="50"/>
  <c r="S41" i="50" s="1"/>
  <c r="AC41" i="50" s="1"/>
  <c r="K41" i="50"/>
  <c r="E41" i="50"/>
  <c r="AI40" i="50"/>
  <c r="AD40" i="50"/>
  <c r="Z40" i="50"/>
  <c r="AE40" i="50" s="1"/>
  <c r="O40" i="50"/>
  <c r="AF40" i="50" s="1"/>
  <c r="K40" i="50"/>
  <c r="E40" i="50"/>
  <c r="AI39" i="50"/>
  <c r="AD39" i="50"/>
  <c r="Z39" i="50"/>
  <c r="AE39" i="50" s="1"/>
  <c r="O39" i="50"/>
  <c r="AF39" i="50" s="1"/>
  <c r="K39" i="50"/>
  <c r="E39" i="50"/>
  <c r="AI38" i="50"/>
  <c r="AD38" i="50"/>
  <c r="Z38" i="50"/>
  <c r="AA38" i="50" s="1"/>
  <c r="O38" i="50"/>
  <c r="AF38" i="50" s="1"/>
  <c r="K38" i="50"/>
  <c r="AH38" i="50" s="1"/>
  <c r="E38" i="50"/>
  <c r="AI37" i="50"/>
  <c r="AD37" i="50"/>
  <c r="Z37" i="50"/>
  <c r="AA37" i="50" s="1"/>
  <c r="O37" i="50"/>
  <c r="S37" i="50" s="1"/>
  <c r="AC37" i="50" s="1"/>
  <c r="K37" i="50"/>
  <c r="AH37" i="50" s="1"/>
  <c r="E37" i="50"/>
  <c r="AI36" i="50"/>
  <c r="AD36" i="50"/>
  <c r="Z36" i="50"/>
  <c r="AE36" i="50" s="1"/>
  <c r="O36" i="50"/>
  <c r="K36" i="50"/>
  <c r="E36" i="50"/>
  <c r="AI35" i="50"/>
  <c r="AD35" i="50"/>
  <c r="Z35" i="50"/>
  <c r="AE35" i="50" s="1"/>
  <c r="O35" i="50"/>
  <c r="S35" i="50" s="1"/>
  <c r="AC35" i="50" s="1"/>
  <c r="K35" i="50"/>
  <c r="AH35" i="50" s="1"/>
  <c r="E35" i="50"/>
  <c r="AI34" i="50"/>
  <c r="AD34" i="50"/>
  <c r="Z34" i="50"/>
  <c r="AE34" i="50" s="1"/>
  <c r="O34" i="50"/>
  <c r="AF34" i="50" s="1"/>
  <c r="K34" i="50"/>
  <c r="E34" i="50"/>
  <c r="AI33" i="50"/>
  <c r="AD33" i="50"/>
  <c r="Z33" i="50"/>
  <c r="AE33" i="50" s="1"/>
  <c r="O33" i="50"/>
  <c r="S33" i="50" s="1"/>
  <c r="AC33" i="50" s="1"/>
  <c r="K33" i="50"/>
  <c r="E33" i="50"/>
  <c r="AI32" i="50"/>
  <c r="AD32" i="50"/>
  <c r="Z32" i="50"/>
  <c r="AA32" i="50" s="1"/>
  <c r="O32" i="50"/>
  <c r="AF32" i="50" s="1"/>
  <c r="K32" i="50"/>
  <c r="AH32" i="50" s="1"/>
  <c r="E32" i="50"/>
  <c r="AI31" i="50"/>
  <c r="AD31" i="50"/>
  <c r="Z31" i="50"/>
  <c r="AA31" i="50" s="1"/>
  <c r="O31" i="50"/>
  <c r="AF31" i="50" s="1"/>
  <c r="K31" i="50"/>
  <c r="E31" i="50"/>
  <c r="AI30" i="50"/>
  <c r="AD30" i="50"/>
  <c r="Z30" i="50"/>
  <c r="AE30" i="50" s="1"/>
  <c r="O30" i="50"/>
  <c r="S30" i="50" s="1"/>
  <c r="AC30" i="50" s="1"/>
  <c r="K30" i="50"/>
  <c r="E30" i="50"/>
  <c r="AI29" i="50"/>
  <c r="AD29" i="50"/>
  <c r="Z29" i="50"/>
  <c r="AE29" i="50" s="1"/>
  <c r="O29" i="50"/>
  <c r="S29" i="50" s="1"/>
  <c r="AC29" i="50" s="1"/>
  <c r="K29" i="50"/>
  <c r="AH29" i="50" s="1"/>
  <c r="E29" i="50"/>
  <c r="AI28" i="50"/>
  <c r="AD28" i="50"/>
  <c r="Z28" i="50"/>
  <c r="AE28" i="50" s="1"/>
  <c r="O28" i="50"/>
  <c r="S28" i="50" s="1"/>
  <c r="AC28" i="50" s="1"/>
  <c r="K28" i="50"/>
  <c r="E28" i="50"/>
  <c r="AI27" i="50"/>
  <c r="AD27" i="50"/>
  <c r="Z27" i="50"/>
  <c r="AE27" i="50" s="1"/>
  <c r="O27" i="50"/>
  <c r="AF27" i="50" s="1"/>
  <c r="K27" i="50"/>
  <c r="E27" i="50"/>
  <c r="AI26" i="50"/>
  <c r="AD26" i="50"/>
  <c r="Z26" i="50"/>
  <c r="AE26" i="50" s="1"/>
  <c r="O26" i="50"/>
  <c r="AF26" i="50" s="1"/>
  <c r="K26" i="50"/>
  <c r="E26" i="50"/>
  <c r="AI25" i="50"/>
  <c r="AD25" i="50"/>
  <c r="Z25" i="50"/>
  <c r="O25" i="50"/>
  <c r="K25" i="50"/>
  <c r="E25" i="50"/>
  <c r="AI24" i="50"/>
  <c r="AD24" i="50"/>
  <c r="Z24" i="50"/>
  <c r="O24" i="50"/>
  <c r="S24" i="50" s="1"/>
  <c r="AC24" i="50" s="1"/>
  <c r="K24" i="50"/>
  <c r="AH24" i="50" s="1"/>
  <c r="E24" i="50"/>
  <c r="AI23" i="50"/>
  <c r="AE23" i="50"/>
  <c r="AD23" i="50"/>
  <c r="AA23" i="50"/>
  <c r="O23" i="50"/>
  <c r="AF23" i="50" s="1"/>
  <c r="K23" i="50"/>
  <c r="E23" i="50"/>
  <c r="AI22" i="50"/>
  <c r="AD22" i="50"/>
  <c r="Z22" i="50"/>
  <c r="O22" i="50"/>
  <c r="K22" i="50"/>
  <c r="AH22" i="50" s="1"/>
  <c r="E22" i="50"/>
  <c r="AI21" i="50"/>
  <c r="AD21" i="50"/>
  <c r="Z21" i="50"/>
  <c r="AA21" i="50" s="1"/>
  <c r="O21" i="50"/>
  <c r="AF21" i="50" s="1"/>
  <c r="K21" i="50"/>
  <c r="E21" i="50"/>
  <c r="AI20" i="50"/>
  <c r="AD20" i="50"/>
  <c r="Z20" i="50"/>
  <c r="O20" i="50"/>
  <c r="K20" i="50"/>
  <c r="AH20" i="50" s="1"/>
  <c r="E20" i="50"/>
  <c r="AI19" i="50"/>
  <c r="AD19" i="50"/>
  <c r="Z19" i="50"/>
  <c r="AE19" i="50" s="1"/>
  <c r="O19" i="50"/>
  <c r="K19" i="50"/>
  <c r="AH19" i="50" s="1"/>
  <c r="E19" i="50"/>
  <c r="AI18" i="50"/>
  <c r="AD18" i="50"/>
  <c r="Z18" i="50"/>
  <c r="O18" i="50"/>
  <c r="AF18" i="50" s="1"/>
  <c r="K18" i="50"/>
  <c r="E18" i="50"/>
  <c r="AI17" i="50"/>
  <c r="AD17" i="50"/>
  <c r="Z17" i="50"/>
  <c r="AE17" i="50" s="1"/>
  <c r="O17" i="50"/>
  <c r="K17" i="50"/>
  <c r="AH17" i="50" s="1"/>
  <c r="E17" i="50"/>
  <c r="AI16" i="50"/>
  <c r="AD16" i="50"/>
  <c r="Z16" i="50"/>
  <c r="AE16" i="50" s="1"/>
  <c r="O16" i="50"/>
  <c r="AF16" i="50" s="1"/>
  <c r="K16" i="50"/>
  <c r="AH16" i="50" s="1"/>
  <c r="E16" i="50"/>
  <c r="AI15" i="50"/>
  <c r="AD15" i="50"/>
  <c r="Z15" i="50"/>
  <c r="O15" i="50"/>
  <c r="S15" i="50" s="1"/>
  <c r="AC15" i="50" s="1"/>
  <c r="K15" i="50"/>
  <c r="E15" i="50"/>
  <c r="AI14" i="50"/>
  <c r="AD14" i="50"/>
  <c r="Z14" i="50"/>
  <c r="AE14" i="50" s="1"/>
  <c r="O14" i="50"/>
  <c r="AF14" i="50" s="1"/>
  <c r="K14" i="50"/>
  <c r="E14" i="50"/>
  <c r="AI13" i="50"/>
  <c r="AD13" i="50"/>
  <c r="Z13" i="50"/>
  <c r="O13" i="50"/>
  <c r="S13" i="50" s="1"/>
  <c r="AC13" i="50" s="1"/>
  <c r="K13" i="50"/>
  <c r="E13" i="50"/>
  <c r="AI12" i="50"/>
  <c r="AD12" i="50"/>
  <c r="Z12" i="50"/>
  <c r="O12" i="50"/>
  <c r="AF12" i="50" s="1"/>
  <c r="K12" i="50"/>
  <c r="E12" i="50"/>
  <c r="AI11" i="50"/>
  <c r="AD11" i="50"/>
  <c r="Z11" i="50"/>
  <c r="AE11" i="50" s="1"/>
  <c r="O11" i="50"/>
  <c r="K11" i="50"/>
  <c r="E11" i="50"/>
  <c r="AI10" i="50"/>
  <c r="AD10" i="50"/>
  <c r="Z10" i="50"/>
  <c r="AE10" i="50" s="1"/>
  <c r="O10" i="50"/>
  <c r="AF10" i="50" s="1"/>
  <c r="K10" i="50"/>
  <c r="E10" i="50"/>
  <c r="AI9" i="50"/>
  <c r="AD9" i="50"/>
  <c r="Z9" i="50"/>
  <c r="O9" i="50"/>
  <c r="AF9" i="50" s="1"/>
  <c r="K9" i="50"/>
  <c r="AH9" i="50" s="1"/>
  <c r="E9" i="50"/>
  <c r="AI8" i="50"/>
  <c r="AD8" i="50"/>
  <c r="Z8" i="50"/>
  <c r="AE8" i="50" s="1"/>
  <c r="O8" i="50"/>
  <c r="AF8" i="50" s="1"/>
  <c r="K8" i="50"/>
  <c r="E8" i="50"/>
  <c r="AI7" i="50"/>
  <c r="AD7" i="50"/>
  <c r="Z7" i="50"/>
  <c r="O7" i="50"/>
  <c r="AF7" i="50" s="1"/>
  <c r="K7" i="50"/>
  <c r="AH7" i="50" s="1"/>
  <c r="E7" i="50"/>
  <c r="AI6" i="50"/>
  <c r="AD6" i="50"/>
  <c r="Z6" i="50"/>
  <c r="O6" i="50"/>
  <c r="S6" i="50" s="1"/>
  <c r="AC6" i="50" s="1"/>
  <c r="K6" i="50"/>
  <c r="AH6" i="50" s="1"/>
  <c r="E6" i="50"/>
  <c r="I2" i="50"/>
  <c r="C24" i="12" s="1"/>
  <c r="AE5" i="50" l="1"/>
  <c r="E113" i="24"/>
  <c r="I111" i="24" s="1"/>
  <c r="I106" i="24"/>
  <c r="I107" i="24" s="1"/>
  <c r="I113" i="24" s="1"/>
  <c r="AG5" i="50"/>
  <c r="S5" i="50"/>
  <c r="AB61" i="50"/>
  <c r="AL61" i="50" s="1"/>
  <c r="AJ61" i="50"/>
  <c r="AF61" i="50"/>
  <c r="AG61" i="50" s="1"/>
  <c r="AJ13" i="50"/>
  <c r="AJ8" i="50"/>
  <c r="AJ66" i="50"/>
  <c r="AJ27" i="50"/>
  <c r="AJ33" i="50"/>
  <c r="AF79" i="50"/>
  <c r="AB86" i="50"/>
  <c r="AL86" i="50" s="1"/>
  <c r="AE43" i="50"/>
  <c r="AE48" i="50"/>
  <c r="AJ26" i="50"/>
  <c r="AF43" i="50"/>
  <c r="AJ74" i="50"/>
  <c r="AE38" i="50"/>
  <c r="AB53" i="50"/>
  <c r="AL53" i="50" s="1"/>
  <c r="AJ23" i="50"/>
  <c r="AJ42" i="50"/>
  <c r="S72" i="50"/>
  <c r="AC72" i="50" s="1"/>
  <c r="AJ84" i="50"/>
  <c r="AJ29" i="50"/>
  <c r="AF37" i="50"/>
  <c r="AJ39" i="50"/>
  <c r="AJ43" i="50"/>
  <c r="AF56" i="50"/>
  <c r="AG56" i="50" s="1"/>
  <c r="AF64" i="50"/>
  <c r="AG64" i="50" s="1"/>
  <c r="AJ36" i="50"/>
  <c r="AA62" i="50"/>
  <c r="AB76" i="50"/>
  <c r="AL76" i="50" s="1"/>
  <c r="AH42" i="50"/>
  <c r="AF28" i="50"/>
  <c r="AG28" i="50" s="1"/>
  <c r="AJ9" i="50"/>
  <c r="S26" i="50"/>
  <c r="AC26" i="50" s="1"/>
  <c r="AG26" i="50" s="1"/>
  <c r="AF33" i="50"/>
  <c r="AG33" i="50" s="1"/>
  <c r="AF76" i="50"/>
  <c r="AB80" i="50"/>
  <c r="AL80" i="50" s="1"/>
  <c r="AJ81" i="50"/>
  <c r="AJ87" i="50"/>
  <c r="S45" i="50"/>
  <c r="AC45" i="50" s="1"/>
  <c r="AG45" i="50" s="1"/>
  <c r="AG74" i="50"/>
  <c r="S27" i="50"/>
  <c r="AC27" i="50" s="1"/>
  <c r="AG27" i="50" s="1"/>
  <c r="AA33" i="50"/>
  <c r="AB33" i="50" s="1"/>
  <c r="AL33" i="50" s="1"/>
  <c r="AA27" i="50"/>
  <c r="AE76" i="50"/>
  <c r="AH13" i="50"/>
  <c r="AH33" i="50"/>
  <c r="S46" i="50"/>
  <c r="AC46" i="50" s="1"/>
  <c r="AG46" i="50" s="1"/>
  <c r="AE49" i="50"/>
  <c r="AJ71" i="50"/>
  <c r="AJ83" i="50"/>
  <c r="S34" i="50"/>
  <c r="AC34" i="50" s="1"/>
  <c r="AG34" i="50" s="1"/>
  <c r="AE37" i="50"/>
  <c r="AF49" i="50"/>
  <c r="AA51" i="50"/>
  <c r="AF65" i="50"/>
  <c r="AG65" i="50" s="1"/>
  <c r="AB87" i="50"/>
  <c r="AL87" i="50" s="1"/>
  <c r="AA14" i="50"/>
  <c r="AE31" i="50"/>
  <c r="AH27" i="50"/>
  <c r="AJ14" i="50"/>
  <c r="AJ25" i="50"/>
  <c r="AH26" i="50"/>
  <c r="AJ57" i="50"/>
  <c r="AE7" i="50"/>
  <c r="AA7" i="50"/>
  <c r="AJ77" i="50"/>
  <c r="AH47" i="50"/>
  <c r="AJ47" i="50"/>
  <c r="AB55" i="50"/>
  <c r="AL55" i="50" s="1"/>
  <c r="AF55" i="50"/>
  <c r="AG55" i="50" s="1"/>
  <c r="AF11" i="50"/>
  <c r="S11" i="50"/>
  <c r="AC11" i="50" s="1"/>
  <c r="AJ80" i="50"/>
  <c r="AH80" i="50"/>
  <c r="AJ22" i="50"/>
  <c r="AF22" i="50"/>
  <c r="AJ15" i="50"/>
  <c r="AH15" i="50"/>
  <c r="S22" i="50"/>
  <c r="AC22" i="50" s="1"/>
  <c r="S31" i="50"/>
  <c r="AC31" i="50" s="1"/>
  <c r="AE32" i="50"/>
  <c r="S8" i="50"/>
  <c r="AC8" i="50" s="1"/>
  <c r="AG8" i="50" s="1"/>
  <c r="AE22" i="50"/>
  <c r="AA22" i="50"/>
  <c r="AH39" i="50"/>
  <c r="AJ50" i="50"/>
  <c r="AH50" i="50"/>
  <c r="AA18" i="50"/>
  <c r="AE18" i="50"/>
  <c r="AF25" i="50"/>
  <c r="S25" i="50"/>
  <c r="AC25" i="50" s="1"/>
  <c r="AJ31" i="50"/>
  <c r="AH31" i="50"/>
  <c r="AH36" i="50"/>
  <c r="S52" i="50"/>
  <c r="AC52" i="50" s="1"/>
  <c r="AG52" i="50" s="1"/>
  <c r="AJ10" i="50"/>
  <c r="AH10" i="50"/>
  <c r="AA15" i="50"/>
  <c r="AB15" i="50" s="1"/>
  <c r="AL15" i="50" s="1"/>
  <c r="AE15" i="50"/>
  <c r="AA12" i="50"/>
  <c r="AE12" i="50"/>
  <c r="S70" i="50"/>
  <c r="AC70" i="50" s="1"/>
  <c r="AG70" i="50" s="1"/>
  <c r="AJ19" i="50"/>
  <c r="AF19" i="50"/>
  <c r="AA28" i="50"/>
  <c r="AB28" i="50" s="1"/>
  <c r="AL28" i="50" s="1"/>
  <c r="AJ69" i="50"/>
  <c r="AG85" i="50"/>
  <c r="L2" i="50"/>
  <c r="K2" i="50"/>
  <c r="AA26" i="50"/>
  <c r="AJ18" i="50"/>
  <c r="AH18" i="50"/>
  <c r="AJ11" i="50"/>
  <c r="AH11" i="50"/>
  <c r="AH78" i="50"/>
  <c r="AJ78" i="50"/>
  <c r="AA25" i="50"/>
  <c r="AE25" i="50"/>
  <c r="AH41" i="50"/>
  <c r="AJ41" i="50"/>
  <c r="AJ45" i="50"/>
  <c r="S12" i="50"/>
  <c r="S19" i="50"/>
  <c r="AC19" i="50" s="1"/>
  <c r="AJ30" i="50"/>
  <c r="AH30" i="50"/>
  <c r="AJ51" i="50"/>
  <c r="AJ85" i="50"/>
  <c r="AJ21" i="50"/>
  <c r="AJ72" i="50"/>
  <c r="S78" i="50"/>
  <c r="AC78" i="50" s="1"/>
  <c r="AG78" i="50" s="1"/>
  <c r="S39" i="50"/>
  <c r="AC39" i="50" s="1"/>
  <c r="AG39" i="50" s="1"/>
  <c r="AA45" i="50"/>
  <c r="AG87" i="50"/>
  <c r="AF51" i="50"/>
  <c r="AB81" i="50"/>
  <c r="AL81" i="50" s="1"/>
  <c r="AG83" i="50"/>
  <c r="AH21" i="50"/>
  <c r="AJ37" i="50"/>
  <c r="AA39" i="50"/>
  <c r="AA40" i="50"/>
  <c r="AA44" i="50"/>
  <c r="AJ48" i="50"/>
  <c r="AE50" i="50"/>
  <c r="AJ56" i="50"/>
  <c r="AB65" i="50"/>
  <c r="AL65" i="50" s="1"/>
  <c r="AB74" i="50"/>
  <c r="AL74" i="50" s="1"/>
  <c r="AE77" i="50"/>
  <c r="AG81" i="50"/>
  <c r="AJ82" i="50"/>
  <c r="S40" i="50"/>
  <c r="AC40" i="50" s="1"/>
  <c r="AG40" i="50" s="1"/>
  <c r="AA46" i="50"/>
  <c r="AA69" i="50"/>
  <c r="AA70" i="50"/>
  <c r="AC80" i="50"/>
  <c r="AB82" i="50"/>
  <c r="AL82" i="50" s="1"/>
  <c r="AG84" i="50"/>
  <c r="AF15" i="50"/>
  <c r="AB43" i="50"/>
  <c r="AL43" i="50" s="1"/>
  <c r="AB49" i="50"/>
  <c r="AL49" i="50" s="1"/>
  <c r="AB64" i="50"/>
  <c r="AL64" i="50" s="1"/>
  <c r="AB83" i="50"/>
  <c r="AL83" i="50" s="1"/>
  <c r="AB85" i="50"/>
  <c r="AL85" i="50" s="1"/>
  <c r="AH66" i="50"/>
  <c r="AF80" i="50"/>
  <c r="AF86" i="50"/>
  <c r="AG86" i="50" s="1"/>
  <c r="AA71" i="50"/>
  <c r="AB71" i="50" s="1"/>
  <c r="AL71" i="50" s="1"/>
  <c r="AB84" i="50"/>
  <c r="AL84" i="50" s="1"/>
  <c r="AJ12" i="50"/>
  <c r="AA34" i="50"/>
  <c r="AB37" i="50"/>
  <c r="AL37" i="50" s="1"/>
  <c r="AB56" i="50"/>
  <c r="AL56" i="50" s="1"/>
  <c r="AF82" i="50"/>
  <c r="AG82" i="50" s="1"/>
  <c r="AE20" i="50"/>
  <c r="AA20" i="50"/>
  <c r="AF54" i="50"/>
  <c r="AF17" i="50"/>
  <c r="S17" i="50"/>
  <c r="AC17" i="50" s="1"/>
  <c r="S54" i="50"/>
  <c r="AC54" i="50" s="1"/>
  <c r="AF67" i="50"/>
  <c r="S67" i="50"/>
  <c r="AC67" i="50" s="1"/>
  <c r="AA6" i="50"/>
  <c r="AB6" i="50" s="1"/>
  <c r="AL6" i="50" s="1"/>
  <c r="AE6" i="50"/>
  <c r="S16" i="50"/>
  <c r="AJ20" i="50"/>
  <c r="AF35" i="50"/>
  <c r="AG35" i="50" s="1"/>
  <c r="AJ53" i="50"/>
  <c r="AF53" i="50"/>
  <c r="AJ58" i="50"/>
  <c r="AH58" i="50"/>
  <c r="AJ64" i="50"/>
  <c r="AJ46" i="50"/>
  <c r="AH46" i="50"/>
  <c r="AJ54" i="50"/>
  <c r="AH54" i="50"/>
  <c r="AJ73" i="50"/>
  <c r="AH73" i="50"/>
  <c r="AJ6" i="50"/>
  <c r="AF13" i="50"/>
  <c r="S23" i="50"/>
  <c r="AC23" i="50" s="1"/>
  <c r="AG23" i="50" s="1"/>
  <c r="AF41" i="50"/>
  <c r="AG41" i="50" s="1"/>
  <c r="AA52" i="50"/>
  <c r="AC53" i="50"/>
  <c r="AJ60" i="50"/>
  <c r="AJ62" i="50"/>
  <c r="AJ63" i="50"/>
  <c r="AJ67" i="50"/>
  <c r="S73" i="50"/>
  <c r="AC73" i="50" s="1"/>
  <c r="AF73" i="50"/>
  <c r="AJ76" i="50"/>
  <c r="AH76" i="50"/>
  <c r="AJ28" i="50"/>
  <c r="AH28" i="50"/>
  <c r="AF6" i="50"/>
  <c r="AJ34" i="50"/>
  <c r="AH34" i="50"/>
  <c r="AH75" i="50"/>
  <c r="AJ75" i="50"/>
  <c r="AF57" i="50"/>
  <c r="AG57" i="50" s="1"/>
  <c r="AB57" i="50"/>
  <c r="AL57" i="50" s="1"/>
  <c r="AJ40" i="50"/>
  <c r="AH40" i="50"/>
  <c r="AF48" i="50"/>
  <c r="S48" i="50"/>
  <c r="AC48" i="50" s="1"/>
  <c r="S60" i="50"/>
  <c r="AC60" i="50" s="1"/>
  <c r="AF60" i="50"/>
  <c r="S59" i="50"/>
  <c r="AC59" i="50" s="1"/>
  <c r="AF59" i="50"/>
  <c r="AC79" i="50"/>
  <c r="AB79" i="50"/>
  <c r="AL79" i="50" s="1"/>
  <c r="AA16" i="50"/>
  <c r="AA24" i="50"/>
  <c r="AB24" i="50" s="1"/>
  <c r="AL24" i="50" s="1"/>
  <c r="AE24" i="50"/>
  <c r="AJ17" i="50"/>
  <c r="AJ35" i="50"/>
  <c r="S62" i="50"/>
  <c r="AC62" i="50" s="1"/>
  <c r="AF62" i="50"/>
  <c r="AE72" i="50"/>
  <c r="AA72" i="50"/>
  <c r="AJ55" i="50"/>
  <c r="AH55" i="50"/>
  <c r="AF24" i="50"/>
  <c r="AF75" i="50"/>
  <c r="S75" i="50"/>
  <c r="AC75" i="50" s="1"/>
  <c r="S9" i="50"/>
  <c r="AJ16" i="50"/>
  <c r="AF20" i="50"/>
  <c r="AG71" i="50"/>
  <c r="AA8" i="50"/>
  <c r="AA19" i="50"/>
  <c r="AE47" i="50"/>
  <c r="AA47" i="50"/>
  <c r="AB47" i="50" s="1"/>
  <c r="AL47" i="50" s="1"/>
  <c r="AF58" i="50"/>
  <c r="S58" i="50"/>
  <c r="AC58" i="50" s="1"/>
  <c r="AH25" i="50"/>
  <c r="AA73" i="50"/>
  <c r="AE73" i="50"/>
  <c r="S10" i="50"/>
  <c r="AC10" i="50" s="1"/>
  <c r="AG10" i="50" s="1"/>
  <c r="AE13" i="50"/>
  <c r="AA13" i="50"/>
  <c r="AB13" i="50" s="1"/>
  <c r="AL13" i="50" s="1"/>
  <c r="AJ24" i="50"/>
  <c r="AA9" i="50"/>
  <c r="AE9" i="50"/>
  <c r="AH14" i="50"/>
  <c r="S20" i="50"/>
  <c r="AC20" i="50" s="1"/>
  <c r="AF29" i="50"/>
  <c r="AG29" i="50" s="1"/>
  <c r="AF47" i="50"/>
  <c r="AJ59" i="50"/>
  <c r="AH59" i="50"/>
  <c r="S21" i="50"/>
  <c r="AC21" i="50" s="1"/>
  <c r="S66" i="50"/>
  <c r="AC66" i="50" s="1"/>
  <c r="AG66" i="50" s="1"/>
  <c r="AJ49" i="50"/>
  <c r="AH49" i="50"/>
  <c r="S42" i="50"/>
  <c r="AC42" i="50" s="1"/>
  <c r="S63" i="50"/>
  <c r="AC63" i="50" s="1"/>
  <c r="AG63" i="50" s="1"/>
  <c r="AJ32" i="50"/>
  <c r="AJ38" i="50"/>
  <c r="AJ44" i="50"/>
  <c r="AA75" i="50"/>
  <c r="S7" i="50"/>
  <c r="AC7" i="50" s="1"/>
  <c r="AH8" i="50"/>
  <c r="AA10" i="50"/>
  <c r="S14" i="50"/>
  <c r="AC14" i="50" s="1"/>
  <c r="AG14" i="50" s="1"/>
  <c r="AA17" i="50"/>
  <c r="AH12" i="50"/>
  <c r="S18" i="50"/>
  <c r="AC18" i="50" s="1"/>
  <c r="AH23" i="50"/>
  <c r="AA30" i="50"/>
  <c r="AB30" i="50" s="1"/>
  <c r="AL30" i="50" s="1"/>
  <c r="AA36" i="50"/>
  <c r="AA42" i="50"/>
  <c r="S50" i="50"/>
  <c r="AC50" i="50" s="1"/>
  <c r="AA63" i="50"/>
  <c r="S69" i="50"/>
  <c r="AC69" i="50" s="1"/>
  <c r="AG69" i="50" s="1"/>
  <c r="AJ7" i="50"/>
  <c r="AA29" i="50"/>
  <c r="AB29" i="50" s="1"/>
  <c r="AL29" i="50" s="1"/>
  <c r="AA35" i="50"/>
  <c r="AB35" i="50" s="1"/>
  <c r="AL35" i="50" s="1"/>
  <c r="S36" i="50"/>
  <c r="AC36" i="50" s="1"/>
  <c r="AA41" i="50"/>
  <c r="AB41" i="50" s="1"/>
  <c r="AL41" i="50" s="1"/>
  <c r="S32" i="50"/>
  <c r="S38" i="50"/>
  <c r="S44" i="50"/>
  <c r="S51" i="50"/>
  <c r="AC51" i="50" s="1"/>
  <c r="AJ52" i="50"/>
  <c r="AH52" i="50"/>
  <c r="AA11" i="50"/>
  <c r="AE21" i="50"/>
  <c r="AF30" i="50"/>
  <c r="AG30" i="50" s="1"/>
  <c r="AF36" i="50"/>
  <c r="AF42" i="50"/>
  <c r="AJ79" i="50"/>
  <c r="AH79" i="50"/>
  <c r="AJ68" i="50"/>
  <c r="AJ70" i="50"/>
  <c r="AH70" i="50"/>
  <c r="AJ86" i="50"/>
  <c r="AJ65" i="50"/>
  <c r="S68" i="50"/>
  <c r="AC68" i="50" s="1"/>
  <c r="AG68" i="50" s="1"/>
  <c r="S77" i="50"/>
  <c r="AC77" i="50" s="1"/>
  <c r="AI3" i="50" l="1"/>
  <c r="L24" i="12" s="1"/>
  <c r="D24" i="12"/>
  <c r="AB68" i="50"/>
  <c r="AL68" i="50" s="1"/>
  <c r="AB22" i="50"/>
  <c r="AL22" i="50" s="1"/>
  <c r="AG67" i="50"/>
  <c r="AG79" i="50"/>
  <c r="AB31" i="50"/>
  <c r="AL31" i="50" s="1"/>
  <c r="AG22" i="50"/>
  <c r="AG11" i="50"/>
  <c r="AB39" i="50"/>
  <c r="AL39" i="50" s="1"/>
  <c r="AG58" i="50"/>
  <c r="AG43" i="50"/>
  <c r="AG76" i="50"/>
  <c r="AB72" i="50"/>
  <c r="AL72" i="50" s="1"/>
  <c r="AG72" i="50"/>
  <c r="AG77" i="50"/>
  <c r="AB27" i="50"/>
  <c r="AL27" i="50" s="1"/>
  <c r="AG37" i="50"/>
  <c r="AG31" i="50"/>
  <c r="AB34" i="50"/>
  <c r="AL34" i="50" s="1"/>
  <c r="AG49" i="50"/>
  <c r="AG15" i="50"/>
  <c r="AG50" i="50"/>
  <c r="AG21" i="50"/>
  <c r="AB46" i="50"/>
  <c r="AL46" i="50" s="1"/>
  <c r="AG19" i="50"/>
  <c r="AG51" i="50"/>
  <c r="AB26" i="50"/>
  <c r="AL26" i="50" s="1"/>
  <c r="AG18" i="50"/>
  <c r="AG73" i="50"/>
  <c r="AG75" i="50"/>
  <c r="AG80" i="50"/>
  <c r="AB78" i="50"/>
  <c r="AL78" i="50" s="1"/>
  <c r="AG25" i="50"/>
  <c r="AB70" i="50"/>
  <c r="AL70" i="50" s="1"/>
  <c r="AB45" i="50"/>
  <c r="AL45" i="50" s="1"/>
  <c r="AB69" i="50"/>
  <c r="AL69" i="50" s="1"/>
  <c r="AB19" i="50"/>
  <c r="AL19" i="50" s="1"/>
  <c r="AG7" i="50"/>
  <c r="AB8" i="50"/>
  <c r="AL8" i="50" s="1"/>
  <c r="AB54" i="50"/>
  <c r="AL54" i="50" s="1"/>
  <c r="AB12" i="50"/>
  <c r="AL12" i="50" s="1"/>
  <c r="AC12" i="50"/>
  <c r="AG12" i="50" s="1"/>
  <c r="AG13" i="50"/>
  <c r="AB40" i="50"/>
  <c r="AL40" i="50" s="1"/>
  <c r="AG48" i="50"/>
  <c r="AB25" i="50"/>
  <c r="AL25" i="50" s="1"/>
  <c r="AB51" i="50"/>
  <c r="AL51" i="50" s="1"/>
  <c r="AG59" i="50"/>
  <c r="AG20" i="50"/>
  <c r="AG24" i="50"/>
  <c r="AG17" i="50"/>
  <c r="AB11" i="50"/>
  <c r="AL11" i="50" s="1"/>
  <c r="AB23" i="50"/>
  <c r="AL23" i="50" s="1"/>
  <c r="AG47" i="50"/>
  <c r="AB18" i="50"/>
  <c r="AL18" i="50" s="1"/>
  <c r="AB52" i="50"/>
  <c r="AL52" i="50" s="1"/>
  <c r="AG6" i="50"/>
  <c r="AB10" i="50"/>
  <c r="AL10" i="50" s="1"/>
  <c r="AG62" i="50"/>
  <c r="AB62" i="50"/>
  <c r="AL62" i="50" s="1"/>
  <c r="AB42" i="50"/>
  <c r="AL42" i="50" s="1"/>
  <c r="AB44" i="50"/>
  <c r="AL44" i="50" s="1"/>
  <c r="AC44" i="50"/>
  <c r="AG44" i="50" s="1"/>
  <c r="AG53" i="50"/>
  <c r="AC16" i="50"/>
  <c r="AG16" i="50" s="1"/>
  <c r="AB16" i="50"/>
  <c r="AL16" i="50" s="1"/>
  <c r="AG54" i="50"/>
  <c r="AB63" i="50"/>
  <c r="AL63" i="50" s="1"/>
  <c r="AB66" i="50"/>
  <c r="AL66" i="50" s="1"/>
  <c r="AB38" i="50"/>
  <c r="AL38" i="50" s="1"/>
  <c r="AC38" i="50"/>
  <c r="AG38" i="50" s="1"/>
  <c r="AB36" i="50"/>
  <c r="AL36" i="50" s="1"/>
  <c r="AB7" i="50"/>
  <c r="AL7" i="50" s="1"/>
  <c r="AB20" i="50"/>
  <c r="AL20" i="50" s="1"/>
  <c r="AB75" i="50"/>
  <c r="AL75" i="50" s="1"/>
  <c r="AB60" i="50"/>
  <c r="AL60" i="50" s="1"/>
  <c r="AC32" i="50"/>
  <c r="AG32" i="50" s="1"/>
  <c r="AB32" i="50"/>
  <c r="AL32" i="50" s="1"/>
  <c r="AB58" i="50"/>
  <c r="AL58" i="50" s="1"/>
  <c r="AB48" i="50"/>
  <c r="AL48" i="50" s="1"/>
  <c r="AG60" i="50"/>
  <c r="AB17" i="50"/>
  <c r="AL17" i="50" s="1"/>
  <c r="AG42" i="50"/>
  <c r="AG36" i="50"/>
  <c r="AB77" i="50"/>
  <c r="AL77" i="50" s="1"/>
  <c r="AB14" i="50"/>
  <c r="AL14" i="50" s="1"/>
  <c r="AB9" i="50"/>
  <c r="AL9" i="50" s="1"/>
  <c r="AC9" i="50"/>
  <c r="AG9" i="50" s="1"/>
  <c r="AB73" i="50"/>
  <c r="AL73" i="50" s="1"/>
  <c r="AH3" i="50"/>
  <c r="R2" i="50"/>
  <c r="Q2" i="50"/>
  <c r="AB67" i="50"/>
  <c r="AL67" i="50" s="1"/>
  <c r="AB50" i="50"/>
  <c r="AL50" i="50" s="1"/>
  <c r="AB59" i="50"/>
  <c r="AL59" i="50" s="1"/>
  <c r="AB21" i="50"/>
  <c r="AL21" i="50" s="1"/>
  <c r="AJ3" i="50"/>
  <c r="G24" i="12" s="1"/>
  <c r="G2" i="50" l="1"/>
  <c r="I24" i="12"/>
  <c r="E2" i="50"/>
  <c r="C2" i="50" s="1"/>
  <c r="F24" i="12"/>
  <c r="AG2" i="50"/>
  <c r="K24" i="12" s="1"/>
  <c r="M24" i="12" s="1"/>
  <c r="R24" i="12" s="1"/>
  <c r="AL3" i="50"/>
  <c r="E1" i="50" s="1"/>
  <c r="E24" i="12" l="1"/>
  <c r="J24" i="12"/>
  <c r="AI63" i="49"/>
  <c r="AE63" i="49"/>
  <c r="AD63" i="49"/>
  <c r="AC63" i="49"/>
  <c r="AA63" i="49"/>
  <c r="O63" i="49"/>
  <c r="K63" i="49"/>
  <c r="E63" i="49"/>
  <c r="AI62" i="49"/>
  <c r="AE62" i="49"/>
  <c r="AD62" i="49"/>
  <c r="AC62" i="49"/>
  <c r="AA62" i="49"/>
  <c r="O62" i="49"/>
  <c r="K62" i="49"/>
  <c r="E62" i="49"/>
  <c r="AI61" i="49"/>
  <c r="AE61" i="49"/>
  <c r="AD61" i="49"/>
  <c r="AC61" i="49"/>
  <c r="AA61" i="49"/>
  <c r="O61" i="49"/>
  <c r="AF61" i="49" s="1"/>
  <c r="K61" i="49"/>
  <c r="AH61" i="49" s="1"/>
  <c r="E61" i="49"/>
  <c r="AI60" i="49"/>
  <c r="AE60" i="49"/>
  <c r="AD60" i="49"/>
  <c r="AC60" i="49"/>
  <c r="AA60" i="49"/>
  <c r="O60" i="49"/>
  <c r="K60" i="49"/>
  <c r="E60" i="49"/>
  <c r="AI59" i="49"/>
  <c r="AE59" i="49"/>
  <c r="AD59" i="49"/>
  <c r="AC59" i="49"/>
  <c r="AA59" i="49"/>
  <c r="O59" i="49"/>
  <c r="K59" i="49"/>
  <c r="E59" i="49"/>
  <c r="AI58" i="49"/>
  <c r="AD58" i="49"/>
  <c r="Z58" i="49"/>
  <c r="O58" i="49"/>
  <c r="AF58" i="49" s="1"/>
  <c r="K58" i="49"/>
  <c r="E58" i="49"/>
  <c r="AI57" i="49"/>
  <c r="AD57" i="49"/>
  <c r="Z57" i="49"/>
  <c r="AE57" i="49" s="1"/>
  <c r="O57" i="49"/>
  <c r="AF57" i="49" s="1"/>
  <c r="K57" i="49"/>
  <c r="E57" i="49"/>
  <c r="AI56" i="49"/>
  <c r="AD56" i="49"/>
  <c r="Z56" i="49"/>
  <c r="AE56" i="49" s="1"/>
  <c r="O56" i="49"/>
  <c r="AF56" i="49" s="1"/>
  <c r="K56" i="49"/>
  <c r="AH56" i="49" s="1"/>
  <c r="E56" i="49"/>
  <c r="AI55" i="49"/>
  <c r="AE55" i="49"/>
  <c r="AD55" i="49"/>
  <c r="AC55" i="49"/>
  <c r="AA55" i="49"/>
  <c r="O55" i="49"/>
  <c r="K55" i="49"/>
  <c r="AH55" i="49" s="1"/>
  <c r="E55" i="49"/>
  <c r="AI54" i="49"/>
  <c r="AD54" i="49"/>
  <c r="Z54" i="49"/>
  <c r="AA54" i="49" s="1"/>
  <c r="O54" i="49"/>
  <c r="AF54" i="49" s="1"/>
  <c r="K54" i="49"/>
  <c r="E54" i="49"/>
  <c r="AI53" i="49"/>
  <c r="AD53" i="49"/>
  <c r="Z53" i="49"/>
  <c r="AE53" i="49" s="1"/>
  <c r="O53" i="49"/>
  <c r="AF53" i="49" s="1"/>
  <c r="K53" i="49"/>
  <c r="AL53" i="49" s="1"/>
  <c r="E53" i="49"/>
  <c r="AI52" i="49"/>
  <c r="AD52" i="49"/>
  <c r="Z52" i="49"/>
  <c r="AA52" i="49" s="1"/>
  <c r="O52" i="49"/>
  <c r="AF52" i="49" s="1"/>
  <c r="K52" i="49"/>
  <c r="AH52" i="49" s="1"/>
  <c r="E52" i="49"/>
  <c r="AI51" i="49"/>
  <c r="AD51" i="49"/>
  <c r="Z51" i="49"/>
  <c r="AE51" i="49" s="1"/>
  <c r="O51" i="49"/>
  <c r="S51" i="49" s="1"/>
  <c r="AC51" i="49" s="1"/>
  <c r="K51" i="49"/>
  <c r="E51" i="49"/>
  <c r="AI50" i="49"/>
  <c r="AD50" i="49"/>
  <c r="Z50" i="49"/>
  <c r="AE50" i="49" s="1"/>
  <c r="O50" i="49"/>
  <c r="AF50" i="49" s="1"/>
  <c r="K50" i="49"/>
  <c r="E50" i="49"/>
  <c r="AI49" i="49"/>
  <c r="AE49" i="49"/>
  <c r="AD49" i="49"/>
  <c r="AC49" i="49"/>
  <c r="AA49" i="49"/>
  <c r="O49" i="49"/>
  <c r="K49" i="49"/>
  <c r="AH49" i="49" s="1"/>
  <c r="E49" i="49"/>
  <c r="AI48" i="49"/>
  <c r="AE48" i="49"/>
  <c r="AD48" i="49"/>
  <c r="AC48" i="49"/>
  <c r="AA48" i="49"/>
  <c r="O48" i="49"/>
  <c r="K48" i="49"/>
  <c r="E48" i="49"/>
  <c r="AI47" i="49"/>
  <c r="AE47" i="49"/>
  <c r="AD47" i="49"/>
  <c r="AC47" i="49"/>
  <c r="AA47" i="49"/>
  <c r="O47" i="49"/>
  <c r="AF47" i="49" s="1"/>
  <c r="K47" i="49"/>
  <c r="E47" i="49"/>
  <c r="AI46" i="49"/>
  <c r="AE46" i="49"/>
  <c r="AD46" i="49"/>
  <c r="AC46" i="49"/>
  <c r="AA46" i="49"/>
  <c r="O46" i="49"/>
  <c r="K46" i="49"/>
  <c r="AH46" i="49" s="1"/>
  <c r="E46" i="49"/>
  <c r="AI45" i="49"/>
  <c r="AE45" i="49"/>
  <c r="AD45" i="49"/>
  <c r="AC45" i="49"/>
  <c r="AA45" i="49"/>
  <c r="O45" i="49"/>
  <c r="K45" i="49"/>
  <c r="AH45" i="49" s="1"/>
  <c r="E45" i="49"/>
  <c r="AI44" i="49"/>
  <c r="AE44" i="49"/>
  <c r="AD44" i="49"/>
  <c r="AC44" i="49"/>
  <c r="AA44" i="49"/>
  <c r="O44" i="49"/>
  <c r="K44" i="49"/>
  <c r="AH44" i="49" s="1"/>
  <c r="E44" i="49"/>
  <c r="AI43" i="49"/>
  <c r="AE43" i="49"/>
  <c r="AD43" i="49"/>
  <c r="AC43" i="49"/>
  <c r="AA43" i="49"/>
  <c r="O43" i="49"/>
  <c r="AF43" i="49" s="1"/>
  <c r="K43" i="49"/>
  <c r="AH43" i="49" s="1"/>
  <c r="E43" i="49"/>
  <c r="AI42" i="49"/>
  <c r="AD42" i="49"/>
  <c r="Z42" i="49"/>
  <c r="AE42" i="49" s="1"/>
  <c r="O42" i="49"/>
  <c r="AF42" i="49" s="1"/>
  <c r="K42" i="49"/>
  <c r="E42" i="49"/>
  <c r="AI41" i="49"/>
  <c r="AD41" i="49"/>
  <c r="Z41" i="49"/>
  <c r="AE41" i="49" s="1"/>
  <c r="O41" i="49"/>
  <c r="AF41" i="49" s="1"/>
  <c r="K41" i="49"/>
  <c r="E41" i="49"/>
  <c r="AI40" i="49"/>
  <c r="AD40" i="49"/>
  <c r="Z40" i="49"/>
  <c r="AA40" i="49" s="1"/>
  <c r="O40" i="49"/>
  <c r="K40" i="49"/>
  <c r="E40" i="49"/>
  <c r="AI39" i="49"/>
  <c r="AD39" i="49"/>
  <c r="Z39" i="49"/>
  <c r="AE39" i="49" s="1"/>
  <c r="O39" i="49"/>
  <c r="AF39" i="49" s="1"/>
  <c r="K39" i="49"/>
  <c r="E39" i="49"/>
  <c r="AI38" i="49"/>
  <c r="AE38" i="49"/>
  <c r="AD38" i="49"/>
  <c r="AA38" i="49"/>
  <c r="O38" i="49"/>
  <c r="AF38" i="49" s="1"/>
  <c r="K38" i="49"/>
  <c r="E38" i="49"/>
  <c r="AI37" i="49"/>
  <c r="AE37" i="49"/>
  <c r="AD37" i="49"/>
  <c r="AA37" i="49"/>
  <c r="O37" i="49"/>
  <c r="S37" i="49" s="1"/>
  <c r="AC37" i="49" s="1"/>
  <c r="K37" i="49"/>
  <c r="AH37" i="49" s="1"/>
  <c r="E37" i="49"/>
  <c r="AI36" i="49"/>
  <c r="AE36" i="49"/>
  <c r="AD36" i="49"/>
  <c r="AA36" i="49"/>
  <c r="O36" i="49"/>
  <c r="AF36" i="49" s="1"/>
  <c r="K36" i="49"/>
  <c r="AH36" i="49" s="1"/>
  <c r="E36" i="49"/>
  <c r="AI35" i="49"/>
  <c r="AE35" i="49"/>
  <c r="AD35" i="49"/>
  <c r="AA35" i="49"/>
  <c r="O35" i="49"/>
  <c r="AF35" i="49" s="1"/>
  <c r="K35" i="49"/>
  <c r="AH35" i="49" s="1"/>
  <c r="E35" i="49"/>
  <c r="AI34" i="49"/>
  <c r="AE34" i="49"/>
  <c r="AD34" i="49"/>
  <c r="AA34" i="49"/>
  <c r="O34" i="49"/>
  <c r="AF34" i="49" s="1"/>
  <c r="K34" i="49"/>
  <c r="E34" i="49"/>
  <c r="AI33" i="49"/>
  <c r="AE33" i="49"/>
  <c r="AD33" i="49"/>
  <c r="AA33" i="49"/>
  <c r="O33" i="49"/>
  <c r="AF33" i="49" s="1"/>
  <c r="K33" i="49"/>
  <c r="E33" i="49"/>
  <c r="AI32" i="49"/>
  <c r="AE32" i="49"/>
  <c r="AD32" i="49"/>
  <c r="AA32" i="49"/>
  <c r="O32" i="49"/>
  <c r="K32" i="49"/>
  <c r="AH32" i="49" s="1"/>
  <c r="E32" i="49"/>
  <c r="AI31" i="49"/>
  <c r="AE31" i="49"/>
  <c r="AD31" i="49"/>
  <c r="AA31" i="49"/>
  <c r="O31" i="49"/>
  <c r="S31" i="49" s="1"/>
  <c r="K31" i="49"/>
  <c r="AH31" i="49" s="1"/>
  <c r="E31" i="49"/>
  <c r="AI30" i="49"/>
  <c r="AD30" i="49"/>
  <c r="Z30" i="49"/>
  <c r="AA30" i="49" s="1"/>
  <c r="O30" i="49"/>
  <c r="K30" i="49"/>
  <c r="E30" i="49"/>
  <c r="AI29" i="49"/>
  <c r="AD29" i="49"/>
  <c r="Z29" i="49"/>
  <c r="AE29" i="49" s="1"/>
  <c r="O29" i="49"/>
  <c r="K29" i="49"/>
  <c r="E29" i="49"/>
  <c r="AI28" i="49"/>
  <c r="AD28" i="49"/>
  <c r="Z28" i="49"/>
  <c r="AA28" i="49" s="1"/>
  <c r="O28" i="49"/>
  <c r="AF28" i="49" s="1"/>
  <c r="K28" i="49"/>
  <c r="AH28" i="49" s="1"/>
  <c r="E28" i="49"/>
  <c r="AI27" i="49"/>
  <c r="AD27" i="49"/>
  <c r="Z27" i="49"/>
  <c r="AA27" i="49" s="1"/>
  <c r="O27" i="49"/>
  <c r="AF27" i="49" s="1"/>
  <c r="K27" i="49"/>
  <c r="AH27" i="49" s="1"/>
  <c r="E27" i="49"/>
  <c r="AI26" i="49"/>
  <c r="AD26" i="49"/>
  <c r="Z26" i="49"/>
  <c r="AE26" i="49" s="1"/>
  <c r="O26" i="49"/>
  <c r="K26" i="49"/>
  <c r="AH26" i="49" s="1"/>
  <c r="E26" i="49"/>
  <c r="AI25" i="49"/>
  <c r="AD25" i="49"/>
  <c r="Z25" i="49"/>
  <c r="AE25" i="49" s="1"/>
  <c r="O25" i="49"/>
  <c r="S25" i="49" s="1"/>
  <c r="K25" i="49"/>
  <c r="E25" i="49"/>
  <c r="AI24" i="49"/>
  <c r="AD24" i="49"/>
  <c r="Z24" i="49"/>
  <c r="AA24" i="49" s="1"/>
  <c r="O24" i="49"/>
  <c r="S24" i="49" s="1"/>
  <c r="AC24" i="49" s="1"/>
  <c r="K24" i="49"/>
  <c r="E24" i="49"/>
  <c r="AI23" i="49"/>
  <c r="AD23" i="49"/>
  <c r="Z23" i="49"/>
  <c r="AE23" i="49" s="1"/>
  <c r="O23" i="49"/>
  <c r="AF23" i="49" s="1"/>
  <c r="K23" i="49"/>
  <c r="AH23" i="49" s="1"/>
  <c r="E23" i="49"/>
  <c r="AI22" i="49"/>
  <c r="AD22" i="49"/>
  <c r="Z22" i="49"/>
  <c r="AE22" i="49" s="1"/>
  <c r="O22" i="49"/>
  <c r="S22" i="49" s="1"/>
  <c r="AC22" i="49" s="1"/>
  <c r="K22" i="49"/>
  <c r="AH22" i="49" s="1"/>
  <c r="E22" i="49"/>
  <c r="AI21" i="49"/>
  <c r="AD21" i="49"/>
  <c r="Z21" i="49"/>
  <c r="AA21" i="49" s="1"/>
  <c r="O21" i="49"/>
  <c r="AF21" i="49" s="1"/>
  <c r="K21" i="49"/>
  <c r="AH21" i="49" s="1"/>
  <c r="E21" i="49"/>
  <c r="AI20" i="49"/>
  <c r="AF20" i="49"/>
  <c r="AE20" i="49"/>
  <c r="AD20" i="49"/>
  <c r="AC20" i="49"/>
  <c r="AA20" i="49"/>
  <c r="AB20" i="49" s="1"/>
  <c r="K20" i="49"/>
  <c r="AJ20" i="49" s="1"/>
  <c r="E20" i="49"/>
  <c r="AI19" i="49"/>
  <c r="AD19" i="49"/>
  <c r="Z19" i="49"/>
  <c r="AE19" i="49" s="1"/>
  <c r="O19" i="49"/>
  <c r="AF19" i="49" s="1"/>
  <c r="K19" i="49"/>
  <c r="E19" i="49"/>
  <c r="AI18" i="49"/>
  <c r="AD18" i="49"/>
  <c r="Z18" i="49"/>
  <c r="O18" i="49"/>
  <c r="K18" i="49"/>
  <c r="E18" i="49"/>
  <c r="AI17" i="49"/>
  <c r="AD17" i="49"/>
  <c r="Z17" i="49"/>
  <c r="O17" i="49"/>
  <c r="S17" i="49" s="1"/>
  <c r="K17" i="49"/>
  <c r="E17" i="49"/>
  <c r="AI16" i="49"/>
  <c r="AD16" i="49"/>
  <c r="Z16" i="49"/>
  <c r="AA16" i="49" s="1"/>
  <c r="O16" i="49"/>
  <c r="K16" i="49"/>
  <c r="AH16" i="49" s="1"/>
  <c r="E16" i="49"/>
  <c r="AI15" i="49"/>
  <c r="AE15" i="49"/>
  <c r="AD15" i="49"/>
  <c r="AA15" i="49"/>
  <c r="O15" i="49"/>
  <c r="K15" i="49"/>
  <c r="E15" i="49"/>
  <c r="AI14" i="49"/>
  <c r="AE14" i="49"/>
  <c r="AD14" i="49"/>
  <c r="AA14" i="49"/>
  <c r="O14" i="49"/>
  <c r="AF14" i="49" s="1"/>
  <c r="K14" i="49"/>
  <c r="E14" i="49"/>
  <c r="AI13" i="49"/>
  <c r="AE13" i="49"/>
  <c r="AD13" i="49"/>
  <c r="AA13" i="49"/>
  <c r="O13" i="49"/>
  <c r="S13" i="49" s="1"/>
  <c r="AC13" i="49" s="1"/>
  <c r="K13" i="49"/>
  <c r="AH13" i="49" s="1"/>
  <c r="E13" i="49"/>
  <c r="AI12" i="49"/>
  <c r="AE12" i="49"/>
  <c r="AD12" i="49"/>
  <c r="AC12" i="49"/>
  <c r="AA12" i="49"/>
  <c r="O12" i="49"/>
  <c r="K12" i="49"/>
  <c r="E12" i="49"/>
  <c r="AI11" i="49"/>
  <c r="AD11" i="49"/>
  <c r="AC11" i="49"/>
  <c r="Z11" i="49"/>
  <c r="AE11" i="49" s="1"/>
  <c r="O11" i="49"/>
  <c r="K11" i="49"/>
  <c r="AH11" i="49" s="1"/>
  <c r="E11" i="49"/>
  <c r="AI10" i="49"/>
  <c r="AE10" i="49"/>
  <c r="AD10" i="49"/>
  <c r="AA10" i="49"/>
  <c r="O10" i="49"/>
  <c r="K10" i="49"/>
  <c r="AH10" i="49" s="1"/>
  <c r="E10" i="49"/>
  <c r="AI9" i="49"/>
  <c r="AE9" i="49"/>
  <c r="AD9" i="49"/>
  <c r="AA9" i="49"/>
  <c r="O9" i="49"/>
  <c r="AF9" i="49" s="1"/>
  <c r="K9" i="49"/>
  <c r="AH9" i="49" s="1"/>
  <c r="E9" i="49"/>
  <c r="AI8" i="49"/>
  <c r="AE8" i="49"/>
  <c r="AD8" i="49"/>
  <c r="AA8" i="49"/>
  <c r="O8" i="49"/>
  <c r="K8" i="49"/>
  <c r="E8" i="49"/>
  <c r="AI7" i="49"/>
  <c r="AE7" i="49"/>
  <c r="AD7" i="49"/>
  <c r="AA7" i="49"/>
  <c r="O7" i="49"/>
  <c r="AF7" i="49" s="1"/>
  <c r="K7" i="49"/>
  <c r="E7" i="49"/>
  <c r="AI6" i="49"/>
  <c r="AE6" i="49"/>
  <c r="AD6" i="49"/>
  <c r="AA6" i="49"/>
  <c r="O6" i="49"/>
  <c r="K6" i="49"/>
  <c r="AH6" i="49" s="1"/>
  <c r="E6" i="49"/>
  <c r="AI5" i="49"/>
  <c r="AE5" i="49"/>
  <c r="AD5" i="49"/>
  <c r="AA5" i="49"/>
  <c r="O5" i="49"/>
  <c r="AF5" i="49" s="1"/>
  <c r="K5" i="49"/>
  <c r="AH5" i="49" s="1"/>
  <c r="E5" i="49"/>
  <c r="I2" i="49"/>
  <c r="C23" i="12" s="1"/>
  <c r="AJ58" i="49" l="1"/>
  <c r="AJ7" i="49"/>
  <c r="AJ51" i="49"/>
  <c r="AJ47" i="49"/>
  <c r="AJ38" i="49"/>
  <c r="AJ49" i="49"/>
  <c r="AJ27" i="49"/>
  <c r="AJ34" i="49"/>
  <c r="AJ55" i="49"/>
  <c r="AJ18" i="49"/>
  <c r="AJ46" i="49"/>
  <c r="AB59" i="49"/>
  <c r="AL59" i="49" s="1"/>
  <c r="S9" i="49"/>
  <c r="AC9" i="49" s="1"/>
  <c r="AG9" i="49" s="1"/>
  <c r="AJ45" i="49"/>
  <c r="AF37" i="49"/>
  <c r="AG37" i="49" s="1"/>
  <c r="AJ17" i="49"/>
  <c r="AJ37" i="49"/>
  <c r="AB46" i="49"/>
  <c r="AL46" i="49" s="1"/>
  <c r="AJ6" i="49"/>
  <c r="AJ33" i="49"/>
  <c r="AJ44" i="49"/>
  <c r="AJ36" i="49"/>
  <c r="AF13" i="49"/>
  <c r="AG13" i="49" s="1"/>
  <c r="S36" i="49"/>
  <c r="AC36" i="49" s="1"/>
  <c r="AG36" i="49" s="1"/>
  <c r="AJ13" i="49"/>
  <c r="AE21" i="49"/>
  <c r="AJ42" i="49"/>
  <c r="AJ26" i="49"/>
  <c r="AE24" i="49"/>
  <c r="AB48" i="49"/>
  <c r="AL48" i="49" s="1"/>
  <c r="AJ54" i="49"/>
  <c r="S6" i="49"/>
  <c r="AC6" i="49" s="1"/>
  <c r="S53" i="49"/>
  <c r="AC53" i="49" s="1"/>
  <c r="AG53" i="49" s="1"/>
  <c r="AL20" i="49"/>
  <c r="S5" i="49"/>
  <c r="AC5" i="49" s="1"/>
  <c r="AG5" i="49" s="1"/>
  <c r="AF31" i="49"/>
  <c r="AH34" i="49"/>
  <c r="AA42" i="49"/>
  <c r="AJ21" i="49"/>
  <c r="S41" i="49"/>
  <c r="AC41" i="49" s="1"/>
  <c r="AG41" i="49" s="1"/>
  <c r="AJ43" i="49"/>
  <c r="AB45" i="49"/>
  <c r="AL45" i="49" s="1"/>
  <c r="AJ52" i="49"/>
  <c r="AF22" i="49"/>
  <c r="AG22" i="49" s="1"/>
  <c r="AE27" i="49"/>
  <c r="S35" i="49"/>
  <c r="AC35" i="49" s="1"/>
  <c r="AG35" i="49" s="1"/>
  <c r="AA29" i="49"/>
  <c r="AE40" i="49"/>
  <c r="AF6" i="49"/>
  <c r="AH58" i="49"/>
  <c r="AF17" i="49"/>
  <c r="AH20" i="49"/>
  <c r="AH17" i="49"/>
  <c r="AF25" i="49"/>
  <c r="AE28" i="49"/>
  <c r="AB12" i="49"/>
  <c r="AL12" i="49" s="1"/>
  <c r="AJ16" i="49"/>
  <c r="AA41" i="49"/>
  <c r="AH42" i="49"/>
  <c r="AJ14" i="49"/>
  <c r="AH14" i="49"/>
  <c r="AH30" i="49"/>
  <c r="AJ30" i="49"/>
  <c r="AA56" i="49"/>
  <c r="AF63" i="49"/>
  <c r="AG63" i="49" s="1"/>
  <c r="AB63" i="49"/>
  <c r="AL63" i="49" s="1"/>
  <c r="AB47" i="49"/>
  <c r="AL47" i="49" s="1"/>
  <c r="AE52" i="49"/>
  <c r="AA18" i="49"/>
  <c r="AE18" i="49"/>
  <c r="AF44" i="49"/>
  <c r="AG44" i="49" s="1"/>
  <c r="AB44" i="49"/>
  <c r="AL44" i="49" s="1"/>
  <c r="AA22" i="49"/>
  <c r="AB22" i="49" s="1"/>
  <c r="AL22" i="49" s="1"/>
  <c r="AJ25" i="49"/>
  <c r="AH25" i="49"/>
  <c r="AJ11" i="49"/>
  <c r="AF29" i="49"/>
  <c r="S29" i="49"/>
  <c r="AC29" i="49" s="1"/>
  <c r="AH38" i="49"/>
  <c r="AJ41" i="49"/>
  <c r="AH41" i="49"/>
  <c r="S42" i="49"/>
  <c r="AC42" i="49" s="1"/>
  <c r="AG42" i="49" s="1"/>
  <c r="AH47" i="49"/>
  <c r="AA51" i="49"/>
  <c r="AB51" i="49" s="1"/>
  <c r="AL51" i="49" s="1"/>
  <c r="AH54" i="49"/>
  <c r="AH18" i="49"/>
  <c r="AJ28" i="49"/>
  <c r="AF45" i="49"/>
  <c r="AG45" i="49" s="1"/>
  <c r="AF46" i="49"/>
  <c r="AG46" i="49" s="1"/>
  <c r="S50" i="49"/>
  <c r="AC50" i="49" s="1"/>
  <c r="AG50" i="49" s="1"/>
  <c r="S57" i="49"/>
  <c r="AF59" i="49"/>
  <c r="AG59" i="49" s="1"/>
  <c r="AA19" i="49"/>
  <c r="AE16" i="49"/>
  <c r="S18" i="49"/>
  <c r="AC18" i="49" s="1"/>
  <c r="AF18" i="49"/>
  <c r="S23" i="49"/>
  <c r="AC23" i="49" s="1"/>
  <c r="AG23" i="49" s="1"/>
  <c r="AE54" i="49"/>
  <c r="AH8" i="49"/>
  <c r="AJ8" i="49"/>
  <c r="AG20" i="49"/>
  <c r="AH51" i="49"/>
  <c r="AB61" i="49"/>
  <c r="AL61" i="49" s="1"/>
  <c r="AJ19" i="49"/>
  <c r="AH19" i="49"/>
  <c r="AE30" i="49"/>
  <c r="AH15" i="49"/>
  <c r="AJ15" i="49"/>
  <c r="AF12" i="49"/>
  <c r="AG12" i="49" s="1"/>
  <c r="S28" i="49"/>
  <c r="AC28" i="49" s="1"/>
  <c r="AA50" i="49"/>
  <c r="AA57" i="49"/>
  <c r="AG61" i="49"/>
  <c r="AG47" i="49"/>
  <c r="AJ35" i="49"/>
  <c r="AJ5" i="49"/>
  <c r="AJ9" i="49"/>
  <c r="AJ22" i="49"/>
  <c r="AB43" i="49"/>
  <c r="AL43" i="49" s="1"/>
  <c r="AJ31" i="49"/>
  <c r="AG43" i="49"/>
  <c r="AA53" i="49"/>
  <c r="AF10" i="49"/>
  <c r="AJ39" i="49"/>
  <c r="AH39" i="49"/>
  <c r="AA23" i="49"/>
  <c r="S16" i="49"/>
  <c r="AC16" i="49" s="1"/>
  <c r="S39" i="49"/>
  <c r="AC39" i="49" s="1"/>
  <c r="AG39" i="49" s="1"/>
  <c r="S7" i="49"/>
  <c r="AC7" i="49" s="1"/>
  <c r="AG7" i="49" s="1"/>
  <c r="AF15" i="49"/>
  <c r="S14" i="49"/>
  <c r="AC14" i="49" s="1"/>
  <c r="AG14" i="49" s="1"/>
  <c r="AA39" i="49"/>
  <c r="AJ12" i="49"/>
  <c r="AH12" i="49"/>
  <c r="AC17" i="49"/>
  <c r="AJ29" i="49"/>
  <c r="AH29" i="49"/>
  <c r="AF30" i="49"/>
  <c r="AC31" i="49"/>
  <c r="AB31" i="49"/>
  <c r="AL31" i="49" s="1"/>
  <c r="AF48" i="49"/>
  <c r="AG48" i="49" s="1"/>
  <c r="AH63" i="49"/>
  <c r="AJ63" i="49"/>
  <c r="AJ10" i="49"/>
  <c r="AB13" i="49"/>
  <c r="AL13" i="49" s="1"/>
  <c r="AF16" i="49"/>
  <c r="AE17" i="49"/>
  <c r="AA17" i="49"/>
  <c r="AB17" i="49" s="1"/>
  <c r="AL17" i="49" s="1"/>
  <c r="S30" i="49"/>
  <c r="AC30" i="49" s="1"/>
  <c r="AH33" i="49"/>
  <c r="AJ61" i="49"/>
  <c r="AC25" i="49"/>
  <c r="AJ62" i="49"/>
  <c r="AH62" i="49"/>
  <c r="S40" i="49"/>
  <c r="AC40" i="49" s="1"/>
  <c r="AF40" i="49"/>
  <c r="AA25" i="49"/>
  <c r="AB25" i="49" s="1"/>
  <c r="AL25" i="49" s="1"/>
  <c r="K2" i="49"/>
  <c r="D23" i="12" s="1"/>
  <c r="AJ24" i="49"/>
  <c r="AH24" i="49"/>
  <c r="AJ40" i="49"/>
  <c r="AH40" i="49"/>
  <c r="AB24" i="49"/>
  <c r="AL24" i="49" s="1"/>
  <c r="AF24" i="49"/>
  <c r="AB62" i="49"/>
  <c r="AL62" i="49" s="1"/>
  <c r="AF62" i="49"/>
  <c r="AG62" i="49" s="1"/>
  <c r="AA11" i="49"/>
  <c r="AB11" i="49" s="1"/>
  <c r="AL11" i="49" s="1"/>
  <c r="S33" i="49"/>
  <c r="AC33" i="49" s="1"/>
  <c r="AG33" i="49" s="1"/>
  <c r="S10" i="49"/>
  <c r="AC10" i="49" s="1"/>
  <c r="AF8" i="49"/>
  <c r="AF11" i="49"/>
  <c r="AG11" i="49" s="1"/>
  <c r="S8" i="49"/>
  <c r="AC8" i="49" s="1"/>
  <c r="AF32" i="49"/>
  <c r="S32" i="49"/>
  <c r="AC32" i="49" s="1"/>
  <c r="S15" i="49"/>
  <c r="AC15" i="49" s="1"/>
  <c r="S21" i="49"/>
  <c r="AC21" i="49" s="1"/>
  <c r="AF26" i="49"/>
  <c r="S26" i="49"/>
  <c r="AC26" i="49" s="1"/>
  <c r="AJ32" i="49"/>
  <c r="AJ60" i="49"/>
  <c r="AH60" i="49"/>
  <c r="S34" i="49"/>
  <c r="AC34" i="49" s="1"/>
  <c r="AG34" i="49" s="1"/>
  <c r="AJ50" i="49"/>
  <c r="AH50" i="49"/>
  <c r="AJ57" i="49"/>
  <c r="AH57" i="49"/>
  <c r="AB60" i="49"/>
  <c r="AL60" i="49" s="1"/>
  <c r="AF60" i="49"/>
  <c r="AG60" i="49" s="1"/>
  <c r="AH7" i="49"/>
  <c r="AJ23" i="49"/>
  <c r="AA26" i="49"/>
  <c r="S27" i="49"/>
  <c r="AC27" i="49" s="1"/>
  <c r="AF51" i="49"/>
  <c r="AG51" i="49" s="1"/>
  <c r="S52" i="49"/>
  <c r="AC52" i="49" s="1"/>
  <c r="S56" i="49"/>
  <c r="AC56" i="49" s="1"/>
  <c r="AG56" i="49" s="1"/>
  <c r="AJ56" i="49"/>
  <c r="S58" i="49"/>
  <c r="AC58" i="49" s="1"/>
  <c r="AJ59" i="49"/>
  <c r="AH59" i="49"/>
  <c r="S19" i="49"/>
  <c r="AB37" i="49"/>
  <c r="AL37" i="49" s="1"/>
  <c r="AJ53" i="49"/>
  <c r="AH53" i="49"/>
  <c r="S54" i="49"/>
  <c r="AC54" i="49" s="1"/>
  <c r="AE58" i="49"/>
  <c r="AA58" i="49"/>
  <c r="AJ48" i="49"/>
  <c r="AH48" i="49"/>
  <c r="AB49" i="49"/>
  <c r="AL49" i="49" s="1"/>
  <c r="AF49" i="49"/>
  <c r="AG49" i="49" s="1"/>
  <c r="AB55" i="49"/>
  <c r="AL55" i="49" s="1"/>
  <c r="AF55" i="49"/>
  <c r="AG55" i="49" s="1"/>
  <c r="S38" i="49"/>
  <c r="AC38" i="49" s="1"/>
  <c r="AG38" i="49" s="1"/>
  <c r="AG54" i="49" l="1"/>
  <c r="AB28" i="49"/>
  <c r="AL28" i="49" s="1"/>
  <c r="AB9" i="49"/>
  <c r="AL9" i="49" s="1"/>
  <c r="AG32" i="49"/>
  <c r="AG21" i="49"/>
  <c r="AB6" i="49"/>
  <c r="AL6" i="49" s="1"/>
  <c r="AG31" i="49"/>
  <c r="AG6" i="49"/>
  <c r="AB27" i="49"/>
  <c r="AL27" i="49" s="1"/>
  <c r="AG26" i="49"/>
  <c r="AB36" i="49"/>
  <c r="AL36" i="49" s="1"/>
  <c r="AG24" i="49"/>
  <c r="AG10" i="49"/>
  <c r="AB32" i="49"/>
  <c r="AL32" i="49" s="1"/>
  <c r="AB33" i="49"/>
  <c r="AL33" i="49" s="1"/>
  <c r="AG25" i="49"/>
  <c r="AG29" i="49"/>
  <c r="AB35" i="49"/>
  <c r="AL35" i="49" s="1"/>
  <c r="AB42" i="49"/>
  <c r="AL42" i="49" s="1"/>
  <c r="AB5" i="49"/>
  <c r="AL5" i="49" s="1"/>
  <c r="AG27" i="49"/>
  <c r="AB23" i="49"/>
  <c r="AL23" i="49" s="1"/>
  <c r="AB50" i="49"/>
  <c r="AL50" i="49" s="1"/>
  <c r="AB26" i="49"/>
  <c r="AL26" i="49" s="1"/>
  <c r="AG28" i="49"/>
  <c r="AB41" i="49"/>
  <c r="AL41" i="49" s="1"/>
  <c r="AG30" i="49"/>
  <c r="AB7" i="49"/>
  <c r="AL7" i="49" s="1"/>
  <c r="AG58" i="49"/>
  <c r="AB39" i="49"/>
  <c r="AL39" i="49" s="1"/>
  <c r="AG16" i="49"/>
  <c r="AB29" i="49"/>
  <c r="AL29" i="49" s="1"/>
  <c r="AG52" i="49"/>
  <c r="AG17" i="49"/>
  <c r="AJ3" i="49"/>
  <c r="G23" i="12" s="1"/>
  <c r="AB57" i="49"/>
  <c r="AL57" i="49" s="1"/>
  <c r="AC57" i="49"/>
  <c r="AG57" i="49" s="1"/>
  <c r="AB18" i="49"/>
  <c r="AL18" i="49" s="1"/>
  <c r="AG15" i="49"/>
  <c r="AG8" i="49"/>
  <c r="AB54" i="49"/>
  <c r="AL54" i="49" s="1"/>
  <c r="AG18" i="49"/>
  <c r="AB52" i="49"/>
  <c r="AL52" i="49" s="1"/>
  <c r="AB15" i="49"/>
  <c r="AL15" i="49" s="1"/>
  <c r="AB16" i="49"/>
  <c r="AL16" i="49" s="1"/>
  <c r="AB10" i="49"/>
  <c r="AL10" i="49" s="1"/>
  <c r="AB38" i="49"/>
  <c r="AL38" i="49" s="1"/>
  <c r="AB30" i="49"/>
  <c r="AL30" i="49" s="1"/>
  <c r="AG40" i="49"/>
  <c r="AB40" i="49"/>
  <c r="AL40" i="49" s="1"/>
  <c r="AB21" i="49"/>
  <c r="AL21" i="49" s="1"/>
  <c r="Q2" i="49"/>
  <c r="AH3" i="49"/>
  <c r="R2" i="49"/>
  <c r="L2" i="49"/>
  <c r="AI3" i="49"/>
  <c r="L23" i="12" s="1"/>
  <c r="AB56" i="49"/>
  <c r="AL56" i="49" s="1"/>
  <c r="AB58" i="49"/>
  <c r="AL58" i="49" s="1"/>
  <c r="AB8" i="49"/>
  <c r="AL8" i="49" s="1"/>
  <c r="AC19" i="49"/>
  <c r="AG19" i="49" s="1"/>
  <c r="AB19" i="49"/>
  <c r="AL19" i="49" s="1"/>
  <c r="AB34" i="49"/>
  <c r="AL34" i="49" s="1"/>
  <c r="AB14" i="49"/>
  <c r="AL14" i="49" s="1"/>
  <c r="E2" i="49" l="1"/>
  <c r="F23" i="12"/>
  <c r="G2" i="49"/>
  <c r="I23" i="12"/>
  <c r="AG2" i="49"/>
  <c r="K23" i="12" s="1"/>
  <c r="M23" i="12" s="1"/>
  <c r="R23" i="12" s="1"/>
  <c r="AL3" i="49"/>
  <c r="E1" i="49" s="1"/>
  <c r="E23" i="12" l="1"/>
  <c r="J23" i="12"/>
  <c r="AM6" i="46"/>
  <c r="AM8" i="46" s="1"/>
  <c r="F17" i="47"/>
  <c r="F18" i="47"/>
  <c r="F19" i="47"/>
  <c r="F20" i="47"/>
  <c r="F21" i="47"/>
  <c r="F22" i="47"/>
  <c r="F23" i="47"/>
  <c r="F24" i="47"/>
  <c r="F25" i="47"/>
  <c r="F16" i="47"/>
  <c r="C18" i="47" l="1"/>
  <c r="C17" i="47"/>
  <c r="C16" i="47"/>
  <c r="C20" i="47"/>
  <c r="C24" i="47" s="1"/>
  <c r="C22" i="47"/>
  <c r="C21" i="47"/>
  <c r="C25" i="47" s="1"/>
  <c r="C19" i="47"/>
  <c r="C23" i="47" s="1"/>
  <c r="E78" i="18" l="1"/>
  <c r="J78" i="18" s="1"/>
  <c r="AI90" i="46"/>
  <c r="AF90" i="46"/>
  <c r="AE90" i="46"/>
  <c r="AD90" i="46"/>
  <c r="AC90" i="46"/>
  <c r="AA90" i="46"/>
  <c r="AB90" i="46" s="1"/>
  <c r="K90" i="46"/>
  <c r="E90" i="46"/>
  <c r="AI89" i="46"/>
  <c r="AD89" i="46"/>
  <c r="Z89" i="46"/>
  <c r="AE89" i="46" s="1"/>
  <c r="O89" i="46"/>
  <c r="K89" i="46"/>
  <c r="E89" i="46"/>
  <c r="AI88" i="46"/>
  <c r="AD88" i="46"/>
  <c r="Z88" i="46"/>
  <c r="AE88" i="46" s="1"/>
  <c r="O88" i="46"/>
  <c r="K88" i="46"/>
  <c r="AH88" i="46" s="1"/>
  <c r="E88" i="46"/>
  <c r="AI87" i="46"/>
  <c r="AD87" i="46"/>
  <c r="Z87" i="46"/>
  <c r="O87" i="46"/>
  <c r="AF87" i="46" s="1"/>
  <c r="K87" i="46"/>
  <c r="E87" i="46"/>
  <c r="AI86" i="46"/>
  <c r="AE86" i="46"/>
  <c r="AD86" i="46"/>
  <c r="AC86" i="46"/>
  <c r="AA86" i="46"/>
  <c r="O86" i="46"/>
  <c r="AF86" i="46" s="1"/>
  <c r="K86" i="46"/>
  <c r="AH86" i="46" s="1"/>
  <c r="E86" i="46"/>
  <c r="AI85" i="46"/>
  <c r="AE85" i="46"/>
  <c r="AD85" i="46"/>
  <c r="AC85" i="46"/>
  <c r="AA85" i="46"/>
  <c r="O85" i="46"/>
  <c r="K85" i="46"/>
  <c r="AH85" i="46" s="1"/>
  <c r="E85" i="46"/>
  <c r="AI84" i="46"/>
  <c r="AE84" i="46"/>
  <c r="AD84" i="46"/>
  <c r="AC84" i="46"/>
  <c r="AA84" i="46"/>
  <c r="O84" i="46"/>
  <c r="K84" i="46"/>
  <c r="AH84" i="46" s="1"/>
  <c r="E84" i="46"/>
  <c r="AI83" i="46"/>
  <c r="AE83" i="46"/>
  <c r="AD83" i="46"/>
  <c r="AC83" i="46"/>
  <c r="AA83" i="46"/>
  <c r="O83" i="46"/>
  <c r="K83" i="46"/>
  <c r="AH83" i="46" s="1"/>
  <c r="E83" i="46"/>
  <c r="AI82" i="46"/>
  <c r="AE82" i="46"/>
  <c r="AD82" i="46"/>
  <c r="AC82" i="46"/>
  <c r="AA82" i="46"/>
  <c r="O82" i="46"/>
  <c r="K82" i="46"/>
  <c r="E82" i="46"/>
  <c r="AI81" i="46"/>
  <c r="AE81" i="46"/>
  <c r="AD81" i="46"/>
  <c r="AC81" i="46"/>
  <c r="AA81" i="46"/>
  <c r="O81" i="46"/>
  <c r="AF81" i="46" s="1"/>
  <c r="K81" i="46"/>
  <c r="E81" i="46"/>
  <c r="AI80" i="46"/>
  <c r="AE80" i="46"/>
  <c r="AD80" i="46"/>
  <c r="AC80" i="46"/>
  <c r="AA80" i="46"/>
  <c r="O80" i="46"/>
  <c r="K80" i="46"/>
  <c r="AH80" i="46" s="1"/>
  <c r="E80" i="46"/>
  <c r="AI79" i="46"/>
  <c r="AE79" i="46"/>
  <c r="AD79" i="46"/>
  <c r="AC79" i="46"/>
  <c r="AA79" i="46"/>
  <c r="O79" i="46"/>
  <c r="K79" i="46"/>
  <c r="AH79" i="46" s="1"/>
  <c r="E79" i="46"/>
  <c r="AI78" i="46"/>
  <c r="AE78" i="46"/>
  <c r="AD78" i="46"/>
  <c r="AC78" i="46"/>
  <c r="AA78" i="46"/>
  <c r="O78" i="46"/>
  <c r="K78" i="46"/>
  <c r="E78" i="46"/>
  <c r="AI77" i="46"/>
  <c r="AE77" i="46"/>
  <c r="AD77" i="46"/>
  <c r="AC77" i="46"/>
  <c r="AA77" i="46"/>
  <c r="O77" i="46"/>
  <c r="AF77" i="46" s="1"/>
  <c r="K77" i="46"/>
  <c r="AH77" i="46" s="1"/>
  <c r="E77" i="46"/>
  <c r="AI76" i="46"/>
  <c r="AD76" i="46"/>
  <c r="AC76" i="46"/>
  <c r="Z76" i="46"/>
  <c r="AE76" i="46" s="1"/>
  <c r="O76" i="46"/>
  <c r="AF76" i="46" s="1"/>
  <c r="K76" i="46"/>
  <c r="AH76" i="46" s="1"/>
  <c r="E76" i="46"/>
  <c r="AI75" i="46"/>
  <c r="AD75" i="46"/>
  <c r="Z75" i="46"/>
  <c r="AE75" i="46" s="1"/>
  <c r="O75" i="46"/>
  <c r="K75" i="46"/>
  <c r="E75" i="46"/>
  <c r="AI74" i="46"/>
  <c r="AD74" i="46"/>
  <c r="Z74" i="46"/>
  <c r="O74" i="46"/>
  <c r="K74" i="46"/>
  <c r="E74" i="46"/>
  <c r="AI73" i="46"/>
  <c r="AD73" i="46"/>
  <c r="Z73" i="46"/>
  <c r="AA73" i="46" s="1"/>
  <c r="O73" i="46"/>
  <c r="K73" i="46"/>
  <c r="AH73" i="46" s="1"/>
  <c r="E73" i="46"/>
  <c r="AI72" i="46"/>
  <c r="AD72" i="46"/>
  <c r="AC72" i="46"/>
  <c r="Z72" i="46"/>
  <c r="AA72" i="46" s="1"/>
  <c r="O72" i="46"/>
  <c r="K72" i="46"/>
  <c r="E72" i="46"/>
  <c r="AI71" i="46"/>
  <c r="AE71" i="46"/>
  <c r="AD71" i="46"/>
  <c r="AA71" i="46"/>
  <c r="O71" i="46"/>
  <c r="AF71" i="46" s="1"/>
  <c r="K71" i="46"/>
  <c r="AH71" i="46" s="1"/>
  <c r="E71" i="46"/>
  <c r="AI70" i="46"/>
  <c r="AE70" i="46"/>
  <c r="AD70" i="46"/>
  <c r="AA70" i="46"/>
  <c r="O70" i="46"/>
  <c r="S70" i="46" s="1"/>
  <c r="AC70" i="46" s="1"/>
  <c r="K70" i="46"/>
  <c r="E70" i="46"/>
  <c r="AI69" i="46"/>
  <c r="AE69" i="46"/>
  <c r="AD69" i="46"/>
  <c r="AA69" i="46"/>
  <c r="O69" i="46"/>
  <c r="AF69" i="46" s="1"/>
  <c r="K69" i="46"/>
  <c r="AH69" i="46" s="1"/>
  <c r="E69" i="46"/>
  <c r="AI68" i="46"/>
  <c r="AE68" i="46"/>
  <c r="AD68" i="46"/>
  <c r="AC68" i="46"/>
  <c r="AA68" i="46"/>
  <c r="O68" i="46"/>
  <c r="AF68" i="46" s="1"/>
  <c r="K68" i="46"/>
  <c r="E68" i="46"/>
  <c r="AI67" i="46"/>
  <c r="AE67" i="46"/>
  <c r="AD67" i="46"/>
  <c r="AA67" i="46"/>
  <c r="O67" i="46"/>
  <c r="AF67" i="46" s="1"/>
  <c r="K67" i="46"/>
  <c r="E67" i="46"/>
  <c r="AI66" i="46"/>
  <c r="AE66" i="46"/>
  <c r="AD66" i="46"/>
  <c r="AA66" i="46"/>
  <c r="O66" i="46"/>
  <c r="AF66" i="46" s="1"/>
  <c r="K66" i="46"/>
  <c r="AH66" i="46" s="1"/>
  <c r="E66" i="46"/>
  <c r="AI65" i="46"/>
  <c r="AE65" i="46"/>
  <c r="AD65" i="46"/>
  <c r="AA65" i="46"/>
  <c r="O65" i="46"/>
  <c r="S65" i="46" s="1"/>
  <c r="AC65" i="46" s="1"/>
  <c r="K65" i="46"/>
  <c r="E65" i="46"/>
  <c r="AI64" i="46"/>
  <c r="AE64" i="46"/>
  <c r="AD64" i="46"/>
  <c r="AA64" i="46"/>
  <c r="O64" i="46"/>
  <c r="K64" i="46"/>
  <c r="E64" i="46"/>
  <c r="AI63" i="46"/>
  <c r="AE63" i="46"/>
  <c r="AD63" i="46"/>
  <c r="AA63" i="46"/>
  <c r="O63" i="46"/>
  <c r="AF63" i="46" s="1"/>
  <c r="K63" i="46"/>
  <c r="E63" i="46"/>
  <c r="AI62" i="46"/>
  <c r="AD62" i="46"/>
  <c r="Z62" i="46"/>
  <c r="O62" i="46"/>
  <c r="S62" i="46" s="1"/>
  <c r="AC62" i="46" s="1"/>
  <c r="K62" i="46"/>
  <c r="AH62" i="46" s="1"/>
  <c r="E62" i="46"/>
  <c r="AI61" i="46"/>
  <c r="AD61" i="46"/>
  <c r="Z61" i="46"/>
  <c r="AE61" i="46" s="1"/>
  <c r="O61" i="46"/>
  <c r="AF61" i="46" s="1"/>
  <c r="K61" i="46"/>
  <c r="E61" i="46"/>
  <c r="AI60" i="46"/>
  <c r="AD60" i="46"/>
  <c r="Z60" i="46"/>
  <c r="AA60" i="46" s="1"/>
  <c r="O60" i="46"/>
  <c r="AF60" i="46" s="1"/>
  <c r="K60" i="46"/>
  <c r="AH60" i="46" s="1"/>
  <c r="E60" i="46"/>
  <c r="AI59" i="46"/>
  <c r="AD59" i="46"/>
  <c r="AC59" i="46"/>
  <c r="Z59" i="46"/>
  <c r="AA59" i="46" s="1"/>
  <c r="O59" i="46"/>
  <c r="K59" i="46"/>
  <c r="AH59" i="46" s="1"/>
  <c r="E59" i="46"/>
  <c r="AI58" i="46"/>
  <c r="AD58" i="46"/>
  <c r="Z58" i="46"/>
  <c r="O58" i="46"/>
  <c r="S58" i="46" s="1"/>
  <c r="AC58" i="46" s="1"/>
  <c r="K58" i="46"/>
  <c r="AH58" i="46" s="1"/>
  <c r="E58" i="46"/>
  <c r="AI57" i="46"/>
  <c r="AD57" i="46"/>
  <c r="Z57" i="46"/>
  <c r="AA57" i="46" s="1"/>
  <c r="O57" i="46"/>
  <c r="S57" i="46" s="1"/>
  <c r="AC57" i="46" s="1"/>
  <c r="K57" i="46"/>
  <c r="E57" i="46"/>
  <c r="AI56" i="46"/>
  <c r="AD56" i="46"/>
  <c r="Z56" i="46"/>
  <c r="O56" i="46"/>
  <c r="K56" i="46"/>
  <c r="E56" i="46"/>
  <c r="AI55" i="46"/>
  <c r="AE55" i="46"/>
  <c r="AD55" i="46"/>
  <c r="AC55" i="46"/>
  <c r="AA55" i="46"/>
  <c r="O55" i="46"/>
  <c r="AF55" i="46" s="1"/>
  <c r="K55" i="46"/>
  <c r="E55" i="46"/>
  <c r="AI54" i="46"/>
  <c r="AE54" i="46"/>
  <c r="AD54" i="46"/>
  <c r="AC54" i="46"/>
  <c r="AA54" i="46"/>
  <c r="O54" i="46"/>
  <c r="AF54" i="46" s="1"/>
  <c r="K54" i="46"/>
  <c r="E54" i="46"/>
  <c r="AI53" i="46"/>
  <c r="AE53" i="46"/>
  <c r="AD53" i="46"/>
  <c r="AC53" i="46"/>
  <c r="AA53" i="46"/>
  <c r="O53" i="46"/>
  <c r="AF53" i="46" s="1"/>
  <c r="K53" i="46"/>
  <c r="E53" i="46"/>
  <c r="AI52" i="46"/>
  <c r="AE52" i="46"/>
  <c r="AD52" i="46"/>
  <c r="AC52" i="46"/>
  <c r="AA52" i="46"/>
  <c r="O52" i="46"/>
  <c r="K52" i="46"/>
  <c r="E52" i="46"/>
  <c r="AI51" i="46"/>
  <c r="AE51" i="46"/>
  <c r="AD51" i="46"/>
  <c r="AC51" i="46"/>
  <c r="AA51" i="46"/>
  <c r="O51" i="46"/>
  <c r="K51" i="46"/>
  <c r="AH51" i="46" s="1"/>
  <c r="E51" i="46"/>
  <c r="AI50" i="46"/>
  <c r="AE50" i="46"/>
  <c r="AD50" i="46"/>
  <c r="AC50" i="46"/>
  <c r="AA50" i="46"/>
  <c r="O50" i="46"/>
  <c r="K50" i="46"/>
  <c r="E50" i="46"/>
  <c r="AI49" i="46"/>
  <c r="AE49" i="46"/>
  <c r="AD49" i="46"/>
  <c r="AC49" i="46"/>
  <c r="AA49" i="46"/>
  <c r="O49" i="46"/>
  <c r="AF49" i="46" s="1"/>
  <c r="K49" i="46"/>
  <c r="AH49" i="46" s="1"/>
  <c r="E49" i="46"/>
  <c r="AI48" i="46"/>
  <c r="AE48" i="46"/>
  <c r="AD48" i="46"/>
  <c r="AC48" i="46"/>
  <c r="AA48" i="46"/>
  <c r="O48" i="46"/>
  <c r="AF48" i="46" s="1"/>
  <c r="K48" i="46"/>
  <c r="E48" i="46"/>
  <c r="AI47" i="46"/>
  <c r="AE47" i="46"/>
  <c r="AD47" i="46"/>
  <c r="AC47" i="46"/>
  <c r="AA47" i="46"/>
  <c r="O47" i="46"/>
  <c r="K47" i="46"/>
  <c r="AH47" i="46" s="1"/>
  <c r="E47" i="46"/>
  <c r="AI46" i="46"/>
  <c r="AE46" i="46"/>
  <c r="AD46" i="46"/>
  <c r="AC46" i="46"/>
  <c r="AA46" i="46"/>
  <c r="O46" i="46"/>
  <c r="K46" i="46"/>
  <c r="AH46" i="46" s="1"/>
  <c r="E46" i="46"/>
  <c r="AI45" i="46"/>
  <c r="AH45" i="46"/>
  <c r="AD45" i="46"/>
  <c r="Z45" i="46"/>
  <c r="AA45" i="46" s="1"/>
  <c r="O45" i="46"/>
  <c r="AI44" i="46"/>
  <c r="AH44" i="46"/>
  <c r="AD44" i="46"/>
  <c r="Z44" i="46"/>
  <c r="AE44" i="46" s="1"/>
  <c r="O44" i="46"/>
  <c r="S44" i="46" s="1"/>
  <c r="AC44" i="46" s="1"/>
  <c r="AI43" i="46"/>
  <c r="AD43" i="46"/>
  <c r="Z43" i="46"/>
  <c r="AE43" i="46" s="1"/>
  <c r="O43" i="46"/>
  <c r="AF43" i="46" s="1"/>
  <c r="K43" i="46"/>
  <c r="AH43" i="46" s="1"/>
  <c r="E43" i="46"/>
  <c r="AI42" i="46"/>
  <c r="AD42" i="46"/>
  <c r="Z42" i="46"/>
  <c r="O42" i="46"/>
  <c r="K42" i="46"/>
  <c r="AH42" i="46" s="1"/>
  <c r="E42" i="46"/>
  <c r="AI41" i="46"/>
  <c r="AE41" i="46"/>
  <c r="AD41" i="46"/>
  <c r="AC41" i="46"/>
  <c r="AA41" i="46"/>
  <c r="O41" i="46"/>
  <c r="K41" i="46"/>
  <c r="E41" i="46"/>
  <c r="AI40" i="46"/>
  <c r="AD40" i="46"/>
  <c r="AC40" i="46"/>
  <c r="Z40" i="46"/>
  <c r="AE40" i="46" s="1"/>
  <c r="O40" i="46"/>
  <c r="K40" i="46"/>
  <c r="AH40" i="46" s="1"/>
  <c r="E40" i="46"/>
  <c r="AI39" i="46"/>
  <c r="AD39" i="46"/>
  <c r="Z39" i="46"/>
  <c r="AE39" i="46" s="1"/>
  <c r="O39" i="46"/>
  <c r="AF39" i="46" s="1"/>
  <c r="K39" i="46"/>
  <c r="E39" i="46"/>
  <c r="AI38" i="46"/>
  <c r="AD38" i="46"/>
  <c r="Z38" i="46"/>
  <c r="AE38" i="46" s="1"/>
  <c r="O38" i="46"/>
  <c r="S38" i="46" s="1"/>
  <c r="AC38" i="46" s="1"/>
  <c r="K38" i="46"/>
  <c r="E38" i="46"/>
  <c r="AI37" i="46"/>
  <c r="AD37" i="46"/>
  <c r="Z37" i="46"/>
  <c r="O37" i="46"/>
  <c r="K37" i="46"/>
  <c r="E37" i="46"/>
  <c r="AI36" i="46"/>
  <c r="AD36" i="46"/>
  <c r="Z36" i="46"/>
  <c r="AE36" i="46" s="1"/>
  <c r="O36" i="46"/>
  <c r="AF36" i="46" s="1"/>
  <c r="K36" i="46"/>
  <c r="AH36" i="46" s="1"/>
  <c r="E36" i="46"/>
  <c r="AI35" i="46"/>
  <c r="AD35" i="46"/>
  <c r="Z35" i="46"/>
  <c r="AA35" i="46" s="1"/>
  <c r="O35" i="46"/>
  <c r="S35" i="46" s="1"/>
  <c r="AC35" i="46" s="1"/>
  <c r="K35" i="46"/>
  <c r="E35" i="46"/>
  <c r="AI34" i="46"/>
  <c r="AD34" i="46"/>
  <c r="Z34" i="46"/>
  <c r="O34" i="46"/>
  <c r="K34" i="46"/>
  <c r="E34" i="46"/>
  <c r="AI33" i="46"/>
  <c r="AD33" i="46"/>
  <c r="Z33" i="46"/>
  <c r="AE33" i="46" s="1"/>
  <c r="O33" i="46"/>
  <c r="K33" i="46"/>
  <c r="AH33" i="46" s="1"/>
  <c r="E33" i="46"/>
  <c r="AI32" i="46"/>
  <c r="AD32" i="46"/>
  <c r="Z32" i="46"/>
  <c r="AA32" i="46" s="1"/>
  <c r="O32" i="46"/>
  <c r="AF32" i="46" s="1"/>
  <c r="K32" i="46"/>
  <c r="E32" i="46"/>
  <c r="AI31" i="46"/>
  <c r="AD31" i="46"/>
  <c r="Z31" i="46"/>
  <c r="O31" i="46"/>
  <c r="S31" i="46" s="1"/>
  <c r="AC31" i="46" s="1"/>
  <c r="K31" i="46"/>
  <c r="AH31" i="46" s="1"/>
  <c r="E31" i="46"/>
  <c r="AI30" i="46"/>
  <c r="AD30" i="46"/>
  <c r="Z30" i="46"/>
  <c r="O30" i="46"/>
  <c r="S30" i="46" s="1"/>
  <c r="AC30" i="46" s="1"/>
  <c r="K30" i="46"/>
  <c r="AH30" i="46" s="1"/>
  <c r="E30" i="46"/>
  <c r="AI29" i="46"/>
  <c r="AD29" i="46"/>
  <c r="Z29" i="46"/>
  <c r="AA29" i="46" s="1"/>
  <c r="O29" i="46"/>
  <c r="K29" i="46"/>
  <c r="E29" i="46"/>
  <c r="AI28" i="46"/>
  <c r="AD28" i="46"/>
  <c r="Z28" i="46"/>
  <c r="O28" i="46"/>
  <c r="AF28" i="46" s="1"/>
  <c r="K28" i="46"/>
  <c r="AH28" i="46" s="1"/>
  <c r="E28" i="46"/>
  <c r="AI27" i="46"/>
  <c r="AD27" i="46"/>
  <c r="Z27" i="46"/>
  <c r="AE27" i="46" s="1"/>
  <c r="O27" i="46"/>
  <c r="AF27" i="46" s="1"/>
  <c r="K27" i="46"/>
  <c r="AH27" i="46" s="1"/>
  <c r="E27" i="46"/>
  <c r="AI26" i="46"/>
  <c r="AD26" i="46"/>
  <c r="Z26" i="46"/>
  <c r="AA26" i="46" s="1"/>
  <c r="O26" i="46"/>
  <c r="S26" i="46" s="1"/>
  <c r="K26" i="46"/>
  <c r="E26" i="46"/>
  <c r="AI25" i="46"/>
  <c r="AD25" i="46"/>
  <c r="AC25" i="46"/>
  <c r="Z25" i="46"/>
  <c r="O25" i="46"/>
  <c r="AF25" i="46" s="1"/>
  <c r="K25" i="46"/>
  <c r="AH25" i="46" s="1"/>
  <c r="E25" i="46"/>
  <c r="AI24" i="46"/>
  <c r="AD24" i="46"/>
  <c r="AC24" i="46"/>
  <c r="Z24" i="46"/>
  <c r="AE24" i="46" s="1"/>
  <c r="O24" i="46"/>
  <c r="AF24" i="46" s="1"/>
  <c r="K24" i="46"/>
  <c r="AH24" i="46" s="1"/>
  <c r="E24" i="46"/>
  <c r="AI23" i="46"/>
  <c r="AD23" i="46"/>
  <c r="Z23" i="46"/>
  <c r="AE23" i="46" s="1"/>
  <c r="O23" i="46"/>
  <c r="K23" i="46"/>
  <c r="AH23" i="46" s="1"/>
  <c r="E23" i="46"/>
  <c r="AI22" i="46"/>
  <c r="AD22" i="46"/>
  <c r="Z22" i="46"/>
  <c r="AE22" i="46" s="1"/>
  <c r="O22" i="46"/>
  <c r="AF22" i="46" s="1"/>
  <c r="K22" i="46"/>
  <c r="AH22" i="46" s="1"/>
  <c r="E22" i="46"/>
  <c r="AI21" i="46"/>
  <c r="AD21" i="46"/>
  <c r="Z21" i="46"/>
  <c r="AE21" i="46" s="1"/>
  <c r="O21" i="46"/>
  <c r="AF21" i="46" s="1"/>
  <c r="K21" i="46"/>
  <c r="E21" i="46"/>
  <c r="AI20" i="46"/>
  <c r="AD20" i="46"/>
  <c r="Z20" i="46"/>
  <c r="AE20" i="46" s="1"/>
  <c r="O20" i="46"/>
  <c r="AF20" i="46" s="1"/>
  <c r="K20" i="46"/>
  <c r="AH20" i="46" s="1"/>
  <c r="E20" i="46"/>
  <c r="AI19" i="46"/>
  <c r="AD19" i="46"/>
  <c r="Z19" i="46"/>
  <c r="AA19" i="46" s="1"/>
  <c r="O19" i="46"/>
  <c r="AF19" i="46" s="1"/>
  <c r="K19" i="46"/>
  <c r="E19" i="46"/>
  <c r="AI18" i="46"/>
  <c r="AE18" i="46"/>
  <c r="AD18" i="46"/>
  <c r="AA18" i="46"/>
  <c r="O18" i="46"/>
  <c r="K18" i="46"/>
  <c r="E18" i="46"/>
  <c r="AI17" i="46"/>
  <c r="AE17" i="46"/>
  <c r="AD17" i="46"/>
  <c r="AA17" i="46"/>
  <c r="O17" i="46"/>
  <c r="AF17" i="46" s="1"/>
  <c r="K17" i="46"/>
  <c r="E17" i="46"/>
  <c r="AI16" i="46"/>
  <c r="AD16" i="46"/>
  <c r="Z16" i="46"/>
  <c r="AE16" i="46" s="1"/>
  <c r="O16" i="46"/>
  <c r="K16" i="46"/>
  <c r="AH16" i="46" s="1"/>
  <c r="E16" i="46"/>
  <c r="AI15" i="46"/>
  <c r="AD15" i="46"/>
  <c r="Z15" i="46"/>
  <c r="AA15" i="46" s="1"/>
  <c r="O15" i="46"/>
  <c r="K15" i="46"/>
  <c r="AH15" i="46" s="1"/>
  <c r="E15" i="46"/>
  <c r="AI14" i="46"/>
  <c r="AD14" i="46"/>
  <c r="AC14" i="46"/>
  <c r="Z14" i="46"/>
  <c r="AA14" i="46" s="1"/>
  <c r="O14" i="46"/>
  <c r="AF14" i="46" s="1"/>
  <c r="K14" i="46"/>
  <c r="AH14" i="46" s="1"/>
  <c r="E14" i="46"/>
  <c r="AI13" i="46"/>
  <c r="AD13" i="46"/>
  <c r="AC13" i="46"/>
  <c r="Z13" i="46"/>
  <c r="AE13" i="46" s="1"/>
  <c r="O13" i="46"/>
  <c r="K13" i="46"/>
  <c r="AH13" i="46" s="1"/>
  <c r="E13" i="46"/>
  <c r="AI12" i="46"/>
  <c r="AD12" i="46"/>
  <c r="AC12" i="46"/>
  <c r="Z12" i="46"/>
  <c r="AE12" i="46" s="1"/>
  <c r="O12" i="46"/>
  <c r="K12" i="46"/>
  <c r="AH12" i="46" s="1"/>
  <c r="E12" i="46"/>
  <c r="AI11" i="46"/>
  <c r="AE11" i="46"/>
  <c r="AD11" i="46"/>
  <c r="AA11" i="46"/>
  <c r="O11" i="46"/>
  <c r="K11" i="46"/>
  <c r="E11" i="46"/>
  <c r="AI10" i="46"/>
  <c r="AE10" i="46"/>
  <c r="AD10" i="46"/>
  <c r="AA10" i="46"/>
  <c r="O10" i="46"/>
  <c r="S10" i="46" s="1"/>
  <c r="AC10" i="46" s="1"/>
  <c r="K10" i="46"/>
  <c r="AH10" i="46" s="1"/>
  <c r="E10" i="46"/>
  <c r="AI9" i="46"/>
  <c r="AE9" i="46"/>
  <c r="AD9" i="46"/>
  <c r="AA9" i="46"/>
  <c r="O9" i="46"/>
  <c r="K9" i="46"/>
  <c r="AH9" i="46" s="1"/>
  <c r="E9" i="46"/>
  <c r="AI8" i="46"/>
  <c r="AE8" i="46"/>
  <c r="AD8" i="46"/>
  <c r="AA8" i="46"/>
  <c r="O8" i="46"/>
  <c r="AF8" i="46" s="1"/>
  <c r="K8" i="46"/>
  <c r="AH8" i="46" s="1"/>
  <c r="E8" i="46"/>
  <c r="AI7" i="46"/>
  <c r="AE7" i="46"/>
  <c r="AD7" i="46"/>
  <c r="AC7" i="46"/>
  <c r="AA7" i="46"/>
  <c r="O7" i="46"/>
  <c r="K7" i="46"/>
  <c r="AH7" i="46" s="1"/>
  <c r="E7" i="46"/>
  <c r="AI6" i="46"/>
  <c r="AE6" i="46"/>
  <c r="AD6" i="46"/>
  <c r="AC6" i="46"/>
  <c r="AA6" i="46"/>
  <c r="O6" i="46"/>
  <c r="K6" i="46"/>
  <c r="E6" i="46"/>
  <c r="AI5" i="46"/>
  <c r="AD5" i="46"/>
  <c r="Z5" i="46"/>
  <c r="AE5" i="46" s="1"/>
  <c r="O5" i="46"/>
  <c r="AF5" i="46" s="1"/>
  <c r="K5" i="46"/>
  <c r="E5" i="46"/>
  <c r="I2" i="46"/>
  <c r="C22" i="12" s="1"/>
  <c r="AJ68" i="46" l="1"/>
  <c r="AB78" i="46"/>
  <c r="AL78" i="46" s="1"/>
  <c r="AJ29" i="46"/>
  <c r="AJ35" i="46"/>
  <c r="AB52" i="46"/>
  <c r="AL52" i="46" s="1"/>
  <c r="AJ5" i="46"/>
  <c r="AJ57" i="46"/>
  <c r="AJ65" i="46"/>
  <c r="AJ26" i="46"/>
  <c r="AJ32" i="46"/>
  <c r="AJ67" i="46"/>
  <c r="AJ21" i="46"/>
  <c r="AJ52" i="46"/>
  <c r="AH65" i="46"/>
  <c r="AJ73" i="46"/>
  <c r="AE45" i="46"/>
  <c r="AJ53" i="46"/>
  <c r="AJ78" i="46"/>
  <c r="AJ13" i="46"/>
  <c r="AJ51" i="46"/>
  <c r="AH53" i="46"/>
  <c r="AH29" i="46"/>
  <c r="AF52" i="46"/>
  <c r="AG52" i="46" s="1"/>
  <c r="AH52" i="46"/>
  <c r="AG81" i="46"/>
  <c r="AJ79" i="46"/>
  <c r="AB26" i="46"/>
  <c r="AL26" i="46" s="1"/>
  <c r="AJ54" i="46"/>
  <c r="AF65" i="46"/>
  <c r="AG65" i="46" s="1"/>
  <c r="S20" i="46"/>
  <c r="AC20" i="46" s="1"/>
  <c r="AG20" i="46" s="1"/>
  <c r="AH26" i="46"/>
  <c r="AJ41" i="46"/>
  <c r="AF57" i="46"/>
  <c r="AJ59" i="46"/>
  <c r="AH54" i="46"/>
  <c r="AJ66" i="46"/>
  <c r="S36" i="46"/>
  <c r="AC36" i="46" s="1"/>
  <c r="AG36" i="46" s="1"/>
  <c r="AB47" i="46"/>
  <c r="AL47" i="46" s="1"/>
  <c r="AF51" i="46"/>
  <c r="AG51" i="46" s="1"/>
  <c r="AF59" i="46"/>
  <c r="AJ22" i="46"/>
  <c r="S87" i="46"/>
  <c r="AC87" i="46" s="1"/>
  <c r="AA27" i="46"/>
  <c r="AH78" i="46"/>
  <c r="AJ40" i="46"/>
  <c r="AJ85" i="46"/>
  <c r="AH21" i="46"/>
  <c r="AJ25" i="46"/>
  <c r="AB54" i="46"/>
  <c r="AL54" i="46" s="1"/>
  <c r="AB65" i="46"/>
  <c r="AL65" i="46" s="1"/>
  <c r="AE60" i="46"/>
  <c r="AE72" i="46"/>
  <c r="AE19" i="46"/>
  <c r="AJ36" i="46"/>
  <c r="AJ28" i="46"/>
  <c r="AE35" i="46"/>
  <c r="AB53" i="46"/>
  <c r="AL53" i="46" s="1"/>
  <c r="S71" i="46"/>
  <c r="AC71" i="46" s="1"/>
  <c r="AG71" i="46" s="1"/>
  <c r="AE73" i="46"/>
  <c r="AJ58" i="46"/>
  <c r="S63" i="46"/>
  <c r="AC63" i="46" s="1"/>
  <c r="AG63" i="46" s="1"/>
  <c r="AE59" i="46"/>
  <c r="AA75" i="46"/>
  <c r="S27" i="46"/>
  <c r="AC27" i="46" s="1"/>
  <c r="AG27" i="46" s="1"/>
  <c r="AJ46" i="46"/>
  <c r="AF35" i="46"/>
  <c r="AB46" i="46"/>
  <c r="AL46" i="46" s="1"/>
  <c r="AE32" i="46"/>
  <c r="AH35" i="46"/>
  <c r="AE26" i="46"/>
  <c r="AH32" i="46"/>
  <c r="AJ14" i="46"/>
  <c r="AF26" i="46"/>
  <c r="AJ27" i="46"/>
  <c r="AB41" i="46"/>
  <c r="AL41" i="46" s="1"/>
  <c r="AF46" i="46"/>
  <c r="AG46" i="46" s="1"/>
  <c r="AJ11" i="46"/>
  <c r="AH11" i="46"/>
  <c r="AH18" i="46"/>
  <c r="AJ18" i="46"/>
  <c r="AA87" i="46"/>
  <c r="AE87" i="46"/>
  <c r="AF18" i="46"/>
  <c r="AF45" i="46"/>
  <c r="AJ45" i="46"/>
  <c r="AH82" i="46"/>
  <c r="AJ82" i="46"/>
  <c r="AG90" i="46"/>
  <c r="S8" i="46"/>
  <c r="AC8" i="46" s="1"/>
  <c r="AG8" i="46" s="1"/>
  <c r="S15" i="46"/>
  <c r="AC15" i="46" s="1"/>
  <c r="AF15" i="46"/>
  <c r="S18" i="46"/>
  <c r="AC18" i="46" s="1"/>
  <c r="AA24" i="46"/>
  <c r="AB24" i="46" s="1"/>
  <c r="AL24" i="46" s="1"/>
  <c r="AJ38" i="46"/>
  <c r="AH38" i="46"/>
  <c r="S45" i="46"/>
  <c r="AC45" i="46" s="1"/>
  <c r="AJ80" i="46"/>
  <c r="AB82" i="46"/>
  <c r="AL82" i="46" s="1"/>
  <c r="AF82" i="46"/>
  <c r="AG82" i="46" s="1"/>
  <c r="AB35" i="46"/>
  <c r="AL35" i="46" s="1"/>
  <c r="AF38" i="46"/>
  <c r="AG38" i="46" s="1"/>
  <c r="S69" i="46"/>
  <c r="S11" i="46"/>
  <c r="AC11" i="46" s="1"/>
  <c r="AF11" i="46"/>
  <c r="AB7" i="46"/>
  <c r="AL7" i="46" s="1"/>
  <c r="AF7" i="46"/>
  <c r="AG7" i="46" s="1"/>
  <c r="AJ23" i="46"/>
  <c r="AF23" i="46"/>
  <c r="AA43" i="46"/>
  <c r="AJ84" i="46"/>
  <c r="AF84" i="46"/>
  <c r="AG84" i="46" s="1"/>
  <c r="AB6" i="46"/>
  <c r="AL6" i="46" s="1"/>
  <c r="AF6" i="46"/>
  <c r="AG6" i="46" s="1"/>
  <c r="AA20" i="46"/>
  <c r="AH19" i="46"/>
  <c r="AJ19" i="46"/>
  <c r="AG77" i="46"/>
  <c r="AF80" i="46"/>
  <c r="AG80" i="46" s="1"/>
  <c r="AB80" i="46"/>
  <c r="AL80" i="46" s="1"/>
  <c r="AB84" i="46"/>
  <c r="AL84" i="46" s="1"/>
  <c r="AF16" i="46"/>
  <c r="AJ16" i="46"/>
  <c r="AC26" i="46"/>
  <c r="AH37" i="46"/>
  <c r="AJ37" i="46"/>
  <c r="S16" i="46"/>
  <c r="AC16" i="46" s="1"/>
  <c r="AF29" i="46"/>
  <c r="S37" i="46"/>
  <c r="AC37" i="46" s="1"/>
  <c r="AF37" i="46"/>
  <c r="S42" i="46"/>
  <c r="AC42" i="46" s="1"/>
  <c r="AF42" i="46"/>
  <c r="AJ47" i="46"/>
  <c r="AF47" i="46"/>
  <c r="AG47" i="46" s="1"/>
  <c r="AJ87" i="46"/>
  <c r="AH87" i="46"/>
  <c r="AJ81" i="46"/>
  <c r="AH81" i="46"/>
  <c r="AH6" i="46"/>
  <c r="AJ6" i="46"/>
  <c r="S23" i="46"/>
  <c r="AC23" i="46" s="1"/>
  <c r="AA38" i="46"/>
  <c r="AB38" i="46" s="1"/>
  <c r="AL38" i="46" s="1"/>
  <c r="AB68" i="46"/>
  <c r="AL68" i="46" s="1"/>
  <c r="AA88" i="46"/>
  <c r="AJ7" i="46"/>
  <c r="S29" i="46"/>
  <c r="AC29" i="46" s="1"/>
  <c r="AH39" i="46"/>
  <c r="AJ39" i="46"/>
  <c r="AA42" i="46"/>
  <c r="AE42" i="46"/>
  <c r="AA76" i="46"/>
  <c r="AB76" i="46" s="1"/>
  <c r="AL76" i="46" s="1"/>
  <c r="AF83" i="46"/>
  <c r="AG83" i="46" s="1"/>
  <c r="AB83" i="46"/>
  <c r="AL83" i="46" s="1"/>
  <c r="AG68" i="46"/>
  <c r="AA22" i="46"/>
  <c r="S28" i="46"/>
  <c r="AC28" i="46" s="1"/>
  <c r="AJ60" i="46"/>
  <c r="AH68" i="46"/>
  <c r="AB14" i="46"/>
  <c r="AL14" i="46" s="1"/>
  <c r="AA23" i="46"/>
  <c r="S17" i="46"/>
  <c r="AC17" i="46" s="1"/>
  <c r="AG17" i="46" s="1"/>
  <c r="AA33" i="46"/>
  <c r="AB49" i="46"/>
  <c r="AL49" i="46" s="1"/>
  <c r="AB57" i="46"/>
  <c r="AL57" i="46" s="1"/>
  <c r="S60" i="46"/>
  <c r="AC60" i="46" s="1"/>
  <c r="AJ77" i="46"/>
  <c r="AJ86" i="46"/>
  <c r="AG24" i="46"/>
  <c r="S32" i="46"/>
  <c r="AC32" i="46" s="1"/>
  <c r="AE14" i="46"/>
  <c r="AG14" i="46" s="1"/>
  <c r="AG49" i="46"/>
  <c r="AB55" i="46"/>
  <c r="AL55" i="46" s="1"/>
  <c r="AJ20" i="46"/>
  <c r="AA21" i="46"/>
  <c r="AE29" i="46"/>
  <c r="AF41" i="46"/>
  <c r="AG41" i="46" s="1"/>
  <c r="AH67" i="46"/>
  <c r="AJ76" i="46"/>
  <c r="AB86" i="46"/>
  <c r="AL86" i="46" s="1"/>
  <c r="AJ44" i="46"/>
  <c r="AB51" i="46"/>
  <c r="AL51" i="46" s="1"/>
  <c r="AG53" i="46"/>
  <c r="AG54" i="46"/>
  <c r="AG55" i="46"/>
  <c r="AJ71" i="46"/>
  <c r="AF78" i="46"/>
  <c r="AG78" i="46" s="1"/>
  <c r="AE58" i="46"/>
  <c r="AA58" i="46"/>
  <c r="AB58" i="46" s="1"/>
  <c r="AL58" i="46" s="1"/>
  <c r="K2" i="46"/>
  <c r="D22" i="12" s="1"/>
  <c r="AF34" i="46"/>
  <c r="S34" i="46"/>
  <c r="AC34" i="46" s="1"/>
  <c r="AJ50" i="46"/>
  <c r="AH50" i="46"/>
  <c r="AE57" i="46"/>
  <c r="AJ48" i="46"/>
  <c r="AH48" i="46"/>
  <c r="AF64" i="46"/>
  <c r="AF12" i="46"/>
  <c r="AG12" i="46" s="1"/>
  <c r="AJ12" i="46"/>
  <c r="AE15" i="46"/>
  <c r="AE30" i="46"/>
  <c r="AA30" i="46"/>
  <c r="AB30" i="46" s="1"/>
  <c r="AL30" i="46" s="1"/>
  <c r="AF33" i="46"/>
  <c r="AJ33" i="46"/>
  <c r="S33" i="46"/>
  <c r="AC33" i="46" s="1"/>
  <c r="AA16" i="46"/>
  <c r="AE31" i="46"/>
  <c r="AA31" i="46"/>
  <c r="AB31" i="46" s="1"/>
  <c r="AL31" i="46" s="1"/>
  <c r="S64" i="46"/>
  <c r="AC64" i="46" s="1"/>
  <c r="AA13" i="46"/>
  <c r="AB13" i="46" s="1"/>
  <c r="AL13" i="46" s="1"/>
  <c r="AJ34" i="46"/>
  <c r="AH34" i="46"/>
  <c r="AF10" i="46"/>
  <c r="AG10" i="46" s="1"/>
  <c r="AB10" i="46"/>
  <c r="AL10" i="46" s="1"/>
  <c r="AJ10" i="46"/>
  <c r="AJ55" i="46"/>
  <c r="AH55" i="46"/>
  <c r="AJ31" i="46"/>
  <c r="AF31" i="46"/>
  <c r="AF30" i="46"/>
  <c r="AJ30" i="46"/>
  <c r="AJ56" i="46"/>
  <c r="AH56" i="46"/>
  <c r="AA12" i="46"/>
  <c r="AB12" i="46" s="1"/>
  <c r="AL12" i="46" s="1"/>
  <c r="AE28" i="46"/>
  <c r="AA28" i="46"/>
  <c r="AH41" i="46"/>
  <c r="S56" i="46"/>
  <c r="AC56" i="46" s="1"/>
  <c r="AF56" i="46"/>
  <c r="AJ62" i="46"/>
  <c r="AH64" i="46"/>
  <c r="AJ64" i="46"/>
  <c r="AF9" i="46"/>
  <c r="AJ9" i="46"/>
  <c r="S9" i="46"/>
  <c r="AC9" i="46" s="1"/>
  <c r="AE56" i="46"/>
  <c r="AA56" i="46"/>
  <c r="AJ75" i="46"/>
  <c r="AH75" i="46"/>
  <c r="AH5" i="46"/>
  <c r="AF50" i="46"/>
  <c r="AG50" i="46" s="1"/>
  <c r="AB50" i="46"/>
  <c r="AL50" i="46" s="1"/>
  <c r="AH63" i="46"/>
  <c r="AJ63" i="46"/>
  <c r="S75" i="46"/>
  <c r="AC75" i="46" s="1"/>
  <c r="AF75" i="46"/>
  <c r="AJ24" i="46"/>
  <c r="AE34" i="46"/>
  <c r="AA34" i="46"/>
  <c r="AJ43" i="46"/>
  <c r="AH89" i="46"/>
  <c r="AJ89" i="46"/>
  <c r="S89" i="46"/>
  <c r="AC89" i="46" s="1"/>
  <c r="AF89" i="46"/>
  <c r="AE37" i="46"/>
  <c r="AA37" i="46"/>
  <c r="AF40" i="46"/>
  <c r="AG40" i="46" s="1"/>
  <c r="AJ61" i="46"/>
  <c r="AH61" i="46"/>
  <c r="AF73" i="46"/>
  <c r="AH74" i="46"/>
  <c r="AJ74" i="46"/>
  <c r="AF74" i="46"/>
  <c r="S61" i="46"/>
  <c r="AC61" i="46" s="1"/>
  <c r="AG61" i="46" s="1"/>
  <c r="AA62" i="46"/>
  <c r="AB62" i="46" s="1"/>
  <c r="AL62" i="46" s="1"/>
  <c r="AE62" i="46"/>
  <c r="S74" i="46"/>
  <c r="AC74" i="46" s="1"/>
  <c r="AF88" i="46"/>
  <c r="AF44" i="46"/>
  <c r="AG44" i="46" s="1"/>
  <c r="AA89" i="46"/>
  <c r="S5" i="46"/>
  <c r="AC5" i="46" s="1"/>
  <c r="AG5" i="46" s="1"/>
  <c r="AA40" i="46"/>
  <c r="AB40" i="46" s="1"/>
  <c r="AL40" i="46" s="1"/>
  <c r="AB48" i="46"/>
  <c r="AL48" i="46" s="1"/>
  <c r="S22" i="46"/>
  <c r="AC22" i="46" s="1"/>
  <c r="AG22" i="46" s="1"/>
  <c r="AE25" i="46"/>
  <c r="AG25" i="46" s="1"/>
  <c r="AA25" i="46"/>
  <c r="AB25" i="46" s="1"/>
  <c r="AL25" i="46" s="1"/>
  <c r="AA39" i="46"/>
  <c r="S43" i="46"/>
  <c r="AA44" i="46"/>
  <c r="AB44" i="46" s="1"/>
  <c r="AL44" i="46" s="1"/>
  <c r="AG48" i="46"/>
  <c r="AE74" i="46"/>
  <c r="AA74" i="46"/>
  <c r="S88" i="46"/>
  <c r="AC88" i="46" s="1"/>
  <c r="AJ90" i="46"/>
  <c r="AH90" i="46"/>
  <c r="AA36" i="46"/>
  <c r="S39" i="46"/>
  <c r="AC39" i="46" s="1"/>
  <c r="AG39" i="46" s="1"/>
  <c r="S73" i="46"/>
  <c r="AC73" i="46" s="1"/>
  <c r="AA5" i="46"/>
  <c r="AJ8" i="46"/>
  <c r="AJ17" i="46"/>
  <c r="S19" i="46"/>
  <c r="AC19" i="46" s="1"/>
  <c r="S21" i="46"/>
  <c r="AF58" i="46"/>
  <c r="AA61" i="46"/>
  <c r="AJ72" i="46"/>
  <c r="AH72" i="46"/>
  <c r="AL90" i="46"/>
  <c r="AJ70" i="46"/>
  <c r="AH70" i="46"/>
  <c r="AF62" i="46"/>
  <c r="AB70" i="46"/>
  <c r="AL70" i="46" s="1"/>
  <c r="AF13" i="46"/>
  <c r="AG13" i="46" s="1"/>
  <c r="AJ49" i="46"/>
  <c r="S66" i="46"/>
  <c r="AC66" i="46" s="1"/>
  <c r="AG66" i="46" s="1"/>
  <c r="AF70" i="46"/>
  <c r="AG70" i="46" s="1"/>
  <c r="AB72" i="46"/>
  <c r="AL72" i="46" s="1"/>
  <c r="AF72" i="46"/>
  <c r="AG76" i="46"/>
  <c r="AH57" i="46"/>
  <c r="S67" i="46"/>
  <c r="AC67" i="46" s="1"/>
  <c r="AG67" i="46" s="1"/>
  <c r="AH17" i="46"/>
  <c r="AJ42" i="46"/>
  <c r="AB59" i="46"/>
  <c r="AL59" i="46" s="1"/>
  <c r="AJ15" i="46"/>
  <c r="AJ69" i="46"/>
  <c r="AG86" i="46"/>
  <c r="AF79" i="46"/>
  <c r="AG79" i="46" s="1"/>
  <c r="AB79" i="46"/>
  <c r="AL79" i="46" s="1"/>
  <c r="AB77" i="46"/>
  <c r="AL77" i="46" s="1"/>
  <c r="AB81" i="46"/>
  <c r="AL81" i="46" s="1"/>
  <c r="AJ83" i="46"/>
  <c r="AJ88" i="46"/>
  <c r="AF85" i="46"/>
  <c r="AG85" i="46" s="1"/>
  <c r="AB85" i="46"/>
  <c r="AL85" i="46" s="1"/>
  <c r="AB28" i="46" l="1"/>
  <c r="AL28" i="46" s="1"/>
  <c r="AB20" i="46"/>
  <c r="AL20" i="46" s="1"/>
  <c r="AB16" i="46"/>
  <c r="AL16" i="46" s="1"/>
  <c r="AB5" i="46"/>
  <c r="AL5" i="46" s="1"/>
  <c r="AB60" i="46"/>
  <c r="AL60" i="46" s="1"/>
  <c r="AG9" i="46"/>
  <c r="AB87" i="46"/>
  <c r="AL87" i="46" s="1"/>
  <c r="AG33" i="46"/>
  <c r="AB63" i="46"/>
  <c r="AL63" i="46" s="1"/>
  <c r="AG60" i="46"/>
  <c r="AB27" i="46"/>
  <c r="AL27" i="46" s="1"/>
  <c r="AG57" i="46"/>
  <c r="AG87" i="46"/>
  <c r="AG58" i="46"/>
  <c r="AG28" i="46"/>
  <c r="AB36" i="46"/>
  <c r="AL36" i="46" s="1"/>
  <c r="AG59" i="46"/>
  <c r="AB17" i="46"/>
  <c r="AL17" i="46" s="1"/>
  <c r="AG19" i="46"/>
  <c r="AG32" i="46"/>
  <c r="AB37" i="46"/>
  <c r="AL37" i="46" s="1"/>
  <c r="AG26" i="46"/>
  <c r="AG16" i="46"/>
  <c r="AG35" i="46"/>
  <c r="AB56" i="46"/>
  <c r="AL56" i="46" s="1"/>
  <c r="AG72" i="46"/>
  <c r="AG62" i="46"/>
  <c r="AB73" i="46"/>
  <c r="AL73" i="46" s="1"/>
  <c r="AB71" i="46"/>
  <c r="AL71" i="46" s="1"/>
  <c r="AG23" i="46"/>
  <c r="AB23" i="46"/>
  <c r="AL23" i="46" s="1"/>
  <c r="AG11" i="46"/>
  <c r="AB8" i="46"/>
  <c r="AL8" i="46" s="1"/>
  <c r="AB18" i="46"/>
  <c r="AL18" i="46" s="1"/>
  <c r="AB89" i="46"/>
  <c r="AL89" i="46" s="1"/>
  <c r="AG37" i="46"/>
  <c r="AB32" i="46"/>
  <c r="AL32" i="46" s="1"/>
  <c r="AG42" i="46"/>
  <c r="AB69" i="46"/>
  <c r="AL69" i="46" s="1"/>
  <c r="AC69" i="46"/>
  <c r="AG69" i="46" s="1"/>
  <c r="AJ3" i="46"/>
  <c r="G22" i="12" s="1"/>
  <c r="AB29" i="46"/>
  <c r="AL29" i="46" s="1"/>
  <c r="AB45" i="46"/>
  <c r="AL45" i="46" s="1"/>
  <c r="AB11" i="46"/>
  <c r="AL11" i="46" s="1"/>
  <c r="AG15" i="46"/>
  <c r="AB15" i="46"/>
  <c r="AL15" i="46" s="1"/>
  <c r="AG45" i="46"/>
  <c r="AB61" i="46"/>
  <c r="AL61" i="46" s="1"/>
  <c r="AB42" i="46"/>
  <c r="AL42" i="46" s="1"/>
  <c r="AB64" i="46"/>
  <c r="AL64" i="46" s="1"/>
  <c r="AG18" i="46"/>
  <c r="AG29" i="46"/>
  <c r="AB66" i="46"/>
  <c r="AL66" i="46" s="1"/>
  <c r="AG30" i="46"/>
  <c r="AG88" i="46"/>
  <c r="AB75" i="46"/>
  <c r="AL75" i="46" s="1"/>
  <c r="AG31" i="46"/>
  <c r="AC43" i="46"/>
  <c r="AG43" i="46" s="1"/>
  <c r="AB43" i="46"/>
  <c r="AL43" i="46" s="1"/>
  <c r="AG89" i="46"/>
  <c r="AG34" i="46"/>
  <c r="AB33" i="46"/>
  <c r="AL33" i="46" s="1"/>
  <c r="AC21" i="46"/>
  <c r="AG21" i="46" s="1"/>
  <c r="AB21" i="46"/>
  <c r="AL21" i="46" s="1"/>
  <c r="AB9" i="46"/>
  <c r="AL9" i="46" s="1"/>
  <c r="AG56" i="46"/>
  <c r="AG74" i="46"/>
  <c r="AH3" i="46"/>
  <c r="F22" i="12" s="1"/>
  <c r="R2" i="46"/>
  <c r="Q2" i="46"/>
  <c r="I22" i="12" s="1"/>
  <c r="AB34" i="46"/>
  <c r="AL34" i="46" s="1"/>
  <c r="AB74" i="46"/>
  <c r="AL74" i="46" s="1"/>
  <c r="AB88" i="46"/>
  <c r="AL88" i="46" s="1"/>
  <c r="AG75" i="46"/>
  <c r="AI3" i="46"/>
  <c r="L22" i="12" s="1"/>
  <c r="L2" i="46"/>
  <c r="AB39" i="46"/>
  <c r="AL39" i="46" s="1"/>
  <c r="AB22" i="46"/>
  <c r="AL22" i="46" s="1"/>
  <c r="AG73" i="46"/>
  <c r="AB67" i="46"/>
  <c r="AL67" i="46" s="1"/>
  <c r="AB19" i="46"/>
  <c r="AL19" i="46" s="1"/>
  <c r="AG64" i="46"/>
  <c r="E22" i="12" l="1"/>
  <c r="AG2" i="46"/>
  <c r="K22" i="12" s="1"/>
  <c r="AL3" i="46"/>
  <c r="J22" i="12" l="1"/>
  <c r="M22" i="12"/>
  <c r="R22" i="12" s="1"/>
  <c r="E88" i="18"/>
  <c r="N88" i="18"/>
  <c r="O88" i="18" s="1"/>
  <c r="D88" i="18" s="1"/>
  <c r="H89" i="18"/>
  <c r="I89" i="18" s="1"/>
  <c r="H88" i="18"/>
  <c r="E82" i="18"/>
  <c r="H82" i="18" s="1"/>
  <c r="H83" i="18"/>
  <c r="E77" i="18"/>
  <c r="H77" i="18" s="1"/>
  <c r="I77" i="18" s="1"/>
  <c r="D77" i="18"/>
  <c r="D79" i="18" s="1"/>
  <c r="H78" i="18"/>
  <c r="I88" i="18" l="1"/>
  <c r="I91" i="18" s="1"/>
  <c r="J77" i="18"/>
  <c r="J79" i="18" s="1"/>
  <c r="K79" i="18" s="1"/>
  <c r="I82" i="18"/>
  <c r="I83" i="18"/>
  <c r="I78" i="18"/>
  <c r="I80" i="18" s="1"/>
  <c r="I85" i="18" l="1"/>
  <c r="AI94" i="45" l="1"/>
  <c r="AE94" i="45"/>
  <c r="AD94" i="45"/>
  <c r="AC94" i="45"/>
  <c r="AA94" i="45"/>
  <c r="O94" i="45"/>
  <c r="AF94" i="45" s="1"/>
  <c r="K94" i="45"/>
  <c r="AH94" i="45" s="1"/>
  <c r="E94" i="45"/>
  <c r="AI93" i="45"/>
  <c r="AF93" i="45"/>
  <c r="AE93" i="45"/>
  <c r="AD93" i="45"/>
  <c r="AC93" i="45"/>
  <c r="AA93" i="45"/>
  <c r="O93" i="45"/>
  <c r="K93" i="45"/>
  <c r="E93" i="45"/>
  <c r="AI92" i="45"/>
  <c r="AE92" i="45"/>
  <c r="AD92" i="45"/>
  <c r="AC92" i="45"/>
  <c r="AA92" i="45"/>
  <c r="O92" i="45"/>
  <c r="AF92" i="45" s="1"/>
  <c r="K92" i="45"/>
  <c r="AH92" i="45" s="1"/>
  <c r="E92" i="45"/>
  <c r="AI91" i="45"/>
  <c r="AE91" i="45"/>
  <c r="AD91" i="45"/>
  <c r="AC91" i="45"/>
  <c r="AA91" i="45"/>
  <c r="O91" i="45"/>
  <c r="K91" i="45"/>
  <c r="E91" i="45"/>
  <c r="AI90" i="45"/>
  <c r="AE90" i="45"/>
  <c r="AD90" i="45"/>
  <c r="AC90" i="45"/>
  <c r="AA90" i="45"/>
  <c r="O90" i="45"/>
  <c r="AF90" i="45" s="1"/>
  <c r="K90" i="45"/>
  <c r="E90" i="45"/>
  <c r="AI89" i="45"/>
  <c r="AE89" i="45"/>
  <c r="AD89" i="45"/>
  <c r="AC89" i="45"/>
  <c r="AA89" i="45"/>
  <c r="O89" i="45"/>
  <c r="AF89" i="45" s="1"/>
  <c r="K89" i="45"/>
  <c r="E89" i="45"/>
  <c r="AI88" i="45"/>
  <c r="AE88" i="45"/>
  <c r="AD88" i="45"/>
  <c r="AC88" i="45"/>
  <c r="AA88" i="45"/>
  <c r="O88" i="45"/>
  <c r="AF88" i="45" s="1"/>
  <c r="K88" i="45"/>
  <c r="AH88" i="45" s="1"/>
  <c r="E88" i="45"/>
  <c r="AI87" i="45"/>
  <c r="AE87" i="45"/>
  <c r="AD87" i="45"/>
  <c r="AC87" i="45"/>
  <c r="AA87" i="45"/>
  <c r="O87" i="45"/>
  <c r="AB87" i="45" s="1"/>
  <c r="K87" i="45"/>
  <c r="E87" i="45"/>
  <c r="AI86" i="45"/>
  <c r="AD86" i="45"/>
  <c r="Z86" i="45"/>
  <c r="AE86" i="45" s="1"/>
  <c r="O86" i="45"/>
  <c r="S86" i="45" s="1"/>
  <c r="AC86" i="45" s="1"/>
  <c r="K86" i="45"/>
  <c r="E86" i="45"/>
  <c r="AI85" i="45"/>
  <c r="AD85" i="45"/>
  <c r="Z85" i="45"/>
  <c r="O85" i="45"/>
  <c r="K85" i="45"/>
  <c r="E85" i="45"/>
  <c r="AI82" i="45"/>
  <c r="AE82" i="45"/>
  <c r="AD82" i="45"/>
  <c r="AA82" i="45"/>
  <c r="O82" i="45"/>
  <c r="K82" i="45"/>
  <c r="AL82" i="45" s="1"/>
  <c r="E82" i="45"/>
  <c r="AI81" i="45"/>
  <c r="AE81" i="45"/>
  <c r="AD81" i="45"/>
  <c r="AC81" i="45"/>
  <c r="AA81" i="45"/>
  <c r="O81" i="45"/>
  <c r="K81" i="45"/>
  <c r="E81" i="45"/>
  <c r="AI80" i="45"/>
  <c r="AE80" i="45"/>
  <c r="AD80" i="45"/>
  <c r="AC80" i="45"/>
  <c r="AA80" i="45"/>
  <c r="O80" i="45"/>
  <c r="AF80" i="45" s="1"/>
  <c r="K80" i="45"/>
  <c r="E80" i="45"/>
  <c r="AI79" i="45"/>
  <c r="AE79" i="45"/>
  <c r="AD79" i="45"/>
  <c r="AC79" i="45"/>
  <c r="AA79" i="45"/>
  <c r="O79" i="45"/>
  <c r="AF79" i="45" s="1"/>
  <c r="K79" i="45"/>
  <c r="AH79" i="45" s="1"/>
  <c r="E79" i="45"/>
  <c r="AI78" i="45"/>
  <c r="AE78" i="45"/>
  <c r="AD78" i="45"/>
  <c r="AC78" i="45"/>
  <c r="AA78" i="45"/>
  <c r="O78" i="45"/>
  <c r="K78" i="45"/>
  <c r="AH78" i="45" s="1"/>
  <c r="E78" i="45"/>
  <c r="AI77" i="45"/>
  <c r="AE77" i="45"/>
  <c r="AD77" i="45"/>
  <c r="AC77" i="45"/>
  <c r="AA77" i="45"/>
  <c r="O77" i="45"/>
  <c r="K77" i="45"/>
  <c r="AH77" i="45" s="1"/>
  <c r="E77" i="45"/>
  <c r="AI76" i="45"/>
  <c r="AE76" i="45"/>
  <c r="AD76" i="45"/>
  <c r="AC76" i="45"/>
  <c r="AA76" i="45"/>
  <c r="O76" i="45"/>
  <c r="K76" i="45"/>
  <c r="AH76" i="45" s="1"/>
  <c r="E76" i="45"/>
  <c r="AI75" i="45"/>
  <c r="AE75" i="45"/>
  <c r="AD75" i="45"/>
  <c r="AC75" i="45"/>
  <c r="AA75" i="45"/>
  <c r="O75" i="45"/>
  <c r="AF75" i="45" s="1"/>
  <c r="K75" i="45"/>
  <c r="E75" i="45"/>
  <c r="AI74" i="45"/>
  <c r="AD74" i="45"/>
  <c r="Z74" i="45"/>
  <c r="O74" i="45"/>
  <c r="AF74" i="45" s="1"/>
  <c r="K74" i="45"/>
  <c r="AH74" i="45" s="1"/>
  <c r="E74" i="45"/>
  <c r="AI73" i="45"/>
  <c r="AD73" i="45"/>
  <c r="Z73" i="45"/>
  <c r="AE73" i="45" s="1"/>
  <c r="O73" i="45"/>
  <c r="AF73" i="45" s="1"/>
  <c r="K73" i="45"/>
  <c r="E73" i="45"/>
  <c r="AI72" i="45"/>
  <c r="AD72" i="45"/>
  <c r="Z72" i="45"/>
  <c r="AA72" i="45" s="1"/>
  <c r="O72" i="45"/>
  <c r="AF72" i="45" s="1"/>
  <c r="K72" i="45"/>
  <c r="E72" i="45"/>
  <c r="AI71" i="45"/>
  <c r="AD71" i="45"/>
  <c r="Z71" i="45"/>
  <c r="O71" i="45"/>
  <c r="AF71" i="45" s="1"/>
  <c r="K71" i="45"/>
  <c r="AH71" i="45" s="1"/>
  <c r="E71" i="45"/>
  <c r="AI70" i="45"/>
  <c r="AD70" i="45"/>
  <c r="Z70" i="45"/>
  <c r="AE70" i="45" s="1"/>
  <c r="O70" i="45"/>
  <c r="S70" i="45" s="1"/>
  <c r="AC70" i="45" s="1"/>
  <c r="K70" i="45"/>
  <c r="E70" i="45"/>
  <c r="AI69" i="45"/>
  <c r="AD69" i="45"/>
  <c r="AC69" i="45"/>
  <c r="Z69" i="45"/>
  <c r="AA69" i="45" s="1"/>
  <c r="O69" i="45"/>
  <c r="AF69" i="45" s="1"/>
  <c r="K69" i="45"/>
  <c r="E69" i="45"/>
  <c r="AI68" i="45"/>
  <c r="AD68" i="45"/>
  <c r="AC68" i="45"/>
  <c r="Z68" i="45"/>
  <c r="AE68" i="45" s="1"/>
  <c r="O68" i="45"/>
  <c r="AF68" i="45" s="1"/>
  <c r="K68" i="45"/>
  <c r="E68" i="45"/>
  <c r="AI67" i="45"/>
  <c r="AD67" i="45"/>
  <c r="Z67" i="45"/>
  <c r="AE67" i="45" s="1"/>
  <c r="O67" i="45"/>
  <c r="S67" i="45" s="1"/>
  <c r="AC67" i="45" s="1"/>
  <c r="K67" i="45"/>
  <c r="AH67" i="45" s="1"/>
  <c r="E67" i="45"/>
  <c r="AI66" i="45"/>
  <c r="AD66" i="45"/>
  <c r="Z66" i="45"/>
  <c r="AA66" i="45" s="1"/>
  <c r="O66" i="45"/>
  <c r="AF66" i="45" s="1"/>
  <c r="K66" i="45"/>
  <c r="E66" i="45"/>
  <c r="AI65" i="45"/>
  <c r="AD65" i="45"/>
  <c r="Z65" i="45"/>
  <c r="O65" i="45"/>
  <c r="K65" i="45"/>
  <c r="E65" i="45"/>
  <c r="AI64" i="45"/>
  <c r="AD64" i="45"/>
  <c r="Z64" i="45"/>
  <c r="AE64" i="45" s="1"/>
  <c r="O64" i="45"/>
  <c r="AF64" i="45" s="1"/>
  <c r="K64" i="45"/>
  <c r="AH64" i="45" s="1"/>
  <c r="E64" i="45"/>
  <c r="AI63" i="45"/>
  <c r="AD63" i="45"/>
  <c r="Z63" i="45"/>
  <c r="AA63" i="45" s="1"/>
  <c r="O63" i="45"/>
  <c r="AF63" i="45" s="1"/>
  <c r="K63" i="45"/>
  <c r="AH63" i="45" s="1"/>
  <c r="E63" i="45"/>
  <c r="AI62" i="45"/>
  <c r="AE62" i="45"/>
  <c r="AD62" i="45"/>
  <c r="AA62" i="45"/>
  <c r="O62" i="45"/>
  <c r="AF62" i="45" s="1"/>
  <c r="K62" i="45"/>
  <c r="E62" i="45"/>
  <c r="AI61" i="45"/>
  <c r="AE61" i="45"/>
  <c r="AD61" i="45"/>
  <c r="AA61" i="45"/>
  <c r="O61" i="45"/>
  <c r="S61" i="45" s="1"/>
  <c r="AC61" i="45" s="1"/>
  <c r="K61" i="45"/>
  <c r="AH61" i="45" s="1"/>
  <c r="E61" i="45"/>
  <c r="AI60" i="45"/>
  <c r="AE60" i="45"/>
  <c r="AD60" i="45"/>
  <c r="AA60" i="45"/>
  <c r="O60" i="45"/>
  <c r="AF60" i="45" s="1"/>
  <c r="K60" i="45"/>
  <c r="E60" i="45"/>
  <c r="AI59" i="45"/>
  <c r="AE59" i="45"/>
  <c r="AD59" i="45"/>
  <c r="AA59" i="45"/>
  <c r="O59" i="45"/>
  <c r="AF59" i="45" s="1"/>
  <c r="K59" i="45"/>
  <c r="AH59" i="45" s="1"/>
  <c r="E59" i="45"/>
  <c r="AI58" i="45"/>
  <c r="AE58" i="45"/>
  <c r="AD58" i="45"/>
  <c r="AA58" i="45"/>
  <c r="O58" i="45"/>
  <c r="AF58" i="45" s="1"/>
  <c r="K58" i="45"/>
  <c r="AH58" i="45" s="1"/>
  <c r="E58" i="45"/>
  <c r="AI57" i="45"/>
  <c r="AE57" i="45"/>
  <c r="AD57" i="45"/>
  <c r="AA57" i="45"/>
  <c r="O57" i="45"/>
  <c r="S57" i="45" s="1"/>
  <c r="AC57" i="45" s="1"/>
  <c r="K57" i="45"/>
  <c r="AH57" i="45" s="1"/>
  <c r="E57" i="45"/>
  <c r="AI56" i="45"/>
  <c r="AE56" i="45"/>
  <c r="AD56" i="45"/>
  <c r="AA56" i="45"/>
  <c r="O56" i="45"/>
  <c r="S56" i="45" s="1"/>
  <c r="AC56" i="45" s="1"/>
  <c r="K56" i="45"/>
  <c r="AJ56" i="45" s="1"/>
  <c r="E56" i="45"/>
  <c r="AI55" i="45"/>
  <c r="AE55" i="45"/>
  <c r="AD55" i="45"/>
  <c r="AA55" i="45"/>
  <c r="O55" i="45"/>
  <c r="AF55" i="45" s="1"/>
  <c r="K55" i="45"/>
  <c r="AH55" i="45" s="1"/>
  <c r="E55" i="45"/>
  <c r="AI54" i="45"/>
  <c r="AE54" i="45"/>
  <c r="AD54" i="45"/>
  <c r="AA54" i="45"/>
  <c r="O54" i="45"/>
  <c r="AF54" i="45" s="1"/>
  <c r="K54" i="45"/>
  <c r="E54" i="45"/>
  <c r="AI53" i="45"/>
  <c r="AE53" i="45"/>
  <c r="AD53" i="45"/>
  <c r="AA53" i="45"/>
  <c r="O53" i="45"/>
  <c r="AF53" i="45" s="1"/>
  <c r="K53" i="45"/>
  <c r="E53" i="45"/>
  <c r="AI52" i="45"/>
  <c r="AE52" i="45"/>
  <c r="AD52" i="45"/>
  <c r="AA52" i="45"/>
  <c r="O52" i="45"/>
  <c r="K52" i="45"/>
  <c r="E52" i="45"/>
  <c r="AI51" i="45"/>
  <c r="AE51" i="45"/>
  <c r="AD51" i="45"/>
  <c r="AC51" i="45"/>
  <c r="AA51" i="45"/>
  <c r="O51" i="45"/>
  <c r="K51" i="45"/>
  <c r="AH51" i="45" s="1"/>
  <c r="E51" i="45"/>
  <c r="AI50" i="45"/>
  <c r="AE50" i="45"/>
  <c r="AD50" i="45"/>
  <c r="AC50" i="45"/>
  <c r="AA50" i="45"/>
  <c r="O50" i="45"/>
  <c r="AF50" i="45" s="1"/>
  <c r="K50" i="45"/>
  <c r="E50" i="45"/>
  <c r="AI49" i="45"/>
  <c r="AE49" i="45"/>
  <c r="AD49" i="45"/>
  <c r="AC49" i="45"/>
  <c r="AA49" i="45"/>
  <c r="O49" i="45"/>
  <c r="K49" i="45"/>
  <c r="E49" i="45"/>
  <c r="AI48" i="45"/>
  <c r="AE48" i="45"/>
  <c r="AD48" i="45"/>
  <c r="AC48" i="45"/>
  <c r="AA48" i="45"/>
  <c r="O48" i="45"/>
  <c r="K48" i="45"/>
  <c r="AJ48" i="45" s="1"/>
  <c r="E48" i="45"/>
  <c r="AI47" i="45"/>
  <c r="AE47" i="45"/>
  <c r="AD47" i="45"/>
  <c r="AC47" i="45"/>
  <c r="AA47" i="45"/>
  <c r="O47" i="45"/>
  <c r="K47" i="45"/>
  <c r="E47" i="45"/>
  <c r="AI46" i="45"/>
  <c r="AE46" i="45"/>
  <c r="AD46" i="45"/>
  <c r="AC46" i="45"/>
  <c r="AA46" i="45"/>
  <c r="O46" i="45"/>
  <c r="K46" i="45"/>
  <c r="AH46" i="45" s="1"/>
  <c r="E46" i="45"/>
  <c r="AI45" i="45"/>
  <c r="AE45" i="45"/>
  <c r="AD45" i="45"/>
  <c r="AC45" i="45"/>
  <c r="AA45" i="45"/>
  <c r="O45" i="45"/>
  <c r="AF45" i="45" s="1"/>
  <c r="K45" i="45"/>
  <c r="AJ45" i="45" s="1"/>
  <c r="E45" i="45"/>
  <c r="AI44" i="45"/>
  <c r="AE44" i="45"/>
  <c r="AD44" i="45"/>
  <c r="AA44" i="45"/>
  <c r="O44" i="45"/>
  <c r="AF44" i="45" s="1"/>
  <c r="K44" i="45"/>
  <c r="E44" i="45"/>
  <c r="AI43" i="45"/>
  <c r="AE43" i="45"/>
  <c r="AD43" i="45"/>
  <c r="AA43" i="45"/>
  <c r="O43" i="45"/>
  <c r="AF43" i="45" s="1"/>
  <c r="K43" i="45"/>
  <c r="E43" i="45"/>
  <c r="AI42" i="45"/>
  <c r="AE42" i="45"/>
  <c r="AD42" i="45"/>
  <c r="AA42" i="45"/>
  <c r="O42" i="45"/>
  <c r="AF42" i="45" s="1"/>
  <c r="K42" i="45"/>
  <c r="AH42" i="45" s="1"/>
  <c r="E42" i="45"/>
  <c r="AI41" i="45"/>
  <c r="AE41" i="45"/>
  <c r="AD41" i="45"/>
  <c r="AA41" i="45"/>
  <c r="O41" i="45"/>
  <c r="K41" i="45"/>
  <c r="AJ41" i="45" s="1"/>
  <c r="E41" i="45"/>
  <c r="AI40" i="45"/>
  <c r="AE40" i="45"/>
  <c r="AD40" i="45"/>
  <c r="AA40" i="45"/>
  <c r="O40" i="45"/>
  <c r="AF40" i="45" s="1"/>
  <c r="K40" i="45"/>
  <c r="AH40" i="45" s="1"/>
  <c r="E40" i="45"/>
  <c r="AI39" i="45"/>
  <c r="AE39" i="45"/>
  <c r="AD39" i="45"/>
  <c r="AA39" i="45"/>
  <c r="O39" i="45"/>
  <c r="AF39" i="45" s="1"/>
  <c r="K39" i="45"/>
  <c r="E39" i="45"/>
  <c r="AI38" i="45"/>
  <c r="AE38" i="45"/>
  <c r="AD38" i="45"/>
  <c r="AA38" i="45"/>
  <c r="O38" i="45"/>
  <c r="S38" i="45" s="1"/>
  <c r="AC38" i="45" s="1"/>
  <c r="K38" i="45"/>
  <c r="E38" i="45"/>
  <c r="AI37" i="45"/>
  <c r="AE37" i="45"/>
  <c r="AD37" i="45"/>
  <c r="AA37" i="45"/>
  <c r="O37" i="45"/>
  <c r="K37" i="45"/>
  <c r="AH37" i="45" s="1"/>
  <c r="E37" i="45"/>
  <c r="AI36" i="45"/>
  <c r="AD36" i="45"/>
  <c r="Z36" i="45"/>
  <c r="AE36" i="45" s="1"/>
  <c r="O36" i="45"/>
  <c r="AF36" i="45" s="1"/>
  <c r="K36" i="45"/>
  <c r="AH36" i="45" s="1"/>
  <c r="E36" i="45"/>
  <c r="AI35" i="45"/>
  <c r="AD35" i="45"/>
  <c r="AC35" i="45"/>
  <c r="Z35" i="45"/>
  <c r="AA35" i="45" s="1"/>
  <c r="O35" i="45"/>
  <c r="AF35" i="45" s="1"/>
  <c r="K35" i="45"/>
  <c r="E35" i="45"/>
  <c r="AI34" i="45"/>
  <c r="AD34" i="45"/>
  <c r="AC34" i="45"/>
  <c r="Z34" i="45"/>
  <c r="AE34" i="45" s="1"/>
  <c r="O34" i="45"/>
  <c r="K34" i="45"/>
  <c r="AH34" i="45" s="1"/>
  <c r="E34" i="45"/>
  <c r="AI33" i="45"/>
  <c r="AD33" i="45"/>
  <c r="AC33" i="45"/>
  <c r="Z33" i="45"/>
  <c r="O33" i="45"/>
  <c r="AF33" i="45" s="1"/>
  <c r="K33" i="45"/>
  <c r="E33" i="45"/>
  <c r="AI32" i="45"/>
  <c r="AD32" i="45"/>
  <c r="AC32" i="45"/>
  <c r="Z32" i="45"/>
  <c r="AE32" i="45" s="1"/>
  <c r="O32" i="45"/>
  <c r="AF32" i="45" s="1"/>
  <c r="K32" i="45"/>
  <c r="E32" i="45"/>
  <c r="AI31" i="45"/>
  <c r="AD31" i="45"/>
  <c r="Z31" i="45"/>
  <c r="AE31" i="45" s="1"/>
  <c r="O31" i="45"/>
  <c r="K31" i="45"/>
  <c r="AH31" i="45" s="1"/>
  <c r="E31" i="45"/>
  <c r="AI30" i="45"/>
  <c r="AE30" i="45"/>
  <c r="AD30" i="45"/>
  <c r="AC30" i="45"/>
  <c r="O30" i="45"/>
  <c r="AF30" i="45" s="1"/>
  <c r="K30" i="45"/>
  <c r="AH30" i="45" s="1"/>
  <c r="E30" i="45"/>
  <c r="AI29" i="45"/>
  <c r="AE29" i="45"/>
  <c r="AD29" i="45"/>
  <c r="AC29" i="45"/>
  <c r="O29" i="45"/>
  <c r="AF29" i="45" s="1"/>
  <c r="K29" i="45"/>
  <c r="E29" i="45"/>
  <c r="AI28" i="45"/>
  <c r="AD28" i="45"/>
  <c r="Z28" i="45"/>
  <c r="AE28" i="45" s="1"/>
  <c r="O28" i="45"/>
  <c r="S28" i="45" s="1"/>
  <c r="AC28" i="45" s="1"/>
  <c r="K28" i="45"/>
  <c r="AH28" i="45" s="1"/>
  <c r="E28" i="45"/>
  <c r="AI27" i="45"/>
  <c r="AD27" i="45"/>
  <c r="Z27" i="45"/>
  <c r="O27" i="45"/>
  <c r="AF27" i="45" s="1"/>
  <c r="K27" i="45"/>
  <c r="AH27" i="45" s="1"/>
  <c r="E27" i="45"/>
  <c r="AI26" i="45"/>
  <c r="AE26" i="45"/>
  <c r="AD26" i="45"/>
  <c r="AC26" i="45"/>
  <c r="AA26" i="45"/>
  <c r="O26" i="45"/>
  <c r="K26" i="45"/>
  <c r="E26" i="45"/>
  <c r="AI25" i="45"/>
  <c r="AF25" i="45"/>
  <c r="AD25" i="45"/>
  <c r="Z25" i="45"/>
  <c r="AE25" i="45" s="1"/>
  <c r="S25" i="45"/>
  <c r="AC25" i="45" s="1"/>
  <c r="K25" i="45"/>
  <c r="AH25" i="45" s="1"/>
  <c r="E25" i="45"/>
  <c r="AI24" i="45"/>
  <c r="AD24" i="45"/>
  <c r="Z24" i="45"/>
  <c r="AA24" i="45" s="1"/>
  <c r="O24" i="45"/>
  <c r="AF24" i="45" s="1"/>
  <c r="K24" i="45"/>
  <c r="AH24" i="45" s="1"/>
  <c r="E24" i="45"/>
  <c r="AI23" i="45"/>
  <c r="AD23" i="45"/>
  <c r="Z23" i="45"/>
  <c r="AA23" i="45" s="1"/>
  <c r="O23" i="45"/>
  <c r="AF23" i="45" s="1"/>
  <c r="K23" i="45"/>
  <c r="E23" i="45"/>
  <c r="AI22" i="45"/>
  <c r="AD22" i="45"/>
  <c r="Z22" i="45"/>
  <c r="O22" i="45"/>
  <c r="AF22" i="45" s="1"/>
  <c r="K22" i="45"/>
  <c r="AH22" i="45" s="1"/>
  <c r="E22" i="45"/>
  <c r="AI21" i="45"/>
  <c r="AD21" i="45"/>
  <c r="Z21" i="45"/>
  <c r="AE21" i="45" s="1"/>
  <c r="O21" i="45"/>
  <c r="S21" i="45" s="1"/>
  <c r="AC21" i="45" s="1"/>
  <c r="K21" i="45"/>
  <c r="AH21" i="45" s="1"/>
  <c r="E21" i="45"/>
  <c r="AI20" i="45"/>
  <c r="AD20" i="45"/>
  <c r="Z20" i="45"/>
  <c r="AA20" i="45" s="1"/>
  <c r="O20" i="45"/>
  <c r="K20" i="45"/>
  <c r="AH20" i="45" s="1"/>
  <c r="E20" i="45"/>
  <c r="AI19" i="45"/>
  <c r="AD19" i="45"/>
  <c r="Z19" i="45"/>
  <c r="O19" i="45"/>
  <c r="AF19" i="45" s="1"/>
  <c r="K19" i="45"/>
  <c r="E19" i="45"/>
  <c r="AI18" i="45"/>
  <c r="AD18" i="45"/>
  <c r="Z18" i="45"/>
  <c r="AE18" i="45" s="1"/>
  <c r="O18" i="45"/>
  <c r="S18" i="45" s="1"/>
  <c r="AC18" i="45" s="1"/>
  <c r="K18" i="45"/>
  <c r="AH18" i="45" s="1"/>
  <c r="E18" i="45"/>
  <c r="AI17" i="45"/>
  <c r="AD17" i="45"/>
  <c r="Z17" i="45"/>
  <c r="AA17" i="45" s="1"/>
  <c r="O17" i="45"/>
  <c r="K17" i="45"/>
  <c r="AH17" i="45" s="1"/>
  <c r="E17" i="45"/>
  <c r="AI16" i="45"/>
  <c r="AD16" i="45"/>
  <c r="AC16" i="45"/>
  <c r="Z16" i="45"/>
  <c r="O16" i="45"/>
  <c r="AF16" i="45" s="1"/>
  <c r="K16" i="45"/>
  <c r="E16" i="45"/>
  <c r="AI15" i="45"/>
  <c r="AD15" i="45"/>
  <c r="Z15" i="45"/>
  <c r="AE15" i="45" s="1"/>
  <c r="O15" i="45"/>
  <c r="S15" i="45" s="1"/>
  <c r="AC15" i="45" s="1"/>
  <c r="K15" i="45"/>
  <c r="AH15" i="45" s="1"/>
  <c r="E15" i="45"/>
  <c r="AI14" i="45"/>
  <c r="AD14" i="45"/>
  <c r="AC14" i="45"/>
  <c r="Z14" i="45"/>
  <c r="AE14" i="45" s="1"/>
  <c r="O14" i="45"/>
  <c r="K14" i="45"/>
  <c r="E14" i="45"/>
  <c r="AI13" i="45"/>
  <c r="AD13" i="45"/>
  <c r="AC13" i="45"/>
  <c r="Z13" i="45"/>
  <c r="O13" i="45"/>
  <c r="AF13" i="45" s="1"/>
  <c r="K13" i="45"/>
  <c r="E13" i="45"/>
  <c r="AI12" i="45"/>
  <c r="AD12" i="45"/>
  <c r="AC12" i="45"/>
  <c r="Z12" i="45"/>
  <c r="AE12" i="45" s="1"/>
  <c r="O12" i="45"/>
  <c r="K12" i="45"/>
  <c r="E12" i="45"/>
  <c r="AI11" i="45"/>
  <c r="AD11" i="45"/>
  <c r="AC11" i="45"/>
  <c r="Z11" i="45"/>
  <c r="AE11" i="45" s="1"/>
  <c r="O11" i="45"/>
  <c r="AF11" i="45" s="1"/>
  <c r="K11" i="45"/>
  <c r="E11" i="45"/>
  <c r="AI10" i="45"/>
  <c r="AE10" i="45"/>
  <c r="AD10" i="45"/>
  <c r="AC10" i="45"/>
  <c r="AA10" i="45"/>
  <c r="O10" i="45"/>
  <c r="K10" i="45"/>
  <c r="E10" i="45"/>
  <c r="AI9" i="45"/>
  <c r="AE9" i="45"/>
  <c r="AD9" i="45"/>
  <c r="AC9" i="45"/>
  <c r="AA9" i="45"/>
  <c r="O9" i="45"/>
  <c r="K9" i="45"/>
  <c r="AH9" i="45" s="1"/>
  <c r="E9" i="45"/>
  <c r="AI8" i="45"/>
  <c r="AD8" i="45"/>
  <c r="Z8" i="45"/>
  <c r="AE8" i="45" s="1"/>
  <c r="O8" i="45"/>
  <c r="AF8" i="45" s="1"/>
  <c r="K8" i="45"/>
  <c r="E8" i="45"/>
  <c r="AI7" i="45"/>
  <c r="AD7" i="45"/>
  <c r="Z7" i="45"/>
  <c r="AA7" i="45" s="1"/>
  <c r="O7" i="45"/>
  <c r="AF7" i="45" s="1"/>
  <c r="K7" i="45"/>
  <c r="E7" i="45"/>
  <c r="AI6" i="45"/>
  <c r="AD6" i="45"/>
  <c r="Z6" i="45"/>
  <c r="AE6" i="45" s="1"/>
  <c r="O6" i="45"/>
  <c r="AF6" i="45" s="1"/>
  <c r="K6" i="45"/>
  <c r="AH6" i="45" s="1"/>
  <c r="E6" i="45"/>
  <c r="AI5" i="45"/>
  <c r="AD5" i="45"/>
  <c r="Z5" i="45"/>
  <c r="AE5" i="45" s="1"/>
  <c r="O5" i="45"/>
  <c r="S5" i="45" s="1"/>
  <c r="AC5" i="45" s="1"/>
  <c r="K5" i="45"/>
  <c r="AH5" i="45" s="1"/>
  <c r="E5" i="45"/>
  <c r="I2" i="45"/>
  <c r="C21" i="12" s="1"/>
  <c r="AB77" i="45" l="1"/>
  <c r="AG94" i="45"/>
  <c r="AJ32" i="45"/>
  <c r="AH56" i="45"/>
  <c r="AB78" i="45"/>
  <c r="AF56" i="45"/>
  <c r="AB46" i="45"/>
  <c r="AJ68" i="45"/>
  <c r="AB10" i="45"/>
  <c r="AL10" i="45" s="1"/>
  <c r="AJ87" i="45"/>
  <c r="AB9" i="45"/>
  <c r="AJ70" i="45"/>
  <c r="AJ33" i="45"/>
  <c r="AJ11" i="45"/>
  <c r="AJ26" i="45"/>
  <c r="S40" i="45"/>
  <c r="AC40" i="45" s="1"/>
  <c r="AG40" i="45" s="1"/>
  <c r="AG79" i="45"/>
  <c r="AJ88" i="45"/>
  <c r="AJ13" i="45"/>
  <c r="AF70" i="45"/>
  <c r="AG70" i="45" s="1"/>
  <c r="AG92" i="45"/>
  <c r="AF5" i="45"/>
  <c r="AG5" i="45" s="1"/>
  <c r="AJ69" i="45"/>
  <c r="AH70" i="45"/>
  <c r="AA28" i="45"/>
  <c r="AB28" i="45" s="1"/>
  <c r="AL28" i="45" s="1"/>
  <c r="AJ16" i="45"/>
  <c r="AJ92" i="45"/>
  <c r="AH41" i="45"/>
  <c r="AJ40" i="45"/>
  <c r="AH69" i="45"/>
  <c r="AJ77" i="45"/>
  <c r="S8" i="45"/>
  <c r="AC8" i="45" s="1"/>
  <c r="AG8" i="45" s="1"/>
  <c r="S24" i="45"/>
  <c r="AC24" i="45" s="1"/>
  <c r="AJ25" i="45"/>
  <c r="AB56" i="45"/>
  <c r="AL56" i="45" s="1"/>
  <c r="AJ19" i="45"/>
  <c r="AB92" i="45"/>
  <c r="AL92" i="45" s="1"/>
  <c r="AJ94" i="45"/>
  <c r="AE7" i="45"/>
  <c r="AJ15" i="45"/>
  <c r="AH68" i="45"/>
  <c r="AJ76" i="45"/>
  <c r="AH82" i="45"/>
  <c r="AH87" i="45"/>
  <c r="AB94" i="45"/>
  <c r="AL94" i="45" s="1"/>
  <c r="AE69" i="45"/>
  <c r="AG69" i="45" s="1"/>
  <c r="AF46" i="45"/>
  <c r="AF18" i="45"/>
  <c r="AG18" i="45" s="1"/>
  <c r="AH45" i="45"/>
  <c r="AJ58" i="45"/>
  <c r="AJ63" i="45"/>
  <c r="AF78" i="45"/>
  <c r="AG78" i="45" s="1"/>
  <c r="AB35" i="45"/>
  <c r="AL35" i="45" s="1"/>
  <c r="AA18" i="45"/>
  <c r="AB18" i="45" s="1"/>
  <c r="AL18" i="45" s="1"/>
  <c r="AF21" i="45"/>
  <c r="AG21" i="45" s="1"/>
  <c r="AF10" i="45"/>
  <c r="AG10" i="45" s="1"/>
  <c r="AA67" i="45"/>
  <c r="AB67" i="45" s="1"/>
  <c r="AL67" i="45" s="1"/>
  <c r="AF77" i="45"/>
  <c r="AG77" i="45" s="1"/>
  <c r="AE35" i="45"/>
  <c r="AG35" i="45" s="1"/>
  <c r="AL9" i="45"/>
  <c r="AH11" i="45"/>
  <c r="AF87" i="45"/>
  <c r="AG87" i="45" s="1"/>
  <c r="AJ42" i="45"/>
  <c r="AJ47" i="45"/>
  <c r="AG56" i="45"/>
  <c r="AJ71" i="45"/>
  <c r="AJ57" i="45"/>
  <c r="AB88" i="45"/>
  <c r="AL88" i="45" s="1"/>
  <c r="S44" i="45"/>
  <c r="AC44" i="45" s="1"/>
  <c r="AG44" i="45" s="1"/>
  <c r="S31" i="45"/>
  <c r="AC31" i="45" s="1"/>
  <c r="AF31" i="45"/>
  <c r="AA34" i="45"/>
  <c r="AB34" i="45" s="1"/>
  <c r="AL34" i="45" s="1"/>
  <c r="S62" i="45"/>
  <c r="AC62" i="45" s="1"/>
  <c r="AG62" i="45" s="1"/>
  <c r="AE66" i="45"/>
  <c r="AA73" i="45"/>
  <c r="AB75" i="45"/>
  <c r="AL75" i="45" s="1"/>
  <c r="AH90" i="45"/>
  <c r="AJ90" i="45"/>
  <c r="AE17" i="45"/>
  <c r="AE20" i="45"/>
  <c r="AE23" i="45"/>
  <c r="AJ27" i="45"/>
  <c r="AB29" i="45"/>
  <c r="AL29" i="45" s="1"/>
  <c r="AJ30" i="45"/>
  <c r="AH53" i="45"/>
  <c r="AJ53" i="45"/>
  <c r="AJ55" i="45"/>
  <c r="AE63" i="45"/>
  <c r="AJ65" i="45"/>
  <c r="AH65" i="45"/>
  <c r="AJ72" i="45"/>
  <c r="AH72" i="45"/>
  <c r="AG75" i="45"/>
  <c r="AB49" i="45"/>
  <c r="AL49" i="45" s="1"/>
  <c r="AF49" i="45"/>
  <c r="AG49" i="45" s="1"/>
  <c r="AJ66" i="45"/>
  <c r="AH66" i="45"/>
  <c r="AJ73" i="45"/>
  <c r="AH73" i="45"/>
  <c r="AH23" i="45"/>
  <c r="AJ23" i="45"/>
  <c r="AF48" i="45"/>
  <c r="AG48" i="45" s="1"/>
  <c r="AB48" i="45"/>
  <c r="AL48" i="45" s="1"/>
  <c r="AF26" i="45"/>
  <c r="AG26" i="45" s="1"/>
  <c r="AB26" i="45"/>
  <c r="AL26" i="45" s="1"/>
  <c r="S43" i="45"/>
  <c r="AC43" i="45" s="1"/>
  <c r="AG43" i="45" s="1"/>
  <c r="AB47" i="45"/>
  <c r="AL47" i="45" s="1"/>
  <c r="AF47" i="45"/>
  <c r="AG47" i="45" s="1"/>
  <c r="S54" i="45"/>
  <c r="AC54" i="45" s="1"/>
  <c r="AG54" i="45" s="1"/>
  <c r="AA86" i="45"/>
  <c r="AB86" i="45" s="1"/>
  <c r="AL86" i="45" s="1"/>
  <c r="AA31" i="45"/>
  <c r="S39" i="45"/>
  <c r="AC39" i="45" s="1"/>
  <c r="AG39" i="45" s="1"/>
  <c r="AH48" i="45"/>
  <c r="AH12" i="45"/>
  <c r="AJ12" i="45"/>
  <c r="AA5" i="45"/>
  <c r="AJ7" i="45"/>
  <c r="AH7" i="45"/>
  <c r="AA8" i="45"/>
  <c r="AF9" i="45"/>
  <c r="AG9" i="45" s="1"/>
  <c r="AH26" i="45"/>
  <c r="AJ28" i="45"/>
  <c r="AF28" i="45"/>
  <c r="AG28" i="45" s="1"/>
  <c r="AH47" i="45"/>
  <c r="AJ60" i="45"/>
  <c r="AH60" i="45"/>
  <c r="AJ67" i="45"/>
  <c r="AF67" i="45"/>
  <c r="AG67" i="45" s="1"/>
  <c r="AB93" i="45"/>
  <c r="AL93" i="45" s="1"/>
  <c r="AJ86" i="45"/>
  <c r="AH86" i="45"/>
  <c r="AH91" i="45"/>
  <c r="AJ91" i="45"/>
  <c r="AJ54" i="45"/>
  <c r="AH54" i="45"/>
  <c r="AH75" i="45"/>
  <c r="AJ75" i="45"/>
  <c r="AA14" i="45"/>
  <c r="AB14" i="45" s="1"/>
  <c r="AL14" i="45" s="1"/>
  <c r="AJ8" i="45"/>
  <c r="AH8" i="45"/>
  <c r="AJ38" i="45"/>
  <c r="AH38" i="45"/>
  <c r="AF14" i="45"/>
  <c r="AG14" i="45" s="1"/>
  <c r="AJ35" i="45"/>
  <c r="AH35" i="45"/>
  <c r="AB38" i="45"/>
  <c r="AL38" i="45" s="1"/>
  <c r="AF38" i="45"/>
  <c r="AG38" i="45" s="1"/>
  <c r="S53" i="45"/>
  <c r="AC53" i="45" s="1"/>
  <c r="AG53" i="45" s="1"/>
  <c r="AE65" i="45"/>
  <c r="AA65" i="45"/>
  <c r="AA68" i="45"/>
  <c r="AB68" i="45" s="1"/>
  <c r="AL68" i="45" s="1"/>
  <c r="S72" i="45"/>
  <c r="AC72" i="45" s="1"/>
  <c r="AH13" i="45"/>
  <c r="AG68" i="45"/>
  <c r="AJ43" i="45"/>
  <c r="AH43" i="45"/>
  <c r="AA27" i="45"/>
  <c r="AE27" i="45"/>
  <c r="AJ39" i="45"/>
  <c r="AH39" i="45"/>
  <c r="S73" i="45"/>
  <c r="AC73" i="45" s="1"/>
  <c r="AG73" i="45" s="1"/>
  <c r="AJ93" i="45"/>
  <c r="AH93" i="45"/>
  <c r="AJ24" i="45"/>
  <c r="AL24" i="45"/>
  <c r="AG45" i="45"/>
  <c r="AA12" i="45"/>
  <c r="AB12" i="45" s="1"/>
  <c r="AL12" i="45" s="1"/>
  <c r="AH44" i="45"/>
  <c r="AJ44" i="45"/>
  <c r="AG46" i="45"/>
  <c r="AJ49" i="45"/>
  <c r="AH49" i="45"/>
  <c r="AJ52" i="45"/>
  <c r="AH52" i="45"/>
  <c r="S60" i="45"/>
  <c r="AL46" i="45"/>
  <c r="S58" i="45"/>
  <c r="AC58" i="45" s="1"/>
  <c r="AG58" i="45" s="1"/>
  <c r="AJ64" i="45"/>
  <c r="AB79" i="45"/>
  <c r="AL79" i="45" s="1"/>
  <c r="AL87" i="45"/>
  <c r="AB89" i="45"/>
  <c r="AL89" i="45" s="1"/>
  <c r="AJ37" i="45"/>
  <c r="S71" i="45"/>
  <c r="AC71" i="45" s="1"/>
  <c r="AJ79" i="45"/>
  <c r="AJ5" i="45"/>
  <c r="AG11" i="45"/>
  <c r="AJ21" i="45"/>
  <c r="S64" i="45"/>
  <c r="AC64" i="45" s="1"/>
  <c r="AG64" i="45" s="1"/>
  <c r="AL77" i="45"/>
  <c r="AL78" i="45"/>
  <c r="AJ18" i="45"/>
  <c r="AJ9" i="45"/>
  <c r="AJ14" i="45"/>
  <c r="AJ62" i="45"/>
  <c r="AA70" i="45"/>
  <c r="AB70" i="45" s="1"/>
  <c r="AL70" i="45" s="1"/>
  <c r="AG88" i="45"/>
  <c r="AG89" i="45"/>
  <c r="S36" i="45"/>
  <c r="AC36" i="45" s="1"/>
  <c r="AG36" i="45" s="1"/>
  <c r="AF52" i="45"/>
  <c r="S52" i="45"/>
  <c r="AC52" i="45" s="1"/>
  <c r="AF82" i="45"/>
  <c r="AJ82" i="45"/>
  <c r="S17" i="45"/>
  <c r="AC17" i="45" s="1"/>
  <c r="S19" i="45"/>
  <c r="AC19" i="45" s="1"/>
  <c r="AA21" i="45"/>
  <c r="AB21" i="45" s="1"/>
  <c r="AL21" i="45" s="1"/>
  <c r="AA64" i="45"/>
  <c r="S82" i="45"/>
  <c r="AC82" i="45" s="1"/>
  <c r="AA6" i="45"/>
  <c r="AE19" i="45"/>
  <c r="AA19" i="45"/>
  <c r="AE24" i="45"/>
  <c r="AA32" i="45"/>
  <c r="AB32" i="45" s="1"/>
  <c r="AL32" i="45" s="1"/>
  <c r="AA36" i="45"/>
  <c r="AJ46" i="45"/>
  <c r="AF51" i="45"/>
  <c r="AG51" i="45" s="1"/>
  <c r="AB51" i="45"/>
  <c r="AL51" i="45" s="1"/>
  <c r="AH81" i="45"/>
  <c r="AJ81" i="45"/>
  <c r="S20" i="45"/>
  <c r="AC20" i="45" s="1"/>
  <c r="S22" i="45"/>
  <c r="AC22" i="45" s="1"/>
  <c r="AA25" i="45"/>
  <c r="AB25" i="45" s="1"/>
  <c r="AL25" i="45" s="1"/>
  <c r="AE22" i="45"/>
  <c r="AA22" i="45"/>
  <c r="AE33" i="45"/>
  <c r="AG33" i="45" s="1"/>
  <c r="AA33" i="45"/>
  <c r="AB33" i="45" s="1"/>
  <c r="AL33" i="45" s="1"/>
  <c r="AH33" i="45"/>
  <c r="AJ6" i="45"/>
  <c r="AE13" i="45"/>
  <c r="AG13" i="45" s="1"/>
  <c r="AA13" i="45"/>
  <c r="AB13" i="45" s="1"/>
  <c r="AL13" i="45" s="1"/>
  <c r="AA15" i="45"/>
  <c r="AB15" i="45" s="1"/>
  <c r="AL15" i="45" s="1"/>
  <c r="AF17" i="45"/>
  <c r="AH19" i="45"/>
  <c r="AJ22" i="45"/>
  <c r="AB30" i="45"/>
  <c r="AL30" i="45" s="1"/>
  <c r="AE74" i="45"/>
  <c r="AA74" i="45"/>
  <c r="AF37" i="45"/>
  <c r="S37" i="45"/>
  <c r="AC37" i="45" s="1"/>
  <c r="S6" i="45"/>
  <c r="AC6" i="45" s="1"/>
  <c r="AG6" i="45" s="1"/>
  <c r="AJ50" i="45"/>
  <c r="AH50" i="45"/>
  <c r="AF81" i="45"/>
  <c r="AG81" i="45" s="1"/>
  <c r="AB81" i="45"/>
  <c r="AL81" i="45" s="1"/>
  <c r="AF12" i="45"/>
  <c r="AG12" i="45" s="1"/>
  <c r="AJ29" i="45"/>
  <c r="AH29" i="45"/>
  <c r="AG30" i="45"/>
  <c r="AJ36" i="45"/>
  <c r="AB50" i="45"/>
  <c r="AL50" i="45" s="1"/>
  <c r="AG32" i="45"/>
  <c r="AF34" i="45"/>
  <c r="AG34" i="45" s="1"/>
  <c r="AH16" i="45"/>
  <c r="AJ20" i="45"/>
  <c r="AB45" i="45"/>
  <c r="AL45" i="45" s="1"/>
  <c r="AE71" i="45"/>
  <c r="AA71" i="45"/>
  <c r="AE72" i="45"/>
  <c r="AF86" i="45"/>
  <c r="AG86" i="45" s="1"/>
  <c r="AF85" i="45"/>
  <c r="S85" i="45"/>
  <c r="AC85" i="45" s="1"/>
  <c r="S74" i="45"/>
  <c r="AC74" i="45" s="1"/>
  <c r="S27" i="45"/>
  <c r="AC27" i="45" s="1"/>
  <c r="AF41" i="45"/>
  <c r="S41" i="45"/>
  <c r="AC41" i="45" s="1"/>
  <c r="AG50" i="45"/>
  <c r="AJ51" i="45"/>
  <c r="AH85" i="45"/>
  <c r="AJ85" i="45"/>
  <c r="AE16" i="45"/>
  <c r="AG16" i="45" s="1"/>
  <c r="AA16" i="45"/>
  <c r="AB16" i="45" s="1"/>
  <c r="AL16" i="45" s="1"/>
  <c r="AF20" i="45"/>
  <c r="K2" i="45"/>
  <c r="D21" i="12" s="1"/>
  <c r="S7" i="45"/>
  <c r="AC7" i="45" s="1"/>
  <c r="AA11" i="45"/>
  <c r="AB11" i="45" s="1"/>
  <c r="AL11" i="45" s="1"/>
  <c r="AJ17" i="45"/>
  <c r="S23" i="45"/>
  <c r="AC23" i="45" s="1"/>
  <c r="AG25" i="45"/>
  <c r="AG29" i="45"/>
  <c r="AJ34" i="45"/>
  <c r="AH10" i="45"/>
  <c r="AH14" i="45"/>
  <c r="AJ59" i="45"/>
  <c r="AJ61" i="45"/>
  <c r="AH62" i="45"/>
  <c r="AJ80" i="45"/>
  <c r="AH80" i="45"/>
  <c r="AJ10" i="45"/>
  <c r="AF15" i="45"/>
  <c r="AG15" i="45" s="1"/>
  <c r="AJ74" i="45"/>
  <c r="AJ31" i="45"/>
  <c r="S42" i="45"/>
  <c r="AC42" i="45" s="1"/>
  <c r="AG42" i="45" s="1"/>
  <c r="S55" i="45"/>
  <c r="AC55" i="45" s="1"/>
  <c r="AG55" i="45" s="1"/>
  <c r="AF76" i="45"/>
  <c r="AG76" i="45" s="1"/>
  <c r="AB76" i="45"/>
  <c r="AL76" i="45" s="1"/>
  <c r="AB80" i="45"/>
  <c r="AL80" i="45" s="1"/>
  <c r="AJ89" i="45"/>
  <c r="AH89" i="45"/>
  <c r="AF91" i="45"/>
  <c r="AG91" i="45" s="1"/>
  <c r="AB91" i="45"/>
  <c r="AL91" i="45" s="1"/>
  <c r="AH32" i="45"/>
  <c r="AF57" i="45"/>
  <c r="AG57" i="45" s="1"/>
  <c r="AB57" i="45"/>
  <c r="AL57" i="45" s="1"/>
  <c r="S59" i="45"/>
  <c r="AC59" i="45" s="1"/>
  <c r="AG59" i="45" s="1"/>
  <c r="S66" i="45"/>
  <c r="AC66" i="45" s="1"/>
  <c r="AB69" i="45"/>
  <c r="AL69" i="45" s="1"/>
  <c r="AB90" i="45"/>
  <c r="AL90" i="45" s="1"/>
  <c r="AG93" i="45"/>
  <c r="AE85" i="45"/>
  <c r="AA85" i="45"/>
  <c r="AF61" i="45"/>
  <c r="AG61" i="45" s="1"/>
  <c r="AB61" i="45"/>
  <c r="AL61" i="45" s="1"/>
  <c r="S63" i="45"/>
  <c r="AC63" i="45" s="1"/>
  <c r="AF65" i="45"/>
  <c r="S65" i="45"/>
  <c r="AG80" i="45"/>
  <c r="AG90" i="45"/>
  <c r="AJ78" i="45"/>
  <c r="H72" i="18"/>
  <c r="E71" i="18"/>
  <c r="H71" i="18" s="1"/>
  <c r="D71" i="18"/>
  <c r="E65" i="18"/>
  <c r="E70" i="18" s="1"/>
  <c r="H70" i="18" s="1"/>
  <c r="E64" i="18"/>
  <c r="H64" i="18" s="1"/>
  <c r="H20" i="12"/>
  <c r="AM25" i="42"/>
  <c r="AM26" i="42"/>
  <c r="AE1" i="42"/>
  <c r="AB40" i="45" l="1"/>
  <c r="AL40" i="45" s="1"/>
  <c r="AB64" i="45"/>
  <c r="AL64" i="45" s="1"/>
  <c r="AG31" i="45"/>
  <c r="AG37" i="45"/>
  <c r="AB58" i="45"/>
  <c r="AL58" i="45" s="1"/>
  <c r="AG7" i="45"/>
  <c r="AB71" i="45"/>
  <c r="AL71" i="45" s="1"/>
  <c r="AG27" i="45"/>
  <c r="AG24" i="45"/>
  <c r="AB73" i="45"/>
  <c r="AL73" i="45" s="1"/>
  <c r="AB19" i="45"/>
  <c r="AL19" i="45" s="1"/>
  <c r="AB36" i="45"/>
  <c r="AL36" i="45" s="1"/>
  <c r="AB43" i="45"/>
  <c r="AL43" i="45" s="1"/>
  <c r="AG23" i="45"/>
  <c r="AB54" i="45"/>
  <c r="AL54" i="45" s="1"/>
  <c r="R2" i="45"/>
  <c r="AG52" i="45"/>
  <c r="AG71" i="45"/>
  <c r="AG72" i="45"/>
  <c r="AB72" i="45"/>
  <c r="AL72" i="45" s="1"/>
  <c r="AB39" i="45"/>
  <c r="AL39" i="45" s="1"/>
  <c r="AH3" i="45"/>
  <c r="F21" i="12" s="1"/>
  <c r="AG66" i="45"/>
  <c r="AG20" i="45"/>
  <c r="AG74" i="45"/>
  <c r="AB17" i="45"/>
  <c r="AL17" i="45" s="1"/>
  <c r="AB85" i="45"/>
  <c r="AL85" i="45" s="1"/>
  <c r="AB41" i="45"/>
  <c r="AL41" i="45" s="1"/>
  <c r="Q2" i="45"/>
  <c r="I21" i="12" s="1"/>
  <c r="AC60" i="45"/>
  <c r="AG60" i="45" s="1"/>
  <c r="AB60" i="45"/>
  <c r="AL60" i="45" s="1"/>
  <c r="AG63" i="45"/>
  <c r="AB55" i="45"/>
  <c r="AL55" i="45" s="1"/>
  <c r="AB53" i="45"/>
  <c r="AL53" i="45" s="1"/>
  <c r="AB44" i="45"/>
  <c r="AL44" i="45" s="1"/>
  <c r="AB74" i="45"/>
  <c r="AL74" i="45" s="1"/>
  <c r="AB62" i="45"/>
  <c r="AL62" i="45" s="1"/>
  <c r="AB31" i="45"/>
  <c r="AL31" i="45" s="1"/>
  <c r="AJ3" i="45"/>
  <c r="G21" i="12" s="1"/>
  <c r="AB42" i="45"/>
  <c r="AL42" i="45" s="1"/>
  <c r="AB27" i="45"/>
  <c r="AL27" i="45" s="1"/>
  <c r="AB20" i="45"/>
  <c r="AL20" i="45" s="1"/>
  <c r="AB52" i="45"/>
  <c r="AL52" i="45" s="1"/>
  <c r="AB23" i="45"/>
  <c r="AL23" i="45" s="1"/>
  <c r="AB22" i="45"/>
  <c r="AL22" i="45" s="1"/>
  <c r="AG22" i="45"/>
  <c r="AG82" i="45"/>
  <c r="AC65" i="45"/>
  <c r="AG65" i="45" s="1"/>
  <c r="AB65" i="45"/>
  <c r="AL65" i="45" s="1"/>
  <c r="AB63" i="45"/>
  <c r="AL63" i="45" s="1"/>
  <c r="AG41" i="45"/>
  <c r="AG85" i="45"/>
  <c r="AG19" i="45"/>
  <c r="AB66" i="45"/>
  <c r="AL66" i="45" s="1"/>
  <c r="AB59" i="45"/>
  <c r="AL59" i="45" s="1"/>
  <c r="AB37" i="45"/>
  <c r="AL37" i="45" s="1"/>
  <c r="AI3" i="45"/>
  <c r="L21" i="12" s="1"/>
  <c r="L2" i="45"/>
  <c r="AG17" i="45"/>
  <c r="H65" i="18"/>
  <c r="E21" i="12" l="1"/>
  <c r="J21" i="12" s="1"/>
  <c r="AL3" i="45"/>
  <c r="AG2" i="45"/>
  <c r="K21" i="12" s="1"/>
  <c r="M21" i="12" s="1"/>
  <c r="R21" i="12" s="1"/>
  <c r="AI111" i="42"/>
  <c r="AD111" i="42"/>
  <c r="AC111" i="42"/>
  <c r="Z111" i="42"/>
  <c r="AE111" i="42" s="1"/>
  <c r="O111" i="42"/>
  <c r="AF111" i="42" s="1"/>
  <c r="K111" i="42"/>
  <c r="AH111" i="42" s="1"/>
  <c r="AM111" i="42" s="1"/>
  <c r="AI110" i="42"/>
  <c r="AD110" i="42"/>
  <c r="AC110" i="42"/>
  <c r="Z110" i="42"/>
  <c r="AE110" i="42" s="1"/>
  <c r="O110" i="42"/>
  <c r="K110" i="42"/>
  <c r="AH110" i="42" s="1"/>
  <c r="AM110" i="42" s="1"/>
  <c r="AI109" i="42"/>
  <c r="AD109" i="42"/>
  <c r="Z109" i="42"/>
  <c r="AA109" i="42" s="1"/>
  <c r="O109" i="42"/>
  <c r="AF109" i="42" s="1"/>
  <c r="K109" i="42"/>
  <c r="AI108" i="42"/>
  <c r="AD108" i="42"/>
  <c r="Z108" i="42"/>
  <c r="O108" i="42"/>
  <c r="S108" i="42" s="1"/>
  <c r="AC108" i="42" s="1"/>
  <c r="K108" i="42"/>
  <c r="AH108" i="42" s="1"/>
  <c r="AM108" i="42" s="1"/>
  <c r="AI107" i="42"/>
  <c r="AE107" i="42"/>
  <c r="AD107" i="42"/>
  <c r="AC107" i="42"/>
  <c r="AA107" i="42"/>
  <c r="O107" i="42"/>
  <c r="AF107" i="42" s="1"/>
  <c r="K107" i="42"/>
  <c r="AI106" i="42"/>
  <c r="AE106" i="42"/>
  <c r="AD106" i="42"/>
  <c r="AC106" i="42"/>
  <c r="AA106" i="42"/>
  <c r="O106" i="42"/>
  <c r="AF106" i="42" s="1"/>
  <c r="K106" i="42"/>
  <c r="AH106" i="42" s="1"/>
  <c r="AM106" i="42" s="1"/>
  <c r="AI105" i="42"/>
  <c r="AE105" i="42"/>
  <c r="AD105" i="42"/>
  <c r="AC105" i="42"/>
  <c r="AA105" i="42"/>
  <c r="O105" i="42"/>
  <c r="AF105" i="42" s="1"/>
  <c r="K105" i="42"/>
  <c r="AI104" i="42"/>
  <c r="AE104" i="42"/>
  <c r="AD104" i="42"/>
  <c r="AC104" i="42"/>
  <c r="AA104" i="42"/>
  <c r="O104" i="42"/>
  <c r="K104" i="42"/>
  <c r="AI103" i="42"/>
  <c r="AE103" i="42"/>
  <c r="AD103" i="42"/>
  <c r="AC103" i="42"/>
  <c r="AA103" i="42"/>
  <c r="O103" i="42"/>
  <c r="K103" i="42"/>
  <c r="AH103" i="42" s="1"/>
  <c r="AM103" i="42" s="1"/>
  <c r="AI102" i="42"/>
  <c r="AD102" i="42"/>
  <c r="AC102" i="42"/>
  <c r="Z102" i="42"/>
  <c r="AE102" i="42" s="1"/>
  <c r="O102" i="42"/>
  <c r="K102" i="42"/>
  <c r="AH102" i="42" s="1"/>
  <c r="AM102" i="42" s="1"/>
  <c r="AI101" i="42"/>
  <c r="AD101" i="42"/>
  <c r="Z101" i="42"/>
  <c r="AE101" i="42" s="1"/>
  <c r="O101" i="42"/>
  <c r="AF101" i="42" s="1"/>
  <c r="K101" i="42"/>
  <c r="AI100" i="42"/>
  <c r="AD100" i="42"/>
  <c r="Z100" i="42"/>
  <c r="O100" i="42"/>
  <c r="S100" i="42" s="1"/>
  <c r="AC100" i="42" s="1"/>
  <c r="K100" i="42"/>
  <c r="AH100" i="42" s="1"/>
  <c r="AM100" i="42" s="1"/>
  <c r="AI99" i="42"/>
  <c r="AD99" i="42"/>
  <c r="Z99" i="42"/>
  <c r="AE99" i="42" s="1"/>
  <c r="O99" i="42"/>
  <c r="S99" i="42" s="1"/>
  <c r="AC99" i="42" s="1"/>
  <c r="K99" i="42"/>
  <c r="AI98" i="42"/>
  <c r="AF98" i="42"/>
  <c r="AD98" i="42"/>
  <c r="AC98" i="42"/>
  <c r="Z98" i="42"/>
  <c r="AE98" i="42" s="1"/>
  <c r="K98" i="42"/>
  <c r="AJ98" i="42" s="1"/>
  <c r="AI97" i="42"/>
  <c r="AF97" i="42"/>
  <c r="AD97" i="42"/>
  <c r="AC97" i="42"/>
  <c r="Z97" i="42"/>
  <c r="AA97" i="42" s="1"/>
  <c r="AB97" i="42" s="1"/>
  <c r="K97" i="42"/>
  <c r="AI96" i="42"/>
  <c r="AD96" i="42"/>
  <c r="Z96" i="42"/>
  <c r="AE96" i="42" s="1"/>
  <c r="O96" i="42"/>
  <c r="S96" i="42" s="1"/>
  <c r="AC96" i="42" s="1"/>
  <c r="K96" i="42"/>
  <c r="AH96" i="42" s="1"/>
  <c r="AM96" i="42" s="1"/>
  <c r="AI95" i="42"/>
  <c r="AD95" i="42"/>
  <c r="Z95" i="42"/>
  <c r="AA95" i="42" s="1"/>
  <c r="O95" i="42"/>
  <c r="K95" i="42"/>
  <c r="AH95" i="42" s="1"/>
  <c r="AM95" i="42" s="1"/>
  <c r="AI94" i="42"/>
  <c r="AD94" i="42"/>
  <c r="Z94" i="42"/>
  <c r="O94" i="42"/>
  <c r="AF94" i="42" s="1"/>
  <c r="K94" i="42"/>
  <c r="AH94" i="42" s="1"/>
  <c r="AM94" i="42" s="1"/>
  <c r="AI93" i="42"/>
  <c r="AD93" i="42"/>
  <c r="Z93" i="42"/>
  <c r="AE93" i="42" s="1"/>
  <c r="O93" i="42"/>
  <c r="AF93" i="42" s="1"/>
  <c r="K93" i="42"/>
  <c r="AH93" i="42" s="1"/>
  <c r="AM93" i="42" s="1"/>
  <c r="AI92" i="42"/>
  <c r="AD92" i="42"/>
  <c r="Z92" i="42"/>
  <c r="AA92" i="42" s="1"/>
  <c r="O92" i="42"/>
  <c r="K92" i="42"/>
  <c r="AH92" i="42" s="1"/>
  <c r="AM92" i="42" s="1"/>
  <c r="AI91" i="42"/>
  <c r="AD91" i="42"/>
  <c r="Z91" i="42"/>
  <c r="AE91" i="42" s="1"/>
  <c r="O91" i="42"/>
  <c r="S91" i="42" s="1"/>
  <c r="K91" i="42"/>
  <c r="AH91" i="42" s="1"/>
  <c r="AM91" i="42" s="1"/>
  <c r="AI90" i="42"/>
  <c r="AD90" i="42"/>
  <c r="Z90" i="42"/>
  <c r="AA90" i="42" s="1"/>
  <c r="O90" i="42"/>
  <c r="AF90" i="42" s="1"/>
  <c r="K90" i="42"/>
  <c r="AH90" i="42" s="1"/>
  <c r="AM90" i="42" s="1"/>
  <c r="AI89" i="42"/>
  <c r="AD89" i="42"/>
  <c r="Z89" i="42"/>
  <c r="AE89" i="42" s="1"/>
  <c r="O89" i="42"/>
  <c r="AF89" i="42" s="1"/>
  <c r="K89" i="42"/>
  <c r="AI88" i="42"/>
  <c r="AD88" i="42"/>
  <c r="Z88" i="42"/>
  <c r="AA88" i="42" s="1"/>
  <c r="O88" i="42"/>
  <c r="K88" i="42"/>
  <c r="AH88" i="42" s="1"/>
  <c r="AM88" i="42" s="1"/>
  <c r="AI87" i="42"/>
  <c r="AD87" i="42"/>
  <c r="Z87" i="42"/>
  <c r="AA87" i="42" s="1"/>
  <c r="O87" i="42"/>
  <c r="S87" i="42" s="1"/>
  <c r="K87" i="42"/>
  <c r="AH87" i="42" s="1"/>
  <c r="AM87" i="42" s="1"/>
  <c r="AI86" i="42"/>
  <c r="AD86" i="42"/>
  <c r="Z86" i="42"/>
  <c r="AA86" i="42" s="1"/>
  <c r="O86" i="42"/>
  <c r="AF86" i="42" s="1"/>
  <c r="K86" i="42"/>
  <c r="AH86" i="42" s="1"/>
  <c r="AM86" i="42" s="1"/>
  <c r="AI85" i="42"/>
  <c r="AD85" i="42"/>
  <c r="Z85" i="42"/>
  <c r="AE85" i="42" s="1"/>
  <c r="O85" i="42"/>
  <c r="AF85" i="42" s="1"/>
  <c r="K85" i="42"/>
  <c r="AI84" i="42"/>
  <c r="AD84" i="42"/>
  <c r="Z84" i="42"/>
  <c r="AA84" i="42" s="1"/>
  <c r="O84" i="42"/>
  <c r="K84" i="42"/>
  <c r="AH84" i="42" s="1"/>
  <c r="AM84" i="42" s="1"/>
  <c r="AI83" i="42"/>
  <c r="AD83" i="42"/>
  <c r="AC83" i="42"/>
  <c r="Z83" i="42"/>
  <c r="AE83" i="42" s="1"/>
  <c r="O83" i="42"/>
  <c r="AF83" i="42" s="1"/>
  <c r="K83" i="42"/>
  <c r="AH83" i="42" s="1"/>
  <c r="AM83" i="42" s="1"/>
  <c r="AI82" i="42"/>
  <c r="AD82" i="42"/>
  <c r="AC82" i="42"/>
  <c r="Z82" i="42"/>
  <c r="AA82" i="42" s="1"/>
  <c r="O82" i="42"/>
  <c r="K82" i="42"/>
  <c r="AH82" i="42" s="1"/>
  <c r="AM82" i="42" s="1"/>
  <c r="AI81" i="42"/>
  <c r="AD81" i="42"/>
  <c r="AC81" i="42"/>
  <c r="Z81" i="42"/>
  <c r="AA81" i="42" s="1"/>
  <c r="O81" i="42"/>
  <c r="K81" i="42"/>
  <c r="AI80" i="42"/>
  <c r="AD80" i="42"/>
  <c r="Z80" i="42"/>
  <c r="AE80" i="42" s="1"/>
  <c r="O80" i="42"/>
  <c r="AF80" i="42" s="1"/>
  <c r="K80" i="42"/>
  <c r="AI79" i="42"/>
  <c r="AD79" i="42"/>
  <c r="AC79" i="42"/>
  <c r="Z79" i="42"/>
  <c r="AA79" i="42" s="1"/>
  <c r="O79" i="42"/>
  <c r="K79" i="42"/>
  <c r="AH79" i="42" s="1"/>
  <c r="AM79" i="42" s="1"/>
  <c r="AI78" i="42"/>
  <c r="AD78" i="42"/>
  <c r="Z78" i="42"/>
  <c r="O78" i="42"/>
  <c r="S78" i="42" s="1"/>
  <c r="AC78" i="42" s="1"/>
  <c r="K78" i="42"/>
  <c r="AI77" i="42"/>
  <c r="AD77" i="42"/>
  <c r="AC77" i="42"/>
  <c r="Z77" i="42"/>
  <c r="AA77" i="42" s="1"/>
  <c r="O77" i="42"/>
  <c r="K77" i="42"/>
  <c r="AH77" i="42" s="1"/>
  <c r="AM77" i="42" s="1"/>
  <c r="AI76" i="42"/>
  <c r="AD76" i="42"/>
  <c r="AC76" i="42"/>
  <c r="Z76" i="42"/>
  <c r="AA76" i="42" s="1"/>
  <c r="O76" i="42"/>
  <c r="K76" i="42"/>
  <c r="AI75" i="42"/>
  <c r="AD75" i="42"/>
  <c r="AC75" i="42"/>
  <c r="Z75" i="42"/>
  <c r="AE75" i="42" s="1"/>
  <c r="O75" i="42"/>
  <c r="AF75" i="42" s="1"/>
  <c r="K75" i="42"/>
  <c r="AI74" i="42"/>
  <c r="AD74" i="42"/>
  <c r="AC74" i="42"/>
  <c r="Z74" i="42"/>
  <c r="AA74" i="42" s="1"/>
  <c r="O74" i="42"/>
  <c r="AF74" i="42" s="1"/>
  <c r="K74" i="42"/>
  <c r="AI73" i="42"/>
  <c r="AD73" i="42"/>
  <c r="Z73" i="42"/>
  <c r="AA73" i="42" s="1"/>
  <c r="O73" i="42"/>
  <c r="S73" i="42" s="1"/>
  <c r="K73" i="42"/>
  <c r="AI72" i="42"/>
  <c r="AD72" i="42"/>
  <c r="Z72" i="42"/>
  <c r="AE72" i="42" s="1"/>
  <c r="O72" i="42"/>
  <c r="S72" i="42" s="1"/>
  <c r="AC72" i="42" s="1"/>
  <c r="K72" i="42"/>
  <c r="AH72" i="42" s="1"/>
  <c r="AM72" i="42" s="1"/>
  <c r="AI71" i="42"/>
  <c r="AD71" i="42"/>
  <c r="AC71" i="42"/>
  <c r="Z71" i="42"/>
  <c r="AA71" i="42" s="1"/>
  <c r="O71" i="42"/>
  <c r="K71" i="42"/>
  <c r="AH71" i="42" s="1"/>
  <c r="AM71" i="42" s="1"/>
  <c r="AI70" i="42"/>
  <c r="AD70" i="42"/>
  <c r="Z70" i="42"/>
  <c r="AE70" i="42" s="1"/>
  <c r="O70" i="42"/>
  <c r="AF70" i="42" s="1"/>
  <c r="K70" i="42"/>
  <c r="AH70" i="42" s="1"/>
  <c r="AM70" i="42" s="1"/>
  <c r="AI69" i="42"/>
  <c r="AD69" i="42"/>
  <c r="Z69" i="42"/>
  <c r="AA69" i="42" s="1"/>
  <c r="O69" i="42"/>
  <c r="K69" i="42"/>
  <c r="AH69" i="42" s="1"/>
  <c r="AM69" i="42" s="1"/>
  <c r="AI68" i="42"/>
  <c r="AD68" i="42"/>
  <c r="Z68" i="42"/>
  <c r="AA68" i="42" s="1"/>
  <c r="O68" i="42"/>
  <c r="S68" i="42" s="1"/>
  <c r="AC68" i="42" s="1"/>
  <c r="K68" i="42"/>
  <c r="AI67" i="42"/>
  <c r="AD67" i="42"/>
  <c r="Z67" i="42"/>
  <c r="AE67" i="42" s="1"/>
  <c r="O67" i="42"/>
  <c r="K67" i="42"/>
  <c r="AH67" i="42" s="1"/>
  <c r="AM67" i="42" s="1"/>
  <c r="AI66" i="42"/>
  <c r="AD66" i="42"/>
  <c r="AC66" i="42"/>
  <c r="Z66" i="42"/>
  <c r="AE66" i="42" s="1"/>
  <c r="O66" i="42"/>
  <c r="K66" i="42"/>
  <c r="AI65" i="42"/>
  <c r="AD65" i="42"/>
  <c r="Z65" i="42"/>
  <c r="AE65" i="42" s="1"/>
  <c r="O65" i="42"/>
  <c r="S65" i="42" s="1"/>
  <c r="K65" i="42"/>
  <c r="AI64" i="42"/>
  <c r="AD64" i="42"/>
  <c r="Z64" i="42"/>
  <c r="AA64" i="42" s="1"/>
  <c r="O64" i="42"/>
  <c r="AF64" i="42" s="1"/>
  <c r="K64" i="42"/>
  <c r="AL64" i="42" s="1"/>
  <c r="AI63" i="42"/>
  <c r="AD63" i="42"/>
  <c r="Z63" i="42"/>
  <c r="AE63" i="42" s="1"/>
  <c r="O63" i="42"/>
  <c r="S63" i="42" s="1"/>
  <c r="AC63" i="42" s="1"/>
  <c r="K63" i="42"/>
  <c r="AH63" i="42" s="1"/>
  <c r="AM63" i="42" s="1"/>
  <c r="AI62" i="42"/>
  <c r="AD62" i="42"/>
  <c r="Z62" i="42"/>
  <c r="AA62" i="42" s="1"/>
  <c r="O62" i="42"/>
  <c r="K62" i="42"/>
  <c r="AH62" i="42" s="1"/>
  <c r="AM62" i="42" s="1"/>
  <c r="AI61" i="42"/>
  <c r="AD61" i="42"/>
  <c r="Z61" i="42"/>
  <c r="AE61" i="42" s="1"/>
  <c r="O61" i="42"/>
  <c r="K61" i="42"/>
  <c r="AH61" i="42" s="1"/>
  <c r="AM61" i="42" s="1"/>
  <c r="AI60" i="42"/>
  <c r="AD60" i="42"/>
  <c r="Z60" i="42"/>
  <c r="AA60" i="42" s="1"/>
  <c r="O60" i="42"/>
  <c r="K60" i="42"/>
  <c r="AH60" i="42" s="1"/>
  <c r="AM60" i="42" s="1"/>
  <c r="AI59" i="42"/>
  <c r="AD59" i="42"/>
  <c r="Z59" i="42"/>
  <c r="AA59" i="42" s="1"/>
  <c r="O59" i="42"/>
  <c r="S59" i="42" s="1"/>
  <c r="AC59" i="42" s="1"/>
  <c r="K59" i="42"/>
  <c r="AI58" i="42"/>
  <c r="AE58" i="42"/>
  <c r="AD58" i="42"/>
  <c r="AC58" i="42"/>
  <c r="AA58" i="42"/>
  <c r="O58" i="42"/>
  <c r="AF58" i="42" s="1"/>
  <c r="K58" i="42"/>
  <c r="AH58" i="42" s="1"/>
  <c r="AM58" i="42" s="1"/>
  <c r="AI57" i="42"/>
  <c r="AE57" i="42"/>
  <c r="AD57" i="42"/>
  <c r="AC57" i="42"/>
  <c r="AA57" i="42"/>
  <c r="O57" i="42"/>
  <c r="AF57" i="42" s="1"/>
  <c r="K57" i="42"/>
  <c r="AI56" i="42"/>
  <c r="AE56" i="42"/>
  <c r="AD56" i="42"/>
  <c r="AC56" i="42"/>
  <c r="AA56" i="42"/>
  <c r="O56" i="42"/>
  <c r="K56" i="42"/>
  <c r="AH56" i="42" s="1"/>
  <c r="AM56" i="42" s="1"/>
  <c r="AI55" i="42"/>
  <c r="AE55" i="42"/>
  <c r="AD55" i="42"/>
  <c r="AC55" i="42"/>
  <c r="AA55" i="42"/>
  <c r="O55" i="42"/>
  <c r="AF55" i="42" s="1"/>
  <c r="K55" i="42"/>
  <c r="AI54" i="42"/>
  <c r="AE54" i="42"/>
  <c r="AD54" i="42"/>
  <c r="AC54" i="42"/>
  <c r="AA54" i="42"/>
  <c r="O54" i="42"/>
  <c r="AF54" i="42" s="1"/>
  <c r="K54" i="42"/>
  <c r="AH54" i="42" s="1"/>
  <c r="AM54" i="42" s="1"/>
  <c r="AI53" i="42"/>
  <c r="AE53" i="42"/>
  <c r="AD53" i="42"/>
  <c r="AC53" i="42"/>
  <c r="AA53" i="42"/>
  <c r="O53" i="42"/>
  <c r="K53" i="42"/>
  <c r="AH53" i="42" s="1"/>
  <c r="AM53" i="42" s="1"/>
  <c r="AI52" i="42"/>
  <c r="AE52" i="42"/>
  <c r="AD52" i="42"/>
  <c r="AC52" i="42"/>
  <c r="AA52" i="42"/>
  <c r="O52" i="42"/>
  <c r="AF52" i="42" s="1"/>
  <c r="K52" i="42"/>
  <c r="AI51" i="42"/>
  <c r="AE51" i="42"/>
  <c r="AD51" i="42"/>
  <c r="AC51" i="42"/>
  <c r="AA51" i="42"/>
  <c r="O51" i="42"/>
  <c r="AF51" i="42" s="1"/>
  <c r="K51" i="42"/>
  <c r="AH51" i="42" s="1"/>
  <c r="AM51" i="42" s="1"/>
  <c r="AI50" i="42"/>
  <c r="AE50" i="42"/>
  <c r="AD50" i="42"/>
  <c r="AC50" i="42"/>
  <c r="AA50" i="42"/>
  <c r="O50" i="42"/>
  <c r="AF50" i="42" s="1"/>
  <c r="K50" i="42"/>
  <c r="AI49" i="42"/>
  <c r="AD49" i="42"/>
  <c r="Z49" i="42"/>
  <c r="AA49" i="42" s="1"/>
  <c r="O49" i="42"/>
  <c r="AF49" i="42" s="1"/>
  <c r="K49" i="42"/>
  <c r="AI48" i="42"/>
  <c r="AD48" i="42"/>
  <c r="Z48" i="42"/>
  <c r="AE48" i="42" s="1"/>
  <c r="O48" i="42"/>
  <c r="AF48" i="42" s="1"/>
  <c r="K48" i="42"/>
  <c r="AI47" i="42"/>
  <c r="AD47" i="42"/>
  <c r="Z47" i="42"/>
  <c r="AA47" i="42" s="1"/>
  <c r="O47" i="42"/>
  <c r="K47" i="42"/>
  <c r="AH47" i="42" s="1"/>
  <c r="AM47" i="42" s="1"/>
  <c r="AI44" i="42"/>
  <c r="AD44" i="42"/>
  <c r="Z44" i="42"/>
  <c r="AA44" i="42" s="1"/>
  <c r="O44" i="42"/>
  <c r="S44" i="42" s="1"/>
  <c r="K44" i="42"/>
  <c r="AI43" i="42"/>
  <c r="AD43" i="42"/>
  <c r="Z43" i="42"/>
  <c r="AA43" i="42" s="1"/>
  <c r="O43" i="42"/>
  <c r="S43" i="42" s="1"/>
  <c r="AC43" i="42" s="1"/>
  <c r="K43" i="42"/>
  <c r="AH43" i="42" s="1"/>
  <c r="AM43" i="42" s="1"/>
  <c r="AI42" i="42"/>
  <c r="AD42" i="42"/>
  <c r="AC42" i="42"/>
  <c r="Z42" i="42"/>
  <c r="AE42" i="42" s="1"/>
  <c r="O42" i="42"/>
  <c r="AF42" i="42" s="1"/>
  <c r="K42" i="42"/>
  <c r="AI41" i="42"/>
  <c r="AD41" i="42"/>
  <c r="Z41" i="42"/>
  <c r="AE41" i="42" s="1"/>
  <c r="O41" i="42"/>
  <c r="K41" i="42"/>
  <c r="AH41" i="42" s="1"/>
  <c r="AM41" i="42" s="1"/>
  <c r="AI40" i="42"/>
  <c r="AD40" i="42"/>
  <c r="Z40" i="42"/>
  <c r="AE40" i="42" s="1"/>
  <c r="O40" i="42"/>
  <c r="AF40" i="42" s="1"/>
  <c r="K40" i="42"/>
  <c r="AH40" i="42" s="1"/>
  <c r="AM40" i="42" s="1"/>
  <c r="AI39" i="42"/>
  <c r="AD39" i="42"/>
  <c r="Z39" i="42"/>
  <c r="AE39" i="42" s="1"/>
  <c r="O39" i="42"/>
  <c r="K39" i="42"/>
  <c r="AH39" i="42" s="1"/>
  <c r="AM39" i="42" s="1"/>
  <c r="AI38" i="42"/>
  <c r="AD38" i="42"/>
  <c r="AC38" i="42"/>
  <c r="Z38" i="42"/>
  <c r="AE38" i="42" s="1"/>
  <c r="O38" i="42"/>
  <c r="K38" i="42"/>
  <c r="AI37" i="42"/>
  <c r="AD37" i="42"/>
  <c r="AC37" i="42"/>
  <c r="Z37" i="42"/>
  <c r="AE37" i="42" s="1"/>
  <c r="O37" i="42"/>
  <c r="AF37" i="42" s="1"/>
  <c r="K37" i="42"/>
  <c r="AH37" i="42" s="1"/>
  <c r="AM37" i="42" s="1"/>
  <c r="AI36" i="42"/>
  <c r="AD36" i="42"/>
  <c r="AC36" i="42"/>
  <c r="Z36" i="42"/>
  <c r="AA36" i="42" s="1"/>
  <c r="O36" i="42"/>
  <c r="K36" i="42"/>
  <c r="AH36" i="42" s="1"/>
  <c r="AM36" i="42" s="1"/>
  <c r="AI35" i="42"/>
  <c r="AD35" i="42"/>
  <c r="Z35" i="42"/>
  <c r="AA35" i="42" s="1"/>
  <c r="O35" i="42"/>
  <c r="K35" i="42"/>
  <c r="AH35" i="42" s="1"/>
  <c r="AM35" i="42" s="1"/>
  <c r="AI34" i="42"/>
  <c r="AD34" i="42"/>
  <c r="Z34" i="42"/>
  <c r="AA34" i="42" s="1"/>
  <c r="O34" i="42"/>
  <c r="S34" i="42" s="1"/>
  <c r="AC34" i="42" s="1"/>
  <c r="K34" i="42"/>
  <c r="AH34" i="42" s="1"/>
  <c r="AM34" i="42" s="1"/>
  <c r="AI33" i="42"/>
  <c r="AD33" i="42"/>
  <c r="Z33" i="42"/>
  <c r="AE33" i="42" s="1"/>
  <c r="O33" i="42"/>
  <c r="S33" i="42" s="1"/>
  <c r="AC33" i="42" s="1"/>
  <c r="K33" i="42"/>
  <c r="AI32" i="42"/>
  <c r="AD32" i="42"/>
  <c r="Z32" i="42"/>
  <c r="O32" i="42"/>
  <c r="K32" i="42"/>
  <c r="AH32" i="42" s="1"/>
  <c r="AM32" i="42" s="1"/>
  <c r="AI31" i="42"/>
  <c r="AD31" i="42"/>
  <c r="Z31" i="42"/>
  <c r="AA31" i="42" s="1"/>
  <c r="O31" i="42"/>
  <c r="K31" i="42"/>
  <c r="AH31" i="42" s="1"/>
  <c r="AM31" i="42" s="1"/>
  <c r="AI30" i="42"/>
  <c r="AD30" i="42"/>
  <c r="Z30" i="42"/>
  <c r="AE30" i="42" s="1"/>
  <c r="O30" i="42"/>
  <c r="S30" i="42" s="1"/>
  <c r="AC30" i="42" s="1"/>
  <c r="K30" i="42"/>
  <c r="AI29" i="42"/>
  <c r="AD29" i="42"/>
  <c r="Z29" i="42"/>
  <c r="AE29" i="42" s="1"/>
  <c r="O29" i="42"/>
  <c r="S29" i="42" s="1"/>
  <c r="AC29" i="42" s="1"/>
  <c r="K29" i="42"/>
  <c r="AI28" i="42"/>
  <c r="AD28" i="42"/>
  <c r="Z28" i="42"/>
  <c r="AE28" i="42" s="1"/>
  <c r="O28" i="42"/>
  <c r="K28" i="42"/>
  <c r="AH28" i="42" s="1"/>
  <c r="AM28" i="42" s="1"/>
  <c r="AI27" i="42"/>
  <c r="AD27" i="42"/>
  <c r="Z27" i="42"/>
  <c r="AA27" i="42" s="1"/>
  <c r="O27" i="42"/>
  <c r="S27" i="42" s="1"/>
  <c r="AC27" i="42" s="1"/>
  <c r="K27" i="42"/>
  <c r="AH27" i="42" s="1"/>
  <c r="AM27" i="42" s="1"/>
  <c r="AI24" i="42"/>
  <c r="AD24" i="42"/>
  <c r="Z24" i="42"/>
  <c r="AA24" i="42" s="1"/>
  <c r="O24" i="42"/>
  <c r="S24" i="42" s="1"/>
  <c r="AC24" i="42" s="1"/>
  <c r="K24" i="42"/>
  <c r="AH24" i="42" s="1"/>
  <c r="AM24" i="42" s="1"/>
  <c r="AI23" i="42"/>
  <c r="AD23" i="42"/>
  <c r="Z23" i="42"/>
  <c r="AA23" i="42" s="1"/>
  <c r="O23" i="42"/>
  <c r="K23" i="42"/>
  <c r="AH23" i="42" s="1"/>
  <c r="AM23" i="42" s="1"/>
  <c r="AI22" i="42"/>
  <c r="AD22" i="42"/>
  <c r="AC22" i="42"/>
  <c r="Z22" i="42"/>
  <c r="AE22" i="42" s="1"/>
  <c r="O22" i="42"/>
  <c r="AF22" i="42" s="1"/>
  <c r="K22" i="42"/>
  <c r="AH22" i="42" s="1"/>
  <c r="AM22" i="42" s="1"/>
  <c r="AI21" i="42"/>
  <c r="AD21" i="42"/>
  <c r="AC21" i="42"/>
  <c r="Z21" i="42"/>
  <c r="AA21" i="42" s="1"/>
  <c r="O21" i="42"/>
  <c r="K21" i="42"/>
  <c r="AH21" i="42" s="1"/>
  <c r="AM21" i="42" s="1"/>
  <c r="AI20" i="42"/>
  <c r="AD20" i="42"/>
  <c r="AC20" i="42"/>
  <c r="Z20" i="42"/>
  <c r="AE20" i="42" s="1"/>
  <c r="O20" i="42"/>
  <c r="AF20" i="42" s="1"/>
  <c r="K20" i="42"/>
  <c r="AI19" i="42"/>
  <c r="AD19" i="42"/>
  <c r="AC19" i="42"/>
  <c r="Z19" i="42"/>
  <c r="AE19" i="42" s="1"/>
  <c r="O19" i="42"/>
  <c r="AF19" i="42" s="1"/>
  <c r="K19" i="42"/>
  <c r="AH19" i="42" s="1"/>
  <c r="AM19" i="42" s="1"/>
  <c r="AI18" i="42"/>
  <c r="AE18" i="42"/>
  <c r="AD18" i="42"/>
  <c r="AC18" i="42"/>
  <c r="AA18" i="42"/>
  <c r="O18" i="42"/>
  <c r="K18" i="42"/>
  <c r="AH18" i="42" s="1"/>
  <c r="AM18" i="42" s="1"/>
  <c r="AI17" i="42"/>
  <c r="AE17" i="42"/>
  <c r="AD17" i="42"/>
  <c r="AC17" i="42"/>
  <c r="AA17" i="42"/>
  <c r="O17" i="42"/>
  <c r="AF17" i="42" s="1"/>
  <c r="K17" i="42"/>
  <c r="AH17" i="42" s="1"/>
  <c r="AM17" i="42" s="1"/>
  <c r="AI16" i="42"/>
  <c r="AE16" i="42"/>
  <c r="AD16" i="42"/>
  <c r="AC16" i="42"/>
  <c r="AA16" i="42"/>
  <c r="O16" i="42"/>
  <c r="K16" i="42"/>
  <c r="AH16" i="42" s="1"/>
  <c r="AM16" i="42" s="1"/>
  <c r="AI15" i="42"/>
  <c r="AE15" i="42"/>
  <c r="AD15" i="42"/>
  <c r="AC15" i="42"/>
  <c r="AA15" i="42"/>
  <c r="O15" i="42"/>
  <c r="AF15" i="42" s="1"/>
  <c r="K15" i="42"/>
  <c r="AH15" i="42" s="1"/>
  <c r="AM15" i="42" s="1"/>
  <c r="AI14" i="42"/>
  <c r="AE14" i="42"/>
  <c r="AD14" i="42"/>
  <c r="AC14" i="42"/>
  <c r="AA14" i="42"/>
  <c r="O14" i="42"/>
  <c r="AF14" i="42" s="1"/>
  <c r="K14" i="42"/>
  <c r="AH14" i="42" s="1"/>
  <c r="AM14" i="42" s="1"/>
  <c r="AI13" i="42"/>
  <c r="AE13" i="42"/>
  <c r="AD13" i="42"/>
  <c r="AC13" i="42"/>
  <c r="AA13" i="42"/>
  <c r="O13" i="42"/>
  <c r="AF13" i="42" s="1"/>
  <c r="K13" i="42"/>
  <c r="AH13" i="42" s="1"/>
  <c r="AM13" i="42" s="1"/>
  <c r="AI12" i="42"/>
  <c r="AE12" i="42"/>
  <c r="AD12" i="42"/>
  <c r="AC12" i="42"/>
  <c r="AA12" i="42"/>
  <c r="O12" i="42"/>
  <c r="K12" i="42"/>
  <c r="AH12" i="42" s="1"/>
  <c r="AM12" i="42" s="1"/>
  <c r="AI11" i="42"/>
  <c r="AE11" i="42"/>
  <c r="AD11" i="42"/>
  <c r="AC11" i="42"/>
  <c r="AA11" i="42"/>
  <c r="O11" i="42"/>
  <c r="K11" i="42"/>
  <c r="AH11" i="42" s="1"/>
  <c r="AM11" i="42" s="1"/>
  <c r="AI10" i="42"/>
  <c r="AD10" i="42"/>
  <c r="Z10" i="42"/>
  <c r="AE10" i="42" s="1"/>
  <c r="O10" i="42"/>
  <c r="S10" i="42" s="1"/>
  <c r="AC10" i="42" s="1"/>
  <c r="K10" i="42"/>
  <c r="AH10" i="42" s="1"/>
  <c r="AM10" i="42" s="1"/>
  <c r="AI9" i="42"/>
  <c r="AH9" i="42"/>
  <c r="AM9" i="42" s="1"/>
  <c r="AD9" i="42"/>
  <c r="Z9" i="42"/>
  <c r="AA9" i="42" s="1"/>
  <c r="O9" i="42"/>
  <c r="S9" i="42" s="1"/>
  <c r="AI8" i="42"/>
  <c r="AH8" i="42"/>
  <c r="AM8" i="42" s="1"/>
  <c r="AD8" i="42"/>
  <c r="Z8" i="42"/>
  <c r="AE8" i="42" s="1"/>
  <c r="O8" i="42"/>
  <c r="AF8" i="42" s="1"/>
  <c r="AI7" i="42"/>
  <c r="AD7" i="42"/>
  <c r="Z7" i="42"/>
  <c r="AA7" i="42" s="1"/>
  <c r="O7" i="42"/>
  <c r="AF7" i="42" s="1"/>
  <c r="K7" i="42"/>
  <c r="AH7" i="42" s="1"/>
  <c r="AM7" i="42" s="1"/>
  <c r="AI6" i="42"/>
  <c r="AD6" i="42"/>
  <c r="AC6" i="42"/>
  <c r="Z6" i="42"/>
  <c r="AE6" i="42" s="1"/>
  <c r="O6" i="42"/>
  <c r="AF6" i="42" s="1"/>
  <c r="K6" i="42"/>
  <c r="AH6" i="42" s="1"/>
  <c r="AM6" i="42" s="1"/>
  <c r="AI5" i="42"/>
  <c r="AD5" i="42"/>
  <c r="AC5" i="42"/>
  <c r="Z5" i="42"/>
  <c r="AA5" i="42" s="1"/>
  <c r="O5" i="42"/>
  <c r="AF5" i="42" s="1"/>
  <c r="K5" i="42"/>
  <c r="I2" i="42"/>
  <c r="C20" i="12" s="1"/>
  <c r="S101" i="42" l="1"/>
  <c r="AC101" i="42" s="1"/>
  <c r="AB16" i="42"/>
  <c r="AE9" i="42"/>
  <c r="AJ104" i="42"/>
  <c r="AJ49" i="42"/>
  <c r="AE69" i="42"/>
  <c r="AJ58" i="42"/>
  <c r="AF27" i="42"/>
  <c r="AH98" i="42"/>
  <c r="AM98" i="42" s="1"/>
  <c r="AJ68" i="42"/>
  <c r="AB104" i="42"/>
  <c r="AL104" i="42" s="1"/>
  <c r="AA39" i="42"/>
  <c r="AA72" i="42"/>
  <c r="AB72" i="42" s="1"/>
  <c r="AL72" i="42" s="1"/>
  <c r="AF96" i="42"/>
  <c r="AG96" i="42" s="1"/>
  <c r="AG75" i="42"/>
  <c r="AB14" i="42"/>
  <c r="AL14" i="42" s="1"/>
  <c r="AE95" i="42"/>
  <c r="AL16" i="42"/>
  <c r="AJ66" i="42"/>
  <c r="AJ61" i="42"/>
  <c r="AB18" i="42"/>
  <c r="AL18" i="42" s="1"/>
  <c r="AJ20" i="42"/>
  <c r="AE27" i="42"/>
  <c r="S40" i="42"/>
  <c r="AC40" i="42" s="1"/>
  <c r="AG40" i="42" s="1"/>
  <c r="AE44" i="42"/>
  <c r="AF63" i="42"/>
  <c r="AG63" i="42" s="1"/>
  <c r="AE5" i="42"/>
  <c r="AG5" i="42" s="1"/>
  <c r="AJ28" i="42"/>
  <c r="AJ35" i="42"/>
  <c r="AE74" i="42"/>
  <c r="AG74" i="42" s="1"/>
  <c r="AE24" i="42"/>
  <c r="AJ53" i="42"/>
  <c r="AE68" i="42"/>
  <c r="AF78" i="42"/>
  <c r="AE84" i="42"/>
  <c r="AA99" i="42"/>
  <c r="AB99" i="42" s="1"/>
  <c r="AL99" i="42" s="1"/>
  <c r="AJ73" i="42"/>
  <c r="AJ31" i="42"/>
  <c r="AJ67" i="42"/>
  <c r="AJ79" i="42"/>
  <c r="AJ5" i="42"/>
  <c r="AE31" i="42"/>
  <c r="AF35" i="42"/>
  <c r="AJ52" i="42"/>
  <c r="AB55" i="42"/>
  <c r="AL55" i="42" s="1"/>
  <c r="AF65" i="42"/>
  <c r="AJ85" i="42"/>
  <c r="AJ41" i="42"/>
  <c r="S85" i="42"/>
  <c r="AJ103" i="42"/>
  <c r="AB52" i="42"/>
  <c r="AL52" i="42" s="1"/>
  <c r="AA91" i="42"/>
  <c r="AB91" i="42" s="1"/>
  <c r="AL91" i="42" s="1"/>
  <c r="S93" i="42"/>
  <c r="AC93" i="42" s="1"/>
  <c r="AG93" i="42" s="1"/>
  <c r="AA30" i="42"/>
  <c r="S49" i="42"/>
  <c r="AC49" i="42" s="1"/>
  <c r="AE60" i="42"/>
  <c r="AE62" i="42"/>
  <c r="S70" i="42"/>
  <c r="AC70" i="42" s="1"/>
  <c r="AG70" i="42" s="1"/>
  <c r="AE71" i="42"/>
  <c r="AJ76" i="42"/>
  <c r="AJ78" i="42"/>
  <c r="AF79" i="42"/>
  <c r="AA85" i="42"/>
  <c r="AB103" i="42"/>
  <c r="AL103" i="42" s="1"/>
  <c r="AG105" i="42"/>
  <c r="AE34" i="42"/>
  <c r="AE73" i="42"/>
  <c r="AE87" i="42"/>
  <c r="AF91" i="42"/>
  <c r="AF10" i="42"/>
  <c r="AG10" i="42" s="1"/>
  <c r="AE21" i="42"/>
  <c r="AG54" i="42"/>
  <c r="AJ59" i="42"/>
  <c r="AL62" i="42"/>
  <c r="AA70" i="42"/>
  <c r="AF73" i="42"/>
  <c r="AJ14" i="42"/>
  <c r="AE23" i="42"/>
  <c r="AE36" i="42"/>
  <c r="AJ42" i="42"/>
  <c r="AE49" i="42"/>
  <c r="AF18" i="42"/>
  <c r="AG18" i="42" s="1"/>
  <c r="AJ22" i="42"/>
  <c r="AJ44" i="42"/>
  <c r="AB56" i="42"/>
  <c r="AL56" i="42" s="1"/>
  <c r="AJ65" i="42"/>
  <c r="AJ74" i="42"/>
  <c r="AF103" i="42"/>
  <c r="AJ106" i="42"/>
  <c r="AA42" i="42"/>
  <c r="AB42" i="42" s="1"/>
  <c r="AL42" i="42" s="1"/>
  <c r="S48" i="42"/>
  <c r="AC48" i="42" s="1"/>
  <c r="AG48" i="42" s="1"/>
  <c r="AE59" i="42"/>
  <c r="AA63" i="42"/>
  <c r="AB63" i="42" s="1"/>
  <c r="AL63" i="42" s="1"/>
  <c r="AB106" i="42"/>
  <c r="AL106" i="42" s="1"/>
  <c r="AE109" i="42"/>
  <c r="AJ21" i="42"/>
  <c r="AF9" i="42"/>
  <c r="AE35" i="42"/>
  <c r="AG37" i="42"/>
  <c r="AB58" i="42"/>
  <c r="AL58" i="42" s="1"/>
  <c r="AF72" i="42"/>
  <c r="AB77" i="42"/>
  <c r="AL77" i="42" s="1"/>
  <c r="AJ81" i="42"/>
  <c r="AE88" i="42"/>
  <c r="S89" i="42"/>
  <c r="AC89" i="42" s="1"/>
  <c r="AG89" i="42" s="1"/>
  <c r="AA93" i="42"/>
  <c r="AA98" i="42"/>
  <c r="AB98" i="42" s="1"/>
  <c r="AL98" i="42" s="1"/>
  <c r="S109" i="42"/>
  <c r="AC109" i="42" s="1"/>
  <c r="S31" i="42"/>
  <c r="AB31" i="42" s="1"/>
  <c r="AL31" i="42" s="1"/>
  <c r="AJ13" i="42"/>
  <c r="AA19" i="42"/>
  <c r="AB19" i="42" s="1"/>
  <c r="AL19" i="42" s="1"/>
  <c r="AF24" i="42"/>
  <c r="AF34" i="42"/>
  <c r="AA37" i="42"/>
  <c r="AB37" i="42" s="1"/>
  <c r="AL37" i="42" s="1"/>
  <c r="AA40" i="42"/>
  <c r="AA48" i="42"/>
  <c r="AL49" i="42"/>
  <c r="AG52" i="42"/>
  <c r="AF53" i="42"/>
  <c r="AG53" i="42" s="1"/>
  <c r="AJ69" i="42"/>
  <c r="AH78" i="42"/>
  <c r="AM78" i="42" s="1"/>
  <c r="S80" i="42"/>
  <c r="AC80" i="42" s="1"/>
  <c r="AG80" i="42" s="1"/>
  <c r="AA83" i="42"/>
  <c r="AB83" i="42" s="1"/>
  <c r="AL83" i="42" s="1"/>
  <c r="S86" i="42"/>
  <c r="AC86" i="42" s="1"/>
  <c r="AF87" i="42"/>
  <c r="AA101" i="42"/>
  <c r="AA6" i="42"/>
  <c r="AB6" i="42" s="1"/>
  <c r="AL6" i="42" s="1"/>
  <c r="AG6" i="42"/>
  <c r="S8" i="42"/>
  <c r="AC8" i="42" s="1"/>
  <c r="AG8" i="42" s="1"/>
  <c r="AB15" i="42"/>
  <c r="AL15" i="42" s="1"/>
  <c r="AG20" i="42"/>
  <c r="AJ39" i="42"/>
  <c r="AF44" i="42"/>
  <c r="AB51" i="42"/>
  <c r="AL51" i="42" s="1"/>
  <c r="AJ60" i="42"/>
  <c r="AG83" i="42"/>
  <c r="AA89" i="42"/>
  <c r="AG101" i="42"/>
  <c r="AA20" i="42"/>
  <c r="AB20" i="42" s="1"/>
  <c r="AL20" i="42" s="1"/>
  <c r="AA66" i="42"/>
  <c r="AB66" i="42" s="1"/>
  <c r="AL66" i="42" s="1"/>
  <c r="AB5" i="42"/>
  <c r="AL5" i="42" s="1"/>
  <c r="AJ10" i="42"/>
  <c r="AJ11" i="42"/>
  <c r="AG19" i="42"/>
  <c r="AJ30" i="42"/>
  <c r="AE43" i="42"/>
  <c r="AB50" i="42"/>
  <c r="AL50" i="42" s="1"/>
  <c r="AG51" i="42"/>
  <c r="AA65" i="42"/>
  <c r="AB65" i="42" s="1"/>
  <c r="AL65" i="42" s="1"/>
  <c r="AJ70" i="42"/>
  <c r="AE77" i="42"/>
  <c r="AA80" i="42"/>
  <c r="AA102" i="42"/>
  <c r="AB102" i="42" s="1"/>
  <c r="AL102" i="42" s="1"/>
  <c r="AJ107" i="42"/>
  <c r="AF43" i="42"/>
  <c r="AH52" i="42"/>
  <c r="AM52" i="42" s="1"/>
  <c r="AF56" i="42"/>
  <c r="AJ34" i="42"/>
  <c r="AG14" i="42"/>
  <c r="AH20" i="42"/>
  <c r="AM20" i="42" s="1"/>
  <c r="AJ27" i="42"/>
  <c r="AF31" i="42"/>
  <c r="S61" i="42"/>
  <c r="AC61" i="42" s="1"/>
  <c r="AJ64" i="42"/>
  <c r="AB76" i="42"/>
  <c r="AL76" i="42" s="1"/>
  <c r="AJ77" i="42"/>
  <c r="AB79" i="42"/>
  <c r="AL79" i="42" s="1"/>
  <c r="AJ91" i="42"/>
  <c r="AJ94" i="42"/>
  <c r="AL97" i="42"/>
  <c r="AB107" i="42"/>
  <c r="AL107" i="42" s="1"/>
  <c r="AG22" i="42"/>
  <c r="AJ23" i="42"/>
  <c r="AJ43" i="42"/>
  <c r="AJ56" i="42"/>
  <c r="AG58" i="42"/>
  <c r="AE92" i="42"/>
  <c r="AH104" i="42"/>
  <c r="AM104" i="42" s="1"/>
  <c r="AG107" i="42"/>
  <c r="AJ7" i="42"/>
  <c r="AA10" i="42"/>
  <c r="AB10" i="42" s="1"/>
  <c r="AL10" i="42" s="1"/>
  <c r="AB13" i="42"/>
  <c r="AL13" i="42" s="1"/>
  <c r="AJ24" i="42"/>
  <c r="S35" i="42"/>
  <c r="AC35" i="42" s="1"/>
  <c r="AJ38" i="42"/>
  <c r="AL43" i="42"/>
  <c r="AG55" i="42"/>
  <c r="AA61" i="42"/>
  <c r="AH65" i="42"/>
  <c r="AM65" i="42" s="1"/>
  <c r="AB73" i="42"/>
  <c r="AL73" i="42" s="1"/>
  <c r="AJ75" i="42"/>
  <c r="AE82" i="42"/>
  <c r="AJ87" i="42"/>
  <c r="S94" i="42"/>
  <c r="AC94" i="42" s="1"/>
  <c r="AJ99" i="42"/>
  <c r="AJ102" i="42"/>
  <c r="AF108" i="42"/>
  <c r="AJ110" i="42"/>
  <c r="AH5" i="42"/>
  <c r="AM5" i="42" s="1"/>
  <c r="AJ16" i="42"/>
  <c r="AH42" i="42"/>
  <c r="AM42" i="42" s="1"/>
  <c r="AB44" i="42"/>
  <c r="AL44" i="42" s="1"/>
  <c r="AB53" i="42"/>
  <c r="AL53" i="42" s="1"/>
  <c r="AB57" i="42"/>
  <c r="AL57" i="42" s="1"/>
  <c r="AE64" i="42"/>
  <c r="AB81" i="42"/>
  <c r="AL81" i="42" s="1"/>
  <c r="AJ82" i="42"/>
  <c r="AJ6" i="42"/>
  <c r="AJ12" i="42"/>
  <c r="AG17" i="42"/>
  <c r="AJ19" i="42"/>
  <c r="AB21" i="42"/>
  <c r="AL21" i="42" s="1"/>
  <c r="AJ37" i="42"/>
  <c r="AJ40" i="42"/>
  <c r="AF61" i="42"/>
  <c r="AA75" i="42"/>
  <c r="AB75" i="42" s="1"/>
  <c r="AL75" i="42" s="1"/>
  <c r="AJ83" i="42"/>
  <c r="AJ89" i="42"/>
  <c r="S90" i="42"/>
  <c r="AC90" i="42" s="1"/>
  <c r="AG103" i="42"/>
  <c r="AH107" i="42"/>
  <c r="AM107" i="42" s="1"/>
  <c r="AA110" i="42"/>
  <c r="AB110" i="42" s="1"/>
  <c r="AL110" i="42" s="1"/>
  <c r="AG15" i="42"/>
  <c r="AC9" i="42"/>
  <c r="AB9" i="42"/>
  <c r="AL9" i="42" s="1"/>
  <c r="AB11" i="42"/>
  <c r="AL11" i="42" s="1"/>
  <c r="AB12" i="42"/>
  <c r="AL12" i="42" s="1"/>
  <c r="AE32" i="42"/>
  <c r="AA32" i="42"/>
  <c r="AF38" i="42"/>
  <c r="AG38" i="42" s="1"/>
  <c r="S47" i="42"/>
  <c r="AC47" i="42" s="1"/>
  <c r="AF62" i="42"/>
  <c r="S62" i="42"/>
  <c r="AC62" i="42" s="1"/>
  <c r="AF71" i="42"/>
  <c r="AB71" i="42"/>
  <c r="AL71" i="42" s="1"/>
  <c r="AF88" i="42"/>
  <c r="S88" i="42"/>
  <c r="AC88" i="42" s="1"/>
  <c r="S95" i="42"/>
  <c r="AC95" i="42" s="1"/>
  <c r="AF95" i="42"/>
  <c r="AA33" i="42"/>
  <c r="AB33" i="42" s="1"/>
  <c r="AL33" i="42" s="1"/>
  <c r="AJ29" i="42"/>
  <c r="AH29" i="42"/>
  <c r="AM29" i="42" s="1"/>
  <c r="AJ80" i="42"/>
  <c r="AH80" i="42"/>
  <c r="AM80" i="42" s="1"/>
  <c r="AF84" i="42"/>
  <c r="S84" i="42"/>
  <c r="AC84" i="42" s="1"/>
  <c r="S7" i="42"/>
  <c r="AC7" i="42" s="1"/>
  <c r="AJ8" i="42"/>
  <c r="AF16" i="42"/>
  <c r="AG16" i="42" s="1"/>
  <c r="AF21" i="42"/>
  <c r="AA38" i="42"/>
  <c r="AB38" i="42" s="1"/>
  <c r="AL38" i="42" s="1"/>
  <c r="AJ50" i="42"/>
  <c r="AH50" i="42"/>
  <c r="AM50" i="42" s="1"/>
  <c r="AG57" i="42"/>
  <c r="AC73" i="42"/>
  <c r="AC91" i="42"/>
  <c r="AF32" i="42"/>
  <c r="S32" i="42"/>
  <c r="AC32" i="42" s="1"/>
  <c r="AF92" i="42"/>
  <c r="S92" i="42"/>
  <c r="AC92" i="42" s="1"/>
  <c r="AB30" i="42"/>
  <c r="AL30" i="42" s="1"/>
  <c r="AE47" i="42"/>
  <c r="S60" i="42"/>
  <c r="AC60" i="42" s="1"/>
  <c r="AF60" i="42"/>
  <c r="S69" i="42"/>
  <c r="AC69" i="42" s="1"/>
  <c r="AF69" i="42"/>
  <c r="AC87" i="42"/>
  <c r="AB87" i="42"/>
  <c r="AL87" i="42" s="1"/>
  <c r="AH57" i="42"/>
  <c r="AM57" i="42" s="1"/>
  <c r="AJ57" i="42"/>
  <c r="AJ9" i="42"/>
  <c r="AF11" i="42"/>
  <c r="AG11" i="42" s="1"/>
  <c r="AF12" i="42"/>
  <c r="AG12" i="42" s="1"/>
  <c r="AJ18" i="42"/>
  <c r="AF28" i="42"/>
  <c r="S28" i="42"/>
  <c r="AC28" i="42" s="1"/>
  <c r="AC44" i="42"/>
  <c r="AF47" i="42"/>
  <c r="AJ55" i="42"/>
  <c r="AH55" i="42"/>
  <c r="AM55" i="42" s="1"/>
  <c r="AC65" i="42"/>
  <c r="AE81" i="42"/>
  <c r="AJ92" i="42"/>
  <c r="AG13" i="42"/>
  <c r="AE7" i="42"/>
  <c r="AA8" i="42"/>
  <c r="AJ17" i="42"/>
  <c r="AF23" i="42"/>
  <c r="AA29" i="42"/>
  <c r="AB29" i="42" s="1"/>
  <c r="AL29" i="42" s="1"/>
  <c r="AF36" i="42"/>
  <c r="AB36" i="42"/>
  <c r="AL36" i="42" s="1"/>
  <c r="AG56" i="42"/>
  <c r="S64" i="42"/>
  <c r="AC64" i="42" s="1"/>
  <c r="AF66" i="42"/>
  <c r="AG66" i="42" s="1"/>
  <c r="AJ88" i="42"/>
  <c r="AA100" i="42"/>
  <c r="AB100" i="42" s="1"/>
  <c r="AL100" i="42" s="1"/>
  <c r="AE100" i="42"/>
  <c r="AJ109" i="42"/>
  <c r="AH109" i="42"/>
  <c r="AM109" i="42" s="1"/>
  <c r="S23" i="42"/>
  <c r="AC23" i="42" s="1"/>
  <c r="AA28" i="42"/>
  <c r="AF30" i="42"/>
  <c r="AG30" i="42" s="1"/>
  <c r="AJ32" i="42"/>
  <c r="AG42" i="42"/>
  <c r="AJ47" i="42"/>
  <c r="AG50" i="42"/>
  <c r="AJ54" i="42"/>
  <c r="AB59" i="42"/>
  <c r="AL59" i="42" s="1"/>
  <c r="AB68" i="42"/>
  <c r="AL68" i="42" s="1"/>
  <c r="AH73" i="42"/>
  <c r="AM73" i="42" s="1"/>
  <c r="AE76" i="42"/>
  <c r="AJ84" i="42"/>
  <c r="AE94" i="42"/>
  <c r="AA94" i="42"/>
  <c r="AE97" i="42"/>
  <c r="AG97" i="42" s="1"/>
  <c r="AJ15" i="42"/>
  <c r="AB24" i="42"/>
  <c r="AL24" i="42" s="1"/>
  <c r="AH30" i="42"/>
  <c r="AM30" i="42" s="1"/>
  <c r="AJ33" i="42"/>
  <c r="AH33" i="42"/>
  <c r="AM33" i="42" s="1"/>
  <c r="AJ48" i="42"/>
  <c r="AH48" i="42"/>
  <c r="AM48" i="42" s="1"/>
  <c r="AB82" i="42"/>
  <c r="AL82" i="42" s="1"/>
  <c r="K2" i="42"/>
  <c r="D20" i="12" s="1"/>
  <c r="AF41" i="42"/>
  <c r="S41" i="42"/>
  <c r="AJ51" i="42"/>
  <c r="AE78" i="42"/>
  <c r="AA78" i="42"/>
  <c r="AB78" i="42" s="1"/>
  <c r="AL78" i="42" s="1"/>
  <c r="S39" i="42"/>
  <c r="AC39" i="42" s="1"/>
  <c r="AF39" i="42"/>
  <c r="AF67" i="42"/>
  <c r="S67" i="42"/>
  <c r="AC67" i="42" s="1"/>
  <c r="AB17" i="42"/>
  <c r="AL17" i="42" s="1"/>
  <c r="AA22" i="42"/>
  <c r="AB22" i="42" s="1"/>
  <c r="AL22" i="42" s="1"/>
  <c r="AB34" i="42"/>
  <c r="AL34" i="42" s="1"/>
  <c r="AH44" i="42"/>
  <c r="AM44" i="42" s="1"/>
  <c r="AB54" i="42"/>
  <c r="AL54" i="42" s="1"/>
  <c r="AG72" i="42"/>
  <c r="AB74" i="42"/>
  <c r="AL74" i="42" s="1"/>
  <c r="AE79" i="42"/>
  <c r="AG79" i="42" s="1"/>
  <c r="AF29" i="42"/>
  <c r="AG29" i="42" s="1"/>
  <c r="AF33" i="42"/>
  <c r="AG33" i="42" s="1"/>
  <c r="AJ36" i="42"/>
  <c r="AF59" i="42"/>
  <c r="AJ62" i="42"/>
  <c r="AF68" i="42"/>
  <c r="AG68" i="42" s="1"/>
  <c r="AJ71" i="42"/>
  <c r="AH75" i="42"/>
  <c r="AM75" i="42" s="1"/>
  <c r="AF76" i="42"/>
  <c r="AF81" i="42"/>
  <c r="AH85" i="42"/>
  <c r="AM85" i="42" s="1"/>
  <c r="AE86" i="42"/>
  <c r="AH89" i="42"/>
  <c r="AM89" i="42" s="1"/>
  <c r="AE90" i="42"/>
  <c r="AH99" i="42"/>
  <c r="AM99" i="42" s="1"/>
  <c r="AJ93" i="42"/>
  <c r="AB27" i="42"/>
  <c r="AL27" i="42" s="1"/>
  <c r="AH38" i="42"/>
  <c r="AM38" i="42" s="1"/>
  <c r="AH49" i="42"/>
  <c r="AM49" i="42" s="1"/>
  <c r="AH59" i="42"/>
  <c r="AM59" i="42" s="1"/>
  <c r="AH68" i="42"/>
  <c r="AM68" i="42" s="1"/>
  <c r="AH76" i="42"/>
  <c r="AM76" i="42" s="1"/>
  <c r="AF77" i="42"/>
  <c r="AH81" i="42"/>
  <c r="AM81" i="42" s="1"/>
  <c r="AF82" i="42"/>
  <c r="AJ100" i="42"/>
  <c r="AJ105" i="42"/>
  <c r="AH105" i="42"/>
  <c r="AM105" i="42" s="1"/>
  <c r="AJ63" i="42"/>
  <c r="AH64" i="42"/>
  <c r="AM64" i="42" s="1"/>
  <c r="AJ72" i="42"/>
  <c r="AJ101" i="42"/>
  <c r="AH101" i="42"/>
  <c r="AM101" i="42" s="1"/>
  <c r="AF102" i="42"/>
  <c r="AG102" i="42" s="1"/>
  <c r="AA41" i="42"/>
  <c r="AA67" i="42"/>
  <c r="AJ95" i="42"/>
  <c r="AJ96" i="42"/>
  <c r="AF99" i="42"/>
  <c r="AG99" i="42" s="1"/>
  <c r="AG106" i="42"/>
  <c r="AE108" i="42"/>
  <c r="AA108" i="42"/>
  <c r="AB108" i="42" s="1"/>
  <c r="AL108" i="42" s="1"/>
  <c r="AJ86" i="42"/>
  <c r="AJ90" i="42"/>
  <c r="AJ97" i="42"/>
  <c r="AH97" i="42"/>
  <c r="AM97" i="42" s="1"/>
  <c r="AG111" i="42"/>
  <c r="AF110" i="42"/>
  <c r="AG110" i="42" s="1"/>
  <c r="AH66" i="42"/>
  <c r="AM66" i="42" s="1"/>
  <c r="AH74" i="42"/>
  <c r="AM74" i="42" s="1"/>
  <c r="AG98" i="42"/>
  <c r="AB101" i="42"/>
  <c r="AL101" i="42" s="1"/>
  <c r="AA96" i="42"/>
  <c r="AB96" i="42" s="1"/>
  <c r="AL96" i="42" s="1"/>
  <c r="AF100" i="42"/>
  <c r="AF104" i="42"/>
  <c r="AG104" i="42" s="1"/>
  <c r="AJ108" i="42"/>
  <c r="AJ111" i="42"/>
  <c r="AA111" i="42"/>
  <c r="AB111" i="42" s="1"/>
  <c r="AL111" i="42" s="1"/>
  <c r="AB105" i="42"/>
  <c r="AL105" i="42" s="1"/>
  <c r="AG78" i="42" l="1"/>
  <c r="AB109" i="42"/>
  <c r="AL109" i="42" s="1"/>
  <c r="AG21" i="42"/>
  <c r="AG94" i="42"/>
  <c r="AG82" i="42"/>
  <c r="AG59" i="42"/>
  <c r="AG36" i="42"/>
  <c r="AG108" i="42"/>
  <c r="AG91" i="42"/>
  <c r="AG27" i="42"/>
  <c r="AG28" i="42"/>
  <c r="AB93" i="42"/>
  <c r="AL93" i="42" s="1"/>
  <c r="AB86" i="42"/>
  <c r="AL86" i="42" s="1"/>
  <c r="AG62" i="42"/>
  <c r="AB60" i="42"/>
  <c r="AL60" i="42" s="1"/>
  <c r="AB40" i="42"/>
  <c r="AL40" i="42" s="1"/>
  <c r="AG86" i="42"/>
  <c r="AG109" i="42"/>
  <c r="AB89" i="42"/>
  <c r="AL89" i="42" s="1"/>
  <c r="AG49" i="42"/>
  <c r="AG90" i="42"/>
  <c r="AG43" i="42"/>
  <c r="AB94" i="42"/>
  <c r="AL94" i="42" s="1"/>
  <c r="AB61" i="42"/>
  <c r="AL61" i="42" s="1"/>
  <c r="AG44" i="42"/>
  <c r="AG84" i="42"/>
  <c r="AG24" i="42"/>
  <c r="AB70" i="42"/>
  <c r="AL70" i="42" s="1"/>
  <c r="AG34" i="42"/>
  <c r="AG65" i="42"/>
  <c r="AG92" i="42"/>
  <c r="AG71" i="42"/>
  <c r="AG77" i="42"/>
  <c r="AG67" i="42"/>
  <c r="AG35" i="42"/>
  <c r="AG73" i="42"/>
  <c r="AB48" i="42"/>
  <c r="AL48" i="42" s="1"/>
  <c r="AG64" i="42"/>
  <c r="AC31" i="42"/>
  <c r="AG31" i="42" s="1"/>
  <c r="AG9" i="42"/>
  <c r="AJ3" i="42"/>
  <c r="G20" i="12" s="1"/>
  <c r="AB85" i="42"/>
  <c r="AL85" i="42" s="1"/>
  <c r="AC85" i="42"/>
  <c r="AG85" i="42" s="1"/>
  <c r="AG7" i="42"/>
  <c r="AG87" i="42"/>
  <c r="AG61" i="42"/>
  <c r="AH3" i="42"/>
  <c r="F20" i="12" s="1"/>
  <c r="E20" i="12" s="1"/>
  <c r="AG69" i="42"/>
  <c r="R2" i="42"/>
  <c r="AB47" i="42"/>
  <c r="AL47" i="42" s="1"/>
  <c r="AB35" i="42"/>
  <c r="AL35" i="42" s="1"/>
  <c r="AB90" i="42"/>
  <c r="AL90" i="42" s="1"/>
  <c r="AB80" i="42"/>
  <c r="AL80" i="42" s="1"/>
  <c r="AG76" i="42"/>
  <c r="AG39" i="42"/>
  <c r="AB23" i="42"/>
  <c r="AL23" i="42" s="1"/>
  <c r="AB67" i="42"/>
  <c r="AL67" i="42" s="1"/>
  <c r="AB8" i="42"/>
  <c r="AL8" i="42" s="1"/>
  <c r="AB88" i="42"/>
  <c r="AL88" i="42" s="1"/>
  <c r="AG23" i="42"/>
  <c r="AG32" i="42"/>
  <c r="AB32" i="42"/>
  <c r="AL32" i="42" s="1"/>
  <c r="AB39" i="42"/>
  <c r="AL39" i="42" s="1"/>
  <c r="AB41" i="42"/>
  <c r="AL41" i="42" s="1"/>
  <c r="AC41" i="42"/>
  <c r="AG41" i="42" s="1"/>
  <c r="AB92" i="42"/>
  <c r="AL92" i="42" s="1"/>
  <c r="AB84" i="42"/>
  <c r="AL84" i="42" s="1"/>
  <c r="AB69" i="42"/>
  <c r="AL69" i="42" s="1"/>
  <c r="L2" i="42"/>
  <c r="AI3" i="42"/>
  <c r="L20" i="12" s="1"/>
  <c r="AG47" i="42"/>
  <c r="AG100" i="42"/>
  <c r="AG81" i="42"/>
  <c r="AG95" i="42"/>
  <c r="Q2" i="42"/>
  <c r="I20" i="12" s="1"/>
  <c r="AG60" i="42"/>
  <c r="AB95" i="42"/>
  <c r="AL95" i="42" s="1"/>
  <c r="AB28" i="42"/>
  <c r="AL28" i="42" s="1"/>
  <c r="AG88" i="42"/>
  <c r="AL3" i="42" l="1"/>
  <c r="AG2" i="42"/>
  <c r="K20" i="12" s="1"/>
  <c r="M20" i="12" s="1"/>
  <c r="R20" i="12" s="1"/>
  <c r="I90" i="24" l="1"/>
  <c r="F87" i="24" l="1"/>
  <c r="I91" i="24"/>
  <c r="D85" i="24"/>
  <c r="E90" i="24" l="1"/>
  <c r="E87" i="24"/>
  <c r="G87" i="24" s="1"/>
  <c r="D87" i="24"/>
  <c r="G86" i="24"/>
  <c r="I86" i="24" s="1"/>
  <c r="H83" i="24"/>
  <c r="I83" i="24" s="1"/>
  <c r="O5" i="41"/>
  <c r="S5" i="41" s="1"/>
  <c r="Z5" i="41"/>
  <c r="AA5" i="41" s="1"/>
  <c r="AD5" i="41"/>
  <c r="AH5" i="41"/>
  <c r="AI5" i="41"/>
  <c r="O6" i="41"/>
  <c r="S6" i="41" s="1"/>
  <c r="AC6" i="41" s="1"/>
  <c r="Z6" i="41"/>
  <c r="AE6" i="41" s="1"/>
  <c r="AD6" i="41"/>
  <c r="AH6" i="41"/>
  <c r="AI6" i="41"/>
  <c r="AL6" i="41"/>
  <c r="O7" i="41"/>
  <c r="AJ7" i="41" s="1"/>
  <c r="Z7" i="41"/>
  <c r="AA7" i="41" s="1"/>
  <c r="AD7" i="41"/>
  <c r="AH7" i="41"/>
  <c r="AI7" i="41"/>
  <c r="AL7" i="41"/>
  <c r="O8" i="41"/>
  <c r="AJ8" i="41" s="1"/>
  <c r="Z8" i="41"/>
  <c r="AA8" i="41" s="1"/>
  <c r="AD8" i="41"/>
  <c r="AH8" i="41"/>
  <c r="AI8" i="41"/>
  <c r="AL8" i="41"/>
  <c r="AA9" i="41"/>
  <c r="AB9" i="41" s="1"/>
  <c r="AL9" i="41" s="1"/>
  <c r="AC9" i="41"/>
  <c r="AD9" i="41"/>
  <c r="AE9" i="41"/>
  <c r="AF9" i="41"/>
  <c r="AH9" i="41"/>
  <c r="AI9" i="41"/>
  <c r="AJ9" i="41"/>
  <c r="O10" i="41"/>
  <c r="AJ10" i="41" s="1"/>
  <c r="AA10" i="41"/>
  <c r="AC10" i="41"/>
  <c r="AD10" i="41"/>
  <c r="AE10" i="41"/>
  <c r="AH10" i="41"/>
  <c r="AI10" i="41"/>
  <c r="K11" i="41"/>
  <c r="AH11" i="41" s="1"/>
  <c r="O11" i="41"/>
  <c r="Z11" i="41"/>
  <c r="AA11" i="41" s="1"/>
  <c r="AD11" i="41"/>
  <c r="AI11" i="41"/>
  <c r="K12" i="41"/>
  <c r="AH12" i="41" s="1"/>
  <c r="O12" i="41"/>
  <c r="AF12" i="41" s="1"/>
  <c r="Z12" i="41"/>
  <c r="AE12" i="41" s="1"/>
  <c r="AD12" i="41"/>
  <c r="AI12" i="41"/>
  <c r="K13" i="41"/>
  <c r="AH13" i="41" s="1"/>
  <c r="O13" i="41"/>
  <c r="S13" i="41" s="1"/>
  <c r="AC13" i="41" s="1"/>
  <c r="Z13" i="41"/>
  <c r="AA13" i="41" s="1"/>
  <c r="AD13" i="41"/>
  <c r="AI13" i="41"/>
  <c r="K14" i="41"/>
  <c r="O14" i="41"/>
  <c r="S14" i="41" s="1"/>
  <c r="Z14" i="41"/>
  <c r="AE14" i="41" s="1"/>
  <c r="AD14" i="41"/>
  <c r="AI14" i="41"/>
  <c r="K15" i="41"/>
  <c r="AH15" i="41" s="1"/>
  <c r="O15" i="41"/>
  <c r="Z15" i="41"/>
  <c r="AE15" i="41" s="1"/>
  <c r="AD15" i="41"/>
  <c r="AI15" i="41"/>
  <c r="K17" i="41"/>
  <c r="AH17" i="41" s="1"/>
  <c r="O17" i="41"/>
  <c r="Z17" i="41"/>
  <c r="AE17" i="41" s="1"/>
  <c r="AC17" i="41"/>
  <c r="AD17" i="41"/>
  <c r="AI17" i="41"/>
  <c r="K19" i="41"/>
  <c r="AH19" i="41" s="1"/>
  <c r="O19" i="41"/>
  <c r="AF19" i="41" s="1"/>
  <c r="Z19" i="41"/>
  <c r="AA19" i="41" s="1"/>
  <c r="AC19" i="41"/>
  <c r="AD19" i="41"/>
  <c r="AI19" i="41"/>
  <c r="K20" i="41"/>
  <c r="AH20" i="41" s="1"/>
  <c r="O20" i="41"/>
  <c r="Z20" i="41"/>
  <c r="AA20" i="41" s="1"/>
  <c r="AD20" i="41"/>
  <c r="AI20" i="41"/>
  <c r="K21" i="41"/>
  <c r="O21" i="41"/>
  <c r="AF21" i="41" s="1"/>
  <c r="Z21" i="41"/>
  <c r="AE21" i="41" s="1"/>
  <c r="AD21" i="41"/>
  <c r="AI21" i="41"/>
  <c r="K23" i="41"/>
  <c r="O23" i="41"/>
  <c r="AF23" i="41" s="1"/>
  <c r="AA23" i="41"/>
  <c r="AC23" i="41"/>
  <c r="AD23" i="41"/>
  <c r="AE23" i="41"/>
  <c r="AI23" i="41"/>
  <c r="K24" i="41"/>
  <c r="O24" i="41"/>
  <c r="AA24" i="41"/>
  <c r="AC24" i="41"/>
  <c r="AD24" i="41"/>
  <c r="AE24" i="41"/>
  <c r="AI24" i="41"/>
  <c r="K25" i="41"/>
  <c r="AH25" i="41" s="1"/>
  <c r="O25" i="41"/>
  <c r="AA25" i="41"/>
  <c r="AC25" i="41"/>
  <c r="AD25" i="41"/>
  <c r="AE25" i="41"/>
  <c r="AI25" i="41"/>
  <c r="K26" i="41"/>
  <c r="AH26" i="41" s="1"/>
  <c r="O26" i="41"/>
  <c r="AF26" i="41" s="1"/>
  <c r="AA26" i="41"/>
  <c r="AC26" i="41"/>
  <c r="AD26" i="41"/>
  <c r="AE26" i="41"/>
  <c r="AI26" i="41"/>
  <c r="K27" i="41"/>
  <c r="AH27" i="41" s="1"/>
  <c r="O27" i="41"/>
  <c r="AF27" i="41" s="1"/>
  <c r="AA27" i="41"/>
  <c r="AC27" i="41"/>
  <c r="AD27" i="41"/>
  <c r="AE27" i="41"/>
  <c r="AI27" i="41"/>
  <c r="K28" i="41"/>
  <c r="O28" i="41"/>
  <c r="AF28" i="41" s="1"/>
  <c r="AA28" i="41"/>
  <c r="AC28" i="41"/>
  <c r="AD28" i="41"/>
  <c r="AE28" i="41"/>
  <c r="AI28" i="41"/>
  <c r="K29" i="41"/>
  <c r="AH29" i="41" s="1"/>
  <c r="O29" i="41"/>
  <c r="AA29" i="41"/>
  <c r="AC29" i="41"/>
  <c r="AD29" i="41"/>
  <c r="AE29" i="41"/>
  <c r="AI29" i="41"/>
  <c r="K30" i="41"/>
  <c r="AH30" i="41" s="1"/>
  <c r="O30" i="41"/>
  <c r="AF30" i="41" s="1"/>
  <c r="AA30" i="41"/>
  <c r="AC30" i="41"/>
  <c r="AD30" i="41"/>
  <c r="AE30" i="41"/>
  <c r="AI30" i="41"/>
  <c r="K31" i="41"/>
  <c r="AH31" i="41" s="1"/>
  <c r="O31" i="41"/>
  <c r="AF31" i="41" s="1"/>
  <c r="Z31" i="41"/>
  <c r="AE31" i="41" s="1"/>
  <c r="AD31" i="41"/>
  <c r="AI31" i="41"/>
  <c r="K34" i="41"/>
  <c r="AH34" i="41" s="1"/>
  <c r="O34" i="41"/>
  <c r="AF34" i="41" s="1"/>
  <c r="AA34" i="41"/>
  <c r="AC34" i="41"/>
  <c r="AD34" i="41"/>
  <c r="AE34" i="41"/>
  <c r="AI34" i="41"/>
  <c r="K35" i="41"/>
  <c r="AH35" i="41" s="1"/>
  <c r="O35" i="41"/>
  <c r="Z35" i="41"/>
  <c r="AE35" i="41" s="1"/>
  <c r="AC35" i="41"/>
  <c r="AD35" i="41"/>
  <c r="AI35" i="41"/>
  <c r="K36" i="41"/>
  <c r="AH36" i="41" s="1"/>
  <c r="O36" i="41"/>
  <c r="Z36" i="41"/>
  <c r="AA36" i="41" s="1"/>
  <c r="AC36" i="41"/>
  <c r="AD36" i="41"/>
  <c r="AI36" i="41"/>
  <c r="K37" i="41"/>
  <c r="AH37" i="41" s="1"/>
  <c r="O37" i="41"/>
  <c r="Z37" i="41"/>
  <c r="AA37" i="41" s="1"/>
  <c r="AC37" i="41"/>
  <c r="AD37" i="41"/>
  <c r="AI37" i="41"/>
  <c r="K38" i="41"/>
  <c r="AH38" i="41" s="1"/>
  <c r="O38" i="41"/>
  <c r="Z38" i="41"/>
  <c r="AE38" i="41" s="1"/>
  <c r="AD38" i="41"/>
  <c r="AI38" i="41"/>
  <c r="K39" i="41"/>
  <c r="AH39" i="41" s="1"/>
  <c r="O39" i="41"/>
  <c r="AF39" i="41" s="1"/>
  <c r="Z39" i="41"/>
  <c r="AE39" i="41" s="1"/>
  <c r="AC39" i="41"/>
  <c r="AD39" i="41"/>
  <c r="AI39" i="41"/>
  <c r="K40" i="41"/>
  <c r="O40" i="41"/>
  <c r="AF40" i="41" s="1"/>
  <c r="Z40" i="41"/>
  <c r="AE40" i="41" s="1"/>
  <c r="AC40" i="41"/>
  <c r="AD40" i="41"/>
  <c r="AI40" i="41"/>
  <c r="K43" i="41"/>
  <c r="AH43" i="41" s="1"/>
  <c r="O43" i="41"/>
  <c r="S43" i="41" s="1"/>
  <c r="Z43" i="41"/>
  <c r="AA43" i="41" s="1"/>
  <c r="AD43" i="41"/>
  <c r="AI43" i="41"/>
  <c r="K44" i="41"/>
  <c r="AH44" i="41" s="1"/>
  <c r="O44" i="41"/>
  <c r="Z44" i="41"/>
  <c r="AE44" i="41" s="1"/>
  <c r="AC44" i="41"/>
  <c r="AD44" i="41"/>
  <c r="AI44" i="41"/>
  <c r="K45" i="41"/>
  <c r="AH45" i="41" s="1"/>
  <c r="O45" i="41"/>
  <c r="AF45" i="41" s="1"/>
  <c r="Z45" i="41"/>
  <c r="AE45" i="41" s="1"/>
  <c r="AD45" i="41"/>
  <c r="AI45" i="41"/>
  <c r="K46" i="41"/>
  <c r="AH46" i="41" s="1"/>
  <c r="O46" i="41"/>
  <c r="Z46" i="41"/>
  <c r="AE46" i="41" s="1"/>
  <c r="AC46" i="41"/>
  <c r="AD46" i="41"/>
  <c r="AI46" i="41"/>
  <c r="K47" i="41"/>
  <c r="AH47" i="41" s="1"/>
  <c r="O47" i="41"/>
  <c r="S47" i="41" s="1"/>
  <c r="AC47" i="41" s="1"/>
  <c r="Z47" i="41"/>
  <c r="AA47" i="41" s="1"/>
  <c r="AD47" i="41"/>
  <c r="AI47" i="41"/>
  <c r="K48" i="41"/>
  <c r="AH48" i="41" s="1"/>
  <c r="O48" i="41"/>
  <c r="AF48" i="41" s="1"/>
  <c r="Z48" i="41"/>
  <c r="AA48" i="41" s="1"/>
  <c r="AD48" i="41"/>
  <c r="AI48" i="41"/>
  <c r="K49" i="41"/>
  <c r="AH49" i="41" s="1"/>
  <c r="O49" i="41"/>
  <c r="AF49" i="41" s="1"/>
  <c r="Z49" i="41"/>
  <c r="AA49" i="41" s="1"/>
  <c r="AC49" i="41"/>
  <c r="AD49" i="41"/>
  <c r="AI49" i="41"/>
  <c r="K50" i="41"/>
  <c r="O50" i="41"/>
  <c r="AF50" i="41" s="1"/>
  <c r="Z50" i="41"/>
  <c r="AE50" i="41" s="1"/>
  <c r="AC50" i="41"/>
  <c r="AD50" i="41"/>
  <c r="AI50" i="41"/>
  <c r="K51" i="41"/>
  <c r="AH51" i="41" s="1"/>
  <c r="O51" i="41"/>
  <c r="S51" i="41" s="1"/>
  <c r="AC51" i="41" s="1"/>
  <c r="Z51" i="41"/>
  <c r="AA51" i="41" s="1"/>
  <c r="AD51" i="41"/>
  <c r="AI51" i="41"/>
  <c r="K52" i="41"/>
  <c r="O52" i="41"/>
  <c r="S52" i="41" s="1"/>
  <c r="AC52" i="41" s="1"/>
  <c r="Z52" i="41"/>
  <c r="AA52" i="41" s="1"/>
  <c r="AD52" i="41"/>
  <c r="AI52" i="41"/>
  <c r="K53" i="41"/>
  <c r="O53" i="41"/>
  <c r="S53" i="41" s="1"/>
  <c r="AC53" i="41" s="1"/>
  <c r="Z53" i="41"/>
  <c r="AA53" i="41" s="1"/>
  <c r="AD53" i="41"/>
  <c r="AI53" i="41"/>
  <c r="K54" i="41"/>
  <c r="AH54" i="41" s="1"/>
  <c r="O54" i="41"/>
  <c r="AF54" i="41" s="1"/>
  <c r="Z54" i="41"/>
  <c r="AE54" i="41" s="1"/>
  <c r="AD54" i="41"/>
  <c r="AI54" i="41"/>
  <c r="K55" i="41"/>
  <c r="AH55" i="41" s="1"/>
  <c r="O55" i="41"/>
  <c r="Z55" i="41"/>
  <c r="AE55" i="41" s="1"/>
  <c r="AC55" i="41"/>
  <c r="AD55" i="41"/>
  <c r="AI55" i="41"/>
  <c r="K56" i="41"/>
  <c r="O56" i="41"/>
  <c r="AF56" i="41" s="1"/>
  <c r="Z56" i="41"/>
  <c r="AA56" i="41" s="1"/>
  <c r="AC56" i="41"/>
  <c r="AD56" i="41"/>
  <c r="AI56" i="41"/>
  <c r="K57" i="41"/>
  <c r="AH57" i="41" s="1"/>
  <c r="O57" i="41"/>
  <c r="Z57" i="41"/>
  <c r="AE57" i="41" s="1"/>
  <c r="AC57" i="41"/>
  <c r="AD57" i="41"/>
  <c r="AI57" i="41"/>
  <c r="K58" i="41"/>
  <c r="AH58" i="41" s="1"/>
  <c r="O58" i="41"/>
  <c r="S58" i="41" s="1"/>
  <c r="AC58" i="41" s="1"/>
  <c r="Z58" i="41"/>
  <c r="AE58" i="41" s="1"/>
  <c r="AD58" i="41"/>
  <c r="AI58" i="41"/>
  <c r="K59" i="41"/>
  <c r="AH59" i="41" s="1"/>
  <c r="O59" i="41"/>
  <c r="Z59" i="41"/>
  <c r="AE59" i="41" s="1"/>
  <c r="AD59" i="41"/>
  <c r="AI59" i="41"/>
  <c r="K60" i="41"/>
  <c r="AH60" i="41" s="1"/>
  <c r="O60" i="41"/>
  <c r="S60" i="41" s="1"/>
  <c r="AC60" i="41" s="1"/>
  <c r="Z60" i="41"/>
  <c r="AA60" i="41" s="1"/>
  <c r="AD60" i="41"/>
  <c r="AI60" i="41"/>
  <c r="K61" i="41"/>
  <c r="O61" i="41"/>
  <c r="S61" i="41" s="1"/>
  <c r="AC61" i="41" s="1"/>
  <c r="Z61" i="41"/>
  <c r="AE61" i="41" s="1"/>
  <c r="AD61" i="41"/>
  <c r="AI61" i="41"/>
  <c r="K62" i="41"/>
  <c r="AH62" i="41" s="1"/>
  <c r="O62" i="41"/>
  <c r="S62" i="41" s="1"/>
  <c r="AC62" i="41" s="1"/>
  <c r="Z62" i="41"/>
  <c r="AE62" i="41" s="1"/>
  <c r="AD62" i="41"/>
  <c r="AI62" i="41"/>
  <c r="K63" i="41"/>
  <c r="AH63" i="41" s="1"/>
  <c r="O63" i="41"/>
  <c r="AF63" i="41" s="1"/>
  <c r="Z63" i="41"/>
  <c r="AE63" i="41" s="1"/>
  <c r="AD63" i="41"/>
  <c r="AI63" i="41"/>
  <c r="K64" i="41"/>
  <c r="AH64" i="41" s="1"/>
  <c r="O64" i="41"/>
  <c r="S64" i="41" s="1"/>
  <c r="AC64" i="41" s="1"/>
  <c r="Z64" i="41"/>
  <c r="AA64" i="41" s="1"/>
  <c r="AD64" i="41"/>
  <c r="AI64" i="41"/>
  <c r="K65" i="41"/>
  <c r="O65" i="41"/>
  <c r="S65" i="41" s="1"/>
  <c r="AC65" i="41" s="1"/>
  <c r="Z65" i="41"/>
  <c r="AA65" i="41" s="1"/>
  <c r="AD65" i="41"/>
  <c r="AI65" i="41"/>
  <c r="K66" i="41"/>
  <c r="O66" i="41"/>
  <c r="S66" i="41" s="1"/>
  <c r="AC66" i="41" s="1"/>
  <c r="Z66" i="41"/>
  <c r="AA66" i="41" s="1"/>
  <c r="AD66" i="41"/>
  <c r="AI66" i="41"/>
  <c r="K67" i="41"/>
  <c r="AH67" i="41" s="1"/>
  <c r="O67" i="41"/>
  <c r="AF67" i="41" s="1"/>
  <c r="Z67" i="41"/>
  <c r="AE67" i="41" s="1"/>
  <c r="AD67" i="41"/>
  <c r="AI67" i="41"/>
  <c r="K68" i="41"/>
  <c r="AH68" i="41" s="1"/>
  <c r="O68" i="41"/>
  <c r="S68" i="41" s="1"/>
  <c r="AC68" i="41" s="1"/>
  <c r="Z68" i="41"/>
  <c r="AA68" i="41" s="1"/>
  <c r="AD68" i="41"/>
  <c r="AI68" i="41"/>
  <c r="K69" i="41"/>
  <c r="O69" i="41"/>
  <c r="S69" i="41" s="1"/>
  <c r="AC69" i="41" s="1"/>
  <c r="Z69" i="41"/>
  <c r="AA69" i="41" s="1"/>
  <c r="AD69" i="41"/>
  <c r="AI69" i="41"/>
  <c r="K70" i="41"/>
  <c r="AH70" i="41" s="1"/>
  <c r="O70" i="41"/>
  <c r="AF70" i="41" s="1"/>
  <c r="Z70" i="41"/>
  <c r="AE70" i="41" s="1"/>
  <c r="AD70" i="41"/>
  <c r="AI70" i="41"/>
  <c r="K71" i="41"/>
  <c r="AH71" i="41" s="1"/>
  <c r="O71" i="41"/>
  <c r="AF71" i="41" s="1"/>
  <c r="Z71" i="41"/>
  <c r="AE71" i="41" s="1"/>
  <c r="AD71" i="41"/>
  <c r="AI71" i="41"/>
  <c r="K72" i="41"/>
  <c r="AH72" i="41" s="1"/>
  <c r="O72" i="41"/>
  <c r="S72" i="41" s="1"/>
  <c r="AC72" i="41" s="1"/>
  <c r="Z72" i="41"/>
  <c r="AA72" i="41" s="1"/>
  <c r="AD72" i="41"/>
  <c r="AI72" i="41"/>
  <c r="K73" i="41"/>
  <c r="O73" i="41"/>
  <c r="S73" i="41" s="1"/>
  <c r="Z73" i="41"/>
  <c r="AA73" i="41" s="1"/>
  <c r="AD73" i="41"/>
  <c r="AI73" i="41"/>
  <c r="K74" i="41"/>
  <c r="AH74" i="41" s="1"/>
  <c r="O74" i="41"/>
  <c r="S74" i="41" s="1"/>
  <c r="AC74" i="41" s="1"/>
  <c r="Z74" i="41"/>
  <c r="AE74" i="41" s="1"/>
  <c r="AD74" i="41"/>
  <c r="AI74" i="41"/>
  <c r="K75" i="41"/>
  <c r="AH75" i="41" s="1"/>
  <c r="O75" i="41"/>
  <c r="AF75" i="41" s="1"/>
  <c r="Z75" i="41"/>
  <c r="AE75" i="41" s="1"/>
  <c r="AD75" i="41"/>
  <c r="AI75" i="41"/>
  <c r="K76" i="41"/>
  <c r="AH76" i="41" s="1"/>
  <c r="O76" i="41"/>
  <c r="Z76" i="41"/>
  <c r="AE76" i="41" s="1"/>
  <c r="AC76" i="41"/>
  <c r="AD76" i="41"/>
  <c r="AI76" i="41"/>
  <c r="K77" i="41"/>
  <c r="AH77" i="41" s="1"/>
  <c r="O77" i="41"/>
  <c r="Z77" i="41"/>
  <c r="AA77" i="41" s="1"/>
  <c r="AC77" i="41"/>
  <c r="AD77" i="41"/>
  <c r="AI77" i="41"/>
  <c r="K78" i="41"/>
  <c r="O78" i="41"/>
  <c r="AA78" i="41"/>
  <c r="AC78" i="41"/>
  <c r="AD78" i="41"/>
  <c r="AE78" i="41"/>
  <c r="AI78" i="41"/>
  <c r="K79" i="41"/>
  <c r="AH79" i="41" s="1"/>
  <c r="O79" i="41"/>
  <c r="AF79" i="41" s="1"/>
  <c r="AA79" i="41"/>
  <c r="AC79" i="41"/>
  <c r="AD79" i="41"/>
  <c r="AE79" i="41"/>
  <c r="AI79" i="41"/>
  <c r="AI105" i="41"/>
  <c r="AD105" i="41"/>
  <c r="AC105" i="41"/>
  <c r="Z105" i="41"/>
  <c r="O105" i="41"/>
  <c r="AF105" i="41" s="1"/>
  <c r="K105" i="41"/>
  <c r="AH105" i="41" s="1"/>
  <c r="AI104" i="41"/>
  <c r="AD104" i="41"/>
  <c r="AC104" i="41"/>
  <c r="Z104" i="41"/>
  <c r="O104" i="41"/>
  <c r="AF104" i="41" s="1"/>
  <c r="K104" i="41"/>
  <c r="AH104" i="41" s="1"/>
  <c r="AI103" i="41"/>
  <c r="AD103" i="41"/>
  <c r="AC103" i="41"/>
  <c r="Z103" i="41"/>
  <c r="O103" i="41"/>
  <c r="AF103" i="41" s="1"/>
  <c r="K103" i="41"/>
  <c r="AH103" i="41" s="1"/>
  <c r="AI102" i="41"/>
  <c r="AE102" i="41"/>
  <c r="AD102" i="41"/>
  <c r="AC102" i="41"/>
  <c r="AA102" i="41"/>
  <c r="O102" i="41"/>
  <c r="K102" i="41"/>
  <c r="AI101" i="41"/>
  <c r="AD101" i="41"/>
  <c r="Z101" i="41"/>
  <c r="AA101" i="41" s="1"/>
  <c r="O101" i="41"/>
  <c r="S101" i="41" s="1"/>
  <c r="K101" i="41"/>
  <c r="AI100" i="41"/>
  <c r="AD100" i="41"/>
  <c r="Z100" i="41"/>
  <c r="AA100" i="41" s="1"/>
  <c r="O100" i="41"/>
  <c r="K100" i="41"/>
  <c r="AI99" i="41"/>
  <c r="AD99" i="41"/>
  <c r="AC99" i="41"/>
  <c r="Z99" i="41"/>
  <c r="O99" i="41"/>
  <c r="K99" i="41"/>
  <c r="AI98" i="41"/>
  <c r="AD98" i="41"/>
  <c r="Z98" i="41"/>
  <c r="AE98" i="41" s="1"/>
  <c r="O98" i="41"/>
  <c r="K98" i="41"/>
  <c r="AH98" i="41" s="1"/>
  <c r="AI97" i="41"/>
  <c r="AD97" i="41"/>
  <c r="Z97" i="41"/>
  <c r="AE97" i="41" s="1"/>
  <c r="O97" i="41"/>
  <c r="AF97" i="41" s="1"/>
  <c r="K97" i="41"/>
  <c r="AI96" i="41"/>
  <c r="AD96" i="41"/>
  <c r="AC96" i="41"/>
  <c r="Z96" i="41"/>
  <c r="AA96" i="41" s="1"/>
  <c r="O96" i="41"/>
  <c r="AF96" i="41" s="1"/>
  <c r="K96" i="41"/>
  <c r="AI95" i="41"/>
  <c r="AD95" i="41"/>
  <c r="AC95" i="41"/>
  <c r="Z95" i="41"/>
  <c r="AE95" i="41" s="1"/>
  <c r="O95" i="41"/>
  <c r="K95" i="41"/>
  <c r="AH95" i="41" s="1"/>
  <c r="AI94" i="41"/>
  <c r="AF94" i="41"/>
  <c r="AD94" i="41"/>
  <c r="Z94" i="41"/>
  <c r="AE94" i="41" s="1"/>
  <c r="S94" i="41"/>
  <c r="K94" i="41"/>
  <c r="AJ94" i="41" s="1"/>
  <c r="AI93" i="41"/>
  <c r="AF93" i="41"/>
  <c r="AD93" i="41"/>
  <c r="Z93" i="41"/>
  <c r="AE93" i="41" s="1"/>
  <c r="S93" i="41"/>
  <c r="K93" i="41"/>
  <c r="AJ93" i="41" s="1"/>
  <c r="AI92" i="41"/>
  <c r="AD92" i="41"/>
  <c r="AC92" i="41"/>
  <c r="Z92" i="41"/>
  <c r="O92" i="41"/>
  <c r="K92" i="41"/>
  <c r="AI91" i="41"/>
  <c r="AD91" i="41"/>
  <c r="Z91" i="41"/>
  <c r="AE91" i="41" s="1"/>
  <c r="O91" i="41"/>
  <c r="S91" i="41" s="1"/>
  <c r="AC91" i="41" s="1"/>
  <c r="K91" i="41"/>
  <c r="AH91" i="41" s="1"/>
  <c r="AI90" i="41"/>
  <c r="AD90" i="41"/>
  <c r="AC90" i="41"/>
  <c r="Z90" i="41"/>
  <c r="AA90" i="41" s="1"/>
  <c r="O90" i="41"/>
  <c r="K90" i="41"/>
  <c r="AI89" i="41"/>
  <c r="AD89" i="41"/>
  <c r="Z89" i="41"/>
  <c r="AE89" i="41" s="1"/>
  <c r="O89" i="41"/>
  <c r="K89" i="41"/>
  <c r="AH89" i="41" s="1"/>
  <c r="AI88" i="41"/>
  <c r="AD88" i="41"/>
  <c r="Z88" i="41"/>
  <c r="AE88" i="41" s="1"/>
  <c r="O88" i="41"/>
  <c r="K88" i="41"/>
  <c r="AI87" i="41"/>
  <c r="AD87" i="41"/>
  <c r="Z87" i="41"/>
  <c r="AA87" i="41" s="1"/>
  <c r="O87" i="41"/>
  <c r="S87" i="41" s="1"/>
  <c r="AC87" i="41" s="1"/>
  <c r="K87" i="41"/>
  <c r="AI86" i="41"/>
  <c r="AD86" i="41"/>
  <c r="Z86" i="41"/>
  <c r="AE86" i="41" s="1"/>
  <c r="O86" i="41"/>
  <c r="AF86" i="41" s="1"/>
  <c r="K86" i="41"/>
  <c r="AI85" i="41"/>
  <c r="AD85" i="41"/>
  <c r="Z85" i="41"/>
  <c r="AE85" i="41" s="1"/>
  <c r="O85" i="41"/>
  <c r="K85" i="41"/>
  <c r="AH85" i="41" s="1"/>
  <c r="AI84" i="41"/>
  <c r="AD84" i="41"/>
  <c r="Z84" i="41"/>
  <c r="AA84" i="41" s="1"/>
  <c r="O84" i="41"/>
  <c r="S84" i="41" s="1"/>
  <c r="AC84" i="41" s="1"/>
  <c r="K84" i="41"/>
  <c r="AI83" i="41"/>
  <c r="AD83" i="41"/>
  <c r="AC83" i="41"/>
  <c r="Z83" i="41"/>
  <c r="AE83" i="41" s="1"/>
  <c r="O83" i="41"/>
  <c r="K83" i="41"/>
  <c r="AH83" i="41" s="1"/>
  <c r="AI82" i="41"/>
  <c r="AD82" i="41"/>
  <c r="Z82" i="41"/>
  <c r="AA82" i="41" s="1"/>
  <c r="O82" i="41"/>
  <c r="AF82" i="41" s="1"/>
  <c r="K82" i="41"/>
  <c r="AH82" i="41" s="1"/>
  <c r="I2" i="41"/>
  <c r="C19" i="12" s="1"/>
  <c r="AJ20" i="41" l="1"/>
  <c r="AJ17" i="41"/>
  <c r="AD2" i="41"/>
  <c r="AA40" i="41"/>
  <c r="AB40" i="41" s="1"/>
  <c r="AL40" i="41" s="1"/>
  <c r="AA38" i="41"/>
  <c r="AB5" i="41"/>
  <c r="AL5" i="41" s="1"/>
  <c r="AA76" i="41"/>
  <c r="AB76" i="41" s="1"/>
  <c r="AL76" i="41" s="1"/>
  <c r="AA6" i="41"/>
  <c r="E94" i="24"/>
  <c r="I92" i="24" s="1"/>
  <c r="I87" i="24"/>
  <c r="I88" i="24" s="1"/>
  <c r="S48" i="41"/>
  <c r="AC48" i="41" s="1"/>
  <c r="AB27" i="41"/>
  <c r="AL27" i="41" s="1"/>
  <c r="AE77" i="41"/>
  <c r="AJ44" i="41"/>
  <c r="AB26" i="41"/>
  <c r="AL26" i="41" s="1"/>
  <c r="AJ15" i="41"/>
  <c r="S8" i="41"/>
  <c r="AC8" i="41" s="1"/>
  <c r="S15" i="41"/>
  <c r="AC15" i="41" s="1"/>
  <c r="AJ11" i="41"/>
  <c r="AG40" i="41"/>
  <c r="AJ38" i="41"/>
  <c r="S20" i="41"/>
  <c r="AC20" i="41" s="1"/>
  <c r="AA17" i="41"/>
  <c r="AB17" i="41" s="1"/>
  <c r="AL17" i="41" s="1"/>
  <c r="AA14" i="41"/>
  <c r="AB14" i="41" s="1"/>
  <c r="AL14" i="41" s="1"/>
  <c r="AA12" i="41"/>
  <c r="AA39" i="41"/>
  <c r="AB39" i="41" s="1"/>
  <c r="AL39" i="41" s="1"/>
  <c r="AF7" i="41"/>
  <c r="AB10" i="41"/>
  <c r="AL10" i="41" s="1"/>
  <c r="AJ37" i="41"/>
  <c r="AE11" i="41"/>
  <c r="AF8" i="41"/>
  <c r="S7" i="41"/>
  <c r="AC7" i="41" s="1"/>
  <c r="AE8" i="41"/>
  <c r="AJ78" i="41"/>
  <c r="AJ12" i="41"/>
  <c r="AE7" i="41"/>
  <c r="AE73" i="41"/>
  <c r="AA57" i="41"/>
  <c r="AB57" i="41" s="1"/>
  <c r="AL57" i="41" s="1"/>
  <c r="AF5" i="41"/>
  <c r="AJ5" i="41"/>
  <c r="AF20" i="41"/>
  <c r="AJ6" i="41"/>
  <c r="AA15" i="41"/>
  <c r="S12" i="41"/>
  <c r="AF10" i="41"/>
  <c r="AG10" i="41" s="1"/>
  <c r="AF15" i="41"/>
  <c r="AJ99" i="41"/>
  <c r="AB101" i="41"/>
  <c r="AL101" i="41" s="1"/>
  <c r="AB23" i="41"/>
  <c r="AL23" i="41" s="1"/>
  <c r="AE49" i="41"/>
  <c r="AJ14" i="41"/>
  <c r="AA74" i="41"/>
  <c r="AB74" i="41" s="1"/>
  <c r="AL74" i="41" s="1"/>
  <c r="AA63" i="41"/>
  <c r="AA61" i="41"/>
  <c r="AB61" i="41" s="1"/>
  <c r="AL61" i="41" s="1"/>
  <c r="AA59" i="41"/>
  <c r="AE47" i="41"/>
  <c r="AB34" i="41"/>
  <c r="AL34" i="41" s="1"/>
  <c r="AJ29" i="41"/>
  <c r="S11" i="41"/>
  <c r="AF6" i="41"/>
  <c r="AG6" i="41" s="1"/>
  <c r="AE5" i="41"/>
  <c r="AE37" i="41"/>
  <c r="AC5" i="41"/>
  <c r="AB79" i="41"/>
  <c r="AL79" i="41" s="1"/>
  <c r="AJ64" i="41"/>
  <c r="AE19" i="41"/>
  <c r="AG19" i="41" s="1"/>
  <c r="AJ13" i="41"/>
  <c r="AG9" i="41"/>
  <c r="AF14" i="41"/>
  <c r="AF11" i="41"/>
  <c r="AB28" i="41"/>
  <c r="AL28" i="41" s="1"/>
  <c r="AA44" i="41"/>
  <c r="AB44" i="41" s="1"/>
  <c r="AL44" i="41" s="1"/>
  <c r="S31" i="41"/>
  <c r="AC31" i="41" s="1"/>
  <c r="AG31" i="41" s="1"/>
  <c r="AE20" i="41"/>
  <c r="AJ19" i="41"/>
  <c r="AC14" i="41"/>
  <c r="AJ21" i="41"/>
  <c r="AH14" i="41"/>
  <c r="AB25" i="41"/>
  <c r="AL25" i="41" s="1"/>
  <c r="AG28" i="41"/>
  <c r="AF13" i="41"/>
  <c r="AE56" i="41"/>
  <c r="AG56" i="41" s="1"/>
  <c r="AG30" i="41"/>
  <c r="AA70" i="41"/>
  <c r="AA50" i="41"/>
  <c r="AB50" i="41" s="1"/>
  <c r="AL50" i="41" s="1"/>
  <c r="AE48" i="41"/>
  <c r="AF17" i="41"/>
  <c r="AG17" i="41" s="1"/>
  <c r="AB13" i="41"/>
  <c r="AL13" i="41" s="1"/>
  <c r="AG26" i="41"/>
  <c r="AE13" i="41"/>
  <c r="AH21" i="41"/>
  <c r="AA54" i="41"/>
  <c r="AA35" i="41"/>
  <c r="AB35" i="41" s="1"/>
  <c r="AL35" i="41" s="1"/>
  <c r="AG27" i="41"/>
  <c r="S21" i="41"/>
  <c r="AC21" i="41" s="1"/>
  <c r="AG21" i="41" s="1"/>
  <c r="AJ53" i="41"/>
  <c r="AB24" i="41"/>
  <c r="AL24" i="41" s="1"/>
  <c r="AJ24" i="41"/>
  <c r="AG79" i="41"/>
  <c r="AJ68" i="41"/>
  <c r="AE36" i="41"/>
  <c r="AJ28" i="41"/>
  <c r="AJ40" i="41"/>
  <c r="AF38" i="41"/>
  <c r="AJ27" i="41"/>
  <c r="AJ59" i="41"/>
  <c r="AA45" i="41"/>
  <c r="AF37" i="41"/>
  <c r="AA31" i="41"/>
  <c r="AB30" i="41"/>
  <c r="AL30" i="41" s="1"/>
  <c r="AA21" i="41"/>
  <c r="AB19" i="41"/>
  <c r="AL19" i="41" s="1"/>
  <c r="AJ72" i="41"/>
  <c r="AA75" i="41"/>
  <c r="AA62" i="41"/>
  <c r="AB62" i="41" s="1"/>
  <c r="AL62" i="41" s="1"/>
  <c r="AJ60" i="41"/>
  <c r="AH28" i="41"/>
  <c r="AJ73" i="41"/>
  <c r="AF73" i="41"/>
  <c r="AJ51" i="41"/>
  <c r="AB36" i="41"/>
  <c r="AL36" i="41" s="1"/>
  <c r="AE69" i="41"/>
  <c r="AG23" i="41"/>
  <c r="AB78" i="41"/>
  <c r="AL78" i="41" s="1"/>
  <c r="AA58" i="41"/>
  <c r="AB58" i="41" s="1"/>
  <c r="AL58" i="41" s="1"/>
  <c r="AJ57" i="41"/>
  <c r="AF29" i="41"/>
  <c r="AG29" i="41" s="1"/>
  <c r="AJ23" i="41"/>
  <c r="AJ66" i="41"/>
  <c r="AB37" i="41"/>
  <c r="AL37" i="41" s="1"/>
  <c r="AF74" i="41"/>
  <c r="AG74" i="41" s="1"/>
  <c r="AA67" i="41"/>
  <c r="S38" i="41"/>
  <c r="AC38" i="41" s="1"/>
  <c r="AB65" i="41"/>
  <c r="AL65" i="41" s="1"/>
  <c r="AB52" i="41"/>
  <c r="AL52" i="41" s="1"/>
  <c r="AB73" i="41"/>
  <c r="AL73" i="41" s="1"/>
  <c r="AC73" i="41"/>
  <c r="AG39" i="41"/>
  <c r="AG34" i="41"/>
  <c r="AJ62" i="41"/>
  <c r="AJ43" i="41"/>
  <c r="AF36" i="41"/>
  <c r="AJ34" i="41"/>
  <c r="AH24" i="41"/>
  <c r="AH78" i="41"/>
  <c r="AH66" i="41"/>
  <c r="AF65" i="41"/>
  <c r="AJ58" i="41"/>
  <c r="AA55" i="41"/>
  <c r="AB55" i="41" s="1"/>
  <c r="AL55" i="41" s="1"/>
  <c r="AH53" i="41"/>
  <c r="AF52" i="41"/>
  <c r="AJ50" i="41"/>
  <c r="AH40" i="41"/>
  <c r="AJ39" i="41"/>
  <c r="AJ31" i="41"/>
  <c r="AB29" i="41"/>
  <c r="AL29" i="41" s="1"/>
  <c r="AF25" i="41"/>
  <c r="AG25" i="41" s="1"/>
  <c r="AH23" i="41"/>
  <c r="AJ70" i="41"/>
  <c r="AB66" i="41"/>
  <c r="AL66" i="41" s="1"/>
  <c r="AJ79" i="41"/>
  <c r="AF78" i="41"/>
  <c r="AG78" i="41" s="1"/>
  <c r="AF61" i="41"/>
  <c r="AG61" i="41" s="1"/>
  <c r="AF24" i="41"/>
  <c r="AG24" i="41" s="1"/>
  <c r="AB69" i="41"/>
  <c r="AL69" i="41" s="1"/>
  <c r="AB77" i="41"/>
  <c r="AL77" i="41" s="1"/>
  <c r="AJ67" i="41"/>
  <c r="AF58" i="41"/>
  <c r="AG58" i="41" s="1"/>
  <c r="AF57" i="41"/>
  <c r="AG57" i="41" s="1"/>
  <c r="AF44" i="41"/>
  <c r="AG44" i="41" s="1"/>
  <c r="AE43" i="41"/>
  <c r="AJ30" i="41"/>
  <c r="AJ74" i="41"/>
  <c r="AJ26" i="41"/>
  <c r="AB53" i="41"/>
  <c r="AL53" i="41" s="1"/>
  <c r="AJ65" i="41"/>
  <c r="AJ35" i="41"/>
  <c r="AJ61" i="41"/>
  <c r="AE66" i="41"/>
  <c r="AE53" i="41"/>
  <c r="AF43" i="41"/>
  <c r="AA71" i="41"/>
  <c r="AA46" i="41"/>
  <c r="AB46" i="41" s="1"/>
  <c r="AL46" i="41" s="1"/>
  <c r="AJ69" i="41"/>
  <c r="AJ56" i="41"/>
  <c r="AJ36" i="41"/>
  <c r="AJ25" i="41"/>
  <c r="AJ52" i="41"/>
  <c r="AF69" i="41"/>
  <c r="AF66" i="41"/>
  <c r="AE65" i="41"/>
  <c r="AF53" i="41"/>
  <c r="AE52" i="41"/>
  <c r="AF35" i="41"/>
  <c r="AG35" i="41" s="1"/>
  <c r="AF62" i="41"/>
  <c r="AG62" i="41" s="1"/>
  <c r="S70" i="41"/>
  <c r="AC70" i="41" s="1"/>
  <c r="AG70" i="41" s="1"/>
  <c r="AB72" i="41"/>
  <c r="AL72" i="41" s="1"/>
  <c r="AB68" i="41"/>
  <c r="AL68" i="41" s="1"/>
  <c r="AB60" i="41"/>
  <c r="AL60" i="41" s="1"/>
  <c r="AB64" i="41"/>
  <c r="AL64" i="41" s="1"/>
  <c r="AB51" i="41"/>
  <c r="AL51" i="41" s="1"/>
  <c r="AG50" i="41"/>
  <c r="AB43" i="41"/>
  <c r="AL43" i="41" s="1"/>
  <c r="AC43" i="41"/>
  <c r="AJ47" i="41"/>
  <c r="AJ77" i="41"/>
  <c r="AH52" i="41"/>
  <c r="AJ76" i="41"/>
  <c r="AH56" i="41"/>
  <c r="AJ55" i="41"/>
  <c r="AB49" i="41"/>
  <c r="AL49" i="41" s="1"/>
  <c r="AJ46" i="41"/>
  <c r="S75" i="41"/>
  <c r="S71" i="41"/>
  <c r="S67" i="41"/>
  <c r="S63" i="41"/>
  <c r="S59" i="41"/>
  <c r="S54" i="41"/>
  <c r="AF47" i="41"/>
  <c r="S45" i="41"/>
  <c r="AH69" i="41"/>
  <c r="AF77" i="41"/>
  <c r="AJ54" i="41"/>
  <c r="AF51" i="41"/>
  <c r="AE64" i="41"/>
  <c r="AE60" i="41"/>
  <c r="AF55" i="41"/>
  <c r="AG55" i="41" s="1"/>
  <c r="AH50" i="41"/>
  <c r="AJ49" i="41"/>
  <c r="AF46" i="41"/>
  <c r="AG46" i="41" s="1"/>
  <c r="AB47" i="41"/>
  <c r="AL47" i="41" s="1"/>
  <c r="AH73" i="41"/>
  <c r="AJ75" i="41"/>
  <c r="AJ71" i="41"/>
  <c r="AJ63" i="41"/>
  <c r="AJ45" i="41"/>
  <c r="AF72" i="41"/>
  <c r="AF64" i="41"/>
  <c r="AF76" i="41"/>
  <c r="AG76" i="41" s="1"/>
  <c r="AE68" i="41"/>
  <c r="AE51" i="41"/>
  <c r="AF59" i="41"/>
  <c r="AB56" i="41"/>
  <c r="AL56" i="41" s="1"/>
  <c r="AJ48" i="41"/>
  <c r="AH65" i="41"/>
  <c r="AH61" i="41"/>
  <c r="AF68" i="41"/>
  <c r="AF60" i="41"/>
  <c r="AE72" i="41"/>
  <c r="AG72" i="41" s="1"/>
  <c r="AJ101" i="41"/>
  <c r="AJ84" i="41"/>
  <c r="AH94" i="41"/>
  <c r="AJ96" i="41"/>
  <c r="AF91" i="41"/>
  <c r="AG91" i="41" s="1"/>
  <c r="AE100" i="41"/>
  <c r="AH93" i="41"/>
  <c r="AE87" i="41"/>
  <c r="AE84" i="41"/>
  <c r="AE101" i="41"/>
  <c r="AA91" i="41"/>
  <c r="AB91" i="41" s="1"/>
  <c r="AL91" i="41" s="1"/>
  <c r="AJ82" i="41"/>
  <c r="AA88" i="41"/>
  <c r="AF101" i="41"/>
  <c r="AH84" i="41"/>
  <c r="AJ104" i="41"/>
  <c r="AA98" i="41"/>
  <c r="AA95" i="41"/>
  <c r="AB95" i="41" s="1"/>
  <c r="AL95" i="41" s="1"/>
  <c r="S97" i="41"/>
  <c r="AC97" i="41" s="1"/>
  <c r="AG97" i="41" s="1"/>
  <c r="AB84" i="41"/>
  <c r="AL84" i="41" s="1"/>
  <c r="AH99" i="41"/>
  <c r="AF84" i="41"/>
  <c r="AH96" i="41"/>
  <c r="AF85" i="41"/>
  <c r="S85" i="41"/>
  <c r="AC85" i="41" s="1"/>
  <c r="AJ97" i="41"/>
  <c r="AH97" i="41"/>
  <c r="AF89" i="41"/>
  <c r="AJ89" i="41"/>
  <c r="AA92" i="41"/>
  <c r="AB92" i="41" s="1"/>
  <c r="AL92" i="41" s="1"/>
  <c r="AE92" i="41"/>
  <c r="S89" i="41"/>
  <c r="AC89" i="41" s="1"/>
  <c r="AE90" i="41"/>
  <c r="AA89" i="41"/>
  <c r="AJ88" i="41"/>
  <c r="AH88" i="41"/>
  <c r="AA103" i="41"/>
  <c r="AB103" i="41" s="1"/>
  <c r="AL103" i="41" s="1"/>
  <c r="AE103" i="41"/>
  <c r="AG103" i="41" s="1"/>
  <c r="AH86" i="41"/>
  <c r="AJ86" i="41"/>
  <c r="AF98" i="41"/>
  <c r="AJ98" i="41"/>
  <c r="S88" i="41"/>
  <c r="AC88" i="41" s="1"/>
  <c r="AF88" i="41"/>
  <c r="AA93" i="41"/>
  <c r="AB93" i="41" s="1"/>
  <c r="AL93" i="41" s="1"/>
  <c r="S98" i="41"/>
  <c r="AC98" i="41" s="1"/>
  <c r="S86" i="41"/>
  <c r="AC86" i="41" s="1"/>
  <c r="AG86" i="41" s="1"/>
  <c r="AB90" i="41"/>
  <c r="AL90" i="41" s="1"/>
  <c r="AF90" i="41"/>
  <c r="AA105" i="41"/>
  <c r="AB105" i="41" s="1"/>
  <c r="AL105" i="41" s="1"/>
  <c r="AE105" i="41"/>
  <c r="AG105" i="41" s="1"/>
  <c r="AB102" i="41"/>
  <c r="AL102" i="41" s="1"/>
  <c r="S82" i="41"/>
  <c r="AC82" i="41" s="1"/>
  <c r="AA85" i="41"/>
  <c r="AB96" i="41"/>
  <c r="AL96" i="41" s="1"/>
  <c r="AF102" i="41"/>
  <c r="AG102" i="41" s="1"/>
  <c r="AE82" i="41"/>
  <c r="AJ83" i="41"/>
  <c r="AE96" i="41"/>
  <c r="AG96" i="41" s="1"/>
  <c r="AJ103" i="41"/>
  <c r="AJ105" i="41"/>
  <c r="AJ85" i="41"/>
  <c r="AH90" i="41"/>
  <c r="AJ90" i="41"/>
  <c r="AA94" i="41"/>
  <c r="AB94" i="41" s="1"/>
  <c r="AL94" i="41" s="1"/>
  <c r="AC101" i="41"/>
  <c r="AH87" i="41"/>
  <c r="AJ87" i="41"/>
  <c r="AF95" i="41"/>
  <c r="AG95" i="41" s="1"/>
  <c r="AJ95" i="41"/>
  <c r="AA97" i="41"/>
  <c r="S100" i="41"/>
  <c r="AC100" i="41" s="1"/>
  <c r="AF100" i="41"/>
  <c r="AE99" i="41"/>
  <c r="AA99" i="41"/>
  <c r="AB99" i="41" s="1"/>
  <c r="AL99" i="41" s="1"/>
  <c r="AJ100" i="41"/>
  <c r="AH100" i="41"/>
  <c r="K2" i="41"/>
  <c r="D19" i="12" s="1"/>
  <c r="AC93" i="41"/>
  <c r="AG93" i="41" s="1"/>
  <c r="AH92" i="41"/>
  <c r="AJ92" i="41"/>
  <c r="AC94" i="41"/>
  <c r="AG94" i="41" s="1"/>
  <c r="AA83" i="41"/>
  <c r="AB83" i="41" s="1"/>
  <c r="AL83" i="41" s="1"/>
  <c r="AF92" i="41"/>
  <c r="AA86" i="41"/>
  <c r="AB87" i="41"/>
  <c r="AL87" i="41" s="1"/>
  <c r="AF83" i="41"/>
  <c r="AG83" i="41" s="1"/>
  <c r="AF87" i="41"/>
  <c r="AF99" i="41"/>
  <c r="AE104" i="41"/>
  <c r="AG104" i="41" s="1"/>
  <c r="AA104" i="41"/>
  <c r="AB104" i="41" s="1"/>
  <c r="AL104" i="41" s="1"/>
  <c r="AJ102" i="41"/>
  <c r="AH102" i="41"/>
  <c r="AH101" i="41"/>
  <c r="AJ91" i="41"/>
  <c r="I94" i="24" l="1"/>
  <c r="AF2" i="41"/>
  <c r="AG15" i="41"/>
  <c r="AG77" i="41"/>
  <c r="AB48" i="41"/>
  <c r="AL48" i="41" s="1"/>
  <c r="AG48" i="41"/>
  <c r="AG49" i="41"/>
  <c r="AE2" i="41"/>
  <c r="AB15" i="41"/>
  <c r="AL15" i="41" s="1"/>
  <c r="AG8" i="41"/>
  <c r="AG7" i="41"/>
  <c r="AG85" i="41"/>
  <c r="AB20" i="41"/>
  <c r="AL20" i="41" s="1"/>
  <c r="AG14" i="41"/>
  <c r="AG20" i="41"/>
  <c r="AG5" i="41"/>
  <c r="AG47" i="41"/>
  <c r="AG69" i="41"/>
  <c r="AB12" i="41"/>
  <c r="AL12" i="41" s="1"/>
  <c r="AC12" i="41"/>
  <c r="AG12" i="41" s="1"/>
  <c r="AG64" i="41"/>
  <c r="AG60" i="41"/>
  <c r="AB38" i="41"/>
  <c r="AL38" i="41" s="1"/>
  <c r="AB21" i="41"/>
  <c r="AL21" i="41" s="1"/>
  <c r="AB11" i="41"/>
  <c r="AL11" i="41" s="1"/>
  <c r="AC11" i="41"/>
  <c r="AG11" i="41" s="1"/>
  <c r="AG52" i="41"/>
  <c r="AB31" i="41"/>
  <c r="AL31" i="41" s="1"/>
  <c r="AG13" i="41"/>
  <c r="AG37" i="41"/>
  <c r="AG73" i="41"/>
  <c r="AG38" i="41"/>
  <c r="AG65" i="41"/>
  <c r="AG51" i="41"/>
  <c r="AG66" i="41"/>
  <c r="AG36" i="41"/>
  <c r="AG53" i="41"/>
  <c r="AG68" i="41"/>
  <c r="AB70" i="41"/>
  <c r="AL70" i="41" s="1"/>
  <c r="AG43" i="41"/>
  <c r="AB45" i="41"/>
  <c r="AL45" i="41" s="1"/>
  <c r="AC45" i="41"/>
  <c r="AG45" i="41" s="1"/>
  <c r="AB71" i="41"/>
  <c r="AL71" i="41" s="1"/>
  <c r="AC71" i="41"/>
  <c r="AG71" i="41" s="1"/>
  <c r="AB75" i="41"/>
  <c r="AL75" i="41" s="1"/>
  <c r="AC75" i="41"/>
  <c r="AG75" i="41" s="1"/>
  <c r="AC54" i="41"/>
  <c r="AG54" i="41" s="1"/>
  <c r="AB54" i="41"/>
  <c r="AL54" i="41" s="1"/>
  <c r="AB63" i="41"/>
  <c r="AL63" i="41" s="1"/>
  <c r="AC63" i="41"/>
  <c r="AG63" i="41" s="1"/>
  <c r="AB59" i="41"/>
  <c r="AL59" i="41" s="1"/>
  <c r="AC59" i="41"/>
  <c r="AG59" i="41" s="1"/>
  <c r="AC67" i="41"/>
  <c r="AG67" i="41" s="1"/>
  <c r="AB67" i="41"/>
  <c r="AL67" i="41" s="1"/>
  <c r="AB82" i="41"/>
  <c r="AL82" i="41" s="1"/>
  <c r="AB89" i="41"/>
  <c r="AL89" i="41" s="1"/>
  <c r="AG92" i="41"/>
  <c r="AG99" i="41"/>
  <c r="AG84" i="41"/>
  <c r="AG87" i="41"/>
  <c r="AG101" i="41"/>
  <c r="AG90" i="41"/>
  <c r="AB97" i="41"/>
  <c r="AL97" i="41" s="1"/>
  <c r="AB98" i="41"/>
  <c r="AL98" i="41" s="1"/>
  <c r="AB86" i="41"/>
  <c r="AL86" i="41" s="1"/>
  <c r="AB85" i="41"/>
  <c r="AL85" i="41" s="1"/>
  <c r="AH3" i="41"/>
  <c r="F19" i="12" s="1"/>
  <c r="AG98" i="41"/>
  <c r="AG88" i="41"/>
  <c r="AB88" i="41"/>
  <c r="AL88" i="41" s="1"/>
  <c r="AG89" i="41"/>
  <c r="AG82" i="41"/>
  <c r="AJ3" i="41"/>
  <c r="G19" i="12" s="1"/>
  <c r="L2" i="41"/>
  <c r="AI3" i="41"/>
  <c r="L19" i="12" s="1"/>
  <c r="AG100" i="41"/>
  <c r="R2" i="41"/>
  <c r="Q2" i="41"/>
  <c r="AB100" i="41"/>
  <c r="AL100" i="41" s="1"/>
  <c r="AC2" i="41" l="1"/>
  <c r="J20" i="12"/>
  <c r="I19" i="12"/>
  <c r="AG2" i="41"/>
  <c r="K19" i="12" s="1"/>
  <c r="M19" i="12" s="1"/>
  <c r="AL3" i="41"/>
  <c r="E19" i="12" l="1"/>
  <c r="J19" i="12" s="1"/>
  <c r="E60" i="18"/>
  <c r="H60" i="18"/>
  <c r="E53" i="18" l="1"/>
  <c r="H53" i="18" s="1"/>
  <c r="E54" i="18"/>
  <c r="H54" i="18" l="1"/>
  <c r="E59" i="18"/>
  <c r="AN56" i="40"/>
  <c r="AN55" i="40"/>
  <c r="AN54" i="40"/>
  <c r="AN50" i="40"/>
  <c r="AI79" i="40"/>
  <c r="AD79" i="40"/>
  <c r="Z79" i="40"/>
  <c r="AE79" i="40" s="1"/>
  <c r="O79" i="40"/>
  <c r="S79" i="40" s="1"/>
  <c r="K79" i="40"/>
  <c r="AI78" i="40"/>
  <c r="AD78" i="40"/>
  <c r="Z78" i="40"/>
  <c r="AE78" i="40" s="1"/>
  <c r="O78" i="40"/>
  <c r="K78" i="40"/>
  <c r="AH78" i="40" s="1"/>
  <c r="AI77" i="40"/>
  <c r="AD77" i="40"/>
  <c r="Z77" i="40"/>
  <c r="AA77" i="40" s="1"/>
  <c r="O77" i="40"/>
  <c r="S77" i="40" s="1"/>
  <c r="K77" i="40"/>
  <c r="AI76" i="40"/>
  <c r="AD76" i="40"/>
  <c r="AC76" i="40"/>
  <c r="Z76" i="40"/>
  <c r="O76" i="40"/>
  <c r="K76" i="40"/>
  <c r="AI75" i="40"/>
  <c r="AH75" i="40"/>
  <c r="AE75" i="40"/>
  <c r="AD75" i="40"/>
  <c r="AC75" i="40"/>
  <c r="AA75" i="40"/>
  <c r="O75" i="40"/>
  <c r="AF75" i="40" s="1"/>
  <c r="AI74" i="40"/>
  <c r="AH74" i="40"/>
  <c r="AE74" i="40"/>
  <c r="AD74" i="40"/>
  <c r="AC74" i="40"/>
  <c r="AA74" i="40"/>
  <c r="O74" i="40"/>
  <c r="AI73" i="40"/>
  <c r="AH73" i="40"/>
  <c r="AE73" i="40"/>
  <c r="AD73" i="40"/>
  <c r="AC73" i="40"/>
  <c r="AA73" i="40"/>
  <c r="O73" i="40"/>
  <c r="AI72" i="40"/>
  <c r="AH72" i="40"/>
  <c r="AE72" i="40"/>
  <c r="AD72" i="40"/>
  <c r="AC72" i="40"/>
  <c r="AA72" i="40"/>
  <c r="O72" i="40"/>
  <c r="AF72" i="40" s="1"/>
  <c r="AI71" i="40"/>
  <c r="AH71" i="40"/>
  <c r="AE71" i="40"/>
  <c r="AD71" i="40"/>
  <c r="AC71" i="40"/>
  <c r="AA71" i="40"/>
  <c r="O71" i="40"/>
  <c r="AI70" i="40"/>
  <c r="AH70" i="40"/>
  <c r="AE70" i="40"/>
  <c r="AD70" i="40"/>
  <c r="AC70" i="40"/>
  <c r="AA70" i="40"/>
  <c r="O70" i="40"/>
  <c r="AI69" i="40"/>
  <c r="AH69" i="40"/>
  <c r="AE69" i="40"/>
  <c r="AD69" i="40"/>
  <c r="AA69" i="40"/>
  <c r="O69" i="40"/>
  <c r="S69" i="40" s="1"/>
  <c r="AC69" i="40" s="1"/>
  <c r="AI68" i="40"/>
  <c r="AH68" i="40"/>
  <c r="AE68" i="40"/>
  <c r="AD68" i="40"/>
  <c r="AC68" i="40"/>
  <c r="AA68" i="40"/>
  <c r="O68" i="40"/>
  <c r="AI67" i="40"/>
  <c r="AH67" i="40"/>
  <c r="AE67" i="40"/>
  <c r="AD67" i="40"/>
  <c r="AC67" i="40"/>
  <c r="AA67" i="40"/>
  <c r="O67" i="40"/>
  <c r="AI66" i="40"/>
  <c r="AH66" i="40"/>
  <c r="AE66" i="40"/>
  <c r="AD66" i="40"/>
  <c r="AC66" i="40"/>
  <c r="AA66" i="40"/>
  <c r="O66" i="40"/>
  <c r="AI65" i="40"/>
  <c r="AH65" i="40"/>
  <c r="AE65" i="40"/>
  <c r="AD65" i="40"/>
  <c r="AC65" i="40"/>
  <c r="AA65" i="40"/>
  <c r="O65" i="40"/>
  <c r="AI64" i="40"/>
  <c r="AH64" i="40"/>
  <c r="AE64" i="40"/>
  <c r="AD64" i="40"/>
  <c r="AC64" i="40"/>
  <c r="AA64" i="40"/>
  <c r="O64" i="40"/>
  <c r="AI63" i="40"/>
  <c r="AH63" i="40"/>
  <c r="AE63" i="40"/>
  <c r="AD63" i="40"/>
  <c r="AC63" i="40"/>
  <c r="AA63" i="40"/>
  <c r="O63" i="40"/>
  <c r="AI62" i="40"/>
  <c r="AH62" i="40"/>
  <c r="AE62" i="40"/>
  <c r="AD62" i="40"/>
  <c r="AC62" i="40"/>
  <c r="AA62" i="40"/>
  <c r="O62" i="40"/>
  <c r="AI61" i="40"/>
  <c r="AH61" i="40"/>
  <c r="AE61" i="40"/>
  <c r="AD61" i="40"/>
  <c r="AC61" i="40"/>
  <c r="AA61" i="40"/>
  <c r="O61" i="40"/>
  <c r="AF61" i="40" s="1"/>
  <c r="AI60" i="40"/>
  <c r="AH60" i="40"/>
  <c r="AE60" i="40"/>
  <c r="AD60" i="40"/>
  <c r="AC60" i="40"/>
  <c r="AA60" i="40"/>
  <c r="O60" i="40"/>
  <c r="AJ60" i="40" s="1"/>
  <c r="AI59" i="40"/>
  <c r="AD59" i="40"/>
  <c r="Z59" i="40"/>
  <c r="AE59" i="40" s="1"/>
  <c r="O59" i="40"/>
  <c r="AF59" i="40" s="1"/>
  <c r="K59" i="40"/>
  <c r="AH59" i="40" s="1"/>
  <c r="AI58" i="40"/>
  <c r="AD58" i="40"/>
  <c r="Z58" i="40"/>
  <c r="AA58" i="40" s="1"/>
  <c r="O58" i="40"/>
  <c r="S58" i="40" s="1"/>
  <c r="AC58" i="40" s="1"/>
  <c r="K58" i="40"/>
  <c r="AH58" i="40" s="1"/>
  <c r="AI57" i="40"/>
  <c r="AD57" i="40"/>
  <c r="Z57" i="40"/>
  <c r="AE57" i="40" s="1"/>
  <c r="O57" i="40"/>
  <c r="AF57" i="40" s="1"/>
  <c r="K57" i="40"/>
  <c r="AI56" i="40"/>
  <c r="AD56" i="40"/>
  <c r="Z56" i="40"/>
  <c r="O56" i="40"/>
  <c r="AF56" i="40" s="1"/>
  <c r="K56" i="40"/>
  <c r="AH56" i="40" s="1"/>
  <c r="AI55" i="40"/>
  <c r="AD55" i="40"/>
  <c r="Z55" i="40"/>
  <c r="AE55" i="40" s="1"/>
  <c r="O55" i="40"/>
  <c r="AF55" i="40" s="1"/>
  <c r="K55" i="40"/>
  <c r="AI54" i="40"/>
  <c r="AD54" i="40"/>
  <c r="Z54" i="40"/>
  <c r="O54" i="40"/>
  <c r="AF54" i="40" s="1"/>
  <c r="K54" i="40"/>
  <c r="AH54" i="40" s="1"/>
  <c r="AI53" i="40"/>
  <c r="AD53" i="40"/>
  <c r="Z53" i="40"/>
  <c r="AE53" i="40" s="1"/>
  <c r="O53" i="40"/>
  <c r="AF53" i="40" s="1"/>
  <c r="K53" i="40"/>
  <c r="AH53" i="40" s="1"/>
  <c r="AI52" i="40"/>
  <c r="AD52" i="40"/>
  <c r="Z52" i="40"/>
  <c r="O52" i="40"/>
  <c r="AF52" i="40" s="1"/>
  <c r="K52" i="40"/>
  <c r="AI51" i="40"/>
  <c r="AD51" i="40"/>
  <c r="Z51" i="40"/>
  <c r="AE51" i="40" s="1"/>
  <c r="O51" i="40"/>
  <c r="AF51" i="40" s="1"/>
  <c r="K51" i="40"/>
  <c r="AH51" i="40" s="1"/>
  <c r="AI50" i="40"/>
  <c r="AD50" i="40"/>
  <c r="Z50" i="40"/>
  <c r="O50" i="40"/>
  <c r="AF50" i="40" s="1"/>
  <c r="K50" i="40"/>
  <c r="AI49" i="40"/>
  <c r="AD49" i="40"/>
  <c r="Z49" i="40"/>
  <c r="AE49" i="40" s="1"/>
  <c r="O49" i="40"/>
  <c r="S49" i="40" s="1"/>
  <c r="AC49" i="40" s="1"/>
  <c r="K49" i="40"/>
  <c r="AH49" i="40" s="1"/>
  <c r="AI48" i="40"/>
  <c r="AD48" i="40"/>
  <c r="Z48" i="40"/>
  <c r="AA48" i="40" s="1"/>
  <c r="O48" i="40"/>
  <c r="AF48" i="40" s="1"/>
  <c r="K48" i="40"/>
  <c r="AI47" i="40"/>
  <c r="AD47" i="40"/>
  <c r="AC47" i="40"/>
  <c r="Z47" i="40"/>
  <c r="O47" i="40"/>
  <c r="K47" i="40"/>
  <c r="AI46" i="40"/>
  <c r="AD46" i="40"/>
  <c r="AC46" i="40"/>
  <c r="Z46" i="40"/>
  <c r="AE46" i="40" s="1"/>
  <c r="O46" i="40"/>
  <c r="AF46" i="40" s="1"/>
  <c r="K46" i="40"/>
  <c r="AH46" i="40" s="1"/>
  <c r="AI45" i="40"/>
  <c r="AD45" i="40"/>
  <c r="AC45" i="40"/>
  <c r="Z45" i="40"/>
  <c r="AE45" i="40" s="1"/>
  <c r="O45" i="40"/>
  <c r="K45" i="40"/>
  <c r="AI44" i="40"/>
  <c r="AE44" i="40"/>
  <c r="AD44" i="40"/>
  <c r="AC44" i="40"/>
  <c r="AA44" i="40"/>
  <c r="O44" i="40"/>
  <c r="K44" i="40"/>
  <c r="AI43" i="40"/>
  <c r="AD43" i="40"/>
  <c r="Z43" i="40"/>
  <c r="AE43" i="40" s="1"/>
  <c r="O43" i="40"/>
  <c r="S43" i="40" s="1"/>
  <c r="AC43" i="40" s="1"/>
  <c r="K43" i="40"/>
  <c r="AI42" i="40"/>
  <c r="AD42" i="40"/>
  <c r="Z42" i="40"/>
  <c r="AA42" i="40" s="1"/>
  <c r="O42" i="40"/>
  <c r="AF42" i="40" s="1"/>
  <c r="K42" i="40"/>
  <c r="AI41" i="40"/>
  <c r="AD41" i="40"/>
  <c r="Z41" i="40"/>
  <c r="AE41" i="40" s="1"/>
  <c r="O41" i="40"/>
  <c r="K41" i="40"/>
  <c r="AJ41" i="40" s="1"/>
  <c r="AI40" i="40"/>
  <c r="AD40" i="40"/>
  <c r="Z40" i="40"/>
  <c r="AA40" i="40" s="1"/>
  <c r="O40" i="40"/>
  <c r="K40" i="40"/>
  <c r="AH40" i="40" s="1"/>
  <c r="AI39" i="40"/>
  <c r="AD39" i="40"/>
  <c r="Z39" i="40"/>
  <c r="AE39" i="40" s="1"/>
  <c r="O39" i="40"/>
  <c r="AF39" i="40" s="1"/>
  <c r="K39" i="40"/>
  <c r="AI38" i="40"/>
  <c r="AE38" i="40"/>
  <c r="AD38" i="40"/>
  <c r="AC38" i="40"/>
  <c r="AA38" i="40"/>
  <c r="O38" i="40"/>
  <c r="AF38" i="40" s="1"/>
  <c r="K38" i="40"/>
  <c r="AI37" i="40"/>
  <c r="AD37" i="40"/>
  <c r="Z37" i="40"/>
  <c r="O37" i="40"/>
  <c r="S37" i="40" s="1"/>
  <c r="AC37" i="40" s="1"/>
  <c r="K37" i="40"/>
  <c r="AH37" i="40" s="1"/>
  <c r="AI36" i="40"/>
  <c r="AD36" i="40"/>
  <c r="Z36" i="40"/>
  <c r="AE36" i="40" s="1"/>
  <c r="O36" i="40"/>
  <c r="AF36" i="40" s="1"/>
  <c r="K36" i="40"/>
  <c r="AH36" i="40" s="1"/>
  <c r="AI35" i="40"/>
  <c r="AD35" i="40"/>
  <c r="Z35" i="40"/>
  <c r="AE35" i="40" s="1"/>
  <c r="O35" i="40"/>
  <c r="S35" i="40" s="1"/>
  <c r="K35" i="40"/>
  <c r="AH35" i="40" s="1"/>
  <c r="AI34" i="40"/>
  <c r="AD34" i="40"/>
  <c r="Z34" i="40"/>
  <c r="AE34" i="40" s="1"/>
  <c r="O34" i="40"/>
  <c r="K34" i="40"/>
  <c r="AI33" i="40"/>
  <c r="AE33" i="40"/>
  <c r="AD33" i="40"/>
  <c r="AC33" i="40"/>
  <c r="AA33" i="40"/>
  <c r="O33" i="40"/>
  <c r="AF33" i="40" s="1"/>
  <c r="K33" i="40"/>
  <c r="AI32" i="40"/>
  <c r="AD32" i="40"/>
  <c r="AC32" i="40"/>
  <c r="Z32" i="40"/>
  <c r="O32" i="40"/>
  <c r="AF32" i="40" s="1"/>
  <c r="K32" i="40"/>
  <c r="AI31" i="40"/>
  <c r="AD31" i="40"/>
  <c r="Z31" i="40"/>
  <c r="AA31" i="40" s="1"/>
  <c r="O31" i="40"/>
  <c r="S31" i="40" s="1"/>
  <c r="AC31" i="40" s="1"/>
  <c r="K31" i="40"/>
  <c r="AH31" i="40" s="1"/>
  <c r="AI30" i="40"/>
  <c r="AD30" i="40"/>
  <c r="Z30" i="40"/>
  <c r="AA30" i="40" s="1"/>
  <c r="O30" i="40"/>
  <c r="S30" i="40" s="1"/>
  <c r="AC30" i="40" s="1"/>
  <c r="K30" i="40"/>
  <c r="AI29" i="40"/>
  <c r="AD29" i="40"/>
  <c r="Z29" i="40"/>
  <c r="O29" i="40"/>
  <c r="AF29" i="40" s="1"/>
  <c r="K29" i="40"/>
  <c r="AH29" i="40" s="1"/>
  <c r="AI28" i="40"/>
  <c r="AD28" i="40"/>
  <c r="Z28" i="40"/>
  <c r="AE28" i="40" s="1"/>
  <c r="O28" i="40"/>
  <c r="S28" i="40" s="1"/>
  <c r="AC28" i="40" s="1"/>
  <c r="K28" i="40"/>
  <c r="AH28" i="40" s="1"/>
  <c r="AI27" i="40"/>
  <c r="AD27" i="40"/>
  <c r="Z27" i="40"/>
  <c r="O27" i="40"/>
  <c r="S27" i="40" s="1"/>
  <c r="AC27" i="40" s="1"/>
  <c r="K27" i="40"/>
  <c r="AI26" i="40"/>
  <c r="AF26" i="40"/>
  <c r="AD26" i="40"/>
  <c r="AC26" i="40"/>
  <c r="Z26" i="40"/>
  <c r="AA26" i="40" s="1"/>
  <c r="AB26" i="40" s="1"/>
  <c r="K26" i="40"/>
  <c r="AH26" i="40" s="1"/>
  <c r="AI25" i="40"/>
  <c r="AD25" i="40"/>
  <c r="Z25" i="40"/>
  <c r="AE25" i="40" s="1"/>
  <c r="O25" i="40"/>
  <c r="AF25" i="40" s="1"/>
  <c r="K25" i="40"/>
  <c r="AI24" i="40"/>
  <c r="AD24" i="40"/>
  <c r="Z24" i="40"/>
  <c r="O24" i="40"/>
  <c r="AF24" i="40" s="1"/>
  <c r="K24" i="40"/>
  <c r="AI23" i="40"/>
  <c r="AD23" i="40"/>
  <c r="Z23" i="40"/>
  <c r="AA23" i="40" s="1"/>
  <c r="O23" i="40"/>
  <c r="K23" i="40"/>
  <c r="AH23" i="40" s="1"/>
  <c r="AI22" i="40"/>
  <c r="AE22" i="40"/>
  <c r="AD22" i="40"/>
  <c r="AC22" i="40"/>
  <c r="AA22" i="40"/>
  <c r="O22" i="40"/>
  <c r="K22" i="40"/>
  <c r="AI21" i="40"/>
  <c r="AE21" i="40"/>
  <c r="AD21" i="40"/>
  <c r="AC21" i="40"/>
  <c r="AA21" i="40"/>
  <c r="O21" i="40"/>
  <c r="K21" i="40"/>
  <c r="AH21" i="40" s="1"/>
  <c r="AI20" i="40"/>
  <c r="AD20" i="40"/>
  <c r="AC20" i="40"/>
  <c r="Z20" i="40"/>
  <c r="O20" i="40"/>
  <c r="AF20" i="40" s="1"/>
  <c r="K20" i="40"/>
  <c r="AJ20" i="40" s="1"/>
  <c r="AI19" i="40"/>
  <c r="AD19" i="40"/>
  <c r="Z19" i="40"/>
  <c r="O19" i="40"/>
  <c r="K19" i="40"/>
  <c r="AI18" i="40"/>
  <c r="AD18" i="40"/>
  <c r="Z18" i="40"/>
  <c r="AE18" i="40" s="1"/>
  <c r="O18" i="40"/>
  <c r="K18" i="40"/>
  <c r="AH18" i="40" s="1"/>
  <c r="AI17" i="40"/>
  <c r="AD17" i="40"/>
  <c r="Z17" i="40"/>
  <c r="AE17" i="40" s="1"/>
  <c r="O17" i="40"/>
  <c r="AF17" i="40" s="1"/>
  <c r="K17" i="40"/>
  <c r="AI16" i="40"/>
  <c r="AD16" i="40"/>
  <c r="Z16" i="40"/>
  <c r="AA16" i="40" s="1"/>
  <c r="O16" i="40"/>
  <c r="AF16" i="40" s="1"/>
  <c r="K16" i="40"/>
  <c r="AI15" i="40"/>
  <c r="AD15" i="40"/>
  <c r="AC15" i="40"/>
  <c r="Z15" i="40"/>
  <c r="AE15" i="40" s="1"/>
  <c r="O15" i="40"/>
  <c r="AF15" i="40" s="1"/>
  <c r="K15" i="40"/>
  <c r="AI14" i="40"/>
  <c r="AE14" i="40"/>
  <c r="AD14" i="40"/>
  <c r="AA14" i="40"/>
  <c r="S14" i="40"/>
  <c r="O14" i="40"/>
  <c r="AF14" i="40" s="1"/>
  <c r="K14" i="40"/>
  <c r="AI13" i="40"/>
  <c r="AD13" i="40"/>
  <c r="AC13" i="40"/>
  <c r="Z13" i="40"/>
  <c r="AE13" i="40" s="1"/>
  <c r="O13" i="40"/>
  <c r="AF13" i="40" s="1"/>
  <c r="K13" i="40"/>
  <c r="AI12" i="40"/>
  <c r="AD12" i="40"/>
  <c r="AC12" i="40"/>
  <c r="Z12" i="40"/>
  <c r="AE12" i="40" s="1"/>
  <c r="O12" i="40"/>
  <c r="AF12" i="40" s="1"/>
  <c r="K12" i="40"/>
  <c r="AI11" i="40"/>
  <c r="AD11" i="40"/>
  <c r="AC11" i="40"/>
  <c r="Z11" i="40"/>
  <c r="AE11" i="40" s="1"/>
  <c r="O11" i="40"/>
  <c r="K11" i="40"/>
  <c r="AI10" i="40"/>
  <c r="AD10" i="40"/>
  <c r="AC10" i="40"/>
  <c r="Z10" i="40"/>
  <c r="AA10" i="40" s="1"/>
  <c r="O10" i="40"/>
  <c r="AF10" i="40" s="1"/>
  <c r="K10" i="40"/>
  <c r="AH10" i="40" s="1"/>
  <c r="AI9" i="40"/>
  <c r="AD9" i="40"/>
  <c r="AC9" i="40"/>
  <c r="Z9" i="40"/>
  <c r="AE9" i="40" s="1"/>
  <c r="O9" i="40"/>
  <c r="AF9" i="40" s="1"/>
  <c r="K9" i="40"/>
  <c r="AI8" i="40"/>
  <c r="AD8" i="40"/>
  <c r="AC8" i="40"/>
  <c r="Z8" i="40"/>
  <c r="AA8" i="40" s="1"/>
  <c r="O8" i="40"/>
  <c r="AF8" i="40" s="1"/>
  <c r="K8" i="40"/>
  <c r="AI7" i="40"/>
  <c r="AE7" i="40"/>
  <c r="AD7" i="40"/>
  <c r="AC7" i="40"/>
  <c r="AA7" i="40"/>
  <c r="O7" i="40"/>
  <c r="K7" i="40"/>
  <c r="AI6" i="40"/>
  <c r="AD6" i="40"/>
  <c r="Z6" i="40"/>
  <c r="AA6" i="40" s="1"/>
  <c r="O6" i="40"/>
  <c r="AF6" i="40" s="1"/>
  <c r="K6" i="40"/>
  <c r="AH6" i="40" s="1"/>
  <c r="AI5" i="40"/>
  <c r="AD5" i="40"/>
  <c r="Z5" i="40"/>
  <c r="AA5" i="40" s="1"/>
  <c r="O5" i="40"/>
  <c r="K5" i="40"/>
  <c r="AH5" i="40" s="1"/>
  <c r="I2" i="40"/>
  <c r="C18" i="12" s="1"/>
  <c r="AJ32" i="40" l="1"/>
  <c r="AJ43" i="40"/>
  <c r="AD2" i="40"/>
  <c r="H59" i="18"/>
  <c r="AJ77" i="40"/>
  <c r="AB22" i="40"/>
  <c r="AG75" i="40"/>
  <c r="AJ9" i="40"/>
  <c r="AJ17" i="40"/>
  <c r="AB65" i="40"/>
  <c r="AL65" i="40" s="1"/>
  <c r="AB63" i="40"/>
  <c r="AL63" i="40" s="1"/>
  <c r="AJ58" i="40"/>
  <c r="AH17" i="40"/>
  <c r="AJ54" i="40"/>
  <c r="AJ21" i="40"/>
  <c r="AJ55" i="40"/>
  <c r="AA17" i="40"/>
  <c r="AJ46" i="40"/>
  <c r="AF28" i="40"/>
  <c r="AG28" i="40" s="1"/>
  <c r="AF43" i="40"/>
  <c r="AG43" i="40" s="1"/>
  <c r="AH43" i="40"/>
  <c r="AJ26" i="40"/>
  <c r="AJ52" i="40"/>
  <c r="S54" i="40"/>
  <c r="AC54" i="40" s="1"/>
  <c r="AH32" i="40"/>
  <c r="AF22" i="40"/>
  <c r="AG22" i="40" s="1"/>
  <c r="AF77" i="40"/>
  <c r="AE48" i="40"/>
  <c r="AB44" i="40"/>
  <c r="AL44" i="40" s="1"/>
  <c r="AH77" i="40"/>
  <c r="AJ5" i="40"/>
  <c r="S25" i="40"/>
  <c r="AC25" i="40" s="1"/>
  <c r="AG25" i="40" s="1"/>
  <c r="AG12" i="40"/>
  <c r="AB72" i="40"/>
  <c r="AL72" i="40" s="1"/>
  <c r="AE31" i="40"/>
  <c r="AL26" i="40"/>
  <c r="AA39" i="40"/>
  <c r="AH41" i="40"/>
  <c r="AF44" i="40"/>
  <c r="AG44" i="40" s="1"/>
  <c r="AB38" i="40"/>
  <c r="AL38" i="40" s="1"/>
  <c r="S42" i="40"/>
  <c r="AC42" i="40" s="1"/>
  <c r="AA36" i="40"/>
  <c r="AE5" i="40"/>
  <c r="AJ10" i="40"/>
  <c r="AJ29" i="40"/>
  <c r="AF49" i="40"/>
  <c r="AG49" i="40" s="1"/>
  <c r="AH9" i="40"/>
  <c r="AE77" i="40"/>
  <c r="AJ23" i="40"/>
  <c r="S51" i="40"/>
  <c r="AC51" i="40" s="1"/>
  <c r="AG51" i="40" s="1"/>
  <c r="AG72" i="40"/>
  <c r="AA18" i="40"/>
  <c r="AA46" i="40"/>
  <c r="AB46" i="40" s="1"/>
  <c r="AL46" i="40" s="1"/>
  <c r="AJ72" i="40"/>
  <c r="AB77" i="40"/>
  <c r="AL77" i="40" s="1"/>
  <c r="AF67" i="40"/>
  <c r="AG67" i="40" s="1"/>
  <c r="AJ67" i="40"/>
  <c r="AJ30" i="40"/>
  <c r="AH30" i="40"/>
  <c r="AH45" i="40"/>
  <c r="AJ45" i="40"/>
  <c r="S59" i="40"/>
  <c r="AC59" i="40" s="1"/>
  <c r="AG59" i="40" s="1"/>
  <c r="AF79" i="40"/>
  <c r="AA59" i="40"/>
  <c r="AJ39" i="40"/>
  <c r="AH39" i="40"/>
  <c r="AF64" i="40"/>
  <c r="AG64" i="40" s="1"/>
  <c r="AJ64" i="40"/>
  <c r="AH8" i="40"/>
  <c r="AJ8" i="40"/>
  <c r="AB64" i="40"/>
  <c r="AL64" i="40" s="1"/>
  <c r="AE6" i="40"/>
  <c r="AA11" i="40"/>
  <c r="AB11" i="40" s="1"/>
  <c r="AL11" i="40" s="1"/>
  <c r="AE58" i="40"/>
  <c r="AE52" i="40"/>
  <c r="AA52" i="40"/>
  <c r="S17" i="40"/>
  <c r="AC17" i="40" s="1"/>
  <c r="AG17" i="40" s="1"/>
  <c r="AF23" i="40"/>
  <c r="AJ37" i="40"/>
  <c r="AJ11" i="40"/>
  <c r="AH11" i="40"/>
  <c r="AJ35" i="40"/>
  <c r="AF35" i="40"/>
  <c r="AF71" i="40"/>
  <c r="AG71" i="40" s="1"/>
  <c r="AJ71" i="40"/>
  <c r="AB71" i="40"/>
  <c r="AL71" i="40" s="1"/>
  <c r="AJ25" i="40"/>
  <c r="AH25" i="40"/>
  <c r="AL22" i="40"/>
  <c r="AJ22" i="40"/>
  <c r="AH22" i="40"/>
  <c r="AJ57" i="40"/>
  <c r="AH57" i="40"/>
  <c r="AE47" i="40"/>
  <c r="AA47" i="40"/>
  <c r="AB47" i="40" s="1"/>
  <c r="AL47" i="40" s="1"/>
  <c r="AH52" i="40"/>
  <c r="AA78" i="40"/>
  <c r="AF5" i="40"/>
  <c r="AH20" i="40"/>
  <c r="AE23" i="40"/>
  <c r="AE27" i="40"/>
  <c r="AA27" i="40"/>
  <c r="AB27" i="40" s="1"/>
  <c r="AL27" i="40" s="1"/>
  <c r="S36" i="40"/>
  <c r="AC36" i="40" s="1"/>
  <c r="AG36" i="40" s="1"/>
  <c r="AG15" i="40"/>
  <c r="AA34" i="40"/>
  <c r="AH38" i="40"/>
  <c r="AJ38" i="40"/>
  <c r="AJ53" i="40"/>
  <c r="S53" i="40"/>
  <c r="AC53" i="40" s="1"/>
  <c r="AG53" i="40" s="1"/>
  <c r="AC77" i="40"/>
  <c r="AJ6" i="40"/>
  <c r="S6" i="40"/>
  <c r="AC6" i="40" s="1"/>
  <c r="AB14" i="40"/>
  <c r="AL14" i="40" s="1"/>
  <c r="S55" i="40"/>
  <c r="AC55" i="40" s="1"/>
  <c r="AG55" i="40" s="1"/>
  <c r="S23" i="40"/>
  <c r="AC23" i="40" s="1"/>
  <c r="AJ47" i="40"/>
  <c r="AH47" i="40"/>
  <c r="AJ27" i="40"/>
  <c r="AH27" i="40"/>
  <c r="AE42" i="40"/>
  <c r="AJ12" i="40"/>
  <c r="AH12" i="40"/>
  <c r="AA15" i="40"/>
  <c r="AB15" i="40" s="1"/>
  <c r="AL15" i="40" s="1"/>
  <c r="S39" i="40"/>
  <c r="AC39" i="40" s="1"/>
  <c r="AG39" i="40" s="1"/>
  <c r="AA57" i="40"/>
  <c r="AA12" i="40"/>
  <c r="AB12" i="40" s="1"/>
  <c r="AL12" i="40" s="1"/>
  <c r="AH14" i="40"/>
  <c r="AJ14" i="40"/>
  <c r="AB21" i="40"/>
  <c r="AL21" i="40" s="1"/>
  <c r="AF21" i="40"/>
  <c r="AG21" i="40" s="1"/>
  <c r="AB31" i="40"/>
  <c r="AL31" i="40" s="1"/>
  <c r="AJ79" i="40"/>
  <c r="AH79" i="40"/>
  <c r="AH24" i="40"/>
  <c r="AJ24" i="40"/>
  <c r="AG38" i="40"/>
  <c r="AA55" i="40"/>
  <c r="AJ56" i="40"/>
  <c r="AF74" i="40"/>
  <c r="AG74" i="40" s="1"/>
  <c r="AJ74" i="40"/>
  <c r="S29" i="40"/>
  <c r="AC29" i="40" s="1"/>
  <c r="AE32" i="40"/>
  <c r="AG32" i="40" s="1"/>
  <c r="AA32" i="40"/>
  <c r="AB32" i="40" s="1"/>
  <c r="AL32" i="40" s="1"/>
  <c r="AH42" i="40"/>
  <c r="AJ42" i="40"/>
  <c r="AA43" i="40"/>
  <c r="AB43" i="40" s="1"/>
  <c r="AL43" i="40" s="1"/>
  <c r="AJ49" i="40"/>
  <c r="AJ51" i="40"/>
  <c r="S56" i="40"/>
  <c r="AC56" i="40" s="1"/>
  <c r="AF65" i="40"/>
  <c r="AG65" i="40" s="1"/>
  <c r="AJ65" i="40"/>
  <c r="AB74" i="40"/>
  <c r="AL74" i="40" s="1"/>
  <c r="AB7" i="40"/>
  <c r="AL7" i="40" s="1"/>
  <c r="AF7" i="40"/>
  <c r="AG7" i="40" s="1"/>
  <c r="AG13" i="40"/>
  <c r="AH15" i="40"/>
  <c r="AJ15" i="40"/>
  <c r="AE16" i="40"/>
  <c r="AE29" i="40"/>
  <c r="AA29" i="40"/>
  <c r="AF37" i="40"/>
  <c r="AE56" i="40"/>
  <c r="AA56" i="40"/>
  <c r="AJ31" i="40"/>
  <c r="AJ44" i="40"/>
  <c r="AG9" i="40"/>
  <c r="AJ13" i="40"/>
  <c r="AJ28" i="40"/>
  <c r="AJ36" i="40"/>
  <c r="AE24" i="40"/>
  <c r="AA24" i="40"/>
  <c r="AA37" i="40"/>
  <c r="AB37" i="40" s="1"/>
  <c r="AL37" i="40" s="1"/>
  <c r="AE37" i="40"/>
  <c r="AF70" i="40"/>
  <c r="AG70" i="40" s="1"/>
  <c r="AJ70" i="40"/>
  <c r="AB70" i="40"/>
  <c r="AL70" i="40" s="1"/>
  <c r="AF40" i="40"/>
  <c r="AJ40" i="40"/>
  <c r="AA41" i="40"/>
  <c r="AJ19" i="40"/>
  <c r="AH19" i="40"/>
  <c r="AE54" i="40"/>
  <c r="AA54" i="40"/>
  <c r="S40" i="40"/>
  <c r="AC40" i="40" s="1"/>
  <c r="AA53" i="40"/>
  <c r="AJ34" i="40"/>
  <c r="AH34" i="40"/>
  <c r="AJ48" i="40"/>
  <c r="AH48" i="40"/>
  <c r="AF34" i="40"/>
  <c r="S34" i="40"/>
  <c r="AC34" i="40" s="1"/>
  <c r="AH16" i="40"/>
  <c r="AJ16" i="40"/>
  <c r="AE19" i="40"/>
  <c r="AA19" i="40"/>
  <c r="AF62" i="40"/>
  <c r="AG62" i="40" s="1"/>
  <c r="AJ62" i="40"/>
  <c r="AB62" i="40"/>
  <c r="AL62" i="40" s="1"/>
  <c r="AH50" i="40"/>
  <c r="AJ50" i="40"/>
  <c r="AF18" i="40"/>
  <c r="AJ18" i="40"/>
  <c r="S18" i="40"/>
  <c r="AC18" i="40" s="1"/>
  <c r="AA20" i="40"/>
  <c r="AB20" i="40" s="1"/>
  <c r="AL20" i="40" s="1"/>
  <c r="AE20" i="40"/>
  <c r="AG20" i="40" s="1"/>
  <c r="AC35" i="40"/>
  <c r="AF19" i="40"/>
  <c r="S19" i="40"/>
  <c r="AC19" i="40" s="1"/>
  <c r="AF66" i="40"/>
  <c r="AG66" i="40" s="1"/>
  <c r="AB66" i="40"/>
  <c r="AL66" i="40" s="1"/>
  <c r="AJ66" i="40"/>
  <c r="AF78" i="40"/>
  <c r="AA35" i="40"/>
  <c r="AB35" i="40" s="1"/>
  <c r="AL35" i="40" s="1"/>
  <c r="S50" i="40"/>
  <c r="AC50" i="40" s="1"/>
  <c r="AA51" i="40"/>
  <c r="S78" i="40"/>
  <c r="AC78" i="40" s="1"/>
  <c r="AG78" i="40" s="1"/>
  <c r="K2" i="40"/>
  <c r="D18" i="12" s="1"/>
  <c r="AB10" i="40"/>
  <c r="AL10" i="40" s="1"/>
  <c r="S16" i="40"/>
  <c r="AC16" i="40" s="1"/>
  <c r="AB30" i="40"/>
  <c r="AL30" i="40" s="1"/>
  <c r="AA49" i="40"/>
  <c r="AB49" i="40" s="1"/>
  <c r="AL49" i="40" s="1"/>
  <c r="AE50" i="40"/>
  <c r="AA50" i="40"/>
  <c r="AH55" i="40"/>
  <c r="AF69" i="40"/>
  <c r="AG69" i="40" s="1"/>
  <c r="AJ69" i="40"/>
  <c r="AB69" i="40"/>
  <c r="AL69" i="40" s="1"/>
  <c r="AF73" i="40"/>
  <c r="AG73" i="40" s="1"/>
  <c r="AB73" i="40"/>
  <c r="AL73" i="40" s="1"/>
  <c r="AJ76" i="40"/>
  <c r="AH76" i="40"/>
  <c r="AJ7" i="40"/>
  <c r="AH7" i="40"/>
  <c r="AA13" i="40"/>
  <c r="AB13" i="40" s="1"/>
  <c r="AL13" i="40" s="1"/>
  <c r="AE40" i="40"/>
  <c r="AE76" i="40"/>
  <c r="AA76" i="40"/>
  <c r="AB76" i="40" s="1"/>
  <c r="AL76" i="40" s="1"/>
  <c r="AF68" i="40"/>
  <c r="AG68" i="40" s="1"/>
  <c r="AJ68" i="40"/>
  <c r="AB8" i="40"/>
  <c r="AL8" i="40" s="1"/>
  <c r="AC14" i="40"/>
  <c r="AG14" i="40" s="1"/>
  <c r="AA28" i="40"/>
  <c r="AB28" i="40" s="1"/>
  <c r="AL28" i="40" s="1"/>
  <c r="AE30" i="40"/>
  <c r="AA45" i="40"/>
  <c r="AB45" i="40" s="1"/>
  <c r="AL45" i="40" s="1"/>
  <c r="AG46" i="40"/>
  <c r="AF47" i="40"/>
  <c r="AB75" i="40"/>
  <c r="AL75" i="40" s="1"/>
  <c r="AJ75" i="40"/>
  <c r="S48" i="40"/>
  <c r="AC48" i="40" s="1"/>
  <c r="AB33" i="40"/>
  <c r="AL33" i="40" s="1"/>
  <c r="AB58" i="40"/>
  <c r="AL58" i="40" s="1"/>
  <c r="AG33" i="40"/>
  <c r="S57" i="40"/>
  <c r="AC57" i="40" s="1"/>
  <c r="AG57" i="40" s="1"/>
  <c r="AE10" i="40"/>
  <c r="AG10" i="40" s="1"/>
  <c r="AF30" i="40"/>
  <c r="AB68" i="40"/>
  <c r="AL68" i="40" s="1"/>
  <c r="AF76" i="40"/>
  <c r="AC79" i="40"/>
  <c r="AJ33" i="40"/>
  <c r="AH33" i="40"/>
  <c r="AB61" i="40"/>
  <c r="AL61" i="40" s="1"/>
  <c r="AA9" i="40"/>
  <c r="AB9" i="40" s="1"/>
  <c r="AL9" i="40" s="1"/>
  <c r="AF60" i="40"/>
  <c r="AG60" i="40" s="1"/>
  <c r="AB60" i="40"/>
  <c r="AL60" i="40" s="1"/>
  <c r="AE26" i="40"/>
  <c r="AG26" i="40" s="1"/>
  <c r="AF63" i="40"/>
  <c r="AG63" i="40" s="1"/>
  <c r="AJ63" i="40"/>
  <c r="S5" i="40"/>
  <c r="AC5" i="40" s="1"/>
  <c r="AF45" i="40"/>
  <c r="AG45" i="40" s="1"/>
  <c r="AE8" i="40"/>
  <c r="AG8" i="40" s="1"/>
  <c r="AF11" i="40"/>
  <c r="AG11" i="40" s="1"/>
  <c r="S24" i="40"/>
  <c r="AA25" i="40"/>
  <c r="AF41" i="40"/>
  <c r="S41" i="40"/>
  <c r="S52" i="40"/>
  <c r="AC52" i="40" s="1"/>
  <c r="AF58" i="40"/>
  <c r="AJ61" i="40"/>
  <c r="AB67" i="40"/>
  <c r="AL67" i="40" s="1"/>
  <c r="AJ73" i="40"/>
  <c r="AA79" i="40"/>
  <c r="AB79" i="40" s="1"/>
  <c r="AL79" i="40" s="1"/>
  <c r="AF27" i="40"/>
  <c r="AF31" i="40"/>
  <c r="AH44" i="40"/>
  <c r="AG61" i="40"/>
  <c r="AH13" i="40"/>
  <c r="AJ59" i="40"/>
  <c r="AJ78" i="40"/>
  <c r="AG77" i="40" l="1"/>
  <c r="AF2" i="40"/>
  <c r="AE2" i="40"/>
  <c r="AG5" i="40"/>
  <c r="AG6" i="40"/>
  <c r="AG31" i="40"/>
  <c r="AB51" i="40"/>
  <c r="AL51" i="40" s="1"/>
  <c r="AG56" i="40"/>
  <c r="AB53" i="40"/>
  <c r="AL53" i="40" s="1"/>
  <c r="AG48" i="40"/>
  <c r="AB34" i="40"/>
  <c r="AL34" i="40" s="1"/>
  <c r="AG58" i="40"/>
  <c r="AG30" i="40"/>
  <c r="AB6" i="40"/>
  <c r="AL6" i="40" s="1"/>
  <c r="AB23" i="40"/>
  <c r="AL23" i="40" s="1"/>
  <c r="AG35" i="40"/>
  <c r="AB54" i="40"/>
  <c r="AL54" i="40" s="1"/>
  <c r="AG19" i="40"/>
  <c r="AB56" i="40"/>
  <c r="AL56" i="40" s="1"/>
  <c r="AB57" i="40"/>
  <c r="AL57" i="40" s="1"/>
  <c r="AG42" i="40"/>
  <c r="AG76" i="40"/>
  <c r="AG79" i="40"/>
  <c r="AG50" i="40"/>
  <c r="AB25" i="40"/>
  <c r="AL25" i="40" s="1"/>
  <c r="AG16" i="40"/>
  <c r="AG52" i="40"/>
  <c r="AB42" i="40"/>
  <c r="AL42" i="40" s="1"/>
  <c r="AG29" i="40"/>
  <c r="R2" i="40"/>
  <c r="AH3" i="40"/>
  <c r="F18" i="12" s="1"/>
  <c r="AB36" i="40"/>
  <c r="AL36" i="40" s="1"/>
  <c r="AG37" i="40"/>
  <c r="AB59" i="40"/>
  <c r="AL59" i="40" s="1"/>
  <c r="AB39" i="40"/>
  <c r="AL39" i="40" s="1"/>
  <c r="AG23" i="40"/>
  <c r="AG47" i="40"/>
  <c r="AB18" i="40"/>
  <c r="AL18" i="40" s="1"/>
  <c r="AB17" i="40"/>
  <c r="AL17" i="40" s="1"/>
  <c r="AB29" i="40"/>
  <c r="AL29" i="40" s="1"/>
  <c r="AJ3" i="40"/>
  <c r="G18" i="12" s="1"/>
  <c r="AB55" i="40"/>
  <c r="AL55" i="40" s="1"/>
  <c r="AB48" i="40"/>
  <c r="AL48" i="40" s="1"/>
  <c r="AG40" i="40"/>
  <c r="AG27" i="40"/>
  <c r="Q2" i="40"/>
  <c r="I18" i="12" s="1"/>
  <c r="AB16" i="40"/>
  <c r="AL16" i="40" s="1"/>
  <c r="AB19" i="40"/>
  <c r="AL19" i="40" s="1"/>
  <c r="AC41" i="40"/>
  <c r="AG41" i="40" s="1"/>
  <c r="AB41" i="40"/>
  <c r="AL41" i="40" s="1"/>
  <c r="AG34" i="40"/>
  <c r="AB5" i="40"/>
  <c r="AL5" i="40" s="1"/>
  <c r="AB78" i="40"/>
  <c r="AL78" i="40" s="1"/>
  <c r="AB52" i="40"/>
  <c r="AL52" i="40" s="1"/>
  <c r="L2" i="40"/>
  <c r="AI3" i="40"/>
  <c r="L18" i="12" s="1"/>
  <c r="AG54" i="40"/>
  <c r="AC24" i="40"/>
  <c r="AG24" i="40" s="1"/>
  <c r="AB24" i="40"/>
  <c r="AL24" i="40" s="1"/>
  <c r="AB50" i="40"/>
  <c r="AL50" i="40" s="1"/>
  <c r="AG18" i="40"/>
  <c r="AB40" i="40"/>
  <c r="AL40" i="40" s="1"/>
  <c r="E18" i="12" l="1"/>
  <c r="J18" i="12"/>
  <c r="AC2" i="40"/>
  <c r="AG2" i="40"/>
  <c r="K18" i="12" s="1"/>
  <c r="M18" i="12" s="1"/>
  <c r="AL3" i="40"/>
  <c r="D73" i="24" l="1"/>
  <c r="E73" i="24" s="1"/>
  <c r="E71" i="24"/>
  <c r="I72" i="24"/>
  <c r="F68" i="24"/>
  <c r="E68" i="24"/>
  <c r="G68" i="24" s="1"/>
  <c r="D68" i="24"/>
  <c r="G67" i="24"/>
  <c r="I67" i="24" s="1"/>
  <c r="H64" i="24"/>
  <c r="I64" i="24" s="1"/>
  <c r="C7" i="39"/>
  <c r="E75" i="24" l="1"/>
  <c r="I73" i="24" s="1"/>
  <c r="I68" i="24"/>
  <c r="I69" i="24" s="1"/>
  <c r="I75" i="24" l="1"/>
  <c r="H16" i="12" l="1"/>
  <c r="L54" i="24"/>
  <c r="M24" i="39" l="1"/>
  <c r="F52" i="24"/>
  <c r="D52" i="24"/>
  <c r="E52" i="24"/>
  <c r="G52" i="24" s="1"/>
  <c r="G51" i="24"/>
  <c r="I51" i="24" s="1"/>
  <c r="H48" i="24"/>
  <c r="I48" i="24" s="1"/>
  <c r="L15" i="18"/>
  <c r="L14" i="18"/>
  <c r="AI35" i="38"/>
  <c r="AD35" i="38"/>
  <c r="Z35" i="38"/>
  <c r="AA35" i="38" s="1"/>
  <c r="O35" i="38"/>
  <c r="AF35" i="38" s="1"/>
  <c r="K35" i="38"/>
  <c r="AI34" i="38"/>
  <c r="AD34" i="38"/>
  <c r="AC34" i="38"/>
  <c r="Z34" i="38"/>
  <c r="AA34" i="38" s="1"/>
  <c r="O34" i="38"/>
  <c r="K34" i="38"/>
  <c r="AI33" i="38"/>
  <c r="AD33" i="38"/>
  <c r="AC33" i="38"/>
  <c r="Z33" i="38"/>
  <c r="O33" i="38"/>
  <c r="K33" i="38"/>
  <c r="AH33" i="38" s="1"/>
  <c r="AI32" i="38"/>
  <c r="AD32" i="38"/>
  <c r="AC32" i="38"/>
  <c r="Z32" i="38"/>
  <c r="O32" i="38"/>
  <c r="K32" i="38"/>
  <c r="AH32" i="38" s="1"/>
  <c r="AI31" i="38"/>
  <c r="AD31" i="38"/>
  <c r="AC31" i="38"/>
  <c r="Z31" i="38"/>
  <c r="AE31" i="38" s="1"/>
  <c r="O31" i="38"/>
  <c r="AF31" i="38" s="1"/>
  <c r="K31" i="38"/>
  <c r="AI30" i="38"/>
  <c r="AE30" i="38"/>
  <c r="AD30" i="38"/>
  <c r="AA30" i="38"/>
  <c r="S30" i="38"/>
  <c r="AC30" i="38" s="1"/>
  <c r="O30" i="38"/>
  <c r="K30" i="38"/>
  <c r="AI29" i="38"/>
  <c r="AE29" i="38"/>
  <c r="AD29" i="38"/>
  <c r="AA29" i="38"/>
  <c r="S29" i="38"/>
  <c r="AC29" i="38" s="1"/>
  <c r="O29" i="38"/>
  <c r="K29" i="38"/>
  <c r="AH29" i="38" s="1"/>
  <c r="AI28" i="38"/>
  <c r="AE28" i="38"/>
  <c r="AD28" i="38"/>
  <c r="AA28" i="38"/>
  <c r="S28" i="38"/>
  <c r="AC28" i="38" s="1"/>
  <c r="O28" i="38"/>
  <c r="K28" i="38"/>
  <c r="AH28" i="38" s="1"/>
  <c r="AI27" i="38"/>
  <c r="AE27" i="38"/>
  <c r="AD27" i="38"/>
  <c r="AA27" i="38"/>
  <c r="S27" i="38"/>
  <c r="AC27" i="38" s="1"/>
  <c r="O27" i="38"/>
  <c r="AF27" i="38" s="1"/>
  <c r="K27" i="38"/>
  <c r="AH27" i="38" s="1"/>
  <c r="AI26" i="38"/>
  <c r="AE26" i="38"/>
  <c r="AD26" i="38"/>
  <c r="AA26" i="38"/>
  <c r="S26" i="38"/>
  <c r="AC26" i="38" s="1"/>
  <c r="O26" i="38"/>
  <c r="K26" i="38"/>
  <c r="AH26" i="38" s="1"/>
  <c r="AI25" i="38"/>
  <c r="AE25" i="38"/>
  <c r="AD25" i="38"/>
  <c r="AA25" i="38"/>
  <c r="S25" i="38"/>
  <c r="AC25" i="38" s="1"/>
  <c r="O25" i="38"/>
  <c r="AF25" i="38" s="1"/>
  <c r="K25" i="38"/>
  <c r="AH25" i="38" s="1"/>
  <c r="AI24" i="38"/>
  <c r="AE24" i="38"/>
  <c r="AD24" i="38"/>
  <c r="AA24" i="38"/>
  <c r="S24" i="38"/>
  <c r="AC24" i="38" s="1"/>
  <c r="O24" i="38"/>
  <c r="K24" i="38"/>
  <c r="AH24" i="38" s="1"/>
  <c r="AI23" i="38"/>
  <c r="AD23" i="38"/>
  <c r="Z23" i="38"/>
  <c r="S23" i="38"/>
  <c r="AC23" i="38" s="1"/>
  <c r="O23" i="38"/>
  <c r="AF23" i="38" s="1"/>
  <c r="K23" i="38"/>
  <c r="AI22" i="38"/>
  <c r="AE22" i="38"/>
  <c r="AD22" i="38"/>
  <c r="AA22" i="38"/>
  <c r="S22" i="38"/>
  <c r="AC22" i="38" s="1"/>
  <c r="O22" i="38"/>
  <c r="AF22" i="38" s="1"/>
  <c r="K22" i="38"/>
  <c r="AH22" i="38" s="1"/>
  <c r="AI21" i="38"/>
  <c r="AE21" i="38"/>
  <c r="AD21" i="38"/>
  <c r="AA21" i="38"/>
  <c r="S21" i="38"/>
  <c r="O21" i="38"/>
  <c r="AF21" i="38" s="1"/>
  <c r="K21" i="38"/>
  <c r="AH21" i="38" s="1"/>
  <c r="AI20" i="38"/>
  <c r="AE20" i="38"/>
  <c r="AD20" i="38"/>
  <c r="AA20" i="38"/>
  <c r="S20" i="38"/>
  <c r="O20" i="38"/>
  <c r="AF20" i="38" s="1"/>
  <c r="K20" i="38"/>
  <c r="AI19" i="38"/>
  <c r="AE19" i="38"/>
  <c r="AD19" i="38"/>
  <c r="AA19" i="38"/>
  <c r="S19" i="38"/>
  <c r="AC19" i="38" s="1"/>
  <c r="O19" i="38"/>
  <c r="K19" i="38"/>
  <c r="AI18" i="38"/>
  <c r="AE18" i="38"/>
  <c r="AD18" i="38"/>
  <c r="AA18" i="38"/>
  <c r="S18" i="38"/>
  <c r="AC18" i="38" s="1"/>
  <c r="O18" i="38"/>
  <c r="K18" i="38"/>
  <c r="AH18" i="38" s="1"/>
  <c r="AI17" i="38"/>
  <c r="AE17" i="38"/>
  <c r="AD17" i="38"/>
  <c r="AA17" i="38"/>
  <c r="S17" i="38"/>
  <c r="AC17" i="38" s="1"/>
  <c r="O17" i="38"/>
  <c r="K17" i="38"/>
  <c r="AI16" i="38"/>
  <c r="AE16" i="38"/>
  <c r="AD16" i="38"/>
  <c r="AA16" i="38"/>
  <c r="S16" i="38"/>
  <c r="AC16" i="38" s="1"/>
  <c r="O16" i="38"/>
  <c r="AF16" i="38" s="1"/>
  <c r="K16" i="38"/>
  <c r="AI15" i="38"/>
  <c r="AE15" i="38"/>
  <c r="AD15" i="38"/>
  <c r="AA15" i="38"/>
  <c r="S15" i="38"/>
  <c r="AC15" i="38" s="1"/>
  <c r="O15" i="38"/>
  <c r="AF15" i="38" s="1"/>
  <c r="K15" i="38"/>
  <c r="AI14" i="38"/>
  <c r="AE14" i="38"/>
  <c r="AD14" i="38"/>
  <c r="AA14" i="38"/>
  <c r="S14" i="38"/>
  <c r="AC14" i="38" s="1"/>
  <c r="O14" i="38"/>
  <c r="K14" i="38"/>
  <c r="AI13" i="38"/>
  <c r="AD13" i="38"/>
  <c r="AC13" i="38"/>
  <c r="Z13" i="38"/>
  <c r="AE13" i="38" s="1"/>
  <c r="O13" i="38"/>
  <c r="AF13" i="38" s="1"/>
  <c r="K13" i="38"/>
  <c r="AI12" i="38"/>
  <c r="AE12" i="38"/>
  <c r="AD12" i="38"/>
  <c r="AC12" i="38"/>
  <c r="AA12" i="38"/>
  <c r="O12" i="38"/>
  <c r="K12" i="38"/>
  <c r="AH12" i="38" s="1"/>
  <c r="AI11" i="38"/>
  <c r="AE11" i="38"/>
  <c r="AD11" i="38"/>
  <c r="AC11" i="38"/>
  <c r="AA11" i="38"/>
  <c r="O11" i="38"/>
  <c r="AF11" i="38" s="1"/>
  <c r="K11" i="38"/>
  <c r="AL11" i="38" s="1"/>
  <c r="AI10" i="38"/>
  <c r="AD10" i="38"/>
  <c r="Z10" i="38"/>
  <c r="AA10" i="38" s="1"/>
  <c r="O10" i="38"/>
  <c r="K10" i="38"/>
  <c r="AH10" i="38" s="1"/>
  <c r="AI9" i="38"/>
  <c r="AD9" i="38"/>
  <c r="AC9" i="38"/>
  <c r="Z9" i="38"/>
  <c r="O9" i="38"/>
  <c r="K9" i="38"/>
  <c r="AH9" i="38" s="1"/>
  <c r="AI8" i="38"/>
  <c r="AD8" i="38"/>
  <c r="Z8" i="38"/>
  <c r="AE8" i="38" s="1"/>
  <c r="O8" i="38"/>
  <c r="K8" i="38"/>
  <c r="AH8" i="38" s="1"/>
  <c r="AI7" i="38"/>
  <c r="AD7" i="38"/>
  <c r="Z7" i="38"/>
  <c r="AE7" i="38" s="1"/>
  <c r="O7" i="38"/>
  <c r="K7" i="38"/>
  <c r="AH7" i="38" s="1"/>
  <c r="AI6" i="38"/>
  <c r="AD6" i="38"/>
  <c r="AC6" i="38"/>
  <c r="Z6" i="38"/>
  <c r="AE6" i="38" s="1"/>
  <c r="O6" i="38"/>
  <c r="K6" i="38"/>
  <c r="AH6" i="38" s="1"/>
  <c r="AI5" i="38"/>
  <c r="AD5" i="38"/>
  <c r="AC5" i="38"/>
  <c r="Z5" i="38"/>
  <c r="AA5" i="38" s="1"/>
  <c r="O5" i="38"/>
  <c r="AF5" i="38" s="1"/>
  <c r="K5" i="38"/>
  <c r="AH5" i="38" s="1"/>
  <c r="I2" i="38"/>
  <c r="C17" i="12" s="1"/>
  <c r="AJ31" i="38" l="1"/>
  <c r="AJ14" i="38"/>
  <c r="AJ30" i="38"/>
  <c r="I52" i="24"/>
  <c r="L52" i="24" s="1"/>
  <c r="L56" i="24" s="1"/>
  <c r="AB26" i="38"/>
  <c r="AL26" i="38" s="1"/>
  <c r="AG15" i="38"/>
  <c r="AJ29" i="38"/>
  <c r="AG31" i="38"/>
  <c r="AG25" i="38"/>
  <c r="AJ19" i="38"/>
  <c r="AB30" i="38"/>
  <c r="AL30" i="38" s="1"/>
  <c r="AJ25" i="38"/>
  <c r="AJ24" i="38"/>
  <c r="AJ8" i="38"/>
  <c r="AG16" i="38"/>
  <c r="AJ20" i="38"/>
  <c r="AH30" i="38"/>
  <c r="AJ10" i="38"/>
  <c r="AJ6" i="38"/>
  <c r="AB21" i="38"/>
  <c r="AL21" i="38" s="1"/>
  <c r="AH19" i="38"/>
  <c r="AB15" i="38"/>
  <c r="AL15" i="38" s="1"/>
  <c r="AJ21" i="38"/>
  <c r="AJ28" i="38"/>
  <c r="S7" i="38"/>
  <c r="AC7" i="38" s="1"/>
  <c r="AF7" i="38"/>
  <c r="AJ9" i="38"/>
  <c r="AH34" i="38"/>
  <c r="AJ34" i="38"/>
  <c r="AF6" i="38"/>
  <c r="AG6" i="38" s="1"/>
  <c r="AJ12" i="38"/>
  <c r="AH23" i="38"/>
  <c r="AJ23" i="38"/>
  <c r="AH11" i="38"/>
  <c r="AH17" i="38"/>
  <c r="AJ17" i="38"/>
  <c r="AB12" i="38"/>
  <c r="AL12" i="38" s="1"/>
  <c r="AF12" i="38"/>
  <c r="AG12" i="38" s="1"/>
  <c r="AE10" i="38"/>
  <c r="AC21" i="38"/>
  <c r="AG21" i="38" s="1"/>
  <c r="AA6" i="38"/>
  <c r="AB6" i="38" s="1"/>
  <c r="AL6" i="38" s="1"/>
  <c r="AH31" i="38"/>
  <c r="AF14" i="38"/>
  <c r="AG14" i="38" s="1"/>
  <c r="AB14" i="38"/>
  <c r="AL14" i="38" s="1"/>
  <c r="AE9" i="38"/>
  <c r="AA9" i="38"/>
  <c r="AB9" i="38" s="1"/>
  <c r="AL9" i="38" s="1"/>
  <c r="AJ13" i="38"/>
  <c r="AH13" i="38"/>
  <c r="AJ11" i="38"/>
  <c r="AG13" i="38"/>
  <c r="AF30" i="38"/>
  <c r="AG30" i="38" s="1"/>
  <c r="AE34" i="38"/>
  <c r="AE35" i="38"/>
  <c r="AA7" i="38"/>
  <c r="AH14" i="38"/>
  <c r="AF24" i="38"/>
  <c r="AG24" i="38" s="1"/>
  <c r="S10" i="38"/>
  <c r="AC10" i="38" s="1"/>
  <c r="AA13" i="38"/>
  <c r="AB13" i="38" s="1"/>
  <c r="AL13" i="38" s="1"/>
  <c r="AA31" i="38"/>
  <c r="AB31" i="38" s="1"/>
  <c r="AL31" i="38" s="1"/>
  <c r="AE5" i="38"/>
  <c r="AG5" i="38" s="1"/>
  <c r="AB25" i="38"/>
  <c r="AL25" i="38" s="1"/>
  <c r="AB20" i="38"/>
  <c r="AL20" i="38" s="1"/>
  <c r="AC20" i="38"/>
  <c r="AG20" i="38" s="1"/>
  <c r="AB27" i="38"/>
  <c r="AL27" i="38" s="1"/>
  <c r="AJ27" i="38"/>
  <c r="AF9" i="38"/>
  <c r="AJ35" i="38"/>
  <c r="AH35" i="38"/>
  <c r="AF19" i="38"/>
  <c r="AG19" i="38" s="1"/>
  <c r="AB19" i="38"/>
  <c r="AL19" i="38" s="1"/>
  <c r="AG27" i="38"/>
  <c r="AF32" i="38"/>
  <c r="AF33" i="38"/>
  <c r="K2" i="38"/>
  <c r="D17" i="12" s="1"/>
  <c r="AE33" i="38"/>
  <c r="AA33" i="38"/>
  <c r="AB33" i="38" s="1"/>
  <c r="AL33" i="38" s="1"/>
  <c r="AB5" i="38"/>
  <c r="AL5" i="38" s="1"/>
  <c r="AB18" i="38"/>
  <c r="AL18" i="38" s="1"/>
  <c r="AF18" i="38"/>
  <c r="AG18" i="38" s="1"/>
  <c r="AJ22" i="38"/>
  <c r="AF8" i="38"/>
  <c r="S8" i="38"/>
  <c r="AC8" i="38" s="1"/>
  <c r="AB29" i="38"/>
  <c r="AL29" i="38" s="1"/>
  <c r="AF29" i="38"/>
  <c r="AG29" i="38" s="1"/>
  <c r="AB34" i="38"/>
  <c r="AL34" i="38" s="1"/>
  <c r="AF34" i="38"/>
  <c r="AF10" i="38"/>
  <c r="AH15" i="38"/>
  <c r="AJ15" i="38"/>
  <c r="AA23" i="38"/>
  <c r="AB23" i="38" s="1"/>
  <c r="AL23" i="38" s="1"/>
  <c r="AE23" i="38"/>
  <c r="AG23" i="38" s="1"/>
  <c r="AF26" i="38"/>
  <c r="AG26" i="38" s="1"/>
  <c r="AA8" i="38"/>
  <c r="AJ18" i="38"/>
  <c r="AF28" i="38"/>
  <c r="AG28" i="38" s="1"/>
  <c r="AB28" i="38"/>
  <c r="AL28" i="38" s="1"/>
  <c r="AB17" i="38"/>
  <c r="AL17" i="38" s="1"/>
  <c r="AF17" i="38"/>
  <c r="AG17" i="38" s="1"/>
  <c r="AE32" i="38"/>
  <c r="AA32" i="38"/>
  <c r="AB32" i="38" s="1"/>
  <c r="AL32" i="38" s="1"/>
  <c r="AJ16" i="38"/>
  <c r="AH16" i="38"/>
  <c r="AJ33" i="38"/>
  <c r="AB16" i="38"/>
  <c r="AL16" i="38" s="1"/>
  <c r="AB22" i="38"/>
  <c r="AL22" i="38" s="1"/>
  <c r="AB24" i="38"/>
  <c r="AL24" i="38" s="1"/>
  <c r="AJ26" i="38"/>
  <c r="AJ32" i="38"/>
  <c r="AJ5" i="38"/>
  <c r="S35" i="38"/>
  <c r="AC35" i="38" s="1"/>
  <c r="AJ7" i="38"/>
  <c r="AG22" i="38"/>
  <c r="AH20" i="38"/>
  <c r="I53" i="24" l="1"/>
  <c r="AG7" i="38"/>
  <c r="AG9" i="38"/>
  <c r="AB8" i="38"/>
  <c r="AL8" i="38" s="1"/>
  <c r="AB7" i="38"/>
  <c r="AL7" i="38" s="1"/>
  <c r="AG32" i="38"/>
  <c r="AB10" i="38"/>
  <c r="AL10" i="38" s="1"/>
  <c r="AG10" i="38"/>
  <c r="AG33" i="38"/>
  <c r="AG35" i="38"/>
  <c r="AG8" i="38"/>
  <c r="AG34" i="38"/>
  <c r="R2" i="38"/>
  <c r="Q2" i="38"/>
  <c r="I17" i="12" s="1"/>
  <c r="AH3" i="38"/>
  <c r="F17" i="12" s="1"/>
  <c r="E17" i="12" s="1"/>
  <c r="L2" i="38"/>
  <c r="AI3" i="38"/>
  <c r="L17" i="12" s="1"/>
  <c r="AB35" i="38"/>
  <c r="AL35" i="38" s="1"/>
  <c r="AJ3" i="38"/>
  <c r="G17" i="12" s="1"/>
  <c r="J17" i="12" l="1"/>
  <c r="AG2" i="38"/>
  <c r="K17" i="12" s="1"/>
  <c r="M17" i="12" s="1"/>
  <c r="AL3" i="38"/>
  <c r="AI57" i="35" l="1"/>
  <c r="E48" i="18"/>
  <c r="H48" i="18" s="1"/>
  <c r="E47" i="18"/>
  <c r="H47" i="18" s="1"/>
  <c r="L37" i="24" l="1"/>
  <c r="AE27" i="4" l="1"/>
  <c r="AE31" i="4"/>
  <c r="AE32" i="4"/>
  <c r="AE33" i="4"/>
  <c r="AE34" i="4"/>
  <c r="AE35" i="4"/>
  <c r="AE36" i="4"/>
  <c r="AE37" i="4"/>
  <c r="AE38" i="4"/>
  <c r="AE39" i="4"/>
  <c r="AE40" i="4"/>
  <c r="AE41" i="4"/>
  <c r="AE65" i="4"/>
  <c r="AE66" i="4"/>
  <c r="AE67" i="4"/>
  <c r="AE68" i="4"/>
  <c r="AE69" i="4"/>
  <c r="AE70" i="4"/>
  <c r="AE71" i="4"/>
  <c r="AE72" i="4"/>
  <c r="AE47" i="20"/>
  <c r="AE43" i="20"/>
  <c r="AE40" i="20"/>
  <c r="AE27" i="20"/>
  <c r="AE26" i="20"/>
  <c r="AE25" i="20"/>
  <c r="AE24" i="20"/>
  <c r="AE23" i="20"/>
  <c r="AE8" i="20"/>
  <c r="AE7" i="20"/>
  <c r="H10" i="12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42" i="33"/>
  <c r="AI43" i="33"/>
  <c r="AI44" i="33"/>
  <c r="AI45" i="33"/>
  <c r="AI46" i="33"/>
  <c r="AI47" i="33"/>
  <c r="AI48" i="33"/>
  <c r="AI49" i="33"/>
  <c r="AI50" i="33"/>
  <c r="AI51" i="33"/>
  <c r="AI52" i="33"/>
  <c r="AI53" i="33"/>
  <c r="AI54" i="33"/>
  <c r="AI55" i="33"/>
  <c r="AI56" i="33"/>
  <c r="AI57" i="33"/>
  <c r="AI58" i="33"/>
  <c r="AI59" i="33"/>
  <c r="AI60" i="33"/>
  <c r="AI61" i="33"/>
  <c r="AI62" i="33"/>
  <c r="AI63" i="33"/>
  <c r="AI64" i="33"/>
  <c r="AI65" i="33"/>
  <c r="AI66" i="33"/>
  <c r="AI67" i="33"/>
  <c r="AI68" i="33"/>
  <c r="AI69" i="33"/>
  <c r="AI70" i="33"/>
  <c r="AI71" i="33"/>
  <c r="AI72" i="33"/>
  <c r="AI73" i="33"/>
  <c r="AI74" i="33"/>
  <c r="AI75" i="33"/>
  <c r="AI76" i="33"/>
  <c r="AI77" i="33"/>
  <c r="AI78" i="33"/>
  <c r="AI79" i="33"/>
  <c r="AI80" i="33"/>
  <c r="AI81" i="33"/>
  <c r="AE85" i="35" l="1"/>
  <c r="AE84" i="35"/>
  <c r="AE83" i="35"/>
  <c r="AE82" i="35"/>
  <c r="AE81" i="35"/>
  <c r="AE80" i="35"/>
  <c r="AE78" i="35"/>
  <c r="AE77" i="35"/>
  <c r="AE51" i="35"/>
  <c r="AE50" i="35"/>
  <c r="AE49" i="35"/>
  <c r="AE48" i="35"/>
  <c r="AE47" i="35"/>
  <c r="AE46" i="35"/>
  <c r="AE45" i="35"/>
  <c r="AE44" i="35"/>
  <c r="AE77" i="33"/>
  <c r="AE76" i="33"/>
  <c r="AE75" i="33"/>
  <c r="AE74" i="33"/>
  <c r="AE73" i="33"/>
  <c r="AE72" i="33"/>
  <c r="AE61" i="33"/>
  <c r="AE60" i="33"/>
  <c r="AE59" i="33"/>
  <c r="AE47" i="33"/>
  <c r="AE46" i="33"/>
  <c r="AE45" i="33"/>
  <c r="AE41" i="33"/>
  <c r="AE40" i="33"/>
  <c r="AE39" i="33"/>
  <c r="AE38" i="33"/>
  <c r="AE37" i="33"/>
  <c r="AE36" i="33"/>
  <c r="AE35" i="33"/>
  <c r="AE34" i="33"/>
  <c r="G34" i="24"/>
  <c r="AI84" i="35"/>
  <c r="AI85" i="35"/>
  <c r="AI80" i="35"/>
  <c r="AI81" i="35"/>
  <c r="AI82" i="35"/>
  <c r="AI83" i="35"/>
  <c r="K54" i="35"/>
  <c r="AJ54" i="35" s="1"/>
  <c r="O54" i="35"/>
  <c r="S54" i="35" s="1"/>
  <c r="Z54" i="35"/>
  <c r="AE54" i="35" s="1"/>
  <c r="AD54" i="35"/>
  <c r="AF54" i="35"/>
  <c r="AH54" i="35"/>
  <c r="AO54" i="35" s="1"/>
  <c r="AI54" i="35"/>
  <c r="K57" i="35"/>
  <c r="AH57" i="35" s="1"/>
  <c r="AO57" i="35" s="1"/>
  <c r="O57" i="35"/>
  <c r="AJ57" i="35" s="1"/>
  <c r="Z57" i="35"/>
  <c r="AE57" i="35" s="1"/>
  <c r="AC57" i="35"/>
  <c r="AD57" i="35"/>
  <c r="AF57" i="35"/>
  <c r="K80" i="35"/>
  <c r="AH80" i="35" s="1"/>
  <c r="AO80" i="35" s="1"/>
  <c r="O80" i="35"/>
  <c r="AA80" i="35"/>
  <c r="AC80" i="35"/>
  <c r="AD80" i="35"/>
  <c r="K81" i="35"/>
  <c r="AH81" i="35" s="1"/>
  <c r="AO81" i="35" s="1"/>
  <c r="O81" i="35"/>
  <c r="AF81" i="35" s="1"/>
  <c r="AA81" i="35"/>
  <c r="AC81" i="35"/>
  <c r="AD81" i="35"/>
  <c r="K82" i="35"/>
  <c r="AH82" i="35" s="1"/>
  <c r="AO82" i="35" s="1"/>
  <c r="O82" i="35"/>
  <c r="AA82" i="35"/>
  <c r="AC82" i="35"/>
  <c r="AD82" i="35"/>
  <c r="K83" i="35"/>
  <c r="AH83" i="35" s="1"/>
  <c r="AO83" i="35" s="1"/>
  <c r="O83" i="35"/>
  <c r="AA83" i="35"/>
  <c r="AC83" i="35"/>
  <c r="AD83" i="35"/>
  <c r="K84" i="35"/>
  <c r="AH84" i="35" s="1"/>
  <c r="AO84" i="35" s="1"/>
  <c r="O84" i="35"/>
  <c r="AA84" i="35"/>
  <c r="AC84" i="35"/>
  <c r="AD84" i="35"/>
  <c r="K85" i="35"/>
  <c r="O85" i="35"/>
  <c r="AF85" i="35" s="1"/>
  <c r="AA85" i="35"/>
  <c r="AC85" i="35"/>
  <c r="AD85" i="35"/>
  <c r="K53" i="35"/>
  <c r="AH53" i="35" s="1"/>
  <c r="AO53" i="35" s="1"/>
  <c r="O53" i="35"/>
  <c r="Z53" i="35"/>
  <c r="AE53" i="35" s="1"/>
  <c r="AA53" i="35"/>
  <c r="AC53" i="35"/>
  <c r="AD53" i="35"/>
  <c r="AI53" i="35"/>
  <c r="AI41" i="35"/>
  <c r="AI42" i="35"/>
  <c r="AI43" i="35"/>
  <c r="K41" i="35"/>
  <c r="O41" i="35"/>
  <c r="AF41" i="35" s="1"/>
  <c r="Z41" i="35"/>
  <c r="AE41" i="35" s="1"/>
  <c r="AD41" i="35"/>
  <c r="K42" i="35"/>
  <c r="AH42" i="35" s="1"/>
  <c r="AO42" i="35" s="1"/>
  <c r="O42" i="35"/>
  <c r="AF42" i="35" s="1"/>
  <c r="Z42" i="35"/>
  <c r="AA42" i="35" s="1"/>
  <c r="AD42" i="35"/>
  <c r="K43" i="35"/>
  <c r="AH43" i="35" s="1"/>
  <c r="AO43" i="35" s="1"/>
  <c r="O43" i="35"/>
  <c r="S43" i="35" s="1"/>
  <c r="AC43" i="35" s="1"/>
  <c r="Z43" i="35"/>
  <c r="AE43" i="35" s="1"/>
  <c r="AD43" i="35"/>
  <c r="AI34" i="35"/>
  <c r="K34" i="35"/>
  <c r="AH34" i="35" s="1"/>
  <c r="AO34" i="35" s="1"/>
  <c r="O34" i="35"/>
  <c r="AF34" i="35" s="1"/>
  <c r="Z34" i="35"/>
  <c r="AE34" i="35" s="1"/>
  <c r="AC34" i="35"/>
  <c r="AD34" i="35"/>
  <c r="AB80" i="35" l="1"/>
  <c r="AL80" i="35" s="1"/>
  <c r="AA57" i="35"/>
  <c r="AB57" i="35" s="1"/>
  <c r="AL57" i="35" s="1"/>
  <c r="AA54" i="35"/>
  <c r="AB81" i="35"/>
  <c r="AL81" i="35" s="1"/>
  <c r="AG57" i="35"/>
  <c r="AG34" i="35"/>
  <c r="AF80" i="35"/>
  <c r="AB53" i="35"/>
  <c r="AL53" i="35" s="1"/>
  <c r="AE42" i="35"/>
  <c r="AB82" i="35"/>
  <c r="AB54" i="35"/>
  <c r="AL54" i="35" s="1"/>
  <c r="AC54" i="35"/>
  <c r="AG54" i="35" s="1"/>
  <c r="AB83" i="35"/>
  <c r="AL83" i="35" s="1"/>
  <c r="AG81" i="35"/>
  <c r="AJ80" i="35"/>
  <c r="AG80" i="35"/>
  <c r="AF82" i="35"/>
  <c r="AG82" i="35" s="1"/>
  <c r="AB84" i="35"/>
  <c r="AL84" i="35" s="1"/>
  <c r="AG85" i="35"/>
  <c r="AF83" i="35"/>
  <c r="AG83" i="35" s="1"/>
  <c r="AF84" i="35"/>
  <c r="AG84" i="35" s="1"/>
  <c r="AL82" i="35"/>
  <c r="AJ85" i="35"/>
  <c r="AJ81" i="35"/>
  <c r="AJ82" i="35"/>
  <c r="AB85" i="35"/>
  <c r="AL85" i="35" s="1"/>
  <c r="AJ53" i="35"/>
  <c r="AJ84" i="35"/>
  <c r="AF53" i="35"/>
  <c r="AG53" i="35" s="1"/>
  <c r="AH85" i="35"/>
  <c r="AO85" i="35" s="1"/>
  <c r="AJ83" i="35"/>
  <c r="AA41" i="35"/>
  <c r="AJ41" i="35"/>
  <c r="AA34" i="35"/>
  <c r="AB34" i="35" s="1"/>
  <c r="AL34" i="35" s="1"/>
  <c r="S42" i="35"/>
  <c r="AC42" i="35" s="1"/>
  <c r="S41" i="35"/>
  <c r="AF43" i="35"/>
  <c r="AG43" i="35" s="1"/>
  <c r="AA43" i="35"/>
  <c r="AB43" i="35" s="1"/>
  <c r="AL43" i="35" s="1"/>
  <c r="AH41" i="35"/>
  <c r="AO41" i="35" s="1"/>
  <c r="AJ43" i="35"/>
  <c r="AJ42" i="35"/>
  <c r="AJ34" i="35"/>
  <c r="AG42" i="35" l="1"/>
  <c r="AB42" i="35"/>
  <c r="AL42" i="35" s="1"/>
  <c r="AB41" i="35"/>
  <c r="AL41" i="35" s="1"/>
  <c r="AC41" i="35"/>
  <c r="AG41" i="35" s="1"/>
  <c r="H31" i="24" l="1"/>
  <c r="I31" i="24" s="1"/>
  <c r="I34" i="24"/>
  <c r="F35" i="24"/>
  <c r="E35" i="24"/>
  <c r="G35" i="24" s="1"/>
  <c r="S78" i="35"/>
  <c r="K78" i="35"/>
  <c r="O77" i="35"/>
  <c r="S77" i="35" s="1"/>
  <c r="K77" i="35"/>
  <c r="S76" i="35"/>
  <c r="K76" i="35"/>
  <c r="O75" i="35"/>
  <c r="S75" i="35" s="1"/>
  <c r="K75" i="35"/>
  <c r="O74" i="35"/>
  <c r="S74" i="35" s="1"/>
  <c r="K74" i="35"/>
  <c r="O73" i="35"/>
  <c r="S73" i="35" s="1"/>
  <c r="K73" i="35"/>
  <c r="O72" i="35"/>
  <c r="S72" i="35" s="1"/>
  <c r="K72" i="35"/>
  <c r="O71" i="35"/>
  <c r="K71" i="35"/>
  <c r="O70" i="35"/>
  <c r="K70" i="35"/>
  <c r="O69" i="35"/>
  <c r="S69" i="35" s="1"/>
  <c r="K69" i="35"/>
  <c r="O68" i="35"/>
  <c r="S68" i="35" s="1"/>
  <c r="K68" i="35"/>
  <c r="O67" i="35"/>
  <c r="S67" i="35" s="1"/>
  <c r="K67" i="35"/>
  <c r="O66" i="35"/>
  <c r="S66" i="35" s="1"/>
  <c r="K66" i="35"/>
  <c r="O65" i="35"/>
  <c r="S65" i="35" s="1"/>
  <c r="K65" i="35"/>
  <c r="O64" i="35"/>
  <c r="S64" i="35" s="1"/>
  <c r="K64" i="35"/>
  <c r="O63" i="35"/>
  <c r="K63" i="35"/>
  <c r="O62" i="35"/>
  <c r="K62" i="35"/>
  <c r="O61" i="35"/>
  <c r="K61" i="35"/>
  <c r="O60" i="35"/>
  <c r="S60" i="35" s="1"/>
  <c r="K60" i="35"/>
  <c r="O59" i="35"/>
  <c r="S59" i="35" s="1"/>
  <c r="K59" i="35"/>
  <c r="O58" i="35"/>
  <c r="S58" i="35" s="1"/>
  <c r="K58" i="35"/>
  <c r="O79" i="35"/>
  <c r="S79" i="35" s="1"/>
  <c r="K79" i="35"/>
  <c r="O56" i="35"/>
  <c r="S56" i="35" s="1"/>
  <c r="K56" i="35"/>
  <c r="O55" i="35"/>
  <c r="S55" i="35" s="1"/>
  <c r="K55" i="35"/>
  <c r="O52" i="35"/>
  <c r="K52" i="35"/>
  <c r="O51" i="35"/>
  <c r="K51" i="35"/>
  <c r="O50" i="35"/>
  <c r="K50" i="35"/>
  <c r="O49" i="35"/>
  <c r="K49" i="35"/>
  <c r="O48" i="35"/>
  <c r="K48" i="35"/>
  <c r="O47" i="35"/>
  <c r="K47" i="35"/>
  <c r="O46" i="35"/>
  <c r="K46" i="35"/>
  <c r="O45" i="35"/>
  <c r="K45" i="35"/>
  <c r="O44" i="35"/>
  <c r="K44" i="35"/>
  <c r="S40" i="35"/>
  <c r="O40" i="35"/>
  <c r="K40" i="35"/>
  <c r="S39" i="35"/>
  <c r="O39" i="35"/>
  <c r="K39" i="35"/>
  <c r="S38" i="35"/>
  <c r="O38" i="35"/>
  <c r="K38" i="35"/>
  <c r="S37" i="35"/>
  <c r="O37" i="35"/>
  <c r="K37" i="35"/>
  <c r="O36" i="35"/>
  <c r="K36" i="35"/>
  <c r="O35" i="35"/>
  <c r="K35" i="35"/>
  <c r="O33" i="35"/>
  <c r="K33" i="35"/>
  <c r="O32" i="35"/>
  <c r="S32" i="35" s="1"/>
  <c r="K32" i="35"/>
  <c r="O31" i="35"/>
  <c r="K31" i="35"/>
  <c r="O30" i="35"/>
  <c r="K30" i="35"/>
  <c r="O29" i="35"/>
  <c r="K29" i="35"/>
  <c r="O28" i="35"/>
  <c r="K28" i="35"/>
  <c r="O27" i="35"/>
  <c r="K27" i="35"/>
  <c r="O26" i="35"/>
  <c r="K26" i="35"/>
  <c r="O25" i="35"/>
  <c r="K25" i="35"/>
  <c r="O24" i="35"/>
  <c r="K24" i="35"/>
  <c r="O23" i="35"/>
  <c r="S23" i="35" s="1"/>
  <c r="K23" i="35"/>
  <c r="O22" i="35"/>
  <c r="K22" i="35"/>
  <c r="O21" i="35"/>
  <c r="K21" i="35"/>
  <c r="O20" i="35"/>
  <c r="K20" i="35"/>
  <c r="O19" i="35"/>
  <c r="K19" i="35"/>
  <c r="O18" i="35"/>
  <c r="K18" i="35"/>
  <c r="O17" i="35"/>
  <c r="K17" i="35"/>
  <c r="O16" i="35"/>
  <c r="K16" i="35"/>
  <c r="O15" i="35"/>
  <c r="K15" i="35"/>
  <c r="O14" i="35"/>
  <c r="K14" i="35"/>
  <c r="K13" i="35"/>
  <c r="K12" i="35"/>
  <c r="O11" i="35"/>
  <c r="K11" i="35"/>
  <c r="O10" i="35"/>
  <c r="K10" i="35"/>
  <c r="O9" i="35"/>
  <c r="K9" i="35"/>
  <c r="O8" i="35"/>
  <c r="K8" i="35"/>
  <c r="O7" i="35"/>
  <c r="K7" i="35"/>
  <c r="O6" i="35"/>
  <c r="K6" i="35"/>
  <c r="O5" i="35"/>
  <c r="K5" i="35"/>
  <c r="I35" i="24" l="1"/>
  <c r="F33" i="24"/>
  <c r="N32" i="24"/>
  <c r="L35" i="24"/>
  <c r="K13" i="33" l="1"/>
  <c r="O13" i="33"/>
  <c r="AJ13" i="33" s="1"/>
  <c r="Z13" i="33"/>
  <c r="AC13" i="33"/>
  <c r="AD13" i="33"/>
  <c r="AF13" i="33"/>
  <c r="AH13" i="33"/>
  <c r="AI13" i="33"/>
  <c r="K14" i="33"/>
  <c r="AH14" i="33" s="1"/>
  <c r="O14" i="33"/>
  <c r="AJ14" i="33" s="1"/>
  <c r="Z14" i="33"/>
  <c r="AE14" i="33" s="1"/>
  <c r="AC14" i="33"/>
  <c r="AD14" i="33"/>
  <c r="AI14" i="33"/>
  <c r="AI78" i="35"/>
  <c r="AD78" i="35"/>
  <c r="AC78" i="35"/>
  <c r="AA78" i="35"/>
  <c r="AF78" i="35"/>
  <c r="AH78" i="35"/>
  <c r="AO78" i="35" s="1"/>
  <c r="AI77" i="35"/>
  <c r="AD77" i="35"/>
  <c r="AC77" i="35"/>
  <c r="AA77" i="35"/>
  <c r="AF77" i="35"/>
  <c r="AI76" i="35"/>
  <c r="AD76" i="35"/>
  <c r="Z76" i="35"/>
  <c r="AE76" i="35" s="1"/>
  <c r="AF76" i="35"/>
  <c r="AH76" i="35"/>
  <c r="AO76" i="35" s="1"/>
  <c r="AI75" i="35"/>
  <c r="AH75" i="35"/>
  <c r="AO75" i="35" s="1"/>
  <c r="AD75" i="35"/>
  <c r="AC75" i="35"/>
  <c r="Z75" i="35"/>
  <c r="AE75" i="35" s="1"/>
  <c r="AF75" i="35"/>
  <c r="AI74" i="35"/>
  <c r="AD74" i="35"/>
  <c r="Z74" i="35"/>
  <c r="AC74" i="35"/>
  <c r="AJ74" i="35"/>
  <c r="AI73" i="35"/>
  <c r="AD73" i="35"/>
  <c r="Z73" i="35"/>
  <c r="AE73" i="35" s="1"/>
  <c r="AF73" i="35"/>
  <c r="AH73" i="35"/>
  <c r="AO73" i="35" s="1"/>
  <c r="AI72" i="35"/>
  <c r="AD72" i="35"/>
  <c r="Z72" i="35"/>
  <c r="AE72" i="35" s="1"/>
  <c r="AF72" i="35"/>
  <c r="AJ72" i="35"/>
  <c r="AI71" i="35"/>
  <c r="AD71" i="35"/>
  <c r="Z71" i="35"/>
  <c r="AC71" i="35"/>
  <c r="AJ71" i="35"/>
  <c r="AI70" i="35"/>
  <c r="AD70" i="35"/>
  <c r="Z70" i="35"/>
  <c r="AH70" i="35"/>
  <c r="AO70" i="35" s="1"/>
  <c r="AI69" i="35"/>
  <c r="AD69" i="35"/>
  <c r="AC69" i="35"/>
  <c r="Z69" i="35"/>
  <c r="AE69" i="35" s="1"/>
  <c r="AJ69" i="35"/>
  <c r="AH69" i="35"/>
  <c r="AO69" i="35" s="1"/>
  <c r="AI68" i="35"/>
  <c r="AD68" i="35"/>
  <c r="Z68" i="35"/>
  <c r="AE68" i="35" s="1"/>
  <c r="AF68" i="35"/>
  <c r="AJ68" i="35"/>
  <c r="AI67" i="35"/>
  <c r="AD67" i="35"/>
  <c r="AC67" i="35"/>
  <c r="Z67" i="35"/>
  <c r="AE67" i="35" s="1"/>
  <c r="AF67" i="35"/>
  <c r="AH67" i="35"/>
  <c r="AO67" i="35" s="1"/>
  <c r="AI66" i="35"/>
  <c r="AD66" i="35"/>
  <c r="AC66" i="35"/>
  <c r="Z66" i="35"/>
  <c r="AF66" i="35"/>
  <c r="AJ66" i="35"/>
  <c r="AI65" i="35"/>
  <c r="AD65" i="35"/>
  <c r="Z65" i="35"/>
  <c r="AC65" i="35"/>
  <c r="AH65" i="35"/>
  <c r="AO65" i="35" s="1"/>
  <c r="AI64" i="35"/>
  <c r="AD64" i="35"/>
  <c r="AC64" i="35"/>
  <c r="Z64" i="35"/>
  <c r="AE64" i="35" s="1"/>
  <c r="AF64" i="35"/>
  <c r="AH64" i="35"/>
  <c r="AO64" i="35" s="1"/>
  <c r="AI63" i="35"/>
  <c r="AH63" i="35"/>
  <c r="AO63" i="35" s="1"/>
  <c r="AD63" i="35"/>
  <c r="AC63" i="35"/>
  <c r="Z63" i="35"/>
  <c r="AE63" i="35" s="1"/>
  <c r="AF63" i="35"/>
  <c r="AI62" i="35"/>
  <c r="AD62" i="35"/>
  <c r="Z62" i="35"/>
  <c r="AE62" i="35" s="1"/>
  <c r="AF62" i="35"/>
  <c r="AJ62" i="35"/>
  <c r="AI61" i="35"/>
  <c r="AD61" i="35"/>
  <c r="Z61" i="35"/>
  <c r="AF61" i="35"/>
  <c r="AH61" i="35"/>
  <c r="AO61" i="35" s="1"/>
  <c r="AI60" i="35"/>
  <c r="AD60" i="35"/>
  <c r="Z60" i="35"/>
  <c r="AF60" i="35"/>
  <c r="AI59" i="35"/>
  <c r="AD59" i="35"/>
  <c r="Z59" i="35"/>
  <c r="AE59" i="35" s="1"/>
  <c r="AF59" i="35"/>
  <c r="AH59" i="35"/>
  <c r="AO59" i="35" s="1"/>
  <c r="AI58" i="35"/>
  <c r="AD58" i="35"/>
  <c r="Z58" i="35"/>
  <c r="AE58" i="35" s="1"/>
  <c r="AF58" i="35"/>
  <c r="AH58" i="35"/>
  <c r="AO58" i="35" s="1"/>
  <c r="AI79" i="35"/>
  <c r="AD79" i="35"/>
  <c r="Z79" i="35"/>
  <c r="AE79" i="35" s="1"/>
  <c r="AF79" i="35"/>
  <c r="AH79" i="35"/>
  <c r="AO79" i="35" s="1"/>
  <c r="AI56" i="35"/>
  <c r="AD56" i="35"/>
  <c r="Z56" i="35"/>
  <c r="AE56" i="35" s="1"/>
  <c r="AC56" i="35"/>
  <c r="AI55" i="35"/>
  <c r="AD55" i="35"/>
  <c r="Z55" i="35"/>
  <c r="AC55" i="35"/>
  <c r="AH55" i="35"/>
  <c r="AO55" i="35" s="1"/>
  <c r="AI52" i="35"/>
  <c r="AH52" i="35"/>
  <c r="AO52" i="35" s="1"/>
  <c r="AD52" i="35"/>
  <c r="Z52" i="35"/>
  <c r="AC52" i="35"/>
  <c r="AI51" i="35"/>
  <c r="AD51" i="35"/>
  <c r="AA51" i="35"/>
  <c r="AC51" i="35"/>
  <c r="AH51" i="35"/>
  <c r="AO51" i="35" s="1"/>
  <c r="AI50" i="35"/>
  <c r="AD50" i="35"/>
  <c r="AA50" i="35"/>
  <c r="AC50" i="35"/>
  <c r="AF50" i="35"/>
  <c r="AJ50" i="35"/>
  <c r="AI49" i="35"/>
  <c r="AD49" i="35"/>
  <c r="AA49" i="35"/>
  <c r="AC49" i="35"/>
  <c r="AH49" i="35"/>
  <c r="AO49" i="35" s="1"/>
  <c r="AI48" i="35"/>
  <c r="AD48" i="35"/>
  <c r="AA48" i="35"/>
  <c r="AC48" i="35"/>
  <c r="AF48" i="35"/>
  <c r="AI47" i="35"/>
  <c r="AD47" i="35"/>
  <c r="AA47" i="35"/>
  <c r="AC47" i="35"/>
  <c r="AF47" i="35"/>
  <c r="AH47" i="35"/>
  <c r="AO47" i="35" s="1"/>
  <c r="AI46" i="35"/>
  <c r="AD46" i="35"/>
  <c r="AA46" i="35"/>
  <c r="AC46" i="35"/>
  <c r="AF46" i="35"/>
  <c r="AI45" i="35"/>
  <c r="AD45" i="35"/>
  <c r="AA45" i="35"/>
  <c r="AB45" i="35" s="1"/>
  <c r="AC45" i="35"/>
  <c r="AJ45" i="35"/>
  <c r="AI44" i="35"/>
  <c r="AD44" i="35"/>
  <c r="AA44" i="35"/>
  <c r="AC44" i="35"/>
  <c r="AF44" i="35"/>
  <c r="AI40" i="35"/>
  <c r="AH40" i="35"/>
  <c r="AO40" i="35" s="1"/>
  <c r="AD40" i="35"/>
  <c r="AC40" i="35"/>
  <c r="Z40" i="35"/>
  <c r="AF40" i="35"/>
  <c r="AI39" i="35"/>
  <c r="AH39" i="35"/>
  <c r="AO39" i="35" s="1"/>
  <c r="AD39" i="35"/>
  <c r="AC39" i="35"/>
  <c r="Z39" i="35"/>
  <c r="AE39" i="35" s="1"/>
  <c r="AF39" i="35"/>
  <c r="AI38" i="35"/>
  <c r="AD38" i="35"/>
  <c r="AC38" i="35"/>
  <c r="Z38" i="35"/>
  <c r="AE38" i="35" s="1"/>
  <c r="AF38" i="35"/>
  <c r="AI37" i="35"/>
  <c r="AD37" i="35"/>
  <c r="AC37" i="35"/>
  <c r="Z37" i="35"/>
  <c r="AE37" i="35" s="1"/>
  <c r="AF37" i="35"/>
  <c r="AH37" i="35"/>
  <c r="AO37" i="35" s="1"/>
  <c r="AI36" i="35"/>
  <c r="AD36" i="35"/>
  <c r="AC36" i="35"/>
  <c r="Z36" i="35"/>
  <c r="AF36" i="35"/>
  <c r="AI35" i="35"/>
  <c r="AD35" i="35"/>
  <c r="AC35" i="35"/>
  <c r="Z35" i="35"/>
  <c r="AF35" i="35"/>
  <c r="AI33" i="35"/>
  <c r="AD33" i="35"/>
  <c r="AC33" i="35"/>
  <c r="Z33" i="35"/>
  <c r="AH33" i="35"/>
  <c r="AO33" i="35" s="1"/>
  <c r="AI32" i="35"/>
  <c r="AH32" i="35"/>
  <c r="AO32" i="35" s="1"/>
  <c r="AD32" i="35"/>
  <c r="AC32" i="35"/>
  <c r="Z32" i="35"/>
  <c r="AE32" i="35" s="1"/>
  <c r="AF32" i="35"/>
  <c r="AI31" i="35"/>
  <c r="AD31" i="35"/>
  <c r="AC31" i="35"/>
  <c r="Z31" i="35"/>
  <c r="AE31" i="35" s="1"/>
  <c r="AJ31" i="35"/>
  <c r="AI30" i="35"/>
  <c r="AD30" i="35"/>
  <c r="AC30" i="35"/>
  <c r="Z30" i="35"/>
  <c r="AH30" i="35"/>
  <c r="AO30" i="35" s="1"/>
  <c r="AI29" i="35"/>
  <c r="AH29" i="35"/>
  <c r="AO29" i="35" s="1"/>
  <c r="AF29" i="35"/>
  <c r="AD29" i="35"/>
  <c r="AC29" i="35"/>
  <c r="Z29" i="35"/>
  <c r="AE29" i="35" s="1"/>
  <c r="AI28" i="35"/>
  <c r="AD28" i="35"/>
  <c r="AC28" i="35"/>
  <c r="Z28" i="35"/>
  <c r="AE28" i="35" s="1"/>
  <c r="AF28" i="35"/>
  <c r="AJ28" i="35"/>
  <c r="AI27" i="35"/>
  <c r="AD27" i="35"/>
  <c r="AC27" i="35"/>
  <c r="Z27" i="35"/>
  <c r="AH27" i="35"/>
  <c r="AO27" i="35" s="1"/>
  <c r="AI26" i="35"/>
  <c r="AD26" i="35"/>
  <c r="AC26" i="35"/>
  <c r="Z26" i="35"/>
  <c r="AH26" i="35"/>
  <c r="AO26" i="35" s="1"/>
  <c r="AI25" i="35"/>
  <c r="AH25" i="35"/>
  <c r="AO25" i="35" s="1"/>
  <c r="AD25" i="35"/>
  <c r="AC25" i="35"/>
  <c r="Z25" i="35"/>
  <c r="AE25" i="35" s="1"/>
  <c r="AF25" i="35"/>
  <c r="AJ25" i="35"/>
  <c r="AI24" i="35"/>
  <c r="AD24" i="35"/>
  <c r="AC24" i="35"/>
  <c r="Z24" i="35"/>
  <c r="AE24" i="35" s="1"/>
  <c r="AF24" i="35"/>
  <c r="AI23" i="35"/>
  <c r="AF23" i="35"/>
  <c r="AD23" i="35"/>
  <c r="AC23" i="35"/>
  <c r="Z23" i="35"/>
  <c r="AE23" i="35" s="1"/>
  <c r="AI22" i="35"/>
  <c r="AH22" i="35"/>
  <c r="AO22" i="35" s="1"/>
  <c r="AD22" i="35"/>
  <c r="AC22" i="35"/>
  <c r="Z22" i="35"/>
  <c r="AE22" i="35" s="1"/>
  <c r="AF22" i="35"/>
  <c r="AJ22" i="35"/>
  <c r="AI21" i="35"/>
  <c r="AD21" i="35"/>
  <c r="AC21" i="35"/>
  <c r="Z21" i="35"/>
  <c r="AF21" i="35"/>
  <c r="AJ21" i="35"/>
  <c r="AI20" i="35"/>
  <c r="AH20" i="35"/>
  <c r="AO20" i="35" s="1"/>
  <c r="AD20" i="35"/>
  <c r="AC20" i="35"/>
  <c r="Z20" i="35"/>
  <c r="AE20" i="35" s="1"/>
  <c r="AI19" i="35"/>
  <c r="AD19" i="35"/>
  <c r="AC19" i="35"/>
  <c r="Z19" i="35"/>
  <c r="AE19" i="35" s="1"/>
  <c r="AF19" i="35"/>
  <c r="AJ19" i="35"/>
  <c r="AJ18" i="35"/>
  <c r="AI18" i="35"/>
  <c r="AD18" i="35"/>
  <c r="AC18" i="35"/>
  <c r="Z18" i="35"/>
  <c r="AE18" i="35" s="1"/>
  <c r="AF18" i="35"/>
  <c r="AH18" i="35"/>
  <c r="AO18" i="35" s="1"/>
  <c r="AI17" i="35"/>
  <c r="AD17" i="35"/>
  <c r="AC17" i="35"/>
  <c r="Z17" i="35"/>
  <c r="AH17" i="35"/>
  <c r="AO17" i="35" s="1"/>
  <c r="AI16" i="35"/>
  <c r="AD16" i="35"/>
  <c r="AC16" i="35"/>
  <c r="Z16" i="35"/>
  <c r="AF16" i="35"/>
  <c r="AJ16" i="35"/>
  <c r="AI15" i="35"/>
  <c r="AD15" i="35"/>
  <c r="AC15" i="35"/>
  <c r="Z15" i="35"/>
  <c r="AF15" i="35"/>
  <c r="AH15" i="35"/>
  <c r="AO15" i="35" s="1"/>
  <c r="AI14" i="35"/>
  <c r="AH14" i="35"/>
  <c r="AO14" i="35" s="1"/>
  <c r="AD14" i="35"/>
  <c r="AC14" i="35"/>
  <c r="Z14" i="35"/>
  <c r="AE14" i="35" s="1"/>
  <c r="AI13" i="35"/>
  <c r="AD13" i="35"/>
  <c r="AC13" i="35"/>
  <c r="Z13" i="35"/>
  <c r="AE13" i="35" s="1"/>
  <c r="AF13" i="35"/>
  <c r="AJ13" i="35"/>
  <c r="AI12" i="35"/>
  <c r="AD12" i="35"/>
  <c r="AC12" i="35"/>
  <c r="Z12" i="35"/>
  <c r="AE12" i="35" s="1"/>
  <c r="AF12" i="35"/>
  <c r="AH12" i="35"/>
  <c r="AO12" i="35" s="1"/>
  <c r="AI11" i="35"/>
  <c r="AD11" i="35"/>
  <c r="AC11" i="35"/>
  <c r="Z11" i="35"/>
  <c r="AE11" i="35" s="1"/>
  <c r="AH11" i="35"/>
  <c r="AO11" i="35" s="1"/>
  <c r="AI10" i="35"/>
  <c r="AD10" i="35"/>
  <c r="AC10" i="35"/>
  <c r="Z10" i="35"/>
  <c r="AE10" i="35" s="1"/>
  <c r="AF10" i="35"/>
  <c r="AI9" i="35"/>
  <c r="AD9" i="35"/>
  <c r="AC9" i="35"/>
  <c r="Z9" i="35"/>
  <c r="AI8" i="35"/>
  <c r="AD8" i="35"/>
  <c r="AC8" i="35"/>
  <c r="Z8" i="35"/>
  <c r="AJ8" i="35"/>
  <c r="AI7" i="35"/>
  <c r="AD7" i="35"/>
  <c r="AC7" i="35"/>
  <c r="Z7" i="35"/>
  <c r="AE7" i="35" s="1"/>
  <c r="AF7" i="35"/>
  <c r="AH7" i="35"/>
  <c r="AO7" i="35" s="1"/>
  <c r="AI6" i="35"/>
  <c r="AD6" i="35"/>
  <c r="AC6" i="35"/>
  <c r="Z6" i="35"/>
  <c r="AE6" i="35" s="1"/>
  <c r="AF6" i="35"/>
  <c r="AJ6" i="35"/>
  <c r="AI5" i="35"/>
  <c r="AD5" i="35"/>
  <c r="AC5" i="35"/>
  <c r="Z5" i="35"/>
  <c r="AE5" i="35" s="1"/>
  <c r="AF5" i="35"/>
  <c r="AJ5" i="35"/>
  <c r="I2" i="35"/>
  <c r="C16" i="12" s="1"/>
  <c r="AG24" i="35" l="1"/>
  <c r="AG48" i="35"/>
  <c r="AG63" i="35"/>
  <c r="AG18" i="35"/>
  <c r="AG29" i="35"/>
  <c r="AG44" i="35"/>
  <c r="AA55" i="35"/>
  <c r="AE55" i="35"/>
  <c r="AG46" i="35"/>
  <c r="AG10" i="35"/>
  <c r="AA27" i="35"/>
  <c r="AB27" i="35" s="1"/>
  <c r="AE27" i="35"/>
  <c r="AG39" i="35"/>
  <c r="AA74" i="35"/>
  <c r="AE74" i="35"/>
  <c r="AG5" i="35"/>
  <c r="AA17" i="35"/>
  <c r="AB17" i="35" s="1"/>
  <c r="AL17" i="35" s="1"/>
  <c r="AE17" i="35"/>
  <c r="AA21" i="35"/>
  <c r="AB21" i="35" s="1"/>
  <c r="AL21" i="35" s="1"/>
  <c r="AE21" i="35"/>
  <c r="AG21" i="35" s="1"/>
  <c r="AG23" i="35"/>
  <c r="AG25" i="35"/>
  <c r="AA35" i="35"/>
  <c r="AE35" i="35"/>
  <c r="AG37" i="35"/>
  <c r="AA71" i="35"/>
  <c r="AB71" i="35" s="1"/>
  <c r="AL71" i="35" s="1"/>
  <c r="AE71" i="35"/>
  <c r="AG7" i="35"/>
  <c r="AA60" i="35"/>
  <c r="AE60" i="35"/>
  <c r="AG35" i="35"/>
  <c r="AG47" i="35"/>
  <c r="AA61" i="35"/>
  <c r="AE61" i="35"/>
  <c r="AF14" i="33"/>
  <c r="AG14" i="33" s="1"/>
  <c r="AG22" i="35"/>
  <c r="AA8" i="35"/>
  <c r="AB8" i="35" s="1"/>
  <c r="AL8" i="35" s="1"/>
  <c r="AE8" i="35"/>
  <c r="AG6" i="35"/>
  <c r="AG19" i="35"/>
  <c r="AG32" i="35"/>
  <c r="AA70" i="35"/>
  <c r="AE70" i="35"/>
  <c r="AA30" i="35"/>
  <c r="AB30" i="35" s="1"/>
  <c r="AL30" i="35" s="1"/>
  <c r="AE30" i="35"/>
  <c r="AA40" i="35"/>
  <c r="AE40" i="35"/>
  <c r="AA52" i="35"/>
  <c r="AB52" i="35" s="1"/>
  <c r="AL52" i="35" s="1"/>
  <c r="AE52" i="35"/>
  <c r="AA13" i="33"/>
  <c r="AB13" i="33" s="1"/>
  <c r="AL13" i="33" s="1"/>
  <c r="AE13" i="33"/>
  <c r="AG13" i="33" s="1"/>
  <c r="AA16" i="35"/>
  <c r="AB16" i="35" s="1"/>
  <c r="AL16" i="35" s="1"/>
  <c r="AE16" i="35"/>
  <c r="AG16" i="35" s="1"/>
  <c r="AA33" i="35"/>
  <c r="AB33" i="35" s="1"/>
  <c r="AL33" i="35" s="1"/>
  <c r="AE33" i="35"/>
  <c r="AA65" i="35"/>
  <c r="AB65" i="35" s="1"/>
  <c r="AL65" i="35" s="1"/>
  <c r="AE65" i="35"/>
  <c r="AA15" i="35"/>
  <c r="AE15" i="35"/>
  <c r="AG15" i="35" s="1"/>
  <c r="AA9" i="35"/>
  <c r="AB9" i="35" s="1"/>
  <c r="AL9" i="35" s="1"/>
  <c r="AE9" i="35"/>
  <c r="AG40" i="35"/>
  <c r="AA66" i="35"/>
  <c r="AE66" i="35"/>
  <c r="AG13" i="35"/>
  <c r="AA26" i="35"/>
  <c r="AB26" i="35" s="1"/>
  <c r="AE26" i="35"/>
  <c r="AG28" i="35"/>
  <c r="AA36" i="35"/>
  <c r="AE36" i="35"/>
  <c r="AG36" i="35" s="1"/>
  <c r="AG38" i="35"/>
  <c r="AG50" i="35"/>
  <c r="AA14" i="33"/>
  <c r="AB14" i="33" s="1"/>
  <c r="AL14" i="33" s="1"/>
  <c r="AG12" i="35"/>
  <c r="AA62" i="35"/>
  <c r="AA39" i="35"/>
  <c r="AB39" i="35" s="1"/>
  <c r="AL39" i="35" s="1"/>
  <c r="AJ32" i="35"/>
  <c r="AJ36" i="35"/>
  <c r="AF56" i="35"/>
  <c r="AG56" i="35" s="1"/>
  <c r="AJ52" i="35"/>
  <c r="AJ33" i="35"/>
  <c r="AJ30" i="35"/>
  <c r="AJ35" i="35"/>
  <c r="AJ60" i="35"/>
  <c r="AJ73" i="35"/>
  <c r="AJ12" i="35"/>
  <c r="AF17" i="35"/>
  <c r="AJ55" i="35"/>
  <c r="AJ56" i="35"/>
  <c r="AB35" i="35"/>
  <c r="AL35" i="35" s="1"/>
  <c r="AF55" i="35"/>
  <c r="AJ59" i="35"/>
  <c r="AJ63" i="35"/>
  <c r="AJ67" i="35"/>
  <c r="AJ17" i="35"/>
  <c r="AJ7" i="35"/>
  <c r="AF33" i="35"/>
  <c r="AJ10" i="35"/>
  <c r="AJ38" i="35"/>
  <c r="AJ44" i="35"/>
  <c r="AJ15" i="35"/>
  <c r="AH62" i="35"/>
  <c r="AO62" i="35" s="1"/>
  <c r="AH36" i="35"/>
  <c r="AO36" i="35" s="1"/>
  <c r="AH56" i="35"/>
  <c r="AO56" i="35" s="1"/>
  <c r="AH16" i="35"/>
  <c r="AO16" i="35" s="1"/>
  <c r="AJ20" i="35"/>
  <c r="AH72" i="35"/>
  <c r="AO72" i="35" s="1"/>
  <c r="AJ14" i="35"/>
  <c r="AH21" i="35"/>
  <c r="AO21" i="35" s="1"/>
  <c r="AL27" i="35"/>
  <c r="AH35" i="35"/>
  <c r="AO35" i="35" s="1"/>
  <c r="AJ70" i="35"/>
  <c r="AA28" i="35"/>
  <c r="AB28" i="35" s="1"/>
  <c r="AL28" i="35" s="1"/>
  <c r="AC58" i="35"/>
  <c r="AG58" i="35" s="1"/>
  <c r="AA13" i="35"/>
  <c r="AB13" i="35" s="1"/>
  <c r="AL13" i="35" s="1"/>
  <c r="AA23" i="35"/>
  <c r="AB23" i="35" s="1"/>
  <c r="AL23" i="35" s="1"/>
  <c r="AA37" i="35"/>
  <c r="AB37" i="35" s="1"/>
  <c r="AL37" i="35" s="1"/>
  <c r="AC79" i="35"/>
  <c r="AG79" i="35" s="1"/>
  <c r="AA18" i="35"/>
  <c r="AB18" i="35" s="1"/>
  <c r="AL18" i="35" s="1"/>
  <c r="AH38" i="35"/>
  <c r="AO38" i="35" s="1"/>
  <c r="AB36" i="35"/>
  <c r="AL36" i="35" s="1"/>
  <c r="AA56" i="35"/>
  <c r="AB56" i="35" s="1"/>
  <c r="AL56" i="35" s="1"/>
  <c r="AH68" i="35"/>
  <c r="AO68" i="35" s="1"/>
  <c r="AH74" i="35"/>
  <c r="AO74" i="35" s="1"/>
  <c r="AC61" i="35"/>
  <c r="AL45" i="35"/>
  <c r="AB61" i="35"/>
  <c r="AL61" i="35" s="1"/>
  <c r="AF20" i="35"/>
  <c r="AG20" i="35" s="1"/>
  <c r="AF14" i="35"/>
  <c r="AG14" i="35" s="1"/>
  <c r="AG66" i="35"/>
  <c r="AB44" i="35"/>
  <c r="AL44" i="35" s="1"/>
  <c r="AA64" i="35"/>
  <c r="AB64" i="35" s="1"/>
  <c r="AL64" i="35" s="1"/>
  <c r="AH66" i="35"/>
  <c r="AO66" i="35" s="1"/>
  <c r="AH71" i="35"/>
  <c r="AO71" i="35" s="1"/>
  <c r="AC73" i="35"/>
  <c r="AG73" i="35" s="1"/>
  <c r="AH13" i="35"/>
  <c r="AO13" i="35" s="1"/>
  <c r="AH19" i="35"/>
  <c r="AO19" i="35" s="1"/>
  <c r="AJ27" i="35"/>
  <c r="AH45" i="35"/>
  <c r="AO45" i="35" s="1"/>
  <c r="AH60" i="35"/>
  <c r="AO60" i="35" s="1"/>
  <c r="AA63" i="35"/>
  <c r="AB63" i="35" s="1"/>
  <c r="AL63" i="35" s="1"/>
  <c r="AG64" i="35"/>
  <c r="AA14" i="35"/>
  <c r="AB14" i="35" s="1"/>
  <c r="AL14" i="35" s="1"/>
  <c r="AA24" i="35"/>
  <c r="AB24" i="35" s="1"/>
  <c r="AL24" i="35" s="1"/>
  <c r="AA38" i="35"/>
  <c r="AB38" i="35" s="1"/>
  <c r="AL38" i="35" s="1"/>
  <c r="AA19" i="35"/>
  <c r="AB19" i="35" s="1"/>
  <c r="AL19" i="35" s="1"/>
  <c r="AF27" i="35"/>
  <c r="AB50" i="35"/>
  <c r="AL50" i="35" s="1"/>
  <c r="AJ58" i="35"/>
  <c r="AH28" i="35"/>
  <c r="AO28" i="35" s="1"/>
  <c r="AH31" i="35"/>
  <c r="AO31" i="35" s="1"/>
  <c r="AF45" i="35"/>
  <c r="AG45" i="35" s="1"/>
  <c r="AF26" i="35"/>
  <c r="AG26" i="35" s="1"/>
  <c r="AJ29" i="35"/>
  <c r="AJ39" i="35"/>
  <c r="AB55" i="35"/>
  <c r="AL55" i="35" s="1"/>
  <c r="AF65" i="35"/>
  <c r="AJ75" i="35"/>
  <c r="AL26" i="35"/>
  <c r="AJ79" i="35"/>
  <c r="AH10" i="35"/>
  <c r="AO10" i="35" s="1"/>
  <c r="AB15" i="35"/>
  <c r="AL15" i="35" s="1"/>
  <c r="AH5" i="35"/>
  <c r="AO5" i="35" s="1"/>
  <c r="AJ26" i="35"/>
  <c r="AF30" i="35"/>
  <c r="AJ37" i="35"/>
  <c r="AH44" i="35"/>
  <c r="AO44" i="35" s="1"/>
  <c r="AH50" i="35"/>
  <c r="AO50" i="35" s="1"/>
  <c r="AJ61" i="35"/>
  <c r="AJ65" i="35"/>
  <c r="AH77" i="35"/>
  <c r="AO77" i="35" s="1"/>
  <c r="AJ77" i="35"/>
  <c r="AF9" i="35"/>
  <c r="AA79" i="35"/>
  <c r="AF11" i="35"/>
  <c r="AG11" i="35" s="1"/>
  <c r="AJ11" i="35"/>
  <c r="AB49" i="35"/>
  <c r="AL49" i="35" s="1"/>
  <c r="AF49" i="35"/>
  <c r="AG49" i="35" s="1"/>
  <c r="AJ49" i="35"/>
  <c r="AA22" i="35"/>
  <c r="AB22" i="35" s="1"/>
  <c r="AL22" i="35" s="1"/>
  <c r="AA58" i="35"/>
  <c r="AA59" i="35"/>
  <c r="AH9" i="35"/>
  <c r="AO9" i="35" s="1"/>
  <c r="AJ9" i="35"/>
  <c r="AA12" i="35"/>
  <c r="AB12" i="35" s="1"/>
  <c r="AL12" i="35" s="1"/>
  <c r="AA11" i="35"/>
  <c r="AB11" i="35" s="1"/>
  <c r="AL11" i="35" s="1"/>
  <c r="K2" i="35"/>
  <c r="D16" i="12" s="1"/>
  <c r="AH48" i="35"/>
  <c r="AO48" i="35" s="1"/>
  <c r="AJ48" i="35"/>
  <c r="AA20" i="35"/>
  <c r="AB20" i="35" s="1"/>
  <c r="AL20" i="35" s="1"/>
  <c r="AB51" i="35"/>
  <c r="AL51" i="35" s="1"/>
  <c r="AF51" i="35"/>
  <c r="AG51" i="35" s="1"/>
  <c r="AA7" i="35"/>
  <c r="AB7" i="35" s="1"/>
  <c r="AL7" i="35" s="1"/>
  <c r="AH46" i="35"/>
  <c r="AO46" i="35" s="1"/>
  <c r="AJ46" i="35"/>
  <c r="AC70" i="35"/>
  <c r="AC76" i="35"/>
  <c r="AG76" i="35" s="1"/>
  <c r="AB77" i="35"/>
  <c r="AL77" i="35" s="1"/>
  <c r="AF69" i="35"/>
  <c r="AG69" i="35" s="1"/>
  <c r="AC68" i="35"/>
  <c r="AG68" i="35" s="1"/>
  <c r="AA72" i="35"/>
  <c r="AA69" i="35"/>
  <c r="AB69" i="35" s="1"/>
  <c r="AL69" i="35" s="1"/>
  <c r="AG75" i="35"/>
  <c r="AA68" i="35"/>
  <c r="AH24" i="35"/>
  <c r="AO24" i="35" s="1"/>
  <c r="AJ24" i="35"/>
  <c r="AA67" i="35"/>
  <c r="AB67" i="35" s="1"/>
  <c r="AL67" i="35" s="1"/>
  <c r="AJ23" i="35"/>
  <c r="AH23" i="35"/>
  <c r="AO23" i="35" s="1"/>
  <c r="AJ64" i="35"/>
  <c r="AF74" i="35"/>
  <c r="AA10" i="35"/>
  <c r="AB10" i="35" s="1"/>
  <c r="AL10" i="35" s="1"/>
  <c r="AB48" i="35"/>
  <c r="AL48" i="35" s="1"/>
  <c r="AA75" i="35"/>
  <c r="AB75" i="35" s="1"/>
  <c r="AL75" i="35" s="1"/>
  <c r="AG77" i="35"/>
  <c r="AA6" i="35"/>
  <c r="AB6" i="35" s="1"/>
  <c r="AL6" i="35" s="1"/>
  <c r="AB47" i="35"/>
  <c r="AL47" i="35" s="1"/>
  <c r="AA73" i="35"/>
  <c r="AB74" i="35"/>
  <c r="AL74" i="35" s="1"/>
  <c r="AA76" i="35"/>
  <c r="AF31" i="35"/>
  <c r="AG31" i="35" s="1"/>
  <c r="AB40" i="35"/>
  <c r="AL40" i="35" s="1"/>
  <c r="AJ40" i="35"/>
  <c r="AF8" i="35"/>
  <c r="AA32" i="35"/>
  <c r="AB32" i="35" s="1"/>
  <c r="AL32" i="35" s="1"/>
  <c r="AB46" i="35"/>
  <c r="AL46" i="35" s="1"/>
  <c r="AA5" i="35"/>
  <c r="AB5" i="35" s="1"/>
  <c r="AL5" i="35" s="1"/>
  <c r="AH8" i="35"/>
  <c r="AO8" i="35" s="1"/>
  <c r="AA29" i="35"/>
  <c r="AB29" i="35" s="1"/>
  <c r="AL29" i="35" s="1"/>
  <c r="AA31" i="35"/>
  <c r="AB31" i="35" s="1"/>
  <c r="AL31" i="35" s="1"/>
  <c r="AF70" i="35"/>
  <c r="AF71" i="35"/>
  <c r="AH6" i="35"/>
  <c r="AO6" i="35" s="1"/>
  <c r="AA25" i="35"/>
  <c r="AB25" i="35" s="1"/>
  <c r="AL25" i="35" s="1"/>
  <c r="AJ47" i="35"/>
  <c r="AJ51" i="35"/>
  <c r="AF52" i="35"/>
  <c r="AG52" i="35" s="1"/>
  <c r="AC60" i="35"/>
  <c r="AB66" i="35"/>
  <c r="AL66" i="35" s="1"/>
  <c r="AG67" i="35"/>
  <c r="AJ76" i="35"/>
  <c r="AL78" i="35"/>
  <c r="AJ78" i="35"/>
  <c r="AG61" i="35" l="1"/>
  <c r="AG33" i="35"/>
  <c r="AG17" i="35"/>
  <c r="AG55" i="35"/>
  <c r="AG9" i="35"/>
  <c r="AG30" i="35"/>
  <c r="AG8" i="35"/>
  <c r="AG27" i="35"/>
  <c r="AG60" i="35"/>
  <c r="AG65" i="35"/>
  <c r="AG74" i="35"/>
  <c r="AG71" i="35"/>
  <c r="AB70" i="35"/>
  <c r="AL70" i="35" s="1"/>
  <c r="AB60" i="35"/>
  <c r="AL60" i="35" s="1"/>
  <c r="AB58" i="35"/>
  <c r="AL58" i="35" s="1"/>
  <c r="Q2" i="35"/>
  <c r="I16" i="12" s="1"/>
  <c r="AJ3" i="35"/>
  <c r="G16" i="12" s="1"/>
  <c r="AB79" i="35"/>
  <c r="AL79" i="35" s="1"/>
  <c r="AH3" i="35"/>
  <c r="F16" i="12" s="1"/>
  <c r="E16" i="12" s="1"/>
  <c r="AG70" i="35"/>
  <c r="AB73" i="35"/>
  <c r="AL73" i="35" s="1"/>
  <c r="AC72" i="35"/>
  <c r="AG72" i="35" s="1"/>
  <c r="AB72" i="35"/>
  <c r="AL72" i="35" s="1"/>
  <c r="R2" i="35"/>
  <c r="AC59" i="35"/>
  <c r="AG59" i="35" s="1"/>
  <c r="AB59" i="35"/>
  <c r="AL59" i="35" s="1"/>
  <c r="AI3" i="35"/>
  <c r="L16" i="12" s="1"/>
  <c r="L2" i="35"/>
  <c r="AC62" i="35"/>
  <c r="AG62" i="35" s="1"/>
  <c r="AB62" i="35"/>
  <c r="AL62" i="35" s="1"/>
  <c r="AB76" i="35"/>
  <c r="AL76" i="35" s="1"/>
  <c r="AB68" i="35"/>
  <c r="AL68" i="35" s="1"/>
  <c r="J16" i="12" l="1"/>
  <c r="AL3" i="35"/>
  <c r="AG2" i="35"/>
  <c r="K16" i="12" s="1"/>
  <c r="M16" i="12" s="1"/>
  <c r="K9" i="20"/>
  <c r="AH9" i="20" s="1"/>
  <c r="O9" i="20"/>
  <c r="Z9" i="20"/>
  <c r="AC9" i="20"/>
  <c r="AD9" i="20"/>
  <c r="AF9" i="20"/>
  <c r="K47" i="33"/>
  <c r="AH47" i="33" s="1"/>
  <c r="O47" i="33"/>
  <c r="AF47" i="33" s="1"/>
  <c r="AA47" i="33"/>
  <c r="AC47" i="33"/>
  <c r="AD47" i="33"/>
  <c r="AD74" i="33"/>
  <c r="AC74" i="33"/>
  <c r="AA74" i="33"/>
  <c r="O74" i="33"/>
  <c r="AF74" i="33" s="1"/>
  <c r="K74" i="33"/>
  <c r="K42" i="33"/>
  <c r="AH42" i="33" s="1"/>
  <c r="O42" i="33"/>
  <c r="Z42" i="33"/>
  <c r="AC42" i="33"/>
  <c r="AD42" i="33"/>
  <c r="AF42" i="33"/>
  <c r="K43" i="33"/>
  <c r="AH43" i="33" s="1"/>
  <c r="O43" i="33"/>
  <c r="Z43" i="33"/>
  <c r="AC43" i="33"/>
  <c r="AD43" i="33"/>
  <c r="K44" i="33"/>
  <c r="O44" i="33"/>
  <c r="AF44" i="33" s="1"/>
  <c r="Z44" i="33"/>
  <c r="AE44" i="33" s="1"/>
  <c r="AA44" i="33"/>
  <c r="AC44" i="33"/>
  <c r="AD44" i="33"/>
  <c r="K45" i="33"/>
  <c r="AH45" i="33" s="1"/>
  <c r="O45" i="33"/>
  <c r="AA45" i="33"/>
  <c r="AC45" i="33"/>
  <c r="AD45" i="33"/>
  <c r="K46" i="33"/>
  <c r="O46" i="33"/>
  <c r="AA46" i="33"/>
  <c r="AC46" i="33"/>
  <c r="AD46" i="33"/>
  <c r="K48" i="33"/>
  <c r="AH48" i="33" s="1"/>
  <c r="O48" i="33"/>
  <c r="Z48" i="33"/>
  <c r="AE48" i="33" s="1"/>
  <c r="AC48" i="33"/>
  <c r="AD48" i="33"/>
  <c r="K49" i="33"/>
  <c r="AH49" i="33" s="1"/>
  <c r="O49" i="33"/>
  <c r="Z49" i="33"/>
  <c r="AC49" i="33"/>
  <c r="AD49" i="33"/>
  <c r="K50" i="33"/>
  <c r="AH50" i="33" s="1"/>
  <c r="O50" i="33"/>
  <c r="Z50" i="33"/>
  <c r="AC50" i="33"/>
  <c r="AD50" i="33"/>
  <c r="K51" i="33"/>
  <c r="AH51" i="33" s="1"/>
  <c r="O51" i="33"/>
  <c r="AF51" i="33" s="1"/>
  <c r="Z51" i="33"/>
  <c r="AC51" i="33"/>
  <c r="AD51" i="33"/>
  <c r="K52" i="33"/>
  <c r="O52" i="33"/>
  <c r="AF52" i="33" s="1"/>
  <c r="Z52" i="33"/>
  <c r="AC52" i="33"/>
  <c r="AD52" i="33"/>
  <c r="K53" i="33"/>
  <c r="AH53" i="33" s="1"/>
  <c r="O53" i="33"/>
  <c r="Z53" i="33"/>
  <c r="AE53" i="33" s="1"/>
  <c r="AC53" i="33"/>
  <c r="AD53" i="33"/>
  <c r="K54" i="33"/>
  <c r="AH54" i="33" s="1"/>
  <c r="O54" i="33"/>
  <c r="Z54" i="33"/>
  <c r="AE54" i="33" s="1"/>
  <c r="AC54" i="33"/>
  <c r="AD54" i="33"/>
  <c r="K55" i="33"/>
  <c r="AH55" i="33" s="1"/>
  <c r="O55" i="33"/>
  <c r="Z55" i="33"/>
  <c r="AC55" i="33"/>
  <c r="AD55" i="33"/>
  <c r="K56" i="33"/>
  <c r="AH56" i="33" s="1"/>
  <c r="O56" i="33"/>
  <c r="AF56" i="33" s="1"/>
  <c r="Z56" i="33"/>
  <c r="AC56" i="33"/>
  <c r="AD56" i="33"/>
  <c r="K57" i="33"/>
  <c r="O57" i="33"/>
  <c r="Z57" i="33"/>
  <c r="AE57" i="33" s="1"/>
  <c r="AC57" i="33"/>
  <c r="AD57" i="33"/>
  <c r="K58" i="33"/>
  <c r="AH58" i="33" s="1"/>
  <c r="O58" i="33"/>
  <c r="Z58" i="33"/>
  <c r="AE58" i="33" s="1"/>
  <c r="AC58" i="33"/>
  <c r="AD58" i="33"/>
  <c r="K59" i="33"/>
  <c r="AH59" i="33" s="1"/>
  <c r="O59" i="33"/>
  <c r="AA59" i="33"/>
  <c r="AC59" i="33"/>
  <c r="AD59" i="33"/>
  <c r="K60" i="33"/>
  <c r="O60" i="33"/>
  <c r="AA60" i="33"/>
  <c r="AC60" i="33"/>
  <c r="AD60" i="33"/>
  <c r="K61" i="33"/>
  <c r="O61" i="33"/>
  <c r="AA61" i="33"/>
  <c r="AC61" i="33"/>
  <c r="AD61" i="33"/>
  <c r="K62" i="33"/>
  <c r="AH62" i="33" s="1"/>
  <c r="O62" i="33"/>
  <c r="Z62" i="33"/>
  <c r="AE62" i="33" s="1"/>
  <c r="AC62" i="33"/>
  <c r="AD62" i="33"/>
  <c r="K63" i="33"/>
  <c r="AH63" i="33" s="1"/>
  <c r="O63" i="33"/>
  <c r="Z63" i="33"/>
  <c r="AC63" i="33"/>
  <c r="AD63" i="33"/>
  <c r="K64" i="33"/>
  <c r="O64" i="33"/>
  <c r="Z64" i="33"/>
  <c r="AE64" i="33" s="1"/>
  <c r="AC64" i="33"/>
  <c r="AD64" i="33"/>
  <c r="K65" i="33"/>
  <c r="AH65" i="33" s="1"/>
  <c r="O65" i="33"/>
  <c r="Z65" i="33"/>
  <c r="AC65" i="33"/>
  <c r="AD65" i="33"/>
  <c r="K66" i="33"/>
  <c r="O66" i="33"/>
  <c r="AF66" i="33" s="1"/>
  <c r="Z66" i="33"/>
  <c r="AC66" i="33"/>
  <c r="AD66" i="33"/>
  <c r="K67" i="33"/>
  <c r="O67" i="33"/>
  <c r="Z67" i="33"/>
  <c r="AE67" i="33" s="1"/>
  <c r="AC67" i="33"/>
  <c r="AD67" i="33"/>
  <c r="K68" i="33"/>
  <c r="AH68" i="33" s="1"/>
  <c r="O68" i="33"/>
  <c r="Z68" i="33"/>
  <c r="AE68" i="33" s="1"/>
  <c r="AC68" i="33"/>
  <c r="AD68" i="33"/>
  <c r="K69" i="33"/>
  <c r="AH69" i="33" s="1"/>
  <c r="O69" i="33"/>
  <c r="Z69" i="33"/>
  <c r="AC69" i="33"/>
  <c r="AD69" i="33"/>
  <c r="K70" i="33"/>
  <c r="AH70" i="33" s="1"/>
  <c r="O70" i="33"/>
  <c r="Z70" i="33"/>
  <c r="AC70" i="33"/>
  <c r="AD70" i="33"/>
  <c r="K71" i="33"/>
  <c r="AH71" i="33" s="1"/>
  <c r="O71" i="33"/>
  <c r="Z71" i="33"/>
  <c r="AE71" i="33" s="1"/>
  <c r="AC71" i="33"/>
  <c r="AD71" i="33"/>
  <c r="K72" i="33"/>
  <c r="AH72" i="33" s="1"/>
  <c r="O72" i="33"/>
  <c r="AA72" i="33"/>
  <c r="AC72" i="33"/>
  <c r="AD72" i="33"/>
  <c r="K73" i="33"/>
  <c r="O73" i="33"/>
  <c r="AA73" i="33"/>
  <c r="AC73" i="33"/>
  <c r="AD73" i="33"/>
  <c r="K75" i="33"/>
  <c r="O75" i="33"/>
  <c r="AA75" i="33"/>
  <c r="AC75" i="33"/>
  <c r="AD75" i="33"/>
  <c r="K76" i="33"/>
  <c r="O76" i="33"/>
  <c r="AA76" i="33"/>
  <c r="AC76" i="33"/>
  <c r="AD76" i="33"/>
  <c r="K77" i="33"/>
  <c r="AH77" i="33" s="1"/>
  <c r="O77" i="33"/>
  <c r="AA77" i="33"/>
  <c r="AC77" i="33"/>
  <c r="AD77" i="33"/>
  <c r="K78" i="33"/>
  <c r="AH78" i="33" s="1"/>
  <c r="O78" i="33"/>
  <c r="Z78" i="33"/>
  <c r="AE78" i="33" s="1"/>
  <c r="AC78" i="33"/>
  <c r="AD78" i="33"/>
  <c r="K79" i="33"/>
  <c r="AH79" i="33" s="1"/>
  <c r="O79" i="33"/>
  <c r="AF79" i="33" s="1"/>
  <c r="Z79" i="33"/>
  <c r="AC79" i="33"/>
  <c r="AD79" i="33"/>
  <c r="K80" i="33"/>
  <c r="AH80" i="33" s="1"/>
  <c r="O80" i="33"/>
  <c r="Z80" i="33"/>
  <c r="AE80" i="33" s="1"/>
  <c r="AC80" i="33"/>
  <c r="AD80" i="33"/>
  <c r="K81" i="33"/>
  <c r="AH81" i="33" s="1"/>
  <c r="O81" i="33"/>
  <c r="Z81" i="33"/>
  <c r="AE81" i="33" s="1"/>
  <c r="AC81" i="33"/>
  <c r="AD81" i="33"/>
  <c r="AB75" i="33" l="1"/>
  <c r="AJ9" i="20"/>
  <c r="AA63" i="33"/>
  <c r="AE63" i="33"/>
  <c r="AG63" i="33" s="1"/>
  <c r="AA51" i="33"/>
  <c r="AB51" i="33" s="1"/>
  <c r="AL51" i="33" s="1"/>
  <c r="AE51" i="33"/>
  <c r="AG51" i="33" s="1"/>
  <c r="AG45" i="33"/>
  <c r="AA43" i="33"/>
  <c r="AB43" i="33" s="1"/>
  <c r="AL43" i="33" s="1"/>
  <c r="AE43" i="33"/>
  <c r="AG74" i="33"/>
  <c r="AG68" i="33"/>
  <c r="AA49" i="33"/>
  <c r="AE49" i="33"/>
  <c r="AA56" i="33"/>
  <c r="AE56" i="33"/>
  <c r="AG56" i="33" s="1"/>
  <c r="AA70" i="33"/>
  <c r="AB70" i="33" s="1"/>
  <c r="AL70" i="33" s="1"/>
  <c r="AE70" i="33"/>
  <c r="AA65" i="33"/>
  <c r="AE65" i="33"/>
  <c r="AG65" i="33" s="1"/>
  <c r="AJ47" i="33"/>
  <c r="AA9" i="20"/>
  <c r="AB9" i="20" s="1"/>
  <c r="AL9" i="20" s="1"/>
  <c r="AE9" i="20"/>
  <c r="AG9" i="20" s="1"/>
  <c r="AA79" i="33"/>
  <c r="AB79" i="33" s="1"/>
  <c r="AL79" i="33" s="1"/>
  <c r="AE79" i="33"/>
  <c r="AA55" i="33"/>
  <c r="AE55" i="33"/>
  <c r="AG44" i="33"/>
  <c r="AA69" i="33"/>
  <c r="AE69" i="33"/>
  <c r="AG69" i="33" s="1"/>
  <c r="AB44" i="33"/>
  <c r="AL44" i="33" s="1"/>
  <c r="AA42" i="33"/>
  <c r="AB42" i="33" s="1"/>
  <c r="AL42" i="33" s="1"/>
  <c r="AE42" i="33"/>
  <c r="AG42" i="33" s="1"/>
  <c r="AG47" i="33"/>
  <c r="AA66" i="33"/>
  <c r="AB66" i="33" s="1"/>
  <c r="AL66" i="33" s="1"/>
  <c r="AE66" i="33"/>
  <c r="AG66" i="33" s="1"/>
  <c r="AA50" i="33"/>
  <c r="AB50" i="33" s="1"/>
  <c r="AL50" i="33" s="1"/>
  <c r="AE50" i="33"/>
  <c r="AG79" i="33"/>
  <c r="AA52" i="33"/>
  <c r="AB52" i="33" s="1"/>
  <c r="AL52" i="33" s="1"/>
  <c r="AE52" i="33"/>
  <c r="AG52" i="33" s="1"/>
  <c r="AB47" i="33"/>
  <c r="AL47" i="33" s="1"/>
  <c r="AJ57" i="33"/>
  <c r="AH74" i="33"/>
  <c r="AA64" i="33"/>
  <c r="AB64" i="33" s="1"/>
  <c r="AL64" i="33" s="1"/>
  <c r="AA58" i="33"/>
  <c r="AB58" i="33" s="1"/>
  <c r="AL58" i="33" s="1"/>
  <c r="AB74" i="33"/>
  <c r="AL74" i="33" s="1"/>
  <c r="AL75" i="33"/>
  <c r="AF63" i="33"/>
  <c r="AA53" i="33"/>
  <c r="AB53" i="33" s="1"/>
  <c r="AL53" i="33" s="1"/>
  <c r="AB72" i="33"/>
  <c r="AL72" i="33" s="1"/>
  <c r="AA81" i="33"/>
  <c r="AB81" i="33" s="1"/>
  <c r="AL81" i="33" s="1"/>
  <c r="AA57" i="33"/>
  <c r="AB57" i="33" s="1"/>
  <c r="AL57" i="33" s="1"/>
  <c r="AJ74" i="33"/>
  <c r="AA48" i="33"/>
  <c r="AB48" i="33" s="1"/>
  <c r="AL48" i="33" s="1"/>
  <c r="AJ76" i="33"/>
  <c r="AB65" i="33"/>
  <c r="AL65" i="33" s="1"/>
  <c r="AA80" i="33"/>
  <c r="AB80" i="33" s="1"/>
  <c r="AL80" i="33" s="1"/>
  <c r="AB76" i="33"/>
  <c r="AL76" i="33" s="1"/>
  <c r="AJ43" i="33"/>
  <c r="AB45" i="33"/>
  <c r="AL45" i="33" s="1"/>
  <c r="AF64" i="33"/>
  <c r="AG64" i="33" s="1"/>
  <c r="AB61" i="33"/>
  <c r="AL61" i="33" s="1"/>
  <c r="AA68" i="33"/>
  <c r="AB68" i="33" s="1"/>
  <c r="AL68" i="33" s="1"/>
  <c r="AJ42" i="33"/>
  <c r="AF65" i="33"/>
  <c r="AA71" i="33"/>
  <c r="AB71" i="33" s="1"/>
  <c r="AL71" i="33" s="1"/>
  <c r="AA62" i="33"/>
  <c r="AB62" i="33" s="1"/>
  <c r="AL62" i="33" s="1"/>
  <c r="AB46" i="33"/>
  <c r="AL46" i="33" s="1"/>
  <c r="AF72" i="33"/>
  <c r="AG72" i="33" s="1"/>
  <c r="AJ71" i="33"/>
  <c r="AB60" i="33"/>
  <c r="AL60" i="33" s="1"/>
  <c r="AH57" i="33"/>
  <c r="AF43" i="33"/>
  <c r="AF70" i="33"/>
  <c r="AJ64" i="33"/>
  <c r="AF58" i="33"/>
  <c r="AG58" i="33" s="1"/>
  <c r="AB77" i="33"/>
  <c r="AL77" i="33" s="1"/>
  <c r="AL56" i="33"/>
  <c r="AJ56" i="33"/>
  <c r="AB59" i="33"/>
  <c r="AL59" i="33" s="1"/>
  <c r="AF57" i="33"/>
  <c r="AG57" i="33" s="1"/>
  <c r="AJ80" i="33"/>
  <c r="AB73" i="33"/>
  <c r="AL73" i="33" s="1"/>
  <c r="AH64" i="33"/>
  <c r="AJ67" i="33"/>
  <c r="AJ79" i="33"/>
  <c r="AF80" i="33"/>
  <c r="AG80" i="33" s="1"/>
  <c r="AF81" i="33"/>
  <c r="AG81" i="33" s="1"/>
  <c r="AJ70" i="33"/>
  <c r="AJ65" i="33"/>
  <c r="AJ63" i="33"/>
  <c r="AF50" i="33"/>
  <c r="AG50" i="33" s="1"/>
  <c r="AF69" i="33"/>
  <c r="AJ50" i="33"/>
  <c r="AJ62" i="33"/>
  <c r="AF71" i="33"/>
  <c r="AG71" i="33" s="1"/>
  <c r="AJ51" i="33"/>
  <c r="AH60" i="33"/>
  <c r="AJ60" i="33"/>
  <c r="AF48" i="33"/>
  <c r="AG48" i="33" s="1"/>
  <c r="AF78" i="33"/>
  <c r="AG78" i="33" s="1"/>
  <c r="AF54" i="33"/>
  <c r="AG54" i="33" s="1"/>
  <c r="AJ77" i="33"/>
  <c r="AF75" i="33"/>
  <c r="AG75" i="33" s="1"/>
  <c r="AF68" i="33"/>
  <c r="AH75" i="33"/>
  <c r="AJ75" i="33"/>
  <c r="AJ78" i="33"/>
  <c r="AB69" i="33"/>
  <c r="AL69" i="33" s="1"/>
  <c r="AF62" i="33"/>
  <c r="AG62" i="33" s="1"/>
  <c r="AJ48" i="33"/>
  <c r="AJ54" i="33"/>
  <c r="AB63" i="33"/>
  <c r="AL63" i="33" s="1"/>
  <c r="AH76" i="33"/>
  <c r="AJ69" i="33"/>
  <c r="AF53" i="33"/>
  <c r="AG53" i="33" s="1"/>
  <c r="AJ53" i="33"/>
  <c r="AA78" i="33"/>
  <c r="AB78" i="33" s="1"/>
  <c r="AL78" i="33" s="1"/>
  <c r="AF67" i="33"/>
  <c r="AG67" i="33" s="1"/>
  <c r="AH67" i="33"/>
  <c r="AF61" i="33"/>
  <c r="AG61" i="33" s="1"/>
  <c r="AF49" i="33"/>
  <c r="AG49" i="33" s="1"/>
  <c r="AB49" i="33"/>
  <c r="AL49" i="33" s="1"/>
  <c r="AF45" i="33"/>
  <c r="AH61" i="33"/>
  <c r="AB55" i="33"/>
  <c r="AL55" i="33" s="1"/>
  <c r="AF59" i="33"/>
  <c r="AG59" i="33" s="1"/>
  <c r="AJ55" i="33"/>
  <c r="AJ49" i="33"/>
  <c r="AF76" i="33"/>
  <c r="AG76" i="33" s="1"/>
  <c r="AF46" i="33"/>
  <c r="AG46" i="33" s="1"/>
  <c r="AJ68" i="33"/>
  <c r="AJ61" i="33"/>
  <c r="AH46" i="33"/>
  <c r="AJ46" i="33"/>
  <c r="AF77" i="33"/>
  <c r="AG77" i="33" s="1"/>
  <c r="AF73" i="33"/>
  <c r="AG73" i="33" s="1"/>
  <c r="AA67" i="33"/>
  <c r="AB67" i="33" s="1"/>
  <c r="AL67" i="33" s="1"/>
  <c r="AF60" i="33"/>
  <c r="AG60" i="33" s="1"/>
  <c r="AF55" i="33"/>
  <c r="AA54" i="33"/>
  <c r="AB54" i="33" s="1"/>
  <c r="AL54" i="33" s="1"/>
  <c r="AJ45" i="33"/>
  <c r="AJ59" i="33"/>
  <c r="AJ44" i="33"/>
  <c r="AJ72" i="33"/>
  <c r="AJ58" i="33"/>
  <c r="AH73" i="33"/>
  <c r="AH66" i="33"/>
  <c r="AH52" i="33"/>
  <c r="AH44" i="33"/>
  <c r="AJ73" i="33"/>
  <c r="AJ66" i="33"/>
  <c r="AJ52" i="33"/>
  <c r="AJ81" i="33"/>
  <c r="AG55" i="33" l="1"/>
  <c r="AG70" i="33"/>
  <c r="AG43" i="33"/>
  <c r="AI41" i="33"/>
  <c r="AD41" i="33"/>
  <c r="AA41" i="33"/>
  <c r="S41" i="33"/>
  <c r="AC41" i="33" s="1"/>
  <c r="O41" i="33"/>
  <c r="AF41" i="33" s="1"/>
  <c r="K41" i="33"/>
  <c r="AI40" i="33"/>
  <c r="AD40" i="33"/>
  <c r="AA40" i="33"/>
  <c r="S40" i="33"/>
  <c r="AC40" i="33" s="1"/>
  <c r="O40" i="33"/>
  <c r="AF40" i="33" s="1"/>
  <c r="K40" i="33"/>
  <c r="AI39" i="33"/>
  <c r="AD39" i="33"/>
  <c r="AA39" i="33"/>
  <c r="S39" i="33"/>
  <c r="AC39" i="33" s="1"/>
  <c r="O39" i="33"/>
  <c r="K39" i="33"/>
  <c r="AI38" i="33"/>
  <c r="AD38" i="33"/>
  <c r="AA38" i="33"/>
  <c r="S38" i="33"/>
  <c r="AC38" i="33" s="1"/>
  <c r="O38" i="33"/>
  <c r="K38" i="33"/>
  <c r="AH38" i="33" s="1"/>
  <c r="AI37" i="33"/>
  <c r="AD37" i="33"/>
  <c r="AA37" i="33"/>
  <c r="S37" i="33"/>
  <c r="AC37" i="33" s="1"/>
  <c r="O37" i="33"/>
  <c r="K37" i="33"/>
  <c r="AH37" i="33" s="1"/>
  <c r="AI36" i="33"/>
  <c r="AD36" i="33"/>
  <c r="AA36" i="33"/>
  <c r="S36" i="33"/>
  <c r="AC36" i="33" s="1"/>
  <c r="O36" i="33"/>
  <c r="AF36" i="33" s="1"/>
  <c r="K36" i="33"/>
  <c r="AH36" i="33" s="1"/>
  <c r="AI35" i="33"/>
  <c r="AD35" i="33"/>
  <c r="AA35" i="33"/>
  <c r="S35" i="33"/>
  <c r="AC35" i="33" s="1"/>
  <c r="O35" i="33"/>
  <c r="AF35" i="33" s="1"/>
  <c r="K35" i="33"/>
  <c r="AI34" i="33"/>
  <c r="AD34" i="33"/>
  <c r="AA34" i="33"/>
  <c r="S34" i="33"/>
  <c r="AC34" i="33" s="1"/>
  <c r="O34" i="33"/>
  <c r="AF34" i="33" s="1"/>
  <c r="K34" i="33"/>
  <c r="AI33" i="33"/>
  <c r="AD33" i="33"/>
  <c r="AC33" i="33"/>
  <c r="Z33" i="33"/>
  <c r="AE33" i="33" s="1"/>
  <c r="O33" i="33"/>
  <c r="AF33" i="33" s="1"/>
  <c r="K33" i="33"/>
  <c r="AI32" i="33"/>
  <c r="AD32" i="33"/>
  <c r="AC32" i="33"/>
  <c r="Z32" i="33"/>
  <c r="AE32" i="33" s="1"/>
  <c r="O32" i="33"/>
  <c r="K32" i="33"/>
  <c r="AI31" i="33"/>
  <c r="AD31" i="33"/>
  <c r="AC31" i="33"/>
  <c r="Z31" i="33"/>
  <c r="O31" i="33"/>
  <c r="AF31" i="33" s="1"/>
  <c r="K31" i="33"/>
  <c r="AH31" i="33" s="1"/>
  <c r="AI30" i="33"/>
  <c r="AD30" i="33"/>
  <c r="AC30" i="33"/>
  <c r="Z30" i="33"/>
  <c r="O30" i="33"/>
  <c r="K30" i="33"/>
  <c r="AH30" i="33" s="1"/>
  <c r="AI29" i="33"/>
  <c r="AD29" i="33"/>
  <c r="AC29" i="33"/>
  <c r="Z29" i="33"/>
  <c r="AE29" i="33" s="1"/>
  <c r="O29" i="33"/>
  <c r="AF29" i="33" s="1"/>
  <c r="K29" i="33"/>
  <c r="AI28" i="33"/>
  <c r="AD28" i="33"/>
  <c r="AC28" i="33"/>
  <c r="Z28" i="33"/>
  <c r="AE28" i="33" s="1"/>
  <c r="O28" i="33"/>
  <c r="AF28" i="33" s="1"/>
  <c r="K28" i="33"/>
  <c r="AI27" i="33"/>
  <c r="AD27" i="33"/>
  <c r="AC27" i="33"/>
  <c r="Z27" i="33"/>
  <c r="AE27" i="33" s="1"/>
  <c r="O27" i="33"/>
  <c r="AF27" i="33" s="1"/>
  <c r="K27" i="33"/>
  <c r="AI26" i="33"/>
  <c r="AD26" i="33"/>
  <c r="AC26" i="33"/>
  <c r="Z26" i="33"/>
  <c r="AE26" i="33" s="1"/>
  <c r="O26" i="33"/>
  <c r="K26" i="33"/>
  <c r="AH26" i="33" s="1"/>
  <c r="AI25" i="33"/>
  <c r="AD25" i="33"/>
  <c r="AC25" i="33"/>
  <c r="Z25" i="33"/>
  <c r="AE25" i="33" s="1"/>
  <c r="O25" i="33"/>
  <c r="K25" i="33"/>
  <c r="AI24" i="33"/>
  <c r="AD24" i="33"/>
  <c r="AC24" i="33"/>
  <c r="Z24" i="33"/>
  <c r="AE24" i="33" s="1"/>
  <c r="O24" i="33"/>
  <c r="K24" i="33"/>
  <c r="AI23" i="33"/>
  <c r="AD23" i="33"/>
  <c r="AC23" i="33"/>
  <c r="Z23" i="33"/>
  <c r="AE23" i="33" s="1"/>
  <c r="O23" i="33"/>
  <c r="AF23" i="33" s="1"/>
  <c r="K23" i="33"/>
  <c r="AI22" i="33"/>
  <c r="AF22" i="33"/>
  <c r="AD22" i="33"/>
  <c r="AC22" i="33"/>
  <c r="Z22" i="33"/>
  <c r="AE22" i="33" s="1"/>
  <c r="K22" i="33"/>
  <c r="AH22" i="33" s="1"/>
  <c r="AI21" i="33"/>
  <c r="AD21" i="33"/>
  <c r="AC21" i="33"/>
  <c r="Z21" i="33"/>
  <c r="O21" i="33"/>
  <c r="AF21" i="33" s="1"/>
  <c r="K21" i="33"/>
  <c r="AI20" i="33"/>
  <c r="AD20" i="33"/>
  <c r="AC20" i="33"/>
  <c r="Z20" i="33"/>
  <c r="O20" i="33"/>
  <c r="AF20" i="33" s="1"/>
  <c r="K20" i="33"/>
  <c r="AI19" i="33"/>
  <c r="AD19" i="33"/>
  <c r="AC19" i="33"/>
  <c r="Z19" i="33"/>
  <c r="AE19" i="33" s="1"/>
  <c r="O19" i="33"/>
  <c r="AF19" i="33" s="1"/>
  <c r="K19" i="33"/>
  <c r="AI18" i="33"/>
  <c r="AD18" i="33"/>
  <c r="AC18" i="33"/>
  <c r="Z18" i="33"/>
  <c r="AE18" i="33" s="1"/>
  <c r="O18" i="33"/>
  <c r="K18" i="33"/>
  <c r="AI17" i="33"/>
  <c r="AD17" i="33"/>
  <c r="AC17" i="33"/>
  <c r="Z17" i="33"/>
  <c r="AE17" i="33" s="1"/>
  <c r="O17" i="33"/>
  <c r="K17" i="33"/>
  <c r="AH17" i="33" s="1"/>
  <c r="AI16" i="33"/>
  <c r="AD16" i="33"/>
  <c r="AC16" i="33"/>
  <c r="Z16" i="33"/>
  <c r="AE16" i="33" s="1"/>
  <c r="O16" i="33"/>
  <c r="K16" i="33"/>
  <c r="AH16" i="33" s="1"/>
  <c r="AI15" i="33"/>
  <c r="AD15" i="33"/>
  <c r="AC15" i="33"/>
  <c r="Z15" i="33"/>
  <c r="AE15" i="33" s="1"/>
  <c r="O15" i="33"/>
  <c r="AF15" i="33" s="1"/>
  <c r="K15" i="33"/>
  <c r="AI12" i="33"/>
  <c r="AD12" i="33"/>
  <c r="AC12" i="33"/>
  <c r="Z12" i="33"/>
  <c r="O12" i="33"/>
  <c r="AF12" i="33" s="1"/>
  <c r="K12" i="33"/>
  <c r="AH12" i="33" s="1"/>
  <c r="AI11" i="33"/>
  <c r="AD11" i="33"/>
  <c r="AC11" i="33"/>
  <c r="Z11" i="33"/>
  <c r="AE11" i="33" s="1"/>
  <c r="O11" i="33"/>
  <c r="AF11" i="33" s="1"/>
  <c r="K11" i="33"/>
  <c r="AH11" i="33" s="1"/>
  <c r="AI10" i="33"/>
  <c r="AD10" i="33"/>
  <c r="AC10" i="33"/>
  <c r="Z10" i="33"/>
  <c r="AE10" i="33" s="1"/>
  <c r="O10" i="33"/>
  <c r="AF10" i="33" s="1"/>
  <c r="K10" i="33"/>
  <c r="AI9" i="33"/>
  <c r="AD9" i="33"/>
  <c r="AC9" i="33"/>
  <c r="Z9" i="33"/>
  <c r="O9" i="33"/>
  <c r="AF9" i="33" s="1"/>
  <c r="K9" i="33"/>
  <c r="AI8" i="33"/>
  <c r="AD8" i="33"/>
  <c r="AC8" i="33"/>
  <c r="Z8" i="33"/>
  <c r="AE8" i="33" s="1"/>
  <c r="O8" i="33"/>
  <c r="AF8" i="33" s="1"/>
  <c r="K8" i="33"/>
  <c r="AH8" i="33" s="1"/>
  <c r="AI7" i="33"/>
  <c r="AD7" i="33"/>
  <c r="AC7" i="33"/>
  <c r="Z7" i="33"/>
  <c r="O7" i="33"/>
  <c r="AF7" i="33" s="1"/>
  <c r="K7" i="33"/>
  <c r="AH7" i="33" s="1"/>
  <c r="AI6" i="33"/>
  <c r="AD6" i="33"/>
  <c r="AC6" i="33"/>
  <c r="Z6" i="33"/>
  <c r="AE6" i="33" s="1"/>
  <c r="O6" i="33"/>
  <c r="K6" i="33"/>
  <c r="AI5" i="33"/>
  <c r="AD5" i="33"/>
  <c r="AC5" i="33"/>
  <c r="Z5" i="33"/>
  <c r="AE5" i="33" s="1"/>
  <c r="O5" i="33"/>
  <c r="AF5" i="33" s="1"/>
  <c r="K5" i="33"/>
  <c r="AH5" i="33" s="1"/>
  <c r="I2" i="33"/>
  <c r="C15" i="12" s="1"/>
  <c r="L36" i="24"/>
  <c r="AG35" i="33" l="1"/>
  <c r="AG41" i="33"/>
  <c r="AG34" i="33"/>
  <c r="AA20" i="33"/>
  <c r="AB20" i="33" s="1"/>
  <c r="AL20" i="33" s="1"/>
  <c r="AE20" i="33"/>
  <c r="AA30" i="33"/>
  <c r="AB30" i="33" s="1"/>
  <c r="AL30" i="33" s="1"/>
  <c r="AE30" i="33"/>
  <c r="AA21" i="33"/>
  <c r="AB21" i="33" s="1"/>
  <c r="AL21" i="33" s="1"/>
  <c r="AE21" i="33"/>
  <c r="AG40" i="33"/>
  <c r="AA7" i="33"/>
  <c r="AB7" i="33" s="1"/>
  <c r="AL7" i="33" s="1"/>
  <c r="AE7" i="33"/>
  <c r="AA12" i="33"/>
  <c r="AE12" i="33"/>
  <c r="AG36" i="33"/>
  <c r="AA9" i="33"/>
  <c r="AE9" i="33"/>
  <c r="AG9" i="33" s="1"/>
  <c r="AA31" i="33"/>
  <c r="AB31" i="33" s="1"/>
  <c r="AL31" i="33" s="1"/>
  <c r="AE31" i="33"/>
  <c r="AG31" i="33" s="1"/>
  <c r="AJ15" i="33"/>
  <c r="AJ32" i="33"/>
  <c r="AJ33" i="33"/>
  <c r="AJ18" i="33"/>
  <c r="AJ37" i="33"/>
  <c r="AJ36" i="33"/>
  <c r="AH18" i="33"/>
  <c r="AH33" i="33"/>
  <c r="AA33" i="33"/>
  <c r="AB33" i="33" s="1"/>
  <c r="AL33" i="33" s="1"/>
  <c r="AG21" i="33"/>
  <c r="AA26" i="33"/>
  <c r="AB26" i="33" s="1"/>
  <c r="AL26" i="33" s="1"/>
  <c r="AA8" i="33"/>
  <c r="AB8" i="33" s="1"/>
  <c r="AL8" i="33" s="1"/>
  <c r="AA17" i="33"/>
  <c r="AB17" i="33" s="1"/>
  <c r="AL17" i="33" s="1"/>
  <c r="AJ17" i="33"/>
  <c r="AJ29" i="33"/>
  <c r="AH29" i="33"/>
  <c r="AF26" i="33"/>
  <c r="AG26" i="33" s="1"/>
  <c r="AJ30" i="33"/>
  <c r="AJ9" i="33"/>
  <c r="AH28" i="33"/>
  <c r="AJ28" i="33"/>
  <c r="AJ6" i="33"/>
  <c r="AH6" i="33"/>
  <c r="AJ34" i="33"/>
  <c r="AF25" i="33"/>
  <c r="AG25" i="33" s="1"/>
  <c r="AB38" i="33"/>
  <c r="AL38" i="33" s="1"/>
  <c r="AF38" i="33"/>
  <c r="AG38" i="33" s="1"/>
  <c r="AF6" i="33"/>
  <c r="AJ19" i="33"/>
  <c r="AH19" i="33"/>
  <c r="AJ12" i="33"/>
  <c r="AF30" i="33"/>
  <c r="AG11" i="33"/>
  <c r="AA29" i="33"/>
  <c r="AB29" i="33" s="1"/>
  <c r="AL29" i="33" s="1"/>
  <c r="AJ38" i="33"/>
  <c r="AB40" i="33"/>
  <c r="AL40" i="33" s="1"/>
  <c r="AA25" i="33"/>
  <c r="AB25" i="33" s="1"/>
  <c r="AL25" i="33" s="1"/>
  <c r="AG20" i="33"/>
  <c r="AA6" i="33"/>
  <c r="AB6" i="33" s="1"/>
  <c r="AL6" i="33" s="1"/>
  <c r="AJ40" i="33"/>
  <c r="AH40" i="33"/>
  <c r="AJ7" i="33"/>
  <c r="AF18" i="33"/>
  <c r="AJ22" i="33"/>
  <c r="AJ31" i="33"/>
  <c r="AJ39" i="33"/>
  <c r="AH39" i="33"/>
  <c r="AA23" i="33"/>
  <c r="AB23" i="33" s="1"/>
  <c r="AL23" i="33" s="1"/>
  <c r="AG7" i="33"/>
  <c r="AB35" i="33"/>
  <c r="AL35" i="33" s="1"/>
  <c r="AA19" i="33"/>
  <c r="AB19" i="33" s="1"/>
  <c r="AL19" i="33" s="1"/>
  <c r="AG19" i="33"/>
  <c r="AB34" i="33"/>
  <c r="AL34" i="33" s="1"/>
  <c r="AH10" i="33"/>
  <c r="AJ10" i="33"/>
  <c r="AJ11" i="33"/>
  <c r="AA18" i="33"/>
  <c r="AB18" i="33" s="1"/>
  <c r="AL18" i="33" s="1"/>
  <c r="AJ20" i="33"/>
  <c r="AH20" i="33"/>
  <c r="AJ23" i="33"/>
  <c r="AG29" i="33"/>
  <c r="AB39" i="33"/>
  <c r="AL39" i="33" s="1"/>
  <c r="AF39" i="33"/>
  <c r="AG39" i="33" s="1"/>
  <c r="AB9" i="33"/>
  <c r="AL9" i="33" s="1"/>
  <c r="AJ24" i="33"/>
  <c r="AJ8" i="33"/>
  <c r="AJ21" i="33"/>
  <c r="AJ27" i="33"/>
  <c r="AG33" i="33"/>
  <c r="AJ41" i="33"/>
  <c r="AJ26" i="33"/>
  <c r="AF16" i="33"/>
  <c r="AG16" i="33" s="1"/>
  <c r="AJ16" i="33"/>
  <c r="AG28" i="33"/>
  <c r="AA28" i="33"/>
  <c r="AB28" i="33" s="1"/>
  <c r="AL28" i="33" s="1"/>
  <c r="AJ25" i="33"/>
  <c r="AH25" i="33"/>
  <c r="AA16" i="33"/>
  <c r="AB16" i="33" s="1"/>
  <c r="AL16" i="33" s="1"/>
  <c r="AF32" i="33"/>
  <c r="AJ5" i="33"/>
  <c r="AA24" i="33"/>
  <c r="AB24" i="33" s="1"/>
  <c r="AL24" i="33" s="1"/>
  <c r="AA27" i="33"/>
  <c r="AB27" i="33" s="1"/>
  <c r="AL27" i="33" s="1"/>
  <c r="AA32" i="33"/>
  <c r="AB32" i="33" s="1"/>
  <c r="AL32" i="33" s="1"/>
  <c r="K2" i="33"/>
  <c r="AB12" i="33"/>
  <c r="AL12" i="33" s="1"/>
  <c r="AA15" i="33"/>
  <c r="AB15" i="33" s="1"/>
  <c r="AL15" i="33" s="1"/>
  <c r="AG23" i="33"/>
  <c r="AH32" i="33"/>
  <c r="AA10" i="33"/>
  <c r="AB10" i="33" s="1"/>
  <c r="AL10" i="33" s="1"/>
  <c r="AG12" i="33"/>
  <c r="AG22" i="33"/>
  <c r="AH24" i="33"/>
  <c r="AJ35" i="33"/>
  <c r="AA5" i="33"/>
  <c r="AB5" i="33" s="1"/>
  <c r="AL5" i="33" s="1"/>
  <c r="AH23" i="33"/>
  <c r="AA11" i="33"/>
  <c r="AB11" i="33" s="1"/>
  <c r="AL11" i="33" s="1"/>
  <c r="AA22" i="33"/>
  <c r="AB22" i="33" s="1"/>
  <c r="AL22" i="33" s="1"/>
  <c r="AF24" i="33"/>
  <c r="AG10" i="33"/>
  <c r="AF17" i="33"/>
  <c r="AG17" i="33" s="1"/>
  <c r="AB36" i="33"/>
  <c r="AL36" i="33" s="1"/>
  <c r="AG27" i="33"/>
  <c r="AF37" i="33"/>
  <c r="AG37" i="33" s="1"/>
  <c r="AB37" i="33"/>
  <c r="AL37" i="33" s="1"/>
  <c r="AB41" i="33"/>
  <c r="AL41" i="33" s="1"/>
  <c r="AG15" i="33"/>
  <c r="AH27" i="33"/>
  <c r="AH34" i="33"/>
  <c r="AH9" i="33"/>
  <c r="AH15" i="33"/>
  <c r="AH21" i="33"/>
  <c r="AH35" i="33"/>
  <c r="AH41" i="33"/>
  <c r="AI3" i="33" l="1"/>
  <c r="L15" i="12" s="1"/>
  <c r="D15" i="12"/>
  <c r="AG30" i="33"/>
  <c r="Q2" i="33"/>
  <c r="I15" i="12" s="1"/>
  <c r="R2" i="33"/>
  <c r="AJ3" i="33"/>
  <c r="G15" i="12" s="1"/>
  <c r="AH3" i="33"/>
  <c r="AG18" i="33"/>
  <c r="AG24" i="33"/>
  <c r="L2" i="33"/>
  <c r="AG32" i="33"/>
  <c r="AO3" i="33" l="1"/>
  <c r="F15" i="12"/>
  <c r="AL3" i="33"/>
  <c r="AG2" i="33"/>
  <c r="K15" i="12" s="1"/>
  <c r="M15" i="12" s="1"/>
  <c r="E15" i="12" l="1"/>
  <c r="J15" i="12" s="1"/>
  <c r="D33" i="24"/>
  <c r="D35" i="24" l="1"/>
  <c r="L39" i="24"/>
  <c r="I20" i="24"/>
  <c r="D19" i="24"/>
  <c r="D18" i="24" l="1"/>
  <c r="D20" i="24" s="1"/>
  <c r="J20" i="24"/>
  <c r="K20" i="24" s="1"/>
  <c r="G18" i="24" l="1"/>
  <c r="L20" i="24" s="1"/>
  <c r="N13" i="26"/>
  <c r="K13" i="26"/>
  <c r="B13" i="26"/>
  <c r="L13" i="26"/>
  <c r="F13" i="26"/>
  <c r="D13" i="26"/>
  <c r="C5" i="26"/>
  <c r="C13" i="26"/>
  <c r="C4" i="26"/>
  <c r="C6" i="26"/>
  <c r="C7" i="26"/>
  <c r="I9" i="24" l="1"/>
  <c r="F9" i="24"/>
  <c r="M20" i="24" s="1"/>
  <c r="J9" i="24" l="1"/>
  <c r="K9" i="24" s="1"/>
  <c r="G8" i="24"/>
  <c r="G7" i="24"/>
  <c r="L9" i="24" s="1"/>
  <c r="D9" i="24"/>
  <c r="G9" i="24" s="1"/>
  <c r="E13" i="26"/>
  <c r="O13" i="26" l="1"/>
  <c r="O26" i="26" s="1"/>
  <c r="H43" i="18"/>
  <c r="E42" i="18"/>
  <c r="H42" i="18" s="1"/>
  <c r="H38" i="18"/>
  <c r="AD50" i="20" l="1"/>
  <c r="AC50" i="20"/>
  <c r="Z50" i="20"/>
  <c r="O50" i="20"/>
  <c r="AF50" i="20" s="1"/>
  <c r="K50" i="20"/>
  <c r="AH50" i="20" s="1"/>
  <c r="AD49" i="20"/>
  <c r="AC49" i="20"/>
  <c r="Z49" i="20"/>
  <c r="O49" i="20"/>
  <c r="AF49" i="20" s="1"/>
  <c r="K49" i="20"/>
  <c r="AH49" i="20" s="1"/>
  <c r="AD48" i="20"/>
  <c r="AC48" i="20"/>
  <c r="Z48" i="20"/>
  <c r="AE48" i="20" s="1"/>
  <c r="O48" i="20"/>
  <c r="K48" i="20"/>
  <c r="AD47" i="20"/>
  <c r="AC47" i="20"/>
  <c r="AA47" i="20"/>
  <c r="O47" i="20"/>
  <c r="K47" i="20"/>
  <c r="AH47" i="20" s="1"/>
  <c r="AD46" i="20"/>
  <c r="AC46" i="20"/>
  <c r="Z46" i="20"/>
  <c r="O46" i="20"/>
  <c r="K46" i="20"/>
  <c r="AH46" i="20" s="1"/>
  <c r="AD45" i="20"/>
  <c r="AC45" i="20"/>
  <c r="Z45" i="20"/>
  <c r="AE45" i="20" s="1"/>
  <c r="O45" i="20"/>
  <c r="K45" i="20"/>
  <c r="AD44" i="20"/>
  <c r="AC44" i="20"/>
  <c r="Z44" i="20"/>
  <c r="O44" i="20"/>
  <c r="K44" i="20"/>
  <c r="AD43" i="20"/>
  <c r="AC43" i="20"/>
  <c r="AA43" i="20"/>
  <c r="O43" i="20"/>
  <c r="K43" i="20"/>
  <c r="AH43" i="20" s="1"/>
  <c r="AD42" i="20"/>
  <c r="AC42" i="20"/>
  <c r="Z42" i="20"/>
  <c r="O42" i="20"/>
  <c r="AF42" i="20" s="1"/>
  <c r="K42" i="20"/>
  <c r="AD41" i="20"/>
  <c r="AC41" i="20"/>
  <c r="Z41" i="20"/>
  <c r="AE41" i="20" s="1"/>
  <c r="O41" i="20"/>
  <c r="K41" i="20"/>
  <c r="AD40" i="20"/>
  <c r="AC40" i="20"/>
  <c r="AA40" i="20"/>
  <c r="O40" i="20"/>
  <c r="AF40" i="20" s="1"/>
  <c r="K40" i="20"/>
  <c r="AD39" i="20"/>
  <c r="AC39" i="20"/>
  <c r="Z39" i="20"/>
  <c r="AE39" i="20" s="1"/>
  <c r="O39" i="20"/>
  <c r="K39" i="20"/>
  <c r="AD38" i="20"/>
  <c r="AC38" i="20"/>
  <c r="Z38" i="20"/>
  <c r="O38" i="20"/>
  <c r="K38" i="20"/>
  <c r="AH38" i="20" s="1"/>
  <c r="AD37" i="20"/>
  <c r="AC37" i="20"/>
  <c r="Z37" i="20"/>
  <c r="O37" i="20"/>
  <c r="K37" i="20"/>
  <c r="AD36" i="20"/>
  <c r="AC36" i="20"/>
  <c r="Z36" i="20"/>
  <c r="O36" i="20"/>
  <c r="AF36" i="20" s="1"/>
  <c r="K36" i="20"/>
  <c r="AH36" i="20" s="1"/>
  <c r="AD35" i="20"/>
  <c r="AC35" i="20"/>
  <c r="Z35" i="20"/>
  <c r="AE35" i="20" s="1"/>
  <c r="O35" i="20"/>
  <c r="K35" i="20"/>
  <c r="AH35" i="20" s="1"/>
  <c r="AD34" i="20"/>
  <c r="AC34" i="20"/>
  <c r="Z34" i="20"/>
  <c r="AE34" i="20" s="1"/>
  <c r="O34" i="20"/>
  <c r="K34" i="20"/>
  <c r="AD33" i="20"/>
  <c r="AC33" i="20"/>
  <c r="Z33" i="20"/>
  <c r="O33" i="20"/>
  <c r="K33" i="20"/>
  <c r="AD32" i="20"/>
  <c r="AC32" i="20"/>
  <c r="Z32" i="20"/>
  <c r="AE32" i="20" s="1"/>
  <c r="O32" i="20"/>
  <c r="K32" i="20"/>
  <c r="AD31" i="20"/>
  <c r="AC31" i="20"/>
  <c r="Z31" i="20"/>
  <c r="O31" i="20"/>
  <c r="AF31" i="20" s="1"/>
  <c r="K31" i="20"/>
  <c r="AD30" i="20"/>
  <c r="AC30" i="20"/>
  <c r="Z30" i="20"/>
  <c r="O30" i="20"/>
  <c r="K30" i="20"/>
  <c r="AD29" i="20"/>
  <c r="AC29" i="20"/>
  <c r="Z29" i="20"/>
  <c r="AE29" i="20" s="1"/>
  <c r="O29" i="20"/>
  <c r="K29" i="20"/>
  <c r="AD28" i="20"/>
  <c r="AC28" i="20"/>
  <c r="Z28" i="20"/>
  <c r="AE28" i="20" s="1"/>
  <c r="O28" i="20"/>
  <c r="K28" i="20"/>
  <c r="AD27" i="20"/>
  <c r="AC27" i="20"/>
  <c r="AA27" i="20"/>
  <c r="O27" i="20"/>
  <c r="K27" i="20"/>
  <c r="AH27" i="20" s="1"/>
  <c r="AD26" i="20"/>
  <c r="AC26" i="20"/>
  <c r="AA26" i="20"/>
  <c r="O26" i="20"/>
  <c r="AF26" i="20" s="1"/>
  <c r="K26" i="20"/>
  <c r="AH26" i="20" s="1"/>
  <c r="AD25" i="20"/>
  <c r="AC25" i="20"/>
  <c r="AA25" i="20"/>
  <c r="O25" i="20"/>
  <c r="AF25" i="20" s="1"/>
  <c r="K25" i="20"/>
  <c r="AD24" i="20"/>
  <c r="AC24" i="20"/>
  <c r="AA24" i="20"/>
  <c r="O24" i="20"/>
  <c r="AF24" i="20" s="1"/>
  <c r="K24" i="20"/>
  <c r="AD23" i="20"/>
  <c r="AC23" i="20"/>
  <c r="AA23" i="20"/>
  <c r="O23" i="20"/>
  <c r="AF23" i="20" s="1"/>
  <c r="K23" i="20"/>
  <c r="AD22" i="20"/>
  <c r="AC22" i="20"/>
  <c r="Z22" i="20"/>
  <c r="O22" i="20"/>
  <c r="AF22" i="20" s="1"/>
  <c r="K22" i="20"/>
  <c r="AD21" i="20"/>
  <c r="AC21" i="20"/>
  <c r="Z21" i="20"/>
  <c r="AE21" i="20" s="1"/>
  <c r="O21" i="20"/>
  <c r="K21" i="20"/>
  <c r="AD20" i="20"/>
  <c r="AC20" i="20"/>
  <c r="Z20" i="20"/>
  <c r="AE20" i="20" s="1"/>
  <c r="O20" i="20"/>
  <c r="AF20" i="20" s="1"/>
  <c r="K20" i="20"/>
  <c r="AH20" i="20" s="1"/>
  <c r="AD19" i="20"/>
  <c r="AC19" i="20"/>
  <c r="Z19" i="20"/>
  <c r="AE19" i="20" s="1"/>
  <c r="O19" i="20"/>
  <c r="K19" i="20"/>
  <c r="AH19" i="20" s="1"/>
  <c r="AD18" i="20"/>
  <c r="AC18" i="20"/>
  <c r="Z18" i="20"/>
  <c r="O18" i="20"/>
  <c r="AF18" i="20" s="1"/>
  <c r="K18" i="20"/>
  <c r="AD17" i="20"/>
  <c r="AC17" i="20"/>
  <c r="Z17" i="20"/>
  <c r="AE17" i="20" s="1"/>
  <c r="O17" i="20"/>
  <c r="AF17" i="20" s="1"/>
  <c r="K17" i="20"/>
  <c r="AH17" i="20" s="1"/>
  <c r="AD16" i="20"/>
  <c r="AC16" i="20"/>
  <c r="Z16" i="20"/>
  <c r="AE16" i="20" s="1"/>
  <c r="O16" i="20"/>
  <c r="AF16" i="20" s="1"/>
  <c r="K16" i="20"/>
  <c r="AH16" i="20" s="1"/>
  <c r="AD15" i="20"/>
  <c r="AC15" i="20"/>
  <c r="Z15" i="20"/>
  <c r="O15" i="20"/>
  <c r="AF15" i="20" s="1"/>
  <c r="K15" i="20"/>
  <c r="AH15" i="20" s="1"/>
  <c r="AD14" i="20"/>
  <c r="AC14" i="20"/>
  <c r="Z14" i="20"/>
  <c r="O14" i="20"/>
  <c r="AF14" i="20" s="1"/>
  <c r="K14" i="20"/>
  <c r="AD13" i="20"/>
  <c r="AC13" i="20"/>
  <c r="Z13" i="20"/>
  <c r="O13" i="20"/>
  <c r="K13" i="20"/>
  <c r="AD12" i="20"/>
  <c r="AC12" i="20"/>
  <c r="Z12" i="20"/>
  <c r="O12" i="20"/>
  <c r="AF12" i="20" s="1"/>
  <c r="K12" i="20"/>
  <c r="AD11" i="20"/>
  <c r="AC11" i="20"/>
  <c r="Z11" i="20"/>
  <c r="AE11" i="20" s="1"/>
  <c r="O11" i="20"/>
  <c r="AF11" i="20" s="1"/>
  <c r="K11" i="20"/>
  <c r="AH11" i="20" s="1"/>
  <c r="AD10" i="20"/>
  <c r="AC10" i="20"/>
  <c r="Z10" i="20"/>
  <c r="AE10" i="20" s="1"/>
  <c r="O10" i="20"/>
  <c r="AF10" i="20" s="1"/>
  <c r="K10" i="20"/>
  <c r="AI8" i="20"/>
  <c r="AD8" i="20"/>
  <c r="AC8" i="20"/>
  <c r="AA8" i="20"/>
  <c r="O8" i="20"/>
  <c r="AF8" i="20" s="1"/>
  <c r="K8" i="20"/>
  <c r="AI7" i="20"/>
  <c r="AD7" i="20"/>
  <c r="AC7" i="20"/>
  <c r="AA7" i="20"/>
  <c r="O7" i="20"/>
  <c r="K7" i="20"/>
  <c r="AI6" i="20"/>
  <c r="AD6" i="20"/>
  <c r="AC6" i="20"/>
  <c r="Z6" i="20"/>
  <c r="O6" i="20"/>
  <c r="AF6" i="20" s="1"/>
  <c r="K6" i="20"/>
  <c r="AH6" i="20" s="1"/>
  <c r="AI5" i="20"/>
  <c r="AD5" i="20"/>
  <c r="AC5" i="20"/>
  <c r="Z5" i="20"/>
  <c r="O5" i="20"/>
  <c r="AF5" i="20" s="1"/>
  <c r="K5" i="20"/>
  <c r="AH5" i="20" s="1"/>
  <c r="I2" i="20"/>
  <c r="C14" i="12" s="1"/>
  <c r="H33" i="18"/>
  <c r="I33" i="18" s="1"/>
  <c r="H32" i="18"/>
  <c r="I32" i="18" s="1"/>
  <c r="E37" i="18"/>
  <c r="H37" i="18" s="1"/>
  <c r="D37" i="18"/>
  <c r="D38" i="18" s="1"/>
  <c r="D34" i="18"/>
  <c r="AA13" i="20" l="1"/>
  <c r="AE13" i="20"/>
  <c r="AA37" i="20"/>
  <c r="AE37" i="20"/>
  <c r="AA49" i="20"/>
  <c r="AE49" i="20"/>
  <c r="AG49" i="20" s="1"/>
  <c r="AA5" i="20"/>
  <c r="AE5" i="20"/>
  <c r="AG5" i="20" s="1"/>
  <c r="AA22" i="20"/>
  <c r="AB22" i="20" s="1"/>
  <c r="AL22" i="20" s="1"/>
  <c r="AE22" i="20"/>
  <c r="AG22" i="20" s="1"/>
  <c r="AA44" i="20"/>
  <c r="AB44" i="20" s="1"/>
  <c r="AL44" i="20" s="1"/>
  <c r="AE44" i="20"/>
  <c r="AA30" i="20"/>
  <c r="AE30" i="20"/>
  <c r="AA6" i="20"/>
  <c r="AE6" i="20"/>
  <c r="AG6" i="20" s="1"/>
  <c r="AA46" i="20"/>
  <c r="AE46" i="20"/>
  <c r="AA33" i="20"/>
  <c r="AB33" i="20" s="1"/>
  <c r="AL33" i="20" s="1"/>
  <c r="AE33" i="20"/>
  <c r="AA15" i="20"/>
  <c r="AB15" i="20" s="1"/>
  <c r="AL15" i="20" s="1"/>
  <c r="AE15" i="20"/>
  <c r="AG15" i="20" s="1"/>
  <c r="AA14" i="20"/>
  <c r="AB14" i="20" s="1"/>
  <c r="AL14" i="20" s="1"/>
  <c r="AE14" i="20"/>
  <c r="AG14" i="20" s="1"/>
  <c r="AA38" i="20"/>
  <c r="AE38" i="20"/>
  <c r="AA50" i="20"/>
  <c r="AE50" i="20"/>
  <c r="AG50" i="20" s="1"/>
  <c r="AA31" i="20"/>
  <c r="AE31" i="20"/>
  <c r="AG31" i="20" s="1"/>
  <c r="AA18" i="20"/>
  <c r="AB18" i="20" s="1"/>
  <c r="AL18" i="20" s="1"/>
  <c r="AE18" i="20"/>
  <c r="AG18" i="20" s="1"/>
  <c r="AA42" i="20"/>
  <c r="AB42" i="20" s="1"/>
  <c r="AL42" i="20" s="1"/>
  <c r="AE42" i="20"/>
  <c r="AG42" i="20" s="1"/>
  <c r="AA12" i="20"/>
  <c r="AB12" i="20" s="1"/>
  <c r="AL12" i="20" s="1"/>
  <c r="AE12" i="20"/>
  <c r="AG12" i="20" s="1"/>
  <c r="AA36" i="20"/>
  <c r="AE36" i="20"/>
  <c r="AG36" i="20" s="1"/>
  <c r="I35" i="18"/>
  <c r="I37" i="18"/>
  <c r="D42" i="18"/>
  <c r="I38" i="18"/>
  <c r="AJ8" i="20"/>
  <c r="AB13" i="20"/>
  <c r="AL13" i="20" s="1"/>
  <c r="AJ12" i="20"/>
  <c r="AJ18" i="20"/>
  <c r="AJ22" i="20"/>
  <c r="AG40" i="20"/>
  <c r="AJ42" i="20"/>
  <c r="AJ44" i="20"/>
  <c r="AJ31" i="20"/>
  <c r="AJ7" i="20"/>
  <c r="AJ17" i="20"/>
  <c r="AJ24" i="20"/>
  <c r="AJ38" i="20"/>
  <c r="AH12" i="20"/>
  <c r="AJ5" i="20"/>
  <c r="AJ13" i="20"/>
  <c r="AB23" i="20"/>
  <c r="AL23" i="20" s="1"/>
  <c r="AJ11" i="20"/>
  <c r="AH13" i="20"/>
  <c r="AA16" i="20"/>
  <c r="AB16" i="20" s="1"/>
  <c r="AL16" i="20" s="1"/>
  <c r="AB7" i="20"/>
  <c r="AL7" i="20" s="1"/>
  <c r="AJ27" i="20"/>
  <c r="AJ14" i="20"/>
  <c r="AJ21" i="20"/>
  <c r="AJ23" i="20"/>
  <c r="AA11" i="20"/>
  <c r="AB11" i="20" s="1"/>
  <c r="AL11" i="20" s="1"/>
  <c r="AJ6" i="20"/>
  <c r="AJ10" i="20"/>
  <c r="AB37" i="20"/>
  <c r="AL37" i="20" s="1"/>
  <c r="AG11" i="20"/>
  <c r="AJ43" i="20"/>
  <c r="AH7" i="20"/>
  <c r="AG16" i="20"/>
  <c r="AG23" i="20"/>
  <c r="AH24" i="20"/>
  <c r="AF7" i="20"/>
  <c r="AG7" i="20" s="1"/>
  <c r="AJ16" i="20"/>
  <c r="AH23" i="20"/>
  <c r="AH8" i="20"/>
  <c r="AH44" i="20"/>
  <c r="AF13" i="20"/>
  <c r="AG17" i="20"/>
  <c r="AH18" i="20"/>
  <c r="AB43" i="20"/>
  <c r="AL43" i="20" s="1"/>
  <c r="AB26" i="20"/>
  <c r="AL26" i="20" s="1"/>
  <c r="AB49" i="20"/>
  <c r="AL49" i="20" s="1"/>
  <c r="AF43" i="20"/>
  <c r="AG43" i="20" s="1"/>
  <c r="AH22" i="20"/>
  <c r="AG25" i="20"/>
  <c r="AH42" i="20"/>
  <c r="AA45" i="20"/>
  <c r="AB45" i="20" s="1"/>
  <c r="AL45" i="20" s="1"/>
  <c r="AJ50" i="20"/>
  <c r="AB5" i="20"/>
  <c r="AL5" i="20" s="1"/>
  <c r="AJ20" i="20"/>
  <c r="AB24" i="20"/>
  <c r="AL24" i="20" s="1"/>
  <c r="AJ26" i="20"/>
  <c r="AB50" i="20"/>
  <c r="AL50" i="20" s="1"/>
  <c r="AB46" i="20"/>
  <c r="AL46" i="20" s="1"/>
  <c r="AA10" i="20"/>
  <c r="AB10" i="20" s="1"/>
  <c r="AL10" i="20" s="1"/>
  <c r="AB31" i="20"/>
  <c r="AL31" i="20" s="1"/>
  <c r="AF37" i="20"/>
  <c r="AJ15" i="20"/>
  <c r="AB25" i="20"/>
  <c r="AL25" i="20" s="1"/>
  <c r="AJ47" i="20"/>
  <c r="AF46" i="20"/>
  <c r="AB6" i="20"/>
  <c r="AL6" i="20" s="1"/>
  <c r="AG8" i="20"/>
  <c r="AH21" i="20"/>
  <c r="AG24" i="20"/>
  <c r="AJ46" i="20"/>
  <c r="AJ49" i="20"/>
  <c r="AG10" i="20"/>
  <c r="AA17" i="20"/>
  <c r="AB17" i="20" s="1"/>
  <c r="AL17" i="20" s="1"/>
  <c r="AH31" i="20"/>
  <c r="AB30" i="20"/>
  <c r="AL30" i="20" s="1"/>
  <c r="AF30" i="20"/>
  <c r="AF48" i="20"/>
  <c r="AA48" i="20"/>
  <c r="AB48" i="20" s="1"/>
  <c r="AL48" i="20" s="1"/>
  <c r="AJ35" i="20"/>
  <c r="AF35" i="20"/>
  <c r="AG35" i="20" s="1"/>
  <c r="AA29" i="20"/>
  <c r="AB29" i="20" s="1"/>
  <c r="AL29" i="20" s="1"/>
  <c r="AJ34" i="20"/>
  <c r="AH34" i="20"/>
  <c r="AF34" i="20"/>
  <c r="AJ40" i="20"/>
  <c r="AH40" i="20"/>
  <c r="AA34" i="20"/>
  <c r="AB34" i="20" s="1"/>
  <c r="AL34" i="20" s="1"/>
  <c r="AF39" i="20"/>
  <c r="AJ29" i="20"/>
  <c r="AH29" i="20"/>
  <c r="AF32" i="20"/>
  <c r="AF41" i="20"/>
  <c r="AA32" i="20"/>
  <c r="AB32" i="20" s="1"/>
  <c r="AL32" i="20" s="1"/>
  <c r="AA41" i="20"/>
  <c r="AB41" i="20" s="1"/>
  <c r="AL41" i="20" s="1"/>
  <c r="AG20" i="20"/>
  <c r="AF19" i="20"/>
  <c r="AG19" i="20" s="1"/>
  <c r="AJ19" i="20"/>
  <c r="AJ39" i="20"/>
  <c r="AH39" i="20"/>
  <c r="AA35" i="20"/>
  <c r="AB35" i="20" s="1"/>
  <c r="AL35" i="20" s="1"/>
  <c r="AA39" i="20"/>
  <c r="AB39" i="20" s="1"/>
  <c r="AL39" i="20" s="1"/>
  <c r="AF29" i="20"/>
  <c r="AG29" i="20" s="1"/>
  <c r="AJ41" i="20"/>
  <c r="AH41" i="20"/>
  <c r="AJ28" i="20"/>
  <c r="AH28" i="20"/>
  <c r="AF28" i="20"/>
  <c r="AA20" i="20"/>
  <c r="AB20" i="20" s="1"/>
  <c r="AL20" i="20" s="1"/>
  <c r="AJ30" i="20"/>
  <c r="AH30" i="20"/>
  <c r="AB40" i="20"/>
  <c r="AL40" i="20" s="1"/>
  <c r="AH45" i="20"/>
  <c r="AJ45" i="20"/>
  <c r="AF45" i="20"/>
  <c r="AG45" i="20" s="1"/>
  <c r="AH33" i="20"/>
  <c r="AJ33" i="20"/>
  <c r="AB36" i="20"/>
  <c r="AL36" i="20" s="1"/>
  <c r="AJ36" i="20"/>
  <c r="AA28" i="20"/>
  <c r="AB28" i="20" s="1"/>
  <c r="AL28" i="20" s="1"/>
  <c r="AF33" i="20"/>
  <c r="AF21" i="20"/>
  <c r="AF44" i="20"/>
  <c r="AA21" i="20"/>
  <c r="AB21" i="20" s="1"/>
  <c r="AL21" i="20" s="1"/>
  <c r="AG26" i="20"/>
  <c r="AJ32" i="20"/>
  <c r="AJ48" i="20"/>
  <c r="AH48" i="20"/>
  <c r="AA19" i="20"/>
  <c r="AB19" i="20" s="1"/>
  <c r="AL19" i="20" s="1"/>
  <c r="AF27" i="20"/>
  <c r="AG27" i="20" s="1"/>
  <c r="AB27" i="20"/>
  <c r="AL27" i="20" s="1"/>
  <c r="AF38" i="20"/>
  <c r="AB38" i="20"/>
  <c r="AL38" i="20" s="1"/>
  <c r="K2" i="20"/>
  <c r="D14" i="12" s="1"/>
  <c r="AF47" i="20"/>
  <c r="AG47" i="20" s="1"/>
  <c r="AB47" i="20"/>
  <c r="AL47" i="20" s="1"/>
  <c r="AB8" i="20"/>
  <c r="AL8" i="20" s="1"/>
  <c r="AJ37" i="20"/>
  <c r="AH10" i="20"/>
  <c r="AH14" i="20"/>
  <c r="AJ25" i="20"/>
  <c r="AH25" i="20"/>
  <c r="AH32" i="20"/>
  <c r="AH37" i="20"/>
  <c r="D7" i="18"/>
  <c r="D27" i="18" s="1"/>
  <c r="E21" i="13"/>
  <c r="E19" i="13"/>
  <c r="G19" i="13" s="1"/>
  <c r="H19" i="13" s="1"/>
  <c r="I19" i="13" s="1"/>
  <c r="G18" i="13"/>
  <c r="H18" i="13" s="1"/>
  <c r="I18" i="13" s="1"/>
  <c r="G17" i="13"/>
  <c r="H17" i="13" s="1"/>
  <c r="I17" i="13" s="1"/>
  <c r="G16" i="13"/>
  <c r="H16" i="13" s="1"/>
  <c r="I16" i="13" s="1"/>
  <c r="G15" i="13"/>
  <c r="H15" i="13" s="1"/>
  <c r="I15" i="13" s="1"/>
  <c r="D14" i="13"/>
  <c r="G14" i="13" s="1"/>
  <c r="H14" i="13" s="1"/>
  <c r="I14" i="13" s="1"/>
  <c r="B11" i="13"/>
  <c r="B10" i="13"/>
  <c r="H9" i="12"/>
  <c r="H8" i="12"/>
  <c r="H7" i="12"/>
  <c r="H6" i="12"/>
  <c r="AI50" i="11"/>
  <c r="AD50" i="11"/>
  <c r="AC50" i="11"/>
  <c r="Z50" i="11"/>
  <c r="AA50" i="11" s="1"/>
  <c r="N50" i="11"/>
  <c r="O50" i="11" s="1"/>
  <c r="K50" i="11"/>
  <c r="AH50" i="11" s="1"/>
  <c r="AI49" i="11"/>
  <c r="AD49" i="11"/>
  <c r="AC49" i="11"/>
  <c r="Z49" i="11"/>
  <c r="AA49" i="11" s="1"/>
  <c r="O49" i="11"/>
  <c r="AF49" i="11" s="1"/>
  <c r="K49" i="11"/>
  <c r="AI48" i="11"/>
  <c r="AH48" i="11"/>
  <c r="AF48" i="11"/>
  <c r="AD48" i="11"/>
  <c r="AC48" i="11"/>
  <c r="Z48" i="11"/>
  <c r="AA48" i="11" s="1"/>
  <c r="K48" i="11"/>
  <c r="AJ48" i="11" s="1"/>
  <c r="AI47" i="11"/>
  <c r="AF47" i="11"/>
  <c r="AD47" i="11"/>
  <c r="AC47" i="11"/>
  <c r="Z47" i="11"/>
  <c r="AA47" i="11" s="1"/>
  <c r="K47" i="11"/>
  <c r="AI46" i="11"/>
  <c r="AF46" i="11"/>
  <c r="AD46" i="11"/>
  <c r="AC46" i="11"/>
  <c r="Z46" i="11"/>
  <c r="AA46" i="11" s="1"/>
  <c r="K46" i="11"/>
  <c r="AJ46" i="11" s="1"/>
  <c r="AI45" i="11"/>
  <c r="AF45" i="11"/>
  <c r="AD45" i="11"/>
  <c r="AC45" i="11"/>
  <c r="Z45" i="11"/>
  <c r="AA45" i="11" s="1"/>
  <c r="K45" i="11"/>
  <c r="AJ45" i="11" s="1"/>
  <c r="AI44" i="11"/>
  <c r="AD44" i="11"/>
  <c r="AC44" i="11"/>
  <c r="Z44" i="11"/>
  <c r="AA44" i="11" s="1"/>
  <c r="O44" i="11"/>
  <c r="K44" i="11"/>
  <c r="AI43" i="11"/>
  <c r="AH43" i="11"/>
  <c r="AD43" i="11"/>
  <c r="AC43" i="11"/>
  <c r="Z43" i="11"/>
  <c r="AA43" i="11" s="1"/>
  <c r="O43" i="11"/>
  <c r="AF43" i="11" s="1"/>
  <c r="K43" i="11"/>
  <c r="AI42" i="11"/>
  <c r="AD42" i="11"/>
  <c r="AC42" i="11"/>
  <c r="Z42" i="11"/>
  <c r="AA42" i="11" s="1"/>
  <c r="O42" i="11"/>
  <c r="K42" i="11"/>
  <c r="AH42" i="11" s="1"/>
  <c r="AI41" i="11"/>
  <c r="AH41" i="11"/>
  <c r="AD41" i="11"/>
  <c r="AC41" i="11"/>
  <c r="Z41" i="11"/>
  <c r="AA41" i="11" s="1"/>
  <c r="O41" i="11"/>
  <c r="AF41" i="11" s="1"/>
  <c r="K41" i="11"/>
  <c r="AI40" i="11"/>
  <c r="AD40" i="11"/>
  <c r="AC40" i="11"/>
  <c r="X40" i="11"/>
  <c r="W40" i="11"/>
  <c r="O40" i="11"/>
  <c r="K40" i="11"/>
  <c r="AI39" i="11"/>
  <c r="AF39" i="11"/>
  <c r="AD39" i="11"/>
  <c r="AC39" i="11"/>
  <c r="X39" i="11"/>
  <c r="Z39" i="11" s="1"/>
  <c r="AA39" i="11" s="1"/>
  <c r="K39" i="11"/>
  <c r="AH39" i="11" s="1"/>
  <c r="AI38" i="11"/>
  <c r="AH38" i="11"/>
  <c r="AK38" i="11" s="1"/>
  <c r="AF38" i="11"/>
  <c r="AD38" i="11"/>
  <c r="AC38" i="11"/>
  <c r="X38" i="11"/>
  <c r="Z38" i="11" s="1"/>
  <c r="AA38" i="11" s="1"/>
  <c r="AB38" i="11" s="1"/>
  <c r="AM38" i="11" s="1"/>
  <c r="K38" i="11"/>
  <c r="AJ38" i="11" s="1"/>
  <c r="AI37" i="11"/>
  <c r="AF37" i="11"/>
  <c r="AD37" i="11"/>
  <c r="AC37" i="11"/>
  <c r="X37" i="11"/>
  <c r="Z37" i="11" s="1"/>
  <c r="AA37" i="11" s="1"/>
  <c r="AB37" i="11" s="1"/>
  <c r="K37" i="11"/>
  <c r="AJ37" i="11" s="1"/>
  <c r="AI36" i="11"/>
  <c r="AF36" i="11"/>
  <c r="AD36" i="11"/>
  <c r="AC36" i="11"/>
  <c r="X36" i="11"/>
  <c r="Z36" i="11" s="1"/>
  <c r="AA36" i="11" s="1"/>
  <c r="K36" i="11"/>
  <c r="AI35" i="11"/>
  <c r="AF35" i="11"/>
  <c r="AD35" i="11"/>
  <c r="AC35" i="11"/>
  <c r="X35" i="11"/>
  <c r="Z35" i="11" s="1"/>
  <c r="AA35" i="11" s="1"/>
  <c r="K35" i="11"/>
  <c r="AI34" i="11"/>
  <c r="AF34" i="11"/>
  <c r="AD34" i="11"/>
  <c r="AC34" i="11"/>
  <c r="X34" i="11"/>
  <c r="Z34" i="11" s="1"/>
  <c r="AA34" i="11" s="1"/>
  <c r="K34" i="11"/>
  <c r="AC33" i="11"/>
  <c r="AA33" i="11"/>
  <c r="Z33" i="11"/>
  <c r="O33" i="11"/>
  <c r="L33" i="11"/>
  <c r="K33" i="11"/>
  <c r="AJ33" i="11" s="1"/>
  <c r="AI32" i="11"/>
  <c r="AD32" i="11"/>
  <c r="AC32" i="11"/>
  <c r="Z32" i="11"/>
  <c r="AA32" i="11" s="1"/>
  <c r="O32" i="11"/>
  <c r="AF32" i="11" s="1"/>
  <c r="K32" i="11"/>
  <c r="AI31" i="11"/>
  <c r="AD31" i="11"/>
  <c r="AC31" i="11"/>
  <c r="Z31" i="11"/>
  <c r="AA31" i="11" s="1"/>
  <c r="O31" i="11"/>
  <c r="K31" i="11"/>
  <c r="AH31" i="11" s="1"/>
  <c r="AI30" i="11"/>
  <c r="AD30" i="11"/>
  <c r="AC30" i="11"/>
  <c r="Z30" i="11"/>
  <c r="AA30" i="11" s="1"/>
  <c r="O30" i="11"/>
  <c r="AF30" i="11" s="1"/>
  <c r="K30" i="11"/>
  <c r="AH30" i="11" s="1"/>
  <c r="AM29" i="11"/>
  <c r="AJ29" i="11"/>
  <c r="AK29" i="11" s="1"/>
  <c r="AM28" i="11"/>
  <c r="AK28" i="11"/>
  <c r="AJ28" i="11"/>
  <c r="AI27" i="11"/>
  <c r="AF27" i="11"/>
  <c r="AD27" i="11"/>
  <c r="AC27" i="11"/>
  <c r="Z27" i="11"/>
  <c r="AA27" i="11" s="1"/>
  <c r="K27" i="11"/>
  <c r="AI26" i="11"/>
  <c r="AF26" i="11"/>
  <c r="AD26" i="11"/>
  <c r="AC26" i="11"/>
  <c r="Z26" i="11"/>
  <c r="AA26" i="11" s="1"/>
  <c r="K26" i="11"/>
  <c r="AI25" i="11"/>
  <c r="AD25" i="11"/>
  <c r="AC25" i="11"/>
  <c r="Z25" i="11"/>
  <c r="AA25" i="11" s="1"/>
  <c r="AB25" i="11" s="1"/>
  <c r="O25" i="11"/>
  <c r="AF25" i="11" s="1"/>
  <c r="K25" i="11"/>
  <c r="AJ25" i="11" s="1"/>
  <c r="AI24" i="11"/>
  <c r="AD24" i="11"/>
  <c r="AC24" i="11"/>
  <c r="Z24" i="11"/>
  <c r="AA24" i="11" s="1"/>
  <c r="O24" i="11"/>
  <c r="AF24" i="11" s="1"/>
  <c r="K24" i="11"/>
  <c r="AI23" i="11"/>
  <c r="AD23" i="11"/>
  <c r="AC23" i="11"/>
  <c r="Z23" i="11"/>
  <c r="AA23" i="11" s="1"/>
  <c r="O23" i="11"/>
  <c r="AF23" i="11" s="1"/>
  <c r="K23" i="11"/>
  <c r="AI22" i="11"/>
  <c r="AD22" i="11"/>
  <c r="AC22" i="11"/>
  <c r="Z22" i="11"/>
  <c r="AA22" i="11" s="1"/>
  <c r="O22" i="11"/>
  <c r="AF22" i="11" s="1"/>
  <c r="K22" i="11"/>
  <c r="AH22" i="11" s="1"/>
  <c r="AI21" i="11"/>
  <c r="AD21" i="11"/>
  <c r="AC21" i="11"/>
  <c r="Z21" i="11"/>
  <c r="AA21" i="11" s="1"/>
  <c r="O21" i="11"/>
  <c r="AF21" i="11" s="1"/>
  <c r="K21" i="11"/>
  <c r="AI20" i="11"/>
  <c r="AD20" i="11"/>
  <c r="AC20" i="11"/>
  <c r="Z20" i="11"/>
  <c r="AA20" i="11" s="1"/>
  <c r="O20" i="11"/>
  <c r="AF20" i="11" s="1"/>
  <c r="K20" i="11"/>
  <c r="AJ20" i="11" s="1"/>
  <c r="AI19" i="11"/>
  <c r="AD19" i="11"/>
  <c r="AC19" i="11"/>
  <c r="AA19" i="11"/>
  <c r="Z19" i="11"/>
  <c r="O19" i="11"/>
  <c r="K19" i="11"/>
  <c r="AH19" i="11" s="1"/>
  <c r="AI18" i="11"/>
  <c r="AD18" i="11"/>
  <c r="AC18" i="11"/>
  <c r="Z18" i="11"/>
  <c r="AA18" i="11" s="1"/>
  <c r="O18" i="11"/>
  <c r="AF18" i="11" s="1"/>
  <c r="K18" i="11"/>
  <c r="AH18" i="11" s="1"/>
  <c r="AI17" i="11"/>
  <c r="AD17" i="11"/>
  <c r="AC17" i="11"/>
  <c r="AA17" i="11"/>
  <c r="AB17" i="11" s="1"/>
  <c r="Z17" i="11"/>
  <c r="O17" i="11"/>
  <c r="AF17" i="11" s="1"/>
  <c r="K17" i="11"/>
  <c r="AI16" i="11"/>
  <c r="AH16" i="11"/>
  <c r="AD16" i="11"/>
  <c r="AC16" i="11"/>
  <c r="Z16" i="11"/>
  <c r="AA16" i="11" s="1"/>
  <c r="O16" i="11"/>
  <c r="AJ16" i="11" s="1"/>
  <c r="AK16" i="11" s="1"/>
  <c r="AI15" i="11"/>
  <c r="AH15" i="11"/>
  <c r="AD15" i="11"/>
  <c r="AC15" i="11"/>
  <c r="Z15" i="11"/>
  <c r="AA15" i="11" s="1"/>
  <c r="O15" i="11"/>
  <c r="AJ15" i="11" s="1"/>
  <c r="AI14" i="11"/>
  <c r="AH14" i="11"/>
  <c r="AD14" i="11"/>
  <c r="AC14" i="11"/>
  <c r="Z14" i="11"/>
  <c r="AA14" i="11" s="1"/>
  <c r="AB14" i="11" s="1"/>
  <c r="AM14" i="11" s="1"/>
  <c r="O14" i="11"/>
  <c r="AI13" i="11"/>
  <c r="AH13" i="11"/>
  <c r="AD13" i="11"/>
  <c r="AC13" i="11"/>
  <c r="Z13" i="11"/>
  <c r="AA13" i="11" s="1"/>
  <c r="O13" i="11"/>
  <c r="AJ13" i="11" s="1"/>
  <c r="AK13" i="11" s="1"/>
  <c r="AI12" i="11"/>
  <c r="AH12" i="11"/>
  <c r="AD12" i="11"/>
  <c r="AC12" i="11"/>
  <c r="Z12" i="11"/>
  <c r="AA12" i="11" s="1"/>
  <c r="AB12" i="11" s="1"/>
  <c r="AM12" i="11" s="1"/>
  <c r="O12" i="11"/>
  <c r="AI11" i="11"/>
  <c r="AH11" i="11"/>
  <c r="AD11" i="11"/>
  <c r="AC11" i="11"/>
  <c r="Z11" i="11"/>
  <c r="AA11" i="11" s="1"/>
  <c r="AB11" i="11" s="1"/>
  <c r="AM11" i="11" s="1"/>
  <c r="O11" i="11"/>
  <c r="AF11" i="11" s="1"/>
  <c r="AI10" i="11"/>
  <c r="AH10" i="11"/>
  <c r="AD10" i="11"/>
  <c r="AC10" i="11"/>
  <c r="Z10" i="11"/>
  <c r="AA10" i="11" s="1"/>
  <c r="O10" i="11"/>
  <c r="AF10" i="11" s="1"/>
  <c r="AI9" i="11"/>
  <c r="AH9" i="11"/>
  <c r="AD9" i="11"/>
  <c r="AC9" i="11"/>
  <c r="Z9" i="11"/>
  <c r="AA9" i="11" s="1"/>
  <c r="O9" i="11"/>
  <c r="AJ9" i="11" s="1"/>
  <c r="AJ8" i="11"/>
  <c r="AI8" i="11"/>
  <c r="AH8" i="11"/>
  <c r="AD8" i="11"/>
  <c r="AC8" i="11"/>
  <c r="Z8" i="11"/>
  <c r="AA8" i="11" s="1"/>
  <c r="AB8" i="11" s="1"/>
  <c r="AM8" i="11" s="1"/>
  <c r="O8" i="11"/>
  <c r="AF8" i="11" s="1"/>
  <c r="AI7" i="11"/>
  <c r="AH7" i="11"/>
  <c r="AD7" i="11"/>
  <c r="AC7" i="11"/>
  <c r="Z7" i="11"/>
  <c r="AA7" i="11" s="1"/>
  <c r="O7" i="11"/>
  <c r="AF7" i="11" s="1"/>
  <c r="AI6" i="11"/>
  <c r="AH6" i="11"/>
  <c r="AD6" i="11"/>
  <c r="AC6" i="11"/>
  <c r="Z6" i="11"/>
  <c r="AA6" i="11" s="1"/>
  <c r="AB6" i="11" s="1"/>
  <c r="AM6" i="11" s="1"/>
  <c r="O6" i="11"/>
  <c r="AJ5" i="11"/>
  <c r="AK5" i="11" s="1"/>
  <c r="AI5" i="11"/>
  <c r="AH5" i="11"/>
  <c r="AD5" i="11"/>
  <c r="AC5" i="11"/>
  <c r="Z5" i="11"/>
  <c r="AA5" i="11" s="1"/>
  <c r="AB5" i="11" s="1"/>
  <c r="AM5" i="11" s="1"/>
  <c r="O5" i="11"/>
  <c r="AF5" i="11" s="1"/>
  <c r="AI4" i="11"/>
  <c r="AD4" i="11"/>
  <c r="AC4" i="11"/>
  <c r="Z4" i="11"/>
  <c r="AA4" i="11" s="1"/>
  <c r="O4" i="11"/>
  <c r="AF4" i="11" s="1"/>
  <c r="K4" i="11"/>
  <c r="I2" i="11"/>
  <c r="C5" i="12" s="1"/>
  <c r="AI48" i="10"/>
  <c r="AD48" i="10"/>
  <c r="AC48" i="10"/>
  <c r="Z48" i="10"/>
  <c r="AA48" i="10" s="1"/>
  <c r="O48" i="10"/>
  <c r="K48" i="10"/>
  <c r="AI47" i="10"/>
  <c r="AD47" i="10"/>
  <c r="AC47" i="10"/>
  <c r="Z47" i="10"/>
  <c r="AA47" i="10" s="1"/>
  <c r="O47" i="10"/>
  <c r="AF47" i="10" s="1"/>
  <c r="K47" i="10"/>
  <c r="AI46" i="10"/>
  <c r="AF46" i="10"/>
  <c r="AD46" i="10"/>
  <c r="AC46" i="10"/>
  <c r="Z46" i="10"/>
  <c r="AA46" i="10" s="1"/>
  <c r="K46" i="10"/>
  <c r="AJ46" i="10" s="1"/>
  <c r="AI45" i="10"/>
  <c r="AD45" i="10"/>
  <c r="AC45" i="10"/>
  <c r="Z45" i="10"/>
  <c r="AA45" i="10" s="1"/>
  <c r="O45" i="10"/>
  <c r="K45" i="10"/>
  <c r="AI44" i="10"/>
  <c r="AD44" i="10"/>
  <c r="AC44" i="10"/>
  <c r="Z44" i="10"/>
  <c r="AA44" i="10" s="1"/>
  <c r="O44" i="10"/>
  <c r="K44" i="10"/>
  <c r="AI43" i="10"/>
  <c r="AD43" i="10"/>
  <c r="AC43" i="10"/>
  <c r="Z43" i="10"/>
  <c r="AA43" i="10" s="1"/>
  <c r="O43" i="10"/>
  <c r="AF43" i="10" s="1"/>
  <c r="K43" i="10"/>
  <c r="AH43" i="10" s="1"/>
  <c r="AI42" i="10"/>
  <c r="AD42" i="10"/>
  <c r="AC42" i="10"/>
  <c r="Z42" i="10"/>
  <c r="AA42" i="10" s="1"/>
  <c r="O42" i="10"/>
  <c r="AF42" i="10" s="1"/>
  <c r="K42" i="10"/>
  <c r="AI41" i="10"/>
  <c r="AH41" i="10"/>
  <c r="AF41" i="10"/>
  <c r="AD41" i="10"/>
  <c r="AC41" i="10"/>
  <c r="Z41" i="10"/>
  <c r="AA41" i="10" s="1"/>
  <c r="AB41" i="10" s="1"/>
  <c r="K41" i="10"/>
  <c r="AJ41" i="10" s="1"/>
  <c r="AI40" i="10"/>
  <c r="AF40" i="10"/>
  <c r="AD40" i="10"/>
  <c r="AC40" i="10"/>
  <c r="AA40" i="10"/>
  <c r="AB40" i="10" s="1"/>
  <c r="Z40" i="10"/>
  <c r="K40" i="10"/>
  <c r="AH40" i="10" s="1"/>
  <c r="AI39" i="10"/>
  <c r="AH39" i="10"/>
  <c r="AD39" i="10"/>
  <c r="AC39" i="10"/>
  <c r="Z39" i="10"/>
  <c r="AA39" i="10" s="1"/>
  <c r="O39" i="10"/>
  <c r="AF39" i="10" s="1"/>
  <c r="K39" i="10"/>
  <c r="AI38" i="10"/>
  <c r="AD38" i="10"/>
  <c r="AC38" i="10"/>
  <c r="Z38" i="10"/>
  <c r="AA38" i="10" s="1"/>
  <c r="O38" i="10"/>
  <c r="K38" i="10"/>
  <c r="AI37" i="10"/>
  <c r="AD37" i="10"/>
  <c r="AC37" i="10"/>
  <c r="Z37" i="10"/>
  <c r="AA37" i="10" s="1"/>
  <c r="O37" i="10"/>
  <c r="K37" i="10"/>
  <c r="AI36" i="10"/>
  <c r="AF36" i="10"/>
  <c r="AD36" i="10"/>
  <c r="AC36" i="10"/>
  <c r="AA36" i="10"/>
  <c r="Z36" i="10"/>
  <c r="O36" i="10"/>
  <c r="K36" i="10"/>
  <c r="AH36" i="10" s="1"/>
  <c r="AI35" i="10"/>
  <c r="AD35" i="10"/>
  <c r="AC35" i="10"/>
  <c r="Z35" i="10"/>
  <c r="AA35" i="10" s="1"/>
  <c r="O35" i="10"/>
  <c r="AF35" i="10" s="1"/>
  <c r="K35" i="10"/>
  <c r="AJ35" i="10" s="1"/>
  <c r="AI34" i="10"/>
  <c r="AD34" i="10"/>
  <c r="AC34" i="10"/>
  <c r="Z34" i="10"/>
  <c r="AA34" i="10" s="1"/>
  <c r="O34" i="10"/>
  <c r="AF34" i="10" s="1"/>
  <c r="K34" i="10"/>
  <c r="AH34" i="10" s="1"/>
  <c r="AI33" i="10"/>
  <c r="AH33" i="10"/>
  <c r="AD33" i="10"/>
  <c r="AC33" i="10"/>
  <c r="Z33" i="10"/>
  <c r="AA33" i="10" s="1"/>
  <c r="O33" i="10"/>
  <c r="AF33" i="10" s="1"/>
  <c r="K33" i="10"/>
  <c r="AI32" i="10"/>
  <c r="AD32" i="10"/>
  <c r="AC32" i="10"/>
  <c r="Z32" i="10"/>
  <c r="AA32" i="10" s="1"/>
  <c r="O32" i="10"/>
  <c r="K32" i="10"/>
  <c r="AI31" i="10"/>
  <c r="AD31" i="10"/>
  <c r="AC31" i="10"/>
  <c r="Z31" i="10"/>
  <c r="AA31" i="10" s="1"/>
  <c r="O31" i="10"/>
  <c r="AF31" i="10" s="1"/>
  <c r="K31" i="10"/>
  <c r="AI30" i="10"/>
  <c r="AF30" i="10"/>
  <c r="AD30" i="10"/>
  <c r="AC30" i="10"/>
  <c r="Z30" i="10"/>
  <c r="AA30" i="10" s="1"/>
  <c r="O30" i="10"/>
  <c r="K30" i="10"/>
  <c r="AH30" i="10" s="1"/>
  <c r="AI29" i="10"/>
  <c r="AD29" i="10"/>
  <c r="AC29" i="10"/>
  <c r="Z29" i="10"/>
  <c r="AA29" i="10" s="1"/>
  <c r="O29" i="10"/>
  <c r="AF29" i="10" s="1"/>
  <c r="K29" i="10"/>
  <c r="AI28" i="10"/>
  <c r="AD28" i="10"/>
  <c r="AC28" i="10"/>
  <c r="Z28" i="10"/>
  <c r="AA28" i="10" s="1"/>
  <c r="O28" i="10"/>
  <c r="K28" i="10"/>
  <c r="AI27" i="10"/>
  <c r="AD27" i="10"/>
  <c r="AC27" i="10"/>
  <c r="Z27" i="10"/>
  <c r="AA27" i="10" s="1"/>
  <c r="O27" i="10"/>
  <c r="AF27" i="10" s="1"/>
  <c r="K27" i="10"/>
  <c r="AH27" i="10" s="1"/>
  <c r="AI26" i="10"/>
  <c r="AF26" i="10"/>
  <c r="AD26" i="10"/>
  <c r="AC26" i="10"/>
  <c r="Z26" i="10"/>
  <c r="AA26" i="10" s="1"/>
  <c r="K26" i="10"/>
  <c r="AI25" i="10"/>
  <c r="AF25" i="10"/>
  <c r="AD25" i="10"/>
  <c r="AC25" i="10"/>
  <c r="Z25" i="10"/>
  <c r="AA25" i="10" s="1"/>
  <c r="AB25" i="10" s="1"/>
  <c r="K25" i="10"/>
  <c r="AI24" i="10"/>
  <c r="AD24" i="10"/>
  <c r="AC24" i="10"/>
  <c r="Z24" i="10"/>
  <c r="AA24" i="10" s="1"/>
  <c r="O24" i="10"/>
  <c r="AJ24" i="10" s="1"/>
  <c r="K24" i="10"/>
  <c r="AH24" i="10" s="1"/>
  <c r="AI23" i="10"/>
  <c r="AF23" i="10"/>
  <c r="AD23" i="10"/>
  <c r="AC23" i="10"/>
  <c r="Z23" i="10"/>
  <c r="AA23" i="10" s="1"/>
  <c r="O23" i="10"/>
  <c r="K23" i="10"/>
  <c r="AH23" i="10" s="1"/>
  <c r="AI22" i="10"/>
  <c r="AF22" i="10"/>
  <c r="AD22" i="10"/>
  <c r="AC22" i="10"/>
  <c r="Z22" i="10"/>
  <c r="AA22" i="10" s="1"/>
  <c r="AB22" i="10" s="1"/>
  <c r="K22" i="10"/>
  <c r="AJ22" i="10" s="1"/>
  <c r="AI21" i="10"/>
  <c r="AH21" i="10"/>
  <c r="AD21" i="10"/>
  <c r="AC21" i="10"/>
  <c r="Z21" i="10"/>
  <c r="AA21" i="10" s="1"/>
  <c r="O21" i="10"/>
  <c r="K21" i="10"/>
  <c r="AI20" i="10"/>
  <c r="AF20" i="10"/>
  <c r="AD20" i="10"/>
  <c r="AC20" i="10"/>
  <c r="Z20" i="10"/>
  <c r="AA20" i="10" s="1"/>
  <c r="AB20" i="10" s="1"/>
  <c r="K20" i="10"/>
  <c r="AH20" i="10" s="1"/>
  <c r="AI19" i="10"/>
  <c r="AD19" i="10"/>
  <c r="AC19" i="10"/>
  <c r="Z19" i="10"/>
  <c r="AA19" i="10" s="1"/>
  <c r="N19" i="10"/>
  <c r="O19" i="10" s="1"/>
  <c r="K19" i="10"/>
  <c r="AH19" i="10" s="1"/>
  <c r="AI18" i="10"/>
  <c r="AD18" i="10"/>
  <c r="AC18" i="10"/>
  <c r="Z18" i="10"/>
  <c r="AA18" i="10" s="1"/>
  <c r="O18" i="10"/>
  <c r="K18" i="10"/>
  <c r="AJ18" i="10" s="1"/>
  <c r="AI17" i="10"/>
  <c r="AH17" i="10"/>
  <c r="AD17" i="10"/>
  <c r="AC17" i="10"/>
  <c r="Z17" i="10"/>
  <c r="AA17" i="10" s="1"/>
  <c r="N17" i="10"/>
  <c r="O17" i="10" s="1"/>
  <c r="AF17" i="10" s="1"/>
  <c r="K17" i="10"/>
  <c r="AI16" i="10"/>
  <c r="AD16" i="10"/>
  <c r="AC16" i="10"/>
  <c r="Z16" i="10"/>
  <c r="AA16" i="10" s="1"/>
  <c r="O16" i="10"/>
  <c r="AF16" i="10" s="1"/>
  <c r="K16" i="10"/>
  <c r="AI15" i="10"/>
  <c r="AH15" i="10"/>
  <c r="AD15" i="10"/>
  <c r="AC15" i="10"/>
  <c r="Z15" i="10"/>
  <c r="AA15" i="10" s="1"/>
  <c r="O15" i="10"/>
  <c r="AF15" i="10" s="1"/>
  <c r="K15" i="10"/>
  <c r="AI14" i="10"/>
  <c r="AD14" i="10"/>
  <c r="AC14" i="10"/>
  <c r="Z14" i="10"/>
  <c r="AA14" i="10" s="1"/>
  <c r="O14" i="10"/>
  <c r="AF14" i="10" s="1"/>
  <c r="K14" i="10"/>
  <c r="AH14" i="10" s="1"/>
  <c r="AI13" i="10"/>
  <c r="AF13" i="10"/>
  <c r="AD13" i="10"/>
  <c r="AC13" i="10"/>
  <c r="Z13" i="10"/>
  <c r="AA13" i="10" s="1"/>
  <c r="K13" i="10"/>
  <c r="AI12" i="10"/>
  <c r="AF12" i="10"/>
  <c r="AD12" i="10"/>
  <c r="AC12" i="10"/>
  <c r="Z12" i="10"/>
  <c r="AA12" i="10" s="1"/>
  <c r="K12" i="10"/>
  <c r="AI11" i="10"/>
  <c r="AF11" i="10"/>
  <c r="AD11" i="10"/>
  <c r="AC11" i="10"/>
  <c r="Z11" i="10"/>
  <c r="AA11" i="10" s="1"/>
  <c r="K11" i="10"/>
  <c r="AI10" i="10"/>
  <c r="AD10" i="10"/>
  <c r="AC10" i="10"/>
  <c r="AA10" i="10"/>
  <c r="Z10" i="10"/>
  <c r="O10" i="10"/>
  <c r="K10" i="10"/>
  <c r="AH10" i="10" s="1"/>
  <c r="AI9" i="10"/>
  <c r="AD9" i="10"/>
  <c r="AC9" i="10"/>
  <c r="Z9" i="10"/>
  <c r="AA9" i="10" s="1"/>
  <c r="O9" i="10"/>
  <c r="AF9" i="10" s="1"/>
  <c r="K9" i="10"/>
  <c r="AI8" i="10"/>
  <c r="AD8" i="10"/>
  <c r="AC8" i="10"/>
  <c r="Z8" i="10"/>
  <c r="AA8" i="10" s="1"/>
  <c r="O8" i="10"/>
  <c r="K8" i="10"/>
  <c r="AH8" i="10" s="1"/>
  <c r="AI7" i="10"/>
  <c r="AH7" i="10"/>
  <c r="AD7" i="10"/>
  <c r="AC7" i="10"/>
  <c r="AA7" i="10"/>
  <c r="Z7" i="10"/>
  <c r="O7" i="10"/>
  <c r="AF7" i="10" s="1"/>
  <c r="K7" i="10"/>
  <c r="AI6" i="10"/>
  <c r="AD6" i="10"/>
  <c r="AC6" i="10"/>
  <c r="Z6" i="10"/>
  <c r="AA6" i="10" s="1"/>
  <c r="O6" i="10"/>
  <c r="AF6" i="10" s="1"/>
  <c r="K6" i="10"/>
  <c r="AI5" i="10"/>
  <c r="AD5" i="10"/>
  <c r="AC5" i="10"/>
  <c r="Z5" i="10"/>
  <c r="AA5" i="10" s="1"/>
  <c r="O5" i="10"/>
  <c r="AF5" i="10" s="1"/>
  <c r="K5" i="10"/>
  <c r="AL4" i="10"/>
  <c r="AI4" i="10"/>
  <c r="AD4" i="10"/>
  <c r="AC4" i="10"/>
  <c r="Z4" i="10"/>
  <c r="AA4" i="10" s="1"/>
  <c r="O4" i="10"/>
  <c r="AF4" i="10" s="1"/>
  <c r="K4" i="10"/>
  <c r="AJ4" i="10" s="1"/>
  <c r="I2" i="10"/>
  <c r="C6" i="12" s="1"/>
  <c r="AP71" i="9"/>
  <c r="AI69" i="9"/>
  <c r="AD69" i="9"/>
  <c r="AC69" i="9"/>
  <c r="Z69" i="9"/>
  <c r="AA69" i="9" s="1"/>
  <c r="AB69" i="9" s="1"/>
  <c r="O69" i="9"/>
  <c r="AF69" i="9" s="1"/>
  <c r="K69" i="9"/>
  <c r="AI68" i="9"/>
  <c r="AD68" i="9"/>
  <c r="AC68" i="9"/>
  <c r="AA68" i="9"/>
  <c r="Z68" i="9"/>
  <c r="O68" i="9"/>
  <c r="AF68" i="9" s="1"/>
  <c r="K68" i="9"/>
  <c r="AI67" i="9"/>
  <c r="AD67" i="9"/>
  <c r="AC67" i="9"/>
  <c r="Z67" i="9"/>
  <c r="AA67" i="9" s="1"/>
  <c r="O67" i="9"/>
  <c r="K67" i="9"/>
  <c r="AI66" i="9"/>
  <c r="AH66" i="9"/>
  <c r="AD66" i="9"/>
  <c r="AC66" i="9"/>
  <c r="Z66" i="9"/>
  <c r="AA66" i="9" s="1"/>
  <c r="O66" i="9"/>
  <c r="K66" i="9"/>
  <c r="AI65" i="9"/>
  <c r="AD65" i="9"/>
  <c r="AC65" i="9"/>
  <c r="AA65" i="9"/>
  <c r="O65" i="9"/>
  <c r="AF65" i="9" s="1"/>
  <c r="K65" i="9"/>
  <c r="AI64" i="9"/>
  <c r="AD64" i="9"/>
  <c r="AC64" i="9"/>
  <c r="Z64" i="9"/>
  <c r="AA64" i="9" s="1"/>
  <c r="O64" i="9"/>
  <c r="K64" i="9"/>
  <c r="AI63" i="9"/>
  <c r="AF63" i="9"/>
  <c r="AD63" i="9"/>
  <c r="AC63" i="9"/>
  <c r="AA63" i="9"/>
  <c r="Z63" i="9"/>
  <c r="O63" i="9"/>
  <c r="K63" i="9"/>
  <c r="AI62" i="9"/>
  <c r="AD62" i="9"/>
  <c r="AC62" i="9"/>
  <c r="AA62" i="9"/>
  <c r="O62" i="9"/>
  <c r="K62" i="9"/>
  <c r="AI61" i="9"/>
  <c r="AF61" i="9"/>
  <c r="AD61" i="9"/>
  <c r="AC61" i="9"/>
  <c r="AA61" i="9"/>
  <c r="AB61" i="9" s="1"/>
  <c r="K61" i="9"/>
  <c r="AI60" i="9"/>
  <c r="AD60" i="9"/>
  <c r="AC60" i="9"/>
  <c r="Z60" i="9"/>
  <c r="AA60" i="9" s="1"/>
  <c r="O60" i="9"/>
  <c r="AF60" i="9" s="1"/>
  <c r="K60" i="9"/>
  <c r="AI59" i="9"/>
  <c r="AD59" i="9"/>
  <c r="AC59" i="9"/>
  <c r="Z59" i="9"/>
  <c r="AA59" i="9" s="1"/>
  <c r="O59" i="9"/>
  <c r="K59" i="9"/>
  <c r="AI58" i="9"/>
  <c r="AF58" i="9"/>
  <c r="AD58" i="9"/>
  <c r="AC58" i="9"/>
  <c r="AA58" i="9"/>
  <c r="Z58" i="9"/>
  <c r="O58" i="9"/>
  <c r="K58" i="9"/>
  <c r="AH58" i="9" s="1"/>
  <c r="AI57" i="9"/>
  <c r="AD57" i="9"/>
  <c r="AC57" i="9"/>
  <c r="Z57" i="9"/>
  <c r="AA57" i="9" s="1"/>
  <c r="O57" i="9"/>
  <c r="AF57" i="9" s="1"/>
  <c r="K57" i="9"/>
  <c r="AH57" i="9" s="1"/>
  <c r="AI56" i="9"/>
  <c r="AD56" i="9"/>
  <c r="AC56" i="9"/>
  <c r="Z56" i="9"/>
  <c r="AA56" i="9" s="1"/>
  <c r="O56" i="9"/>
  <c r="AF56" i="9" s="1"/>
  <c r="K56" i="9"/>
  <c r="AI55" i="9"/>
  <c r="AD55" i="9"/>
  <c r="AC55" i="9"/>
  <c r="Z55" i="9"/>
  <c r="AA55" i="9" s="1"/>
  <c r="O55" i="9"/>
  <c r="K55" i="9"/>
  <c r="AH55" i="9" s="1"/>
  <c r="AI54" i="9"/>
  <c r="AD54" i="9"/>
  <c r="AC54" i="9"/>
  <c r="Z54" i="9"/>
  <c r="AA54" i="9" s="1"/>
  <c r="AB54" i="9" s="1"/>
  <c r="O54" i="9"/>
  <c r="AF54" i="9" s="1"/>
  <c r="K54" i="9"/>
  <c r="AJ54" i="9" s="1"/>
  <c r="AI53" i="9"/>
  <c r="AD53" i="9"/>
  <c r="AC53" i="9"/>
  <c r="Z53" i="9"/>
  <c r="AA53" i="9" s="1"/>
  <c r="O53" i="9"/>
  <c r="AF53" i="9" s="1"/>
  <c r="K53" i="9"/>
  <c r="AJ53" i="9" s="1"/>
  <c r="AI52" i="9"/>
  <c r="AD52" i="9"/>
  <c r="AC52" i="9"/>
  <c r="Z52" i="9"/>
  <c r="AA52" i="9" s="1"/>
  <c r="O52" i="9"/>
  <c r="K52" i="9"/>
  <c r="AJ51" i="9"/>
  <c r="AK51" i="9" s="1"/>
  <c r="AI51" i="9"/>
  <c r="AF51" i="9"/>
  <c r="AD51" i="9"/>
  <c r="AC51" i="9"/>
  <c r="Z51" i="9"/>
  <c r="AA51" i="9" s="1"/>
  <c r="AB51" i="9" s="1"/>
  <c r="AP51" i="9" s="1"/>
  <c r="K51" i="9"/>
  <c r="AH51" i="9" s="1"/>
  <c r="AJ50" i="9"/>
  <c r="AI50" i="9"/>
  <c r="AH50" i="9"/>
  <c r="AK50" i="9" s="1"/>
  <c r="AF50" i="9"/>
  <c r="AD50" i="9"/>
  <c r="AC50" i="9"/>
  <c r="Z50" i="9"/>
  <c r="AA50" i="9" s="1"/>
  <c r="AB50" i="9" s="1"/>
  <c r="AP50" i="9" s="1"/>
  <c r="K50" i="9"/>
  <c r="AI49" i="9"/>
  <c r="AF49" i="9"/>
  <c r="AD49" i="9"/>
  <c r="AC49" i="9"/>
  <c r="Z49" i="9"/>
  <c r="AA49" i="9" s="1"/>
  <c r="AB49" i="9" s="1"/>
  <c r="K49" i="9"/>
  <c r="AI48" i="9"/>
  <c r="AD48" i="9"/>
  <c r="AC48" i="9"/>
  <c r="Z48" i="9"/>
  <c r="AA48" i="9" s="1"/>
  <c r="O48" i="9"/>
  <c r="K48" i="9"/>
  <c r="AI47" i="9"/>
  <c r="AD47" i="9"/>
  <c r="AC47" i="9"/>
  <c r="Z47" i="9"/>
  <c r="AA47" i="9" s="1"/>
  <c r="O47" i="9"/>
  <c r="AF47" i="9" s="1"/>
  <c r="K47" i="9"/>
  <c r="AI46" i="9"/>
  <c r="AD46" i="9"/>
  <c r="AC46" i="9"/>
  <c r="Z46" i="9"/>
  <c r="AA46" i="9" s="1"/>
  <c r="O46" i="9"/>
  <c r="K46" i="9"/>
  <c r="AH46" i="9" s="1"/>
  <c r="AI45" i="9"/>
  <c r="AD45" i="9"/>
  <c r="AC45" i="9"/>
  <c r="AA45" i="9"/>
  <c r="AB45" i="9" s="1"/>
  <c r="O45" i="9"/>
  <c r="AF45" i="9" s="1"/>
  <c r="K45" i="9"/>
  <c r="AI44" i="9"/>
  <c r="AD44" i="9"/>
  <c r="AC44" i="9"/>
  <c r="Z44" i="9"/>
  <c r="AA44" i="9" s="1"/>
  <c r="O44" i="9"/>
  <c r="K44" i="9"/>
  <c r="AI43" i="9"/>
  <c r="AD43" i="9"/>
  <c r="AC43" i="9"/>
  <c r="Z43" i="9"/>
  <c r="AA43" i="9" s="1"/>
  <c r="O43" i="9"/>
  <c r="AF43" i="9" s="1"/>
  <c r="K43" i="9"/>
  <c r="AI42" i="9"/>
  <c r="AF42" i="9"/>
  <c r="AD42" i="9"/>
  <c r="AC42" i="9"/>
  <c r="Z42" i="9"/>
  <c r="AA42" i="9" s="1"/>
  <c r="AB42" i="9" s="1"/>
  <c r="AP42" i="9" s="1"/>
  <c r="O42" i="9"/>
  <c r="K42" i="9"/>
  <c r="AH42" i="9" s="1"/>
  <c r="AI41" i="9"/>
  <c r="AD41" i="9"/>
  <c r="AC41" i="9"/>
  <c r="Z41" i="9"/>
  <c r="AA41" i="9" s="1"/>
  <c r="O41" i="9"/>
  <c r="AF41" i="9" s="1"/>
  <c r="K41" i="9"/>
  <c r="AI40" i="9"/>
  <c r="AD40" i="9"/>
  <c r="AC40" i="9"/>
  <c r="Z40" i="9"/>
  <c r="AA40" i="9" s="1"/>
  <c r="AB40" i="9" s="1"/>
  <c r="O40" i="9"/>
  <c r="AF40" i="9" s="1"/>
  <c r="K40" i="9"/>
  <c r="AI39" i="9"/>
  <c r="AD39" i="9"/>
  <c r="AC39" i="9"/>
  <c r="Z39" i="9"/>
  <c r="AA39" i="9" s="1"/>
  <c r="O39" i="9"/>
  <c r="AF39" i="9" s="1"/>
  <c r="K39" i="9"/>
  <c r="AI38" i="9"/>
  <c r="AF38" i="9"/>
  <c r="AD38" i="9"/>
  <c r="AC38" i="9"/>
  <c r="Z38" i="9"/>
  <c r="AA38" i="9" s="1"/>
  <c r="AB38" i="9" s="1"/>
  <c r="O38" i="9"/>
  <c r="K38" i="9"/>
  <c r="AI37" i="9"/>
  <c r="AD37" i="9"/>
  <c r="AC37" i="9"/>
  <c r="Z37" i="9"/>
  <c r="AA37" i="9" s="1"/>
  <c r="O37" i="9"/>
  <c r="K37" i="9"/>
  <c r="AI36" i="9"/>
  <c r="AD36" i="9"/>
  <c r="AC36" i="9"/>
  <c r="Z36" i="9"/>
  <c r="AA36" i="9" s="1"/>
  <c r="O36" i="9"/>
  <c r="K36" i="9"/>
  <c r="AH36" i="9" s="1"/>
  <c r="AI35" i="9"/>
  <c r="AD35" i="9"/>
  <c r="AC35" i="9"/>
  <c r="Z35" i="9"/>
  <c r="AA35" i="9" s="1"/>
  <c r="O35" i="9"/>
  <c r="K35" i="9"/>
  <c r="AI34" i="9"/>
  <c r="AD34" i="9"/>
  <c r="AC34" i="9"/>
  <c r="Z34" i="9"/>
  <c r="AA34" i="9" s="1"/>
  <c r="N34" i="9"/>
  <c r="O34" i="9" s="1"/>
  <c r="AF34" i="9" s="1"/>
  <c r="K34" i="9"/>
  <c r="AH34" i="9" s="1"/>
  <c r="AI33" i="9"/>
  <c r="AD33" i="9"/>
  <c r="AC33" i="9"/>
  <c r="Z33" i="9"/>
  <c r="AA33" i="9" s="1"/>
  <c r="O33" i="9"/>
  <c r="AF33" i="9" s="1"/>
  <c r="K33" i="9"/>
  <c r="AI32" i="9"/>
  <c r="AD32" i="9"/>
  <c r="AC32" i="9"/>
  <c r="Z32" i="9"/>
  <c r="AA32" i="9" s="1"/>
  <c r="N32" i="9"/>
  <c r="O32" i="9" s="1"/>
  <c r="K32" i="9"/>
  <c r="AH32" i="9" s="1"/>
  <c r="AI31" i="9"/>
  <c r="AD31" i="9"/>
  <c r="AC31" i="9"/>
  <c r="Z31" i="9"/>
  <c r="AA31" i="9" s="1"/>
  <c r="AB31" i="9" s="1"/>
  <c r="O31" i="9"/>
  <c r="AF31" i="9" s="1"/>
  <c r="K31" i="9"/>
  <c r="AH31" i="9" s="1"/>
  <c r="AI30" i="9"/>
  <c r="AH30" i="9"/>
  <c r="AD30" i="9"/>
  <c r="AC30" i="9"/>
  <c r="Z30" i="9"/>
  <c r="AA30" i="9" s="1"/>
  <c r="O30" i="9"/>
  <c r="K30" i="9"/>
  <c r="AI29" i="9"/>
  <c r="AD29" i="9"/>
  <c r="AC29" i="9"/>
  <c r="Z29" i="9"/>
  <c r="AA29" i="9" s="1"/>
  <c r="N29" i="9"/>
  <c r="O29" i="9" s="1"/>
  <c r="K29" i="9"/>
  <c r="AI28" i="9"/>
  <c r="AD28" i="9"/>
  <c r="AC28" i="9"/>
  <c r="Z28" i="9"/>
  <c r="AA28" i="9" s="1"/>
  <c r="AB28" i="9" s="1"/>
  <c r="AP28" i="9" s="1"/>
  <c r="O28" i="9"/>
  <c r="K28" i="9"/>
  <c r="AH28" i="9" s="1"/>
  <c r="AI27" i="9"/>
  <c r="AH27" i="9"/>
  <c r="AD27" i="9"/>
  <c r="AC27" i="9"/>
  <c r="Z27" i="9"/>
  <c r="AA27" i="9" s="1"/>
  <c r="AB27" i="9" s="1"/>
  <c r="AP27" i="9" s="1"/>
  <c r="O27" i="9"/>
  <c r="AF27" i="9" s="1"/>
  <c r="K27" i="9"/>
  <c r="AJ27" i="9" s="1"/>
  <c r="AI26" i="9"/>
  <c r="AD26" i="9"/>
  <c r="AC26" i="9"/>
  <c r="Z26" i="9"/>
  <c r="AA26" i="9" s="1"/>
  <c r="O26" i="9"/>
  <c r="K26" i="9"/>
  <c r="AI25" i="9"/>
  <c r="AD25" i="9"/>
  <c r="AC25" i="9"/>
  <c r="Z25" i="9"/>
  <c r="AA25" i="9" s="1"/>
  <c r="O25" i="9"/>
  <c r="K25" i="9"/>
  <c r="AI24" i="9"/>
  <c r="AD24" i="9"/>
  <c r="AC24" i="9"/>
  <c r="Z24" i="9"/>
  <c r="AA24" i="9" s="1"/>
  <c r="O24" i="9"/>
  <c r="K24" i="9"/>
  <c r="AH24" i="9" s="1"/>
  <c r="AI23" i="9"/>
  <c r="AD23" i="9"/>
  <c r="AC23" i="9"/>
  <c r="AA23" i="9"/>
  <c r="Z23" i="9"/>
  <c r="O23" i="9"/>
  <c r="AF23" i="9" s="1"/>
  <c r="K23" i="9"/>
  <c r="AI22" i="9"/>
  <c r="AD22" i="9"/>
  <c r="AC22" i="9"/>
  <c r="Z22" i="9"/>
  <c r="AA22" i="9" s="1"/>
  <c r="O22" i="9"/>
  <c r="K22" i="9"/>
  <c r="AI21" i="9"/>
  <c r="AD21" i="9"/>
  <c r="AC21" i="9"/>
  <c r="Z21" i="9"/>
  <c r="AA21" i="9" s="1"/>
  <c r="AB21" i="9" s="1"/>
  <c r="AP21" i="9" s="1"/>
  <c r="O21" i="9"/>
  <c r="AF21" i="9" s="1"/>
  <c r="K21" i="9"/>
  <c r="AH21" i="9" s="1"/>
  <c r="AI20" i="9"/>
  <c r="AD20" i="9"/>
  <c r="AC20" i="9"/>
  <c r="Z20" i="9"/>
  <c r="AA20" i="9" s="1"/>
  <c r="O20" i="9"/>
  <c r="K20" i="9"/>
  <c r="AH20" i="9" s="1"/>
  <c r="AI19" i="9"/>
  <c r="AH19" i="9"/>
  <c r="AD19" i="9"/>
  <c r="AC19" i="9"/>
  <c r="AA19" i="9"/>
  <c r="Z19" i="9"/>
  <c r="O19" i="9"/>
  <c r="AF19" i="9" s="1"/>
  <c r="K19" i="9"/>
  <c r="AI18" i="9"/>
  <c r="AD18" i="9"/>
  <c r="AC18" i="9"/>
  <c r="Z18" i="9"/>
  <c r="AA18" i="9" s="1"/>
  <c r="O18" i="9"/>
  <c r="AF18" i="9" s="1"/>
  <c r="K18" i="9"/>
  <c r="AJ18" i="9" s="1"/>
  <c r="AI17" i="9"/>
  <c r="AD17" i="9"/>
  <c r="AC17" i="9"/>
  <c r="Z17" i="9"/>
  <c r="AA17" i="9" s="1"/>
  <c r="O17" i="9"/>
  <c r="K17" i="9"/>
  <c r="AH17" i="9" s="1"/>
  <c r="AI16" i="9"/>
  <c r="AD16" i="9"/>
  <c r="AC16" i="9"/>
  <c r="Z16" i="9"/>
  <c r="AA16" i="9" s="1"/>
  <c r="O16" i="9"/>
  <c r="K16" i="9"/>
  <c r="AH16" i="9" s="1"/>
  <c r="AI15" i="9"/>
  <c r="AD15" i="9"/>
  <c r="AC15" i="9"/>
  <c r="Z15" i="9"/>
  <c r="AA15" i="9" s="1"/>
  <c r="AB15" i="9" s="1"/>
  <c r="O15" i="9"/>
  <c r="AF15" i="9" s="1"/>
  <c r="K15" i="9"/>
  <c r="AJ15" i="9" s="1"/>
  <c r="AI14" i="9"/>
  <c r="AF14" i="9"/>
  <c r="AD14" i="9"/>
  <c r="AC14" i="9"/>
  <c r="AA14" i="9"/>
  <c r="AB14" i="9" s="1"/>
  <c r="Z14" i="9"/>
  <c r="K14" i="9"/>
  <c r="AI13" i="9"/>
  <c r="AF13" i="9"/>
  <c r="AD13" i="9"/>
  <c r="AC13" i="9"/>
  <c r="Z13" i="9"/>
  <c r="AA13" i="9" s="1"/>
  <c r="AB13" i="9" s="1"/>
  <c r="K13" i="9"/>
  <c r="AI12" i="9"/>
  <c r="AH12" i="9"/>
  <c r="AK12" i="9" s="1"/>
  <c r="AF12" i="9"/>
  <c r="AD12" i="9"/>
  <c r="AC12" i="9"/>
  <c r="Z12" i="9"/>
  <c r="AA12" i="9" s="1"/>
  <c r="AB12" i="9" s="1"/>
  <c r="AP12" i="9" s="1"/>
  <c r="K12" i="9"/>
  <c r="AJ12" i="9" s="1"/>
  <c r="AI11" i="9"/>
  <c r="AD11" i="9"/>
  <c r="AC11" i="9"/>
  <c r="Z11" i="9"/>
  <c r="AA11" i="9" s="1"/>
  <c r="O11" i="9"/>
  <c r="AJ11" i="9" s="1"/>
  <c r="K11" i="9"/>
  <c r="AH11" i="9" s="1"/>
  <c r="AI10" i="9"/>
  <c r="AD10" i="9"/>
  <c r="AC10" i="9"/>
  <c r="Z10" i="9"/>
  <c r="AA10" i="9" s="1"/>
  <c r="O10" i="9"/>
  <c r="K10" i="9"/>
  <c r="AI9" i="9"/>
  <c r="AD9" i="9"/>
  <c r="AC9" i="9"/>
  <c r="Z9" i="9"/>
  <c r="AA9" i="9" s="1"/>
  <c r="O9" i="9"/>
  <c r="K9" i="9"/>
  <c r="AI8" i="9"/>
  <c r="AD8" i="9"/>
  <c r="AC8" i="9"/>
  <c r="Z8" i="9"/>
  <c r="AA8" i="9" s="1"/>
  <c r="O8" i="9"/>
  <c r="AJ8" i="9" s="1"/>
  <c r="K8" i="9"/>
  <c r="AH8" i="9" s="1"/>
  <c r="AI7" i="9"/>
  <c r="AF7" i="9"/>
  <c r="AD7" i="9"/>
  <c r="AC7" i="9"/>
  <c r="Z7" i="9"/>
  <c r="AA7" i="9" s="1"/>
  <c r="AB7" i="9" s="1"/>
  <c r="K7" i="9"/>
  <c r="AI6" i="9"/>
  <c r="AD6" i="9"/>
  <c r="AC6" i="9"/>
  <c r="Z6" i="9"/>
  <c r="AA6" i="9" s="1"/>
  <c r="O6" i="9"/>
  <c r="AF6" i="9" s="1"/>
  <c r="K6" i="9"/>
  <c r="AI5" i="9"/>
  <c r="AD5" i="9"/>
  <c r="AC5" i="9"/>
  <c r="Z5" i="9"/>
  <c r="AA5" i="9" s="1"/>
  <c r="M5" i="9"/>
  <c r="O5" i="9" s="1"/>
  <c r="K5" i="9"/>
  <c r="AI4" i="9"/>
  <c r="AD4" i="9"/>
  <c r="AC4" i="9"/>
  <c r="Z4" i="9"/>
  <c r="AA4" i="9" s="1"/>
  <c r="M4" i="9"/>
  <c r="O4" i="9" s="1"/>
  <c r="K4" i="9"/>
  <c r="I2" i="9"/>
  <c r="C7" i="12" s="1"/>
  <c r="AI73" i="8"/>
  <c r="AD73" i="8"/>
  <c r="AC73" i="8"/>
  <c r="Z73" i="8"/>
  <c r="AA73" i="8" s="1"/>
  <c r="O73" i="8"/>
  <c r="K73" i="8"/>
  <c r="AI72" i="8"/>
  <c r="AH72" i="8"/>
  <c r="AD72" i="8"/>
  <c r="AC72" i="8"/>
  <c r="Z72" i="8"/>
  <c r="AA72" i="8" s="1"/>
  <c r="O72" i="8"/>
  <c r="AF72" i="8" s="1"/>
  <c r="K72" i="8"/>
  <c r="AI71" i="8"/>
  <c r="AD71" i="8"/>
  <c r="AC71" i="8"/>
  <c r="Z71" i="8"/>
  <c r="AA71" i="8" s="1"/>
  <c r="O71" i="8"/>
  <c r="K71" i="8"/>
  <c r="AH71" i="8" s="1"/>
  <c r="AI70" i="8"/>
  <c r="AD70" i="8"/>
  <c r="AC70" i="8"/>
  <c r="Z70" i="8"/>
  <c r="AA70" i="8" s="1"/>
  <c r="O70" i="8"/>
  <c r="K70" i="8"/>
  <c r="AI69" i="8"/>
  <c r="AD69" i="8"/>
  <c r="AC69" i="8"/>
  <c r="Z69" i="8"/>
  <c r="AA69" i="8" s="1"/>
  <c r="O69" i="8"/>
  <c r="K69" i="8"/>
  <c r="AI68" i="8"/>
  <c r="AD68" i="8"/>
  <c r="AC68" i="8"/>
  <c r="Z68" i="8"/>
  <c r="AA68" i="8" s="1"/>
  <c r="O68" i="8"/>
  <c r="AB68" i="8" s="1"/>
  <c r="K68" i="8"/>
  <c r="AI67" i="8"/>
  <c r="AD67" i="8"/>
  <c r="AC67" i="8"/>
  <c r="Z67" i="8"/>
  <c r="AA67" i="8" s="1"/>
  <c r="O67" i="8"/>
  <c r="AF67" i="8" s="1"/>
  <c r="K67" i="8"/>
  <c r="AI66" i="8"/>
  <c r="AD66" i="8"/>
  <c r="AC66" i="8"/>
  <c r="Z66" i="8"/>
  <c r="AA66" i="8" s="1"/>
  <c r="O66" i="8"/>
  <c r="AF66" i="8" s="1"/>
  <c r="K66" i="8"/>
  <c r="AI65" i="8"/>
  <c r="AD65" i="8"/>
  <c r="AC65" i="8"/>
  <c r="Z65" i="8"/>
  <c r="AA65" i="8" s="1"/>
  <c r="O65" i="8"/>
  <c r="K65" i="8"/>
  <c r="AH65" i="8" s="1"/>
  <c r="AI64" i="8"/>
  <c r="AD64" i="8"/>
  <c r="AC64" i="8"/>
  <c r="Z64" i="8"/>
  <c r="AA64" i="8" s="1"/>
  <c r="O64" i="8"/>
  <c r="AF64" i="8" s="1"/>
  <c r="K64" i="8"/>
  <c r="AI63" i="8"/>
  <c r="AD63" i="8"/>
  <c r="AC63" i="8"/>
  <c r="Z63" i="8"/>
  <c r="AA63" i="8" s="1"/>
  <c r="O63" i="8"/>
  <c r="AF63" i="8" s="1"/>
  <c r="K63" i="8"/>
  <c r="AI62" i="8"/>
  <c r="AD62" i="8"/>
  <c r="AC62" i="8"/>
  <c r="AA62" i="8"/>
  <c r="Z62" i="8"/>
  <c r="O62" i="8"/>
  <c r="K62" i="8"/>
  <c r="AI61" i="8"/>
  <c r="AD61" i="8"/>
  <c r="AC61" i="8"/>
  <c r="Z61" i="8"/>
  <c r="AA61" i="8" s="1"/>
  <c r="O61" i="8"/>
  <c r="K61" i="8"/>
  <c r="AI60" i="8"/>
  <c r="AD60" i="8"/>
  <c r="AC60" i="8"/>
  <c r="Z60" i="8"/>
  <c r="AA60" i="8" s="1"/>
  <c r="O60" i="8"/>
  <c r="K60" i="8"/>
  <c r="AH60" i="8" s="1"/>
  <c r="AI59" i="8"/>
  <c r="AD59" i="8"/>
  <c r="AC59" i="8"/>
  <c r="Z59" i="8"/>
  <c r="AA59" i="8" s="1"/>
  <c r="O59" i="8"/>
  <c r="K59" i="8"/>
  <c r="AI58" i="8"/>
  <c r="AD58" i="8"/>
  <c r="AC58" i="8"/>
  <c r="Z58" i="8"/>
  <c r="AA58" i="8" s="1"/>
  <c r="O58" i="8"/>
  <c r="K58" i="8"/>
  <c r="AH58" i="8" s="1"/>
  <c r="AI57" i="8"/>
  <c r="AD57" i="8"/>
  <c r="AC57" i="8"/>
  <c r="Z57" i="8"/>
  <c r="AA57" i="8" s="1"/>
  <c r="O57" i="8"/>
  <c r="AF57" i="8" s="1"/>
  <c r="K57" i="8"/>
  <c r="AJ57" i="8" s="1"/>
  <c r="AI56" i="8"/>
  <c r="AD56" i="8"/>
  <c r="AC56" i="8"/>
  <c r="Z56" i="8"/>
  <c r="AA56" i="8" s="1"/>
  <c r="O56" i="8"/>
  <c r="AF56" i="8" s="1"/>
  <c r="K56" i="8"/>
  <c r="AH56" i="8" s="1"/>
  <c r="AI55" i="8"/>
  <c r="AD55" i="8"/>
  <c r="AC55" i="8"/>
  <c r="Z55" i="8"/>
  <c r="AA55" i="8" s="1"/>
  <c r="O55" i="8"/>
  <c r="AF55" i="8" s="1"/>
  <c r="K55" i="8"/>
  <c r="AI54" i="8"/>
  <c r="AD54" i="8"/>
  <c r="AC54" i="8"/>
  <c r="Z54" i="8"/>
  <c r="AA54" i="8" s="1"/>
  <c r="O54" i="8"/>
  <c r="K54" i="8"/>
  <c r="AI53" i="8"/>
  <c r="AD53" i="8"/>
  <c r="AC53" i="8"/>
  <c r="Z53" i="8"/>
  <c r="AA53" i="8" s="1"/>
  <c r="O53" i="8"/>
  <c r="AF53" i="8" s="1"/>
  <c r="K53" i="8"/>
  <c r="AI52" i="8"/>
  <c r="AD52" i="8"/>
  <c r="AC52" i="8"/>
  <c r="Z52" i="8"/>
  <c r="AA52" i="8" s="1"/>
  <c r="O52" i="8"/>
  <c r="AB52" i="8" s="1"/>
  <c r="K52" i="8"/>
  <c r="AI51" i="8"/>
  <c r="AD51" i="8"/>
  <c r="AC51" i="8"/>
  <c r="Z51" i="8"/>
  <c r="AA51" i="8" s="1"/>
  <c r="O51" i="8"/>
  <c r="K51" i="8"/>
  <c r="AH51" i="8" s="1"/>
  <c r="AI50" i="8"/>
  <c r="AD50" i="8"/>
  <c r="AC50" i="8"/>
  <c r="AA50" i="8"/>
  <c r="O50" i="8"/>
  <c r="K50" i="8"/>
  <c r="AH50" i="8" s="1"/>
  <c r="AI49" i="8"/>
  <c r="AD49" i="8"/>
  <c r="AC49" i="8"/>
  <c r="Z49" i="8"/>
  <c r="AA49" i="8" s="1"/>
  <c r="O49" i="8"/>
  <c r="AF49" i="8" s="1"/>
  <c r="K49" i="8"/>
  <c r="AI48" i="8"/>
  <c r="AH48" i="8"/>
  <c r="AD48" i="8"/>
  <c r="AC48" i="8"/>
  <c r="Z48" i="8"/>
  <c r="AA48" i="8" s="1"/>
  <c r="O48" i="8"/>
  <c r="K48" i="8"/>
  <c r="AI47" i="8"/>
  <c r="AD47" i="8"/>
  <c r="AC47" i="8"/>
  <c r="Z47" i="8"/>
  <c r="AA47" i="8" s="1"/>
  <c r="O47" i="8"/>
  <c r="AF47" i="8" s="1"/>
  <c r="K47" i="8"/>
  <c r="AJ46" i="8"/>
  <c r="AI46" i="8"/>
  <c r="AD46" i="8"/>
  <c r="AC46" i="8"/>
  <c r="Z46" i="8"/>
  <c r="AA46" i="8" s="1"/>
  <c r="AB46" i="8" s="1"/>
  <c r="AV46" i="8" s="1"/>
  <c r="O46" i="8"/>
  <c r="AF46" i="8" s="1"/>
  <c r="K46" i="8"/>
  <c r="AH46" i="8" s="1"/>
  <c r="AI45" i="8"/>
  <c r="AH45" i="8"/>
  <c r="AD45" i="8"/>
  <c r="AC45" i="8"/>
  <c r="Z45" i="8"/>
  <c r="AA45" i="8" s="1"/>
  <c r="O45" i="8"/>
  <c r="K45" i="8"/>
  <c r="AI44" i="8"/>
  <c r="AH44" i="8"/>
  <c r="AD44" i="8"/>
  <c r="AC44" i="8"/>
  <c r="Z44" i="8"/>
  <c r="AA44" i="8" s="1"/>
  <c r="O44" i="8"/>
  <c r="AF44" i="8" s="1"/>
  <c r="K44" i="8"/>
  <c r="AI43" i="8"/>
  <c r="AD43" i="8"/>
  <c r="AC43" i="8"/>
  <c r="Z43" i="8"/>
  <c r="AA43" i="8" s="1"/>
  <c r="O43" i="8"/>
  <c r="K43" i="8"/>
  <c r="AI42" i="8"/>
  <c r="AD42" i="8"/>
  <c r="AC42" i="8"/>
  <c r="AA42" i="8"/>
  <c r="Z42" i="8"/>
  <c r="O42" i="8"/>
  <c r="K42" i="8"/>
  <c r="AJ41" i="8"/>
  <c r="AI41" i="8"/>
  <c r="AD41" i="8"/>
  <c r="AC41" i="8"/>
  <c r="Z41" i="8"/>
  <c r="AA41" i="8" s="1"/>
  <c r="O41" i="8"/>
  <c r="AF41" i="8" s="1"/>
  <c r="K41" i="8"/>
  <c r="AH41" i="8" s="1"/>
  <c r="AJ40" i="8"/>
  <c r="AK40" i="8" s="1"/>
  <c r="AI40" i="8"/>
  <c r="AD40" i="8"/>
  <c r="AC40" i="8"/>
  <c r="Z40" i="8"/>
  <c r="AA40" i="8" s="1"/>
  <c r="O40" i="8"/>
  <c r="AF40" i="8" s="1"/>
  <c r="K40" i="8"/>
  <c r="AH40" i="8" s="1"/>
  <c r="AI39" i="8"/>
  <c r="AH39" i="8"/>
  <c r="AD39" i="8"/>
  <c r="AC39" i="8"/>
  <c r="AA39" i="8"/>
  <c r="Z39" i="8"/>
  <c r="O39" i="8"/>
  <c r="AF39" i="8" s="1"/>
  <c r="K39" i="8"/>
  <c r="AI38" i="8"/>
  <c r="AD38" i="8"/>
  <c r="AC38" i="8"/>
  <c r="Z38" i="8"/>
  <c r="AA38" i="8" s="1"/>
  <c r="O38" i="8"/>
  <c r="AF38" i="8" s="1"/>
  <c r="K38" i="8"/>
  <c r="AI37" i="8"/>
  <c r="AD37" i="8"/>
  <c r="AC37" i="8"/>
  <c r="Z37" i="8"/>
  <c r="AA37" i="8" s="1"/>
  <c r="O37" i="8"/>
  <c r="AF37" i="8" s="1"/>
  <c r="K37" i="8"/>
  <c r="AH37" i="8" s="1"/>
  <c r="AI36" i="8"/>
  <c r="AH36" i="8"/>
  <c r="AK36" i="8" s="1"/>
  <c r="AF36" i="8"/>
  <c r="AD36" i="8"/>
  <c r="AC36" i="8"/>
  <c r="AA36" i="8"/>
  <c r="Z36" i="8"/>
  <c r="O36" i="8"/>
  <c r="K36" i="8"/>
  <c r="AJ36" i="8" s="1"/>
  <c r="AI35" i="8"/>
  <c r="AD35" i="8"/>
  <c r="AC35" i="8"/>
  <c r="Z35" i="8"/>
  <c r="AA35" i="8" s="1"/>
  <c r="O35" i="8"/>
  <c r="AF35" i="8" s="1"/>
  <c r="K35" i="8"/>
  <c r="AH35" i="8" s="1"/>
  <c r="AI34" i="8"/>
  <c r="AD34" i="8"/>
  <c r="AC34" i="8"/>
  <c r="Z34" i="8"/>
  <c r="AA34" i="8" s="1"/>
  <c r="O34" i="8"/>
  <c r="K34" i="8"/>
  <c r="AJ33" i="8"/>
  <c r="AK33" i="8" s="1"/>
  <c r="AI33" i="8"/>
  <c r="AD33" i="8"/>
  <c r="AC33" i="8"/>
  <c r="Z33" i="8"/>
  <c r="AA33" i="8" s="1"/>
  <c r="O33" i="8"/>
  <c r="AF33" i="8" s="1"/>
  <c r="K33" i="8"/>
  <c r="AH33" i="8" s="1"/>
  <c r="AI32" i="8"/>
  <c r="AH32" i="8"/>
  <c r="AD32" i="8"/>
  <c r="AC32" i="8"/>
  <c r="Z32" i="8"/>
  <c r="AA32" i="8" s="1"/>
  <c r="AB32" i="8" s="1"/>
  <c r="AV32" i="8" s="1"/>
  <c r="O32" i="8"/>
  <c r="AF32" i="8" s="1"/>
  <c r="K32" i="8"/>
  <c r="AI31" i="8"/>
  <c r="AD31" i="8"/>
  <c r="AC31" i="8"/>
  <c r="Z31" i="8"/>
  <c r="AA31" i="8" s="1"/>
  <c r="O31" i="8"/>
  <c r="K31" i="8"/>
  <c r="AI30" i="8"/>
  <c r="AD30" i="8"/>
  <c r="AC30" i="8"/>
  <c r="Z30" i="8"/>
  <c r="AA30" i="8" s="1"/>
  <c r="O30" i="8"/>
  <c r="K30" i="8"/>
  <c r="AI29" i="8"/>
  <c r="AD29" i="8"/>
  <c r="AC29" i="8"/>
  <c r="Z29" i="8"/>
  <c r="AA29" i="8" s="1"/>
  <c r="O29" i="8"/>
  <c r="AF29" i="8" s="1"/>
  <c r="K29" i="8"/>
  <c r="AI28" i="8"/>
  <c r="AD28" i="8"/>
  <c r="AC28" i="8"/>
  <c r="Z28" i="8"/>
  <c r="AA28" i="8" s="1"/>
  <c r="O28" i="8"/>
  <c r="AF28" i="8" s="1"/>
  <c r="K28" i="8"/>
  <c r="AI27" i="8"/>
  <c r="AD27" i="8"/>
  <c r="AC27" i="8"/>
  <c r="Z27" i="8"/>
  <c r="AA27" i="8" s="1"/>
  <c r="O27" i="8"/>
  <c r="AF27" i="8" s="1"/>
  <c r="K27" i="8"/>
  <c r="AI26" i="8"/>
  <c r="AD26" i="8"/>
  <c r="AC26" i="8"/>
  <c r="Z26" i="8"/>
  <c r="AA26" i="8" s="1"/>
  <c r="O26" i="8"/>
  <c r="AF26" i="8" s="1"/>
  <c r="K26" i="8"/>
  <c r="AI25" i="8"/>
  <c r="AD25" i="8"/>
  <c r="AC25" i="8"/>
  <c r="Z25" i="8"/>
  <c r="AA25" i="8" s="1"/>
  <c r="O25" i="8"/>
  <c r="K25" i="8"/>
  <c r="AI24" i="8"/>
  <c r="AD24" i="8"/>
  <c r="AC24" i="8"/>
  <c r="Z24" i="8"/>
  <c r="AA24" i="8" s="1"/>
  <c r="O24" i="8"/>
  <c r="K24" i="8"/>
  <c r="AI23" i="8"/>
  <c r="AD23" i="8"/>
  <c r="AC23" i="8"/>
  <c r="Z23" i="8"/>
  <c r="AA23" i="8" s="1"/>
  <c r="O23" i="8"/>
  <c r="AF23" i="8" s="1"/>
  <c r="K23" i="8"/>
  <c r="AH23" i="8" s="1"/>
  <c r="AJ22" i="8"/>
  <c r="AI22" i="8"/>
  <c r="AH22" i="8"/>
  <c r="AD22" i="8"/>
  <c r="AC22" i="8"/>
  <c r="Z22" i="8"/>
  <c r="AA22" i="8" s="1"/>
  <c r="O22" i="8"/>
  <c r="AF22" i="8" s="1"/>
  <c r="K22" i="8"/>
  <c r="AI21" i="8"/>
  <c r="AD21" i="8"/>
  <c r="AC21" i="8"/>
  <c r="Z21" i="8"/>
  <c r="AA21" i="8" s="1"/>
  <c r="O21" i="8"/>
  <c r="K21" i="8"/>
  <c r="AI20" i="8"/>
  <c r="AD20" i="8"/>
  <c r="AC20" i="8"/>
  <c r="Z20" i="8"/>
  <c r="AA20" i="8" s="1"/>
  <c r="O20" i="8"/>
  <c r="K20" i="8"/>
  <c r="AI19" i="8"/>
  <c r="AD19" i="8"/>
  <c r="AC19" i="8"/>
  <c r="Z19" i="8"/>
  <c r="AA19" i="8" s="1"/>
  <c r="O19" i="8"/>
  <c r="K19" i="8"/>
  <c r="AI18" i="8"/>
  <c r="AD18" i="8"/>
  <c r="AC18" i="8"/>
  <c r="Z18" i="8"/>
  <c r="AA18" i="8" s="1"/>
  <c r="O18" i="8"/>
  <c r="K18" i="8"/>
  <c r="AJ17" i="8"/>
  <c r="AI17" i="8"/>
  <c r="AD17" i="8"/>
  <c r="AC17" i="8"/>
  <c r="Z17" i="8"/>
  <c r="AA17" i="8" s="1"/>
  <c r="AB17" i="8" s="1"/>
  <c r="O17" i="8"/>
  <c r="AF17" i="8" s="1"/>
  <c r="K17" i="8"/>
  <c r="AH17" i="8" s="1"/>
  <c r="AI16" i="8"/>
  <c r="AD16" i="8"/>
  <c r="AC16" i="8"/>
  <c r="Z16" i="8"/>
  <c r="AA16" i="8" s="1"/>
  <c r="O16" i="8"/>
  <c r="AF16" i="8" s="1"/>
  <c r="K16" i="8"/>
  <c r="AI15" i="8"/>
  <c r="AF15" i="8"/>
  <c r="AD15" i="8"/>
  <c r="AC15" i="8"/>
  <c r="Z15" i="8"/>
  <c r="AA15" i="8" s="1"/>
  <c r="AB15" i="8" s="1"/>
  <c r="K15" i="8"/>
  <c r="AH15" i="8" s="1"/>
  <c r="AI14" i="8"/>
  <c r="AD14" i="8"/>
  <c r="AC14" i="8"/>
  <c r="Z14" i="8"/>
  <c r="AA14" i="8" s="1"/>
  <c r="O14" i="8"/>
  <c r="AF14" i="8" s="1"/>
  <c r="K14" i="8"/>
  <c r="AI13" i="8"/>
  <c r="AF13" i="8"/>
  <c r="AD13" i="8"/>
  <c r="AC13" i="8"/>
  <c r="Z13" i="8"/>
  <c r="AA13" i="8" s="1"/>
  <c r="AB13" i="8" s="1"/>
  <c r="K13" i="8"/>
  <c r="AJ12" i="8"/>
  <c r="AI12" i="8"/>
  <c r="AF12" i="8"/>
  <c r="AD12" i="8"/>
  <c r="AC12" i="8"/>
  <c r="Z12" i="8"/>
  <c r="AA12" i="8" s="1"/>
  <c r="AB12" i="8" s="1"/>
  <c r="AV12" i="8" s="1"/>
  <c r="K12" i="8"/>
  <c r="AH12" i="8" s="1"/>
  <c r="AI11" i="8"/>
  <c r="AD11" i="8"/>
  <c r="AC11" i="8"/>
  <c r="Z11" i="8"/>
  <c r="AA11" i="8" s="1"/>
  <c r="O11" i="8"/>
  <c r="K11" i="8"/>
  <c r="AI10" i="8"/>
  <c r="AF10" i="8"/>
  <c r="AD10" i="8"/>
  <c r="AC10" i="8"/>
  <c r="AA10" i="8"/>
  <c r="AB10" i="8" s="1"/>
  <c r="K10" i="8"/>
  <c r="AJ9" i="8"/>
  <c r="AI9" i="8"/>
  <c r="AD9" i="8"/>
  <c r="AC9" i="8"/>
  <c r="Z9" i="8"/>
  <c r="AA9" i="8" s="1"/>
  <c r="O9" i="8"/>
  <c r="K9" i="8"/>
  <c r="AH9" i="8" s="1"/>
  <c r="AI8" i="8"/>
  <c r="AD8" i="8"/>
  <c r="AC8" i="8"/>
  <c r="Z8" i="8"/>
  <c r="AA8" i="8" s="1"/>
  <c r="AB8" i="8" s="1"/>
  <c r="O8" i="8"/>
  <c r="AF8" i="8" s="1"/>
  <c r="K8" i="8"/>
  <c r="AI7" i="8"/>
  <c r="AD7" i="8"/>
  <c r="AC7" i="8"/>
  <c r="Z7" i="8"/>
  <c r="AA7" i="8" s="1"/>
  <c r="O7" i="8"/>
  <c r="AF7" i="8" s="1"/>
  <c r="K7" i="8"/>
  <c r="AH7" i="8" s="1"/>
  <c r="AI6" i="8"/>
  <c r="AF6" i="8"/>
  <c r="AD6" i="8"/>
  <c r="AC6" i="8"/>
  <c r="Z6" i="8"/>
  <c r="AA6" i="8" s="1"/>
  <c r="AB6" i="8" s="1"/>
  <c r="AV6" i="8" s="1"/>
  <c r="O6" i="8"/>
  <c r="K6" i="8"/>
  <c r="AI5" i="8"/>
  <c r="AD5" i="8"/>
  <c r="AC5" i="8"/>
  <c r="Z5" i="8"/>
  <c r="AA5" i="8" s="1"/>
  <c r="O5" i="8"/>
  <c r="K5" i="8"/>
  <c r="AH5" i="8" s="1"/>
  <c r="I2" i="8"/>
  <c r="C8" i="12" s="1"/>
  <c r="AK50" i="7"/>
  <c r="AK49" i="7"/>
  <c r="AJ47" i="7"/>
  <c r="AK51" i="7" s="1"/>
  <c r="AM46" i="7"/>
  <c r="AI44" i="7"/>
  <c r="AH44" i="7"/>
  <c r="AD44" i="7"/>
  <c r="AC44" i="7"/>
  <c r="Z44" i="7"/>
  <c r="AA44" i="7" s="1"/>
  <c r="O44" i="7"/>
  <c r="AJ44" i="7" s="1"/>
  <c r="K44" i="7"/>
  <c r="AI43" i="7"/>
  <c r="AD43" i="7"/>
  <c r="AC43" i="7"/>
  <c r="Z43" i="7"/>
  <c r="AA43" i="7" s="1"/>
  <c r="O43" i="7"/>
  <c r="K43" i="7"/>
  <c r="AJ42" i="7"/>
  <c r="AK42" i="7" s="1"/>
  <c r="AI42" i="7"/>
  <c r="AD42" i="7"/>
  <c r="AC42" i="7"/>
  <c r="AA42" i="7"/>
  <c r="Z42" i="7"/>
  <c r="O42" i="7"/>
  <c r="K42" i="7"/>
  <c r="AH42" i="7" s="1"/>
  <c r="AI41" i="7"/>
  <c r="AD41" i="7"/>
  <c r="AC41" i="7"/>
  <c r="Z41" i="7"/>
  <c r="AA41" i="7" s="1"/>
  <c r="O41" i="7"/>
  <c r="K41" i="7"/>
  <c r="AI40" i="7"/>
  <c r="AD40" i="7"/>
  <c r="AC40" i="7"/>
  <c r="Z40" i="7"/>
  <c r="AA40" i="7" s="1"/>
  <c r="O40" i="7"/>
  <c r="K40" i="7"/>
  <c r="AI39" i="7"/>
  <c r="AD39" i="7"/>
  <c r="AC39" i="7"/>
  <c r="Z39" i="7"/>
  <c r="AA39" i="7" s="1"/>
  <c r="O39" i="7"/>
  <c r="K39" i="7"/>
  <c r="AI38" i="7"/>
  <c r="AH38" i="7"/>
  <c r="AF38" i="7"/>
  <c r="AD38" i="7"/>
  <c r="AC38" i="7"/>
  <c r="AA38" i="7"/>
  <c r="Z38" i="7"/>
  <c r="O38" i="7"/>
  <c r="K38" i="7"/>
  <c r="AJ38" i="7" s="1"/>
  <c r="AI37" i="7"/>
  <c r="AD37" i="7"/>
  <c r="AC37" i="7"/>
  <c r="Z37" i="7"/>
  <c r="AA37" i="7" s="1"/>
  <c r="O37" i="7"/>
  <c r="K37" i="7"/>
  <c r="AI36" i="7"/>
  <c r="AD36" i="7"/>
  <c r="AC36" i="7"/>
  <c r="Z36" i="7"/>
  <c r="AA36" i="7" s="1"/>
  <c r="O36" i="7"/>
  <c r="K36" i="7"/>
  <c r="AI35" i="7"/>
  <c r="AD35" i="7"/>
  <c r="AC35" i="7"/>
  <c r="Z35" i="7"/>
  <c r="AA35" i="7" s="1"/>
  <c r="O35" i="7"/>
  <c r="AF35" i="7" s="1"/>
  <c r="K35" i="7"/>
  <c r="AI34" i="7"/>
  <c r="AD34" i="7"/>
  <c r="AC34" i="7"/>
  <c r="Z34" i="7"/>
  <c r="AA34" i="7" s="1"/>
  <c r="O34" i="7"/>
  <c r="K34" i="7"/>
  <c r="AI33" i="7"/>
  <c r="AD33" i="7"/>
  <c r="AC33" i="7"/>
  <c r="Z33" i="7"/>
  <c r="AA33" i="7" s="1"/>
  <c r="O33" i="7"/>
  <c r="K33" i="7"/>
  <c r="AH33" i="7" s="1"/>
  <c r="AJ32" i="7"/>
  <c r="AK32" i="7" s="1"/>
  <c r="AI32" i="7"/>
  <c r="AD32" i="7"/>
  <c r="AC32" i="7"/>
  <c r="AA32" i="7"/>
  <c r="Z32" i="7"/>
  <c r="O32" i="7"/>
  <c r="AF32" i="7" s="1"/>
  <c r="K32" i="7"/>
  <c r="AH32" i="7" s="1"/>
  <c r="AI31" i="7"/>
  <c r="AD31" i="7"/>
  <c r="AC31" i="7"/>
  <c r="Z31" i="7"/>
  <c r="AA31" i="7" s="1"/>
  <c r="O31" i="7"/>
  <c r="K31" i="7"/>
  <c r="AH31" i="7" s="1"/>
  <c r="AI30" i="7"/>
  <c r="AH30" i="7"/>
  <c r="AD30" i="7"/>
  <c r="AC30" i="7"/>
  <c r="Z30" i="7"/>
  <c r="AA30" i="7" s="1"/>
  <c r="O30" i="7"/>
  <c r="K30" i="7"/>
  <c r="AI29" i="7"/>
  <c r="AD29" i="7"/>
  <c r="AC29" i="7"/>
  <c r="Z29" i="7"/>
  <c r="AA29" i="7" s="1"/>
  <c r="O29" i="7"/>
  <c r="AJ29" i="7" s="1"/>
  <c r="K29" i="7"/>
  <c r="AH29" i="7" s="1"/>
  <c r="AI28" i="7"/>
  <c r="AD28" i="7"/>
  <c r="AC28" i="7"/>
  <c r="Z28" i="7"/>
  <c r="AA28" i="7" s="1"/>
  <c r="O28" i="7"/>
  <c r="AF28" i="7" s="1"/>
  <c r="K28" i="7"/>
  <c r="AI27" i="7"/>
  <c r="AD27" i="7"/>
  <c r="AC27" i="7"/>
  <c r="Z27" i="7"/>
  <c r="AA27" i="7" s="1"/>
  <c r="O27" i="7"/>
  <c r="K27" i="7"/>
  <c r="AI26" i="7"/>
  <c r="AD26" i="7"/>
  <c r="AC26" i="7"/>
  <c r="Z26" i="7"/>
  <c r="AA26" i="7" s="1"/>
  <c r="O26" i="7"/>
  <c r="K26" i="7"/>
  <c r="AH26" i="7" s="1"/>
  <c r="AI25" i="7"/>
  <c r="AH25" i="7"/>
  <c r="AD25" i="7"/>
  <c r="AC25" i="7"/>
  <c r="Z25" i="7"/>
  <c r="AA25" i="7" s="1"/>
  <c r="O25" i="7"/>
  <c r="AF25" i="7" s="1"/>
  <c r="K25" i="7"/>
  <c r="AJ25" i="7" s="1"/>
  <c r="AI24" i="7"/>
  <c r="AD24" i="7"/>
  <c r="AC24" i="7"/>
  <c r="Z24" i="7"/>
  <c r="AA24" i="7" s="1"/>
  <c r="O24" i="7"/>
  <c r="K24" i="7"/>
  <c r="AH24" i="7" s="1"/>
  <c r="AI23" i="7"/>
  <c r="AD23" i="7"/>
  <c r="AC23" i="7"/>
  <c r="Z23" i="7"/>
  <c r="AA23" i="7" s="1"/>
  <c r="O23" i="7"/>
  <c r="K23" i="7"/>
  <c r="AH23" i="7" s="1"/>
  <c r="AI22" i="7"/>
  <c r="AH22" i="7"/>
  <c r="AD22" i="7"/>
  <c r="AC22" i="7"/>
  <c r="Z22" i="7"/>
  <c r="AA22" i="7" s="1"/>
  <c r="O22" i="7"/>
  <c r="K22" i="7"/>
  <c r="AI21" i="7"/>
  <c r="AD21" i="7"/>
  <c r="AC21" i="7"/>
  <c r="Z21" i="7"/>
  <c r="AA21" i="7" s="1"/>
  <c r="O21" i="7"/>
  <c r="AF21" i="7" s="1"/>
  <c r="K21" i="7"/>
  <c r="AH21" i="7" s="1"/>
  <c r="AI20" i="7"/>
  <c r="AD20" i="7"/>
  <c r="AC20" i="7"/>
  <c r="Z20" i="7"/>
  <c r="AA20" i="7" s="1"/>
  <c r="O20" i="7"/>
  <c r="AF20" i="7" s="1"/>
  <c r="K20" i="7"/>
  <c r="AI19" i="7"/>
  <c r="AH19" i="7"/>
  <c r="AD19" i="7"/>
  <c r="AC19" i="7"/>
  <c r="Z19" i="7"/>
  <c r="AA19" i="7" s="1"/>
  <c r="O19" i="7"/>
  <c r="AB19" i="7" s="1"/>
  <c r="K19" i="7"/>
  <c r="AJ19" i="7" s="1"/>
  <c r="AI18" i="7"/>
  <c r="AD18" i="7"/>
  <c r="AC18" i="7"/>
  <c r="Z18" i="7"/>
  <c r="AA18" i="7" s="1"/>
  <c r="O18" i="7"/>
  <c r="K18" i="7"/>
  <c r="AJ18" i="7" s="1"/>
  <c r="AI17" i="7"/>
  <c r="AD17" i="7"/>
  <c r="AC17" i="7"/>
  <c r="Z17" i="7"/>
  <c r="AA17" i="7" s="1"/>
  <c r="O17" i="7"/>
  <c r="AF17" i="7" s="1"/>
  <c r="K17" i="7"/>
  <c r="AI16" i="7"/>
  <c r="AD16" i="7"/>
  <c r="AC16" i="7"/>
  <c r="Z16" i="7"/>
  <c r="AA16" i="7" s="1"/>
  <c r="O16" i="7"/>
  <c r="K16" i="7"/>
  <c r="AI15" i="7"/>
  <c r="AH15" i="7"/>
  <c r="AD15" i="7"/>
  <c r="AC15" i="7"/>
  <c r="Z15" i="7"/>
  <c r="AA15" i="7" s="1"/>
  <c r="O15" i="7"/>
  <c r="AF15" i="7" s="1"/>
  <c r="K15" i="7"/>
  <c r="AJ15" i="7" s="1"/>
  <c r="AJ14" i="7"/>
  <c r="AK14" i="7" s="1"/>
  <c r="AI14" i="7"/>
  <c r="AD14" i="7"/>
  <c r="AC14" i="7"/>
  <c r="Z14" i="7"/>
  <c r="AA14" i="7" s="1"/>
  <c r="O14" i="7"/>
  <c r="AF14" i="7" s="1"/>
  <c r="K14" i="7"/>
  <c r="AH14" i="7" s="1"/>
  <c r="AI13" i="7"/>
  <c r="AD13" i="7"/>
  <c r="AC13" i="7"/>
  <c r="Z13" i="7"/>
  <c r="AA13" i="7" s="1"/>
  <c r="O13" i="7"/>
  <c r="AF13" i="7" s="1"/>
  <c r="K13" i="7"/>
  <c r="AI12" i="7"/>
  <c r="AD12" i="7"/>
  <c r="AC12" i="7"/>
  <c r="Z12" i="7"/>
  <c r="AA12" i="7" s="1"/>
  <c r="O12" i="7"/>
  <c r="K12" i="7"/>
  <c r="AH12" i="7" s="1"/>
  <c r="AI11" i="7"/>
  <c r="AD11" i="7"/>
  <c r="AC11" i="7"/>
  <c r="Z11" i="7"/>
  <c r="AA11" i="7" s="1"/>
  <c r="AB11" i="7" s="1"/>
  <c r="O11" i="7"/>
  <c r="AF11" i="7" s="1"/>
  <c r="K11" i="7"/>
  <c r="AH11" i="7" s="1"/>
  <c r="AI10" i="7"/>
  <c r="AD10" i="7"/>
  <c r="AC10" i="7"/>
  <c r="Z10" i="7"/>
  <c r="AA10" i="7" s="1"/>
  <c r="AB10" i="7" s="1"/>
  <c r="O10" i="7"/>
  <c r="AF10" i="7" s="1"/>
  <c r="K10" i="7"/>
  <c r="AI9" i="7"/>
  <c r="AD9" i="7"/>
  <c r="AC9" i="7"/>
  <c r="AA9" i="7"/>
  <c r="Z9" i="7"/>
  <c r="O9" i="7"/>
  <c r="K9" i="7"/>
  <c r="AH9" i="7" s="1"/>
  <c r="AI8" i="7"/>
  <c r="AH8" i="7"/>
  <c r="AD8" i="7"/>
  <c r="AC8" i="7"/>
  <c r="Z8" i="7"/>
  <c r="AA8" i="7" s="1"/>
  <c r="O8" i="7"/>
  <c r="AJ8" i="7" s="1"/>
  <c r="K8" i="7"/>
  <c r="AI7" i="7"/>
  <c r="AD7" i="7"/>
  <c r="AC7" i="7"/>
  <c r="Z7" i="7"/>
  <c r="AA7" i="7" s="1"/>
  <c r="O7" i="7"/>
  <c r="K7" i="7"/>
  <c r="AH7" i="7" s="1"/>
  <c r="AI6" i="7"/>
  <c r="AD6" i="7"/>
  <c r="AC6" i="7"/>
  <c r="Z6" i="7"/>
  <c r="AA6" i="7" s="1"/>
  <c r="O6" i="7"/>
  <c r="K6" i="7"/>
  <c r="AI5" i="7"/>
  <c r="AD5" i="7"/>
  <c r="AC5" i="7"/>
  <c r="AA5" i="7"/>
  <c r="Z5" i="7"/>
  <c r="O5" i="7"/>
  <c r="AF5" i="7" s="1"/>
  <c r="K5" i="7"/>
  <c r="AH5" i="7" s="1"/>
  <c r="I2" i="7"/>
  <c r="C9" i="12" s="1"/>
  <c r="AI62" i="6"/>
  <c r="AD62" i="6"/>
  <c r="AC62" i="6"/>
  <c r="Z62" i="6"/>
  <c r="AE62" i="6" s="1"/>
  <c r="O62" i="6"/>
  <c r="K62" i="6"/>
  <c r="AI61" i="6"/>
  <c r="AD61" i="6"/>
  <c r="AC61" i="6"/>
  <c r="Z61" i="6"/>
  <c r="AE61" i="6" s="1"/>
  <c r="O61" i="6"/>
  <c r="K61" i="6"/>
  <c r="AH61" i="6" s="1"/>
  <c r="AI60" i="6"/>
  <c r="AD60" i="6"/>
  <c r="AC60" i="6"/>
  <c r="Z60" i="6"/>
  <c r="AA60" i="6" s="1"/>
  <c r="O60" i="6"/>
  <c r="AF60" i="6" s="1"/>
  <c r="K60" i="6"/>
  <c r="AH60" i="6" s="1"/>
  <c r="AI59" i="6"/>
  <c r="AD59" i="6"/>
  <c r="AC59" i="6"/>
  <c r="Z59" i="6"/>
  <c r="AA59" i="6" s="1"/>
  <c r="O59" i="6"/>
  <c r="K59" i="6"/>
  <c r="AI58" i="6"/>
  <c r="AD58" i="6"/>
  <c r="AC58" i="6"/>
  <c r="Z58" i="6"/>
  <c r="AE58" i="6" s="1"/>
  <c r="O58" i="6"/>
  <c r="AF58" i="6" s="1"/>
  <c r="K58" i="6"/>
  <c r="AI57" i="6"/>
  <c r="AD57" i="6"/>
  <c r="AC57" i="6"/>
  <c r="Z57" i="6"/>
  <c r="AA57" i="6" s="1"/>
  <c r="O57" i="6"/>
  <c r="AF57" i="6" s="1"/>
  <c r="K57" i="6"/>
  <c r="AI56" i="6"/>
  <c r="AD56" i="6"/>
  <c r="AC56" i="6"/>
  <c r="Z56" i="6"/>
  <c r="AA56" i="6" s="1"/>
  <c r="O56" i="6"/>
  <c r="AF56" i="6" s="1"/>
  <c r="K56" i="6"/>
  <c r="AI55" i="6"/>
  <c r="AD55" i="6"/>
  <c r="AC55" i="6"/>
  <c r="Z55" i="6"/>
  <c r="O55" i="6"/>
  <c r="AF55" i="6" s="1"/>
  <c r="K55" i="6"/>
  <c r="AI54" i="6"/>
  <c r="AD54" i="6"/>
  <c r="AC54" i="6"/>
  <c r="Z54" i="6"/>
  <c r="O54" i="6"/>
  <c r="K54" i="6"/>
  <c r="AH54" i="6" s="1"/>
  <c r="AI53" i="6"/>
  <c r="AD53" i="6"/>
  <c r="AC53" i="6"/>
  <c r="Z53" i="6"/>
  <c r="AE53" i="6" s="1"/>
  <c r="O53" i="6"/>
  <c r="K53" i="6"/>
  <c r="AJ53" i="6" s="1"/>
  <c r="AI52" i="6"/>
  <c r="AD52" i="6"/>
  <c r="AC52" i="6"/>
  <c r="Z52" i="6"/>
  <c r="AE52" i="6" s="1"/>
  <c r="O52" i="6"/>
  <c r="K52" i="6"/>
  <c r="AI51" i="6"/>
  <c r="AD51" i="6"/>
  <c r="AC51" i="6"/>
  <c r="Z51" i="6"/>
  <c r="O51" i="6"/>
  <c r="AF51" i="6" s="1"/>
  <c r="K51" i="6"/>
  <c r="AI50" i="6"/>
  <c r="AD50" i="6"/>
  <c r="AC50" i="6"/>
  <c r="Z50" i="6"/>
  <c r="AE50" i="6" s="1"/>
  <c r="O50" i="6"/>
  <c r="AF50" i="6" s="1"/>
  <c r="K50" i="6"/>
  <c r="AI49" i="6"/>
  <c r="AD49" i="6"/>
  <c r="AC49" i="6"/>
  <c r="Z49" i="6"/>
  <c r="AE49" i="6" s="1"/>
  <c r="O49" i="6"/>
  <c r="K49" i="6"/>
  <c r="AH49" i="6" s="1"/>
  <c r="AI48" i="6"/>
  <c r="AD48" i="6"/>
  <c r="AC48" i="6"/>
  <c r="Z48" i="6"/>
  <c r="AA48" i="6" s="1"/>
  <c r="AB48" i="6" s="1"/>
  <c r="O48" i="6"/>
  <c r="AF48" i="6" s="1"/>
  <c r="K48" i="6"/>
  <c r="AI47" i="6"/>
  <c r="AD47" i="6"/>
  <c r="AC47" i="6"/>
  <c r="Z47" i="6"/>
  <c r="AA47" i="6" s="1"/>
  <c r="O47" i="6"/>
  <c r="AF47" i="6" s="1"/>
  <c r="K47" i="6"/>
  <c r="AJ47" i="6" s="1"/>
  <c r="AI46" i="6"/>
  <c r="AD46" i="6"/>
  <c r="AC46" i="6"/>
  <c r="Z46" i="6"/>
  <c r="O46" i="6"/>
  <c r="AF46" i="6" s="1"/>
  <c r="K46" i="6"/>
  <c r="AI45" i="6"/>
  <c r="AD45" i="6"/>
  <c r="AC45" i="6"/>
  <c r="Z45" i="6"/>
  <c r="O45" i="6"/>
  <c r="AF45" i="6" s="1"/>
  <c r="K45" i="6"/>
  <c r="AH45" i="6" s="1"/>
  <c r="AI44" i="6"/>
  <c r="AD44" i="6"/>
  <c r="AC44" i="6"/>
  <c r="Z44" i="6"/>
  <c r="AA44" i="6" s="1"/>
  <c r="O44" i="6"/>
  <c r="AF44" i="6" s="1"/>
  <c r="K44" i="6"/>
  <c r="AJ44" i="6" s="1"/>
  <c r="AI43" i="6"/>
  <c r="AE43" i="6"/>
  <c r="AD43" i="6"/>
  <c r="AC43" i="6"/>
  <c r="Z43" i="6"/>
  <c r="AA43" i="6" s="1"/>
  <c r="O43" i="6"/>
  <c r="AF43" i="6" s="1"/>
  <c r="K43" i="6"/>
  <c r="AH43" i="6" s="1"/>
  <c r="AI42" i="6"/>
  <c r="AH42" i="6"/>
  <c r="AF42" i="6"/>
  <c r="AD42" i="6"/>
  <c r="AC42" i="6"/>
  <c r="Z42" i="6"/>
  <c r="AE42" i="6" s="1"/>
  <c r="O42" i="6"/>
  <c r="K42" i="6"/>
  <c r="AI41" i="6"/>
  <c r="AD41" i="6"/>
  <c r="AC41" i="6"/>
  <c r="Z41" i="6"/>
  <c r="AE41" i="6" s="1"/>
  <c r="O41" i="6"/>
  <c r="AF41" i="6" s="1"/>
  <c r="K41" i="6"/>
  <c r="AI40" i="6"/>
  <c r="AD40" i="6"/>
  <c r="AC40" i="6"/>
  <c r="Z40" i="6"/>
  <c r="O40" i="6"/>
  <c r="AF40" i="6" s="1"/>
  <c r="K40" i="6"/>
  <c r="AI39" i="6"/>
  <c r="AD39" i="6"/>
  <c r="AC39" i="6"/>
  <c r="Z39" i="6"/>
  <c r="AA39" i="6" s="1"/>
  <c r="O39" i="6"/>
  <c r="AF39" i="6" s="1"/>
  <c r="K39" i="6"/>
  <c r="AH39" i="6" s="1"/>
  <c r="AI38" i="6"/>
  <c r="AD38" i="6"/>
  <c r="AC38" i="6"/>
  <c r="Z38" i="6"/>
  <c r="AA38" i="6" s="1"/>
  <c r="O38" i="6"/>
  <c r="K38" i="6"/>
  <c r="AH38" i="6" s="1"/>
  <c r="AJ37" i="6"/>
  <c r="AK37" i="6" s="1"/>
  <c r="AI37" i="6"/>
  <c r="AD37" i="6"/>
  <c r="AC37" i="6"/>
  <c r="Z37" i="6"/>
  <c r="O37" i="6"/>
  <c r="AF37" i="6" s="1"/>
  <c r="K37" i="6"/>
  <c r="AH37" i="6" s="1"/>
  <c r="AI36" i="6"/>
  <c r="AD36" i="6"/>
  <c r="AC36" i="6"/>
  <c r="Z36" i="6"/>
  <c r="AE36" i="6" s="1"/>
  <c r="O36" i="6"/>
  <c r="AF36" i="6" s="1"/>
  <c r="K36" i="6"/>
  <c r="AH36" i="6" s="1"/>
  <c r="AI35" i="6"/>
  <c r="AD35" i="6"/>
  <c r="AC35" i="6"/>
  <c r="Z35" i="6"/>
  <c r="O35" i="6"/>
  <c r="AF35" i="6" s="1"/>
  <c r="K35" i="6"/>
  <c r="AJ35" i="6" s="1"/>
  <c r="AI34" i="6"/>
  <c r="AE34" i="6"/>
  <c r="AD34" i="6"/>
  <c r="AC34" i="6"/>
  <c r="Z34" i="6"/>
  <c r="AA34" i="6" s="1"/>
  <c r="O34" i="6"/>
  <c r="K34" i="6"/>
  <c r="AH34" i="6" s="1"/>
  <c r="AI33" i="6"/>
  <c r="AF33" i="6"/>
  <c r="AD33" i="6"/>
  <c r="AC33" i="6"/>
  <c r="AA33" i="6"/>
  <c r="AB33" i="6" s="1"/>
  <c r="AP33" i="6" s="1"/>
  <c r="Z33" i="6"/>
  <c r="AE33" i="6" s="1"/>
  <c r="O33" i="6"/>
  <c r="K33" i="6"/>
  <c r="AJ33" i="6" s="1"/>
  <c r="AI32" i="6"/>
  <c r="AD32" i="6"/>
  <c r="AC32" i="6"/>
  <c r="Z32" i="6"/>
  <c r="AE32" i="6" s="1"/>
  <c r="O32" i="6"/>
  <c r="K32" i="6"/>
  <c r="AH32" i="6" s="1"/>
  <c r="AI31" i="6"/>
  <c r="AD31" i="6"/>
  <c r="AC31" i="6"/>
  <c r="Z31" i="6"/>
  <c r="AE31" i="6" s="1"/>
  <c r="O31" i="6"/>
  <c r="AF31" i="6" s="1"/>
  <c r="K31" i="6"/>
  <c r="AI30" i="6"/>
  <c r="AD30" i="6"/>
  <c r="AC30" i="6"/>
  <c r="Z30" i="6"/>
  <c r="O30" i="6"/>
  <c r="AF30" i="6" s="1"/>
  <c r="K30" i="6"/>
  <c r="AH30" i="6" s="1"/>
  <c r="AI29" i="6"/>
  <c r="AD29" i="6"/>
  <c r="AC29" i="6"/>
  <c r="Z29" i="6"/>
  <c r="AE29" i="6" s="1"/>
  <c r="O29" i="6"/>
  <c r="AF29" i="6" s="1"/>
  <c r="K29" i="6"/>
  <c r="AH29" i="6" s="1"/>
  <c r="AI28" i="6"/>
  <c r="AD28" i="6"/>
  <c r="AC28" i="6"/>
  <c r="Z28" i="6"/>
  <c r="O28" i="6"/>
  <c r="AF28" i="6" s="1"/>
  <c r="K28" i="6"/>
  <c r="AH28" i="6" s="1"/>
  <c r="AI27" i="6"/>
  <c r="AF27" i="6"/>
  <c r="AE27" i="6"/>
  <c r="AD27" i="6"/>
  <c r="AC27" i="6"/>
  <c r="AA27" i="6"/>
  <c r="AB27" i="6" s="1"/>
  <c r="AP27" i="6" s="1"/>
  <c r="Z27" i="6"/>
  <c r="O27" i="6"/>
  <c r="K27" i="6"/>
  <c r="AH27" i="6" s="1"/>
  <c r="AJ26" i="6"/>
  <c r="AI26" i="6"/>
  <c r="AD26" i="6"/>
  <c r="AC26" i="6"/>
  <c r="Z26" i="6"/>
  <c r="AA26" i="6" s="1"/>
  <c r="O26" i="6"/>
  <c r="AF26" i="6" s="1"/>
  <c r="K26" i="6"/>
  <c r="AH26" i="6" s="1"/>
  <c r="AK26" i="6" s="1"/>
  <c r="AI25" i="6"/>
  <c r="AD25" i="6"/>
  <c r="AC25" i="6"/>
  <c r="Z25" i="6"/>
  <c r="AE25" i="6" s="1"/>
  <c r="O25" i="6"/>
  <c r="K25" i="6"/>
  <c r="AH25" i="6" s="1"/>
  <c r="AI24" i="6"/>
  <c r="AD24" i="6"/>
  <c r="AC24" i="6"/>
  <c r="Z24" i="6"/>
  <c r="AE24" i="6" s="1"/>
  <c r="O24" i="6"/>
  <c r="AF24" i="6" s="1"/>
  <c r="K24" i="6"/>
  <c r="AJ24" i="6" s="1"/>
  <c r="AI23" i="6"/>
  <c r="AD23" i="6"/>
  <c r="AC23" i="6"/>
  <c r="Z23" i="6"/>
  <c r="O23" i="6"/>
  <c r="K23" i="6"/>
  <c r="AH23" i="6" s="1"/>
  <c r="AI22" i="6"/>
  <c r="AD22" i="6"/>
  <c r="AC22" i="6"/>
  <c r="Z22" i="6"/>
  <c r="O22" i="6"/>
  <c r="AF22" i="6" s="1"/>
  <c r="K22" i="6"/>
  <c r="AJ22" i="6" s="1"/>
  <c r="AJ21" i="6"/>
  <c r="AI21" i="6"/>
  <c r="AD21" i="6"/>
  <c r="AC21" i="6"/>
  <c r="Z21" i="6"/>
  <c r="AE21" i="6" s="1"/>
  <c r="O21" i="6"/>
  <c r="AF21" i="6" s="1"/>
  <c r="K21" i="6"/>
  <c r="AH21" i="6" s="1"/>
  <c r="AI20" i="6"/>
  <c r="AE20" i="6"/>
  <c r="AD20" i="6"/>
  <c r="AC20" i="6"/>
  <c r="AA20" i="6"/>
  <c r="O20" i="6"/>
  <c r="K20" i="6"/>
  <c r="AH20" i="6" s="1"/>
  <c r="AI19" i="6"/>
  <c r="AH19" i="6"/>
  <c r="AD19" i="6"/>
  <c r="AC19" i="6"/>
  <c r="Z19" i="6"/>
  <c r="AE19" i="6" s="1"/>
  <c r="O19" i="6"/>
  <c r="AF19" i="6" s="1"/>
  <c r="K19" i="6"/>
  <c r="AI18" i="6"/>
  <c r="AE18" i="6"/>
  <c r="AD18" i="6"/>
  <c r="AC18" i="6"/>
  <c r="Z18" i="6"/>
  <c r="AA18" i="6" s="1"/>
  <c r="O18" i="6"/>
  <c r="AF18" i="6" s="1"/>
  <c r="K18" i="6"/>
  <c r="AI17" i="6"/>
  <c r="AD17" i="6"/>
  <c r="AC17" i="6"/>
  <c r="Z17" i="6"/>
  <c r="AE17" i="6" s="1"/>
  <c r="O17" i="6"/>
  <c r="K17" i="6"/>
  <c r="AI16" i="6"/>
  <c r="AE16" i="6"/>
  <c r="AD16" i="6"/>
  <c r="AC16" i="6"/>
  <c r="AA16" i="6"/>
  <c r="O16" i="6"/>
  <c r="K16" i="6"/>
  <c r="AI15" i="6"/>
  <c r="AD15" i="6"/>
  <c r="AC15" i="6"/>
  <c r="Z15" i="6"/>
  <c r="AE15" i="6" s="1"/>
  <c r="O15" i="6"/>
  <c r="K15" i="6"/>
  <c r="AI14" i="6"/>
  <c r="AD14" i="6"/>
  <c r="AC14" i="6"/>
  <c r="Z14" i="6"/>
  <c r="AE14" i="6" s="1"/>
  <c r="O14" i="6"/>
  <c r="AF14" i="6" s="1"/>
  <c r="K14" i="6"/>
  <c r="AH14" i="6" s="1"/>
  <c r="AI13" i="6"/>
  <c r="AD13" i="6"/>
  <c r="AC13" i="6"/>
  <c r="Z13" i="6"/>
  <c r="AE13" i="6" s="1"/>
  <c r="O13" i="6"/>
  <c r="AF13" i="6" s="1"/>
  <c r="K13" i="6"/>
  <c r="AJ13" i="6" s="1"/>
  <c r="AI12" i="6"/>
  <c r="AD12" i="6"/>
  <c r="AC12" i="6"/>
  <c r="Z12" i="6"/>
  <c r="AA12" i="6" s="1"/>
  <c r="O12" i="6"/>
  <c r="AF12" i="6" s="1"/>
  <c r="K12" i="6"/>
  <c r="AI11" i="6"/>
  <c r="AD11" i="6"/>
  <c r="AC11" i="6"/>
  <c r="Z11" i="6"/>
  <c r="O11" i="6"/>
  <c r="AF11" i="6" s="1"/>
  <c r="K11" i="6"/>
  <c r="AI10" i="6"/>
  <c r="AD10" i="6"/>
  <c r="AC10" i="6"/>
  <c r="Z10" i="6"/>
  <c r="AE10" i="6" s="1"/>
  <c r="O10" i="6"/>
  <c r="K10" i="6"/>
  <c r="AI9" i="6"/>
  <c r="AH9" i="6"/>
  <c r="AF9" i="6"/>
  <c r="AD9" i="6"/>
  <c r="AC9" i="6"/>
  <c r="Z9" i="6"/>
  <c r="AE9" i="6" s="1"/>
  <c r="O9" i="6"/>
  <c r="K9" i="6"/>
  <c r="AI8" i="6"/>
  <c r="AH8" i="6"/>
  <c r="AD8" i="6"/>
  <c r="AC8" i="6"/>
  <c r="Z8" i="6"/>
  <c r="AA8" i="6" s="1"/>
  <c r="O8" i="6"/>
  <c r="AJ8" i="6" s="1"/>
  <c r="K8" i="6"/>
  <c r="AI7" i="6"/>
  <c r="AD7" i="6"/>
  <c r="AC7" i="6"/>
  <c r="Z7" i="6"/>
  <c r="AE7" i="6" s="1"/>
  <c r="O7" i="6"/>
  <c r="AF7" i="6" s="1"/>
  <c r="K7" i="6"/>
  <c r="AH7" i="6" s="1"/>
  <c r="AI6" i="6"/>
  <c r="AD6" i="6"/>
  <c r="AC6" i="6"/>
  <c r="Z6" i="6"/>
  <c r="AA6" i="6" s="1"/>
  <c r="O6" i="6"/>
  <c r="AF6" i="6" s="1"/>
  <c r="K6" i="6"/>
  <c r="AH6" i="6" s="1"/>
  <c r="AI5" i="6"/>
  <c r="AD5" i="6"/>
  <c r="AC5" i="6"/>
  <c r="AA5" i="6"/>
  <c r="Z5" i="6"/>
  <c r="AE5" i="6" s="1"/>
  <c r="O5" i="6"/>
  <c r="AB5" i="6" s="1"/>
  <c r="K5" i="6"/>
  <c r="AJ5" i="6" s="1"/>
  <c r="I2" i="6"/>
  <c r="C10" i="12" s="1"/>
  <c r="AI51" i="5"/>
  <c r="AH51" i="5"/>
  <c r="AF51" i="5"/>
  <c r="AE51" i="5"/>
  <c r="AD51" i="5"/>
  <c r="AC51" i="5"/>
  <c r="AA51" i="5"/>
  <c r="O51" i="5"/>
  <c r="K51" i="5"/>
  <c r="AJ51" i="5" s="1"/>
  <c r="AI50" i="5"/>
  <c r="AE50" i="5"/>
  <c r="AD50" i="5"/>
  <c r="AC50" i="5"/>
  <c r="AA50" i="5"/>
  <c r="O50" i="5"/>
  <c r="K50" i="5"/>
  <c r="AH50" i="5" s="1"/>
  <c r="AI49" i="5"/>
  <c r="AH49" i="5"/>
  <c r="AF49" i="5"/>
  <c r="AE49" i="5"/>
  <c r="AD49" i="5"/>
  <c r="AC49" i="5"/>
  <c r="AA49" i="5"/>
  <c r="O49" i="5"/>
  <c r="K49" i="5"/>
  <c r="AI48" i="5"/>
  <c r="AE48" i="5"/>
  <c r="AD48" i="5"/>
  <c r="AC48" i="5"/>
  <c r="AA48" i="5"/>
  <c r="O48" i="5"/>
  <c r="AB48" i="5" s="1"/>
  <c r="K48" i="5"/>
  <c r="AH48" i="5" s="1"/>
  <c r="AI47" i="5"/>
  <c r="AH47" i="5"/>
  <c r="AE47" i="5"/>
  <c r="AD47" i="5"/>
  <c r="AC47" i="5"/>
  <c r="AA47" i="5"/>
  <c r="O47" i="5"/>
  <c r="AF47" i="5" s="1"/>
  <c r="K47" i="5"/>
  <c r="AI46" i="5"/>
  <c r="AH46" i="5"/>
  <c r="AE46" i="5"/>
  <c r="AD46" i="5"/>
  <c r="AC46" i="5"/>
  <c r="AA46" i="5"/>
  <c r="O46" i="5"/>
  <c r="K46" i="5"/>
  <c r="AI45" i="5"/>
  <c r="AD45" i="5"/>
  <c r="AC45" i="5"/>
  <c r="Z45" i="5"/>
  <c r="AE45" i="5" s="1"/>
  <c r="O45" i="5"/>
  <c r="K45" i="5"/>
  <c r="AH45" i="5" s="1"/>
  <c r="AI44" i="5"/>
  <c r="AD44" i="5"/>
  <c r="AC44" i="5"/>
  <c r="Z44" i="5"/>
  <c r="O44" i="5"/>
  <c r="AF44" i="5" s="1"/>
  <c r="K44" i="5"/>
  <c r="AH44" i="5" s="1"/>
  <c r="AI43" i="5"/>
  <c r="AD43" i="5"/>
  <c r="AC43" i="5"/>
  <c r="Z43" i="5"/>
  <c r="AA43" i="5" s="1"/>
  <c r="O43" i="5"/>
  <c r="AF43" i="5" s="1"/>
  <c r="K43" i="5"/>
  <c r="AJ43" i="5" s="1"/>
  <c r="AI42" i="5"/>
  <c r="AE42" i="5"/>
  <c r="AD42" i="5"/>
  <c r="AC42" i="5"/>
  <c r="Z42" i="5"/>
  <c r="AA42" i="5" s="1"/>
  <c r="O42" i="5"/>
  <c r="AF42" i="5" s="1"/>
  <c r="K42" i="5"/>
  <c r="AI41" i="5"/>
  <c r="AD41" i="5"/>
  <c r="AC41" i="5"/>
  <c r="Z41" i="5"/>
  <c r="O41" i="5"/>
  <c r="AJ41" i="5" s="1"/>
  <c r="K41" i="5"/>
  <c r="AH41" i="5" s="1"/>
  <c r="AI40" i="5"/>
  <c r="AD40" i="5"/>
  <c r="AC40" i="5"/>
  <c r="Z40" i="5"/>
  <c r="AE40" i="5" s="1"/>
  <c r="O40" i="5"/>
  <c r="AF40" i="5" s="1"/>
  <c r="K40" i="5"/>
  <c r="AJ40" i="5" s="1"/>
  <c r="AI39" i="5"/>
  <c r="AD39" i="5"/>
  <c r="AC39" i="5"/>
  <c r="Z39" i="5"/>
  <c r="O39" i="5"/>
  <c r="K39" i="5"/>
  <c r="AH39" i="5" s="1"/>
  <c r="AI38" i="5"/>
  <c r="AE38" i="5"/>
  <c r="AD38" i="5"/>
  <c r="AC38" i="5"/>
  <c r="Z38" i="5"/>
  <c r="AA38" i="5" s="1"/>
  <c r="O38" i="5"/>
  <c r="AF38" i="5" s="1"/>
  <c r="K38" i="5"/>
  <c r="AH38" i="5" s="1"/>
  <c r="AI37" i="5"/>
  <c r="AD37" i="5"/>
  <c r="AC37" i="5"/>
  <c r="Z37" i="5"/>
  <c r="AA37" i="5" s="1"/>
  <c r="AB37" i="5" s="1"/>
  <c r="O37" i="5"/>
  <c r="AF37" i="5" s="1"/>
  <c r="K37" i="5"/>
  <c r="AI36" i="5"/>
  <c r="AD36" i="5"/>
  <c r="AC36" i="5"/>
  <c r="Z36" i="5"/>
  <c r="AE36" i="5" s="1"/>
  <c r="O36" i="5"/>
  <c r="AF36" i="5" s="1"/>
  <c r="K36" i="5"/>
  <c r="AI35" i="5"/>
  <c r="AE35" i="5"/>
  <c r="AD35" i="5"/>
  <c r="AC35" i="5"/>
  <c r="Z35" i="5"/>
  <c r="AA35" i="5" s="1"/>
  <c r="O35" i="5"/>
  <c r="K35" i="5"/>
  <c r="AI34" i="5"/>
  <c r="AH34" i="5"/>
  <c r="AE34" i="5"/>
  <c r="AD34" i="5"/>
  <c r="AC34" i="5"/>
  <c r="Z34" i="5"/>
  <c r="AA34" i="5" s="1"/>
  <c r="AB34" i="5" s="1"/>
  <c r="O34" i="5"/>
  <c r="AF34" i="5" s="1"/>
  <c r="K34" i="5"/>
  <c r="AJ34" i="5" s="1"/>
  <c r="AI33" i="5"/>
  <c r="AE33" i="5"/>
  <c r="AD33" i="5"/>
  <c r="AC33" i="5"/>
  <c r="AA33" i="5"/>
  <c r="O33" i="5"/>
  <c r="AF33" i="5" s="1"/>
  <c r="K33" i="5"/>
  <c r="AH33" i="5" s="1"/>
  <c r="AI32" i="5"/>
  <c r="AE32" i="5"/>
  <c r="AD32" i="5"/>
  <c r="AC32" i="5"/>
  <c r="AA32" i="5"/>
  <c r="O32" i="5"/>
  <c r="AF32" i="5" s="1"/>
  <c r="K32" i="5"/>
  <c r="AH32" i="5" s="1"/>
  <c r="AI31" i="5"/>
  <c r="AE31" i="5"/>
  <c r="AD31" i="5"/>
  <c r="AC31" i="5"/>
  <c r="AA31" i="5"/>
  <c r="O31" i="5"/>
  <c r="K31" i="5"/>
  <c r="AI30" i="5"/>
  <c r="AE30" i="5"/>
  <c r="AD30" i="5"/>
  <c r="AC30" i="5"/>
  <c r="AA30" i="5"/>
  <c r="O30" i="5"/>
  <c r="AF30" i="5" s="1"/>
  <c r="K30" i="5"/>
  <c r="AI29" i="5"/>
  <c r="AE29" i="5"/>
  <c r="AD29" i="5"/>
  <c r="AC29" i="5"/>
  <c r="AA29" i="5"/>
  <c r="O29" i="5"/>
  <c r="AF29" i="5" s="1"/>
  <c r="K29" i="5"/>
  <c r="AI28" i="5"/>
  <c r="AH28" i="5"/>
  <c r="AE28" i="5"/>
  <c r="AD28" i="5"/>
  <c r="AC28" i="5"/>
  <c r="AA28" i="5"/>
  <c r="O28" i="5"/>
  <c r="AF28" i="5" s="1"/>
  <c r="K28" i="5"/>
  <c r="AI27" i="5"/>
  <c r="AH27" i="5"/>
  <c r="AF27" i="5"/>
  <c r="AE27" i="5"/>
  <c r="AD27" i="5"/>
  <c r="AC27" i="5"/>
  <c r="AA27" i="5"/>
  <c r="AB27" i="5" s="1"/>
  <c r="O27" i="5"/>
  <c r="K27" i="5"/>
  <c r="AI26" i="5"/>
  <c r="AD26" i="5"/>
  <c r="AC26" i="5"/>
  <c r="Z26" i="5"/>
  <c r="AA26" i="5" s="1"/>
  <c r="O26" i="5"/>
  <c r="AB26" i="5" s="1"/>
  <c r="K26" i="5"/>
  <c r="AI25" i="5"/>
  <c r="AD25" i="5"/>
  <c r="AC25" i="5"/>
  <c r="Z25" i="5"/>
  <c r="AE25" i="5" s="1"/>
  <c r="O25" i="5"/>
  <c r="K25" i="5"/>
  <c r="AJ25" i="5" s="1"/>
  <c r="AI24" i="5"/>
  <c r="AD24" i="5"/>
  <c r="AC24" i="5"/>
  <c r="Z24" i="5"/>
  <c r="AE24" i="5" s="1"/>
  <c r="O24" i="5"/>
  <c r="AF24" i="5" s="1"/>
  <c r="K24" i="5"/>
  <c r="AH24" i="5" s="1"/>
  <c r="AI23" i="5"/>
  <c r="AD23" i="5"/>
  <c r="AC23" i="5"/>
  <c r="Z23" i="5"/>
  <c r="AE23" i="5" s="1"/>
  <c r="O23" i="5"/>
  <c r="AF23" i="5" s="1"/>
  <c r="K23" i="5"/>
  <c r="AI22" i="5"/>
  <c r="AD22" i="5"/>
  <c r="AC22" i="5"/>
  <c r="Z22" i="5"/>
  <c r="O22" i="5"/>
  <c r="K22" i="5"/>
  <c r="AI21" i="5"/>
  <c r="AE21" i="5"/>
  <c r="AD21" i="5"/>
  <c r="AC21" i="5"/>
  <c r="AA21" i="5"/>
  <c r="O21" i="5"/>
  <c r="K21" i="5"/>
  <c r="AH21" i="5" s="1"/>
  <c r="AI20" i="5"/>
  <c r="AD20" i="5"/>
  <c r="AC20" i="5"/>
  <c r="Z20" i="5"/>
  <c r="AA20" i="5" s="1"/>
  <c r="O20" i="5"/>
  <c r="K20" i="5"/>
  <c r="AI19" i="5"/>
  <c r="AD19" i="5"/>
  <c r="AC19" i="5"/>
  <c r="Z19" i="5"/>
  <c r="AA19" i="5" s="1"/>
  <c r="O19" i="5"/>
  <c r="K19" i="5"/>
  <c r="AH19" i="5" s="1"/>
  <c r="AI18" i="5"/>
  <c r="AD18" i="5"/>
  <c r="AC18" i="5"/>
  <c r="Z18" i="5"/>
  <c r="O18" i="5"/>
  <c r="K18" i="5"/>
  <c r="AH18" i="5" s="1"/>
  <c r="AI17" i="5"/>
  <c r="AH17" i="5"/>
  <c r="AD17" i="5"/>
  <c r="AC17" i="5"/>
  <c r="Z17" i="5"/>
  <c r="AE17" i="5" s="1"/>
  <c r="O17" i="5"/>
  <c r="K17" i="5"/>
  <c r="AI16" i="5"/>
  <c r="AD16" i="5"/>
  <c r="AC16" i="5"/>
  <c r="Z16" i="5"/>
  <c r="AE16" i="5" s="1"/>
  <c r="O16" i="5"/>
  <c r="AF16" i="5" s="1"/>
  <c r="K16" i="5"/>
  <c r="AI15" i="5"/>
  <c r="AH15" i="5"/>
  <c r="AD15" i="5"/>
  <c r="AC15" i="5"/>
  <c r="Z15" i="5"/>
  <c r="AE15" i="5" s="1"/>
  <c r="O15" i="5"/>
  <c r="AF15" i="5" s="1"/>
  <c r="K15" i="5"/>
  <c r="AI14" i="5"/>
  <c r="AH14" i="5"/>
  <c r="AF14" i="5"/>
  <c r="AD14" i="5"/>
  <c r="AC14" i="5"/>
  <c r="Z14" i="5"/>
  <c r="AA14" i="5" s="1"/>
  <c r="O14" i="5"/>
  <c r="K14" i="5"/>
  <c r="AJ13" i="5"/>
  <c r="AI13" i="5"/>
  <c r="AF13" i="5"/>
  <c r="AD13" i="5"/>
  <c r="AC13" i="5"/>
  <c r="Z13" i="5"/>
  <c r="AA13" i="5" s="1"/>
  <c r="O13" i="5"/>
  <c r="K13" i="5"/>
  <c r="AH13" i="5" s="1"/>
  <c r="AI12" i="5"/>
  <c r="AD12" i="5"/>
  <c r="AC12" i="5"/>
  <c r="Z12" i="5"/>
  <c r="AE12" i="5" s="1"/>
  <c r="O12" i="5"/>
  <c r="K12" i="5"/>
  <c r="AI11" i="5"/>
  <c r="AD11" i="5"/>
  <c r="AC11" i="5"/>
  <c r="Z11" i="5"/>
  <c r="AA11" i="5" s="1"/>
  <c r="AB11" i="5" s="1"/>
  <c r="O11" i="5"/>
  <c r="AF11" i="5" s="1"/>
  <c r="K11" i="5"/>
  <c r="AI10" i="5"/>
  <c r="AF10" i="5"/>
  <c r="AD10" i="5"/>
  <c r="AC10" i="5"/>
  <c r="Z10" i="5"/>
  <c r="O10" i="5"/>
  <c r="K10" i="5"/>
  <c r="AI9" i="5"/>
  <c r="AE9" i="5"/>
  <c r="AD9" i="5"/>
  <c r="AC9" i="5"/>
  <c r="AA9" i="5"/>
  <c r="O9" i="5"/>
  <c r="AF9" i="5" s="1"/>
  <c r="K9" i="5"/>
  <c r="AI8" i="5"/>
  <c r="AE8" i="5"/>
  <c r="AD8" i="5"/>
  <c r="AC8" i="5"/>
  <c r="AA8" i="5"/>
  <c r="O8" i="5"/>
  <c r="AF8" i="5" s="1"/>
  <c r="K8" i="5"/>
  <c r="AJ8" i="5" s="1"/>
  <c r="AI7" i="5"/>
  <c r="AE7" i="5"/>
  <c r="AD7" i="5"/>
  <c r="AC7" i="5"/>
  <c r="AA7" i="5"/>
  <c r="O7" i="5"/>
  <c r="AF7" i="5" s="1"/>
  <c r="K7" i="5"/>
  <c r="AI6" i="5"/>
  <c r="AH6" i="5"/>
  <c r="AE6" i="5"/>
  <c r="AD6" i="5"/>
  <c r="AC6" i="5"/>
  <c r="AA6" i="5"/>
  <c r="O6" i="5"/>
  <c r="AF6" i="5" s="1"/>
  <c r="K6" i="5"/>
  <c r="AI5" i="5"/>
  <c r="AH5" i="5"/>
  <c r="AE5" i="5"/>
  <c r="AD5" i="5"/>
  <c r="AC5" i="5"/>
  <c r="AA5" i="5"/>
  <c r="O5" i="5"/>
  <c r="AF5" i="5" s="1"/>
  <c r="K5" i="5"/>
  <c r="AJ5" i="5" s="1"/>
  <c r="I2" i="5"/>
  <c r="AI76" i="4"/>
  <c r="AD76" i="4"/>
  <c r="AC76" i="4"/>
  <c r="Z76" i="4"/>
  <c r="AE76" i="4" s="1"/>
  <c r="O76" i="4"/>
  <c r="AF76" i="4" s="1"/>
  <c r="K76" i="4"/>
  <c r="AH76" i="4" s="1"/>
  <c r="AI75" i="4"/>
  <c r="AD75" i="4"/>
  <c r="AC75" i="4"/>
  <c r="Z75" i="4"/>
  <c r="AE75" i="4" s="1"/>
  <c r="O75" i="4"/>
  <c r="AF75" i="4" s="1"/>
  <c r="K75" i="4"/>
  <c r="AJ75" i="4" s="1"/>
  <c r="AI74" i="4"/>
  <c r="AD74" i="4"/>
  <c r="AC74" i="4"/>
  <c r="Z74" i="4"/>
  <c r="AE74" i="4" s="1"/>
  <c r="O74" i="4"/>
  <c r="AF74" i="4" s="1"/>
  <c r="K74" i="4"/>
  <c r="AJ74" i="4" s="1"/>
  <c r="AI73" i="4"/>
  <c r="AH73" i="4"/>
  <c r="AF73" i="4"/>
  <c r="AD73" i="4"/>
  <c r="AC73" i="4"/>
  <c r="Z73" i="4"/>
  <c r="AA73" i="4" s="1"/>
  <c r="O73" i="4"/>
  <c r="K73" i="4"/>
  <c r="AJ73" i="4" s="1"/>
  <c r="AI72" i="4"/>
  <c r="AH72" i="4"/>
  <c r="AD72" i="4"/>
  <c r="AC72" i="4"/>
  <c r="AA72" i="4"/>
  <c r="O72" i="4"/>
  <c r="K72" i="4"/>
  <c r="AI71" i="4"/>
  <c r="AD71" i="4"/>
  <c r="AC71" i="4"/>
  <c r="AA71" i="4"/>
  <c r="O71" i="4"/>
  <c r="AF71" i="4" s="1"/>
  <c r="K71" i="4"/>
  <c r="AI70" i="4"/>
  <c r="AD70" i="4"/>
  <c r="AC70" i="4"/>
  <c r="AA70" i="4"/>
  <c r="O70" i="4"/>
  <c r="K70" i="4"/>
  <c r="AI69" i="4"/>
  <c r="AD69" i="4"/>
  <c r="AC69" i="4"/>
  <c r="AA69" i="4"/>
  <c r="O69" i="4"/>
  <c r="AB69" i="4" s="1"/>
  <c r="K69" i="4"/>
  <c r="AH69" i="4" s="1"/>
  <c r="AJ68" i="4"/>
  <c r="AI68" i="4"/>
  <c r="AD68" i="4"/>
  <c r="AC68" i="4"/>
  <c r="AA68" i="4"/>
  <c r="O68" i="4"/>
  <c r="AF68" i="4" s="1"/>
  <c r="K68" i="4"/>
  <c r="AH68" i="4" s="1"/>
  <c r="AI67" i="4"/>
  <c r="AD67" i="4"/>
  <c r="AC67" i="4"/>
  <c r="AA67" i="4"/>
  <c r="O67" i="4"/>
  <c r="AF67" i="4" s="1"/>
  <c r="K67" i="4"/>
  <c r="AH67" i="4" s="1"/>
  <c r="AI66" i="4"/>
  <c r="AD66" i="4"/>
  <c r="AC66" i="4"/>
  <c r="AA66" i="4"/>
  <c r="O66" i="4"/>
  <c r="AF66" i="4" s="1"/>
  <c r="K66" i="4"/>
  <c r="AI65" i="4"/>
  <c r="AD65" i="4"/>
  <c r="AC65" i="4"/>
  <c r="AA65" i="4"/>
  <c r="O65" i="4"/>
  <c r="AF65" i="4" s="1"/>
  <c r="K65" i="4"/>
  <c r="AI64" i="4"/>
  <c r="AD64" i="4"/>
  <c r="AC64" i="4"/>
  <c r="Z64" i="4"/>
  <c r="AE64" i="4" s="1"/>
  <c r="O64" i="4"/>
  <c r="K64" i="4"/>
  <c r="AH64" i="4" s="1"/>
  <c r="AI63" i="4"/>
  <c r="AD63" i="4"/>
  <c r="AC63" i="4"/>
  <c r="Z63" i="4"/>
  <c r="AE63" i="4" s="1"/>
  <c r="O63" i="4"/>
  <c r="K63" i="4"/>
  <c r="AH63" i="4" s="1"/>
  <c r="AI62" i="4"/>
  <c r="AD62" i="4"/>
  <c r="AC62" i="4"/>
  <c r="Z62" i="4"/>
  <c r="O62" i="4"/>
  <c r="AF62" i="4" s="1"/>
  <c r="K62" i="4"/>
  <c r="AJ62" i="4" s="1"/>
  <c r="AI61" i="4"/>
  <c r="AD61" i="4"/>
  <c r="AC61" i="4"/>
  <c r="Z61" i="4"/>
  <c r="AE61" i="4" s="1"/>
  <c r="O61" i="4"/>
  <c r="AF61" i="4" s="1"/>
  <c r="K61" i="4"/>
  <c r="AJ61" i="4" s="1"/>
  <c r="AI60" i="4"/>
  <c r="AD60" i="4"/>
  <c r="AC60" i="4"/>
  <c r="Z60" i="4"/>
  <c r="AE60" i="4" s="1"/>
  <c r="O60" i="4"/>
  <c r="AF60" i="4" s="1"/>
  <c r="K60" i="4"/>
  <c r="AH60" i="4" s="1"/>
  <c r="AI59" i="4"/>
  <c r="AD59" i="4"/>
  <c r="AC59" i="4"/>
  <c r="Z59" i="4"/>
  <c r="O59" i="4"/>
  <c r="K59" i="4"/>
  <c r="AI58" i="4"/>
  <c r="AD58" i="4"/>
  <c r="AC58" i="4"/>
  <c r="Z58" i="4"/>
  <c r="AE58" i="4" s="1"/>
  <c r="O58" i="4"/>
  <c r="K58" i="4"/>
  <c r="AI57" i="4"/>
  <c r="AD57" i="4"/>
  <c r="AC57" i="4"/>
  <c r="Z57" i="4"/>
  <c r="AE57" i="4" s="1"/>
  <c r="O57" i="4"/>
  <c r="K57" i="4"/>
  <c r="AI56" i="4"/>
  <c r="AD56" i="4"/>
  <c r="AC56" i="4"/>
  <c r="Z56" i="4"/>
  <c r="AE56" i="4" s="1"/>
  <c r="O56" i="4"/>
  <c r="K56" i="4"/>
  <c r="AH56" i="4" s="1"/>
  <c r="AI55" i="4"/>
  <c r="AD55" i="4"/>
  <c r="AC55" i="4"/>
  <c r="Z55" i="4"/>
  <c r="AE55" i="4" s="1"/>
  <c r="O55" i="4"/>
  <c r="AJ55" i="4" s="1"/>
  <c r="K55" i="4"/>
  <c r="AH55" i="4" s="1"/>
  <c r="AI54" i="4"/>
  <c r="AH54" i="4"/>
  <c r="AD54" i="4"/>
  <c r="AC54" i="4"/>
  <c r="Z54" i="4"/>
  <c r="AE54" i="4" s="1"/>
  <c r="O54" i="4"/>
  <c r="K54" i="4"/>
  <c r="AI53" i="4"/>
  <c r="AD53" i="4"/>
  <c r="AC53" i="4"/>
  <c r="Z53" i="4"/>
  <c r="AE53" i="4" s="1"/>
  <c r="O53" i="4"/>
  <c r="AF53" i="4" s="1"/>
  <c r="K53" i="4"/>
  <c r="AH53" i="4" s="1"/>
  <c r="AJ52" i="4"/>
  <c r="AI52" i="4"/>
  <c r="AD52" i="4"/>
  <c r="AC52" i="4"/>
  <c r="Z52" i="4"/>
  <c r="O52" i="4"/>
  <c r="AF52" i="4" s="1"/>
  <c r="K52" i="4"/>
  <c r="AH52" i="4" s="1"/>
  <c r="AI51" i="4"/>
  <c r="AH51" i="4"/>
  <c r="AD51" i="4"/>
  <c r="AC51" i="4"/>
  <c r="Z51" i="4"/>
  <c r="O51" i="4"/>
  <c r="AF51" i="4" s="1"/>
  <c r="K51" i="4"/>
  <c r="AI50" i="4"/>
  <c r="AD50" i="4"/>
  <c r="AC50" i="4"/>
  <c r="Z50" i="4"/>
  <c r="O50" i="4"/>
  <c r="AF50" i="4" s="1"/>
  <c r="K50" i="4"/>
  <c r="AJ50" i="4" s="1"/>
  <c r="AI49" i="4"/>
  <c r="AD49" i="4"/>
  <c r="AC49" i="4"/>
  <c r="AA49" i="4"/>
  <c r="Z49" i="4"/>
  <c r="AE49" i="4" s="1"/>
  <c r="O49" i="4"/>
  <c r="AF49" i="4" s="1"/>
  <c r="K49" i="4"/>
  <c r="AJ49" i="4" s="1"/>
  <c r="AJ48" i="4"/>
  <c r="AI48" i="4"/>
  <c r="AD48" i="4"/>
  <c r="AC48" i="4"/>
  <c r="Z48" i="4"/>
  <c r="O48" i="4"/>
  <c r="AF48" i="4" s="1"/>
  <c r="K48" i="4"/>
  <c r="AH48" i="4" s="1"/>
  <c r="AI47" i="4"/>
  <c r="AD47" i="4"/>
  <c r="AC47" i="4"/>
  <c r="Z47" i="4"/>
  <c r="O47" i="4"/>
  <c r="AF47" i="4" s="1"/>
  <c r="K47" i="4"/>
  <c r="AH47" i="4" s="1"/>
  <c r="AI46" i="4"/>
  <c r="AD46" i="4"/>
  <c r="AC46" i="4"/>
  <c r="Z46" i="4"/>
  <c r="O46" i="4"/>
  <c r="K46" i="4"/>
  <c r="AI45" i="4"/>
  <c r="AD45" i="4"/>
  <c r="AC45" i="4"/>
  <c r="Z45" i="4"/>
  <c r="O45" i="4"/>
  <c r="K45" i="4"/>
  <c r="AI44" i="4"/>
  <c r="AD44" i="4"/>
  <c r="AC44" i="4"/>
  <c r="Z44" i="4"/>
  <c r="O44" i="4"/>
  <c r="AF44" i="4" s="1"/>
  <c r="K44" i="4"/>
  <c r="AI43" i="4"/>
  <c r="AD43" i="4"/>
  <c r="AC43" i="4"/>
  <c r="Z43" i="4"/>
  <c r="AE43" i="4" s="1"/>
  <c r="O43" i="4"/>
  <c r="AF43" i="4" s="1"/>
  <c r="K43" i="4"/>
  <c r="AI42" i="4"/>
  <c r="AD42" i="4"/>
  <c r="AC42" i="4"/>
  <c r="Z42" i="4"/>
  <c r="AE42" i="4" s="1"/>
  <c r="O42" i="4"/>
  <c r="K42" i="4"/>
  <c r="AH42" i="4" s="1"/>
  <c r="AI41" i="4"/>
  <c r="AD41" i="4"/>
  <c r="AC41" i="4"/>
  <c r="AA41" i="4"/>
  <c r="O41" i="4"/>
  <c r="AF41" i="4" s="1"/>
  <c r="K41" i="4"/>
  <c r="AH41" i="4" s="1"/>
  <c r="AI40" i="4"/>
  <c r="AD40" i="4"/>
  <c r="AC40" i="4"/>
  <c r="AA40" i="4"/>
  <c r="O40" i="4"/>
  <c r="AF40" i="4" s="1"/>
  <c r="K40" i="4"/>
  <c r="AH40" i="4" s="1"/>
  <c r="AI39" i="4"/>
  <c r="AD39" i="4"/>
  <c r="AC39" i="4"/>
  <c r="AA39" i="4"/>
  <c r="O39" i="4"/>
  <c r="AF39" i="4" s="1"/>
  <c r="K39" i="4"/>
  <c r="AL39" i="4" s="1"/>
  <c r="AI38" i="4"/>
  <c r="AD38" i="4"/>
  <c r="AC38" i="4"/>
  <c r="AA38" i="4"/>
  <c r="O38" i="4"/>
  <c r="K38" i="4"/>
  <c r="AI37" i="4"/>
  <c r="AD37" i="4"/>
  <c r="AC37" i="4"/>
  <c r="AA37" i="4"/>
  <c r="O37" i="4"/>
  <c r="K37" i="4"/>
  <c r="AJ37" i="4" s="1"/>
  <c r="AI36" i="4"/>
  <c r="AD36" i="4"/>
  <c r="AC36" i="4"/>
  <c r="AA36" i="4"/>
  <c r="O36" i="4"/>
  <c r="AF36" i="4" s="1"/>
  <c r="K36" i="4"/>
  <c r="AH36" i="4" s="1"/>
  <c r="AJ35" i="4"/>
  <c r="AI35" i="4"/>
  <c r="AD35" i="4"/>
  <c r="AC35" i="4"/>
  <c r="AA35" i="4"/>
  <c r="AB35" i="4" s="1"/>
  <c r="AL35" i="4" s="1"/>
  <c r="O35" i="4"/>
  <c r="AF35" i="4" s="1"/>
  <c r="K35" i="4"/>
  <c r="AH35" i="4" s="1"/>
  <c r="AI34" i="4"/>
  <c r="AD34" i="4"/>
  <c r="AC34" i="4"/>
  <c r="AA34" i="4"/>
  <c r="O34" i="4"/>
  <c r="K34" i="4"/>
  <c r="AH34" i="4" s="1"/>
  <c r="AI33" i="4"/>
  <c r="AD33" i="4"/>
  <c r="AC33" i="4"/>
  <c r="AA33" i="4"/>
  <c r="O33" i="4"/>
  <c r="AF33" i="4" s="1"/>
  <c r="K33" i="4"/>
  <c r="AI32" i="4"/>
  <c r="AD32" i="4"/>
  <c r="AC32" i="4"/>
  <c r="AA32" i="4"/>
  <c r="O32" i="4"/>
  <c r="AF32" i="4" s="1"/>
  <c r="K32" i="4"/>
  <c r="AI31" i="4"/>
  <c r="AD31" i="4"/>
  <c r="AC31" i="4"/>
  <c r="AA31" i="4"/>
  <c r="O31" i="4"/>
  <c r="K31" i="4"/>
  <c r="AI30" i="4"/>
  <c r="AD30" i="4"/>
  <c r="AC30" i="4"/>
  <c r="Z30" i="4"/>
  <c r="AE30" i="4" s="1"/>
  <c r="O30" i="4"/>
  <c r="K30" i="4"/>
  <c r="AH30" i="4" s="1"/>
  <c r="AI29" i="4"/>
  <c r="AD29" i="4"/>
  <c r="AC29" i="4"/>
  <c r="Z29" i="4"/>
  <c r="AE29" i="4" s="1"/>
  <c r="O29" i="4"/>
  <c r="AF29" i="4" s="1"/>
  <c r="K29" i="4"/>
  <c r="AJ29" i="4" s="1"/>
  <c r="AI28" i="4"/>
  <c r="AD28" i="4"/>
  <c r="AC28" i="4"/>
  <c r="Z28" i="4"/>
  <c r="O28" i="4"/>
  <c r="K28" i="4"/>
  <c r="AH28" i="4" s="1"/>
  <c r="AI27" i="4"/>
  <c r="AD27" i="4"/>
  <c r="AC27" i="4"/>
  <c r="AA27" i="4"/>
  <c r="O27" i="4"/>
  <c r="K27" i="4"/>
  <c r="AH27" i="4" s="1"/>
  <c r="AJ26" i="4"/>
  <c r="AK26" i="4" s="1"/>
  <c r="AI26" i="4"/>
  <c r="AD26" i="4"/>
  <c r="AC26" i="4"/>
  <c r="Z26" i="4"/>
  <c r="AE26" i="4" s="1"/>
  <c r="O26" i="4"/>
  <c r="AF26" i="4" s="1"/>
  <c r="K26" i="4"/>
  <c r="AH26" i="4" s="1"/>
  <c r="AI25" i="4"/>
  <c r="AD25" i="4"/>
  <c r="AC25" i="4"/>
  <c r="Z25" i="4"/>
  <c r="AE25" i="4" s="1"/>
  <c r="O25" i="4"/>
  <c r="K25" i="4"/>
  <c r="AH25" i="4" s="1"/>
  <c r="AI24" i="4"/>
  <c r="AD24" i="4"/>
  <c r="AC24" i="4"/>
  <c r="Z24" i="4"/>
  <c r="AE24" i="4" s="1"/>
  <c r="O24" i="4"/>
  <c r="K24" i="4"/>
  <c r="AH24" i="4" s="1"/>
  <c r="AI23" i="4"/>
  <c r="AH23" i="4"/>
  <c r="AD23" i="4"/>
  <c r="AC23" i="4"/>
  <c r="Z23" i="4"/>
  <c r="O23" i="4"/>
  <c r="AF23" i="4" s="1"/>
  <c r="K23" i="4"/>
  <c r="AI22" i="4"/>
  <c r="AF22" i="4"/>
  <c r="AD22" i="4"/>
  <c r="AC22" i="4"/>
  <c r="Z22" i="4"/>
  <c r="K22" i="4"/>
  <c r="AJ22" i="4" s="1"/>
  <c r="AI21" i="4"/>
  <c r="AF21" i="4"/>
  <c r="AD21" i="4"/>
  <c r="AC21" i="4"/>
  <c r="Z21" i="4"/>
  <c r="K21" i="4"/>
  <c r="AI20" i="4"/>
  <c r="AH20" i="4"/>
  <c r="AF20" i="4"/>
  <c r="AD20" i="4"/>
  <c r="AC20" i="4"/>
  <c r="Z20" i="4"/>
  <c r="K20" i="4"/>
  <c r="AJ20" i="4" s="1"/>
  <c r="AI19" i="4"/>
  <c r="AD19" i="4"/>
  <c r="AC19" i="4"/>
  <c r="Z19" i="4"/>
  <c r="AE19" i="4" s="1"/>
  <c r="O19" i="4"/>
  <c r="AF19" i="4" s="1"/>
  <c r="K19" i="4"/>
  <c r="AI18" i="4"/>
  <c r="AD18" i="4"/>
  <c r="AC18" i="4"/>
  <c r="Z18" i="4"/>
  <c r="AE18" i="4" s="1"/>
  <c r="O18" i="4"/>
  <c r="K18" i="4"/>
  <c r="AI17" i="4"/>
  <c r="AD17" i="4"/>
  <c r="AC17" i="4"/>
  <c r="Z17" i="4"/>
  <c r="O17" i="4"/>
  <c r="AF17" i="4" s="1"/>
  <c r="K17" i="4"/>
  <c r="AH17" i="4" s="1"/>
  <c r="AI16" i="4"/>
  <c r="AD16" i="4"/>
  <c r="AC16" i="4"/>
  <c r="Z16" i="4"/>
  <c r="O16" i="4"/>
  <c r="K16" i="4"/>
  <c r="AI15" i="4"/>
  <c r="AD15" i="4"/>
  <c r="AC15" i="4"/>
  <c r="Z15" i="4"/>
  <c r="AE15" i="4" s="1"/>
  <c r="O15" i="4"/>
  <c r="AF15" i="4" s="1"/>
  <c r="K15" i="4"/>
  <c r="AJ14" i="4"/>
  <c r="AI14" i="4"/>
  <c r="AD14" i="4"/>
  <c r="AC14" i="4"/>
  <c r="Z14" i="4"/>
  <c r="O14" i="4"/>
  <c r="K14" i="4"/>
  <c r="AH14" i="4" s="1"/>
  <c r="AI13" i="4"/>
  <c r="AD13" i="4"/>
  <c r="AC13" i="4"/>
  <c r="Z13" i="4"/>
  <c r="AE13" i="4" s="1"/>
  <c r="O13" i="4"/>
  <c r="K13" i="4"/>
  <c r="AI12" i="4"/>
  <c r="AD12" i="4"/>
  <c r="AC12" i="4"/>
  <c r="Z12" i="4"/>
  <c r="AE12" i="4" s="1"/>
  <c r="O12" i="4"/>
  <c r="K12" i="4"/>
  <c r="AI11" i="4"/>
  <c r="AD11" i="4"/>
  <c r="AC11" i="4"/>
  <c r="Z11" i="4"/>
  <c r="O11" i="4"/>
  <c r="K11" i="4"/>
  <c r="AH11" i="4" s="1"/>
  <c r="AI10" i="4"/>
  <c r="AD10" i="4"/>
  <c r="AC10" i="4"/>
  <c r="Z10" i="4"/>
  <c r="O10" i="4"/>
  <c r="AF10" i="4" s="1"/>
  <c r="K10" i="4"/>
  <c r="AL10" i="4" s="1"/>
  <c r="AI9" i="4"/>
  <c r="AD9" i="4"/>
  <c r="AC9" i="4"/>
  <c r="AA9" i="4"/>
  <c r="Z9" i="4"/>
  <c r="AE9" i="4" s="1"/>
  <c r="O9" i="4"/>
  <c r="AF9" i="4" s="1"/>
  <c r="K9" i="4"/>
  <c r="AL9" i="4" s="1"/>
  <c r="AI8" i="4"/>
  <c r="AF8" i="4"/>
  <c r="AD8" i="4"/>
  <c r="AC8" i="4"/>
  <c r="Z8" i="4"/>
  <c r="AE8" i="4" s="1"/>
  <c r="K8" i="4"/>
  <c r="AJ7" i="4"/>
  <c r="AI7" i="4"/>
  <c r="AF7" i="4"/>
  <c r="AD7" i="4"/>
  <c r="AC7" i="4"/>
  <c r="Z7" i="4"/>
  <c r="AE7" i="4" s="1"/>
  <c r="K7" i="4"/>
  <c r="AH7" i="4" s="1"/>
  <c r="AI6" i="4"/>
  <c r="AF6" i="4"/>
  <c r="AD6" i="4"/>
  <c r="AC6" i="4"/>
  <c r="Z6" i="4"/>
  <c r="AE6" i="4" s="1"/>
  <c r="O6" i="4"/>
  <c r="K6" i="4"/>
  <c r="AJ6" i="4" s="1"/>
  <c r="AI5" i="4"/>
  <c r="AD5" i="4"/>
  <c r="AC5" i="4"/>
  <c r="Z5" i="4"/>
  <c r="O5" i="4"/>
  <c r="AF5" i="4" s="1"/>
  <c r="K5" i="4"/>
  <c r="AH5" i="4" s="1"/>
  <c r="I2" i="4"/>
  <c r="C12" i="12" s="1"/>
  <c r="AI29" i="3"/>
  <c r="AD29" i="3"/>
  <c r="AC29" i="3"/>
  <c r="Z29" i="3"/>
  <c r="AA29" i="3" s="1"/>
  <c r="O29" i="3"/>
  <c r="K29" i="3"/>
  <c r="AI28" i="3"/>
  <c r="AD28" i="3"/>
  <c r="AC28" i="3"/>
  <c r="Z28" i="3"/>
  <c r="AE28" i="3" s="1"/>
  <c r="O28" i="3"/>
  <c r="AF28" i="3" s="1"/>
  <c r="K28" i="3"/>
  <c r="AI27" i="3"/>
  <c r="AD27" i="3"/>
  <c r="AC27" i="3"/>
  <c r="Z27" i="3"/>
  <c r="AE27" i="3" s="1"/>
  <c r="O27" i="3"/>
  <c r="AF27" i="3" s="1"/>
  <c r="K27" i="3"/>
  <c r="AI26" i="3"/>
  <c r="AD26" i="3"/>
  <c r="AC26" i="3"/>
  <c r="Z26" i="3"/>
  <c r="AE26" i="3" s="1"/>
  <c r="O26" i="3"/>
  <c r="AF26" i="3" s="1"/>
  <c r="K26" i="3"/>
  <c r="AJ26" i="3" s="1"/>
  <c r="AI25" i="3"/>
  <c r="AF25" i="3"/>
  <c r="AD25" i="3"/>
  <c r="AC25" i="3"/>
  <c r="Z25" i="3"/>
  <c r="AE25" i="3" s="1"/>
  <c r="O25" i="3"/>
  <c r="K25" i="3"/>
  <c r="AH25" i="3" s="1"/>
  <c r="AI24" i="3"/>
  <c r="AD24" i="3"/>
  <c r="AC24" i="3"/>
  <c r="Z24" i="3"/>
  <c r="AA24" i="3" s="1"/>
  <c r="O24" i="3"/>
  <c r="K24" i="3"/>
  <c r="AI23" i="3"/>
  <c r="AE23" i="3"/>
  <c r="AD23" i="3"/>
  <c r="AC23" i="3"/>
  <c r="AA23" i="3"/>
  <c r="O23" i="3"/>
  <c r="AF23" i="3" s="1"/>
  <c r="K23" i="3"/>
  <c r="AI22" i="3"/>
  <c r="AE22" i="3"/>
  <c r="AD22" i="3"/>
  <c r="AC22" i="3"/>
  <c r="AA22" i="3"/>
  <c r="O22" i="3"/>
  <c r="K22" i="3"/>
  <c r="AH22" i="3" s="1"/>
  <c r="AI21" i="3"/>
  <c r="AF21" i="3"/>
  <c r="AE21" i="3"/>
  <c r="AD21" i="3"/>
  <c r="AC21" i="3"/>
  <c r="AA21" i="3"/>
  <c r="AB21" i="3" s="1"/>
  <c r="K21" i="3"/>
  <c r="AJ21" i="3" s="1"/>
  <c r="AI20" i="3"/>
  <c r="AE20" i="3"/>
  <c r="AD20" i="3"/>
  <c r="AC20" i="3"/>
  <c r="AA20" i="3"/>
  <c r="O20" i="3"/>
  <c r="K20" i="3"/>
  <c r="AH20" i="3" s="1"/>
  <c r="AI19" i="3"/>
  <c r="AH19" i="3"/>
  <c r="AF19" i="3"/>
  <c r="AE19" i="3"/>
  <c r="AD19" i="3"/>
  <c r="AC19" i="3"/>
  <c r="AA19" i="3"/>
  <c r="AB19" i="3" s="1"/>
  <c r="K19" i="3"/>
  <c r="AJ19" i="3" s="1"/>
  <c r="AI18" i="3"/>
  <c r="AF18" i="3"/>
  <c r="AE18" i="3"/>
  <c r="AD18" i="3"/>
  <c r="AC18" i="3"/>
  <c r="AA18" i="3"/>
  <c r="AB18" i="3" s="1"/>
  <c r="K18" i="3"/>
  <c r="AI17" i="3"/>
  <c r="AE17" i="3"/>
  <c r="AD17" i="3"/>
  <c r="AC17" i="3"/>
  <c r="AA17" i="3"/>
  <c r="O17" i="3"/>
  <c r="AF17" i="3" s="1"/>
  <c r="K17" i="3"/>
  <c r="AI16" i="3"/>
  <c r="AE16" i="3"/>
  <c r="AD16" i="3"/>
  <c r="AC16" i="3"/>
  <c r="AA16" i="3"/>
  <c r="O16" i="3"/>
  <c r="AF16" i="3" s="1"/>
  <c r="K16" i="3"/>
  <c r="AH16" i="3" s="1"/>
  <c r="AI15" i="3"/>
  <c r="AE15" i="3"/>
  <c r="AD15" i="3"/>
  <c r="AC15" i="3"/>
  <c r="AA15" i="3"/>
  <c r="O15" i="3"/>
  <c r="K15" i="3"/>
  <c r="AH15" i="3" s="1"/>
  <c r="AI14" i="3"/>
  <c r="AE14" i="3"/>
  <c r="AD14" i="3"/>
  <c r="AC14" i="3"/>
  <c r="AA14" i="3"/>
  <c r="O14" i="3"/>
  <c r="AB14" i="3" s="1"/>
  <c r="AL14" i="3" s="1"/>
  <c r="K14" i="3"/>
  <c r="AI13" i="3"/>
  <c r="AH13" i="3"/>
  <c r="AF13" i="3"/>
  <c r="AE13" i="3"/>
  <c r="AD13" i="3"/>
  <c r="AC13" i="3"/>
  <c r="AA13" i="3"/>
  <c r="O13" i="3"/>
  <c r="K13" i="3"/>
  <c r="AI12" i="3"/>
  <c r="AH12" i="3"/>
  <c r="AF12" i="3"/>
  <c r="AD12" i="3"/>
  <c r="AC12" i="3"/>
  <c r="AA12" i="3"/>
  <c r="AB12" i="3" s="1"/>
  <c r="AL12" i="3" s="1"/>
  <c r="Z12" i="3"/>
  <c r="AE12" i="3" s="1"/>
  <c r="O12" i="3"/>
  <c r="K12" i="3"/>
  <c r="AI11" i="3"/>
  <c r="AH11" i="3"/>
  <c r="AE11" i="3"/>
  <c r="AD11" i="3"/>
  <c r="AC11" i="3"/>
  <c r="Z11" i="3"/>
  <c r="AA11" i="3" s="1"/>
  <c r="O11" i="3"/>
  <c r="AF11" i="3" s="1"/>
  <c r="K11" i="3"/>
  <c r="AI10" i="3"/>
  <c r="AD10" i="3"/>
  <c r="AC10" i="3"/>
  <c r="Z10" i="3"/>
  <c r="AA10" i="3" s="1"/>
  <c r="O10" i="3"/>
  <c r="AF10" i="3" s="1"/>
  <c r="K10" i="3"/>
  <c r="AJ10" i="3" s="1"/>
  <c r="AI9" i="3"/>
  <c r="AD9" i="3"/>
  <c r="AC9" i="3"/>
  <c r="Z9" i="3"/>
  <c r="AE9" i="3" s="1"/>
  <c r="O9" i="3"/>
  <c r="K9" i="3"/>
  <c r="AH9" i="3" s="1"/>
  <c r="AI8" i="3"/>
  <c r="AE8" i="3"/>
  <c r="AD8" i="3"/>
  <c r="AC8" i="3"/>
  <c r="Z8" i="3"/>
  <c r="AA8" i="3" s="1"/>
  <c r="O8" i="3"/>
  <c r="AF8" i="3" s="1"/>
  <c r="K8" i="3"/>
  <c r="AH8" i="3" s="1"/>
  <c r="AI7" i="3"/>
  <c r="AD7" i="3"/>
  <c r="AC7" i="3"/>
  <c r="Z7" i="3"/>
  <c r="AA7" i="3" s="1"/>
  <c r="O7" i="3"/>
  <c r="K7" i="3"/>
  <c r="AJ7" i="3" s="1"/>
  <c r="AI6" i="3"/>
  <c r="AD6" i="3"/>
  <c r="AC6" i="3"/>
  <c r="Z6" i="3"/>
  <c r="AE6" i="3" s="1"/>
  <c r="O6" i="3"/>
  <c r="AF6" i="3" s="1"/>
  <c r="K6" i="3"/>
  <c r="AJ6" i="3" s="1"/>
  <c r="AI5" i="3"/>
  <c r="AD5" i="3"/>
  <c r="AC5" i="3"/>
  <c r="Z5" i="3"/>
  <c r="AA5" i="3" s="1"/>
  <c r="O5" i="3"/>
  <c r="K5" i="3"/>
  <c r="AH5" i="3" s="1"/>
  <c r="I2" i="3"/>
  <c r="C13" i="12" s="1"/>
  <c r="B26" i="1"/>
  <c r="C7" i="1"/>
  <c r="AJ5" i="3" l="1"/>
  <c r="AB13" i="3"/>
  <c r="AB15" i="3"/>
  <c r="AL15" i="3" s="1"/>
  <c r="AB24" i="3"/>
  <c r="AA25" i="3"/>
  <c r="AB25" i="3" s="1"/>
  <c r="AL25" i="3" s="1"/>
  <c r="AJ13" i="4"/>
  <c r="AG15" i="4"/>
  <c r="AJ16" i="4"/>
  <c r="AJ18" i="4"/>
  <c r="AH21" i="4"/>
  <c r="AJ21" i="4"/>
  <c r="AF54" i="4"/>
  <c r="AJ54" i="4"/>
  <c r="AJ60" i="4"/>
  <c r="AB20" i="5"/>
  <c r="AF20" i="5"/>
  <c r="AJ38" i="5"/>
  <c r="AK38" i="5" s="1"/>
  <c r="AH5" i="6"/>
  <c r="AJ11" i="3"/>
  <c r="AJ15" i="4"/>
  <c r="AH15" i="4"/>
  <c r="AK20" i="4"/>
  <c r="AA10" i="5"/>
  <c r="AE10" i="5"/>
  <c r="AA18" i="5"/>
  <c r="AE18" i="5"/>
  <c r="AB50" i="5"/>
  <c r="AF50" i="5"/>
  <c r="AJ22" i="3"/>
  <c r="AH12" i="4"/>
  <c r="AJ12" i="4"/>
  <c r="AJ25" i="4"/>
  <c r="AK25" i="4" s="1"/>
  <c r="AH31" i="4"/>
  <c r="AJ31" i="4"/>
  <c r="AH38" i="4"/>
  <c r="AJ38" i="4"/>
  <c r="AJ41" i="4"/>
  <c r="AH7" i="5"/>
  <c r="AJ7" i="5"/>
  <c r="AK7" i="5" s="1"/>
  <c r="AH35" i="5"/>
  <c r="AJ35" i="5"/>
  <c r="AA44" i="5"/>
  <c r="AE44" i="5"/>
  <c r="AB5" i="3"/>
  <c r="AL5" i="3" s="1"/>
  <c r="AJ5" i="4"/>
  <c r="AA6" i="4"/>
  <c r="AH6" i="4"/>
  <c r="AK6" i="4" s="1"/>
  <c r="AA7" i="4"/>
  <c r="AB7" i="4" s="1"/>
  <c r="AJ36" i="4"/>
  <c r="AF38" i="4"/>
  <c r="AB38" i="4"/>
  <c r="AL38" i="4" s="1"/>
  <c r="AH57" i="4"/>
  <c r="AJ57" i="4"/>
  <c r="AH59" i="4"/>
  <c r="AJ59" i="4"/>
  <c r="AE13" i="5"/>
  <c r="AJ42" i="5"/>
  <c r="AH42" i="5"/>
  <c r="AK42" i="5" s="1"/>
  <c r="AJ50" i="5"/>
  <c r="AK50" i="5" s="1"/>
  <c r="AP5" i="6"/>
  <c r="AJ6" i="6"/>
  <c r="AK6" i="6" s="1"/>
  <c r="AJ34" i="6"/>
  <c r="AK34" i="6" s="1"/>
  <c r="AE57" i="6"/>
  <c r="AE60" i="6"/>
  <c r="AK15" i="7"/>
  <c r="AF19" i="7"/>
  <c r="AH20" i="7"/>
  <c r="AJ20" i="7"/>
  <c r="AF29" i="7"/>
  <c r="AK44" i="7"/>
  <c r="AH39" i="9"/>
  <c r="AJ39" i="9"/>
  <c r="AH26" i="10"/>
  <c r="AJ26" i="10"/>
  <c r="AI33" i="11"/>
  <c r="AD33" i="11"/>
  <c r="AE20" i="5"/>
  <c r="AK34" i="5"/>
  <c r="AE6" i="6"/>
  <c r="AA9" i="6"/>
  <c r="AB18" i="6"/>
  <c r="AP18" i="6" s="1"/>
  <c r="AH33" i="6"/>
  <c r="AJ39" i="6"/>
  <c r="AA42" i="6"/>
  <c r="AB43" i="6"/>
  <c r="AH18" i="7"/>
  <c r="AB29" i="7"/>
  <c r="AK15" i="8"/>
  <c r="AH52" i="8"/>
  <c r="AJ52" i="8"/>
  <c r="AV68" i="8"/>
  <c r="AF68" i="8"/>
  <c r="AH7" i="9"/>
  <c r="AJ7" i="9"/>
  <c r="AH14" i="9"/>
  <c r="AJ14" i="9"/>
  <c r="AH15" i="9"/>
  <c r="AF16" i="9"/>
  <c r="AJ16" i="9"/>
  <c r="AH18" i="9"/>
  <c r="AK18" i="9" s="1"/>
  <c r="AJ38" i="9"/>
  <c r="AH38" i="9"/>
  <c r="AJ36" i="11"/>
  <c r="AH36" i="11"/>
  <c r="AB7" i="5"/>
  <c r="AJ14" i="5"/>
  <c r="AK14" i="5" s="1"/>
  <c r="AE14" i="5"/>
  <c r="AJ19" i="5"/>
  <c r="AH25" i="5"/>
  <c r="AK25" i="5" s="1"/>
  <c r="AJ27" i="5"/>
  <c r="AB42" i="5"/>
  <c r="AB43" i="5"/>
  <c r="AB51" i="5"/>
  <c r="AJ38" i="6"/>
  <c r="AE44" i="6"/>
  <c r="AH53" i="6"/>
  <c r="AK53" i="6" s="1"/>
  <c r="AE54" i="6"/>
  <c r="AA54" i="6"/>
  <c r="AJ5" i="7"/>
  <c r="AK5" i="7" s="1"/>
  <c r="AJ11" i="7"/>
  <c r="AB25" i="7"/>
  <c r="AK25" i="7"/>
  <c r="AJ26" i="7"/>
  <c r="AJ39" i="7"/>
  <c r="AH39" i="7"/>
  <c r="AH14" i="8"/>
  <c r="AJ14" i="8"/>
  <c r="AV15" i="8"/>
  <c r="AB39" i="8"/>
  <c r="AK41" i="8"/>
  <c r="AH49" i="8"/>
  <c r="AJ49" i="8"/>
  <c r="AV52" i="8"/>
  <c r="AF52" i="8"/>
  <c r="AB53" i="8"/>
  <c r="AB57" i="8"/>
  <c r="AV57" i="8" s="1"/>
  <c r="AH57" i="8"/>
  <c r="AK57" i="8" s="1"/>
  <c r="AJ71" i="8"/>
  <c r="AK71" i="8" s="1"/>
  <c r="AJ72" i="8"/>
  <c r="AP15" i="9"/>
  <c r="AH54" i="9"/>
  <c r="AK54" i="9" s="1"/>
  <c r="AB68" i="9"/>
  <c r="AP68" i="9" s="1"/>
  <c r="AJ47" i="10"/>
  <c r="AH47" i="10"/>
  <c r="AF14" i="11"/>
  <c r="AJ14" i="11"/>
  <c r="AK14" i="11" s="1"/>
  <c r="AH61" i="4"/>
  <c r="AJ64" i="4"/>
  <c r="AB7" i="3"/>
  <c r="AL7" i="3" s="1"/>
  <c r="AJ13" i="3"/>
  <c r="AL21" i="3"/>
  <c r="AB6" i="4"/>
  <c r="AL6" i="4" s="1"/>
  <c r="AK7" i="4"/>
  <c r="AJ19" i="4"/>
  <c r="AJ58" i="4"/>
  <c r="AG76" i="4"/>
  <c r="AJ39" i="5"/>
  <c r="AK39" i="5" s="1"/>
  <c r="AF5" i="6"/>
  <c r="AH13" i="6"/>
  <c r="AK13" i="6" s="1"/>
  <c r="AJ14" i="6"/>
  <c r="AJ19" i="6"/>
  <c r="AK19" i="6" s="1"/>
  <c r="AB26" i="6"/>
  <c r="AP26" i="6" s="1"/>
  <c r="AA29" i="6"/>
  <c r="AJ43" i="6"/>
  <c r="AE48" i="6"/>
  <c r="AB13" i="7"/>
  <c r="AJ33" i="7"/>
  <c r="AB39" i="7"/>
  <c r="AF39" i="7"/>
  <c r="AJ15" i="8"/>
  <c r="AB22" i="8"/>
  <c r="AV22" i="8" s="1"/>
  <c r="AJ23" i="8"/>
  <c r="AK23" i="8" s="1"/>
  <c r="AB38" i="8"/>
  <c r="AJ39" i="8"/>
  <c r="AK39" i="8" s="1"/>
  <c r="AB45" i="8"/>
  <c r="AV45" i="8" s="1"/>
  <c r="AF45" i="8"/>
  <c r="AK8" i="9"/>
  <c r="AP14" i="9"/>
  <c r="AP31" i="9"/>
  <c r="AP38" i="9"/>
  <c r="AP54" i="9"/>
  <c r="AB58" i="9"/>
  <c r="AP58" i="9" s="1"/>
  <c r="AB63" i="9"/>
  <c r="AP63" i="9" s="1"/>
  <c r="AF13" i="11"/>
  <c r="AJ60" i="6"/>
  <c r="AK60" i="6" s="1"/>
  <c r="AB28" i="7"/>
  <c r="AK12" i="8"/>
  <c r="AV13" i="8"/>
  <c r="AB48" i="8"/>
  <c r="AV48" i="8" s="1"/>
  <c r="K2" i="9"/>
  <c r="D7" i="12" s="1"/>
  <c r="AH53" i="9"/>
  <c r="AJ55" i="9"/>
  <c r="AK55" i="9" s="1"/>
  <c r="AB56" i="9"/>
  <c r="AP56" i="9" s="1"/>
  <c r="AJ63" i="9"/>
  <c r="AH63" i="9"/>
  <c r="AJ7" i="10"/>
  <c r="AJ16" i="10"/>
  <c r="AB29" i="10"/>
  <c r="AB36" i="10"/>
  <c r="AJ37" i="10"/>
  <c r="AJ45" i="10"/>
  <c r="AH46" i="10"/>
  <c r="AJ7" i="11"/>
  <c r="AJ11" i="11"/>
  <c r="Z40" i="11"/>
  <c r="AA40" i="11" s="1"/>
  <c r="AB40" i="11" s="1"/>
  <c r="AM40" i="11" s="1"/>
  <c r="AJ41" i="11"/>
  <c r="AB50" i="11"/>
  <c r="AM50" i="11" s="1"/>
  <c r="AK8" i="11"/>
  <c r="AJ10" i="11"/>
  <c r="AJ24" i="11"/>
  <c r="AM25" i="11"/>
  <c r="AJ40" i="11"/>
  <c r="I40" i="18"/>
  <c r="AP13" i="9"/>
  <c r="AB16" i="9"/>
  <c r="AP16" i="9" s="1"/>
  <c r="AJ19" i="9"/>
  <c r="AK19" i="9" s="1"/>
  <c r="AB24" i="9"/>
  <c r="AP24" i="9" s="1"/>
  <c r="AB33" i="9"/>
  <c r="AJ10" i="10"/>
  <c r="AJ21" i="10"/>
  <c r="AK41" i="11"/>
  <c r="AB44" i="11"/>
  <c r="AM44" i="11" s="1"/>
  <c r="AK48" i="11"/>
  <c r="AG6" i="3"/>
  <c r="AG29" i="4"/>
  <c r="AG61" i="4"/>
  <c r="AK38" i="6"/>
  <c r="AK54" i="6"/>
  <c r="AJ41" i="6"/>
  <c r="AH41" i="6"/>
  <c r="AB9" i="7"/>
  <c r="AF9" i="7"/>
  <c r="AB67" i="4"/>
  <c r="AL67" i="4" s="1"/>
  <c r="AB54" i="6"/>
  <c r="AF54" i="6"/>
  <c r="AB11" i="9"/>
  <c r="AP11" i="9" s="1"/>
  <c r="AG5" i="5"/>
  <c r="AB9" i="5"/>
  <c r="AB64" i="8"/>
  <c r="AA16" i="4"/>
  <c r="AB16" i="4" s="1"/>
  <c r="AL16" i="4" s="1"/>
  <c r="AE16" i="4"/>
  <c r="AG36" i="5"/>
  <c r="AF41" i="5"/>
  <c r="AA25" i="6"/>
  <c r="AB25" i="6" s="1"/>
  <c r="AP25" i="6" s="1"/>
  <c r="AA32" i="6"/>
  <c r="AB32" i="6" s="1"/>
  <c r="AP32" i="6" s="1"/>
  <c r="AH21" i="3"/>
  <c r="AE24" i="3"/>
  <c r="AK21" i="4"/>
  <c r="AH22" i="4"/>
  <c r="AE44" i="4"/>
  <c r="AG44" i="4" s="1"/>
  <c r="AA46" i="4"/>
  <c r="AB46" i="4" s="1"/>
  <c r="AL46" i="4" s="1"/>
  <c r="AE46" i="4"/>
  <c r="AG33" i="5"/>
  <c r="AA36" i="5"/>
  <c r="AE37" i="5"/>
  <c r="AH31" i="6"/>
  <c r="AJ31" i="6"/>
  <c r="AK33" i="6"/>
  <c r="AF16" i="7"/>
  <c r="AB16" i="7"/>
  <c r="AJ34" i="7"/>
  <c r="AH34" i="7"/>
  <c r="AH10" i="8"/>
  <c r="AJ10" i="8"/>
  <c r="AB59" i="8"/>
  <c r="AF59" i="8"/>
  <c r="AJ61" i="8"/>
  <c r="AH61" i="8"/>
  <c r="AJ70" i="8"/>
  <c r="AH70" i="8"/>
  <c r="AF73" i="8"/>
  <c r="AB73" i="8"/>
  <c r="AV73" i="8" s="1"/>
  <c r="AF10" i="9"/>
  <c r="AB10" i="9"/>
  <c r="AP10" i="9" s="1"/>
  <c r="AJ40" i="9"/>
  <c r="AH40" i="9"/>
  <c r="AJ47" i="9"/>
  <c r="AH47" i="9"/>
  <c r="AH49" i="9"/>
  <c r="AJ49" i="9"/>
  <c r="AF19" i="10"/>
  <c r="AB19" i="10"/>
  <c r="AJ48" i="10"/>
  <c r="AH48" i="10"/>
  <c r="AA22" i="4"/>
  <c r="AB22" i="4" s="1"/>
  <c r="AL22" i="4" s="1"/>
  <c r="AE22" i="4"/>
  <c r="AG22" i="4" s="1"/>
  <c r="AA41" i="5"/>
  <c r="AB41" i="5" s="1"/>
  <c r="AE41" i="5"/>
  <c r="AG41" i="5" s="1"/>
  <c r="AE30" i="6"/>
  <c r="AA30" i="6"/>
  <c r="AH37" i="7"/>
  <c r="AJ37" i="7"/>
  <c r="AK37" i="7" s="1"/>
  <c r="AG11" i="3"/>
  <c r="AA8" i="4"/>
  <c r="AB8" i="4" s="1"/>
  <c r="AL8" i="4" s="1"/>
  <c r="AJ23" i="9"/>
  <c r="AH23" i="9"/>
  <c r="AK23" i="9" s="1"/>
  <c r="AE26" i="6"/>
  <c r="AG26" i="6" s="1"/>
  <c r="AJ10" i="9"/>
  <c r="AH10" i="9"/>
  <c r="AH10" i="3"/>
  <c r="AE29" i="3"/>
  <c r="AJ67" i="4"/>
  <c r="AF12" i="5"/>
  <c r="AJ20" i="5"/>
  <c r="AH20" i="5"/>
  <c r="AK35" i="5"/>
  <c r="AB36" i="5"/>
  <c r="AB29" i="6"/>
  <c r="AH40" i="6"/>
  <c r="AJ40" i="6"/>
  <c r="AJ45" i="6"/>
  <c r="AK45" i="6" s="1"/>
  <c r="AH47" i="6"/>
  <c r="AK47" i="6" s="1"/>
  <c r="AJ58" i="6"/>
  <c r="AH58" i="6"/>
  <c r="AE59" i="6"/>
  <c r="AJ9" i="7"/>
  <c r="AK9" i="7" s="1"/>
  <c r="AV8" i="8"/>
  <c r="AH47" i="8"/>
  <c r="AJ47" i="8"/>
  <c r="AJ63" i="8"/>
  <c r="AH63" i="8"/>
  <c r="AP49" i="9"/>
  <c r="AA11" i="4"/>
  <c r="AB11" i="4" s="1"/>
  <c r="AL11" i="4" s="1"/>
  <c r="AE11" i="4"/>
  <c r="AA76" i="4"/>
  <c r="AG42" i="5"/>
  <c r="AJ27" i="7"/>
  <c r="AH27" i="7"/>
  <c r="AJ6" i="11"/>
  <c r="AF6" i="11"/>
  <c r="AB33" i="5"/>
  <c r="AG54" i="6"/>
  <c r="AB30" i="5"/>
  <c r="AE7" i="3"/>
  <c r="AA10" i="4"/>
  <c r="AE10" i="4"/>
  <c r="AH13" i="4"/>
  <c r="AK13" i="4" s="1"/>
  <c r="AH19" i="4"/>
  <c r="AK19" i="4" s="1"/>
  <c r="AJ40" i="4"/>
  <c r="AL13" i="3"/>
  <c r="AA48" i="4"/>
  <c r="AE48" i="4"/>
  <c r="AB49" i="4"/>
  <c r="AL49" i="4" s="1"/>
  <c r="AH50" i="4"/>
  <c r="AA52" i="4"/>
  <c r="AB52" i="4" s="1"/>
  <c r="AL52" i="4" s="1"/>
  <c r="AE52" i="4"/>
  <c r="AG52" i="4" s="1"/>
  <c r="AA61" i="4"/>
  <c r="AB61" i="4" s="1"/>
  <c r="AL61" i="4" s="1"/>
  <c r="AB71" i="4"/>
  <c r="AL71" i="4" s="1"/>
  <c r="AA74" i="4"/>
  <c r="AB74" i="4" s="1"/>
  <c r="AL74" i="4" s="1"/>
  <c r="AJ33" i="5"/>
  <c r="AK33" i="5" s="1"/>
  <c r="AE39" i="5"/>
  <c r="AA39" i="5"/>
  <c r="AH22" i="6"/>
  <c r="AK22" i="6" s="1"/>
  <c r="AA24" i="6"/>
  <c r="AB24" i="6" s="1"/>
  <c r="AP24" i="6" s="1"/>
  <c r="AE35" i="6"/>
  <c r="AG35" i="6" s="1"/>
  <c r="AA35" i="6"/>
  <c r="AB35" i="6" s="1"/>
  <c r="AP35" i="6" s="1"/>
  <c r="AJ46" i="6"/>
  <c r="AK46" i="6" s="1"/>
  <c r="AH46" i="6"/>
  <c r="AJ54" i="6"/>
  <c r="AJ10" i="7"/>
  <c r="AH10" i="7"/>
  <c r="AJ28" i="7"/>
  <c r="AH28" i="7"/>
  <c r="AJ5" i="8"/>
  <c r="AF5" i="8"/>
  <c r="AJ26" i="8"/>
  <c r="AH26" i="8"/>
  <c r="AH38" i="8"/>
  <c r="AK38" i="8" s="1"/>
  <c r="AJ38" i="8"/>
  <c r="AB23" i="9"/>
  <c r="AP23" i="9" s="1"/>
  <c r="AB47" i="9"/>
  <c r="AP47" i="9" s="1"/>
  <c r="AK11" i="11"/>
  <c r="AJ26" i="11"/>
  <c r="AH26" i="11"/>
  <c r="AJ13" i="8"/>
  <c r="AH13" i="8"/>
  <c r="AJ53" i="8"/>
  <c r="AH53" i="8"/>
  <c r="AJ66" i="8"/>
  <c r="AH66" i="8"/>
  <c r="AK66" i="8" s="1"/>
  <c r="AB40" i="4"/>
  <c r="AL40" i="4" s="1"/>
  <c r="AA12" i="5"/>
  <c r="AB12" i="5" s="1"/>
  <c r="AJ36" i="5"/>
  <c r="AH36" i="5"/>
  <c r="AJ25" i="6"/>
  <c r="AF25" i="6"/>
  <c r="AE45" i="6"/>
  <c r="AA45" i="6"/>
  <c r="AB45" i="6" s="1"/>
  <c r="AB27" i="7"/>
  <c r="AF27" i="7"/>
  <c r="AJ29" i="8"/>
  <c r="AH29" i="8"/>
  <c r="AK29" i="8" s="1"/>
  <c r="AH60" i="9"/>
  <c r="AJ60" i="9"/>
  <c r="AA50" i="4"/>
  <c r="AB50" i="4" s="1"/>
  <c r="AL50" i="4" s="1"/>
  <c r="AE50" i="4"/>
  <c r="AG27" i="6"/>
  <c r="AJ42" i="8"/>
  <c r="AH42" i="8"/>
  <c r="AF67" i="9"/>
  <c r="AB67" i="9"/>
  <c r="AP67" i="9" s="1"/>
  <c r="AA53" i="4"/>
  <c r="AB53" i="4" s="1"/>
  <c r="AL53" i="4" s="1"/>
  <c r="AL69" i="4"/>
  <c r="AA75" i="4"/>
  <c r="AB75" i="4" s="1"/>
  <c r="AL75" i="4" s="1"/>
  <c r="AA40" i="5"/>
  <c r="AB24" i="7"/>
  <c r="AJ34" i="11"/>
  <c r="AH34" i="11"/>
  <c r="AK34" i="11" s="1"/>
  <c r="AA6" i="3"/>
  <c r="AB6" i="3" s="1"/>
  <c r="AL6" i="3" s="1"/>
  <c r="AH7" i="3"/>
  <c r="AL7" i="4"/>
  <c r="AA15" i="4"/>
  <c r="AB15" i="4" s="1"/>
  <c r="AL15" i="4" s="1"/>
  <c r="AJ12" i="3"/>
  <c r="AL19" i="3"/>
  <c r="AJ25" i="3"/>
  <c r="AJ23" i="4"/>
  <c r="AJ42" i="4"/>
  <c r="AB48" i="4"/>
  <c r="AL48" i="4" s="1"/>
  <c r="AJ53" i="4"/>
  <c r="AJ56" i="4"/>
  <c r="AA60" i="4"/>
  <c r="AB60" i="4" s="1"/>
  <c r="AL60" i="4" s="1"/>
  <c r="AH62" i="4"/>
  <c r="AB68" i="4"/>
  <c r="AL68" i="4" s="1"/>
  <c r="AF69" i="4"/>
  <c r="AE73" i="4"/>
  <c r="AG73" i="4" s="1"/>
  <c r="AH75" i="4"/>
  <c r="AB6" i="5"/>
  <c r="AH8" i="5"/>
  <c r="AA15" i="5"/>
  <c r="AE26" i="5"/>
  <c r="AH40" i="5"/>
  <c r="AK40" i="5" s="1"/>
  <c r="AG21" i="6"/>
  <c r="AA31" i="6"/>
  <c r="AA40" i="6"/>
  <c r="AB40" i="6" s="1"/>
  <c r="AP40" i="6" s="1"/>
  <c r="AE40" i="6"/>
  <c r="AG40" i="6" s="1"/>
  <c r="AE56" i="6"/>
  <c r="AG56" i="6" s="1"/>
  <c r="AB47" i="8"/>
  <c r="AV47" i="8" s="1"/>
  <c r="AJ67" i="8"/>
  <c r="AH67" i="8"/>
  <c r="AK67" i="8" s="1"/>
  <c r="AH56" i="9"/>
  <c r="AJ56" i="9"/>
  <c r="AJ13" i="10"/>
  <c r="AH13" i="10"/>
  <c r="AH31" i="10"/>
  <c r="AJ31" i="10"/>
  <c r="AJ12" i="11"/>
  <c r="AK12" i="11" s="1"/>
  <c r="AF12" i="11"/>
  <c r="AF40" i="11"/>
  <c r="AF43" i="8"/>
  <c r="AB43" i="8"/>
  <c r="AV43" i="8" s="1"/>
  <c r="AJ27" i="8"/>
  <c r="AH27" i="8"/>
  <c r="AF48" i="8"/>
  <c r="AJ48" i="8"/>
  <c r="AK48" i="8" s="1"/>
  <c r="AH67" i="9"/>
  <c r="AJ67" i="9"/>
  <c r="AA41" i="6"/>
  <c r="AB41" i="6" s="1"/>
  <c r="AB27" i="8"/>
  <c r="AB65" i="9"/>
  <c r="AH13" i="7"/>
  <c r="AJ13" i="7"/>
  <c r="AB57" i="9"/>
  <c r="AP57" i="9" s="1"/>
  <c r="AJ57" i="9"/>
  <c r="AK57" i="9" s="1"/>
  <c r="AA21" i="4"/>
  <c r="AB21" i="4" s="1"/>
  <c r="AL21" i="4" s="1"/>
  <c r="AE21" i="4"/>
  <c r="AJ15" i="3"/>
  <c r="AH16" i="4"/>
  <c r="AK16" i="4" s="1"/>
  <c r="AG23" i="3"/>
  <c r="AH18" i="4"/>
  <c r="AK18" i="4" s="1"/>
  <c r="AA28" i="4"/>
  <c r="AE28" i="4"/>
  <c r="AH29" i="4"/>
  <c r="AK29" i="4" s="1"/>
  <c r="AB73" i="4"/>
  <c r="AL73" i="4" s="1"/>
  <c r="AE11" i="5"/>
  <c r="AF26" i="5"/>
  <c r="AB31" i="5"/>
  <c r="AF31" i="5"/>
  <c r="AE43" i="5"/>
  <c r="AG43" i="5" s="1"/>
  <c r="AB31" i="6"/>
  <c r="AP31" i="6" s="1"/>
  <c r="AH44" i="6"/>
  <c r="AK44" i="6" s="1"/>
  <c r="AE46" i="6"/>
  <c r="AG46" i="6" s="1"/>
  <c r="AA46" i="6"/>
  <c r="AB46" i="6" s="1"/>
  <c r="AJ55" i="6"/>
  <c r="AH55" i="6"/>
  <c r="AB21" i="7"/>
  <c r="AB5" i="8"/>
  <c r="AV5" i="8" s="1"/>
  <c r="AJ21" i="8"/>
  <c r="AH21" i="8"/>
  <c r="AV38" i="8"/>
  <c r="AJ69" i="8"/>
  <c r="AH69" i="8"/>
  <c r="AK69" i="8" s="1"/>
  <c r="AJ9" i="9"/>
  <c r="AH9" i="9"/>
  <c r="AH22" i="9"/>
  <c r="AJ22" i="9"/>
  <c r="AJ68" i="9"/>
  <c r="AH68" i="9"/>
  <c r="AH28" i="10"/>
  <c r="AA17" i="4"/>
  <c r="AB17" i="4" s="1"/>
  <c r="AL17" i="4" s="1"/>
  <c r="AE17" i="4"/>
  <c r="AG17" i="4" s="1"/>
  <c r="AA23" i="6"/>
  <c r="AB23" i="6" s="1"/>
  <c r="AP23" i="6" s="1"/>
  <c r="AE23" i="6"/>
  <c r="AA25" i="4"/>
  <c r="AF4" i="9"/>
  <c r="AB4" i="9"/>
  <c r="AP4" i="9" s="1"/>
  <c r="AH13" i="9"/>
  <c r="AJ13" i="9"/>
  <c r="AM37" i="11"/>
  <c r="AB40" i="5"/>
  <c r="AB37" i="7"/>
  <c r="AF37" i="7"/>
  <c r="AJ34" i="8"/>
  <c r="AH34" i="8"/>
  <c r="AG40" i="5"/>
  <c r="AJ6" i="7"/>
  <c r="AH6" i="7"/>
  <c r="AF24" i="7"/>
  <c r="AJ24" i="7"/>
  <c r="AK24" i="7" s="1"/>
  <c r="AJ40" i="7"/>
  <c r="AH40" i="7"/>
  <c r="AJ52" i="9"/>
  <c r="AH52" i="9"/>
  <c r="AE10" i="3"/>
  <c r="AG10" i="3" s="1"/>
  <c r="AG62" i="4"/>
  <c r="AE62" i="4"/>
  <c r="AB8" i="5"/>
  <c r="AJ16" i="7"/>
  <c r="AH16" i="7"/>
  <c r="AF42" i="8"/>
  <c r="AB42" i="8"/>
  <c r="AV42" i="8" s="1"/>
  <c r="AB60" i="9"/>
  <c r="AP60" i="9" s="1"/>
  <c r="AF16" i="11"/>
  <c r="AF24" i="3"/>
  <c r="AE5" i="3"/>
  <c r="AF14" i="3"/>
  <c r="AG14" i="3" s="1"/>
  <c r="AK14" i="4"/>
  <c r="AH6" i="3"/>
  <c r="AB11" i="3"/>
  <c r="AL11" i="3" s="1"/>
  <c r="AA20" i="4"/>
  <c r="AB20" i="4" s="1"/>
  <c r="AL20" i="4" s="1"/>
  <c r="AE20" i="4"/>
  <c r="AE23" i="4"/>
  <c r="AG23" i="4" s="1"/>
  <c r="AJ63" i="4"/>
  <c r="AJ69" i="4"/>
  <c r="AB5" i="5"/>
  <c r="AB10" i="5"/>
  <c r="AA25" i="5"/>
  <c r="AB25" i="5" s="1"/>
  <c r="AJ32" i="5"/>
  <c r="AK32" i="5" s="1"/>
  <c r="AJ7" i="6"/>
  <c r="AJ29" i="6"/>
  <c r="AK29" i="6" s="1"/>
  <c r="AH35" i="6"/>
  <c r="AK35" i="6" s="1"/>
  <c r="AK33" i="7"/>
  <c r="AB67" i="8"/>
  <c r="AV67" i="8" s="1"/>
  <c r="AF69" i="8"/>
  <c r="AB69" i="8"/>
  <c r="AV69" i="8" s="1"/>
  <c r="AB9" i="9"/>
  <c r="AP9" i="9" s="1"/>
  <c r="AF9" i="9"/>
  <c r="AK15" i="9"/>
  <c r="AF29" i="9"/>
  <c r="AB29" i="9"/>
  <c r="AP29" i="9" s="1"/>
  <c r="AH44" i="9"/>
  <c r="AJ44" i="9"/>
  <c r="AB28" i="10"/>
  <c r="AL28" i="10" s="1"/>
  <c r="AF28" i="10"/>
  <c r="AF19" i="11"/>
  <c r="AJ19" i="11"/>
  <c r="AA59" i="4"/>
  <c r="AE59" i="4"/>
  <c r="AJ6" i="9"/>
  <c r="AH6" i="9"/>
  <c r="AH25" i="10"/>
  <c r="AL25" i="10"/>
  <c r="AJ25" i="10"/>
  <c r="AB21" i="11"/>
  <c r="AM21" i="11" s="1"/>
  <c r="AA30" i="4"/>
  <c r="AG34" i="5"/>
  <c r="AF32" i="6"/>
  <c r="AJ32" i="6"/>
  <c r="AK32" i="6" s="1"/>
  <c r="AJ32" i="11"/>
  <c r="AH32" i="11"/>
  <c r="AK72" i="8"/>
  <c r="AB62" i="9"/>
  <c r="AP62" i="9" s="1"/>
  <c r="AF62" i="9"/>
  <c r="AA29" i="4"/>
  <c r="AB29" i="4" s="1"/>
  <c r="AL29" i="4" s="1"/>
  <c r="AJ8" i="8"/>
  <c r="AH8" i="8"/>
  <c r="AJ73" i="8"/>
  <c r="AH73" i="8"/>
  <c r="AF11" i="9"/>
  <c r="AH26" i="3"/>
  <c r="AA5" i="4"/>
  <c r="AE5" i="4"/>
  <c r="AA14" i="4"/>
  <c r="AE14" i="4"/>
  <c r="AJ30" i="4"/>
  <c r="AK30" i="4" s="1"/>
  <c r="AA45" i="4"/>
  <c r="AE45" i="4"/>
  <c r="AA47" i="4"/>
  <c r="AE47" i="4"/>
  <c r="AH49" i="4"/>
  <c r="AA51" i="4"/>
  <c r="AB51" i="4" s="1"/>
  <c r="AL51" i="4" s="1"/>
  <c r="AE51" i="4"/>
  <c r="AH74" i="4"/>
  <c r="AK19" i="5"/>
  <c r="AJ37" i="5"/>
  <c r="AH37" i="5"/>
  <c r="AK41" i="5"/>
  <c r="AH43" i="5"/>
  <c r="AK43" i="5" s="1"/>
  <c r="AK21" i="6"/>
  <c r="AH17" i="7"/>
  <c r="AJ17" i="7"/>
  <c r="AK20" i="7"/>
  <c r="AJ43" i="7"/>
  <c r="AH43" i="7"/>
  <c r="AH16" i="8"/>
  <c r="AJ16" i="8"/>
  <c r="AK16" i="8" s="1"/>
  <c r="AJ43" i="8"/>
  <c r="AH43" i="8"/>
  <c r="AJ41" i="9"/>
  <c r="AH41" i="9"/>
  <c r="AF44" i="9"/>
  <c r="AB44" i="9"/>
  <c r="AP44" i="9" s="1"/>
  <c r="AJ21" i="11"/>
  <c r="AH35" i="11"/>
  <c r="AK35" i="11" s="1"/>
  <c r="AJ35" i="11"/>
  <c r="AB39" i="6"/>
  <c r="AP39" i="6" s="1"/>
  <c r="AK18" i="7"/>
  <c r="AB40" i="7"/>
  <c r="AB26" i="8"/>
  <c r="AV26" i="8" s="1"/>
  <c r="AB29" i="8"/>
  <c r="AV29" i="8" s="1"/>
  <c r="AB6" i="9"/>
  <c r="AP6" i="9" s="1"/>
  <c r="AK16" i="9"/>
  <c r="AJ28" i="9"/>
  <c r="AK28" i="9" s="1"/>
  <c r="AJ31" i="9"/>
  <c r="AB48" i="10"/>
  <c r="AL48" i="10" s="1"/>
  <c r="AK7" i="11"/>
  <c r="AK10" i="11"/>
  <c r="AJ44" i="11"/>
  <c r="AK44" i="11" s="1"/>
  <c r="AJ49" i="11"/>
  <c r="AV53" i="8"/>
  <c r="AB66" i="8"/>
  <c r="AV66" i="8" s="1"/>
  <c r="AP40" i="9"/>
  <c r="AK53" i="9"/>
  <c r="AB23" i="7"/>
  <c r="AB23" i="8"/>
  <c r="AV23" i="8" s="1"/>
  <c r="AB55" i="9"/>
  <c r="AP55" i="9" s="1"/>
  <c r="AJ9" i="6"/>
  <c r="AK9" i="6" s="1"/>
  <c r="AH24" i="6"/>
  <c r="AK24" i="6" s="1"/>
  <c r="AJ27" i="6"/>
  <c r="AK27" i="6" s="1"/>
  <c r="AE39" i="6"/>
  <c r="AG39" i="6" s="1"/>
  <c r="AB12" i="7"/>
  <c r="AB37" i="8"/>
  <c r="AV37" i="8" s="1"/>
  <c r="AB40" i="8"/>
  <c r="AB41" i="8"/>
  <c r="AJ45" i="8"/>
  <c r="AK45" i="8" s="1"/>
  <c r="AB55" i="8"/>
  <c r="AV55" i="8" s="1"/>
  <c r="AB63" i="8"/>
  <c r="AV63" i="8" s="1"/>
  <c r="AJ58" i="9"/>
  <c r="AK58" i="9" s="1"/>
  <c r="AB15" i="10"/>
  <c r="AL15" i="10" s="1"/>
  <c r="AB33" i="10"/>
  <c r="AL33" i="10" s="1"/>
  <c r="AB39" i="10"/>
  <c r="AB42" i="10"/>
  <c r="AK6" i="11"/>
  <c r="AJ17" i="11"/>
  <c r="AB20" i="11"/>
  <c r="AM20" i="11" s="1"/>
  <c r="AB6" i="6"/>
  <c r="AP6" i="6" s="1"/>
  <c r="AB44" i="6"/>
  <c r="AB57" i="6"/>
  <c r="AB15" i="7"/>
  <c r="AB32" i="7"/>
  <c r="AF40" i="7"/>
  <c r="AB19" i="9"/>
  <c r="AP19" i="9" s="1"/>
  <c r="AB7" i="10"/>
  <c r="AL7" i="10" s="1"/>
  <c r="AF48" i="10"/>
  <c r="AG9" i="6"/>
  <c r="AA19" i="6"/>
  <c r="AB19" i="6" s="1"/>
  <c r="AP19" i="6" s="1"/>
  <c r="AE38" i="6"/>
  <c r="AA53" i="6"/>
  <c r="AB60" i="6"/>
  <c r="AB5" i="7"/>
  <c r="AB28" i="8"/>
  <c r="AB33" i="8"/>
  <c r="AV33" i="8" s="1"/>
  <c r="AB49" i="8"/>
  <c r="AV49" i="8" s="1"/>
  <c r="AF28" i="9"/>
  <c r="AJ30" i="9"/>
  <c r="AK30" i="9" s="1"/>
  <c r="AJ42" i="9"/>
  <c r="AK42" i="9" s="1"/>
  <c r="AP53" i="9"/>
  <c r="AF55" i="9"/>
  <c r="AL41" i="10"/>
  <c r="AB33" i="11"/>
  <c r="AM33" i="11" s="1"/>
  <c r="AJ43" i="11"/>
  <c r="AF44" i="11"/>
  <c r="AB49" i="5"/>
  <c r="AB9" i="6"/>
  <c r="AP9" i="6" s="1"/>
  <c r="AK25" i="6"/>
  <c r="AB35" i="7"/>
  <c r="AB36" i="8"/>
  <c r="AV36" i="8" s="1"/>
  <c r="AJ44" i="8"/>
  <c r="AK44" i="8" s="1"/>
  <c r="AK11" i="9"/>
  <c r="AJ46" i="9"/>
  <c r="AK46" i="9" s="1"/>
  <c r="AB53" i="9"/>
  <c r="AJ17" i="10"/>
  <c r="AL20" i="10"/>
  <c r="AM17" i="11"/>
  <c r="AJ30" i="11"/>
  <c r="AJ39" i="11"/>
  <c r="AK39" i="11" s="1"/>
  <c r="AH44" i="11"/>
  <c r="AH49" i="11"/>
  <c r="AK49" i="11" s="1"/>
  <c r="D43" i="18"/>
  <c r="I42" i="18"/>
  <c r="AG48" i="20"/>
  <c r="AG33" i="20"/>
  <c r="AG38" i="20"/>
  <c r="AG44" i="20"/>
  <c r="AG13" i="20"/>
  <c r="AG37" i="20"/>
  <c r="AG46" i="20"/>
  <c r="AG30" i="20"/>
  <c r="AJ3" i="20"/>
  <c r="G14" i="12" s="1"/>
  <c r="R2" i="20"/>
  <c r="AG39" i="20"/>
  <c r="AH3" i="20"/>
  <c r="F14" i="12" s="1"/>
  <c r="AG21" i="20"/>
  <c r="AG28" i="20"/>
  <c r="L2" i="20"/>
  <c r="AI3" i="20"/>
  <c r="L14" i="12" s="1"/>
  <c r="AG41" i="20"/>
  <c r="AG32" i="20"/>
  <c r="Q2" i="20"/>
  <c r="I14" i="12" s="1"/>
  <c r="AG34" i="20"/>
  <c r="AL3" i="20"/>
  <c r="AG21" i="4"/>
  <c r="AG11" i="5"/>
  <c r="AG51" i="5"/>
  <c r="AG57" i="6"/>
  <c r="AG50" i="5"/>
  <c r="AG8" i="4"/>
  <c r="AG13" i="5"/>
  <c r="AG32" i="5"/>
  <c r="AG42" i="6"/>
  <c r="AG20" i="5"/>
  <c r="AG24" i="6"/>
  <c r="AG25" i="6"/>
  <c r="AG53" i="4"/>
  <c r="AG71" i="4"/>
  <c r="AG9" i="5"/>
  <c r="AG21" i="3"/>
  <c r="AG18" i="3"/>
  <c r="AG47" i="4"/>
  <c r="AG40" i="4"/>
  <c r="AG35" i="4"/>
  <c r="AG60" i="4"/>
  <c r="AG49" i="5"/>
  <c r="AG19" i="3"/>
  <c r="AG10" i="5"/>
  <c r="AG14" i="5"/>
  <c r="AG8" i="5"/>
  <c r="AG48" i="4"/>
  <c r="AG49" i="4"/>
  <c r="AG68" i="4"/>
  <c r="AG37" i="5"/>
  <c r="AG31" i="6"/>
  <c r="AG67" i="4"/>
  <c r="AG19" i="4"/>
  <c r="AG7" i="5"/>
  <c r="AG12" i="5"/>
  <c r="AG50" i="6"/>
  <c r="AG74" i="4"/>
  <c r="AG13" i="3"/>
  <c r="AG7" i="4"/>
  <c r="AG50" i="4"/>
  <c r="AG54" i="4"/>
  <c r="AG30" i="6"/>
  <c r="AG14" i="6"/>
  <c r="AG5" i="6"/>
  <c r="AG41" i="6"/>
  <c r="AG29" i="6"/>
  <c r="AG75" i="4"/>
  <c r="AG13" i="6"/>
  <c r="AG32" i="6"/>
  <c r="AG8" i="3"/>
  <c r="AG12" i="3"/>
  <c r="AG25" i="3"/>
  <c r="AG5" i="4"/>
  <c r="AG6" i="4"/>
  <c r="AG6" i="5"/>
  <c r="AG30" i="5"/>
  <c r="AT27" i="8"/>
  <c r="AV27" i="8"/>
  <c r="AF9" i="3"/>
  <c r="AG9" i="3" s="1"/>
  <c r="AF24" i="4"/>
  <c r="AG24" i="4" s="1"/>
  <c r="AJ33" i="4"/>
  <c r="AH33" i="4"/>
  <c r="AF52" i="6"/>
  <c r="AG52" i="6" s="1"/>
  <c r="AF11" i="4"/>
  <c r="AB28" i="4"/>
  <c r="AL28" i="4" s="1"/>
  <c r="AF28" i="4"/>
  <c r="AG28" i="4" s="1"/>
  <c r="AH10" i="5"/>
  <c r="AJ10" i="5"/>
  <c r="AH16" i="5"/>
  <c r="AJ16" i="5"/>
  <c r="AA17" i="5"/>
  <c r="AB17" i="5" s="1"/>
  <c r="AJ29" i="5"/>
  <c r="AH29" i="5"/>
  <c r="AF45" i="5"/>
  <c r="AG45" i="5" s="1"/>
  <c r="AJ45" i="5"/>
  <c r="AK45" i="5" s="1"/>
  <c r="AH18" i="8"/>
  <c r="AJ18" i="8"/>
  <c r="AJ11" i="8"/>
  <c r="AH11" i="8"/>
  <c r="AF31" i="8"/>
  <c r="AB31" i="8"/>
  <c r="AV31" i="8" s="1"/>
  <c r="AJ54" i="8"/>
  <c r="AH54" i="8"/>
  <c r="AK54" i="8" s="1"/>
  <c r="AF17" i="9"/>
  <c r="AB17" i="9"/>
  <c r="AP17" i="9" s="1"/>
  <c r="AJ17" i="9"/>
  <c r="AB37" i="9"/>
  <c r="AP37" i="9" s="1"/>
  <c r="AF37" i="9"/>
  <c r="AA24" i="4"/>
  <c r="AB24" i="4" s="1"/>
  <c r="AL24" i="4" s="1"/>
  <c r="AJ43" i="4"/>
  <c r="AH43" i="4"/>
  <c r="AF58" i="4"/>
  <c r="AA64" i="4"/>
  <c r="AB64" i="4" s="1"/>
  <c r="AL64" i="4" s="1"/>
  <c r="AJ11" i="6"/>
  <c r="AH11" i="6"/>
  <c r="AK11" i="6" s="1"/>
  <c r="AA22" i="6"/>
  <c r="AB22" i="6" s="1"/>
  <c r="AP22" i="6" s="1"/>
  <c r="AE22" i="6"/>
  <c r="AG22" i="6" s="1"/>
  <c r="AA52" i="6"/>
  <c r="AB52" i="6" s="1"/>
  <c r="AF20" i="3"/>
  <c r="AG20" i="3" s="1"/>
  <c r="AJ20" i="3"/>
  <c r="AG28" i="3"/>
  <c r="AF63" i="4"/>
  <c r="AG63" i="4" s="1"/>
  <c r="AJ70" i="4"/>
  <c r="AH70" i="4"/>
  <c r="AH62" i="6"/>
  <c r="AJ62" i="6"/>
  <c r="AB18" i="8"/>
  <c r="AV18" i="8" s="1"/>
  <c r="AF18" i="8"/>
  <c r="AF62" i="8"/>
  <c r="AB62" i="8"/>
  <c r="AV62" i="8" s="1"/>
  <c r="AH5" i="9"/>
  <c r="AJ5" i="9"/>
  <c r="K2" i="3"/>
  <c r="AG17" i="3"/>
  <c r="AA16" i="5"/>
  <c r="AB16" i="5" s="1"/>
  <c r="AG36" i="6"/>
  <c r="AH48" i="6"/>
  <c r="AJ48" i="6"/>
  <c r="AA49" i="6"/>
  <c r="AB49" i="6" s="1"/>
  <c r="AK13" i="7"/>
  <c r="AB5" i="9"/>
  <c r="AP5" i="9" s="1"/>
  <c r="AF5" i="9"/>
  <c r="AB14" i="4"/>
  <c r="AL14" i="4" s="1"/>
  <c r="AF14" i="4"/>
  <c r="AG14" i="4" s="1"/>
  <c r="AG29" i="5"/>
  <c r="AA28" i="6"/>
  <c r="AB28" i="6" s="1"/>
  <c r="AP28" i="6" s="1"/>
  <c r="AE28" i="6"/>
  <c r="AG28" i="6" s="1"/>
  <c r="AH51" i="6"/>
  <c r="AJ51" i="6"/>
  <c r="AA58" i="6"/>
  <c r="AB58" i="6" s="1"/>
  <c r="AB20" i="8"/>
  <c r="AV20" i="8" s="1"/>
  <c r="AF20" i="8"/>
  <c r="AH59" i="8"/>
  <c r="AJ59" i="8"/>
  <c r="AJ14" i="3"/>
  <c r="AH14" i="3"/>
  <c r="AF22" i="3"/>
  <c r="AG22" i="3" s="1"/>
  <c r="AA26" i="3"/>
  <c r="AJ29" i="3"/>
  <c r="AH29" i="3"/>
  <c r="AJ24" i="4"/>
  <c r="AK24" i="4" s="1"/>
  <c r="AB66" i="4"/>
  <c r="AL66" i="4" s="1"/>
  <c r="AK8" i="6"/>
  <c r="AH57" i="6"/>
  <c r="AJ57" i="6"/>
  <c r="AV59" i="8"/>
  <c r="AJ24" i="3"/>
  <c r="AH24" i="3"/>
  <c r="AG26" i="4"/>
  <c r="AF31" i="4"/>
  <c r="AG31" i="4" s="1"/>
  <c r="AB31" i="4"/>
  <c r="AL31" i="4" s="1"/>
  <c r="AG43" i="4"/>
  <c r="AA62" i="4"/>
  <c r="AB62" i="4" s="1"/>
  <c r="AL62" i="4" s="1"/>
  <c r="AJ12" i="5"/>
  <c r="AH12" i="5"/>
  <c r="AB15" i="5"/>
  <c r="AA23" i="5"/>
  <c r="AB23" i="5" s="1"/>
  <c r="AH10" i="6"/>
  <c r="AJ10" i="6"/>
  <c r="AG58" i="6"/>
  <c r="AL24" i="3"/>
  <c r="AF16" i="4"/>
  <c r="AH66" i="4"/>
  <c r="AJ66" i="4"/>
  <c r="AA45" i="5"/>
  <c r="AB45" i="5" s="1"/>
  <c r="AE12" i="6"/>
  <c r="AG12" i="6" s="1"/>
  <c r="AJ17" i="6"/>
  <c r="AH17" i="6"/>
  <c r="AK17" i="6" s="1"/>
  <c r="AA36" i="6"/>
  <c r="AB36" i="6" s="1"/>
  <c r="AP36" i="6" s="1"/>
  <c r="AF50" i="8"/>
  <c r="AB50" i="8"/>
  <c r="AV50" i="8" s="1"/>
  <c r="AJ50" i="8"/>
  <c r="AK50" i="8" s="1"/>
  <c r="AH33" i="9"/>
  <c r="AJ33" i="9"/>
  <c r="AB49" i="11"/>
  <c r="AM49" i="11" s="1"/>
  <c r="AA23" i="4"/>
  <c r="AB23" i="4" s="1"/>
  <c r="AL23" i="4" s="1"/>
  <c r="AB27" i="4"/>
  <c r="AL27" i="4" s="1"/>
  <c r="AF27" i="4"/>
  <c r="AG27" i="4" s="1"/>
  <c r="AF70" i="4"/>
  <c r="AB70" i="4"/>
  <c r="AL70" i="4" s="1"/>
  <c r="AH23" i="5"/>
  <c r="AJ23" i="5"/>
  <c r="AB29" i="5"/>
  <c r="AE11" i="6"/>
  <c r="AG11" i="6" s="1"/>
  <c r="AA11" i="6"/>
  <c r="AB11" i="6" s="1"/>
  <c r="AP11" i="6" s="1"/>
  <c r="AF17" i="6"/>
  <c r="AF62" i="6"/>
  <c r="AB20" i="3"/>
  <c r="AL20" i="3" s="1"/>
  <c r="AB32" i="4"/>
  <c r="AL32" i="4" s="1"/>
  <c r="AH37" i="4"/>
  <c r="AH39" i="4"/>
  <c r="AJ39" i="4"/>
  <c r="AJ45" i="4"/>
  <c r="AH45" i="4"/>
  <c r="AA57" i="4"/>
  <c r="AH58" i="4"/>
  <c r="AG16" i="5"/>
  <c r="AA17" i="6"/>
  <c r="AB17" i="6" s="1"/>
  <c r="AP17" i="6" s="1"/>
  <c r="AA62" i="6"/>
  <c r="AB62" i="6" s="1"/>
  <c r="AJ9" i="3"/>
  <c r="AB26" i="3"/>
  <c r="AL26" i="3" s="1"/>
  <c r="AB29" i="3"/>
  <c r="AL29" i="3" s="1"/>
  <c r="AF29" i="3"/>
  <c r="AG29" i="3" s="1"/>
  <c r="AJ11" i="4"/>
  <c r="AK11" i="4" s="1"/>
  <c r="AF13" i="4"/>
  <c r="AJ28" i="4"/>
  <c r="AK28" i="4" s="1"/>
  <c r="AF42" i="4"/>
  <c r="AG42" i="4" s="1"/>
  <c r="AB45" i="4"/>
  <c r="AL45" i="4" s="1"/>
  <c r="AF45" i="4"/>
  <c r="AG45" i="4" s="1"/>
  <c r="AG66" i="4"/>
  <c r="AF20" i="6"/>
  <c r="AG20" i="6" s="1"/>
  <c r="AJ20" i="6"/>
  <c r="AK20" i="6" s="1"/>
  <c r="AG26" i="3"/>
  <c r="AJ17" i="4"/>
  <c r="AK17" i="4" s="1"/>
  <c r="AF46" i="4"/>
  <c r="AJ6" i="5"/>
  <c r="AK6" i="5" s="1"/>
  <c r="K2" i="5"/>
  <c r="AF18" i="5"/>
  <c r="AG18" i="5" s="1"/>
  <c r="AJ18" i="5"/>
  <c r="AK18" i="5" s="1"/>
  <c r="AK36" i="5"/>
  <c r="AF48" i="5"/>
  <c r="AG48" i="5" s="1"/>
  <c r="AF22" i="7"/>
  <c r="AB22" i="7"/>
  <c r="AT17" i="8"/>
  <c r="AV17" i="8"/>
  <c r="AF7" i="3"/>
  <c r="AJ18" i="3"/>
  <c r="AH18" i="3"/>
  <c r="AF25" i="4"/>
  <c r="AG25" i="4" s="1"/>
  <c r="AB25" i="4"/>
  <c r="AL25" i="4" s="1"/>
  <c r="AG39" i="4"/>
  <c r="AA42" i="4"/>
  <c r="AB42" i="4" s="1"/>
  <c r="AL42" i="4" s="1"/>
  <c r="AA56" i="4"/>
  <c r="AB56" i="4" s="1"/>
  <c r="AL56" i="4" s="1"/>
  <c r="AE19" i="5"/>
  <c r="AG31" i="5"/>
  <c r="AJ46" i="5"/>
  <c r="AF46" i="5"/>
  <c r="AG46" i="5" s="1"/>
  <c r="AF16" i="6"/>
  <c r="AB16" i="6"/>
  <c r="AP16" i="6" s="1"/>
  <c r="AB20" i="6"/>
  <c r="AP20" i="6" s="1"/>
  <c r="K2" i="7"/>
  <c r="AJ7" i="7"/>
  <c r="AH41" i="7"/>
  <c r="AJ41" i="7"/>
  <c r="AF5" i="3"/>
  <c r="AG5" i="3" s="1"/>
  <c r="AB10" i="3"/>
  <c r="AL10" i="3" s="1"/>
  <c r="AF15" i="3"/>
  <c r="AG15" i="3" s="1"/>
  <c r="AJ16" i="3"/>
  <c r="AJ23" i="3"/>
  <c r="AH23" i="3"/>
  <c r="AJ28" i="3"/>
  <c r="AH28" i="3"/>
  <c r="AF12" i="4"/>
  <c r="AK22" i="4"/>
  <c r="AJ27" i="4"/>
  <c r="AK27" i="4" s="1"/>
  <c r="AJ44" i="4"/>
  <c r="AH44" i="4"/>
  <c r="AB59" i="4"/>
  <c r="AL59" i="4" s="1"/>
  <c r="AF59" i="4"/>
  <c r="AG59" i="4" s="1"/>
  <c r="AB65" i="4"/>
  <c r="AL65" i="4" s="1"/>
  <c r="AJ71" i="4"/>
  <c r="AH71" i="4"/>
  <c r="AK20" i="5"/>
  <c r="AF22" i="5"/>
  <c r="AK7" i="6"/>
  <c r="AA10" i="6"/>
  <c r="AB10" i="6" s="1"/>
  <c r="AP10" i="6" s="1"/>
  <c r="AA13" i="6"/>
  <c r="AB13" i="6" s="1"/>
  <c r="AP13" i="6" s="1"/>
  <c r="AH56" i="6"/>
  <c r="AJ56" i="6"/>
  <c r="AB7" i="7"/>
  <c r="AF7" i="7"/>
  <c r="AK8" i="7"/>
  <c r="AF41" i="7"/>
  <c r="AB41" i="7"/>
  <c r="AJ25" i="8"/>
  <c r="AH25" i="8"/>
  <c r="AK25" i="8" s="1"/>
  <c r="AJ45" i="9"/>
  <c r="AH45" i="9"/>
  <c r="AH59" i="9"/>
  <c r="AJ59" i="9"/>
  <c r="AF32" i="10"/>
  <c r="AB32" i="10"/>
  <c r="AB35" i="10"/>
  <c r="AL35" i="10" s="1"/>
  <c r="AJ17" i="3"/>
  <c r="AH17" i="3"/>
  <c r="AG34" i="4"/>
  <c r="AF64" i="4"/>
  <c r="AG64" i="4" s="1"/>
  <c r="AA28" i="3"/>
  <c r="AB28" i="3" s="1"/>
  <c r="AL28" i="3" s="1"/>
  <c r="AF37" i="4"/>
  <c r="AG37" i="4" s="1"/>
  <c r="AB37" i="4"/>
  <c r="AL37" i="4" s="1"/>
  <c r="AA44" i="4"/>
  <c r="AB44" i="4" s="1"/>
  <c r="AL44" i="4" s="1"/>
  <c r="AF54" i="8"/>
  <c r="AB54" i="8"/>
  <c r="AV54" i="8" s="1"/>
  <c r="AJ60" i="8"/>
  <c r="AF60" i="8"/>
  <c r="AB60" i="8"/>
  <c r="AV60" i="8" s="1"/>
  <c r="AB17" i="10"/>
  <c r="AL17" i="10" s="1"/>
  <c r="AB22" i="3"/>
  <c r="AL22" i="3" s="1"/>
  <c r="AH27" i="3"/>
  <c r="AJ27" i="3"/>
  <c r="AJ46" i="4"/>
  <c r="AH46" i="4"/>
  <c r="AB8" i="6"/>
  <c r="AP8" i="6" s="1"/>
  <c r="AF8" i="6"/>
  <c r="AF15" i="6"/>
  <c r="AG15" i="6" s="1"/>
  <c r="AH35" i="7"/>
  <c r="AJ35" i="7"/>
  <c r="AB8" i="10"/>
  <c r="AL8" i="10" s="1"/>
  <c r="AF8" i="10"/>
  <c r="AB17" i="3"/>
  <c r="AL17" i="3" s="1"/>
  <c r="AH32" i="4"/>
  <c r="AJ32" i="4"/>
  <c r="AB33" i="4"/>
  <c r="AL33" i="4" s="1"/>
  <c r="AA58" i="4"/>
  <c r="AB58" i="4" s="1"/>
  <c r="AL58" i="4" s="1"/>
  <c r="AG58" i="4"/>
  <c r="AA24" i="5"/>
  <c r="AB24" i="5" s="1"/>
  <c r="AB31" i="7"/>
  <c r="AJ31" i="7"/>
  <c r="AK31" i="7" s="1"/>
  <c r="AF31" i="7"/>
  <c r="AH29" i="9"/>
  <c r="AJ29" i="9"/>
  <c r="AB34" i="9"/>
  <c r="AP34" i="9" s="1"/>
  <c r="AG33" i="4"/>
  <c r="AB43" i="11"/>
  <c r="AM43" i="11" s="1"/>
  <c r="AB46" i="11"/>
  <c r="AM46" i="11" s="1"/>
  <c r="AB16" i="3"/>
  <c r="AL16" i="3" s="1"/>
  <c r="AA27" i="3"/>
  <c r="AB27" i="3" s="1"/>
  <c r="AL27" i="3" s="1"/>
  <c r="AK5" i="4"/>
  <c r="AA43" i="4"/>
  <c r="AB43" i="4" s="1"/>
  <c r="AL43" i="4" s="1"/>
  <c r="AB57" i="4"/>
  <c r="AL57" i="4" s="1"/>
  <c r="AF57" i="4"/>
  <c r="AG57" i="4" s="1"/>
  <c r="AA63" i="4"/>
  <c r="AB63" i="4" s="1"/>
  <c r="AL63" i="4" s="1"/>
  <c r="AK5" i="5"/>
  <c r="AG24" i="5"/>
  <c r="AJ28" i="5"/>
  <c r="AK28" i="5" s="1"/>
  <c r="AB28" i="5"/>
  <c r="AJ44" i="5"/>
  <c r="AK44" i="5" s="1"/>
  <c r="AB44" i="5"/>
  <c r="AA21" i="6"/>
  <c r="AB21" i="6" s="1"/>
  <c r="AP21" i="6" s="1"/>
  <c r="AK17" i="8"/>
  <c r="AK17" i="9"/>
  <c r="AG27" i="3"/>
  <c r="AH65" i="4"/>
  <c r="AJ65" i="4"/>
  <c r="AF72" i="4"/>
  <c r="AG72" i="4" s="1"/>
  <c r="AJ72" i="4"/>
  <c r="AE51" i="6"/>
  <c r="AG51" i="6" s="1"/>
  <c r="AA51" i="6"/>
  <c r="AJ25" i="9"/>
  <c r="AH25" i="9"/>
  <c r="AK25" i="9" s="1"/>
  <c r="AH69" i="9"/>
  <c r="AJ69" i="9"/>
  <c r="AA13" i="4"/>
  <c r="AB13" i="4" s="1"/>
  <c r="AL13" i="4" s="1"/>
  <c r="AA26" i="4"/>
  <c r="AB26" i="4" s="1"/>
  <c r="AL26" i="4" s="1"/>
  <c r="AF56" i="4"/>
  <c r="AG56" i="4" s="1"/>
  <c r="AG15" i="5"/>
  <c r="AB47" i="5"/>
  <c r="AF10" i="6"/>
  <c r="AJ16" i="6"/>
  <c r="AH16" i="6"/>
  <c r="AG17" i="6"/>
  <c r="AF61" i="6"/>
  <c r="AG61" i="6" s="1"/>
  <c r="AF25" i="9"/>
  <c r="AB25" i="9"/>
  <c r="AP25" i="9" s="1"/>
  <c r="AH65" i="9"/>
  <c r="AJ65" i="9"/>
  <c r="AB47" i="10"/>
  <c r="AL47" i="10" s="1"/>
  <c r="AJ8" i="3"/>
  <c r="AK23" i="4"/>
  <c r="AF30" i="4"/>
  <c r="AG30" i="4" s="1"/>
  <c r="AB30" i="4"/>
  <c r="AL30" i="4" s="1"/>
  <c r="AF34" i="4"/>
  <c r="AJ34" i="4"/>
  <c r="AB72" i="4"/>
  <c r="AL72" i="4" s="1"/>
  <c r="AH22" i="5"/>
  <c r="AJ22" i="5"/>
  <c r="AH30" i="5"/>
  <c r="AJ30" i="5"/>
  <c r="AL18" i="3"/>
  <c r="AB23" i="3"/>
  <c r="AL23" i="3" s="1"/>
  <c r="AG12" i="4"/>
  <c r="AA12" i="4"/>
  <c r="AB12" i="4" s="1"/>
  <c r="AL12" i="4" s="1"/>
  <c r="AF18" i="4"/>
  <c r="AG18" i="4" s="1"/>
  <c r="AB34" i="4"/>
  <c r="AL34" i="4" s="1"/>
  <c r="AB47" i="4"/>
  <c r="AL47" i="4" s="1"/>
  <c r="AJ47" i="4"/>
  <c r="AG51" i="4"/>
  <c r="AF55" i="4"/>
  <c r="AG55" i="4" s="1"/>
  <c r="AG65" i="4"/>
  <c r="AJ11" i="5"/>
  <c r="AH11" i="5"/>
  <c r="AF17" i="5"/>
  <c r="AG17" i="5" s="1"/>
  <c r="AJ17" i="5"/>
  <c r="AB18" i="5"/>
  <c r="AE22" i="5"/>
  <c r="AA22" i="5"/>
  <c r="AB22" i="5" s="1"/>
  <c r="AB46" i="5"/>
  <c r="AG47" i="5"/>
  <c r="AG16" i="6"/>
  <c r="AJ18" i="6"/>
  <c r="AH18" i="6"/>
  <c r="AF23" i="6"/>
  <c r="AK39" i="6"/>
  <c r="AE47" i="6"/>
  <c r="AG47" i="6" s="1"/>
  <c r="AK26" i="7"/>
  <c r="AH36" i="7"/>
  <c r="AJ36" i="7"/>
  <c r="AB25" i="8"/>
  <c r="AV25" i="8" s="1"/>
  <c r="AF25" i="8"/>
  <c r="AJ31" i="8"/>
  <c r="AH31" i="8"/>
  <c r="AH37" i="9"/>
  <c r="AJ37" i="9"/>
  <c r="AB59" i="9"/>
  <c r="AP59" i="9" s="1"/>
  <c r="AF59" i="9"/>
  <c r="AP65" i="9"/>
  <c r="AH15" i="6"/>
  <c r="AJ15" i="6"/>
  <c r="AG18" i="6"/>
  <c r="AG19" i="6"/>
  <c r="AJ61" i="6"/>
  <c r="AK61" i="6" s="1"/>
  <c r="AH20" i="8"/>
  <c r="AJ20" i="8"/>
  <c r="AH30" i="8"/>
  <c r="AJ30" i="8"/>
  <c r="AF71" i="8"/>
  <c r="AB71" i="8"/>
  <c r="AV71" i="8" s="1"/>
  <c r="AJ61" i="9"/>
  <c r="AH61" i="9"/>
  <c r="AB18" i="11"/>
  <c r="AM18" i="11" s="1"/>
  <c r="AH23" i="11"/>
  <c r="AJ23" i="11"/>
  <c r="AF30" i="8"/>
  <c r="AB30" i="8"/>
  <c r="AV30" i="8" s="1"/>
  <c r="AK7" i="9"/>
  <c r="AP33" i="9"/>
  <c r="AF36" i="9"/>
  <c r="AB36" i="9"/>
  <c r="AP36" i="9" s="1"/>
  <c r="AH48" i="9"/>
  <c r="AJ48" i="9"/>
  <c r="AB43" i="10"/>
  <c r="AL43" i="10" s="1"/>
  <c r="AK9" i="11"/>
  <c r="AB48" i="11"/>
  <c r="AM48" i="11" s="1"/>
  <c r="AJ10" i="4"/>
  <c r="AH10" i="4"/>
  <c r="AG32" i="4"/>
  <c r="AG38" i="4"/>
  <c r="AG23" i="5"/>
  <c r="AJ26" i="5"/>
  <c r="AH26" i="5"/>
  <c r="AK26" i="5" s="1"/>
  <c r="AG10" i="6"/>
  <c r="AH50" i="6"/>
  <c r="AJ50" i="6"/>
  <c r="AB56" i="6"/>
  <c r="AB44" i="7"/>
  <c r="AF44" i="7"/>
  <c r="AB11" i="8"/>
  <c r="AV11" i="8" s="1"/>
  <c r="AF11" i="8"/>
  <c r="AK21" i="8"/>
  <c r="AJ24" i="8"/>
  <c r="AH24" i="8"/>
  <c r="AK24" i="8" s="1"/>
  <c r="AF61" i="8"/>
  <c r="AB61" i="8"/>
  <c r="AV61" i="8" s="1"/>
  <c r="AB65" i="8"/>
  <c r="AV65" i="8" s="1"/>
  <c r="AF65" i="8"/>
  <c r="AF70" i="8"/>
  <c r="AB70" i="8"/>
  <c r="AV70" i="8" s="1"/>
  <c r="AP7" i="9"/>
  <c r="AF32" i="9"/>
  <c r="AB32" i="9"/>
  <c r="AP32" i="9" s="1"/>
  <c r="AB48" i="9"/>
  <c r="AP48" i="9" s="1"/>
  <c r="AF48" i="9"/>
  <c r="AH12" i="10"/>
  <c r="AJ12" i="10"/>
  <c r="AH18" i="10"/>
  <c r="AB21" i="10"/>
  <c r="AL21" i="10" s="1"/>
  <c r="AF21" i="10"/>
  <c r="AH37" i="10"/>
  <c r="AH45" i="10"/>
  <c r="AB34" i="11"/>
  <c r="AM34" i="11" s="1"/>
  <c r="AG16" i="3"/>
  <c r="AA55" i="4"/>
  <c r="AB55" i="4" s="1"/>
  <c r="AL55" i="4" s="1"/>
  <c r="C11" i="12"/>
  <c r="I1" i="5"/>
  <c r="AJ21" i="5"/>
  <c r="AK21" i="5" s="1"/>
  <c r="AF21" i="5"/>
  <c r="AG21" i="5" s="1"/>
  <c r="AK14" i="6"/>
  <c r="AB51" i="6"/>
  <c r="AB34" i="7"/>
  <c r="AF34" i="7"/>
  <c r="AB7" i="8"/>
  <c r="AV7" i="8" s="1"/>
  <c r="AJ7" i="8"/>
  <c r="AK7" i="8" s="1"/>
  <c r="AB16" i="8"/>
  <c r="AB56" i="8"/>
  <c r="AV56" i="8" s="1"/>
  <c r="AF18" i="10"/>
  <c r="AB18" i="10"/>
  <c r="AL18" i="10" s="1"/>
  <c r="AA18" i="4"/>
  <c r="AB18" i="4" s="1"/>
  <c r="AL18" i="4" s="1"/>
  <c r="AA19" i="4"/>
  <c r="AB19" i="4" s="1"/>
  <c r="AL19" i="4" s="1"/>
  <c r="AA15" i="6"/>
  <c r="AB15" i="6" s="1"/>
  <c r="AP15" i="6" s="1"/>
  <c r="AF24" i="8"/>
  <c r="AB24" i="8"/>
  <c r="AV24" i="8" s="1"/>
  <c r="AV39" i="8"/>
  <c r="AJ20" i="9"/>
  <c r="AK20" i="9" s="1"/>
  <c r="AB20" i="9"/>
  <c r="AP20" i="9" s="1"/>
  <c r="AF20" i="9"/>
  <c r="AB12" i="10"/>
  <c r="AL12" i="10" s="1"/>
  <c r="AB37" i="10"/>
  <c r="AL37" i="10" s="1"/>
  <c r="AF37" i="10"/>
  <c r="K2" i="11"/>
  <c r="AB39" i="11"/>
  <c r="AM39" i="11" s="1"/>
  <c r="AF42" i="11"/>
  <c r="AB42" i="11"/>
  <c r="AM42" i="11" s="1"/>
  <c r="AA9" i="3"/>
  <c r="AB9" i="3" s="1"/>
  <c r="AL9" i="3" s="1"/>
  <c r="AJ9" i="4"/>
  <c r="AH9" i="4"/>
  <c r="AB41" i="4"/>
  <c r="AL41" i="4" s="1"/>
  <c r="AG28" i="5"/>
  <c r="AA7" i="6"/>
  <c r="AB7" i="6" s="1"/>
  <c r="AP7" i="6" s="1"/>
  <c r="AA55" i="6"/>
  <c r="AB55" i="6" s="1"/>
  <c r="AE55" i="6"/>
  <c r="AG55" i="6" s="1"/>
  <c r="AJ6" i="8"/>
  <c r="K2" i="8"/>
  <c r="AH6" i="8"/>
  <c r="AB51" i="8"/>
  <c r="AV51" i="8" s="1"/>
  <c r="AF51" i="8"/>
  <c r="AJ64" i="8"/>
  <c r="AH64" i="8"/>
  <c r="AL36" i="10"/>
  <c r="K2" i="4"/>
  <c r="AJ8" i="4"/>
  <c r="AH8" i="4"/>
  <c r="AG11" i="4"/>
  <c r="AG20" i="4"/>
  <c r="AB36" i="4"/>
  <c r="AL36" i="4" s="1"/>
  <c r="AG41" i="4"/>
  <c r="AJ51" i="4"/>
  <c r="AA54" i="4"/>
  <c r="AB54" i="4" s="1"/>
  <c r="AL54" i="4" s="1"/>
  <c r="AG69" i="4"/>
  <c r="AB76" i="4"/>
  <c r="AL76" i="4" s="1"/>
  <c r="AJ76" i="4"/>
  <c r="AK13" i="5"/>
  <c r="AB21" i="5"/>
  <c r="AF25" i="5"/>
  <c r="AG25" i="5" s="1"/>
  <c r="AG27" i="5"/>
  <c r="AG38" i="5"/>
  <c r="AG44" i="5"/>
  <c r="AK46" i="5"/>
  <c r="AE8" i="6"/>
  <c r="AK31" i="6"/>
  <c r="AG43" i="6"/>
  <c r="AA50" i="6"/>
  <c r="AB59" i="6"/>
  <c r="AF59" i="6"/>
  <c r="AG59" i="6" s="1"/>
  <c r="AF33" i="7"/>
  <c r="AB33" i="7"/>
  <c r="AF43" i="7"/>
  <c r="AB43" i="7"/>
  <c r="AH19" i="8"/>
  <c r="AJ19" i="8"/>
  <c r="AJ26" i="9"/>
  <c r="AH26" i="9"/>
  <c r="AK26" i="9" s="1"/>
  <c r="AB9" i="10"/>
  <c r="AL29" i="10"/>
  <c r="AH29" i="10"/>
  <c r="AJ29" i="10"/>
  <c r="AB30" i="10"/>
  <c r="AL30" i="10" s="1"/>
  <c r="AB8" i="3"/>
  <c r="AL8" i="3" s="1"/>
  <c r="AB5" i="4"/>
  <c r="AL5" i="4" s="1"/>
  <c r="AG36" i="4"/>
  <c r="AB19" i="5"/>
  <c r="AF19" i="5"/>
  <c r="AJ24" i="5"/>
  <c r="AK24" i="5" s="1"/>
  <c r="AH31" i="5"/>
  <c r="AJ31" i="5"/>
  <c r="AB32" i="5"/>
  <c r="AG6" i="6"/>
  <c r="AG7" i="6"/>
  <c r="AJ12" i="6"/>
  <c r="AH12" i="6"/>
  <c r="AA14" i="6"/>
  <c r="AB14" i="6" s="1"/>
  <c r="AP14" i="6" s="1"/>
  <c r="AJ23" i="6"/>
  <c r="AK23" i="6" s="1"/>
  <c r="AF49" i="6"/>
  <c r="AG49" i="6" s="1"/>
  <c r="AB50" i="6"/>
  <c r="AG60" i="6"/>
  <c r="AB8" i="7"/>
  <c r="AF8" i="7"/>
  <c r="AF23" i="7"/>
  <c r="AJ23" i="7"/>
  <c r="AK23" i="7" s="1"/>
  <c r="AK27" i="7"/>
  <c r="AK5" i="8"/>
  <c r="AV10" i="8"/>
  <c r="AB19" i="8"/>
  <c r="AF19" i="8"/>
  <c r="AV64" i="8"/>
  <c r="AJ34" i="9"/>
  <c r="AK34" i="9" s="1"/>
  <c r="AJ36" i="9"/>
  <c r="AK36" i="9" s="1"/>
  <c r="AH5" i="10"/>
  <c r="AL5" i="10"/>
  <c r="AJ5" i="10"/>
  <c r="AJ9" i="5"/>
  <c r="AH9" i="5"/>
  <c r="AB38" i="6"/>
  <c r="AP38" i="6" s="1"/>
  <c r="AF38" i="6"/>
  <c r="AG38" i="6" s="1"/>
  <c r="AK58" i="6"/>
  <c r="AB21" i="8"/>
  <c r="AF21" i="8"/>
  <c r="AV41" i="8"/>
  <c r="AH4" i="9"/>
  <c r="AJ4" i="9"/>
  <c r="AB26" i="9"/>
  <c r="AP26" i="9" s="1"/>
  <c r="AF26" i="9"/>
  <c r="AP61" i="9"/>
  <c r="AB26" i="10"/>
  <c r="AL26" i="10" s="1"/>
  <c r="AL42" i="10"/>
  <c r="AH42" i="10"/>
  <c r="AJ42" i="10"/>
  <c r="AB13" i="5"/>
  <c r="AK17" i="5"/>
  <c r="AK27" i="5"/>
  <c r="AB35" i="5"/>
  <c r="AF35" i="5"/>
  <c r="AG35" i="5" s="1"/>
  <c r="AF39" i="5"/>
  <c r="AG39" i="5" s="1"/>
  <c r="AB39" i="5"/>
  <c r="AJ49" i="5"/>
  <c r="AK49" i="5" s="1"/>
  <c r="AJ28" i="6"/>
  <c r="AK28" i="6" s="1"/>
  <c r="AB30" i="6"/>
  <c r="AP30" i="6" s="1"/>
  <c r="AJ30" i="6"/>
  <c r="AK30" i="6" s="1"/>
  <c r="AG33" i="6"/>
  <c r="AB34" i="6"/>
  <c r="AP34" i="6" s="1"/>
  <c r="AF34" i="6"/>
  <c r="AG34" i="6" s="1"/>
  <c r="AB53" i="6"/>
  <c r="AF53" i="6"/>
  <c r="AG53" i="6" s="1"/>
  <c r="AA61" i="6"/>
  <c r="AB61" i="6" s="1"/>
  <c r="AG62" i="6"/>
  <c r="AF6" i="7"/>
  <c r="AB6" i="7"/>
  <c r="AF42" i="7"/>
  <c r="AB42" i="7"/>
  <c r="AK9" i="8"/>
  <c r="AH28" i="8"/>
  <c r="AJ28" i="8"/>
  <c r="AB22" i="9"/>
  <c r="AP22" i="9" s="1"/>
  <c r="AF22" i="9"/>
  <c r="AL9" i="10"/>
  <c r="AB16" i="10"/>
  <c r="AB23" i="10"/>
  <c r="AL23" i="10" s="1"/>
  <c r="AB14" i="5"/>
  <c r="AJ15" i="5"/>
  <c r="AK15" i="5" s="1"/>
  <c r="AB38" i="5"/>
  <c r="AJ47" i="5"/>
  <c r="AK47" i="5" s="1"/>
  <c r="AJ48" i="5"/>
  <c r="AK48" i="5" s="1"/>
  <c r="K2" i="6"/>
  <c r="AJ36" i="6"/>
  <c r="AK36" i="6" s="1"/>
  <c r="AE37" i="6"/>
  <c r="AG37" i="6" s="1"/>
  <c r="AA37" i="6"/>
  <c r="AB37" i="6" s="1"/>
  <c r="AP37" i="6" s="1"/>
  <c r="AG44" i="6"/>
  <c r="AG45" i="6"/>
  <c r="AG48" i="6"/>
  <c r="AJ52" i="6"/>
  <c r="AH52" i="6"/>
  <c r="AJ59" i="6"/>
  <c r="AH59" i="6"/>
  <c r="AK19" i="7"/>
  <c r="AK38" i="7"/>
  <c r="AB9" i="8"/>
  <c r="AV9" i="8" s="1"/>
  <c r="AF9" i="8"/>
  <c r="AF34" i="8"/>
  <c r="AB34" i="8"/>
  <c r="AV34" i="8" s="1"/>
  <c r="AJ51" i="8"/>
  <c r="AK51" i="8" s="1"/>
  <c r="AK60" i="8"/>
  <c r="AH62" i="8"/>
  <c r="AK62" i="8" s="1"/>
  <c r="AJ62" i="8"/>
  <c r="AB46" i="9"/>
  <c r="AP46" i="9" s="1"/>
  <c r="AF46" i="9"/>
  <c r="AH32" i="10"/>
  <c r="AL32" i="10"/>
  <c r="AJ32" i="10"/>
  <c r="AF36" i="7"/>
  <c r="AB36" i="7"/>
  <c r="AK14" i="8"/>
  <c r="AH35" i="9"/>
  <c r="AJ35" i="9"/>
  <c r="AK44" i="9"/>
  <c r="AB11" i="10"/>
  <c r="AL11" i="10" s="1"/>
  <c r="AK19" i="11"/>
  <c r="AK26" i="11"/>
  <c r="AH47" i="11"/>
  <c r="AJ47" i="11"/>
  <c r="AK8" i="5"/>
  <c r="AK51" i="5"/>
  <c r="AK5" i="6"/>
  <c r="AB12" i="6"/>
  <c r="AP12" i="6" s="1"/>
  <c r="AK43" i="6"/>
  <c r="AK11" i="7"/>
  <c r="AJ21" i="7"/>
  <c r="AK21" i="7" s="1"/>
  <c r="AB26" i="7"/>
  <c r="AF26" i="7"/>
  <c r="AK29" i="7"/>
  <c r="AF30" i="7"/>
  <c r="AJ30" i="7"/>
  <c r="AK30" i="7" s="1"/>
  <c r="AB30" i="7"/>
  <c r="AB14" i="8"/>
  <c r="AV14" i="8" s="1"/>
  <c r="AK22" i="8"/>
  <c r="AJ32" i="8"/>
  <c r="AK32" i="8" s="1"/>
  <c r="AJ35" i="8"/>
  <c r="AK35" i="8" s="1"/>
  <c r="AV40" i="8"/>
  <c r="AB44" i="8"/>
  <c r="AV44" i="8" s="1"/>
  <c r="AJ58" i="8"/>
  <c r="AK58" i="8" s="1"/>
  <c r="AH68" i="8"/>
  <c r="AJ68" i="8"/>
  <c r="AJ24" i="9"/>
  <c r="AK24" i="9" s="1"/>
  <c r="AF24" i="9"/>
  <c r="AF35" i="9"/>
  <c r="AB35" i="9"/>
  <c r="AP35" i="9" s="1"/>
  <c r="AK47" i="9"/>
  <c r="AK60" i="9"/>
  <c r="AB34" i="10"/>
  <c r="AL34" i="10" s="1"/>
  <c r="AH38" i="10"/>
  <c r="AJ38" i="10"/>
  <c r="AB22" i="11"/>
  <c r="AM22" i="11" s="1"/>
  <c r="AB42" i="6"/>
  <c r="AJ42" i="6"/>
  <c r="AK42" i="6" s="1"/>
  <c r="AB47" i="6"/>
  <c r="AL47" i="6" s="1"/>
  <c r="AF12" i="7"/>
  <c r="AJ12" i="7"/>
  <c r="AK12" i="7" s="1"/>
  <c r="AB14" i="7"/>
  <c r="AB17" i="7"/>
  <c r="AF18" i="7"/>
  <c r="AB18" i="7"/>
  <c r="AJ22" i="7"/>
  <c r="AK22" i="7" s="1"/>
  <c r="AB35" i="8"/>
  <c r="AV35" i="8" s="1"/>
  <c r="AH55" i="8"/>
  <c r="AJ55" i="8"/>
  <c r="AJ56" i="8"/>
  <c r="AK56" i="8" s="1"/>
  <c r="AF58" i="8"/>
  <c r="AB58" i="8"/>
  <c r="AV58" i="8" s="1"/>
  <c r="AK67" i="9"/>
  <c r="AP69" i="9"/>
  <c r="AF38" i="10"/>
  <c r="AB38" i="10"/>
  <c r="AL38" i="10" s="1"/>
  <c r="AH44" i="10"/>
  <c r="AJ44" i="10"/>
  <c r="AB13" i="11"/>
  <c r="AM13" i="11" s="1"/>
  <c r="AB16" i="11"/>
  <c r="AM16" i="11" s="1"/>
  <c r="AK46" i="8"/>
  <c r="AJ65" i="8"/>
  <c r="AK65" i="8" s="1"/>
  <c r="AJ32" i="9"/>
  <c r="AK32" i="9" s="1"/>
  <c r="AB64" i="9"/>
  <c r="AP64" i="9" s="1"/>
  <c r="AK43" i="11"/>
  <c r="AJ37" i="8"/>
  <c r="AK37" i="8" s="1"/>
  <c r="AB30" i="9"/>
  <c r="AP30" i="9" s="1"/>
  <c r="AF30" i="9"/>
  <c r="AH43" i="9"/>
  <c r="AJ43" i="9"/>
  <c r="AP45" i="9"/>
  <c r="AF10" i="10"/>
  <c r="AB10" i="10"/>
  <c r="AL10" i="10" s="1"/>
  <c r="AB27" i="11"/>
  <c r="AM27" i="11" s="1"/>
  <c r="AB72" i="8"/>
  <c r="AV72" i="8" s="1"/>
  <c r="AB39" i="9"/>
  <c r="AP39" i="9" s="1"/>
  <c r="AB43" i="9"/>
  <c r="AP43" i="9" s="1"/>
  <c r="AF64" i="9"/>
  <c r="AB66" i="9"/>
  <c r="AP66" i="9" s="1"/>
  <c r="AJ66" i="9"/>
  <c r="AK66" i="9" s="1"/>
  <c r="AF66" i="9"/>
  <c r="AL16" i="10"/>
  <c r="AH16" i="10"/>
  <c r="AB24" i="10"/>
  <c r="AL24" i="10" s="1"/>
  <c r="AF24" i="10"/>
  <c r="AF52" i="9"/>
  <c r="AB52" i="9"/>
  <c r="AP52" i="9" s="1"/>
  <c r="AL39" i="10"/>
  <c r="AB44" i="10"/>
  <c r="AL44" i="10" s="1"/>
  <c r="AF44" i="10"/>
  <c r="AB7" i="11"/>
  <c r="AM7" i="11" s="1"/>
  <c r="AB36" i="11"/>
  <c r="AM36" i="11" s="1"/>
  <c r="AB47" i="11"/>
  <c r="AM47" i="11" s="1"/>
  <c r="AJ6" i="10"/>
  <c r="AH6" i="10"/>
  <c r="AH11" i="10"/>
  <c r="AJ11" i="10"/>
  <c r="AK15" i="11"/>
  <c r="AB30" i="11"/>
  <c r="AM30" i="11" s="1"/>
  <c r="AJ49" i="6"/>
  <c r="AK49" i="6" s="1"/>
  <c r="AB20" i="7"/>
  <c r="AB38" i="7"/>
  <c r="AF8" i="9"/>
  <c r="AB8" i="9"/>
  <c r="AP8" i="9" s="1"/>
  <c r="AB18" i="9"/>
  <c r="AP18" i="9" s="1"/>
  <c r="AJ21" i="9"/>
  <c r="AK21" i="9" s="1"/>
  <c r="AK27" i="9"/>
  <c r="AK31" i="9"/>
  <c r="AH62" i="9"/>
  <c r="AJ62" i="9"/>
  <c r="AB31" i="10"/>
  <c r="AL31" i="10" s="1"/>
  <c r="AB26" i="11"/>
  <c r="AM26" i="11" s="1"/>
  <c r="AB41" i="9"/>
  <c r="AP41" i="9" s="1"/>
  <c r="AH4" i="10"/>
  <c r="K2" i="10"/>
  <c r="AB13" i="10"/>
  <c r="AL13" i="10" s="1"/>
  <c r="AL22" i="10"/>
  <c r="AL40" i="10"/>
  <c r="AF45" i="10"/>
  <c r="AB45" i="10"/>
  <c r="AL45" i="10" s="1"/>
  <c r="AB9" i="11"/>
  <c r="AM9" i="11" s="1"/>
  <c r="AH64" i="9"/>
  <c r="AJ64" i="9"/>
  <c r="AB27" i="10"/>
  <c r="AL27" i="10" s="1"/>
  <c r="AK30" i="11"/>
  <c r="AB32" i="11"/>
  <c r="AM32" i="11" s="1"/>
  <c r="AB35" i="11"/>
  <c r="AM35" i="11" s="1"/>
  <c r="AB4" i="11"/>
  <c r="AM4" i="11" s="1"/>
  <c r="AB15" i="11"/>
  <c r="AM15" i="11" s="1"/>
  <c r="AJ50" i="11"/>
  <c r="AK50" i="11" s="1"/>
  <c r="AF50" i="11"/>
  <c r="AK63" i="9"/>
  <c r="AJ8" i="10"/>
  <c r="AB14" i="10"/>
  <c r="AL14" i="10" s="1"/>
  <c r="AL19" i="10"/>
  <c r="AJ19" i="10"/>
  <c r="AH35" i="10"/>
  <c r="AB10" i="11"/>
  <c r="AM10" i="11" s="1"/>
  <c r="AB24" i="11"/>
  <c r="AM24" i="11" s="1"/>
  <c r="AH27" i="11"/>
  <c r="AJ27" i="11"/>
  <c r="AF31" i="11"/>
  <c r="AB31" i="11"/>
  <c r="AM31" i="11" s="1"/>
  <c r="AK32" i="11"/>
  <c r="AB41" i="11"/>
  <c r="AM41" i="11" s="1"/>
  <c r="I21" i="13"/>
  <c r="AE10" i="11" s="1"/>
  <c r="AG10" i="11" s="1"/>
  <c r="D29" i="18"/>
  <c r="AF9" i="11"/>
  <c r="AF15" i="11"/>
  <c r="AJ18" i="11"/>
  <c r="AK18" i="11" s="1"/>
  <c r="AJ22" i="11"/>
  <c r="AK22" i="11" s="1"/>
  <c r="AJ31" i="11"/>
  <c r="AK31" i="11" s="1"/>
  <c r="AJ42" i="11"/>
  <c r="AK42" i="11" s="1"/>
  <c r="AB45" i="11"/>
  <c r="AM45" i="11" s="1"/>
  <c r="AJ14" i="10"/>
  <c r="AJ27" i="10"/>
  <c r="AJ33" i="10"/>
  <c r="AJ39" i="10"/>
  <c r="AH4" i="11"/>
  <c r="AH20" i="11"/>
  <c r="AK20" i="11" s="1"/>
  <c r="AH24" i="11"/>
  <c r="AK24" i="11" s="1"/>
  <c r="AF33" i="11"/>
  <c r="AJ20" i="10"/>
  <c r="AJ40" i="10"/>
  <c r="AH40" i="11"/>
  <c r="AK40" i="11" s="1"/>
  <c r="D8" i="18"/>
  <c r="AJ15" i="10"/>
  <c r="AH22" i="10"/>
  <c r="AJ28" i="10"/>
  <c r="AJ34" i="10"/>
  <c r="AJ4" i="11"/>
  <c r="AH33" i="11"/>
  <c r="AK33" i="11" s="1"/>
  <c r="AH37" i="11"/>
  <c r="AK37" i="11" s="1"/>
  <c r="AB6" i="10"/>
  <c r="AL6" i="10" s="1"/>
  <c r="AH9" i="10"/>
  <c r="AB46" i="10"/>
  <c r="AL46" i="10" s="1"/>
  <c r="AH17" i="11"/>
  <c r="AK17" i="11" s="1"/>
  <c r="AB19" i="11"/>
  <c r="AM19" i="11" s="1"/>
  <c r="AH21" i="11"/>
  <c r="AK21" i="11" s="1"/>
  <c r="AB23" i="11"/>
  <c r="AM23" i="11" s="1"/>
  <c r="AH25" i="11"/>
  <c r="AK25" i="11" s="1"/>
  <c r="AH45" i="11"/>
  <c r="AK45" i="11" s="1"/>
  <c r="AJ9" i="10"/>
  <c r="AH46" i="11"/>
  <c r="AK46" i="11" s="1"/>
  <c r="AJ23" i="10"/>
  <c r="AJ30" i="10"/>
  <c r="AJ36" i="10"/>
  <c r="AJ43" i="10"/>
  <c r="E14" i="12" l="1"/>
  <c r="AE45" i="10"/>
  <c r="AG45" i="10" s="1"/>
  <c r="AE26" i="11"/>
  <c r="AG26" i="11" s="1"/>
  <c r="AE27" i="11"/>
  <c r="AG27" i="11" s="1"/>
  <c r="AE13" i="10"/>
  <c r="AG13" i="10" s="1"/>
  <c r="AE24" i="10"/>
  <c r="AG24" i="10" s="1"/>
  <c r="AE31" i="10"/>
  <c r="AG31" i="10" s="1"/>
  <c r="AG23" i="6"/>
  <c r="AK27" i="8"/>
  <c r="AG26" i="5"/>
  <c r="AK53" i="8"/>
  <c r="AG7" i="3"/>
  <c r="AK70" i="8"/>
  <c r="AK34" i="7"/>
  <c r="AK39" i="7"/>
  <c r="AK39" i="9"/>
  <c r="AE39" i="10"/>
  <c r="AG39" i="10" s="1"/>
  <c r="AE4" i="11"/>
  <c r="AG4" i="11" s="1"/>
  <c r="AE36" i="10"/>
  <c r="AG36" i="10" s="1"/>
  <c r="AE12" i="11"/>
  <c r="AG12" i="11" s="1"/>
  <c r="AK64" i="9"/>
  <c r="AE47" i="11"/>
  <c r="AG47" i="11" s="1"/>
  <c r="AK9" i="5"/>
  <c r="AK64" i="8"/>
  <c r="AK9" i="4"/>
  <c r="AK16" i="6"/>
  <c r="AK12" i="5"/>
  <c r="AK29" i="5"/>
  <c r="AK41" i="9"/>
  <c r="AK37" i="5"/>
  <c r="AK8" i="8"/>
  <c r="AK6" i="9"/>
  <c r="AK34" i="8"/>
  <c r="AK68" i="9"/>
  <c r="AK63" i="8"/>
  <c r="AK49" i="8"/>
  <c r="AK36" i="11"/>
  <c r="AK14" i="9"/>
  <c r="AK15" i="4"/>
  <c r="AE43" i="10"/>
  <c r="AG43" i="10" s="1"/>
  <c r="AK61" i="9"/>
  <c r="AE17" i="10"/>
  <c r="AG17" i="10" s="1"/>
  <c r="AE24" i="11"/>
  <c r="AG24" i="11" s="1"/>
  <c r="AG46" i="4"/>
  <c r="AE23" i="11"/>
  <c r="AG23" i="11" s="1"/>
  <c r="AE36" i="11"/>
  <c r="AG36" i="11" s="1"/>
  <c r="AE37" i="10"/>
  <c r="AE5" i="10"/>
  <c r="AG5" i="10" s="1"/>
  <c r="AK17" i="7"/>
  <c r="AK73" i="8"/>
  <c r="AK40" i="7"/>
  <c r="AK13" i="9"/>
  <c r="AK22" i="9"/>
  <c r="AK55" i="6"/>
  <c r="AK42" i="8"/>
  <c r="AK26" i="8"/>
  <c r="AK28" i="7"/>
  <c r="AK10" i="9"/>
  <c r="AK38" i="9"/>
  <c r="AK52" i="8"/>
  <c r="AK31" i="4"/>
  <c r="AK12" i="4"/>
  <c r="AK52" i="9"/>
  <c r="AE15" i="10"/>
  <c r="AG15" i="10" s="1"/>
  <c r="AE16" i="11"/>
  <c r="AG16" i="11" s="1"/>
  <c r="AK52" i="6"/>
  <c r="AK12" i="6"/>
  <c r="AK43" i="7"/>
  <c r="AK13" i="8"/>
  <c r="AK47" i="8"/>
  <c r="Q2" i="4"/>
  <c r="I12" i="12" s="1"/>
  <c r="AE49" i="11"/>
  <c r="AG49" i="11" s="1"/>
  <c r="AH2" i="7"/>
  <c r="F9" i="12" s="1"/>
  <c r="AG24" i="3"/>
  <c r="AG2" i="3" s="1"/>
  <c r="K13" i="12" s="1"/>
  <c r="AG16" i="4"/>
  <c r="AL3" i="4"/>
  <c r="AE20" i="11"/>
  <c r="AG20" i="11" s="1"/>
  <c r="AJ3" i="8"/>
  <c r="G8" i="12" s="1"/>
  <c r="AK10" i="4"/>
  <c r="AK11" i="5"/>
  <c r="AK51" i="6"/>
  <c r="AJ3" i="6"/>
  <c r="G10" i="12" s="1"/>
  <c r="AK16" i="7"/>
  <c r="AK6" i="7"/>
  <c r="AK56" i="9"/>
  <c r="AK10" i="7"/>
  <c r="AK49" i="9"/>
  <c r="AK61" i="8"/>
  <c r="AK40" i="6"/>
  <c r="AE14" i="10"/>
  <c r="AG14" i="10" s="1"/>
  <c r="AE22" i="11"/>
  <c r="AG22" i="11" s="1"/>
  <c r="AE10" i="10"/>
  <c r="AG10" i="10" s="1"/>
  <c r="AJ3" i="3"/>
  <c r="G13" i="12" s="1"/>
  <c r="AK18" i="6"/>
  <c r="AE47" i="10"/>
  <c r="AG47" i="10" s="1"/>
  <c r="AE6" i="11"/>
  <c r="AG6" i="11" s="1"/>
  <c r="AP70" i="9"/>
  <c r="AQ70" i="9" s="1"/>
  <c r="AE33" i="10"/>
  <c r="AG33" i="10" s="1"/>
  <c r="AE34" i="10"/>
  <c r="AG34" i="10" s="1"/>
  <c r="AE12" i="10"/>
  <c r="AG12" i="10" s="1"/>
  <c r="AE48" i="11"/>
  <c r="AG48" i="11" s="1"/>
  <c r="AK31" i="8"/>
  <c r="AK45" i="9"/>
  <c r="AG19" i="5"/>
  <c r="AK11" i="8"/>
  <c r="AK43" i="8"/>
  <c r="AK9" i="9"/>
  <c r="AK40" i="9"/>
  <c r="AK10" i="8"/>
  <c r="AK41" i="6"/>
  <c r="D47" i="18"/>
  <c r="I43" i="18"/>
  <c r="I45" i="18" s="1"/>
  <c r="J14" i="12"/>
  <c r="AG2" i="20"/>
  <c r="K14" i="12" s="1"/>
  <c r="M14" i="12" s="1"/>
  <c r="AG8" i="6"/>
  <c r="AG22" i="5"/>
  <c r="AG2" i="5" s="1"/>
  <c r="K11" i="12" s="1"/>
  <c r="AL49" i="10"/>
  <c r="AP41" i="6"/>
  <c r="AP42" i="6" s="1"/>
  <c r="AG2" i="6"/>
  <c r="K10" i="12" s="1"/>
  <c r="D10" i="12"/>
  <c r="N2" i="6"/>
  <c r="AI3" i="6"/>
  <c r="L10" i="12" s="1"/>
  <c r="AI3" i="9"/>
  <c r="L7" i="12" s="1"/>
  <c r="L2" i="9"/>
  <c r="AK37" i="9"/>
  <c r="AK62" i="6"/>
  <c r="AK59" i="9"/>
  <c r="AJ3" i="4"/>
  <c r="G12" i="12" s="1"/>
  <c r="AK65" i="9"/>
  <c r="D11" i="12"/>
  <c r="L2" i="5"/>
  <c r="AI3" i="5"/>
  <c r="L11" i="12" s="1"/>
  <c r="Q2" i="5"/>
  <c r="I11" i="12" s="1"/>
  <c r="AK32" i="4"/>
  <c r="AK20" i="8"/>
  <c r="AH2" i="5"/>
  <c r="AK4" i="11"/>
  <c r="R2" i="11"/>
  <c r="Q2" i="11"/>
  <c r="I5" i="12" s="1"/>
  <c r="AH2" i="11"/>
  <c r="F5" i="12" s="1"/>
  <c r="AJ3" i="9"/>
  <c r="G7" i="12" s="1"/>
  <c r="AK8" i="4"/>
  <c r="AK3" i="4" s="1"/>
  <c r="R2" i="4"/>
  <c r="AJ3" i="7"/>
  <c r="G9" i="12" s="1"/>
  <c r="AI3" i="10"/>
  <c r="L6" i="12" s="1"/>
  <c r="D6" i="12"/>
  <c r="AG37" i="10"/>
  <c r="R2" i="8"/>
  <c r="Q2" i="8"/>
  <c r="I8" i="12" s="1"/>
  <c r="AK6" i="8"/>
  <c r="AH2" i="8"/>
  <c r="AJ3" i="5"/>
  <c r="G11" i="12" s="1"/>
  <c r="AE63" i="9"/>
  <c r="AG63" i="9" s="1"/>
  <c r="AE58" i="9"/>
  <c r="AG58" i="9" s="1"/>
  <c r="B7" i="13"/>
  <c r="AE14" i="11"/>
  <c r="AG14" i="11" s="1"/>
  <c r="AE8" i="11"/>
  <c r="AG8" i="11" s="1"/>
  <c r="AE61" i="9"/>
  <c r="AG61" i="9" s="1"/>
  <c r="AE60" i="9"/>
  <c r="AG60" i="9" s="1"/>
  <c r="AE25" i="11"/>
  <c r="AG25" i="11" s="1"/>
  <c r="AE21" i="11"/>
  <c r="AG21" i="11" s="1"/>
  <c r="AE17" i="11"/>
  <c r="AG17" i="11" s="1"/>
  <c r="AE69" i="9"/>
  <c r="AG69" i="9" s="1"/>
  <c r="AE65" i="9"/>
  <c r="AG65" i="9" s="1"/>
  <c r="AE51" i="9"/>
  <c r="AG51" i="9" s="1"/>
  <c r="AE29" i="9"/>
  <c r="AG29" i="9" s="1"/>
  <c r="AE13" i="9"/>
  <c r="AG13" i="9" s="1"/>
  <c r="AE50" i="9"/>
  <c r="AG50" i="9" s="1"/>
  <c r="AE44" i="9"/>
  <c r="AG44" i="9" s="1"/>
  <c r="AE40" i="9"/>
  <c r="AG40" i="9" s="1"/>
  <c r="AE36" i="9"/>
  <c r="AG36" i="9" s="1"/>
  <c r="AE25" i="9"/>
  <c r="AG25" i="9" s="1"/>
  <c r="AE21" i="9"/>
  <c r="AG21" i="9" s="1"/>
  <c r="AE17" i="9"/>
  <c r="AG17" i="9" s="1"/>
  <c r="AE8" i="9"/>
  <c r="AG8" i="9" s="1"/>
  <c r="AE4" i="9"/>
  <c r="AG4" i="9" s="1"/>
  <c r="AE33" i="11"/>
  <c r="AG33" i="11" s="1"/>
  <c r="AE42" i="10"/>
  <c r="AG42" i="10" s="1"/>
  <c r="AE23" i="9"/>
  <c r="AG23" i="9" s="1"/>
  <c r="AE15" i="9"/>
  <c r="AG15" i="9" s="1"/>
  <c r="AE19" i="8"/>
  <c r="AG19" i="8" s="1"/>
  <c r="AE6" i="8"/>
  <c r="AG6" i="8" s="1"/>
  <c r="AE11" i="11"/>
  <c r="AG11" i="11" s="1"/>
  <c r="AE39" i="9"/>
  <c r="AG39" i="9" s="1"/>
  <c r="AE38" i="9"/>
  <c r="AG38" i="9" s="1"/>
  <c r="AE70" i="8"/>
  <c r="AG70" i="8" s="1"/>
  <c r="AE49" i="8"/>
  <c r="AG49" i="8" s="1"/>
  <c r="AE39" i="8"/>
  <c r="AG39" i="8" s="1"/>
  <c r="AE34" i="8"/>
  <c r="AG34" i="8" s="1"/>
  <c r="AE20" i="8"/>
  <c r="AG20" i="8" s="1"/>
  <c r="AE8" i="8"/>
  <c r="AG8" i="8" s="1"/>
  <c r="AE43" i="7"/>
  <c r="AG43" i="7" s="1"/>
  <c r="AE25" i="7"/>
  <c r="AG25" i="7" s="1"/>
  <c r="AE7" i="7"/>
  <c r="AG7" i="7" s="1"/>
  <c r="AE20" i="10"/>
  <c r="AG20" i="10" s="1"/>
  <c r="AE37" i="9"/>
  <c r="AG37" i="9" s="1"/>
  <c r="AE35" i="9"/>
  <c r="AG35" i="9" s="1"/>
  <c r="AE34" i="9"/>
  <c r="AG34" i="9" s="1"/>
  <c r="AE63" i="8"/>
  <c r="AG63" i="8" s="1"/>
  <c r="AE56" i="8"/>
  <c r="AG56" i="8" s="1"/>
  <c r="AE48" i="8"/>
  <c r="AG48" i="8" s="1"/>
  <c r="AE29" i="8"/>
  <c r="AG29" i="8" s="1"/>
  <c r="AE24" i="8"/>
  <c r="AG24" i="8" s="1"/>
  <c r="AE15" i="8"/>
  <c r="AG15" i="8" s="1"/>
  <c r="AE42" i="7"/>
  <c r="AG42" i="7" s="1"/>
  <c r="AE33" i="7"/>
  <c r="AG33" i="7" s="1"/>
  <c r="AE24" i="7"/>
  <c r="AG24" i="7" s="1"/>
  <c r="AE15" i="7"/>
  <c r="AG15" i="7" s="1"/>
  <c r="AE6" i="7"/>
  <c r="AG6" i="7" s="1"/>
  <c r="AE41" i="10"/>
  <c r="AG41" i="10" s="1"/>
  <c r="AE67" i="9"/>
  <c r="AG67" i="9" s="1"/>
  <c r="AE7" i="10"/>
  <c r="AG7" i="10" s="1"/>
  <c r="AE47" i="9"/>
  <c r="AG47" i="9" s="1"/>
  <c r="AE33" i="9"/>
  <c r="AG33" i="9" s="1"/>
  <c r="AE18" i="9"/>
  <c r="AG18" i="9" s="1"/>
  <c r="AE9" i="9"/>
  <c r="AG9" i="9" s="1"/>
  <c r="AE65" i="8"/>
  <c r="AG65" i="8" s="1"/>
  <c r="AE64" i="8"/>
  <c r="AG64" i="8" s="1"/>
  <c r="AE62" i="8"/>
  <c r="AG62" i="8" s="1"/>
  <c r="AE42" i="8"/>
  <c r="AG42" i="8" s="1"/>
  <c r="AE32" i="8"/>
  <c r="AG32" i="8" s="1"/>
  <c r="AE25" i="10"/>
  <c r="AG25" i="10" s="1"/>
  <c r="AE64" i="9"/>
  <c r="AG64" i="9" s="1"/>
  <c r="AE24" i="9"/>
  <c r="AG24" i="9" s="1"/>
  <c r="AE22" i="9"/>
  <c r="AG22" i="9" s="1"/>
  <c r="AE41" i="8"/>
  <c r="AG41" i="8" s="1"/>
  <c r="AE27" i="9"/>
  <c r="AG27" i="9" s="1"/>
  <c r="AE73" i="8"/>
  <c r="AG73" i="8" s="1"/>
  <c r="AE27" i="8"/>
  <c r="AG27" i="8" s="1"/>
  <c r="AE27" i="7"/>
  <c r="AG27" i="7" s="1"/>
  <c r="AE18" i="10"/>
  <c r="AG18" i="10" s="1"/>
  <c r="AE54" i="9"/>
  <c r="AG54" i="9" s="1"/>
  <c r="AE19" i="9"/>
  <c r="AG19" i="9" s="1"/>
  <c r="AE51" i="8"/>
  <c r="AG51" i="8" s="1"/>
  <c r="AE16" i="8"/>
  <c r="AG16" i="8" s="1"/>
  <c r="AE55" i="9"/>
  <c r="AG55" i="9" s="1"/>
  <c r="AE46" i="9"/>
  <c r="AG46" i="9" s="1"/>
  <c r="AE31" i="9"/>
  <c r="AG31" i="9" s="1"/>
  <c r="AE20" i="9"/>
  <c r="AG20" i="9" s="1"/>
  <c r="AE11" i="9"/>
  <c r="AG11" i="9" s="1"/>
  <c r="AE53" i="8"/>
  <c r="AG53" i="8" s="1"/>
  <c r="AE52" i="8"/>
  <c r="AG52" i="8" s="1"/>
  <c r="AE9" i="8"/>
  <c r="AG9" i="8" s="1"/>
  <c r="AE44" i="7"/>
  <c r="AG44" i="7" s="1"/>
  <c r="AE56" i="9"/>
  <c r="AG56" i="9" s="1"/>
  <c r="AE53" i="9"/>
  <c r="AG53" i="9" s="1"/>
  <c r="AE52" i="9"/>
  <c r="AG52" i="9" s="1"/>
  <c r="AE32" i="9"/>
  <c r="AG32" i="9" s="1"/>
  <c r="AE61" i="8"/>
  <c r="AG61" i="8" s="1"/>
  <c r="AE57" i="9"/>
  <c r="AG57" i="9" s="1"/>
  <c r="AE41" i="9"/>
  <c r="AG41" i="9" s="1"/>
  <c r="AE54" i="8"/>
  <c r="AG54" i="8" s="1"/>
  <c r="AE45" i="8"/>
  <c r="AG45" i="8" s="1"/>
  <c r="AE23" i="8"/>
  <c r="AG23" i="8" s="1"/>
  <c r="AE10" i="8"/>
  <c r="AG10" i="8" s="1"/>
  <c r="AE16" i="7"/>
  <c r="AG16" i="7" s="1"/>
  <c r="AE14" i="7"/>
  <c r="AG14" i="7" s="1"/>
  <c r="AE9" i="7"/>
  <c r="AG9" i="7" s="1"/>
  <c r="AE42" i="9"/>
  <c r="AG42" i="9" s="1"/>
  <c r="AE5" i="9"/>
  <c r="AG5" i="9" s="1"/>
  <c r="AE72" i="8"/>
  <c r="AG72" i="8" s="1"/>
  <c r="AE71" i="8"/>
  <c r="AG71" i="8" s="1"/>
  <c r="AE60" i="8"/>
  <c r="AG60" i="8" s="1"/>
  <c r="AE17" i="8"/>
  <c r="AG17" i="8" s="1"/>
  <c r="AE17" i="7"/>
  <c r="AG17" i="7" s="1"/>
  <c r="AE8" i="7"/>
  <c r="AG8" i="7" s="1"/>
  <c r="AE40" i="10"/>
  <c r="AG40" i="10" s="1"/>
  <c r="AE28" i="9"/>
  <c r="AG28" i="9" s="1"/>
  <c r="AE12" i="9"/>
  <c r="AG12" i="9" s="1"/>
  <c r="AE18" i="8"/>
  <c r="AG18" i="8" s="1"/>
  <c r="AE11" i="8"/>
  <c r="AG11" i="8" s="1"/>
  <c r="AE35" i="7"/>
  <c r="AG35" i="7" s="1"/>
  <c r="AE34" i="7"/>
  <c r="AG34" i="7" s="1"/>
  <c r="AE22" i="7"/>
  <c r="AG22" i="7" s="1"/>
  <c r="AE21" i="7"/>
  <c r="AG21" i="7" s="1"/>
  <c r="AE21" i="10"/>
  <c r="AG21" i="10" s="1"/>
  <c r="AE48" i="9"/>
  <c r="AG48" i="9" s="1"/>
  <c r="AE40" i="7"/>
  <c r="AG40" i="7" s="1"/>
  <c r="AE19" i="7"/>
  <c r="AG19" i="7" s="1"/>
  <c r="AE5" i="7"/>
  <c r="AG5" i="7" s="1"/>
  <c r="AE7" i="9"/>
  <c r="AG7" i="9" s="1"/>
  <c r="AE57" i="8"/>
  <c r="AG57" i="8" s="1"/>
  <c r="AE30" i="8"/>
  <c r="AG30" i="8" s="1"/>
  <c r="AE26" i="7"/>
  <c r="AG26" i="7" s="1"/>
  <c r="AE20" i="7"/>
  <c r="AG20" i="7" s="1"/>
  <c r="AE12" i="7"/>
  <c r="AG12" i="7" s="1"/>
  <c r="AE68" i="9"/>
  <c r="AG68" i="9" s="1"/>
  <c r="AE45" i="9"/>
  <c r="AG45" i="9" s="1"/>
  <c r="AE36" i="8"/>
  <c r="AG36" i="8" s="1"/>
  <c r="AE35" i="8"/>
  <c r="AG35" i="8" s="1"/>
  <c r="AE28" i="7"/>
  <c r="AG28" i="7" s="1"/>
  <c r="AE5" i="11"/>
  <c r="AG5" i="11" s="1"/>
  <c r="AE10" i="9"/>
  <c r="AG10" i="9" s="1"/>
  <c r="AE58" i="8"/>
  <c r="AG58" i="8" s="1"/>
  <c r="AE41" i="7"/>
  <c r="AG41" i="7" s="1"/>
  <c r="AE29" i="7"/>
  <c r="AG29" i="7" s="1"/>
  <c r="AE13" i="7"/>
  <c r="AG13" i="7" s="1"/>
  <c r="AE14" i="9"/>
  <c r="AG14" i="9" s="1"/>
  <c r="AE66" i="8"/>
  <c r="AG66" i="8" s="1"/>
  <c r="AE37" i="8"/>
  <c r="AG37" i="8" s="1"/>
  <c r="AE25" i="8"/>
  <c r="AG25" i="8" s="1"/>
  <c r="AE30" i="7"/>
  <c r="AG30" i="7" s="1"/>
  <c r="AE59" i="9"/>
  <c r="AG59" i="9" s="1"/>
  <c r="AE16" i="9"/>
  <c r="AG16" i="9" s="1"/>
  <c r="AE59" i="8"/>
  <c r="AG59" i="8" s="1"/>
  <c r="AE31" i="8"/>
  <c r="AG31" i="8" s="1"/>
  <c r="AE26" i="8"/>
  <c r="AG26" i="8" s="1"/>
  <c r="AE49" i="9"/>
  <c r="AG49" i="9" s="1"/>
  <c r="AE50" i="8"/>
  <c r="AG50" i="8" s="1"/>
  <c r="AE38" i="8"/>
  <c r="AG38" i="8" s="1"/>
  <c r="AE28" i="8"/>
  <c r="AG28" i="8" s="1"/>
  <c r="AE12" i="8"/>
  <c r="AG12" i="8" s="1"/>
  <c r="AE5" i="8"/>
  <c r="AG5" i="8" s="1"/>
  <c r="AE23" i="7"/>
  <c r="AG23" i="7" s="1"/>
  <c r="AE62" i="9"/>
  <c r="AG62" i="9" s="1"/>
  <c r="AE67" i="8"/>
  <c r="AG67" i="8" s="1"/>
  <c r="AE43" i="8"/>
  <c r="AG43" i="8" s="1"/>
  <c r="AE37" i="7"/>
  <c r="AG37" i="7" s="1"/>
  <c r="AE66" i="9"/>
  <c r="AG66" i="9" s="1"/>
  <c r="AE68" i="8"/>
  <c r="AG68" i="8" s="1"/>
  <c r="AE13" i="8"/>
  <c r="AG13" i="8" s="1"/>
  <c r="AE44" i="11"/>
  <c r="AG44" i="11" s="1"/>
  <c r="AE6" i="9"/>
  <c r="AG6" i="9" s="1"/>
  <c r="AE40" i="8"/>
  <c r="AG40" i="8" s="1"/>
  <c r="AE22" i="8"/>
  <c r="AG22" i="8" s="1"/>
  <c r="AE43" i="9"/>
  <c r="AG43" i="9" s="1"/>
  <c r="AE18" i="7"/>
  <c r="AG18" i="7" s="1"/>
  <c r="AE44" i="8"/>
  <c r="AG44" i="8" s="1"/>
  <c r="AE33" i="8"/>
  <c r="AG33" i="8" s="1"/>
  <c r="AE7" i="8"/>
  <c r="AG7" i="8" s="1"/>
  <c r="AE38" i="7"/>
  <c r="AG38" i="7" s="1"/>
  <c r="AE39" i="7"/>
  <c r="AG39" i="7" s="1"/>
  <c r="AE69" i="8"/>
  <c r="AG69" i="8" s="1"/>
  <c r="AE31" i="7"/>
  <c r="AG31" i="7" s="1"/>
  <c r="AE26" i="9"/>
  <c r="AG26" i="9" s="1"/>
  <c r="AE47" i="8"/>
  <c r="AG47" i="8" s="1"/>
  <c r="AE11" i="7"/>
  <c r="AG11" i="7" s="1"/>
  <c r="AE48" i="10"/>
  <c r="AG48" i="10" s="1"/>
  <c r="AE14" i="8"/>
  <c r="AG14" i="8" s="1"/>
  <c r="AE10" i="7"/>
  <c r="AG10" i="7" s="1"/>
  <c r="AE30" i="9"/>
  <c r="AG30" i="9" s="1"/>
  <c r="AE46" i="8"/>
  <c r="AG46" i="8" s="1"/>
  <c r="AE21" i="8"/>
  <c r="AG21" i="8" s="1"/>
  <c r="AE36" i="7"/>
  <c r="AG36" i="7" s="1"/>
  <c r="AE32" i="7"/>
  <c r="AG32" i="7" s="1"/>
  <c r="AE55" i="8"/>
  <c r="AG55" i="8" s="1"/>
  <c r="AE4" i="10"/>
  <c r="AG4" i="10" s="1"/>
  <c r="AE9" i="11"/>
  <c r="AG9" i="11" s="1"/>
  <c r="AE11" i="10"/>
  <c r="AG11" i="10" s="1"/>
  <c r="AJ3" i="10"/>
  <c r="G6" i="12" s="1"/>
  <c r="D8" i="12"/>
  <c r="L2" i="8"/>
  <c r="AI3" i="8"/>
  <c r="L8" i="12" s="1"/>
  <c r="AE6" i="10"/>
  <c r="AG6" i="10" s="1"/>
  <c r="AE26" i="10"/>
  <c r="AG26" i="10" s="1"/>
  <c r="AK19" i="8"/>
  <c r="AE30" i="10"/>
  <c r="AG30" i="10" s="1"/>
  <c r="AK48" i="9"/>
  <c r="AK22" i="5"/>
  <c r="AH2" i="3"/>
  <c r="F13" i="12" s="1"/>
  <c r="E13" i="12" s="1"/>
  <c r="AE35" i="11"/>
  <c r="AG35" i="11" s="1"/>
  <c r="AE29" i="10"/>
  <c r="AG29" i="10" s="1"/>
  <c r="AE16" i="10"/>
  <c r="AG16" i="10" s="1"/>
  <c r="AK15" i="6"/>
  <c r="AK69" i="9"/>
  <c r="AK33" i="9"/>
  <c r="Q2" i="3"/>
  <c r="I13" i="12" s="1"/>
  <c r="AE7" i="11"/>
  <c r="AG7" i="11" s="1"/>
  <c r="AK55" i="8"/>
  <c r="AE42" i="11"/>
  <c r="AG42" i="11" s="1"/>
  <c r="AT21" i="8"/>
  <c r="AV21" i="8"/>
  <c r="AE9" i="10"/>
  <c r="AG9" i="10" s="1"/>
  <c r="AK23" i="11"/>
  <c r="AE38" i="10"/>
  <c r="AG38" i="10" s="1"/>
  <c r="AK35" i="9"/>
  <c r="AK28" i="8"/>
  <c r="AE40" i="11"/>
  <c r="AG40" i="11" s="1"/>
  <c r="Q2" i="6"/>
  <c r="I10" i="12" s="1"/>
  <c r="AK10" i="6"/>
  <c r="AH2" i="6"/>
  <c r="AK57" i="6"/>
  <c r="D13" i="12"/>
  <c r="L2" i="3"/>
  <c r="AI3" i="3"/>
  <c r="L13" i="12" s="1"/>
  <c r="AK16" i="5"/>
  <c r="AK27" i="11"/>
  <c r="AK31" i="5"/>
  <c r="AJ3" i="11"/>
  <c r="G5" i="12" s="1"/>
  <c r="AV19" i="8"/>
  <c r="AT19" i="8"/>
  <c r="AK48" i="6"/>
  <c r="AH2" i="9"/>
  <c r="F7" i="12" s="1"/>
  <c r="AK4" i="9"/>
  <c r="R2" i="9"/>
  <c r="Q2" i="9"/>
  <c r="I7" i="12" s="1"/>
  <c r="D9" i="12"/>
  <c r="AI3" i="7"/>
  <c r="L9" i="12" s="1"/>
  <c r="AH2" i="10"/>
  <c r="F6" i="12" s="1"/>
  <c r="Q2" i="10"/>
  <c r="I6" i="12" s="1"/>
  <c r="R2" i="10"/>
  <c r="AK68" i="8"/>
  <c r="D12" i="12"/>
  <c r="L2" i="4"/>
  <c r="AI3" i="4"/>
  <c r="L12" i="12" s="1"/>
  <c r="AV16" i="8"/>
  <c r="AT16" i="8"/>
  <c r="AK30" i="5"/>
  <c r="AE46" i="10"/>
  <c r="AG46" i="10" s="1"/>
  <c r="AE8" i="10"/>
  <c r="AG8" i="10" s="1"/>
  <c r="R2" i="5"/>
  <c r="AE46" i="11"/>
  <c r="AG46" i="11" s="1"/>
  <c r="AE22" i="10"/>
  <c r="AG22" i="10" s="1"/>
  <c r="AE19" i="10"/>
  <c r="AG19" i="10" s="1"/>
  <c r="AE30" i="11"/>
  <c r="AG30" i="11" s="1"/>
  <c r="AE28" i="10"/>
  <c r="AG28" i="10" s="1"/>
  <c r="AE13" i="11"/>
  <c r="AG13" i="11" s="1"/>
  <c r="AK47" i="11"/>
  <c r="AE45" i="11"/>
  <c r="AG45" i="11" s="1"/>
  <c r="AH2" i="4"/>
  <c r="AK29" i="9"/>
  <c r="AK23" i="5"/>
  <c r="AK59" i="8"/>
  <c r="AK5" i="9"/>
  <c r="AE41" i="11"/>
  <c r="AG41" i="11" s="1"/>
  <c r="AK36" i="7"/>
  <c r="AE35" i="10"/>
  <c r="AG35" i="10" s="1"/>
  <c r="AE32" i="10"/>
  <c r="AG32" i="10" s="1"/>
  <c r="AE27" i="10"/>
  <c r="AG27" i="10" s="1"/>
  <c r="AE31" i="11"/>
  <c r="AG31" i="11" s="1"/>
  <c r="AE39" i="11"/>
  <c r="AG39" i="11" s="1"/>
  <c r="Q2" i="7"/>
  <c r="I9" i="12" s="1"/>
  <c r="AK35" i="7"/>
  <c r="R2" i="7"/>
  <c r="R2" i="6"/>
  <c r="AE44" i="10"/>
  <c r="AG44" i="10" s="1"/>
  <c r="D5" i="12"/>
  <c r="AI3" i="11"/>
  <c r="L5" i="12" s="1"/>
  <c r="AM51" i="11"/>
  <c r="AK41" i="7"/>
  <c r="AK56" i="6"/>
  <c r="D30" i="18"/>
  <c r="AE50" i="11"/>
  <c r="AG50" i="11" s="1"/>
  <c r="AE32" i="11"/>
  <c r="AG32" i="11" s="1"/>
  <c r="AE38" i="11"/>
  <c r="AG38" i="11" s="1"/>
  <c r="AE15" i="11"/>
  <c r="AG15" i="11" s="1"/>
  <c r="AE23" i="10"/>
  <c r="AG23" i="10" s="1"/>
  <c r="AE19" i="11"/>
  <c r="AG19" i="11" s="1"/>
  <c r="AK62" i="9"/>
  <c r="AK43" i="9"/>
  <c r="AK59" i="6"/>
  <c r="AL3" i="3"/>
  <c r="AE37" i="11"/>
  <c r="AG37" i="11" s="1"/>
  <c r="AE34" i="11"/>
  <c r="AG34" i="11" s="1"/>
  <c r="AK50" i="6"/>
  <c r="AE18" i="11"/>
  <c r="AG18" i="11" s="1"/>
  <c r="AK30" i="8"/>
  <c r="AG13" i="4"/>
  <c r="AG2" i="4" s="1"/>
  <c r="K12" i="12" s="1"/>
  <c r="AE43" i="11"/>
  <c r="AG43" i="11" s="1"/>
  <c r="R2" i="3"/>
  <c r="AK7" i="7"/>
  <c r="AK18" i="8"/>
  <c r="AK10" i="5"/>
  <c r="E5" i="12" l="1"/>
  <c r="E7" i="12"/>
  <c r="E6" i="12"/>
  <c r="E9" i="12"/>
  <c r="AK3" i="5"/>
  <c r="AL3" i="7"/>
  <c r="AP72" i="9"/>
  <c r="AP74" i="9" s="1"/>
  <c r="AV74" i="8"/>
  <c r="AK3" i="8"/>
  <c r="AG2" i="11"/>
  <c r="K5" i="12" s="1"/>
  <c r="M5" i="12" s="1"/>
  <c r="AL1" i="4"/>
  <c r="AK3" i="6"/>
  <c r="D48" i="18"/>
  <c r="I47" i="18"/>
  <c r="M11" i="12"/>
  <c r="M13" i="12"/>
  <c r="M10" i="12"/>
  <c r="J5" i="12"/>
  <c r="M12" i="12"/>
  <c r="AV76" i="8"/>
  <c r="AV77" i="8" s="1"/>
  <c r="AW74" i="8"/>
  <c r="AX74" i="8" s="1"/>
  <c r="J9" i="12"/>
  <c r="F12" i="12"/>
  <c r="AK3" i="9"/>
  <c r="AG2" i="8"/>
  <c r="K8" i="12" s="1"/>
  <c r="M8" i="12" s="1"/>
  <c r="AG2" i="9"/>
  <c r="K7" i="12" s="1"/>
  <c r="M7" i="12" s="1"/>
  <c r="F8" i="12"/>
  <c r="AL3" i="8"/>
  <c r="AK3" i="7"/>
  <c r="J13" i="12"/>
  <c r="J7" i="12"/>
  <c r="J6" i="12"/>
  <c r="AG2" i="7"/>
  <c r="K9" i="12" s="1"/>
  <c r="M9" i="12" s="1"/>
  <c r="F11" i="12"/>
  <c r="AL3" i="5"/>
  <c r="AG2" i="10"/>
  <c r="K6" i="12" s="1"/>
  <c r="M6" i="12" s="1"/>
  <c r="F10" i="12"/>
  <c r="AL3" i="6"/>
  <c r="E12" i="12" l="1"/>
  <c r="J12" i="12" s="1"/>
  <c r="E8" i="12"/>
  <c r="E10" i="12"/>
  <c r="J10" i="12" s="1"/>
  <c r="E11" i="12"/>
  <c r="J11" i="12" s="1"/>
  <c r="D53" i="18"/>
  <c r="I48" i="18"/>
  <c r="I50" i="18" s="1"/>
  <c r="I2" i="12" l="1"/>
  <c r="J2" i="12"/>
  <c r="J8" i="12"/>
  <c r="D54" i="18"/>
  <c r="I53" i="18"/>
  <c r="I54" i="18" l="1"/>
  <c r="I56" i="18" s="1"/>
  <c r="D59" i="18"/>
  <c r="D60" i="18" l="1"/>
  <c r="D64" i="18" s="1"/>
  <c r="I59" i="18"/>
  <c r="I60" i="18" l="1"/>
  <c r="I62" i="18" s="1"/>
  <c r="D65" i="18"/>
  <c r="D70" i="18" s="1"/>
  <c r="D72" i="18" s="1"/>
  <c r="I72" i="18" s="1"/>
  <c r="I64" i="18"/>
  <c r="I70" i="18" l="1"/>
  <c r="I71" i="18"/>
  <c r="I65" i="18"/>
  <c r="I67" i="18" s="1"/>
  <c r="I74" i="18" l="1"/>
  <c r="I1" i="4"/>
  <c r="J9" i="65" l="1"/>
  <c r="K9" i="65"/>
  <c r="M9" i="65" s="1"/>
  <c r="L9" i="65" l="1"/>
  <c r="J51" i="65"/>
  <c r="E2" i="2" l="1"/>
  <c r="C5" i="60" s="1"/>
  <c r="E5" i="60" s="1"/>
  <c r="E26" i="60" s="1"/>
  <c r="G2" i="2"/>
  <c r="E1" i="2"/>
  <c r="AZ16" i="71" a="1"/>
  <c r="AZ16" i="71" s="1"/>
  <c r="AZ12" i="71" a="1"/>
  <c r="AZ12" i="71" s="1"/>
  <c r="F14" i="69" a="1"/>
  <c r="F14" i="69" s="1"/>
  <c r="E14" i="69" s="1"/>
  <c r="F4" i="69" a="1"/>
  <c r="F4" i="69" s="1"/>
  <c r="F7" i="69" a="1"/>
  <c r="F7" i="69" s="1"/>
  <c r="E7" i="69" s="1"/>
  <c r="AZ15" i="71" a="1"/>
  <c r="AZ15" i="71" s="1"/>
  <c r="AY15" i="71" s="1"/>
  <c r="AZ14" i="71" a="1"/>
  <c r="AZ14" i="71" s="1"/>
  <c r="AY14" i="71" s="1"/>
  <c r="F6" i="69" a="1"/>
  <c r="F6" i="69" s="1"/>
  <c r="E6" i="69" s="1"/>
  <c r="F9" i="69" a="1"/>
  <c r="F9" i="69" s="1"/>
  <c r="E9" i="69" s="1"/>
  <c r="F8" i="69" a="1"/>
  <c r="F8" i="69" s="1"/>
  <c r="E8" i="69" s="1"/>
  <c r="F5" i="69" a="1"/>
  <c r="F5" i="69" s="1"/>
  <c r="E5" i="69" s="1"/>
  <c r="F13" i="69" a="1"/>
  <c r="F13" i="69" s="1"/>
  <c r="E13" i="69" s="1"/>
  <c r="F12" i="69" a="1"/>
  <c r="F12" i="69" s="1"/>
  <c r="E12" i="69" s="1"/>
  <c r="F10" i="69" a="1"/>
  <c r="F10" i="69" s="1"/>
  <c r="E10" i="69" s="1"/>
  <c r="F11" i="69" a="1"/>
  <c r="F11" i="69" s="1"/>
  <c r="E11" i="69" s="1"/>
  <c r="AZ13" i="71" a="1"/>
  <c r="AZ13" i="71" s="1"/>
  <c r="AY13" i="71" s="1"/>
  <c r="F2" i="69" l="1"/>
  <c r="E4" i="69"/>
  <c r="AZ5" i="71"/>
  <c r="AY12" i="71"/>
  <c r="BE16" i="71"/>
  <c r="AY16" i="71"/>
  <c r="H14" i="69"/>
  <c r="I14" i="69" s="1"/>
  <c r="C3" i="60"/>
  <c r="E3" i="60" l="1"/>
  <c r="D3" i="60"/>
  <c r="G1" i="2" l="1"/>
  <c r="O24" i="1"/>
  <c r="C6" i="60" l="1"/>
  <c r="E6" i="60" s="1"/>
  <c r="E27" i="6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IDEAPAD-1</author>
  </authors>
  <commentList>
    <comment ref="O35" authorId="0" shapeId="0" xr:uid="{9D068A66-C0DE-491A-B929-F88CF7C0F0C3}">
      <text>
        <r>
          <rPr>
            <b/>
            <sz val="9"/>
            <color indexed="81"/>
            <rFont val="Tahoma"/>
            <family val="2"/>
          </rPr>
          <t>DIRIMENCIA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7" authorId="0" shapeId="0" xr:uid="{F503A59F-0B48-4E6A-9951-36240385E740}">
      <text>
        <r>
          <rPr>
            <b/>
            <sz val="9"/>
            <color indexed="81"/>
            <rFont val="Tahoma"/>
            <family val="2"/>
          </rPr>
          <t>DIRIMENCIA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0" authorId="0" shapeId="0" xr:uid="{350333D6-DC58-49C0-B698-614C26AF5CF0}">
      <text>
        <r>
          <rPr>
            <b/>
            <sz val="9"/>
            <color indexed="81"/>
            <rFont val="Tahoma"/>
            <family val="2"/>
          </rPr>
          <t>DIRIMENCIA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IDEAPAD-1</author>
  </authors>
  <commentList>
    <comment ref="M57" authorId="0" shapeId="0" xr:uid="{7DDA0EF8-8086-42DA-9472-FD5ADBC7F2D4}">
      <text>
        <r>
          <rPr>
            <b/>
            <sz val="9"/>
            <color indexed="81"/>
            <rFont val="Tahoma"/>
            <family val="2"/>
          </rPr>
          <t>LEY INICIAL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8" authorId="0" shapeId="0" xr:uid="{74BBB0CF-9A4F-44EF-BB52-DFC28F2721C7}">
      <text>
        <r>
          <rPr>
            <b/>
            <sz val="9"/>
            <color indexed="81"/>
            <rFont val="Tahoma"/>
            <family val="2"/>
          </rPr>
          <t>CAMBIO DE FORMULA A PARTIR DEL IP-3480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IDEAPAD-1</author>
  </authors>
  <commentList>
    <comment ref="O85" authorId="0" shapeId="0" xr:uid="{4590F3A9-C4DC-4583-A674-910AAE0A5E5A}">
      <text>
        <r>
          <rPr>
            <b/>
            <sz val="9"/>
            <color indexed="81"/>
            <rFont val="Tahoma"/>
            <family val="2"/>
          </rPr>
          <t xml:space="preserve">LEY DIRIMENCIA 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IDEAPAD-1</author>
  </authors>
  <commentList>
    <comment ref="O16" authorId="0" shapeId="0" xr:uid="{EC167D6D-AF00-4FA6-8610-7380BE864530}">
      <text>
        <r>
          <rPr>
            <b/>
            <sz val="9"/>
            <color indexed="81"/>
            <rFont val="Tahoma"/>
            <family val="2"/>
          </rPr>
          <t>LEY MINERO</t>
        </r>
        <r>
          <rPr>
            <sz val="9"/>
            <color indexed="81"/>
            <rFont val="Tahoma"/>
            <family val="2"/>
          </rPr>
          <t xml:space="preserve">
Se hizo dirimencia y la ley minero quedo como valor medio
</t>
        </r>
      </text>
    </comment>
    <comment ref="M52" authorId="0" shapeId="0" xr:uid="{D116FBAA-F7CC-4625-8200-105628915BE0}">
      <text>
        <r>
          <rPr>
            <b/>
            <sz val="9"/>
            <color indexed="81"/>
            <rFont val="Tahoma"/>
            <family val="2"/>
          </rPr>
          <t xml:space="preserve">LEY INICIAL, RM SALIO MAS BAJO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PLANTA PAITITI</author>
  </authors>
  <commentList>
    <comment ref="D54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>FINOS NO RECUPERABLES CALCULADO SEGÚN PRUEBA METALURGICA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<sst xmlns="http://schemas.openxmlformats.org/spreadsheetml/2006/main" count="24380" uniqueCount="6207">
  <si>
    <t>|</t>
  </si>
  <si>
    <t>&lt;</t>
  </si>
  <si>
    <t xml:space="preserve">                                                                                                                       Hoja de Liquidacion minerales auriferos</t>
  </si>
  <si>
    <t>DATOS DEL CLIENTE</t>
  </si>
  <si>
    <t>Razon social</t>
  </si>
  <si>
    <t>Acopiador:</t>
  </si>
  <si>
    <t>Nro de RUC</t>
  </si>
  <si>
    <t>Producto:</t>
  </si>
  <si>
    <t>Mineral aurifero sin procesar</t>
  </si>
  <si>
    <t>Fecha de entrega</t>
  </si>
  <si>
    <t>Fecha de liquidacion</t>
  </si>
  <si>
    <t>Lote</t>
  </si>
  <si>
    <t xml:space="preserve">Fecha </t>
  </si>
  <si>
    <t>TMH</t>
  </si>
  <si>
    <t>%H2O</t>
  </si>
  <si>
    <t>TMS</t>
  </si>
  <si>
    <t>Sacos</t>
  </si>
  <si>
    <t>Ley Oz/tc</t>
  </si>
  <si>
    <t xml:space="preserve">% </t>
  </si>
  <si>
    <t>Inter</t>
  </si>
  <si>
    <t>Maquila</t>
  </si>
  <si>
    <t>Riesgo</t>
  </si>
  <si>
    <t>Factor</t>
  </si>
  <si>
    <t>Insumos</t>
  </si>
  <si>
    <t>Precio</t>
  </si>
  <si>
    <t>Total US$</t>
  </si>
  <si>
    <t>Recepcion</t>
  </si>
  <si>
    <t>Recup</t>
  </si>
  <si>
    <t>US$</t>
  </si>
  <si>
    <t>US$ x tc</t>
  </si>
  <si>
    <t>Comercial</t>
  </si>
  <si>
    <t>IP-527</t>
  </si>
  <si>
    <t>Base imponible US$</t>
  </si>
  <si>
    <t>*Todo lote que no sea liquidado y/o retirado en un plazo maximo de 30 dias sera desechado. Sin opcion a reclamo</t>
  </si>
  <si>
    <t>Profit Terminos</t>
  </si>
  <si>
    <t>Au Real x Rec</t>
  </si>
  <si>
    <t>Profit RC</t>
  </si>
  <si>
    <t>Au Comprado</t>
  </si>
  <si>
    <t>Valor</t>
  </si>
  <si>
    <t>F emision</t>
  </si>
  <si>
    <t>F recepcion</t>
  </si>
  <si>
    <t>Nombre</t>
  </si>
  <si>
    <t>RUC / DNI</t>
  </si>
  <si>
    <t>Minero</t>
  </si>
  <si>
    <t>Oz/tc Planta</t>
  </si>
  <si>
    <t>Oz/tc comercial</t>
  </si>
  <si>
    <t>Oz/tc Minero</t>
  </si>
  <si>
    <t>Oz/tc Pomedio</t>
  </si>
  <si>
    <t>% Rec Liq</t>
  </si>
  <si>
    <t>% Rec Planta</t>
  </si>
  <si>
    <t>Inter US$</t>
  </si>
  <si>
    <t>TC US$ x tc</t>
  </si>
  <si>
    <t>Bono</t>
  </si>
  <si>
    <t>Soda</t>
  </si>
  <si>
    <t>Cianuro</t>
  </si>
  <si>
    <t>Gasto acopio x tm</t>
  </si>
  <si>
    <t>Insumos planta x tm</t>
  </si>
  <si>
    <t>Insumos liq x tm</t>
  </si>
  <si>
    <t>Precio x TMS</t>
  </si>
  <si>
    <t>profit maquila</t>
  </si>
  <si>
    <t>Profit Rec</t>
  </si>
  <si>
    <t>Profit Consumo</t>
  </si>
  <si>
    <t>Profit Leyes</t>
  </si>
  <si>
    <t>Profit Total $/TM</t>
  </si>
  <si>
    <t>Au gramos</t>
  </si>
  <si>
    <t>IP-451</t>
  </si>
  <si>
    <t>QUISPE MARTINEZ IZEQUIEL</t>
  </si>
  <si>
    <t>Ccori Llancai</t>
  </si>
  <si>
    <t>Granel</t>
  </si>
  <si>
    <t>MINERAL</t>
  </si>
  <si>
    <t>IP-452</t>
  </si>
  <si>
    <t>IP-462</t>
  </si>
  <si>
    <t>MINERA E INVERSIONES JAH E.I.R.L.</t>
  </si>
  <si>
    <t>Emilio Chipana</t>
  </si>
  <si>
    <t>IP-463</t>
  </si>
  <si>
    <t>IP-469</t>
  </si>
  <si>
    <t>IP-470</t>
  </si>
  <si>
    <t>VISTA GOLD S.A.C</t>
  </si>
  <si>
    <t>GC-S</t>
  </si>
  <si>
    <t>IP-471</t>
  </si>
  <si>
    <t>IP-472</t>
  </si>
  <si>
    <t>IP-473</t>
  </si>
  <si>
    <t>IP-474</t>
  </si>
  <si>
    <t>IP-475</t>
  </si>
  <si>
    <t>IP-477</t>
  </si>
  <si>
    <t>JAFET ANTONIO MAMANI HEREDIA</t>
  </si>
  <si>
    <t>Lucy Cruz</t>
  </si>
  <si>
    <t>IP-478</t>
  </si>
  <si>
    <t>John Palomino</t>
  </si>
  <si>
    <t>IP-479</t>
  </si>
  <si>
    <t>Armando</t>
  </si>
  <si>
    <t>IP-480</t>
  </si>
  <si>
    <t>IP-482</t>
  </si>
  <si>
    <t>COMUNIDAD CAMPESINA DE UNTUCA</t>
  </si>
  <si>
    <t>Feli Lipa</t>
  </si>
  <si>
    <t>IP-483</t>
  </si>
  <si>
    <t>IP-484</t>
  </si>
  <si>
    <t>David Tamayo</t>
  </si>
  <si>
    <t>IP-490</t>
  </si>
  <si>
    <t>Adrian Mancilla</t>
  </si>
  <si>
    <t>IP-491</t>
  </si>
  <si>
    <t>IP-492</t>
  </si>
  <si>
    <t>IP-493</t>
  </si>
  <si>
    <t>Paul Alarcon</t>
  </si>
  <si>
    <t>IP-494</t>
  </si>
  <si>
    <t>IP-495</t>
  </si>
  <si>
    <t>ZICAMP S.A.C</t>
  </si>
  <si>
    <t>Rony Lima</t>
  </si>
  <si>
    <t>LLAMPO</t>
  </si>
  <si>
    <t>IP-496</t>
  </si>
  <si>
    <t>IP-497</t>
  </si>
  <si>
    <t>IP-498</t>
  </si>
  <si>
    <t>IP-499</t>
  </si>
  <si>
    <t>Edgar Carrizales</t>
  </si>
  <si>
    <t>IP-500</t>
  </si>
  <si>
    <t>IP-501</t>
  </si>
  <si>
    <t>M.LLAMPO</t>
  </si>
  <si>
    <t>IP-502</t>
  </si>
  <si>
    <t>IP-503</t>
  </si>
  <si>
    <t>MELCHOR AGUSTIN VERA PACHECO</t>
  </si>
  <si>
    <t>IP-504</t>
  </si>
  <si>
    <t>IP-505</t>
  </si>
  <si>
    <t>IP-506</t>
  </si>
  <si>
    <t>IP-507</t>
  </si>
  <si>
    <t>IP-508</t>
  </si>
  <si>
    <t>DARIO MILARIO SANCHEZ BARAUNA</t>
  </si>
  <si>
    <t>Dario (Leoncio)</t>
  </si>
  <si>
    <t>IP-509</t>
  </si>
  <si>
    <t>IP-510</t>
  </si>
  <si>
    <t>RONALD WILLIAN GARIBAY ESCUDERO</t>
  </si>
  <si>
    <t>IP-511</t>
  </si>
  <si>
    <t>IP-512</t>
  </si>
  <si>
    <t>IP-513</t>
  </si>
  <si>
    <t>Marcos Taipe (leoncio)</t>
  </si>
  <si>
    <t>IP-514</t>
  </si>
  <si>
    <t>Nancy Rodriguez (celso)</t>
  </si>
  <si>
    <t>IP-515</t>
  </si>
  <si>
    <t>Cecilia</t>
  </si>
  <si>
    <t>IP-516</t>
  </si>
  <si>
    <t>IP-517</t>
  </si>
  <si>
    <t>Jaime Portugal</t>
  </si>
  <si>
    <t>IP-518</t>
  </si>
  <si>
    <t>IP-519</t>
  </si>
  <si>
    <t>IP-520</t>
  </si>
  <si>
    <t>IP-521</t>
  </si>
  <si>
    <t>LLASA YUCRA YOLANDA</t>
  </si>
  <si>
    <t>IP-522</t>
  </si>
  <si>
    <t>Sandra Lopez</t>
  </si>
  <si>
    <t>IP-523</t>
  </si>
  <si>
    <t>IP-524</t>
  </si>
  <si>
    <t>Ermelinda Quispe</t>
  </si>
  <si>
    <t>IP-525</t>
  </si>
  <si>
    <t>IP-526</t>
  </si>
  <si>
    <t>Orlando Anaya</t>
  </si>
  <si>
    <t>SOTOMAYOR CORAZAO WISTHERMUNDO</t>
  </si>
  <si>
    <t>Wisther</t>
  </si>
  <si>
    <t>IP-528</t>
  </si>
  <si>
    <t>Morayma</t>
  </si>
  <si>
    <t>IP-529</t>
  </si>
  <si>
    <t>Wilfredo Cuaresma</t>
  </si>
  <si>
    <t>IP-530</t>
  </si>
  <si>
    <t>IP-531</t>
  </si>
  <si>
    <t>IP-532</t>
  </si>
  <si>
    <t>IP-533</t>
  </si>
  <si>
    <t>Yolanda</t>
  </si>
  <si>
    <t>IP-534</t>
  </si>
  <si>
    <t>Edison Huamani (capaya)</t>
  </si>
  <si>
    <t>IP-535</t>
  </si>
  <si>
    <t>Jorge Flores (capaya)</t>
  </si>
  <si>
    <t>IP-536</t>
  </si>
  <si>
    <t>Juan Chuquihuamani (capaya)</t>
  </si>
  <si>
    <t>IP-537</t>
  </si>
  <si>
    <t>Donato Ticona Ortiz</t>
  </si>
  <si>
    <t>IP-538</t>
  </si>
  <si>
    <t>IP-539</t>
  </si>
  <si>
    <t>Alfonso Surco</t>
  </si>
  <si>
    <t>IP-540</t>
  </si>
  <si>
    <t>IP-541</t>
  </si>
  <si>
    <t>Julio Huaman</t>
  </si>
  <si>
    <t>IP-542</t>
  </si>
  <si>
    <t>IP-543</t>
  </si>
  <si>
    <t>Cecilia Mamani Lanza</t>
  </si>
  <si>
    <t>IP-544</t>
  </si>
  <si>
    <t>Humberto Mamani</t>
  </si>
  <si>
    <t>IP-545</t>
  </si>
  <si>
    <t>Mauro Condori</t>
  </si>
  <si>
    <t>IP-546</t>
  </si>
  <si>
    <t>Alexander Condori</t>
  </si>
  <si>
    <t>IP-547</t>
  </si>
  <si>
    <t>IP-548</t>
  </si>
  <si>
    <t>Aquilino Mancilla</t>
  </si>
  <si>
    <t>IP-549</t>
  </si>
  <si>
    <t>IP-550</t>
  </si>
  <si>
    <t>Abdon Zuñiga</t>
  </si>
  <si>
    <t>IP-551</t>
  </si>
  <si>
    <t>IP-552</t>
  </si>
  <si>
    <t>Yulma Carrizales</t>
  </si>
  <si>
    <t>IP-553</t>
  </si>
  <si>
    <t>IP-554</t>
  </si>
  <si>
    <t>IP-556</t>
  </si>
  <si>
    <t>IP-557</t>
  </si>
  <si>
    <t>IP-558</t>
  </si>
  <si>
    <t>IP-560</t>
  </si>
  <si>
    <t>IP-561</t>
  </si>
  <si>
    <t>IP-562</t>
  </si>
  <si>
    <t>IP-563</t>
  </si>
  <si>
    <t>IP-443</t>
  </si>
  <si>
    <t>Carlos crispin Ticona</t>
  </si>
  <si>
    <t>IP-444</t>
  </si>
  <si>
    <t>IP-447</t>
  </si>
  <si>
    <t>Moises Mamani</t>
  </si>
  <si>
    <t>IP-450</t>
  </si>
  <si>
    <t>Julio Chojari</t>
  </si>
  <si>
    <t>IP-453</t>
  </si>
  <si>
    <t>Belizario</t>
  </si>
  <si>
    <t>IP-454</t>
  </si>
  <si>
    <t>IP-455</t>
  </si>
  <si>
    <t>Ojaralla</t>
  </si>
  <si>
    <t>IP-456</t>
  </si>
  <si>
    <t>IP-457</t>
  </si>
  <si>
    <t>IP-458</t>
  </si>
  <si>
    <t>IP-459</t>
  </si>
  <si>
    <t>IP-460</t>
  </si>
  <si>
    <t>IP-461</t>
  </si>
  <si>
    <t>IP-464</t>
  </si>
  <si>
    <t>IP-465</t>
  </si>
  <si>
    <t>IP-466</t>
  </si>
  <si>
    <t>IP-467</t>
  </si>
  <si>
    <t>IP-468</t>
  </si>
  <si>
    <t>IP-476</t>
  </si>
  <si>
    <t>MINANTAYA PERÚ S.A.C</t>
  </si>
  <si>
    <t>IP-481</t>
  </si>
  <si>
    <t>Marco Taipe</t>
  </si>
  <si>
    <t>IP-485</t>
  </si>
  <si>
    <t>Salomino Ticona</t>
  </si>
  <si>
    <t>IP-486</t>
  </si>
  <si>
    <t>IP-487</t>
  </si>
  <si>
    <t>Jorge Paricahua</t>
  </si>
  <si>
    <t>IP-488</t>
  </si>
  <si>
    <t>IP-489</t>
  </si>
  <si>
    <t>Profit Avg</t>
  </si>
  <si>
    <t>Au Real despues de REC</t>
  </si>
  <si>
    <t>Inter final</t>
  </si>
  <si>
    <t>IP-292-01</t>
  </si>
  <si>
    <t>YANETH Pargua Martinez</t>
  </si>
  <si>
    <t>IP-292-02</t>
  </si>
  <si>
    <t>IP-363</t>
  </si>
  <si>
    <t>INVERSIONES LUCERO DE LOS ANDES E.I.R.L</t>
  </si>
  <si>
    <t>IP-364</t>
  </si>
  <si>
    <t>IP-371</t>
  </si>
  <si>
    <t>Edwin Sucasaire Condori</t>
  </si>
  <si>
    <t>IP-372</t>
  </si>
  <si>
    <t>IP-373</t>
  </si>
  <si>
    <t>Yola Pampamallco Mamani</t>
  </si>
  <si>
    <t>IP-374</t>
  </si>
  <si>
    <t>Jaime Mamani</t>
  </si>
  <si>
    <t>IP-375</t>
  </si>
  <si>
    <t>IP-377</t>
  </si>
  <si>
    <t>IP-378</t>
  </si>
  <si>
    <t>IP-380</t>
  </si>
  <si>
    <t>IP-387</t>
  </si>
  <si>
    <t>Quintin Alarcon</t>
  </si>
  <si>
    <t>IP-388</t>
  </si>
  <si>
    <t>IP-389</t>
  </si>
  <si>
    <t>IP-390</t>
  </si>
  <si>
    <t>IP-391</t>
  </si>
  <si>
    <t>IP-392</t>
  </si>
  <si>
    <t>IP-393</t>
  </si>
  <si>
    <t>Cesar Romero Vega (Capaya)</t>
  </si>
  <si>
    <t>IP-394</t>
  </si>
  <si>
    <t>Frank Li Enciso (capaya)</t>
  </si>
  <si>
    <t>IP-395</t>
  </si>
  <si>
    <t>Roberto Carlos Tamayo (capaya)</t>
  </si>
  <si>
    <t>IP-396</t>
  </si>
  <si>
    <t>HuanuHuanu</t>
  </si>
  <si>
    <t>IP-397</t>
  </si>
  <si>
    <t>Juan Mancilla</t>
  </si>
  <si>
    <t>IP-398</t>
  </si>
  <si>
    <t>IP-399</t>
  </si>
  <si>
    <t>IP-400</t>
  </si>
  <si>
    <t>IP-401</t>
  </si>
  <si>
    <t>Crispin Mancilla</t>
  </si>
  <si>
    <t>IP-402</t>
  </si>
  <si>
    <t>IP-403</t>
  </si>
  <si>
    <t>IP-404</t>
  </si>
  <si>
    <t>IP-405</t>
  </si>
  <si>
    <t>IP-406</t>
  </si>
  <si>
    <t>IP-407</t>
  </si>
  <si>
    <t>IP-408</t>
  </si>
  <si>
    <t>IP-409</t>
  </si>
  <si>
    <t>IP-410</t>
  </si>
  <si>
    <t>IP-411</t>
  </si>
  <si>
    <t>IP-412</t>
  </si>
  <si>
    <t>IP-413</t>
  </si>
  <si>
    <t>Beltran Ticona</t>
  </si>
  <si>
    <t>IP-414</t>
  </si>
  <si>
    <t>IP-415</t>
  </si>
  <si>
    <t>Zenon Demetrio Ticona Mamani</t>
  </si>
  <si>
    <t>IP-416</t>
  </si>
  <si>
    <t>IP-417</t>
  </si>
  <si>
    <t>Henry Gemio</t>
  </si>
  <si>
    <t>IP-418</t>
  </si>
  <si>
    <t>Lucy Gemio</t>
  </si>
  <si>
    <t>IP-419</t>
  </si>
  <si>
    <t>Juan Jose</t>
  </si>
  <si>
    <t>IP-420</t>
  </si>
  <si>
    <t>Juana Lizbeth Molina</t>
  </si>
  <si>
    <t>IP-421</t>
  </si>
  <si>
    <t>Teofila Mancilla</t>
  </si>
  <si>
    <t>IP-422</t>
  </si>
  <si>
    <t>Franco</t>
  </si>
  <si>
    <t>IP-423</t>
  </si>
  <si>
    <t>IP-424</t>
  </si>
  <si>
    <t>IP-425</t>
  </si>
  <si>
    <t>IP-426</t>
  </si>
  <si>
    <t>Yoni</t>
  </si>
  <si>
    <t>IP-427</t>
  </si>
  <si>
    <t>IP-428</t>
  </si>
  <si>
    <t>IP-429</t>
  </si>
  <si>
    <t>IP-430</t>
  </si>
  <si>
    <t>IP-431</t>
  </si>
  <si>
    <t>Vidal Linares</t>
  </si>
  <si>
    <t>IP-432</t>
  </si>
  <si>
    <t>IP-433</t>
  </si>
  <si>
    <t>ACS MINERA KORICANCHAQ I E.I.R.L</t>
  </si>
  <si>
    <t>IP-434</t>
  </si>
  <si>
    <t>IP-435</t>
  </si>
  <si>
    <t>IP-436</t>
  </si>
  <si>
    <t>IP-437</t>
  </si>
  <si>
    <t>IP-438</t>
  </si>
  <si>
    <t>IP-439</t>
  </si>
  <si>
    <t>IP-440</t>
  </si>
  <si>
    <t>IP-441</t>
  </si>
  <si>
    <t>IP-442</t>
  </si>
  <si>
    <t>IP-445</t>
  </si>
  <si>
    <t>Juan Mamani Gemio</t>
  </si>
  <si>
    <t>IP-446</t>
  </si>
  <si>
    <t>IP-448</t>
  </si>
  <si>
    <t>Nancy Rodriguez (edgar)</t>
  </si>
  <si>
    <t>IP-449</t>
  </si>
  <si>
    <t>DNI</t>
  </si>
  <si>
    <t>IP-330</t>
  </si>
  <si>
    <t>NUEVA ALICIA Nº 1</t>
  </si>
  <si>
    <t>IP-331</t>
  </si>
  <si>
    <t>Ley tecmin nos complico el promedio</t>
  </si>
  <si>
    <t>IP-332</t>
  </si>
  <si>
    <t>IP-333</t>
  </si>
  <si>
    <t>IP-334</t>
  </si>
  <si>
    <t>IP-335</t>
  </si>
  <si>
    <t>Roberto layme</t>
  </si>
  <si>
    <t>IP-336</t>
  </si>
  <si>
    <t>IP-337</t>
  </si>
  <si>
    <t>IP-338</t>
  </si>
  <si>
    <t>IP-339</t>
  </si>
  <si>
    <t>Guillermo Mayta</t>
  </si>
  <si>
    <t>IP-340</t>
  </si>
  <si>
    <t>Fransico Sucasaca</t>
  </si>
  <si>
    <t>IP-341</t>
  </si>
  <si>
    <t>Hilaria Palle</t>
  </si>
  <si>
    <t>IP-342</t>
  </si>
  <si>
    <t>Fransico Palle</t>
  </si>
  <si>
    <t>IP-343</t>
  </si>
  <si>
    <t xml:space="preserve">Jose Carlos Marron </t>
  </si>
  <si>
    <t>IP-344</t>
  </si>
  <si>
    <t>IP-345</t>
  </si>
  <si>
    <t>IP-346</t>
  </si>
  <si>
    <t>OLAM COOPPER S.A.C.</t>
  </si>
  <si>
    <t>IP-347</t>
  </si>
  <si>
    <t>Eduardo Gonzales</t>
  </si>
  <si>
    <t>baja ley de nuestro chofer en chalhuanca</t>
  </si>
  <si>
    <t>IP-348</t>
  </si>
  <si>
    <t>IP-349</t>
  </si>
  <si>
    <t>IP-350</t>
  </si>
  <si>
    <t>IP-351</t>
  </si>
  <si>
    <t>IP-352</t>
  </si>
  <si>
    <t>Ing Agustin</t>
  </si>
  <si>
    <t>IP-353</t>
  </si>
  <si>
    <t>IP-354</t>
  </si>
  <si>
    <t>IP-355</t>
  </si>
  <si>
    <t>IP-356</t>
  </si>
  <si>
    <t>IP-357</t>
  </si>
  <si>
    <t>IP-358</t>
  </si>
  <si>
    <t>IP-359</t>
  </si>
  <si>
    <t>Marcial Borda</t>
  </si>
  <si>
    <t>IP-360</t>
  </si>
  <si>
    <t>Ley muy diferente</t>
  </si>
  <si>
    <t>IP-361</t>
  </si>
  <si>
    <t>IP-362</t>
  </si>
  <si>
    <t>IP-365</t>
  </si>
  <si>
    <t>Dario /Leoncio</t>
  </si>
  <si>
    <t>IP-366</t>
  </si>
  <si>
    <t>IP-367</t>
  </si>
  <si>
    <t>IP-368</t>
  </si>
  <si>
    <t>IP-369</t>
  </si>
  <si>
    <t>Isaac Quispe</t>
  </si>
  <si>
    <t>IP-370</t>
  </si>
  <si>
    <t>IP-376</t>
  </si>
  <si>
    <t>IP-379</t>
  </si>
  <si>
    <t>Moises Mamani Laura</t>
  </si>
  <si>
    <t>IP-381</t>
  </si>
  <si>
    <t>IP-382</t>
  </si>
  <si>
    <t>IP-383</t>
  </si>
  <si>
    <t>IP-384</t>
  </si>
  <si>
    <t>IP-385</t>
  </si>
  <si>
    <t>IP-386</t>
  </si>
  <si>
    <t>IP-271</t>
  </si>
  <si>
    <t>Carlos Crispin Ticona</t>
  </si>
  <si>
    <t>IP-272</t>
  </si>
  <si>
    <t>IP-273</t>
  </si>
  <si>
    <t>IP-274</t>
  </si>
  <si>
    <t>IP-275</t>
  </si>
  <si>
    <t>IP-276</t>
  </si>
  <si>
    <t>IP-277</t>
  </si>
  <si>
    <t>IP-278</t>
  </si>
  <si>
    <t>Bequer Urviola</t>
  </si>
  <si>
    <t>La primera ley que salio de analisis salio mas alta… y le dimos esa</t>
  </si>
  <si>
    <t>IP-279</t>
  </si>
  <si>
    <t>IP-280</t>
  </si>
  <si>
    <t>IP-281</t>
  </si>
  <si>
    <t>IP-282</t>
  </si>
  <si>
    <t>RONALD GARIBAY ESCUDERO</t>
  </si>
  <si>
    <t>IP-283</t>
  </si>
  <si>
    <t>IP-284</t>
  </si>
  <si>
    <t>IP-285</t>
  </si>
  <si>
    <t>IP-286</t>
  </si>
  <si>
    <t>IP-287</t>
  </si>
  <si>
    <t>IP-288</t>
  </si>
  <si>
    <t>IP-289</t>
  </si>
  <si>
    <t>IP-290</t>
  </si>
  <si>
    <t>IP-291</t>
  </si>
  <si>
    <t>Abdon Zuñiga (Juvenal)</t>
  </si>
  <si>
    <t>IP-293</t>
  </si>
  <si>
    <t>IP-294</t>
  </si>
  <si>
    <t>IP-295</t>
  </si>
  <si>
    <t>IP-296</t>
  </si>
  <si>
    <t>Richard Colque</t>
  </si>
  <si>
    <t>IP-297</t>
  </si>
  <si>
    <t>IP-298</t>
  </si>
  <si>
    <t>IP-299</t>
  </si>
  <si>
    <t>IP-300</t>
  </si>
  <si>
    <t>SANCHEZ BARAUNA DARIO MILARIO</t>
  </si>
  <si>
    <t>Dario</t>
  </si>
  <si>
    <t>IP-301</t>
  </si>
  <si>
    <t>IP-302</t>
  </si>
  <si>
    <t>IP-303</t>
  </si>
  <si>
    <t>IP-304</t>
  </si>
  <si>
    <t>Victoria Zuñiga</t>
  </si>
  <si>
    <t>IP-305</t>
  </si>
  <si>
    <t>Ley de parte muy alta 95 milesimas</t>
  </si>
  <si>
    <t>IP-306</t>
  </si>
  <si>
    <t>Relave</t>
  </si>
  <si>
    <t>IP-307</t>
  </si>
  <si>
    <t>IP-308</t>
  </si>
  <si>
    <t>Abdon Zuñiga  (Juvenal)</t>
  </si>
  <si>
    <t>IP-309</t>
  </si>
  <si>
    <t>Timoteo Mamani</t>
  </si>
  <si>
    <t>IP-310</t>
  </si>
  <si>
    <t>IP-311</t>
  </si>
  <si>
    <t>Rolando</t>
  </si>
  <si>
    <t>IP-312</t>
  </si>
  <si>
    <t>Abdon Zuñiga (Abdon)</t>
  </si>
  <si>
    <t>IP-313</t>
  </si>
  <si>
    <t>Abdon Zuñiga  (Maicol)</t>
  </si>
  <si>
    <t>IP-314</t>
  </si>
  <si>
    <t>Walter y Denis</t>
  </si>
  <si>
    <t>Mineral</t>
  </si>
  <si>
    <t>IP-315</t>
  </si>
  <si>
    <t>IP-316</t>
  </si>
  <si>
    <t>IP-317</t>
  </si>
  <si>
    <t>Carmen Mamani</t>
  </si>
  <si>
    <t>IP-318</t>
  </si>
  <si>
    <t>IP-319</t>
  </si>
  <si>
    <t>IP-320</t>
  </si>
  <si>
    <t>Jose Tipo</t>
  </si>
  <si>
    <t>IP-321</t>
  </si>
  <si>
    <t>IP-322</t>
  </si>
  <si>
    <t>IP-323</t>
  </si>
  <si>
    <t>Lucas Roque Cruz</t>
  </si>
  <si>
    <t>IP-324</t>
  </si>
  <si>
    <t>Comunidad Ojaralla</t>
  </si>
  <si>
    <t>Leyes con alto oro grueso LEY DE MINERO DE PEPAS</t>
  </si>
  <si>
    <t>IP-325</t>
  </si>
  <si>
    <t>IP-326</t>
  </si>
  <si>
    <t>Jose Garay</t>
  </si>
  <si>
    <t>IP-327</t>
  </si>
  <si>
    <t>QUIPE QUISPE  CRISTIANLEE FAKIR</t>
  </si>
  <si>
    <t>Victor Huamani</t>
  </si>
  <si>
    <t>IP-328</t>
  </si>
  <si>
    <t>Ley de planta dio dos veces por encima de 0.6.. Y una a0.40.. Eso baja el promedio</t>
  </si>
  <si>
    <t>IP-329</t>
  </si>
  <si>
    <t>Martin Chapla</t>
  </si>
  <si>
    <t>Contribuye al blend con 90 dolares de gasto de acopio y NO TIENE</t>
  </si>
  <si>
    <t>Au Real</t>
  </si>
  <si>
    <t>IP-220</t>
  </si>
  <si>
    <t>IP-223</t>
  </si>
  <si>
    <t>IP-231</t>
  </si>
  <si>
    <t>IP-232</t>
  </si>
  <si>
    <t>IP-233</t>
  </si>
  <si>
    <t>IP-234</t>
  </si>
  <si>
    <t>IP-235</t>
  </si>
  <si>
    <t>IP-238</t>
  </si>
  <si>
    <t>Eusebio (Quintin) Alarcon</t>
  </si>
  <si>
    <t>IP-239</t>
  </si>
  <si>
    <t>IP-240</t>
  </si>
  <si>
    <t>IP-241</t>
  </si>
  <si>
    <t>Alex Ticona ( Gerald Mamani)</t>
  </si>
  <si>
    <t>IP-242</t>
  </si>
  <si>
    <t>IP-243</t>
  </si>
  <si>
    <t>IP-244</t>
  </si>
  <si>
    <t>IP-245</t>
  </si>
  <si>
    <t>IP-246</t>
  </si>
  <si>
    <t>Reymundo Mamani</t>
  </si>
  <si>
    <t>IP-247</t>
  </si>
  <si>
    <t>IP-248</t>
  </si>
  <si>
    <t>Efrain Yelsin Ticona</t>
  </si>
  <si>
    <t>IP-249</t>
  </si>
  <si>
    <t>Promediando leyes perdimos</t>
  </si>
  <si>
    <t>IP-250</t>
  </si>
  <si>
    <t>Ubaldo Ortiz</t>
  </si>
  <si>
    <t>IP-251</t>
  </si>
  <si>
    <t>Santos Mancilla Ortiz</t>
  </si>
  <si>
    <t>IP-252</t>
  </si>
  <si>
    <t>Reynaldo Molina</t>
  </si>
  <si>
    <t>IP-253</t>
  </si>
  <si>
    <t>BORDA PILCO MANUEL tintai</t>
  </si>
  <si>
    <t>IP-254</t>
  </si>
  <si>
    <t>IP-255</t>
  </si>
  <si>
    <t>IP-256</t>
  </si>
  <si>
    <t>JUVENAL TICONA ZUÑIGA</t>
  </si>
  <si>
    <t>IP-257</t>
  </si>
  <si>
    <t>IP-258</t>
  </si>
  <si>
    <t>WALTER-RINCONADA</t>
  </si>
  <si>
    <t>IP-259</t>
  </si>
  <si>
    <t>Julian</t>
  </si>
  <si>
    <t>IP-260</t>
  </si>
  <si>
    <t>IP-261</t>
  </si>
  <si>
    <t>IP-262</t>
  </si>
  <si>
    <t>IP-263</t>
  </si>
  <si>
    <t>Ronald</t>
  </si>
  <si>
    <t>IP-264</t>
  </si>
  <si>
    <t>IP-265</t>
  </si>
  <si>
    <t>MINERA RIO PIZON METAL S.C.R.L.</t>
  </si>
  <si>
    <t>Felipe Valderrama</t>
  </si>
  <si>
    <t>IP-266</t>
  </si>
  <si>
    <t>IP-267</t>
  </si>
  <si>
    <t>IP-268</t>
  </si>
  <si>
    <t>IP-269</t>
  </si>
  <si>
    <t>IP-270</t>
  </si>
  <si>
    <t>IP-162</t>
  </si>
  <si>
    <t>UNTUCA</t>
  </si>
  <si>
    <t>Froilan Ticona</t>
  </si>
  <si>
    <t>IP-163</t>
  </si>
  <si>
    <t>IP-164</t>
  </si>
  <si>
    <t>Jesus Urviola</t>
  </si>
  <si>
    <t>IP-165</t>
  </si>
  <si>
    <t>IP-166</t>
  </si>
  <si>
    <t>IP-167</t>
  </si>
  <si>
    <t>JAFET MAMANI HEREDIA</t>
  </si>
  <si>
    <t>1) Belizario, presiono con paraiso terminos de compra 2) recuperaciones en planta</t>
  </si>
  <si>
    <t>IP-168</t>
  </si>
  <si>
    <t>recuperaciones planta 85% apurimac</t>
  </si>
  <si>
    <t>IP-169</t>
  </si>
  <si>
    <t>IP-170</t>
  </si>
  <si>
    <t>IP-171</t>
  </si>
  <si>
    <t>IP-172</t>
  </si>
  <si>
    <t>APURIMAC</t>
  </si>
  <si>
    <t>IP-173</t>
  </si>
  <si>
    <t>IP-174</t>
  </si>
  <si>
    <t>Problemas de ley… primera muestra diferencia muy grande, segunda muestra acerco… contra la ley proveedor primer muestreo</t>
  </si>
  <si>
    <t>IP-175</t>
  </si>
  <si>
    <t>Gerardo Condori (Jesus)</t>
  </si>
  <si>
    <t>RELAVE</t>
  </si>
  <si>
    <t>IP-176</t>
  </si>
  <si>
    <t>Ofelia Mamani</t>
  </si>
  <si>
    <t>Recuperacion con problemas, reportado a nelvin, aprobado por luis</t>
  </si>
  <si>
    <t>IP-177</t>
  </si>
  <si>
    <t>Fabian Ortiz</t>
  </si>
  <si>
    <t>IP-178</t>
  </si>
  <si>
    <t>Eulalia  Lima Ticona</t>
  </si>
  <si>
    <t>IP-179</t>
  </si>
  <si>
    <t>Jose Sucasaca</t>
  </si>
  <si>
    <t>IP-180</t>
  </si>
  <si>
    <t>Percy Gemio</t>
  </si>
  <si>
    <t>Remuestreo de noche en crudo bajo la ley despues</t>
  </si>
  <si>
    <t>IP-181</t>
  </si>
  <si>
    <t>IP-182</t>
  </si>
  <si>
    <t>Nestor Paco</t>
  </si>
  <si>
    <t>Recuperacion 77%, siguen los problemas en planta, liquide con historico aprobado por luis felipe</t>
  </si>
  <si>
    <t>IP-183</t>
  </si>
  <si>
    <t>IP-184</t>
  </si>
  <si>
    <t>CLAUDIO GUTIERREZ</t>
  </si>
  <si>
    <t>Apurimac, recuperaciones de 88%</t>
  </si>
  <si>
    <t>IP-185</t>
  </si>
  <si>
    <t>COMUNIDAD OJARALLA</t>
  </si>
  <si>
    <t>IP-186</t>
  </si>
  <si>
    <t>IP-187</t>
  </si>
  <si>
    <t>IP-188</t>
  </si>
  <si>
    <t>IP-189</t>
  </si>
  <si>
    <t>IP-190</t>
  </si>
  <si>
    <t>IP-191</t>
  </si>
  <si>
    <t>Nancy Rodriguez</t>
  </si>
  <si>
    <t>IP-192</t>
  </si>
  <si>
    <t>IP-193</t>
  </si>
  <si>
    <t>Geronimo Chipana</t>
  </si>
  <si>
    <t>IP-194</t>
  </si>
  <si>
    <t>IP-195</t>
  </si>
  <si>
    <t>IP-196</t>
  </si>
  <si>
    <t>Comunidad Huarquiza</t>
  </si>
  <si>
    <t>IP-197</t>
  </si>
  <si>
    <t>IP-198</t>
  </si>
  <si>
    <t>IP-199</t>
  </si>
  <si>
    <t>Se remuestreo este lote, y la ley del remuestreo no fue colocada en pcp … solo,o se dijo que esta confirmada</t>
  </si>
  <si>
    <t>IP-200</t>
  </si>
  <si>
    <t>IP-201</t>
  </si>
  <si>
    <t>IP-202</t>
  </si>
  <si>
    <t>IP-203</t>
  </si>
  <si>
    <t>IP-204</t>
  </si>
  <si>
    <t>IP-205</t>
  </si>
  <si>
    <t>IP-206</t>
  </si>
  <si>
    <t>IP-207</t>
  </si>
  <si>
    <t>Ronald William Garibay</t>
  </si>
  <si>
    <t>IP-208</t>
  </si>
  <si>
    <t>IP-209</t>
  </si>
  <si>
    <t>IP-210</t>
  </si>
  <si>
    <t>IP-211</t>
  </si>
  <si>
    <t>IP-212</t>
  </si>
  <si>
    <t>IP-213</t>
  </si>
  <si>
    <t>IP-214</t>
  </si>
  <si>
    <t>Gerardo Mamani (alex ticona)</t>
  </si>
  <si>
    <t>IP-215</t>
  </si>
  <si>
    <t>IP-216</t>
  </si>
  <si>
    <t>IP-217</t>
  </si>
  <si>
    <t>IP-219</t>
  </si>
  <si>
    <t>IP-221</t>
  </si>
  <si>
    <t>IP-222</t>
  </si>
  <si>
    <t>IP-224</t>
  </si>
  <si>
    <t>IP-225</t>
  </si>
  <si>
    <t>IP-226</t>
  </si>
  <si>
    <t>IP-227</t>
  </si>
  <si>
    <t>IP-228</t>
  </si>
  <si>
    <t>IP-229</t>
  </si>
  <si>
    <t>IP-230</t>
  </si>
  <si>
    <t>IP-236</t>
  </si>
  <si>
    <t>DARIO SANCHEZ</t>
  </si>
  <si>
    <t>Fernando Ramirez PEPAS</t>
  </si>
  <si>
    <t>IP-237</t>
  </si>
  <si>
    <t>Gr</t>
  </si>
  <si>
    <t>Ley Oz/tc Planta</t>
  </si>
  <si>
    <t>Ley Oz/tc comercial</t>
  </si>
  <si>
    <t>Ley Oz/tc Minero</t>
  </si>
  <si>
    <t>Ley Oz/tc Pomedio</t>
  </si>
  <si>
    <t>Gasto de acopio x tm</t>
  </si>
  <si>
    <t>IP-096</t>
  </si>
  <si>
    <t>EMPRESA MINERA SANTA CRUZ DE PISCOYA S.A</t>
  </si>
  <si>
    <t>IP-097</t>
  </si>
  <si>
    <t>IP-098</t>
  </si>
  <si>
    <t>Angel  ayala Mamani</t>
  </si>
  <si>
    <t>IP-099</t>
  </si>
  <si>
    <t>Edson Ticona</t>
  </si>
  <si>
    <t>IP-100</t>
  </si>
  <si>
    <t>J C Marron /Fredy Bizarro</t>
  </si>
  <si>
    <t>IP-101</t>
  </si>
  <si>
    <t>IP-102</t>
  </si>
  <si>
    <t>IP-103</t>
  </si>
  <si>
    <t>Juan David Mamani Lipa</t>
  </si>
  <si>
    <t>IP-104</t>
  </si>
  <si>
    <t>Jesus Urbiola</t>
  </si>
  <si>
    <t>IP-105</t>
  </si>
  <si>
    <t>IP-106</t>
  </si>
  <si>
    <t>IP-107</t>
  </si>
  <si>
    <t>David Ticona</t>
  </si>
  <si>
    <t>IP-108</t>
  </si>
  <si>
    <t>Marcelina Condori</t>
  </si>
  <si>
    <t>IP-109</t>
  </si>
  <si>
    <t>IP-110</t>
  </si>
  <si>
    <t>Hugo Rene Sacaca Condori</t>
  </si>
  <si>
    <t>IP-111</t>
  </si>
  <si>
    <t>Nicacio Ticona, Hugo Limache</t>
  </si>
  <si>
    <t>IP-112</t>
  </si>
  <si>
    <t>ZICAMP SAC</t>
  </si>
  <si>
    <t>Beltran Mamani</t>
  </si>
  <si>
    <t>IP-113</t>
  </si>
  <si>
    <t>IP-114</t>
  </si>
  <si>
    <t>IP-115</t>
  </si>
  <si>
    <t>Angel David Ayala Mamani</t>
  </si>
  <si>
    <t>IP-116</t>
  </si>
  <si>
    <t>IP-117</t>
  </si>
  <si>
    <t>IP-118</t>
  </si>
  <si>
    <t>IP-119</t>
  </si>
  <si>
    <t>IP-120</t>
  </si>
  <si>
    <t>IP-121</t>
  </si>
  <si>
    <t>Vidal Linares, Ever, Belizario Julio</t>
  </si>
  <si>
    <t>IP-122</t>
  </si>
  <si>
    <t>IP-123</t>
  </si>
  <si>
    <t>Percy Gemio (Carrizales, Feli)</t>
  </si>
  <si>
    <t>IP-124</t>
  </si>
  <si>
    <t>IP-125</t>
  </si>
  <si>
    <t>IP-126</t>
  </si>
  <si>
    <t>IP-127</t>
  </si>
  <si>
    <t>Rene Ticona</t>
  </si>
  <si>
    <t>IP-128</t>
  </si>
  <si>
    <t>IP-129</t>
  </si>
  <si>
    <t>Ever Linares, Julio Chojari, Belizario Julio</t>
  </si>
  <si>
    <t>granel</t>
  </si>
  <si>
    <t>IP-130</t>
  </si>
  <si>
    <t>IP-131</t>
  </si>
  <si>
    <t>IP-132</t>
  </si>
  <si>
    <t>IP-133</t>
  </si>
  <si>
    <t>Benito Mamani Ticona</t>
  </si>
  <si>
    <t>IP-134</t>
  </si>
  <si>
    <t>IP-135</t>
  </si>
  <si>
    <t>IP-136</t>
  </si>
  <si>
    <t>IP-137</t>
  </si>
  <si>
    <t>IP-138</t>
  </si>
  <si>
    <t>Julian Bravo, Wilfredo Cuaresma</t>
  </si>
  <si>
    <t>IP-139</t>
  </si>
  <si>
    <t>IP-140</t>
  </si>
  <si>
    <t>IP-141</t>
  </si>
  <si>
    <t>Feli</t>
  </si>
  <si>
    <t>IP-142</t>
  </si>
  <si>
    <t>IP-143</t>
  </si>
  <si>
    <t>Angel Ayala</t>
  </si>
  <si>
    <t>IP-144</t>
  </si>
  <si>
    <t>Esteban Rodriguez</t>
  </si>
  <si>
    <t>IP-145</t>
  </si>
  <si>
    <t>IP-146</t>
  </si>
  <si>
    <t>Gumercinda Ticona</t>
  </si>
  <si>
    <t>IP-147</t>
  </si>
  <si>
    <t>Marino Condori</t>
  </si>
  <si>
    <t>IP-148</t>
  </si>
  <si>
    <t>Maria Martha Condori</t>
  </si>
  <si>
    <t>IP-149</t>
  </si>
  <si>
    <t>Se promedio dias despues de liquidar</t>
  </si>
  <si>
    <t>IP-150</t>
  </si>
  <si>
    <t>Solin Mamani</t>
  </si>
  <si>
    <t>IP-151</t>
  </si>
  <si>
    <t>IP-152</t>
  </si>
  <si>
    <t>IP-153</t>
  </si>
  <si>
    <t>IP-154</t>
  </si>
  <si>
    <t>IP-155</t>
  </si>
  <si>
    <t>Alberto Condori</t>
  </si>
  <si>
    <t>IP-156</t>
  </si>
  <si>
    <t>IP-157</t>
  </si>
  <si>
    <t>IP-158</t>
  </si>
  <si>
    <t>IP-159</t>
  </si>
  <si>
    <t>IP-160</t>
  </si>
  <si>
    <t>IP-161</t>
  </si>
  <si>
    <t>IP-031</t>
  </si>
  <si>
    <t>IP-033</t>
  </si>
  <si>
    <t>IP-044</t>
  </si>
  <si>
    <t>Wilfredo Zuñiga</t>
  </si>
  <si>
    <t>IP-045</t>
  </si>
  <si>
    <t>IP-046</t>
  </si>
  <si>
    <t>Feli Mamani</t>
  </si>
  <si>
    <t>IP-047</t>
  </si>
  <si>
    <t>IP-049</t>
  </si>
  <si>
    <t>IP-050</t>
  </si>
  <si>
    <t>Anastacio Mancilla</t>
  </si>
  <si>
    <t>IP-051</t>
  </si>
  <si>
    <t>IP-052</t>
  </si>
  <si>
    <t>IP-053</t>
  </si>
  <si>
    <t>Cristia Machaca</t>
  </si>
  <si>
    <t>IP-055</t>
  </si>
  <si>
    <t>Javier Lipa</t>
  </si>
  <si>
    <t>IP-059</t>
  </si>
  <si>
    <t>Militon</t>
  </si>
  <si>
    <t>IP-063</t>
  </si>
  <si>
    <t>IP-065</t>
  </si>
  <si>
    <t>IP-066</t>
  </si>
  <si>
    <t>IP-067</t>
  </si>
  <si>
    <t>Monserrat (simon)</t>
  </si>
  <si>
    <t>IP-068</t>
  </si>
  <si>
    <t>IP-069</t>
  </si>
  <si>
    <t>Monserrat</t>
  </si>
  <si>
    <t>IP-070</t>
  </si>
  <si>
    <t>Zaida Yon Mancilla</t>
  </si>
  <si>
    <t>IP-071</t>
  </si>
  <si>
    <t>IP-072</t>
  </si>
  <si>
    <t>David Mamani</t>
  </si>
  <si>
    <t>IP-073</t>
  </si>
  <si>
    <t>IP-074</t>
  </si>
  <si>
    <t>Yoni Caceres</t>
  </si>
  <si>
    <t>IP-075</t>
  </si>
  <si>
    <t>IP-076</t>
  </si>
  <si>
    <t>Nancy rodriguez</t>
  </si>
  <si>
    <t>IP-077</t>
  </si>
  <si>
    <t>IP-078</t>
  </si>
  <si>
    <t>IP-079</t>
  </si>
  <si>
    <t>IP-080</t>
  </si>
  <si>
    <t>IP-081</t>
  </si>
  <si>
    <t>IP-082</t>
  </si>
  <si>
    <t>Justo Carrizales</t>
  </si>
  <si>
    <t>IP-083</t>
  </si>
  <si>
    <t>IP-084</t>
  </si>
  <si>
    <t>IP-085</t>
  </si>
  <si>
    <t>IP-086</t>
  </si>
  <si>
    <t>Wilber Carrizales</t>
  </si>
  <si>
    <t>IP-087</t>
  </si>
  <si>
    <t>IP-088</t>
  </si>
  <si>
    <t>IP-089</t>
  </si>
  <si>
    <t>Clemente Lima</t>
  </si>
  <si>
    <t>IP-090</t>
  </si>
  <si>
    <t>IP-091</t>
  </si>
  <si>
    <t>IP-092</t>
  </si>
  <si>
    <t>IP-093</t>
  </si>
  <si>
    <t>Simon Mancilla</t>
  </si>
  <si>
    <t>IP-094</t>
  </si>
  <si>
    <t>IP-095</t>
  </si>
  <si>
    <t>Washington</t>
  </si>
  <si>
    <t>AU Comprado</t>
  </si>
  <si>
    <t>IP-004</t>
  </si>
  <si>
    <t>Minera JAH</t>
  </si>
  <si>
    <t>IP-005</t>
  </si>
  <si>
    <t>YURGEN GAMARRA NAVEDA</t>
  </si>
  <si>
    <t>IP-006</t>
  </si>
  <si>
    <t>IP-007</t>
  </si>
  <si>
    <t>IP-008</t>
  </si>
  <si>
    <t>IP-009</t>
  </si>
  <si>
    <t>IP-010</t>
  </si>
  <si>
    <t>MINERA RIO PIZON METAL S.C.R.L</t>
  </si>
  <si>
    <t>IP-011</t>
  </si>
  <si>
    <t>IP-012</t>
  </si>
  <si>
    <t>IP-013</t>
  </si>
  <si>
    <t>IP-014</t>
  </si>
  <si>
    <t>VEGA BRAVO ZENON ISAIAS</t>
  </si>
  <si>
    <t>Wilfredo</t>
  </si>
  <si>
    <t>IP-015</t>
  </si>
  <si>
    <t>IP-016</t>
  </si>
  <si>
    <t>IP-017</t>
  </si>
  <si>
    <t>CCORI LLANCAY</t>
  </si>
  <si>
    <t xml:space="preserve"> </t>
  </si>
  <si>
    <t>IP-018</t>
  </si>
  <si>
    <t>IP-019</t>
  </si>
  <si>
    <t>IP-020</t>
  </si>
  <si>
    <t>IP-021</t>
  </si>
  <si>
    <t>IP-022</t>
  </si>
  <si>
    <t>IP-023</t>
  </si>
  <si>
    <t>IP-024</t>
  </si>
  <si>
    <t>IP-025</t>
  </si>
  <si>
    <t>IP-026</t>
  </si>
  <si>
    <t>Valderrama</t>
  </si>
  <si>
    <t>IP-027</t>
  </si>
  <si>
    <t>IP-028</t>
  </si>
  <si>
    <t>IP-029</t>
  </si>
  <si>
    <t>IP-030</t>
  </si>
  <si>
    <t>Washi/Gonzalo</t>
  </si>
  <si>
    <t>IP-032</t>
  </si>
  <si>
    <t>IP-034</t>
  </si>
  <si>
    <t>ZENON ISAIAS VEGA BRAVO</t>
  </si>
  <si>
    <t>IP-035</t>
  </si>
  <si>
    <t>IP-036</t>
  </si>
  <si>
    <t>Waldo Quiros</t>
  </si>
  <si>
    <t>IP-037</t>
  </si>
  <si>
    <t>IP-038</t>
  </si>
  <si>
    <t>IP-039</t>
  </si>
  <si>
    <t>IP-040</t>
  </si>
  <si>
    <t>IP-041</t>
  </si>
  <si>
    <t>IP-042</t>
  </si>
  <si>
    <t>Leonarda Carrizales</t>
  </si>
  <si>
    <t>IP-043</t>
  </si>
  <si>
    <t>IP-048</t>
  </si>
  <si>
    <t>Marisol Mamani</t>
  </si>
  <si>
    <t>IP-054</t>
  </si>
  <si>
    <t>Silverio Ticona</t>
  </si>
  <si>
    <t>IP-056</t>
  </si>
  <si>
    <t>Sofia</t>
  </si>
  <si>
    <t>IP-057</t>
  </si>
  <si>
    <t>IP-058</t>
  </si>
  <si>
    <t>IP-060</t>
  </si>
  <si>
    <t>IP-061</t>
  </si>
  <si>
    <t>IP-062</t>
  </si>
  <si>
    <t>IP-064</t>
  </si>
  <si>
    <t>Nro</t>
  </si>
  <si>
    <t>WMT</t>
  </si>
  <si>
    <t>DMT</t>
  </si>
  <si>
    <t>Au real</t>
  </si>
  <si>
    <t>Au comprado</t>
  </si>
  <si>
    <t>Au Vendido</t>
  </si>
  <si>
    <t>Rec Avg</t>
  </si>
  <si>
    <t>Profit terminos</t>
  </si>
  <si>
    <t>Antes de Rec</t>
  </si>
  <si>
    <t>Despues de Rec</t>
  </si>
  <si>
    <t>Liquidacion</t>
  </si>
  <si>
    <t>Planta</t>
  </si>
  <si>
    <t>Compra/venta</t>
  </si>
  <si>
    <t>US$/dmt</t>
  </si>
  <si>
    <t>E-002</t>
  </si>
  <si>
    <t>E-003</t>
  </si>
  <si>
    <t>E-004</t>
  </si>
  <si>
    <t>E-005</t>
  </si>
  <si>
    <t>E-006</t>
  </si>
  <si>
    <t>E-007</t>
  </si>
  <si>
    <t>E-008</t>
  </si>
  <si>
    <t>E-009</t>
  </si>
  <si>
    <t>E-010</t>
  </si>
  <si>
    <t>E-011</t>
  </si>
  <si>
    <t>E-012</t>
  </si>
  <si>
    <t>E-014</t>
  </si>
  <si>
    <t>E-015</t>
  </si>
  <si>
    <t>E-016</t>
  </si>
  <si>
    <t>E-017</t>
  </si>
  <si>
    <t>Parametros de compra</t>
  </si>
  <si>
    <t>Parametros de planta</t>
  </si>
  <si>
    <t>Parametros de venta</t>
  </si>
  <si>
    <t>Dólar</t>
  </si>
  <si>
    <t>Recuperacion planta</t>
  </si>
  <si>
    <t>Comision venta</t>
  </si>
  <si>
    <t>TM</t>
  </si>
  <si>
    <t>Consumos planta</t>
  </si>
  <si>
    <t>Recuperacion venta</t>
  </si>
  <si>
    <t>Maquila Planta</t>
  </si>
  <si>
    <t>Ley</t>
  </si>
  <si>
    <t>Gastos acopio</t>
  </si>
  <si>
    <t>Maquila C</t>
  </si>
  <si>
    <t>Riesgo Precio</t>
  </si>
  <si>
    <t>Recuperacion C</t>
  </si>
  <si>
    <t>Consumo C</t>
  </si>
  <si>
    <t>Gastos de acopio</t>
  </si>
  <si>
    <t>S/</t>
  </si>
  <si>
    <t>US$ /TM</t>
  </si>
  <si>
    <t>Sueldo acopiador (3000 x mes)</t>
  </si>
  <si>
    <t>sueldos</t>
  </si>
  <si>
    <t>Petroleo tancada 300</t>
  </si>
  <si>
    <t>tancadas</t>
  </si>
  <si>
    <t>Gastos de acopio (alcohol, cola, coca)</t>
  </si>
  <si>
    <t>dias</t>
  </si>
  <si>
    <t>Alquiler (700 depa +100 cochera +50 servicios)</t>
  </si>
  <si>
    <t>Comida</t>
  </si>
  <si>
    <t>diarias</t>
  </si>
  <si>
    <t>sacos</t>
  </si>
  <si>
    <t>Total Gastos de acopio por TM, si compramos</t>
  </si>
  <si>
    <t>TM / mes</t>
  </si>
  <si>
    <t>Ronald Garibay</t>
  </si>
  <si>
    <t>Ley +80</t>
  </si>
  <si>
    <t>Fix</t>
  </si>
  <si>
    <t>E006</t>
  </si>
  <si>
    <t>E007</t>
  </si>
  <si>
    <t>E008</t>
  </si>
  <si>
    <t>E009</t>
  </si>
  <si>
    <t>IP-564</t>
  </si>
  <si>
    <t>IP-565</t>
  </si>
  <si>
    <t>IP-566</t>
  </si>
  <si>
    <t>IP-567</t>
  </si>
  <si>
    <t>IP-568</t>
  </si>
  <si>
    <t>IP-569</t>
  </si>
  <si>
    <t>IP-570</t>
  </si>
  <si>
    <t>IP-571</t>
  </si>
  <si>
    <t>IP-572</t>
  </si>
  <si>
    <t>IP-573</t>
  </si>
  <si>
    <t>IP-574</t>
  </si>
  <si>
    <t>IP-575</t>
  </si>
  <si>
    <t>IP-576</t>
  </si>
  <si>
    <t>Costo Planta</t>
  </si>
  <si>
    <t>Costo acopio</t>
  </si>
  <si>
    <t>I-Puno</t>
  </si>
  <si>
    <t>E-RW Garibay</t>
  </si>
  <si>
    <t>E-MA Vera</t>
  </si>
  <si>
    <t>E-Y     Rospigliosi</t>
  </si>
  <si>
    <t>RC</t>
  </si>
  <si>
    <t>Consumo</t>
  </si>
  <si>
    <t>E-GC</t>
  </si>
  <si>
    <t xml:space="preserve">E-A    Torres </t>
  </si>
  <si>
    <t>Costo Acopio</t>
  </si>
  <si>
    <t>Jimena Portugal</t>
  </si>
  <si>
    <t>Gladis Urbiola</t>
  </si>
  <si>
    <t>IP-577</t>
  </si>
  <si>
    <t>IP-578</t>
  </si>
  <si>
    <t>IP-579</t>
  </si>
  <si>
    <t>IP-580</t>
  </si>
  <si>
    <t>IP-581</t>
  </si>
  <si>
    <t>IP-582</t>
  </si>
  <si>
    <t>IP-583</t>
  </si>
  <si>
    <t>IP-584</t>
  </si>
  <si>
    <t>IP-585</t>
  </si>
  <si>
    <t>IP-586</t>
  </si>
  <si>
    <t>IP-587</t>
  </si>
  <si>
    <t>IP-588</t>
  </si>
  <si>
    <t>IP-589</t>
  </si>
  <si>
    <t>IP-590</t>
  </si>
  <si>
    <t>Ruben mamani Lima</t>
  </si>
  <si>
    <t>Mario Carrizales</t>
  </si>
  <si>
    <t>Fredy Carrizales</t>
  </si>
  <si>
    <t>Fredy Quilla</t>
  </si>
  <si>
    <t>Ofelia Urbiola</t>
  </si>
  <si>
    <t>Clena Carrizales</t>
  </si>
  <si>
    <t>Jose Necochea</t>
  </si>
  <si>
    <t>Ubaldo Quiroz</t>
  </si>
  <si>
    <t>Elisban Ayamamani</t>
  </si>
  <si>
    <t>Luisa Mancilla (alfonso surco)</t>
  </si>
  <si>
    <t>Jorge Luis Machaca</t>
  </si>
  <si>
    <t>John Mancilla</t>
  </si>
  <si>
    <t>IP-591</t>
  </si>
  <si>
    <t>IP-592</t>
  </si>
  <si>
    <t>IP-593</t>
  </si>
  <si>
    <t>IP-594</t>
  </si>
  <si>
    <t>IP-595</t>
  </si>
  <si>
    <t>IP-596</t>
  </si>
  <si>
    <t>IP-597</t>
  </si>
  <si>
    <t>IP-598</t>
  </si>
  <si>
    <t>IP-599</t>
  </si>
  <si>
    <t>J_M SOLUCIONES MINERAS E.I.R.L</t>
  </si>
  <si>
    <t>Au Real (con Rec)</t>
  </si>
  <si>
    <t>IP-600</t>
  </si>
  <si>
    <t>IP-601</t>
  </si>
  <si>
    <t>IP-602</t>
  </si>
  <si>
    <t>IP-603</t>
  </si>
  <si>
    <t>IP-604</t>
  </si>
  <si>
    <t>IP-605</t>
  </si>
  <si>
    <t>IP-606</t>
  </si>
  <si>
    <t>IP-607</t>
  </si>
  <si>
    <t>MINERA CORDOVA FGA E.I.R.L</t>
  </si>
  <si>
    <t>IP-608</t>
  </si>
  <si>
    <t>IP-609</t>
  </si>
  <si>
    <t>IP-612</t>
  </si>
  <si>
    <t>IP-614</t>
  </si>
  <si>
    <t>IP-615</t>
  </si>
  <si>
    <t>IP-616</t>
  </si>
  <si>
    <t>IP-617</t>
  </si>
  <si>
    <t>IP-618</t>
  </si>
  <si>
    <t>IP-619</t>
  </si>
  <si>
    <t>IP-620</t>
  </si>
  <si>
    <t>IP-621</t>
  </si>
  <si>
    <t>IP-622</t>
  </si>
  <si>
    <t>IP-623</t>
  </si>
  <si>
    <t>Tony Gomez</t>
  </si>
  <si>
    <t>RUC</t>
  </si>
  <si>
    <t>Felicitas Mancilla (alfonso surco)</t>
  </si>
  <si>
    <t>Marcos Mayorga Ananpa</t>
  </si>
  <si>
    <t>Vicente Flores</t>
  </si>
  <si>
    <t>SOTOMAYOR CORAZAO MORAYMA</t>
  </si>
  <si>
    <t>Anderson Noa</t>
  </si>
  <si>
    <t>David de la Cruz</t>
  </si>
  <si>
    <t>CRUZ DE LA CRUZ DARWIN</t>
  </si>
  <si>
    <t>IP-624</t>
  </si>
  <si>
    <t>IP-625</t>
  </si>
  <si>
    <t>IP-626</t>
  </si>
  <si>
    <t>IP-627</t>
  </si>
  <si>
    <t>IP-628</t>
  </si>
  <si>
    <t>IP-629</t>
  </si>
  <si>
    <t>IP-630</t>
  </si>
  <si>
    <t>IP-631</t>
  </si>
  <si>
    <t>IP-632</t>
  </si>
  <si>
    <t>IP-633</t>
  </si>
  <si>
    <t>IP-634</t>
  </si>
  <si>
    <t>IP-635</t>
  </si>
  <si>
    <t>IP-637</t>
  </si>
  <si>
    <t>IP-638</t>
  </si>
  <si>
    <t>IP-639</t>
  </si>
  <si>
    <t>SAMANCO MINING S.A.C.</t>
  </si>
  <si>
    <t>IP-640</t>
  </si>
  <si>
    <t>IP-641</t>
  </si>
  <si>
    <t>IP-642</t>
  </si>
  <si>
    <t>IP-643</t>
  </si>
  <si>
    <t>IP-644</t>
  </si>
  <si>
    <t>IP-645</t>
  </si>
  <si>
    <t>IP-646</t>
  </si>
  <si>
    <t>IP-647</t>
  </si>
  <si>
    <t>IP-648</t>
  </si>
  <si>
    <t>IP-650</t>
  </si>
  <si>
    <t>IP-651</t>
  </si>
  <si>
    <t>GRUPO EL CAZADOR GOLD</t>
  </si>
  <si>
    <t>Fredy Bizarro</t>
  </si>
  <si>
    <t>Acopio</t>
  </si>
  <si>
    <t>I-APU-RS</t>
  </si>
  <si>
    <t>Costo</t>
  </si>
  <si>
    <t>IP-654</t>
  </si>
  <si>
    <t>IP-655</t>
  </si>
  <si>
    <t>Ronal Alvaro</t>
  </si>
  <si>
    <t>Zenaida Aroni</t>
  </si>
  <si>
    <t>IP-656</t>
  </si>
  <si>
    <t>IP-657</t>
  </si>
  <si>
    <t>IP-658</t>
  </si>
  <si>
    <t>IP-659</t>
  </si>
  <si>
    <t xml:space="preserve">LOPEZ ROCCA SANTOS </t>
  </si>
  <si>
    <t>Dolares</t>
  </si>
  <si>
    <t>E010</t>
  </si>
  <si>
    <t>IP-662</t>
  </si>
  <si>
    <t>IP-667</t>
  </si>
  <si>
    <t>IP-668</t>
  </si>
  <si>
    <t>IP-669</t>
  </si>
  <si>
    <t>Comprado</t>
  </si>
  <si>
    <t>Au</t>
  </si>
  <si>
    <t>Costo de compra</t>
  </si>
  <si>
    <t>Costo de proceso</t>
  </si>
  <si>
    <t>Costo planta</t>
  </si>
  <si>
    <t>Sin comprar</t>
  </si>
  <si>
    <t>Gr (despues de Rec)</t>
  </si>
  <si>
    <t>IP-670</t>
  </si>
  <si>
    <t>IP-672</t>
  </si>
  <si>
    <t>IP-673</t>
  </si>
  <si>
    <t>IP-674</t>
  </si>
  <si>
    <t>IP-675</t>
  </si>
  <si>
    <t>IP-676</t>
  </si>
  <si>
    <t>IP-677</t>
  </si>
  <si>
    <t>IP-678</t>
  </si>
  <si>
    <t>IP-679</t>
  </si>
  <si>
    <t>IP-680</t>
  </si>
  <si>
    <t>IP-681</t>
  </si>
  <si>
    <t>IP-682</t>
  </si>
  <si>
    <t>IP-683</t>
  </si>
  <si>
    <t>IP-684</t>
  </si>
  <si>
    <t>IP-685</t>
  </si>
  <si>
    <t>IP-686</t>
  </si>
  <si>
    <t>IP-687</t>
  </si>
  <si>
    <t>IP-688</t>
  </si>
  <si>
    <t>IP-689</t>
  </si>
  <si>
    <t>IP-690</t>
  </si>
  <si>
    <t>IP-691</t>
  </si>
  <si>
    <t>IP-692</t>
  </si>
  <si>
    <t>IP-693</t>
  </si>
  <si>
    <t>IP-694</t>
  </si>
  <si>
    <t>IP-695</t>
  </si>
  <si>
    <t>IP-696</t>
  </si>
  <si>
    <t>IP-697</t>
  </si>
  <si>
    <t>IP-698</t>
  </si>
  <si>
    <t>IP-699</t>
  </si>
  <si>
    <t>IP-700</t>
  </si>
  <si>
    <t>IP-701</t>
  </si>
  <si>
    <t>IP-702</t>
  </si>
  <si>
    <t>IP-703</t>
  </si>
  <si>
    <t>IP-704</t>
  </si>
  <si>
    <t>IP-705</t>
  </si>
  <si>
    <t>IP-706</t>
  </si>
  <si>
    <t>IP-707</t>
  </si>
  <si>
    <t>IP-708</t>
  </si>
  <si>
    <t>IP-709</t>
  </si>
  <si>
    <t>IP-710</t>
  </si>
  <si>
    <t>IP-711</t>
  </si>
  <si>
    <t>IP-712</t>
  </si>
  <si>
    <t>IP-713</t>
  </si>
  <si>
    <t>IP-714</t>
  </si>
  <si>
    <t>IP-715</t>
  </si>
  <si>
    <t>IP-716</t>
  </si>
  <si>
    <t>IP-717</t>
  </si>
  <si>
    <t>IP-718</t>
  </si>
  <si>
    <t>IP-719</t>
  </si>
  <si>
    <t>IP-720</t>
  </si>
  <si>
    <t>IP-722</t>
  </si>
  <si>
    <t>IP-723</t>
  </si>
  <si>
    <t>IP-724</t>
  </si>
  <si>
    <t>IP-725</t>
  </si>
  <si>
    <t>IP-726</t>
  </si>
  <si>
    <t>IP-727</t>
  </si>
  <si>
    <t>IP-728</t>
  </si>
  <si>
    <t>IP-729</t>
  </si>
  <si>
    <t>IP-730</t>
  </si>
  <si>
    <t>IP-731</t>
  </si>
  <si>
    <t>IP-732</t>
  </si>
  <si>
    <t>IP-733</t>
  </si>
  <si>
    <t>IP-734</t>
  </si>
  <si>
    <t>IP-735</t>
  </si>
  <si>
    <t>IP-736</t>
  </si>
  <si>
    <t>ZICAMP S.A.C.</t>
  </si>
  <si>
    <t>Stock al dia 05/11-2024</t>
  </si>
  <si>
    <t>Costo total</t>
  </si>
  <si>
    <t>Stock al dia 05-11-2024</t>
  </si>
  <si>
    <t>Jose Huamani</t>
  </si>
  <si>
    <t>Franco Llanos</t>
  </si>
  <si>
    <t>Ag</t>
  </si>
  <si>
    <t>Pedro Gonzales Martinez</t>
  </si>
  <si>
    <t>GC-S (raul richard) 559</t>
  </si>
  <si>
    <t>Dario (Leoncio) 610</t>
  </si>
  <si>
    <t>Dario (Leoncio) 613</t>
  </si>
  <si>
    <t>Edison Huamani 663</t>
  </si>
  <si>
    <t>John Chipana 664</t>
  </si>
  <si>
    <t>Antony Lujan 665</t>
  </si>
  <si>
    <t>Antony Lujan 666</t>
  </si>
  <si>
    <t>IP-737</t>
  </si>
  <si>
    <t>IP-738</t>
  </si>
  <si>
    <t>Stock al dia 15-11-2024</t>
  </si>
  <si>
    <t>Roger</t>
  </si>
  <si>
    <t>Stock al dia 15-11-2024 -Roger</t>
  </si>
  <si>
    <t>Comprado - Roger</t>
  </si>
  <si>
    <t>Proceso</t>
  </si>
  <si>
    <t>Mes</t>
  </si>
  <si>
    <t>Stock + por liquidar</t>
  </si>
  <si>
    <t>GRUPO LINKOS NGLK E.I.R.L</t>
  </si>
  <si>
    <t>GRUPO EL CAZADOR GOLD E.I.R.L</t>
  </si>
  <si>
    <t>IP-739</t>
  </si>
  <si>
    <t>IP-740</t>
  </si>
  <si>
    <t>IP-741</t>
  </si>
  <si>
    <t>IP-742</t>
  </si>
  <si>
    <t>IP-743</t>
  </si>
  <si>
    <t>IP-744</t>
  </si>
  <si>
    <t>ton al 14/11</t>
  </si>
  <si>
    <t>Los numeros estan bien</t>
  </si>
  <si>
    <t>No lo puedo explicar</t>
  </si>
  <si>
    <t>pienso que el IGV que estamos recibiendo (compra minerales o pagando planillas, o comprando materiales ) lo estamos incluyendo en este numero, a parte de que estamos haciendo una ganancia</t>
  </si>
  <si>
    <t>Actualice los tonelajes, 1000 toneladas -328 ( samanco ) = 672 tm compradas en 10 dias</t>
  </si>
  <si>
    <t>IP-745</t>
  </si>
  <si>
    <t>IP-746</t>
  </si>
  <si>
    <t>IP-747</t>
  </si>
  <si>
    <t>IP-748</t>
  </si>
  <si>
    <t>IP-749</t>
  </si>
  <si>
    <t>IP-750</t>
  </si>
  <si>
    <t>IP-751</t>
  </si>
  <si>
    <t>IP-754</t>
  </si>
  <si>
    <t>IP-755</t>
  </si>
  <si>
    <t>IP-756</t>
  </si>
  <si>
    <t>IP-757</t>
  </si>
  <si>
    <t>IP-758</t>
  </si>
  <si>
    <t>IP-759</t>
  </si>
  <si>
    <t>IP-760</t>
  </si>
  <si>
    <t>IP-761</t>
  </si>
  <si>
    <t>IP-762</t>
  </si>
  <si>
    <t>EXPLORACIONES CLAUDIA Y KAREN E.I.R.L.</t>
  </si>
  <si>
    <t>Comienzo de campaña</t>
  </si>
  <si>
    <t>Termino de campaña</t>
  </si>
  <si>
    <t>MINANTAYA  (J y M) 649</t>
  </si>
  <si>
    <t>MINANTAYA  (yolanda) 652</t>
  </si>
  <si>
    <t>MINANTAYA  (yolanda) 653</t>
  </si>
  <si>
    <t>exportacion 11</t>
  </si>
  <si>
    <t>Samanco</t>
  </si>
  <si>
    <t>Varios</t>
  </si>
  <si>
    <t>IP-555</t>
  </si>
  <si>
    <t>IP-763</t>
  </si>
  <si>
    <t>IP-764</t>
  </si>
  <si>
    <t>IP-765</t>
  </si>
  <si>
    <t>IP-721</t>
  </si>
  <si>
    <t>Dario (Leoncio) 611</t>
  </si>
  <si>
    <t>Grover Mamani 661</t>
  </si>
  <si>
    <t>Minantaya</t>
  </si>
  <si>
    <t>Rolando Anaya</t>
  </si>
  <si>
    <t>Whistermundo</t>
  </si>
  <si>
    <t>Maxi Carrizales</t>
  </si>
  <si>
    <t>Marisol Condori</t>
  </si>
  <si>
    <t>Zulma Paye</t>
  </si>
  <si>
    <t>CACERES RAMOS JESUS RUBEN</t>
  </si>
  <si>
    <t>Walter Achulla</t>
  </si>
  <si>
    <t>INVERSIONES Y SERVICIOS MULTIPLES SANTA LUCIA E.I.R.L</t>
  </si>
  <si>
    <t>David Medina</t>
  </si>
  <si>
    <t>Nelly taboada</t>
  </si>
  <si>
    <t>Edgar Taype</t>
  </si>
  <si>
    <t>Noe Amachi</t>
  </si>
  <si>
    <t>Cesar Alvarez</t>
  </si>
  <si>
    <t>EMPRESA MINERA "KHALAF" E.I.R.L.</t>
  </si>
  <si>
    <t>Yuver moreno</t>
  </si>
  <si>
    <t>Richard Yucra</t>
  </si>
  <si>
    <t>Jaime mamani</t>
  </si>
  <si>
    <t>Cristobal Llacsa</t>
  </si>
  <si>
    <t>Jorge Flores 660</t>
  </si>
  <si>
    <t>Rosalia Brado Zuñiga</t>
  </si>
  <si>
    <t>Yudith Mamani Brado</t>
  </si>
  <si>
    <t>Lucio Mamani</t>
  </si>
  <si>
    <t>Wilder Lema</t>
  </si>
  <si>
    <t>Elida Mullisaca</t>
  </si>
  <si>
    <t>Rolando Ramos</t>
  </si>
  <si>
    <t>Valor Compra</t>
  </si>
  <si>
    <t>Valor mercado</t>
  </si>
  <si>
    <t>exportacion 10</t>
  </si>
  <si>
    <t>Cocecha domingo 24/11</t>
  </si>
  <si>
    <t>Pago Lunes 25/11</t>
  </si>
  <si>
    <t>Detalle de pagos pendientes</t>
  </si>
  <si>
    <t>Costo proceso</t>
  </si>
  <si>
    <t>Total</t>
  </si>
  <si>
    <t>Stock</t>
  </si>
  <si>
    <t>Stock al dia 23-11-2024</t>
  </si>
  <si>
    <t>Stock al dia 23-11-2024 -Roger</t>
  </si>
  <si>
    <t>E-001.1</t>
  </si>
  <si>
    <t>E-001.2</t>
  </si>
  <si>
    <t>Nelvin</t>
  </si>
  <si>
    <t>IP-766</t>
  </si>
  <si>
    <t>IP-767</t>
  </si>
  <si>
    <t>IP-768</t>
  </si>
  <si>
    <t>IP-769</t>
  </si>
  <si>
    <t>METAL EXTRACTION COMPANY S.A.C.</t>
  </si>
  <si>
    <t>Fecha</t>
  </si>
  <si>
    <t>Supuestos</t>
  </si>
  <si>
    <t>IP-770</t>
  </si>
  <si>
    <t>IP-771</t>
  </si>
  <si>
    <t>IP-772</t>
  </si>
  <si>
    <t>IP-773</t>
  </si>
  <si>
    <t>IP-774</t>
  </si>
  <si>
    <t>E011</t>
  </si>
  <si>
    <t>IP-775</t>
  </si>
  <si>
    <t>IP-776</t>
  </si>
  <si>
    <t>IP-777</t>
  </si>
  <si>
    <t>IP-778</t>
  </si>
  <si>
    <t>IP-779</t>
  </si>
  <si>
    <t>julio Chocjari</t>
  </si>
  <si>
    <t>IP-780</t>
  </si>
  <si>
    <t>IP-781</t>
  </si>
  <si>
    <t>IP-782</t>
  </si>
  <si>
    <t>IP-783</t>
  </si>
  <si>
    <t>IP-784</t>
  </si>
  <si>
    <t>IP-785</t>
  </si>
  <si>
    <t>Hernan Mamani</t>
  </si>
  <si>
    <t>IP-787</t>
  </si>
  <si>
    <t>IP-788</t>
  </si>
  <si>
    <t>E-MV-MV-MELCHOR VERA</t>
  </si>
  <si>
    <t>IP-789</t>
  </si>
  <si>
    <t>IP-790</t>
  </si>
  <si>
    <t>IP-791</t>
  </si>
  <si>
    <t>IP-792</t>
  </si>
  <si>
    <t>IP-793</t>
  </si>
  <si>
    <t>IP-794</t>
  </si>
  <si>
    <t>IP-795</t>
  </si>
  <si>
    <t>IP-796</t>
  </si>
  <si>
    <t>IP-797</t>
  </si>
  <si>
    <t>IP-798</t>
  </si>
  <si>
    <t>IP-799</t>
  </si>
  <si>
    <t>IP-800</t>
  </si>
  <si>
    <t>IP-801</t>
  </si>
  <si>
    <t>I-RM-RM-JAIME PORTUGAL</t>
  </si>
  <si>
    <t>IP-802</t>
  </si>
  <si>
    <t>IP-803</t>
  </si>
  <si>
    <t>IP-804</t>
  </si>
  <si>
    <t>IP-805</t>
  </si>
  <si>
    <t>I-AZ-AZ-GABRIEL PACHA</t>
  </si>
  <si>
    <t>IP-806</t>
  </si>
  <si>
    <t>IP-807</t>
  </si>
  <si>
    <t>IP-808</t>
  </si>
  <si>
    <t>E-GC-AT-SOTOMAYOR MORAYMA</t>
  </si>
  <si>
    <t>IP-809</t>
  </si>
  <si>
    <t>IP-786</t>
  </si>
  <si>
    <t>IP-810</t>
  </si>
  <si>
    <t>IP-811</t>
  </si>
  <si>
    <t>IP-812</t>
  </si>
  <si>
    <t>IP-813</t>
  </si>
  <si>
    <t>IP-814</t>
  </si>
  <si>
    <t>IP-816</t>
  </si>
  <si>
    <t>IP-818</t>
  </si>
  <si>
    <t>IP-819</t>
  </si>
  <si>
    <t>IP-820</t>
  </si>
  <si>
    <t>IP-822</t>
  </si>
  <si>
    <t>IP-823</t>
  </si>
  <si>
    <t>IP-824</t>
  </si>
  <si>
    <t>IP-825</t>
  </si>
  <si>
    <t>IP-826</t>
  </si>
  <si>
    <t>IP-827</t>
  </si>
  <si>
    <t>IP-828</t>
  </si>
  <si>
    <t>IP-829</t>
  </si>
  <si>
    <t>IP-830</t>
  </si>
  <si>
    <t>IP-831</t>
  </si>
  <si>
    <t>IP-834</t>
  </si>
  <si>
    <t>MINERA AURIFERA JIREH E.I.R.L.</t>
  </si>
  <si>
    <t>IP-835</t>
  </si>
  <si>
    <t>IP-836</t>
  </si>
  <si>
    <t>IP-837</t>
  </si>
  <si>
    <t>IP-838</t>
  </si>
  <si>
    <t>IP-839</t>
  </si>
  <si>
    <t>IP-840</t>
  </si>
  <si>
    <t>MINERA PUAQ NAV E.I.R.L.</t>
  </si>
  <si>
    <t>IP-850</t>
  </si>
  <si>
    <t>IP-851</t>
  </si>
  <si>
    <t>IP-843</t>
  </si>
  <si>
    <t>IP-844</t>
  </si>
  <si>
    <t>IP-845</t>
  </si>
  <si>
    <t>IP-846</t>
  </si>
  <si>
    <t>IP-847</t>
  </si>
  <si>
    <t>IP-848</t>
  </si>
  <si>
    <t>IP-849</t>
  </si>
  <si>
    <t>EMPRESA MINERA MARKATA "TREF" S.A.C.</t>
  </si>
  <si>
    <t>GRR :</t>
  </si>
  <si>
    <t>GRT :</t>
  </si>
  <si>
    <t>IP-852</t>
  </si>
  <si>
    <t>IP-853</t>
  </si>
  <si>
    <t>IP-854</t>
  </si>
  <si>
    <t>IP-855</t>
  </si>
  <si>
    <t>IP-856</t>
  </si>
  <si>
    <t>IP-857</t>
  </si>
  <si>
    <t>IP-858</t>
  </si>
  <si>
    <t>IP-859</t>
  </si>
  <si>
    <t>IP-860</t>
  </si>
  <si>
    <t>IP-861</t>
  </si>
  <si>
    <t>IP-862</t>
  </si>
  <si>
    <t>IP-863</t>
  </si>
  <si>
    <t>IP-864</t>
  </si>
  <si>
    <t>IP-865</t>
  </si>
  <si>
    <t>IP-866</t>
  </si>
  <si>
    <t>IP-867</t>
  </si>
  <si>
    <t>IP-868</t>
  </si>
  <si>
    <t>IP-869</t>
  </si>
  <si>
    <t>IP-870</t>
  </si>
  <si>
    <t>IP-871</t>
  </si>
  <si>
    <t>IP-872</t>
  </si>
  <si>
    <t>IP-873</t>
  </si>
  <si>
    <t>IP-874</t>
  </si>
  <si>
    <t>IP-875</t>
  </si>
  <si>
    <t>IP-876</t>
  </si>
  <si>
    <t>IP-877</t>
  </si>
  <si>
    <t>IP-878</t>
  </si>
  <si>
    <t>IP-879</t>
  </si>
  <si>
    <t>IP-880</t>
  </si>
  <si>
    <t>IP-881</t>
  </si>
  <si>
    <t>IP-882</t>
  </si>
  <si>
    <t>IP-883</t>
  </si>
  <si>
    <t>IP-884</t>
  </si>
  <si>
    <t>IP-885</t>
  </si>
  <si>
    <t>IP-886</t>
  </si>
  <si>
    <t>IP-887</t>
  </si>
  <si>
    <t>IP-888</t>
  </si>
  <si>
    <t>IP-889</t>
  </si>
  <si>
    <t>IP-890</t>
  </si>
  <si>
    <t>IP-891</t>
  </si>
  <si>
    <t>IP-892</t>
  </si>
  <si>
    <t>IP-893</t>
  </si>
  <si>
    <t>IP-894</t>
  </si>
  <si>
    <t>IP-895</t>
  </si>
  <si>
    <t>IP-898</t>
  </si>
  <si>
    <t>IP-901</t>
  </si>
  <si>
    <t>IP-902</t>
  </si>
  <si>
    <t>EMPRESA MINERA MARKATA CAS S.A.C.</t>
  </si>
  <si>
    <t>LIMBER EDISON MONTALVO QUISPE</t>
  </si>
  <si>
    <t>MULTISERVICIOS Y NEGOCIACIONES ROGOHUA E.I.R.L.</t>
  </si>
  <si>
    <t>IP-903</t>
  </si>
  <si>
    <t>IP-904</t>
  </si>
  <si>
    <t>GREYSI</t>
  </si>
  <si>
    <t>Stock al dia 18-12-2024</t>
  </si>
  <si>
    <t>Pago Lunes 23-12</t>
  </si>
  <si>
    <t>exportacion greisy 13</t>
  </si>
  <si>
    <t>IP-841 (899)</t>
  </si>
  <si>
    <t>IP-842 (900)</t>
  </si>
  <si>
    <t>IP-905</t>
  </si>
  <si>
    <t>IP-906</t>
  </si>
  <si>
    <t>IP-907</t>
  </si>
  <si>
    <t>IP-908</t>
  </si>
  <si>
    <t>IP-909</t>
  </si>
  <si>
    <t>IP-910</t>
  </si>
  <si>
    <t>IP-911</t>
  </si>
  <si>
    <t>IP-912</t>
  </si>
  <si>
    <t>IP-913</t>
  </si>
  <si>
    <t>IP-914</t>
  </si>
  <si>
    <t>IP-915</t>
  </si>
  <si>
    <t>IP-916</t>
  </si>
  <si>
    <t>IP-917</t>
  </si>
  <si>
    <t>IP-918</t>
  </si>
  <si>
    <t>IP-919</t>
  </si>
  <si>
    <t>IP-920</t>
  </si>
  <si>
    <t>IP-921</t>
  </si>
  <si>
    <t>IP-922</t>
  </si>
  <si>
    <t>IP-923</t>
  </si>
  <si>
    <t>IP-924</t>
  </si>
  <si>
    <t>SOTOMAYOR CORAZAO JHONATHAN</t>
  </si>
  <si>
    <t>AGRANEL</t>
  </si>
  <si>
    <t>Stock al dia 16-12-2024</t>
  </si>
  <si>
    <t>Exportacion 13 greisy</t>
  </si>
  <si>
    <t>Caja soles</t>
  </si>
  <si>
    <t>Caja dolares</t>
  </si>
  <si>
    <t>Soles</t>
  </si>
  <si>
    <t>tc</t>
  </si>
  <si>
    <t>Caja -  Bancos -  IGV - Detraccion</t>
  </si>
  <si>
    <t>IGV final</t>
  </si>
  <si>
    <t>IGV Inicial</t>
  </si>
  <si>
    <t>IP-930 (636)</t>
  </si>
  <si>
    <t>NEGOCIOS CARRILLO LANDA EIRL</t>
  </si>
  <si>
    <t>IP-932 (817-821)</t>
  </si>
  <si>
    <t>IP-931 (815)</t>
  </si>
  <si>
    <t>IP-943 (896)</t>
  </si>
  <si>
    <t>IP-944 (897)</t>
  </si>
  <si>
    <t>IP-899 (841)</t>
  </si>
  <si>
    <t>IP-900 (842)</t>
  </si>
  <si>
    <t>IP-925</t>
  </si>
  <si>
    <t>IP-926</t>
  </si>
  <si>
    <t>IP-927</t>
  </si>
  <si>
    <t>IP-928</t>
  </si>
  <si>
    <t>IP-929</t>
  </si>
  <si>
    <t>IP-935</t>
  </si>
  <si>
    <t>IP-936</t>
  </si>
  <si>
    <t>IP-937</t>
  </si>
  <si>
    <t>IP-938</t>
  </si>
  <si>
    <t>IP-939</t>
  </si>
  <si>
    <t>IP-940</t>
  </si>
  <si>
    <t>IP-941</t>
  </si>
  <si>
    <t>IP-942</t>
  </si>
  <si>
    <t>IP-945</t>
  </si>
  <si>
    <t>IP-946</t>
  </si>
  <si>
    <t>IP-947</t>
  </si>
  <si>
    <t>IP-948</t>
  </si>
  <si>
    <t>IP-949</t>
  </si>
  <si>
    <t>IP-950</t>
  </si>
  <si>
    <t>IP-951</t>
  </si>
  <si>
    <t>IP-952</t>
  </si>
  <si>
    <t>IP-953</t>
  </si>
  <si>
    <t>IP-954</t>
  </si>
  <si>
    <t>IP-955</t>
  </si>
  <si>
    <t>IP-956</t>
  </si>
  <si>
    <t>IP-957</t>
  </si>
  <si>
    <t>IP-958</t>
  </si>
  <si>
    <t>IP-959</t>
  </si>
  <si>
    <t>IP-960</t>
  </si>
  <si>
    <t>IP-961</t>
  </si>
  <si>
    <t>IP-962</t>
  </si>
  <si>
    <t>IP-963</t>
  </si>
  <si>
    <t>TAMAYO BELLIDO ROBERTO CARLOS</t>
  </si>
  <si>
    <t>SOTOMAYOR  PEÑA DEMILUZ</t>
  </si>
  <si>
    <t>IP-964</t>
  </si>
  <si>
    <t>IP-965</t>
  </si>
  <si>
    <t>IP-966</t>
  </si>
  <si>
    <t>IP-967</t>
  </si>
  <si>
    <t>IP-968</t>
  </si>
  <si>
    <t>IP-969</t>
  </si>
  <si>
    <t>IP-970</t>
  </si>
  <si>
    <t>IP-971</t>
  </si>
  <si>
    <t>IP-972</t>
  </si>
  <si>
    <t>IP-973</t>
  </si>
  <si>
    <t>IP-974</t>
  </si>
  <si>
    <t>IP-975</t>
  </si>
  <si>
    <t>IP-976</t>
  </si>
  <si>
    <t>IP-977</t>
  </si>
  <si>
    <t>IP-978</t>
  </si>
  <si>
    <t>IP-979</t>
  </si>
  <si>
    <t>IP-980</t>
  </si>
  <si>
    <t>IP-981</t>
  </si>
  <si>
    <t>IP-982</t>
  </si>
  <si>
    <t>IP-983</t>
  </si>
  <si>
    <t>IP-984</t>
  </si>
  <si>
    <t>IP-985</t>
  </si>
  <si>
    <t>IP-986</t>
  </si>
  <si>
    <t>IP-987</t>
  </si>
  <si>
    <t>IP-988</t>
  </si>
  <si>
    <t>IP-989</t>
  </si>
  <si>
    <t>IP-990</t>
  </si>
  <si>
    <t>IP-991</t>
  </si>
  <si>
    <t>IP-992</t>
  </si>
  <si>
    <t>IP-993</t>
  </si>
  <si>
    <t>IP-994</t>
  </si>
  <si>
    <t>IP-995</t>
  </si>
  <si>
    <t>IP-996</t>
  </si>
  <si>
    <t>IP-997</t>
  </si>
  <si>
    <t>IP-998</t>
  </si>
  <si>
    <t xml:space="preserve"> PAUCARA INCACUTIPA OSMAR FREDY</t>
  </si>
  <si>
    <t>Percy Tipo</t>
  </si>
  <si>
    <t>Yulma Mamani</t>
  </si>
  <si>
    <t>Percy Puma</t>
  </si>
  <si>
    <t>Yanet Pargua</t>
  </si>
  <si>
    <t>a pagar</t>
  </si>
  <si>
    <t>IP-999</t>
  </si>
  <si>
    <t>IP-1000</t>
  </si>
  <si>
    <t>IP-832 (999)</t>
  </si>
  <si>
    <t>IP-833 (1000)</t>
  </si>
  <si>
    <t>IP-896 (943)</t>
  </si>
  <si>
    <t>IP-897 (944)</t>
  </si>
  <si>
    <t>IP-815 (931)</t>
  </si>
  <si>
    <t>IP-817(932)</t>
  </si>
  <si>
    <t>IP-1001</t>
  </si>
  <si>
    <t>IP-1002</t>
  </si>
  <si>
    <t>IP-1003</t>
  </si>
  <si>
    <t>Clena</t>
  </si>
  <si>
    <t>IP-1004</t>
  </si>
  <si>
    <t>IP-1005</t>
  </si>
  <si>
    <t>IP-1006</t>
  </si>
  <si>
    <t>IP-1007</t>
  </si>
  <si>
    <t>IP-1008</t>
  </si>
  <si>
    <t>IP-1009</t>
  </si>
  <si>
    <t>IP-1010</t>
  </si>
  <si>
    <t>IP-1011</t>
  </si>
  <si>
    <t>IP-1012</t>
  </si>
  <si>
    <t>IP-1013</t>
  </si>
  <si>
    <t>IP-1014</t>
  </si>
  <si>
    <t>E012</t>
  </si>
  <si>
    <t>IP-1015</t>
  </si>
  <si>
    <t>IP-1016</t>
  </si>
  <si>
    <t>IP-1017</t>
  </si>
  <si>
    <t>IP-1018</t>
  </si>
  <si>
    <t>IP-1019</t>
  </si>
  <si>
    <t>IP-1020</t>
  </si>
  <si>
    <t>IP-1021</t>
  </si>
  <si>
    <t>IP-1022</t>
  </si>
  <si>
    <t>IP-1023</t>
  </si>
  <si>
    <t>IP-1024</t>
  </si>
  <si>
    <t>IP-1025</t>
  </si>
  <si>
    <t>IP-1027</t>
  </si>
  <si>
    <t>IP-1028</t>
  </si>
  <si>
    <t>Dario Sanchez</t>
  </si>
  <si>
    <t>IP-1029</t>
  </si>
  <si>
    <t>IP-1030</t>
  </si>
  <si>
    <t>IP-1031</t>
  </si>
  <si>
    <t>IP-1032</t>
  </si>
  <si>
    <t>IP-1026</t>
  </si>
  <si>
    <t>IP-821 (932)</t>
  </si>
  <si>
    <t>E013</t>
  </si>
  <si>
    <t>Stock al dia 04-12-2025</t>
  </si>
  <si>
    <t>Stock al dia 10-01-2025</t>
  </si>
  <si>
    <t>Exportacion 15</t>
  </si>
  <si>
    <t>Aporte LF</t>
  </si>
  <si>
    <t>Nota 1, pasaron 2 campañas desde el ultimo corte</t>
  </si>
  <si>
    <t>IP-1033</t>
  </si>
  <si>
    <t>IP-1034</t>
  </si>
  <si>
    <t>IP-1035</t>
  </si>
  <si>
    <t>IP-1036</t>
  </si>
  <si>
    <t>IP-1037</t>
  </si>
  <si>
    <t>IP-1038</t>
  </si>
  <si>
    <t>IP-1039</t>
  </si>
  <si>
    <t>IP-1040</t>
  </si>
  <si>
    <t>IP-1041</t>
  </si>
  <si>
    <t>MINERA AURIFERA 2 DE DICIEMBRE CALPA RENACE S.A.</t>
  </si>
  <si>
    <t>IP-1042</t>
  </si>
  <si>
    <t>IP-1043</t>
  </si>
  <si>
    <t>IP-1044</t>
  </si>
  <si>
    <t>IP-1045</t>
  </si>
  <si>
    <t>IP-1046</t>
  </si>
  <si>
    <t>IP-1047</t>
  </si>
  <si>
    <t>IP-1048</t>
  </si>
  <si>
    <t>IP-1049</t>
  </si>
  <si>
    <t>IP-1050</t>
  </si>
  <si>
    <t>IP-1051</t>
  </si>
  <si>
    <t>IP-1052</t>
  </si>
  <si>
    <t>IP-1053</t>
  </si>
  <si>
    <t>IP-1054</t>
  </si>
  <si>
    <t>IP-1055</t>
  </si>
  <si>
    <t>IP-1056</t>
  </si>
  <si>
    <t>IP-1057</t>
  </si>
  <si>
    <t>IP-1058</t>
  </si>
  <si>
    <t>IP-1059</t>
  </si>
  <si>
    <t>IP-1060</t>
  </si>
  <si>
    <t>IP-1061</t>
  </si>
  <si>
    <t>IP-1062</t>
  </si>
  <si>
    <t>IP-1063</t>
  </si>
  <si>
    <t>IP-1064</t>
  </si>
  <si>
    <t>IP-1065</t>
  </si>
  <si>
    <t>IP-1066</t>
  </si>
  <si>
    <t>IP-1067</t>
  </si>
  <si>
    <t>IP-1068</t>
  </si>
  <si>
    <t>IP-1069</t>
  </si>
  <si>
    <t>IP-1070</t>
  </si>
  <si>
    <t>IP-1071</t>
  </si>
  <si>
    <t>IP-1072</t>
  </si>
  <si>
    <t>IP-1073</t>
  </si>
  <si>
    <t>IP-1074</t>
  </si>
  <si>
    <t>IP-1075</t>
  </si>
  <si>
    <t>IP-933 (1082)</t>
  </si>
  <si>
    <t>IP-934 (1083)</t>
  </si>
  <si>
    <t>IP-1076</t>
  </si>
  <si>
    <t>IP-1077</t>
  </si>
  <si>
    <t>IP-1078</t>
  </si>
  <si>
    <t>IP-1079</t>
  </si>
  <si>
    <t>IP-1080</t>
  </si>
  <si>
    <t>IP-1081</t>
  </si>
  <si>
    <t>IP-1084</t>
  </si>
  <si>
    <t>IP-1085</t>
  </si>
  <si>
    <t>IP-1086</t>
  </si>
  <si>
    <t>IP-1087</t>
  </si>
  <si>
    <t>IP-1088</t>
  </si>
  <si>
    <t>IP-1089</t>
  </si>
  <si>
    <t>IP-1090</t>
  </si>
  <si>
    <t>IP-1091</t>
  </si>
  <si>
    <t>IP-1092</t>
  </si>
  <si>
    <t>IP-1093</t>
  </si>
  <si>
    <t>IP-1094</t>
  </si>
  <si>
    <t>IP-1095</t>
  </si>
  <si>
    <t>IP-1096</t>
  </si>
  <si>
    <t>IP-1097</t>
  </si>
  <si>
    <t>IP-1098</t>
  </si>
  <si>
    <t>IP-1099</t>
  </si>
  <si>
    <t>IP-1100</t>
  </si>
  <si>
    <t>IP-1101</t>
  </si>
  <si>
    <t>IP-1102</t>
  </si>
  <si>
    <t>IP-1103</t>
  </si>
  <si>
    <t>IP-1104</t>
  </si>
  <si>
    <t>IP-1105</t>
  </si>
  <si>
    <t>IP-1106</t>
  </si>
  <si>
    <t>IP-1107</t>
  </si>
  <si>
    <t>IP-1108</t>
  </si>
  <si>
    <t>IP-1109</t>
  </si>
  <si>
    <t>IP-1110</t>
  </si>
  <si>
    <t>IP-1111</t>
  </si>
  <si>
    <t>IP-1112</t>
  </si>
  <si>
    <t>IP-1113</t>
  </si>
  <si>
    <t>IP-1114</t>
  </si>
  <si>
    <t>IP-1115</t>
  </si>
  <si>
    <t>IP-1116</t>
  </si>
  <si>
    <t>IP-1117</t>
  </si>
  <si>
    <t>IP-1118</t>
  </si>
  <si>
    <t>IP-1119</t>
  </si>
  <si>
    <t>IP-1120</t>
  </si>
  <si>
    <t>IP-1121</t>
  </si>
  <si>
    <t>IP-1122</t>
  </si>
  <si>
    <t>IP-1123</t>
  </si>
  <si>
    <t>IP-1124</t>
  </si>
  <si>
    <t>IP-1125</t>
  </si>
  <si>
    <t>COMPAÑÍA MINERA CIKAM PERU SAC</t>
  </si>
  <si>
    <t>barrido no cuantificado</t>
  </si>
  <si>
    <t>IP-1126</t>
  </si>
  <si>
    <t>IP-1127</t>
  </si>
  <si>
    <t>IP-1128</t>
  </si>
  <si>
    <t>IP-1129</t>
  </si>
  <si>
    <t>E014</t>
  </si>
  <si>
    <t>E015</t>
  </si>
  <si>
    <t>AJ</t>
  </si>
  <si>
    <t>IP-1130</t>
  </si>
  <si>
    <t>IP-1131</t>
  </si>
  <si>
    <t>IP-1132</t>
  </si>
  <si>
    <t>IP-1133</t>
  </si>
  <si>
    <t>IP-1134</t>
  </si>
  <si>
    <t>IP-1135</t>
  </si>
  <si>
    <t>IP-1136</t>
  </si>
  <si>
    <t>IP-1137</t>
  </si>
  <si>
    <t>IP-1138</t>
  </si>
  <si>
    <t>PIMENTEL BATALLANOS JUAN CRISOSTOMO</t>
  </si>
  <si>
    <t>IP-1139</t>
  </si>
  <si>
    <t>IP-1140</t>
  </si>
  <si>
    <t>IP-1141</t>
  </si>
  <si>
    <t>IP-1142</t>
  </si>
  <si>
    <t>IP-1145</t>
  </si>
  <si>
    <t>IP-1146</t>
  </si>
  <si>
    <t>IP-1147</t>
  </si>
  <si>
    <t>IP-1148</t>
  </si>
  <si>
    <t>IP-1149</t>
  </si>
  <si>
    <t>IP-1150</t>
  </si>
  <si>
    <t>IP-1151</t>
  </si>
  <si>
    <t>IP-1152</t>
  </si>
  <si>
    <t>IP-1153</t>
  </si>
  <si>
    <t>IP-1154</t>
  </si>
  <si>
    <t>INVERMIN VOLCAL DEL SUR E.R.I.L</t>
  </si>
  <si>
    <t>IP-1155</t>
  </si>
  <si>
    <t>IP-1156</t>
  </si>
  <si>
    <t>IP-1157</t>
  </si>
  <si>
    <t>IP-1158</t>
  </si>
  <si>
    <t>IP-1159</t>
  </si>
  <si>
    <t>IP-1160</t>
  </si>
  <si>
    <t>IP-1161</t>
  </si>
  <si>
    <t>IP-1162</t>
  </si>
  <si>
    <t>IP-1163</t>
  </si>
  <si>
    <t>IP-1164</t>
  </si>
  <si>
    <t>IP-1165</t>
  </si>
  <si>
    <t>IP-1166</t>
  </si>
  <si>
    <t>IP-1167</t>
  </si>
  <si>
    <t>MINERA SOFI GOLD S.A.C.</t>
  </si>
  <si>
    <t>NOMBRE</t>
  </si>
  <si>
    <t>CRUZ DE LA CRUZ DENNIS DARWIN</t>
  </si>
  <si>
    <t>LOPEZ ROCCA SANTOS</t>
  </si>
  <si>
    <t>VISTA GOLD SAC</t>
  </si>
  <si>
    <t>INVERSIONES Y SERVICIOS MULTIPLES SANTA LUCÍA EIRL</t>
  </si>
  <si>
    <t>EMPRESA MINERA KHALEF EIRL</t>
  </si>
  <si>
    <t>MINERA CORDOVA FGA EIRL</t>
  </si>
  <si>
    <t>MULTISERVICIOS Y Y NEGOCIACIONES ROGOHUA</t>
  </si>
  <si>
    <t>PAUCARA INCACUTIPA OSMAR FREDY</t>
  </si>
  <si>
    <t>SOTOMAYOR PEÑA DERMILUZ</t>
  </si>
  <si>
    <t>SOTOMAYOR CORAZAO JHONATAN</t>
  </si>
  <si>
    <t>IP-1168</t>
  </si>
  <si>
    <t>IP-1169</t>
  </si>
  <si>
    <t>IP-1170</t>
  </si>
  <si>
    <t>IP-1171</t>
  </si>
  <si>
    <t>IP-1172</t>
  </si>
  <si>
    <t>IP-1173</t>
  </si>
  <si>
    <t>IP-1174</t>
  </si>
  <si>
    <t>IP-1175</t>
  </si>
  <si>
    <t>IP-1176</t>
  </si>
  <si>
    <t>IP-1177</t>
  </si>
  <si>
    <t>IP-1178</t>
  </si>
  <si>
    <t>IP-1179</t>
  </si>
  <si>
    <t>IP-1180</t>
  </si>
  <si>
    <t>IP-1181</t>
  </si>
  <si>
    <t>IP-1182</t>
  </si>
  <si>
    <t>IP-1183</t>
  </si>
  <si>
    <t>IP-1184</t>
  </si>
  <si>
    <t>IP-1185</t>
  </si>
  <si>
    <t>IP-1186</t>
  </si>
  <si>
    <t>IP-1187</t>
  </si>
  <si>
    <t>IP-1188</t>
  </si>
  <si>
    <t>IP-1189</t>
  </si>
  <si>
    <t>IP-1190</t>
  </si>
  <si>
    <t>IP-1191</t>
  </si>
  <si>
    <t>IP-1192</t>
  </si>
  <si>
    <t>IP-1193</t>
  </si>
  <si>
    <t>IP-1194</t>
  </si>
  <si>
    <t>IP-1195</t>
  </si>
  <si>
    <t>IP-1196</t>
  </si>
  <si>
    <t>IP-1197</t>
  </si>
  <si>
    <t>IP-1198</t>
  </si>
  <si>
    <t>IP-1199</t>
  </si>
  <si>
    <t>IP-1200</t>
  </si>
  <si>
    <t>IP-1201</t>
  </si>
  <si>
    <t>IP-1202</t>
  </si>
  <si>
    <t>IP-1203</t>
  </si>
  <si>
    <t>IP-1204</t>
  </si>
  <si>
    <t>IP-1205</t>
  </si>
  <si>
    <t>IP-1206</t>
  </si>
  <si>
    <t>IP-1207</t>
  </si>
  <si>
    <t>IP-1208</t>
  </si>
  <si>
    <t>IP-1209</t>
  </si>
  <si>
    <t>IP-1210</t>
  </si>
  <si>
    <t>IP-1211</t>
  </si>
  <si>
    <t>IP-1212</t>
  </si>
  <si>
    <t>IP-1213</t>
  </si>
  <si>
    <t>IP-1214</t>
  </si>
  <si>
    <t>IP-1215</t>
  </si>
  <si>
    <t>IP-1216</t>
  </si>
  <si>
    <t>IP-1217</t>
  </si>
  <si>
    <t>IP-1218</t>
  </si>
  <si>
    <t>IP-1219</t>
  </si>
  <si>
    <t>IP-1220</t>
  </si>
  <si>
    <t>IP-1221</t>
  </si>
  <si>
    <t>IP-1222</t>
  </si>
  <si>
    <t>IP-1223</t>
  </si>
  <si>
    <t>IP-1224</t>
  </si>
  <si>
    <t>IP-1225</t>
  </si>
  <si>
    <t>IP-1226</t>
  </si>
  <si>
    <t>IP-1227</t>
  </si>
  <si>
    <t>IP-1228</t>
  </si>
  <si>
    <t>IP-1229</t>
  </si>
  <si>
    <t>IP-1230</t>
  </si>
  <si>
    <t>IP-1231</t>
  </si>
  <si>
    <t>IP-1232</t>
  </si>
  <si>
    <t>IP-1233</t>
  </si>
  <si>
    <t>IP-1234</t>
  </si>
  <si>
    <t>IP-1235</t>
  </si>
  <si>
    <t>EXPLORACION G Y M E.I.R.L</t>
  </si>
  <si>
    <t>NEGOCIOS CARRILLO LANDA E.I.R.L.</t>
  </si>
  <si>
    <t>IP-1143 (1207)</t>
  </si>
  <si>
    <t>IP-1144 (1208)</t>
  </si>
  <si>
    <t>IP-1082 (933)</t>
  </si>
  <si>
    <t>IP-1083 (934)</t>
  </si>
  <si>
    <t>IP-1236</t>
  </si>
  <si>
    <t>IP-1237</t>
  </si>
  <si>
    <t>IP-1238</t>
  </si>
  <si>
    <t>IP-1239</t>
  </si>
  <si>
    <t>IP-1240</t>
  </si>
  <si>
    <t>IP-1241</t>
  </si>
  <si>
    <t>IP-1242</t>
  </si>
  <si>
    <t>IP-1243</t>
  </si>
  <si>
    <t>IP-1244</t>
  </si>
  <si>
    <t>IP-1245</t>
  </si>
  <si>
    <t>IP-1246</t>
  </si>
  <si>
    <t>IP-1247</t>
  </si>
  <si>
    <t>IP-1248</t>
  </si>
  <si>
    <t>IP-1249</t>
  </si>
  <si>
    <t>IP-1250</t>
  </si>
  <si>
    <t>IP-1251</t>
  </si>
  <si>
    <t>IP-1252</t>
  </si>
  <si>
    <t>IP-1253</t>
  </si>
  <si>
    <t>IP-1254</t>
  </si>
  <si>
    <t>IP-1255</t>
  </si>
  <si>
    <t>IP-1256</t>
  </si>
  <si>
    <t>IP-1257</t>
  </si>
  <si>
    <t>IP-1258</t>
  </si>
  <si>
    <t>IP-1259</t>
  </si>
  <si>
    <t>512.19 gr tk 3 se quedaron</t>
  </si>
  <si>
    <t>IP-1260</t>
  </si>
  <si>
    <t>IP-1261</t>
  </si>
  <si>
    <t>IP-1262</t>
  </si>
  <si>
    <t>IP-1263</t>
  </si>
  <si>
    <t>IP-1264</t>
  </si>
  <si>
    <t>IP-1265</t>
  </si>
  <si>
    <t>IP-1266</t>
  </si>
  <si>
    <t>IP-1267</t>
  </si>
  <si>
    <t>IP-1268</t>
  </si>
  <si>
    <t>IP-1269</t>
  </si>
  <si>
    <t>IP-1270</t>
  </si>
  <si>
    <t>JRJAJN E.I.R.L.</t>
  </si>
  <si>
    <t>IP-1271</t>
  </si>
  <si>
    <t>IP-1272</t>
  </si>
  <si>
    <t>IP-1273</t>
  </si>
  <si>
    <t>IP-1274</t>
  </si>
  <si>
    <t>IP-1275</t>
  </si>
  <si>
    <t>IP-1276</t>
  </si>
  <si>
    <t>IP-1277</t>
  </si>
  <si>
    <t>IP-1278</t>
  </si>
  <si>
    <t>IP-1279</t>
  </si>
  <si>
    <t>E016</t>
  </si>
  <si>
    <t>E017</t>
  </si>
  <si>
    <t>E018</t>
  </si>
  <si>
    <t>IP-1280</t>
  </si>
  <si>
    <t>IP-1281</t>
  </si>
  <si>
    <t>IP-1282</t>
  </si>
  <si>
    <t>IP-1283</t>
  </si>
  <si>
    <t>IP-1284</t>
  </si>
  <si>
    <t>IP-1285</t>
  </si>
  <si>
    <t>IP-1286</t>
  </si>
  <si>
    <t>IP-1287</t>
  </si>
  <si>
    <t>IP-1288</t>
  </si>
  <si>
    <t>IP-1290</t>
  </si>
  <si>
    <t>IP-1291</t>
  </si>
  <si>
    <t>IP-1292</t>
  </si>
  <si>
    <t>IP-1293</t>
  </si>
  <si>
    <t>IP-1294</t>
  </si>
  <si>
    <t>IP-1295</t>
  </si>
  <si>
    <t>IP-1296</t>
  </si>
  <si>
    <t>MENDOZA MENDOZA JULIO CESAR</t>
  </si>
  <si>
    <t>E-018</t>
  </si>
  <si>
    <t>Tk 3 ??</t>
  </si>
  <si>
    <t>IP-1297</t>
  </si>
  <si>
    <t>IP-1298</t>
  </si>
  <si>
    <t>IP-1299</t>
  </si>
  <si>
    <t>IP-1300</t>
  </si>
  <si>
    <t>IP-1301</t>
  </si>
  <si>
    <t>IP-1302</t>
  </si>
  <si>
    <t>IP-1303</t>
  </si>
  <si>
    <t>IP-1304</t>
  </si>
  <si>
    <t>IP-1305</t>
  </si>
  <si>
    <t>IP-1306</t>
  </si>
  <si>
    <t>IP-1307</t>
  </si>
  <si>
    <t>IP-1308</t>
  </si>
  <si>
    <t>IP-1309</t>
  </si>
  <si>
    <t>IP-1310</t>
  </si>
  <si>
    <t>IP-1311</t>
  </si>
  <si>
    <t>IP-1312</t>
  </si>
  <si>
    <t>IP-1316</t>
  </si>
  <si>
    <t>IP-1322</t>
  </si>
  <si>
    <t>IP-1323</t>
  </si>
  <si>
    <t>IP-1324</t>
  </si>
  <si>
    <t>IP-1325</t>
  </si>
  <si>
    <t>IP-1326</t>
  </si>
  <si>
    <t>IP-1327</t>
  </si>
  <si>
    <t>IP-1328</t>
  </si>
  <si>
    <t>IP-1329</t>
  </si>
  <si>
    <t>IP-1330</t>
  </si>
  <si>
    <t>IP-1331</t>
  </si>
  <si>
    <t>IP-1332</t>
  </si>
  <si>
    <t>IP-1333</t>
  </si>
  <si>
    <t>IP-1334</t>
  </si>
  <si>
    <t>IP-1335</t>
  </si>
  <si>
    <t>IP-1336</t>
  </si>
  <si>
    <t>IP-1337</t>
  </si>
  <si>
    <t>IP-1338</t>
  </si>
  <si>
    <t>Valor compra</t>
  </si>
  <si>
    <t>Gr Au despues de rec</t>
  </si>
  <si>
    <t>Recuperacion</t>
  </si>
  <si>
    <t>IP-1339</t>
  </si>
  <si>
    <t>IP-1340</t>
  </si>
  <si>
    <t>IP-1341</t>
  </si>
  <si>
    <t>IP-1342</t>
  </si>
  <si>
    <t>IP-1343</t>
  </si>
  <si>
    <t>IP-1344</t>
  </si>
  <si>
    <t>IP-1345</t>
  </si>
  <si>
    <t>IP-1346</t>
  </si>
  <si>
    <t>IP-1347</t>
  </si>
  <si>
    <t>IP-1348</t>
  </si>
  <si>
    <t>IP-1349</t>
  </si>
  <si>
    <t>IP-1350</t>
  </si>
  <si>
    <t>IP-1351</t>
  </si>
  <si>
    <t>IP-1352</t>
  </si>
  <si>
    <t>IP-1353</t>
  </si>
  <si>
    <t>IP-1354</t>
  </si>
  <si>
    <t>IP-1355</t>
  </si>
  <si>
    <t>IP-1356</t>
  </si>
  <si>
    <t>IP-1357</t>
  </si>
  <si>
    <t>IP-1358</t>
  </si>
  <si>
    <t>IP-1359</t>
  </si>
  <si>
    <t>IP-1360</t>
  </si>
  <si>
    <t>IP-1361</t>
  </si>
  <si>
    <t>IP-1362</t>
  </si>
  <si>
    <t>IP-1363</t>
  </si>
  <si>
    <t>IP-1364</t>
  </si>
  <si>
    <t>IP-1365</t>
  </si>
  <si>
    <t>IP-1366</t>
  </si>
  <si>
    <t>HUAYHUA YUNQUE JOSE MELVIN</t>
  </si>
  <si>
    <t>MINERA HNOS DANEDCE MONTOYA E.I.R.L.</t>
  </si>
  <si>
    <t>Pi</t>
  </si>
  <si>
    <t>U</t>
  </si>
  <si>
    <t>Oz</t>
  </si>
  <si>
    <t>factor cortas</t>
  </si>
  <si>
    <t>Factor venta</t>
  </si>
  <si>
    <t>Venta</t>
  </si>
  <si>
    <t>compra</t>
  </si>
  <si>
    <t>C acopio</t>
  </si>
  <si>
    <t>Proceso+acopio</t>
  </si>
  <si>
    <t>Costo fijo planta</t>
  </si>
  <si>
    <t>Costo variable</t>
  </si>
  <si>
    <t>rec</t>
  </si>
  <si>
    <t>IP-1367</t>
  </si>
  <si>
    <t>IP-1368</t>
  </si>
  <si>
    <t>IP-1369</t>
  </si>
  <si>
    <t>IP-1370</t>
  </si>
  <si>
    <t>IP-1371</t>
  </si>
  <si>
    <t>IP-1372</t>
  </si>
  <si>
    <t>IP-1373</t>
  </si>
  <si>
    <t>IP-1374</t>
  </si>
  <si>
    <t>IP-1375</t>
  </si>
  <si>
    <t>IP-1376</t>
  </si>
  <si>
    <t>IP-1377</t>
  </si>
  <si>
    <t>IP-1381</t>
  </si>
  <si>
    <t>IP-1382</t>
  </si>
  <si>
    <t>IP-1383</t>
  </si>
  <si>
    <t>IP-1384</t>
  </si>
  <si>
    <t>SAN ANDRES - CHALA GOLD MINING EIRL</t>
  </si>
  <si>
    <t>CONSORCIO MINERO RENACER DEL SUR E.I.R.L.</t>
  </si>
  <si>
    <t>IP-1387</t>
  </si>
  <si>
    <t>IP-1388</t>
  </si>
  <si>
    <t>IP-1389</t>
  </si>
  <si>
    <t>IP-1390</t>
  </si>
  <si>
    <t>IP-1391</t>
  </si>
  <si>
    <t>IP-1392</t>
  </si>
  <si>
    <t>IP-1393</t>
  </si>
  <si>
    <t>IP-1394</t>
  </si>
  <si>
    <t>IP-1395</t>
  </si>
  <si>
    <t>IP-1396</t>
  </si>
  <si>
    <t>IP-1397</t>
  </si>
  <si>
    <t>IP-1398</t>
  </si>
  <si>
    <t>IP-1399</t>
  </si>
  <si>
    <t>IP-1400</t>
  </si>
  <si>
    <t>IP-1401</t>
  </si>
  <si>
    <t>IP-1402</t>
  </si>
  <si>
    <t>IP-1403</t>
  </si>
  <si>
    <t>IP-1404</t>
  </si>
  <si>
    <t>IP-1405</t>
  </si>
  <si>
    <t>IP-1406</t>
  </si>
  <si>
    <t>IP-1407</t>
  </si>
  <si>
    <t>IP-1408</t>
  </si>
  <si>
    <t>IP-1409</t>
  </si>
  <si>
    <t>IP-1410</t>
  </si>
  <si>
    <t>IP-1411</t>
  </si>
  <si>
    <t>MULTISERVICIOS Y MINERA HUANUHUANU E.I.R.L</t>
  </si>
  <si>
    <t>IP-1412</t>
  </si>
  <si>
    <t>IP-1413</t>
  </si>
  <si>
    <t>IP-1414</t>
  </si>
  <si>
    <t>IP-1415</t>
  </si>
  <si>
    <t>IP-1416</t>
  </si>
  <si>
    <t>AGUSTIN MENDIVIL VELASQUE</t>
  </si>
  <si>
    <t>IP-1417</t>
  </si>
  <si>
    <t>IP-1418</t>
  </si>
  <si>
    <t>IP-1419</t>
  </si>
  <si>
    <t>IP-1420</t>
  </si>
  <si>
    <t>EMPRESA MINERA GRUPO GARIBAY ESCUDERO E.I.R.L</t>
  </si>
  <si>
    <t>M. LLAMPO</t>
  </si>
  <si>
    <t>IP-1313 (1378)</t>
  </si>
  <si>
    <t>IP-1314 (1379)</t>
  </si>
  <si>
    <t>IP-1315 (1380)</t>
  </si>
  <si>
    <t>IP-1378 (1313)</t>
  </si>
  <si>
    <t>IP-1379 (1314)</t>
  </si>
  <si>
    <t>IP-1380 (1315)</t>
  </si>
  <si>
    <t>E-019</t>
  </si>
  <si>
    <t>IP-1423</t>
  </si>
  <si>
    <t>IP-1424</t>
  </si>
  <si>
    <t>IP-1385 (1421)</t>
  </si>
  <si>
    <t>IP-1386 (1422)</t>
  </si>
  <si>
    <t>Stock al dia 24-03-2025</t>
  </si>
  <si>
    <t>Exportacion 20</t>
  </si>
  <si>
    <t xml:space="preserve">Caja -  Bancos -  IGV </t>
  </si>
  <si>
    <t>C20-Tk 2</t>
  </si>
  <si>
    <t>C20-Tk 3</t>
  </si>
  <si>
    <t>C19-Tk 2</t>
  </si>
  <si>
    <t>Amalgamas</t>
  </si>
  <si>
    <t>Total proceso chala (gr)</t>
  </si>
  <si>
    <t>Total dolares</t>
  </si>
  <si>
    <t>E-020</t>
  </si>
  <si>
    <t>Rec venta</t>
  </si>
  <si>
    <t>Rec compra</t>
  </si>
  <si>
    <t>IP-1425</t>
  </si>
  <si>
    <t>IP-1426</t>
  </si>
  <si>
    <t>IP-1427</t>
  </si>
  <si>
    <t>IP-1428</t>
  </si>
  <si>
    <t>IP-1429</t>
  </si>
  <si>
    <t>IP-1430</t>
  </si>
  <si>
    <t>IP-1431</t>
  </si>
  <si>
    <t>IP-1432</t>
  </si>
  <si>
    <t>IP-1433</t>
  </si>
  <si>
    <t>IP-1434</t>
  </si>
  <si>
    <t>IP-1444</t>
  </si>
  <si>
    <t>IP-1445</t>
  </si>
  <si>
    <t>IP-1446</t>
  </si>
  <si>
    <t>IP-1447</t>
  </si>
  <si>
    <t>IP-1448</t>
  </si>
  <si>
    <t>IP-1449</t>
  </si>
  <si>
    <t>IP-1450</t>
  </si>
  <si>
    <t>IP-1453</t>
  </si>
  <si>
    <t>IP-1454</t>
  </si>
  <si>
    <t>IP-1455</t>
  </si>
  <si>
    <t>IP-1456</t>
  </si>
  <si>
    <t>IP-1457</t>
  </si>
  <si>
    <t>IP-1458</t>
  </si>
  <si>
    <t>IP-1459</t>
  </si>
  <si>
    <t>IP-1460</t>
  </si>
  <si>
    <t>IP-1461</t>
  </si>
  <si>
    <t>IP-1439 (1321)</t>
  </si>
  <si>
    <t>IP-1440 (1320)</t>
  </si>
  <si>
    <t>IP-1441 (1319)</t>
  </si>
  <si>
    <t>IP-1442 (1318)</t>
  </si>
  <si>
    <t>IP-1451 (1289)</t>
  </si>
  <si>
    <t>IP-1452 (1317)</t>
  </si>
  <si>
    <t>IP-1289 (1451)</t>
  </si>
  <si>
    <t>IP-1317 (1452)</t>
  </si>
  <si>
    <t>IP-1318 (1342)</t>
  </si>
  <si>
    <t>IP-1319 (1341)</t>
  </si>
  <si>
    <t>IP-1320 (1440)</t>
  </si>
  <si>
    <t>IP-1321 (1439)</t>
  </si>
  <si>
    <t>IP-1421 (1385)</t>
  </si>
  <si>
    <t>IP-1422 (1386)</t>
  </si>
  <si>
    <t>IP-1435 (1255)</t>
  </si>
  <si>
    <t>IP-1436 (1256)</t>
  </si>
  <si>
    <t>IP-1437 (1257)</t>
  </si>
  <si>
    <t>IP-1438 (1258)</t>
  </si>
  <si>
    <t>IP-1443 (1259)</t>
  </si>
  <si>
    <t>E-021</t>
  </si>
  <si>
    <t>IP-1462</t>
  </si>
  <si>
    <t>IP-1463</t>
  </si>
  <si>
    <t>IP-1464</t>
  </si>
  <si>
    <t>IP-1465</t>
  </si>
  <si>
    <t>IP-1466</t>
  </si>
  <si>
    <t>IP-1467</t>
  </si>
  <si>
    <t>IP-1468</t>
  </si>
  <si>
    <t>IP-1469</t>
  </si>
  <si>
    <t>IP-1470</t>
  </si>
  <si>
    <t>IP-1471</t>
  </si>
  <si>
    <t>IP-1472</t>
  </si>
  <si>
    <t>IP-1473</t>
  </si>
  <si>
    <t>IP-1474</t>
  </si>
  <si>
    <t>IP-1475</t>
  </si>
  <si>
    <t>IP-1476</t>
  </si>
  <si>
    <t>IP-1477</t>
  </si>
  <si>
    <t>IP-1478</t>
  </si>
  <si>
    <t>IP-1479</t>
  </si>
  <si>
    <t>IP-1480</t>
  </si>
  <si>
    <t>IP-1481</t>
  </si>
  <si>
    <t>IP-1482</t>
  </si>
  <si>
    <t>IP-1483</t>
  </si>
  <si>
    <t>IP-1484</t>
  </si>
  <si>
    <t>IP-1485</t>
  </si>
  <si>
    <t>IP-1486</t>
  </si>
  <si>
    <t>IP-1487</t>
  </si>
  <si>
    <t>IP-1488</t>
  </si>
  <si>
    <t>IP-1489</t>
  </si>
  <si>
    <t>IP-1490</t>
  </si>
  <si>
    <t>IP-1491</t>
  </si>
  <si>
    <t>IP-1492</t>
  </si>
  <si>
    <t>IP-1493</t>
  </si>
  <si>
    <t>IP-1494</t>
  </si>
  <si>
    <t>IP-1495</t>
  </si>
  <si>
    <t>IP-1496</t>
  </si>
  <si>
    <t>IP-1497</t>
  </si>
  <si>
    <t>IP-1498</t>
  </si>
  <si>
    <t>IP-1499</t>
  </si>
  <si>
    <t>IP-1500</t>
  </si>
  <si>
    <t>IP-1501</t>
  </si>
  <si>
    <t>IP-1502</t>
  </si>
  <si>
    <t>IP-1503</t>
  </si>
  <si>
    <t>IP-1504</t>
  </si>
  <si>
    <t>IP-1505</t>
  </si>
  <si>
    <t>IP-1506</t>
  </si>
  <si>
    <t>IP-1507</t>
  </si>
  <si>
    <t>IP-1508</t>
  </si>
  <si>
    <t>IP-1509</t>
  </si>
  <si>
    <t>IP-1510</t>
  </si>
  <si>
    <t>IP-1511</t>
  </si>
  <si>
    <t>IP-1512</t>
  </si>
  <si>
    <t>IP-1513</t>
  </si>
  <si>
    <t>IP-1514</t>
  </si>
  <si>
    <t>IP-1515</t>
  </si>
  <si>
    <t>IP-1516</t>
  </si>
  <si>
    <t>IP-1517</t>
  </si>
  <si>
    <t>IP-1518</t>
  </si>
  <si>
    <t>IP-1519</t>
  </si>
  <si>
    <t>IP-1520</t>
  </si>
  <si>
    <t>IP-1521</t>
  </si>
  <si>
    <t>IP-1522</t>
  </si>
  <si>
    <t>IP-1523</t>
  </si>
  <si>
    <t>IP-1524</t>
  </si>
  <si>
    <t>IP-1525</t>
  </si>
  <si>
    <t>IP-1526</t>
  </si>
  <si>
    <t>IP-1527</t>
  </si>
  <si>
    <t>IP-1528</t>
  </si>
  <si>
    <t>IP-1529</t>
  </si>
  <si>
    <t>IP-1530</t>
  </si>
  <si>
    <t>IP-1531</t>
  </si>
  <si>
    <t>IP-1532</t>
  </si>
  <si>
    <t>IP-1533</t>
  </si>
  <si>
    <t>IP-1534</t>
  </si>
  <si>
    <t>IP-1535</t>
  </si>
  <si>
    <t>IP-1536</t>
  </si>
  <si>
    <t>IP-1537</t>
  </si>
  <si>
    <t>IP-1538</t>
  </si>
  <si>
    <t>IP-1539</t>
  </si>
  <si>
    <t>IP-1540</t>
  </si>
  <si>
    <t>IP-1541</t>
  </si>
  <si>
    <t>IP-1542</t>
  </si>
  <si>
    <t>IP-1543</t>
  </si>
  <si>
    <t>IP-1544</t>
  </si>
  <si>
    <t>IP-1545</t>
  </si>
  <si>
    <t>IP-1546</t>
  </si>
  <si>
    <t>IP-1547</t>
  </si>
  <si>
    <t>IP-1548</t>
  </si>
  <si>
    <t>IP-1549</t>
  </si>
  <si>
    <t>IP-1550</t>
  </si>
  <si>
    <t>IP-1551</t>
  </si>
  <si>
    <t>IP-1552</t>
  </si>
  <si>
    <t>IP-1553</t>
  </si>
  <si>
    <t>IP-1554</t>
  </si>
  <si>
    <t>IP-1555</t>
  </si>
  <si>
    <t>IP-1556</t>
  </si>
  <si>
    <t>IP-1557</t>
  </si>
  <si>
    <t>IP-1558</t>
  </si>
  <si>
    <t>IP-1559</t>
  </si>
  <si>
    <t>IP-1560</t>
  </si>
  <si>
    <t>IP-1561</t>
  </si>
  <si>
    <t>IP-1562</t>
  </si>
  <si>
    <t>IP-1563</t>
  </si>
  <si>
    <t>IP-1564</t>
  </si>
  <si>
    <t>IP-1565</t>
  </si>
  <si>
    <t>IP-1566</t>
  </si>
  <si>
    <t>IP-1567</t>
  </si>
  <si>
    <t>IP-1568</t>
  </si>
  <si>
    <t>IP-1569</t>
  </si>
  <si>
    <t>IP-1570</t>
  </si>
  <si>
    <t>IP-1571</t>
  </si>
  <si>
    <t>IP-1572</t>
  </si>
  <si>
    <t>IP-1573</t>
  </si>
  <si>
    <t>IP-1574</t>
  </si>
  <si>
    <t>IP-1575</t>
  </si>
  <si>
    <t>IP-1576</t>
  </si>
  <si>
    <t>IP-1577</t>
  </si>
  <si>
    <t>IP-1578</t>
  </si>
  <si>
    <t>IP-1579</t>
  </si>
  <si>
    <t>IP-1580</t>
  </si>
  <si>
    <t>IP-1581</t>
  </si>
  <si>
    <t>IP-1582</t>
  </si>
  <si>
    <t>IP-1583</t>
  </si>
  <si>
    <t>IP-1584</t>
  </si>
  <si>
    <t>IP-1585</t>
  </si>
  <si>
    <t>IP-1586</t>
  </si>
  <si>
    <t>IP-1587</t>
  </si>
  <si>
    <t>IP-1588</t>
  </si>
  <si>
    <t>IP-1589</t>
  </si>
  <si>
    <t>IP-1590</t>
  </si>
  <si>
    <t>IP-1591</t>
  </si>
  <si>
    <t>IP-1592</t>
  </si>
  <si>
    <t>IP-1593</t>
  </si>
  <si>
    <t>IP-1594</t>
  </si>
  <si>
    <t>IP-1595</t>
  </si>
  <si>
    <t>IP-1596</t>
  </si>
  <si>
    <t>IP-1597</t>
  </si>
  <si>
    <t>IP-1598</t>
  </si>
  <si>
    <t>IP-1599</t>
  </si>
  <si>
    <t>IP-1600</t>
  </si>
  <si>
    <t>IP-1601</t>
  </si>
  <si>
    <t>IP-1602</t>
  </si>
  <si>
    <t>IP-1603</t>
  </si>
  <si>
    <t>IP-1604</t>
  </si>
  <si>
    <t>IP-1605</t>
  </si>
  <si>
    <t>IP-1606</t>
  </si>
  <si>
    <t>IP-1607</t>
  </si>
  <si>
    <t>IP-1608</t>
  </si>
  <si>
    <t>IP-1609</t>
  </si>
  <si>
    <t>IP-1610</t>
  </si>
  <si>
    <t>IP-1611</t>
  </si>
  <si>
    <t>IP-1612</t>
  </si>
  <si>
    <t>IP-1613</t>
  </si>
  <si>
    <t>IP-1614</t>
  </si>
  <si>
    <t>IP-1615</t>
  </si>
  <si>
    <t>IP-1616</t>
  </si>
  <si>
    <t>IP-1617</t>
  </si>
  <si>
    <t>IP-1618</t>
  </si>
  <si>
    <t>IP-1619</t>
  </si>
  <si>
    <t>Dmt</t>
  </si>
  <si>
    <t>Gr Recuperables</t>
  </si>
  <si>
    <t>Total $ (sin IGV)</t>
  </si>
  <si>
    <t>pagado</t>
  </si>
  <si>
    <t>Sin pagar</t>
  </si>
  <si>
    <t>Rec proyectada</t>
  </si>
  <si>
    <t>IP-1620</t>
  </si>
  <si>
    <t>IP-1621</t>
  </si>
  <si>
    <t>IP-1622</t>
  </si>
  <si>
    <t>IP-1623</t>
  </si>
  <si>
    <t>IP-1624</t>
  </si>
  <si>
    <t>IP-1625</t>
  </si>
  <si>
    <t>IP-1626</t>
  </si>
  <si>
    <t>RIESGO COMERCIAL</t>
  </si>
  <si>
    <t>ACOPIADOR</t>
  </si>
  <si>
    <t>IP-1627</t>
  </si>
  <si>
    <t>IP-1628</t>
  </si>
  <si>
    <t>IP-1629</t>
  </si>
  <si>
    <t>IP-1630</t>
  </si>
  <si>
    <t>IP-1631</t>
  </si>
  <si>
    <t>IP-1632</t>
  </si>
  <si>
    <t>IP-1633</t>
  </si>
  <si>
    <t>IP-1634</t>
  </si>
  <si>
    <t>IP-1635</t>
  </si>
  <si>
    <t>IP-1636</t>
  </si>
  <si>
    <t>IP-1637</t>
  </si>
  <si>
    <t>IP-1638</t>
  </si>
  <si>
    <t>IP-1639</t>
  </si>
  <si>
    <t>IP-1640</t>
  </si>
  <si>
    <t>IP-1641</t>
  </si>
  <si>
    <t>IP-1642</t>
  </si>
  <si>
    <t>IP-1643</t>
  </si>
  <si>
    <t>IP-1644</t>
  </si>
  <si>
    <t>IP-1645</t>
  </si>
  <si>
    <t>IP-1646</t>
  </si>
  <si>
    <t>IP-1647</t>
  </si>
  <si>
    <t>IP-1648</t>
  </si>
  <si>
    <t>IP-1649</t>
  </si>
  <si>
    <t>IP-1650</t>
  </si>
  <si>
    <t>IP-1651</t>
  </si>
  <si>
    <t>IP-1652</t>
  </si>
  <si>
    <t>IP-1653</t>
  </si>
  <si>
    <t>Gr Au al 100%</t>
  </si>
  <si>
    <t>STOCK</t>
  </si>
  <si>
    <t>RUMA 1</t>
  </si>
  <si>
    <t>RUMA 2</t>
  </si>
  <si>
    <t>RUMA 4</t>
  </si>
  <si>
    <t>RUMA 3</t>
  </si>
  <si>
    <t>RUMA 5</t>
  </si>
  <si>
    <t>RETIRADO</t>
  </si>
  <si>
    <t>ESTADO</t>
  </si>
  <si>
    <t>IP-1654</t>
  </si>
  <si>
    <t>IP-1655</t>
  </si>
  <si>
    <t>IP-1656</t>
  </si>
  <si>
    <t>IP-1657</t>
  </si>
  <si>
    <t>IP-1658</t>
  </si>
  <si>
    <t>IP-1659</t>
  </si>
  <si>
    <t>IP-1660</t>
  </si>
  <si>
    <t>IP-1661</t>
  </si>
  <si>
    <t>IP-1662</t>
  </si>
  <si>
    <t>IP-1663</t>
  </si>
  <si>
    <t>IP-1664</t>
  </si>
  <si>
    <t>IP-1665</t>
  </si>
  <si>
    <t>IP-1666</t>
  </si>
  <si>
    <t>RUMA 6</t>
  </si>
  <si>
    <t>IP-1667</t>
  </si>
  <si>
    <t>IP-1668</t>
  </si>
  <si>
    <t>IP-1669</t>
  </si>
  <si>
    <t>*Se promedia diferencia de leyes desde 0.035 hasta 0.099 oz/Tc</t>
  </si>
  <si>
    <t>*Se promedia diferencia de leyes desde 0.040 hasta 0.099 oz/Tc</t>
  </si>
  <si>
    <t>*Se promedia diferencia de leyes desde 0.030 hasta 0.099 oz/Tc</t>
  </si>
  <si>
    <t>Ronald Miranda</t>
  </si>
  <si>
    <t>Alfred Torres</t>
  </si>
  <si>
    <t>Richard Sapacayo</t>
  </si>
  <si>
    <t>Melchor Vera</t>
  </si>
  <si>
    <t>Yuri Rospigliossi</t>
  </si>
  <si>
    <t>GASTO ACOPIO</t>
  </si>
  <si>
    <t>GASTO CONSUMO</t>
  </si>
  <si>
    <t>NOTA IMPORTANTE</t>
  </si>
  <si>
    <t>*Si el proveedor minero desea retirar el mineral de nuestra planta debera realizar un pago por almacenaje, chancado y gastos operativos.</t>
  </si>
  <si>
    <t>*Se promedia diferencia de leyes desde 0.020 hasta 0.099 oz/Tc</t>
  </si>
  <si>
    <t>COMISION</t>
  </si>
  <si>
    <t>*Se acepta reclamos y/o observaciones antes de que se efectue la factura y por ende el pago correspondiente, despues queda sin efecto todo reclamo.</t>
  </si>
  <si>
    <t>*Si existe una falsificación o adulteracion de los datos serán denunciados penalmente.</t>
  </si>
  <si>
    <t>IP-1670</t>
  </si>
  <si>
    <t>IP-1671</t>
  </si>
  <si>
    <t>IP-1672</t>
  </si>
  <si>
    <t>IP-1673</t>
  </si>
  <si>
    <t>IP-1674</t>
  </si>
  <si>
    <t>IP-1675</t>
  </si>
  <si>
    <t>IP-1676</t>
  </si>
  <si>
    <t>IP-1677</t>
  </si>
  <si>
    <t>IP-1678</t>
  </si>
  <si>
    <t>IP-1679</t>
  </si>
  <si>
    <t>IP-1680</t>
  </si>
  <si>
    <t>IP-1681</t>
  </si>
  <si>
    <t>IP-1682</t>
  </si>
  <si>
    <t>IP-1683</t>
  </si>
  <si>
    <t>IP-1684</t>
  </si>
  <si>
    <t>IP-1685</t>
  </si>
  <si>
    <t>IP-1686</t>
  </si>
  <si>
    <t>IP-1687</t>
  </si>
  <si>
    <t>IP-1688</t>
  </si>
  <si>
    <t>IP-1689</t>
  </si>
  <si>
    <t>IP-1690</t>
  </si>
  <si>
    <t>IP-1691</t>
  </si>
  <si>
    <t>IP-1692</t>
  </si>
  <si>
    <t>IP-1693</t>
  </si>
  <si>
    <t>IP-1694</t>
  </si>
  <si>
    <t>IP-1695</t>
  </si>
  <si>
    <t>IP-1696</t>
  </si>
  <si>
    <t>IP-1697</t>
  </si>
  <si>
    <t>IP-1698</t>
  </si>
  <si>
    <t>IP-1699</t>
  </si>
  <si>
    <t>IP-1700</t>
  </si>
  <si>
    <t>IP-1701</t>
  </si>
  <si>
    <t>EG07-0019</t>
  </si>
  <si>
    <t>EG03-0091</t>
  </si>
  <si>
    <t>GRR</t>
  </si>
  <si>
    <t>GRT</t>
  </si>
  <si>
    <t>IP-1702</t>
  </si>
  <si>
    <t>IP-1703</t>
  </si>
  <si>
    <t>IP-1704</t>
  </si>
  <si>
    <t>IP-1705</t>
  </si>
  <si>
    <t>IP-1706</t>
  </si>
  <si>
    <t>IP-1707</t>
  </si>
  <si>
    <t>IP-1708</t>
  </si>
  <si>
    <t>IP-1709</t>
  </si>
  <si>
    <t>IP-1710</t>
  </si>
  <si>
    <t>IP-1711</t>
  </si>
  <si>
    <t>IP-1712</t>
  </si>
  <si>
    <t>IP-1713</t>
  </si>
  <si>
    <t>IP-1714</t>
  </si>
  <si>
    <t>IP-1715</t>
  </si>
  <si>
    <t>IP-1716</t>
  </si>
  <si>
    <t>EXPLORACION G &amp; M EIRL</t>
  </si>
  <si>
    <t>EG07-3725</t>
  </si>
  <si>
    <t>EG07-3726</t>
  </si>
  <si>
    <t>EG07-0043</t>
  </si>
  <si>
    <t>EG07-0044</t>
  </si>
  <si>
    <t>EG07-0015</t>
  </si>
  <si>
    <t>EG03-0131</t>
  </si>
  <si>
    <t>EG03-0132</t>
  </si>
  <si>
    <t>EG03-0016</t>
  </si>
  <si>
    <t>EG03-0092</t>
  </si>
  <si>
    <t>EG03-0313</t>
  </si>
  <si>
    <t>EG07-0047</t>
  </si>
  <si>
    <t>EG07-0046</t>
  </si>
  <si>
    <t>EG07-0045</t>
  </si>
  <si>
    <t>EG07-0048</t>
  </si>
  <si>
    <t>EG07-0101</t>
  </si>
  <si>
    <t>EG03-0068</t>
  </si>
  <si>
    <t>EG03-0288</t>
  </si>
  <si>
    <t>EG03-0356</t>
  </si>
  <si>
    <t>EG03-0172</t>
  </si>
  <si>
    <t>EG03-0069</t>
  </si>
  <si>
    <t>IP-1717</t>
  </si>
  <si>
    <t>IP-1718</t>
  </si>
  <si>
    <t>IP-1719</t>
  </si>
  <si>
    <t>IP-1720</t>
  </si>
  <si>
    <t>IP-1721</t>
  </si>
  <si>
    <t>IP-1722</t>
  </si>
  <si>
    <t>IP-1723</t>
  </si>
  <si>
    <t>IP-1724</t>
  </si>
  <si>
    <t>IP-1725</t>
  </si>
  <si>
    <t>IP-1726</t>
  </si>
  <si>
    <t>IP-1727</t>
  </si>
  <si>
    <t>IP-1728</t>
  </si>
  <si>
    <t>IP-1729</t>
  </si>
  <si>
    <t>IP-1730</t>
  </si>
  <si>
    <t>IP-1731</t>
  </si>
  <si>
    <t>IP-1732</t>
  </si>
  <si>
    <t>IP-1733</t>
  </si>
  <si>
    <t>IP-1734</t>
  </si>
  <si>
    <t>IP-1735</t>
  </si>
  <si>
    <t>IP-1736</t>
  </si>
  <si>
    <t>IP-1737</t>
  </si>
  <si>
    <t>IP-1738</t>
  </si>
  <si>
    <t>IP-1739</t>
  </si>
  <si>
    <t>IP-1740</t>
  </si>
  <si>
    <t>IP-1741</t>
  </si>
  <si>
    <t>IP-1742</t>
  </si>
  <si>
    <t>IP-1743</t>
  </si>
  <si>
    <t>*Si el mineral ingresado es considerado Sin Valor Comercial (Ley Oz/tc menor a 0.100) y llega a cumplir los 30 dias en nuestro almacen. Se dispondra del mismo sin lugar a reclamo.</t>
  </si>
  <si>
    <t xml:space="preserve">*Si el mineral ingresado es considerado Con Valor Comercial (Ley Oz/tc mayor a 0.100) y llega a cumplir los 30 dias en nuestro almacen y no hay respuesta de confirmacion </t>
  </si>
  <si>
    <t xml:space="preserve">  del proveedor minero se liquidara con las condiciones comerciales de la empresa.</t>
  </si>
  <si>
    <t xml:space="preserve">Walter Achulla </t>
  </si>
  <si>
    <t>IP-1744</t>
  </si>
  <si>
    <t>IP-1745</t>
  </si>
  <si>
    <t>IP-1746</t>
  </si>
  <si>
    <t>IP-1747</t>
  </si>
  <si>
    <t>IP-1748</t>
  </si>
  <si>
    <t>IP-1749</t>
  </si>
  <si>
    <t>IP-1750</t>
  </si>
  <si>
    <t>IP-1751</t>
  </si>
  <si>
    <t>IP-1752</t>
  </si>
  <si>
    <t>IP-1753</t>
  </si>
  <si>
    <t>IP-1754</t>
  </si>
  <si>
    <t>IP-1755</t>
  </si>
  <si>
    <t>IP-1756</t>
  </si>
  <si>
    <t>IP-1757</t>
  </si>
  <si>
    <t>IP-1758</t>
  </si>
  <si>
    <t>IP-1759</t>
  </si>
  <si>
    <t>IP-1760</t>
  </si>
  <si>
    <t>IP-1761</t>
  </si>
  <si>
    <t>IP-1762</t>
  </si>
  <si>
    <t>IP-1763</t>
  </si>
  <si>
    <t>IP-1764</t>
  </si>
  <si>
    <t>IP-1765</t>
  </si>
  <si>
    <t>IP-1766</t>
  </si>
  <si>
    <t>IP-1767</t>
  </si>
  <si>
    <t>MACC GOLD PERU EIRL</t>
  </si>
  <si>
    <t>IP-1768</t>
  </si>
  <si>
    <t>IP-1769</t>
  </si>
  <si>
    <t>EG07-0049</t>
  </si>
  <si>
    <t>EG03-0012</t>
  </si>
  <si>
    <t>EG07-0020</t>
  </si>
  <si>
    <t>EG03-0213</t>
  </si>
  <si>
    <t>EG07-0102</t>
  </si>
  <si>
    <t>EG03-0098</t>
  </si>
  <si>
    <t>EG07-0346</t>
  </si>
  <si>
    <t>EG03-0071</t>
  </si>
  <si>
    <t>EG07-3844</t>
  </si>
  <si>
    <t>EG03-0070</t>
  </si>
  <si>
    <t>EG07-0344</t>
  </si>
  <si>
    <t>EG03-6520</t>
  </si>
  <si>
    <t>EG07-3843</t>
  </si>
  <si>
    <t>EG03-6518</t>
  </si>
  <si>
    <t>EG07-0103</t>
  </si>
  <si>
    <t>EG03-0157</t>
  </si>
  <si>
    <t>EG07-0467</t>
  </si>
  <si>
    <t>EG03-0519</t>
  </si>
  <si>
    <t>IP-1770</t>
  </si>
  <si>
    <t>IP-1771</t>
  </si>
  <si>
    <t>IP-1772</t>
  </si>
  <si>
    <t>IP-1773</t>
  </si>
  <si>
    <t>IP-1774</t>
  </si>
  <si>
    <t>IP-1775</t>
  </si>
  <si>
    <t>IP-1776</t>
  </si>
  <si>
    <t>EG03-0520</t>
  </si>
  <si>
    <t>EG07-0469</t>
  </si>
  <si>
    <t>EG07-0014</t>
  </si>
  <si>
    <t>EG03-0089</t>
  </si>
  <si>
    <t>IP-1777</t>
  </si>
  <si>
    <t>IP-1778</t>
  </si>
  <si>
    <t>IP-1779</t>
  </si>
  <si>
    <t>IP-1780</t>
  </si>
  <si>
    <t>IP-1781</t>
  </si>
  <si>
    <t>IP-1782</t>
  </si>
  <si>
    <t>IP-1783</t>
  </si>
  <si>
    <t>IP-1784</t>
  </si>
  <si>
    <t>EG03-6565</t>
  </si>
  <si>
    <t>EG07-0105</t>
  </si>
  <si>
    <t>EG03-0168</t>
  </si>
  <si>
    <t>EG07-0021</t>
  </si>
  <si>
    <t>EG03-0095</t>
  </si>
  <si>
    <t>EG07-0356</t>
  </si>
  <si>
    <t>EG07-0107</t>
  </si>
  <si>
    <t>EG03-0073</t>
  </si>
  <si>
    <t>EG07-0478</t>
  </si>
  <si>
    <t>EG03-0529</t>
  </si>
  <si>
    <t>IP-1785</t>
  </si>
  <si>
    <t>IP-1786</t>
  </si>
  <si>
    <t>IP-1787</t>
  </si>
  <si>
    <t>IP-1788</t>
  </si>
  <si>
    <t>IP-1789</t>
  </si>
  <si>
    <t>IP-1790</t>
  </si>
  <si>
    <t>IP-1791</t>
  </si>
  <si>
    <t>IP-1792</t>
  </si>
  <si>
    <t>Au Real 100%</t>
  </si>
  <si>
    <t>error de andres en excell</t>
  </si>
  <si>
    <t>IP-1793</t>
  </si>
  <si>
    <t>IP-1794</t>
  </si>
  <si>
    <t>IP-1795</t>
  </si>
  <si>
    <t>IP-1796</t>
  </si>
  <si>
    <t>IP-1797</t>
  </si>
  <si>
    <t>IP-1798</t>
  </si>
  <si>
    <t>IP-1799</t>
  </si>
  <si>
    <t>IP-1800</t>
  </si>
  <si>
    <t>IP-1801</t>
  </si>
  <si>
    <t>IP-1802</t>
  </si>
  <si>
    <t>IP-1803</t>
  </si>
  <si>
    <t>IP-1804</t>
  </si>
  <si>
    <t>IP-1805</t>
  </si>
  <si>
    <t>IP-1806</t>
  </si>
  <si>
    <t>RUMA 7</t>
  </si>
  <si>
    <t>RUMA 8</t>
  </si>
  <si>
    <t>RUMA 9</t>
  </si>
  <si>
    <t>RUMA 10</t>
  </si>
  <si>
    <t>Oz/tc</t>
  </si>
  <si>
    <t>Rec Real</t>
  </si>
  <si>
    <t>IP-1807</t>
  </si>
  <si>
    <t>IP-1808</t>
  </si>
  <si>
    <t>IP-1809</t>
  </si>
  <si>
    <t>IP-1810</t>
  </si>
  <si>
    <t>IP-1811</t>
  </si>
  <si>
    <t>IP-1812</t>
  </si>
  <si>
    <t>IP-1813</t>
  </si>
  <si>
    <t>IP-1814</t>
  </si>
  <si>
    <t>IP-1815</t>
  </si>
  <si>
    <t>IP-1816</t>
  </si>
  <si>
    <t>IP-1817</t>
  </si>
  <si>
    <t>IP-1818</t>
  </si>
  <si>
    <t>IP-1819</t>
  </si>
  <si>
    <t>IP-1820</t>
  </si>
  <si>
    <t>IP-1821</t>
  </si>
  <si>
    <t>EG07-480</t>
  </si>
  <si>
    <t>EG03-532</t>
  </si>
  <si>
    <t>EG07-44</t>
  </si>
  <si>
    <t>EG03-277</t>
  </si>
  <si>
    <t>EG07-45</t>
  </si>
  <si>
    <t>002-3995</t>
  </si>
  <si>
    <t>001-8775</t>
  </si>
  <si>
    <t>EG07-108</t>
  </si>
  <si>
    <t>EG03-74</t>
  </si>
  <si>
    <t>EG07-22</t>
  </si>
  <si>
    <t>EG03-38</t>
  </si>
  <si>
    <t>EG07-46</t>
  </si>
  <si>
    <t>002-3996</t>
  </si>
  <si>
    <t>EG07-47</t>
  </si>
  <si>
    <t>002-3997</t>
  </si>
  <si>
    <t>EG07-48</t>
  </si>
  <si>
    <t>002-3998</t>
  </si>
  <si>
    <t>A GRANEL</t>
  </si>
  <si>
    <t>Cola Proy</t>
  </si>
  <si>
    <t>Gr 100%</t>
  </si>
  <si>
    <t>Gr Rec</t>
  </si>
  <si>
    <t>Cola acum</t>
  </si>
  <si>
    <t>EG03-004</t>
  </si>
  <si>
    <t>EG07-054</t>
  </si>
  <si>
    <t>EG07-0053</t>
  </si>
  <si>
    <t>EG03-0355</t>
  </si>
  <si>
    <t>Cola Acum</t>
  </si>
  <si>
    <t>IP-1822</t>
  </si>
  <si>
    <t>IP-1823</t>
  </si>
  <si>
    <t>IP-1824</t>
  </si>
  <si>
    <t>IP-1825</t>
  </si>
  <si>
    <t>IP-1826</t>
  </si>
  <si>
    <t>IP-1827</t>
  </si>
  <si>
    <t>IP-1828</t>
  </si>
  <si>
    <t>IP-1829</t>
  </si>
  <si>
    <t>IP-1830</t>
  </si>
  <si>
    <t>IP-1831</t>
  </si>
  <si>
    <t>IP-1832</t>
  </si>
  <si>
    <t>IP-1833</t>
  </si>
  <si>
    <t>IP-1834</t>
  </si>
  <si>
    <t>TMS Acum</t>
  </si>
  <si>
    <t>EG07-063</t>
  </si>
  <si>
    <t>EG03-269</t>
  </si>
  <si>
    <t>EG07-111</t>
  </si>
  <si>
    <t>EG03-271</t>
  </si>
  <si>
    <t>EG07-023</t>
  </si>
  <si>
    <t>EG03-097</t>
  </si>
  <si>
    <t>IP-1835</t>
  </si>
  <si>
    <t>IP-1836</t>
  </si>
  <si>
    <t>IP-1837</t>
  </si>
  <si>
    <t>EG07-113</t>
  </si>
  <si>
    <t>001-271</t>
  </si>
  <si>
    <t>LEY +</t>
  </si>
  <si>
    <t>Andres</t>
  </si>
  <si>
    <t>diff</t>
  </si>
  <si>
    <t>Tu</t>
  </si>
  <si>
    <t>IP-1838</t>
  </si>
  <si>
    <t>IP-1847</t>
  </si>
  <si>
    <t>IP-1848</t>
  </si>
  <si>
    <t>Rec</t>
  </si>
  <si>
    <t>ANÁLISIS CAMPAÑA 26 – Ag</t>
  </si>
  <si>
    <t>ANÁLISIS CAMPAÑA 26 – Au</t>
  </si>
  <si>
    <t>MINERA DOS DE DICIEMBRE S.A. MIDDERSA</t>
  </si>
  <si>
    <t>IP-1849</t>
  </si>
  <si>
    <t>IP-1850</t>
  </si>
  <si>
    <t>IP-1851</t>
  </si>
  <si>
    <t>IP-1852</t>
  </si>
  <si>
    <t>IP-1853</t>
  </si>
  <si>
    <t>IP-1854</t>
  </si>
  <si>
    <t>JAWASA S.A</t>
  </si>
  <si>
    <t>EG07-189</t>
  </si>
  <si>
    <t>EG07-276</t>
  </si>
  <si>
    <t>EG03-555</t>
  </si>
  <si>
    <t>EG07-024</t>
  </si>
  <si>
    <t>EG03-039</t>
  </si>
  <si>
    <t>-</t>
  </si>
  <si>
    <t>INVENTARIO EN PLANTA PAITITI</t>
  </si>
  <si>
    <t>Planta PAITITI Arequipa - Perú</t>
  </si>
  <si>
    <r>
      <t>Mineral en almacén de planta a observar</t>
    </r>
    <r>
      <rPr>
        <b/>
        <sz val="10"/>
        <color theme="1"/>
        <rFont val="Calibri"/>
        <family val="2"/>
        <scheme val="minor"/>
      </rPr>
      <t>:</t>
    </r>
  </si>
  <si>
    <t>N°</t>
  </si>
  <si>
    <t>Ubicación</t>
  </si>
  <si>
    <t>Equipo</t>
  </si>
  <si>
    <t>Existencia</t>
  </si>
  <si>
    <r>
      <t>m</t>
    </r>
    <r>
      <rPr>
        <b/>
        <vertAlign val="superscript"/>
        <sz val="10"/>
        <color theme="0"/>
        <rFont val="Calibri"/>
        <family val="2"/>
        <scheme val="minor"/>
      </rPr>
      <t>3</t>
    </r>
  </si>
  <si>
    <t>Kg</t>
  </si>
  <si>
    <t>LEYES</t>
  </si>
  <si>
    <t>FINOS gr. 100%</t>
  </si>
  <si>
    <t>FINOS gr. Recup</t>
  </si>
  <si>
    <t>Comentarios</t>
  </si>
  <si>
    <t>RECEPCION</t>
  </si>
  <si>
    <t>STOCK CANCHA</t>
  </si>
  <si>
    <t>LEY</t>
  </si>
  <si>
    <t>SIN LEY</t>
  </si>
  <si>
    <t xml:space="preserve">LOZA </t>
  </si>
  <si>
    <t>BLENDING #1</t>
  </si>
  <si>
    <t>BLENDING #2</t>
  </si>
  <si>
    <t>MOLIENDA</t>
  </si>
  <si>
    <t>TOLVA DE FINOS N° 1</t>
  </si>
  <si>
    <t>Mineral (Blends)</t>
  </si>
  <si>
    <t>MOLINO N° 1 (Acum)</t>
  </si>
  <si>
    <t>Au grueso</t>
  </si>
  <si>
    <t>MOLINO N° 2 (Acum)</t>
  </si>
  <si>
    <t>CAJONES</t>
  </si>
  <si>
    <t>MOLINOS</t>
  </si>
  <si>
    <t xml:space="preserve">TRAMPA N° 1 </t>
  </si>
  <si>
    <t>TRAMPA N° 2</t>
  </si>
  <si>
    <t>AGITACION - ADS</t>
  </si>
  <si>
    <t>TANQUE N° 1 - 19' x 20'</t>
  </si>
  <si>
    <t>pulpa (Solidos)</t>
  </si>
  <si>
    <t>TANQUE N° 2 - 19' x 20'</t>
  </si>
  <si>
    <t>TANQUE N° 3 - 20' x 20'</t>
  </si>
  <si>
    <t>pulpa (Liquido)</t>
  </si>
  <si>
    <t>Carbon Activado Cargado</t>
  </si>
  <si>
    <t>DESORCION</t>
  </si>
  <si>
    <t>TANQUE N°2</t>
  </si>
  <si>
    <t>TANQUE N°</t>
  </si>
  <si>
    <t>FUNDICION</t>
  </si>
  <si>
    <t>BARRA FUNDIDA 1</t>
  </si>
  <si>
    <t>BARRA FUNDIDA 2</t>
  </si>
  <si>
    <t>BARRA FUNDIDA 3</t>
  </si>
  <si>
    <t>BARRA FUNDIDA 4</t>
  </si>
  <si>
    <t>BOVEDA</t>
  </si>
  <si>
    <t>Resguardo Almacen</t>
  </si>
  <si>
    <t>LOZA DE COSECHA</t>
  </si>
  <si>
    <t>TOTAL PLANTA PAITITI</t>
  </si>
  <si>
    <t>SALIDAS DEL SISTEMA en la semana:</t>
  </si>
  <si>
    <t>Relavera</t>
  </si>
  <si>
    <t xml:space="preserve">FINO NO RECUPERABLE RUMA </t>
  </si>
  <si>
    <t>Al 27/08/2025 a las 10:00 hr</t>
  </si>
  <si>
    <t>Inventarios - AGOSTO 2025</t>
  </si>
  <si>
    <t>STOCK SIN LEY</t>
  </si>
  <si>
    <t>BLENDING #3</t>
  </si>
  <si>
    <t>BLENDING #4</t>
  </si>
  <si>
    <t>BLENDING #5</t>
  </si>
  <si>
    <t>BLENDING #6</t>
  </si>
  <si>
    <t>El pago por plata sera solo para los lotes que tengan contenido mayor a 4.5 oz/tc</t>
  </si>
  <si>
    <t>C-22 TK-1</t>
  </si>
  <si>
    <t>C-22 TK -1</t>
  </si>
  <si>
    <t>C-24 TK-3 (PARTE N° 3)</t>
  </si>
  <si>
    <t>C-25 TK-1</t>
  </si>
  <si>
    <t>TOTAL AU BOVEDA</t>
  </si>
  <si>
    <t>TOTAL AG BOVEDA</t>
  </si>
  <si>
    <t>C-25 TK-1 (ESCORIAS Y HORNO II)</t>
  </si>
  <si>
    <t>C-25 TK-1 (TRAMPAS Y CAJONES)</t>
  </si>
  <si>
    <t>BARRA BULLON (ESCORIAS C-22 a C-25)</t>
  </si>
  <si>
    <t>BARRA BULLON (C-26, TK-3)</t>
  </si>
  <si>
    <t>PENDIENTE</t>
  </si>
  <si>
    <t>RUMA 2 BAJA RECUPERACION</t>
  </si>
  <si>
    <t xml:space="preserve">TK 3 </t>
  </si>
  <si>
    <t>TANQUES</t>
  </si>
  <si>
    <t>TK 1</t>
  </si>
  <si>
    <t>TK 2</t>
  </si>
  <si>
    <t xml:space="preserve">TOTAL GR AG RECP C-26 </t>
  </si>
  <si>
    <t>TOTAL GR AU RECUP C-26</t>
  </si>
  <si>
    <t xml:space="preserve">METAL Ag </t>
  </si>
  <si>
    <t>IP-1855</t>
  </si>
  <si>
    <t>IP-1856</t>
  </si>
  <si>
    <t>IP-1857</t>
  </si>
  <si>
    <t>IP-1858</t>
  </si>
  <si>
    <t>IP-1859</t>
  </si>
  <si>
    <t>IP-1860</t>
  </si>
  <si>
    <t>IP-1861</t>
  </si>
  <si>
    <t>IP-1862</t>
  </si>
  <si>
    <t>IP-1863</t>
  </si>
  <si>
    <t>IP-1864</t>
  </si>
  <si>
    <t>IP-1865</t>
  </si>
  <si>
    <t>IP-1866</t>
  </si>
  <si>
    <t>IP-1867</t>
  </si>
  <si>
    <t>IP-1868</t>
  </si>
  <si>
    <t>IP-1869</t>
  </si>
  <si>
    <t>IP-1870</t>
  </si>
  <si>
    <t>IP-1871</t>
  </si>
  <si>
    <t>IP-1872</t>
  </si>
  <si>
    <t>IP-1873</t>
  </si>
  <si>
    <t>IP-1874</t>
  </si>
  <si>
    <t>IP-1875</t>
  </si>
  <si>
    <t>IP-1876</t>
  </si>
  <si>
    <t>IP-1877</t>
  </si>
  <si>
    <t>IP-1878</t>
  </si>
  <si>
    <t>IP-1879</t>
  </si>
  <si>
    <t>IP-1880</t>
  </si>
  <si>
    <t>IP-1881</t>
  </si>
  <si>
    <t>IP-1882</t>
  </si>
  <si>
    <t>IP-1883</t>
  </si>
  <si>
    <t>IP-1884</t>
  </si>
  <si>
    <t>IP-1885</t>
  </si>
  <si>
    <t>IP-1886</t>
  </si>
  <si>
    <t>IP-1887</t>
  </si>
  <si>
    <t>IP-1888</t>
  </si>
  <si>
    <t>IP-1889</t>
  </si>
  <si>
    <t>IP-1890</t>
  </si>
  <si>
    <t>IP-1891</t>
  </si>
  <si>
    <t>IP-1892</t>
  </si>
  <si>
    <t>IP-1893</t>
  </si>
  <si>
    <t>IP-1894</t>
  </si>
  <si>
    <t>IP-1895</t>
  </si>
  <si>
    <t>IP-1896</t>
  </si>
  <si>
    <t>IP-1897</t>
  </si>
  <si>
    <t>IP-1898</t>
  </si>
  <si>
    <t>EG07-382</t>
  </si>
  <si>
    <t>EG03-310</t>
  </si>
  <si>
    <t>EG07-4037</t>
  </si>
  <si>
    <t>EG07-056</t>
  </si>
  <si>
    <t>EG03-003</t>
  </si>
  <si>
    <t>EG07-4076</t>
  </si>
  <si>
    <t>EG03-2967</t>
  </si>
  <si>
    <t>EG07-0384</t>
  </si>
  <si>
    <t>EG03-2966</t>
  </si>
  <si>
    <t>EG07-059</t>
  </si>
  <si>
    <t>EG07-058</t>
  </si>
  <si>
    <t>EG03-379</t>
  </si>
  <si>
    <t>EG07-057</t>
  </si>
  <si>
    <t>EG03-317</t>
  </si>
  <si>
    <t>EG07-391</t>
  </si>
  <si>
    <t>EG03-107</t>
  </si>
  <si>
    <t>EG07-4109</t>
  </si>
  <si>
    <t>EG03-106</t>
  </si>
  <si>
    <t>EG07-061</t>
  </si>
  <si>
    <t>EG03-038</t>
  </si>
  <si>
    <t>EG07-123</t>
  </si>
  <si>
    <t>EG03-199</t>
  </si>
  <si>
    <t>EG03-0309</t>
  </si>
  <si>
    <t>Nro de RUC:</t>
  </si>
  <si>
    <t>Fecha de entrega:</t>
  </si>
  <si>
    <t>Fecha de liquidación:</t>
  </si>
  <si>
    <t>Razón social:</t>
  </si>
  <si>
    <t>TOTAL</t>
  </si>
  <si>
    <t>ANÁLISIS CAMPAÑA 27– Au</t>
  </si>
  <si>
    <t>ANÁLISIS CAMPAÑA 27 – Ag</t>
  </si>
  <si>
    <t>0001-0088</t>
  </si>
  <si>
    <t>IP-1899</t>
  </si>
  <si>
    <t>IP-1900</t>
  </si>
  <si>
    <t>IP-1901</t>
  </si>
  <si>
    <t>IP-1902</t>
  </si>
  <si>
    <t>IP-1903</t>
  </si>
  <si>
    <t>IP-1904</t>
  </si>
  <si>
    <t>IP-1905</t>
  </si>
  <si>
    <t>IP-1906</t>
  </si>
  <si>
    <t>IP-1907</t>
  </si>
  <si>
    <t>EG07-126</t>
  </si>
  <si>
    <t>EG03-358</t>
  </si>
  <si>
    <t>BETO ZEVALLOS</t>
  </si>
  <si>
    <t>Beto Zevallos</t>
  </si>
  <si>
    <t>IP-1908</t>
  </si>
  <si>
    <t>IP-1909</t>
  </si>
  <si>
    <t>IP-1910</t>
  </si>
  <si>
    <t>IP-1911</t>
  </si>
  <si>
    <t>IP-1912</t>
  </si>
  <si>
    <t>IP-1913</t>
  </si>
  <si>
    <t>IP-1914</t>
  </si>
  <si>
    <t>IP-1915</t>
  </si>
  <si>
    <t>IP-1916</t>
  </si>
  <si>
    <t>IP-1917</t>
  </si>
  <si>
    <t>IP-1918</t>
  </si>
  <si>
    <t>IP-1919</t>
  </si>
  <si>
    <t>*La recup inicial dio resultado 62.5 se reensayo y el resultado es 93.97 se considera este ultimo porque visualmente se comprobo que es un mineral oxidado.</t>
  </si>
  <si>
    <t>EG07-0062</t>
  </si>
  <si>
    <t>EG03-0039</t>
  </si>
  <si>
    <t>Rec Real %</t>
  </si>
  <si>
    <t>*Se analizo 3 veces recuperacion debido a que en 48h recuperaba 78.9 y 92.8;para verificar el valor correcto se hizo una prueba a 24 h con resultado 92.2. Se toma el mayor porcentaje.</t>
  </si>
  <si>
    <t>*Se hizo dirimencia en el laboratorio Analytica, en el pcp se INCLUYEN los valores dirimentes para el promedio.</t>
  </si>
  <si>
    <t>EG07-0025</t>
  </si>
  <si>
    <t>EG03-0041</t>
  </si>
  <si>
    <t>*Se hizo REE de recuperacion la primera fue 81.89 y la seguanda a 24h fue 89.91</t>
  </si>
  <si>
    <t>EG07-0127</t>
  </si>
  <si>
    <t>EG03-0081</t>
  </si>
  <si>
    <t>IP-1920</t>
  </si>
  <si>
    <t>IP-1921</t>
  </si>
  <si>
    <t>IP-1922</t>
  </si>
  <si>
    <t>IP-1923</t>
  </si>
  <si>
    <t>IP-1924</t>
  </si>
  <si>
    <t>IP-1925</t>
  </si>
  <si>
    <t>IP-1926</t>
  </si>
  <si>
    <t>IP-1927</t>
  </si>
  <si>
    <t>IP-1928</t>
  </si>
  <si>
    <t>IP-1929</t>
  </si>
  <si>
    <t>IP-1930</t>
  </si>
  <si>
    <t>IP-1931</t>
  </si>
  <si>
    <t>IP-1932</t>
  </si>
  <si>
    <t>IP-1933</t>
  </si>
  <si>
    <t>IP-1934</t>
  </si>
  <si>
    <t>IP-1935</t>
  </si>
  <si>
    <t>IP-1936</t>
  </si>
  <si>
    <t>IP-1937</t>
  </si>
  <si>
    <t>IP-1938</t>
  </si>
  <si>
    <t>IP-1939</t>
  </si>
  <si>
    <t>*Se hizo remuestreo de la ley promedio es ma baja que la inicial.</t>
  </si>
  <si>
    <t>EG07-130</t>
  </si>
  <si>
    <t>EG03-133</t>
  </si>
  <si>
    <t>EG07-4163</t>
  </si>
  <si>
    <t>EG03-2331</t>
  </si>
  <si>
    <t>EG07-0402</t>
  </si>
  <si>
    <t>EG03-2332</t>
  </si>
  <si>
    <t>EG07-403</t>
  </si>
  <si>
    <t>EG03-034</t>
  </si>
  <si>
    <t>EG07-4164</t>
  </si>
  <si>
    <t>EG03-035</t>
  </si>
  <si>
    <t>EG07-0060</t>
  </si>
  <si>
    <t>0002-4009</t>
  </si>
  <si>
    <t>EG07-4184</t>
  </si>
  <si>
    <t>EG03-0083</t>
  </si>
  <si>
    <t>EG07-0068</t>
  </si>
  <si>
    <t>0002-4010</t>
  </si>
  <si>
    <t>IP-1940</t>
  </si>
  <si>
    <t>IP-1941</t>
  </si>
  <si>
    <t>IP-1942</t>
  </si>
  <si>
    <t>IP-1943</t>
  </si>
  <si>
    <t>IP-1944</t>
  </si>
  <si>
    <t>IP-1946</t>
  </si>
  <si>
    <t>IP-1947</t>
  </si>
  <si>
    <t>IP-1948</t>
  </si>
  <si>
    <t>EG07-4146</t>
  </si>
  <si>
    <t>EG03-0051</t>
  </si>
  <si>
    <t>IP-1945</t>
  </si>
  <si>
    <t>IP-1949</t>
  </si>
  <si>
    <t>IP-1950</t>
  </si>
  <si>
    <t>IP-1951</t>
  </si>
  <si>
    <t>IP-1952</t>
  </si>
  <si>
    <t>IP-1953</t>
  </si>
  <si>
    <t>IP-1954</t>
  </si>
  <si>
    <t>IP-1955</t>
  </si>
  <si>
    <t>IP-1956</t>
  </si>
  <si>
    <t>IP-1957</t>
  </si>
  <si>
    <t>IP-1958</t>
  </si>
  <si>
    <t>EG07-0063</t>
  </si>
  <si>
    <t>EG03-0044</t>
  </si>
  <si>
    <t>EG07-0026</t>
  </si>
  <si>
    <t>EG03-0043</t>
  </si>
  <si>
    <t>EG07-4300</t>
  </si>
  <si>
    <t>EG03-0222</t>
  </si>
  <si>
    <t>EG07-0408</t>
  </si>
  <si>
    <t>EG03-0223</t>
  </si>
  <si>
    <t>IP-1959</t>
  </si>
  <si>
    <t>IP-1960</t>
  </si>
  <si>
    <t>IP-1961</t>
  </si>
  <si>
    <t>IP-1962</t>
  </si>
  <si>
    <t>IP-1963</t>
  </si>
  <si>
    <t>IP-1964</t>
  </si>
  <si>
    <t>IP-1965</t>
  </si>
  <si>
    <t>IP-1966</t>
  </si>
  <si>
    <t>IP-1967</t>
  </si>
  <si>
    <t>IP-1968</t>
  </si>
  <si>
    <t>IP-1969</t>
  </si>
  <si>
    <t>IP-1970</t>
  </si>
  <si>
    <t>IP-1971</t>
  </si>
  <si>
    <t>IP-1972</t>
  </si>
  <si>
    <t>IP-1973</t>
  </si>
  <si>
    <t>IP-1974</t>
  </si>
  <si>
    <t>IP-1975</t>
  </si>
  <si>
    <t>IP-1976</t>
  </si>
  <si>
    <t>EG07-0074</t>
  </si>
  <si>
    <t>EG03-0353</t>
  </si>
  <si>
    <t>EG07-0075</t>
  </si>
  <si>
    <t>0002-4013</t>
  </si>
  <si>
    <t>EG07-0064</t>
  </si>
  <si>
    <t>EG03-0052</t>
  </si>
  <si>
    <t>EG07-0332</t>
  </si>
  <si>
    <t>EG03-0719</t>
  </si>
  <si>
    <t>EG07-0076</t>
  </si>
  <si>
    <t>0002-4014</t>
  </si>
  <si>
    <t>EG07-4327</t>
  </si>
  <si>
    <t>EG03-0085</t>
  </si>
  <si>
    <t>EG07-0065</t>
  </si>
  <si>
    <t>EG03-0144</t>
  </si>
  <si>
    <t>EG07-0080</t>
  </si>
  <si>
    <t>0002-4015</t>
  </si>
  <si>
    <t>EG07-0081</t>
  </si>
  <si>
    <t>EG03-0354</t>
  </si>
  <si>
    <t>IP-1977</t>
  </si>
  <si>
    <t>IP-1978</t>
  </si>
  <si>
    <t>IP-1979</t>
  </si>
  <si>
    <t>IP-1980</t>
  </si>
  <si>
    <t>IP-1981</t>
  </si>
  <si>
    <t>IP-1982</t>
  </si>
  <si>
    <t>IP-1983</t>
  </si>
  <si>
    <t>IP-1984</t>
  </si>
  <si>
    <t>IP-1985</t>
  </si>
  <si>
    <t>IP-1986</t>
  </si>
  <si>
    <t>IP-1987</t>
  </si>
  <si>
    <t>IP-1988</t>
  </si>
  <si>
    <t>IP-1989</t>
  </si>
  <si>
    <t>IP-1990</t>
  </si>
  <si>
    <t>IP-1991</t>
  </si>
  <si>
    <t>IP-1992</t>
  </si>
  <si>
    <t>IP-1993</t>
  </si>
  <si>
    <t>IP-1994</t>
  </si>
  <si>
    <t>IP-1995</t>
  </si>
  <si>
    <t>IP-1996</t>
  </si>
  <si>
    <t>IP-1997</t>
  </si>
  <si>
    <t>IP-1998</t>
  </si>
  <si>
    <t>IP-1999</t>
  </si>
  <si>
    <t>IP-2000</t>
  </si>
  <si>
    <t>IP-2001</t>
  </si>
  <si>
    <t>IP-2002</t>
  </si>
  <si>
    <t>IP-2003</t>
  </si>
  <si>
    <t>IP-2004</t>
  </si>
  <si>
    <t>IP-2005</t>
  </si>
  <si>
    <t>IP-2006</t>
  </si>
  <si>
    <t>IP-2007</t>
  </si>
  <si>
    <t>IP-2008</t>
  </si>
  <si>
    <t>IP-2009</t>
  </si>
  <si>
    <t>IP-2010</t>
  </si>
  <si>
    <t>IP-2011</t>
  </si>
  <si>
    <t>IP-2012</t>
  </si>
  <si>
    <t>IP-2013</t>
  </si>
  <si>
    <t>IP-2014</t>
  </si>
  <si>
    <t>IP-2015</t>
  </si>
  <si>
    <t>IP-2016</t>
  </si>
  <si>
    <t>IP-2017</t>
  </si>
  <si>
    <t>IP-2018</t>
  </si>
  <si>
    <t>IP-2019</t>
  </si>
  <si>
    <t>IP-2020</t>
  </si>
  <si>
    <t>IP-2021</t>
  </si>
  <si>
    <t>IP-2022</t>
  </si>
  <si>
    <t>IP-2023</t>
  </si>
  <si>
    <t>IP-2024</t>
  </si>
  <si>
    <t>IP-2025</t>
  </si>
  <si>
    <t>IP-2026</t>
  </si>
  <si>
    <t>IP-2027</t>
  </si>
  <si>
    <t>IP-2028</t>
  </si>
  <si>
    <t>IP-2029</t>
  </si>
  <si>
    <t>IP-2030</t>
  </si>
  <si>
    <t>IP-2031</t>
  </si>
  <si>
    <t>IP-2032</t>
  </si>
  <si>
    <t>EG07-4344</t>
  </si>
  <si>
    <t>EG03-0174</t>
  </si>
  <si>
    <t>EG07-0409</t>
  </si>
  <si>
    <t>EG03-0175</t>
  </si>
  <si>
    <t>EG07-4355</t>
  </si>
  <si>
    <t>EG03-2236</t>
  </si>
  <si>
    <t>EG07-0410</t>
  </si>
  <si>
    <t>EG03-2237</t>
  </si>
  <si>
    <t>EG07-0411</t>
  </si>
  <si>
    <t>EG03-0087</t>
  </si>
  <si>
    <t>EG07-4374</t>
  </si>
  <si>
    <t>EG03-0086</t>
  </si>
  <si>
    <t>IP-2033</t>
  </si>
  <si>
    <t>IP-2034</t>
  </si>
  <si>
    <t>IP-2035</t>
  </si>
  <si>
    <t>IP-2036</t>
  </si>
  <si>
    <t>IP-2037</t>
  </si>
  <si>
    <t>IP-2038</t>
  </si>
  <si>
    <t>IP-2039</t>
  </si>
  <si>
    <t>IP-2040</t>
  </si>
  <si>
    <t>IP-2041</t>
  </si>
  <si>
    <t>IP-2042</t>
  </si>
  <si>
    <t>GRANEL</t>
  </si>
  <si>
    <t>EG07-0027</t>
  </si>
  <si>
    <t>EG03-0046</t>
  </si>
  <si>
    <t>Por error en la formula se puso $120 de maquila</t>
  </si>
  <si>
    <t>Por error en la formula se puso $80 de maquila</t>
  </si>
  <si>
    <t>EG07-4389</t>
  </si>
  <si>
    <t>EG03-0090</t>
  </si>
  <si>
    <t>EG07-0066</t>
  </si>
  <si>
    <t>0001-0090</t>
  </si>
  <si>
    <t>EG07-4379</t>
  </si>
  <si>
    <t>EG03-158</t>
  </si>
  <si>
    <t>EG03-0088</t>
  </si>
  <si>
    <t>EG07-0067</t>
  </si>
  <si>
    <t>EG03-0400</t>
  </si>
  <si>
    <t>EG07-0136</t>
  </si>
  <si>
    <t>EG07-0414</t>
  </si>
  <si>
    <t>EG03-1686</t>
  </si>
  <si>
    <t>EG07-4415</t>
  </si>
  <si>
    <t>EG03-1685</t>
  </si>
  <si>
    <t>EG07-0137</t>
  </si>
  <si>
    <t>EG03-2447</t>
  </si>
  <si>
    <t>EG03-0401</t>
  </si>
  <si>
    <t>EG07-0168</t>
  </si>
  <si>
    <t>EG03-0374</t>
  </si>
  <si>
    <t>EG07-0028</t>
  </si>
  <si>
    <t>EG03-0684</t>
  </si>
  <si>
    <t>IP-2043</t>
  </si>
  <si>
    <t>IP-2044</t>
  </si>
  <si>
    <t>IP-2045</t>
  </si>
  <si>
    <t>IP-2046</t>
  </si>
  <si>
    <t>IP-2047</t>
  </si>
  <si>
    <t>IP-2048</t>
  </si>
  <si>
    <t>IP-2049</t>
  </si>
  <si>
    <t>IP-2050</t>
  </si>
  <si>
    <t>IP-2051</t>
  </si>
  <si>
    <t>IP-2052</t>
  </si>
  <si>
    <t>IP-2053</t>
  </si>
  <si>
    <t>IP-2054</t>
  </si>
  <si>
    <t>IP-2055</t>
  </si>
  <si>
    <t>IP-2056</t>
  </si>
  <si>
    <t>IP-2057</t>
  </si>
  <si>
    <t>IP-2058</t>
  </si>
  <si>
    <t>ATAUCUSI ARIAS FRANK PAOLO</t>
  </si>
  <si>
    <t>RETAMOZO ARIAS KARINA JUDITH</t>
  </si>
  <si>
    <t>Karina Retamozo</t>
  </si>
  <si>
    <t>IP-2059</t>
  </si>
  <si>
    <t>IP-2060</t>
  </si>
  <si>
    <t>IP-2061</t>
  </si>
  <si>
    <t>EG07-4429</t>
  </si>
  <si>
    <t>IP-2062</t>
  </si>
  <si>
    <t>IP-2063</t>
  </si>
  <si>
    <t>EG07-100</t>
  </si>
  <si>
    <t>EG03-364</t>
  </si>
  <si>
    <t>IP-2064</t>
  </si>
  <si>
    <t>IP-2065</t>
  </si>
  <si>
    <t>IP-2066</t>
  </si>
  <si>
    <t>IP-2067</t>
  </si>
  <si>
    <t>IP-2068</t>
  </si>
  <si>
    <t>IP-2069</t>
  </si>
  <si>
    <t>IP-2070</t>
  </si>
  <si>
    <t>IP-2071</t>
  </si>
  <si>
    <t>IP-2072</t>
  </si>
  <si>
    <t>IP-2073</t>
  </si>
  <si>
    <t>IP-2074</t>
  </si>
  <si>
    <t>IP-2075</t>
  </si>
  <si>
    <t>IP-2076</t>
  </si>
  <si>
    <t>IP-2077</t>
  </si>
  <si>
    <t>IP-2078</t>
  </si>
  <si>
    <t>IP-2079</t>
  </si>
  <si>
    <t>IP-2080</t>
  </si>
  <si>
    <t>IP-2081</t>
  </si>
  <si>
    <t>IP-2082</t>
  </si>
  <si>
    <t>IP-2083</t>
  </si>
  <si>
    <t>IP-2084</t>
  </si>
  <si>
    <t>IP-2085</t>
  </si>
  <si>
    <t>IP-2086</t>
  </si>
  <si>
    <t>IP-2087</t>
  </si>
  <si>
    <t>CORPORACIÓN SANTA NANCY E.I.R.L.</t>
  </si>
  <si>
    <t>EG07-0086</t>
  </si>
  <si>
    <t xml:space="preserve">EG03-0081 </t>
  </si>
  <si>
    <t>EG07-0087</t>
  </si>
  <si>
    <t>EG03-0082</t>
  </si>
  <si>
    <t>EG07-0052</t>
  </si>
  <si>
    <t>V002-0187</t>
  </si>
  <si>
    <t>EG07-4498</t>
  </si>
  <si>
    <t>EG03-3207</t>
  </si>
  <si>
    <t>EG07-0421</t>
  </si>
  <si>
    <t>EG03-3205</t>
  </si>
  <si>
    <t>EG03-0623</t>
  </si>
  <si>
    <t>EG07-0389</t>
  </si>
  <si>
    <t>ANÁLISIS CAMPAÑA 28– Au</t>
  </si>
  <si>
    <t>Renzo</t>
  </si>
  <si>
    <t>ANÁLISIS CAMPAÑA 28 – Ag</t>
  </si>
  <si>
    <t>IP-2088</t>
  </si>
  <si>
    <t>IP-2089</t>
  </si>
  <si>
    <t>IP-2090</t>
  </si>
  <si>
    <t>IP-2091</t>
  </si>
  <si>
    <t>IP-2092</t>
  </si>
  <si>
    <t>IP-2093</t>
  </si>
  <si>
    <t>IP-2094</t>
  </si>
  <si>
    <t>IP-2095</t>
  </si>
  <si>
    <t>IP-2096</t>
  </si>
  <si>
    <t>IP-2097</t>
  </si>
  <si>
    <t>IP-2098</t>
  </si>
  <si>
    <t>IP-2099</t>
  </si>
  <si>
    <t>IP-2100</t>
  </si>
  <si>
    <t>SIN ACOPIO</t>
  </si>
  <si>
    <t>EG07-0069</t>
  </si>
  <si>
    <t>EG03-0411</t>
  </si>
  <si>
    <t>EG07-0030</t>
  </si>
  <si>
    <t>EG03-0048</t>
  </si>
  <si>
    <t>EG07-0145</t>
  </si>
  <si>
    <t>EG03-1005</t>
  </si>
  <si>
    <t>IP-2101</t>
  </si>
  <si>
    <t>IP-2102</t>
  </si>
  <si>
    <t>IP-2103</t>
  </si>
  <si>
    <t>IP-2104</t>
  </si>
  <si>
    <t>IP-2105</t>
  </si>
  <si>
    <t>IP-2106</t>
  </si>
  <si>
    <t>IP-2107</t>
  </si>
  <si>
    <t>IP-2108</t>
  </si>
  <si>
    <t>IP-2109</t>
  </si>
  <si>
    <t>IP-2110</t>
  </si>
  <si>
    <t>IP-2111</t>
  </si>
  <si>
    <t>IP-2112</t>
  </si>
  <si>
    <t>IP-2113</t>
  </si>
  <si>
    <t>IP-2114</t>
  </si>
  <si>
    <t>IP-2115</t>
  </si>
  <si>
    <t>IP-2116</t>
  </si>
  <si>
    <t>IP-2117</t>
  </si>
  <si>
    <t>IP-2118</t>
  </si>
  <si>
    <t>IP-2119</t>
  </si>
  <si>
    <t>IP-2120</t>
  </si>
  <si>
    <t>IP-2121</t>
  </si>
  <si>
    <t>IP-2122</t>
  </si>
  <si>
    <t>IP-2123</t>
  </si>
  <si>
    <t>EG07-0071</t>
  </si>
  <si>
    <t>EG03-0415</t>
  </si>
  <si>
    <t>EG07-0116</t>
  </si>
  <si>
    <t>EG03-0375</t>
  </si>
  <si>
    <t>ATAUCUSI ARIAS FRANK PAOLO.</t>
  </si>
  <si>
    <t>Martin</t>
  </si>
  <si>
    <t>EG07-0176</t>
  </si>
  <si>
    <t>EG03-0465</t>
  </si>
  <si>
    <t>10486077447,</t>
  </si>
  <si>
    <t>EG07-4546</t>
  </si>
  <si>
    <t>0001-0534</t>
  </si>
  <si>
    <t>EG07-0426</t>
  </si>
  <si>
    <t>0001-0535</t>
  </si>
  <si>
    <t>EG07-4547</t>
  </si>
  <si>
    <t>EG03-0340</t>
  </si>
  <si>
    <t>EG07-0121</t>
  </si>
  <si>
    <t>0002-4023</t>
  </si>
  <si>
    <t>IP-2124</t>
  </si>
  <si>
    <t>IP-2125</t>
  </si>
  <si>
    <t>IP-2126</t>
  </si>
  <si>
    <t>IP-2127</t>
  </si>
  <si>
    <t>IP-2128</t>
  </si>
  <si>
    <t>IP-2129</t>
  </si>
  <si>
    <t>IP-2130</t>
  </si>
  <si>
    <t>IP-2131</t>
  </si>
  <si>
    <t>IP-2132</t>
  </si>
  <si>
    <t>IP-2133</t>
  </si>
  <si>
    <t>IP-2134</t>
  </si>
  <si>
    <t>IP-2135</t>
  </si>
  <si>
    <t>IP-2136</t>
  </si>
  <si>
    <t>IP-2137</t>
  </si>
  <si>
    <t>IP-2138</t>
  </si>
  <si>
    <t>IP-2139</t>
  </si>
  <si>
    <t>IP-2140</t>
  </si>
  <si>
    <t>IP-2141</t>
  </si>
  <si>
    <t>IP-2142</t>
  </si>
  <si>
    <t>IP-2143</t>
  </si>
  <si>
    <t>IP-2144</t>
  </si>
  <si>
    <t>IP-2145</t>
  </si>
  <si>
    <t>IP-2146</t>
  </si>
  <si>
    <t>IP-2147</t>
  </si>
  <si>
    <t>IP-2148</t>
  </si>
  <si>
    <t>IP-2149</t>
  </si>
  <si>
    <t>IP-2150</t>
  </si>
  <si>
    <t>IP-2151</t>
  </si>
  <si>
    <t>IP-2152</t>
  </si>
  <si>
    <t>IP-2153</t>
  </si>
  <si>
    <t>IP-2154</t>
  </si>
  <si>
    <t>IP-2155</t>
  </si>
  <si>
    <t>IP-2156</t>
  </si>
  <si>
    <t>IP-2157</t>
  </si>
  <si>
    <t>IP-2158</t>
  </si>
  <si>
    <t>IP-2159</t>
  </si>
  <si>
    <t>IP-2160</t>
  </si>
  <si>
    <t>IP-2161</t>
  </si>
  <si>
    <t>IP-2162</t>
  </si>
  <si>
    <t>IP-2163</t>
  </si>
  <si>
    <t>IP-2164</t>
  </si>
  <si>
    <t>IP-2165</t>
  </si>
  <si>
    <t>IP-2166</t>
  </si>
  <si>
    <t>IP-2167</t>
  </si>
  <si>
    <t>IP-2168</t>
  </si>
  <si>
    <t>IP-2169</t>
  </si>
  <si>
    <t>IP-2170</t>
  </si>
  <si>
    <t>EG07-0070</t>
  </si>
  <si>
    <t>EG07-0122</t>
  </si>
  <si>
    <t>0002-4025</t>
  </si>
  <si>
    <t>EG07-0032</t>
  </si>
  <si>
    <t>EG03-0112</t>
  </si>
  <si>
    <t>EG07-4579</t>
  </si>
  <si>
    <t>EG03-0119</t>
  </si>
  <si>
    <t>EG07-0146</t>
  </si>
  <si>
    <t>EG03-0006</t>
  </si>
  <si>
    <t>EG07-0177</t>
  </si>
  <si>
    <t>EG03-0167</t>
  </si>
  <si>
    <t>EG03-0027</t>
  </si>
  <si>
    <t>EG07-4583</t>
  </si>
  <si>
    <t>EG07-4584</t>
  </si>
  <si>
    <t>EG07-0427</t>
  </si>
  <si>
    <t>EG07-4607</t>
  </si>
  <si>
    <t>EG03-0047</t>
  </si>
  <si>
    <t>Total C-28</t>
  </si>
  <si>
    <t>Saldo C-27</t>
  </si>
  <si>
    <t>tk 2 en tanques</t>
  </si>
  <si>
    <t>tk 3 en tanques</t>
  </si>
  <si>
    <t>Saldo</t>
  </si>
  <si>
    <t>tk1 carbon piso</t>
  </si>
  <si>
    <t>*El profit es negativo pero es compensado con el profit del IP2116 ya que por tonelaje es mayor la ganacia, se acpto el promedio para poder cerrar negociacion con cliente.</t>
  </si>
  <si>
    <t>IP-2171</t>
  </si>
  <si>
    <t>IP-2172</t>
  </si>
  <si>
    <t>IP-2173</t>
  </si>
  <si>
    <t>IP-2174</t>
  </si>
  <si>
    <t>IP-2175</t>
  </si>
  <si>
    <t>IP-2176</t>
  </si>
  <si>
    <t>IP-2177</t>
  </si>
  <si>
    <t>EG07-0073</t>
  </si>
  <si>
    <t>EG03-0150</t>
  </si>
  <si>
    <t>EG03-0033</t>
  </si>
  <si>
    <t>EG03-0151</t>
  </si>
  <si>
    <t>IP-2178</t>
  </si>
  <si>
    <t>IP-2179</t>
  </si>
  <si>
    <t>EG03-0555</t>
  </si>
  <si>
    <t>IP-2180</t>
  </si>
  <si>
    <t>IP-2181</t>
  </si>
  <si>
    <t>IP-2182</t>
  </si>
  <si>
    <t>IP-2183</t>
  </si>
  <si>
    <t>IP-2184</t>
  </si>
  <si>
    <t>IP-2185</t>
  </si>
  <si>
    <t>IP-2186</t>
  </si>
  <si>
    <t>IP-2187</t>
  </si>
  <si>
    <t>IP-2188</t>
  </si>
  <si>
    <t>IP-2189</t>
  </si>
  <si>
    <t>IP-2190</t>
  </si>
  <si>
    <t>IP-2191</t>
  </si>
  <si>
    <t>IP-2192</t>
  </si>
  <si>
    <t>IP-2193</t>
  </si>
  <si>
    <t>IP-2194</t>
  </si>
  <si>
    <t>IP-2195</t>
  </si>
  <si>
    <t>EG07-4643</t>
  </si>
  <si>
    <t>EG03-7252</t>
  </si>
  <si>
    <t>EG07-4669</t>
  </si>
  <si>
    <t>EG03-7279</t>
  </si>
  <si>
    <t>EG07-0147</t>
  </si>
  <si>
    <t>EG03-3304</t>
  </si>
  <si>
    <t>*A solicitud del minero se liquidó con ley planta que es mas alta que la ley de remuestreo</t>
  </si>
  <si>
    <t>IP-2196</t>
  </si>
  <si>
    <t>IP-2197</t>
  </si>
  <si>
    <t>IP-2198</t>
  </si>
  <si>
    <t>IP-2199</t>
  </si>
  <si>
    <t>IP-2200</t>
  </si>
  <si>
    <t>IP-2201</t>
  </si>
  <si>
    <t>IP-2202</t>
  </si>
  <si>
    <t>IP-2203</t>
  </si>
  <si>
    <t>EG07-0016</t>
  </si>
  <si>
    <t>EG03-0053</t>
  </si>
  <si>
    <t>IP-2204</t>
  </si>
  <si>
    <t>IP-2205</t>
  </si>
  <si>
    <t>IP-2206</t>
  </si>
  <si>
    <t>IP-2207</t>
  </si>
  <si>
    <t>IP-2208</t>
  </si>
  <si>
    <t>IP-2209</t>
  </si>
  <si>
    <t>IP-2210</t>
  </si>
  <si>
    <t>IP-2211</t>
  </si>
  <si>
    <t>IP-2212</t>
  </si>
  <si>
    <t>IP-2213</t>
  </si>
  <si>
    <t>IP-2214</t>
  </si>
  <si>
    <t>IP-2215</t>
  </si>
  <si>
    <t>IP-2216</t>
  </si>
  <si>
    <t>IP-2217</t>
  </si>
  <si>
    <t>IP-2220</t>
  </si>
  <si>
    <t>IP-2221</t>
  </si>
  <si>
    <t>IP-2222</t>
  </si>
  <si>
    <t>IP-2223</t>
  </si>
  <si>
    <t>IP-2224</t>
  </si>
  <si>
    <t>IP-2225</t>
  </si>
  <si>
    <t>IP-2226</t>
  </si>
  <si>
    <t>IP-2227</t>
  </si>
  <si>
    <t>IP-2228</t>
  </si>
  <si>
    <t>IP-2229</t>
  </si>
  <si>
    <t>IP-2218</t>
  </si>
  <si>
    <t>IP-2219</t>
  </si>
  <si>
    <t>EG07-4701</t>
  </si>
  <si>
    <t>EG07-0433</t>
  </si>
  <si>
    <t>EG07-4702</t>
  </si>
  <si>
    <t>EG03-0056</t>
  </si>
  <si>
    <t>EG07-0077</t>
  </si>
  <si>
    <t>EG04-0065</t>
  </si>
  <si>
    <t>EG07-4731</t>
  </si>
  <si>
    <t>EG07-0437</t>
  </si>
  <si>
    <t>EG03-0074</t>
  </si>
  <si>
    <t>EG07-0078</t>
  </si>
  <si>
    <t>EG03-0094</t>
  </si>
  <si>
    <t>ANÁLISIS CAMPAÑA 29– Au</t>
  </si>
  <si>
    <t>ANÁLISIS CAMPAÑA 29 – Ag</t>
  </si>
  <si>
    <t>ANÁLISIS CAMPAÑA 30 – Ag</t>
  </si>
  <si>
    <t>ANÁLISIS CAMPAÑA 30– Au</t>
  </si>
  <si>
    <t>IP-2230</t>
  </si>
  <si>
    <t>IP-2231</t>
  </si>
  <si>
    <t>IP-2232</t>
  </si>
  <si>
    <t>IP-2233</t>
  </si>
  <si>
    <t>IP-2234</t>
  </si>
  <si>
    <t>IP-2235</t>
  </si>
  <si>
    <t>IP-2236</t>
  </si>
  <si>
    <t>IP-2237</t>
  </si>
  <si>
    <t>IP-2238</t>
  </si>
  <si>
    <t>IP-2239</t>
  </si>
  <si>
    <t>IP-2240</t>
  </si>
  <si>
    <t>IP-2241</t>
  </si>
  <si>
    <t>IP-2242</t>
  </si>
  <si>
    <t>IP-2243</t>
  </si>
  <si>
    <t>IP-2244</t>
  </si>
  <si>
    <t>IP-2245</t>
  </si>
  <si>
    <t>IP-2246</t>
  </si>
  <si>
    <t>IP-2247</t>
  </si>
  <si>
    <t>IP-2248</t>
  </si>
  <si>
    <t>MINERA CHAMACKA E.I.R.L.</t>
  </si>
  <si>
    <t xml:space="preserve">Dante </t>
  </si>
  <si>
    <t>Total C-29</t>
  </si>
  <si>
    <t>Saldo C-28</t>
  </si>
  <si>
    <t>EG07-4772</t>
  </si>
  <si>
    <t>EG03-3318</t>
  </si>
  <si>
    <t>EG07-0438</t>
  </si>
  <si>
    <t>EG03-3319</t>
  </si>
  <si>
    <t>EG07-0208</t>
  </si>
  <si>
    <t>EG03-0865</t>
  </si>
  <si>
    <t>EG07-0140</t>
  </si>
  <si>
    <t>EG07-0181</t>
  </si>
  <si>
    <t>EG03-0477</t>
  </si>
  <si>
    <t>EG07-0143</t>
  </si>
  <si>
    <t>EG03-0393</t>
  </si>
  <si>
    <t>EG07-0018</t>
  </si>
  <si>
    <t>EG03-0054</t>
  </si>
  <si>
    <t>EG07-4781</t>
  </si>
  <si>
    <t>EG03-2576</t>
  </si>
  <si>
    <t>EG03-0658</t>
  </si>
  <si>
    <t>EG07-0440</t>
  </si>
  <si>
    <t>EG03-2577</t>
  </si>
  <si>
    <t>IP-2249</t>
  </si>
  <si>
    <t>IP-2250</t>
  </si>
  <si>
    <t>IP-2251</t>
  </si>
  <si>
    <t>IP-2252</t>
  </si>
  <si>
    <t>IP-2253</t>
  </si>
  <si>
    <t>IP-2254</t>
  </si>
  <si>
    <t>IP-2255</t>
  </si>
  <si>
    <t>IP-2256</t>
  </si>
  <si>
    <t>IP-2257</t>
  </si>
  <si>
    <t>IP-2258</t>
  </si>
  <si>
    <t>0002-3130</t>
  </si>
  <si>
    <t>Ley promedio, perdimo en el promedio</t>
  </si>
  <si>
    <t>Volado</t>
  </si>
  <si>
    <t>Valorizacion</t>
  </si>
  <si>
    <t>IP-2259</t>
  </si>
  <si>
    <t>IP-2260</t>
  </si>
  <si>
    <t>IP-2261</t>
  </si>
  <si>
    <t>IP-2262</t>
  </si>
  <si>
    <t>IP-2263</t>
  </si>
  <si>
    <t>IP-2264</t>
  </si>
  <si>
    <t>INV STEFANY EIRL</t>
  </si>
  <si>
    <t>*se suben las recuperaciones y se pone gasto escondido para compensar</t>
  </si>
  <si>
    <t>IP-2265</t>
  </si>
  <si>
    <t>IP-2266</t>
  </si>
  <si>
    <t>IP-2267</t>
  </si>
  <si>
    <t>IP-2268</t>
  </si>
  <si>
    <t>IP-2269</t>
  </si>
  <si>
    <t>IP-2270</t>
  </si>
  <si>
    <t>IP-2271</t>
  </si>
  <si>
    <t>IP-2272</t>
  </si>
  <si>
    <t>IP-2273</t>
  </si>
  <si>
    <t>IP-2274</t>
  </si>
  <si>
    <t>IP-2275</t>
  </si>
  <si>
    <t>ANÁLISIS CAMPAÑA 31– Au</t>
  </si>
  <si>
    <t>ANÁLISIS CAMPAÑA 31 – Ag</t>
  </si>
  <si>
    <t>EG03-0005</t>
  </si>
  <si>
    <t>EG07-0404</t>
  </si>
  <si>
    <t>Alfred Torres  *</t>
  </si>
  <si>
    <t>Tenemos problemas con este cliente, vamos a subir el decuento de ley</t>
  </si>
  <si>
    <t>tk1 C-29</t>
  </si>
  <si>
    <t>tk 2 en tk C-29</t>
  </si>
  <si>
    <t>tk 3 en tk C-29</t>
  </si>
  <si>
    <t>IP-2276</t>
  </si>
  <si>
    <t>IP-2277</t>
  </si>
  <si>
    <t>IP-2278</t>
  </si>
  <si>
    <t>IP-2279</t>
  </si>
  <si>
    <t>IP-2280</t>
  </si>
  <si>
    <t>IP-2281</t>
  </si>
  <si>
    <t>IP-2282</t>
  </si>
  <si>
    <t>IP-2283</t>
  </si>
  <si>
    <t>IP-2284</t>
  </si>
  <si>
    <t>IP-2285</t>
  </si>
  <si>
    <t>IP-2286</t>
  </si>
  <si>
    <t>IP-2287</t>
  </si>
  <si>
    <t>IP-2288</t>
  </si>
  <si>
    <t>IP-2289</t>
  </si>
  <si>
    <t>IP-2290</t>
  </si>
  <si>
    <t>IP-2291</t>
  </si>
  <si>
    <t>IP-2292</t>
  </si>
  <si>
    <t>IP-2293</t>
  </si>
  <si>
    <t>IP-2294</t>
  </si>
  <si>
    <t>IP-2295</t>
  </si>
  <si>
    <t>IP-2296</t>
  </si>
  <si>
    <t>IP-2297</t>
  </si>
  <si>
    <t>IP-2298</t>
  </si>
  <si>
    <t>EG07-0154</t>
  </si>
  <si>
    <t>EG03-0673</t>
  </si>
  <si>
    <t>EG07-0149</t>
  </si>
  <si>
    <t>EG03-0675</t>
  </si>
  <si>
    <t>EG07-0151</t>
  </si>
  <si>
    <t>EG03-0255</t>
  </si>
  <si>
    <t>EG07-0152</t>
  </si>
  <si>
    <t>0002-3133</t>
  </si>
  <si>
    <t>EG07-0079</t>
  </si>
  <si>
    <t>EG03-0438</t>
  </si>
  <si>
    <t>EG03-0268</t>
  </si>
  <si>
    <t>EG03-0440</t>
  </si>
  <si>
    <t>EG07-0153</t>
  </si>
  <si>
    <t>EG07-4842</t>
  </si>
  <si>
    <t>EG03-0156</t>
  </si>
  <si>
    <t>IP-2299</t>
  </si>
  <si>
    <t>IP-2300</t>
  </si>
  <si>
    <t>IP-2301</t>
  </si>
  <si>
    <t>IP-2302</t>
  </si>
  <si>
    <t>IP-2303</t>
  </si>
  <si>
    <t>IP-2304</t>
  </si>
  <si>
    <t>IP-2305</t>
  </si>
  <si>
    <t>IP-2306</t>
  </si>
  <si>
    <t>IP-2307</t>
  </si>
  <si>
    <t>IP-2308</t>
  </si>
  <si>
    <t>IP-2309</t>
  </si>
  <si>
    <t>IP-2310</t>
  </si>
  <si>
    <t>IP-2311</t>
  </si>
  <si>
    <t>IP-2312</t>
  </si>
  <si>
    <t>IP-2313</t>
  </si>
  <si>
    <t>IP-2314</t>
  </si>
  <si>
    <t>IP-2315</t>
  </si>
  <si>
    <t>IP-2316</t>
  </si>
  <si>
    <t>IP-2317</t>
  </si>
  <si>
    <t>IP-2318</t>
  </si>
  <si>
    <t>IP-2319</t>
  </si>
  <si>
    <t>IP-2320</t>
  </si>
  <si>
    <t>IP-2321</t>
  </si>
  <si>
    <t>IP-2322</t>
  </si>
  <si>
    <t>IP-2323</t>
  </si>
  <si>
    <t>IP-2324</t>
  </si>
  <si>
    <t>IP-2325</t>
  </si>
  <si>
    <t>IP-2326</t>
  </si>
  <si>
    <t>IP-2327</t>
  </si>
  <si>
    <t>IP-2328</t>
  </si>
  <si>
    <t>IP-2329</t>
  </si>
  <si>
    <t>IP-2330</t>
  </si>
  <si>
    <t>IP-2331</t>
  </si>
  <si>
    <t>IP-2332</t>
  </si>
  <si>
    <t>IP-2333</t>
  </si>
  <si>
    <t>Total C-30</t>
  </si>
  <si>
    <t>Saldo C-29</t>
  </si>
  <si>
    <t>tk1 C-30</t>
  </si>
  <si>
    <t>tk 2 en tk C-30</t>
  </si>
  <si>
    <t>tk 3 en tk C-30</t>
  </si>
  <si>
    <t>IP-2334</t>
  </si>
  <si>
    <t>IP-2335</t>
  </si>
  <si>
    <t>IP-2336</t>
  </si>
  <si>
    <t>IP-2337</t>
  </si>
  <si>
    <t>IP-2338</t>
  </si>
  <si>
    <t>IP-2339</t>
  </si>
  <si>
    <t>INVERSIONES MAMA COCO E.I.R.L.</t>
  </si>
  <si>
    <t>IP-2340</t>
  </si>
  <si>
    <t>IP-2341</t>
  </si>
  <si>
    <t>IP-2342</t>
  </si>
  <si>
    <t>IP-2343</t>
  </si>
  <si>
    <t>IP-2344</t>
  </si>
  <si>
    <t>IP-2345</t>
  </si>
  <si>
    <t>IP-2346</t>
  </si>
  <si>
    <t>IP-2347</t>
  </si>
  <si>
    <t>IP-2348</t>
  </si>
  <si>
    <t>IP-2349</t>
  </si>
  <si>
    <t>IP-2350</t>
  </si>
  <si>
    <t>IP-2351</t>
  </si>
  <si>
    <t>EG03-0259</t>
  </si>
  <si>
    <t>EG07-0162</t>
  </si>
  <si>
    <t>EG03-0308</t>
  </si>
  <si>
    <t>EG07-0155</t>
  </si>
  <si>
    <t>0001-0136</t>
  </si>
  <si>
    <t>EG07-0213</t>
  </si>
  <si>
    <t>EG03-0017</t>
  </si>
  <si>
    <t>EG07-0163</t>
  </si>
  <si>
    <t>0002-3135</t>
  </si>
  <si>
    <t>EG07-0089</t>
  </si>
  <si>
    <t>EG03-0219</t>
  </si>
  <si>
    <t>EG07-0166</t>
  </si>
  <si>
    <t>0002-4028</t>
  </si>
  <si>
    <t>EG03-0251</t>
  </si>
  <si>
    <t>EG07-0093</t>
  </si>
  <si>
    <t>EG03-0180</t>
  </si>
  <si>
    <t>EG07-0094</t>
  </si>
  <si>
    <t>EG03-0181</t>
  </si>
  <si>
    <t xml:space="preserve"> Hoja de liquidación minerales auríferos</t>
  </si>
  <si>
    <t>IP-2352</t>
  </si>
  <si>
    <t>IP-2353</t>
  </si>
  <si>
    <t>IP-2354</t>
  </si>
  <si>
    <t>IP-2355</t>
  </si>
  <si>
    <t>IP-2356</t>
  </si>
  <si>
    <t>IP-2357</t>
  </si>
  <si>
    <t>IP-2358</t>
  </si>
  <si>
    <t>IP-2359</t>
  </si>
  <si>
    <t>IP-2360</t>
  </si>
  <si>
    <t>IP-2361</t>
  </si>
  <si>
    <t>IP-2362</t>
  </si>
  <si>
    <t>IP-2363</t>
  </si>
  <si>
    <t>IP-2364</t>
  </si>
  <si>
    <t>CRUCES CHIPANA CEFERINO EVARISTO</t>
  </si>
  <si>
    <t>CHOCCARE HUAMANI JULIO</t>
  </si>
  <si>
    <t>EG07-0459</t>
  </si>
  <si>
    <t>VVV1-0210</t>
  </si>
  <si>
    <t>EG07-0083</t>
  </si>
  <si>
    <t>EG03-108</t>
  </si>
  <si>
    <t>EG07-0084</t>
  </si>
  <si>
    <t>EG03-0567</t>
  </si>
  <si>
    <t>EG07-0005</t>
  </si>
  <si>
    <t>EG03-0304</t>
  </si>
  <si>
    <t>*se hizo dirimencia</t>
  </si>
  <si>
    <t>EG07-0170</t>
  </si>
  <si>
    <t>EG03-0001</t>
  </si>
  <si>
    <t>INFORME DE ENSAYO</t>
  </si>
  <si>
    <t>Cliente</t>
  </si>
  <si>
    <t>:</t>
  </si>
  <si>
    <t>Referencia</t>
  </si>
  <si>
    <t>Solicitud de Ensayo</t>
  </si>
  <si>
    <t>Cantidad</t>
  </si>
  <si>
    <t>Descripción</t>
  </si>
  <si>
    <t>Envase</t>
  </si>
  <si>
    <t>Fecha de Recepción</t>
  </si>
  <si>
    <t>DETALLE DEL INFORME</t>
  </si>
  <si>
    <t>SACOS X CARGA (400 sacos X 30TN)</t>
  </si>
  <si>
    <t>S/30 XTMH</t>
  </si>
  <si>
    <t>S/30 * TMH</t>
  </si>
  <si>
    <t>DEVOLUCION DE SACOS</t>
  </si>
  <si>
    <t>JAWASA I -APLAO-CASTILLA-AREQUIPA</t>
  </si>
  <si>
    <t>JULISSA VII-PULLO - PARINACOCHAS-AYACUCHO</t>
  </si>
  <si>
    <t>VANGUARDIA-HUANUHUANU-CARAVELI-AREQUIPA</t>
  </si>
  <si>
    <t>KORI APUS I - APLAO-CASTILLA-AREQUIPA</t>
  </si>
  <si>
    <t>IP-2365</t>
  </si>
  <si>
    <t>IP-2366</t>
  </si>
  <si>
    <t>IP-2367</t>
  </si>
  <si>
    <t>IP-2368</t>
  </si>
  <si>
    <t>IP-2369</t>
  </si>
  <si>
    <t>IP-2370</t>
  </si>
  <si>
    <t>IP-2371</t>
  </si>
  <si>
    <t>IP-2372</t>
  </si>
  <si>
    <t>IP-2373</t>
  </si>
  <si>
    <t>IP-2374</t>
  </si>
  <si>
    <t>IP-2375</t>
  </si>
  <si>
    <t>IP-2376</t>
  </si>
  <si>
    <t>IP-2377</t>
  </si>
  <si>
    <t>IP-2378</t>
  </si>
  <si>
    <t>* SE LE RESTÓ $8 A LA MAQUILA POR QUE EL MATERIAL VINO CHANCADO</t>
  </si>
  <si>
    <t>IP-2379</t>
  </si>
  <si>
    <t>IP-2380</t>
  </si>
  <si>
    <t>IP-2381</t>
  </si>
  <si>
    <t>IP-2382</t>
  </si>
  <si>
    <t>IP-2383</t>
  </si>
  <si>
    <t>IP-2384</t>
  </si>
  <si>
    <t>EG07-0172</t>
  </si>
  <si>
    <t>EG03-0003</t>
  </si>
  <si>
    <t>EG07-5000</t>
  </si>
  <si>
    <t>EG07-0452</t>
  </si>
  <si>
    <t>EG07-0215</t>
  </si>
  <si>
    <t>EG03-0020</t>
  </si>
  <si>
    <t>EG03-0004</t>
  </si>
  <si>
    <t>EG07-0217</t>
  </si>
  <si>
    <t>EG03-0021</t>
  </si>
  <si>
    <t>EG07-0099</t>
  </si>
  <si>
    <t>EG03-0204</t>
  </si>
  <si>
    <t>EG07-0179</t>
  </si>
  <si>
    <t>0002-4029</t>
  </si>
  <si>
    <t>EG07-0010</t>
  </si>
  <si>
    <t>EG03-0310</t>
  </si>
  <si>
    <t>EG03-0269</t>
  </si>
  <si>
    <t>*Se promedia diferencia de leyes desde 0.050 hasta 0.099 oz/Tc</t>
  </si>
  <si>
    <t>IP-2385</t>
  </si>
  <si>
    <t>IP-2386</t>
  </si>
  <si>
    <t>IP-2387</t>
  </si>
  <si>
    <t>IP-2388</t>
  </si>
  <si>
    <t>IP-2389</t>
  </si>
  <si>
    <t>IP-2390</t>
  </si>
  <si>
    <t>IP-2391</t>
  </si>
  <si>
    <t>IP-2392</t>
  </si>
  <si>
    <t>Total C-31</t>
  </si>
  <si>
    <t>Saldo C-30</t>
  </si>
  <si>
    <t>tk1 C-31</t>
  </si>
  <si>
    <t>tk 2 en tk C-31</t>
  </si>
  <si>
    <t>tk 3 en tk C-31</t>
  </si>
  <si>
    <t>Robinson</t>
  </si>
  <si>
    <t>Total C-27</t>
  </si>
  <si>
    <t>Saldo C-26</t>
  </si>
  <si>
    <t>tk1 C-27</t>
  </si>
  <si>
    <t>tk 2 en tk C-27</t>
  </si>
  <si>
    <t>tk 3 en tk C-27</t>
  </si>
  <si>
    <t>SABE LEER LIQUIDACION</t>
  </si>
  <si>
    <t>IP-2393</t>
  </si>
  <si>
    <t>IP-2394</t>
  </si>
  <si>
    <t>IP-2395</t>
  </si>
  <si>
    <t>EG07-0180</t>
  </si>
  <si>
    <t>0002-4031</t>
  </si>
  <si>
    <t>EG07-0012</t>
  </si>
  <si>
    <t>EG03-0311</t>
  </si>
  <si>
    <t>0002-4032</t>
  </si>
  <si>
    <t>EG07-5048</t>
  </si>
  <si>
    <t>EG03-143</t>
  </si>
  <si>
    <t>EG07-456</t>
  </si>
  <si>
    <t>EG03-144</t>
  </si>
  <si>
    <t>EG07-184</t>
  </si>
  <si>
    <t>EG03-005</t>
  </si>
  <si>
    <t>IP-2396</t>
  </si>
  <si>
    <t>IP-2397</t>
  </si>
  <si>
    <t>IP-2398</t>
  </si>
  <si>
    <t>IP-2399</t>
  </si>
  <si>
    <t>IP-2400</t>
  </si>
  <si>
    <t>IP-2401</t>
  </si>
  <si>
    <t>IP-2402</t>
  </si>
  <si>
    <t>IP-2403</t>
  </si>
  <si>
    <t>IP-2404</t>
  </si>
  <si>
    <t>IP-2405</t>
  </si>
  <si>
    <t>IP-2406</t>
  </si>
  <si>
    <t>IP-2407</t>
  </si>
  <si>
    <t>IP-2408</t>
  </si>
  <si>
    <t>IP-2409</t>
  </si>
  <si>
    <t>IP-2410</t>
  </si>
  <si>
    <t>IP-2411</t>
  </si>
  <si>
    <t>IP-2412</t>
  </si>
  <si>
    <t>IP-2413</t>
  </si>
  <si>
    <t>IP-2414</t>
  </si>
  <si>
    <t>IP-2415</t>
  </si>
  <si>
    <t>IP-2416</t>
  </si>
  <si>
    <t>IP-2417</t>
  </si>
  <si>
    <t>EG07-5061</t>
  </si>
  <si>
    <t>EG03-3437</t>
  </si>
  <si>
    <t>EG07-459</t>
  </si>
  <si>
    <t>EG03-3438</t>
  </si>
  <si>
    <t>EG03-3454</t>
  </si>
  <si>
    <t>EG07-0196</t>
  </si>
  <si>
    <t>Zudaire</t>
  </si>
  <si>
    <t>*SE HIZO DIRIMENCIA</t>
  </si>
  <si>
    <t>CONSORCIO MINERO RENACER DEL SUR E.I.R.L.*</t>
  </si>
  <si>
    <t>S/ 1 * SACO (carguio)</t>
  </si>
  <si>
    <t>20601769396*</t>
  </si>
  <si>
    <t>ANÁLISIS CAMPAÑA 32– Au</t>
  </si>
  <si>
    <t>ANÁLISIS CAMPAÑA 32 – Ag</t>
  </si>
  <si>
    <t>IP-2418</t>
  </si>
  <si>
    <t>IP-2419</t>
  </si>
  <si>
    <t>IP-2420</t>
  </si>
  <si>
    <t>IP-2421</t>
  </si>
  <si>
    <t>IP-2422</t>
  </si>
  <si>
    <t>IP-2423</t>
  </si>
  <si>
    <t>IP-2424</t>
  </si>
  <si>
    <t>IP-2425</t>
  </si>
  <si>
    <t>IP-2426</t>
  </si>
  <si>
    <t>IP-2427</t>
  </si>
  <si>
    <t>IP-2428</t>
  </si>
  <si>
    <t>IP-2429</t>
  </si>
  <si>
    <t>EG07-0192</t>
  </si>
  <si>
    <t>EG03-0427</t>
  </si>
  <si>
    <t>EG07-0190</t>
  </si>
  <si>
    <t>0002-3145</t>
  </si>
  <si>
    <t>*EN LIQUIDACION APARACE RECUP 90 (NOMINAL)</t>
  </si>
  <si>
    <t>IP-2430</t>
  </si>
  <si>
    <t>IP-2431</t>
  </si>
  <si>
    <t>IP-2432</t>
  </si>
  <si>
    <t>IP-2433</t>
  </si>
  <si>
    <t>IP-2434</t>
  </si>
  <si>
    <t>EG03-0055</t>
  </si>
  <si>
    <t>EG07-5147</t>
  </si>
  <si>
    <t>EG03-0040</t>
  </si>
  <si>
    <t>EG07-0198</t>
  </si>
  <si>
    <t>0002-4038</t>
  </si>
  <si>
    <t>EG03-0453</t>
  </si>
  <si>
    <t>EG07-0158</t>
  </si>
  <si>
    <t>SE REPORTÓ AL 93% / SE HIZO DIRIMENCIA *EN LIQUIDACION APARACE RECUP 90 (NOMINAL)</t>
  </si>
  <si>
    <t>IP-2435</t>
  </si>
  <si>
    <t>IP-2436</t>
  </si>
  <si>
    <t>IP-2437</t>
  </si>
  <si>
    <t>IP-2438</t>
  </si>
  <si>
    <t>IP-2439</t>
  </si>
  <si>
    <t>IP-2440</t>
  </si>
  <si>
    <t>IP-2441</t>
  </si>
  <si>
    <t>IP-2442</t>
  </si>
  <si>
    <t>IP-2443</t>
  </si>
  <si>
    <t>IP-2444</t>
  </si>
  <si>
    <t>IP-2445</t>
  </si>
  <si>
    <t>IP-2446</t>
  </si>
  <si>
    <t>IP-2447</t>
  </si>
  <si>
    <t>IP-2448</t>
  </si>
  <si>
    <t>IP-2449</t>
  </si>
  <si>
    <t>IP-2450</t>
  </si>
  <si>
    <t>IP-2451</t>
  </si>
  <si>
    <t>IP-2452</t>
  </si>
  <si>
    <t>IP-2453</t>
  </si>
  <si>
    <t>IP-2454</t>
  </si>
  <si>
    <t>IP-2455</t>
  </si>
  <si>
    <t>IP-2456</t>
  </si>
  <si>
    <t>IP-2457</t>
  </si>
  <si>
    <t>IP-2458</t>
  </si>
  <si>
    <t>IP-2459</t>
  </si>
  <si>
    <t>IP-2460</t>
  </si>
  <si>
    <t>IP-2461</t>
  </si>
  <si>
    <t>IP-2462</t>
  </si>
  <si>
    <t>IP-2463</t>
  </si>
  <si>
    <t>IP-2464</t>
  </si>
  <si>
    <t>IP-2465</t>
  </si>
  <si>
    <t>IP-2466</t>
  </si>
  <si>
    <t>IP-2467</t>
  </si>
  <si>
    <t>IP-2468</t>
  </si>
  <si>
    <t>IP-2469</t>
  </si>
  <si>
    <t>IP-2470</t>
  </si>
  <si>
    <t>IP-2471</t>
  </si>
  <si>
    <t>IP-2472</t>
  </si>
  <si>
    <t>IP-2473</t>
  </si>
  <si>
    <t>IP-2474</t>
  </si>
  <si>
    <t>IP-2475</t>
  </si>
  <si>
    <t>IP-2476</t>
  </si>
  <si>
    <t>IP-2477</t>
  </si>
  <si>
    <t>IP-2478</t>
  </si>
  <si>
    <t>IP-2479</t>
  </si>
  <si>
    <t>IP-2480</t>
  </si>
  <si>
    <t>IP-2481</t>
  </si>
  <si>
    <t>IP-2482</t>
  </si>
  <si>
    <t>IP-2483</t>
  </si>
  <si>
    <t>IP-2484</t>
  </si>
  <si>
    <t>IP-2485</t>
  </si>
  <si>
    <t>IP-2486</t>
  </si>
  <si>
    <t>IP-2487</t>
  </si>
  <si>
    <t>IP-2488</t>
  </si>
  <si>
    <t>IP-2489</t>
  </si>
  <si>
    <t>IP-2490</t>
  </si>
  <si>
    <t>IP-2491</t>
  </si>
  <si>
    <t>EG03-0166</t>
  </si>
  <si>
    <t>EG07-0090</t>
  </si>
  <si>
    <t>0001-0096</t>
  </si>
  <si>
    <t>EG07-0203</t>
  </si>
  <si>
    <t>EG03-0429</t>
  </si>
  <si>
    <t>EG07-0204</t>
  </si>
  <si>
    <t>0002-4041</t>
  </si>
  <si>
    <t>EG07-0092</t>
  </si>
  <si>
    <t>EG03-0455</t>
  </si>
  <si>
    <t>EG07-0207</t>
  </si>
  <si>
    <t>EG03-0007</t>
  </si>
  <si>
    <t>EG07-0466</t>
  </si>
  <si>
    <t>EG03-0152</t>
  </si>
  <si>
    <t>EG07-5235</t>
  </si>
  <si>
    <t>EG03-0153</t>
  </si>
  <si>
    <t>EG07-0159</t>
  </si>
  <si>
    <t>EG03-3505</t>
  </si>
  <si>
    <t>EG03-0200</t>
  </si>
  <si>
    <t>EG07-0456</t>
  </si>
  <si>
    <t>EG07-5263</t>
  </si>
  <si>
    <t>EG03-0176</t>
  </si>
  <si>
    <t>EG07-5273</t>
  </si>
  <si>
    <t>0001-2284</t>
  </si>
  <si>
    <t>EG07-0095</t>
  </si>
  <si>
    <t>EG03-0569</t>
  </si>
  <si>
    <t>0001-2285</t>
  </si>
  <si>
    <t>EG07-0096</t>
  </si>
  <si>
    <t>EG03-0459</t>
  </si>
  <si>
    <t>0002-3147</t>
  </si>
  <si>
    <t>Saldo C-31</t>
  </si>
  <si>
    <t>Total C-32</t>
  </si>
  <si>
    <t>tk1 C-32</t>
  </si>
  <si>
    <t>tk 2 en tk C-32</t>
  </si>
  <si>
    <t>tk 3 en tk C-32</t>
  </si>
  <si>
    <t>IP-2492</t>
  </si>
  <si>
    <t>IP-2493</t>
  </si>
  <si>
    <t>IP-2494</t>
  </si>
  <si>
    <t>IP-2495</t>
  </si>
  <si>
    <t>IP-2496</t>
  </si>
  <si>
    <t>IP-2497</t>
  </si>
  <si>
    <t>IP-2498</t>
  </si>
  <si>
    <t>IP-2499</t>
  </si>
  <si>
    <t>IP-2500</t>
  </si>
  <si>
    <t>IP-2501</t>
  </si>
  <si>
    <t>IP-2502</t>
  </si>
  <si>
    <t>IP-2503</t>
  </si>
  <si>
    <t>IP-2504</t>
  </si>
  <si>
    <t>IP-2505</t>
  </si>
  <si>
    <t>IP-2506</t>
  </si>
  <si>
    <t>EG07-0160</t>
  </si>
  <si>
    <t>EG07-0098</t>
  </si>
  <si>
    <t>EG03-0206</t>
  </si>
  <si>
    <t>EG07-0209</t>
  </si>
  <si>
    <t>EG03-0008</t>
  </si>
  <si>
    <t>EG07-0471</t>
  </si>
  <si>
    <t>EG07-5276</t>
  </si>
  <si>
    <t>EG03-0199</t>
  </si>
  <si>
    <t>IP-2507</t>
  </si>
  <si>
    <t>IP-2508</t>
  </si>
  <si>
    <t>IP-2509</t>
  </si>
  <si>
    <t>EG07-0211</t>
  </si>
  <si>
    <t>EG03-0009</t>
  </si>
  <si>
    <t>IP-2510</t>
  </si>
  <si>
    <t>IP-2511</t>
  </si>
  <si>
    <t>IP-2512</t>
  </si>
  <si>
    <t>IP-2513</t>
  </si>
  <si>
    <t>IP-2514</t>
  </si>
  <si>
    <t>IP-2515</t>
  </si>
  <si>
    <t>IP-2516</t>
  </si>
  <si>
    <t>IP-2517</t>
  </si>
  <si>
    <t>IP-2518</t>
  </si>
  <si>
    <t>IP-2519</t>
  </si>
  <si>
    <t>IP-2520</t>
  </si>
  <si>
    <t>IP-2521</t>
  </si>
  <si>
    <t>IP-2522</t>
  </si>
  <si>
    <t>IP-2523</t>
  </si>
  <si>
    <t>IP-2524</t>
  </si>
  <si>
    <t>IP-2525</t>
  </si>
  <si>
    <t>IP-2526</t>
  </si>
  <si>
    <t>IP-2527</t>
  </si>
  <si>
    <t>IP-2528</t>
  </si>
  <si>
    <t>IP-2529</t>
  </si>
  <si>
    <t>IP-2530</t>
  </si>
  <si>
    <t>IP-2531</t>
  </si>
  <si>
    <t>IP-2532</t>
  </si>
  <si>
    <t>IP-2533</t>
  </si>
  <si>
    <t>IP-2534</t>
  </si>
  <si>
    <t>IP-2535</t>
  </si>
  <si>
    <t>*SE HIZO DIRIMENCIA EN ANALYTICA Y SE HACE CALCULO CON LEY DIRIMENTE</t>
  </si>
  <si>
    <t>ANÁLISIS CAMPAÑA 33– Au</t>
  </si>
  <si>
    <t>ANÁLISIS CAMPAÑA 34– Au</t>
  </si>
  <si>
    <t>EG03-0057</t>
  </si>
  <si>
    <t>EG03-7684</t>
  </si>
  <si>
    <t>EG03-0202</t>
  </si>
  <si>
    <t>EG07-0183</t>
  </si>
  <si>
    <t>EG03-1358</t>
  </si>
  <si>
    <t>EG07-0216</t>
  </si>
  <si>
    <t>EG03-0430</t>
  </si>
  <si>
    <t>IP-2536</t>
  </si>
  <si>
    <t>IP-2537</t>
  </si>
  <si>
    <t>IP-2538</t>
  </si>
  <si>
    <t>IP-2539</t>
  </si>
  <si>
    <t>CONCESION MINERO: COLONIA 1 - RIO GRANDE-CONDESUYOS-AREQUIPA</t>
  </si>
  <si>
    <t>IP-2540</t>
  </si>
  <si>
    <t>*SE HIZO DIRIMENCIA EN QUANTUM Y SE CALCULÓ CON LEY DIRIMENTE</t>
  </si>
  <si>
    <t>IP-2541</t>
  </si>
  <si>
    <t>IP-2542</t>
  </si>
  <si>
    <t>IP-2543</t>
  </si>
  <si>
    <t>IP-2544</t>
  </si>
  <si>
    <t>IP-2545</t>
  </si>
  <si>
    <t>IP-2546</t>
  </si>
  <si>
    <t>IP-2547</t>
  </si>
  <si>
    <t>IP-2548</t>
  </si>
  <si>
    <t>IP-2549</t>
  </si>
  <si>
    <t>IP-2550</t>
  </si>
  <si>
    <t>IP-2551</t>
  </si>
  <si>
    <t>Robinson Tuya</t>
  </si>
  <si>
    <t>IP-2552</t>
  </si>
  <si>
    <t>0001-2292</t>
  </si>
  <si>
    <t>EG07-0219</t>
  </si>
  <si>
    <t>EG03-0010</t>
  </si>
  <si>
    <t>EG07-0221</t>
  </si>
  <si>
    <t>EG03-7730</t>
  </si>
  <si>
    <t>EG07-0112</t>
  </si>
  <si>
    <t>EG03-0463</t>
  </si>
  <si>
    <t>0002-3150</t>
  </si>
  <si>
    <t>IP-2553</t>
  </si>
  <si>
    <t>IP-2554</t>
  </si>
  <si>
    <t>SABE LIQUIDAR</t>
  </si>
  <si>
    <t>ANÁLISIS CAMPAÑA 34 – Ag</t>
  </si>
  <si>
    <t>IP-2555</t>
  </si>
  <si>
    <t>IP-2556</t>
  </si>
  <si>
    <t>IP-2557</t>
  </si>
  <si>
    <t>IP-2558</t>
  </si>
  <si>
    <t>IP-2559</t>
  </si>
  <si>
    <t>IP-2560</t>
  </si>
  <si>
    <t>IP-2561</t>
  </si>
  <si>
    <t>IP-2562</t>
  </si>
  <si>
    <t>IP-2563</t>
  </si>
  <si>
    <t>IP-2564</t>
  </si>
  <si>
    <t>IP-2565</t>
  </si>
  <si>
    <t>IP-2566</t>
  </si>
  <si>
    <t>IP-2567</t>
  </si>
  <si>
    <t>IP-2568</t>
  </si>
  <si>
    <t>IP-2569</t>
  </si>
  <si>
    <t>IP-2570</t>
  </si>
  <si>
    <t>IP-2571</t>
  </si>
  <si>
    <t>IP-2572</t>
  </si>
  <si>
    <t>IP-2573</t>
  </si>
  <si>
    <t>IP-2574</t>
  </si>
  <si>
    <t>IP-2575</t>
  </si>
  <si>
    <t>IP-2576</t>
  </si>
  <si>
    <t>IP-2577</t>
  </si>
  <si>
    <t>IP-2578</t>
  </si>
  <si>
    <t>IP-2579</t>
  </si>
  <si>
    <t>IP-2580</t>
  </si>
  <si>
    <t>IP-2581</t>
  </si>
  <si>
    <t>IP-2582</t>
  </si>
  <si>
    <t>IP-2583</t>
  </si>
  <si>
    <t>IP-2584</t>
  </si>
  <si>
    <t>IP-2585</t>
  </si>
  <si>
    <t>IP-2586</t>
  </si>
  <si>
    <t>IP-2587</t>
  </si>
  <si>
    <t>EG07-0167</t>
  </si>
  <si>
    <t>EG03-0116</t>
  </si>
  <si>
    <t>EG07-5379</t>
  </si>
  <si>
    <t>EG03-0014</t>
  </si>
  <si>
    <t>EG07-0476</t>
  </si>
  <si>
    <t>EG03-0015</t>
  </si>
  <si>
    <t>EG03-0038</t>
  </si>
  <si>
    <t>EG03-0362</t>
  </si>
  <si>
    <t>EG07-0223</t>
  </si>
  <si>
    <t>0002-4049</t>
  </si>
  <si>
    <t>EG07-0477</t>
  </si>
  <si>
    <t>EG03-0148</t>
  </si>
  <si>
    <t>EG07-5396</t>
  </si>
  <si>
    <t>EG03-0149</t>
  </si>
  <si>
    <t>EG07-0224</t>
  </si>
  <si>
    <t>0002-4050</t>
  </si>
  <si>
    <t>IP-2588</t>
  </si>
  <si>
    <t>IP-2589</t>
  </si>
  <si>
    <t>IP-2590</t>
  </si>
  <si>
    <t>IP-2591</t>
  </si>
  <si>
    <t>IP-2592</t>
  </si>
  <si>
    <t>IP-2593</t>
  </si>
  <si>
    <t>IP-2594</t>
  </si>
  <si>
    <t>IP-2595</t>
  </si>
  <si>
    <t>IP-2596</t>
  </si>
  <si>
    <t>IP-2597</t>
  </si>
  <si>
    <t>IP-2598</t>
  </si>
  <si>
    <t>IP-2599</t>
  </si>
  <si>
    <t>IP-2600</t>
  </si>
  <si>
    <t>IP-2601</t>
  </si>
  <si>
    <t>IP-2602</t>
  </si>
  <si>
    <t>IP-2603</t>
  </si>
  <si>
    <t>IP-2604</t>
  </si>
  <si>
    <t>IP-2605</t>
  </si>
  <si>
    <t>IP-2606</t>
  </si>
  <si>
    <t>IP-2607</t>
  </si>
  <si>
    <t>IP-2608</t>
  </si>
  <si>
    <t>IP-2609</t>
  </si>
  <si>
    <t>IP-2610</t>
  </si>
  <si>
    <t>IP-2611</t>
  </si>
  <si>
    <t>IP-2612</t>
  </si>
  <si>
    <t>IP-2613</t>
  </si>
  <si>
    <t>IP-2614</t>
  </si>
  <si>
    <t>IP-2615</t>
  </si>
  <si>
    <t>IP-2616</t>
  </si>
  <si>
    <t>IP-2617</t>
  </si>
  <si>
    <t>IP-2618</t>
  </si>
  <si>
    <t>IP-2619</t>
  </si>
  <si>
    <t>IP-2620</t>
  </si>
  <si>
    <t>IP-2621</t>
  </si>
  <si>
    <t>IP-2622</t>
  </si>
  <si>
    <t>IP-2623</t>
  </si>
  <si>
    <t>IP-2624</t>
  </si>
  <si>
    <t>EG07-0171</t>
  </si>
  <si>
    <t>EG03-0062</t>
  </si>
  <si>
    <t>EG03-0728</t>
  </si>
  <si>
    <t>EG07-5406</t>
  </si>
  <si>
    <t>EG03-7761</t>
  </si>
  <si>
    <t>EG07-0114</t>
  </si>
  <si>
    <t>0001-0099</t>
  </si>
  <si>
    <t>EG07-0115</t>
  </si>
  <si>
    <t>IP-2625</t>
  </si>
  <si>
    <t>IP-2626</t>
  </si>
  <si>
    <t>IP-2627</t>
  </si>
  <si>
    <t>IP-2628</t>
  </si>
  <si>
    <t>IP-2629</t>
  </si>
  <si>
    <t>IP-2630</t>
  </si>
  <si>
    <t>IP-2631</t>
  </si>
  <si>
    <t>IP-2632</t>
  </si>
  <si>
    <t>IP-2633</t>
  </si>
  <si>
    <t>IP-2634</t>
  </si>
  <si>
    <t>IP-2635</t>
  </si>
  <si>
    <t>IP-2636</t>
  </si>
  <si>
    <t>IP-2637</t>
  </si>
  <si>
    <t>IP-2638</t>
  </si>
  <si>
    <t>IP-2639</t>
  </si>
  <si>
    <t>IP-2640</t>
  </si>
  <si>
    <t>IP-2641</t>
  </si>
  <si>
    <t>IP-2642</t>
  </si>
  <si>
    <t>IP-2643</t>
  </si>
  <si>
    <t>EG07-0110</t>
  </si>
  <si>
    <t>Total C-33</t>
  </si>
  <si>
    <t>tk 2 en tk C-33</t>
  </si>
  <si>
    <t>tk 3 en tk C-33</t>
  </si>
  <si>
    <t>Saldo C-32</t>
  </si>
  <si>
    <t>tk1 C-33</t>
  </si>
  <si>
    <t>IP-2644</t>
  </si>
  <si>
    <t>IP-2645</t>
  </si>
  <si>
    <t>IP-2646</t>
  </si>
  <si>
    <t>IP-2647</t>
  </si>
  <si>
    <t>IP-2648</t>
  </si>
  <si>
    <t>IP-2649</t>
  </si>
  <si>
    <t>IP-2650</t>
  </si>
  <si>
    <t>IP-2651</t>
  </si>
  <si>
    <t>IP-2652</t>
  </si>
  <si>
    <t>IP-2653</t>
  </si>
  <si>
    <t>IP-2654</t>
  </si>
  <si>
    <t>IP-2655</t>
  </si>
  <si>
    <t>IP-2656</t>
  </si>
  <si>
    <t>IP-2657</t>
  </si>
  <si>
    <t>IP-2658</t>
  </si>
  <si>
    <t>IP-2659</t>
  </si>
  <si>
    <t>IP-2660</t>
  </si>
  <si>
    <t>IP-2661</t>
  </si>
  <si>
    <t>IP-2662</t>
  </si>
  <si>
    <t>IP-2663</t>
  </si>
  <si>
    <t>IP-2664</t>
  </si>
  <si>
    <t>IP-2665</t>
  </si>
  <si>
    <t>IP-2666</t>
  </si>
  <si>
    <t>IP-2667</t>
  </si>
  <si>
    <t>IP-2668</t>
  </si>
  <si>
    <t>IP-2669</t>
  </si>
  <si>
    <t>IP-2670</t>
  </si>
  <si>
    <t>IP-2671</t>
  </si>
  <si>
    <t>IP-2672</t>
  </si>
  <si>
    <t>IP-2673</t>
  </si>
  <si>
    <t>IP-2674</t>
  </si>
  <si>
    <t>IP-2675</t>
  </si>
  <si>
    <t>IP-2676</t>
  </si>
  <si>
    <t>IP-2677</t>
  </si>
  <si>
    <t>IP-2678</t>
  </si>
  <si>
    <t>IP-2679</t>
  </si>
  <si>
    <t>IP-2680</t>
  </si>
  <si>
    <t>IP-2681</t>
  </si>
  <si>
    <t>IP-2682</t>
  </si>
  <si>
    <t>IP-2683</t>
  </si>
  <si>
    <t>IP-2684</t>
  </si>
  <si>
    <t>ENLACES MINEROS Y OBRAS CIVILES S.A.C</t>
  </si>
  <si>
    <t>CON.MIN.MET.MARIA.LUZ.II.2006  - VITOR - AREQUIPA - AREQUIPA</t>
  </si>
  <si>
    <t>IP-2685</t>
  </si>
  <si>
    <t>IP-2686</t>
  </si>
  <si>
    <t>IP-2687</t>
  </si>
  <si>
    <t>IP-2688</t>
  </si>
  <si>
    <t>IP-2689</t>
  </si>
  <si>
    <t>IP-2690</t>
  </si>
  <si>
    <t>IP-2691</t>
  </si>
  <si>
    <t>IP-2692</t>
  </si>
  <si>
    <t>IP-2693</t>
  </si>
  <si>
    <t>IP-2694</t>
  </si>
  <si>
    <t>IP-2695</t>
  </si>
  <si>
    <t>IP-2696</t>
  </si>
  <si>
    <t>IP-2697</t>
  </si>
  <si>
    <t>IP-2698</t>
  </si>
  <si>
    <t>IP-2699</t>
  </si>
  <si>
    <t>IP-2700</t>
  </si>
  <si>
    <t>IP-2701</t>
  </si>
  <si>
    <t>IP-2702</t>
  </si>
  <si>
    <t>IP-2703</t>
  </si>
  <si>
    <t>IP-2704</t>
  </si>
  <si>
    <t>IP-2705</t>
  </si>
  <si>
    <t>IP-2706</t>
  </si>
  <si>
    <t>IP-2707</t>
  </si>
  <si>
    <t>IP-2708</t>
  </si>
  <si>
    <t>IP-2709</t>
  </si>
  <si>
    <t>IP-2710</t>
  </si>
  <si>
    <t>IP-2711</t>
  </si>
  <si>
    <t>IP-2712</t>
  </si>
  <si>
    <t>IP-2713</t>
  </si>
  <si>
    <t>IP-2714</t>
  </si>
  <si>
    <t>IP-2715</t>
  </si>
  <si>
    <t>IP-2716</t>
  </si>
  <si>
    <t>IP-2717</t>
  </si>
  <si>
    <t>IP-2718</t>
  </si>
  <si>
    <t>IP-2719</t>
  </si>
  <si>
    <t>IP-2720</t>
  </si>
  <si>
    <t>IP-2721</t>
  </si>
  <si>
    <t>IP-2722</t>
  </si>
  <si>
    <t>IP-2723</t>
  </si>
  <si>
    <t>IP-2724</t>
  </si>
  <si>
    <t>IP-2725</t>
  </si>
  <si>
    <t xml:space="preserve">BEDIA FERRO FELICIANO	</t>
  </si>
  <si>
    <t>EG07-0225</t>
  </si>
  <si>
    <t>0001-0286</t>
  </si>
  <si>
    <t>EG07-0480</t>
  </si>
  <si>
    <t>EG07-5422</t>
  </si>
  <si>
    <t>EG07-0191</t>
  </si>
  <si>
    <t>VVV1-0234</t>
  </si>
  <si>
    <t>EG07-0173</t>
  </si>
  <si>
    <t>EG07-0117</t>
  </si>
  <si>
    <t>EG03-0113</t>
  </si>
  <si>
    <t>EG07-0118</t>
  </si>
  <si>
    <t>EG03-0114</t>
  </si>
  <si>
    <t>EG07-0175</t>
  </si>
  <si>
    <t>EG07-0481</t>
  </si>
  <si>
    <t>EG07-0232</t>
  </si>
  <si>
    <t>0001-0763</t>
  </si>
  <si>
    <t>EG03-0285</t>
  </si>
  <si>
    <t>EG03-0209</t>
  </si>
  <si>
    <t>EG07-0119</t>
  </si>
  <si>
    <t>EG03-0472</t>
  </si>
  <si>
    <t>EG07-0482</t>
  </si>
  <si>
    <t>EG03-2816</t>
  </si>
  <si>
    <t>EG07-5459</t>
  </si>
  <si>
    <t>EG03-2815</t>
  </si>
  <si>
    <t>EG07-0120</t>
  </si>
  <si>
    <t>V001-0290</t>
  </si>
  <si>
    <t>EG07-0485</t>
  </si>
  <si>
    <t>EG03-2820</t>
  </si>
  <si>
    <t>EG07-0488</t>
  </si>
  <si>
    <t>EG03-0366</t>
  </si>
  <si>
    <t>EG07-5465</t>
  </si>
  <si>
    <t>EG03-0364</t>
  </si>
  <si>
    <t>EG07-0134</t>
  </si>
  <si>
    <t>EG07-0489</t>
  </si>
  <si>
    <t>IP-2726</t>
  </si>
  <si>
    <t>IP-2727</t>
  </si>
  <si>
    <t>IP-2728</t>
  </si>
  <si>
    <t>IP-2729</t>
  </si>
  <si>
    <t>IP-2730</t>
  </si>
  <si>
    <t>IP-2731</t>
  </si>
  <si>
    <t>IP-2732</t>
  </si>
  <si>
    <t>IP-2733</t>
  </si>
  <si>
    <t>IP-2734</t>
  </si>
  <si>
    <t>IP-2735</t>
  </si>
  <si>
    <t>EG07-0001</t>
  </si>
  <si>
    <t>EG03-0065</t>
  </si>
  <si>
    <t>ANÁLISIS CAMPAÑA 35– Au</t>
  </si>
  <si>
    <t>IP-2736</t>
  </si>
  <si>
    <t>IP-2737</t>
  </si>
  <si>
    <t>IP-2738</t>
  </si>
  <si>
    <t>IP-2739</t>
  </si>
  <si>
    <t>IP-2740</t>
  </si>
  <si>
    <t>IP-2741</t>
  </si>
  <si>
    <t>IP-2742</t>
  </si>
  <si>
    <t>IP-2743</t>
  </si>
  <si>
    <t>IP-2744</t>
  </si>
  <si>
    <t>*PENDIENTE DIRIMENCIA</t>
  </si>
  <si>
    <t>IP-2745</t>
  </si>
  <si>
    <t>IP-2746</t>
  </si>
  <si>
    <t>IP-2747</t>
  </si>
  <si>
    <t>IP-2748</t>
  </si>
  <si>
    <t>IP-2749</t>
  </si>
  <si>
    <t>IP-2750</t>
  </si>
  <si>
    <t>IP-2751</t>
  </si>
  <si>
    <t>IP-2752</t>
  </si>
  <si>
    <t>IP-2753</t>
  </si>
  <si>
    <t>IP-2754</t>
  </si>
  <si>
    <t>IP-2755</t>
  </si>
  <si>
    <t>IP-2756</t>
  </si>
  <si>
    <t>IP-2757</t>
  </si>
  <si>
    <t>*RESULTADO DE REMUESTREO</t>
  </si>
  <si>
    <t>IP-2758</t>
  </si>
  <si>
    <t>IP-2759</t>
  </si>
  <si>
    <t>IP-2760</t>
  </si>
  <si>
    <t>*INTER DEL 21/12/2025</t>
  </si>
  <si>
    <t>EG03-3655</t>
  </si>
  <si>
    <t>EG03-0600</t>
  </si>
  <si>
    <t>EG07-0492</t>
  </si>
  <si>
    <t>EG03-0026</t>
  </si>
  <si>
    <t>EG07-0242</t>
  </si>
  <si>
    <t>EG03-0111</t>
  </si>
  <si>
    <t>0001-0100</t>
  </si>
  <si>
    <t>EG07-0139</t>
  </si>
  <si>
    <t>EG03-0358</t>
  </si>
  <si>
    <t>EG07-0128</t>
  </si>
  <si>
    <t>EG07-0123</t>
  </si>
  <si>
    <t>EG03-1107</t>
  </si>
  <si>
    <t>EG03-1108</t>
  </si>
  <si>
    <t>EG07-0125</t>
  </si>
  <si>
    <t>EG03-0258</t>
  </si>
  <si>
    <t>EG07-0129</t>
  </si>
  <si>
    <t>IP-2761</t>
  </si>
  <si>
    <t>IP-2762</t>
  </si>
  <si>
    <t>IP-2763</t>
  </si>
  <si>
    <t>IP-2764</t>
  </si>
  <si>
    <t>IP-2765</t>
  </si>
  <si>
    <t>IP-2766</t>
  </si>
  <si>
    <t>IP-2767</t>
  </si>
  <si>
    <t>IP-2768</t>
  </si>
  <si>
    <t>IP-2769</t>
  </si>
  <si>
    <t>IP-2770</t>
  </si>
  <si>
    <t>IP-2771</t>
  </si>
  <si>
    <t>IP-2772</t>
  </si>
  <si>
    <t>EG07-0034</t>
  </si>
  <si>
    <t>INVERSIONES MAMA COCO EIRL</t>
  </si>
  <si>
    <t>Ley&lt;0.12 80%, Ley &lt;0.20 85%, Ley&gt;0.20 90%</t>
  </si>
  <si>
    <t>IP-2773</t>
  </si>
  <si>
    <t>IP-2774</t>
  </si>
  <si>
    <t>IP-2775</t>
  </si>
  <si>
    <t>IP-2776</t>
  </si>
  <si>
    <t>IP-2777</t>
  </si>
  <si>
    <t>IP-2778</t>
  </si>
  <si>
    <t>IP-2779</t>
  </si>
  <si>
    <t>IP-2780</t>
  </si>
  <si>
    <t>IP-2781</t>
  </si>
  <si>
    <t>IP-2782</t>
  </si>
  <si>
    <t>IP-2783</t>
  </si>
  <si>
    <t>CONSORCIO MINERO RENACER DEL SUR EIRL</t>
  </si>
  <si>
    <t>JAWASA SA</t>
  </si>
  <si>
    <t>EG03-0208</t>
  </si>
  <si>
    <t>EG07-0555</t>
  </si>
  <si>
    <t>EG03-0798</t>
  </si>
  <si>
    <t>EG07-0238</t>
  </si>
  <si>
    <t>0001-0771</t>
  </si>
  <si>
    <t>EG07-0142</t>
  </si>
  <si>
    <t>EG03-361</t>
  </si>
  <si>
    <t>RECEPCIÓN DE MUESTRAS</t>
  </si>
  <si>
    <t>Método de Ensayo</t>
  </si>
  <si>
    <t>Ley&lt;0.15 80%, Ley &lt;0.20 85%, Ley&gt;0.20 90%</t>
  </si>
  <si>
    <t>Ley &lt;0.130 80%; Ley&lt;0.150  85%; Ley&gt; 0.15 90%</t>
  </si>
  <si>
    <t>Ley&lt;0.13 80%, Ley &lt;0.17 85%, Ley&gt;0.17 90%</t>
  </si>
  <si>
    <t>INVERSIONES MAMA COCO EIRL*</t>
  </si>
  <si>
    <t>20614284740*</t>
  </si>
  <si>
    <t>*SE LIQUIDÓ CON LEY DE MUESTREO</t>
  </si>
  <si>
    <t>IP-2784</t>
  </si>
  <si>
    <t>IP-2785</t>
  </si>
  <si>
    <t>IP-2786</t>
  </si>
  <si>
    <t>IP-2787</t>
  </si>
  <si>
    <t>IP-2788</t>
  </si>
  <si>
    <t>IP-2789</t>
  </si>
  <si>
    <t>IP-2790</t>
  </si>
  <si>
    <t>IP-2791</t>
  </si>
  <si>
    <t>IP-2792</t>
  </si>
  <si>
    <t>IP-2793</t>
  </si>
  <si>
    <t>IP-2794</t>
  </si>
  <si>
    <t>IP-2795</t>
  </si>
  <si>
    <t>IP-2796</t>
  </si>
  <si>
    <t>IP-2797</t>
  </si>
  <si>
    <t>IP-2798</t>
  </si>
  <si>
    <t>IP-2799</t>
  </si>
  <si>
    <t>IP-2800</t>
  </si>
  <si>
    <t>IP-2801</t>
  </si>
  <si>
    <t>IP-2802</t>
  </si>
  <si>
    <t>IP-2803</t>
  </si>
  <si>
    <t>*SE LIQUIDÓ CON LEY DE MUESTREO / RECUPERACION NOMINAL 77%</t>
  </si>
  <si>
    <t>*SE LIQUIDÓ CON LEY DE MUESTREO /RECUPERACION NOMINAL 81%</t>
  </si>
  <si>
    <t>*SE LIQUIDÓ CON RECUPERACION NOMINAL DE 75%</t>
  </si>
  <si>
    <t>* SE LIQUIDO CON RECUPERACION NOMINAL 84%</t>
  </si>
  <si>
    <t>* SE LIQUIDO CON RECUPERACION NOMINAL 90%</t>
  </si>
  <si>
    <t>REFERENCIA / PROCEDENCIA</t>
  </si>
  <si>
    <t>MAQUILA</t>
  </si>
  <si>
    <t>PROMEDIO</t>
  </si>
  <si>
    <t>RECUPERACION</t>
  </si>
  <si>
    <t>IP-2804</t>
  </si>
  <si>
    <t>IP-2805</t>
  </si>
  <si>
    <t>IP-2806</t>
  </si>
  <si>
    <t>IP-2807</t>
  </si>
  <si>
    <t>IP-2808</t>
  </si>
  <si>
    <t>IP-2809</t>
  </si>
  <si>
    <t>IP-2810</t>
  </si>
  <si>
    <t>IP-2811</t>
  </si>
  <si>
    <t>IP-2812</t>
  </si>
  <si>
    <t>IP-2813</t>
  </si>
  <si>
    <t>EG07-0182</t>
  </si>
  <si>
    <t>EG03-0291</t>
  </si>
  <si>
    <t>EG03-0989</t>
  </si>
  <si>
    <t>EG03-0988</t>
  </si>
  <si>
    <t>EG03-7892</t>
  </si>
  <si>
    <t>EG07-0240</t>
  </si>
  <si>
    <t>0001-0774</t>
  </si>
  <si>
    <t>EG07-0243</t>
  </si>
  <si>
    <t>0001-0775</t>
  </si>
  <si>
    <t>EG07-0559</t>
  </si>
  <si>
    <t>EG03-0805</t>
  </si>
  <si>
    <t>EG07-0493</t>
  </si>
  <si>
    <t>EG03-0370</t>
  </si>
  <si>
    <t>EG03-0991</t>
  </si>
  <si>
    <t>EG07-0035</t>
  </si>
  <si>
    <t>*SE ESTA LIQUIDANDO CON LA LEY DE MUESTREO</t>
  </si>
  <si>
    <t>Total C-34</t>
  </si>
  <si>
    <t>Saldo C-33</t>
  </si>
  <si>
    <t>tk1 C-34</t>
  </si>
  <si>
    <t>tk 2 en tk C-34</t>
  </si>
  <si>
    <t>tk 3 en tk C-34</t>
  </si>
  <si>
    <t>IP-2814</t>
  </si>
  <si>
    <t>IP-2815</t>
  </si>
  <si>
    <t>IP-2816</t>
  </si>
  <si>
    <t>IP-2817</t>
  </si>
  <si>
    <t>IP-2818</t>
  </si>
  <si>
    <t>IP-2819</t>
  </si>
  <si>
    <t>IP-2820</t>
  </si>
  <si>
    <t>IP-2821</t>
  </si>
  <si>
    <t>IP-2822</t>
  </si>
  <si>
    <t>IP-2823</t>
  </si>
  <si>
    <t>IP-2824</t>
  </si>
  <si>
    <t>IP-2825</t>
  </si>
  <si>
    <t>IP-2826</t>
  </si>
  <si>
    <t>IP-2827</t>
  </si>
  <si>
    <t>IP-2828</t>
  </si>
  <si>
    <t>IP-2829</t>
  </si>
  <si>
    <t>IP-2830</t>
  </si>
  <si>
    <t>IP-2831</t>
  </si>
  <si>
    <t>IP-2832</t>
  </si>
  <si>
    <t>IP-2833</t>
  </si>
  <si>
    <t>IP-2834</t>
  </si>
  <si>
    <t>IP-2835</t>
  </si>
  <si>
    <t>IP-2836</t>
  </si>
  <si>
    <t>IP-2837</t>
  </si>
  <si>
    <t>IP-2838</t>
  </si>
  <si>
    <t>IP-2839</t>
  </si>
  <si>
    <t>IP-2840</t>
  </si>
  <si>
    <t>IP-2841</t>
  </si>
  <si>
    <t>IP-2842</t>
  </si>
  <si>
    <t>IP-2843</t>
  </si>
  <si>
    <t>IP-2844</t>
  </si>
  <si>
    <t>IP-2845</t>
  </si>
  <si>
    <t>IP-2846</t>
  </si>
  <si>
    <t>IP-2847</t>
  </si>
  <si>
    <t>IP-2848</t>
  </si>
  <si>
    <t>IP-2849</t>
  </si>
  <si>
    <t>IP-2850</t>
  </si>
  <si>
    <t>IP-2851</t>
  </si>
  <si>
    <t>IP-2852</t>
  </si>
  <si>
    <t>IP-2853</t>
  </si>
  <si>
    <t>IP-2854</t>
  </si>
  <si>
    <t>IP-2855</t>
  </si>
  <si>
    <t>IP-2856</t>
  </si>
  <si>
    <t>IP-2857</t>
  </si>
  <si>
    <t>IP-2858</t>
  </si>
  <si>
    <t>IP-2859</t>
  </si>
  <si>
    <t>IP-2860</t>
  </si>
  <si>
    <t>IP-2861</t>
  </si>
  <si>
    <t>IP-2862</t>
  </si>
  <si>
    <t>IP-2863</t>
  </si>
  <si>
    <t>IP-2864</t>
  </si>
  <si>
    <t>IP-2865</t>
  </si>
  <si>
    <t>IP-2866</t>
  </si>
  <si>
    <t>IP-2867</t>
  </si>
  <si>
    <t>GRUPO JEMALU E.I.R.L.</t>
  </si>
  <si>
    <t>EG07-0184</t>
  </si>
  <si>
    <t>EG03-0025</t>
  </si>
  <si>
    <t>VVV1-0241</t>
  </si>
  <si>
    <t>EG07-0185</t>
  </si>
  <si>
    <t>EG03-0564</t>
  </si>
  <si>
    <t>EG07-0130</t>
  </si>
  <si>
    <t>0002-0393</t>
  </si>
  <si>
    <t>EG03-0368</t>
  </si>
  <si>
    <t>EG07-0569</t>
  </si>
  <si>
    <t>EG03-0808</t>
  </si>
  <si>
    <t>EG07-0187</t>
  </si>
  <si>
    <t>EG07-0222</t>
  </si>
  <si>
    <t>EG03-0034</t>
  </si>
  <si>
    <t>EG07-0495</t>
  </si>
  <si>
    <t>Mineral argentifero sin procesar</t>
  </si>
  <si>
    <t>* SE LIQUIDO CON LEY DE MUESTREO</t>
  </si>
  <si>
    <t>20601769396-</t>
  </si>
  <si>
    <t>ANÁLISIS CAMPAÑA 35 – Ag</t>
  </si>
  <si>
    <t>ANÁLISIS CAMPAÑA 36– Au</t>
  </si>
  <si>
    <t>ANÁLISIS CAMPAÑA 36 – Ag</t>
  </si>
  <si>
    <t>Inter AG</t>
  </si>
  <si>
    <t>AG</t>
  </si>
  <si>
    <t>Hoja de Liquidación minerales auriferos</t>
  </si>
  <si>
    <t>IP-2868</t>
  </si>
  <si>
    <t>IP-2869</t>
  </si>
  <si>
    <t>IP-2870</t>
  </si>
  <si>
    <t>IP-2871</t>
  </si>
  <si>
    <t>IP-2872</t>
  </si>
  <si>
    <t>IP-2873</t>
  </si>
  <si>
    <t>IP-2874</t>
  </si>
  <si>
    <t>IP-2875</t>
  </si>
  <si>
    <t>IP-2876</t>
  </si>
  <si>
    <t>IP-2877</t>
  </si>
  <si>
    <t>IP-2878</t>
  </si>
  <si>
    <t>IP-2879</t>
  </si>
  <si>
    <t>IP-2880</t>
  </si>
  <si>
    <t>IP-2881</t>
  </si>
  <si>
    <t>IP-2882</t>
  </si>
  <si>
    <t>IP-2883</t>
  </si>
  <si>
    <t>IP-2884</t>
  </si>
  <si>
    <t>IP-2885</t>
  </si>
  <si>
    <t>EG07-0188</t>
  </si>
  <si>
    <t>EG03-0296</t>
  </si>
  <si>
    <t>EG07-0157</t>
  </si>
  <si>
    <t>EG03-0216</t>
  </si>
  <si>
    <t>EG07-0189</t>
  </si>
  <si>
    <t>EG03-3697</t>
  </si>
  <si>
    <t>EG03-3698</t>
  </si>
  <si>
    <t>EG07-0218</t>
  </si>
  <si>
    <t>EG03-0028</t>
  </si>
  <si>
    <t>IP-2886</t>
  </si>
  <si>
    <t>IP-2887</t>
  </si>
  <si>
    <t>IP-2888</t>
  </si>
  <si>
    <t>IP-2889</t>
  </si>
  <si>
    <t>IP-2890</t>
  </si>
  <si>
    <t>IP-2891</t>
  </si>
  <si>
    <t>IP-2892</t>
  </si>
  <si>
    <t>IP-2893</t>
  </si>
  <si>
    <t>IP-2894</t>
  </si>
  <si>
    <t>IP-2895</t>
  </si>
  <si>
    <t>IP-2896</t>
  </si>
  <si>
    <t>IP-2897</t>
  </si>
  <si>
    <t>EG03-0125</t>
  </si>
  <si>
    <t>EG07-0131</t>
  </si>
  <si>
    <t>EG03-0286</t>
  </si>
  <si>
    <t>EG07-0132</t>
  </si>
  <si>
    <t>EG03-0314</t>
  </si>
  <si>
    <t xml:space="preserve">ley&lt;0.149 80%, ley &lt;0.199 85% , ley&gt;0.200 90%; </t>
  </si>
  <si>
    <t>IP-2898</t>
  </si>
  <si>
    <t>IP-2899</t>
  </si>
  <si>
    <t>IP-2900</t>
  </si>
  <si>
    <t>E-028</t>
  </si>
  <si>
    <t>E-029</t>
  </si>
  <si>
    <t>E-030</t>
  </si>
  <si>
    <t>E-031</t>
  </si>
  <si>
    <t>E-032</t>
  </si>
  <si>
    <t>E-033</t>
  </si>
  <si>
    <t>E-034</t>
  </si>
  <si>
    <t>E-035</t>
  </si>
  <si>
    <t>E-036</t>
  </si>
  <si>
    <t>E-037</t>
  </si>
  <si>
    <t>E-038</t>
  </si>
  <si>
    <t>E-039</t>
  </si>
  <si>
    <t>E-040</t>
  </si>
  <si>
    <t>E-041</t>
  </si>
  <si>
    <t>E-042</t>
  </si>
  <si>
    <t>E-043</t>
  </si>
  <si>
    <t>E-044</t>
  </si>
  <si>
    <t>E-045</t>
  </si>
  <si>
    <t>E-046</t>
  </si>
  <si>
    <t>E-047</t>
  </si>
  <si>
    <t>E-048</t>
  </si>
  <si>
    <t>E-049</t>
  </si>
  <si>
    <t>IP-2901</t>
  </si>
  <si>
    <t>IP-2902</t>
  </si>
  <si>
    <t>IP-2903</t>
  </si>
  <si>
    <t>IP-2904</t>
  </si>
  <si>
    <t>IP-2905</t>
  </si>
  <si>
    <t>IP-2906</t>
  </si>
  <si>
    <t>IP-2907</t>
  </si>
  <si>
    <t>IP-2908</t>
  </si>
  <si>
    <t>IP-2909</t>
  </si>
  <si>
    <t>IP-2910</t>
  </si>
  <si>
    <t>IP-2911</t>
  </si>
  <si>
    <t>IP-2912</t>
  </si>
  <si>
    <t>IP-2913</t>
  </si>
  <si>
    <t>IP-2914</t>
  </si>
  <si>
    <t>IP-2915</t>
  </si>
  <si>
    <t>IP-2916</t>
  </si>
  <si>
    <t>IP-2917</t>
  </si>
  <si>
    <t>IP-2918</t>
  </si>
  <si>
    <t>IP-2919</t>
  </si>
  <si>
    <t>IP-2920</t>
  </si>
  <si>
    <t>IP-2921</t>
  </si>
  <si>
    <t>IP-2922</t>
  </si>
  <si>
    <t>IP-2923</t>
  </si>
  <si>
    <t>Diff</t>
  </si>
  <si>
    <t xml:space="preserve"> + / -  Gramos</t>
  </si>
  <si>
    <t>Total C-35</t>
  </si>
  <si>
    <t>Saldo C-34</t>
  </si>
  <si>
    <t>tk1 C-35</t>
  </si>
  <si>
    <t>tk 2 en tk C-35</t>
  </si>
  <si>
    <t>tk 3 en tk C-35</t>
  </si>
  <si>
    <t>EG07-0161</t>
  </si>
  <si>
    <t>EG03-1006</t>
  </si>
  <si>
    <t>EG07-0231</t>
  </si>
  <si>
    <t>EG03-0032</t>
  </si>
  <si>
    <t>EG03-1007</t>
  </si>
  <si>
    <t>EG07-0036</t>
  </si>
  <si>
    <t>EG03-0072</t>
  </si>
  <si>
    <t>EG07-0193</t>
  </si>
  <si>
    <t>EG07-0165</t>
  </si>
  <si>
    <t>EG03-1014</t>
  </si>
  <si>
    <t>EG07-0194</t>
  </si>
  <si>
    <t>EG03-3721</t>
  </si>
  <si>
    <t>EG03-1016</t>
  </si>
  <si>
    <t>EG03-0183</t>
  </si>
  <si>
    <t>IP-2924</t>
  </si>
  <si>
    <t>IP-2925</t>
  </si>
  <si>
    <t>IP-2926</t>
  </si>
  <si>
    <t>IP-2927</t>
  </si>
  <si>
    <t>IP-2928</t>
  </si>
  <si>
    <t>IP-2929</t>
  </si>
  <si>
    <t>IP-2930</t>
  </si>
  <si>
    <t>IP-2931</t>
  </si>
  <si>
    <t>IP-2932</t>
  </si>
  <si>
    <t>IP-2933</t>
  </si>
  <si>
    <t>IP-2934</t>
  </si>
  <si>
    <t>LEY COMERCIAL SEGÚN LIQUIDACION DE ALFRED</t>
  </si>
  <si>
    <t>INTER Y MAQUILA SEGÚN LIQUIDACION DE ALFRED</t>
  </si>
  <si>
    <t>ANÁLISIS CAMPAÑA 37– Au</t>
  </si>
  <si>
    <t>ANÁLISIS CAMPAÑA 37 – Ag</t>
  </si>
  <si>
    <t>IP-2935</t>
  </si>
  <si>
    <t>IP-2936</t>
  </si>
  <si>
    <t>IP-2937</t>
  </si>
  <si>
    <t>IP-2938</t>
  </si>
  <si>
    <t>IP-2939</t>
  </si>
  <si>
    <t>IP-2940</t>
  </si>
  <si>
    <t>IP-2941</t>
  </si>
  <si>
    <t>IP-2942</t>
  </si>
  <si>
    <t>IP-2943</t>
  </si>
  <si>
    <t>IP-2944</t>
  </si>
  <si>
    <t>IP-2945</t>
  </si>
  <si>
    <t>IP-2946</t>
  </si>
  <si>
    <t>IP-2947</t>
  </si>
  <si>
    <t>IP-2948</t>
  </si>
  <si>
    <t>IP-2949</t>
  </si>
  <si>
    <t>IP-2950</t>
  </si>
  <si>
    <t>IP-2951</t>
  </si>
  <si>
    <t>IP-2952</t>
  </si>
  <si>
    <t>*EN EL PCP SE INCLUYE EL VALOR DE LA LEY MINERO YA QUE UBO UN RESULTADO DIRIMENTE MAYOR</t>
  </si>
  <si>
    <t>IP-2953</t>
  </si>
  <si>
    <t>IP-2954</t>
  </si>
  <si>
    <t>IP-2955</t>
  </si>
  <si>
    <t>IP-2956</t>
  </si>
  <si>
    <t>IP-2957</t>
  </si>
  <si>
    <t>IP-2958</t>
  </si>
  <si>
    <t>IP-2959</t>
  </si>
  <si>
    <t>IP-2960</t>
  </si>
  <si>
    <t>IP-2961</t>
  </si>
  <si>
    <t>IP-2962</t>
  </si>
  <si>
    <t>IP-2963</t>
  </si>
  <si>
    <t>IP-2964</t>
  </si>
  <si>
    <t>MINERA LA VIRTUOSA DEL SUR E.I.R.L.</t>
  </si>
  <si>
    <t>IP-2965</t>
  </si>
  <si>
    <t>IP-2966</t>
  </si>
  <si>
    <t>IP-2967</t>
  </si>
  <si>
    <t>*RECUP 88% EN LIQ (VALOR NOMINAL)</t>
  </si>
  <si>
    <t>*RECUP 80% EN LIQ (VALOR NOMINAL)</t>
  </si>
  <si>
    <t>*RECUP 87% EN LIQ (VALOR NOMINAL)</t>
  </si>
  <si>
    <t>EG07-0195</t>
  </si>
  <si>
    <t>EG03-3723</t>
  </si>
  <si>
    <t>EG07-0169</t>
  </si>
  <si>
    <t>EG03-1020</t>
  </si>
  <si>
    <t>EG07-0199</t>
  </si>
  <si>
    <t>EG03-0573</t>
  </si>
  <si>
    <t>EG07-0135</t>
  </si>
  <si>
    <t>EG07-0259</t>
  </si>
  <si>
    <t>0001-0287</t>
  </si>
  <si>
    <t>EG07-0375</t>
  </si>
  <si>
    <t>EG03-0657</t>
  </si>
  <si>
    <t>EG03-1025</t>
  </si>
  <si>
    <t>EG03-1026</t>
  </si>
  <si>
    <t>EG07-0262</t>
  </si>
  <si>
    <t>0001-0288</t>
  </si>
  <si>
    <t>EG03-0229</t>
  </si>
  <si>
    <t>*SE INCLUYE EL VALOR DE LA DIRIMENCIA EN EL PCP</t>
  </si>
  <si>
    <t>IP-2968</t>
  </si>
  <si>
    <t>IP-2969</t>
  </si>
  <si>
    <t>IP-2970</t>
  </si>
  <si>
    <t>IP-2971</t>
  </si>
  <si>
    <t>IP-2972</t>
  </si>
  <si>
    <t>IP-2973</t>
  </si>
  <si>
    <t>IP-2974</t>
  </si>
  <si>
    <t>IP-2975</t>
  </si>
  <si>
    <t>Total C-36</t>
  </si>
  <si>
    <t>Saldo C-35</t>
  </si>
  <si>
    <t>tk1 C-36</t>
  </si>
  <si>
    <t>tk 2 en tk C-36</t>
  </si>
  <si>
    <t>tk 3 en tk C-36</t>
  </si>
  <si>
    <t>ANÁLISIS CAMPAÑA 38– Au</t>
  </si>
  <si>
    <t>ANÁLISIS CAMPAÑA 38 – Ag</t>
  </si>
  <si>
    <t>IP-2976</t>
  </si>
  <si>
    <t>IP-2977</t>
  </si>
  <si>
    <t>IP-2978</t>
  </si>
  <si>
    <t>IP-2979</t>
  </si>
  <si>
    <t>IP-2980</t>
  </si>
  <si>
    <t>IP-2981</t>
  </si>
  <si>
    <t>IP-2982</t>
  </si>
  <si>
    <t>IP-2983</t>
  </si>
  <si>
    <t>IP-2984</t>
  </si>
  <si>
    <t>IP-2985</t>
  </si>
  <si>
    <t>IP-2986</t>
  </si>
  <si>
    <t>IP-2987</t>
  </si>
  <si>
    <t>IP-2988</t>
  </si>
  <si>
    <t>IP-2989</t>
  </si>
  <si>
    <t>IP-2990</t>
  </si>
  <si>
    <t>IP-2991</t>
  </si>
  <si>
    <t>IP-2992</t>
  </si>
  <si>
    <t>IP-2993</t>
  </si>
  <si>
    <t>IP-2994</t>
  </si>
  <si>
    <t>IP-2995</t>
  </si>
  <si>
    <t>MINERA SEBASTIAN E.I.R.L.</t>
  </si>
  <si>
    <t>EG03-1028</t>
  </si>
  <si>
    <t>EG07-0263</t>
  </si>
  <si>
    <t>0002-4055</t>
  </si>
  <si>
    <t>EG07-0267</t>
  </si>
  <si>
    <t>EG03-0451</t>
  </si>
  <si>
    <t>EG07-0250</t>
  </si>
  <si>
    <t>EG03-0307</t>
  </si>
  <si>
    <t>EG03-1034</t>
  </si>
  <si>
    <t>EG07-0202</t>
  </si>
  <si>
    <t>EG03-3757</t>
  </si>
  <si>
    <t>EG07-0004</t>
  </si>
  <si>
    <t>0002-4056</t>
  </si>
  <si>
    <t>IP-2996</t>
  </si>
  <si>
    <t>IP-2997</t>
  </si>
  <si>
    <t>IP-2998</t>
  </si>
  <si>
    <t>IP-2999</t>
  </si>
  <si>
    <t>IP-3000</t>
  </si>
  <si>
    <t>IP-3001</t>
  </si>
  <si>
    <t>IP-3002</t>
  </si>
  <si>
    <t>IP-3003</t>
  </si>
  <si>
    <t>IP-3004</t>
  </si>
  <si>
    <t>IP-3005</t>
  </si>
  <si>
    <t>IP-3006</t>
  </si>
  <si>
    <t>IP-3007</t>
  </si>
  <si>
    <t>IP-3008</t>
  </si>
  <si>
    <t>IP-3009</t>
  </si>
  <si>
    <t>IP-3010</t>
  </si>
  <si>
    <t>IP-3011</t>
  </si>
  <si>
    <t>IP-3012</t>
  </si>
  <si>
    <t>IP-3013</t>
  </si>
  <si>
    <t>IP-3014</t>
  </si>
  <si>
    <t>IP-3015</t>
  </si>
  <si>
    <t>IP-3016</t>
  </si>
  <si>
    <t>IP-3017</t>
  </si>
  <si>
    <t>IP-3018</t>
  </si>
  <si>
    <t>IP-3019</t>
  </si>
  <si>
    <t>IP-3020</t>
  </si>
  <si>
    <t>IP-3021</t>
  </si>
  <si>
    <t>IP-3022</t>
  </si>
  <si>
    <t>IP-3023</t>
  </si>
  <si>
    <t>IP-3024</t>
  </si>
  <si>
    <t>IP-3025</t>
  </si>
  <si>
    <t>IP-3026</t>
  </si>
  <si>
    <t>IP-3027</t>
  </si>
  <si>
    <t>IP-3028</t>
  </si>
  <si>
    <t>IP-3029</t>
  </si>
  <si>
    <t>IP-3030</t>
  </si>
  <si>
    <t>IP-3031</t>
  </si>
  <si>
    <t>IP-3032</t>
  </si>
  <si>
    <t>IP-3033</t>
  </si>
  <si>
    <t>IP-3034</t>
  </si>
  <si>
    <t>IP-3035</t>
  </si>
  <si>
    <t>IP-3036</t>
  </si>
  <si>
    <t>IP-3037</t>
  </si>
  <si>
    <t>IP-3038</t>
  </si>
  <si>
    <t>IP-3039</t>
  </si>
  <si>
    <t>IP-3040</t>
  </si>
  <si>
    <t>IP-3041</t>
  </si>
  <si>
    <t>IP-3042</t>
  </si>
  <si>
    <t>IP-3043</t>
  </si>
  <si>
    <t>IP-3044</t>
  </si>
  <si>
    <t>IP-3045</t>
  </si>
  <si>
    <t>IP-3046</t>
  </si>
  <si>
    <t>IP-3047</t>
  </si>
  <si>
    <t>IP-3048</t>
  </si>
  <si>
    <t>IP-3049</t>
  </si>
  <si>
    <t>IP-3050</t>
  </si>
  <si>
    <t>IP-3051</t>
  </si>
  <si>
    <t>IP-3052</t>
  </si>
  <si>
    <t>IP-3053</t>
  </si>
  <si>
    <t>IP-3054</t>
  </si>
  <si>
    <t>IP-3055</t>
  </si>
  <si>
    <t>IP-3056</t>
  </si>
  <si>
    <t>IP-3057</t>
  </si>
  <si>
    <t>IP-3058</t>
  </si>
  <si>
    <t>IP-3059</t>
  </si>
  <si>
    <t>IP-3060</t>
  </si>
  <si>
    <t>*ALFRED MODIFICO LA LEY DE 0.109 A 0.110; CONSUMO Y MAQUILA</t>
  </si>
  <si>
    <t>EG03-0235</t>
  </si>
  <si>
    <t>EG07-0205</t>
  </si>
  <si>
    <t>EG03-3768</t>
  </si>
  <si>
    <t>EG07-0206</t>
  </si>
  <si>
    <t>EG03-8084</t>
  </si>
  <si>
    <t>EG03-8081</t>
  </si>
  <si>
    <t>EG07-0212</t>
  </si>
  <si>
    <t>EG03-3801</t>
  </si>
  <si>
    <t>EG07-0037</t>
  </si>
  <si>
    <t>IP-3061</t>
  </si>
  <si>
    <t>IP-3062</t>
  </si>
  <si>
    <t>IP-3063</t>
  </si>
  <si>
    <t>IP-3064</t>
  </si>
  <si>
    <t>IP-3065</t>
  </si>
  <si>
    <t>IP-3066</t>
  </si>
  <si>
    <t>0001-0103</t>
  </si>
  <si>
    <t>EG07-0501</t>
  </si>
  <si>
    <t>EG03-0192</t>
  </si>
  <si>
    <t>IP-3067</t>
  </si>
  <si>
    <t>IP-3068</t>
  </si>
  <si>
    <t>IP-3069</t>
  </si>
  <si>
    <t>IP-3070</t>
  </si>
  <si>
    <t>IP-3071</t>
  </si>
  <si>
    <t>IP-3072</t>
  </si>
  <si>
    <t>IP-3073</t>
  </si>
  <si>
    <t>IP-3074</t>
  </si>
  <si>
    <t>IP-3075</t>
  </si>
  <si>
    <t>IP-3076</t>
  </si>
  <si>
    <t>IP-3077</t>
  </si>
  <si>
    <t>IP-3078</t>
  </si>
  <si>
    <t>IP-3079</t>
  </si>
  <si>
    <t>IP-3080</t>
  </si>
  <si>
    <t>IP-3081</t>
  </si>
  <si>
    <t>IP-3082</t>
  </si>
  <si>
    <t>IP-3083</t>
  </si>
  <si>
    <t>IP-3084</t>
  </si>
  <si>
    <t>IP-3085</t>
  </si>
  <si>
    <t>IP-3086</t>
  </si>
  <si>
    <t>IP-3087</t>
  </si>
  <si>
    <t>IP-3088</t>
  </si>
  <si>
    <t>IP-3089</t>
  </si>
  <si>
    <t>IP-3090</t>
  </si>
  <si>
    <t>IP-3091</t>
  </si>
  <si>
    <t>IP-3092</t>
  </si>
  <si>
    <t>IP-3093</t>
  </si>
  <si>
    <t>IP-3094</t>
  </si>
  <si>
    <t>IP-3095</t>
  </si>
  <si>
    <t>IP-3096</t>
  </si>
  <si>
    <t>EG07-0282</t>
  </si>
  <si>
    <t>EG03-0457</t>
  </si>
  <si>
    <t>EG07-0392</t>
  </si>
  <si>
    <t>EG03-0384</t>
  </si>
  <si>
    <t>EG07-5629</t>
  </si>
  <si>
    <t>EG03-4734</t>
  </si>
  <si>
    <t>EG07-0141</t>
  </si>
  <si>
    <t>EG03-0177</t>
  </si>
  <si>
    <t>EG07-0284</t>
  </si>
  <si>
    <t>EG03-0488</t>
  </si>
  <si>
    <t>EG03-0205</t>
  </si>
  <si>
    <t>EG07-0148</t>
  </si>
  <si>
    <t>EG03-0260</t>
  </si>
  <si>
    <t>EG03-0135</t>
  </si>
  <si>
    <t>EG07-0287</t>
  </si>
  <si>
    <t>EG03-0013</t>
  </si>
  <si>
    <t>EG03-0002</t>
  </si>
  <si>
    <t>EG07-0082</t>
  </si>
  <si>
    <t>EG03-0378</t>
  </si>
  <si>
    <t>EG07-0150</t>
  </si>
  <si>
    <t>EG04-0081</t>
  </si>
  <si>
    <t>EG03-1066</t>
  </si>
  <si>
    <t>IP-3097</t>
  </si>
  <si>
    <t>IP-3098</t>
  </si>
  <si>
    <t>IP-3099</t>
  </si>
  <si>
    <t>IP-3100</t>
  </si>
  <si>
    <t>IP-3101</t>
  </si>
  <si>
    <t>IP-3102</t>
  </si>
  <si>
    <t>IP-3103</t>
  </si>
  <si>
    <t>IP-3104</t>
  </si>
  <si>
    <t>IP-3105</t>
  </si>
  <si>
    <t>IP-3107</t>
  </si>
  <si>
    <t>IP-3108</t>
  </si>
  <si>
    <t>IP-3109</t>
  </si>
  <si>
    <t>IP-3110</t>
  </si>
  <si>
    <t xml:space="preserve">    </t>
  </si>
  <si>
    <t>* SE LIQUIDÓ CON LEY DIRIMENTE</t>
  </si>
  <si>
    <t>CORPORACIÓN SANTA NANCY EIRL</t>
  </si>
  <si>
    <t>20610807004*</t>
  </si>
  <si>
    <t>Total C-37</t>
  </si>
  <si>
    <t>Saldo C-36</t>
  </si>
  <si>
    <t>tk 2 en tk C-37</t>
  </si>
  <si>
    <t>tk 3 en tk C-37</t>
  </si>
  <si>
    <t>tk1+tk2 C-37</t>
  </si>
  <si>
    <t>C-37</t>
  </si>
  <si>
    <t>C-30</t>
  </si>
  <si>
    <t>C-31</t>
  </si>
  <si>
    <t>C-32</t>
  </si>
  <si>
    <t>C-33</t>
  </si>
  <si>
    <t>C-34</t>
  </si>
  <si>
    <t>C-35</t>
  </si>
  <si>
    <t>C-36</t>
  </si>
  <si>
    <t>C-38</t>
  </si>
  <si>
    <t>C-39</t>
  </si>
  <si>
    <t>C-40</t>
  </si>
  <si>
    <t>C-41</t>
  </si>
  <si>
    <t>C-42</t>
  </si>
  <si>
    <t>C-43</t>
  </si>
  <si>
    <t>C-44</t>
  </si>
  <si>
    <t>C-45</t>
  </si>
  <si>
    <t>C-46</t>
  </si>
  <si>
    <t>IP-3111</t>
  </si>
  <si>
    <t>IP-3112</t>
  </si>
  <si>
    <t>IP-3113</t>
  </si>
  <si>
    <t>IP-3114</t>
  </si>
  <si>
    <t>IP-3115</t>
  </si>
  <si>
    <t>IP-3117</t>
  </si>
  <si>
    <t>IP-3118</t>
  </si>
  <si>
    <t>IP-3119</t>
  </si>
  <si>
    <t>IP-3120</t>
  </si>
  <si>
    <t>IP-3121</t>
  </si>
  <si>
    <t>IP-3122</t>
  </si>
  <si>
    <t>IP-3123</t>
  </si>
  <si>
    <t>IP-3124</t>
  </si>
  <si>
    <t>IP-3125</t>
  </si>
  <si>
    <t>IP-3126</t>
  </si>
  <si>
    <t>EG03-0196</t>
  </si>
  <si>
    <t>EG03-1067</t>
  </si>
  <si>
    <t>EG03-0323</t>
  </si>
  <si>
    <t>EG07-0201</t>
  </si>
  <si>
    <t>*LOTE CON BILLAS</t>
  </si>
  <si>
    <t>IP-3127</t>
  </si>
  <si>
    <t>IP-3128</t>
  </si>
  <si>
    <t>IP-3129</t>
  </si>
  <si>
    <t>IP-3130</t>
  </si>
  <si>
    <t>IP-3131</t>
  </si>
  <si>
    <t>IP-3132</t>
  </si>
  <si>
    <t>IP-3133</t>
  </si>
  <si>
    <t>IP-3134</t>
  </si>
  <si>
    <t>IP-3135</t>
  </si>
  <si>
    <t>IP-3136</t>
  </si>
  <si>
    <t>IP-3137</t>
  </si>
  <si>
    <t>IP-3138</t>
  </si>
  <si>
    <t>IP-3139</t>
  </si>
  <si>
    <t>IP-3140</t>
  </si>
  <si>
    <t>IP-3141</t>
  </si>
  <si>
    <t>IP-3142</t>
  </si>
  <si>
    <t>IP-3143</t>
  </si>
  <si>
    <t>IP-3144</t>
  </si>
  <si>
    <t>IP-3145</t>
  </si>
  <si>
    <t>IP-3146</t>
  </si>
  <si>
    <t>IP-3147</t>
  </si>
  <si>
    <t>IP-3148</t>
  </si>
  <si>
    <t>IP-3149</t>
  </si>
  <si>
    <t>IP-3150</t>
  </si>
  <si>
    <t>IP-3151</t>
  </si>
  <si>
    <t>IP-3152</t>
  </si>
  <si>
    <t>IP-3153</t>
  </si>
  <si>
    <t>IP-3154</t>
  </si>
  <si>
    <t>IP-3155</t>
  </si>
  <si>
    <t>IP-3156</t>
  </si>
  <si>
    <t>IP-3157</t>
  </si>
  <si>
    <t>IP-3158</t>
  </si>
  <si>
    <t>IP-3159</t>
  </si>
  <si>
    <t>IP-3160</t>
  </si>
  <si>
    <t>IP-3161</t>
  </si>
  <si>
    <t>EG07-0220</t>
  </si>
  <si>
    <t>EG03-0609</t>
  </si>
  <si>
    <t>EG03-0129</t>
  </si>
  <si>
    <t>EG03-0687</t>
  </si>
  <si>
    <t>EG03-0289</t>
  </si>
  <si>
    <t>Total C-38</t>
  </si>
  <si>
    <t>Saldo C-37</t>
  </si>
  <si>
    <t>tk1+tk2 C-38</t>
  </si>
  <si>
    <t>tk 2 en tk C-38</t>
  </si>
  <si>
    <t>tk 3 en tk C-38</t>
  </si>
  <si>
    <t>IP-3162</t>
  </si>
  <si>
    <t>IP-3163</t>
  </si>
  <si>
    <t>IP-3164</t>
  </si>
  <si>
    <t>IP-3166</t>
  </si>
  <si>
    <t>IP-3167</t>
  </si>
  <si>
    <t>IP-3168</t>
  </si>
  <si>
    <t>EG07-0298</t>
  </si>
  <si>
    <t>EG03-0461</t>
  </si>
  <si>
    <t>EG07-0301</t>
  </si>
  <si>
    <t>EG03-0462</t>
  </si>
  <si>
    <t>*SE LIQUIDO CON LEY DE MUESTREO</t>
  </si>
  <si>
    <t>Evelyn</t>
  </si>
  <si>
    <t>IP-3169</t>
  </si>
  <si>
    <t>IP-3170</t>
  </si>
  <si>
    <t>IP-3171</t>
  </si>
  <si>
    <t>IP-3172</t>
  </si>
  <si>
    <t>IP-3173</t>
  </si>
  <si>
    <t>IP-3174</t>
  </si>
  <si>
    <t>IP-3175</t>
  </si>
  <si>
    <t>IP-3176</t>
  </si>
  <si>
    <t>IP-3177</t>
  </si>
  <si>
    <t>EG07-0214</t>
  </si>
  <si>
    <t>VVV1-0257</t>
  </si>
  <si>
    <t>EG07-0304</t>
  </si>
  <si>
    <t>0002-4070</t>
  </si>
  <si>
    <t>EG07-0305</t>
  </si>
  <si>
    <t>0002-4071</t>
  </si>
  <si>
    <t>EG07-0306</t>
  </si>
  <si>
    <t>0002-4072</t>
  </si>
  <si>
    <t>EG07-0311</t>
  </si>
  <si>
    <t>0002-4073</t>
  </si>
  <si>
    <t>EG07-0316</t>
  </si>
  <si>
    <t>0002-4074</t>
  </si>
  <si>
    <t>EG07-0317</t>
  </si>
  <si>
    <t>0002-4075</t>
  </si>
  <si>
    <t>ANÁLISIS CAMPAÑA 39– Au</t>
  </si>
  <si>
    <t>ANÁLISIS CAMPAÑA 39 – Ag</t>
  </si>
  <si>
    <t>ANÁLISIS CAMPAÑA 40– Au</t>
  </si>
  <si>
    <t>ANÁLISIS CAMPAÑA 40 – Ag</t>
  </si>
  <si>
    <t>* TMS: 20.378     /    OZ/TC: 0.021</t>
  </si>
  <si>
    <t>* TMS: 25.946    /    OZ/TC: 0.015</t>
  </si>
  <si>
    <t>IP-3178</t>
  </si>
  <si>
    <t>IP-3179</t>
  </si>
  <si>
    <t>IP-3180</t>
  </si>
  <si>
    <t>IP-3181</t>
  </si>
  <si>
    <t>IP-3182</t>
  </si>
  <si>
    <t>IP-3183</t>
  </si>
  <si>
    <t>C.M. THE FUTURE AQP III LOS MOLLES</t>
  </si>
  <si>
    <t xml:space="preserve">*SE LIQUIDA CON LEY DIRIMENCIA </t>
  </si>
  <si>
    <t>EG07-0038</t>
  </si>
  <si>
    <t>EG03-0078</t>
  </si>
  <si>
    <t>$35 COMISION</t>
  </si>
  <si>
    <t>IP-3184</t>
  </si>
  <si>
    <t>IP-3185</t>
  </si>
  <si>
    <t>IP-3186</t>
  </si>
  <si>
    <t>IP-3187</t>
  </si>
  <si>
    <t>IP-3188</t>
  </si>
  <si>
    <t>EG07-0156</t>
  </si>
  <si>
    <t>EG03-0266</t>
  </si>
  <si>
    <t>EG07-0320</t>
  </si>
  <si>
    <t>IP-3189</t>
  </si>
  <si>
    <t>IP-3190</t>
  </si>
  <si>
    <t>IP-3191</t>
  </si>
  <si>
    <t>IP-3192</t>
  </si>
  <si>
    <t>IP-3193</t>
  </si>
  <si>
    <t>IP-3194</t>
  </si>
  <si>
    <t>IP-3195</t>
  </si>
  <si>
    <t>IP-3196</t>
  </si>
  <si>
    <t>IP-3197</t>
  </si>
  <si>
    <t>IP-3198</t>
  </si>
  <si>
    <t>IP-3199</t>
  </si>
  <si>
    <t>IP-3200</t>
  </si>
  <si>
    <t>IP-3201</t>
  </si>
  <si>
    <t>IP-3202</t>
  </si>
  <si>
    <t>IP-3203</t>
  </si>
  <si>
    <t>IP-3204</t>
  </si>
  <si>
    <t>IP-3205</t>
  </si>
  <si>
    <t>IP-3206</t>
  </si>
  <si>
    <t>IP-3207</t>
  </si>
  <si>
    <t>IP-3208</t>
  </si>
  <si>
    <t>IP-3209</t>
  </si>
  <si>
    <t>IP-3210</t>
  </si>
  <si>
    <t>IP-3211</t>
  </si>
  <si>
    <t>IP-3212</t>
  </si>
  <si>
    <t>IP-3213</t>
  </si>
  <si>
    <t>IP-3214</t>
  </si>
  <si>
    <t>IP-3215</t>
  </si>
  <si>
    <t>IP-3216</t>
  </si>
  <si>
    <t>IP-3217</t>
  </si>
  <si>
    <t>IP-3218</t>
  </si>
  <si>
    <t>IP-3219</t>
  </si>
  <si>
    <t>IP-3220</t>
  </si>
  <si>
    <t>IP-3221</t>
  </si>
  <si>
    <t>INVERSIONES LAS GEMELAS LM E.I.R.L.</t>
  </si>
  <si>
    <t>EG07-0051</t>
  </si>
  <si>
    <t>EG03-0064</t>
  </si>
  <si>
    <t>EG07-0791</t>
  </si>
  <si>
    <t>0001-0436</t>
  </si>
  <si>
    <t>EG07-0266</t>
  </si>
  <si>
    <t>EG03-0336</t>
  </si>
  <si>
    <t>EG07-0229</t>
  </si>
  <si>
    <t>EG03-0337</t>
  </si>
  <si>
    <t>EG07-0230</t>
  </si>
  <si>
    <t>EG03-0146</t>
  </si>
  <si>
    <t>EG07-0794</t>
  </si>
  <si>
    <t>0001-0437</t>
  </si>
  <si>
    <t>J &amp; M SOLUCIONES MINERAS EIRL*</t>
  </si>
  <si>
    <t>20611329556*</t>
  </si>
  <si>
    <t>EG03-0467</t>
  </si>
  <si>
    <t>EG03-1718</t>
  </si>
  <si>
    <t>EG07-0329</t>
  </si>
  <si>
    <t>EG07-0330</t>
  </si>
  <si>
    <t>IP-3222</t>
  </si>
  <si>
    <t>IP-3223</t>
  </si>
  <si>
    <t>IP-3224</t>
  </si>
  <si>
    <t>IP-3225</t>
  </si>
  <si>
    <t>IP-3226</t>
  </si>
  <si>
    <t>IP-3227</t>
  </si>
  <si>
    <t>IP-3228</t>
  </si>
  <si>
    <t>IP-3229</t>
  </si>
  <si>
    <t>IP-3230</t>
  </si>
  <si>
    <t>IP-3231</t>
  </si>
  <si>
    <t>IP-3232</t>
  </si>
  <si>
    <t>IP-3233</t>
  </si>
  <si>
    <t>IP-3234</t>
  </si>
  <si>
    <t>IP-3235</t>
  </si>
  <si>
    <t>IP-3236</t>
  </si>
  <si>
    <t>IP-3237</t>
  </si>
  <si>
    <t>IP-3238</t>
  </si>
  <si>
    <t>IP-3239</t>
  </si>
  <si>
    <t>IP-3240</t>
  </si>
  <si>
    <t>IP-3241</t>
  </si>
  <si>
    <t>IP-3242</t>
  </si>
  <si>
    <t>EG07-0237</t>
  </si>
  <si>
    <t>EG07-0334</t>
  </si>
  <si>
    <t>EG07-0336</t>
  </si>
  <si>
    <t>EG03-0425</t>
  </si>
  <si>
    <t>EG07-0335</t>
  </si>
  <si>
    <t>EG03-0468</t>
  </si>
  <si>
    <t>EG07-0088</t>
  </si>
  <si>
    <t>EG03-0142</t>
  </si>
  <si>
    <t>EG07-0337</t>
  </si>
  <si>
    <t>EG03-0426</t>
  </si>
  <si>
    <t>IP-3243</t>
  </si>
  <si>
    <t>IP-3244</t>
  </si>
  <si>
    <t>IP-3245</t>
  </si>
  <si>
    <t>IP-3246</t>
  </si>
  <si>
    <t>IP-3247</t>
  </si>
  <si>
    <t>IP-3248</t>
  </si>
  <si>
    <t>IP-3249</t>
  </si>
  <si>
    <t>IP-3250</t>
  </si>
  <si>
    <t>IP-3251</t>
  </si>
  <si>
    <t>IP-3252</t>
  </si>
  <si>
    <t>IP-3253</t>
  </si>
  <si>
    <t>IP-3254</t>
  </si>
  <si>
    <t>IP-3255</t>
  </si>
  <si>
    <t>IP-3256</t>
  </si>
  <si>
    <t>IP-3257</t>
  </si>
  <si>
    <t>EG07-0241</t>
  </si>
  <si>
    <t>VVV1-0277</t>
  </si>
  <si>
    <t>EG07-0354</t>
  </si>
  <si>
    <t>0002-4082</t>
  </si>
  <si>
    <t>EG03-0080</t>
  </si>
  <si>
    <t>IP-3259</t>
  </si>
  <si>
    <t>IP-3260</t>
  </si>
  <si>
    <t>IP-3261</t>
  </si>
  <si>
    <t>IP-3262</t>
  </si>
  <si>
    <t>IP-3263</t>
  </si>
  <si>
    <t>IP-3264</t>
  </si>
  <si>
    <t>Prueba</t>
  </si>
  <si>
    <t>xxxxxx</t>
  </si>
  <si>
    <t>IP-3265</t>
  </si>
  <si>
    <t>IP-3266</t>
  </si>
  <si>
    <t>IP-3267</t>
  </si>
  <si>
    <t>IP-3268</t>
  </si>
  <si>
    <t>IP-3258</t>
  </si>
  <si>
    <t>EG07-0227</t>
  </si>
  <si>
    <t>EG07-0007</t>
  </si>
  <si>
    <t>0002-4083</t>
  </si>
  <si>
    <t>EG07-5975</t>
  </si>
  <si>
    <t>EG03-0042</t>
  </si>
  <si>
    <t>ANÁLISIS CAMPAÑA 41– Au</t>
  </si>
  <si>
    <t>ANÁLISIS CAMPAÑA 41 – Ag</t>
  </si>
  <si>
    <t>IP-3269</t>
  </si>
  <si>
    <t>IP-3270</t>
  </si>
  <si>
    <t>IP-3271</t>
  </si>
  <si>
    <t>EG07-0244</t>
  </si>
  <si>
    <t>EG03-0431</t>
  </si>
  <si>
    <t>EG03-0389</t>
  </si>
  <si>
    <t>Término de Análisis</t>
  </si>
  <si>
    <t>CÓDIGO</t>
  </si>
  <si>
    <t>Los resultados obtenidos y que se consigna en el presente informe corresponde FIRE ASSAY o análisis gravimétrico en las muestras recepcionadas por el cliente.</t>
  </si>
  <si>
    <t>IP-3272</t>
  </si>
  <si>
    <t>IP-3273</t>
  </si>
  <si>
    <t>IP-3274</t>
  </si>
  <si>
    <t>IP-3275</t>
  </si>
  <si>
    <t>IP-3276</t>
  </si>
  <si>
    <t>IP-3277</t>
  </si>
  <si>
    <t>IP-3278</t>
  </si>
  <si>
    <t>IP-3279</t>
  </si>
  <si>
    <t>IP-3280</t>
  </si>
  <si>
    <t>MINERA MARQUEZ NMU SERVICIOS MULTIPLES E.I.R.L.</t>
  </si>
  <si>
    <t>0001-0105</t>
  </si>
  <si>
    <t>EG07-0249</t>
  </si>
  <si>
    <t>IP-3281</t>
  </si>
  <si>
    <t>IP-3282</t>
  </si>
  <si>
    <t>IP-3283</t>
  </si>
  <si>
    <t>IP-3284</t>
  </si>
  <si>
    <t>IP-3285</t>
  </si>
  <si>
    <t>IP-3286</t>
  </si>
  <si>
    <t>IP-3287</t>
  </si>
  <si>
    <t>IP-3288</t>
  </si>
  <si>
    <t>EG07-0358</t>
  </si>
  <si>
    <t>EG07-0251</t>
  </si>
  <si>
    <t>IP-3289</t>
  </si>
  <si>
    <t>IP-3290</t>
  </si>
  <si>
    <t>IP-3291</t>
  </si>
  <si>
    <t>CONCESIÓN MINERA: SAÑAICA I - PAMPACHIRI-ANDAHUAYLAS-APURIMAC</t>
  </si>
  <si>
    <t>CONCESIÓN MINERA: NUEVA ALICIA Nº 1 - SAÑAYCA-AYMARAES-APURIMAC</t>
  </si>
  <si>
    <t>CONCESIÓN MINERA: MARIA AUXILIADORA - HUANUHUANU-CARAVELI-AREQUIPA</t>
  </si>
  <si>
    <t>Total C-39</t>
  </si>
  <si>
    <t>Saldo C-38</t>
  </si>
  <si>
    <t>tk 2 en tk C-39</t>
  </si>
  <si>
    <t>tk 3 en tk C-39</t>
  </si>
  <si>
    <t>Total C-40</t>
  </si>
  <si>
    <t>Saldo C-39</t>
  </si>
  <si>
    <t>tk1 C-40</t>
  </si>
  <si>
    <t>tk 2 en tk C-40</t>
  </si>
  <si>
    <t>tk 3 en tk C-40</t>
  </si>
  <si>
    <t>CONCESIÓN MINERA MARIA AUXILIADORA - HUANUHUANU-CARAVELI-AREQUIPA</t>
  </si>
  <si>
    <t>CONCESIÓN MINERA SAN MIGUEL DE UNTUCA -QUIACA-SANDIA-PUNO- C.U: 13006826X01</t>
  </si>
  <si>
    <t>CONCESIÓN MINERA ACUMULACION LOS ROSALES  - VILQUE-PUNO-PUNO</t>
  </si>
  <si>
    <t>CONCESIÓN MINERO: COLONIA 1 - RIO GRANDE-CONDESUYOS-AREQUIPA</t>
  </si>
  <si>
    <t>CONCESIÓN MINERA: MINA SANTA NANCY-CABANILLA-LAMPA-PUNO</t>
  </si>
  <si>
    <t>CONCESIÓN MINERA: COLONIA 1 - RIO GRANDE-CONDESUYOS-AREQUIPA</t>
  </si>
  <si>
    <t>CONCESIÓN MINERA:  JULISSA VI PULLO-PARINACOCHAS-AYACUCHO -CU 010198104</t>
  </si>
  <si>
    <t>CONCESIÓN MINERA: TRACIA II - JAQUI-CARAVELI-AREQUIPA</t>
  </si>
  <si>
    <t>CONCESIÓN MINERA:  VANGUARDIA-HUANUHUANU-CARAVELI-AREQUIPA</t>
  </si>
  <si>
    <t>CONCESIÓN ZORRO 5 - SANCOS-LUCANAS-AYACUCHO</t>
  </si>
  <si>
    <t>CONCESIÓN SAN ALEJANDRO I - MARIANO NICOLAS VALCARCEL-CAMANA-AREQUIPA</t>
  </si>
  <si>
    <t>CONCESIÓN POSCO-MARIANO NICOLAS VALCARCEL-CAMANA-AREQUIPA</t>
  </si>
  <si>
    <t>CONCESIÓN MINERA: LA MINA AS DE ORO-NASCA-NASCA-ICA - CODIGO UNICO 010110501</t>
  </si>
  <si>
    <t>CONCESIÓN MINERA: EL REY NUEVO-CHAPARRA-CARAVELI-AREQUIPA</t>
  </si>
  <si>
    <t>CONCESIÓN MINERA: ADMIRABLE-HUANUHUANU-CARAVELI-AREQUIPA</t>
  </si>
  <si>
    <t>CONCESIÓN MINERA: VANGUARDIA-HUANUHUANU-CARAVELI-AREQUIPA</t>
  </si>
  <si>
    <t>CONCESIÓN MINERA: EL INGE 2006-OTOCA-LUCANAS-AYACUCHO</t>
  </si>
  <si>
    <t>CONCESIÓN MINERA DELICIA - CURPAHUASI-GRAU-APURIMAC</t>
  </si>
  <si>
    <t>ANÁLISIS POR AU</t>
  </si>
  <si>
    <t>IP-3292</t>
  </si>
  <si>
    <t>IP-3293</t>
  </si>
  <si>
    <t>IP-3294</t>
  </si>
  <si>
    <t>IP-3295</t>
  </si>
  <si>
    <t>IP-MERMA</t>
  </si>
  <si>
    <t>LIMPIEZA CHANCADO - MERMA</t>
  </si>
  <si>
    <t>EG07-0807</t>
  </si>
  <si>
    <t>EG03-0706</t>
  </si>
  <si>
    <t>EG07-0255</t>
  </si>
  <si>
    <t>se le descuenta 0.035 a la ley planta para obtener la ley comercial</t>
  </si>
  <si>
    <t>IP-3296</t>
  </si>
  <si>
    <t>IP-3297</t>
  </si>
  <si>
    <t>IP-3298</t>
  </si>
  <si>
    <t>IP-3299</t>
  </si>
  <si>
    <t>IP-3300</t>
  </si>
  <si>
    <t>IP-3301</t>
  </si>
  <si>
    <t>IP-3302</t>
  </si>
  <si>
    <t>IP-3303</t>
  </si>
  <si>
    <t>IP-3304</t>
  </si>
  <si>
    <t>IP-3305</t>
  </si>
  <si>
    <t>IP-3306</t>
  </si>
  <si>
    <t>IP-3307</t>
  </si>
  <si>
    <t>IP-3308</t>
  </si>
  <si>
    <t>IP-3309</t>
  </si>
  <si>
    <t>IP-3310</t>
  </si>
  <si>
    <t>IP-3311</t>
  </si>
  <si>
    <t>IP-3312</t>
  </si>
  <si>
    <t>IP-3313</t>
  </si>
  <si>
    <t>IP-3314</t>
  </si>
  <si>
    <t>IP-3315</t>
  </si>
  <si>
    <t>IP-3316</t>
  </si>
  <si>
    <t>IP-3317</t>
  </si>
  <si>
    <t>IP-3318</t>
  </si>
  <si>
    <t>IP-3319</t>
  </si>
  <si>
    <t>IP-3320</t>
  </si>
  <si>
    <t>INVERSIONES QORI SONQO E.I.R.L</t>
  </si>
  <si>
    <t>PELAYO VARGAS MIGUEL ANGEL</t>
  </si>
  <si>
    <t>CONCESIÓN MINERA: DOMITILA I - EL ORO-ANTABAMBA-APURIMAC</t>
  </si>
  <si>
    <t>IP-3321</t>
  </si>
  <si>
    <t>IP-3322</t>
  </si>
  <si>
    <t>IP-3323</t>
  </si>
  <si>
    <t>IP-3324</t>
  </si>
  <si>
    <t>CONCESIÓN MINERA: DELICIA - CURPAHUASI-GRAU-APURIMAC</t>
  </si>
  <si>
    <t>EG07-0257</t>
  </si>
  <si>
    <t>EG03-1140</t>
  </si>
  <si>
    <t>EG07-0245</t>
  </si>
  <si>
    <t>EG07-0258</t>
  </si>
  <si>
    <t>EG03-1141</t>
  </si>
  <si>
    <t>EG07-0057</t>
  </si>
  <si>
    <t>EG04-0084</t>
  </si>
  <si>
    <t>EG07-0009</t>
  </si>
  <si>
    <t>EG03-0173</t>
  </si>
  <si>
    <t>EG07-0039</t>
  </si>
  <si>
    <t>EG03-0154</t>
  </si>
  <si>
    <t>EG03-8391</t>
  </si>
  <si>
    <t>EG07-0370</t>
  </si>
  <si>
    <t>EG03-0498</t>
  </si>
  <si>
    <t>NOTA IMPORTANTE:</t>
  </si>
  <si>
    <t>El cliente cuenta con un plazo de tres (3) días, contados a partir de la recepción del certificado, para presentar el resultado de su contramuestra o solicitar un remuestreo. Vencido dicho plazo sin que se formulen observaciones, se considerará aceptada la ley reportada y se procederá a emitir la liquidación correspondiente.</t>
  </si>
  <si>
    <t>Fecha de</t>
  </si>
  <si>
    <t>US$ x TC</t>
  </si>
  <si>
    <t>IP-3325</t>
  </si>
  <si>
    <t>IP-3326</t>
  </si>
  <si>
    <t>IP-3327</t>
  </si>
  <si>
    <t>IP-3328</t>
  </si>
  <si>
    <t>IP-3329</t>
  </si>
  <si>
    <t>IP-3330</t>
  </si>
  <si>
    <t>IP-3331</t>
  </si>
  <si>
    <t>IP-3332</t>
  </si>
  <si>
    <t>IP-3333</t>
  </si>
  <si>
    <t>IP-3334</t>
  </si>
  <si>
    <t>IP-3335</t>
  </si>
  <si>
    <t>IP-3336</t>
  </si>
  <si>
    <t>IP-3337</t>
  </si>
  <si>
    <t>IP-3338</t>
  </si>
  <si>
    <t>EG07-6109</t>
  </si>
  <si>
    <t>EG03-0022</t>
  </si>
  <si>
    <t>EG03-0023</t>
  </si>
  <si>
    <t>IP-3339</t>
  </si>
  <si>
    <t>IP-3340</t>
  </si>
  <si>
    <t>IP-3341</t>
  </si>
  <si>
    <t>IP-3342</t>
  </si>
  <si>
    <t>POLVEADO</t>
  </si>
  <si>
    <t>BOLSA DE PLÁSTICO</t>
  </si>
  <si>
    <t>NEWMONT</t>
  </si>
  <si>
    <t>LEY AU Oz/Tc</t>
  </si>
  <si>
    <t>EG03-0060</t>
  </si>
  <si>
    <t>EG03-0059</t>
  </si>
  <si>
    <t>EG07-0252</t>
  </si>
  <si>
    <t>IP-3343</t>
  </si>
  <si>
    <t>IP-3344</t>
  </si>
  <si>
    <t>IP-3345</t>
  </si>
  <si>
    <t>IP-3346</t>
  </si>
  <si>
    <t>IP-3347</t>
  </si>
  <si>
    <t>IP-3348</t>
  </si>
  <si>
    <t>IP-3349</t>
  </si>
  <si>
    <t>IP-3350</t>
  </si>
  <si>
    <t>IP-3351</t>
  </si>
  <si>
    <t>IP-3352</t>
  </si>
  <si>
    <t>IP-3353</t>
  </si>
  <si>
    <t>EG07-6157</t>
  </si>
  <si>
    <t>EG03-0392</t>
  </si>
  <si>
    <t>EG07-0517</t>
  </si>
  <si>
    <t>EG07-0374</t>
  </si>
  <si>
    <t>EG03-0061</t>
  </si>
  <si>
    <t>*RECUP 85% EN LIQUIDACION</t>
  </si>
  <si>
    <t>*RECUP 70% EN LIQUIDACION</t>
  </si>
  <si>
    <t>IP-3354</t>
  </si>
  <si>
    <t>IP-3355</t>
  </si>
  <si>
    <t>IP-3356</t>
  </si>
  <si>
    <t>IP-3357</t>
  </si>
  <si>
    <t>IP-3358</t>
  </si>
  <si>
    <t>IP-3359</t>
  </si>
  <si>
    <t>IP-3360</t>
  </si>
  <si>
    <t>IP-3361</t>
  </si>
  <si>
    <t>IP-3362</t>
  </si>
  <si>
    <t>IP-3363</t>
  </si>
  <si>
    <t>INVERSIONES MAMA COCO Eirl</t>
  </si>
  <si>
    <t>EG07-0379</t>
  </si>
  <si>
    <t>EG03-0486</t>
  </si>
  <si>
    <t>EG07-0380</t>
  </si>
  <si>
    <t>EG07-6221</t>
  </si>
  <si>
    <t>VQQ1-5975</t>
  </si>
  <si>
    <t>IP-3364</t>
  </si>
  <si>
    <t>IP-3365</t>
  </si>
  <si>
    <t>IP-3366</t>
  </si>
  <si>
    <t>IP-3367</t>
  </si>
  <si>
    <t>IP-3368</t>
  </si>
  <si>
    <t>IP-3369</t>
  </si>
  <si>
    <t>IP-3370</t>
  </si>
  <si>
    <t>IP-3371</t>
  </si>
  <si>
    <t>IP-3372</t>
  </si>
  <si>
    <t>IP-3373</t>
  </si>
  <si>
    <t>IP-3374</t>
  </si>
  <si>
    <t>IP-3375</t>
  </si>
  <si>
    <t>IP-3376</t>
  </si>
  <si>
    <t>IP-3377</t>
  </si>
  <si>
    <t>IP-3378</t>
  </si>
  <si>
    <t>IP-3379</t>
  </si>
  <si>
    <t>IP-3380</t>
  </si>
  <si>
    <t>IP-3381</t>
  </si>
  <si>
    <t>IP-3382</t>
  </si>
  <si>
    <t>IP-3383</t>
  </si>
  <si>
    <t>IP-3384</t>
  </si>
  <si>
    <t>IP-3385</t>
  </si>
  <si>
    <t>IP-3386</t>
  </si>
  <si>
    <t>IP-3387</t>
  </si>
  <si>
    <t>IP-3388</t>
  </si>
  <si>
    <t>IP-3389</t>
  </si>
  <si>
    <t>IP-3390</t>
  </si>
  <si>
    <t>IP-3391</t>
  </si>
  <si>
    <t>IP-3392</t>
  </si>
  <si>
    <t>IP-3393</t>
  </si>
  <si>
    <t>IP-3394</t>
  </si>
  <si>
    <t>IP-3395</t>
  </si>
  <si>
    <t>IP-3396</t>
  </si>
  <si>
    <t>IP-3397</t>
  </si>
  <si>
    <t>IP-3398</t>
  </si>
  <si>
    <t>IP-3399</t>
  </si>
  <si>
    <t>IP-3400</t>
  </si>
  <si>
    <t>IP-3401</t>
  </si>
  <si>
    <t>IP-3402</t>
  </si>
  <si>
    <t>IP-3403</t>
  </si>
  <si>
    <t>IP-3404</t>
  </si>
  <si>
    <t>IP-3405</t>
  </si>
  <si>
    <t>IP-3406</t>
  </si>
  <si>
    <t>IP-3407</t>
  </si>
  <si>
    <t>EG07-6232</t>
  </si>
  <si>
    <t>EG03-0241</t>
  </si>
  <si>
    <t>EG07-6248</t>
  </si>
  <si>
    <t>EG03-4075</t>
  </si>
  <si>
    <t>EG03-4076</t>
  </si>
  <si>
    <t>EG07-0256</t>
  </si>
  <si>
    <t>EG07-0040</t>
  </si>
  <si>
    <t>EG03-0121</t>
  </si>
  <si>
    <t>EG07-0521</t>
  </si>
  <si>
    <t>EG03-0990</t>
  </si>
  <si>
    <t>EG07-6267</t>
  </si>
  <si>
    <t>SE HIZO DIRIMENCIA</t>
  </si>
  <si>
    <t>SE PUSO UNA RECUPERACION NOMINAL DE 78%</t>
  </si>
  <si>
    <t>SE LIQUIDO CON LEY DE MUESTREO</t>
  </si>
  <si>
    <t>IP-3408</t>
  </si>
  <si>
    <t>IP-3409</t>
  </si>
  <si>
    <t>IP-3410</t>
  </si>
  <si>
    <t>IP-3411</t>
  </si>
  <si>
    <t>EG07-0385</t>
  </si>
  <si>
    <t>EG03-0489</t>
  </si>
  <si>
    <t>EG03-0066</t>
  </si>
  <si>
    <t>IP-3412</t>
  </si>
  <si>
    <t>IP-3413</t>
  </si>
  <si>
    <t>IP-3414</t>
  </si>
  <si>
    <t>IP-3415</t>
  </si>
  <si>
    <t>IP-3416</t>
  </si>
  <si>
    <t>IP-3417</t>
  </si>
  <si>
    <t>IP-3418</t>
  </si>
  <si>
    <t>IP-3419</t>
  </si>
  <si>
    <t>IP-3420</t>
  </si>
  <si>
    <t>IP-3421</t>
  </si>
  <si>
    <t>EG07-0260</t>
  </si>
  <si>
    <t>ANÁLISIS CAMPAÑA 42– Au</t>
  </si>
  <si>
    <t>ANÁLISIS CAMPAÑA 42 – Ag</t>
  </si>
  <si>
    <t>IP-3422</t>
  </si>
  <si>
    <t>IP-3423</t>
  </si>
  <si>
    <t>IP-3424</t>
  </si>
  <si>
    <t>IP-3425</t>
  </si>
  <si>
    <t>IP-3426</t>
  </si>
  <si>
    <t>INVERSIONES MANAURY F E.I.R.L.</t>
  </si>
  <si>
    <t>CONCESION MINERA SANTA ROSA DE SOPHIA-OCAÑA-LUCANAS-AYACUCHO - C.U. 010022399</t>
  </si>
  <si>
    <t>Total C-41</t>
  </si>
  <si>
    <t>Saldo C-40</t>
  </si>
  <si>
    <t>tk1 C-41</t>
  </si>
  <si>
    <t>tk 2 en tk C-41</t>
  </si>
  <si>
    <t>tk 3 en tk C-41</t>
  </si>
  <si>
    <t>Nota: aquí entro barridos 308 gr</t>
  </si>
  <si>
    <t>Nuevo saldo</t>
  </si>
  <si>
    <t>IP-3427</t>
  </si>
  <si>
    <t>IP-3428</t>
  </si>
  <si>
    <t>IP-3429</t>
  </si>
  <si>
    <t>IP-3430</t>
  </si>
  <si>
    <t>IP-3431</t>
  </si>
  <si>
    <t>IP-3432</t>
  </si>
  <si>
    <t>IP-3433</t>
  </si>
  <si>
    <t>IP-3434</t>
  </si>
  <si>
    <t>IP-3435</t>
  </si>
  <si>
    <t>IP-3436</t>
  </si>
  <si>
    <t>IP-3437</t>
  </si>
  <si>
    <t>IP-3438</t>
  </si>
  <si>
    <t>IP-3439</t>
  </si>
  <si>
    <t>IP-3440</t>
  </si>
  <si>
    <t>IP-3441</t>
  </si>
  <si>
    <t>IP-3442</t>
  </si>
  <si>
    <t>IP-3443</t>
  </si>
  <si>
    <t>IP-3444</t>
  </si>
  <si>
    <t>IP-3445</t>
  </si>
  <si>
    <t>CONCESIÓN SALCOCHA 101 - HUANUHUANU-CARAVELI-AREQUIPA</t>
  </si>
  <si>
    <t>IP-3446</t>
  </si>
  <si>
    <t>IP-3447</t>
  </si>
  <si>
    <t>IP-3448</t>
  </si>
  <si>
    <t>IP-3449</t>
  </si>
  <si>
    <t>IP-3450</t>
  </si>
  <si>
    <t>IP-3451</t>
  </si>
  <si>
    <t>IP-3452</t>
  </si>
  <si>
    <t>IP-3453</t>
  </si>
  <si>
    <t>IP-3454</t>
  </si>
  <si>
    <t>IP-3455</t>
  </si>
  <si>
    <t>*RECUPERACION EN LIQUIDACION 90% (VALOR NOMINAL)</t>
  </si>
  <si>
    <t>*RECUPERACION EN LIQUIDACION 85% (VALOR NOMINAL)</t>
  </si>
  <si>
    <t>tk1 +tk2 C-39</t>
  </si>
  <si>
    <t>Perdida C39</t>
  </si>
  <si>
    <t>Perdida C40</t>
  </si>
  <si>
    <t>Sacos sucios</t>
  </si>
  <si>
    <t>Neto C39 y C40</t>
  </si>
  <si>
    <t xml:space="preserve"> Hoja de Valorizacion minerales auríferos</t>
  </si>
  <si>
    <t>IP-0000</t>
  </si>
  <si>
    <t>LEY PONDERADA + 0.002 MILESIMAS</t>
  </si>
  <si>
    <t>*LEY PONDERADA + 2 MILESIMAS</t>
  </si>
  <si>
    <t>IP-3456</t>
  </si>
  <si>
    <t>IP-3457</t>
  </si>
  <si>
    <t>IP-3458</t>
  </si>
  <si>
    <t>IP-3459</t>
  </si>
  <si>
    <t>IP-3460</t>
  </si>
  <si>
    <t>IP-3461</t>
  </si>
  <si>
    <t>IP-3462</t>
  </si>
  <si>
    <t>IP-3463</t>
  </si>
  <si>
    <t>IP-3464</t>
  </si>
  <si>
    <t>IP-3465</t>
  </si>
  <si>
    <t>EG03-0246</t>
  </si>
  <si>
    <t>EG07-0286</t>
  </si>
  <si>
    <t>EG03-0103</t>
  </si>
  <si>
    <t>EG03-0458</t>
  </si>
  <si>
    <t>EG07-0054</t>
  </si>
  <si>
    <t>EG07-0055</t>
  </si>
  <si>
    <t>EG03-0315</t>
  </si>
  <si>
    <t>EG07-0289</t>
  </si>
  <si>
    <t>EG03-0063</t>
  </si>
  <si>
    <t>EG07-0391</t>
  </si>
  <si>
    <t>IP-3466</t>
  </si>
  <si>
    <t>IP-3467</t>
  </si>
  <si>
    <t>IP-3468</t>
  </si>
  <si>
    <t>IP-3469</t>
  </si>
  <si>
    <t>IP-3470</t>
  </si>
  <si>
    <t>IP-3471</t>
  </si>
  <si>
    <t>IP-3472</t>
  </si>
  <si>
    <t>IP-3473</t>
  </si>
  <si>
    <t>IP-3474</t>
  </si>
  <si>
    <t>IP-3475</t>
  </si>
  <si>
    <t>IP-3476</t>
  </si>
  <si>
    <t>IP-3477</t>
  </si>
  <si>
    <t>*Diff ley comercial 0.024</t>
  </si>
  <si>
    <t>IP-3478</t>
  </si>
  <si>
    <t>IP-3479</t>
  </si>
  <si>
    <t>IP-3480</t>
  </si>
  <si>
    <t>IP-3481</t>
  </si>
  <si>
    <t>IP-3482</t>
  </si>
  <si>
    <t>IP-3483</t>
  </si>
  <si>
    <t>EG07-0387</t>
  </si>
  <si>
    <t>EG07-0393</t>
  </si>
  <si>
    <t>EG07-0394</t>
  </si>
  <si>
    <t>EG07-0104</t>
  </si>
  <si>
    <t>EG03-4151</t>
  </si>
  <si>
    <t>EG07-0268</t>
  </si>
  <si>
    <t>EG03-4153</t>
  </si>
  <si>
    <t>EG07-0398</t>
  </si>
  <si>
    <t>EG07-0399</t>
  </si>
  <si>
    <t>% LEY</t>
  </si>
  <si>
    <t xml:space="preserve">DIFERENCIA MIN LEY </t>
  </si>
  <si>
    <t>EG03-0346</t>
  </si>
  <si>
    <t>EG07-0400</t>
  </si>
  <si>
    <t>EG07-0401</t>
  </si>
  <si>
    <t>IP-3484</t>
  </si>
  <si>
    <t>IP-3485</t>
  </si>
  <si>
    <t>IP-3486</t>
  </si>
  <si>
    <t>ANÁLISIS CAMPAÑA 43– Au</t>
  </si>
  <si>
    <t>ANÁLISIS CAMPAÑA 43 – Ag</t>
  </si>
  <si>
    <t>IP-3487</t>
  </si>
  <si>
    <t>IP-3488</t>
  </si>
  <si>
    <t>IP-3489</t>
  </si>
  <si>
    <t>IP-3490</t>
  </si>
  <si>
    <t>IP-3491</t>
  </si>
  <si>
    <t>IP-3492</t>
  </si>
  <si>
    <t>IP-3493</t>
  </si>
  <si>
    <t>*EN LIQUIDACION CON RECUP 85</t>
  </si>
  <si>
    <t>*EN LIQUIDACION CON RECUP 90</t>
  </si>
  <si>
    <t xml:space="preserve">LEY MINIMA </t>
  </si>
  <si>
    <t>Total C-42</t>
  </si>
  <si>
    <t>Saldo C-41</t>
  </si>
  <si>
    <t>tk1 C-42</t>
  </si>
  <si>
    <t>tk 2 en tk C-42</t>
  </si>
  <si>
    <t>tk 3 en tk C-42</t>
  </si>
  <si>
    <t>IP-3494</t>
  </si>
  <si>
    <t>IP-3495</t>
  </si>
  <si>
    <t>IP-3496</t>
  </si>
  <si>
    <t>IP-3497</t>
  </si>
  <si>
    <t>IP-3498</t>
  </si>
  <si>
    <t>IP-3499</t>
  </si>
  <si>
    <t>IP-3500</t>
  </si>
  <si>
    <t>IP-3501</t>
  </si>
  <si>
    <t>IP-3502</t>
  </si>
  <si>
    <t>RONALD</t>
  </si>
  <si>
    <t>EG03-0019</t>
  </si>
  <si>
    <t>EG03-1325</t>
  </si>
  <si>
    <t>EG03-0247</t>
  </si>
  <si>
    <t>EG03-0067</t>
  </si>
  <si>
    <t>*SE LIQUIDA CON LEY DIRIMENCIA</t>
  </si>
  <si>
    <t>*EXCEPCIONALMENTE SE LIQUIDA CON LEY 0.100</t>
  </si>
  <si>
    <t>*EN LIQUIDACION RECUP% 85</t>
  </si>
  <si>
    <t>*saldo percy, saldo milton fue 1,000.89</t>
  </si>
  <si>
    <t>IP-3503</t>
  </si>
  <si>
    <t>IP-3504</t>
  </si>
  <si>
    <t>IP-3505</t>
  </si>
  <si>
    <t>IP-3506</t>
  </si>
  <si>
    <t>IP-3507</t>
  </si>
  <si>
    <t>IP-3508</t>
  </si>
  <si>
    <t>IP-3509</t>
  </si>
  <si>
    <t>IP-3510</t>
  </si>
  <si>
    <t>IP-3511</t>
  </si>
  <si>
    <t>IP-3512</t>
  </si>
  <si>
    <t>IP-3513</t>
  </si>
  <si>
    <t>IP-3514</t>
  </si>
  <si>
    <t>IP-3515</t>
  </si>
  <si>
    <t>IP-3516</t>
  </si>
  <si>
    <t>IP-3517</t>
  </si>
  <si>
    <t>IP-3518</t>
  </si>
  <si>
    <t>IP-3519</t>
  </si>
  <si>
    <t>IP-3520</t>
  </si>
  <si>
    <t>EG03-0661</t>
  </si>
  <si>
    <t>EG03-0663</t>
  </si>
  <si>
    <t>EG03-4190</t>
  </si>
  <si>
    <t>IP-3521</t>
  </si>
  <si>
    <t>IP-3522</t>
  </si>
  <si>
    <t>IP-3523</t>
  </si>
  <si>
    <t>IP-3524</t>
  </si>
  <si>
    <t>IP-3525</t>
  </si>
  <si>
    <t>IP-3526</t>
  </si>
  <si>
    <t>IP-3527</t>
  </si>
  <si>
    <t>IP-3528</t>
  </si>
  <si>
    <t>IP-3529</t>
  </si>
  <si>
    <t>IP-3530</t>
  </si>
  <si>
    <t>IP-3531</t>
  </si>
  <si>
    <t>IP-3532</t>
  </si>
  <si>
    <t>IP-3533</t>
  </si>
  <si>
    <t>IP-3534</t>
  </si>
  <si>
    <t>IP-3535</t>
  </si>
  <si>
    <t>EMPRESA MINERA SAYMED E.I.R.L.</t>
  </si>
  <si>
    <t>CONCESION MINERA: CERRO VERDE BL - PUNO - SANDIA - PHARA</t>
  </si>
  <si>
    <t>EG03-0371</t>
  </si>
  <si>
    <t>EG03-0031</t>
  </si>
  <si>
    <t>IP-3536</t>
  </si>
  <si>
    <t>IP-3537</t>
  </si>
  <si>
    <t>IP-3538</t>
  </si>
  <si>
    <t>IP-3539</t>
  </si>
  <si>
    <t>IP-3540</t>
  </si>
  <si>
    <t>IP-3541</t>
  </si>
  <si>
    <t>IP-3542</t>
  </si>
  <si>
    <t>IP-3543</t>
  </si>
  <si>
    <t>IP-3544</t>
  </si>
  <si>
    <t>IP-3545</t>
  </si>
  <si>
    <t>IP-3546</t>
  </si>
  <si>
    <t>IP-3547</t>
  </si>
  <si>
    <t>IP-3548</t>
  </si>
  <si>
    <t>IP-3549</t>
  </si>
  <si>
    <t>IP-3550</t>
  </si>
  <si>
    <t>IP-3551</t>
  </si>
  <si>
    <t>IP-3552</t>
  </si>
  <si>
    <t>IP-3553</t>
  </si>
  <si>
    <t>IP-3554</t>
  </si>
  <si>
    <t>IP-3555</t>
  </si>
  <si>
    <t>EG03-8630</t>
  </si>
  <si>
    <t>EG03-8634</t>
  </si>
  <si>
    <t>EG03-0029</t>
  </si>
  <si>
    <t>*EN LIQUIDACION RECUP% 90</t>
  </si>
  <si>
    <t>ACOPIO</t>
  </si>
  <si>
    <t>CONSUMO</t>
  </si>
  <si>
    <t>ANÁLISIS CAMPAÑA 44– Au</t>
  </si>
  <si>
    <t>ANÁLISIS CAMPAÑA 44 – Ag</t>
  </si>
  <si>
    <t>IP-3556</t>
  </si>
  <si>
    <t>IP-3557</t>
  </si>
  <si>
    <t>IP-3558</t>
  </si>
  <si>
    <t>IP-3559</t>
  </si>
  <si>
    <t>IP-3560</t>
  </si>
  <si>
    <t>IP-3561</t>
  </si>
  <si>
    <t>IP-3562</t>
  </si>
  <si>
    <t>IP-3563</t>
  </si>
  <si>
    <t>IP-3564</t>
  </si>
  <si>
    <t>IP-3565</t>
  </si>
  <si>
    <t>IP-3566</t>
  </si>
  <si>
    <t>IP-3567</t>
  </si>
  <si>
    <t>IP-3568</t>
  </si>
  <si>
    <t>IP-3569</t>
  </si>
  <si>
    <t>IP-3570</t>
  </si>
  <si>
    <t>IP-3571</t>
  </si>
  <si>
    <t>IP-3572</t>
  </si>
  <si>
    <t>IP-3573</t>
  </si>
  <si>
    <t>IP-3574</t>
  </si>
  <si>
    <t>IP-3575</t>
  </si>
  <si>
    <t>IP-3576</t>
  </si>
  <si>
    <t>IP-3577</t>
  </si>
  <si>
    <t>IP-3578</t>
  </si>
  <si>
    <t>IP-3579</t>
  </si>
  <si>
    <t>IP-3580</t>
  </si>
  <si>
    <t>IP-3581</t>
  </si>
  <si>
    <t>IP-3582</t>
  </si>
  <si>
    <t>IP-3583</t>
  </si>
  <si>
    <t>IP-3584</t>
  </si>
  <si>
    <t>IP-3585</t>
  </si>
  <si>
    <t>IP-3586</t>
  </si>
  <si>
    <t>IP-3587</t>
  </si>
  <si>
    <t>IP-3588</t>
  </si>
  <si>
    <t>EG03-8620</t>
  </si>
  <si>
    <t>IP-3589</t>
  </si>
  <si>
    <t>IP-3590</t>
  </si>
  <si>
    <t>IP-3591</t>
  </si>
  <si>
    <t>EG03-0128</t>
  </si>
  <si>
    <t>IP-3592</t>
  </si>
  <si>
    <t>IP-3593</t>
  </si>
  <si>
    <t>IP-3594</t>
  </si>
  <si>
    <t>IP-3595</t>
  </si>
  <si>
    <t>IP-3596</t>
  </si>
  <si>
    <t>IP-3597</t>
  </si>
  <si>
    <t>IP-3598</t>
  </si>
  <si>
    <t>IP-3599</t>
  </si>
  <si>
    <t>IP-3600</t>
  </si>
  <si>
    <t>IP-3601</t>
  </si>
  <si>
    <t>IP-3602</t>
  </si>
  <si>
    <t>IP-3603</t>
  </si>
  <si>
    <t>IP-3604</t>
  </si>
  <si>
    <t>IP-3605</t>
  </si>
  <si>
    <t>EG03-0510</t>
  </si>
  <si>
    <t>EG03-0511</t>
  </si>
  <si>
    <t>EG03-0512</t>
  </si>
  <si>
    <t>LUIS CALLA</t>
  </si>
  <si>
    <t>HUBER LLAMOCA</t>
  </si>
  <si>
    <t>RICHARD VARGAS</t>
  </si>
  <si>
    <t>SERGIO MAMANI</t>
  </si>
  <si>
    <t>FABIAN ORTIZ</t>
  </si>
  <si>
    <t>LUCIO MAMANI</t>
  </si>
  <si>
    <t>ROY YANAPA</t>
  </si>
  <si>
    <t>JULIAN</t>
  </si>
  <si>
    <t>FLAYVER</t>
  </si>
  <si>
    <t>LUCY</t>
  </si>
  <si>
    <t>EG03-0159</t>
  </si>
  <si>
    <t>JHONY LAURA</t>
  </si>
  <si>
    <t>FREDDY QUILLA</t>
  </si>
  <si>
    <t>BRUNO MACHACA</t>
  </si>
  <si>
    <t>JAIME CASTRO</t>
  </si>
  <si>
    <t>YONI LIZARRAGA</t>
  </si>
  <si>
    <t>FLORA GEMIO</t>
  </si>
  <si>
    <t xml:space="preserve">LEONARDA </t>
  </si>
  <si>
    <t>SOFIA MAMANI</t>
  </si>
  <si>
    <t>JUAN MAMNI</t>
  </si>
  <si>
    <t>YEREMY</t>
  </si>
  <si>
    <t>IP-3606</t>
  </si>
  <si>
    <t>IP-3607</t>
  </si>
  <si>
    <t>IP-3608</t>
  </si>
  <si>
    <t>IP-3609</t>
  </si>
  <si>
    <t>IP-3610</t>
  </si>
  <si>
    <t>IP-3611</t>
  </si>
  <si>
    <t>IP-3612</t>
  </si>
  <si>
    <t>IP-3613</t>
  </si>
  <si>
    <t>IP-3614</t>
  </si>
  <si>
    <t>IP-3615</t>
  </si>
  <si>
    <t>CAMILA</t>
  </si>
  <si>
    <t>YAQUELIN</t>
  </si>
  <si>
    <t>YHERSON</t>
  </si>
  <si>
    <t>GAVINO</t>
  </si>
  <si>
    <t>EG03-8684</t>
  </si>
  <si>
    <t>EG03-0428</t>
  </si>
  <si>
    <t>IP-3616</t>
  </si>
  <si>
    <t>IP-3617</t>
  </si>
  <si>
    <t>IP-3618</t>
  </si>
  <si>
    <t>IP-3619</t>
  </si>
  <si>
    <t>IP-3620</t>
  </si>
  <si>
    <t>IP-3621</t>
  </si>
  <si>
    <t>EG03-0632</t>
  </si>
  <si>
    <t>IP-3622</t>
  </si>
  <si>
    <t>IP-3623</t>
  </si>
  <si>
    <t>IP-3624</t>
  </si>
  <si>
    <t>IP-3625</t>
  </si>
  <si>
    <t>IP-3626</t>
  </si>
  <si>
    <t>IP-3627</t>
  </si>
  <si>
    <t>IP-3628</t>
  </si>
  <si>
    <t>IP-3629</t>
  </si>
  <si>
    <t>Total C-43</t>
  </si>
  <si>
    <t>Saldo C-42</t>
  </si>
  <si>
    <t>tk1 C-43</t>
  </si>
  <si>
    <t>tk 2 en tk C-43</t>
  </si>
  <si>
    <t>tk 3 en tk C-43</t>
  </si>
  <si>
    <t xml:space="preserve">JULIA </t>
  </si>
  <si>
    <t>HAYDE</t>
  </si>
  <si>
    <t>*SE LIQUIDA CON LEY MINERO POR QUE LEY DIRIMENTE FUE MAYOR</t>
  </si>
  <si>
    <t>IP-3630</t>
  </si>
  <si>
    <t>IP-3631</t>
  </si>
  <si>
    <t>IP-3632</t>
  </si>
  <si>
    <t>IP-3633</t>
  </si>
  <si>
    <t>IP-3634</t>
  </si>
  <si>
    <t>SERGIO TICONA</t>
  </si>
  <si>
    <t>FELY LIPA</t>
  </si>
  <si>
    <t>ANÁLISIS CAMPAÑA 45– Au</t>
  </si>
  <si>
    <t>ANÁLISIS CAMPAÑA 45 – Ag</t>
  </si>
  <si>
    <t>EG03-1374</t>
  </si>
  <si>
    <t>EG03-8712</t>
  </si>
  <si>
    <t>IP-3635</t>
  </si>
  <si>
    <t>IP-3636</t>
  </si>
  <si>
    <t>IP-3637</t>
  </si>
  <si>
    <t>IP-3638</t>
  </si>
  <si>
    <t>IP-3639</t>
  </si>
  <si>
    <t>IP-3640</t>
  </si>
  <si>
    <t>IP-3641</t>
  </si>
  <si>
    <t>IP-3642</t>
  </si>
  <si>
    <t>IP-3643</t>
  </si>
  <si>
    <t>IP-3644</t>
  </si>
  <si>
    <t>IP-3645</t>
  </si>
  <si>
    <t>IP-3646</t>
  </si>
  <si>
    <t>IP-3647</t>
  </si>
  <si>
    <t>IP-3648</t>
  </si>
  <si>
    <t>IP-3649</t>
  </si>
  <si>
    <t>IP-3650</t>
  </si>
  <si>
    <t>IP-3651</t>
  </si>
  <si>
    <t>IP-3652</t>
  </si>
  <si>
    <t>IP-3653</t>
  </si>
  <si>
    <t>JUAN</t>
  </si>
  <si>
    <t>PABLO</t>
  </si>
  <si>
    <t>EDUARDO</t>
  </si>
  <si>
    <t>EFRAIN LAURA</t>
  </si>
  <si>
    <t>JAIME CHIPANA</t>
  </si>
  <si>
    <t>IP-3654</t>
  </si>
  <si>
    <t>IP-3655</t>
  </si>
  <si>
    <t>IP-3656</t>
  </si>
  <si>
    <t>IP-3657</t>
  </si>
  <si>
    <t>IP-3658</t>
  </si>
  <si>
    <t>IP-3659</t>
  </si>
  <si>
    <t>IP-3660</t>
  </si>
  <si>
    <t>IP-3661</t>
  </si>
  <si>
    <t>IP-3662</t>
  </si>
  <si>
    <t>IP-3663</t>
  </si>
  <si>
    <t>IP-3664</t>
  </si>
  <si>
    <t>IP-3665</t>
  </si>
  <si>
    <t>IP-3666</t>
  </si>
  <si>
    <t>IP-3667</t>
  </si>
  <si>
    <t>RAQUEL</t>
  </si>
  <si>
    <t>EFRAIN</t>
  </si>
  <si>
    <t>EG03-0274</t>
  </si>
  <si>
    <t>EG03-0163</t>
  </si>
  <si>
    <t>IP-3668</t>
  </si>
  <si>
    <t>IP-3669</t>
  </si>
  <si>
    <t>IP-3670</t>
  </si>
  <si>
    <t>IP-3671</t>
  </si>
  <si>
    <t>IP-3672</t>
  </si>
  <si>
    <t>IP-3673</t>
  </si>
  <si>
    <t>IP-3674</t>
  </si>
  <si>
    <t>IP-3675</t>
  </si>
  <si>
    <t>IP-3676</t>
  </si>
  <si>
    <t>IP-3677</t>
  </si>
  <si>
    <t>IP-3678</t>
  </si>
  <si>
    <t>IP-3679</t>
  </si>
  <si>
    <t>IP-3680</t>
  </si>
  <si>
    <t>IP-3681</t>
  </si>
  <si>
    <t>IP-3682</t>
  </si>
  <si>
    <t>IP-3683</t>
  </si>
  <si>
    <t>IP-3684</t>
  </si>
  <si>
    <t>EG03-0218</t>
  </si>
  <si>
    <t>EG03-0045</t>
  </si>
  <si>
    <t>EG03-0369</t>
  </si>
  <si>
    <t>RENE  CALIZAYA</t>
  </si>
  <si>
    <t>RICHARD CALIZAYA</t>
  </si>
  <si>
    <t>ALEX MAMANI</t>
  </si>
  <si>
    <t>ELISEO HUAMANI</t>
  </si>
  <si>
    <t>YONI CACERES</t>
  </si>
  <si>
    <t>YERALD TICONA</t>
  </si>
  <si>
    <t xml:space="preserve">DAVID TICONA </t>
  </si>
  <si>
    <t>ESTHER MAMANI</t>
  </si>
  <si>
    <t>IP-3685</t>
  </si>
  <si>
    <t>IP-3686</t>
  </si>
  <si>
    <t>IP-3687</t>
  </si>
  <si>
    <t>IP-3688</t>
  </si>
  <si>
    <t>IP-3689</t>
  </si>
  <si>
    <t>IP-3690</t>
  </si>
  <si>
    <t>IP-3691</t>
  </si>
  <si>
    <t>IP-3692</t>
  </si>
  <si>
    <t>IP-3693</t>
  </si>
  <si>
    <t>IP-3694</t>
  </si>
  <si>
    <t>IP-3695</t>
  </si>
  <si>
    <t>IP-3696</t>
  </si>
  <si>
    <t>IP-3697</t>
  </si>
  <si>
    <t>IP-3698</t>
  </si>
  <si>
    <t>IP-3699</t>
  </si>
  <si>
    <t>IP-3700</t>
  </si>
  <si>
    <t>IP-3701</t>
  </si>
  <si>
    <t>IP-3702</t>
  </si>
  <si>
    <t>IP-3703</t>
  </si>
  <si>
    <t>IP-3704</t>
  </si>
  <si>
    <t>IP-3705</t>
  </si>
  <si>
    <t>IP-3706</t>
  </si>
  <si>
    <t>IP-3707</t>
  </si>
  <si>
    <t>IP-3708</t>
  </si>
  <si>
    <t>IP-3709</t>
  </si>
  <si>
    <t>JUSTINA</t>
  </si>
  <si>
    <t>NATALY</t>
  </si>
  <si>
    <t>RONALDO</t>
  </si>
  <si>
    <t>JOSE</t>
  </si>
  <si>
    <t>WALTER</t>
  </si>
  <si>
    <t>RUTH</t>
  </si>
  <si>
    <t>WASHINGTON</t>
  </si>
  <si>
    <t>SONIA</t>
  </si>
  <si>
    <t>PERCY</t>
  </si>
  <si>
    <t>JACK</t>
  </si>
  <si>
    <t>RUTH QUILLA</t>
  </si>
  <si>
    <t>EG03-4287</t>
  </si>
  <si>
    <t>EG03-0524</t>
  </si>
  <si>
    <t>EG03-0525</t>
  </si>
  <si>
    <t>EG03-0526</t>
  </si>
  <si>
    <t>THALIA</t>
  </si>
  <si>
    <t>ROSA</t>
  </si>
  <si>
    <t>IP-3710</t>
  </si>
  <si>
    <t>IP-3711</t>
  </si>
  <si>
    <t>IP-3712</t>
  </si>
  <si>
    <t>IP-3713</t>
  </si>
  <si>
    <t>IP-3714</t>
  </si>
  <si>
    <t>IP-3715</t>
  </si>
  <si>
    <t>IP-3716</t>
  </si>
  <si>
    <t>IP-3717</t>
  </si>
  <si>
    <t>IP-3718</t>
  </si>
  <si>
    <t>IP-3719</t>
  </si>
  <si>
    <t>IP-3720</t>
  </si>
  <si>
    <t>IP-3721</t>
  </si>
  <si>
    <t>IP-3722</t>
  </si>
  <si>
    <t>IP-3723</t>
  </si>
  <si>
    <t>IP-3724</t>
  </si>
  <si>
    <t>IP-3725</t>
  </si>
  <si>
    <t>EXPLORER MINING APAZA S.A.C.</t>
  </si>
  <si>
    <t>CONCESION MINERA: PAQUITA DOS 2004 VELILLE-CHUMBIVILCAS-CUSCO</t>
  </si>
  <si>
    <t>CONCESIÓN MINERA: NUEVA ALICIA Nº 2 - PAMPACHIRI -ANDAHUAYLAS - APURIMAC</t>
  </si>
  <si>
    <t>EG03-0717</t>
  </si>
  <si>
    <t>EG03-0365</t>
  </si>
  <si>
    <t>EG03-0203</t>
  </si>
  <si>
    <t>* RECUP EN LIQUIDACION 85</t>
  </si>
  <si>
    <t>IP-3726</t>
  </si>
  <si>
    <t>IP-3727</t>
  </si>
  <si>
    <t>IP-3728</t>
  </si>
  <si>
    <t>IP-3729</t>
  </si>
  <si>
    <t>IP-3730</t>
  </si>
  <si>
    <t>IP-3731</t>
  </si>
  <si>
    <t>IP-3732</t>
  </si>
  <si>
    <t>IP-3733</t>
  </si>
  <si>
    <t>IP-3734</t>
  </si>
  <si>
    <t>IP-3735</t>
  </si>
  <si>
    <t>IP-3736</t>
  </si>
  <si>
    <t>IP-3737</t>
  </si>
  <si>
    <t>IP-3738</t>
  </si>
  <si>
    <t>IP-3739</t>
  </si>
  <si>
    <t>IP-3740</t>
  </si>
  <si>
    <t>IP-3741</t>
  </si>
  <si>
    <t>IP-3742</t>
  </si>
  <si>
    <t>IP-3743</t>
  </si>
  <si>
    <t>IP-3744</t>
  </si>
  <si>
    <t>IP-3745</t>
  </si>
  <si>
    <t>IP-3746</t>
  </si>
  <si>
    <t>IP-3747</t>
  </si>
  <si>
    <t>IP-3748</t>
  </si>
  <si>
    <t>PEÑA HUILLCARA GONZALO OLIVER</t>
  </si>
  <si>
    <t>CONCESIÓN MINERA: SA3002 - COLQUEMARCA-CHUMBIVILCAS-CUSCO</t>
  </si>
  <si>
    <t>EG03-0140</t>
  </si>
  <si>
    <t>EG03-0141</t>
  </si>
  <si>
    <t>EG03-0099</t>
  </si>
  <si>
    <t>EG03-0234</t>
  </si>
  <si>
    <t>EG03-0120</t>
  </si>
  <si>
    <t>EG03-0399</t>
  </si>
  <si>
    <t>EG03-0398</t>
  </si>
  <si>
    <t>IP-3749</t>
  </si>
  <si>
    <t>DELIA</t>
  </si>
  <si>
    <t>MODESTO TICONA</t>
  </si>
  <si>
    <t>YHOR</t>
  </si>
  <si>
    <t>BERNABE</t>
  </si>
  <si>
    <t>JILMER</t>
  </si>
  <si>
    <t>Total C-44</t>
  </si>
  <si>
    <t>Saldo C-43</t>
  </si>
  <si>
    <t>tk1 C-44</t>
  </si>
  <si>
    <t>tk 2 en tk C-44</t>
  </si>
  <si>
    <t>tk 3 en tk C-44</t>
  </si>
  <si>
    <t>JAWASA S.A. (AT)</t>
  </si>
  <si>
    <t>IP-3750</t>
  </si>
  <si>
    <t>IP-3751</t>
  </si>
  <si>
    <t>IP-3752</t>
  </si>
  <si>
    <t>IP-3753</t>
  </si>
  <si>
    <t>IP-3754</t>
  </si>
  <si>
    <t>IP-3755</t>
  </si>
  <si>
    <t>IP-3756</t>
  </si>
  <si>
    <t>IP-3757</t>
  </si>
  <si>
    <t>IP-3758</t>
  </si>
  <si>
    <t>IP-3759</t>
  </si>
  <si>
    <t>IP-3760</t>
  </si>
  <si>
    <t>IP-3761</t>
  </si>
  <si>
    <t>IP-3762</t>
  </si>
  <si>
    <t>IP-3763</t>
  </si>
  <si>
    <t>IP-3764</t>
  </si>
  <si>
    <t>IP-3765</t>
  </si>
  <si>
    <t>IP-3766</t>
  </si>
  <si>
    <t>IP-3767</t>
  </si>
  <si>
    <t>IP-3768</t>
  </si>
  <si>
    <t>EG03-0391</t>
  </si>
  <si>
    <t>EG03-0276</t>
  </si>
  <si>
    <t>EG03-0745</t>
  </si>
  <si>
    <t>EFIN</t>
  </si>
  <si>
    <t>EFRIN</t>
  </si>
  <si>
    <t>RUFO</t>
  </si>
  <si>
    <t xml:space="preserve">HAYDE </t>
  </si>
  <si>
    <t>GABRIEL</t>
  </si>
  <si>
    <t>MARIO LIZARRAGA</t>
  </si>
  <si>
    <t>VIDAL PACHA</t>
  </si>
  <si>
    <t>MARTHA RODRIGUEZ</t>
  </si>
  <si>
    <t>percy</t>
  </si>
  <si>
    <t>Percy</t>
  </si>
  <si>
    <t>IP-3769</t>
  </si>
  <si>
    <t>IP-3770</t>
  </si>
  <si>
    <t>IP-3771</t>
  </si>
  <si>
    <t>IP-3772</t>
  </si>
  <si>
    <t>IP-3773</t>
  </si>
  <si>
    <t>IP-3774</t>
  </si>
  <si>
    <t>IP-3775</t>
  </si>
  <si>
    <t>IP-3776</t>
  </si>
  <si>
    <t>IP-3777</t>
  </si>
  <si>
    <t>IP-3778</t>
  </si>
  <si>
    <t>IP-3779</t>
  </si>
  <si>
    <t>IP-3780</t>
  </si>
  <si>
    <t>IP-3781</t>
  </si>
  <si>
    <t>IP-3782</t>
  </si>
  <si>
    <t>IP-3783</t>
  </si>
  <si>
    <t>IP-3784</t>
  </si>
  <si>
    <t>IP-3785</t>
  </si>
  <si>
    <t>EUSEBIA</t>
  </si>
  <si>
    <t>ENRIQUE</t>
  </si>
  <si>
    <t>DARIO</t>
  </si>
  <si>
    <t>MIGUEL</t>
  </si>
  <si>
    <t>MATHIAS</t>
  </si>
  <si>
    <t>EVER</t>
  </si>
  <si>
    <t>IP-3786</t>
  </si>
  <si>
    <t>IP-3787</t>
  </si>
  <si>
    <t>IP-3788</t>
  </si>
  <si>
    <t>IP-3789</t>
  </si>
  <si>
    <t>IP-3790</t>
  </si>
  <si>
    <t>IP-3791</t>
  </si>
  <si>
    <t>IP-3792</t>
  </si>
  <si>
    <t>IP-3793</t>
  </si>
  <si>
    <t>IP-3794</t>
  </si>
  <si>
    <t>IP-3795</t>
  </si>
  <si>
    <t>IP-3796</t>
  </si>
  <si>
    <t>FLORES HUAMANI ROBERS</t>
  </si>
  <si>
    <t>CONCESIÓN MINERA: CHAUPI 3 2017 - PAMPACHIRI-ANDAHUAYLAS-APURIMAC</t>
  </si>
  <si>
    <t>IP-3797</t>
  </si>
  <si>
    <t>IP-3798</t>
  </si>
  <si>
    <t>IP-3799</t>
  </si>
  <si>
    <t>IP-3800</t>
  </si>
  <si>
    <t>IP-3801</t>
  </si>
  <si>
    <t>IP-3802</t>
  </si>
  <si>
    <t>IP-3803</t>
  </si>
  <si>
    <t>IP-3804</t>
  </si>
  <si>
    <t>IP-3805</t>
  </si>
  <si>
    <t>IP-3806</t>
  </si>
  <si>
    <t>EG07-0342</t>
  </si>
  <si>
    <t>EG03-0279</t>
  </si>
  <si>
    <t>EG03-0754</t>
  </si>
  <si>
    <t>EG03-0297</t>
  </si>
  <si>
    <t>EG03-0439</t>
  </si>
  <si>
    <t>EG03-0245</t>
  </si>
  <si>
    <t>EG07-6811</t>
  </si>
  <si>
    <t>EG03-0404</t>
  </si>
  <si>
    <t>EG07-6848</t>
  </si>
  <si>
    <t>EG03-3603</t>
  </si>
  <si>
    <t>EG07-0422</t>
  </si>
  <si>
    <t>EG03-0380</t>
  </si>
  <si>
    <t>EG07-0377</t>
  </si>
  <si>
    <t>EG03-0170</t>
  </si>
  <si>
    <t>IP-3807</t>
  </si>
  <si>
    <t>IP-3808</t>
  </si>
  <si>
    <t>IP-3809</t>
  </si>
  <si>
    <t>IP-3810</t>
  </si>
  <si>
    <t>IP-3811</t>
  </si>
  <si>
    <t>IP-3812</t>
  </si>
  <si>
    <t>IP-3813</t>
  </si>
  <si>
    <t>IP-3814</t>
  </si>
  <si>
    <t>IP-3815</t>
  </si>
  <si>
    <t>JULIA</t>
  </si>
  <si>
    <t>MARILIN PUMA</t>
  </si>
  <si>
    <t>ANGEL GUILLERMO</t>
  </si>
  <si>
    <t>EFRAIN TICONA</t>
  </si>
  <si>
    <t>MARIA MAMANI</t>
  </si>
  <si>
    <t>JUAN FLORES</t>
  </si>
  <si>
    <t>JORGE FLORES</t>
  </si>
  <si>
    <t>ROMALDO</t>
  </si>
  <si>
    <t>JULBER</t>
  </si>
  <si>
    <t>IP-3816</t>
  </si>
  <si>
    <t>IP-3817</t>
  </si>
  <si>
    <t>IP-3818</t>
  </si>
  <si>
    <t>IP-3819</t>
  </si>
  <si>
    <t>IP-3820</t>
  </si>
  <si>
    <t>IP-3821</t>
  </si>
  <si>
    <t>IP-3822</t>
  </si>
  <si>
    <t>IP-3823</t>
  </si>
  <si>
    <t>IP-3824</t>
  </si>
  <si>
    <t>IP-3825</t>
  </si>
  <si>
    <t>IP-3826</t>
  </si>
  <si>
    <t>IP-3827</t>
  </si>
  <si>
    <t>IP-3828</t>
  </si>
  <si>
    <t>IP-3829</t>
  </si>
  <si>
    <t>IP-3830</t>
  </si>
  <si>
    <t>IP-3831</t>
  </si>
  <si>
    <t>IP-3832</t>
  </si>
  <si>
    <t>IP-3833</t>
  </si>
  <si>
    <t>GRUPO EMPRESARIAL FARFAN EIRL</t>
  </si>
  <si>
    <t>CONCESION MINERA SANTIAGO 3-PAUSA-PAUCAR DEL SARA SARA-AYACUCHO</t>
  </si>
  <si>
    <t>ANÁLISIS CAMPAÑA 46– Au</t>
  </si>
  <si>
    <t>ANÁLISIS CAMPAÑA 46 – Ag</t>
  </si>
  <si>
    <t>EG07-0431</t>
  </si>
  <si>
    <t>EG03-0385</t>
  </si>
  <si>
    <t>EG03-0104</t>
  </si>
  <si>
    <t>LLACCTEO GOLD E.I.R.L</t>
  </si>
  <si>
    <t>IP-3834</t>
  </si>
  <si>
    <t>IP-3835</t>
  </si>
  <si>
    <t>IP-3836</t>
  </si>
  <si>
    <t>IP-3837</t>
  </si>
  <si>
    <t>IP-3838</t>
  </si>
  <si>
    <t>IP-3839</t>
  </si>
  <si>
    <t>IP-3840</t>
  </si>
  <si>
    <t>IP-3841</t>
  </si>
  <si>
    <t>IP-3842</t>
  </si>
  <si>
    <t>IP-3843</t>
  </si>
  <si>
    <t>IP-3844</t>
  </si>
  <si>
    <t>IP-3845</t>
  </si>
  <si>
    <t>IP-3846</t>
  </si>
  <si>
    <t>IP-3847</t>
  </si>
  <si>
    <t>IP-3848</t>
  </si>
  <si>
    <t>IP-3849</t>
  </si>
  <si>
    <t>IP-3850</t>
  </si>
  <si>
    <t>IP-3851</t>
  </si>
  <si>
    <t>IP-3852</t>
  </si>
  <si>
    <t>CALLER VALDERRAMA SERAPIO</t>
  </si>
  <si>
    <t>AYAHUAY</t>
  </si>
  <si>
    <t>FRANCISCO TICONA</t>
  </si>
  <si>
    <t>HAMER CALIZAYA</t>
  </si>
  <si>
    <t>CARLOS TICONA</t>
  </si>
  <si>
    <t>PAOLA CONDORI</t>
  </si>
  <si>
    <t>CRISTIAN YANAPA</t>
  </si>
  <si>
    <t>NAZARIO GEMIO</t>
  </si>
  <si>
    <t>IP-3853</t>
  </si>
  <si>
    <t>IP-3854</t>
  </si>
  <si>
    <t>IP-3855</t>
  </si>
  <si>
    <t>IP-3856</t>
  </si>
  <si>
    <t>IP-3857</t>
  </si>
  <si>
    <t>IP-3859</t>
  </si>
  <si>
    <t>IP-3860</t>
  </si>
  <si>
    <t>IP-3861</t>
  </si>
  <si>
    <t>IP-3862</t>
  </si>
  <si>
    <t>IP-3863</t>
  </si>
  <si>
    <t>IP-3864</t>
  </si>
  <si>
    <t>IP-3865</t>
  </si>
  <si>
    <t>IP-3866</t>
  </si>
  <si>
    <t>IP-3867</t>
  </si>
  <si>
    <t>EG07-0280</t>
  </si>
  <si>
    <t>EG07-0017</t>
  </si>
  <si>
    <t>EG07-6935</t>
  </si>
  <si>
    <t>EG07-6923</t>
  </si>
  <si>
    <t>EG03-0283</t>
  </si>
  <si>
    <t>EG07-0503</t>
  </si>
  <si>
    <t>EG03-0536</t>
  </si>
  <si>
    <t>EG07-0507</t>
  </si>
  <si>
    <t>EG07-0508</t>
  </si>
  <si>
    <t>EG07-0350</t>
  </si>
  <si>
    <t>EG03-0410</t>
  </si>
  <si>
    <t>IP-3858</t>
  </si>
  <si>
    <t>IP-3868</t>
  </si>
  <si>
    <t>IP-3869</t>
  </si>
  <si>
    <t>IP-3870</t>
  </si>
  <si>
    <t>IP-3871</t>
  </si>
  <si>
    <t>IP-3872</t>
  </si>
  <si>
    <t>IP-3873</t>
  </si>
  <si>
    <t>IP-3874</t>
  </si>
  <si>
    <t>DEYVIS LAURA</t>
  </si>
  <si>
    <t>NINFA ENDARA</t>
  </si>
  <si>
    <t>VIRGINIA COLQUE</t>
  </si>
  <si>
    <t>IP-3875</t>
  </si>
  <si>
    <t>IP-3876</t>
  </si>
  <si>
    <t>IP-3877</t>
  </si>
  <si>
    <t>IP-3878</t>
  </si>
  <si>
    <t>IP-3879</t>
  </si>
  <si>
    <t>IP-3880</t>
  </si>
  <si>
    <t>IP-3881</t>
  </si>
  <si>
    <t>IP-3882</t>
  </si>
  <si>
    <t>IP-3883</t>
  </si>
  <si>
    <t>EG07-0509</t>
  </si>
  <si>
    <t>EG03-0018</t>
  </si>
  <si>
    <t>EG07-0510</t>
  </si>
  <si>
    <t>EG03-0106</t>
  </si>
  <si>
    <t>EG03-0024</t>
  </si>
  <si>
    <t>EG07-0514</t>
  </si>
  <si>
    <t>EG07-0515</t>
  </si>
  <si>
    <t>EG07-0352</t>
  </si>
  <si>
    <t>EG07-0396</t>
  </si>
  <si>
    <t>EG07-6997</t>
  </si>
  <si>
    <t>EG03-0406</t>
  </si>
  <si>
    <t>DIEGO</t>
  </si>
  <si>
    <t>EG03-0571</t>
  </si>
  <si>
    <t>IP-3884</t>
  </si>
  <si>
    <t>IP-3885</t>
  </si>
  <si>
    <t>IP-3886</t>
  </si>
  <si>
    <t>IP-3887</t>
  </si>
  <si>
    <t>IP-3888</t>
  </si>
  <si>
    <t>IP-3889</t>
  </si>
  <si>
    <t>IP-3890</t>
  </si>
  <si>
    <t>IP-3891</t>
  </si>
  <si>
    <t>IP-3892</t>
  </si>
  <si>
    <t>IP-3893</t>
  </si>
  <si>
    <t>IP-3894</t>
  </si>
  <si>
    <t>IP-3895</t>
  </si>
  <si>
    <t>IP-3896</t>
  </si>
  <si>
    <t>IP-3897</t>
  </si>
  <si>
    <t>IP-3898</t>
  </si>
  <si>
    <t>IP-3899</t>
  </si>
  <si>
    <t>IP-3900</t>
  </si>
  <si>
    <t>IP-3901</t>
  </si>
  <si>
    <t>IP-3902</t>
  </si>
  <si>
    <t>EG07-0463</t>
  </si>
  <si>
    <t>EG03-0390</t>
  </si>
  <si>
    <t>IP-3903</t>
  </si>
  <si>
    <t>IP-3904</t>
  </si>
  <si>
    <t>IP-3905</t>
  </si>
  <si>
    <t>IP-3906</t>
  </si>
  <si>
    <t>IP-3907</t>
  </si>
  <si>
    <t>IP-3908</t>
  </si>
  <si>
    <t>IP-3909</t>
  </si>
  <si>
    <t>IP-3910</t>
  </si>
  <si>
    <t>IP-3911</t>
  </si>
  <si>
    <t>IP-3912</t>
  </si>
  <si>
    <t>IP-3913</t>
  </si>
  <si>
    <t>IP-3914</t>
  </si>
  <si>
    <t>IP-3915</t>
  </si>
  <si>
    <t>IP-3916</t>
  </si>
  <si>
    <t>IP-3917</t>
  </si>
  <si>
    <t>IP-3918</t>
  </si>
  <si>
    <t>IP-3919</t>
  </si>
  <si>
    <t>IP-3920</t>
  </si>
  <si>
    <t>IP-3921</t>
  </si>
  <si>
    <t>MENDOZA CHALQUE WILLIAN</t>
  </si>
  <si>
    <t>IP-3922</t>
  </si>
  <si>
    <t>IP-3923</t>
  </si>
  <si>
    <t>IP-3924</t>
  </si>
  <si>
    <t>EG03-0449</t>
  </si>
  <si>
    <t>EG07-7015</t>
  </si>
  <si>
    <t>EG07-0388</t>
  </si>
  <si>
    <t>EG03-8997</t>
  </si>
  <si>
    <t>EG03-8994</t>
  </si>
  <si>
    <t>EG07-0239</t>
  </si>
  <si>
    <t>EG07-1039</t>
  </si>
  <si>
    <t>EG03-0826</t>
  </si>
  <si>
    <t>EG07-0359</t>
  </si>
  <si>
    <t>EG03-0324</t>
  </si>
  <si>
    <t>INOCENCIA URVIOLA</t>
  </si>
  <si>
    <t>MARIO CARRIZALES</t>
  </si>
  <si>
    <t>JACINTO GEMIO</t>
  </si>
  <si>
    <t>JUAN MAMANI</t>
  </si>
  <si>
    <t>CRISTIAN VILLANUEVA</t>
  </si>
  <si>
    <t>WILLIAN MENDOZA</t>
  </si>
  <si>
    <t>ANGELICA</t>
  </si>
  <si>
    <t>BRAULIO VALDEZ</t>
  </si>
  <si>
    <t>TONY HUANCA</t>
  </si>
  <si>
    <t>MARIA ANCO</t>
  </si>
  <si>
    <t>IP-3925</t>
  </si>
  <si>
    <t>IP-3926</t>
  </si>
  <si>
    <t>IP-3927</t>
  </si>
  <si>
    <t>IP-3928</t>
  </si>
  <si>
    <t>IP-3929</t>
  </si>
  <si>
    <t>IP-3930</t>
  </si>
  <si>
    <t>IP-3931</t>
  </si>
  <si>
    <t>IP-3932</t>
  </si>
  <si>
    <t>SIN ACOPIADOR</t>
  </si>
  <si>
    <t>IP-3933</t>
  </si>
  <si>
    <t>IP-3934</t>
  </si>
  <si>
    <t>IP-3935</t>
  </si>
  <si>
    <t>IP-3936</t>
  </si>
  <si>
    <t>IP-3937</t>
  </si>
  <si>
    <t>IP-3938</t>
  </si>
  <si>
    <t>IP-3939</t>
  </si>
  <si>
    <t>IP-3940</t>
  </si>
  <si>
    <t>IP-3941</t>
  </si>
  <si>
    <t>IP-3942</t>
  </si>
  <si>
    <t>IP-3943</t>
  </si>
  <si>
    <t>IP-3944</t>
  </si>
  <si>
    <t>IP-3945</t>
  </si>
  <si>
    <t>IP-3946</t>
  </si>
  <si>
    <t>IP-3947</t>
  </si>
  <si>
    <t>IP-3948</t>
  </si>
  <si>
    <t>IP-3949</t>
  </si>
  <si>
    <t>IP-3950</t>
  </si>
  <si>
    <t>ANÁLISIS CAMPAÑA 47– Au</t>
  </si>
  <si>
    <t>ANÁLISIS CAMPAÑA 47 – Ag</t>
  </si>
  <si>
    <t>HECTOR</t>
  </si>
  <si>
    <t>EG03-4415</t>
  </si>
  <si>
    <t>EG07-0368</t>
  </si>
  <si>
    <t>EG03-0198</t>
  </si>
  <si>
    <t>EG03-0300</t>
  </si>
  <si>
    <t>EG07-0560</t>
  </si>
  <si>
    <t>EG03-0650</t>
  </si>
  <si>
    <t>EG07-0022</t>
  </si>
  <si>
    <t>EG07-0373</t>
  </si>
  <si>
    <t>EG07-7073</t>
  </si>
  <si>
    <t>EG03-3692</t>
  </si>
  <si>
    <t>IP-3951</t>
  </si>
  <si>
    <t>IP-3952</t>
  </si>
  <si>
    <t>IP-3953</t>
  </si>
  <si>
    <t>IP-3954</t>
  </si>
  <si>
    <t>IP-3955</t>
  </si>
  <si>
    <t>IP-3956</t>
  </si>
  <si>
    <t>IP-3957</t>
  </si>
  <si>
    <t>IP-3958</t>
  </si>
  <si>
    <t>IP-3959</t>
  </si>
  <si>
    <t>IP-3960</t>
  </si>
  <si>
    <t>IP-3961</t>
  </si>
  <si>
    <t>IP-3962</t>
  </si>
  <si>
    <t>IP-3963</t>
  </si>
  <si>
    <t>IP-3964</t>
  </si>
  <si>
    <t>IP-3965</t>
  </si>
  <si>
    <t>IP-3966</t>
  </si>
  <si>
    <t>IP-3967</t>
  </si>
  <si>
    <t>IP-3968</t>
  </si>
  <si>
    <t>SERVICIOS GENERALES SAN ANDRES SH &amp; T E.I.R.L.</t>
  </si>
  <si>
    <t>CONCESION MINERA ISHIHUINCA- CARAVELI-CARAVELI-AREQUIPA</t>
  </si>
  <si>
    <t>OCULTAR INSUMOS</t>
  </si>
  <si>
    <t>HUGO</t>
  </si>
  <si>
    <t>Acumulado</t>
  </si>
  <si>
    <t>IP-3969</t>
  </si>
  <si>
    <t>IP-3970</t>
  </si>
  <si>
    <t>IP-3971</t>
  </si>
  <si>
    <t>IP-3972</t>
  </si>
  <si>
    <t>PLATA A PARTIR DE 4 OZ, RECUP 30%</t>
  </si>
  <si>
    <t>IP-3973</t>
  </si>
  <si>
    <t>IP-3974</t>
  </si>
  <si>
    <t>IP-3975</t>
  </si>
  <si>
    <t>IP-3976</t>
  </si>
  <si>
    <t>IP-3977</t>
  </si>
  <si>
    <t>IP-3978</t>
  </si>
  <si>
    <t>IP-3979</t>
  </si>
  <si>
    <t>IP-3980</t>
  </si>
  <si>
    <t>INVERSIONES GENERALES PACHEKITO EIRL</t>
  </si>
  <si>
    <t>IP-3981</t>
  </si>
  <si>
    <t>IP-3982</t>
  </si>
  <si>
    <t>IP-3983</t>
  </si>
  <si>
    <t>IP-3984</t>
  </si>
  <si>
    <t>IP-3985</t>
  </si>
  <si>
    <t>IP-3986</t>
  </si>
  <si>
    <t>IP-3987</t>
  </si>
  <si>
    <t>IP-3988</t>
  </si>
  <si>
    <t>IP-3989</t>
  </si>
  <si>
    <t>YERSON</t>
  </si>
  <si>
    <t>IP-3990</t>
  </si>
  <si>
    <t>IP-3991</t>
  </si>
  <si>
    <t>IP-3992</t>
  </si>
  <si>
    <t>IP-3993</t>
  </si>
  <si>
    <t>IP-3994</t>
  </si>
  <si>
    <t>IP-3995</t>
  </si>
  <si>
    <t>IP-3996</t>
  </si>
  <si>
    <t>IP-3997</t>
  </si>
  <si>
    <t>IP-3998</t>
  </si>
  <si>
    <t>IP-3999</t>
  </si>
  <si>
    <t>IP-4000</t>
  </si>
  <si>
    <t>EG07-7117</t>
  </si>
  <si>
    <t>EG07-0290</t>
  </si>
  <si>
    <t>EG03-0076</t>
  </si>
  <si>
    <t>EG07-0376</t>
  </si>
  <si>
    <t>EG03-4458</t>
  </si>
  <si>
    <t>EG03-0079</t>
  </si>
  <si>
    <t>ROBERTO BLANCO</t>
  </si>
  <si>
    <t>MATEO CONDORI</t>
  </si>
  <si>
    <t>BIANCA</t>
  </si>
  <si>
    <t>VIDAL</t>
  </si>
  <si>
    <t>VIRGINIA</t>
  </si>
  <si>
    <t>ALFREDO DELGADO</t>
  </si>
  <si>
    <t>BRAYAN</t>
  </si>
  <si>
    <t>ALEX CANSAYA</t>
  </si>
  <si>
    <t>ISHUINCA</t>
  </si>
  <si>
    <t>PEPAS</t>
  </si>
  <si>
    <t>ALFRED</t>
  </si>
  <si>
    <t>IP-4001</t>
  </si>
  <si>
    <t>IP-4002</t>
  </si>
  <si>
    <t>IP-4003</t>
  </si>
  <si>
    <t>IP-4004</t>
  </si>
  <si>
    <t>IP-4005</t>
  </si>
  <si>
    <t>IP-4006</t>
  </si>
  <si>
    <t>IP-4007</t>
  </si>
  <si>
    <t>IP-4008</t>
  </si>
  <si>
    <t>IP-4009</t>
  </si>
  <si>
    <t>IP-4010</t>
  </si>
  <si>
    <t>IP-4011</t>
  </si>
  <si>
    <t>IP-4012</t>
  </si>
  <si>
    <t>IP-4013</t>
  </si>
  <si>
    <t>IP-4014</t>
  </si>
  <si>
    <t>IP-4015</t>
  </si>
  <si>
    <t>IP-4016</t>
  </si>
  <si>
    <t>IP-4017</t>
  </si>
  <si>
    <t>IP-4018</t>
  </si>
  <si>
    <t>IP-4019</t>
  </si>
  <si>
    <t>IP-4020</t>
  </si>
  <si>
    <t>IP-4021</t>
  </si>
  <si>
    <t>IP-4022</t>
  </si>
  <si>
    <t>MAMANI SONCCO EDUARDO</t>
  </si>
  <si>
    <t>NATY</t>
  </si>
  <si>
    <t>ENRIQUEZ</t>
  </si>
  <si>
    <t>SAYDA</t>
  </si>
  <si>
    <t>ELEUTERIO</t>
  </si>
  <si>
    <t>N° LQ IP-202606-0819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</si>
</sst>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8">
    <numFmt numFmtId="43" formatCode="_-* #,##0.00_-;\-* #,##0.00_-;_-* &quot;-&quot;??_-;_-@_-"/>
    <numFmt numFmtId="164" formatCode="_ * #,##0.00_ ;_ * \-#,##0.00_ ;_ * &quot;-&quot;??_ ;_ @_ "/>
    <numFmt numFmtId="165" formatCode="dd\-mm\-yy"/>
    <numFmt numFmtId="166" formatCode="d/m/yy"/>
    <numFmt numFmtId="167" formatCode="&quot; &quot;d\ &quot;de&quot;\ mmmm\ &quot;del&quot;\ yyyy"/>
    <numFmt numFmtId="168" formatCode="_(* #,##0.000_);_(* \(#,##0.000\);_(* &quot;-&quot;??_);_(@_)"/>
    <numFmt numFmtId="169" formatCode="_-* #,##0.00_-;\-* #,##0.00_-;_-* &quot;-&quot;??_-;_-@"/>
    <numFmt numFmtId="170" formatCode="dd/mm/yy"/>
    <numFmt numFmtId="171" formatCode="d/m/yyyy"/>
    <numFmt numFmtId="172" formatCode="_(* #,##0_);_(* \(#,##0\);_(* &quot;-&quot;??_);_(@_)"/>
    <numFmt numFmtId="173" formatCode="_(* #,##0.0000_);_(* \(#,##0.0000\);_(* &quot;-&quot;??_);_(@_)"/>
    <numFmt numFmtId="174" formatCode="_(* #,##0.00_);_(* \(#,##0.00\);_(* &quot;-&quot;??_);_(@_)"/>
    <numFmt numFmtId="175" formatCode="_-* #,##0_-;\-* #,##0_-;_-* &quot;-&quot;??_-;_-@"/>
    <numFmt numFmtId="176" formatCode="0.0&quot;%&quot;"/>
    <numFmt numFmtId="177" formatCode="[$$-409]#,##0.00;[Red][$$-409]#,##0.00"/>
    <numFmt numFmtId="178" formatCode="0.000"/>
    <numFmt numFmtId="179" formatCode="0.00_ ;[Red]\-0.00\ "/>
    <numFmt numFmtId="180" formatCode="#,##0.000"/>
    <numFmt numFmtId="181" formatCode="_-* #,##0.000_-;\-* #,##0.000_-;_-* &quot;-&quot;??_-;_-@"/>
    <numFmt numFmtId="182" formatCode="_-* #,##0_-;\-* #,##0_-;_-* &quot;-&quot;??_-;_-@_-"/>
    <numFmt numFmtId="183" formatCode="0.0"/>
    <numFmt numFmtId="184" formatCode="_-* #,##0.000_-;\-* #,##0.000_-;_-* &quot;-&quot;??_-;_-@_-"/>
    <numFmt numFmtId="185" formatCode="dd/mm/yyyy;@"/>
    <numFmt numFmtId="186" formatCode="[$-F800]dddd\,\ mmmm\ dd\,\ yyyy"/>
    <numFmt numFmtId="187" formatCode="#,##0_ ;[Red]\-#,##0\ "/>
    <numFmt numFmtId="188" formatCode="_-* #,##0.0000_-;\-* #,##0.0000_-;_-* &quot;-&quot;??_-;_-@_-"/>
    <numFmt numFmtId="189" formatCode="_-* #,##0_-;\-* #,##0_-;_-* &quot;-&quot;????_-;_-@_-"/>
    <numFmt numFmtId="190" formatCode="#,##0.000;[Red]\-#,##0.000"/>
    <numFmt numFmtId="191" formatCode="0.000\ \ \ &quot;Oz/TC&quot;"/>
    <numFmt numFmtId="192" formatCode="0.000\ \ \ &quot;g/Kg&quot;"/>
    <numFmt numFmtId="193" formatCode="0.000\ \ \ &quot;%&quot;"/>
    <numFmt numFmtId="194" formatCode="_ * #,##0.000_ ;_ * \-#,##0.000_ ;_ * &quot;-&quot;??_ ;_ @_ "/>
    <numFmt numFmtId="195" formatCode="_-* #,##0.00\ _€_-;\-* #,##0.00\ _€_-;_-* &quot;-&quot;??\ _€_-;_-@_-"/>
    <numFmt numFmtId="196" formatCode="dd\-mm\-yy;@"/>
    <numFmt numFmtId="197" formatCode="#,##0.00_ ;[Red]\-#,##0.00\ "/>
    <numFmt numFmtId="198" formatCode="yyyy\-mm\-dd;@"/>
    <numFmt numFmtId="199" formatCode="&quot;EG07-&quot;0000"/>
    <numFmt numFmtId="200" formatCode="_-* #,##0.000\ _€_-;\-* #,##0.000\ _€_-;_-* &quot;-&quot;??\ _€_-;_-@_-"/>
  </numFmts>
  <fonts count="344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u/>
      <sz val="10"/>
      <color theme="1"/>
      <name val="Arial"/>
      <family val="2"/>
    </font>
    <font>
      <b/>
      <i/>
      <sz val="10"/>
      <color theme="1"/>
      <name val="Arial"/>
      <family val="2"/>
    </font>
    <font>
      <sz val="11"/>
      <color theme="1"/>
      <name val="Calibri"/>
      <family val="2"/>
    </font>
    <font>
      <sz val="8"/>
      <color theme="1"/>
      <name val="Arial"/>
      <family val="2"/>
    </font>
    <font>
      <b/>
      <sz val="20"/>
      <color rgb="FF000000"/>
      <name val="Arial Rounded"/>
    </font>
    <font>
      <b/>
      <sz val="11"/>
      <color rgb="FF00000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Arial"/>
      <family val="2"/>
    </font>
    <font>
      <b/>
      <sz val="8"/>
      <color rgb="FF000000"/>
      <name val="Times New Roman"/>
      <family val="1"/>
    </font>
    <font>
      <sz val="8"/>
      <color theme="1"/>
      <name val="Times New Roman"/>
      <family val="1"/>
    </font>
    <font>
      <sz val="12"/>
      <color theme="1"/>
      <name val="Times New Roman"/>
      <family val="1"/>
    </font>
    <font>
      <b/>
      <sz val="10"/>
      <color theme="1"/>
      <name val="Times New Roman"/>
      <family val="1"/>
    </font>
    <font>
      <i/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i/>
      <sz val="8"/>
      <color theme="1"/>
      <name val="Times New Roman"/>
      <family val="1"/>
    </font>
    <font>
      <b/>
      <sz val="18"/>
      <color theme="1"/>
      <name val="Times New Roman"/>
      <family val="1"/>
    </font>
    <font>
      <b/>
      <i/>
      <sz val="11"/>
      <color rgb="FF000000"/>
      <name val="Times New Roman"/>
      <family val="1"/>
    </font>
    <font>
      <sz val="11"/>
      <color rgb="FF000000"/>
      <name val="Times New Roman"/>
      <family val="1"/>
    </font>
    <font>
      <i/>
      <sz val="9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theme="1"/>
      <name val="Calibri"/>
      <family val="2"/>
      <scheme val="minor"/>
    </font>
    <font>
      <sz val="11"/>
      <color rgb="FFFF0000"/>
      <name val="Times New Roman"/>
      <family val="1"/>
    </font>
    <font>
      <sz val="11"/>
      <color rgb="FFFF000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b/>
      <u/>
      <sz val="11"/>
      <color theme="1"/>
      <name val="Calibri"/>
      <family val="2"/>
    </font>
    <font>
      <sz val="11"/>
      <color theme="5"/>
      <name val="Calibri"/>
      <family val="2"/>
    </font>
    <font>
      <b/>
      <sz val="11"/>
      <color rgb="FFFF0000"/>
      <name val="Calibri"/>
      <family val="2"/>
    </font>
    <font>
      <sz val="10"/>
      <color theme="1"/>
      <name val="Arial"/>
      <family val="2"/>
    </font>
    <font>
      <i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u/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name val="Calibri"/>
      <family val="2"/>
    </font>
    <font>
      <sz val="11"/>
      <color theme="1"/>
      <name val="Calibri"/>
      <family val="2"/>
      <scheme val="minor"/>
    </font>
    <font>
      <b/>
      <i/>
      <sz val="11"/>
      <name val="Calibri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i/>
      <sz val="11"/>
      <color theme="1"/>
      <name val="Times New Roman"/>
      <family val="1"/>
    </font>
    <font>
      <u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vertAlign val="superscript"/>
      <sz val="10"/>
      <color theme="0"/>
      <name val="Calibri"/>
      <family val="2"/>
      <scheme val="minor"/>
    </font>
    <font>
      <sz val="11"/>
      <color rgb="FFFFFF00"/>
      <name val="Calibri"/>
      <family val="2"/>
      <scheme val="minor"/>
    </font>
    <font>
      <sz val="10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sz val="8"/>
      <color rgb="FFFF0000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b/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0"/>
      <color theme="1"/>
      <name val="Calibri"/>
      <family val="2"/>
      <scheme val="minor"/>
    </font>
    <font>
      <sz val="11"/>
      <color theme="3"/>
      <name val="Calibri"/>
      <family val="2"/>
      <scheme val="minor"/>
    </font>
    <font>
      <b/>
      <u/>
      <sz val="11"/>
      <color rgb="FF000000"/>
      <name val="Times New Roman"/>
      <family val="1"/>
    </font>
    <font>
      <sz val="10"/>
      <name val="Arial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ajor"/>
    </font>
    <font>
      <b/>
      <sz val="11"/>
      <color theme="1"/>
      <name val="Calibri"/>
      <family val="2"/>
      <scheme val="major"/>
    </font>
    <font>
      <sz val="11"/>
      <name val="Calibri"/>
      <family val="2"/>
      <scheme val="major"/>
    </font>
    <font>
      <b/>
      <sz val="10"/>
      <name val="Calibri"/>
      <family val="2"/>
      <scheme val="major"/>
    </font>
    <font>
      <b/>
      <sz val="10"/>
      <color rgb="FFFF0000"/>
      <name val="Calibri"/>
      <family val="2"/>
      <scheme val="major"/>
    </font>
    <font>
      <sz val="10"/>
      <color theme="1"/>
      <name val="Calibri"/>
      <family val="2"/>
      <scheme val="major"/>
    </font>
    <font>
      <sz val="10"/>
      <color rgb="FFFF0000"/>
      <name val="Calibri"/>
      <family val="2"/>
      <scheme val="major"/>
    </font>
    <font>
      <b/>
      <sz val="10"/>
      <color rgb="FFDBC01B"/>
      <name val="Calibri"/>
      <family val="2"/>
      <scheme val="major"/>
    </font>
    <font>
      <sz val="10"/>
      <name val="Calibri"/>
      <family val="2"/>
      <scheme val="major"/>
    </font>
    <font>
      <b/>
      <sz val="10"/>
      <color theme="1"/>
      <name val="Calibri"/>
      <family val="2"/>
      <scheme val="major"/>
    </font>
    <font>
      <sz val="11"/>
      <color rgb="FFDBC01B"/>
      <name val="Calibri"/>
      <family val="2"/>
      <scheme val="major"/>
    </font>
    <font>
      <b/>
      <sz val="11"/>
      <color rgb="FFDBC01B"/>
      <name val="Calibri"/>
      <family val="2"/>
      <scheme val="major"/>
    </font>
    <font>
      <b/>
      <sz val="9"/>
      <color theme="1"/>
      <name val="Calibri"/>
      <family val="2"/>
      <scheme val="major"/>
    </font>
    <font>
      <sz val="9"/>
      <color theme="1"/>
      <name val="Calibri"/>
      <family val="2"/>
      <scheme val="major"/>
    </font>
    <font>
      <sz val="11.5"/>
      <name val="Calibri"/>
      <family val="2"/>
      <scheme val="major"/>
    </font>
    <font>
      <sz val="11.5"/>
      <color theme="1"/>
      <name val="Calibri"/>
      <family val="2"/>
      <scheme val="major"/>
    </font>
    <font>
      <b/>
      <sz val="11.5"/>
      <color theme="1"/>
      <name val="Calibri"/>
      <family val="2"/>
      <scheme val="major"/>
    </font>
    <font>
      <sz val="11.5"/>
      <color rgb="FFFF0000"/>
      <name val="Calibri"/>
      <family val="2"/>
      <scheme val="major"/>
    </font>
    <font>
      <sz val="12"/>
      <name val="Calibri"/>
      <family val="2"/>
      <scheme val="major"/>
    </font>
    <font>
      <b/>
      <sz val="18"/>
      <color theme="1"/>
      <name val="Calibri BOND"/>
    </font>
    <font>
      <b/>
      <sz val="24"/>
      <color rgb="FF000000"/>
      <name val="Calibri"/>
      <family val="2"/>
      <scheme val="major"/>
    </font>
    <font>
      <b/>
      <sz val="11"/>
      <color theme="1"/>
      <name val="Calibri BOND"/>
    </font>
    <font>
      <b/>
      <u/>
      <sz val="10"/>
      <name val="Calibri BOND"/>
    </font>
    <font>
      <b/>
      <sz val="14"/>
      <color rgb="FFA48A1C"/>
      <name val="Calibri BOND"/>
    </font>
    <font>
      <b/>
      <sz val="11.5"/>
      <name val="Calibri"/>
      <family val="2"/>
      <scheme val="major"/>
    </font>
    <font>
      <sz val="8"/>
      <name val="Calibri"/>
      <family val="2"/>
      <scheme val="minor"/>
    </font>
    <font>
      <sz val="11"/>
      <color rgb="FFFFFF00"/>
      <name val="Times New Roman"/>
      <family val="1"/>
    </font>
    <font>
      <sz val="11"/>
      <color rgb="FFFFFF00"/>
      <name val="Calibri"/>
      <family val="2"/>
    </font>
    <font>
      <sz val="8"/>
      <name val="Calibri"/>
      <family val="2"/>
      <scheme val="minor"/>
    </font>
    <font>
      <sz val="11"/>
      <color theme="0"/>
      <name val="Calibri"/>
      <family val="2"/>
    </font>
    <font>
      <sz val="8"/>
      <name val="Calibri"/>
      <family val="2"/>
      <scheme val="minor"/>
    </font>
  </fonts>
  <fills count="90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BFBFBF"/>
        <bgColor rgb="FFBFBFBF"/>
      </patternFill>
    </fill>
    <fill>
      <patternFill patternType="solid">
        <fgColor theme="7"/>
        <bgColor theme="7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5E0B3"/>
        <bgColor rgb="FFC5E0B3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theme="8"/>
        <bgColor theme="8"/>
      </patternFill>
    </fill>
    <fill>
      <patternFill patternType="solid">
        <fgColor rgb="FF8EAADB"/>
        <bgColor rgb="FF8EAADB"/>
      </patternFill>
    </fill>
    <fill>
      <patternFill patternType="solid">
        <fgColor rgb="FFBDD6EE"/>
        <bgColor rgb="FFBDD6EE"/>
      </patternFill>
    </fill>
    <fill>
      <patternFill patternType="solid">
        <fgColor rgb="FFBF9000"/>
        <bgColor rgb="FFBF9000"/>
      </patternFill>
    </fill>
    <fill>
      <patternFill patternType="solid">
        <fgColor rgb="FFC55A11"/>
        <bgColor rgb="FFC55A11"/>
      </patternFill>
    </fill>
    <fill>
      <patternFill patternType="solid">
        <fgColor rgb="FFF4B083"/>
        <bgColor rgb="FFF4B083"/>
      </patternFill>
    </fill>
    <fill>
      <patternFill patternType="solid">
        <fgColor rgb="FF9CC2E5"/>
        <bgColor rgb="FF9CC2E5"/>
      </patternFill>
    </fill>
    <fill>
      <patternFill patternType="solid">
        <fgColor rgb="FFF7CAAC"/>
        <bgColor rgb="FFF7CAAC"/>
      </patternFill>
    </fill>
    <fill>
      <patternFill patternType="solid">
        <fgColor rgb="FFE2EFD9"/>
        <bgColor rgb="FFE2EFD9"/>
      </patternFill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rgb="FFA8D08D"/>
        <bgColor rgb="FFA8D08D"/>
      </patternFill>
    </fill>
    <fill>
      <patternFill patternType="solid">
        <fgColor rgb="FFB4C6E7"/>
        <bgColor rgb="FFB4C6E7"/>
      </patternFill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rgb="FFA8D08D"/>
      </patternFill>
    </fill>
    <fill>
      <patternFill patternType="solid">
        <fgColor theme="0"/>
        <bgColor rgb="FFC5E0B3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9"/>
        <bgColor theme="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theme="0"/>
      </patternFill>
    </fill>
    <fill>
      <patternFill patternType="solid">
        <fgColor theme="9"/>
        <bgColor rgb="FFFF0000"/>
      </patternFill>
    </fill>
    <fill>
      <patternFill patternType="solid">
        <fgColor theme="0"/>
        <bgColor rgb="FFFEF2CB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theme="0"/>
      </patternFill>
    </fill>
    <fill>
      <patternFill patternType="solid">
        <fgColor theme="8" tint="-0.249977111117893"/>
        <bgColor theme="0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6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7"/>
        <bgColor theme="0"/>
      </patternFill>
    </fill>
    <fill>
      <patternFill patternType="solid">
        <fgColor theme="2"/>
        <bgColor indexed="64"/>
      </patternFill>
    </fill>
    <fill>
      <patternFill patternType="solid">
        <fgColor theme="0"/>
        <bgColor theme="9"/>
      </patternFill>
    </fill>
    <fill>
      <patternFill patternType="solid">
        <fgColor theme="7"/>
        <bgColor rgb="FFFF0000"/>
      </patternFill>
    </fill>
    <fill>
      <patternFill patternType="solid">
        <fgColor theme="7"/>
        <bgColor theme="9"/>
      </patternFill>
    </fill>
    <fill>
      <patternFill patternType="solid">
        <fgColor theme="7"/>
        <bgColor theme="8"/>
      </patternFill>
    </fill>
    <fill>
      <patternFill patternType="solid">
        <fgColor theme="7"/>
        <bgColor rgb="FFFFFF00"/>
      </patternFill>
    </fill>
    <fill>
      <patternFill patternType="solid">
        <fgColor theme="5"/>
        <bgColor rgb="FFFF0000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0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rgb="FFFF0000"/>
      </patternFill>
    </fill>
    <fill>
      <patternFill patternType="solid">
        <fgColor theme="6"/>
        <bgColor indexed="64"/>
      </patternFill>
    </fill>
    <fill>
      <patternFill patternType="solid">
        <fgColor theme="8"/>
        <bgColor theme="0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/>
        <bgColor rgb="FFFFFF00"/>
      </patternFill>
    </fill>
    <fill>
      <patternFill patternType="solid">
        <fgColor rgb="FFFFFF00"/>
        <bgColor theme="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/>
        <bgColor theme="0"/>
      </patternFill>
    </fill>
    <fill>
      <patternFill patternType="solid">
        <fgColor theme="5"/>
        <bgColor theme="0"/>
      </patternFill>
    </fill>
    <fill>
      <patternFill patternType="solid">
        <fgColor theme="8"/>
        <bgColor rgb="FFFF0000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rgb="FFFF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5" tint="0.39997558519241921"/>
        <bgColor rgb="FFFF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8DF78D"/>
        <bgColor indexed="64"/>
      </patternFill>
    </fill>
    <fill>
      <patternFill patternType="solid">
        <fgColor rgb="FFFFFF00"/>
        <bgColor rgb="FFFEF2CB"/>
      </patternFill>
    </fill>
    <fill>
      <patternFill patternType="solid">
        <fgColor theme="7" tint="0.79998168889431442"/>
        <bgColor rgb="FFFEF2CB"/>
      </patternFill>
    </fill>
    <fill>
      <patternFill patternType="solid">
        <fgColor rgb="FF92D050"/>
        <bgColor rgb="FFFF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B7ECFF"/>
        <bgColor indexed="64"/>
      </patternFill>
    </fill>
    <fill>
      <patternFill patternType="solid">
        <fgColor rgb="FFF8F5B6"/>
        <bgColor indexed="64"/>
      </patternFill>
    </fill>
    <fill>
      <patternFill patternType="solid">
        <fgColor rgb="FFDDB565"/>
        <bgColor rgb="FFC9A24A"/>
      </patternFill>
    </fill>
    <fill>
      <patternFill patternType="solid">
        <fgColor rgb="FFFFFF00"/>
        <bgColor rgb="FFFF0000"/>
      </patternFill>
    </fill>
    <fill>
      <patternFill patternType="solid">
        <fgColor theme="7" tint="0.79998168889431442"/>
        <bgColor theme="0"/>
      </patternFill>
    </fill>
    <fill>
      <patternFill patternType="solid">
        <fgColor rgb="FFEDDD9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rgb="FFC5E0B3"/>
      </patternFill>
    </fill>
  </fills>
  <borders count="13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D8D8D8"/>
      </right>
      <top style="thin">
        <color rgb="FFD8D8D8"/>
      </top>
      <bottom/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D8D8D8"/>
      </right>
      <top/>
      <bottom/>
      <diagonal/>
    </border>
    <border>
      <left/>
      <right style="thin">
        <color rgb="FFD8D8D8"/>
      </right>
      <top/>
      <bottom style="thin">
        <color rgb="FFD8D8D8"/>
      </bottom>
      <diagonal/>
    </border>
    <border>
      <left/>
      <right style="thin">
        <color rgb="FFD8D8D8"/>
      </right>
      <top/>
      <bottom/>
      <diagonal/>
    </border>
    <border>
      <left style="thin">
        <color rgb="FFD8D8D8"/>
      </left>
      <right style="thin">
        <color rgb="FFD8D8D8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rgb="FF000000"/>
      </left>
      <right style="hair">
        <color rgb="FF000000"/>
      </right>
      <top style="thin">
        <color indexed="64"/>
      </top>
      <bottom style="hair">
        <color rgb="FF000000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/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auto="1"/>
      </left>
      <right style="thin">
        <color indexed="64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thin">
        <color indexed="64"/>
      </right>
      <top/>
      <bottom/>
      <diagonal/>
    </border>
    <border>
      <left/>
      <right style="hair">
        <color auto="1"/>
      </right>
      <top/>
      <bottom/>
      <diagonal/>
    </border>
    <border>
      <left style="hair">
        <color rgb="FF000000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rgb="FF000000"/>
      </right>
      <top style="hair">
        <color auto="1"/>
      </top>
      <bottom style="hair">
        <color auto="1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/>
      <right/>
      <top/>
      <bottom style="double">
        <color indexed="64"/>
      </bottom>
      <diagonal/>
    </border>
  </borders>
  <cellStyleXfs count="76">
    <xf numFmtId="0" fontId="0" fillId="0" borderId="0"/>
    <xf numFmtId="43" fontId="267" fillId="0" borderId="0" applyFont="0" applyFill="0" applyBorder="0" applyAlignment="0" applyProtection="0"/>
    <xf numFmtId="0" fontId="220" fillId="0" borderId="13"/>
    <xf numFmtId="0" fontId="269" fillId="0" borderId="13"/>
    <xf numFmtId="164" fontId="220" fillId="0" borderId="13" applyFont="0" applyFill="0" applyBorder="0" applyAlignment="0" applyProtection="0"/>
    <xf numFmtId="0" fontId="208" fillId="0" borderId="13"/>
    <xf numFmtId="164" fontId="208" fillId="0" borderId="13" applyFont="0" applyFill="0" applyBorder="0" applyAlignment="0" applyProtection="0"/>
    <xf numFmtId="0" fontId="193" fillId="0" borderId="13"/>
    <xf numFmtId="0" fontId="265" fillId="0" borderId="13" applyNumberFormat="0" applyFill="0" applyBorder="0" applyAlignment="0" applyProtection="0"/>
    <xf numFmtId="164" fontId="193" fillId="0" borderId="13" applyFont="0" applyFill="0" applyBorder="0" applyAlignment="0" applyProtection="0"/>
    <xf numFmtId="0" fontId="189" fillId="0" borderId="13"/>
    <xf numFmtId="164" fontId="189" fillId="0" borderId="13" applyFont="0" applyFill="0" applyBorder="0" applyAlignment="0" applyProtection="0"/>
    <xf numFmtId="0" fontId="188" fillId="0" borderId="13"/>
    <xf numFmtId="164" fontId="188" fillId="0" borderId="13" applyFont="0" applyFill="0" applyBorder="0" applyAlignment="0" applyProtection="0"/>
    <xf numFmtId="0" fontId="182" fillId="0" borderId="13"/>
    <xf numFmtId="164" fontId="182" fillId="0" borderId="13" applyFont="0" applyFill="0" applyBorder="0" applyAlignment="0" applyProtection="0"/>
    <xf numFmtId="0" fontId="181" fillId="0" borderId="13"/>
    <xf numFmtId="164" fontId="181" fillId="0" borderId="13" applyFont="0" applyFill="0" applyBorder="0" applyAlignment="0" applyProtection="0"/>
    <xf numFmtId="0" fontId="174" fillId="0" borderId="13"/>
    <xf numFmtId="164" fontId="174" fillId="0" borderId="13" applyFont="0" applyFill="0" applyBorder="0" applyAlignment="0" applyProtection="0"/>
    <xf numFmtId="0" fontId="171" fillId="0" borderId="13"/>
    <xf numFmtId="164" fontId="171" fillId="0" borderId="13" applyFont="0" applyFill="0" applyBorder="0" applyAlignment="0" applyProtection="0"/>
    <xf numFmtId="0" fontId="166" fillId="0" borderId="13"/>
    <xf numFmtId="164" fontId="166" fillId="0" borderId="13" applyFont="0" applyFill="0" applyBorder="0" applyAlignment="0" applyProtection="0"/>
    <xf numFmtId="0" fontId="165" fillId="0" borderId="13"/>
    <xf numFmtId="164" fontId="165" fillId="0" borderId="13" applyFont="0" applyFill="0" applyBorder="0" applyAlignment="0" applyProtection="0"/>
    <xf numFmtId="0" fontId="162" fillId="0" borderId="13"/>
    <xf numFmtId="164" fontId="162" fillId="0" borderId="13" applyFont="0" applyFill="0" applyBorder="0" applyAlignment="0" applyProtection="0"/>
    <xf numFmtId="0" fontId="161" fillId="0" borderId="13"/>
    <xf numFmtId="164" fontId="161" fillId="0" borderId="13" applyFont="0" applyFill="0" applyBorder="0" applyAlignment="0" applyProtection="0"/>
    <xf numFmtId="0" fontId="158" fillId="0" borderId="13"/>
    <xf numFmtId="164" fontId="158" fillId="0" borderId="13" applyFont="0" applyFill="0" applyBorder="0" applyAlignment="0" applyProtection="0"/>
    <xf numFmtId="9" fontId="275" fillId="0" borderId="0" applyFont="0" applyFill="0" applyBorder="0" applyAlignment="0" applyProtection="0"/>
    <xf numFmtId="0" fontId="156" fillId="0" borderId="13"/>
    <xf numFmtId="164" fontId="156" fillId="0" borderId="13" applyFont="0" applyFill="0" applyBorder="0" applyAlignment="0" applyProtection="0"/>
    <xf numFmtId="0" fontId="152" fillId="0" borderId="13"/>
    <xf numFmtId="164" fontId="152" fillId="0" borderId="13" applyFont="0" applyFill="0" applyBorder="0" applyAlignment="0" applyProtection="0"/>
    <xf numFmtId="0" fontId="145" fillId="0" borderId="13"/>
    <xf numFmtId="164" fontId="145" fillId="0" borderId="13" applyFont="0" applyFill="0" applyBorder="0" applyAlignment="0" applyProtection="0"/>
    <xf numFmtId="0" fontId="139" fillId="0" borderId="13"/>
    <xf numFmtId="164" fontId="139" fillId="0" borderId="13" applyFont="0" applyFill="0" applyBorder="0" applyAlignment="0" applyProtection="0"/>
    <xf numFmtId="43" fontId="135" fillId="0" borderId="13" applyFont="0" applyFill="0" applyBorder="0" applyAlignment="0" applyProtection="0"/>
    <xf numFmtId="0" fontId="135" fillId="0" borderId="13"/>
    <xf numFmtId="0" fontId="302" fillId="0" borderId="13"/>
    <xf numFmtId="43" fontId="132" fillId="0" borderId="13" applyFont="0" applyFill="0" applyBorder="0" applyAlignment="0" applyProtection="0"/>
    <xf numFmtId="9" fontId="132" fillId="0" borderId="13" applyFont="0" applyFill="0" applyBorder="0" applyAlignment="0" applyProtection="0"/>
    <xf numFmtId="0" fontId="130" fillId="0" borderId="13"/>
    <xf numFmtId="0" fontId="92" fillId="0" borderId="13"/>
    <xf numFmtId="0" fontId="307" fillId="0" borderId="13"/>
    <xf numFmtId="0" fontId="310" fillId="0" borderId="13"/>
    <xf numFmtId="0" fontId="64" fillId="0" borderId="13"/>
    <xf numFmtId="164" fontId="64" fillId="0" borderId="13" applyFont="0" applyFill="0" applyBorder="0" applyAlignment="0" applyProtection="0"/>
    <xf numFmtId="0" fontId="310" fillId="0" borderId="13"/>
    <xf numFmtId="0" fontId="310" fillId="0" borderId="13"/>
    <xf numFmtId="0" fontId="310" fillId="0" borderId="13"/>
    <xf numFmtId="0" fontId="310" fillId="0" borderId="13"/>
    <xf numFmtId="0" fontId="310" fillId="0" borderId="13"/>
    <xf numFmtId="0" fontId="310" fillId="0" borderId="13"/>
    <xf numFmtId="0" fontId="310" fillId="0" borderId="13"/>
    <xf numFmtId="0" fontId="310" fillId="0" borderId="13"/>
    <xf numFmtId="0" fontId="310" fillId="0" borderId="13"/>
    <xf numFmtId="0" fontId="310" fillId="0" borderId="13"/>
    <xf numFmtId="0" fontId="310" fillId="0" borderId="13"/>
    <xf numFmtId="0" fontId="62" fillId="0" borderId="13"/>
    <xf numFmtId="0" fontId="62" fillId="0" borderId="13"/>
    <xf numFmtId="164" fontId="62" fillId="0" borderId="13" applyFont="0" applyFill="0" applyBorder="0" applyAlignment="0" applyProtection="0"/>
    <xf numFmtId="0" fontId="312" fillId="0" borderId="13"/>
    <xf numFmtId="0" fontId="51" fillId="0" borderId="13"/>
    <xf numFmtId="164" fontId="51" fillId="0" borderId="13" applyFont="0" applyFill="0" applyBorder="0" applyAlignment="0" applyProtection="0"/>
    <xf numFmtId="0" fontId="312" fillId="0" borderId="13"/>
    <xf numFmtId="0" fontId="312" fillId="0" borderId="13"/>
    <xf numFmtId="0" fontId="312" fillId="0" borderId="13"/>
    <xf numFmtId="0" fontId="312" fillId="0" borderId="13"/>
    <xf numFmtId="0" fontId="312" fillId="0" borderId="13"/>
    <xf numFmtId="0" fontId="312" fillId="0" borderId="13"/>
    <xf numFmtId="0" fontId="312" fillId="0" borderId="13"/>
  </cellStyleXfs>
  <cellXfs count="2044">
    <xf numFmtId="0" fontId="0" fillId="0" borderId="0" xfId="0"/>
    <xf numFmtId="0" fontId="225" fillId="0" borderId="1" xfId="0" applyFont="1" applyBorder="1"/>
    <xf numFmtId="0" fontId="226" fillId="0" borderId="2" xfId="0" applyFont="1" applyBorder="1"/>
    <xf numFmtId="0" fontId="227" fillId="0" borderId="2" xfId="0" applyFont="1" applyBorder="1"/>
    <xf numFmtId="0" fontId="228" fillId="0" borderId="2" xfId="0" applyFont="1" applyBorder="1"/>
    <xf numFmtId="0" fontId="227" fillId="0" borderId="3" xfId="0" applyFont="1" applyBorder="1"/>
    <xf numFmtId="0" fontId="227" fillId="0" borderId="0" xfId="0" applyFont="1"/>
    <xf numFmtId="0" fontId="229" fillId="0" borderId="4" xfId="0" applyFont="1" applyBorder="1" applyAlignment="1">
      <alignment horizontal="center"/>
    </xf>
    <xf numFmtId="0" fontId="227" fillId="0" borderId="5" xfId="0" applyFont="1" applyBorder="1"/>
    <xf numFmtId="0" fontId="230" fillId="0" borderId="4" xfId="0" applyFont="1" applyBorder="1"/>
    <xf numFmtId="165" fontId="231" fillId="0" borderId="0" xfId="0" applyNumberFormat="1" applyFont="1"/>
    <xf numFmtId="166" fontId="232" fillId="0" borderId="0" xfId="0" applyNumberFormat="1" applyFont="1" applyAlignment="1">
      <alignment horizontal="center"/>
    </xf>
    <xf numFmtId="167" fontId="227" fillId="0" borderId="0" xfId="0" applyNumberFormat="1" applyFont="1"/>
    <xf numFmtId="0" fontId="233" fillId="0" borderId="0" xfId="0" applyFont="1"/>
    <xf numFmtId="2" fontId="231" fillId="0" borderId="0" xfId="0" applyNumberFormat="1" applyFont="1"/>
    <xf numFmtId="0" fontId="234" fillId="0" borderId="0" xfId="0" applyFont="1"/>
    <xf numFmtId="0" fontId="226" fillId="0" borderId="5" xfId="0" applyFont="1" applyBorder="1"/>
    <xf numFmtId="168" fontId="232" fillId="0" borderId="0" xfId="0" applyNumberFormat="1" applyFont="1" applyAlignment="1">
      <alignment horizontal="left" vertical="top"/>
    </xf>
    <xf numFmtId="0" fontId="230" fillId="0" borderId="0" xfId="0" applyFont="1" applyAlignment="1">
      <alignment horizontal="right"/>
    </xf>
    <xf numFmtId="166" fontId="232" fillId="0" borderId="0" xfId="0" applyNumberFormat="1" applyFont="1" applyAlignment="1">
      <alignment horizontal="left"/>
    </xf>
    <xf numFmtId="0" fontId="235" fillId="0" borderId="0" xfId="0" applyFont="1" applyAlignment="1">
      <alignment horizontal="center"/>
    </xf>
    <xf numFmtId="0" fontId="236" fillId="0" borderId="0" xfId="0" applyFont="1"/>
    <xf numFmtId="0" fontId="237" fillId="0" borderId="0" xfId="0" applyFont="1"/>
    <xf numFmtId="0" fontId="238" fillId="0" borderId="0" xfId="0" applyFont="1" applyAlignment="1">
      <alignment horizontal="right"/>
    </xf>
    <xf numFmtId="169" fontId="233" fillId="0" borderId="0" xfId="0" applyNumberFormat="1" applyFont="1"/>
    <xf numFmtId="170" fontId="232" fillId="0" borderId="0" xfId="0" applyNumberFormat="1" applyFont="1" applyAlignment="1">
      <alignment horizontal="center"/>
    </xf>
    <xf numFmtId="0" fontId="238" fillId="0" borderId="0" xfId="0" applyFont="1"/>
    <xf numFmtId="171" fontId="232" fillId="0" borderId="0" xfId="0" applyNumberFormat="1" applyFont="1" applyAlignment="1">
      <alignment horizontal="left"/>
    </xf>
    <xf numFmtId="1" fontId="232" fillId="0" borderId="0" xfId="0" applyNumberFormat="1" applyFont="1" applyAlignment="1">
      <alignment horizontal="center"/>
    </xf>
    <xf numFmtId="49" fontId="232" fillId="0" borderId="0" xfId="0" applyNumberFormat="1" applyFont="1" applyAlignment="1">
      <alignment horizontal="center"/>
    </xf>
    <xf numFmtId="0" fontId="239" fillId="0" borderId="0" xfId="0" applyFont="1"/>
    <xf numFmtId="0" fontId="232" fillId="2" borderId="6" xfId="0" applyFont="1" applyFill="1" applyBorder="1" applyAlignment="1">
      <alignment horizontal="center"/>
    </xf>
    <xf numFmtId="0" fontId="232" fillId="2" borderId="7" xfId="0" applyFont="1" applyFill="1" applyBorder="1" applyAlignment="1">
      <alignment horizontal="center"/>
    </xf>
    <xf numFmtId="0" fontId="232" fillId="2" borderId="7" xfId="0" applyFont="1" applyFill="1" applyBorder="1" applyAlignment="1">
      <alignment horizontal="center" vertical="center"/>
    </xf>
    <xf numFmtId="0" fontId="231" fillId="2" borderId="7" xfId="0" applyFont="1" applyFill="1" applyBorder="1" applyAlignment="1">
      <alignment horizontal="center"/>
    </xf>
    <xf numFmtId="169" fontId="240" fillId="2" borderId="8" xfId="0" applyNumberFormat="1" applyFont="1" applyFill="1" applyBorder="1" applyAlignment="1">
      <alignment horizontal="center"/>
    </xf>
    <xf numFmtId="15" fontId="231" fillId="2" borderId="9" xfId="0" applyNumberFormat="1" applyFont="1" applyFill="1" applyBorder="1" applyAlignment="1">
      <alignment horizontal="center"/>
    </xf>
    <xf numFmtId="0" fontId="232" fillId="2" borderId="10" xfId="0" applyFont="1" applyFill="1" applyBorder="1" applyAlignment="1">
      <alignment horizontal="center"/>
    </xf>
    <xf numFmtId="15" fontId="231" fillId="2" borderId="10" xfId="0" applyNumberFormat="1" applyFont="1" applyFill="1" applyBorder="1" applyAlignment="1">
      <alignment horizontal="center"/>
    </xf>
    <xf numFmtId="15" fontId="241" fillId="2" borderId="10" xfId="0" applyNumberFormat="1" applyFont="1" applyFill="1" applyBorder="1" applyAlignment="1">
      <alignment horizontal="center"/>
    </xf>
    <xf numFmtId="0" fontId="231" fillId="2" borderId="10" xfId="0" applyFont="1" applyFill="1" applyBorder="1" applyAlignment="1">
      <alignment horizontal="center"/>
    </xf>
    <xf numFmtId="169" fontId="231" fillId="2" borderId="11" xfId="0" applyNumberFormat="1" applyFont="1" applyFill="1" applyBorder="1" applyAlignment="1">
      <alignment horizontal="center"/>
    </xf>
    <xf numFmtId="0" fontId="238" fillId="3" borderId="6" xfId="0" applyFont="1" applyFill="1" applyBorder="1"/>
    <xf numFmtId="166" fontId="232" fillId="0" borderId="2" xfId="0" applyNumberFormat="1" applyFont="1" applyBorder="1" applyAlignment="1">
      <alignment horizontal="center"/>
    </xf>
    <xf numFmtId="168" fontId="232" fillId="0" borderId="2" xfId="0" applyNumberFormat="1" applyFont="1" applyBorder="1" applyAlignment="1">
      <alignment horizontal="center"/>
    </xf>
    <xf numFmtId="172" fontId="232" fillId="0" borderId="2" xfId="0" applyNumberFormat="1" applyFont="1" applyBorder="1" applyAlignment="1">
      <alignment horizontal="center"/>
    </xf>
    <xf numFmtId="173" fontId="232" fillId="0" borderId="2" xfId="0" applyNumberFormat="1" applyFont="1" applyBorder="1" applyAlignment="1">
      <alignment horizontal="center"/>
    </xf>
    <xf numFmtId="174" fontId="232" fillId="0" borderId="2" xfId="0" applyNumberFormat="1" applyFont="1" applyBorder="1" applyAlignment="1">
      <alignment horizontal="center"/>
    </xf>
    <xf numFmtId="169" fontId="232" fillId="0" borderId="3" xfId="0" applyNumberFormat="1" applyFont="1" applyBorder="1" applyAlignment="1">
      <alignment horizontal="center"/>
    </xf>
    <xf numFmtId="0" fontId="238" fillId="3" borderId="12" xfId="0" applyFont="1" applyFill="1" applyBorder="1"/>
    <xf numFmtId="168" fontId="232" fillId="0" borderId="0" xfId="0" applyNumberFormat="1" applyFont="1" applyAlignment="1">
      <alignment horizontal="left" vertical="center"/>
    </xf>
    <xf numFmtId="175" fontId="232" fillId="2" borderId="13" xfId="0" applyNumberFormat="1" applyFont="1" applyFill="1" applyBorder="1" applyAlignment="1">
      <alignment horizontal="left" vertical="top"/>
    </xf>
    <xf numFmtId="168" fontId="232" fillId="0" borderId="0" xfId="0" applyNumberFormat="1" applyFont="1" applyAlignment="1">
      <alignment horizontal="center"/>
    </xf>
    <xf numFmtId="172" fontId="232" fillId="0" borderId="0" xfId="0" applyNumberFormat="1" applyFont="1" applyAlignment="1">
      <alignment horizontal="center"/>
    </xf>
    <xf numFmtId="174" fontId="232" fillId="0" borderId="0" xfId="0" applyNumberFormat="1" applyFont="1" applyAlignment="1">
      <alignment horizontal="center"/>
    </xf>
    <xf numFmtId="173" fontId="232" fillId="0" borderId="0" xfId="0" applyNumberFormat="1" applyFont="1" applyAlignment="1">
      <alignment horizontal="center"/>
    </xf>
    <xf numFmtId="169" fontId="232" fillId="0" borderId="5" xfId="0" applyNumberFormat="1" applyFont="1" applyBorder="1" applyAlignment="1">
      <alignment horizontal="center"/>
    </xf>
    <xf numFmtId="169" fontId="227" fillId="0" borderId="0" xfId="0" applyNumberFormat="1" applyFont="1"/>
    <xf numFmtId="168" fontId="231" fillId="0" borderId="0" xfId="0" applyNumberFormat="1" applyFont="1"/>
    <xf numFmtId="176" fontId="241" fillId="0" borderId="0" xfId="0" applyNumberFormat="1" applyFont="1" applyAlignment="1">
      <alignment horizontal="center"/>
    </xf>
    <xf numFmtId="168" fontId="242" fillId="0" borderId="0" xfId="0" applyNumberFormat="1" applyFont="1" applyAlignment="1">
      <alignment horizontal="center"/>
    </xf>
    <xf numFmtId="0" fontId="243" fillId="0" borderId="0" xfId="0" applyFont="1" applyAlignment="1">
      <alignment horizontal="right"/>
    </xf>
    <xf numFmtId="169" fontId="227" fillId="0" borderId="5" xfId="0" applyNumberFormat="1" applyFont="1" applyBorder="1"/>
    <xf numFmtId="2" fontId="244" fillId="0" borderId="0" xfId="0" applyNumberFormat="1" applyFont="1"/>
    <xf numFmtId="168" fontId="241" fillId="0" borderId="0" xfId="0" applyNumberFormat="1" applyFont="1"/>
    <xf numFmtId="168" fontId="245" fillId="0" borderId="0" xfId="0" applyNumberFormat="1" applyFont="1"/>
    <xf numFmtId="174" fontId="243" fillId="0" borderId="5" xfId="0" applyNumberFormat="1" applyFont="1" applyBorder="1"/>
    <xf numFmtId="169" fontId="240" fillId="0" borderId="5" xfId="0" applyNumberFormat="1" applyFont="1" applyBorder="1"/>
    <xf numFmtId="177" fontId="246" fillId="0" borderId="0" xfId="0" applyNumberFormat="1" applyFont="1" applyAlignment="1">
      <alignment vertical="center"/>
    </xf>
    <xf numFmtId="0" fontId="238" fillId="3" borderId="9" xfId="0" applyFont="1" applyFill="1" applyBorder="1"/>
    <xf numFmtId="0" fontId="238" fillId="0" borderId="14" xfId="0" applyFont="1" applyBorder="1"/>
    <xf numFmtId="0" fontId="227" fillId="0" borderId="14" xfId="0" applyFont="1" applyBorder="1"/>
    <xf numFmtId="168" fontId="231" fillId="0" borderId="14" xfId="0" applyNumberFormat="1" applyFont="1" applyBorder="1"/>
    <xf numFmtId="176" fontId="231" fillId="0" borderId="14" xfId="0" applyNumberFormat="1" applyFont="1" applyBorder="1"/>
    <xf numFmtId="2" fontId="231" fillId="0" borderId="14" xfId="0" applyNumberFormat="1" applyFont="1" applyBorder="1"/>
    <xf numFmtId="176" fontId="231" fillId="0" borderId="14" xfId="0" applyNumberFormat="1" applyFont="1" applyBorder="1" applyAlignment="1">
      <alignment horizontal="center"/>
    </xf>
    <xf numFmtId="0" fontId="243" fillId="0" borderId="14" xfId="0" applyFont="1" applyBorder="1"/>
    <xf numFmtId="0" fontId="243" fillId="0" borderId="14" xfId="0" applyFont="1" applyBorder="1" applyAlignment="1">
      <alignment horizontal="right"/>
    </xf>
    <xf numFmtId="169" fontId="240" fillId="0" borderId="15" xfId="0" applyNumberFormat="1" applyFont="1" applyBorder="1"/>
    <xf numFmtId="0" fontId="247" fillId="0" borderId="0" xfId="0" applyFont="1"/>
    <xf numFmtId="0" fontId="227" fillId="0" borderId="0" xfId="0" applyFont="1" applyAlignment="1">
      <alignment horizontal="center"/>
    </xf>
    <xf numFmtId="168" fontId="227" fillId="0" borderId="0" xfId="0" applyNumberFormat="1" applyFont="1"/>
    <xf numFmtId="178" fontId="227" fillId="0" borderId="0" xfId="0" applyNumberFormat="1" applyFont="1"/>
    <xf numFmtId="40" fontId="227" fillId="0" borderId="0" xfId="0" applyNumberFormat="1" applyFont="1"/>
    <xf numFmtId="40" fontId="227" fillId="0" borderId="1" xfId="0" applyNumberFormat="1" applyFont="1" applyBorder="1" applyAlignment="1">
      <alignment horizontal="center"/>
    </xf>
    <xf numFmtId="40" fontId="227" fillId="0" borderId="16" xfId="0" applyNumberFormat="1" applyFont="1" applyBorder="1" applyAlignment="1">
      <alignment horizontal="center"/>
    </xf>
    <xf numFmtId="0" fontId="227" fillId="0" borderId="1" xfId="0" applyFont="1" applyBorder="1" applyAlignment="1">
      <alignment horizontal="center"/>
    </xf>
    <xf numFmtId="0" fontId="227" fillId="4" borderId="17" xfId="0" applyFont="1" applyFill="1" applyBorder="1" applyAlignment="1">
      <alignment horizontal="center"/>
    </xf>
    <xf numFmtId="179" fontId="227" fillId="0" borderId="0" xfId="0" applyNumberFormat="1" applyFont="1"/>
    <xf numFmtId="169" fontId="227" fillId="0" borderId="16" xfId="0" applyNumberFormat="1" applyFont="1" applyBorder="1" applyAlignment="1">
      <alignment horizontal="center"/>
    </xf>
    <xf numFmtId="175" fontId="227" fillId="0" borderId="0" xfId="0" applyNumberFormat="1" applyFont="1" applyAlignment="1">
      <alignment horizontal="center"/>
    </xf>
    <xf numFmtId="168" fontId="227" fillId="0" borderId="16" xfId="0" applyNumberFormat="1" applyFont="1" applyBorder="1"/>
    <xf numFmtId="168" fontId="227" fillId="0" borderId="16" xfId="0" applyNumberFormat="1" applyFont="1" applyBorder="1" applyAlignment="1">
      <alignment horizontal="center"/>
    </xf>
    <xf numFmtId="178" fontId="227" fillId="5" borderId="17" xfId="0" applyNumberFormat="1" applyFont="1" applyFill="1" applyBorder="1" applyAlignment="1">
      <alignment horizontal="center" vertical="center"/>
    </xf>
    <xf numFmtId="2" fontId="227" fillId="0" borderId="16" xfId="0" applyNumberFormat="1" applyFont="1" applyBorder="1" applyAlignment="1">
      <alignment horizontal="center"/>
    </xf>
    <xf numFmtId="40" fontId="227" fillId="0" borderId="18" xfId="0" applyNumberFormat="1" applyFont="1" applyBorder="1" applyAlignment="1">
      <alignment horizontal="center"/>
    </xf>
    <xf numFmtId="40" fontId="227" fillId="0" borderId="19" xfId="0" applyNumberFormat="1" applyFont="1" applyBorder="1" applyAlignment="1">
      <alignment horizontal="center"/>
    </xf>
    <xf numFmtId="175" fontId="227" fillId="6" borderId="12" xfId="0" applyNumberFormat="1" applyFont="1" applyFill="1" applyBorder="1" applyAlignment="1">
      <alignment horizontal="center"/>
    </xf>
    <xf numFmtId="169" fontId="227" fillId="5" borderId="20" xfId="0" applyNumberFormat="1" applyFont="1" applyFill="1" applyBorder="1" applyAlignment="1">
      <alignment horizontal="center"/>
    </xf>
    <xf numFmtId="169" fontId="227" fillId="0" borderId="19" xfId="0" applyNumberFormat="1" applyFont="1" applyBorder="1" applyAlignment="1">
      <alignment horizontal="center"/>
    </xf>
    <xf numFmtId="0" fontId="232" fillId="2" borderId="21" xfId="0" applyFont="1" applyFill="1" applyBorder="1"/>
    <xf numFmtId="0" fontId="232" fillId="2" borderId="21" xfId="0" applyFont="1" applyFill="1" applyBorder="1" applyAlignment="1">
      <alignment horizontal="center"/>
    </xf>
    <xf numFmtId="0" fontId="232" fillId="2" borderId="22" xfId="0" applyFont="1" applyFill="1" applyBorder="1" applyAlignment="1">
      <alignment horizontal="center"/>
    </xf>
    <xf numFmtId="0" fontId="232" fillId="7" borderId="23" xfId="0" applyFont="1" applyFill="1" applyBorder="1" applyAlignment="1">
      <alignment horizontal="center"/>
    </xf>
    <xf numFmtId="0" fontId="232" fillId="7" borderId="24" xfId="0" applyFont="1" applyFill="1" applyBorder="1"/>
    <xf numFmtId="0" fontId="232" fillId="2" borderId="23" xfId="0" applyFont="1" applyFill="1" applyBorder="1" applyAlignment="1">
      <alignment horizontal="center"/>
    </xf>
    <xf numFmtId="0" fontId="248" fillId="7" borderId="25" xfId="0" applyFont="1" applyFill="1" applyBorder="1" applyAlignment="1">
      <alignment horizontal="center"/>
    </xf>
    <xf numFmtId="0" fontId="248" fillId="7" borderId="21" xfId="0" applyFont="1" applyFill="1" applyBorder="1" applyAlignment="1">
      <alignment horizontal="center"/>
    </xf>
    <xf numFmtId="0" fontId="232" fillId="7" borderId="22" xfId="0" applyFont="1" applyFill="1" applyBorder="1" applyAlignment="1">
      <alignment horizontal="center"/>
    </xf>
    <xf numFmtId="0" fontId="232" fillId="7" borderId="25" xfId="0" applyFont="1" applyFill="1" applyBorder="1" applyAlignment="1">
      <alignment horizontal="center"/>
    </xf>
    <xf numFmtId="0" fontId="231" fillId="7" borderId="21" xfId="0" applyFont="1" applyFill="1" applyBorder="1"/>
    <xf numFmtId="0" fontId="231" fillId="2" borderId="21" xfId="0" applyFont="1" applyFill="1" applyBorder="1"/>
    <xf numFmtId="0" fontId="232" fillId="7" borderId="21" xfId="0" applyFont="1" applyFill="1" applyBorder="1" applyAlignment="1">
      <alignment horizontal="center"/>
    </xf>
    <xf numFmtId="40" fontId="232" fillId="2" borderId="21" xfId="0" applyNumberFormat="1" applyFont="1" applyFill="1" applyBorder="1" applyAlignment="1">
      <alignment horizontal="center"/>
    </xf>
    <xf numFmtId="40" fontId="240" fillId="2" borderId="21" xfId="0" applyNumberFormat="1" applyFont="1" applyFill="1" applyBorder="1"/>
    <xf numFmtId="40" fontId="240" fillId="2" borderId="21" xfId="0" applyNumberFormat="1" applyFont="1" applyFill="1" applyBorder="1" applyAlignment="1">
      <alignment horizontal="center"/>
    </xf>
    <xf numFmtId="40" fontId="249" fillId="0" borderId="23" xfId="0" applyNumberFormat="1" applyFont="1" applyBorder="1" applyAlignment="1">
      <alignment horizontal="center"/>
    </xf>
    <xf numFmtId="169" fontId="227" fillId="0" borderId="18" xfId="0" applyNumberFormat="1" applyFont="1" applyBorder="1" applyAlignment="1">
      <alignment horizontal="center"/>
    </xf>
    <xf numFmtId="40" fontId="227" fillId="0" borderId="27" xfId="0" applyNumberFormat="1" applyFont="1" applyBorder="1" applyAlignment="1">
      <alignment horizontal="center"/>
    </xf>
    <xf numFmtId="0" fontId="232" fillId="5" borderId="28" xfId="0" applyFont="1" applyFill="1" applyBorder="1"/>
    <xf numFmtId="0" fontId="232" fillId="5" borderId="29" xfId="0" applyFont="1" applyFill="1" applyBorder="1"/>
    <xf numFmtId="0" fontId="232" fillId="5" borderId="29" xfId="0" applyFont="1" applyFill="1" applyBorder="1" applyAlignment="1">
      <alignment horizontal="center"/>
    </xf>
    <xf numFmtId="0" fontId="232" fillId="5" borderId="13" xfId="0" applyFont="1" applyFill="1" applyBorder="1"/>
    <xf numFmtId="0" fontId="232" fillId="5" borderId="13" xfId="0" applyFont="1" applyFill="1" applyBorder="1" applyAlignment="1">
      <alignment horizontal="center"/>
    </xf>
    <xf numFmtId="0" fontId="248" fillId="5" borderId="29" xfId="0" applyFont="1" applyFill="1" applyBorder="1" applyAlignment="1">
      <alignment horizontal="center"/>
    </xf>
    <xf numFmtId="0" fontId="231" fillId="5" borderId="29" xfId="0" applyFont="1" applyFill="1" applyBorder="1"/>
    <xf numFmtId="40" fontId="232" fillId="5" borderId="29" xfId="0" applyNumberFormat="1" applyFont="1" applyFill="1" applyBorder="1" applyAlignment="1">
      <alignment horizontal="center"/>
    </xf>
    <xf numFmtId="40" fontId="240" fillId="5" borderId="29" xfId="0" applyNumberFormat="1" applyFont="1" applyFill="1" applyBorder="1"/>
    <xf numFmtId="40" fontId="240" fillId="5" borderId="29" xfId="0" applyNumberFormat="1" applyFont="1" applyFill="1" applyBorder="1" applyAlignment="1">
      <alignment horizontal="center"/>
    </xf>
    <xf numFmtId="40" fontId="249" fillId="5" borderId="29" xfId="0" applyNumberFormat="1" applyFont="1" applyFill="1" applyBorder="1"/>
    <xf numFmtId="40" fontId="249" fillId="5" borderId="13" xfId="0" applyNumberFormat="1" applyFont="1" applyFill="1" applyBorder="1" applyAlignment="1">
      <alignment horizontal="center"/>
    </xf>
    <xf numFmtId="169" fontId="227" fillId="5" borderId="13" xfId="0" applyNumberFormat="1" applyFont="1" applyFill="1" applyBorder="1" applyAlignment="1">
      <alignment horizontal="center"/>
    </xf>
    <xf numFmtId="0" fontId="227" fillId="5" borderId="13" xfId="0" applyFont="1" applyFill="1" applyBorder="1" applyAlignment="1">
      <alignment horizontal="center"/>
    </xf>
    <xf numFmtId="179" fontId="227" fillId="5" borderId="13" xfId="0" applyNumberFormat="1" applyFont="1" applyFill="1" applyBorder="1"/>
    <xf numFmtId="0" fontId="250" fillId="8" borderId="30" xfId="0" applyFont="1" applyFill="1" applyBorder="1" applyAlignment="1">
      <alignment horizontal="center"/>
    </xf>
    <xf numFmtId="171" fontId="227" fillId="5" borderId="13" xfId="0" applyNumberFormat="1" applyFont="1" applyFill="1" applyBorder="1"/>
    <xf numFmtId="171" fontId="227" fillId="0" borderId="0" xfId="0" applyNumberFormat="1" applyFont="1"/>
    <xf numFmtId="2" fontId="227" fillId="0" borderId="0" xfId="0" applyNumberFormat="1" applyFont="1"/>
    <xf numFmtId="178" fontId="227" fillId="5" borderId="13" xfId="0" applyNumberFormat="1" applyFont="1" applyFill="1" applyBorder="1"/>
    <xf numFmtId="178" fontId="227" fillId="0" borderId="0" xfId="0" applyNumberFormat="1" applyFont="1" applyAlignment="1">
      <alignment horizontal="center"/>
    </xf>
    <xf numFmtId="0" fontId="250" fillId="0" borderId="0" xfId="0" applyFont="1" applyAlignment="1">
      <alignment horizontal="center"/>
    </xf>
    <xf numFmtId="178" fontId="227" fillId="5" borderId="13" xfId="0" applyNumberFormat="1" applyFont="1" applyFill="1" applyBorder="1" applyAlignment="1">
      <alignment horizontal="center"/>
    </xf>
    <xf numFmtId="0" fontId="227" fillId="5" borderId="13" xfId="0" applyFont="1" applyFill="1" applyBorder="1"/>
    <xf numFmtId="2" fontId="227" fillId="5" borderId="13" xfId="0" applyNumberFormat="1" applyFont="1" applyFill="1" applyBorder="1"/>
    <xf numFmtId="169" fontId="227" fillId="5" borderId="13" xfId="0" applyNumberFormat="1" applyFont="1" applyFill="1" applyBorder="1"/>
    <xf numFmtId="40" fontId="227" fillId="5" borderId="13" xfId="0" applyNumberFormat="1" applyFont="1" applyFill="1" applyBorder="1"/>
    <xf numFmtId="40" fontId="227" fillId="5" borderId="13" xfId="0" applyNumberFormat="1" applyFont="1" applyFill="1" applyBorder="1" applyAlignment="1">
      <alignment horizontal="center"/>
    </xf>
    <xf numFmtId="2" fontId="227" fillId="0" borderId="0" xfId="0" applyNumberFormat="1" applyFont="1" applyAlignment="1">
      <alignment horizontal="center"/>
    </xf>
    <xf numFmtId="169" fontId="227" fillId="0" borderId="0" xfId="0" applyNumberFormat="1" applyFont="1" applyAlignment="1">
      <alignment horizontal="center"/>
    </xf>
    <xf numFmtId="178" fontId="250" fillId="0" borderId="0" xfId="0" applyNumberFormat="1" applyFont="1" applyAlignment="1">
      <alignment horizontal="center"/>
    </xf>
    <xf numFmtId="0" fontId="249" fillId="0" borderId="0" xfId="0" applyFont="1"/>
    <xf numFmtId="169" fontId="249" fillId="5" borderId="13" xfId="0" applyNumberFormat="1" applyFont="1" applyFill="1" applyBorder="1"/>
    <xf numFmtId="0" fontId="250" fillId="5" borderId="13" xfId="0" applyFont="1" applyFill="1" applyBorder="1" applyAlignment="1">
      <alignment horizontal="center"/>
    </xf>
    <xf numFmtId="178" fontId="250" fillId="5" borderId="13" xfId="0" applyNumberFormat="1" applyFont="1" applyFill="1" applyBorder="1" applyAlignment="1">
      <alignment horizontal="center"/>
    </xf>
    <xf numFmtId="0" fontId="249" fillId="5" borderId="13" xfId="0" applyFont="1" applyFill="1" applyBorder="1"/>
    <xf numFmtId="2" fontId="250" fillId="5" borderId="13" xfId="0" applyNumberFormat="1" applyFont="1" applyFill="1" applyBorder="1"/>
    <xf numFmtId="2" fontId="227" fillId="5" borderId="13" xfId="0" applyNumberFormat="1" applyFont="1" applyFill="1" applyBorder="1" applyAlignment="1">
      <alignment horizontal="center"/>
    </xf>
    <xf numFmtId="178" fontId="249" fillId="5" borderId="13" xfId="0" applyNumberFormat="1" applyFont="1" applyFill="1" applyBorder="1" applyAlignment="1">
      <alignment horizontal="center"/>
    </xf>
    <xf numFmtId="0" fontId="250" fillId="5" borderId="13" xfId="0" applyFont="1" applyFill="1" applyBorder="1"/>
    <xf numFmtId="178" fontId="249" fillId="0" borderId="0" xfId="0" applyNumberFormat="1" applyFont="1" applyAlignment="1">
      <alignment horizontal="center"/>
    </xf>
    <xf numFmtId="2" fontId="250" fillId="9" borderId="13" xfId="0" applyNumberFormat="1" applyFont="1" applyFill="1" applyBorder="1"/>
    <xf numFmtId="0" fontId="227" fillId="6" borderId="13" xfId="0" applyFont="1" applyFill="1" applyBorder="1" applyAlignment="1">
      <alignment horizontal="center"/>
    </xf>
    <xf numFmtId="0" fontId="250" fillId="6" borderId="30" xfId="0" applyFont="1" applyFill="1" applyBorder="1" applyAlignment="1">
      <alignment horizontal="center"/>
    </xf>
    <xf numFmtId="0" fontId="227" fillId="6" borderId="13" xfId="0" applyFont="1" applyFill="1" applyBorder="1"/>
    <xf numFmtId="0" fontId="251" fillId="8" borderId="30" xfId="0" applyFont="1" applyFill="1" applyBorder="1" applyAlignment="1">
      <alignment horizontal="center"/>
    </xf>
    <xf numFmtId="0" fontId="252" fillId="8" borderId="30" xfId="0" applyFont="1" applyFill="1" applyBorder="1" applyAlignment="1">
      <alignment horizontal="center"/>
    </xf>
    <xf numFmtId="0" fontId="249" fillId="0" borderId="0" xfId="0" applyFont="1" applyAlignment="1">
      <alignment horizontal="center"/>
    </xf>
    <xf numFmtId="169" fontId="250" fillId="5" borderId="13" xfId="0" applyNumberFormat="1" applyFont="1" applyFill="1" applyBorder="1"/>
    <xf numFmtId="40" fontId="227" fillId="0" borderId="0" xfId="0" applyNumberFormat="1" applyFont="1" applyAlignment="1">
      <alignment horizontal="center"/>
    </xf>
    <xf numFmtId="0" fontId="227" fillId="4" borderId="13" xfId="0" applyFont="1" applyFill="1" applyBorder="1" applyAlignment="1">
      <alignment horizontal="center"/>
    </xf>
    <xf numFmtId="178" fontId="227" fillId="5" borderId="13" xfId="0" applyNumberFormat="1" applyFont="1" applyFill="1" applyBorder="1" applyAlignment="1">
      <alignment horizontal="center" vertical="center"/>
    </xf>
    <xf numFmtId="175" fontId="227" fillId="6" borderId="13" xfId="0" applyNumberFormat="1" applyFont="1" applyFill="1" applyBorder="1"/>
    <xf numFmtId="0" fontId="232" fillId="7" borderId="21" xfId="0" applyFont="1" applyFill="1" applyBorder="1"/>
    <xf numFmtId="40" fontId="249" fillId="0" borderId="21" xfId="0" applyNumberFormat="1" applyFont="1" applyBorder="1"/>
    <xf numFmtId="40" fontId="249" fillId="0" borderId="31" xfId="0" applyNumberFormat="1" applyFont="1" applyBorder="1"/>
    <xf numFmtId="40" fontId="249" fillId="5" borderId="13" xfId="0" applyNumberFormat="1" applyFont="1" applyFill="1" applyBorder="1"/>
    <xf numFmtId="0" fontId="232" fillId="5" borderId="13" xfId="0" applyFont="1" applyFill="1" applyBorder="1" applyAlignment="1">
      <alignment horizontal="right" vertical="center"/>
    </xf>
    <xf numFmtId="175" fontId="227" fillId="5" borderId="13" xfId="0" applyNumberFormat="1" applyFont="1" applyFill="1" applyBorder="1" applyAlignment="1">
      <alignment horizontal="center"/>
    </xf>
    <xf numFmtId="0" fontId="250" fillId="5" borderId="13" xfId="0" applyFont="1" applyFill="1" applyBorder="1" applyAlignment="1">
      <alignment horizontal="center" vertical="center"/>
    </xf>
    <xf numFmtId="171" fontId="227" fillId="11" borderId="13" xfId="0" applyNumberFormat="1" applyFont="1" applyFill="1" applyBorder="1"/>
    <xf numFmtId="0" fontId="227" fillId="11" borderId="13" xfId="0" applyFont="1" applyFill="1" applyBorder="1"/>
    <xf numFmtId="0" fontId="250" fillId="11" borderId="13" xfId="0" applyFont="1" applyFill="1" applyBorder="1"/>
    <xf numFmtId="175" fontId="227" fillId="11" borderId="13" xfId="0" applyNumberFormat="1" applyFont="1" applyFill="1" applyBorder="1" applyAlignment="1">
      <alignment horizontal="center"/>
    </xf>
    <xf numFmtId="2" fontId="227" fillId="11" borderId="13" xfId="0" applyNumberFormat="1" applyFont="1" applyFill="1" applyBorder="1"/>
    <xf numFmtId="178" fontId="227" fillId="11" borderId="13" xfId="0" applyNumberFormat="1" applyFont="1" applyFill="1" applyBorder="1"/>
    <xf numFmtId="0" fontId="227" fillId="11" borderId="13" xfId="0" applyFont="1" applyFill="1" applyBorder="1" applyAlignment="1">
      <alignment horizontal="center"/>
    </xf>
    <xf numFmtId="178" fontId="227" fillId="11" borderId="13" xfId="0" applyNumberFormat="1" applyFont="1" applyFill="1" applyBorder="1" applyAlignment="1">
      <alignment horizontal="center"/>
    </xf>
    <xf numFmtId="178" fontId="250" fillId="11" borderId="13" xfId="0" applyNumberFormat="1" applyFont="1" applyFill="1" applyBorder="1" applyAlignment="1">
      <alignment horizontal="center"/>
    </xf>
    <xf numFmtId="178" fontId="250" fillId="6" borderId="13" xfId="0" applyNumberFormat="1" applyFont="1" applyFill="1" applyBorder="1" applyAlignment="1">
      <alignment horizontal="center"/>
    </xf>
    <xf numFmtId="0" fontId="249" fillId="11" borderId="13" xfId="0" applyFont="1" applyFill="1" applyBorder="1"/>
    <xf numFmtId="169" fontId="227" fillId="11" borderId="13" xfId="0" applyNumberFormat="1" applyFont="1" applyFill="1" applyBorder="1"/>
    <xf numFmtId="40" fontId="227" fillId="11" borderId="13" xfId="0" applyNumberFormat="1" applyFont="1" applyFill="1" applyBorder="1"/>
    <xf numFmtId="40" fontId="250" fillId="11" borderId="13" xfId="0" applyNumberFormat="1" applyFont="1" applyFill="1" applyBorder="1"/>
    <xf numFmtId="179" fontId="227" fillId="11" borderId="13" xfId="0" applyNumberFormat="1" applyFont="1" applyFill="1" applyBorder="1"/>
    <xf numFmtId="171" fontId="227" fillId="6" borderId="13" xfId="0" applyNumberFormat="1" applyFont="1" applyFill="1" applyBorder="1"/>
    <xf numFmtId="2" fontId="227" fillId="6" borderId="13" xfId="0" applyNumberFormat="1" applyFont="1" applyFill="1" applyBorder="1"/>
    <xf numFmtId="178" fontId="227" fillId="6" borderId="13" xfId="0" applyNumberFormat="1" applyFont="1" applyFill="1" applyBorder="1"/>
    <xf numFmtId="178" fontId="227" fillId="6" borderId="13" xfId="0" applyNumberFormat="1" applyFont="1" applyFill="1" applyBorder="1" applyAlignment="1">
      <alignment horizontal="center"/>
    </xf>
    <xf numFmtId="178" fontId="249" fillId="6" borderId="13" xfId="0" applyNumberFormat="1" applyFont="1" applyFill="1" applyBorder="1" applyAlignment="1">
      <alignment horizontal="center"/>
    </xf>
    <xf numFmtId="0" fontId="249" fillId="6" borderId="13" xfId="0" applyFont="1" applyFill="1" applyBorder="1"/>
    <xf numFmtId="169" fontId="227" fillId="6" borderId="13" xfId="0" applyNumberFormat="1" applyFont="1" applyFill="1" applyBorder="1"/>
    <xf numFmtId="40" fontId="227" fillId="6" borderId="13" xfId="0" applyNumberFormat="1" applyFont="1" applyFill="1" applyBorder="1"/>
    <xf numFmtId="179" fontId="227" fillId="6" borderId="13" xfId="0" applyNumberFormat="1" applyFont="1" applyFill="1" applyBorder="1"/>
    <xf numFmtId="1" fontId="227" fillId="5" borderId="13" xfId="0" applyNumberFormat="1" applyFont="1" applyFill="1" applyBorder="1"/>
    <xf numFmtId="178" fontId="250" fillId="10" borderId="13" xfId="0" applyNumberFormat="1" applyFont="1" applyFill="1" applyBorder="1" applyAlignment="1">
      <alignment horizontal="center"/>
    </xf>
    <xf numFmtId="178" fontId="253" fillId="0" borderId="0" xfId="0" applyNumberFormat="1" applyFont="1" applyAlignment="1">
      <alignment horizontal="center"/>
    </xf>
    <xf numFmtId="0" fontId="250" fillId="0" borderId="0" xfId="0" applyFont="1"/>
    <xf numFmtId="0" fontId="250" fillId="6" borderId="13" xfId="0" applyFont="1" applyFill="1" applyBorder="1"/>
    <xf numFmtId="40" fontId="227" fillId="9" borderId="13" xfId="0" applyNumberFormat="1" applyFont="1" applyFill="1" applyBorder="1"/>
    <xf numFmtId="171" fontId="227" fillId="12" borderId="13" xfId="0" applyNumberFormat="1" applyFont="1" applyFill="1" applyBorder="1"/>
    <xf numFmtId="0" fontId="227" fillId="12" borderId="13" xfId="0" applyFont="1" applyFill="1" applyBorder="1"/>
    <xf numFmtId="0" fontId="227" fillId="12" borderId="13" xfId="0" applyFont="1" applyFill="1" applyBorder="1" applyAlignment="1">
      <alignment horizontal="center"/>
    </xf>
    <xf numFmtId="2" fontId="227" fillId="12" borderId="13" xfId="0" applyNumberFormat="1" applyFont="1" applyFill="1" applyBorder="1"/>
    <xf numFmtId="178" fontId="227" fillId="12" borderId="13" xfId="0" applyNumberFormat="1" applyFont="1" applyFill="1" applyBorder="1"/>
    <xf numFmtId="178" fontId="227" fillId="12" borderId="13" xfId="0" applyNumberFormat="1" applyFont="1" applyFill="1" applyBorder="1" applyAlignment="1">
      <alignment horizontal="center"/>
    </xf>
    <xf numFmtId="178" fontId="250" fillId="12" borderId="13" xfId="0" applyNumberFormat="1" applyFont="1" applyFill="1" applyBorder="1" applyAlignment="1">
      <alignment horizontal="center"/>
    </xf>
    <xf numFmtId="169" fontId="227" fillId="12" borderId="13" xfId="0" applyNumberFormat="1" applyFont="1" applyFill="1" applyBorder="1"/>
    <xf numFmtId="2" fontId="227" fillId="13" borderId="13" xfId="0" applyNumberFormat="1" applyFont="1" applyFill="1" applyBorder="1"/>
    <xf numFmtId="2" fontId="250" fillId="13" borderId="13" xfId="0" applyNumberFormat="1" applyFont="1" applyFill="1" applyBorder="1"/>
    <xf numFmtId="40" fontId="227" fillId="12" borderId="13" xfId="0" applyNumberFormat="1" applyFont="1" applyFill="1" applyBorder="1"/>
    <xf numFmtId="179" fontId="227" fillId="12" borderId="13" xfId="0" applyNumberFormat="1" applyFont="1" applyFill="1" applyBorder="1"/>
    <xf numFmtId="178" fontId="227" fillId="14" borderId="13" xfId="0" applyNumberFormat="1" applyFont="1" applyFill="1" applyBorder="1" applyAlignment="1">
      <alignment horizontal="center"/>
    </xf>
    <xf numFmtId="2" fontId="250" fillId="15" borderId="13" xfId="0" applyNumberFormat="1" applyFont="1" applyFill="1" applyBorder="1"/>
    <xf numFmtId="0" fontId="250" fillId="16" borderId="30" xfId="0" applyFont="1" applyFill="1" applyBorder="1" applyAlignment="1">
      <alignment horizontal="center"/>
    </xf>
    <xf numFmtId="171" fontId="227" fillId="16" borderId="13" xfId="0" applyNumberFormat="1" applyFont="1" applyFill="1" applyBorder="1"/>
    <xf numFmtId="0" fontId="227" fillId="16" borderId="13" xfId="0" applyFont="1" applyFill="1" applyBorder="1"/>
    <xf numFmtId="0" fontId="250" fillId="16" borderId="13" xfId="0" applyFont="1" applyFill="1" applyBorder="1"/>
    <xf numFmtId="0" fontId="227" fillId="16" borderId="13" xfId="0" applyFont="1" applyFill="1" applyBorder="1" applyAlignment="1">
      <alignment horizontal="center"/>
    </xf>
    <xf numFmtId="2" fontId="227" fillId="16" borderId="13" xfId="0" applyNumberFormat="1" applyFont="1" applyFill="1" applyBorder="1"/>
    <xf numFmtId="178" fontId="227" fillId="16" borderId="13" xfId="0" applyNumberFormat="1" applyFont="1" applyFill="1" applyBorder="1"/>
    <xf numFmtId="178" fontId="227" fillId="16" borderId="13" xfId="0" applyNumberFormat="1" applyFont="1" applyFill="1" applyBorder="1" applyAlignment="1">
      <alignment horizontal="center"/>
    </xf>
    <xf numFmtId="178" fontId="250" fillId="16" borderId="13" xfId="0" applyNumberFormat="1" applyFont="1" applyFill="1" applyBorder="1" applyAlignment="1">
      <alignment horizontal="center"/>
    </xf>
    <xf numFmtId="169" fontId="227" fillId="16" borderId="13" xfId="0" applyNumberFormat="1" applyFont="1" applyFill="1" applyBorder="1"/>
    <xf numFmtId="2" fontId="250" fillId="16" borderId="13" xfId="0" applyNumberFormat="1" applyFont="1" applyFill="1" applyBorder="1"/>
    <xf numFmtId="40" fontId="227" fillId="16" borderId="13" xfId="0" applyNumberFormat="1" applyFont="1" applyFill="1" applyBorder="1"/>
    <xf numFmtId="40" fontId="250" fillId="16" borderId="13" xfId="0" applyNumberFormat="1" applyFont="1" applyFill="1" applyBorder="1"/>
    <xf numFmtId="179" fontId="227" fillId="16" borderId="13" xfId="0" applyNumberFormat="1" applyFont="1" applyFill="1" applyBorder="1"/>
    <xf numFmtId="178" fontId="249" fillId="16" borderId="13" xfId="0" applyNumberFormat="1" applyFont="1" applyFill="1" applyBorder="1" applyAlignment="1">
      <alignment horizontal="center"/>
    </xf>
    <xf numFmtId="2" fontId="250" fillId="17" borderId="13" xfId="0" applyNumberFormat="1" applyFont="1" applyFill="1" applyBorder="1"/>
    <xf numFmtId="175" fontId="227" fillId="0" borderId="0" xfId="0" applyNumberFormat="1" applyFont="1"/>
    <xf numFmtId="178" fontId="227" fillId="0" borderId="0" xfId="0" applyNumberFormat="1" applyFont="1" applyAlignment="1">
      <alignment horizontal="center" vertical="center"/>
    </xf>
    <xf numFmtId="178" fontId="250" fillId="0" borderId="0" xfId="0" applyNumberFormat="1" applyFont="1" applyAlignment="1">
      <alignment horizontal="center" vertical="center"/>
    </xf>
    <xf numFmtId="178" fontId="249" fillId="0" borderId="0" xfId="0" applyNumberFormat="1" applyFont="1" applyAlignment="1">
      <alignment horizontal="center" vertical="center"/>
    </xf>
    <xf numFmtId="0" fontId="249" fillId="5" borderId="13" xfId="0" applyFont="1" applyFill="1" applyBorder="1" applyAlignment="1">
      <alignment horizontal="center"/>
    </xf>
    <xf numFmtId="40" fontId="250" fillId="5" borderId="13" xfId="0" applyNumberFormat="1" applyFont="1" applyFill="1" applyBorder="1"/>
    <xf numFmtId="2" fontId="227" fillId="9" borderId="13" xfId="0" applyNumberFormat="1" applyFont="1" applyFill="1" applyBorder="1"/>
    <xf numFmtId="2" fontId="250" fillId="0" borderId="0" xfId="0" applyNumberFormat="1" applyFont="1"/>
    <xf numFmtId="178" fontId="249" fillId="5" borderId="13" xfId="0" applyNumberFormat="1" applyFont="1" applyFill="1" applyBorder="1" applyAlignment="1">
      <alignment horizontal="center" vertical="center"/>
    </xf>
    <xf numFmtId="178" fontId="250" fillId="5" borderId="13" xfId="0" applyNumberFormat="1" applyFont="1" applyFill="1" applyBorder="1" applyAlignment="1">
      <alignment horizontal="center" vertical="center"/>
    </xf>
    <xf numFmtId="0" fontId="249" fillId="5" borderId="13" xfId="0" applyFont="1" applyFill="1" applyBorder="1" applyAlignment="1">
      <alignment horizontal="center" vertical="center"/>
    </xf>
    <xf numFmtId="179" fontId="250" fillId="0" borderId="0" xfId="0" applyNumberFormat="1" applyFont="1"/>
    <xf numFmtId="0" fontId="232" fillId="6" borderId="13" xfId="0" applyFont="1" applyFill="1" applyBorder="1" applyAlignment="1">
      <alignment horizontal="right" vertical="center"/>
    </xf>
    <xf numFmtId="175" fontId="227" fillId="6" borderId="13" xfId="0" applyNumberFormat="1" applyFont="1" applyFill="1" applyBorder="1" applyAlignment="1">
      <alignment horizontal="center"/>
    </xf>
    <xf numFmtId="178" fontId="227" fillId="6" borderId="13" xfId="0" applyNumberFormat="1" applyFont="1" applyFill="1" applyBorder="1" applyAlignment="1">
      <alignment horizontal="center" vertical="center"/>
    </xf>
    <xf numFmtId="178" fontId="250" fillId="6" borderId="13" xfId="0" applyNumberFormat="1" applyFont="1" applyFill="1" applyBorder="1" applyAlignment="1">
      <alignment horizontal="center" vertical="center"/>
    </xf>
    <xf numFmtId="178" fontId="249" fillId="6" borderId="13" xfId="0" applyNumberFormat="1" applyFont="1" applyFill="1" applyBorder="1" applyAlignment="1">
      <alignment horizontal="center" vertical="center"/>
    </xf>
    <xf numFmtId="1" fontId="227" fillId="6" borderId="13" xfId="0" applyNumberFormat="1" applyFont="1" applyFill="1" applyBorder="1"/>
    <xf numFmtId="171" fontId="227" fillId="0" borderId="0" xfId="0" applyNumberFormat="1" applyFont="1" applyAlignment="1">
      <alignment horizontal="left"/>
    </xf>
    <xf numFmtId="171" fontId="227" fillId="5" borderId="13" xfId="0" applyNumberFormat="1" applyFont="1" applyFill="1" applyBorder="1" applyAlignment="1">
      <alignment horizontal="left"/>
    </xf>
    <xf numFmtId="171" fontId="227" fillId="4" borderId="13" xfId="0" applyNumberFormat="1" applyFont="1" applyFill="1" applyBorder="1"/>
    <xf numFmtId="0" fontId="227" fillId="4" borderId="13" xfId="0" applyFont="1" applyFill="1" applyBorder="1"/>
    <xf numFmtId="0" fontId="232" fillId="4" borderId="13" xfId="0" applyFont="1" applyFill="1" applyBorder="1" applyAlignment="1">
      <alignment horizontal="right" vertical="center"/>
    </xf>
    <xf numFmtId="175" fontId="227" fillId="4" borderId="13" xfId="0" applyNumberFormat="1" applyFont="1" applyFill="1" applyBorder="1" applyAlignment="1">
      <alignment horizontal="center"/>
    </xf>
    <xf numFmtId="178" fontId="227" fillId="4" borderId="13" xfId="0" applyNumberFormat="1" applyFont="1" applyFill="1" applyBorder="1"/>
    <xf numFmtId="2" fontId="227" fillId="4" borderId="13" xfId="0" applyNumberFormat="1" applyFont="1" applyFill="1" applyBorder="1"/>
    <xf numFmtId="178" fontId="227" fillId="4" borderId="13" xfId="0" applyNumberFormat="1" applyFont="1" applyFill="1" applyBorder="1" applyAlignment="1">
      <alignment horizontal="center" vertical="center"/>
    </xf>
    <xf numFmtId="178" fontId="249" fillId="4" borderId="13" xfId="0" applyNumberFormat="1" applyFont="1" applyFill="1" applyBorder="1" applyAlignment="1">
      <alignment horizontal="center" vertical="center"/>
    </xf>
    <xf numFmtId="1" fontId="227" fillId="4" borderId="13" xfId="0" applyNumberFormat="1" applyFont="1" applyFill="1" applyBorder="1"/>
    <xf numFmtId="169" fontId="227" fillId="4" borderId="13" xfId="0" applyNumberFormat="1" applyFont="1" applyFill="1" applyBorder="1"/>
    <xf numFmtId="40" fontId="227" fillId="4" borderId="13" xfId="0" applyNumberFormat="1" applyFont="1" applyFill="1" applyBorder="1"/>
    <xf numFmtId="179" fontId="227" fillId="4" borderId="13" xfId="0" applyNumberFormat="1" applyFont="1" applyFill="1" applyBorder="1"/>
    <xf numFmtId="0" fontId="227" fillId="5" borderId="13" xfId="0" applyFont="1" applyFill="1" applyBorder="1" applyAlignment="1">
      <alignment horizontal="center" vertical="center"/>
    </xf>
    <xf numFmtId="178" fontId="249" fillId="4" borderId="13" xfId="0" applyNumberFormat="1" applyFont="1" applyFill="1" applyBorder="1" applyAlignment="1">
      <alignment horizontal="center"/>
    </xf>
    <xf numFmtId="0" fontId="249" fillId="4" borderId="13" xfId="0" applyFont="1" applyFill="1" applyBorder="1" applyAlignment="1">
      <alignment horizontal="center" vertical="center"/>
    </xf>
    <xf numFmtId="178" fontId="227" fillId="4" borderId="13" xfId="0" applyNumberFormat="1" applyFont="1" applyFill="1" applyBorder="1" applyAlignment="1">
      <alignment horizontal="center"/>
    </xf>
    <xf numFmtId="0" fontId="227" fillId="0" borderId="1" xfId="0" applyFont="1" applyBorder="1"/>
    <xf numFmtId="169" fontId="227" fillId="0" borderId="2" xfId="0" applyNumberFormat="1" applyFont="1" applyBorder="1"/>
    <xf numFmtId="179" fontId="227" fillId="0" borderId="3" xfId="0" applyNumberFormat="1" applyFont="1" applyBorder="1"/>
    <xf numFmtId="0" fontId="227" fillId="0" borderId="4" xfId="0" applyFont="1" applyBorder="1"/>
    <xf numFmtId="179" fontId="227" fillId="0" borderId="5" xfId="0" applyNumberFormat="1" applyFont="1" applyBorder="1"/>
    <xf numFmtId="169" fontId="227" fillId="0" borderId="4" xfId="0" applyNumberFormat="1" applyFont="1" applyBorder="1"/>
    <xf numFmtId="0" fontId="227" fillId="0" borderId="18" xfId="0" applyFont="1" applyBorder="1"/>
    <xf numFmtId="169" fontId="227" fillId="0" borderId="15" xfId="0" applyNumberFormat="1" applyFont="1" applyBorder="1"/>
    <xf numFmtId="1" fontId="227" fillId="0" borderId="0" xfId="0" applyNumberFormat="1" applyFont="1"/>
    <xf numFmtId="2" fontId="254" fillId="5" borderId="13" xfId="0" applyNumberFormat="1" applyFont="1" applyFill="1" applyBorder="1"/>
    <xf numFmtId="2" fontId="254" fillId="6" borderId="13" xfId="0" applyNumberFormat="1" applyFont="1" applyFill="1" applyBorder="1"/>
    <xf numFmtId="0" fontId="227" fillId="6" borderId="13" xfId="0" applyFont="1" applyFill="1" applyBorder="1" applyAlignment="1">
      <alignment horizontal="center" vertical="center"/>
    </xf>
    <xf numFmtId="0" fontId="254" fillId="5" borderId="13" xfId="0" applyFont="1" applyFill="1" applyBorder="1"/>
    <xf numFmtId="178" fontId="254" fillId="5" borderId="13" xfId="0" applyNumberFormat="1" applyFont="1" applyFill="1" applyBorder="1" applyAlignment="1">
      <alignment horizontal="center" vertical="center"/>
    </xf>
    <xf numFmtId="0" fontId="250" fillId="4" borderId="30" xfId="0" applyFont="1" applyFill="1" applyBorder="1" applyAlignment="1">
      <alignment horizontal="center"/>
    </xf>
    <xf numFmtId="175" fontId="250" fillId="5" borderId="13" xfId="0" applyNumberFormat="1" applyFont="1" applyFill="1" applyBorder="1" applyAlignment="1">
      <alignment horizontal="center"/>
    </xf>
    <xf numFmtId="169" fontId="227" fillId="4" borderId="13" xfId="0" applyNumberFormat="1" applyFont="1" applyFill="1" applyBorder="1" applyAlignment="1">
      <alignment horizontal="center"/>
    </xf>
    <xf numFmtId="0" fontId="227" fillId="8" borderId="28" xfId="0" applyFont="1" applyFill="1" applyBorder="1" applyAlignment="1">
      <alignment horizontal="center"/>
    </xf>
    <xf numFmtId="171" fontId="227" fillId="5" borderId="29" xfId="0" applyNumberFormat="1" applyFont="1" applyFill="1" applyBorder="1"/>
    <xf numFmtId="0" fontId="227" fillId="5" borderId="29" xfId="0" applyFont="1" applyFill="1" applyBorder="1"/>
    <xf numFmtId="0" fontId="232" fillId="5" borderId="29" xfId="0" applyFont="1" applyFill="1" applyBorder="1" applyAlignment="1">
      <alignment horizontal="right" vertical="center"/>
    </xf>
    <xf numFmtId="175" fontId="227" fillId="5" borderId="29" xfId="0" applyNumberFormat="1" applyFont="1" applyFill="1" applyBorder="1" applyAlignment="1">
      <alignment horizontal="center"/>
    </xf>
    <xf numFmtId="175" fontId="227" fillId="0" borderId="32" xfId="0" applyNumberFormat="1" applyFont="1" applyBorder="1" applyAlignment="1">
      <alignment horizontal="center"/>
    </xf>
    <xf numFmtId="178" fontId="227" fillId="0" borderId="32" xfId="0" applyNumberFormat="1" applyFont="1" applyBorder="1"/>
    <xf numFmtId="2" fontId="227" fillId="0" borderId="32" xfId="0" applyNumberFormat="1" applyFont="1" applyBorder="1"/>
    <xf numFmtId="178" fontId="227" fillId="0" borderId="32" xfId="0" applyNumberFormat="1" applyFont="1" applyBorder="1" applyAlignment="1">
      <alignment horizontal="center" vertical="center"/>
    </xf>
    <xf numFmtId="178" fontId="227" fillId="0" borderId="32" xfId="0" applyNumberFormat="1" applyFont="1" applyBorder="1" applyAlignment="1">
      <alignment horizontal="center"/>
    </xf>
    <xf numFmtId="178" fontId="227" fillId="5" borderId="29" xfId="0" applyNumberFormat="1" applyFont="1" applyFill="1" applyBorder="1" applyAlignment="1">
      <alignment horizontal="center" vertical="center"/>
    </xf>
    <xf numFmtId="0" fontId="227" fillId="0" borderId="32" xfId="0" applyFont="1" applyBorder="1"/>
    <xf numFmtId="2" fontId="227" fillId="5" borderId="29" xfId="0" applyNumberFormat="1" applyFont="1" applyFill="1" applyBorder="1"/>
    <xf numFmtId="169" fontId="227" fillId="0" borderId="32" xfId="0" applyNumberFormat="1" applyFont="1" applyBorder="1"/>
    <xf numFmtId="0" fontId="227" fillId="0" borderId="32" xfId="0" applyFont="1" applyBorder="1" applyAlignment="1">
      <alignment horizontal="center"/>
    </xf>
    <xf numFmtId="169" fontId="227" fillId="5" borderId="29" xfId="0" applyNumberFormat="1" applyFont="1" applyFill="1" applyBorder="1"/>
    <xf numFmtId="40" fontId="227" fillId="5" borderId="29" xfId="0" applyNumberFormat="1" applyFont="1" applyFill="1" applyBorder="1"/>
    <xf numFmtId="40" fontId="227" fillId="5" borderId="33" xfId="0" applyNumberFormat="1" applyFont="1" applyFill="1" applyBorder="1"/>
    <xf numFmtId="0" fontId="227" fillId="8" borderId="34" xfId="0" applyFont="1" applyFill="1" applyBorder="1" applyAlignment="1">
      <alignment horizontal="center"/>
    </xf>
    <xf numFmtId="171" fontId="227" fillId="5" borderId="35" xfId="0" applyNumberFormat="1" applyFont="1" applyFill="1" applyBorder="1"/>
    <xf numFmtId="0" fontId="227" fillId="5" borderId="35" xfId="0" applyFont="1" applyFill="1" applyBorder="1"/>
    <xf numFmtId="0" fontId="232" fillId="5" borderId="35" xfId="0" applyFont="1" applyFill="1" applyBorder="1" applyAlignment="1">
      <alignment horizontal="right" vertical="center"/>
    </xf>
    <xf numFmtId="175" fontId="227" fillId="5" borderId="35" xfId="0" applyNumberFormat="1" applyFont="1" applyFill="1" applyBorder="1" applyAlignment="1">
      <alignment horizontal="center"/>
    </xf>
    <xf numFmtId="175" fontId="227" fillId="0" borderId="36" xfId="0" applyNumberFormat="1" applyFont="1" applyBorder="1" applyAlignment="1">
      <alignment horizontal="center"/>
    </xf>
    <xf numFmtId="178" fontId="227" fillId="0" borderId="36" xfId="0" applyNumberFormat="1" applyFont="1" applyBorder="1"/>
    <xf numFmtId="2" fontId="227" fillId="0" borderId="36" xfId="0" applyNumberFormat="1" applyFont="1" applyBorder="1"/>
    <xf numFmtId="178" fontId="227" fillId="0" borderId="36" xfId="0" applyNumberFormat="1" applyFont="1" applyBorder="1" applyAlignment="1">
      <alignment horizontal="center" vertical="center"/>
    </xf>
    <xf numFmtId="178" fontId="227" fillId="0" borderId="36" xfId="0" applyNumberFormat="1" applyFont="1" applyBorder="1" applyAlignment="1">
      <alignment horizontal="center"/>
    </xf>
    <xf numFmtId="178" fontId="227" fillId="5" borderId="35" xfId="0" applyNumberFormat="1" applyFont="1" applyFill="1" applyBorder="1" applyAlignment="1">
      <alignment horizontal="center" vertical="center"/>
    </xf>
    <xf numFmtId="0" fontId="227" fillId="0" borderId="36" xfId="0" applyFont="1" applyBorder="1"/>
    <xf numFmtId="2" fontId="227" fillId="5" borderId="35" xfId="0" applyNumberFormat="1" applyFont="1" applyFill="1" applyBorder="1"/>
    <xf numFmtId="169" fontId="227" fillId="0" borderId="36" xfId="0" applyNumberFormat="1" applyFont="1" applyBorder="1"/>
    <xf numFmtId="0" fontId="227" fillId="0" borderId="36" xfId="0" applyFont="1" applyBorder="1" applyAlignment="1">
      <alignment horizontal="center"/>
    </xf>
    <xf numFmtId="169" fontId="227" fillId="5" borderId="35" xfId="0" applyNumberFormat="1" applyFont="1" applyFill="1" applyBorder="1"/>
    <xf numFmtId="40" fontId="227" fillId="5" borderId="35" xfId="0" applyNumberFormat="1" applyFont="1" applyFill="1" applyBorder="1"/>
    <xf numFmtId="40" fontId="227" fillId="5" borderId="37" xfId="0" applyNumberFormat="1" applyFont="1" applyFill="1" applyBorder="1"/>
    <xf numFmtId="178" fontId="227" fillId="6" borderId="29" xfId="0" applyNumberFormat="1" applyFont="1" applyFill="1" applyBorder="1" applyAlignment="1">
      <alignment horizontal="center" vertical="center"/>
    </xf>
    <xf numFmtId="0" fontId="227" fillId="6" borderId="29" xfId="0" applyFont="1" applyFill="1" applyBorder="1"/>
    <xf numFmtId="0" fontId="227" fillId="8" borderId="30" xfId="0" applyFont="1" applyFill="1" applyBorder="1" applyAlignment="1">
      <alignment horizontal="center"/>
    </xf>
    <xf numFmtId="40" fontId="227" fillId="5" borderId="38" xfId="0" applyNumberFormat="1" applyFont="1" applyFill="1" applyBorder="1"/>
    <xf numFmtId="168" fontId="255" fillId="5" borderId="39" xfId="0" applyNumberFormat="1" applyFont="1" applyFill="1" applyBorder="1"/>
    <xf numFmtId="168" fontId="255" fillId="5" borderId="40" xfId="0" applyNumberFormat="1" applyFont="1" applyFill="1" applyBorder="1"/>
    <xf numFmtId="0" fontId="227" fillId="6" borderId="29" xfId="0" applyFont="1" applyFill="1" applyBorder="1" applyAlignment="1">
      <alignment horizontal="center"/>
    </xf>
    <xf numFmtId="2" fontId="227" fillId="6" borderId="13" xfId="0" applyNumberFormat="1" applyFont="1" applyFill="1" applyBorder="1" applyAlignment="1">
      <alignment horizontal="center"/>
    </xf>
    <xf numFmtId="180" fontId="227" fillId="5" borderId="13" xfId="0" applyNumberFormat="1" applyFont="1" applyFill="1" applyBorder="1" applyAlignment="1">
      <alignment horizontal="center" vertical="center"/>
    </xf>
    <xf numFmtId="0" fontId="227" fillId="6" borderId="35" xfId="0" applyFont="1" applyFill="1" applyBorder="1" applyAlignment="1">
      <alignment horizontal="center" vertical="center"/>
    </xf>
    <xf numFmtId="0" fontId="227" fillId="8" borderId="13" xfId="0" applyFont="1" applyFill="1" applyBorder="1" applyAlignment="1">
      <alignment horizontal="center"/>
    </xf>
    <xf numFmtId="171" fontId="227" fillId="2" borderId="13" xfId="0" applyNumberFormat="1" applyFont="1" applyFill="1" applyBorder="1"/>
    <xf numFmtId="171" fontId="227" fillId="18" borderId="13" xfId="0" applyNumberFormat="1" applyFont="1" applyFill="1" applyBorder="1"/>
    <xf numFmtId="181" fontId="227" fillId="0" borderId="0" xfId="0" applyNumberFormat="1" applyFont="1"/>
    <xf numFmtId="0" fontId="227" fillId="2" borderId="13" xfId="0" applyFont="1" applyFill="1" applyBorder="1" applyAlignment="1">
      <alignment horizontal="center"/>
    </xf>
    <xf numFmtId="0" fontId="227" fillId="2" borderId="13" xfId="0" applyFont="1" applyFill="1" applyBorder="1"/>
    <xf numFmtId="0" fontId="227" fillId="18" borderId="13" xfId="0" applyFont="1" applyFill="1" applyBorder="1"/>
    <xf numFmtId="40" fontId="227" fillId="18" borderId="13" xfId="0" applyNumberFormat="1" applyFont="1" applyFill="1" applyBorder="1"/>
    <xf numFmtId="171" fontId="227" fillId="19" borderId="13" xfId="0" applyNumberFormat="1" applyFont="1" applyFill="1" applyBorder="1"/>
    <xf numFmtId="181" fontId="227" fillId="5" borderId="13" xfId="0" applyNumberFormat="1" applyFont="1" applyFill="1" applyBorder="1"/>
    <xf numFmtId="169" fontId="227" fillId="5" borderId="13" xfId="0" applyNumberFormat="1" applyFont="1" applyFill="1" applyBorder="1" applyAlignment="1">
      <alignment vertical="center"/>
    </xf>
    <xf numFmtId="0" fontId="227" fillId="19" borderId="13" xfId="0" applyFont="1" applyFill="1" applyBorder="1"/>
    <xf numFmtId="0" fontId="232" fillId="19" borderId="13" xfId="0" applyFont="1" applyFill="1" applyBorder="1" applyAlignment="1">
      <alignment horizontal="right" vertical="center"/>
    </xf>
    <xf numFmtId="175" fontId="227" fillId="19" borderId="13" xfId="0" applyNumberFormat="1" applyFont="1" applyFill="1" applyBorder="1" applyAlignment="1">
      <alignment horizontal="center"/>
    </xf>
    <xf numFmtId="178" fontId="227" fillId="19" borderId="13" xfId="0" applyNumberFormat="1" applyFont="1" applyFill="1" applyBorder="1"/>
    <xf numFmtId="2" fontId="227" fillId="19" borderId="13" xfId="0" applyNumberFormat="1" applyFont="1" applyFill="1" applyBorder="1"/>
    <xf numFmtId="181" fontId="227" fillId="19" borderId="13" xfId="0" applyNumberFormat="1" applyFont="1" applyFill="1" applyBorder="1"/>
    <xf numFmtId="178" fontId="227" fillId="19" borderId="13" xfId="0" applyNumberFormat="1" applyFont="1" applyFill="1" applyBorder="1" applyAlignment="1">
      <alignment horizontal="center" vertical="center"/>
    </xf>
    <xf numFmtId="0" fontId="227" fillId="19" borderId="13" xfId="0" applyFont="1" applyFill="1" applyBorder="1" applyAlignment="1">
      <alignment horizontal="center" vertical="center"/>
    </xf>
    <xf numFmtId="0" fontId="256" fillId="19" borderId="13" xfId="0" applyFont="1" applyFill="1" applyBorder="1" applyAlignment="1">
      <alignment horizontal="center" vertical="center"/>
    </xf>
    <xf numFmtId="178" fontId="250" fillId="19" borderId="13" xfId="0" applyNumberFormat="1" applyFont="1" applyFill="1" applyBorder="1" applyAlignment="1">
      <alignment horizontal="center"/>
    </xf>
    <xf numFmtId="169" fontId="227" fillId="19" borderId="13" xfId="0" applyNumberFormat="1" applyFont="1" applyFill="1" applyBorder="1"/>
    <xf numFmtId="0" fontId="227" fillId="19" borderId="13" xfId="0" applyFont="1" applyFill="1" applyBorder="1" applyAlignment="1">
      <alignment horizontal="center"/>
    </xf>
    <xf numFmtId="169" fontId="227" fillId="19" borderId="13" xfId="0" applyNumberFormat="1" applyFont="1" applyFill="1" applyBorder="1" applyAlignment="1">
      <alignment vertical="center"/>
    </xf>
    <xf numFmtId="40" fontId="227" fillId="19" borderId="13" xfId="0" applyNumberFormat="1" applyFont="1" applyFill="1" applyBorder="1"/>
    <xf numFmtId="169" fontId="227" fillId="19" borderId="13" xfId="0" applyNumberFormat="1" applyFont="1" applyFill="1" applyBorder="1" applyAlignment="1">
      <alignment horizontal="right"/>
    </xf>
    <xf numFmtId="171" fontId="227" fillId="20" borderId="29" xfId="0" applyNumberFormat="1" applyFont="1" applyFill="1" applyBorder="1"/>
    <xf numFmtId="0" fontId="227" fillId="20" borderId="29" xfId="0" applyFont="1" applyFill="1" applyBorder="1"/>
    <xf numFmtId="0" fontId="232" fillId="20" borderId="29" xfId="0" applyFont="1" applyFill="1" applyBorder="1" applyAlignment="1">
      <alignment horizontal="right" vertical="center"/>
    </xf>
    <xf numFmtId="175" fontId="227" fillId="20" borderId="29" xfId="0" applyNumberFormat="1" applyFont="1" applyFill="1" applyBorder="1" applyAlignment="1">
      <alignment horizontal="center"/>
    </xf>
    <xf numFmtId="178" fontId="227" fillId="20" borderId="29" xfId="0" applyNumberFormat="1" applyFont="1" applyFill="1" applyBorder="1"/>
    <xf numFmtId="2" fontId="227" fillId="20" borderId="29" xfId="0" applyNumberFormat="1" applyFont="1" applyFill="1" applyBorder="1"/>
    <xf numFmtId="181" fontId="227" fillId="20" borderId="29" xfId="0" applyNumberFormat="1" applyFont="1" applyFill="1" applyBorder="1"/>
    <xf numFmtId="178" fontId="227" fillId="20" borderId="29" xfId="0" applyNumberFormat="1" applyFont="1" applyFill="1" applyBorder="1" applyAlignment="1">
      <alignment horizontal="center"/>
    </xf>
    <xf numFmtId="178" fontId="250" fillId="20" borderId="29" xfId="0" applyNumberFormat="1" applyFont="1" applyFill="1" applyBorder="1" applyAlignment="1">
      <alignment horizontal="center"/>
    </xf>
    <xf numFmtId="169" fontId="227" fillId="20" borderId="29" xfId="0" applyNumberFormat="1" applyFont="1" applyFill="1" applyBorder="1"/>
    <xf numFmtId="0" fontId="227" fillId="20" borderId="29" xfId="0" applyFont="1" applyFill="1" applyBorder="1" applyAlignment="1">
      <alignment horizontal="center"/>
    </xf>
    <xf numFmtId="169" fontId="227" fillId="20" borderId="29" xfId="0" applyNumberFormat="1" applyFont="1" applyFill="1" applyBorder="1" applyAlignment="1">
      <alignment vertical="center"/>
    </xf>
    <xf numFmtId="40" fontId="227" fillId="20" borderId="29" xfId="0" applyNumberFormat="1" applyFont="1" applyFill="1" applyBorder="1"/>
    <xf numFmtId="40" fontId="227" fillId="20" borderId="33" xfId="0" applyNumberFormat="1" applyFont="1" applyFill="1" applyBorder="1"/>
    <xf numFmtId="171" fontId="250" fillId="20" borderId="13" xfId="0" applyNumberFormat="1" applyFont="1" applyFill="1" applyBorder="1"/>
    <xf numFmtId="0" fontId="250" fillId="20" borderId="13" xfId="0" applyFont="1" applyFill="1" applyBorder="1"/>
    <xf numFmtId="0" fontId="232" fillId="20" borderId="13" xfId="0" applyFont="1" applyFill="1" applyBorder="1" applyAlignment="1">
      <alignment horizontal="right" vertical="center"/>
    </xf>
    <xf numFmtId="175" fontId="250" fillId="20" borderId="13" xfId="0" applyNumberFormat="1" applyFont="1" applyFill="1" applyBorder="1" applyAlignment="1">
      <alignment horizontal="center"/>
    </xf>
    <xf numFmtId="178" fontId="250" fillId="20" borderId="13" xfId="0" applyNumberFormat="1" applyFont="1" applyFill="1" applyBorder="1"/>
    <xf numFmtId="2" fontId="250" fillId="20" borderId="13" xfId="0" applyNumberFormat="1" applyFont="1" applyFill="1" applyBorder="1"/>
    <xf numFmtId="181" fontId="250" fillId="20" borderId="13" xfId="0" applyNumberFormat="1" applyFont="1" applyFill="1" applyBorder="1"/>
    <xf numFmtId="178" fontId="250" fillId="20" borderId="13" xfId="0" applyNumberFormat="1" applyFont="1" applyFill="1" applyBorder="1" applyAlignment="1">
      <alignment horizontal="center"/>
    </xf>
    <xf numFmtId="169" fontId="250" fillId="20" borderId="13" xfId="0" applyNumberFormat="1" applyFont="1" applyFill="1" applyBorder="1"/>
    <xf numFmtId="0" fontId="250" fillId="20" borderId="13" xfId="0" applyFont="1" applyFill="1" applyBorder="1" applyAlignment="1">
      <alignment horizontal="center"/>
    </xf>
    <xf numFmtId="40" fontId="250" fillId="20" borderId="13" xfId="0" applyNumberFormat="1" applyFont="1" applyFill="1" applyBorder="1"/>
    <xf numFmtId="40" fontId="250" fillId="20" borderId="38" xfId="0" applyNumberFormat="1" applyFont="1" applyFill="1" applyBorder="1"/>
    <xf numFmtId="171" fontId="227" fillId="20" borderId="13" xfId="0" applyNumberFormat="1" applyFont="1" applyFill="1" applyBorder="1"/>
    <xf numFmtId="0" fontId="227" fillId="20" borderId="13" xfId="0" applyFont="1" applyFill="1" applyBorder="1"/>
    <xf numFmtId="175" fontId="227" fillId="20" borderId="13" xfId="0" applyNumberFormat="1" applyFont="1" applyFill="1" applyBorder="1" applyAlignment="1">
      <alignment horizontal="center"/>
    </xf>
    <xf numFmtId="178" fontId="227" fillId="20" borderId="13" xfId="0" applyNumberFormat="1" applyFont="1" applyFill="1" applyBorder="1"/>
    <xf numFmtId="2" fontId="227" fillId="20" borderId="13" xfId="0" applyNumberFormat="1" applyFont="1" applyFill="1" applyBorder="1"/>
    <xf numFmtId="181" fontId="227" fillId="20" borderId="13" xfId="0" applyNumberFormat="1" applyFont="1" applyFill="1" applyBorder="1"/>
    <xf numFmtId="178" fontId="227" fillId="20" borderId="13" xfId="0" applyNumberFormat="1" applyFont="1" applyFill="1" applyBorder="1" applyAlignment="1">
      <alignment horizontal="center"/>
    </xf>
    <xf numFmtId="169" fontId="227" fillId="20" borderId="13" xfId="0" applyNumberFormat="1" applyFont="1" applyFill="1" applyBorder="1"/>
    <xf numFmtId="0" fontId="227" fillId="20" borderId="13" xfId="0" applyFont="1" applyFill="1" applyBorder="1" applyAlignment="1">
      <alignment horizontal="center"/>
    </xf>
    <xf numFmtId="40" fontId="227" fillId="20" borderId="13" xfId="0" applyNumberFormat="1" applyFont="1" applyFill="1" applyBorder="1"/>
    <xf numFmtId="40" fontId="227" fillId="20" borderId="38" xfId="0" applyNumberFormat="1" applyFont="1" applyFill="1" applyBorder="1"/>
    <xf numFmtId="0" fontId="232" fillId="2" borderId="13" xfId="0" applyFont="1" applyFill="1" applyBorder="1" applyAlignment="1">
      <alignment horizontal="right" vertical="center"/>
    </xf>
    <xf numFmtId="175" fontId="227" fillId="2" borderId="13" xfId="0" applyNumberFormat="1" applyFont="1" applyFill="1" applyBorder="1" applyAlignment="1">
      <alignment horizontal="center"/>
    </xf>
    <xf numFmtId="178" fontId="227" fillId="2" borderId="13" xfId="0" applyNumberFormat="1" applyFont="1" applyFill="1" applyBorder="1"/>
    <xf numFmtId="2" fontId="227" fillId="2" borderId="13" xfId="0" applyNumberFormat="1" applyFont="1" applyFill="1" applyBorder="1"/>
    <xf numFmtId="178" fontId="227" fillId="2" borderId="13" xfId="0" applyNumberFormat="1" applyFont="1" applyFill="1" applyBorder="1" applyAlignment="1">
      <alignment horizontal="center" vertical="center"/>
    </xf>
    <xf numFmtId="178" fontId="250" fillId="2" borderId="13" xfId="0" applyNumberFormat="1" applyFont="1" applyFill="1" applyBorder="1" applyAlignment="1">
      <alignment horizontal="center"/>
    </xf>
    <xf numFmtId="169" fontId="227" fillId="2" borderId="13" xfId="0" applyNumberFormat="1" applyFont="1" applyFill="1" applyBorder="1"/>
    <xf numFmtId="40" fontId="227" fillId="2" borderId="13" xfId="0" applyNumberFormat="1" applyFont="1" applyFill="1" applyBorder="1"/>
    <xf numFmtId="40" fontId="227" fillId="2" borderId="38" xfId="0" applyNumberFormat="1" applyFont="1" applyFill="1" applyBorder="1"/>
    <xf numFmtId="0" fontId="227" fillId="5" borderId="35" xfId="0" applyFont="1" applyFill="1" applyBorder="1" applyAlignment="1">
      <alignment horizontal="center" vertical="center"/>
    </xf>
    <xf numFmtId="0" fontId="227" fillId="21" borderId="13" xfId="0" applyFont="1" applyFill="1" applyBorder="1" applyAlignment="1">
      <alignment horizontal="center" vertical="center"/>
    </xf>
    <xf numFmtId="178" fontId="227" fillId="21" borderId="13" xfId="0" applyNumberFormat="1" applyFont="1" applyFill="1" applyBorder="1" applyAlignment="1">
      <alignment horizontal="center" vertical="center"/>
    </xf>
    <xf numFmtId="0" fontId="227" fillId="21" borderId="35" xfId="0" applyFont="1" applyFill="1" applyBorder="1" applyAlignment="1">
      <alignment horizontal="center" vertical="center"/>
    </xf>
    <xf numFmtId="0" fontId="227" fillId="7" borderId="29" xfId="0" applyFont="1" applyFill="1" applyBorder="1" applyAlignment="1">
      <alignment horizontal="center" vertical="center"/>
    </xf>
    <xf numFmtId="0" fontId="227" fillId="7" borderId="13" xfId="0" applyFont="1" applyFill="1" applyBorder="1" applyAlignment="1">
      <alignment horizontal="center" vertical="center"/>
    </xf>
    <xf numFmtId="178" fontId="227" fillId="7" borderId="13" xfId="0" applyNumberFormat="1" applyFont="1" applyFill="1" applyBorder="1" applyAlignment="1">
      <alignment horizontal="center" vertical="center"/>
    </xf>
    <xf numFmtId="178" fontId="227" fillId="7" borderId="35" xfId="0" applyNumberFormat="1" applyFont="1" applyFill="1" applyBorder="1" applyAlignment="1">
      <alignment horizontal="center" vertical="center"/>
    </xf>
    <xf numFmtId="169" fontId="227" fillId="0" borderId="0" xfId="0" applyNumberFormat="1" applyFont="1" applyAlignment="1">
      <alignment horizontal="center" vertical="center"/>
    </xf>
    <xf numFmtId="169" fontId="227" fillId="5" borderId="13" xfId="0" applyNumberFormat="1" applyFont="1" applyFill="1" applyBorder="1" applyAlignment="1">
      <alignment horizontal="center" vertical="center"/>
    </xf>
    <xf numFmtId="171" fontId="227" fillId="21" borderId="13" xfId="0" applyNumberFormat="1" applyFont="1" applyFill="1" applyBorder="1"/>
    <xf numFmtId="178" fontId="255" fillId="20" borderId="41" xfId="0" applyNumberFormat="1" applyFont="1" applyFill="1" applyBorder="1" applyAlignment="1">
      <alignment horizontal="right"/>
    </xf>
    <xf numFmtId="2" fontId="227" fillId="22" borderId="13" xfId="0" applyNumberFormat="1" applyFont="1" applyFill="1" applyBorder="1" applyAlignment="1">
      <alignment horizontal="center"/>
    </xf>
    <xf numFmtId="181" fontId="227" fillId="23" borderId="13" xfId="0" applyNumberFormat="1" applyFont="1" applyFill="1" applyBorder="1"/>
    <xf numFmtId="178" fontId="250" fillId="21" borderId="13" xfId="0" applyNumberFormat="1" applyFont="1" applyFill="1" applyBorder="1" applyAlignment="1">
      <alignment horizontal="center"/>
    </xf>
    <xf numFmtId="175" fontId="232" fillId="0" borderId="0" xfId="0" applyNumberFormat="1" applyFont="1" applyAlignment="1">
      <alignment horizontal="left" vertical="center"/>
    </xf>
    <xf numFmtId="169" fontId="232" fillId="0" borderId="0" xfId="0" applyNumberFormat="1" applyFont="1" applyAlignment="1">
      <alignment horizontal="center"/>
    </xf>
    <xf numFmtId="0" fontId="227" fillId="21" borderId="13" xfId="0" applyFont="1" applyFill="1" applyBorder="1"/>
    <xf numFmtId="2" fontId="227" fillId="21" borderId="30" xfId="0" applyNumberFormat="1" applyFont="1" applyFill="1" applyBorder="1" applyAlignment="1">
      <alignment horizontal="center" vertical="center" wrapText="1"/>
    </xf>
    <xf numFmtId="169" fontId="227" fillId="21" borderId="13" xfId="0" applyNumberFormat="1" applyFont="1" applyFill="1" applyBorder="1"/>
    <xf numFmtId="40" fontId="249" fillId="21" borderId="13" xfId="0" applyNumberFormat="1" applyFont="1" applyFill="1" applyBorder="1"/>
    <xf numFmtId="40" fontId="227" fillId="21" borderId="13" xfId="0" applyNumberFormat="1" applyFont="1" applyFill="1" applyBorder="1"/>
    <xf numFmtId="40" fontId="250" fillId="21" borderId="13" xfId="0" applyNumberFormat="1" applyFont="1" applyFill="1" applyBorder="1"/>
    <xf numFmtId="171" fontId="227" fillId="21" borderId="13" xfId="0" applyNumberFormat="1" applyFont="1" applyFill="1" applyBorder="1" applyAlignment="1">
      <alignment horizontal="center"/>
    </xf>
    <xf numFmtId="175" fontId="227" fillId="21" borderId="13" xfId="0" applyNumberFormat="1" applyFont="1" applyFill="1" applyBorder="1" applyAlignment="1">
      <alignment horizontal="center"/>
    </xf>
    <xf numFmtId="178" fontId="255" fillId="21" borderId="41" xfId="0" applyNumberFormat="1" applyFont="1" applyFill="1" applyBorder="1" applyAlignment="1">
      <alignment horizontal="right"/>
    </xf>
    <xf numFmtId="2" fontId="227" fillId="21" borderId="13" xfId="0" applyNumberFormat="1" applyFont="1" applyFill="1" applyBorder="1" applyAlignment="1">
      <alignment horizontal="center"/>
    </xf>
    <xf numFmtId="175" fontId="232" fillId="21" borderId="13" xfId="0" applyNumberFormat="1" applyFont="1" applyFill="1" applyBorder="1" applyAlignment="1">
      <alignment horizontal="left" vertical="center"/>
    </xf>
    <xf numFmtId="169" fontId="232" fillId="21" borderId="13" xfId="0" applyNumberFormat="1" applyFont="1" applyFill="1" applyBorder="1" applyAlignment="1">
      <alignment horizontal="center"/>
    </xf>
    <xf numFmtId="1" fontId="232" fillId="21" borderId="13" xfId="0" applyNumberFormat="1" applyFont="1" applyFill="1" applyBorder="1" applyAlignment="1">
      <alignment horizontal="center"/>
    </xf>
    <xf numFmtId="178" fontId="227" fillId="21" borderId="13" xfId="0" applyNumberFormat="1" applyFont="1" applyFill="1" applyBorder="1" applyAlignment="1">
      <alignment horizontal="center"/>
    </xf>
    <xf numFmtId="171" fontId="227" fillId="20" borderId="13" xfId="0" applyNumberFormat="1" applyFont="1" applyFill="1" applyBorder="1" applyAlignment="1">
      <alignment horizontal="center"/>
    </xf>
    <xf numFmtId="178" fontId="250" fillId="22" borderId="13" xfId="0" applyNumberFormat="1" applyFont="1" applyFill="1" applyBorder="1" applyAlignment="1">
      <alignment horizontal="center"/>
    </xf>
    <xf numFmtId="175" fontId="232" fillId="20" borderId="13" xfId="0" applyNumberFormat="1" applyFont="1" applyFill="1" applyBorder="1" applyAlignment="1">
      <alignment horizontal="left" vertical="center"/>
    </xf>
    <xf numFmtId="169" fontId="232" fillId="20" borderId="13" xfId="0" applyNumberFormat="1" applyFont="1" applyFill="1" applyBorder="1" applyAlignment="1">
      <alignment horizontal="center"/>
    </xf>
    <xf numFmtId="1" fontId="232" fillId="20" borderId="13" xfId="0" applyNumberFormat="1" applyFont="1" applyFill="1" applyBorder="1" applyAlignment="1">
      <alignment horizontal="center"/>
    </xf>
    <xf numFmtId="2" fontId="227" fillId="20" borderId="30" xfId="0" applyNumberFormat="1" applyFont="1" applyFill="1" applyBorder="1" applyAlignment="1">
      <alignment horizontal="center" vertical="center" wrapText="1"/>
    </xf>
    <xf numFmtId="40" fontId="249" fillId="20" borderId="13" xfId="0" applyNumberFormat="1" applyFont="1" applyFill="1" applyBorder="1"/>
    <xf numFmtId="40" fontId="227" fillId="22" borderId="13" xfId="0" applyNumberFormat="1" applyFont="1" applyFill="1" applyBorder="1"/>
    <xf numFmtId="171" fontId="227" fillId="20" borderId="13" xfId="0" applyNumberFormat="1" applyFont="1" applyFill="1" applyBorder="1" applyAlignment="1">
      <alignment wrapText="1"/>
    </xf>
    <xf numFmtId="178" fontId="255" fillId="11" borderId="42" xfId="0" applyNumberFormat="1" applyFont="1" applyFill="1" applyBorder="1" applyAlignment="1">
      <alignment horizontal="right"/>
    </xf>
    <xf numFmtId="2" fontId="255" fillId="11" borderId="13" xfId="0" applyNumberFormat="1" applyFont="1" applyFill="1" applyBorder="1" applyAlignment="1">
      <alignment horizontal="right"/>
    </xf>
    <xf numFmtId="178" fontId="255" fillId="11" borderId="43" xfId="0" applyNumberFormat="1" applyFont="1" applyFill="1" applyBorder="1" applyAlignment="1">
      <alignment horizontal="right"/>
    </xf>
    <xf numFmtId="178" fontId="254" fillId="11" borderId="44" xfId="0" applyNumberFormat="1" applyFont="1" applyFill="1" applyBorder="1" applyAlignment="1">
      <alignment horizontal="center"/>
    </xf>
    <xf numFmtId="175" fontId="232" fillId="11" borderId="13" xfId="0" applyNumberFormat="1" applyFont="1" applyFill="1" applyBorder="1" applyAlignment="1">
      <alignment horizontal="left" vertical="center"/>
    </xf>
    <xf numFmtId="169" fontId="248" fillId="11" borderId="13" xfId="0" applyNumberFormat="1" applyFont="1" applyFill="1" applyBorder="1" applyAlignment="1">
      <alignment horizontal="center"/>
    </xf>
    <xf numFmtId="1" fontId="232" fillId="11" borderId="13" xfId="0" applyNumberFormat="1" applyFont="1" applyFill="1" applyBorder="1" applyAlignment="1">
      <alignment horizontal="center"/>
    </xf>
    <xf numFmtId="40" fontId="249" fillId="11" borderId="13" xfId="0" applyNumberFormat="1" applyFont="1" applyFill="1" applyBorder="1"/>
    <xf numFmtId="178" fontId="255" fillId="11" borderId="40" xfId="0" applyNumberFormat="1" applyFont="1" applyFill="1" applyBorder="1" applyAlignment="1">
      <alignment horizontal="right"/>
    </xf>
    <xf numFmtId="178" fontId="255" fillId="11" borderId="41" xfId="0" applyNumberFormat="1" applyFont="1" applyFill="1" applyBorder="1" applyAlignment="1">
      <alignment horizontal="right"/>
    </xf>
    <xf numFmtId="171" fontId="227" fillId="24" borderId="13" xfId="0" applyNumberFormat="1" applyFont="1" applyFill="1" applyBorder="1"/>
    <xf numFmtId="0" fontId="227" fillId="24" borderId="13" xfId="0" applyFont="1" applyFill="1" applyBorder="1"/>
    <xf numFmtId="175" fontId="227" fillId="24" borderId="13" xfId="0" applyNumberFormat="1" applyFont="1" applyFill="1" applyBorder="1" applyAlignment="1">
      <alignment horizontal="center"/>
    </xf>
    <xf numFmtId="178" fontId="255" fillId="24" borderId="40" xfId="0" applyNumberFormat="1" applyFont="1" applyFill="1" applyBorder="1" applyAlignment="1">
      <alignment horizontal="right"/>
    </xf>
    <xf numFmtId="2" fontId="255" fillId="24" borderId="13" xfId="0" applyNumberFormat="1" applyFont="1" applyFill="1" applyBorder="1" applyAlignment="1">
      <alignment horizontal="right"/>
    </xf>
    <xf numFmtId="178" fontId="255" fillId="24" borderId="41" xfId="0" applyNumberFormat="1" applyFont="1" applyFill="1" applyBorder="1" applyAlignment="1">
      <alignment horizontal="right"/>
    </xf>
    <xf numFmtId="178" fontId="254" fillId="24" borderId="44" xfId="0" applyNumberFormat="1" applyFont="1" applyFill="1" applyBorder="1" applyAlignment="1">
      <alignment horizontal="center"/>
    </xf>
    <xf numFmtId="0" fontId="227" fillId="24" borderId="13" xfId="0" applyFont="1" applyFill="1" applyBorder="1" applyAlignment="1">
      <alignment horizontal="center"/>
    </xf>
    <xf numFmtId="178" fontId="250" fillId="24" borderId="13" xfId="0" applyNumberFormat="1" applyFont="1" applyFill="1" applyBorder="1" applyAlignment="1">
      <alignment horizontal="center"/>
    </xf>
    <xf numFmtId="175" fontId="232" fillId="24" borderId="13" xfId="0" applyNumberFormat="1" applyFont="1" applyFill="1" applyBorder="1" applyAlignment="1">
      <alignment horizontal="left" vertical="center"/>
    </xf>
    <xf numFmtId="169" fontId="248" fillId="24" borderId="13" xfId="0" applyNumberFormat="1" applyFont="1" applyFill="1" applyBorder="1" applyAlignment="1">
      <alignment horizontal="center"/>
    </xf>
    <xf numFmtId="1" fontId="232" fillId="24" borderId="13" xfId="0" applyNumberFormat="1" applyFont="1" applyFill="1" applyBorder="1" applyAlignment="1">
      <alignment horizontal="center"/>
    </xf>
    <xf numFmtId="169" fontId="227" fillId="24" borderId="13" xfId="0" applyNumberFormat="1" applyFont="1" applyFill="1" applyBorder="1"/>
    <xf numFmtId="40" fontId="249" fillId="24" borderId="13" xfId="0" applyNumberFormat="1" applyFont="1" applyFill="1" applyBorder="1"/>
    <xf numFmtId="40" fontId="227" fillId="24" borderId="13" xfId="0" applyNumberFormat="1" applyFont="1" applyFill="1" applyBorder="1"/>
    <xf numFmtId="171" fontId="227" fillId="23" borderId="13" xfId="0" applyNumberFormat="1" applyFont="1" applyFill="1" applyBorder="1"/>
    <xf numFmtId="0" fontId="227" fillId="23" borderId="13" xfId="0" applyFont="1" applyFill="1" applyBorder="1"/>
    <xf numFmtId="175" fontId="227" fillId="23" borderId="13" xfId="0" applyNumberFormat="1" applyFont="1" applyFill="1" applyBorder="1" applyAlignment="1">
      <alignment horizontal="center"/>
    </xf>
    <xf numFmtId="168" fontId="232" fillId="23" borderId="13" xfId="0" applyNumberFormat="1" applyFont="1" applyFill="1" applyBorder="1" applyAlignment="1">
      <alignment horizontal="center"/>
    </xf>
    <xf numFmtId="178" fontId="227" fillId="23" borderId="13" xfId="0" applyNumberFormat="1" applyFont="1" applyFill="1" applyBorder="1"/>
    <xf numFmtId="178" fontId="227" fillId="23" borderId="13" xfId="0" applyNumberFormat="1" applyFont="1" applyFill="1" applyBorder="1" applyAlignment="1">
      <alignment horizontal="center" vertical="center"/>
    </xf>
    <xf numFmtId="178" fontId="250" fillId="23" borderId="13" xfId="0" applyNumberFormat="1" applyFont="1" applyFill="1" applyBorder="1" applyAlignment="1">
      <alignment horizontal="center"/>
    </xf>
    <xf numFmtId="175" fontId="232" fillId="23" borderId="13" xfId="0" applyNumberFormat="1" applyFont="1" applyFill="1" applyBorder="1" applyAlignment="1">
      <alignment horizontal="left" vertical="center"/>
    </xf>
    <xf numFmtId="169" fontId="232" fillId="23" borderId="13" xfId="0" applyNumberFormat="1" applyFont="1" applyFill="1" applyBorder="1" applyAlignment="1">
      <alignment horizontal="center"/>
    </xf>
    <xf numFmtId="1" fontId="232" fillId="23" borderId="13" xfId="0" applyNumberFormat="1" applyFont="1" applyFill="1" applyBorder="1" applyAlignment="1">
      <alignment horizontal="center"/>
    </xf>
    <xf numFmtId="169" fontId="227" fillId="23" borderId="13" xfId="0" applyNumberFormat="1" applyFont="1" applyFill="1" applyBorder="1"/>
    <xf numFmtId="40" fontId="249" fillId="23" borderId="13" xfId="0" applyNumberFormat="1" applyFont="1" applyFill="1" applyBorder="1"/>
    <xf numFmtId="40" fontId="227" fillId="23" borderId="13" xfId="0" applyNumberFormat="1" applyFont="1" applyFill="1" applyBorder="1"/>
    <xf numFmtId="171" fontId="227" fillId="17" borderId="13" xfId="0" applyNumberFormat="1" applyFont="1" applyFill="1" applyBorder="1"/>
    <xf numFmtId="0" fontId="227" fillId="17" borderId="13" xfId="0" applyFont="1" applyFill="1" applyBorder="1"/>
    <xf numFmtId="175" fontId="227" fillId="17" borderId="13" xfId="0" applyNumberFormat="1" applyFont="1" applyFill="1" applyBorder="1" applyAlignment="1">
      <alignment horizontal="center"/>
    </xf>
    <xf numFmtId="178" fontId="255" fillId="0" borderId="45" xfId="0" applyNumberFormat="1" applyFont="1" applyBorder="1" applyAlignment="1">
      <alignment horizontal="right"/>
    </xf>
    <xf numFmtId="2" fontId="255" fillId="22" borderId="13" xfId="0" applyNumberFormat="1" applyFont="1" applyFill="1" applyBorder="1" applyAlignment="1">
      <alignment horizontal="right"/>
    </xf>
    <xf numFmtId="178" fontId="256" fillId="17" borderId="13" xfId="0" applyNumberFormat="1" applyFont="1" applyFill="1" applyBorder="1" applyAlignment="1">
      <alignment horizontal="center" vertical="center"/>
    </xf>
    <xf numFmtId="178" fontId="256" fillId="5" borderId="13" xfId="0" applyNumberFormat="1" applyFont="1" applyFill="1" applyBorder="1" applyAlignment="1">
      <alignment horizontal="center" vertical="center"/>
    </xf>
    <xf numFmtId="175" fontId="232" fillId="17" borderId="13" xfId="0" applyNumberFormat="1" applyFont="1" applyFill="1" applyBorder="1" applyAlignment="1">
      <alignment horizontal="left" vertical="center"/>
    </xf>
    <xf numFmtId="169" fontId="232" fillId="17" borderId="13" xfId="0" applyNumberFormat="1" applyFont="1" applyFill="1" applyBorder="1" applyAlignment="1">
      <alignment horizontal="left" vertical="center"/>
    </xf>
    <xf numFmtId="169" fontId="232" fillId="17" borderId="13" xfId="0" applyNumberFormat="1" applyFont="1" applyFill="1" applyBorder="1" applyAlignment="1">
      <alignment horizontal="center"/>
    </xf>
    <xf numFmtId="1" fontId="232" fillId="17" borderId="13" xfId="0" applyNumberFormat="1" applyFont="1" applyFill="1" applyBorder="1" applyAlignment="1">
      <alignment horizontal="center"/>
    </xf>
    <xf numFmtId="169" fontId="227" fillId="17" borderId="13" xfId="0" applyNumberFormat="1" applyFont="1" applyFill="1" applyBorder="1"/>
    <xf numFmtId="2" fontId="227" fillId="17" borderId="13" xfId="0" applyNumberFormat="1" applyFont="1" applyFill="1" applyBorder="1"/>
    <xf numFmtId="40" fontId="249" fillId="17" borderId="13" xfId="0" applyNumberFormat="1" applyFont="1" applyFill="1" applyBorder="1"/>
    <xf numFmtId="40" fontId="227" fillId="17" borderId="13" xfId="0" applyNumberFormat="1" applyFont="1" applyFill="1" applyBorder="1"/>
    <xf numFmtId="181" fontId="227" fillId="17" borderId="13" xfId="0" applyNumberFormat="1" applyFont="1" applyFill="1" applyBorder="1"/>
    <xf numFmtId="178" fontId="227" fillId="17" borderId="13" xfId="0" applyNumberFormat="1" applyFont="1" applyFill="1" applyBorder="1" applyAlignment="1">
      <alignment horizontal="center" vertical="center"/>
    </xf>
    <xf numFmtId="178" fontId="250" fillId="17" borderId="13" xfId="0" applyNumberFormat="1" applyFont="1" applyFill="1" applyBorder="1" applyAlignment="1">
      <alignment horizontal="center"/>
    </xf>
    <xf numFmtId="175" fontId="227" fillId="2" borderId="13" xfId="0" applyNumberFormat="1" applyFont="1" applyFill="1" applyBorder="1"/>
    <xf numFmtId="178" fontId="255" fillId="2" borderId="42" xfId="0" applyNumberFormat="1" applyFont="1" applyFill="1" applyBorder="1" applyAlignment="1">
      <alignment horizontal="right"/>
    </xf>
    <xf numFmtId="2" fontId="255" fillId="2" borderId="13" xfId="0" applyNumberFormat="1" applyFont="1" applyFill="1" applyBorder="1" applyAlignment="1">
      <alignment horizontal="right"/>
    </xf>
    <xf numFmtId="181" fontId="227" fillId="2" borderId="13" xfId="0" applyNumberFormat="1" applyFont="1" applyFill="1" applyBorder="1"/>
    <xf numFmtId="178" fontId="227" fillId="2" borderId="13" xfId="0" applyNumberFormat="1" applyFont="1" applyFill="1" applyBorder="1" applyAlignment="1">
      <alignment horizontal="center"/>
    </xf>
    <xf numFmtId="175" fontId="232" fillId="2" borderId="13" xfId="0" applyNumberFormat="1" applyFont="1" applyFill="1" applyBorder="1" applyAlignment="1">
      <alignment horizontal="left" vertical="center"/>
    </xf>
    <xf numFmtId="169" fontId="232" fillId="2" borderId="13" xfId="0" applyNumberFormat="1" applyFont="1" applyFill="1" applyBorder="1" applyAlignment="1">
      <alignment horizontal="center"/>
    </xf>
    <xf numFmtId="178" fontId="255" fillId="2" borderId="13" xfId="0" applyNumberFormat="1" applyFont="1" applyFill="1" applyBorder="1" applyAlignment="1">
      <alignment horizontal="right"/>
    </xf>
    <xf numFmtId="175" fontId="227" fillId="5" borderId="13" xfId="0" applyNumberFormat="1" applyFont="1" applyFill="1" applyBorder="1"/>
    <xf numFmtId="175" fontId="232" fillId="5" borderId="13" xfId="0" applyNumberFormat="1" applyFont="1" applyFill="1" applyBorder="1" applyAlignment="1">
      <alignment horizontal="left" vertical="center"/>
    </xf>
    <xf numFmtId="169" fontId="232" fillId="5" borderId="13" xfId="0" applyNumberFormat="1" applyFont="1" applyFill="1" applyBorder="1" applyAlignment="1">
      <alignment horizontal="center"/>
    </xf>
    <xf numFmtId="175" fontId="227" fillId="18" borderId="13" xfId="0" applyNumberFormat="1" applyFont="1" applyFill="1" applyBorder="1"/>
    <xf numFmtId="175" fontId="227" fillId="18" borderId="13" xfId="0" applyNumberFormat="1" applyFont="1" applyFill="1" applyBorder="1" applyAlignment="1">
      <alignment horizontal="center"/>
    </xf>
    <xf numFmtId="2" fontId="227" fillId="18" borderId="13" xfId="0" applyNumberFormat="1" applyFont="1" applyFill="1" applyBorder="1"/>
    <xf numFmtId="178" fontId="227" fillId="18" borderId="13" xfId="0" applyNumberFormat="1" applyFont="1" applyFill="1" applyBorder="1"/>
    <xf numFmtId="0" fontId="227" fillId="18" borderId="13" xfId="0" applyFont="1" applyFill="1" applyBorder="1" applyAlignment="1">
      <alignment horizontal="center"/>
    </xf>
    <xf numFmtId="169" fontId="227" fillId="18" borderId="13" xfId="0" applyNumberFormat="1" applyFont="1" applyFill="1" applyBorder="1"/>
    <xf numFmtId="169" fontId="227" fillId="0" borderId="0" xfId="0" applyNumberFormat="1" applyFont="1" applyAlignment="1">
      <alignment horizontal="right"/>
    </xf>
    <xf numFmtId="15" fontId="227" fillId="0" borderId="0" xfId="0" applyNumberFormat="1" applyFont="1"/>
    <xf numFmtId="169" fontId="227" fillId="5" borderId="13" xfId="0" applyNumberFormat="1" applyFont="1" applyFill="1" applyBorder="1" applyAlignment="1">
      <alignment horizontal="right"/>
    </xf>
    <xf numFmtId="0" fontId="256" fillId="5" borderId="13" xfId="0" applyFont="1" applyFill="1" applyBorder="1" applyAlignment="1">
      <alignment horizontal="center" vertical="center"/>
    </xf>
    <xf numFmtId="0" fontId="227" fillId="5" borderId="30" xfId="0" applyFont="1" applyFill="1" applyBorder="1" applyAlignment="1">
      <alignment horizontal="center"/>
    </xf>
    <xf numFmtId="0" fontId="227" fillId="5" borderId="34" xfId="0" applyFont="1" applyFill="1" applyBorder="1" applyAlignment="1">
      <alignment horizontal="center"/>
    </xf>
    <xf numFmtId="171" fontId="227" fillId="20" borderId="35" xfId="0" applyNumberFormat="1" applyFont="1" applyFill="1" applyBorder="1"/>
    <xf numFmtId="0" fontId="227" fillId="20" borderId="35" xfId="0" applyFont="1" applyFill="1" applyBorder="1"/>
    <xf numFmtId="0" fontId="232" fillId="20" borderId="35" xfId="0" applyFont="1" applyFill="1" applyBorder="1" applyAlignment="1">
      <alignment horizontal="right" vertical="center"/>
    </xf>
    <xf numFmtId="175" fontId="227" fillId="20" borderId="35" xfId="0" applyNumberFormat="1" applyFont="1" applyFill="1" applyBorder="1" applyAlignment="1">
      <alignment horizontal="center"/>
    </xf>
    <xf numFmtId="178" fontId="227" fillId="20" borderId="35" xfId="0" applyNumberFormat="1" applyFont="1" applyFill="1" applyBorder="1"/>
    <xf numFmtId="2" fontId="227" fillId="20" borderId="35" xfId="0" applyNumberFormat="1" applyFont="1" applyFill="1" applyBorder="1"/>
    <xf numFmtId="181" fontId="227" fillId="20" borderId="35" xfId="0" applyNumberFormat="1" applyFont="1" applyFill="1" applyBorder="1"/>
    <xf numFmtId="178" fontId="227" fillId="20" borderId="35" xfId="0" applyNumberFormat="1" applyFont="1" applyFill="1" applyBorder="1" applyAlignment="1">
      <alignment horizontal="center"/>
    </xf>
    <xf numFmtId="178" fontId="250" fillId="20" borderId="35" xfId="0" applyNumberFormat="1" applyFont="1" applyFill="1" applyBorder="1" applyAlignment="1">
      <alignment horizontal="center"/>
    </xf>
    <xf numFmtId="169" fontId="227" fillId="20" borderId="35" xfId="0" applyNumberFormat="1" applyFont="1" applyFill="1" applyBorder="1"/>
    <xf numFmtId="0" fontId="227" fillId="20" borderId="35" xfId="0" applyFont="1" applyFill="1" applyBorder="1" applyAlignment="1">
      <alignment horizontal="center"/>
    </xf>
    <xf numFmtId="40" fontId="227" fillId="20" borderId="35" xfId="0" applyNumberFormat="1" applyFont="1" applyFill="1" applyBorder="1"/>
    <xf numFmtId="40" fontId="227" fillId="20" borderId="37" xfId="0" applyNumberFormat="1" applyFont="1" applyFill="1" applyBorder="1"/>
    <xf numFmtId="0" fontId="227" fillId="5" borderId="28" xfId="0" applyFont="1" applyFill="1" applyBorder="1" applyAlignment="1">
      <alignment horizontal="center"/>
    </xf>
    <xf numFmtId="0" fontId="227" fillId="2" borderId="29" xfId="0" applyFont="1" applyFill="1" applyBorder="1"/>
    <xf numFmtId="171" fontId="227" fillId="2" borderId="29" xfId="0" applyNumberFormat="1" applyFont="1" applyFill="1" applyBorder="1"/>
    <xf numFmtId="0" fontId="232" fillId="2" borderId="29" xfId="0" applyFont="1" applyFill="1" applyBorder="1" applyAlignment="1">
      <alignment horizontal="right" vertical="center"/>
    </xf>
    <xf numFmtId="175" fontId="227" fillId="2" borderId="29" xfId="0" applyNumberFormat="1" applyFont="1" applyFill="1" applyBorder="1" applyAlignment="1">
      <alignment horizontal="center"/>
    </xf>
    <xf numFmtId="178" fontId="227" fillId="2" borderId="29" xfId="0" applyNumberFormat="1" applyFont="1" applyFill="1" applyBorder="1"/>
    <xf numFmtId="2" fontId="227" fillId="2" borderId="29" xfId="0" applyNumberFormat="1" applyFont="1" applyFill="1" applyBorder="1"/>
    <xf numFmtId="178" fontId="227" fillId="2" borderId="29" xfId="0" applyNumberFormat="1" applyFont="1" applyFill="1" applyBorder="1" applyAlignment="1">
      <alignment horizontal="center" vertical="center"/>
    </xf>
    <xf numFmtId="0" fontId="227" fillId="2" borderId="29" xfId="0" applyFont="1" applyFill="1" applyBorder="1" applyAlignment="1">
      <alignment horizontal="center"/>
    </xf>
    <xf numFmtId="178" fontId="250" fillId="2" borderId="29" xfId="0" applyNumberFormat="1" applyFont="1" applyFill="1" applyBorder="1" applyAlignment="1">
      <alignment horizontal="center"/>
    </xf>
    <xf numFmtId="169" fontId="227" fillId="2" borderId="29" xfId="0" applyNumberFormat="1" applyFont="1" applyFill="1" applyBorder="1"/>
    <xf numFmtId="40" fontId="227" fillId="2" borderId="29" xfId="0" applyNumberFormat="1" applyFont="1" applyFill="1" applyBorder="1"/>
    <xf numFmtId="40" fontId="227" fillId="2" borderId="33" xfId="0" applyNumberFormat="1" applyFont="1" applyFill="1" applyBorder="1"/>
    <xf numFmtId="0" fontId="227" fillId="2" borderId="35" xfId="0" applyFont="1" applyFill="1" applyBorder="1"/>
    <xf numFmtId="171" fontId="227" fillId="2" borderId="35" xfId="0" applyNumberFormat="1" applyFont="1" applyFill="1" applyBorder="1"/>
    <xf numFmtId="0" fontId="232" fillId="2" borderId="35" xfId="0" applyFont="1" applyFill="1" applyBorder="1" applyAlignment="1">
      <alignment horizontal="right" vertical="center"/>
    </xf>
    <xf numFmtId="175" fontId="227" fillId="2" borderId="35" xfId="0" applyNumberFormat="1" applyFont="1" applyFill="1" applyBorder="1" applyAlignment="1">
      <alignment horizontal="center"/>
    </xf>
    <xf numFmtId="178" fontId="227" fillId="2" borderId="35" xfId="0" applyNumberFormat="1" applyFont="1" applyFill="1" applyBorder="1"/>
    <xf numFmtId="2" fontId="227" fillId="2" borderId="35" xfId="0" applyNumberFormat="1" applyFont="1" applyFill="1" applyBorder="1"/>
    <xf numFmtId="178" fontId="227" fillId="2" borderId="35" xfId="0" applyNumberFormat="1" applyFont="1" applyFill="1" applyBorder="1" applyAlignment="1">
      <alignment horizontal="center" vertical="center"/>
    </xf>
    <xf numFmtId="178" fontId="227" fillId="2" borderId="35" xfId="0" applyNumberFormat="1" applyFont="1" applyFill="1" applyBorder="1" applyAlignment="1">
      <alignment horizontal="center"/>
    </xf>
    <xf numFmtId="178" fontId="250" fillId="2" borderId="35" xfId="0" applyNumberFormat="1" applyFont="1" applyFill="1" applyBorder="1" applyAlignment="1">
      <alignment horizontal="center"/>
    </xf>
    <xf numFmtId="169" fontId="227" fillId="2" borderId="35" xfId="0" applyNumberFormat="1" applyFont="1" applyFill="1" applyBorder="1"/>
    <xf numFmtId="0" fontId="227" fillId="2" borderId="35" xfId="0" applyFont="1" applyFill="1" applyBorder="1" applyAlignment="1">
      <alignment horizontal="center"/>
    </xf>
    <xf numFmtId="40" fontId="227" fillId="2" borderId="35" xfId="0" applyNumberFormat="1" applyFont="1" applyFill="1" applyBorder="1"/>
    <xf numFmtId="40" fontId="227" fillId="2" borderId="37" xfId="0" applyNumberFormat="1" applyFont="1" applyFill="1" applyBorder="1"/>
    <xf numFmtId="0" fontId="227" fillId="5" borderId="29" xfId="0" applyFont="1" applyFill="1" applyBorder="1" applyAlignment="1">
      <alignment horizontal="center" vertical="center"/>
    </xf>
    <xf numFmtId="0" fontId="227" fillId="0" borderId="2" xfId="0" applyFont="1" applyBorder="1" applyAlignment="1">
      <alignment horizontal="center"/>
    </xf>
    <xf numFmtId="0" fontId="227" fillId="0" borderId="16" xfId="0" applyFont="1" applyBorder="1" applyAlignment="1">
      <alignment horizontal="center"/>
    </xf>
    <xf numFmtId="0" fontId="227" fillId="0" borderId="18" xfId="0" applyFont="1" applyBorder="1" applyAlignment="1">
      <alignment horizontal="center"/>
    </xf>
    <xf numFmtId="0" fontId="227" fillId="0" borderId="14" xfId="0" applyFont="1" applyBorder="1" applyAlignment="1">
      <alignment horizontal="center"/>
    </xf>
    <xf numFmtId="169" fontId="227" fillId="0" borderId="27" xfId="0" applyNumberFormat="1" applyFont="1" applyBorder="1" applyAlignment="1">
      <alignment horizontal="center"/>
    </xf>
    <xf numFmtId="0" fontId="227" fillId="4" borderId="46" xfId="0" applyFont="1" applyFill="1" applyBorder="1" applyAlignment="1">
      <alignment horizontal="center"/>
    </xf>
    <xf numFmtId="0" fontId="227" fillId="0" borderId="27" xfId="0" applyFont="1" applyBorder="1" applyAlignment="1">
      <alignment horizontal="center"/>
    </xf>
    <xf numFmtId="169" fontId="227" fillId="6" borderId="20" xfId="0" applyNumberFormat="1" applyFont="1" applyFill="1" applyBorder="1" applyAlignment="1">
      <alignment horizontal="center"/>
    </xf>
    <xf numFmtId="169" fontId="227" fillId="0" borderId="27" xfId="0" applyNumberFormat="1" applyFont="1" applyBorder="1"/>
    <xf numFmtId="0" fontId="227" fillId="0" borderId="27" xfId="0" applyFont="1" applyBorder="1"/>
    <xf numFmtId="0" fontId="257" fillId="21" borderId="13" xfId="0" applyFont="1" applyFill="1" applyBorder="1"/>
    <xf numFmtId="0" fontId="258" fillId="7" borderId="13" xfId="0" applyFont="1" applyFill="1" applyBorder="1"/>
    <xf numFmtId="0" fontId="227" fillId="7" borderId="13" xfId="0" applyFont="1" applyFill="1" applyBorder="1"/>
    <xf numFmtId="175" fontId="227" fillId="7" borderId="13" xfId="0" applyNumberFormat="1" applyFont="1" applyFill="1" applyBorder="1" applyAlignment="1">
      <alignment horizontal="center"/>
    </xf>
    <xf numFmtId="175" fontId="227" fillId="18" borderId="13" xfId="0" applyNumberFormat="1" applyFont="1" applyFill="1" applyBorder="1" applyAlignment="1">
      <alignment horizontal="left"/>
    </xf>
    <xf numFmtId="10" fontId="227" fillId="18" borderId="13" xfId="0" applyNumberFormat="1" applyFont="1" applyFill="1" applyBorder="1"/>
    <xf numFmtId="175" fontId="227" fillId="7" borderId="13" xfId="0" applyNumberFormat="1" applyFont="1" applyFill="1" applyBorder="1"/>
    <xf numFmtId="169" fontId="227" fillId="21" borderId="13" xfId="0" applyNumberFormat="1" applyFont="1" applyFill="1" applyBorder="1" applyAlignment="1">
      <alignment horizontal="center"/>
    </xf>
    <xf numFmtId="175" fontId="227" fillId="0" borderId="2" xfId="0" applyNumberFormat="1" applyFont="1" applyBorder="1" applyAlignment="1">
      <alignment horizontal="center"/>
    </xf>
    <xf numFmtId="0" fontId="227" fillId="0" borderId="3" xfId="0" applyFont="1" applyBorder="1" applyAlignment="1">
      <alignment horizontal="center"/>
    </xf>
    <xf numFmtId="0" fontId="227" fillId="7" borderId="47" xfId="0" applyFont="1" applyFill="1" applyBorder="1"/>
    <xf numFmtId="0" fontId="227" fillId="7" borderId="48" xfId="0" applyFont="1" applyFill="1" applyBorder="1"/>
    <xf numFmtId="169" fontId="227" fillId="7" borderId="48" xfId="0" applyNumberFormat="1" applyFont="1" applyFill="1" applyBorder="1"/>
    <xf numFmtId="175" fontId="227" fillId="7" borderId="48" xfId="0" applyNumberFormat="1" applyFont="1" applyFill="1" applyBorder="1" applyAlignment="1">
      <alignment horizontal="center"/>
    </xf>
    <xf numFmtId="169" fontId="227" fillId="7" borderId="49" xfId="0" applyNumberFormat="1" applyFont="1" applyFill="1" applyBorder="1"/>
    <xf numFmtId="178" fontId="250" fillId="0" borderId="0" xfId="0" applyNumberFormat="1" applyFont="1"/>
    <xf numFmtId="14" fontId="0" fillId="0" borderId="0" xfId="0" applyNumberFormat="1"/>
    <xf numFmtId="2" fontId="0" fillId="0" borderId="0" xfId="0" applyNumberFormat="1"/>
    <xf numFmtId="2" fontId="261" fillId="0" borderId="0" xfId="0" applyNumberFormat="1" applyFont="1"/>
    <xf numFmtId="178" fontId="262" fillId="0" borderId="0" xfId="0" applyNumberFormat="1" applyFont="1" applyAlignment="1">
      <alignment horizontal="center"/>
    </xf>
    <xf numFmtId="0" fontId="224" fillId="0" borderId="0" xfId="0" applyFont="1"/>
    <xf numFmtId="0" fontId="232" fillId="0" borderId="0" xfId="0" applyFont="1" applyAlignment="1">
      <alignment horizontal="left" vertical="top"/>
    </xf>
    <xf numFmtId="0" fontId="227" fillId="25" borderId="13" xfId="0" applyFont="1" applyFill="1" applyBorder="1"/>
    <xf numFmtId="0" fontId="258" fillId="26" borderId="13" xfId="0" applyFont="1" applyFill="1" applyBorder="1"/>
    <xf numFmtId="0" fontId="227" fillId="26" borderId="13" xfId="0" applyFont="1" applyFill="1" applyBorder="1"/>
    <xf numFmtId="175" fontId="227" fillId="27" borderId="13" xfId="0" applyNumberFormat="1" applyFont="1" applyFill="1" applyBorder="1" applyAlignment="1">
      <alignment horizontal="center"/>
    </xf>
    <xf numFmtId="0" fontId="227" fillId="27" borderId="13" xfId="0" applyFont="1" applyFill="1" applyBorder="1"/>
    <xf numFmtId="175" fontId="227" fillId="26" borderId="13" xfId="0" applyNumberFormat="1" applyFont="1" applyFill="1" applyBorder="1" applyAlignment="1">
      <alignment horizontal="center"/>
    </xf>
    <xf numFmtId="175" fontId="227" fillId="27" borderId="13" xfId="0" applyNumberFormat="1" applyFont="1" applyFill="1" applyBorder="1" applyAlignment="1">
      <alignment horizontal="left"/>
    </xf>
    <xf numFmtId="10" fontId="227" fillId="27" borderId="13" xfId="0" applyNumberFormat="1" applyFont="1" applyFill="1" applyBorder="1"/>
    <xf numFmtId="169" fontId="227" fillId="25" borderId="13" xfId="0" applyNumberFormat="1" applyFont="1" applyFill="1" applyBorder="1"/>
    <xf numFmtId="0" fontId="0" fillId="28" borderId="13" xfId="0" applyFill="1" applyBorder="1"/>
    <xf numFmtId="175" fontId="227" fillId="26" borderId="13" xfId="0" applyNumberFormat="1" applyFont="1" applyFill="1" applyBorder="1"/>
    <xf numFmtId="169" fontId="227" fillId="25" borderId="13" xfId="0" applyNumberFormat="1" applyFont="1" applyFill="1" applyBorder="1" applyAlignment="1">
      <alignment horizontal="center"/>
    </xf>
    <xf numFmtId="175" fontId="227" fillId="28" borderId="13" xfId="0" applyNumberFormat="1" applyFont="1" applyFill="1" applyBorder="1" applyAlignment="1">
      <alignment horizontal="center"/>
    </xf>
    <xf numFmtId="0" fontId="227" fillId="28" borderId="13" xfId="0" applyFont="1" applyFill="1" applyBorder="1"/>
    <xf numFmtId="0" fontId="227" fillId="28" borderId="13" xfId="0" applyFont="1" applyFill="1" applyBorder="1" applyAlignment="1">
      <alignment horizontal="center"/>
    </xf>
    <xf numFmtId="169" fontId="227" fillId="28" borderId="13" xfId="0" applyNumberFormat="1" applyFont="1" applyFill="1" applyBorder="1"/>
    <xf numFmtId="169" fontId="227" fillId="26" borderId="13" xfId="0" applyNumberFormat="1" applyFont="1" applyFill="1" applyBorder="1"/>
    <xf numFmtId="0" fontId="252" fillId="25" borderId="51" xfId="0" applyFont="1" applyFill="1" applyBorder="1"/>
    <xf numFmtId="0" fontId="252" fillId="25" borderId="52" xfId="0" applyFont="1" applyFill="1" applyBorder="1"/>
    <xf numFmtId="169" fontId="227" fillId="6" borderId="50" xfId="0" applyNumberFormat="1" applyFont="1" applyFill="1" applyBorder="1"/>
    <xf numFmtId="169" fontId="227" fillId="6" borderId="53" xfId="0" applyNumberFormat="1" applyFont="1" applyFill="1" applyBorder="1"/>
    <xf numFmtId="1" fontId="0" fillId="28" borderId="13" xfId="0" applyNumberFormat="1" applyFill="1" applyBorder="1"/>
    <xf numFmtId="1" fontId="227" fillId="28" borderId="13" xfId="0" applyNumberFormat="1" applyFont="1" applyFill="1" applyBorder="1"/>
    <xf numFmtId="0" fontId="227" fillId="25" borderId="13" xfId="0" applyFont="1" applyFill="1" applyBorder="1" applyAlignment="1">
      <alignment horizontal="center"/>
    </xf>
    <xf numFmtId="0" fontId="227" fillId="26" borderId="13" xfId="0" applyFont="1" applyFill="1" applyBorder="1" applyAlignment="1">
      <alignment horizontal="center"/>
    </xf>
    <xf numFmtId="1" fontId="227" fillId="25" borderId="13" xfId="0" applyNumberFormat="1" applyFont="1" applyFill="1" applyBorder="1" applyAlignment="1">
      <alignment horizontal="center"/>
    </xf>
    <xf numFmtId="0" fontId="223" fillId="28" borderId="13" xfId="0" applyFont="1" applyFill="1" applyBorder="1"/>
    <xf numFmtId="0" fontId="250" fillId="29" borderId="30" xfId="0" applyFont="1" applyFill="1" applyBorder="1" applyAlignment="1">
      <alignment horizontal="center"/>
    </xf>
    <xf numFmtId="0" fontId="265" fillId="0" borderId="0" xfId="0" applyFont="1"/>
    <xf numFmtId="0" fontId="247" fillId="0" borderId="13" xfId="0" applyFont="1" applyBorder="1"/>
    <xf numFmtId="0" fontId="0" fillId="0" borderId="13" xfId="0" applyBorder="1"/>
    <xf numFmtId="0" fontId="0" fillId="0" borderId="54" xfId="0" applyBorder="1"/>
    <xf numFmtId="0" fontId="0" fillId="0" borderId="13" xfId="0" applyBorder="1" applyAlignment="1">
      <alignment horizontal="center"/>
    </xf>
    <xf numFmtId="0" fontId="0" fillId="0" borderId="59" xfId="0" applyBorder="1"/>
    <xf numFmtId="169" fontId="227" fillId="0" borderId="13" xfId="0" applyNumberFormat="1" applyFont="1" applyBorder="1" applyAlignment="1">
      <alignment horizontal="center"/>
    </xf>
    <xf numFmtId="0" fontId="0" fillId="0" borderId="51" xfId="0" applyBorder="1"/>
    <xf numFmtId="171" fontId="227" fillId="0" borderId="13" xfId="0" applyNumberFormat="1" applyFont="1" applyBorder="1"/>
    <xf numFmtId="171" fontId="227" fillId="5" borderId="0" xfId="0" applyNumberFormat="1" applyFont="1" applyFill="1"/>
    <xf numFmtId="0" fontId="227" fillId="0" borderId="13" xfId="0" applyFont="1" applyBorder="1"/>
    <xf numFmtId="0" fontId="227" fillId="5" borderId="0" xfId="0" applyFont="1" applyFill="1"/>
    <xf numFmtId="0" fontId="227" fillId="5" borderId="0" xfId="0" applyFont="1" applyFill="1" applyAlignment="1">
      <alignment horizontal="center"/>
    </xf>
    <xf numFmtId="0" fontId="227" fillId="0" borderId="13" xfId="0" applyFont="1" applyBorder="1" applyAlignment="1">
      <alignment horizontal="center"/>
    </xf>
    <xf numFmtId="2" fontId="227" fillId="0" borderId="13" xfId="0" applyNumberFormat="1" applyFont="1" applyBorder="1"/>
    <xf numFmtId="2" fontId="227" fillId="5" borderId="0" xfId="0" applyNumberFormat="1" applyFont="1" applyFill="1"/>
    <xf numFmtId="178" fontId="227" fillId="0" borderId="13" xfId="0" applyNumberFormat="1" applyFont="1" applyBorder="1" applyAlignment="1">
      <alignment horizontal="center"/>
    </xf>
    <xf numFmtId="178" fontId="227" fillId="5" borderId="0" xfId="0" applyNumberFormat="1" applyFont="1" applyFill="1" applyAlignment="1">
      <alignment horizontal="center"/>
    </xf>
    <xf numFmtId="178" fontId="250" fillId="0" borderId="13" xfId="0" applyNumberFormat="1" applyFont="1" applyBorder="1" applyAlignment="1">
      <alignment horizontal="center"/>
    </xf>
    <xf numFmtId="0" fontId="250" fillId="5" borderId="0" xfId="0" applyFont="1" applyFill="1" applyAlignment="1">
      <alignment horizontal="center"/>
    </xf>
    <xf numFmtId="178" fontId="249" fillId="0" borderId="13" xfId="0" applyNumberFormat="1" applyFont="1" applyBorder="1" applyAlignment="1">
      <alignment horizontal="center"/>
    </xf>
    <xf numFmtId="178" fontId="250" fillId="5" borderId="0" xfId="0" applyNumberFormat="1" applyFont="1" applyFill="1" applyAlignment="1">
      <alignment horizontal="center"/>
    </xf>
    <xf numFmtId="178" fontId="249" fillId="5" borderId="0" xfId="0" applyNumberFormat="1" applyFont="1" applyFill="1" applyAlignment="1">
      <alignment horizontal="center"/>
    </xf>
    <xf numFmtId="0" fontId="249" fillId="5" borderId="0" xfId="0" applyFont="1" applyFill="1"/>
    <xf numFmtId="0" fontId="249" fillId="0" borderId="13" xfId="0" applyFont="1" applyBorder="1"/>
    <xf numFmtId="2" fontId="250" fillId="5" borderId="0" xfId="0" applyNumberFormat="1" applyFont="1" applyFill="1"/>
    <xf numFmtId="169" fontId="227" fillId="0" borderId="13" xfId="0" applyNumberFormat="1" applyFont="1" applyBorder="1"/>
    <xf numFmtId="169" fontId="249" fillId="5" borderId="0" xfId="0" applyNumberFormat="1" applyFont="1" applyFill="1"/>
    <xf numFmtId="0" fontId="227" fillId="6" borderId="0" xfId="0" applyFont="1" applyFill="1" applyAlignment="1">
      <alignment horizontal="center"/>
    </xf>
    <xf numFmtId="2" fontId="227" fillId="0" borderId="13" xfId="0" applyNumberFormat="1" applyFont="1" applyBorder="1" applyAlignment="1">
      <alignment horizontal="center"/>
    </xf>
    <xf numFmtId="2" fontId="227" fillId="5" borderId="0" xfId="0" applyNumberFormat="1" applyFont="1" applyFill="1" applyAlignment="1">
      <alignment horizontal="center"/>
    </xf>
    <xf numFmtId="179" fontId="227" fillId="0" borderId="13" xfId="0" applyNumberFormat="1" applyFont="1" applyBorder="1"/>
    <xf numFmtId="179" fontId="227" fillId="5" borderId="0" xfId="0" applyNumberFormat="1" applyFont="1" applyFill="1"/>
    <xf numFmtId="169" fontId="227" fillId="5" borderId="0" xfId="0" applyNumberFormat="1" applyFont="1" applyFill="1" applyAlignment="1">
      <alignment horizontal="center"/>
    </xf>
    <xf numFmtId="2" fontId="227" fillId="30" borderId="13" xfId="0" applyNumberFormat="1" applyFont="1" applyFill="1" applyBorder="1"/>
    <xf numFmtId="40" fontId="250" fillId="31" borderId="13" xfId="0" applyNumberFormat="1" applyFont="1" applyFill="1" applyBorder="1"/>
    <xf numFmtId="0" fontId="266" fillId="0" borderId="0" xfId="0" applyFont="1"/>
    <xf numFmtId="0" fontId="221" fillId="0" borderId="0" xfId="0" applyFont="1"/>
    <xf numFmtId="2" fontId="261" fillId="0" borderId="0" xfId="0" applyNumberFormat="1" applyFont="1" applyAlignment="1">
      <alignment horizontal="right"/>
    </xf>
    <xf numFmtId="2" fontId="266" fillId="0" borderId="0" xfId="0" applyNumberFormat="1" applyFont="1" applyAlignment="1">
      <alignment horizontal="right"/>
    </xf>
    <xf numFmtId="0" fontId="232" fillId="7" borderId="32" xfId="0" applyFont="1" applyFill="1" applyBorder="1"/>
    <xf numFmtId="0" fontId="232" fillId="26" borderId="13" xfId="0" applyFont="1" applyFill="1" applyBorder="1" applyAlignment="1">
      <alignment horizontal="center"/>
    </xf>
    <xf numFmtId="0" fontId="232" fillId="33" borderId="13" xfId="0" applyFont="1" applyFill="1" applyBorder="1" applyAlignment="1">
      <alignment horizontal="center"/>
    </xf>
    <xf numFmtId="40" fontId="249" fillId="28" borderId="13" xfId="0" applyNumberFormat="1" applyFont="1" applyFill="1" applyBorder="1"/>
    <xf numFmtId="40" fontId="249" fillId="28" borderId="13" xfId="0" applyNumberFormat="1" applyFont="1" applyFill="1" applyBorder="1" applyAlignment="1">
      <alignment horizontal="center"/>
    </xf>
    <xf numFmtId="169" fontId="227" fillId="28" borderId="13" xfId="0" applyNumberFormat="1" applyFont="1" applyFill="1" applyBorder="1" applyAlignment="1">
      <alignment horizontal="center"/>
    </xf>
    <xf numFmtId="40" fontId="227" fillId="28" borderId="13" xfId="0" applyNumberFormat="1" applyFont="1" applyFill="1" applyBorder="1" applyAlignment="1">
      <alignment horizontal="center"/>
    </xf>
    <xf numFmtId="179" fontId="227" fillId="28" borderId="0" xfId="0" applyNumberFormat="1" applyFont="1" applyFill="1"/>
    <xf numFmtId="0" fontId="0" fillId="28" borderId="0" xfId="0" applyFill="1"/>
    <xf numFmtId="0" fontId="232" fillId="2" borderId="31" xfId="0" applyFont="1" applyFill="1" applyBorder="1"/>
    <xf numFmtId="0" fontId="232" fillId="2" borderId="31" xfId="0" applyFont="1" applyFill="1" applyBorder="1" applyAlignment="1">
      <alignment horizontal="center"/>
    </xf>
    <xf numFmtId="0" fontId="232" fillId="2" borderId="28" xfId="0" applyFont="1" applyFill="1" applyBorder="1" applyAlignment="1">
      <alignment horizontal="center"/>
    </xf>
    <xf numFmtId="0" fontId="232" fillId="7" borderId="61" xfId="0" applyFont="1" applyFill="1" applyBorder="1" applyAlignment="1">
      <alignment horizontal="center"/>
    </xf>
    <xf numFmtId="0" fontId="232" fillId="2" borderId="61" xfId="0" applyFont="1" applyFill="1" applyBorder="1" applyAlignment="1">
      <alignment horizontal="center"/>
    </xf>
    <xf numFmtId="0" fontId="248" fillId="7" borderId="33" xfId="0" applyFont="1" applyFill="1" applyBorder="1" applyAlignment="1">
      <alignment horizontal="center"/>
    </xf>
    <xf numFmtId="0" fontId="248" fillId="7" borderId="31" xfId="0" applyFont="1" applyFill="1" applyBorder="1" applyAlignment="1">
      <alignment horizontal="center"/>
    </xf>
    <xf numFmtId="0" fontId="232" fillId="7" borderId="28" xfId="0" applyFont="1" applyFill="1" applyBorder="1" applyAlignment="1">
      <alignment horizontal="center"/>
    </xf>
    <xf numFmtId="0" fontId="232" fillId="7" borderId="33" xfId="0" applyFont="1" applyFill="1" applyBorder="1" applyAlignment="1">
      <alignment horizontal="center"/>
    </xf>
    <xf numFmtId="0" fontId="231" fillId="7" borderId="31" xfId="0" applyFont="1" applyFill="1" applyBorder="1"/>
    <xf numFmtId="0" fontId="231" fillId="2" borderId="31" xfId="0" applyFont="1" applyFill="1" applyBorder="1"/>
    <xf numFmtId="0" fontId="232" fillId="7" borderId="31" xfId="0" applyFont="1" applyFill="1" applyBorder="1" applyAlignment="1">
      <alignment horizontal="center"/>
    </xf>
    <xf numFmtId="40" fontId="232" fillId="2" borderId="31" xfId="0" applyNumberFormat="1" applyFont="1" applyFill="1" applyBorder="1" applyAlignment="1">
      <alignment horizontal="center"/>
    </xf>
    <xf numFmtId="40" fontId="240" fillId="2" borderId="31" xfId="0" applyNumberFormat="1" applyFont="1" applyFill="1" applyBorder="1"/>
    <xf numFmtId="40" fontId="240" fillId="2" borderId="31" xfId="0" applyNumberFormat="1" applyFont="1" applyFill="1" applyBorder="1" applyAlignment="1">
      <alignment horizontal="center"/>
    </xf>
    <xf numFmtId="40" fontId="249" fillId="0" borderId="30" xfId="0" applyNumberFormat="1" applyFont="1" applyBorder="1"/>
    <xf numFmtId="0" fontId="250" fillId="0" borderId="13" xfId="0" applyFont="1" applyBorder="1" applyAlignment="1">
      <alignment horizontal="center"/>
    </xf>
    <xf numFmtId="0" fontId="232" fillId="33" borderId="13" xfId="0" applyFont="1" applyFill="1" applyBorder="1"/>
    <xf numFmtId="40" fontId="232" fillId="33" borderId="13" xfId="0" applyNumberFormat="1" applyFont="1" applyFill="1" applyBorder="1" applyAlignment="1">
      <alignment horizontal="center"/>
    </xf>
    <xf numFmtId="40" fontId="240" fillId="33" borderId="13" xfId="0" applyNumberFormat="1" applyFont="1" applyFill="1" applyBorder="1"/>
    <xf numFmtId="40" fontId="240" fillId="33" borderId="13" xfId="0" applyNumberFormat="1" applyFont="1" applyFill="1" applyBorder="1" applyAlignment="1">
      <alignment horizontal="center"/>
    </xf>
    <xf numFmtId="0" fontId="227" fillId="0" borderId="7" xfId="0" applyFont="1" applyBorder="1" applyAlignment="1">
      <alignment horizontal="center"/>
    </xf>
    <xf numFmtId="169" fontId="227" fillId="0" borderId="14" xfId="0" applyNumberFormat="1" applyFont="1" applyBorder="1" applyAlignment="1">
      <alignment horizontal="center"/>
    </xf>
    <xf numFmtId="0" fontId="227" fillId="4" borderId="62" xfId="0" applyFont="1" applyFill="1" applyBorder="1" applyAlignment="1">
      <alignment horizontal="center"/>
    </xf>
    <xf numFmtId="0" fontId="0" fillId="0" borderId="63" xfId="0" applyBorder="1"/>
    <xf numFmtId="178" fontId="0" fillId="0" borderId="0" xfId="0" applyNumberFormat="1"/>
    <xf numFmtId="0" fontId="268" fillId="0" borderId="0" xfId="0" applyFont="1"/>
    <xf numFmtId="16" fontId="0" fillId="0" borderId="0" xfId="0" applyNumberFormat="1"/>
    <xf numFmtId="43" fontId="0" fillId="0" borderId="0" xfId="1" applyFont="1" applyAlignment="1"/>
    <xf numFmtId="43" fontId="268" fillId="0" borderId="0" xfId="0" applyNumberFormat="1" applyFont="1"/>
    <xf numFmtId="178" fontId="227" fillId="34" borderId="0" xfId="0" applyNumberFormat="1" applyFont="1" applyFill="1" applyAlignment="1">
      <alignment horizontal="center"/>
    </xf>
    <xf numFmtId="2" fontId="250" fillId="31" borderId="13" xfId="0" applyNumberFormat="1" applyFont="1" applyFill="1" applyBorder="1"/>
    <xf numFmtId="0" fontId="227" fillId="34" borderId="0" xfId="0" applyFont="1" applyFill="1" applyAlignment="1">
      <alignment horizontal="center"/>
    </xf>
    <xf numFmtId="40" fontId="0" fillId="0" borderId="0" xfId="0" applyNumberFormat="1"/>
    <xf numFmtId="0" fontId="219" fillId="0" borderId="0" xfId="0" applyFont="1"/>
    <xf numFmtId="0" fontId="227" fillId="28" borderId="0" xfId="0" applyFont="1" applyFill="1" applyAlignment="1">
      <alignment horizontal="center"/>
    </xf>
    <xf numFmtId="178" fontId="227" fillId="28" borderId="0" xfId="0" applyNumberFormat="1" applyFont="1" applyFill="1" applyAlignment="1">
      <alignment horizontal="center"/>
    </xf>
    <xf numFmtId="0" fontId="227" fillId="28" borderId="0" xfId="0" applyFont="1" applyFill="1"/>
    <xf numFmtId="169" fontId="227" fillId="28" borderId="0" xfId="0" applyNumberFormat="1" applyFont="1" applyFill="1" applyAlignment="1">
      <alignment horizontal="center"/>
    </xf>
    <xf numFmtId="14" fontId="0" fillId="28" borderId="0" xfId="0" applyNumberFormat="1" applyFill="1"/>
    <xf numFmtId="2" fontId="0" fillId="28" borderId="0" xfId="0" applyNumberFormat="1" applyFill="1"/>
    <xf numFmtId="178" fontId="249" fillId="28" borderId="0" xfId="0" applyNumberFormat="1" applyFont="1" applyFill="1" applyAlignment="1">
      <alignment horizontal="center"/>
    </xf>
    <xf numFmtId="0" fontId="232" fillId="33" borderId="30" xfId="0" applyFont="1" applyFill="1" applyBorder="1"/>
    <xf numFmtId="0" fontId="232" fillId="33" borderId="0" xfId="0" applyFont="1" applyFill="1"/>
    <xf numFmtId="0" fontId="264" fillId="33" borderId="0" xfId="0" applyFont="1" applyFill="1"/>
    <xf numFmtId="0" fontId="232" fillId="33" borderId="0" xfId="0" applyFont="1" applyFill="1" applyAlignment="1">
      <alignment horizontal="center"/>
    </xf>
    <xf numFmtId="0" fontId="232" fillId="26" borderId="0" xfId="0" applyFont="1" applyFill="1" applyAlignment="1">
      <alignment horizontal="center"/>
    </xf>
    <xf numFmtId="0" fontId="232" fillId="26" borderId="0" xfId="0" applyFont="1" applyFill="1"/>
    <xf numFmtId="0" fontId="248" fillId="26" borderId="0" xfId="0" applyFont="1" applyFill="1" applyAlignment="1">
      <alignment horizontal="center"/>
    </xf>
    <xf numFmtId="0" fontId="265" fillId="0" borderId="13" xfId="0" applyFont="1" applyBorder="1"/>
    <xf numFmtId="2" fontId="249" fillId="5" borderId="0" xfId="0" applyNumberFormat="1" applyFont="1" applyFill="1"/>
    <xf numFmtId="43" fontId="0" fillId="0" borderId="13" xfId="1" applyFont="1" applyBorder="1" applyAlignment="1"/>
    <xf numFmtId="0" fontId="231" fillId="26" borderId="0" xfId="0" applyFont="1" applyFill="1"/>
    <xf numFmtId="0" fontId="231" fillId="33" borderId="0" xfId="0" applyFont="1" applyFill="1"/>
    <xf numFmtId="40" fontId="227" fillId="28" borderId="0" xfId="0" applyNumberFormat="1" applyFont="1" applyFill="1" applyAlignment="1">
      <alignment horizontal="center"/>
    </xf>
    <xf numFmtId="0" fontId="250" fillId="8" borderId="13" xfId="0" applyFont="1" applyFill="1" applyBorder="1" applyAlignment="1">
      <alignment horizontal="center"/>
    </xf>
    <xf numFmtId="0" fontId="222" fillId="0" borderId="0" xfId="0" applyFont="1"/>
    <xf numFmtId="0" fontId="261" fillId="0" borderId="0" xfId="0" applyFont="1" applyAlignment="1">
      <alignment horizontal="center"/>
    </xf>
    <xf numFmtId="178" fontId="261" fillId="0" borderId="0" xfId="0" applyNumberFormat="1" applyFont="1" applyAlignment="1">
      <alignment horizontal="center"/>
    </xf>
    <xf numFmtId="178" fontId="262" fillId="0" borderId="13" xfId="0" applyNumberFormat="1" applyFont="1" applyBorder="1" applyAlignment="1">
      <alignment horizontal="center"/>
    </xf>
    <xf numFmtId="178" fontId="260" fillId="0" borderId="0" xfId="0" applyNumberFormat="1" applyFont="1" applyAlignment="1">
      <alignment horizontal="center"/>
    </xf>
    <xf numFmtId="169" fontId="227" fillId="9" borderId="13" xfId="0" applyNumberFormat="1" applyFont="1" applyFill="1" applyBorder="1"/>
    <xf numFmtId="43" fontId="0" fillId="0" borderId="0" xfId="1" applyFont="1" applyBorder="1" applyAlignment="1"/>
    <xf numFmtId="0" fontId="224" fillId="28" borderId="0" xfId="0" applyFont="1" applyFill="1"/>
    <xf numFmtId="0" fontId="227" fillId="35" borderId="13" xfId="0" applyFont="1" applyFill="1" applyBorder="1"/>
    <xf numFmtId="0" fontId="227" fillId="36" borderId="13" xfId="0" applyFont="1" applyFill="1" applyBorder="1"/>
    <xf numFmtId="0" fontId="227" fillId="37" borderId="13" xfId="0" applyFont="1" applyFill="1" applyBorder="1"/>
    <xf numFmtId="0" fontId="218" fillId="0" borderId="0" xfId="0" applyFont="1"/>
    <xf numFmtId="182" fontId="0" fillId="0" borderId="0" xfId="1" applyNumberFormat="1" applyFont="1" applyAlignment="1"/>
    <xf numFmtId="0" fontId="262" fillId="32" borderId="30" xfId="0" applyFont="1" applyFill="1" applyBorder="1" applyAlignment="1">
      <alignment horizontal="center"/>
    </xf>
    <xf numFmtId="0" fontId="247" fillId="28" borderId="0" xfId="0" applyFont="1" applyFill="1"/>
    <xf numFmtId="0" fontId="221" fillId="28" borderId="0" xfId="0" applyFont="1" applyFill="1"/>
    <xf numFmtId="2" fontId="266" fillId="28" borderId="0" xfId="0" applyNumberFormat="1" applyFont="1" applyFill="1" applyAlignment="1">
      <alignment horizontal="right"/>
    </xf>
    <xf numFmtId="0" fontId="227" fillId="38" borderId="13" xfId="0" applyFont="1" applyFill="1" applyBorder="1"/>
    <xf numFmtId="178" fontId="254" fillId="0" borderId="0" xfId="0" applyNumberFormat="1" applyFont="1" applyAlignment="1">
      <alignment horizontal="center"/>
    </xf>
    <xf numFmtId="0" fontId="265" fillId="28" borderId="0" xfId="0" applyFont="1" applyFill="1"/>
    <xf numFmtId="43" fontId="0" fillId="28" borderId="0" xfId="1" applyFont="1" applyFill="1" applyBorder="1" applyAlignment="1"/>
    <xf numFmtId="178" fontId="262" fillId="28" borderId="0" xfId="0" applyNumberFormat="1" applyFont="1" applyFill="1" applyAlignment="1">
      <alignment horizontal="center"/>
    </xf>
    <xf numFmtId="0" fontId="217" fillId="0" borderId="0" xfId="0" applyFont="1"/>
    <xf numFmtId="0" fontId="217" fillId="28" borderId="0" xfId="0" applyFont="1" applyFill="1"/>
    <xf numFmtId="40" fontId="227" fillId="0" borderId="13" xfId="0" applyNumberFormat="1" applyFont="1" applyBorder="1"/>
    <xf numFmtId="0" fontId="216" fillId="28" borderId="13" xfId="0" applyFont="1" applyFill="1" applyBorder="1"/>
    <xf numFmtId="2" fontId="249" fillId="0" borderId="13" xfId="0" applyNumberFormat="1" applyFont="1" applyBorder="1"/>
    <xf numFmtId="2" fontId="261" fillId="0" borderId="13" xfId="0" applyNumberFormat="1" applyFont="1" applyBorder="1"/>
    <xf numFmtId="0" fontId="0" fillId="0" borderId="0" xfId="0" applyAlignment="1">
      <alignment horizontal="center"/>
    </xf>
    <xf numFmtId="0" fontId="0" fillId="28" borderId="0" xfId="0" applyFill="1" applyAlignment="1">
      <alignment horizontal="center"/>
    </xf>
    <xf numFmtId="0" fontId="265" fillId="0" borderId="0" xfId="0" applyFont="1" applyAlignment="1">
      <alignment horizontal="center"/>
    </xf>
    <xf numFmtId="1" fontId="227" fillId="34" borderId="0" xfId="0" applyNumberFormat="1" applyFont="1" applyFill="1" applyAlignment="1">
      <alignment horizontal="center"/>
    </xf>
    <xf numFmtId="0" fontId="215" fillId="28" borderId="13" xfId="0" applyFont="1" applyFill="1" applyBorder="1"/>
    <xf numFmtId="0" fontId="214" fillId="28" borderId="13" xfId="0" applyFont="1" applyFill="1" applyBorder="1"/>
    <xf numFmtId="40" fontId="227" fillId="40" borderId="1" xfId="0" applyNumberFormat="1" applyFont="1" applyFill="1" applyBorder="1" applyAlignment="1">
      <alignment horizontal="center"/>
    </xf>
    <xf numFmtId="40" fontId="227" fillId="40" borderId="18" xfId="0" applyNumberFormat="1" applyFont="1" applyFill="1" applyBorder="1" applyAlignment="1">
      <alignment horizontal="center"/>
    </xf>
    <xf numFmtId="40" fontId="249" fillId="40" borderId="30" xfId="0" applyNumberFormat="1" applyFont="1" applyFill="1" applyBorder="1"/>
    <xf numFmtId="40" fontId="249" fillId="40" borderId="13" xfId="0" applyNumberFormat="1" applyFont="1" applyFill="1" applyBorder="1"/>
    <xf numFmtId="40" fontId="227" fillId="41" borderId="13" xfId="0" applyNumberFormat="1" applyFont="1" applyFill="1" applyBorder="1"/>
    <xf numFmtId="0" fontId="0" fillId="40" borderId="0" xfId="0" applyFill="1"/>
    <xf numFmtId="2" fontId="227" fillId="42" borderId="0" xfId="0" applyNumberFormat="1" applyFont="1" applyFill="1"/>
    <xf numFmtId="43" fontId="227" fillId="0" borderId="0" xfId="1" applyFont="1"/>
    <xf numFmtId="0" fontId="213" fillId="0" borderId="0" xfId="0" applyFont="1"/>
    <xf numFmtId="184" fontId="0" fillId="0" borderId="0" xfId="0" applyNumberFormat="1"/>
    <xf numFmtId="43" fontId="227" fillId="0" borderId="0" xfId="0" applyNumberFormat="1" applyFont="1"/>
    <xf numFmtId="2" fontId="261" fillId="28" borderId="13" xfId="0" applyNumberFormat="1" applyFont="1" applyFill="1" applyBorder="1"/>
    <xf numFmtId="183" fontId="0" fillId="28" borderId="0" xfId="0" applyNumberFormat="1" applyFill="1"/>
    <xf numFmtId="2" fontId="262" fillId="5" borderId="13" xfId="0" applyNumberFormat="1" applyFont="1" applyFill="1" applyBorder="1"/>
    <xf numFmtId="40" fontId="0" fillId="28" borderId="0" xfId="0" applyNumberFormat="1" applyFill="1" applyAlignment="1">
      <alignment horizontal="center"/>
    </xf>
    <xf numFmtId="0" fontId="0" fillId="0" borderId="65" xfId="0" applyBorder="1" applyAlignment="1">
      <alignment horizontal="center"/>
    </xf>
    <xf numFmtId="0" fontId="0" fillId="0" borderId="66" xfId="0" applyBorder="1" applyAlignment="1">
      <alignment horizontal="center"/>
    </xf>
    <xf numFmtId="0" fontId="0" fillId="0" borderId="69" xfId="0" applyBorder="1"/>
    <xf numFmtId="0" fontId="0" fillId="0" borderId="69" xfId="0" applyBorder="1" applyAlignment="1">
      <alignment horizontal="center"/>
    </xf>
    <xf numFmtId="0" fontId="0" fillId="0" borderId="71" xfId="0" applyBorder="1"/>
    <xf numFmtId="0" fontId="0" fillId="0" borderId="72" xfId="0" applyBorder="1" applyAlignment="1">
      <alignment horizontal="center"/>
    </xf>
    <xf numFmtId="43" fontId="0" fillId="0" borderId="72" xfId="0" applyNumberFormat="1" applyBorder="1" applyAlignment="1">
      <alignment horizontal="center"/>
    </xf>
    <xf numFmtId="0" fontId="0" fillId="0" borderId="73" xfId="0" applyBorder="1"/>
    <xf numFmtId="0" fontId="0" fillId="0" borderId="64" xfId="0" applyBorder="1"/>
    <xf numFmtId="0" fontId="0" fillId="0" borderId="64" xfId="0" applyBorder="1" applyAlignment="1">
      <alignment horizontal="center"/>
    </xf>
    <xf numFmtId="43" fontId="0" fillId="0" borderId="74" xfId="0" applyNumberFormat="1" applyBorder="1" applyAlignment="1">
      <alignment horizontal="center"/>
    </xf>
    <xf numFmtId="0" fontId="0" fillId="0" borderId="66" xfId="0" applyBorder="1"/>
    <xf numFmtId="182" fontId="0" fillId="0" borderId="66" xfId="1" applyNumberFormat="1" applyFont="1" applyBorder="1" applyAlignment="1"/>
    <xf numFmtId="182" fontId="0" fillId="0" borderId="67" xfId="1" applyNumberFormat="1" applyFont="1" applyBorder="1" applyAlignment="1"/>
    <xf numFmtId="43" fontId="0" fillId="0" borderId="72" xfId="1" applyFont="1" applyBorder="1" applyAlignment="1"/>
    <xf numFmtId="0" fontId="0" fillId="0" borderId="72" xfId="0" applyBorder="1"/>
    <xf numFmtId="0" fontId="0" fillId="0" borderId="74" xfId="0" applyBorder="1"/>
    <xf numFmtId="0" fontId="212" fillId="0" borderId="0" xfId="0" applyFont="1"/>
    <xf numFmtId="0" fontId="211" fillId="0" borderId="71" xfId="0" applyFont="1" applyBorder="1"/>
    <xf numFmtId="1" fontId="227" fillId="28" borderId="0" xfId="0" applyNumberFormat="1" applyFont="1" applyFill="1" applyAlignment="1">
      <alignment horizontal="center"/>
    </xf>
    <xf numFmtId="185" fontId="0" fillId="0" borderId="0" xfId="0" applyNumberFormat="1"/>
    <xf numFmtId="0" fontId="210" fillId="0" borderId="0" xfId="0" applyFont="1"/>
    <xf numFmtId="182" fontId="210" fillId="0" borderId="67" xfId="1" applyNumberFormat="1" applyFont="1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71" xfId="0" applyBorder="1" applyAlignment="1">
      <alignment horizontal="center"/>
    </xf>
    <xf numFmtId="182" fontId="0" fillId="0" borderId="73" xfId="0" applyNumberFormat="1" applyBorder="1" applyAlignment="1">
      <alignment horizontal="center"/>
    </xf>
    <xf numFmtId="0" fontId="0" fillId="0" borderId="62" xfId="0" applyBorder="1" applyAlignment="1">
      <alignment horizontal="center"/>
    </xf>
    <xf numFmtId="182" fontId="0" fillId="0" borderId="53" xfId="0" applyNumberFormat="1" applyBorder="1"/>
    <xf numFmtId="43" fontId="0" fillId="34" borderId="0" xfId="0" applyNumberFormat="1" applyFill="1"/>
    <xf numFmtId="0" fontId="210" fillId="0" borderId="52" xfId="0" applyFont="1" applyBorder="1"/>
    <xf numFmtId="0" fontId="0" fillId="0" borderId="75" xfId="0" applyBorder="1"/>
    <xf numFmtId="0" fontId="0" fillId="34" borderId="54" xfId="0" applyFill="1" applyBorder="1"/>
    <xf numFmtId="182" fontId="0" fillId="34" borderId="56" xfId="1" applyNumberFormat="1" applyFont="1" applyFill="1" applyBorder="1" applyAlignment="1"/>
    <xf numFmtId="0" fontId="0" fillId="34" borderId="51" xfId="0" applyFill="1" applyBorder="1"/>
    <xf numFmtId="182" fontId="0" fillId="34" borderId="58" xfId="1" applyNumberFormat="1" applyFont="1" applyFill="1" applyBorder="1" applyAlignment="1"/>
    <xf numFmtId="0" fontId="209" fillId="0" borderId="0" xfId="0" applyFont="1"/>
    <xf numFmtId="43" fontId="0" fillId="34" borderId="0" xfId="1" applyFont="1" applyFill="1" applyBorder="1" applyAlignment="1"/>
    <xf numFmtId="0" fontId="208" fillId="28" borderId="13" xfId="0" applyFont="1" applyFill="1" applyBorder="1"/>
    <xf numFmtId="0" fontId="207" fillId="40" borderId="0" xfId="0" applyFont="1" applyFill="1"/>
    <xf numFmtId="185" fontId="0" fillId="40" borderId="0" xfId="0" applyNumberFormat="1" applyFill="1"/>
    <xf numFmtId="171" fontId="227" fillId="41" borderId="13" xfId="0" applyNumberFormat="1" applyFont="1" applyFill="1" applyBorder="1"/>
    <xf numFmtId="0" fontId="207" fillId="28" borderId="0" xfId="0" applyFont="1" applyFill="1"/>
    <xf numFmtId="0" fontId="207" fillId="0" borderId="0" xfId="0" applyFont="1"/>
    <xf numFmtId="0" fontId="207" fillId="28" borderId="13" xfId="0" applyFont="1" applyFill="1" applyBorder="1"/>
    <xf numFmtId="2" fontId="262" fillId="30" borderId="13" xfId="0" applyNumberFormat="1" applyFont="1" applyFill="1" applyBorder="1"/>
    <xf numFmtId="0" fontId="206" fillId="28" borderId="13" xfId="0" applyFont="1" applyFill="1" applyBorder="1"/>
    <xf numFmtId="0" fontId="205" fillId="0" borderId="52" xfId="0" applyFont="1" applyBorder="1"/>
    <xf numFmtId="0" fontId="205" fillId="0" borderId="71" xfId="0" applyFont="1" applyBorder="1"/>
    <xf numFmtId="0" fontId="205" fillId="0" borderId="0" xfId="0" applyFont="1" applyAlignment="1">
      <alignment horizontal="right"/>
    </xf>
    <xf numFmtId="0" fontId="0" fillId="34" borderId="59" xfId="0" applyFill="1" applyBorder="1"/>
    <xf numFmtId="182" fontId="0" fillId="34" borderId="60" xfId="1" applyNumberFormat="1" applyFont="1" applyFill="1" applyBorder="1" applyAlignment="1"/>
    <xf numFmtId="0" fontId="0" fillId="0" borderId="68" xfId="0" applyBorder="1"/>
    <xf numFmtId="0" fontId="0" fillId="0" borderId="70" xfId="0" applyBorder="1"/>
    <xf numFmtId="182" fontId="268" fillId="0" borderId="66" xfId="1" applyNumberFormat="1" applyFont="1" applyBorder="1" applyAlignment="1"/>
    <xf numFmtId="0" fontId="204" fillId="28" borderId="13" xfId="0" applyFont="1" applyFill="1" applyBorder="1"/>
    <xf numFmtId="0" fontId="203" fillId="0" borderId="0" xfId="0" applyFont="1"/>
    <xf numFmtId="1" fontId="227" fillId="42" borderId="0" xfId="0" applyNumberFormat="1" applyFont="1" applyFill="1" applyAlignment="1">
      <alignment horizontal="center"/>
    </xf>
    <xf numFmtId="178" fontId="250" fillId="30" borderId="0" xfId="0" applyNumberFormat="1" applyFont="1" applyFill="1" applyAlignment="1">
      <alignment horizontal="center"/>
    </xf>
    <xf numFmtId="1" fontId="261" fillId="28" borderId="0" xfId="0" applyNumberFormat="1" applyFont="1" applyFill="1" applyAlignment="1">
      <alignment horizontal="center"/>
    </xf>
    <xf numFmtId="1" fontId="250" fillId="28" borderId="0" xfId="0" applyNumberFormat="1" applyFont="1" applyFill="1" applyAlignment="1">
      <alignment horizontal="center"/>
    </xf>
    <xf numFmtId="184" fontId="227" fillId="0" borderId="0" xfId="1" applyNumberFormat="1" applyFont="1"/>
    <xf numFmtId="0" fontId="227" fillId="41" borderId="13" xfId="0" applyFont="1" applyFill="1" applyBorder="1"/>
    <xf numFmtId="186" fontId="0" fillId="0" borderId="0" xfId="0" applyNumberFormat="1"/>
    <xf numFmtId="0" fontId="202" fillId="0" borderId="0" xfId="0" applyFont="1"/>
    <xf numFmtId="43" fontId="0" fillId="0" borderId="0" xfId="0" applyNumberFormat="1"/>
    <xf numFmtId="0" fontId="0" fillId="40" borderId="68" xfId="0" applyFill="1" applyBorder="1" applyAlignment="1">
      <alignment horizontal="right"/>
    </xf>
    <xf numFmtId="0" fontId="202" fillId="40" borderId="71" xfId="0" applyFont="1" applyFill="1" applyBorder="1" applyAlignment="1">
      <alignment horizontal="right"/>
    </xf>
    <xf numFmtId="0" fontId="202" fillId="0" borderId="71" xfId="0" applyFont="1" applyBorder="1"/>
    <xf numFmtId="2" fontId="261" fillId="28" borderId="0" xfId="0" applyNumberFormat="1" applyFont="1" applyFill="1"/>
    <xf numFmtId="0" fontId="216" fillId="28" borderId="0" xfId="0" applyFont="1" applyFill="1"/>
    <xf numFmtId="0" fontId="250" fillId="43" borderId="30" xfId="0" applyFont="1" applyFill="1" applyBorder="1" applyAlignment="1">
      <alignment horizontal="center"/>
    </xf>
    <xf numFmtId="0" fontId="252" fillId="44" borderId="30" xfId="0" applyFont="1" applyFill="1" applyBorder="1" applyAlignment="1">
      <alignment horizontal="center"/>
    </xf>
    <xf numFmtId="0" fontId="252" fillId="45" borderId="30" xfId="0" applyFont="1" applyFill="1" applyBorder="1" applyAlignment="1">
      <alignment horizontal="center"/>
    </xf>
    <xf numFmtId="0" fontId="250" fillId="44" borderId="30" xfId="0" applyFont="1" applyFill="1" applyBorder="1" applyAlignment="1">
      <alignment horizontal="center"/>
    </xf>
    <xf numFmtId="0" fontId="262" fillId="44" borderId="30" xfId="0" applyFont="1" applyFill="1" applyBorder="1" applyAlignment="1">
      <alignment horizontal="center"/>
    </xf>
    <xf numFmtId="0" fontId="250" fillId="46" borderId="30" xfId="0" applyFont="1" applyFill="1" applyBorder="1" applyAlignment="1">
      <alignment horizontal="center"/>
    </xf>
    <xf numFmtId="0" fontId="252" fillId="41" borderId="30" xfId="0" applyFont="1" applyFill="1" applyBorder="1" applyAlignment="1">
      <alignment horizontal="center"/>
    </xf>
    <xf numFmtId="0" fontId="252" fillId="46" borderId="30" xfId="0" applyFont="1" applyFill="1" applyBorder="1" applyAlignment="1">
      <alignment horizontal="center"/>
    </xf>
    <xf numFmtId="0" fontId="252" fillId="47" borderId="30" xfId="0" applyFont="1" applyFill="1" applyBorder="1" applyAlignment="1">
      <alignment horizontal="center"/>
    </xf>
    <xf numFmtId="0" fontId="250" fillId="45" borderId="30" xfId="0" applyFont="1" applyFill="1" applyBorder="1" applyAlignment="1">
      <alignment horizontal="center"/>
    </xf>
    <xf numFmtId="0" fontId="201" fillId="28" borderId="0" xfId="0" applyFont="1" applyFill="1"/>
    <xf numFmtId="0" fontId="224" fillId="28" borderId="13" xfId="0" applyFont="1" applyFill="1" applyBorder="1"/>
    <xf numFmtId="14" fontId="0" fillId="0" borderId="13" xfId="0" applyNumberFormat="1" applyBorder="1"/>
    <xf numFmtId="2" fontId="261" fillId="0" borderId="13" xfId="0" applyNumberFormat="1" applyFont="1" applyBorder="1" applyAlignment="1">
      <alignment horizontal="right"/>
    </xf>
    <xf numFmtId="169" fontId="227" fillId="5" borderId="0" xfId="0" applyNumberFormat="1" applyFont="1" applyFill="1"/>
    <xf numFmtId="0" fontId="227" fillId="38" borderId="0" xfId="0" applyFont="1" applyFill="1"/>
    <xf numFmtId="0" fontId="201" fillId="0" borderId="13" xfId="0" applyFont="1" applyBorder="1"/>
    <xf numFmtId="0" fontId="250" fillId="48" borderId="30" xfId="0" applyFont="1" applyFill="1" applyBorder="1" applyAlignment="1">
      <alignment horizontal="center"/>
    </xf>
    <xf numFmtId="0" fontId="200" fillId="0" borderId="13" xfId="0" applyFont="1" applyBorder="1"/>
    <xf numFmtId="0" fontId="200" fillId="28" borderId="0" xfId="0" applyFont="1" applyFill="1"/>
    <xf numFmtId="178" fontId="227" fillId="28" borderId="13" xfId="0" applyNumberFormat="1" applyFont="1" applyFill="1" applyBorder="1" applyAlignment="1">
      <alignment horizontal="center"/>
    </xf>
    <xf numFmtId="2" fontId="261" fillId="28" borderId="0" xfId="0" applyNumberFormat="1" applyFont="1" applyFill="1" applyAlignment="1">
      <alignment horizontal="right"/>
    </xf>
    <xf numFmtId="2" fontId="266" fillId="0" borderId="13" xfId="0" applyNumberFormat="1" applyFont="1" applyBorder="1" applyAlignment="1">
      <alignment horizontal="right"/>
    </xf>
    <xf numFmtId="0" fontId="200" fillId="0" borderId="0" xfId="0" applyFont="1"/>
    <xf numFmtId="0" fontId="262" fillId="48" borderId="30" xfId="0" applyFont="1" applyFill="1" applyBorder="1" applyAlignment="1">
      <alignment horizontal="center"/>
    </xf>
    <xf numFmtId="178" fontId="250" fillId="34" borderId="0" xfId="0" applyNumberFormat="1" applyFont="1" applyFill="1" applyAlignment="1">
      <alignment horizontal="center"/>
    </xf>
    <xf numFmtId="178" fontId="262" fillId="34" borderId="0" xfId="0" applyNumberFormat="1" applyFont="1" applyFill="1" applyAlignment="1">
      <alignment horizontal="center"/>
    </xf>
    <xf numFmtId="0" fontId="266" fillId="0" borderId="13" xfId="0" applyFont="1" applyBorder="1"/>
    <xf numFmtId="2" fontId="266" fillId="0" borderId="0" xfId="0" applyNumberFormat="1" applyFont="1"/>
    <xf numFmtId="2" fontId="249" fillId="0" borderId="0" xfId="0" applyNumberFormat="1" applyFont="1" applyAlignment="1">
      <alignment horizontal="right"/>
    </xf>
    <xf numFmtId="178" fontId="262" fillId="28" borderId="13" xfId="0" applyNumberFormat="1" applyFont="1" applyFill="1" applyBorder="1" applyAlignment="1">
      <alignment horizontal="center"/>
    </xf>
    <xf numFmtId="0" fontId="265" fillId="28" borderId="13" xfId="0" applyFont="1" applyFill="1" applyBorder="1"/>
    <xf numFmtId="43" fontId="0" fillId="28" borderId="13" xfId="1" applyFont="1" applyFill="1" applyBorder="1" applyAlignment="1"/>
    <xf numFmtId="0" fontId="200" fillId="28" borderId="13" xfId="0" applyFont="1" applyFill="1" applyBorder="1"/>
    <xf numFmtId="178" fontId="249" fillId="28" borderId="13" xfId="0" applyNumberFormat="1" applyFont="1" applyFill="1" applyBorder="1" applyAlignment="1">
      <alignment horizontal="center"/>
    </xf>
    <xf numFmtId="0" fontId="227" fillId="34" borderId="13" xfId="0" applyFont="1" applyFill="1" applyBorder="1" applyAlignment="1">
      <alignment horizontal="center"/>
    </xf>
    <xf numFmtId="43" fontId="0" fillId="34" borderId="13" xfId="1" applyFont="1" applyFill="1" applyBorder="1" applyAlignment="1"/>
    <xf numFmtId="185" fontId="0" fillId="28" borderId="0" xfId="0" applyNumberFormat="1" applyFill="1"/>
    <xf numFmtId="0" fontId="0" fillId="34" borderId="0" xfId="0" applyFill="1"/>
    <xf numFmtId="2" fontId="249" fillId="28" borderId="13" xfId="0" applyNumberFormat="1" applyFont="1" applyFill="1" applyBorder="1"/>
    <xf numFmtId="1" fontId="254" fillId="28" borderId="0" xfId="0" applyNumberFormat="1" applyFont="1" applyFill="1" applyAlignment="1">
      <alignment horizontal="center"/>
    </xf>
    <xf numFmtId="0" fontId="200" fillId="40" borderId="0" xfId="0" applyFont="1" applyFill="1"/>
    <xf numFmtId="0" fontId="227" fillId="41" borderId="0" xfId="0" applyFont="1" applyFill="1"/>
    <xf numFmtId="0" fontId="200" fillId="0" borderId="70" xfId="0" applyFont="1" applyBorder="1" applyAlignment="1">
      <alignment horizontal="center"/>
    </xf>
    <xf numFmtId="0" fontId="200" fillId="0" borderId="69" xfId="0" applyFont="1" applyBorder="1" applyAlignment="1">
      <alignment horizontal="center"/>
    </xf>
    <xf numFmtId="182" fontId="0" fillId="28" borderId="70" xfId="1" applyNumberFormat="1" applyFont="1" applyFill="1" applyBorder="1" applyAlignment="1"/>
    <xf numFmtId="0" fontId="202" fillId="28" borderId="71" xfId="0" applyFont="1" applyFill="1" applyBorder="1" applyAlignment="1">
      <alignment horizontal="right"/>
    </xf>
    <xf numFmtId="182" fontId="0" fillId="28" borderId="72" xfId="0" applyNumberFormat="1" applyFill="1" applyBorder="1"/>
    <xf numFmtId="0" fontId="200" fillId="28" borderId="68" xfId="0" applyFont="1" applyFill="1" applyBorder="1" applyAlignment="1">
      <alignment horizontal="left"/>
    </xf>
    <xf numFmtId="0" fontId="200" fillId="0" borderId="0" xfId="0" applyFont="1" applyAlignment="1">
      <alignment horizontal="right"/>
    </xf>
    <xf numFmtId="0" fontId="200" fillId="34" borderId="59" xfId="0" applyFont="1" applyFill="1" applyBorder="1"/>
    <xf numFmtId="182" fontId="0" fillId="0" borderId="71" xfId="1" applyNumberFormat="1" applyFont="1" applyBorder="1" applyAlignment="1">
      <alignment horizontal="center"/>
    </xf>
    <xf numFmtId="182" fontId="0" fillId="0" borderId="13" xfId="0" applyNumberFormat="1" applyBorder="1" applyAlignment="1">
      <alignment horizontal="center"/>
    </xf>
    <xf numFmtId="182" fontId="0" fillId="0" borderId="72" xfId="0" applyNumberFormat="1" applyBorder="1" applyAlignment="1">
      <alignment horizontal="center"/>
    </xf>
    <xf numFmtId="182" fontId="0" fillId="0" borderId="73" xfId="1" applyNumberFormat="1" applyFont="1" applyBorder="1" applyAlignment="1">
      <alignment horizontal="center"/>
    </xf>
    <xf numFmtId="182" fontId="0" fillId="0" borderId="64" xfId="0" applyNumberFormat="1" applyBorder="1" applyAlignment="1">
      <alignment horizontal="center"/>
    </xf>
    <xf numFmtId="182" fontId="0" fillId="0" borderId="74" xfId="0" applyNumberFormat="1" applyBorder="1" applyAlignment="1">
      <alignment horizontal="center"/>
    </xf>
    <xf numFmtId="187" fontId="200" fillId="0" borderId="0" xfId="0" applyNumberFormat="1" applyFont="1" applyAlignment="1">
      <alignment horizontal="center"/>
    </xf>
    <xf numFmtId="0" fontId="200" fillId="0" borderId="65" xfId="0" applyFont="1" applyBorder="1" applyAlignment="1">
      <alignment horizontal="center"/>
    </xf>
    <xf numFmtId="187" fontId="0" fillId="0" borderId="66" xfId="0" applyNumberFormat="1" applyBorder="1" applyAlignment="1">
      <alignment horizontal="center"/>
    </xf>
    <xf numFmtId="187" fontId="0" fillId="0" borderId="67" xfId="0" applyNumberFormat="1" applyBorder="1" applyAlignment="1">
      <alignment horizontal="center"/>
    </xf>
    <xf numFmtId="182" fontId="0" fillId="0" borderId="66" xfId="0" applyNumberFormat="1" applyBorder="1" applyAlignment="1">
      <alignment horizontal="center"/>
    </xf>
    <xf numFmtId="0" fontId="0" fillId="0" borderId="67" xfId="0" applyBorder="1" applyAlignment="1">
      <alignment horizontal="center"/>
    </xf>
    <xf numFmtId="0" fontId="199" fillId="0" borderId="52" xfId="0" applyFont="1" applyBorder="1"/>
    <xf numFmtId="0" fontId="199" fillId="0" borderId="71" xfId="0" applyFont="1" applyBorder="1"/>
    <xf numFmtId="187" fontId="0" fillId="40" borderId="70" xfId="1" applyNumberFormat="1" applyFont="1" applyFill="1" applyBorder="1" applyAlignment="1"/>
    <xf numFmtId="187" fontId="0" fillId="40" borderId="72" xfId="0" applyNumberFormat="1" applyFill="1" applyBorder="1"/>
    <xf numFmtId="169" fontId="227" fillId="34" borderId="19" xfId="0" applyNumberFormat="1" applyFont="1" applyFill="1" applyBorder="1" applyAlignment="1">
      <alignment horizontal="center"/>
    </xf>
    <xf numFmtId="40" fontId="227" fillId="49" borderId="1" xfId="0" applyNumberFormat="1" applyFont="1" applyFill="1" applyBorder="1" applyAlignment="1">
      <alignment horizontal="center"/>
    </xf>
    <xf numFmtId="40" fontId="227" fillId="49" borderId="18" xfId="0" applyNumberFormat="1" applyFont="1" applyFill="1" applyBorder="1" applyAlignment="1">
      <alignment horizontal="center"/>
    </xf>
    <xf numFmtId="40" fontId="249" fillId="49" borderId="30" xfId="0" applyNumberFormat="1" applyFont="1" applyFill="1" applyBorder="1"/>
    <xf numFmtId="40" fontId="249" fillId="49" borderId="13" xfId="0" applyNumberFormat="1" applyFont="1" applyFill="1" applyBorder="1"/>
    <xf numFmtId="40" fontId="227" fillId="50" borderId="13" xfId="0" applyNumberFormat="1" applyFont="1" applyFill="1" applyBorder="1"/>
    <xf numFmtId="0" fontId="0" fillId="49" borderId="0" xfId="0" applyFill="1"/>
    <xf numFmtId="40" fontId="249" fillId="49" borderId="26" xfId="0" applyNumberFormat="1" applyFont="1" applyFill="1" applyBorder="1"/>
    <xf numFmtId="40" fontId="249" fillId="50" borderId="29" xfId="0" applyNumberFormat="1" applyFont="1" applyFill="1" applyBorder="1"/>
    <xf numFmtId="0" fontId="227" fillId="49" borderId="0" xfId="0" applyFont="1" applyFill="1"/>
    <xf numFmtId="182" fontId="227" fillId="0" borderId="0" xfId="1" applyNumberFormat="1" applyFont="1" applyAlignment="1">
      <alignment horizontal="center"/>
    </xf>
    <xf numFmtId="0" fontId="227" fillId="40" borderId="0" xfId="0" applyFont="1" applyFill="1" applyAlignment="1">
      <alignment horizontal="center"/>
    </xf>
    <xf numFmtId="15" fontId="227" fillId="0" borderId="0" xfId="0" applyNumberFormat="1" applyFont="1" applyAlignment="1">
      <alignment horizontal="center"/>
    </xf>
    <xf numFmtId="182" fontId="227" fillId="0" borderId="54" xfId="1" applyNumberFormat="1" applyFont="1" applyBorder="1" applyAlignment="1">
      <alignment horizontal="center"/>
    </xf>
    <xf numFmtId="182" fontId="227" fillId="0" borderId="56" xfId="1" applyNumberFormat="1" applyFont="1" applyBorder="1" applyAlignment="1">
      <alignment horizontal="center"/>
    </xf>
    <xf numFmtId="182" fontId="227" fillId="0" borderId="59" xfId="1" applyNumberFormat="1" applyFont="1" applyBorder="1" applyAlignment="1">
      <alignment horizontal="center"/>
    </xf>
    <xf numFmtId="182" fontId="227" fillId="0" borderId="60" xfId="1" applyNumberFormat="1" applyFont="1" applyBorder="1" applyAlignment="1">
      <alignment horizontal="center"/>
    </xf>
    <xf numFmtId="182" fontId="227" fillId="0" borderId="51" xfId="1" applyNumberFormat="1" applyFont="1" applyBorder="1" applyAlignment="1">
      <alignment horizontal="center"/>
    </xf>
    <xf numFmtId="182" fontId="227" fillId="0" borderId="58" xfId="1" applyNumberFormat="1" applyFont="1" applyBorder="1" applyAlignment="1">
      <alignment horizontal="center"/>
    </xf>
    <xf numFmtId="0" fontId="227" fillId="0" borderId="51" xfId="0" applyFont="1" applyBorder="1" applyAlignment="1">
      <alignment horizontal="center"/>
    </xf>
    <xf numFmtId="0" fontId="227" fillId="0" borderId="58" xfId="0" applyFont="1" applyBorder="1" applyAlignment="1">
      <alignment horizontal="center"/>
    </xf>
    <xf numFmtId="0" fontId="198" fillId="0" borderId="0" xfId="0" applyFont="1"/>
    <xf numFmtId="169" fontId="0" fillId="0" borderId="0" xfId="0" applyNumberFormat="1"/>
    <xf numFmtId="0" fontId="197" fillId="0" borderId="0" xfId="0" applyFont="1"/>
    <xf numFmtId="0" fontId="196" fillId="0" borderId="0" xfId="0" applyFont="1"/>
    <xf numFmtId="0" fontId="195" fillId="0" borderId="0" xfId="0" applyFont="1"/>
    <xf numFmtId="0" fontId="194" fillId="0" borderId="0" xfId="0" applyFont="1"/>
    <xf numFmtId="0" fontId="192" fillId="28" borderId="13" xfId="0" applyFont="1" applyFill="1" applyBorder="1"/>
    <xf numFmtId="0" fontId="271" fillId="0" borderId="0" xfId="0" applyFont="1"/>
    <xf numFmtId="0" fontId="191" fillId="28" borderId="13" xfId="0" applyFont="1" applyFill="1" applyBorder="1"/>
    <xf numFmtId="0" fontId="190" fillId="28" borderId="13" xfId="0" applyFont="1" applyFill="1" applyBorder="1"/>
    <xf numFmtId="178" fontId="250" fillId="51" borderId="0" xfId="0" applyNumberFormat="1" applyFont="1" applyFill="1" applyAlignment="1">
      <alignment horizontal="center"/>
    </xf>
    <xf numFmtId="178" fontId="254" fillId="51" borderId="0" xfId="0" applyNumberFormat="1" applyFont="1" applyFill="1" applyAlignment="1">
      <alignment horizontal="center"/>
    </xf>
    <xf numFmtId="0" fontId="189" fillId="28" borderId="13" xfId="0" applyFont="1" applyFill="1" applyBorder="1"/>
    <xf numFmtId="4" fontId="0" fillId="0" borderId="0" xfId="0" applyNumberFormat="1"/>
    <xf numFmtId="0" fontId="272" fillId="0" borderId="0" xfId="0" applyFont="1"/>
    <xf numFmtId="0" fontId="187" fillId="0" borderId="0" xfId="0" applyFont="1"/>
    <xf numFmtId="0" fontId="227" fillId="34" borderId="0" xfId="0" applyFont="1" applyFill="1"/>
    <xf numFmtId="0" fontId="187" fillId="0" borderId="52" xfId="0" applyFont="1" applyBorder="1"/>
    <xf numFmtId="0" fontId="187" fillId="0" borderId="71" xfId="0" applyFont="1" applyBorder="1"/>
    <xf numFmtId="182" fontId="0" fillId="34" borderId="0" xfId="0" applyNumberFormat="1" applyFill="1"/>
    <xf numFmtId="182" fontId="0" fillId="0" borderId="0" xfId="0" applyNumberFormat="1"/>
    <xf numFmtId="0" fontId="186" fillId="0" borderId="0" xfId="0" applyFont="1" applyAlignment="1">
      <alignment horizontal="right"/>
    </xf>
    <xf numFmtId="0" fontId="185" fillId="0" borderId="0" xfId="0" applyFont="1"/>
    <xf numFmtId="178" fontId="227" fillId="30" borderId="0" xfId="0" applyNumberFormat="1" applyFont="1" applyFill="1" applyAlignment="1">
      <alignment horizontal="center"/>
    </xf>
    <xf numFmtId="0" fontId="185" fillId="0" borderId="71" xfId="0" applyFont="1" applyBorder="1"/>
    <xf numFmtId="182" fontId="0" fillId="0" borderId="0" xfId="1" applyNumberFormat="1" applyFont="1" applyAlignment="1">
      <alignment horizontal="center"/>
    </xf>
    <xf numFmtId="0" fontId="0" fillId="49" borderId="0" xfId="0" applyFill="1" applyAlignment="1">
      <alignment horizontal="center"/>
    </xf>
    <xf numFmtId="0" fontId="184" fillId="0" borderId="0" xfId="0" applyFont="1" applyAlignment="1">
      <alignment horizontal="right"/>
    </xf>
    <xf numFmtId="0" fontId="0" fillId="0" borderId="0" xfId="0" applyAlignment="1">
      <alignment horizontal="right"/>
    </xf>
    <xf numFmtId="187" fontId="200" fillId="52" borderId="50" xfId="0" applyNumberFormat="1" applyFont="1" applyFill="1" applyBorder="1" applyAlignment="1">
      <alignment horizontal="center"/>
    </xf>
    <xf numFmtId="0" fontId="0" fillId="52" borderId="76" xfId="0" applyFill="1" applyBorder="1"/>
    <xf numFmtId="0" fontId="0" fillId="52" borderId="77" xfId="0" applyFill="1" applyBorder="1"/>
    <xf numFmtId="0" fontId="0" fillId="52" borderId="78" xfId="0" applyFill="1" applyBorder="1"/>
    <xf numFmtId="0" fontId="0" fillId="52" borderId="78" xfId="0" applyFill="1" applyBorder="1" applyAlignment="1">
      <alignment horizontal="center"/>
    </xf>
    <xf numFmtId="0" fontId="0" fillId="52" borderId="77" xfId="0" applyFill="1" applyBorder="1" applyAlignment="1">
      <alignment horizontal="center"/>
    </xf>
    <xf numFmtId="0" fontId="0" fillId="52" borderId="71" xfId="0" applyFill="1" applyBorder="1"/>
    <xf numFmtId="0" fontId="0" fillId="52" borderId="66" xfId="0" applyFill="1" applyBorder="1"/>
    <xf numFmtId="0" fontId="0" fillId="52" borderId="13" xfId="0" applyFill="1" applyBorder="1"/>
    <xf numFmtId="182" fontId="0" fillId="52" borderId="13" xfId="1" applyNumberFormat="1" applyFont="1" applyFill="1" applyBorder="1" applyAlignment="1"/>
    <xf numFmtId="182" fontId="0" fillId="52" borderId="72" xfId="1" applyNumberFormat="1" applyFont="1" applyFill="1" applyBorder="1" applyAlignment="1"/>
    <xf numFmtId="182" fontId="0" fillId="52" borderId="66" xfId="1" applyNumberFormat="1" applyFont="1" applyFill="1" applyBorder="1" applyAlignment="1"/>
    <xf numFmtId="0" fontId="0" fillId="52" borderId="73" xfId="0" applyFill="1" applyBorder="1"/>
    <xf numFmtId="0" fontId="0" fillId="52" borderId="64" xfId="0" applyFill="1" applyBorder="1"/>
    <xf numFmtId="182" fontId="0" fillId="52" borderId="74" xfId="1" applyNumberFormat="1" applyFont="1" applyFill="1" applyBorder="1" applyAlignment="1"/>
    <xf numFmtId="182" fontId="0" fillId="52" borderId="67" xfId="1" applyNumberFormat="1" applyFont="1" applyFill="1" applyBorder="1" applyAlignment="1"/>
    <xf numFmtId="182" fontId="0" fillId="52" borderId="64" xfId="0" applyNumberFormat="1" applyFill="1" applyBorder="1"/>
    <xf numFmtId="1" fontId="250" fillId="34" borderId="0" xfId="0" applyNumberFormat="1" applyFont="1" applyFill="1" applyAlignment="1">
      <alignment horizontal="center"/>
    </xf>
    <xf numFmtId="178" fontId="254" fillId="34" borderId="0" xfId="0" applyNumberFormat="1" applyFont="1" applyFill="1" applyAlignment="1">
      <alignment horizontal="center"/>
    </xf>
    <xf numFmtId="0" fontId="183" fillId="0" borderId="0" xfId="0" applyFont="1"/>
    <xf numFmtId="0" fontId="183" fillId="0" borderId="13" xfId="0" applyFont="1" applyBorder="1"/>
    <xf numFmtId="0" fontId="262" fillId="53" borderId="30" xfId="0" applyFont="1" applyFill="1" applyBorder="1" applyAlignment="1">
      <alignment horizontal="center"/>
    </xf>
    <xf numFmtId="0" fontId="250" fillId="53" borderId="30" xfId="0" applyFont="1" applyFill="1" applyBorder="1" applyAlignment="1">
      <alignment horizontal="center"/>
    </xf>
    <xf numFmtId="169" fontId="249" fillId="40" borderId="19" xfId="0" applyNumberFormat="1" applyFont="1" applyFill="1" applyBorder="1" applyAlignment="1">
      <alignment horizontal="center"/>
    </xf>
    <xf numFmtId="178" fontId="0" fillId="0" borderId="0" xfId="0" applyNumberFormat="1" applyAlignment="1">
      <alignment horizontal="center"/>
    </xf>
    <xf numFmtId="178" fontId="261" fillId="0" borderId="13" xfId="0" applyNumberFormat="1" applyFont="1" applyBorder="1" applyAlignment="1">
      <alignment horizontal="center"/>
    </xf>
    <xf numFmtId="0" fontId="182" fillId="28" borderId="13" xfId="0" applyFont="1" applyFill="1" applyBorder="1"/>
    <xf numFmtId="0" fontId="181" fillId="28" borderId="13" xfId="0" applyFont="1" applyFill="1" applyBorder="1"/>
    <xf numFmtId="0" fontId="181" fillId="0" borderId="0" xfId="0" applyFont="1"/>
    <xf numFmtId="0" fontId="265" fillId="34" borderId="0" xfId="0" applyFont="1" applyFill="1"/>
    <xf numFmtId="178" fontId="249" fillId="54" borderId="0" xfId="0" applyNumberFormat="1" applyFont="1" applyFill="1" applyAlignment="1">
      <alignment horizontal="center"/>
    </xf>
    <xf numFmtId="0" fontId="268" fillId="28" borderId="13" xfId="0" applyFont="1" applyFill="1" applyBorder="1"/>
    <xf numFmtId="14" fontId="180" fillId="0" borderId="0" xfId="0" applyNumberFormat="1" applyFont="1"/>
    <xf numFmtId="0" fontId="180" fillId="0" borderId="0" xfId="0" applyFont="1"/>
    <xf numFmtId="0" fontId="180" fillId="28" borderId="13" xfId="0" applyFont="1" applyFill="1" applyBorder="1"/>
    <xf numFmtId="0" fontId="179" fillId="28" borderId="13" xfId="0" applyFont="1" applyFill="1" applyBorder="1"/>
    <xf numFmtId="40" fontId="227" fillId="55" borderId="13" xfId="0" applyNumberFormat="1" applyFont="1" applyFill="1" applyBorder="1"/>
    <xf numFmtId="184" fontId="0" fillId="0" borderId="0" xfId="1" applyNumberFormat="1" applyFont="1" applyAlignment="1"/>
    <xf numFmtId="0" fontId="178" fillId="0" borderId="0" xfId="0" applyFont="1"/>
    <xf numFmtId="0" fontId="177" fillId="0" borderId="71" xfId="0" applyFont="1" applyBorder="1"/>
    <xf numFmtId="169" fontId="261" fillId="28" borderId="19" xfId="0" applyNumberFormat="1" applyFont="1" applyFill="1" applyBorder="1" applyAlignment="1">
      <alignment horizontal="center"/>
    </xf>
    <xf numFmtId="169" fontId="262" fillId="28" borderId="19" xfId="0" applyNumberFormat="1" applyFont="1" applyFill="1" applyBorder="1" applyAlignment="1">
      <alignment horizontal="center"/>
    </xf>
    <xf numFmtId="40" fontId="227" fillId="40" borderId="14" xfId="0" applyNumberFormat="1" applyFont="1" applyFill="1" applyBorder="1" applyAlignment="1">
      <alignment horizontal="center"/>
    </xf>
    <xf numFmtId="40" fontId="240" fillId="2" borderId="79" xfId="0" applyNumberFormat="1" applyFont="1" applyFill="1" applyBorder="1"/>
    <xf numFmtId="40" fontId="240" fillId="2" borderId="79" xfId="0" applyNumberFormat="1" applyFont="1" applyFill="1" applyBorder="1" applyAlignment="1">
      <alignment horizontal="center"/>
    </xf>
    <xf numFmtId="40" fontId="227" fillId="40" borderId="13" xfId="0" applyNumberFormat="1" applyFont="1" applyFill="1" applyBorder="1" applyAlignment="1">
      <alignment horizontal="center"/>
    </xf>
    <xf numFmtId="14" fontId="0" fillId="34" borderId="0" xfId="0" applyNumberFormat="1" applyFill="1"/>
    <xf numFmtId="0" fontId="176" fillId="0" borderId="52" xfId="0" applyFont="1" applyBorder="1"/>
    <xf numFmtId="0" fontId="176" fillId="0" borderId="0" xfId="0" applyFont="1" applyAlignment="1">
      <alignment horizontal="right"/>
    </xf>
    <xf numFmtId="169" fontId="227" fillId="34" borderId="0" xfId="0" applyNumberFormat="1" applyFont="1" applyFill="1" applyAlignment="1">
      <alignment horizontal="center"/>
    </xf>
    <xf numFmtId="0" fontId="268" fillId="34" borderId="0" xfId="0" applyFont="1" applyFill="1" applyAlignment="1">
      <alignment horizontal="left"/>
    </xf>
    <xf numFmtId="0" fontId="268" fillId="34" borderId="0" xfId="0" applyFont="1" applyFill="1"/>
    <xf numFmtId="0" fontId="0" fillId="40" borderId="0" xfId="0" applyFill="1" applyAlignment="1">
      <alignment horizontal="center"/>
    </xf>
    <xf numFmtId="187" fontId="200" fillId="40" borderId="0" xfId="0" applyNumberFormat="1" applyFont="1" applyFill="1" applyAlignment="1">
      <alignment horizontal="center"/>
    </xf>
    <xf numFmtId="0" fontId="268" fillId="30" borderId="13" xfId="0" applyFont="1" applyFill="1" applyBorder="1"/>
    <xf numFmtId="14" fontId="0" fillId="56" borderId="0" xfId="0" applyNumberFormat="1" applyFill="1"/>
    <xf numFmtId="14" fontId="0" fillId="57" borderId="0" xfId="0" applyNumberFormat="1" applyFill="1"/>
    <xf numFmtId="2" fontId="268" fillId="30" borderId="0" xfId="0" applyNumberFormat="1" applyFont="1" applyFill="1"/>
    <xf numFmtId="2" fontId="272" fillId="30" borderId="0" xfId="0" applyNumberFormat="1" applyFont="1" applyFill="1"/>
    <xf numFmtId="43" fontId="268" fillId="0" borderId="0" xfId="1" applyFont="1" applyAlignment="1"/>
    <xf numFmtId="169" fontId="250" fillId="31" borderId="13" xfId="0" applyNumberFormat="1" applyFont="1" applyFill="1" applyBorder="1"/>
    <xf numFmtId="0" fontId="274" fillId="44" borderId="30" xfId="0" applyFont="1" applyFill="1" applyBorder="1" applyAlignment="1">
      <alignment horizontal="center"/>
    </xf>
    <xf numFmtId="40" fontId="250" fillId="41" borderId="13" xfId="0" applyNumberFormat="1" applyFont="1" applyFill="1" applyBorder="1"/>
    <xf numFmtId="188" fontId="0" fillId="0" borderId="0" xfId="1" applyNumberFormat="1" applyFont="1" applyAlignment="1"/>
    <xf numFmtId="0" fontId="268" fillId="30" borderId="0" xfId="0" applyFont="1" applyFill="1"/>
    <xf numFmtId="2" fontId="265" fillId="0" borderId="0" xfId="0" applyNumberFormat="1" applyFont="1"/>
    <xf numFmtId="0" fontId="175" fillId="0" borderId="0" xfId="0" applyFont="1"/>
    <xf numFmtId="15" fontId="227" fillId="34" borderId="0" xfId="0" applyNumberFormat="1" applyFont="1" applyFill="1" applyAlignment="1">
      <alignment horizontal="center"/>
    </xf>
    <xf numFmtId="169" fontId="261" fillId="34" borderId="19" xfId="0" applyNumberFormat="1" applyFont="1" applyFill="1" applyBorder="1" applyAlignment="1">
      <alignment horizontal="center"/>
    </xf>
    <xf numFmtId="182" fontId="227" fillId="34" borderId="59" xfId="1" applyNumberFormat="1" applyFont="1" applyFill="1" applyBorder="1" applyAlignment="1">
      <alignment horizontal="center"/>
    </xf>
    <xf numFmtId="169" fontId="0" fillId="34" borderId="0" xfId="0" applyNumberFormat="1" applyFill="1"/>
    <xf numFmtId="169" fontId="227" fillId="52" borderId="19" xfId="0" applyNumberFormat="1" applyFont="1" applyFill="1" applyBorder="1" applyAlignment="1">
      <alignment horizontal="center"/>
    </xf>
    <xf numFmtId="0" fontId="227" fillId="52" borderId="27" xfId="0" applyFont="1" applyFill="1" applyBorder="1"/>
    <xf numFmtId="14" fontId="174" fillId="0" borderId="0" xfId="0" applyNumberFormat="1" applyFont="1"/>
    <xf numFmtId="0" fontId="173" fillId="0" borderId="0" xfId="0" applyFont="1"/>
    <xf numFmtId="178" fontId="227" fillId="34" borderId="0" xfId="0" applyNumberFormat="1" applyFont="1" applyFill="1"/>
    <xf numFmtId="169" fontId="227" fillId="34" borderId="0" xfId="0" applyNumberFormat="1" applyFont="1" applyFill="1"/>
    <xf numFmtId="16" fontId="0" fillId="34" borderId="0" xfId="0" applyNumberFormat="1" applyFill="1"/>
    <xf numFmtId="0" fontId="172" fillId="28" borderId="13" xfId="0" applyFont="1" applyFill="1" applyBorder="1"/>
    <xf numFmtId="0" fontId="171" fillId="28" borderId="13" xfId="0" applyFont="1" applyFill="1" applyBorder="1"/>
    <xf numFmtId="0" fontId="170" fillId="28" borderId="13" xfId="0" applyFont="1" applyFill="1" applyBorder="1"/>
    <xf numFmtId="14" fontId="0" fillId="37" borderId="0" xfId="0" applyNumberFormat="1" applyFill="1"/>
    <xf numFmtId="14" fontId="268" fillId="0" borderId="0" xfId="0" applyNumberFormat="1" applyFont="1"/>
    <xf numFmtId="0" fontId="169" fillId="0" borderId="0" xfId="0" applyFont="1"/>
    <xf numFmtId="0" fontId="0" fillId="0" borderId="80" xfId="0" applyBorder="1"/>
    <xf numFmtId="0" fontId="168" fillId="0" borderId="0" xfId="0" applyFont="1"/>
    <xf numFmtId="0" fontId="168" fillId="0" borderId="80" xfId="0" applyFont="1" applyBorder="1"/>
    <xf numFmtId="14" fontId="167" fillId="0" borderId="0" xfId="0" applyNumberFormat="1" applyFont="1"/>
    <xf numFmtId="0" fontId="274" fillId="32" borderId="30" xfId="0" applyFont="1" applyFill="1" applyBorder="1" applyAlignment="1">
      <alignment horizontal="center"/>
    </xf>
    <xf numFmtId="0" fontId="274" fillId="39" borderId="30" xfId="0" applyFont="1" applyFill="1" applyBorder="1" applyAlignment="1">
      <alignment horizontal="center"/>
    </xf>
    <xf numFmtId="0" fontId="274" fillId="53" borderId="30" xfId="0" applyFont="1" applyFill="1" applyBorder="1" applyAlignment="1">
      <alignment horizontal="center"/>
    </xf>
    <xf numFmtId="184" fontId="0" fillId="0" borderId="0" xfId="1" applyNumberFormat="1" applyFont="1" applyBorder="1" applyAlignment="1"/>
    <xf numFmtId="2" fontId="268" fillId="30" borderId="13" xfId="0" applyNumberFormat="1" applyFont="1" applyFill="1" applyBorder="1"/>
    <xf numFmtId="0" fontId="226" fillId="0" borderId="13" xfId="0" applyFont="1" applyBorder="1"/>
    <xf numFmtId="178" fontId="227" fillId="28" borderId="0" xfId="0" applyNumberFormat="1" applyFont="1" applyFill="1"/>
    <xf numFmtId="169" fontId="249" fillId="28" borderId="19" xfId="0" applyNumberFormat="1" applyFont="1" applyFill="1" applyBorder="1" applyAlignment="1">
      <alignment horizontal="center"/>
    </xf>
    <xf numFmtId="0" fontId="165" fillId="28" borderId="13" xfId="0" applyFont="1" applyFill="1" applyBorder="1"/>
    <xf numFmtId="169" fontId="227" fillId="58" borderId="20" xfId="0" applyNumberFormat="1" applyFont="1" applyFill="1" applyBorder="1" applyAlignment="1">
      <alignment horizontal="center"/>
    </xf>
    <xf numFmtId="40" fontId="227" fillId="59" borderId="13" xfId="0" applyNumberFormat="1" applyFont="1" applyFill="1" applyBorder="1"/>
    <xf numFmtId="0" fontId="164" fillId="0" borderId="0" xfId="0" applyFont="1"/>
    <xf numFmtId="1" fontId="250" fillId="30" borderId="0" xfId="0" applyNumberFormat="1" applyFont="1" applyFill="1" applyAlignment="1">
      <alignment horizontal="center"/>
    </xf>
    <xf numFmtId="2" fontId="262" fillId="31" borderId="13" xfId="0" applyNumberFormat="1" applyFont="1" applyFill="1" applyBorder="1"/>
    <xf numFmtId="43" fontId="163" fillId="0" borderId="0" xfId="0" applyNumberFormat="1" applyFont="1"/>
    <xf numFmtId="14" fontId="163" fillId="0" borderId="0" xfId="0" applyNumberFormat="1" applyFont="1"/>
    <xf numFmtId="178" fontId="250" fillId="30" borderId="13" xfId="0" applyNumberFormat="1" applyFont="1" applyFill="1" applyBorder="1" applyAlignment="1">
      <alignment horizontal="center"/>
    </xf>
    <xf numFmtId="186" fontId="0" fillId="0" borderId="52" xfId="0" applyNumberFormat="1" applyBorder="1"/>
    <xf numFmtId="40" fontId="0" fillId="0" borderId="75" xfId="0" applyNumberFormat="1" applyBorder="1"/>
    <xf numFmtId="0" fontId="232" fillId="2" borderId="79" xfId="0" applyFont="1" applyFill="1" applyBorder="1"/>
    <xf numFmtId="0" fontId="232" fillId="2" borderId="79" xfId="0" applyFont="1" applyFill="1" applyBorder="1" applyAlignment="1">
      <alignment horizontal="center"/>
    </xf>
    <xf numFmtId="0" fontId="0" fillId="0" borderId="52" xfId="0" applyBorder="1"/>
    <xf numFmtId="169" fontId="227" fillId="0" borderId="75" xfId="0" applyNumberFormat="1" applyFont="1" applyBorder="1" applyAlignment="1">
      <alignment horizontal="center"/>
    </xf>
    <xf numFmtId="0" fontId="2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89" fontId="227" fillId="34" borderId="0" xfId="0" applyNumberFormat="1" applyFont="1" applyFill="1"/>
    <xf numFmtId="182" fontId="227" fillId="51" borderId="0" xfId="1" applyNumberFormat="1" applyFont="1" applyFill="1" applyAlignment="1">
      <alignment horizontal="center" vertical="center"/>
    </xf>
    <xf numFmtId="182" fontId="227" fillId="60" borderId="0" xfId="1" applyNumberFormat="1" applyFont="1" applyFill="1"/>
    <xf numFmtId="182" fontId="227" fillId="60" borderId="0" xfId="1" applyNumberFormat="1" applyFont="1" applyFill="1" applyAlignment="1">
      <alignment horizontal="center" vertical="center"/>
    </xf>
    <xf numFmtId="188" fontId="227" fillId="60" borderId="0" xfId="1" applyNumberFormat="1" applyFont="1" applyFill="1" applyAlignment="1">
      <alignment horizontal="center" vertical="center"/>
    </xf>
    <xf numFmtId="0" fontId="227" fillId="0" borderId="0" xfId="0" applyFont="1" applyAlignment="1">
      <alignment horizontal="left"/>
    </xf>
    <xf numFmtId="178" fontId="261" fillId="0" borderId="0" xfId="0" applyNumberFormat="1" applyFont="1" applyAlignment="1">
      <alignment horizontal="left"/>
    </xf>
    <xf numFmtId="14" fontId="0" fillId="54" borderId="0" xfId="0" applyNumberFormat="1" applyFill="1"/>
    <xf numFmtId="0" fontId="272" fillId="30" borderId="13" xfId="0" applyFont="1" applyFill="1" applyBorder="1"/>
    <xf numFmtId="178" fontId="249" fillId="34" borderId="0" xfId="0" applyNumberFormat="1" applyFont="1" applyFill="1" applyAlignment="1">
      <alignment horizontal="center"/>
    </xf>
    <xf numFmtId="0" fontId="160" fillId="0" borderId="0" xfId="0" applyFont="1"/>
    <xf numFmtId="0" fontId="159" fillId="0" borderId="0" xfId="0" applyFont="1"/>
    <xf numFmtId="14" fontId="0" fillId="51" borderId="0" xfId="0" applyNumberFormat="1" applyFill="1"/>
    <xf numFmtId="0" fontId="0" fillId="51" borderId="0" xfId="0" applyFill="1"/>
    <xf numFmtId="178" fontId="227" fillId="51" borderId="0" xfId="0" applyNumberFormat="1" applyFont="1" applyFill="1" applyAlignment="1">
      <alignment horizontal="center"/>
    </xf>
    <xf numFmtId="14" fontId="0" fillId="30" borderId="0" xfId="0" applyNumberFormat="1" applyFill="1"/>
    <xf numFmtId="0" fontId="158" fillId="0" borderId="52" xfId="0" applyFont="1" applyBorder="1"/>
    <xf numFmtId="14" fontId="158" fillId="0" borderId="13" xfId="30" applyNumberFormat="1" applyAlignment="1">
      <alignment horizontal="left"/>
    </xf>
    <xf numFmtId="0" fontId="158" fillId="0" borderId="0" xfId="0" applyFont="1" applyAlignment="1">
      <alignment horizontal="right"/>
    </xf>
    <xf numFmtId="0" fontId="158" fillId="60" borderId="54" xfId="0" applyFont="1" applyFill="1" applyBorder="1" applyAlignment="1">
      <alignment horizontal="right"/>
    </xf>
    <xf numFmtId="0" fontId="0" fillId="60" borderId="56" xfId="0" applyFill="1" applyBorder="1"/>
    <xf numFmtId="0" fontId="158" fillId="60" borderId="59" xfId="0" applyFont="1" applyFill="1" applyBorder="1" applyAlignment="1">
      <alignment horizontal="right"/>
    </xf>
    <xf numFmtId="0" fontId="0" fillId="60" borderId="60" xfId="0" applyFill="1" applyBorder="1"/>
    <xf numFmtId="0" fontId="0" fillId="0" borderId="86" xfId="0" applyBorder="1"/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200" fillId="0" borderId="55" xfId="0" applyFont="1" applyBorder="1" applyAlignment="1">
      <alignment horizontal="center"/>
    </xf>
    <xf numFmtId="0" fontId="200" fillId="0" borderId="86" xfId="0" applyFont="1" applyBorder="1" applyAlignment="1">
      <alignment horizontal="center"/>
    </xf>
    <xf numFmtId="0" fontId="200" fillId="0" borderId="85" xfId="0" applyFont="1" applyBorder="1" applyAlignment="1">
      <alignment horizontal="center"/>
    </xf>
    <xf numFmtId="0" fontId="200" fillId="0" borderId="88" xfId="0" applyFont="1" applyBorder="1" applyAlignment="1">
      <alignment horizontal="center"/>
    </xf>
    <xf numFmtId="0" fontId="0" fillId="0" borderId="89" xfId="0" applyBorder="1" applyAlignment="1">
      <alignment horizontal="center"/>
    </xf>
    <xf numFmtId="0" fontId="177" fillId="0" borderId="59" xfId="0" applyFont="1" applyBorder="1"/>
    <xf numFmtId="187" fontId="0" fillId="0" borderId="89" xfId="0" applyNumberFormat="1" applyBorder="1" applyAlignment="1">
      <alignment horizontal="center"/>
    </xf>
    <xf numFmtId="0" fontId="205" fillId="0" borderId="59" xfId="0" applyFont="1" applyBorder="1"/>
    <xf numFmtId="0" fontId="187" fillId="0" borderId="59" xfId="0" applyFont="1" applyBorder="1"/>
    <xf numFmtId="0" fontId="202" fillId="0" borderId="59" xfId="0" applyFont="1" applyBorder="1"/>
    <xf numFmtId="0" fontId="0" fillId="0" borderId="83" xfId="0" applyBorder="1"/>
    <xf numFmtId="182" fontId="0" fillId="0" borderId="82" xfId="1" applyNumberFormat="1" applyFont="1" applyBorder="1" applyAlignment="1"/>
    <xf numFmtId="182" fontId="0" fillId="0" borderId="84" xfId="1" applyNumberFormat="1" applyFont="1" applyBorder="1" applyAlignment="1">
      <alignment horizontal="center"/>
    </xf>
    <xf numFmtId="182" fontId="0" fillId="0" borderId="57" xfId="0" applyNumberFormat="1" applyBorder="1" applyAlignment="1">
      <alignment horizontal="center"/>
    </xf>
    <xf numFmtId="182" fontId="0" fillId="0" borderId="83" xfId="0" applyNumberFormat="1" applyBorder="1" applyAlignment="1">
      <alignment horizontal="center"/>
    </xf>
    <xf numFmtId="0" fontId="0" fillId="0" borderId="82" xfId="0" applyBorder="1" applyAlignment="1">
      <alignment horizontal="center"/>
    </xf>
    <xf numFmtId="187" fontId="0" fillId="0" borderId="90" xfId="0" applyNumberFormat="1" applyBorder="1" applyAlignment="1">
      <alignment horizontal="center"/>
    </xf>
    <xf numFmtId="0" fontId="268" fillId="60" borderId="51" xfId="0" applyFont="1" applyFill="1" applyBorder="1" applyAlignment="1">
      <alignment horizontal="right"/>
    </xf>
    <xf numFmtId="0" fontId="268" fillId="60" borderId="58" xfId="0" applyFont="1" applyFill="1" applyBorder="1"/>
    <xf numFmtId="0" fontId="157" fillId="60" borderId="54" xfId="0" applyFont="1" applyFill="1" applyBorder="1" applyAlignment="1">
      <alignment horizontal="right"/>
    </xf>
    <xf numFmtId="0" fontId="157" fillId="60" borderId="59" xfId="0" applyFont="1" applyFill="1" applyBorder="1" applyAlignment="1">
      <alignment horizontal="right"/>
    </xf>
    <xf numFmtId="182" fontId="0" fillId="60" borderId="60" xfId="1" applyNumberFormat="1" applyFont="1" applyFill="1" applyBorder="1" applyAlignment="1"/>
    <xf numFmtId="182" fontId="268" fillId="60" borderId="58" xfId="1" applyNumberFormat="1" applyFont="1" applyFill="1" applyBorder="1" applyAlignment="1"/>
    <xf numFmtId="182" fontId="0" fillId="60" borderId="56" xfId="1" applyNumberFormat="1" applyFont="1" applyFill="1" applyBorder="1" applyAlignment="1"/>
    <xf numFmtId="182" fontId="200" fillId="52" borderId="50" xfId="1" applyNumberFormat="1" applyFont="1" applyFill="1" applyBorder="1" applyAlignment="1">
      <alignment horizontal="center"/>
    </xf>
    <xf numFmtId="187" fontId="200" fillId="0" borderId="0" xfId="1" applyNumberFormat="1" applyFont="1" applyAlignment="1">
      <alignment horizontal="right"/>
    </xf>
    <xf numFmtId="10" fontId="227" fillId="60" borderId="13" xfId="32" applyNumberFormat="1" applyFont="1" applyFill="1" applyBorder="1" applyAlignment="1">
      <alignment horizontal="right" vertical="center"/>
    </xf>
    <xf numFmtId="14" fontId="0" fillId="61" borderId="0" xfId="0" applyNumberFormat="1" applyFill="1"/>
    <xf numFmtId="178" fontId="262" fillId="54" borderId="0" xfId="0" applyNumberFormat="1" applyFont="1" applyFill="1" applyAlignment="1">
      <alignment horizontal="center"/>
    </xf>
    <xf numFmtId="178" fontId="227" fillId="62" borderId="13" xfId="0" applyNumberFormat="1" applyFont="1" applyFill="1" applyBorder="1"/>
    <xf numFmtId="178" fontId="227" fillId="63" borderId="13" xfId="0" applyNumberFormat="1" applyFont="1" applyFill="1" applyBorder="1"/>
    <xf numFmtId="0" fontId="262" fillId="9" borderId="30" xfId="0" applyFont="1" applyFill="1" applyBorder="1" applyAlignment="1">
      <alignment horizontal="center"/>
    </xf>
    <xf numFmtId="40" fontId="249" fillId="41" borderId="13" xfId="0" applyNumberFormat="1" applyFont="1" applyFill="1" applyBorder="1"/>
    <xf numFmtId="169" fontId="227" fillId="6" borderId="13" xfId="0" applyNumberFormat="1" applyFont="1" applyFill="1" applyBorder="1" applyAlignment="1">
      <alignment horizontal="center"/>
    </xf>
    <xf numFmtId="2" fontId="0" fillId="30" borderId="0" xfId="0" applyNumberFormat="1" applyFill="1"/>
    <xf numFmtId="43" fontId="0" fillId="0" borderId="0" xfId="0" applyNumberFormat="1" applyAlignment="1">
      <alignment horizontal="center"/>
    </xf>
    <xf numFmtId="178" fontId="227" fillId="51" borderId="13" xfId="0" applyNumberFormat="1" applyFont="1" applyFill="1" applyBorder="1" applyAlignment="1">
      <alignment horizontal="center"/>
    </xf>
    <xf numFmtId="0" fontId="266" fillId="28" borderId="13" xfId="0" applyFont="1" applyFill="1" applyBorder="1"/>
    <xf numFmtId="178" fontId="227" fillId="34" borderId="13" xfId="0" applyNumberFormat="1" applyFont="1" applyFill="1" applyBorder="1" applyAlignment="1">
      <alignment horizontal="center"/>
    </xf>
    <xf numFmtId="2" fontId="0" fillId="34" borderId="0" xfId="0" applyNumberFormat="1" applyFill="1"/>
    <xf numFmtId="0" fontId="262" fillId="64" borderId="30" xfId="0" applyFont="1" applyFill="1" applyBorder="1" applyAlignment="1">
      <alignment horizontal="center"/>
    </xf>
    <xf numFmtId="2" fontId="249" fillId="5" borderId="13" xfId="0" applyNumberFormat="1" applyFont="1" applyFill="1" applyBorder="1"/>
    <xf numFmtId="43" fontId="227" fillId="0" borderId="16" xfId="1" applyFont="1" applyBorder="1" applyAlignment="1">
      <alignment horizontal="center"/>
    </xf>
    <xf numFmtId="0" fontId="276" fillId="32" borderId="30" xfId="0" applyFont="1" applyFill="1" applyBorder="1" applyAlignment="1">
      <alignment horizontal="center"/>
    </xf>
    <xf numFmtId="182" fontId="0" fillId="0" borderId="13" xfId="1" applyNumberFormat="1" applyFont="1" applyBorder="1" applyAlignment="1"/>
    <xf numFmtId="182" fontId="0" fillId="0" borderId="57" xfId="1" applyNumberFormat="1" applyFont="1" applyBorder="1" applyAlignment="1"/>
    <xf numFmtId="182" fontId="0" fillId="0" borderId="58" xfId="1" applyNumberFormat="1" applyFont="1" applyBorder="1" applyAlignment="1"/>
    <xf numFmtId="182" fontId="265" fillId="0" borderId="60" xfId="1" applyNumberFormat="1" applyFont="1" applyBorder="1" applyAlignment="1"/>
    <xf numFmtId="0" fontId="0" fillId="34" borderId="81" xfId="0" applyFill="1" applyBorder="1"/>
    <xf numFmtId="0" fontId="0" fillId="34" borderId="75" xfId="0" applyFill="1" applyBorder="1"/>
    <xf numFmtId="0" fontId="0" fillId="34" borderId="63" xfId="0" applyFill="1" applyBorder="1" applyAlignment="1">
      <alignment horizontal="right"/>
    </xf>
    <xf numFmtId="0" fontId="0" fillId="34" borderId="53" xfId="0" applyFill="1" applyBorder="1"/>
    <xf numFmtId="0" fontId="155" fillId="0" borderId="0" xfId="0" applyFont="1"/>
    <xf numFmtId="43" fontId="154" fillId="0" borderId="0" xfId="1" applyFont="1" applyAlignment="1"/>
    <xf numFmtId="0" fontId="153" fillId="0" borderId="80" xfId="0" applyFont="1" applyBorder="1"/>
    <xf numFmtId="1" fontId="227" fillId="0" borderId="0" xfId="0" applyNumberFormat="1" applyFont="1" applyAlignment="1">
      <alignment horizontal="center"/>
    </xf>
    <xf numFmtId="10" fontId="0" fillId="0" borderId="13" xfId="32" applyNumberFormat="1" applyFont="1" applyBorder="1" applyAlignment="1"/>
    <xf numFmtId="10" fontId="0" fillId="0" borderId="60" xfId="32" applyNumberFormat="1" applyFont="1" applyBorder="1" applyAlignment="1"/>
    <xf numFmtId="0" fontId="268" fillId="0" borderId="0" xfId="0" applyFont="1" applyAlignment="1">
      <alignment horizontal="center"/>
    </xf>
    <xf numFmtId="40" fontId="232" fillId="2" borderId="12" xfId="0" applyNumberFormat="1" applyFont="1" applyFill="1" applyBorder="1"/>
    <xf numFmtId="0" fontId="250" fillId="32" borderId="30" xfId="0" applyFont="1" applyFill="1" applyBorder="1" applyAlignment="1">
      <alignment horizontal="center"/>
    </xf>
    <xf numFmtId="0" fontId="151" fillId="0" borderId="0" xfId="0" applyFont="1"/>
    <xf numFmtId="0" fontId="277" fillId="0" borderId="0" xfId="0" applyFont="1"/>
    <xf numFmtId="2" fontId="239" fillId="0" borderId="0" xfId="0" applyNumberFormat="1" applyFont="1" applyAlignment="1">
      <alignment horizontal="center"/>
    </xf>
    <xf numFmtId="0" fontId="278" fillId="0" borderId="0" xfId="0" applyFont="1" applyAlignment="1">
      <alignment horizontal="center"/>
    </xf>
    <xf numFmtId="0" fontId="256" fillId="0" borderId="0" xfId="0" applyFont="1"/>
    <xf numFmtId="0" fontId="279" fillId="0" borderId="14" xfId="0" applyFont="1" applyBorder="1"/>
    <xf numFmtId="0" fontId="256" fillId="0" borderId="14" xfId="0" applyFont="1" applyBorder="1"/>
    <xf numFmtId="0" fontId="0" fillId="34" borderId="80" xfId="0" applyFill="1" applyBorder="1"/>
    <xf numFmtId="0" fontId="0" fillId="34" borderId="0" xfId="0" applyFill="1" applyAlignment="1">
      <alignment horizontal="center" vertical="center"/>
    </xf>
    <xf numFmtId="0" fontId="151" fillId="34" borderId="0" xfId="0" applyFont="1" applyFill="1"/>
    <xf numFmtId="169" fontId="227" fillId="0" borderId="17" xfId="0" applyNumberFormat="1" applyFont="1" applyBorder="1" applyAlignment="1">
      <alignment horizontal="center"/>
    </xf>
    <xf numFmtId="169" fontId="227" fillId="0" borderId="20" xfId="0" applyNumberFormat="1" applyFont="1" applyBorder="1" applyAlignment="1">
      <alignment horizontal="center"/>
    </xf>
    <xf numFmtId="40" fontId="227" fillId="0" borderId="12" xfId="0" applyNumberFormat="1" applyFont="1" applyBorder="1" applyAlignment="1">
      <alignment horizontal="center"/>
    </xf>
    <xf numFmtId="0" fontId="278" fillId="0" borderId="0" xfId="0" applyFont="1"/>
    <xf numFmtId="168" fontId="278" fillId="0" borderId="14" xfId="0" applyNumberFormat="1" applyFont="1" applyBorder="1"/>
    <xf numFmtId="43" fontId="150" fillId="0" borderId="0" xfId="1" applyFont="1" applyAlignment="1"/>
    <xf numFmtId="43" fontId="0" fillId="28" borderId="0" xfId="1" applyFont="1" applyFill="1" applyAlignment="1"/>
    <xf numFmtId="0" fontId="268" fillId="28" borderId="0" xfId="0" applyFont="1" applyFill="1" applyAlignment="1">
      <alignment horizontal="center"/>
    </xf>
    <xf numFmtId="0" fontId="149" fillId="0" borderId="0" xfId="0" applyFont="1"/>
    <xf numFmtId="0" fontId="148" fillId="0" borderId="0" xfId="0" applyFont="1"/>
    <xf numFmtId="0" fontId="147" fillId="0" borderId="0" xfId="0" applyFont="1"/>
    <xf numFmtId="0" fontId="0" fillId="0" borderId="0" xfId="0" applyAlignment="1">
      <alignment horizontal="left"/>
    </xf>
    <xf numFmtId="178" fontId="0" fillId="0" borderId="0" xfId="0" applyNumberFormat="1" applyAlignment="1">
      <alignment horizontal="center" vertical="center"/>
    </xf>
    <xf numFmtId="178" fontId="0" fillId="0" borderId="0" xfId="1" applyNumberFormat="1" applyFont="1" applyAlignment="1">
      <alignment horizontal="center" vertical="center"/>
    </xf>
    <xf numFmtId="43" fontId="227" fillId="0" borderId="0" xfId="1" applyFont="1" applyAlignment="1">
      <alignment horizontal="center"/>
    </xf>
    <xf numFmtId="0" fontId="146" fillId="0" borderId="0" xfId="0" applyFont="1"/>
    <xf numFmtId="178" fontId="265" fillId="0" borderId="0" xfId="0" applyNumberFormat="1" applyFont="1" applyAlignment="1">
      <alignment horizontal="center"/>
    </xf>
    <xf numFmtId="0" fontId="272" fillId="0" borderId="0" xfId="0" applyFont="1" applyAlignment="1">
      <alignment horizontal="center"/>
    </xf>
    <xf numFmtId="0" fontId="268" fillId="28" borderId="0" xfId="0" applyFont="1" applyFill="1"/>
    <xf numFmtId="0" fontId="265" fillId="34" borderId="13" xfId="0" applyFont="1" applyFill="1" applyBorder="1"/>
    <xf numFmtId="0" fontId="262" fillId="39" borderId="30" xfId="0" applyFont="1" applyFill="1" applyBorder="1" applyAlignment="1">
      <alignment horizontal="center"/>
    </xf>
    <xf numFmtId="2" fontId="261" fillId="0" borderId="16" xfId="0" applyNumberFormat="1" applyFont="1" applyBorder="1" applyAlignment="1">
      <alignment horizontal="center"/>
    </xf>
    <xf numFmtId="178" fontId="227" fillId="0" borderId="16" xfId="0" applyNumberFormat="1" applyFont="1" applyBorder="1" applyAlignment="1">
      <alignment horizontal="center"/>
    </xf>
    <xf numFmtId="2" fontId="0" fillId="54" borderId="0" xfId="0" applyNumberFormat="1" applyFill="1"/>
    <xf numFmtId="0" fontId="281" fillId="0" borderId="0" xfId="0" applyFont="1"/>
    <xf numFmtId="0" fontId="144" fillId="0" borderId="0" xfId="0" applyFont="1"/>
    <xf numFmtId="9" fontId="0" fillId="0" borderId="0" xfId="32" applyFont="1"/>
    <xf numFmtId="10" fontId="0" fillId="0" borderId="0" xfId="32" applyNumberFormat="1" applyFont="1"/>
    <xf numFmtId="0" fontId="143" fillId="0" borderId="0" xfId="0" applyFont="1"/>
    <xf numFmtId="40" fontId="261" fillId="40" borderId="18" xfId="0" applyNumberFormat="1" applyFont="1" applyFill="1" applyBorder="1" applyAlignment="1">
      <alignment horizontal="center"/>
    </xf>
    <xf numFmtId="0" fontId="142" fillId="0" borderId="0" xfId="0" applyFont="1"/>
    <xf numFmtId="43" fontId="0" fillId="0" borderId="0" xfId="1" applyFont="1" applyFill="1" applyAlignment="1"/>
    <xf numFmtId="43" fontId="0" fillId="0" borderId="0" xfId="1" applyFont="1"/>
    <xf numFmtId="43" fontId="0" fillId="0" borderId="50" xfId="0" applyNumberFormat="1" applyBorder="1"/>
    <xf numFmtId="0" fontId="0" fillId="34" borderId="0" xfId="0" applyFill="1" applyAlignment="1">
      <alignment horizontal="center"/>
    </xf>
    <xf numFmtId="178" fontId="0" fillId="34" borderId="0" xfId="0" applyNumberFormat="1" applyFill="1"/>
    <xf numFmtId="40" fontId="227" fillId="0" borderId="50" xfId="0" applyNumberFormat="1" applyFont="1" applyBorder="1" applyAlignment="1">
      <alignment horizontal="center"/>
    </xf>
    <xf numFmtId="0" fontId="141" fillId="0" borderId="0" xfId="0" applyFont="1"/>
    <xf numFmtId="0" fontId="281" fillId="0" borderId="52" xfId="0" applyFont="1" applyBorder="1"/>
    <xf numFmtId="10" fontId="0" fillId="0" borderId="81" xfId="32" applyNumberFormat="1" applyFont="1" applyBorder="1"/>
    <xf numFmtId="178" fontId="0" fillId="0" borderId="81" xfId="0" applyNumberFormat="1" applyBorder="1"/>
    <xf numFmtId="178" fontId="0" fillId="34" borderId="81" xfId="0" applyNumberFormat="1" applyFill="1" applyBorder="1"/>
    <xf numFmtId="2" fontId="0" fillId="0" borderId="81" xfId="0" applyNumberFormat="1" applyBorder="1"/>
    <xf numFmtId="43" fontId="0" fillId="0" borderId="81" xfId="1" applyFont="1" applyBorder="1"/>
    <xf numFmtId="43" fontId="0" fillId="0" borderId="75" xfId="1" applyFont="1" applyBorder="1" applyAlignment="1"/>
    <xf numFmtId="0" fontId="143" fillId="0" borderId="54" xfId="0" applyFont="1" applyBorder="1"/>
    <xf numFmtId="9" fontId="0" fillId="0" borderId="55" xfId="32" applyFont="1" applyBorder="1"/>
    <xf numFmtId="178" fontId="0" fillId="0" borderId="55" xfId="0" applyNumberFormat="1" applyBorder="1"/>
    <xf numFmtId="178" fontId="0" fillId="34" borderId="55" xfId="0" applyNumberFormat="1" applyFill="1" applyBorder="1"/>
    <xf numFmtId="2" fontId="0" fillId="0" borderId="55" xfId="0" applyNumberFormat="1" applyBorder="1"/>
    <xf numFmtId="43" fontId="0" fillId="0" borderId="55" xfId="1" applyFont="1" applyBorder="1"/>
    <xf numFmtId="43" fontId="0" fillId="0" borderId="56" xfId="1" applyFont="1" applyBorder="1" applyAlignment="1"/>
    <xf numFmtId="0" fontId="144" fillId="0" borderId="59" xfId="0" applyFont="1" applyBorder="1"/>
    <xf numFmtId="10" fontId="0" fillId="0" borderId="13" xfId="32" applyNumberFormat="1" applyFont="1" applyBorder="1"/>
    <xf numFmtId="178" fontId="0" fillId="0" borderId="13" xfId="0" applyNumberFormat="1" applyBorder="1"/>
    <xf numFmtId="178" fontId="0" fillId="34" borderId="13" xfId="0" applyNumberFormat="1" applyFill="1" applyBorder="1"/>
    <xf numFmtId="2" fontId="0" fillId="0" borderId="13" xfId="0" applyNumberFormat="1" applyBorder="1"/>
    <xf numFmtId="43" fontId="0" fillId="0" borderId="13" xfId="1" applyFont="1" applyBorder="1"/>
    <xf numFmtId="43" fontId="0" fillId="0" borderId="60" xfId="1" applyFont="1" applyBorder="1" applyAlignment="1"/>
    <xf numFmtId="0" fontId="144" fillId="0" borderId="51" xfId="0" applyFont="1" applyBorder="1"/>
    <xf numFmtId="10" fontId="0" fillId="0" borderId="57" xfId="32" applyNumberFormat="1" applyFont="1" applyBorder="1"/>
    <xf numFmtId="178" fontId="0" fillId="34" borderId="57" xfId="0" applyNumberFormat="1" applyFill="1" applyBorder="1"/>
    <xf numFmtId="2" fontId="0" fillId="0" borderId="57" xfId="0" applyNumberFormat="1" applyBorder="1"/>
    <xf numFmtId="43" fontId="0" fillId="0" borderId="57" xfId="1" applyFont="1" applyBorder="1"/>
    <xf numFmtId="184" fontId="0" fillId="0" borderId="0" xfId="1" applyNumberFormat="1" applyFont="1"/>
    <xf numFmtId="0" fontId="139" fillId="0" borderId="0" xfId="0" applyFont="1"/>
    <xf numFmtId="0" fontId="0" fillId="34" borderId="13" xfId="0" applyFill="1" applyBorder="1"/>
    <xf numFmtId="0" fontId="138" fillId="0" borderId="0" xfId="0" applyFont="1"/>
    <xf numFmtId="0" fontId="138" fillId="34" borderId="0" xfId="0" applyFont="1" applyFill="1"/>
    <xf numFmtId="43" fontId="0" fillId="34" borderId="0" xfId="1" applyFont="1" applyFill="1"/>
    <xf numFmtId="0" fontId="138" fillId="34" borderId="13" xfId="0" applyFont="1" applyFill="1" applyBorder="1"/>
    <xf numFmtId="174" fontId="227" fillId="0" borderId="16" xfId="0" applyNumberFormat="1" applyFont="1" applyBorder="1"/>
    <xf numFmtId="190" fontId="227" fillId="0" borderId="27" xfId="0" applyNumberFormat="1" applyFont="1" applyBorder="1" applyAlignment="1">
      <alignment horizontal="center"/>
    </xf>
    <xf numFmtId="190" fontId="227" fillId="5" borderId="13" xfId="0" applyNumberFormat="1" applyFont="1" applyFill="1" applyBorder="1" applyAlignment="1">
      <alignment horizontal="center"/>
    </xf>
    <xf numFmtId="178" fontId="0" fillId="0" borderId="57" xfId="0" applyNumberFormat="1" applyBorder="1"/>
    <xf numFmtId="2" fontId="0" fillId="0" borderId="56" xfId="0" applyNumberFormat="1" applyBorder="1"/>
    <xf numFmtId="2" fontId="0" fillId="0" borderId="60" xfId="0" applyNumberFormat="1" applyBorder="1"/>
    <xf numFmtId="0" fontId="0" fillId="0" borderId="57" xfId="0" applyBorder="1"/>
    <xf numFmtId="2" fontId="0" fillId="0" borderId="58" xfId="0" applyNumberFormat="1" applyBorder="1"/>
    <xf numFmtId="0" fontId="0" fillId="0" borderId="81" xfId="0" applyBorder="1"/>
    <xf numFmtId="2" fontId="0" fillId="0" borderId="75" xfId="0" applyNumberFormat="1" applyBorder="1"/>
    <xf numFmtId="0" fontId="137" fillId="0" borderId="80" xfId="0" applyFont="1" applyBorder="1"/>
    <xf numFmtId="0" fontId="137" fillId="0" borderId="0" xfId="0" applyFont="1"/>
    <xf numFmtId="0" fontId="136" fillId="0" borderId="0" xfId="0" applyFont="1"/>
    <xf numFmtId="0" fontId="135" fillId="0" borderId="13" xfId="42"/>
    <xf numFmtId="14" fontId="135" fillId="0" borderId="13" xfId="42" applyNumberFormat="1"/>
    <xf numFmtId="0" fontId="290" fillId="0" borderId="13" xfId="42" applyFont="1"/>
    <xf numFmtId="14" fontId="290" fillId="0" borderId="13" xfId="42" applyNumberFormat="1" applyFont="1"/>
    <xf numFmtId="178" fontId="290" fillId="0" borderId="13" xfId="42" applyNumberFormat="1" applyFont="1"/>
    <xf numFmtId="0" fontId="293" fillId="0" borderId="13" xfId="42" applyFont="1"/>
    <xf numFmtId="14" fontId="293" fillId="0" borderId="13" xfId="42" applyNumberFormat="1" applyFont="1"/>
    <xf numFmtId="0" fontId="265" fillId="0" borderId="13" xfId="42" applyFont="1"/>
    <xf numFmtId="174" fontId="290" fillId="0" borderId="13" xfId="42" applyNumberFormat="1" applyFont="1"/>
    <xf numFmtId="4" fontId="293" fillId="28" borderId="13" xfId="42" applyNumberFormat="1" applyFont="1" applyFill="1"/>
    <xf numFmtId="4" fontId="299" fillId="0" borderId="13" xfId="42" applyNumberFormat="1" applyFont="1" applyAlignment="1">
      <alignment horizontal="right" vertical="center"/>
    </xf>
    <xf numFmtId="4" fontId="228" fillId="0" borderId="13" xfId="42" applyNumberFormat="1" applyFont="1"/>
    <xf numFmtId="0" fontId="265" fillId="28" borderId="13" xfId="42" applyFont="1" applyFill="1"/>
    <xf numFmtId="2" fontId="290" fillId="28" borderId="99" xfId="42" applyNumberFormat="1" applyFont="1" applyFill="1" applyBorder="1" applyAlignment="1">
      <alignment horizontal="center" vertical="center"/>
    </xf>
    <xf numFmtId="2" fontId="290" fillId="66" borderId="104" xfId="42" applyNumberFormat="1" applyFont="1" applyFill="1" applyBorder="1" applyAlignment="1">
      <alignment horizontal="right" vertical="center"/>
    </xf>
    <xf numFmtId="174" fontId="259" fillId="0" borderId="80" xfId="41" applyNumberFormat="1" applyFont="1" applyFill="1" applyBorder="1"/>
    <xf numFmtId="191" fontId="290" fillId="0" borderId="80" xfId="42" applyNumberFormat="1" applyFont="1" applyBorder="1" applyAlignment="1">
      <alignment vertical="center"/>
    </xf>
    <xf numFmtId="0" fontId="290" fillId="0" borderId="80" xfId="42" applyFont="1" applyBorder="1" applyAlignment="1">
      <alignment vertical="center"/>
    </xf>
    <xf numFmtId="174" fontId="290" fillId="0" borderId="80" xfId="41" applyNumberFormat="1" applyFont="1" applyFill="1" applyBorder="1"/>
    <xf numFmtId="0" fontId="290" fillId="0" borderId="80" xfId="42" applyFont="1" applyBorder="1" applyAlignment="1">
      <alignment horizontal="left" vertical="center"/>
    </xf>
    <xf numFmtId="0" fontId="291" fillId="0" borderId="80" xfId="42" applyFont="1" applyBorder="1" applyAlignment="1">
      <alignment horizontal="left" vertical="center"/>
    </xf>
    <xf numFmtId="0" fontId="290" fillId="0" borderId="99" xfId="42" applyFont="1" applyBorder="1" applyAlignment="1">
      <alignment horizontal="center"/>
    </xf>
    <xf numFmtId="0" fontId="297" fillId="0" borderId="13" xfId="42" applyFont="1"/>
    <xf numFmtId="4" fontId="298" fillId="0" borderId="13" xfId="42" applyNumberFormat="1" applyFont="1"/>
    <xf numFmtId="0" fontId="297" fillId="0" borderId="131" xfId="42" applyFont="1" applyBorder="1"/>
    <xf numFmtId="0" fontId="290" fillId="0" borderId="104" xfId="42" applyFont="1" applyBorder="1" applyAlignment="1">
      <alignment vertical="center"/>
    </xf>
    <xf numFmtId="4" fontId="296" fillId="67" borderId="13" xfId="42" applyNumberFormat="1" applyFont="1" applyFill="1" applyAlignment="1">
      <alignment horizontal="right" vertical="center"/>
    </xf>
    <xf numFmtId="180" fontId="259" fillId="67" borderId="13" xfId="42" applyNumberFormat="1" applyFont="1" applyFill="1" applyAlignment="1">
      <alignment horizontal="right" vertical="center"/>
    </xf>
    <xf numFmtId="4" fontId="259" fillId="67" borderId="13" xfId="42" applyNumberFormat="1" applyFont="1" applyFill="1" applyAlignment="1">
      <alignment horizontal="right" vertical="center"/>
    </xf>
    <xf numFmtId="0" fontId="295" fillId="67" borderId="13" xfId="42" applyFont="1" applyFill="1" applyAlignment="1">
      <alignment horizontal="left" vertical="center"/>
    </xf>
    <xf numFmtId="0" fontId="295" fillId="67" borderId="130" xfId="42" applyFont="1" applyFill="1" applyBorder="1" applyAlignment="1">
      <alignment horizontal="left" vertical="center" indent="2"/>
    </xf>
    <xf numFmtId="0" fontId="295" fillId="67" borderId="13" xfId="42" applyFont="1" applyFill="1" applyAlignment="1">
      <alignment horizontal="center" vertical="center"/>
    </xf>
    <xf numFmtId="174" fontId="290" fillId="28" borderId="104" xfId="41" applyNumberFormat="1" applyFont="1" applyFill="1" applyBorder="1"/>
    <xf numFmtId="174" fontId="290" fillId="28" borderId="102" xfId="41" applyNumberFormat="1" applyFont="1" applyFill="1" applyBorder="1"/>
    <xf numFmtId="192" fontId="290" fillId="28" borderId="129" xfId="42" applyNumberFormat="1" applyFont="1" applyFill="1" applyBorder="1" applyAlignment="1">
      <alignment vertical="center"/>
    </xf>
    <xf numFmtId="4" fontId="290" fillId="28" borderId="13" xfId="42" applyNumberFormat="1" applyFont="1" applyFill="1" applyAlignment="1">
      <alignment vertical="center"/>
    </xf>
    <xf numFmtId="0" fontId="290" fillId="28" borderId="13" xfId="42" applyFont="1" applyFill="1" applyAlignment="1">
      <alignment vertical="center"/>
    </xf>
    <xf numFmtId="0" fontId="290" fillId="0" borderId="102" xfId="42" applyFont="1" applyBorder="1" applyAlignment="1">
      <alignment horizontal="left" vertical="center"/>
    </xf>
    <xf numFmtId="0" fontId="290" fillId="0" borderId="120" xfId="42" applyFont="1" applyBorder="1" applyAlignment="1">
      <alignment vertical="center"/>
    </xf>
    <xf numFmtId="2" fontId="290" fillId="28" borderId="117" xfId="42" applyNumberFormat="1" applyFont="1" applyFill="1" applyBorder="1" applyAlignment="1">
      <alignment horizontal="center" vertical="center"/>
    </xf>
    <xf numFmtId="192" fontId="290" fillId="28" borderId="104" xfId="42" applyNumberFormat="1" applyFont="1" applyFill="1" applyBorder="1" applyAlignment="1">
      <alignment vertical="center"/>
    </xf>
    <xf numFmtId="174" fontId="259" fillId="28" borderId="112" xfId="41" applyNumberFormat="1" applyFont="1" applyFill="1" applyBorder="1"/>
    <xf numFmtId="174" fontId="259" fillId="28" borderId="108" xfId="41" applyNumberFormat="1" applyFont="1" applyFill="1" applyBorder="1"/>
    <xf numFmtId="0" fontId="290" fillId="0" borderId="104" xfId="42" applyFont="1" applyBorder="1" applyAlignment="1">
      <alignment horizontal="left" vertical="center"/>
    </xf>
    <xf numFmtId="0" fontId="290" fillId="0" borderId="118" xfId="42" applyFont="1" applyBorder="1" applyAlignment="1">
      <alignment vertical="center"/>
    </xf>
    <xf numFmtId="2" fontId="290" fillId="28" borderId="124" xfId="42" applyNumberFormat="1" applyFont="1" applyFill="1" applyBorder="1" applyAlignment="1">
      <alignment horizontal="center" vertical="center"/>
    </xf>
    <xf numFmtId="174" fontId="290" fillId="28" borderId="122" xfId="41" applyNumberFormat="1" applyFont="1" applyFill="1" applyBorder="1"/>
    <xf numFmtId="193" fontId="290" fillId="28" borderId="103" xfId="42" applyNumberFormat="1" applyFont="1" applyFill="1" applyBorder="1" applyAlignment="1">
      <alignment vertical="center"/>
    </xf>
    <xf numFmtId="193" fontId="290" fillId="28" borderId="102" xfId="42" applyNumberFormat="1" applyFont="1" applyFill="1" applyBorder="1" applyAlignment="1">
      <alignment vertical="center"/>
    </xf>
    <xf numFmtId="0" fontId="290" fillId="0" borderId="103" xfId="42" applyFont="1" applyBorder="1" applyAlignment="1">
      <alignment horizontal="left" vertical="center"/>
    </xf>
    <xf numFmtId="0" fontId="290" fillId="0" borderId="118" xfId="42" applyFont="1" applyBorder="1" applyAlignment="1">
      <alignment horizontal="left" vertical="center"/>
    </xf>
    <xf numFmtId="4" fontId="290" fillId="28" borderId="99" xfId="42" applyNumberFormat="1" applyFont="1" applyFill="1" applyBorder="1" applyAlignment="1">
      <alignment horizontal="center" vertical="center"/>
    </xf>
    <xf numFmtId="0" fontId="288" fillId="0" borderId="13" xfId="42" applyFont="1"/>
    <xf numFmtId="2" fontId="294" fillId="0" borderId="13" xfId="42" applyNumberFormat="1" applyFont="1" applyAlignment="1">
      <alignment horizontal="right" vertical="center"/>
    </xf>
    <xf numFmtId="0" fontId="266" fillId="0" borderId="13" xfId="42" applyFont="1"/>
    <xf numFmtId="0" fontId="259" fillId="0" borderId="13" xfId="42" applyFont="1"/>
    <xf numFmtId="43" fontId="265" fillId="28" borderId="13" xfId="42" applyNumberFormat="1" applyFont="1" applyFill="1"/>
    <xf numFmtId="2" fontId="290" fillId="28" borderId="114" xfId="42" applyNumberFormat="1" applyFont="1" applyFill="1" applyBorder="1" applyAlignment="1">
      <alignment horizontal="center" vertical="center"/>
    </xf>
    <xf numFmtId="174" fontId="290" fillId="28" borderId="112" xfId="41" applyNumberFormat="1" applyFont="1" applyFill="1" applyBorder="1"/>
    <xf numFmtId="174" fontId="290" fillId="28" borderId="108" xfId="41" applyNumberFormat="1" applyFont="1" applyFill="1" applyBorder="1"/>
    <xf numFmtId="174" fontId="290" fillId="0" borderId="108" xfId="41" applyNumberFormat="1" applyFont="1" applyFill="1" applyBorder="1"/>
    <xf numFmtId="192" fontId="290" fillId="28" borderId="112" xfId="42" applyNumberFormat="1" applyFont="1" applyFill="1" applyBorder="1" applyAlignment="1">
      <alignment vertical="center"/>
    </xf>
    <xf numFmtId="0" fontId="135" fillId="0" borderId="64" xfId="42" applyBorder="1" applyAlignment="1">
      <alignment vertical="center" wrapText="1"/>
    </xf>
    <xf numFmtId="0" fontId="290" fillId="0" borderId="112" xfId="42" applyFont="1" applyBorder="1" applyAlignment="1">
      <alignment horizontal="left" vertical="center"/>
    </xf>
    <xf numFmtId="2" fontId="290" fillId="28" borderId="123" xfId="42" applyNumberFormat="1" applyFont="1" applyFill="1" applyBorder="1" applyAlignment="1">
      <alignment horizontal="center" vertical="center"/>
    </xf>
    <xf numFmtId="0" fontId="135" fillId="0" borderId="69" xfId="42" applyBorder="1" applyAlignment="1">
      <alignment vertical="center" wrapText="1"/>
    </xf>
    <xf numFmtId="0" fontId="290" fillId="0" borderId="108" xfId="42" applyFont="1" applyBorder="1" applyAlignment="1">
      <alignment horizontal="left" vertical="center"/>
    </xf>
    <xf numFmtId="174" fontId="290" fillId="0" borderId="113" xfId="41" applyNumberFormat="1" applyFont="1" applyFill="1" applyBorder="1"/>
    <xf numFmtId="0" fontId="290" fillId="0" borderId="113" xfId="42" applyFont="1" applyBorder="1" applyAlignment="1">
      <alignment vertical="center"/>
    </xf>
    <xf numFmtId="0" fontId="282" fillId="0" borderId="13" xfId="42" applyFont="1"/>
    <xf numFmtId="4" fontId="259" fillId="28" borderId="13" xfId="42" applyNumberFormat="1" applyFont="1" applyFill="1"/>
    <xf numFmtId="0" fontId="290" fillId="28" borderId="99" xfId="42" applyFont="1" applyFill="1" applyBorder="1" applyAlignment="1">
      <alignment horizontal="center"/>
    </xf>
    <xf numFmtId="174" fontId="290" fillId="0" borderId="104" xfId="41" applyNumberFormat="1" applyFont="1" applyFill="1" applyBorder="1"/>
    <xf numFmtId="0" fontId="290" fillId="0" borderId="103" xfId="42" applyFont="1" applyBorder="1" applyAlignment="1">
      <alignment vertical="center"/>
    </xf>
    <xf numFmtId="0" fontId="290" fillId="0" borderId="100" xfId="42" applyFont="1" applyBorder="1" applyAlignment="1">
      <alignment horizontal="left" vertical="center"/>
    </xf>
    <xf numFmtId="0" fontId="290" fillId="0" borderId="109" xfId="42" applyFont="1" applyBorder="1" applyAlignment="1">
      <alignment vertical="center"/>
    </xf>
    <xf numFmtId="4" fontId="290" fillId="0" borderId="99" xfId="42" applyNumberFormat="1" applyFont="1" applyBorder="1" applyAlignment="1">
      <alignment horizontal="center" vertical="center"/>
    </xf>
    <xf numFmtId="174" fontId="290" fillId="0" borderId="102" xfId="41" applyNumberFormat="1" applyFont="1" applyFill="1" applyBorder="1"/>
    <xf numFmtId="174" fontId="259" fillId="0" borderId="102" xfId="41" applyNumberFormat="1" applyFont="1" applyFill="1" applyBorder="1"/>
    <xf numFmtId="0" fontId="292" fillId="0" borderId="13" xfId="42" applyFont="1"/>
    <xf numFmtId="0" fontId="266" fillId="28" borderId="13" xfId="42" applyFont="1" applyFill="1"/>
    <xf numFmtId="4" fontId="265" fillId="0" borderId="13" xfId="42" applyNumberFormat="1" applyFont="1"/>
    <xf numFmtId="0" fontId="290" fillId="0" borderId="99" xfId="42" applyFont="1" applyBorder="1"/>
    <xf numFmtId="174" fontId="259" fillId="0" borderId="104" xfId="41" applyNumberFormat="1" applyFont="1" applyFill="1" applyBorder="1"/>
    <xf numFmtId="0" fontId="290" fillId="0" borderId="119" xfId="42" applyFont="1" applyBorder="1" applyAlignment="1">
      <alignment vertical="center"/>
    </xf>
    <xf numFmtId="4" fontId="265" fillId="28" borderId="13" xfId="42" applyNumberFormat="1" applyFont="1" applyFill="1"/>
    <xf numFmtId="2" fontId="265" fillId="28" borderId="13" xfId="42" applyNumberFormat="1" applyFont="1" applyFill="1"/>
    <xf numFmtId="0" fontId="290" fillId="0" borderId="117" xfId="42" applyFont="1" applyBorder="1" applyAlignment="1">
      <alignment horizontal="center"/>
    </xf>
    <xf numFmtId="4" fontId="265" fillId="28" borderId="13" xfId="42" applyNumberFormat="1" applyFont="1" applyFill="1" applyAlignment="1">
      <alignment horizontal="center"/>
    </xf>
    <xf numFmtId="2" fontId="290" fillId="0" borderId="114" xfId="42" applyNumberFormat="1" applyFont="1" applyBorder="1" applyAlignment="1">
      <alignment horizontal="right" vertical="center" indent="3"/>
    </xf>
    <xf numFmtId="2" fontId="290" fillId="0" borderId="112" xfId="42" applyNumberFormat="1" applyFont="1" applyBorder="1" applyAlignment="1">
      <alignment horizontal="right" vertical="center"/>
    </xf>
    <xf numFmtId="4" fontId="290" fillId="0" borderId="112" xfId="42" applyNumberFormat="1" applyFont="1" applyBorder="1" applyAlignment="1">
      <alignment horizontal="right" vertical="center" indent="1"/>
    </xf>
    <xf numFmtId="178" fontId="290" fillId="0" borderId="112" xfId="42" applyNumberFormat="1" applyFont="1" applyBorder="1" applyAlignment="1">
      <alignment horizontal="right" vertical="center" indent="3"/>
    </xf>
    <xf numFmtId="174" fontId="290" fillId="0" borderId="112" xfId="41" applyNumberFormat="1" applyFont="1" applyFill="1" applyBorder="1"/>
    <xf numFmtId="2" fontId="290" fillId="0" borderId="99" xfId="42" applyNumberFormat="1" applyFont="1" applyBorder="1" applyAlignment="1">
      <alignment horizontal="right" vertical="center" indent="3"/>
    </xf>
    <xf numFmtId="2" fontId="290" fillId="0" borderId="102" xfId="42" applyNumberFormat="1" applyFont="1" applyBorder="1" applyAlignment="1">
      <alignment horizontal="right" vertical="center"/>
    </xf>
    <xf numFmtId="4" fontId="290" fillId="0" borderId="102" xfId="42" applyNumberFormat="1" applyFont="1" applyBorder="1" applyAlignment="1">
      <alignment horizontal="right" vertical="center" indent="1"/>
    </xf>
    <xf numFmtId="191" fontId="290" fillId="0" borderId="102" xfId="42" applyNumberFormat="1" applyFont="1" applyBorder="1" applyAlignment="1">
      <alignment vertical="center"/>
    </xf>
    <xf numFmtId="2" fontId="290" fillId="0" borderId="117" xfId="42" applyNumberFormat="1" applyFont="1" applyBorder="1" applyAlignment="1">
      <alignment horizontal="right" vertical="center" indent="3"/>
    </xf>
    <xf numFmtId="2" fontId="290" fillId="0" borderId="104" xfId="42" applyNumberFormat="1" applyFont="1" applyBorder="1" applyAlignment="1">
      <alignment horizontal="right" vertical="center"/>
    </xf>
    <xf numFmtId="4" fontId="290" fillId="0" borderId="104" xfId="42" applyNumberFormat="1" applyFont="1" applyBorder="1" applyAlignment="1">
      <alignment horizontal="right" vertical="center" indent="1"/>
    </xf>
    <xf numFmtId="191" fontId="290" fillId="0" borderId="104" xfId="42" applyNumberFormat="1" applyFont="1" applyBorder="1" applyAlignment="1">
      <alignment vertical="center"/>
    </xf>
    <xf numFmtId="0" fontId="291" fillId="0" borderId="116" xfId="42" applyFont="1" applyBorder="1" applyAlignment="1">
      <alignment horizontal="left" vertical="center"/>
    </xf>
    <xf numFmtId="0" fontId="290" fillId="0" borderId="114" xfId="42" applyFont="1" applyBorder="1" applyAlignment="1">
      <alignment vertical="center"/>
    </xf>
    <xf numFmtId="191" fontId="290" fillId="0" borderId="112" xfId="42" applyNumberFormat="1" applyFont="1" applyBorder="1" applyAlignment="1">
      <alignment vertical="center"/>
    </xf>
    <xf numFmtId="0" fontId="291" fillId="0" borderId="111" xfId="42" applyFont="1" applyBorder="1" applyAlignment="1">
      <alignment horizontal="left" vertical="center"/>
    </xf>
    <xf numFmtId="0" fontId="290" fillId="0" borderId="105" xfId="42" applyFont="1" applyBorder="1" applyAlignment="1">
      <alignment vertical="center"/>
    </xf>
    <xf numFmtId="0" fontId="291" fillId="0" borderId="101" xfId="42" applyFont="1" applyBorder="1" applyAlignment="1">
      <alignment horizontal="left" vertical="center"/>
    </xf>
    <xf numFmtId="2" fontId="294" fillId="28" borderId="13" xfId="42" applyNumberFormat="1" applyFont="1" applyFill="1" applyAlignment="1">
      <alignment horizontal="right" vertical="center"/>
    </xf>
    <xf numFmtId="0" fontId="293" fillId="28" borderId="13" xfId="42" applyFont="1" applyFill="1"/>
    <xf numFmtId="174" fontId="259" fillId="0" borderId="108" xfId="41" applyNumberFormat="1" applyFont="1" applyFill="1" applyBorder="1"/>
    <xf numFmtId="191" fontId="290" fillId="0" borderId="108" xfId="42" applyNumberFormat="1" applyFont="1" applyBorder="1" applyAlignment="1">
      <alignment vertical="center"/>
    </xf>
    <xf numFmtId="0" fontId="290" fillId="0" borderId="69" xfId="42" applyFont="1" applyBorder="1" applyAlignment="1">
      <alignment vertical="center"/>
    </xf>
    <xf numFmtId="0" fontId="291" fillId="0" borderId="107" xfId="42" applyFont="1" applyBorder="1" applyAlignment="1">
      <alignment horizontal="left" vertical="center"/>
    </xf>
    <xf numFmtId="0" fontId="288" fillId="28" borderId="13" xfId="42" applyFont="1" applyFill="1"/>
    <xf numFmtId="178" fontId="265" fillId="28" borderId="13" xfId="42" applyNumberFormat="1" applyFont="1" applyFill="1"/>
    <xf numFmtId="0" fontId="290" fillId="0" borderId="13" xfId="42" applyFont="1" applyAlignment="1">
      <alignment vertical="center"/>
    </xf>
    <xf numFmtId="178" fontId="288" fillId="28" borderId="13" xfId="42" applyNumberFormat="1" applyFont="1" applyFill="1"/>
    <xf numFmtId="0" fontId="286" fillId="65" borderId="96" xfId="42" applyFont="1" applyFill="1" applyBorder="1" applyAlignment="1">
      <alignment horizontal="center" vertical="center"/>
    </xf>
    <xf numFmtId="4" fontId="288" fillId="0" borderId="13" xfId="42" applyNumberFormat="1" applyFont="1"/>
    <xf numFmtId="0" fontId="135" fillId="0" borderId="14" xfId="42" applyBorder="1" applyAlignment="1">
      <alignment vertical="center" wrapText="1"/>
    </xf>
    <xf numFmtId="0" fontId="135" fillId="0" borderId="14" xfId="42" applyBorder="1" applyAlignment="1">
      <alignment wrapText="1"/>
    </xf>
    <xf numFmtId="0" fontId="135" fillId="0" borderId="13" xfId="42" applyAlignment="1">
      <alignment vertical="center" wrapText="1"/>
    </xf>
    <xf numFmtId="0" fontId="135" fillId="0" borderId="13" xfId="42" applyAlignment="1">
      <alignment wrapText="1"/>
    </xf>
    <xf numFmtId="43" fontId="261" fillId="0" borderId="14" xfId="0" applyNumberFormat="1" applyFont="1" applyBorder="1" applyAlignment="1">
      <alignment horizontal="center" vertical="center"/>
    </xf>
    <xf numFmtId="0" fontId="134" fillId="0" borderId="59" xfId="0" applyFont="1" applyBorder="1"/>
    <xf numFmtId="0" fontId="290" fillId="57" borderId="106" xfId="42" applyFont="1" applyFill="1" applyBorder="1" applyAlignment="1">
      <alignment horizontal="left" vertical="center"/>
    </xf>
    <xf numFmtId="0" fontId="290" fillId="57" borderId="100" xfId="42" applyFont="1" applyFill="1" applyBorder="1" applyAlignment="1">
      <alignment horizontal="left" vertical="center"/>
    </xf>
    <xf numFmtId="0" fontId="290" fillId="57" borderId="110" xfId="42" applyFont="1" applyFill="1" applyBorder="1" applyAlignment="1">
      <alignment horizontal="left" vertical="center"/>
    </xf>
    <xf numFmtId="0" fontId="291" fillId="57" borderId="115" xfId="42" applyFont="1" applyFill="1" applyBorder="1" applyAlignment="1">
      <alignment horizontal="left" vertical="center"/>
    </xf>
    <xf numFmtId="0" fontId="290" fillId="57" borderId="118" xfId="42" applyFont="1" applyFill="1" applyBorder="1" applyAlignment="1">
      <alignment horizontal="left" vertical="center"/>
    </xf>
    <xf numFmtId="0" fontId="290" fillId="57" borderId="120" xfId="42" applyFont="1" applyFill="1" applyBorder="1" applyAlignment="1">
      <alignment horizontal="left" vertical="center"/>
    </xf>
    <xf numFmtId="0" fontId="290" fillId="57" borderId="121" xfId="42" applyFont="1" applyFill="1" applyBorder="1" applyAlignment="1">
      <alignment horizontal="left" vertical="center"/>
    </xf>
    <xf numFmtId="0" fontId="290" fillId="68" borderId="125" xfId="42" applyFont="1" applyFill="1" applyBorder="1" applyAlignment="1">
      <alignment horizontal="left" vertical="center"/>
    </xf>
    <xf numFmtId="0" fontId="291" fillId="68" borderId="126" xfId="42" applyFont="1" applyFill="1" applyBorder="1" applyAlignment="1">
      <alignment horizontal="left" vertical="center"/>
    </xf>
    <xf numFmtId="0" fontId="290" fillId="68" borderId="104" xfId="42" applyFont="1" applyFill="1" applyBorder="1" applyAlignment="1">
      <alignment horizontal="left" vertical="center"/>
    </xf>
    <xf numFmtId="0" fontId="290" fillId="68" borderId="78" xfId="42" applyFont="1" applyFill="1" applyBorder="1" applyAlignment="1">
      <alignment vertical="center"/>
    </xf>
    <xf numFmtId="4" fontId="290" fillId="68" borderId="78" xfId="42" applyNumberFormat="1" applyFont="1" applyFill="1" applyBorder="1" applyAlignment="1">
      <alignment vertical="center"/>
    </xf>
    <xf numFmtId="174" fontId="290" fillId="68" borderId="127" xfId="41" applyNumberFormat="1" applyFont="1" applyFill="1" applyBorder="1"/>
    <xf numFmtId="193" fontId="290" fillId="68" borderId="127" xfId="42" applyNumberFormat="1" applyFont="1" applyFill="1" applyBorder="1" applyAlignment="1">
      <alignment vertical="center"/>
    </xf>
    <xf numFmtId="174" fontId="290" fillId="68" borderId="104" xfId="41" applyNumberFormat="1" applyFont="1" applyFill="1" applyBorder="1"/>
    <xf numFmtId="2" fontId="290" fillId="68" borderId="124" xfId="42" applyNumberFormat="1" applyFont="1" applyFill="1" applyBorder="1" applyAlignment="1">
      <alignment horizontal="center" vertical="center"/>
    </xf>
    <xf numFmtId="2" fontId="290" fillId="68" borderId="128" xfId="42" applyNumberFormat="1" applyFont="1" applyFill="1" applyBorder="1"/>
    <xf numFmtId="0" fontId="290" fillId="68" borderId="99" xfId="42" applyFont="1" applyFill="1" applyBorder="1" applyAlignment="1">
      <alignment horizontal="center"/>
    </xf>
    <xf numFmtId="2" fontId="290" fillId="68" borderId="127" xfId="42" applyNumberFormat="1" applyFont="1" applyFill="1" applyBorder="1" applyAlignment="1">
      <alignment horizontal="right" vertical="center"/>
    </xf>
    <xf numFmtId="43" fontId="290" fillId="68" borderId="128" xfId="1" applyFont="1" applyFill="1" applyBorder="1"/>
    <xf numFmtId="0" fontId="290" fillId="0" borderId="105" xfId="42" applyFont="1" applyBorder="1" applyAlignment="1">
      <alignment horizontal="center" vertical="center"/>
    </xf>
    <xf numFmtId="174" fontId="299" fillId="0" borderId="105" xfId="42" applyNumberFormat="1" applyFont="1" applyBorder="1" applyAlignment="1">
      <alignment vertical="center"/>
    </xf>
    <xf numFmtId="174" fontId="290" fillId="34" borderId="127" xfId="41" applyNumberFormat="1" applyFont="1" applyFill="1" applyBorder="1"/>
    <xf numFmtId="174" fontId="299" fillId="34" borderId="105" xfId="42" applyNumberFormat="1" applyFont="1" applyFill="1" applyBorder="1" applyAlignment="1">
      <alignment vertical="center"/>
    </xf>
    <xf numFmtId="174" fontId="290" fillId="34" borderId="104" xfId="41" applyNumberFormat="1" applyFont="1" applyFill="1" applyBorder="1"/>
    <xf numFmtId="174" fontId="290" fillId="34" borderId="102" xfId="41" applyNumberFormat="1" applyFont="1" applyFill="1" applyBorder="1"/>
    <xf numFmtId="43" fontId="135" fillId="0" borderId="13" xfId="42" applyNumberFormat="1"/>
    <xf numFmtId="175" fontId="232" fillId="0" borderId="13" xfId="0" applyNumberFormat="1" applyFont="1" applyBorder="1" applyAlignment="1">
      <alignment horizontal="left" vertical="top"/>
    </xf>
    <xf numFmtId="0" fontId="265" fillId="0" borderId="0" xfId="0" applyFont="1" applyAlignment="1">
      <alignment horizontal="center" vertical="center"/>
    </xf>
    <xf numFmtId="178" fontId="265" fillId="0" borderId="0" xfId="0" applyNumberFormat="1" applyFont="1" applyAlignment="1">
      <alignment horizontal="center" vertical="center"/>
    </xf>
    <xf numFmtId="0" fontId="133" fillId="0" borderId="0" xfId="0" applyFont="1"/>
    <xf numFmtId="168" fontId="231" fillId="0" borderId="0" xfId="0" applyNumberFormat="1" applyFont="1" applyAlignment="1">
      <alignment horizontal="center" vertical="top"/>
    </xf>
    <xf numFmtId="176" fontId="241" fillId="0" borderId="0" xfId="0" applyNumberFormat="1" applyFont="1" applyAlignment="1">
      <alignment horizontal="center" vertical="top"/>
    </xf>
    <xf numFmtId="168" fontId="231" fillId="0" borderId="0" xfId="0" applyNumberFormat="1" applyFont="1" applyAlignment="1">
      <alignment vertical="top"/>
    </xf>
    <xf numFmtId="0" fontId="227" fillId="0" borderId="0" xfId="0" applyFont="1" applyAlignment="1">
      <alignment vertical="top"/>
    </xf>
    <xf numFmtId="168" fontId="242" fillId="0" borderId="0" xfId="0" applyNumberFormat="1" applyFont="1" applyAlignment="1">
      <alignment horizontal="center" vertical="top"/>
    </xf>
    <xf numFmtId="0" fontId="243" fillId="0" borderId="0" xfId="0" applyFont="1" applyAlignment="1">
      <alignment horizontal="right" vertical="top"/>
    </xf>
    <xf numFmtId="178" fontId="250" fillId="0" borderId="0" xfId="0" applyNumberFormat="1" applyFont="1" applyAlignment="1">
      <alignment horizontal="center" vertical="top"/>
    </xf>
    <xf numFmtId="178" fontId="227" fillId="0" borderId="0" xfId="0" applyNumberFormat="1" applyFont="1" applyAlignment="1">
      <alignment horizontal="center" vertical="top"/>
    </xf>
    <xf numFmtId="178" fontId="262" fillId="0" borderId="0" xfId="0" applyNumberFormat="1" applyFont="1" applyAlignment="1">
      <alignment horizontal="center" vertical="top"/>
    </xf>
    <xf numFmtId="178" fontId="227" fillId="0" borderId="13" xfId="0" applyNumberFormat="1" applyFont="1" applyBorder="1" applyAlignment="1">
      <alignment horizontal="center" vertical="top"/>
    </xf>
    <xf numFmtId="178" fontId="227" fillId="0" borderId="0" xfId="0" applyNumberFormat="1" applyFont="1" applyAlignment="1">
      <alignment vertical="top"/>
    </xf>
    <xf numFmtId="0" fontId="0" fillId="0" borderId="0" xfId="0" applyAlignment="1">
      <alignment vertical="top"/>
    </xf>
    <xf numFmtId="168" fontId="280" fillId="0" borderId="0" xfId="0" applyNumberFormat="1" applyFont="1"/>
    <xf numFmtId="169" fontId="232" fillId="0" borderId="5" xfId="0" applyNumberFormat="1" applyFont="1" applyBorder="1" applyAlignment="1">
      <alignment horizontal="center" vertical="top"/>
    </xf>
    <xf numFmtId="0" fontId="140" fillId="0" borderId="13" xfId="0" applyFont="1" applyBorder="1" applyAlignment="1">
      <alignment horizontal="center"/>
    </xf>
    <xf numFmtId="43" fontId="0" fillId="0" borderId="58" xfId="1" applyFont="1" applyBorder="1" applyAlignment="1"/>
    <xf numFmtId="0" fontId="281" fillId="0" borderId="51" xfId="0" applyFont="1" applyBorder="1"/>
    <xf numFmtId="0" fontId="0" fillId="34" borderId="13" xfId="0" applyFill="1" applyBorder="1" applyAlignment="1">
      <alignment horizontal="center"/>
    </xf>
    <xf numFmtId="0" fontId="272" fillId="0" borderId="0" xfId="0" applyFont="1" applyAlignment="1">
      <alignment horizontal="center" vertical="center"/>
    </xf>
    <xf numFmtId="178" fontId="272" fillId="0" borderId="0" xfId="0" applyNumberFormat="1" applyFont="1" applyAlignment="1">
      <alignment horizontal="center" vertical="center"/>
    </xf>
    <xf numFmtId="184" fontId="0" fillId="0" borderId="55" xfId="1" applyNumberFormat="1" applyFont="1" applyBorder="1"/>
    <xf numFmtId="178" fontId="227" fillId="0" borderId="13" xfId="0" applyNumberFormat="1" applyFont="1" applyBorder="1"/>
    <xf numFmtId="178" fontId="0" fillId="34" borderId="0" xfId="0" applyNumberFormat="1" applyFill="1" applyAlignment="1">
      <alignment horizontal="center"/>
    </xf>
    <xf numFmtId="178" fontId="272" fillId="0" borderId="0" xfId="0" applyNumberFormat="1" applyFont="1" applyAlignment="1">
      <alignment horizontal="center"/>
    </xf>
    <xf numFmtId="0" fontId="0" fillId="30" borderId="0" xfId="0" applyFill="1"/>
    <xf numFmtId="0" fontId="128" fillId="0" borderId="0" xfId="0" applyFont="1"/>
    <xf numFmtId="14" fontId="0" fillId="0" borderId="0" xfId="0" applyNumberFormat="1" applyAlignment="1">
      <alignment horizontal="center"/>
    </xf>
    <xf numFmtId="168" fontId="227" fillId="0" borderId="0" xfId="0" applyNumberFormat="1" applyFont="1" applyAlignment="1">
      <alignment horizontal="center"/>
    </xf>
    <xf numFmtId="0" fontId="238" fillId="3" borderId="6" xfId="0" applyFont="1" applyFill="1" applyBorder="1" applyAlignment="1">
      <alignment horizontal="center"/>
    </xf>
    <xf numFmtId="0" fontId="238" fillId="3" borderId="12" xfId="0" applyFont="1" applyFill="1" applyBorder="1" applyAlignment="1">
      <alignment horizontal="center"/>
    </xf>
    <xf numFmtId="0" fontId="238" fillId="3" borderId="12" xfId="0" applyFont="1" applyFill="1" applyBorder="1" applyAlignment="1">
      <alignment horizontal="center" vertical="top"/>
    </xf>
    <xf numFmtId="0" fontId="238" fillId="3" borderId="9" xfId="0" applyFont="1" applyFill="1" applyBorder="1" applyAlignment="1">
      <alignment horizontal="center"/>
    </xf>
    <xf numFmtId="174" fontId="243" fillId="0" borderId="60" xfId="0" applyNumberFormat="1" applyFont="1" applyBorder="1"/>
    <xf numFmtId="2" fontId="227" fillId="31" borderId="13" xfId="0" applyNumberFormat="1" applyFont="1" applyFill="1" applyBorder="1"/>
    <xf numFmtId="178" fontId="227" fillId="30" borderId="13" xfId="0" applyNumberFormat="1" applyFont="1" applyFill="1" applyBorder="1" applyAlignment="1">
      <alignment horizontal="center"/>
    </xf>
    <xf numFmtId="0" fontId="125" fillId="0" borderId="80" xfId="0" applyFont="1" applyBorder="1"/>
    <xf numFmtId="0" fontId="124" fillId="0" borderId="0" xfId="0" applyFont="1"/>
    <xf numFmtId="0" fontId="266" fillId="30" borderId="13" xfId="0" applyFont="1" applyFill="1" applyBorder="1"/>
    <xf numFmtId="0" fontId="123" fillId="0" borderId="0" xfId="0" applyFont="1"/>
    <xf numFmtId="2" fontId="305" fillId="0" borderId="0" xfId="0" applyNumberFormat="1" applyFont="1"/>
    <xf numFmtId="0" fontId="122" fillId="0" borderId="0" xfId="0" applyFont="1"/>
    <xf numFmtId="0" fontId="0" fillId="0" borderId="80" xfId="0" applyBorder="1" applyAlignment="1">
      <alignment horizontal="center"/>
    </xf>
    <xf numFmtId="0" fontId="0" fillId="34" borderId="80" xfId="0" applyFill="1" applyBorder="1" applyAlignment="1">
      <alignment horizontal="center"/>
    </xf>
    <xf numFmtId="0" fontId="121" fillId="0" borderId="80" xfId="0" applyFont="1" applyBorder="1"/>
    <xf numFmtId="0" fontId="121" fillId="0" borderId="0" xfId="0" applyFont="1"/>
    <xf numFmtId="43" fontId="0" fillId="0" borderId="13" xfId="1" applyFont="1" applyFill="1" applyBorder="1"/>
    <xf numFmtId="0" fontId="120" fillId="0" borderId="13" xfId="0" applyFont="1" applyBorder="1"/>
    <xf numFmtId="0" fontId="268" fillId="0" borderId="13" xfId="0" applyFont="1" applyBorder="1"/>
    <xf numFmtId="178" fontId="268" fillId="0" borderId="0" xfId="0" applyNumberFormat="1" applyFont="1"/>
    <xf numFmtId="184" fontId="268" fillId="0" borderId="0" xfId="1" applyNumberFormat="1" applyFont="1"/>
    <xf numFmtId="10" fontId="268" fillId="0" borderId="0" xfId="32" applyNumberFormat="1" applyFont="1"/>
    <xf numFmtId="194" fontId="0" fillId="0" borderId="0" xfId="0" applyNumberFormat="1"/>
    <xf numFmtId="0" fontId="119" fillId="0" borderId="0" xfId="0" applyFont="1" applyAlignment="1">
      <alignment horizontal="center"/>
    </xf>
    <xf numFmtId="14" fontId="266" fillId="0" borderId="0" xfId="0" applyNumberFormat="1" applyFont="1"/>
    <xf numFmtId="14" fontId="262" fillId="32" borderId="30" xfId="0" applyNumberFormat="1" applyFont="1" applyFill="1" applyBorder="1" applyAlignment="1">
      <alignment horizontal="center"/>
    </xf>
    <xf numFmtId="2" fontId="266" fillId="0" borderId="13" xfId="0" applyNumberFormat="1" applyFont="1" applyBorder="1"/>
    <xf numFmtId="14" fontId="261" fillId="32" borderId="30" xfId="0" applyNumberFormat="1" applyFont="1" applyFill="1" applyBorder="1" applyAlignment="1">
      <alignment horizontal="center"/>
    </xf>
    <xf numFmtId="0" fontId="118" fillId="0" borderId="13" xfId="0" applyFont="1" applyBorder="1"/>
    <xf numFmtId="2" fontId="118" fillId="0" borderId="13" xfId="0" applyNumberFormat="1" applyFont="1" applyBorder="1"/>
    <xf numFmtId="178" fontId="268" fillId="0" borderId="0" xfId="0" applyNumberFormat="1" applyFont="1" applyAlignment="1">
      <alignment horizontal="center"/>
    </xf>
    <xf numFmtId="184" fontId="0" fillId="0" borderId="13" xfId="1" applyNumberFormat="1" applyFont="1" applyBorder="1"/>
    <xf numFmtId="2" fontId="268" fillId="0" borderId="0" xfId="0" applyNumberFormat="1" applyFont="1"/>
    <xf numFmtId="0" fontId="0" fillId="0" borderId="57" xfId="0" applyBorder="1" applyAlignment="1">
      <alignment horizontal="center"/>
    </xf>
    <xf numFmtId="14" fontId="0" fillId="34" borderId="0" xfId="0" applyNumberFormat="1" applyFill="1" applyAlignment="1">
      <alignment horizontal="center"/>
    </xf>
    <xf numFmtId="0" fontId="116" fillId="0" borderId="0" xfId="0" applyFont="1"/>
    <xf numFmtId="43" fontId="268" fillId="0" borderId="0" xfId="1" applyFont="1"/>
    <xf numFmtId="0" fontId="115" fillId="0" borderId="0" xfId="0" applyFont="1"/>
    <xf numFmtId="0" fontId="114" fillId="0" borderId="80" xfId="0" applyFont="1" applyBorder="1"/>
    <xf numFmtId="0" fontId="114" fillId="0" borderId="0" xfId="0" applyFont="1"/>
    <xf numFmtId="2" fontId="114" fillId="0" borderId="13" xfId="0" applyNumberFormat="1" applyFont="1" applyBorder="1"/>
    <xf numFmtId="0" fontId="262" fillId="70" borderId="30" xfId="0" applyFont="1" applyFill="1" applyBorder="1" applyAlignment="1">
      <alignment horizontal="center"/>
    </xf>
    <xf numFmtId="0" fontId="113" fillId="0" borderId="0" xfId="0" applyFont="1"/>
    <xf numFmtId="2" fontId="112" fillId="0" borderId="13" xfId="0" applyNumberFormat="1" applyFont="1" applyBorder="1"/>
    <xf numFmtId="2" fontId="111" fillId="0" borderId="13" xfId="0" applyNumberFormat="1" applyFont="1" applyBorder="1"/>
    <xf numFmtId="0" fontId="0" fillId="71" borderId="0" xfId="0" applyFill="1"/>
    <xf numFmtId="43" fontId="0" fillId="71" borderId="0" xfId="1" applyFont="1" applyFill="1"/>
    <xf numFmtId="0" fontId="110" fillId="0" borderId="0" xfId="0" applyFont="1"/>
    <xf numFmtId="2" fontId="109" fillId="0" borderId="13" xfId="0" applyNumberFormat="1" applyFont="1" applyBorder="1"/>
    <xf numFmtId="2" fontId="108" fillId="0" borderId="0" xfId="0" applyNumberFormat="1" applyFont="1"/>
    <xf numFmtId="2" fontId="107" fillId="0" borderId="0" xfId="0" applyNumberFormat="1" applyFont="1"/>
    <xf numFmtId="178" fontId="106" fillId="0" borderId="0" xfId="0" applyNumberFormat="1" applyFont="1" applyAlignment="1">
      <alignment horizontal="center"/>
    </xf>
    <xf numFmtId="2" fontId="105" fillId="0" borderId="0" xfId="0" applyNumberFormat="1" applyFont="1"/>
    <xf numFmtId="43" fontId="104" fillId="0" borderId="0" xfId="1" applyFont="1" applyAlignment="1"/>
    <xf numFmtId="0" fontId="104" fillId="0" borderId="0" xfId="0" applyFont="1" applyAlignment="1">
      <alignment horizontal="center"/>
    </xf>
    <xf numFmtId="0" fontId="104" fillId="0" borderId="0" xfId="0" applyFont="1" applyAlignment="1">
      <alignment horizontal="center" vertical="center"/>
    </xf>
    <xf numFmtId="0" fontId="229" fillId="0" borderId="12" xfId="0" applyFont="1" applyBorder="1" applyAlignment="1">
      <alignment horizontal="center"/>
    </xf>
    <xf numFmtId="0" fontId="266" fillId="30" borderId="0" xfId="0" applyFont="1" applyFill="1"/>
    <xf numFmtId="0" fontId="103" fillId="0" borderId="0" xfId="0" applyFont="1"/>
    <xf numFmtId="0" fontId="0" fillId="42" borderId="0" xfId="0" applyFill="1"/>
    <xf numFmtId="40" fontId="262" fillId="31" borderId="13" xfId="0" applyNumberFormat="1" applyFont="1" applyFill="1" applyBorder="1"/>
    <xf numFmtId="0" fontId="102" fillId="0" borderId="0" xfId="0" applyFont="1"/>
    <xf numFmtId="0" fontId="101" fillId="0" borderId="0" xfId="0" applyFont="1"/>
    <xf numFmtId="0" fontId="100" fillId="0" borderId="0" xfId="0" applyFont="1"/>
    <xf numFmtId="195" fontId="0" fillId="0" borderId="0" xfId="0" applyNumberFormat="1"/>
    <xf numFmtId="178" fontId="272" fillId="34" borderId="0" xfId="0" applyNumberFormat="1" applyFont="1" applyFill="1" applyAlignment="1">
      <alignment horizontal="center"/>
    </xf>
    <xf numFmtId="0" fontId="99" fillId="0" borderId="0" xfId="0" applyFont="1"/>
    <xf numFmtId="0" fontId="266" fillId="34" borderId="0" xfId="0" applyFont="1" applyFill="1"/>
    <xf numFmtId="0" fontId="0" fillId="60" borderId="0" xfId="0" applyFill="1"/>
    <xf numFmtId="43" fontId="0" fillId="60" borderId="0" xfId="1" applyFont="1" applyFill="1"/>
    <xf numFmtId="0" fontId="97" fillId="0" borderId="0" xfId="0" applyFont="1"/>
    <xf numFmtId="14" fontId="262" fillId="0" borderId="30" xfId="0" applyNumberFormat="1" applyFont="1" applyBorder="1" applyAlignment="1">
      <alignment horizontal="center"/>
    </xf>
    <xf numFmtId="0" fontId="266" fillId="0" borderId="0" xfId="0" applyFont="1" applyAlignment="1">
      <alignment horizontal="center"/>
    </xf>
    <xf numFmtId="2" fontId="266" fillId="0" borderId="13" xfId="1" applyNumberFormat="1" applyFont="1" applyBorder="1" applyAlignment="1">
      <alignment horizontal="right"/>
    </xf>
    <xf numFmtId="0" fontId="96" fillId="0" borderId="80" xfId="0" applyFont="1" applyBorder="1"/>
    <xf numFmtId="190" fontId="227" fillId="0" borderId="13" xfId="0" applyNumberFormat="1" applyFont="1" applyBorder="1"/>
    <xf numFmtId="0" fontId="230" fillId="0" borderId="4" xfId="0" applyFont="1" applyBorder="1" applyAlignment="1">
      <alignment vertical="center"/>
    </xf>
    <xf numFmtId="165" fontId="231" fillId="0" borderId="0" xfId="0" applyNumberFormat="1" applyFont="1" applyAlignment="1">
      <alignment vertical="center"/>
    </xf>
    <xf numFmtId="167" fontId="227" fillId="0" borderId="0" xfId="0" applyNumberFormat="1" applyFont="1" applyAlignment="1">
      <alignment vertical="center"/>
    </xf>
    <xf numFmtId="2" fontId="231" fillId="0" borderId="0" xfId="0" applyNumberFormat="1" applyFont="1" applyAlignment="1">
      <alignment vertical="center"/>
    </xf>
    <xf numFmtId="0" fontId="230" fillId="0" borderId="0" xfId="0" applyFont="1" applyAlignment="1">
      <alignment horizontal="right" vertical="center"/>
    </xf>
    <xf numFmtId="166" fontId="232" fillId="0" borderId="0" xfId="0" applyNumberFormat="1" applyFont="1" applyAlignment="1">
      <alignment horizontal="left" vertical="center"/>
    </xf>
    <xf numFmtId="0" fontId="233" fillId="0" borderId="0" xfId="0" applyFont="1" applyAlignment="1">
      <alignment vertical="center"/>
    </xf>
    <xf numFmtId="0" fontId="235" fillId="0" borderId="0" xfId="0" applyFont="1" applyAlignment="1">
      <alignment horizontal="center" vertical="center"/>
    </xf>
    <xf numFmtId="0" fontId="236" fillId="0" borderId="0" xfId="0" applyFont="1" applyAlignment="1">
      <alignment vertical="center"/>
    </xf>
    <xf numFmtId="0" fontId="237" fillId="0" borderId="0" xfId="0" applyFont="1" applyAlignment="1">
      <alignment vertical="center"/>
    </xf>
    <xf numFmtId="0" fontId="238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166" fontId="232" fillId="0" borderId="0" xfId="0" applyNumberFormat="1" applyFont="1" applyAlignment="1">
      <alignment horizontal="center" vertical="center"/>
    </xf>
    <xf numFmtId="175" fontId="232" fillId="2" borderId="13" xfId="0" applyNumberFormat="1" applyFont="1" applyFill="1" applyBorder="1" applyAlignment="1">
      <alignment horizontal="center" vertical="top"/>
    </xf>
    <xf numFmtId="0" fontId="100" fillId="0" borderId="80" xfId="0" applyFont="1" applyBorder="1"/>
    <xf numFmtId="14" fontId="0" fillId="51" borderId="0" xfId="0" applyNumberFormat="1" applyFill="1" applyAlignment="1">
      <alignment horizontal="center"/>
    </xf>
    <xf numFmtId="14" fontId="0" fillId="72" borderId="0" xfId="0" applyNumberFormat="1" applyFill="1" applyAlignment="1">
      <alignment horizontal="center"/>
    </xf>
    <xf numFmtId="14" fontId="98" fillId="0" borderId="0" xfId="0" applyNumberFormat="1" applyFont="1" applyAlignment="1">
      <alignment horizontal="center"/>
    </xf>
    <xf numFmtId="14" fontId="266" fillId="0" borderId="0" xfId="0" applyNumberFormat="1" applyFont="1" applyAlignment="1">
      <alignment horizontal="center"/>
    </xf>
    <xf numFmtId="2" fontId="266" fillId="0" borderId="13" xfId="1" applyNumberFormat="1" applyFont="1" applyFill="1" applyBorder="1" applyAlignment="1">
      <alignment horizontal="right"/>
    </xf>
    <xf numFmtId="178" fontId="250" fillId="34" borderId="13" xfId="0" applyNumberFormat="1" applyFont="1" applyFill="1" applyBorder="1" applyAlignment="1">
      <alignment horizontal="center"/>
    </xf>
    <xf numFmtId="0" fontId="94" fillId="0" borderId="0" xfId="0" applyFont="1"/>
    <xf numFmtId="0" fontId="93" fillId="0" borderId="0" xfId="0" applyFont="1"/>
    <xf numFmtId="14" fontId="0" fillId="28" borderId="0" xfId="0" applyNumberFormat="1" applyFill="1" applyAlignment="1">
      <alignment horizontal="center"/>
    </xf>
    <xf numFmtId="2" fontId="92" fillId="0" borderId="13" xfId="1" applyNumberFormat="1" applyFont="1" applyBorder="1" applyAlignment="1">
      <alignment horizontal="right"/>
    </xf>
    <xf numFmtId="1" fontId="227" fillId="30" borderId="0" xfId="0" applyNumberFormat="1" applyFont="1" applyFill="1" applyAlignment="1">
      <alignment horizontal="center"/>
    </xf>
    <xf numFmtId="0" fontId="92" fillId="0" borderId="0" xfId="0" applyFont="1" applyAlignment="1">
      <alignment horizontal="center"/>
    </xf>
    <xf numFmtId="0" fontId="92" fillId="0" borderId="0" xfId="0" applyFont="1" applyAlignment="1">
      <alignment horizontal="center" vertical="center"/>
    </xf>
    <xf numFmtId="2" fontId="305" fillId="0" borderId="13" xfId="1" applyNumberFormat="1" applyFont="1" applyBorder="1" applyAlignment="1">
      <alignment horizontal="right"/>
    </xf>
    <xf numFmtId="0" fontId="91" fillId="0" borderId="0" xfId="0" applyFont="1" applyAlignment="1">
      <alignment horizontal="center"/>
    </xf>
    <xf numFmtId="0" fontId="91" fillId="0" borderId="54" xfId="0" applyFont="1" applyBorder="1"/>
    <xf numFmtId="0" fontId="91" fillId="0" borderId="59" xfId="0" applyFont="1" applyBorder="1"/>
    <xf numFmtId="0" fontId="91" fillId="0" borderId="51" xfId="0" applyFont="1" applyBorder="1"/>
    <xf numFmtId="0" fontId="90" fillId="0" borderId="0" xfId="0" applyFont="1"/>
    <xf numFmtId="2" fontId="266" fillId="34" borderId="13" xfId="1" applyNumberFormat="1" applyFont="1" applyFill="1" applyBorder="1" applyAlignment="1">
      <alignment horizontal="right"/>
    </xf>
    <xf numFmtId="0" fontId="272" fillId="30" borderId="0" xfId="0" applyFont="1" applyFill="1"/>
    <xf numFmtId="0" fontId="272" fillId="30" borderId="13" xfId="0" applyFont="1" applyFill="1" applyBorder="1" applyAlignment="1">
      <alignment horizontal="center" vertical="center"/>
    </xf>
    <xf numFmtId="2" fontId="272" fillId="30" borderId="13" xfId="0" applyNumberFormat="1" applyFont="1" applyFill="1" applyBorder="1"/>
    <xf numFmtId="178" fontId="268" fillId="30" borderId="0" xfId="0" applyNumberFormat="1" applyFont="1" applyFill="1" applyAlignment="1">
      <alignment horizontal="center"/>
    </xf>
    <xf numFmtId="0" fontId="88" fillId="0" borderId="0" xfId="0" applyFont="1"/>
    <xf numFmtId="0" fontId="87" fillId="0" borderId="0" xfId="0" applyFont="1"/>
    <xf numFmtId="0" fontId="306" fillId="0" borderId="4" xfId="0" applyFont="1" applyBorder="1" applyAlignment="1">
      <alignment vertical="center"/>
    </xf>
    <xf numFmtId="0" fontId="86" fillId="0" borderId="0" xfId="0" applyFont="1"/>
    <xf numFmtId="0" fontId="85" fillId="0" borderId="0" xfId="0" applyFont="1"/>
    <xf numFmtId="166" fontId="303" fillId="0" borderId="0" xfId="0" applyNumberFormat="1" applyFont="1" applyAlignment="1">
      <alignment horizontal="center"/>
    </xf>
    <xf numFmtId="0" fontId="84" fillId="0" borderId="0" xfId="0" applyFont="1"/>
    <xf numFmtId="2" fontId="266" fillId="34" borderId="13" xfId="0" applyNumberFormat="1" applyFont="1" applyFill="1" applyBorder="1"/>
    <xf numFmtId="0" fontId="0" fillId="60" borderId="68" xfId="0" applyFill="1" applyBorder="1"/>
    <xf numFmtId="43" fontId="0" fillId="60" borderId="70" xfId="1" applyFont="1" applyFill="1" applyBorder="1"/>
    <xf numFmtId="0" fontId="0" fillId="60" borderId="71" xfId="0" applyFill="1" applyBorder="1"/>
    <xf numFmtId="43" fontId="0" fillId="60" borderId="72" xfId="1" applyFont="1" applyFill="1" applyBorder="1"/>
    <xf numFmtId="0" fontId="0" fillId="71" borderId="71" xfId="0" applyFill="1" applyBorder="1"/>
    <xf numFmtId="43" fontId="0" fillId="71" borderId="72" xfId="1" applyFont="1" applyFill="1" applyBorder="1"/>
    <xf numFmtId="0" fontId="0" fillId="34" borderId="73" xfId="0" applyFill="1" applyBorder="1"/>
    <xf numFmtId="43" fontId="0" fillId="34" borderId="74" xfId="1" applyFont="1" applyFill="1" applyBorder="1"/>
    <xf numFmtId="43" fontId="0" fillId="28" borderId="72" xfId="1" applyFont="1" applyFill="1" applyBorder="1"/>
    <xf numFmtId="0" fontId="262" fillId="0" borderId="30" xfId="0" applyFont="1" applyBorder="1" applyAlignment="1">
      <alignment horizontal="center"/>
    </xf>
    <xf numFmtId="2" fontId="265" fillId="0" borderId="13" xfId="0" applyNumberFormat="1" applyFont="1" applyBorder="1"/>
    <xf numFmtId="0" fontId="83" fillId="0" borderId="0" xfId="0" applyFont="1"/>
    <xf numFmtId="0" fontId="82" fillId="0" borderId="0" xfId="0" applyFont="1"/>
    <xf numFmtId="0" fontId="81" fillId="0" borderId="0" xfId="0" applyFont="1"/>
    <xf numFmtId="0" fontId="80" fillId="0" borderId="0" xfId="0" applyFont="1" applyAlignment="1">
      <alignment horizontal="center" vertical="center"/>
    </xf>
    <xf numFmtId="0" fontId="80" fillId="0" borderId="0" xfId="0" applyFont="1" applyAlignment="1">
      <alignment horizontal="center"/>
    </xf>
    <xf numFmtId="0" fontId="79" fillId="0" borderId="0" xfId="0" applyFont="1"/>
    <xf numFmtId="178" fontId="265" fillId="34" borderId="0" xfId="0" applyNumberFormat="1" applyFont="1" applyFill="1" applyAlignment="1">
      <alignment horizontal="center"/>
    </xf>
    <xf numFmtId="169" fontId="240" fillId="0" borderId="5" xfId="0" applyNumberFormat="1" applyFont="1" applyBorder="1" applyAlignment="1">
      <alignment horizontal="center" vertical="top"/>
    </xf>
    <xf numFmtId="178" fontId="266" fillId="0" borderId="0" xfId="0" applyNumberFormat="1" applyFont="1" applyAlignment="1">
      <alignment horizontal="center" vertical="center"/>
    </xf>
    <xf numFmtId="0" fontId="262" fillId="74" borderId="30" xfId="0" applyFont="1" applyFill="1" applyBorder="1" applyAlignment="1">
      <alignment horizontal="center"/>
    </xf>
    <xf numFmtId="14" fontId="79" fillId="0" borderId="0" xfId="0" applyNumberFormat="1" applyFont="1" applyAlignment="1">
      <alignment horizontal="center"/>
    </xf>
    <xf numFmtId="178" fontId="0" fillId="56" borderId="0" xfId="0" applyNumberFormat="1" applyFill="1" applyAlignment="1">
      <alignment horizontal="center"/>
    </xf>
    <xf numFmtId="178" fontId="0" fillId="56" borderId="0" xfId="0" applyNumberFormat="1" applyFill="1" applyAlignment="1">
      <alignment horizontal="center" vertical="center"/>
    </xf>
    <xf numFmtId="0" fontId="0" fillId="66" borderId="80" xfId="0" applyFill="1" applyBorder="1"/>
    <xf numFmtId="0" fontId="0" fillId="66" borderId="80" xfId="0" applyFill="1" applyBorder="1" applyAlignment="1">
      <alignment horizontal="center"/>
    </xf>
    <xf numFmtId="0" fontId="0" fillId="66" borderId="13" xfId="0" applyFill="1" applyBorder="1"/>
    <xf numFmtId="0" fontId="0" fillId="66" borderId="0" xfId="0" applyFill="1" applyAlignment="1">
      <alignment horizontal="center" vertical="center"/>
    </xf>
    <xf numFmtId="0" fontId="151" fillId="66" borderId="0" xfId="0" applyFont="1" applyFill="1"/>
    <xf numFmtId="0" fontId="0" fillId="66" borderId="0" xfId="0" applyFill="1"/>
    <xf numFmtId="0" fontId="95" fillId="66" borderId="0" xfId="0" applyFont="1" applyFill="1"/>
    <xf numFmtId="0" fontId="90" fillId="66" borderId="0" xfId="0" applyFont="1" applyFill="1"/>
    <xf numFmtId="0" fontId="0" fillId="75" borderId="80" xfId="0" applyFill="1" applyBorder="1"/>
    <xf numFmtId="0" fontId="0" fillId="75" borderId="80" xfId="0" applyFill="1" applyBorder="1" applyAlignment="1">
      <alignment horizontal="center"/>
    </xf>
    <xf numFmtId="0" fontId="0" fillId="75" borderId="13" xfId="0" applyFill="1" applyBorder="1"/>
    <xf numFmtId="0" fontId="0" fillId="75" borderId="0" xfId="0" applyFill="1" applyAlignment="1">
      <alignment horizontal="center" vertical="center"/>
    </xf>
    <xf numFmtId="0" fontId="0" fillId="75" borderId="0" xfId="0" applyFill="1"/>
    <xf numFmtId="0" fontId="151" fillId="75" borderId="0" xfId="0" applyFont="1" applyFill="1"/>
    <xf numFmtId="0" fontId="78" fillId="0" borderId="0" xfId="0" applyFont="1"/>
    <xf numFmtId="0" fontId="0" fillId="76" borderId="80" xfId="0" applyFill="1" applyBorder="1"/>
    <xf numFmtId="0" fontId="0" fillId="76" borderId="80" xfId="0" applyFill="1" applyBorder="1" applyAlignment="1">
      <alignment horizontal="center"/>
    </xf>
    <xf numFmtId="0" fontId="0" fillId="76" borderId="13" xfId="0" applyFill="1" applyBorder="1"/>
    <xf numFmtId="0" fontId="0" fillId="76" borderId="0" xfId="0" applyFill="1" applyAlignment="1">
      <alignment horizontal="center" vertical="center"/>
    </xf>
    <xf numFmtId="0" fontId="103" fillId="76" borderId="0" xfId="0" applyFont="1" applyFill="1"/>
    <xf numFmtId="0" fontId="151" fillId="76" borderId="0" xfId="0" applyFont="1" applyFill="1"/>
    <xf numFmtId="0" fontId="0" fillId="76" borderId="0" xfId="0" applyFill="1"/>
    <xf numFmtId="0" fontId="77" fillId="0" borderId="0" xfId="0" applyFont="1"/>
    <xf numFmtId="43" fontId="76" fillId="0" borderId="0" xfId="1" applyFont="1" applyAlignment="1"/>
    <xf numFmtId="0" fontId="76" fillId="0" borderId="0" xfId="0" applyFont="1"/>
    <xf numFmtId="0" fontId="284" fillId="0" borderId="80" xfId="0" applyFont="1" applyBorder="1" applyAlignment="1">
      <alignment horizontal="center" vertical="top" wrapText="1"/>
    </xf>
    <xf numFmtId="0" fontId="284" fillId="0" borderId="13" xfId="0" applyFont="1" applyBorder="1" applyAlignment="1">
      <alignment horizontal="center" vertical="top" wrapText="1"/>
    </xf>
    <xf numFmtId="0" fontId="284" fillId="0" borderId="0" xfId="0" applyFont="1" applyAlignment="1">
      <alignment horizontal="center" vertical="top" wrapText="1"/>
    </xf>
    <xf numFmtId="0" fontId="304" fillId="0" borderId="0" xfId="0" applyFont="1" applyAlignment="1">
      <alignment vertical="top"/>
    </xf>
    <xf numFmtId="0" fontId="284" fillId="0" borderId="0" xfId="0" applyFont="1" applyAlignment="1">
      <alignment vertical="top"/>
    </xf>
    <xf numFmtId="0" fontId="75" fillId="0" borderId="0" xfId="0" applyFont="1"/>
    <xf numFmtId="0" fontId="74" fillId="0" borderId="0" xfId="0" applyFont="1"/>
    <xf numFmtId="0" fontId="232" fillId="77" borderId="7" xfId="0" applyFont="1" applyFill="1" applyBorder="1" applyAlignment="1">
      <alignment horizontal="center"/>
    </xf>
    <xf numFmtId="0" fontId="240" fillId="77" borderId="10" xfId="0" applyFont="1" applyFill="1" applyBorder="1" applyAlignment="1">
      <alignment horizontal="center"/>
    </xf>
    <xf numFmtId="0" fontId="240" fillId="78" borderId="7" xfId="0" applyFont="1" applyFill="1" applyBorder="1" applyAlignment="1">
      <alignment horizontal="center"/>
    </xf>
    <xf numFmtId="14" fontId="261" fillId="79" borderId="13" xfId="0" applyNumberFormat="1" applyFont="1" applyFill="1" applyBorder="1" applyAlignment="1">
      <alignment horizontal="center"/>
    </xf>
    <xf numFmtId="0" fontId="73" fillId="0" borderId="0" xfId="0" applyFont="1"/>
    <xf numFmtId="0" fontId="73" fillId="75" borderId="80" xfId="0" applyFont="1" applyFill="1" applyBorder="1"/>
    <xf numFmtId="0" fontId="73" fillId="0" borderId="0" xfId="0" applyFont="1" applyAlignment="1">
      <alignment horizontal="center"/>
    </xf>
    <xf numFmtId="0" fontId="268" fillId="0" borderId="13" xfId="0" applyFont="1" applyBorder="1" applyAlignment="1">
      <alignment horizontal="center"/>
    </xf>
    <xf numFmtId="0" fontId="91" fillId="0" borderId="13" xfId="0" applyFont="1" applyBorder="1"/>
    <xf numFmtId="0" fontId="72" fillId="0" borderId="0" xfId="0" applyFont="1"/>
    <xf numFmtId="168" fontId="303" fillId="0" borderId="0" xfId="0" applyNumberFormat="1" applyFont="1" applyAlignment="1">
      <alignment horizontal="left" vertical="center"/>
    </xf>
    <xf numFmtId="0" fontId="303" fillId="0" borderId="0" xfId="0" applyFont="1" applyAlignment="1">
      <alignment horizontal="left" vertical="center"/>
    </xf>
    <xf numFmtId="170" fontId="303" fillId="28" borderId="0" xfId="0" applyNumberFormat="1" applyFont="1" applyFill="1" applyAlignment="1">
      <alignment horizontal="center" vertical="center"/>
    </xf>
    <xf numFmtId="167" fontId="303" fillId="0" borderId="0" xfId="0" applyNumberFormat="1" applyFont="1" applyAlignment="1">
      <alignment vertical="center"/>
    </xf>
    <xf numFmtId="0" fontId="303" fillId="28" borderId="0" xfId="0" applyFont="1" applyFill="1" applyAlignment="1">
      <alignment vertical="center"/>
    </xf>
    <xf numFmtId="2" fontId="266" fillId="30" borderId="13" xfId="0" applyNumberFormat="1" applyFont="1" applyFill="1" applyBorder="1"/>
    <xf numFmtId="197" fontId="227" fillId="6" borderId="20" xfId="0" applyNumberFormat="1" applyFont="1" applyFill="1" applyBorder="1" applyAlignment="1">
      <alignment horizontal="right"/>
    </xf>
    <xf numFmtId="0" fontId="227" fillId="0" borderId="27" xfId="0" applyFont="1" applyBorder="1" applyAlignment="1">
      <alignment horizontal="right"/>
    </xf>
    <xf numFmtId="0" fontId="71" fillId="0" borderId="0" xfId="0" applyFont="1"/>
    <xf numFmtId="43" fontId="0" fillId="30" borderId="0" xfId="1" applyFont="1" applyFill="1" applyAlignment="1"/>
    <xf numFmtId="0" fontId="70" fillId="0" borderId="0" xfId="0" applyFont="1"/>
    <xf numFmtId="0" fontId="69" fillId="0" borderId="0" xfId="0" applyFont="1"/>
    <xf numFmtId="0" fontId="268" fillId="34" borderId="0" xfId="0" applyFont="1" applyFill="1" applyAlignment="1">
      <alignment horizontal="center" vertical="center"/>
    </xf>
    <xf numFmtId="0" fontId="68" fillId="0" borderId="0" xfId="0" applyFont="1"/>
    <xf numFmtId="0" fontId="67" fillId="0" borderId="0" xfId="0" applyFont="1"/>
    <xf numFmtId="0" fontId="0" fillId="71" borderId="80" xfId="0" applyFill="1" applyBorder="1"/>
    <xf numFmtId="0" fontId="0" fillId="71" borderId="80" xfId="0" applyFill="1" applyBorder="1" applyAlignment="1">
      <alignment horizontal="center"/>
    </xf>
    <xf numFmtId="0" fontId="0" fillId="71" borderId="13" xfId="0" applyFill="1" applyBorder="1"/>
    <xf numFmtId="0" fontId="0" fillId="71" borderId="0" xfId="0" applyFill="1" applyAlignment="1">
      <alignment horizontal="center" vertical="center"/>
    </xf>
    <xf numFmtId="0" fontId="151" fillId="71" borderId="0" xfId="0" applyFont="1" applyFill="1"/>
    <xf numFmtId="0" fontId="89" fillId="71" borderId="0" xfId="0" applyFont="1" applyFill="1"/>
    <xf numFmtId="2" fontId="266" fillId="42" borderId="13" xfId="0" applyNumberFormat="1" applyFont="1" applyFill="1" applyBorder="1"/>
    <xf numFmtId="0" fontId="66" fillId="0" borderId="0" xfId="0" applyFont="1"/>
    <xf numFmtId="0" fontId="0" fillId="80" borderId="80" xfId="0" applyFill="1" applyBorder="1"/>
    <xf numFmtId="0" fontId="0" fillId="80" borderId="80" xfId="0" applyFill="1" applyBorder="1" applyAlignment="1">
      <alignment horizontal="center"/>
    </xf>
    <xf numFmtId="0" fontId="0" fillId="80" borderId="0" xfId="0" applyFill="1"/>
    <xf numFmtId="0" fontId="0" fillId="80" borderId="0" xfId="0" applyFill="1" applyAlignment="1">
      <alignment horizontal="center" vertical="center"/>
    </xf>
    <xf numFmtId="0" fontId="117" fillId="80" borderId="0" xfId="0" applyFont="1" applyFill="1"/>
    <xf numFmtId="0" fontId="151" fillId="80" borderId="0" xfId="0" applyFont="1" applyFill="1"/>
    <xf numFmtId="0" fontId="65" fillId="0" borderId="0" xfId="0" applyFont="1"/>
    <xf numFmtId="178" fontId="262" fillId="34" borderId="13" xfId="0" applyNumberFormat="1" applyFont="1" applyFill="1" applyBorder="1" applyAlignment="1">
      <alignment horizontal="center"/>
    </xf>
    <xf numFmtId="198" fontId="0" fillId="0" borderId="0" xfId="1" applyNumberFormat="1" applyFont="1"/>
    <xf numFmtId="0" fontId="64" fillId="34" borderId="0" xfId="0" applyFont="1" applyFill="1"/>
    <xf numFmtId="178" fontId="266" fillId="0" borderId="0" xfId="0" applyNumberFormat="1" applyFont="1" applyAlignment="1">
      <alignment horizontal="center"/>
    </xf>
    <xf numFmtId="0" fontId="63" fillId="0" borderId="0" xfId="0" applyFont="1" applyAlignment="1">
      <alignment horizontal="center"/>
    </xf>
    <xf numFmtId="0" fontId="63" fillId="0" borderId="0" xfId="0" applyFont="1"/>
    <xf numFmtId="43" fontId="265" fillId="28" borderId="72" xfId="1" applyFont="1" applyFill="1" applyBorder="1"/>
    <xf numFmtId="0" fontId="62" fillId="0" borderId="0" xfId="0" applyFont="1"/>
    <xf numFmtId="0" fontId="62" fillId="0" borderId="80" xfId="0" applyFont="1" applyBorder="1" applyAlignment="1">
      <alignment horizontal="center"/>
    </xf>
    <xf numFmtId="0" fontId="61" fillId="0" borderId="0" xfId="0" applyFont="1"/>
    <xf numFmtId="0" fontId="59" fillId="0" borderId="0" xfId="0" applyFont="1"/>
    <xf numFmtId="0" fontId="239" fillId="0" borderId="0" xfId="0" applyFont="1" applyAlignment="1">
      <alignment horizontal="right" vertical="top"/>
    </xf>
    <xf numFmtId="0" fontId="58" fillId="0" borderId="0" xfId="0" applyFont="1"/>
    <xf numFmtId="0" fontId="57" fillId="0" borderId="0" xfId="0" applyFont="1"/>
    <xf numFmtId="0" fontId="0" fillId="81" borderId="80" xfId="0" applyFill="1" applyBorder="1"/>
    <xf numFmtId="0" fontId="0" fillId="81" borderId="80" xfId="0" applyFill="1" applyBorder="1" applyAlignment="1">
      <alignment horizontal="center"/>
    </xf>
    <xf numFmtId="0" fontId="0" fillId="81" borderId="13" xfId="0" applyFill="1" applyBorder="1"/>
    <xf numFmtId="0" fontId="0" fillId="81" borderId="0" xfId="0" applyFill="1" applyAlignment="1">
      <alignment horizontal="center" vertical="center"/>
    </xf>
    <xf numFmtId="0" fontId="60" fillId="81" borderId="0" xfId="0" applyFont="1" applyFill="1"/>
    <xf numFmtId="0" fontId="151" fillId="81" borderId="0" xfId="0" applyFont="1" applyFill="1"/>
    <xf numFmtId="0" fontId="0" fillId="81" borderId="0" xfId="0" applyFill="1"/>
    <xf numFmtId="0" fontId="56" fillId="0" borderId="0" xfId="0" applyFont="1"/>
    <xf numFmtId="0" fontId="55" fillId="0" borderId="0" xfId="0" applyFont="1" applyAlignment="1">
      <alignment horizontal="center"/>
    </xf>
    <xf numFmtId="14" fontId="232" fillId="2" borderId="31" xfId="0" applyNumberFormat="1" applyFont="1" applyFill="1" applyBorder="1" applyAlignment="1">
      <alignment horizontal="center"/>
    </xf>
    <xf numFmtId="14" fontId="232" fillId="33" borderId="13" xfId="0" applyNumberFormat="1" applyFont="1" applyFill="1" applyBorder="1" applyAlignment="1">
      <alignment horizontal="center"/>
    </xf>
    <xf numFmtId="14" fontId="232" fillId="33" borderId="0" xfId="0" applyNumberFormat="1" applyFont="1" applyFill="1" applyAlignment="1">
      <alignment horizontal="center"/>
    </xf>
    <xf numFmtId="0" fontId="0" fillId="75" borderId="66" xfId="0" applyFill="1" applyBorder="1" applyAlignment="1">
      <alignment horizontal="center"/>
    </xf>
    <xf numFmtId="0" fontId="54" fillId="0" borderId="0" xfId="0" applyFont="1"/>
    <xf numFmtId="0" fontId="54" fillId="75" borderId="80" xfId="0" applyFont="1" applyFill="1" applyBorder="1"/>
    <xf numFmtId="199" fontId="0" fillId="0" borderId="0" xfId="0" applyNumberFormat="1"/>
    <xf numFmtId="0" fontId="53" fillId="0" borderId="0" xfId="0" applyFont="1"/>
    <xf numFmtId="0" fontId="53" fillId="0" borderId="0" xfId="0" applyFont="1" applyAlignment="1">
      <alignment horizontal="center" vertical="center"/>
    </xf>
    <xf numFmtId="0" fontId="52" fillId="34" borderId="0" xfId="0" applyFont="1" applyFill="1"/>
    <xf numFmtId="0" fontId="317" fillId="0" borderId="13" xfId="47" applyFont="1" applyAlignment="1">
      <alignment vertical="center" wrapText="1"/>
    </xf>
    <xf numFmtId="0" fontId="313" fillId="0" borderId="13" xfId="47" applyFont="1" applyAlignment="1">
      <alignment vertical="center"/>
    </xf>
    <xf numFmtId="0" fontId="313" fillId="28" borderId="13" xfId="47" applyFont="1" applyFill="1" applyAlignment="1">
      <alignment vertical="center"/>
    </xf>
    <xf numFmtId="0" fontId="317" fillId="28" borderId="13" xfId="47" applyFont="1" applyFill="1" applyAlignment="1">
      <alignment vertical="center" wrapText="1"/>
    </xf>
    <xf numFmtId="0" fontId="322" fillId="28" borderId="13" xfId="47" applyFont="1" applyFill="1" applyAlignment="1">
      <alignment horizontal="left" vertical="center"/>
    </xf>
    <xf numFmtId="0" fontId="314" fillId="28" borderId="13" xfId="47" applyFont="1" applyFill="1" applyAlignment="1">
      <alignment horizontal="right" vertical="center"/>
    </xf>
    <xf numFmtId="0" fontId="314" fillId="28" borderId="13" xfId="47" applyFont="1" applyFill="1" applyAlignment="1">
      <alignment vertical="center"/>
    </xf>
    <xf numFmtId="0" fontId="322" fillId="28" borderId="13" xfId="47" applyFont="1" applyFill="1" applyAlignment="1">
      <alignment vertical="center"/>
    </xf>
    <xf numFmtId="0" fontId="319" fillId="28" borderId="13" xfId="47" applyFont="1" applyFill="1" applyAlignment="1">
      <alignment vertical="center"/>
    </xf>
    <xf numFmtId="0" fontId="313" fillId="28" borderId="13" xfId="47" applyFont="1" applyFill="1" applyAlignment="1">
      <alignment horizontal="left" vertical="center"/>
    </xf>
    <xf numFmtId="0" fontId="314" fillId="28" borderId="13" xfId="47" applyFont="1" applyFill="1" applyAlignment="1">
      <alignment horizontal="left" vertical="center"/>
    </xf>
    <xf numFmtId="0" fontId="318" fillId="28" borderId="13" xfId="47" applyFont="1" applyFill="1" applyAlignment="1">
      <alignment vertical="center"/>
    </xf>
    <xf numFmtId="0" fontId="320" fillId="28" borderId="13" xfId="47" applyFont="1" applyFill="1" applyAlignment="1">
      <alignment horizontal="left" vertical="center"/>
    </xf>
    <xf numFmtId="0" fontId="323" fillId="28" borderId="13" xfId="47" applyFont="1" applyFill="1" applyAlignment="1">
      <alignment vertical="center"/>
    </xf>
    <xf numFmtId="0" fontId="324" fillId="28" borderId="13" xfId="47" applyFont="1" applyFill="1" applyAlignment="1">
      <alignment horizontal="right" vertical="center"/>
    </xf>
    <xf numFmtId="0" fontId="323" fillId="28" borderId="13" xfId="47" applyFont="1" applyFill="1" applyAlignment="1">
      <alignment horizontal="left" vertical="center"/>
    </xf>
    <xf numFmtId="0" fontId="320" fillId="28" borderId="13" xfId="47" applyFont="1" applyFill="1" applyAlignment="1">
      <alignment vertical="center"/>
    </xf>
    <xf numFmtId="14" fontId="313" fillId="28" borderId="13" xfId="47" applyNumberFormat="1" applyFont="1" applyFill="1" applyAlignment="1">
      <alignment horizontal="left" vertical="center"/>
    </xf>
    <xf numFmtId="183" fontId="318" fillId="28" borderId="13" xfId="47" applyNumberFormat="1" applyFont="1" applyFill="1" applyAlignment="1">
      <alignment horizontal="left" vertical="center"/>
    </xf>
    <xf numFmtId="2" fontId="315" fillId="28" borderId="13" xfId="48" applyNumberFormat="1" applyFont="1" applyFill="1" applyAlignment="1">
      <alignment horizontal="center" vertical="center"/>
    </xf>
    <xf numFmtId="0" fontId="313" fillId="28" borderId="13" xfId="47" applyFont="1" applyFill="1" applyAlignment="1">
      <alignment horizontal="center" vertical="center"/>
    </xf>
    <xf numFmtId="178" fontId="314" fillId="28" borderId="13" xfId="47" applyNumberFormat="1" applyFont="1" applyFill="1" applyAlignment="1">
      <alignment horizontal="right" vertical="center"/>
    </xf>
    <xf numFmtId="178" fontId="314" fillId="28" borderId="13" xfId="47" quotePrefix="1" applyNumberFormat="1" applyFont="1" applyFill="1" applyAlignment="1">
      <alignment horizontal="left" vertical="center"/>
    </xf>
    <xf numFmtId="178" fontId="315" fillId="73" borderId="13" xfId="48" applyNumberFormat="1" applyFont="1" applyFill="1" applyAlignment="1">
      <alignment horizontal="center" vertical="center"/>
    </xf>
    <xf numFmtId="178" fontId="313" fillId="28" borderId="13" xfId="47" applyNumberFormat="1" applyFont="1" applyFill="1" applyAlignment="1">
      <alignment horizontal="center" vertical="center"/>
    </xf>
    <xf numFmtId="0" fontId="316" fillId="28" borderId="13" xfId="47" applyFont="1" applyFill="1" applyAlignment="1">
      <alignment vertical="center"/>
    </xf>
    <xf numFmtId="2" fontId="319" fillId="28" borderId="13" xfId="47" applyNumberFormat="1" applyFont="1" applyFill="1" applyAlignment="1">
      <alignment vertical="center"/>
    </xf>
    <xf numFmtId="0" fontId="325" fillId="28" borderId="13" xfId="47" applyFont="1" applyFill="1" applyAlignment="1">
      <alignment vertical="center"/>
    </xf>
    <xf numFmtId="0" fontId="326" fillId="28" borderId="13" xfId="47" applyFont="1" applyFill="1" applyAlignment="1">
      <alignment vertical="center"/>
    </xf>
    <xf numFmtId="0" fontId="316" fillId="28" borderId="13" xfId="47" applyFont="1" applyFill="1" applyAlignment="1">
      <alignment vertical="center" wrapText="1"/>
    </xf>
    <xf numFmtId="0" fontId="321" fillId="28" borderId="13" xfId="47" applyFont="1" applyFill="1" applyAlignment="1">
      <alignment vertical="center"/>
    </xf>
    <xf numFmtId="14" fontId="321" fillId="28" borderId="13" xfId="47" applyNumberFormat="1" applyFont="1" applyFill="1" applyAlignment="1">
      <alignment vertical="center"/>
    </xf>
    <xf numFmtId="14" fontId="319" fillId="28" borderId="13" xfId="47" applyNumberFormat="1" applyFont="1" applyFill="1" applyAlignment="1">
      <alignment vertical="center"/>
    </xf>
    <xf numFmtId="0" fontId="322" fillId="28" borderId="13" xfId="47" applyFont="1" applyFill="1" applyAlignment="1">
      <alignment horizontal="left" indent="2"/>
    </xf>
    <xf numFmtId="14" fontId="314" fillId="28" borderId="13" xfId="47" applyNumberFormat="1" applyFont="1" applyFill="1" applyAlignment="1">
      <alignment horizontal="center" vertical="center" wrapText="1"/>
    </xf>
    <xf numFmtId="14" fontId="314" fillId="0" borderId="13" xfId="47" applyNumberFormat="1" applyFont="1" applyAlignment="1">
      <alignment vertical="center" wrapText="1"/>
    </xf>
    <xf numFmtId="178" fontId="315" fillId="0" borderId="13" xfId="48" applyNumberFormat="1" applyFont="1" applyAlignment="1">
      <alignment vertical="center"/>
    </xf>
    <xf numFmtId="0" fontId="54" fillId="75" borderId="65" xfId="0" applyFont="1" applyFill="1" applyBorder="1"/>
    <xf numFmtId="0" fontId="329" fillId="28" borderId="13" xfId="47" applyFont="1" applyFill="1" applyAlignment="1">
      <alignment vertical="center"/>
    </xf>
    <xf numFmtId="0" fontId="330" fillId="28" borderId="13" xfId="47" applyFont="1" applyFill="1" applyAlignment="1">
      <alignment vertical="center"/>
    </xf>
    <xf numFmtId="1" fontId="328" fillId="28" borderId="13" xfId="47" applyNumberFormat="1" applyFont="1" applyFill="1" applyAlignment="1">
      <alignment horizontal="left" vertical="center"/>
    </xf>
    <xf numFmtId="0" fontId="328" fillId="28" borderId="13" xfId="47" applyFont="1" applyFill="1" applyAlignment="1">
      <alignment horizontal="left" vertical="center"/>
    </xf>
    <xf numFmtId="196" fontId="328" fillId="28" borderId="13" xfId="47" applyNumberFormat="1" applyFont="1" applyFill="1" applyAlignment="1">
      <alignment horizontal="left" vertical="center"/>
    </xf>
    <xf numFmtId="178" fontId="0" fillId="0" borderId="0" xfId="1" applyNumberFormat="1" applyFont="1" applyAlignment="1">
      <alignment horizontal="center"/>
    </xf>
    <xf numFmtId="178" fontId="266" fillId="0" borderId="0" xfId="1" applyNumberFormat="1" applyFont="1" applyAlignment="1">
      <alignment horizontal="center" vertical="center"/>
    </xf>
    <xf numFmtId="0" fontId="50" fillId="66" borderId="80" xfId="0" applyFont="1" applyFill="1" applyBorder="1"/>
    <xf numFmtId="0" fontId="50" fillId="71" borderId="80" xfId="0" applyFont="1" applyFill="1" applyBorder="1"/>
    <xf numFmtId="0" fontId="49" fillId="60" borderId="68" xfId="0" applyFont="1" applyFill="1" applyBorder="1"/>
    <xf numFmtId="0" fontId="49" fillId="60" borderId="71" xfId="0" applyFont="1" applyFill="1" applyBorder="1"/>
    <xf numFmtId="0" fontId="49" fillId="71" borderId="71" xfId="0" applyFont="1" applyFill="1" applyBorder="1"/>
    <xf numFmtId="0" fontId="48" fillId="34" borderId="80" xfId="0" applyFont="1" applyFill="1" applyBorder="1"/>
    <xf numFmtId="0" fontId="48" fillId="81" borderId="80" xfId="0" applyFont="1" applyFill="1" applyBorder="1"/>
    <xf numFmtId="0" fontId="48" fillId="0" borderId="80" xfId="0" applyFont="1" applyBorder="1"/>
    <xf numFmtId="0" fontId="48" fillId="75" borderId="80" xfId="0" applyFont="1" applyFill="1" applyBorder="1"/>
    <xf numFmtId="0" fontId="48" fillId="75" borderId="66" xfId="0" applyFont="1" applyFill="1" applyBorder="1"/>
    <xf numFmtId="0" fontId="48" fillId="80" borderId="80" xfId="0" applyFont="1" applyFill="1" applyBorder="1"/>
    <xf numFmtId="0" fontId="48" fillId="76" borderId="80" xfId="0" applyFont="1" applyFill="1" applyBorder="1"/>
    <xf numFmtId="178" fontId="0" fillId="0" borderId="0" xfId="1" applyNumberFormat="1" applyFont="1" applyFill="1" applyAlignment="1">
      <alignment horizontal="center"/>
    </xf>
    <xf numFmtId="0" fontId="47" fillId="0" borderId="0" xfId="0" applyFont="1"/>
    <xf numFmtId="0" fontId="127" fillId="0" borderId="80" xfId="0" applyFont="1" applyBorder="1"/>
    <xf numFmtId="0" fontId="131" fillId="0" borderId="0" xfId="0" applyFont="1"/>
    <xf numFmtId="0" fontId="46" fillId="66" borderId="80" xfId="0" applyFont="1" applyFill="1" applyBorder="1"/>
    <xf numFmtId="0" fontId="264" fillId="33" borderId="0" xfId="0" applyFont="1" applyFill="1" applyAlignment="1">
      <alignment horizontal="center"/>
    </xf>
    <xf numFmtId="0" fontId="0" fillId="82" borderId="80" xfId="0" applyFill="1" applyBorder="1"/>
    <xf numFmtId="0" fontId="0" fillId="82" borderId="80" xfId="0" applyFill="1" applyBorder="1" applyAlignment="1">
      <alignment horizontal="center"/>
    </xf>
    <xf numFmtId="0" fontId="0" fillId="82" borderId="13" xfId="0" applyFill="1" applyBorder="1"/>
    <xf numFmtId="0" fontId="0" fillId="82" borderId="0" xfId="0" applyFill="1" applyAlignment="1">
      <alignment horizontal="center" vertical="center"/>
    </xf>
    <xf numFmtId="0" fontId="151" fillId="82" borderId="0" xfId="0" applyFont="1" applyFill="1"/>
    <xf numFmtId="0" fontId="0" fillId="82" borderId="0" xfId="0" applyFill="1"/>
    <xf numFmtId="0" fontId="168" fillId="82" borderId="80" xfId="0" applyFont="1" applyFill="1" applyBorder="1"/>
    <xf numFmtId="0" fontId="46" fillId="82" borderId="80" xfId="0" applyFont="1" applyFill="1" applyBorder="1"/>
    <xf numFmtId="0" fontId="266" fillId="34" borderId="13" xfId="0" applyFont="1" applyFill="1" applyBorder="1"/>
    <xf numFmtId="0" fontId="266" fillId="34" borderId="0" xfId="0" applyFont="1" applyFill="1" applyAlignment="1">
      <alignment horizontal="center" vertical="center"/>
    </xf>
    <xf numFmtId="15" fontId="231" fillId="2" borderId="9" xfId="0" applyNumberFormat="1" applyFont="1" applyFill="1" applyBorder="1" applyAlignment="1">
      <alignment horizontal="center" vertical="center"/>
    </xf>
    <xf numFmtId="0" fontId="232" fillId="2" borderId="6" xfId="0" applyFont="1" applyFill="1" applyBorder="1" applyAlignment="1">
      <alignment horizontal="center" vertical="center"/>
    </xf>
    <xf numFmtId="0" fontId="231" fillId="2" borderId="7" xfId="0" applyFont="1" applyFill="1" applyBorder="1" applyAlignment="1">
      <alignment horizontal="center" vertical="center"/>
    </xf>
    <xf numFmtId="169" fontId="240" fillId="2" borderId="8" xfId="0" applyNumberFormat="1" applyFont="1" applyFill="1" applyBorder="1" applyAlignment="1">
      <alignment horizontal="center" vertical="center"/>
    </xf>
    <xf numFmtId="178" fontId="262" fillId="0" borderId="0" xfId="0" applyNumberFormat="1" applyFont="1" applyAlignment="1">
      <alignment horizontal="center" vertical="center"/>
    </xf>
    <xf numFmtId="178" fontId="227" fillId="0" borderId="13" xfId="0" applyNumberFormat="1" applyFont="1" applyBorder="1" applyAlignment="1">
      <alignment horizontal="center" vertical="center"/>
    </xf>
    <xf numFmtId="178" fontId="227" fillId="28" borderId="0" xfId="0" applyNumberFormat="1" applyFont="1" applyFill="1" applyAlignment="1">
      <alignment vertical="center"/>
    </xf>
    <xf numFmtId="0" fontId="227" fillId="0" borderId="0" xfId="0" applyFont="1" applyAlignment="1">
      <alignment vertical="center"/>
    </xf>
    <xf numFmtId="0" fontId="232" fillId="2" borderId="10" xfId="0" applyFont="1" applyFill="1" applyBorder="1" applyAlignment="1">
      <alignment horizontal="center" vertical="center"/>
    </xf>
    <xf numFmtId="15" fontId="231" fillId="2" borderId="10" xfId="0" applyNumberFormat="1" applyFont="1" applyFill="1" applyBorder="1" applyAlignment="1">
      <alignment horizontal="center" vertical="center"/>
    </xf>
    <xf numFmtId="15" fontId="241" fillId="2" borderId="10" xfId="0" applyNumberFormat="1" applyFont="1" applyFill="1" applyBorder="1" applyAlignment="1">
      <alignment horizontal="center" vertical="center"/>
    </xf>
    <xf numFmtId="0" fontId="231" fillId="2" borderId="10" xfId="0" applyFont="1" applyFill="1" applyBorder="1" applyAlignment="1">
      <alignment horizontal="center" vertical="center"/>
    </xf>
    <xf numFmtId="169" fontId="231" fillId="2" borderId="11" xfId="0" applyNumberFormat="1" applyFont="1" applyFill="1" applyBorder="1" applyAlignment="1">
      <alignment horizontal="center" vertical="center"/>
    </xf>
    <xf numFmtId="174" fontId="232" fillId="0" borderId="0" xfId="0" applyNumberFormat="1" applyFont="1" applyAlignment="1">
      <alignment horizontal="center" vertical="center"/>
    </xf>
    <xf numFmtId="168" fontId="232" fillId="0" borderId="0" xfId="0" applyNumberFormat="1" applyFont="1" applyAlignment="1">
      <alignment horizontal="center" vertical="center"/>
    </xf>
    <xf numFmtId="1" fontId="232" fillId="69" borderId="2" xfId="0" applyNumberFormat="1" applyFont="1" applyFill="1" applyBorder="1" applyAlignment="1">
      <alignment horizontal="center"/>
    </xf>
    <xf numFmtId="1" fontId="232" fillId="2" borderId="13" xfId="0" applyNumberFormat="1" applyFont="1" applyFill="1" applyBorder="1" applyAlignment="1">
      <alignment horizontal="center" vertical="top"/>
    </xf>
    <xf numFmtId="0" fontId="232" fillId="0" borderId="0" xfId="0" applyFont="1" applyAlignment="1">
      <alignment horizontal="center"/>
    </xf>
    <xf numFmtId="0" fontId="334" fillId="28" borderId="13" xfId="47" applyFont="1" applyFill="1" applyAlignment="1">
      <alignment horizontal="left" indent="1"/>
    </xf>
    <xf numFmtId="0" fontId="334" fillId="28" borderId="13" xfId="47" applyFont="1" applyFill="1" applyAlignment="1">
      <alignment horizontal="left" vertical="top" indent="1"/>
    </xf>
    <xf numFmtId="0" fontId="314" fillId="28" borderId="13" xfId="47" applyFont="1" applyFill="1" applyAlignment="1">
      <alignment horizontal="right"/>
    </xf>
    <xf numFmtId="0" fontId="328" fillId="28" borderId="13" xfId="47" applyFont="1" applyFill="1"/>
    <xf numFmtId="0" fontId="335" fillId="83" borderId="13" xfId="47" applyFont="1" applyFill="1" applyAlignment="1">
      <alignment horizontal="left" vertical="center" indent="1"/>
    </xf>
    <xf numFmtId="0" fontId="313" fillId="83" borderId="13" xfId="47" applyFont="1" applyFill="1" applyAlignment="1">
      <alignment horizontal="center" vertical="center"/>
    </xf>
    <xf numFmtId="178" fontId="313" fillId="83" borderId="13" xfId="47" applyNumberFormat="1" applyFont="1" applyFill="1" applyAlignment="1">
      <alignment horizontal="center" vertical="center"/>
    </xf>
    <xf numFmtId="0" fontId="46" fillId="0" borderId="0" xfId="0" applyFont="1"/>
    <xf numFmtId="0" fontId="337" fillId="84" borderId="80" xfId="0" applyFont="1" applyFill="1" applyBorder="1" applyAlignment="1">
      <alignment horizontal="center" vertical="center"/>
    </xf>
    <xf numFmtId="0" fontId="45" fillId="0" borderId="0" xfId="0" applyFont="1"/>
    <xf numFmtId="0" fontId="44" fillId="0" borderId="0" xfId="0" applyFont="1"/>
    <xf numFmtId="0" fontId="243" fillId="0" borderId="0" xfId="0" quotePrefix="1" applyFont="1" applyAlignment="1">
      <alignment horizontal="right" vertical="top"/>
    </xf>
    <xf numFmtId="0" fontId="43" fillId="0" borderId="0" xfId="0" applyFont="1"/>
    <xf numFmtId="40" fontId="232" fillId="2" borderId="12" xfId="0" applyNumberFormat="1" applyFont="1" applyFill="1" applyBorder="1" applyAlignment="1">
      <alignment horizontal="center"/>
    </xf>
    <xf numFmtId="0" fontId="328" fillId="28" borderId="13" xfId="47" applyFont="1" applyFill="1" applyAlignment="1">
      <alignment horizontal="center" vertical="center"/>
    </xf>
    <xf numFmtId="178" fontId="329" fillId="28" borderId="13" xfId="47" applyNumberFormat="1" applyFont="1" applyFill="1" applyAlignment="1">
      <alignment horizontal="right" vertical="center"/>
    </xf>
    <xf numFmtId="178" fontId="329" fillId="28" borderId="13" xfId="47" quotePrefix="1" applyNumberFormat="1" applyFont="1" applyFill="1" applyAlignment="1">
      <alignment horizontal="left" vertical="center"/>
    </xf>
    <xf numFmtId="0" fontId="42" fillId="0" borderId="0" xfId="0" applyFont="1" applyAlignment="1">
      <alignment horizontal="center"/>
    </xf>
    <xf numFmtId="0" fontId="42" fillId="75" borderId="80" xfId="0" applyFont="1" applyFill="1" applyBorder="1"/>
    <xf numFmtId="0" fontId="41" fillId="60" borderId="68" xfId="0" applyFont="1" applyFill="1" applyBorder="1"/>
    <xf numFmtId="0" fontId="41" fillId="60" borderId="71" xfId="0" applyFont="1" applyFill="1" applyBorder="1"/>
    <xf numFmtId="0" fontId="41" fillId="71" borderId="71" xfId="0" applyFont="1" applyFill="1" applyBorder="1"/>
    <xf numFmtId="43" fontId="266" fillId="28" borderId="72" xfId="1" applyFont="1" applyFill="1" applyBorder="1"/>
    <xf numFmtId="0" fontId="41" fillId="0" borderId="0" xfId="0" applyFont="1"/>
    <xf numFmtId="0" fontId="41" fillId="28" borderId="71" xfId="0" applyFont="1" applyFill="1" applyBorder="1"/>
    <xf numFmtId="43" fontId="0" fillId="34" borderId="50" xfId="0" applyNumberFormat="1" applyFill="1" applyBorder="1"/>
    <xf numFmtId="0" fontId="262" fillId="85" borderId="30" xfId="0" applyFont="1" applyFill="1" applyBorder="1" applyAlignment="1">
      <alignment horizontal="center"/>
    </xf>
    <xf numFmtId="0" fontId="40" fillId="0" borderId="0" xfId="0" applyFont="1"/>
    <xf numFmtId="0" fontId="40" fillId="75" borderId="80" xfId="0" applyFont="1" applyFill="1" applyBorder="1"/>
    <xf numFmtId="0" fontId="42" fillId="0" borderId="0" xfId="0" applyFont="1" applyAlignment="1">
      <alignment horizontal="center" vertical="center"/>
    </xf>
    <xf numFmtId="178" fontId="0" fillId="34" borderId="0" xfId="1" applyNumberFormat="1" applyFont="1" applyFill="1" applyAlignment="1">
      <alignment horizontal="center"/>
    </xf>
    <xf numFmtId="0" fontId="39" fillId="0" borderId="0" xfId="0" applyFont="1"/>
    <xf numFmtId="197" fontId="0" fillId="34" borderId="74" xfId="1" applyNumberFormat="1" applyFont="1" applyFill="1" applyBorder="1"/>
    <xf numFmtId="197" fontId="0" fillId="0" borderId="0" xfId="0" applyNumberFormat="1"/>
    <xf numFmtId="0" fontId="37" fillId="0" borderId="0" xfId="0" applyFont="1"/>
    <xf numFmtId="168" fontId="232" fillId="34" borderId="0" xfId="0" applyNumberFormat="1" applyFont="1" applyFill="1" applyAlignment="1">
      <alignment horizontal="center"/>
    </xf>
    <xf numFmtId="0" fontId="232" fillId="34" borderId="0" xfId="0" applyFont="1" applyFill="1" applyAlignment="1">
      <alignment horizontal="center"/>
    </xf>
    <xf numFmtId="174" fontId="232" fillId="34" borderId="0" xfId="0" applyNumberFormat="1" applyFont="1" applyFill="1" applyAlignment="1">
      <alignment horizontal="center"/>
    </xf>
    <xf numFmtId="0" fontId="36" fillId="0" borderId="0" xfId="0" applyFont="1"/>
    <xf numFmtId="0" fontId="35" fillId="75" borderId="80" xfId="0" applyFont="1" applyFill="1" applyBorder="1"/>
    <xf numFmtId="0" fontId="34" fillId="0" borderId="0" xfId="0" applyFont="1"/>
    <xf numFmtId="0" fontId="33" fillId="34" borderId="0" xfId="0" applyFont="1" applyFill="1"/>
    <xf numFmtId="166" fontId="339" fillId="0" borderId="0" xfId="0" applyNumberFormat="1" applyFont="1" applyAlignment="1">
      <alignment horizontal="center"/>
    </xf>
    <xf numFmtId="167" fontId="340" fillId="0" borderId="0" xfId="0" applyNumberFormat="1" applyFont="1"/>
    <xf numFmtId="167" fontId="340" fillId="34" borderId="0" xfId="0" applyNumberFormat="1" applyFont="1" applyFill="1" applyAlignment="1">
      <alignment vertical="center"/>
    </xf>
    <xf numFmtId="0" fontId="32" fillId="0" borderId="0" xfId="0" applyFont="1"/>
    <xf numFmtId="0" fontId="31" fillId="0" borderId="0" xfId="0" applyFont="1"/>
    <xf numFmtId="0" fontId="29" fillId="60" borderId="68" xfId="0" applyFont="1" applyFill="1" applyBorder="1"/>
    <xf numFmtId="0" fontId="29" fillId="60" borderId="71" xfId="0" applyFont="1" applyFill="1" applyBorder="1"/>
    <xf numFmtId="0" fontId="29" fillId="71" borderId="71" xfId="0" applyFont="1" applyFill="1" applyBorder="1"/>
    <xf numFmtId="199" fontId="0" fillId="0" borderId="0" xfId="0" applyNumberFormat="1" applyAlignment="1">
      <alignment horizontal="center" vertical="center"/>
    </xf>
    <xf numFmtId="0" fontId="268" fillId="0" borderId="0" xfId="0" applyFont="1" applyAlignment="1">
      <alignment horizontal="center" vertical="center"/>
    </xf>
    <xf numFmtId="0" fontId="0" fillId="28" borderId="0" xfId="0" applyFill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99" fontId="303" fillId="28" borderId="0" xfId="0" applyNumberFormat="1" applyFont="1" applyFill="1" applyAlignment="1">
      <alignment horizontal="center" vertical="center"/>
    </xf>
    <xf numFmtId="0" fontId="303" fillId="28" borderId="0" xfId="0" applyFont="1" applyFill="1" applyAlignment="1">
      <alignment horizontal="center" vertical="center"/>
    </xf>
    <xf numFmtId="0" fontId="28" fillId="0" borderId="0" xfId="0" applyFont="1"/>
    <xf numFmtId="0" fontId="27" fillId="0" borderId="0" xfId="0" applyFont="1"/>
    <xf numFmtId="0" fontId="27" fillId="34" borderId="0" xfId="0" applyFont="1" applyFill="1"/>
    <xf numFmtId="0" fontId="27" fillId="34" borderId="80" xfId="0" applyFont="1" applyFill="1" applyBorder="1"/>
    <xf numFmtId="2" fontId="227" fillId="59" borderId="13" xfId="0" applyNumberFormat="1" applyFont="1" applyFill="1" applyBorder="1"/>
    <xf numFmtId="0" fontId="268" fillId="34" borderId="80" xfId="0" applyFont="1" applyFill="1" applyBorder="1" applyAlignment="1">
      <alignment horizontal="center" vertical="center"/>
    </xf>
    <xf numFmtId="199" fontId="0" fillId="34" borderId="0" xfId="0" applyNumberFormat="1" applyFill="1" applyAlignment="1">
      <alignment horizontal="center" vertical="center"/>
    </xf>
    <xf numFmtId="0" fontId="26" fillId="34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0" fontId="0" fillId="0" borderId="75" xfId="0" applyNumberFormat="1" applyBorder="1" applyAlignment="1">
      <alignment horizontal="center"/>
    </xf>
    <xf numFmtId="168" fontId="227" fillId="0" borderId="0" xfId="0" applyNumberFormat="1" applyFont="1" applyAlignment="1">
      <alignment horizontal="center" vertical="center"/>
    </xf>
    <xf numFmtId="175" fontId="227" fillId="0" borderId="0" xfId="0" applyNumberFormat="1" applyFont="1" applyAlignment="1">
      <alignment horizontal="center" vertical="center"/>
    </xf>
    <xf numFmtId="0" fontId="232" fillId="2" borderId="28" xfId="0" applyFont="1" applyFill="1" applyBorder="1" applyAlignment="1">
      <alignment horizontal="center" vertical="center"/>
    </xf>
    <xf numFmtId="0" fontId="232" fillId="33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3" fillId="0" borderId="0" xfId="0" applyFont="1"/>
    <xf numFmtId="169" fontId="342" fillId="28" borderId="0" xfId="0" applyNumberFormat="1" applyFont="1" applyFill="1" applyAlignment="1">
      <alignment horizontal="center"/>
    </xf>
    <xf numFmtId="0" fontId="23" fillId="40" borderId="13" xfId="0" applyFont="1" applyFill="1" applyBorder="1"/>
    <xf numFmtId="0" fontId="0" fillId="40" borderId="13" xfId="0" applyFill="1" applyBorder="1"/>
    <xf numFmtId="0" fontId="0" fillId="40" borderId="13" xfId="0" applyFill="1" applyBorder="1" applyAlignment="1">
      <alignment horizontal="center"/>
    </xf>
    <xf numFmtId="0" fontId="0" fillId="40" borderId="0" xfId="0" applyFill="1" applyAlignment="1">
      <alignment horizontal="center" vertical="center"/>
    </xf>
    <xf numFmtId="0" fontId="23" fillId="40" borderId="0" xfId="0" applyFont="1" applyFill="1"/>
    <xf numFmtId="0" fontId="67" fillId="40" borderId="0" xfId="0" applyFont="1" applyFill="1"/>
    <xf numFmtId="0" fontId="22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0" fillId="60" borderId="68" xfId="0" applyFont="1" applyFill="1" applyBorder="1"/>
    <xf numFmtId="0" fontId="20" fillId="60" borderId="71" xfId="0" applyFont="1" applyFill="1" applyBorder="1"/>
    <xf numFmtId="0" fontId="20" fillId="71" borderId="71" xfId="0" applyFont="1" applyFill="1" applyBorder="1"/>
    <xf numFmtId="0" fontId="19" fillId="0" borderId="0" xfId="0" applyFont="1"/>
    <xf numFmtId="40" fontId="227" fillId="86" borderId="13" xfId="0" applyNumberFormat="1" applyFont="1" applyFill="1" applyBorder="1"/>
    <xf numFmtId="14" fontId="0" fillId="87" borderId="0" xfId="0" applyNumberFormat="1" applyFill="1" applyAlignment="1">
      <alignment horizontal="center"/>
    </xf>
    <xf numFmtId="0" fontId="265" fillId="34" borderId="0" xfId="0" applyFont="1" applyFill="1" applyAlignment="1">
      <alignment horizontal="center" vertical="center"/>
    </xf>
    <xf numFmtId="168" fontId="232" fillId="28" borderId="0" xfId="0" applyNumberFormat="1" applyFont="1" applyFill="1" applyAlignment="1">
      <alignment horizontal="center" vertical="center"/>
    </xf>
    <xf numFmtId="174" fontId="232" fillId="34" borderId="0" xfId="0" applyNumberFormat="1" applyFont="1" applyFill="1" applyAlignment="1">
      <alignment horizontal="center" vertical="center"/>
    </xf>
    <xf numFmtId="0" fontId="18" fillId="0" borderId="80" xfId="0" applyFont="1" applyBorder="1"/>
    <xf numFmtId="200" fontId="227" fillId="0" borderId="16" xfId="0" applyNumberFormat="1" applyFont="1" applyBorder="1" applyAlignment="1">
      <alignment horizontal="center"/>
    </xf>
    <xf numFmtId="0" fontId="17" fillId="66" borderId="80" xfId="0" applyFont="1" applyFill="1" applyBorder="1"/>
    <xf numFmtId="0" fontId="16" fillId="82" borderId="80" xfId="0" applyFont="1" applyFill="1" applyBorder="1"/>
    <xf numFmtId="14" fontId="0" fillId="88" borderId="0" xfId="0" applyNumberFormat="1" applyFill="1" applyAlignment="1">
      <alignment horizontal="center"/>
    </xf>
    <xf numFmtId="0" fontId="15" fillId="60" borderId="68" xfId="0" applyFont="1" applyFill="1" applyBorder="1"/>
    <xf numFmtId="0" fontId="15" fillId="60" borderId="71" xfId="0" applyFont="1" applyFill="1" applyBorder="1"/>
    <xf numFmtId="0" fontId="15" fillId="71" borderId="71" xfId="0" applyFont="1" applyFill="1" applyBorder="1"/>
    <xf numFmtId="0" fontId="14" fillId="0" borderId="0" xfId="0" applyFont="1" applyAlignment="1">
      <alignment horizontal="center" vertical="center"/>
    </xf>
    <xf numFmtId="43" fontId="265" fillId="60" borderId="72" xfId="1" applyFont="1" applyFill="1" applyBorder="1"/>
    <xf numFmtId="0" fontId="13" fillId="66" borderId="80" xfId="0" applyFont="1" applyFill="1" applyBorder="1"/>
    <xf numFmtId="2" fontId="265" fillId="34" borderId="13" xfId="0" applyNumberFormat="1" applyFont="1" applyFill="1" applyBorder="1" applyAlignment="1">
      <alignment horizontal="right"/>
    </xf>
    <xf numFmtId="2" fontId="266" fillId="30" borderId="13" xfId="0" applyNumberFormat="1" applyFont="1" applyFill="1" applyBorder="1" applyAlignment="1">
      <alignment horizontal="right"/>
    </xf>
    <xf numFmtId="2" fontId="266" fillId="34" borderId="13" xfId="0" applyNumberFormat="1" applyFont="1" applyFill="1" applyBorder="1" applyAlignment="1">
      <alignment horizontal="right"/>
    </xf>
    <xf numFmtId="2" fontId="272" fillId="0" borderId="13" xfId="0" applyNumberFormat="1" applyFont="1" applyBorder="1" applyAlignment="1">
      <alignment horizontal="right"/>
    </xf>
    <xf numFmtId="0" fontId="13" fillId="75" borderId="80" xfId="0" applyFont="1" applyFill="1" applyBorder="1"/>
    <xf numFmtId="0" fontId="12" fillId="0" borderId="0" xfId="0" applyFont="1"/>
    <xf numFmtId="0" fontId="11" fillId="0" borderId="0" xfId="0" applyFont="1"/>
    <xf numFmtId="0" fontId="10" fillId="0" borderId="0" xfId="0" applyFont="1"/>
    <xf numFmtId="178" fontId="0" fillId="40" borderId="0" xfId="0" applyNumberFormat="1" applyFill="1" applyAlignment="1">
      <alignment horizontal="center" vertical="center"/>
    </xf>
    <xf numFmtId="2" fontId="265" fillId="0" borderId="13" xfId="0" applyNumberFormat="1" applyFont="1" applyBorder="1" applyAlignment="1">
      <alignment horizontal="right"/>
    </xf>
    <xf numFmtId="0" fontId="0" fillId="69" borderId="80" xfId="0" applyFill="1" applyBorder="1"/>
    <xf numFmtId="0" fontId="46" fillId="69" borderId="80" xfId="0" applyFont="1" applyFill="1" applyBorder="1"/>
    <xf numFmtId="0" fontId="0" fillId="69" borderId="80" xfId="0" applyFill="1" applyBorder="1" applyAlignment="1">
      <alignment horizontal="center"/>
    </xf>
    <xf numFmtId="0" fontId="0" fillId="69" borderId="13" xfId="0" applyFill="1" applyBorder="1"/>
    <xf numFmtId="0" fontId="0" fillId="69" borderId="0" xfId="0" applyFill="1" applyAlignment="1">
      <alignment horizontal="center" vertical="center"/>
    </xf>
    <xf numFmtId="0" fontId="10" fillId="69" borderId="0" xfId="0" applyFont="1" applyFill="1" applyAlignment="1">
      <alignment horizontal="center" vertical="center"/>
    </xf>
    <xf numFmtId="0" fontId="90" fillId="69" borderId="0" xfId="0" applyFont="1" applyFill="1"/>
    <xf numFmtId="0" fontId="0" fillId="69" borderId="0" xfId="0" applyFill="1"/>
    <xf numFmtId="0" fontId="9" fillId="76" borderId="80" xfId="0" applyFont="1" applyFill="1" applyBorder="1"/>
    <xf numFmtId="0" fontId="232" fillId="77" borderId="30" xfId="0" applyFont="1" applyFill="1" applyBorder="1"/>
    <xf numFmtId="14" fontId="232" fillId="77" borderId="13" xfId="0" applyNumberFormat="1" applyFont="1" applyFill="1" applyBorder="1" applyAlignment="1">
      <alignment horizontal="center"/>
    </xf>
    <xf numFmtId="14" fontId="232" fillId="77" borderId="0" xfId="0" applyNumberFormat="1" applyFont="1" applyFill="1" applyAlignment="1">
      <alignment horizontal="center"/>
    </xf>
    <xf numFmtId="0" fontId="232" fillId="77" borderId="0" xfId="0" applyFont="1" applyFill="1"/>
    <xf numFmtId="0" fontId="264" fillId="77" borderId="0" xfId="0" applyFont="1" applyFill="1" applyAlignment="1">
      <alignment horizontal="center"/>
    </xf>
    <xf numFmtId="0" fontId="232" fillId="77" borderId="0" xfId="0" applyFont="1" applyFill="1" applyAlignment="1">
      <alignment horizontal="center"/>
    </xf>
    <xf numFmtId="0" fontId="232" fillId="77" borderId="0" xfId="0" applyFont="1" applyFill="1" applyAlignment="1">
      <alignment horizontal="center" vertical="center"/>
    </xf>
    <xf numFmtId="0" fontId="232" fillId="89" borderId="0" xfId="0" applyFont="1" applyFill="1" applyAlignment="1">
      <alignment horizontal="center"/>
    </xf>
    <xf numFmtId="0" fontId="232" fillId="89" borderId="0" xfId="0" applyFont="1" applyFill="1"/>
    <xf numFmtId="0" fontId="232" fillId="77" borderId="13" xfId="0" applyFont="1" applyFill="1" applyBorder="1" applyAlignment="1">
      <alignment horizontal="center"/>
    </xf>
    <xf numFmtId="0" fontId="248" fillId="89" borderId="0" xfId="0" applyFont="1" applyFill="1" applyAlignment="1">
      <alignment horizontal="center"/>
    </xf>
    <xf numFmtId="0" fontId="231" fillId="89" borderId="0" xfId="0" applyFont="1" applyFill="1"/>
    <xf numFmtId="0" fontId="231" fillId="77" borderId="0" xfId="0" applyFont="1" applyFill="1"/>
    <xf numFmtId="0" fontId="232" fillId="89" borderId="13" xfId="0" applyFont="1" applyFill="1" applyBorder="1" applyAlignment="1">
      <alignment horizontal="center"/>
    </xf>
    <xf numFmtId="40" fontId="232" fillId="77" borderId="13" xfId="0" applyNumberFormat="1" applyFont="1" applyFill="1" applyBorder="1" applyAlignment="1">
      <alignment horizontal="center"/>
    </xf>
    <xf numFmtId="40" fontId="240" fillId="77" borderId="13" xfId="0" applyNumberFormat="1" applyFont="1" applyFill="1" applyBorder="1"/>
    <xf numFmtId="40" fontId="240" fillId="77" borderId="13" xfId="0" applyNumberFormat="1" applyFont="1" applyFill="1" applyBorder="1" applyAlignment="1">
      <alignment horizontal="center"/>
    </xf>
    <xf numFmtId="40" fontId="249" fillId="34" borderId="13" xfId="0" applyNumberFormat="1" applyFont="1" applyFill="1" applyBorder="1"/>
    <xf numFmtId="40" fontId="249" fillId="34" borderId="13" xfId="0" applyNumberFormat="1" applyFont="1" applyFill="1" applyBorder="1" applyAlignment="1">
      <alignment horizontal="center"/>
    </xf>
    <xf numFmtId="169" fontId="227" fillId="34" borderId="13" xfId="0" applyNumberFormat="1" applyFont="1" applyFill="1" applyBorder="1" applyAlignment="1">
      <alignment horizontal="center"/>
    </xf>
    <xf numFmtId="40" fontId="227" fillId="34" borderId="13" xfId="0" applyNumberFormat="1" applyFont="1" applyFill="1" applyBorder="1" applyAlignment="1">
      <alignment horizontal="center"/>
    </xf>
    <xf numFmtId="179" fontId="227" fillId="34" borderId="0" xfId="0" applyNumberFormat="1" applyFont="1" applyFill="1"/>
    <xf numFmtId="40" fontId="227" fillId="34" borderId="0" xfId="0" applyNumberFormat="1" applyFont="1" applyFill="1" applyAlignment="1">
      <alignment horizontal="center"/>
    </xf>
    <xf numFmtId="14" fontId="8" fillId="0" borderId="0" xfId="0" applyNumberFormat="1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75" borderId="80" xfId="0" applyFont="1" applyFill="1" applyBorder="1"/>
    <xf numFmtId="43" fontId="266" fillId="0" borderId="0" xfId="1" applyFont="1" applyAlignment="1"/>
    <xf numFmtId="0" fontId="7" fillId="0" borderId="0" xfId="0" applyFont="1"/>
    <xf numFmtId="43" fontId="262" fillId="85" borderId="30" xfId="1" applyFont="1" applyFill="1" applyBorder="1" applyAlignment="1">
      <alignment horizontal="center"/>
    </xf>
    <xf numFmtId="0" fontId="6" fillId="0" borderId="0" xfId="0" applyFont="1"/>
    <xf numFmtId="0" fontId="6" fillId="0" borderId="80" xfId="0" applyFont="1" applyBorder="1"/>
    <xf numFmtId="0" fontId="7" fillId="69" borderId="80" xfId="0" applyFont="1" applyFill="1" applyBorder="1"/>
    <xf numFmtId="0" fontId="5" fillId="69" borderId="0" xfId="0" applyFont="1" applyFill="1"/>
    <xf numFmtId="14" fontId="265" fillId="0" borderId="0" xfId="0" applyNumberFormat="1" applyFont="1" applyAlignment="1">
      <alignment horizontal="center"/>
    </xf>
    <xf numFmtId="178" fontId="272" fillId="30" borderId="0" xfId="0" applyNumberFormat="1" applyFont="1" applyFill="1" applyAlignment="1">
      <alignment horizontal="center"/>
    </xf>
    <xf numFmtId="0" fontId="4" fillId="34" borderId="50" xfId="0" applyFont="1" applyFill="1" applyBorder="1"/>
    <xf numFmtId="0" fontId="3" fillId="34" borderId="50" xfId="0" applyFont="1" applyFill="1" applyBorder="1"/>
    <xf numFmtId="0" fontId="328" fillId="28" borderId="80" xfId="47" applyFont="1" applyFill="1" applyBorder="1" applyAlignment="1">
      <alignment horizontal="center" vertical="center"/>
    </xf>
    <xf numFmtId="178" fontId="329" fillId="28" borderId="76" xfId="47" applyNumberFormat="1" applyFont="1" applyFill="1" applyBorder="1" applyAlignment="1">
      <alignment horizontal="right" vertical="center"/>
    </xf>
    <xf numFmtId="178" fontId="329" fillId="28" borderId="77" xfId="47" quotePrefix="1" applyNumberFormat="1" applyFont="1" applyFill="1" applyBorder="1" applyAlignment="1">
      <alignment horizontal="left" vertical="center"/>
    </xf>
    <xf numFmtId="0" fontId="3" fillId="75" borderId="80" xfId="0" applyFont="1" applyFill="1" applyBorder="1"/>
    <xf numFmtId="0" fontId="0" fillId="0" borderId="0" xfId="0"/>
    <xf numFmtId="14" fontId="0" fillId="0" borderId="0" xfId="0" applyNumberFormat="1" applyFill="1" applyAlignment="1">
      <alignment horizontal="center"/>
    </xf>
    <xf numFmtId="0" fontId="2" fillId="0" borderId="0" xfId="0" applyFont="1"/>
    <xf numFmtId="0" fontId="7" fillId="52" borderId="80" xfId="0" applyFont="1" applyFill="1" applyBorder="1"/>
    <xf numFmtId="0" fontId="6" fillId="52" borderId="80" xfId="0" applyFont="1" applyFill="1" applyBorder="1"/>
    <xf numFmtId="0" fontId="0" fillId="52" borderId="80" xfId="0" applyFill="1" applyBorder="1" applyAlignment="1">
      <alignment horizontal="center"/>
    </xf>
    <xf numFmtId="0" fontId="0" fillId="52" borderId="0" xfId="0" applyFill="1" applyAlignment="1">
      <alignment horizontal="center" vertical="center"/>
    </xf>
    <xf numFmtId="0" fontId="0" fillId="52" borderId="0" xfId="0" applyFill="1"/>
    <xf numFmtId="0" fontId="151" fillId="52" borderId="0" xfId="0" applyFont="1" applyFill="1"/>
    <xf numFmtId="178" fontId="0" fillId="52" borderId="0" xfId="0" applyNumberFormat="1" applyFill="1" applyAlignment="1">
      <alignment horizontal="center" vertical="center"/>
    </xf>
    <xf numFmtId="0" fontId="2" fillId="52" borderId="0" xfId="0" applyFont="1" applyFill="1" applyAlignment="1">
      <alignment horizontal="center" vertical="center"/>
    </xf>
    <xf numFmtId="0" fontId="0" fillId="0" borderId="0" xfId="0"/>
    <xf numFmtId="0" fontId="1" fillId="40" borderId="13" xfId="0" applyFont="1" applyFill="1" applyBorder="1"/>
    <xf numFmtId="0" fontId="1" fillId="40" borderId="0" xfId="0" applyFont="1" applyFill="1"/>
    <xf numFmtId="2" fontId="0" fillId="40" borderId="0" xfId="0" applyNumberFormat="1" applyFill="1" applyAlignment="1">
      <alignment horizontal="center" vertical="center"/>
    </xf>
    <xf numFmtId="0" fontId="0" fillId="0" borderId="0" xfId="0"/>
    <xf numFmtId="0" fontId="328" fillId="28" borderId="13" xfId="47" applyFont="1" applyFill="1" applyBorder="1" applyAlignment="1">
      <alignment horizontal="center" vertical="center"/>
    </xf>
    <xf numFmtId="178" fontId="329" fillId="28" borderId="13" xfId="47" applyNumberFormat="1" applyFont="1" applyFill="1" applyBorder="1" applyAlignment="1">
      <alignment horizontal="right" vertical="center"/>
    </xf>
    <xf numFmtId="178" fontId="329" fillId="28" borderId="13" xfId="47" quotePrefix="1" applyNumberFormat="1" applyFont="1" applyFill="1" applyBorder="1" applyAlignment="1">
      <alignment horizontal="left" vertical="center"/>
    </xf>
    <xf numFmtId="0" fontId="328" fillId="28" borderId="65" xfId="47" applyFont="1" applyFill="1" applyBorder="1" applyAlignment="1">
      <alignment horizontal="center" vertical="center"/>
    </xf>
    <xf numFmtId="178" fontId="329" fillId="28" borderId="70" xfId="47" quotePrefix="1" applyNumberFormat="1" applyFont="1" applyFill="1" applyBorder="1" applyAlignment="1">
      <alignment horizontal="left" vertical="center"/>
    </xf>
    <xf numFmtId="2" fontId="266" fillId="0" borderId="13" xfId="0" applyNumberFormat="1" applyFont="1" applyFill="1" applyBorder="1" applyAlignment="1">
      <alignment horizontal="right"/>
    </xf>
    <xf numFmtId="0" fontId="328" fillId="28" borderId="69" xfId="47" applyFont="1" applyFill="1" applyBorder="1" applyAlignment="1">
      <alignment horizontal="center" vertical="center"/>
    </xf>
    <xf numFmtId="178" fontId="329" fillId="28" borderId="69" xfId="47" applyNumberFormat="1" applyFont="1" applyFill="1" applyBorder="1" applyAlignment="1">
      <alignment horizontal="right" vertical="center"/>
    </xf>
    <xf numFmtId="178" fontId="329" fillId="28" borderId="69" xfId="47" quotePrefix="1" applyNumberFormat="1" applyFont="1" applyFill="1" applyBorder="1" applyAlignment="1">
      <alignment horizontal="left" vertical="center"/>
    </xf>
    <xf numFmtId="0" fontId="268" fillId="0" borderId="52" xfId="0" applyFont="1" applyBorder="1" applyAlignment="1">
      <alignment horizontal="center"/>
    </xf>
    <xf numFmtId="0" fontId="268" fillId="0" borderId="81" xfId="0" applyFont="1" applyBorder="1" applyAlignment="1">
      <alignment horizontal="center"/>
    </xf>
    <xf numFmtId="0" fontId="268" fillId="0" borderId="75" xfId="0" applyFont="1" applyBorder="1" applyAlignment="1">
      <alignment horizontal="center"/>
    </xf>
    <xf numFmtId="0" fontId="333" fillId="0" borderId="12" xfId="0" applyFont="1" applyBorder="1" applyAlignment="1">
      <alignment horizontal="center"/>
    </xf>
    <xf numFmtId="0" fontId="333" fillId="0" borderId="13" xfId="0" applyFont="1" applyBorder="1" applyAlignment="1">
      <alignment horizontal="center"/>
    </xf>
    <xf numFmtId="0" fontId="333" fillId="0" borderId="5" xfId="0" applyFont="1" applyBorder="1" applyAlignment="1">
      <alignment horizontal="center"/>
    </xf>
    <xf numFmtId="0" fontId="238" fillId="0" borderId="0" xfId="0" applyFont="1" applyAlignment="1">
      <alignment horizontal="right"/>
    </xf>
    <xf numFmtId="0" fontId="0" fillId="0" borderId="0" xfId="0"/>
    <xf numFmtId="0" fontId="315" fillId="28" borderId="13" xfId="47" applyFont="1" applyFill="1" applyAlignment="1">
      <alignment vertical="top" wrapText="1"/>
    </xf>
    <xf numFmtId="0" fontId="326" fillId="28" borderId="13" xfId="47" applyFont="1" applyFill="1" applyAlignment="1">
      <alignment horizontal="left" vertical="center" indent="2"/>
    </xf>
    <xf numFmtId="0" fontId="326" fillId="28" borderId="13" xfId="47" applyFont="1" applyFill="1" applyAlignment="1">
      <alignment horizontal="left" vertical="center"/>
    </xf>
    <xf numFmtId="178" fontId="313" fillId="28" borderId="13" xfId="47" applyNumberFormat="1" applyFont="1" applyFill="1" applyAlignment="1">
      <alignment horizontal="center" vertical="center"/>
    </xf>
    <xf numFmtId="178" fontId="327" fillId="73" borderId="13" xfId="48" applyNumberFormat="1" applyFont="1" applyFill="1" applyAlignment="1">
      <alignment horizontal="center" vertical="center"/>
    </xf>
    <xf numFmtId="178" fontId="315" fillId="73" borderId="13" xfId="48" applyNumberFormat="1" applyFont="1" applyFill="1" applyAlignment="1">
      <alignment horizontal="center" vertical="center"/>
    </xf>
    <xf numFmtId="0" fontId="321" fillId="28" borderId="13" xfId="47" applyFont="1" applyFill="1" applyAlignment="1">
      <alignment horizontal="left" vertical="center" wrapText="1"/>
    </xf>
    <xf numFmtId="0" fontId="332" fillId="28" borderId="13" xfId="47" applyFont="1" applyFill="1" applyAlignment="1">
      <alignment horizontal="center" vertical="center"/>
    </xf>
    <xf numFmtId="0" fontId="327" fillId="28" borderId="13" xfId="47" applyFont="1" applyFill="1" applyAlignment="1">
      <alignment horizontal="left" vertical="top" wrapText="1"/>
    </xf>
    <xf numFmtId="0" fontId="331" fillId="28" borderId="13" xfId="47" applyFont="1" applyFill="1" applyAlignment="1">
      <alignment horizontal="left" vertical="center" wrapText="1"/>
    </xf>
    <xf numFmtId="0" fontId="336" fillId="28" borderId="13" xfId="47" applyFont="1" applyFill="1" applyAlignment="1">
      <alignment horizontal="center" vertical="center"/>
    </xf>
    <xf numFmtId="0" fontId="314" fillId="28" borderId="13" xfId="47" applyFont="1" applyFill="1" applyAlignment="1">
      <alignment horizontal="left"/>
    </xf>
    <xf numFmtId="0" fontId="314" fillId="28" borderId="13" xfId="47" applyFont="1" applyFill="1" applyAlignment="1">
      <alignment horizontal="left" vertical="center"/>
    </xf>
    <xf numFmtId="0" fontId="314" fillId="28" borderId="13" xfId="47" applyFont="1" applyFill="1" applyAlignment="1">
      <alignment horizontal="right" vertical="center"/>
    </xf>
    <xf numFmtId="0" fontId="314" fillId="28" borderId="13" xfId="47" applyFont="1" applyFill="1" applyAlignment="1">
      <alignment horizontal="left" vertical="top"/>
    </xf>
    <xf numFmtId="0" fontId="314" fillId="28" borderId="13" xfId="47" applyFont="1" applyFill="1" applyAlignment="1">
      <alignment horizontal="right" vertical="top"/>
    </xf>
    <xf numFmtId="0" fontId="337" fillId="84" borderId="65" xfId="0" applyFont="1" applyFill="1" applyBorder="1" applyAlignment="1">
      <alignment horizontal="center" vertical="center"/>
    </xf>
    <xf numFmtId="178" fontId="327" fillId="73" borderId="13" xfId="48" applyNumberFormat="1" applyFont="1" applyFill="1" applyBorder="1" applyAlignment="1">
      <alignment horizontal="center" vertical="center"/>
    </xf>
    <xf numFmtId="0" fontId="337" fillId="84" borderId="76" xfId="0" applyFont="1" applyFill="1" applyBorder="1" applyAlignment="1">
      <alignment horizontal="center" vertical="center"/>
    </xf>
    <xf numFmtId="0" fontId="337" fillId="84" borderId="78" xfId="0" applyFont="1" applyFill="1" applyBorder="1" applyAlignment="1">
      <alignment horizontal="center" vertical="center"/>
    </xf>
    <xf numFmtId="0" fontId="337" fillId="84" borderId="77" xfId="0" applyFont="1" applyFill="1" applyBorder="1" applyAlignment="1">
      <alignment horizontal="center" vertical="center"/>
    </xf>
    <xf numFmtId="178" fontId="327" fillId="73" borderId="76" xfId="48" applyNumberFormat="1" applyFont="1" applyFill="1" applyBorder="1" applyAlignment="1">
      <alignment horizontal="center" vertical="center"/>
    </xf>
    <xf numFmtId="178" fontId="327" fillId="73" borderId="78" xfId="48" applyNumberFormat="1" applyFont="1" applyFill="1" applyBorder="1" applyAlignment="1">
      <alignment horizontal="center" vertical="center"/>
    </xf>
    <xf numFmtId="178" fontId="327" fillId="73" borderId="77" xfId="48" applyNumberFormat="1" applyFont="1" applyFill="1" applyBorder="1" applyAlignment="1">
      <alignment horizontal="center" vertical="center"/>
    </xf>
    <xf numFmtId="178" fontId="327" fillId="73" borderId="68" xfId="48" applyNumberFormat="1" applyFont="1" applyFill="1" applyBorder="1" applyAlignment="1">
      <alignment horizontal="center" vertical="center"/>
    </xf>
    <xf numFmtId="178" fontId="327" fillId="73" borderId="69" xfId="48" applyNumberFormat="1" applyFont="1" applyFill="1" applyBorder="1" applyAlignment="1">
      <alignment horizontal="center" vertical="center"/>
    </xf>
    <xf numFmtId="178" fontId="327" fillId="73" borderId="70" xfId="48" applyNumberFormat="1" applyFont="1" applyFill="1" applyBorder="1" applyAlignment="1">
      <alignment horizontal="center" vertical="center"/>
    </xf>
    <xf numFmtId="0" fontId="126" fillId="0" borderId="13" xfId="0" applyFont="1" applyBorder="1" applyAlignment="1">
      <alignment horizontal="left" wrapText="1"/>
    </xf>
    <xf numFmtId="0" fontId="129" fillId="0" borderId="13" xfId="0" applyFont="1" applyBorder="1" applyAlignment="1">
      <alignment horizontal="left" wrapText="1"/>
    </xf>
    <xf numFmtId="0" fontId="284" fillId="0" borderId="0" xfId="0" applyFont="1" applyAlignment="1">
      <alignment horizontal="center" vertical="top"/>
    </xf>
    <xf numFmtId="0" fontId="268" fillId="34" borderId="80" xfId="0" applyFont="1" applyFill="1" applyBorder="1" applyAlignment="1">
      <alignment horizontal="center" vertical="center"/>
    </xf>
    <xf numFmtId="0" fontId="238" fillId="0" borderId="14" xfId="0" applyFont="1" applyBorder="1" applyAlignment="1">
      <alignment horizontal="right"/>
    </xf>
    <xf numFmtId="0" fontId="229" fillId="0" borderId="12" xfId="0" applyFont="1" applyBorder="1" applyAlignment="1">
      <alignment horizontal="center"/>
    </xf>
    <xf numFmtId="0" fontId="229" fillId="0" borderId="13" xfId="0" applyFont="1" applyBorder="1" applyAlignment="1">
      <alignment horizontal="center"/>
    </xf>
    <xf numFmtId="0" fontId="229" fillId="0" borderId="5" xfId="0" applyFont="1" applyBorder="1" applyAlignment="1">
      <alignment horizontal="center"/>
    </xf>
    <xf numFmtId="0" fontId="290" fillId="28" borderId="103" xfId="42" applyFont="1" applyFill="1" applyBorder="1" applyAlignment="1">
      <alignment horizontal="center" vertical="center"/>
    </xf>
    <xf numFmtId="4" fontId="290" fillId="0" borderId="109" xfId="42" applyNumberFormat="1" applyFont="1" applyBorder="1" applyAlignment="1">
      <alignment horizontal="center" vertical="center"/>
    </xf>
    <xf numFmtId="4" fontId="290" fillId="0" borderId="103" xfId="42" applyNumberFormat="1" applyFont="1" applyBorder="1" applyAlignment="1">
      <alignment horizontal="center" vertical="center"/>
    </xf>
    <xf numFmtId="0" fontId="290" fillId="0" borderId="103" xfId="42" applyFont="1" applyBorder="1" applyAlignment="1">
      <alignment horizontal="center" vertical="center"/>
    </xf>
    <xf numFmtId="0" fontId="283" fillId="0" borderId="13" xfId="42" applyFont="1" applyAlignment="1">
      <alignment horizontal="center" vertical="center" wrapText="1"/>
    </xf>
    <xf numFmtId="0" fontId="284" fillId="0" borderId="13" xfId="42" applyFont="1" applyAlignment="1">
      <alignment horizontal="left" vertical="center"/>
    </xf>
    <xf numFmtId="0" fontId="285" fillId="0" borderId="13" xfId="42" applyFont="1" applyAlignment="1">
      <alignment horizontal="left" vertical="center"/>
    </xf>
    <xf numFmtId="0" fontId="286" fillId="65" borderId="92" xfId="42" applyFont="1" applyFill="1" applyBorder="1" applyAlignment="1">
      <alignment horizontal="center" vertical="center"/>
    </xf>
    <xf numFmtId="0" fontId="286" fillId="65" borderId="94" xfId="42" applyFont="1" applyFill="1" applyBorder="1" applyAlignment="1">
      <alignment horizontal="center" vertical="center" wrapText="1"/>
    </xf>
    <xf numFmtId="0" fontId="286" fillId="65" borderId="98" xfId="42" applyFont="1" applyFill="1" applyBorder="1" applyAlignment="1">
      <alignment horizontal="center" vertical="center" wrapText="1"/>
    </xf>
    <xf numFmtId="0" fontId="286" fillId="65" borderId="91" xfId="42" applyFont="1" applyFill="1" applyBorder="1" applyAlignment="1">
      <alignment horizontal="center" vertical="center"/>
    </xf>
    <xf numFmtId="0" fontId="286" fillId="65" borderId="95" xfId="42" applyFont="1" applyFill="1" applyBorder="1" applyAlignment="1">
      <alignment horizontal="center" vertical="center"/>
    </xf>
    <xf numFmtId="0" fontId="286" fillId="65" borderId="96" xfId="42" applyFont="1" applyFill="1" applyBorder="1" applyAlignment="1">
      <alignment horizontal="center" vertical="center"/>
    </xf>
    <xf numFmtId="0" fontId="286" fillId="65" borderId="93" xfId="42" applyFont="1" applyFill="1" applyBorder="1" applyAlignment="1">
      <alignment horizontal="center" vertical="center"/>
    </xf>
    <xf numFmtId="0" fontId="289" fillId="65" borderId="97" xfId="42" applyFont="1" applyFill="1" applyBorder="1"/>
    <xf numFmtId="0" fontId="286" fillId="65" borderId="65" xfId="42" applyFont="1" applyFill="1" applyBorder="1" applyAlignment="1">
      <alignment horizontal="center" vertical="center"/>
    </xf>
    <xf numFmtId="0" fontId="284" fillId="0" borderId="13" xfId="42" applyFont="1" applyAlignment="1">
      <alignment horizontal="center" vertical="center"/>
    </xf>
    <xf numFmtId="0" fontId="227" fillId="0" borderId="54" xfId="0" applyFont="1" applyBorder="1" applyAlignment="1">
      <alignment horizontal="center"/>
    </xf>
    <xf numFmtId="0" fontId="227" fillId="0" borderId="56" xfId="0" applyFont="1" applyBorder="1" applyAlignment="1">
      <alignment horizontal="center"/>
    </xf>
  </cellXfs>
  <cellStyles count="76">
    <cellStyle name="Millares" xfId="1" builtinId="3"/>
    <cellStyle name="Millares 10 2" xfId="4" xr:uid="{00000000-0005-0000-0000-000001000000}"/>
    <cellStyle name="Millares 10 2 10" xfId="23" xr:uid="{00000000-0005-0000-0000-000002000000}"/>
    <cellStyle name="Millares 10 2 11" xfId="25" xr:uid="{00000000-0005-0000-0000-000003000000}"/>
    <cellStyle name="Millares 10 2 12" xfId="27" xr:uid="{00000000-0005-0000-0000-000004000000}"/>
    <cellStyle name="Millares 10 2 13" xfId="29" xr:uid="{00000000-0005-0000-0000-000005000000}"/>
    <cellStyle name="Millares 10 2 14" xfId="31" xr:uid="{00000000-0005-0000-0000-000006000000}"/>
    <cellStyle name="Millares 10 2 15" xfId="34" xr:uid="{00000000-0005-0000-0000-000007000000}"/>
    <cellStyle name="Millares 10 2 16" xfId="36" xr:uid="{00000000-0005-0000-0000-000008000000}"/>
    <cellStyle name="Millares 10 2 17" xfId="38" xr:uid="{00000000-0005-0000-0000-000009000000}"/>
    <cellStyle name="Millares 10 2 18" xfId="40" xr:uid="{00000000-0005-0000-0000-00000A000000}"/>
    <cellStyle name="Millares 10 2 2" xfId="6" xr:uid="{00000000-0005-0000-0000-00000B000000}"/>
    <cellStyle name="Millares 10 2 3" xfId="9" xr:uid="{00000000-0005-0000-0000-00000C000000}"/>
    <cellStyle name="Millares 10 2 4" xfId="11" xr:uid="{00000000-0005-0000-0000-00000D000000}"/>
    <cellStyle name="Millares 10 2 5" xfId="13" xr:uid="{00000000-0005-0000-0000-00000E000000}"/>
    <cellStyle name="Millares 10 2 6" xfId="15" xr:uid="{00000000-0005-0000-0000-00000F000000}"/>
    <cellStyle name="Millares 10 2 7" xfId="17" xr:uid="{00000000-0005-0000-0000-000010000000}"/>
    <cellStyle name="Millares 10 2 8" xfId="19" xr:uid="{00000000-0005-0000-0000-000011000000}"/>
    <cellStyle name="Millares 10 2 9" xfId="21" xr:uid="{00000000-0005-0000-0000-000012000000}"/>
    <cellStyle name="Millares 2" xfId="41" xr:uid="{00000000-0005-0000-0000-000013000000}"/>
    <cellStyle name="Millares 3" xfId="44" xr:uid="{00000000-0005-0000-0000-000014000000}"/>
    <cellStyle name="Millares 4" xfId="51" xr:uid="{1408ED77-C2CD-4158-8E77-A5AC67AED4EF}"/>
    <cellStyle name="Millares 5" xfId="65" xr:uid="{FD13E652-2A1F-4060-9AA8-1076354342E9}"/>
    <cellStyle name="Millares 6" xfId="68" xr:uid="{95C58776-B55A-457C-9397-DA564564F806}"/>
    <cellStyle name="Normal" xfId="0" builtinId="0"/>
    <cellStyle name="Normal 10" xfId="20" xr:uid="{00000000-0005-0000-0000-000016000000}"/>
    <cellStyle name="Normal 11" xfId="22" xr:uid="{00000000-0005-0000-0000-000017000000}"/>
    <cellStyle name="Normal 12" xfId="24" xr:uid="{00000000-0005-0000-0000-000018000000}"/>
    <cellStyle name="Normal 13" xfId="26" xr:uid="{00000000-0005-0000-0000-000019000000}"/>
    <cellStyle name="Normal 14" xfId="28" xr:uid="{00000000-0005-0000-0000-00001A000000}"/>
    <cellStyle name="Normal 15" xfId="30" xr:uid="{00000000-0005-0000-0000-00001B000000}"/>
    <cellStyle name="Normal 16" xfId="33" xr:uid="{00000000-0005-0000-0000-00001C000000}"/>
    <cellStyle name="Normal 17" xfId="35" xr:uid="{00000000-0005-0000-0000-00001D000000}"/>
    <cellStyle name="Normal 18" xfId="37" xr:uid="{00000000-0005-0000-0000-00001E000000}"/>
    <cellStyle name="Normal 19" xfId="39" xr:uid="{00000000-0005-0000-0000-00001F000000}"/>
    <cellStyle name="Normal 2" xfId="2" xr:uid="{00000000-0005-0000-0000-000020000000}"/>
    <cellStyle name="Normal 2 4" xfId="3" xr:uid="{00000000-0005-0000-0000-000021000000}"/>
    <cellStyle name="Normal 20" xfId="42" xr:uid="{00000000-0005-0000-0000-000022000000}"/>
    <cellStyle name="Normal 21" xfId="43" xr:uid="{00000000-0005-0000-0000-000023000000}"/>
    <cellStyle name="Normal 22" xfId="46" xr:uid="{00000000-0005-0000-0000-000024000000}"/>
    <cellStyle name="Normal 23" xfId="47" xr:uid="{D715153B-A4C4-48AE-8577-F07C2347CE36}"/>
    <cellStyle name="Normal 24" xfId="49" xr:uid="{10D1305E-B7E1-4DE5-9905-DBF1C7420CFC}"/>
    <cellStyle name="Normal 25" xfId="52" xr:uid="{2D36ADB9-AB20-49E5-A1B5-E0D9F1D99B26}"/>
    <cellStyle name="Normal 26" xfId="53" xr:uid="{9CE53693-7155-43E7-9605-8BE22C9E4287}"/>
    <cellStyle name="Normal 27" xfId="54" xr:uid="{3E6D0146-76D2-4E65-BBAF-B503071EC321}"/>
    <cellStyle name="Normal 28" xfId="55" xr:uid="{B63E0C9C-02B2-4CEF-8AEA-DB479E837F83}"/>
    <cellStyle name="Normal 29" xfId="56" xr:uid="{87DEA6D9-BEFE-41D2-9104-BE458B21E5DD}"/>
    <cellStyle name="Normal 3" xfId="5" xr:uid="{00000000-0005-0000-0000-000025000000}"/>
    <cellStyle name="Normal 30" xfId="57" xr:uid="{53E0870E-F719-4891-8F67-F665F04558EB}"/>
    <cellStyle name="Normal 31" xfId="58" xr:uid="{ED8553D5-9582-4DC0-A1D4-6E16FC7C897C}"/>
    <cellStyle name="Normal 32" xfId="59" xr:uid="{9D2CBC2E-104A-49D5-AAE2-13D071B54BCB}"/>
    <cellStyle name="Normal 33" xfId="60" xr:uid="{91F24DD9-6FD5-40E8-8B6E-755F02DDC4E0}"/>
    <cellStyle name="Normal 34" xfId="61" xr:uid="{A833F80E-C325-4FEF-84E2-3FBF34A6DDE2}"/>
    <cellStyle name="Normal 35" xfId="62" xr:uid="{9C8E401D-4B20-4EA7-831B-DDE44B700245}"/>
    <cellStyle name="Normal 36" xfId="63" xr:uid="{03CDFAA7-1553-4933-B8E7-6B75A22FA736}"/>
    <cellStyle name="Normal 37" xfId="66" xr:uid="{674B7A91-8BB0-44FF-863E-6C4F01AC16B5}"/>
    <cellStyle name="Normal 38" xfId="69" xr:uid="{FC7BFA60-E0AB-4C5C-A336-C92460E02253}"/>
    <cellStyle name="Normal 39" xfId="70" xr:uid="{22FE9D3E-8794-4F20-BDC6-D010063372BD}"/>
    <cellStyle name="Normal 4" xfId="7" xr:uid="{00000000-0005-0000-0000-000026000000}"/>
    <cellStyle name="Normal 4 2" xfId="50" xr:uid="{B3E32610-23AB-45E5-A7D2-C2916C0584FD}"/>
    <cellStyle name="Normal 4 3" xfId="64" xr:uid="{046E0186-3A32-49D0-82E4-08822863BABC}"/>
    <cellStyle name="Normal 4 4" xfId="67" xr:uid="{901E10EE-1AB1-4CEC-B28C-1E1AB474F6D0}"/>
    <cellStyle name="Normal 40" xfId="71" xr:uid="{A66D2565-3912-4C69-81CD-CBC0FA1D4A0E}"/>
    <cellStyle name="Normal 41" xfId="72" xr:uid="{240BA873-627A-4055-AD6A-E989EAAF19AD}"/>
    <cellStyle name="Normal 42" xfId="73" xr:uid="{AF8D5CDD-380F-4309-B586-FE3D7D05BE22}"/>
    <cellStyle name="Normal 43" xfId="74" xr:uid="{D6CA8A83-63CB-4080-8A62-CC472830BA30}"/>
    <cellStyle name="Normal 44" xfId="75" xr:uid="{0D229300-0F64-4E20-9C53-F6FDCCEF2E17}"/>
    <cellStyle name="Normal 5" xfId="10" xr:uid="{00000000-0005-0000-0000-000027000000}"/>
    <cellStyle name="Normal 6" xfId="12" xr:uid="{00000000-0005-0000-0000-000028000000}"/>
    <cellStyle name="Normal 7" xfId="14" xr:uid="{00000000-0005-0000-0000-000029000000}"/>
    <cellStyle name="Normal 8" xfId="16" xr:uid="{00000000-0005-0000-0000-00002A000000}"/>
    <cellStyle name="Normal 9" xfId="18" xr:uid="{00000000-0005-0000-0000-00002B000000}"/>
    <cellStyle name="Normal_NUEVO REPORTE CHALA" xfId="48" xr:uid="{48CFD784-78D0-4B24-BB3A-9D51FECC6231}"/>
    <cellStyle name="Porcentaje" xfId="32" builtinId="5"/>
    <cellStyle name="Porcentaje 2" xfId="45" xr:uid="{00000000-0005-0000-0000-00002D000000}"/>
    <cellStyle name="Texto de advertencia 2" xfId="8" xr:uid="{00000000-0005-0000-0000-00002E000000}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 val="0"/>
        <i/>
        <color theme="0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FFFF00"/>
      <color rgb="FFEDDD97"/>
      <color rgb="FFDDB565"/>
      <color rgb="FFA48A1C"/>
      <color rgb="FFF8F5B6"/>
      <color rgb="FFB29C16"/>
      <color rgb="FFF4EDDC"/>
      <color rgb="FFDFC895"/>
      <color rgb="FFCDB319"/>
      <color rgb="FFE3D2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eetMetadata" Target="metadata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Graph!$B$16:$B$25</c:f>
              <c:numCache>
                <c:formatCode>0.00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</c:v>
                </c:pt>
                <c:pt idx="3">
                  <c:v>0.25</c:v>
                </c:pt>
                <c:pt idx="4">
                  <c:v>0.3</c:v>
                </c:pt>
                <c:pt idx="5">
                  <c:v>0.35</c:v>
                </c:pt>
                <c:pt idx="6">
                  <c:v>0.4</c:v>
                </c:pt>
                <c:pt idx="7">
                  <c:v>0.45</c:v>
                </c:pt>
                <c:pt idx="8">
                  <c:v>0.5</c:v>
                </c:pt>
                <c:pt idx="9">
                  <c:v>0.55000000000000004</c:v>
                </c:pt>
              </c:numCache>
            </c:numRef>
          </c:xVal>
          <c:yVal>
            <c:numRef>
              <c:f>Graph!$C$16:$C$25</c:f>
              <c:numCache>
                <c:formatCode>_-* #,##0_-;\-* #,##0_-;_-* "-"????_-;_-@_-</c:formatCode>
                <c:ptCount val="10"/>
                <c:pt idx="0">
                  <c:v>-20666.309059999941</c:v>
                </c:pt>
                <c:pt idx="1">
                  <c:v>-9137.4635899999994</c:v>
                </c:pt>
                <c:pt idx="2">
                  <c:v>2391.3818800001172</c:v>
                </c:pt>
                <c:pt idx="3">
                  <c:v>13920.227350000059</c:v>
                </c:pt>
                <c:pt idx="4">
                  <c:v>25449.072820000001</c:v>
                </c:pt>
                <c:pt idx="5">
                  <c:v>36977.918290000176</c:v>
                </c:pt>
                <c:pt idx="6">
                  <c:v>48506.763760000234</c:v>
                </c:pt>
                <c:pt idx="7">
                  <c:v>60035.609229999827</c:v>
                </c:pt>
                <c:pt idx="8">
                  <c:v>71564.454699999886</c:v>
                </c:pt>
                <c:pt idx="9">
                  <c:v>83093.300170000177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F4-4AF7-BDB2-E3686E062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95088"/>
        <c:axId val="53592592"/>
      </c:scatterChart>
      <c:valAx>
        <c:axId val="5359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3592592"/>
        <c:crosses val="autoZero"/>
        <c:crossBetween val="midCat"/>
      </c:valAx>
      <c:valAx>
        <c:axId val="5359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3595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21171</xdr:colOff>
      <xdr:row>1</xdr:row>
      <xdr:rowOff>31752</xdr:rowOff>
    </xdr:from>
    <xdr:ext cx="3492498" cy="740833"/>
    <xdr:pic>
      <xdr:nvPicPr>
        <xdr:cNvPr id="2" name="image1.jpg">
          <a:extLst>
            <a:ext uri="{FF2B5EF4-FFF2-40B4-BE49-F238E27FC236}">
              <a16:creationId xmlns:a16="http://schemas.microsoft.com/office/drawing/2014/main" id="{CEB9DC1A-D4DB-4D06-9885-7D9F96028E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2393" t="5382" r="4514" b="14323"/>
        <a:stretch>
          <a:fillRect/>
        </a:stretch>
      </xdr:blipFill>
      <xdr:spPr>
        <a:xfrm>
          <a:off x="21171" y="46992"/>
          <a:ext cx="3492498" cy="740833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21171</xdr:colOff>
      <xdr:row>1</xdr:row>
      <xdr:rowOff>31752</xdr:rowOff>
    </xdr:from>
    <xdr:ext cx="3492498" cy="740833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2393" t="5382" r="4514" b="14323"/>
        <a:stretch>
          <a:fillRect/>
        </a:stretch>
      </xdr:blipFill>
      <xdr:spPr>
        <a:xfrm>
          <a:off x="21171" y="52919"/>
          <a:ext cx="3492498" cy="740833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16</xdr:col>
      <xdr:colOff>0</xdr:colOff>
      <xdr:row>7</xdr:row>
      <xdr:rowOff>0</xdr:rowOff>
    </xdr:from>
    <xdr:to>
      <xdr:col>16</xdr:col>
      <xdr:colOff>304800</xdr:colOff>
      <xdr:row>8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8C715B23-9EFF-4AFA-A62B-F2654A1024F4}"/>
            </a:ext>
          </a:extLst>
        </xdr:cNvPr>
        <xdr:cNvSpPr>
          <a:spLocks noChangeAspect="1" noChangeArrowheads="1"/>
        </xdr:cNvSpPr>
      </xdr:nvSpPr>
      <xdr:spPr bwMode="auto">
        <a:xfrm>
          <a:off x="11186160" y="2522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1681</xdr:colOff>
      <xdr:row>2</xdr:row>
      <xdr:rowOff>142875</xdr:rowOff>
    </xdr:from>
    <xdr:to>
      <xdr:col>8</xdr:col>
      <xdr:colOff>200025</xdr:colOff>
      <xdr:row>2</xdr:row>
      <xdr:rowOff>174812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285A28CF-3BB5-4875-A7F7-F8B280C4C19F}"/>
            </a:ext>
          </a:extLst>
        </xdr:cNvPr>
        <xdr:cNvCxnSpPr/>
      </xdr:nvCxnSpPr>
      <xdr:spPr>
        <a:xfrm flipV="1">
          <a:off x="1681" y="523875"/>
          <a:ext cx="6008594" cy="31937"/>
        </a:xfrm>
        <a:prstGeom prst="line">
          <a:avLst/>
        </a:prstGeom>
        <a:ln w="38100">
          <a:solidFill>
            <a:srgbClr val="A48A1C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3">
          <a:schemeClr val="accent3"/>
        </a:lnRef>
        <a:fillRef idx="0">
          <a:schemeClr val="accent3"/>
        </a:fillRef>
        <a:effectRef idx="2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0</xdr:col>
      <xdr:colOff>34925</xdr:colOff>
      <xdr:row>14</xdr:row>
      <xdr:rowOff>104775</xdr:rowOff>
    </xdr:from>
    <xdr:to>
      <xdr:col>7</xdr:col>
      <xdr:colOff>666750</xdr:colOff>
      <xdr:row>14</xdr:row>
      <xdr:rowOff>105835</xdr:rowOff>
    </xdr:to>
    <xdr:cxnSp macro="">
      <xdr:nvCxnSpPr>
        <xdr:cNvPr id="4" name="Conector recto 3">
          <a:extLst>
            <a:ext uri="{FF2B5EF4-FFF2-40B4-BE49-F238E27FC236}">
              <a16:creationId xmlns:a16="http://schemas.microsoft.com/office/drawing/2014/main" id="{01E5AED7-BE3D-4DCE-B612-97B6823E7031}"/>
            </a:ext>
          </a:extLst>
        </xdr:cNvPr>
        <xdr:cNvCxnSpPr/>
      </xdr:nvCxnSpPr>
      <xdr:spPr>
        <a:xfrm flipV="1">
          <a:off x="34925" y="2952750"/>
          <a:ext cx="5984875" cy="1060"/>
        </a:xfrm>
        <a:prstGeom prst="line">
          <a:avLst/>
        </a:prstGeom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19050</xdr:colOff>
      <xdr:row>24</xdr:row>
      <xdr:rowOff>152400</xdr:rowOff>
    </xdr:from>
    <xdr:to>
      <xdr:col>7</xdr:col>
      <xdr:colOff>647700</xdr:colOff>
      <xdr:row>24</xdr:row>
      <xdr:rowOff>152400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3F95C894-16CA-49F0-8F19-B72B16B4FD02}"/>
            </a:ext>
          </a:extLst>
        </xdr:cNvPr>
        <xdr:cNvCxnSpPr/>
      </xdr:nvCxnSpPr>
      <xdr:spPr>
        <a:xfrm>
          <a:off x="19050" y="5105400"/>
          <a:ext cx="5819775" cy="0"/>
        </a:xfrm>
        <a:prstGeom prst="line">
          <a:avLst/>
        </a:prstGeom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19050</xdr:colOff>
      <xdr:row>46</xdr:row>
      <xdr:rowOff>95250</xdr:rowOff>
    </xdr:from>
    <xdr:to>
      <xdr:col>8</xdr:col>
      <xdr:colOff>217394</xdr:colOff>
      <xdr:row>46</xdr:row>
      <xdr:rowOff>127187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A972F230-E9A9-46B9-B721-0B121B38F9B0}"/>
            </a:ext>
          </a:extLst>
        </xdr:cNvPr>
        <xdr:cNvCxnSpPr/>
      </xdr:nvCxnSpPr>
      <xdr:spPr>
        <a:xfrm flipV="1">
          <a:off x="19050" y="10401300"/>
          <a:ext cx="6113369" cy="31937"/>
        </a:xfrm>
        <a:prstGeom prst="line">
          <a:avLst/>
        </a:prstGeom>
        <a:ln w="38100">
          <a:solidFill>
            <a:srgbClr val="A48A1C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3">
          <a:schemeClr val="accent3"/>
        </a:lnRef>
        <a:fillRef idx="0">
          <a:schemeClr val="accent3"/>
        </a:fillRef>
        <a:effectRef idx="2">
          <a:schemeClr val="accent3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0</xdr:row>
      <xdr:rowOff>52915</xdr:rowOff>
    </xdr:from>
    <xdr:to>
      <xdr:col>3</xdr:col>
      <xdr:colOff>38100</xdr:colOff>
      <xdr:row>2</xdr:row>
      <xdr:rowOff>126998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3013FC1-D7A2-0140-6822-BB0C7DBB470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666" t="3273" b="-1"/>
        <a:stretch>
          <a:fillRect/>
        </a:stretch>
      </xdr:blipFill>
      <xdr:spPr>
        <a:xfrm>
          <a:off x="0" y="52915"/>
          <a:ext cx="2186517" cy="5185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</xdr:colOff>
      <xdr:row>5</xdr:row>
      <xdr:rowOff>114300</xdr:rowOff>
    </xdr:from>
    <xdr:to>
      <xdr:col>15</xdr:col>
      <xdr:colOff>236220</xdr:colOff>
      <xdr:row>22</xdr:row>
      <xdr:rowOff>198120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B47E25D-E4D3-4918-A665-01EA3659A4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171450</xdr:colOff>
      <xdr:row>1</xdr:row>
      <xdr:rowOff>41910</xdr:rowOff>
    </xdr:from>
    <xdr:ext cx="3617383" cy="847090"/>
    <xdr:pic>
      <xdr:nvPicPr>
        <xdr:cNvPr id="2" name="image1.jpg">
          <a:extLst>
            <a:ext uri="{FF2B5EF4-FFF2-40B4-BE49-F238E27FC236}">
              <a16:creationId xmlns:a16="http://schemas.microsoft.com/office/drawing/2014/main" id="{3FBE6D27-2878-407C-809F-A98F10C026F8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1450" y="63077"/>
          <a:ext cx="3617383" cy="847090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171450</xdr:colOff>
      <xdr:row>1</xdr:row>
      <xdr:rowOff>41910</xdr:rowOff>
    </xdr:from>
    <xdr:ext cx="4772025" cy="1162050"/>
    <xdr:pic>
      <xdr:nvPicPr>
        <xdr:cNvPr id="2" name="image1.jpg">
          <a:extLst>
            <a:ext uri="{FF2B5EF4-FFF2-40B4-BE49-F238E27FC236}">
              <a16:creationId xmlns:a16="http://schemas.microsoft.com/office/drawing/2014/main" id="{F3221766-3EB0-4D84-8A11-65C58CCD4CD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1450" y="57150"/>
          <a:ext cx="4772025" cy="1162050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nidades%20compartidas/COMERCIAL%20PAITITI/1.%20DOCUMENTACION%20ACOPIO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2025"/>
      <sheetName val="2024"/>
      <sheetName val="2024-1"/>
      <sheetName val="LOTES 2026"/>
      <sheetName val="RESUMEN"/>
      <sheetName val="por pagar"/>
      <sheetName val="Hoja1"/>
      <sheetName val="Hoja2"/>
    </sheetNames>
    <sheetDataSet>
      <sheetData sheetId="0">
        <row r="1">
          <cell r="B1" t="str">
            <v>RUC</v>
          </cell>
          <cell r="C1" t="str">
            <v>RAZÓN SOCIAL</v>
          </cell>
        </row>
        <row r="2">
          <cell r="B2">
            <v>10082235774</v>
          </cell>
          <cell r="C2" t="str">
            <v>VERA PACHECO MELCHOR AGUSTIN</v>
          </cell>
        </row>
        <row r="3">
          <cell r="B3">
            <v>20517242919</v>
          </cell>
          <cell r="C3" t="str">
            <v>COMPAÑIA MINERA CIKAM PERU S.A.C.</v>
          </cell>
        </row>
        <row r="4">
          <cell r="C4" t="str">
            <v>COMPAÑIA MINERA CIKAM PERU S.A.C.</v>
          </cell>
        </row>
        <row r="5">
          <cell r="B5">
            <v>10315432397</v>
          </cell>
          <cell r="C5" t="str">
            <v>SOTOMAYOR PEÑA DERMILUZ</v>
          </cell>
        </row>
        <row r="6">
          <cell r="B6">
            <v>10404377324</v>
          </cell>
          <cell r="C6" t="str">
            <v>PAUCARA INCACUTIPA OSMAR FREDY</v>
          </cell>
        </row>
        <row r="7">
          <cell r="B7">
            <v>10416085884</v>
          </cell>
          <cell r="C7" t="str">
            <v>SOTOMAYOR CORAZAO WISTHERMUNDO</v>
          </cell>
        </row>
        <row r="8">
          <cell r="B8">
            <v>10421580605</v>
          </cell>
          <cell r="C8" t="str">
            <v>SOTOMAYOR CORAZAO MORAYMA</v>
          </cell>
        </row>
        <row r="9">
          <cell r="B9">
            <v>10473108823</v>
          </cell>
          <cell r="C9" t="str">
            <v>SOTOMAYOR CORAZAO JHONATAN</v>
          </cell>
        </row>
        <row r="10">
          <cell r="B10">
            <v>10457401928</v>
          </cell>
          <cell r="C10" t="str">
            <v xml:space="preserve">QUISPE MARTINEZ IZEQUIEL </v>
          </cell>
        </row>
        <row r="11">
          <cell r="B11">
            <v>10761932735</v>
          </cell>
          <cell r="C11" t="str">
            <v>TAMAYO BELLIDO ROBERTO CARLOS</v>
          </cell>
        </row>
        <row r="12">
          <cell r="B12">
            <v>20601620147</v>
          </cell>
          <cell r="C12" t="str">
            <v>EXPLORACIONES CLAUDIA &amp; KAREN E.I.R.L.</v>
          </cell>
        </row>
        <row r="13">
          <cell r="B13">
            <v>20606526599</v>
          </cell>
          <cell r="C13" t="str">
            <v>EMPRESA MINERA MARKATA CAS S.A.C.</v>
          </cell>
        </row>
        <row r="14">
          <cell r="B14">
            <v>20612791148</v>
          </cell>
          <cell r="C14" t="str">
            <v>SAN ANDRES - CHALA GOLD MINING E.I.R.L.</v>
          </cell>
        </row>
        <row r="15">
          <cell r="B15">
            <v>20612921866</v>
          </cell>
          <cell r="C15" t="str">
            <v>EMPRESA MINERA GRUPO GARIBAY ESCUDERO E.I.R.L.</v>
          </cell>
        </row>
        <row r="16">
          <cell r="B16">
            <v>20612937096</v>
          </cell>
          <cell r="C16" t="str">
            <v>MULTISERVICIOS Y MINERIA HUANUHUANU E.I.R.L.</v>
          </cell>
        </row>
        <row r="17">
          <cell r="B17">
            <v>20601769396</v>
          </cell>
          <cell r="C17" t="str">
            <v>CONSORCIO MINERO RENACER DEL SUR E.I.R.L.</v>
          </cell>
        </row>
        <row r="18">
          <cell r="B18">
            <v>20169040231</v>
          </cell>
          <cell r="C18" t="str">
            <v>COMUNIDAD CAMPESINA DE UNTUCA</v>
          </cell>
        </row>
        <row r="19">
          <cell r="B19">
            <v>20603059981</v>
          </cell>
          <cell r="C19" t="str">
            <v>MINERA RIO PIZON METAL SCRL</v>
          </cell>
        </row>
        <row r="20">
          <cell r="B20">
            <v>20609542722</v>
          </cell>
          <cell r="C20" t="str">
            <v>MINERA DOS DE DICIEMBRE S.A. - MIDDERSA</v>
          </cell>
        </row>
        <row r="21">
          <cell r="B21">
            <v>20604990000</v>
          </cell>
          <cell r="C21" t="str">
            <v>NEGOCIOS CARRILLO LANDA E.I.R.L.</v>
          </cell>
        </row>
        <row r="22">
          <cell r="B22">
            <v>10306762465</v>
          </cell>
          <cell r="C22" t="str">
            <v>PIMENTEL BATALLANOS JUAN CRISOSTOMO</v>
          </cell>
        </row>
        <row r="23">
          <cell r="B23">
            <v>20606102519</v>
          </cell>
          <cell r="C23" t="str">
            <v>MINERA CORDOVA FGA E.I.R.L.</v>
          </cell>
        </row>
        <row r="24">
          <cell r="B24">
            <v>20548542422</v>
          </cell>
          <cell r="C24" t="str">
            <v>MINERA SOFI GOLD S.A.C.</v>
          </cell>
        </row>
        <row r="25">
          <cell r="B25">
            <v>20612719757</v>
          </cell>
          <cell r="C25" t="str">
            <v>EXPLORACION G &amp; M E.I.R.L.</v>
          </cell>
        </row>
        <row r="26">
          <cell r="B26">
            <v>20611329556</v>
          </cell>
          <cell r="C26" t="str">
            <v>J &amp; M SOLUCIONES MINERAS E.I.R.L.</v>
          </cell>
        </row>
        <row r="27">
          <cell r="B27">
            <v>10756747652</v>
          </cell>
          <cell r="C27" t="str">
            <v>MENDOZA MENDOZA JULIO CESAR</v>
          </cell>
        </row>
        <row r="28">
          <cell r="B28">
            <v>20603329059</v>
          </cell>
          <cell r="C28" t="str">
            <v>ACS MINERA KORICANCHAQ I E.I.R.L.</v>
          </cell>
        </row>
        <row r="29">
          <cell r="B29">
            <v>20609578786</v>
          </cell>
          <cell r="C29" t="str">
            <v>MINERA HNOS DANEDCE MONTOYA E.I.R.L.</v>
          </cell>
        </row>
        <row r="30">
          <cell r="B30">
            <v>10602688050</v>
          </cell>
          <cell r="C30" t="str">
            <v>CRUZ LA CRUZ DENNIS DARWIN</v>
          </cell>
        </row>
        <row r="31">
          <cell r="B31">
            <v>20608774000</v>
          </cell>
          <cell r="C31" t="str">
            <v>MACC GOLD PERU E.I.R.L.</v>
          </cell>
        </row>
        <row r="32">
          <cell r="B32">
            <v>20601463173</v>
          </cell>
          <cell r="C32" t="str">
            <v>JAWASA S.A.</v>
          </cell>
        </row>
        <row r="33">
          <cell r="B33">
            <v>20606527439</v>
          </cell>
          <cell r="C33" t="str">
            <v>METAL EXTRACTION COMPANY S.A.C.</v>
          </cell>
        </row>
        <row r="34">
          <cell r="B34">
            <v>10486077447</v>
          </cell>
          <cell r="C34" t="str">
            <v>ATAUCUSI ARIAS FRANK PAOLO</v>
          </cell>
        </row>
        <row r="35">
          <cell r="B35">
            <v>10737057025</v>
          </cell>
          <cell r="C35" t="str">
            <v>RETAMOZO ARIAS KARINA JUDITH</v>
          </cell>
        </row>
        <row r="36">
          <cell r="B36">
            <v>20610807004</v>
          </cell>
          <cell r="C36" t="str">
            <v>CORPORACION SANTA NANCY E.I.R.L.</v>
          </cell>
        </row>
        <row r="37">
          <cell r="B37">
            <v>20613935151</v>
          </cell>
          <cell r="C37" t="str">
            <v>MINERA CHAMACKA E.I.R.L.</v>
          </cell>
        </row>
        <row r="38">
          <cell r="B38">
            <v>20535021563</v>
          </cell>
          <cell r="C38" t="str">
            <v>INV STEFANY E.I.R.L.</v>
          </cell>
        </row>
        <row r="39">
          <cell r="B39">
            <v>20614284740</v>
          </cell>
          <cell r="C39" t="str">
            <v>INVERSIONES MAMA COCO E.I.R.L.</v>
          </cell>
        </row>
        <row r="40">
          <cell r="B40">
            <v>10304932789</v>
          </cell>
          <cell r="C40" t="str">
            <v>CRUCES CHIPANA CEFERINO EVARISTO</v>
          </cell>
        </row>
        <row r="41">
          <cell r="B41">
            <v>10408856049</v>
          </cell>
          <cell r="C41" t="str">
            <v>CHOCCARE HUAMANI JULIO</v>
          </cell>
        </row>
        <row r="42">
          <cell r="B42">
            <v>10239291240</v>
          </cell>
          <cell r="C42" t="str">
            <v xml:space="preserve">BEDIA FERRO FELICIANO	</v>
          </cell>
        </row>
        <row r="43">
          <cell r="B43">
            <v>20614031698</v>
          </cell>
          <cell r="C43" t="str">
            <v>GRUPO JEMALU E.I.R.L.</v>
          </cell>
        </row>
        <row r="44">
          <cell r="B44">
            <v>20606480840</v>
          </cell>
          <cell r="C44" t="str">
            <v>MINERA LA VIRTUOSA DEL SUR E.I.R.L.</v>
          </cell>
        </row>
        <row r="45">
          <cell r="B45">
            <v>20614635101</v>
          </cell>
          <cell r="C45" t="str">
            <v>MINERA SEBASTIAN E.I.R.L.</v>
          </cell>
        </row>
        <row r="46">
          <cell r="B46">
            <v>20613170848</v>
          </cell>
          <cell r="C46" t="str">
            <v>INVERSIONES LAS GEMELAS LM E.I.R.L.</v>
          </cell>
        </row>
        <row r="47">
          <cell r="B47">
            <v>20603162812</v>
          </cell>
          <cell r="C47" t="str">
            <v>MINERA MARQUEZ NMU SERVICIOS MULTIPLES E.I.R.L.</v>
          </cell>
        </row>
        <row r="48">
          <cell r="B48">
            <v>20613105621</v>
          </cell>
          <cell r="C48" t="str">
            <v>INVERSIONES QORI SONQO E.I.R.L</v>
          </cell>
        </row>
        <row r="49">
          <cell r="B49">
            <v>10770876970</v>
          </cell>
          <cell r="C49" t="str">
            <v>PELAYO VARGAS MIGUEL ANGEL</v>
          </cell>
        </row>
        <row r="50">
          <cell r="B50">
            <v>20609653036</v>
          </cell>
          <cell r="C50" t="str">
            <v>INVERSIONES MANAURY F. E.I.R.L.</v>
          </cell>
        </row>
        <row r="51">
          <cell r="B51">
            <v>20606562480</v>
          </cell>
          <cell r="C51" t="str">
            <v>EMPRESA MINERA SAYMED E.I.R.L.</v>
          </cell>
        </row>
        <row r="52">
          <cell r="B52">
            <v>20603169094</v>
          </cell>
          <cell r="C52" t="str">
            <v>EXPLORER MINING APAZA S.A.C.</v>
          </cell>
        </row>
        <row r="53">
          <cell r="B53">
            <v>10768340108</v>
          </cell>
          <cell r="C53" t="str">
            <v>PEÑA HUILLCARA GONZALO OLIVER</v>
          </cell>
        </row>
        <row r="54">
          <cell r="B54">
            <v>10473594281</v>
          </cell>
          <cell r="C54" t="str">
            <v>FLORES HUAMANI ROBERS</v>
          </cell>
        </row>
        <row r="55">
          <cell r="B55">
            <v>20614329646</v>
          </cell>
          <cell r="C55" t="str">
            <v>GRUPO EMPRESARIAL FARFAN E.I.R.L.</v>
          </cell>
        </row>
        <row r="56">
          <cell r="B56">
            <v>20606333219</v>
          </cell>
          <cell r="C56" t="str">
            <v>LLACCTEO GOLD E.I.R.L.</v>
          </cell>
        </row>
        <row r="57">
          <cell r="B57">
            <v>10414969564</v>
          </cell>
          <cell r="C57" t="str">
            <v>CALLER VALDERRAMA SERAPIO</v>
          </cell>
        </row>
        <row r="58">
          <cell r="B58">
            <v>20612554863</v>
          </cell>
          <cell r="C58" t="str">
            <v>INVERSIONES GENERALES PACHEKITO E.I.R.L.</v>
          </cell>
        </row>
        <row r="59">
          <cell r="B59">
            <v>10470098142</v>
          </cell>
          <cell r="C59" t="str">
            <v>MAMANI SONCCO EDUARDO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50"/>
    <pageSetUpPr fitToPage="1"/>
  </sheetPr>
  <dimension ref="A1:AL742"/>
  <sheetViews>
    <sheetView showGridLines="0" workbookViewId="0">
      <pane xSplit="1" ySplit="3" topLeftCell="B76" activePane="bottomRight" state="frozen"/>
      <selection pane="topRight" activeCell="B1" sqref="B1"/>
      <selection pane="bottomLeft" activeCell="A4" sqref="A4"/>
      <selection pane="bottomRight" activeCell="D98" sqref="D98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style="773" customWidth="1"/>
    <col min="34" max="34" width="20.33203125" customWidth="1"/>
    <col min="35" max="35" width="14.44140625" customWidth="1"/>
    <col min="36" max="36" width="17.5546875" customWidth="1"/>
    <col min="37" max="37" width="5.109375" customWidth="1"/>
    <col min="38" max="38" width="14.44140625" customWidth="1"/>
  </cols>
  <sheetData>
    <row r="1" spans="1:38" ht="15" customHeight="1" thickBot="1">
      <c r="D1" s="845"/>
      <c r="F1" s="79"/>
      <c r="G1" s="80"/>
      <c r="H1" s="81"/>
      <c r="I1" s="843"/>
      <c r="K1" s="703">
        <v>668.077</v>
      </c>
      <c r="L1" s="1007"/>
      <c r="AB1" s="83"/>
      <c r="AC1" s="758"/>
      <c r="AD1" s="83"/>
      <c r="AE1" s="83"/>
      <c r="AF1" s="83"/>
      <c r="AG1" s="768" t="s">
        <v>34</v>
      </c>
      <c r="AH1" s="701" t="s">
        <v>1001</v>
      </c>
      <c r="AI1" s="699" t="s">
        <v>36</v>
      </c>
      <c r="AJ1" s="87" t="s">
        <v>37</v>
      </c>
      <c r="AK1" s="88"/>
      <c r="AL1" s="89" t="s">
        <v>38</v>
      </c>
    </row>
    <row r="2" spans="1:38" ht="15" customHeight="1" thickBot="1">
      <c r="D2" s="845"/>
      <c r="G2" s="90"/>
      <c r="H2" s="90"/>
      <c r="I2" s="91">
        <f>SUBTOTAL(9,I4:I9311)</f>
        <v>702.80000000000007</v>
      </c>
      <c r="J2" s="81"/>
      <c r="K2" s="91">
        <f>SUBTOTAL(9,K4:K9311)</f>
        <v>667.44741700000009</v>
      </c>
      <c r="L2" s="93">
        <f>SUMPRODUCT(L5:L142,K5:K142)/K2</f>
        <v>0.36470039087888168</v>
      </c>
      <c r="M2" s="6"/>
      <c r="P2" s="6"/>
      <c r="Q2" s="94">
        <f>+SUMPRODUCT(Q5:Q94,AH5:AH94)/SUM(AH5:AH94)</f>
        <v>89.914312990211727</v>
      </c>
      <c r="R2" s="89">
        <f>+SUMPRODUCT(R5:R94,AH5:AH94)/SUM(AH5:AH94)</f>
        <v>2662.2922866929516</v>
      </c>
      <c r="S2" s="6"/>
      <c r="AB2" s="83"/>
      <c r="AC2" s="83"/>
      <c r="AD2" s="83"/>
      <c r="AE2" s="83"/>
      <c r="AF2" s="83"/>
      <c r="AG2" s="769">
        <f>SUMPRODUCT($AG5:$AG94,$K5:$K94)/SUM($K5:$K94)</f>
        <v>68.047619920805602</v>
      </c>
      <c r="AH2" s="702"/>
      <c r="AI2" s="252">
        <v>2820</v>
      </c>
      <c r="AJ2" s="98"/>
      <c r="AK2" s="88"/>
      <c r="AL2" s="99"/>
    </row>
    <row r="3" spans="1:38" ht="15" customHeight="1" thickBot="1">
      <c r="A3" s="678" t="s">
        <v>11</v>
      </c>
      <c r="B3" s="678" t="s">
        <v>39</v>
      </c>
      <c r="C3" s="678" t="s">
        <v>40</v>
      </c>
      <c r="D3" s="678" t="s">
        <v>41</v>
      </c>
      <c r="E3" s="678" t="s">
        <v>1025</v>
      </c>
      <c r="F3" s="678" t="s">
        <v>43</v>
      </c>
      <c r="G3" s="679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18">
        <f>SUBTOTAL(9,AH5:AH9312)</f>
        <v>7503.7464930160495</v>
      </c>
      <c r="AI3" s="700">
        <f>SUMPRODUCT(K5:K94,AI5:AI94)/K2</f>
        <v>92.393031012866814</v>
      </c>
      <c r="AJ3" s="118">
        <f>SUBTOTAL(9,AJ5:AJ9312)</f>
        <v>7351.0089451677241</v>
      </c>
      <c r="AK3" s="88"/>
      <c r="AL3" s="118">
        <f>SUBTOTAL(9,AL5:AL9312)</f>
        <v>499002.41110189178</v>
      </c>
    </row>
    <row r="4" spans="1:38" s="677" customFormat="1" ht="15.75" customHeight="1">
      <c r="A4" s="720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4"/>
      <c r="AJ4" s="675"/>
      <c r="AK4" s="676"/>
      <c r="AL4" s="732"/>
    </row>
    <row r="5" spans="1:38" ht="15.75" customHeight="1">
      <c r="A5" s="1060" t="s">
        <v>1282</v>
      </c>
      <c r="B5" s="1025"/>
      <c r="C5" s="595">
        <v>45624</v>
      </c>
      <c r="D5" t="s">
        <v>1152</v>
      </c>
      <c r="E5" t="e">
        <f>_xlfn.XLOOKUP(D5,RUC!$B$3:$B$89,RUC!$D$3:$D$89)</f>
        <v>#N/A</v>
      </c>
      <c r="F5" s="946" t="s">
        <v>1286</v>
      </c>
      <c r="G5" s="80"/>
      <c r="H5" t="s">
        <v>108</v>
      </c>
      <c r="I5" s="596">
        <v>9.36</v>
      </c>
      <c r="J5" s="596">
        <v>17.350000000000001</v>
      </c>
      <c r="K5" s="138">
        <f t="shared" ref="K5:K67" si="0">+I5-(I5*(J5/100))</f>
        <v>7.7360399999999991</v>
      </c>
      <c r="L5" s="139">
        <v>7.9000000000000001E-2</v>
      </c>
      <c r="M5" s="708">
        <v>6.9000000000000006E-2</v>
      </c>
      <c r="N5" s="159">
        <v>6.9000000000000006E-2</v>
      </c>
      <c r="O5" s="139">
        <f t="shared" ref="O5:O24" si="1">+ROUND((M5+N5)/2,3)</f>
        <v>6.9000000000000006E-2</v>
      </c>
      <c r="P5" s="629">
        <v>90</v>
      </c>
      <c r="Q5" s="760">
        <v>85.3</v>
      </c>
      <c r="R5" s="706">
        <v>2641.85</v>
      </c>
      <c r="S5" s="765">
        <f t="shared" ref="S5:S8" si="2">IF((90+ROUNDDOWN(O5,1)*100)&lt;95,95,(90+ROUNDDOWN(O5,1)*100))</f>
        <v>95</v>
      </c>
      <c r="U5" s="886">
        <v>100</v>
      </c>
      <c r="V5" s="715">
        <v>1.1023000000000001</v>
      </c>
      <c r="Y5" s="163">
        <v>20</v>
      </c>
      <c r="Z5" s="143">
        <f t="shared" ref="Z5:Z8" si="3"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 t="shared" ref="AA5:AA28" si="4">+Y5+Z5</f>
        <v>50</v>
      </c>
      <c r="AB5" s="145">
        <v>0</v>
      </c>
      <c r="AC5" s="145">
        <f>+(S5-T5)*V5-'data 1'!$F$4</f>
        <v>24.718500000000006</v>
      </c>
      <c r="AD5" s="145">
        <f t="shared" ref="AD5:AD67" si="5">+(Q5-P5)*(R5-U5)*L5*V5/100</f>
        <v>-10.403385099815006</v>
      </c>
      <c r="AE5" s="145">
        <f t="shared" ref="AE5:AE67" si="6">+(Y5*V5-70)+V5*(Z5-IF(D5="UNTUCA",IF(+((W5-3)*2.5+(X5-3)*3.1)&gt;0,+((W5-3)*1.5+(X5-3)*3.1),0),IF(+((W5-3)*1.5+(X5-3)*3.1)&gt;0,+((W5-3)*1.5+(X5-3)*3.1),0)))</f>
        <v>-14.884999999999998</v>
      </c>
      <c r="AF5" s="145">
        <f t="shared" ref="AF5:AF67" si="7">(L5-O5)*(R5-U5)*Q5*V5/100</f>
        <v>23.900047105149994</v>
      </c>
      <c r="AG5" s="772">
        <f t="shared" ref="AG5:AG8" si="8">+IF(D5="RONALD WILLIAN GARIBAY ESCUDERO",AC5+AD5+AE5+AF5+70,AC5+AD5+AE5+AF5)</f>
        <v>23.330162005334998</v>
      </c>
      <c r="AH5" s="146">
        <f t="shared" ref="AH5:AH67" si="9">31.1035*L5*Q5*1.1023*K5/100</f>
        <v>17.873265158425887</v>
      </c>
      <c r="AI5" s="156">
        <f t="shared" ref="AI5:AI67" si="10">+((+$AI$2-R5+U5)*L5*Q5*V5)/100</f>
        <v>20.661173951315003</v>
      </c>
      <c r="AJ5" s="156">
        <f t="shared" ref="AJ5:AJ67" si="11">31.1035*1.1023*K5*P5*O5/100</f>
        <v>16.470977582296999</v>
      </c>
      <c r="AK5" s="88"/>
      <c r="AL5" s="716">
        <v>0</v>
      </c>
    </row>
    <row r="6" spans="1:38" ht="15.75" customHeight="1">
      <c r="A6" s="1060" t="s">
        <v>1283</v>
      </c>
      <c r="B6" s="1025"/>
      <c r="C6" s="595">
        <v>45624</v>
      </c>
      <c r="D6" t="s">
        <v>1152</v>
      </c>
      <c r="E6" t="e">
        <f>_xlfn.XLOOKUP(D6,RUC!$B$3:$B$89,RUC!$D$3:$D$89)</f>
        <v>#N/A</v>
      </c>
      <c r="F6" s="946" t="s">
        <v>1286</v>
      </c>
      <c r="G6" s="80"/>
      <c r="H6" t="s">
        <v>108</v>
      </c>
      <c r="I6" s="596">
        <v>4.62</v>
      </c>
      <c r="J6" s="596">
        <v>18.149999999999999</v>
      </c>
      <c r="K6" s="138">
        <f t="shared" si="0"/>
        <v>3.7814700000000001</v>
      </c>
      <c r="L6" s="139">
        <v>7.1999999999999995E-2</v>
      </c>
      <c r="M6" s="708">
        <v>6.2E-2</v>
      </c>
      <c r="N6" s="159">
        <v>6.2E-2</v>
      </c>
      <c r="O6" s="139">
        <f t="shared" si="1"/>
        <v>6.2E-2</v>
      </c>
      <c r="P6" s="629">
        <v>90</v>
      </c>
      <c r="Q6" s="760">
        <v>85.42</v>
      </c>
      <c r="R6" s="706">
        <v>2641.85</v>
      </c>
      <c r="S6" s="765">
        <f t="shared" si="2"/>
        <v>95</v>
      </c>
      <c r="U6" s="886">
        <v>100</v>
      </c>
      <c r="V6" s="715">
        <v>1.1023000000000001</v>
      </c>
      <c r="Y6" s="163">
        <v>20</v>
      </c>
      <c r="Z6" s="143">
        <f t="shared" si="3"/>
        <v>30</v>
      </c>
      <c r="AA6" s="144">
        <f t="shared" si="4"/>
        <v>50</v>
      </c>
      <c r="AB6" s="145">
        <v>0</v>
      </c>
      <c r="AC6" s="145">
        <f>+(S6-T6)*V6-'data 1'!$F$4</f>
        <v>24.718500000000006</v>
      </c>
      <c r="AD6" s="145">
        <f t="shared" si="5"/>
        <v>-9.2394836264879956</v>
      </c>
      <c r="AE6" s="145">
        <f t="shared" si="6"/>
        <v>-14.884999999999998</v>
      </c>
      <c r="AF6" s="145">
        <f t="shared" si="7"/>
        <v>23.933669680209992</v>
      </c>
      <c r="AG6" s="772">
        <f t="shared" si="8"/>
        <v>24.527686053722004</v>
      </c>
      <c r="AH6" s="146">
        <f t="shared" si="9"/>
        <v>7.9737348884893997</v>
      </c>
      <c r="AI6" s="156">
        <f t="shared" si="10"/>
        <v>18.856927668888005</v>
      </c>
      <c r="AJ6" s="156">
        <f t="shared" si="11"/>
        <v>7.2344234822983893</v>
      </c>
      <c r="AK6" s="88"/>
      <c r="AL6" s="716">
        <v>0</v>
      </c>
    </row>
    <row r="7" spans="1:38" ht="15.75" customHeight="1">
      <c r="A7" s="1060" t="s">
        <v>1284</v>
      </c>
      <c r="B7" s="1025"/>
      <c r="C7" s="595">
        <v>45624</v>
      </c>
      <c r="D7" t="s">
        <v>1152</v>
      </c>
      <c r="E7" t="e">
        <f>_xlfn.XLOOKUP(D7,RUC!$B$3:$B$89,RUC!$D$3:$D$89)</f>
        <v>#N/A</v>
      </c>
      <c r="F7" s="946" t="s">
        <v>1286</v>
      </c>
      <c r="G7" s="80"/>
      <c r="H7" t="s">
        <v>108</v>
      </c>
      <c r="I7" s="596">
        <v>8.98</v>
      </c>
      <c r="J7" s="596">
        <v>16</v>
      </c>
      <c r="K7" s="138">
        <f t="shared" si="0"/>
        <v>7.5432000000000006</v>
      </c>
      <c r="L7" s="139">
        <v>7.8E-2</v>
      </c>
      <c r="M7" s="708">
        <v>6.8000000000000005E-2</v>
      </c>
      <c r="N7" s="159">
        <v>6.8000000000000005E-2</v>
      </c>
      <c r="O7" s="139">
        <f t="shared" si="1"/>
        <v>6.8000000000000005E-2</v>
      </c>
      <c r="P7" s="629">
        <v>90</v>
      </c>
      <c r="Q7" s="760">
        <v>85.07</v>
      </c>
      <c r="R7" s="706">
        <v>2641.85</v>
      </c>
      <c r="S7" s="765">
        <f t="shared" si="2"/>
        <v>95</v>
      </c>
      <c r="U7" s="886">
        <v>100</v>
      </c>
      <c r="V7" s="715">
        <v>1.1023000000000001</v>
      </c>
      <c r="Y7" s="163">
        <v>20</v>
      </c>
      <c r="Z7" s="143">
        <f t="shared" si="3"/>
        <v>30</v>
      </c>
      <c r="AA7" s="144">
        <f t="shared" si="4"/>
        <v>50</v>
      </c>
      <c r="AB7" s="145">
        <v>0</v>
      </c>
      <c r="AC7" s="145">
        <f>+(S7-T7)*V7-'data 1'!$F$4</f>
        <v>24.718500000000006</v>
      </c>
      <c r="AD7" s="145">
        <f t="shared" si="5"/>
        <v>-10.774354177977013</v>
      </c>
      <c r="AE7" s="145">
        <f t="shared" si="6"/>
        <v>-14.884999999999998</v>
      </c>
      <c r="AF7" s="145">
        <f t="shared" si="7"/>
        <v>23.835603836284985</v>
      </c>
      <c r="AG7" s="772">
        <f t="shared" si="8"/>
        <v>22.89474965830798</v>
      </c>
      <c r="AH7" s="146">
        <f t="shared" si="9"/>
        <v>17.160728780936765</v>
      </c>
      <c r="AI7" s="156">
        <f t="shared" si="10"/>
        <v>20.344635212577003</v>
      </c>
      <c r="AJ7" s="156">
        <f t="shared" si="11"/>
        <v>15.827638195292117</v>
      </c>
      <c r="AK7" s="88"/>
      <c r="AL7" s="716">
        <v>0</v>
      </c>
    </row>
    <row r="8" spans="1:38" ht="15.75" customHeight="1">
      <c r="A8" s="1060" t="s">
        <v>1285</v>
      </c>
      <c r="B8" s="1025"/>
      <c r="C8" s="595">
        <v>45624</v>
      </c>
      <c r="D8" t="s">
        <v>1152</v>
      </c>
      <c r="E8" t="e">
        <f>_xlfn.XLOOKUP(D8,RUC!$B$3:$B$89,RUC!$D$3:$D$89)</f>
        <v>#N/A</v>
      </c>
      <c r="F8" s="946" t="s">
        <v>1286</v>
      </c>
      <c r="G8" s="80"/>
      <c r="H8" t="s">
        <v>108</v>
      </c>
      <c r="I8" s="596">
        <v>4.4800000000000004</v>
      </c>
      <c r="J8" s="596">
        <v>17.5</v>
      </c>
      <c r="K8" s="138">
        <f t="shared" si="0"/>
        <v>3.6960000000000006</v>
      </c>
      <c r="L8" s="139">
        <v>8.4000000000000005E-2</v>
      </c>
      <c r="M8" s="708">
        <v>7.3999999999999996E-2</v>
      </c>
      <c r="N8" s="159">
        <v>7.3999999999999996E-2</v>
      </c>
      <c r="O8" s="139">
        <f t="shared" si="1"/>
        <v>7.3999999999999996E-2</v>
      </c>
      <c r="P8" s="629">
        <v>90</v>
      </c>
      <c r="Q8" s="760">
        <v>85.7</v>
      </c>
      <c r="R8" s="706">
        <v>2641.85</v>
      </c>
      <c r="S8" s="765">
        <f t="shared" si="2"/>
        <v>95</v>
      </c>
      <c r="U8" s="886">
        <v>100</v>
      </c>
      <c r="V8" s="715">
        <v>1.1023000000000001</v>
      </c>
      <c r="Y8" s="163">
        <v>20</v>
      </c>
      <c r="Z8" s="143">
        <f t="shared" si="3"/>
        <v>30</v>
      </c>
      <c r="AA8" s="144">
        <f t="shared" si="4"/>
        <v>50</v>
      </c>
      <c r="AB8" s="145">
        <v>0</v>
      </c>
      <c r="AC8" s="145">
        <f>+(S8-T8)*V8-'data 1'!$F$4</f>
        <v>24.718500000000006</v>
      </c>
      <c r="AD8" s="145">
        <f t="shared" si="5"/>
        <v>-10.120395093059994</v>
      </c>
      <c r="AE8" s="145">
        <f t="shared" si="6"/>
        <v>-14.884999999999998</v>
      </c>
      <c r="AF8" s="145">
        <f t="shared" si="7"/>
        <v>24.012122355350026</v>
      </c>
      <c r="AG8" s="772">
        <f t="shared" si="8"/>
        <v>23.725227262290041</v>
      </c>
      <c r="AH8" s="146">
        <f t="shared" si="9"/>
        <v>9.1222325592308096</v>
      </c>
      <c r="AI8" s="156">
        <f t="shared" si="10"/>
        <v>22.071862383060012</v>
      </c>
      <c r="AJ8" s="156">
        <f t="shared" si="11"/>
        <v>8.43947169590448</v>
      </c>
      <c r="AK8" s="88"/>
      <c r="AL8" s="716">
        <v>0</v>
      </c>
    </row>
    <row r="9" spans="1:38" ht="15.75" customHeight="1">
      <c r="A9" s="1060" t="s">
        <v>1491</v>
      </c>
      <c r="B9" s="1016">
        <v>45666</v>
      </c>
      <c r="C9" s="595">
        <v>45649</v>
      </c>
      <c r="D9" t="s">
        <v>154</v>
      </c>
      <c r="E9">
        <f>_xlfn.XLOOKUP(D9,RUC!$B$3:$B$89,RUC!$D$3:$D$89)</f>
        <v>10416085884</v>
      </c>
      <c r="F9" s="1036"/>
      <c r="G9" s="80" t="s">
        <v>1434</v>
      </c>
      <c r="H9" t="s">
        <v>69</v>
      </c>
      <c r="I9" s="596">
        <v>33.74</v>
      </c>
      <c r="J9" s="596">
        <v>6.1</v>
      </c>
      <c r="K9" s="138">
        <f t="shared" si="0"/>
        <v>31.68186</v>
      </c>
      <c r="L9" s="139">
        <v>0.15050000000000002</v>
      </c>
      <c r="M9" s="139">
        <v>0.14071750000000002</v>
      </c>
      <c r="N9" s="598">
        <v>0.16300000000000001</v>
      </c>
      <c r="O9" s="139">
        <f t="shared" si="1"/>
        <v>0.152</v>
      </c>
      <c r="P9" s="629">
        <v>90</v>
      </c>
      <c r="Q9" s="760">
        <v>89.74</v>
      </c>
      <c r="R9" s="706">
        <v>2613.8000000000002</v>
      </c>
      <c r="S9" s="802">
        <v>85</v>
      </c>
      <c r="U9" s="947">
        <v>90</v>
      </c>
      <c r="V9" s="715">
        <v>1.1023000000000001</v>
      </c>
      <c r="Z9" s="709">
        <v>15</v>
      </c>
      <c r="AA9" s="144">
        <f t="shared" si="4"/>
        <v>15</v>
      </c>
      <c r="AB9" s="145">
        <f t="shared" ref="AB9:AB23" si="12">+((O9*P9*(R9-U9)/100)-S9-AA9+T9)*V9</f>
        <v>270.34551243200008</v>
      </c>
      <c r="AC9" s="145">
        <f>+(S9-T9)*V9-'data 1'!$F$4</f>
        <v>13.69550000000001</v>
      </c>
      <c r="AD9" s="145">
        <f t="shared" si="5"/>
        <v>-1.0885906287620215</v>
      </c>
      <c r="AE9" s="145">
        <f t="shared" si="6"/>
        <v>-53.465499999999999</v>
      </c>
      <c r="AF9" s="145">
        <f t="shared" si="7"/>
        <v>-3.7448296585139342</v>
      </c>
      <c r="AG9" s="772">
        <f>+IF(D9="RONALD WILLIAN GARIBAY ESCUDERO",AC9+AD9+AE9+AF9+70,AC9+AD9+AE9+AF9)+70-10</f>
        <v>15.396579712724055</v>
      </c>
      <c r="AH9" s="146">
        <f t="shared" si="9"/>
        <v>146.7041180727106</v>
      </c>
      <c r="AI9" s="156">
        <f t="shared" si="10"/>
        <v>44.096835723961973</v>
      </c>
      <c r="AJ9" s="156">
        <f t="shared" si="11"/>
        <v>148.59556142882175</v>
      </c>
      <c r="AK9" s="88"/>
      <c r="AL9" s="716">
        <f t="shared" ref="AL9:AL71" si="13">+IF(AB9*K9&gt;0,AB9*K9,0)</f>
        <v>8565.0486764988855</v>
      </c>
    </row>
    <row r="10" spans="1:38" ht="15.75" customHeight="1">
      <c r="A10" s="1060" t="s">
        <v>1492</v>
      </c>
      <c r="B10" s="1016">
        <v>45666</v>
      </c>
      <c r="C10" s="595">
        <v>45649</v>
      </c>
      <c r="D10" t="s">
        <v>154</v>
      </c>
      <c r="E10">
        <f>_xlfn.XLOOKUP(D10,RUC!$B$3:$B$89,RUC!$D$3:$D$89)</f>
        <v>10416085884</v>
      </c>
      <c r="G10" s="80">
        <v>26</v>
      </c>
      <c r="H10" t="s">
        <v>69</v>
      </c>
      <c r="I10" s="596">
        <v>1.5</v>
      </c>
      <c r="J10" s="596">
        <v>7.45</v>
      </c>
      <c r="K10" s="138">
        <f t="shared" si="0"/>
        <v>1.38825</v>
      </c>
      <c r="L10" s="139">
        <v>0.32050000000000001</v>
      </c>
      <c r="M10" s="139">
        <v>0.30768000000000001</v>
      </c>
      <c r="N10" s="598">
        <v>0.35499999999999998</v>
      </c>
      <c r="O10" s="139">
        <f t="shared" si="1"/>
        <v>0.33100000000000002</v>
      </c>
      <c r="P10" s="629">
        <v>90</v>
      </c>
      <c r="Q10" s="760">
        <v>89.62</v>
      </c>
      <c r="R10" s="706">
        <v>2613.8000000000002</v>
      </c>
      <c r="S10" s="802">
        <v>100</v>
      </c>
      <c r="U10" s="947">
        <v>90</v>
      </c>
      <c r="V10" s="715">
        <v>1.1023000000000001</v>
      </c>
      <c r="Z10" s="709">
        <v>15</v>
      </c>
      <c r="AA10" s="144">
        <f t="shared" si="4"/>
        <v>15</v>
      </c>
      <c r="AB10" s="145">
        <f t="shared" si="12"/>
        <v>701.98875404600017</v>
      </c>
      <c r="AC10" s="145">
        <f>+(S10-T10)*V10-'data 1'!$F$4</f>
        <v>30.230000000000004</v>
      </c>
      <c r="AD10" s="145">
        <f t="shared" si="5"/>
        <v>-3.3881792148459602</v>
      </c>
      <c r="AE10" s="145">
        <f t="shared" si="6"/>
        <v>-53.465499999999999</v>
      </c>
      <c r="AF10" s="145">
        <f t="shared" si="7"/>
        <v>-26.178754601874026</v>
      </c>
      <c r="AG10" s="772">
        <f>+IF(D10="RONALD WILLIAN GARIBAY ESCUDERO",AC10+AD10+AE10+AF10+70,AC10+AD10+AE10+AF10)+70-10</f>
        <v>7.1975661832800171</v>
      </c>
      <c r="AH10" s="146">
        <f t="shared" si="9"/>
        <v>13.671297210378199</v>
      </c>
      <c r="AI10" s="156">
        <f t="shared" si="10"/>
        <v>93.781642562445953</v>
      </c>
      <c r="AJ10" s="156">
        <f t="shared" si="11"/>
        <v>14.179053939206888</v>
      </c>
      <c r="AK10" s="88"/>
      <c r="AL10" s="716">
        <f t="shared" si="13"/>
        <v>974.53588780435973</v>
      </c>
    </row>
    <row r="11" spans="1:38" ht="15.75" customHeight="1">
      <c r="A11" s="1060" t="s">
        <v>1495</v>
      </c>
      <c r="B11" s="595">
        <v>45657</v>
      </c>
      <c r="C11" s="595">
        <v>45649</v>
      </c>
      <c r="D11" t="s">
        <v>154</v>
      </c>
      <c r="E11">
        <f>_xlfn.XLOOKUP(D11,RUC!$B$3:$B$89,RUC!$D$3:$D$89)</f>
        <v>10416085884</v>
      </c>
      <c r="G11" s="80" t="s">
        <v>1434</v>
      </c>
      <c r="H11" t="s">
        <v>69</v>
      </c>
      <c r="I11" s="596">
        <v>26.91</v>
      </c>
      <c r="J11" s="596">
        <v>3.9</v>
      </c>
      <c r="K11" s="138">
        <f t="shared" si="0"/>
        <v>25.860510000000001</v>
      </c>
      <c r="L11" s="139">
        <v>0.10249999999999999</v>
      </c>
      <c r="M11" s="139">
        <v>9.7000000000000003E-2</v>
      </c>
      <c r="N11" s="159">
        <v>0.108</v>
      </c>
      <c r="O11" s="139">
        <f t="shared" si="1"/>
        <v>0.10299999999999999</v>
      </c>
      <c r="P11" s="629">
        <v>80</v>
      </c>
      <c r="Q11" s="760">
        <v>89.39</v>
      </c>
      <c r="R11" s="706">
        <v>2613.8000000000002</v>
      </c>
      <c r="S11" s="802">
        <v>110</v>
      </c>
      <c r="U11" s="947">
        <v>90</v>
      </c>
      <c r="V11" s="715">
        <v>1.1023000000000001</v>
      </c>
      <c r="Z11" s="143">
        <f t="shared" ref="Z11:Z25" si="14">IF(IF(D11="UNTUCA",IF(+((W11-3)*1.5+(X11-3)*3.1)&gt;0,+((W11-3)*1.5+(X11-3)*3.1),0),IF(+((W11-3)*1.5+(X11-3)*3.1)&gt;0,+((W11-3)*1.5+(X11-3)*3.1),0))&lt;30,30,IF(D11="UNTUCA",IF(+((W11-3)*1.5+(X11-3)*3.1)&gt;0,+((W11-3)*1.5+(X11-3)*3.1),0),IF(+((W11-3)*1.5+(X11-3)*3.1)&gt;0,+((W11-3)*1.5+(X11-3)*3.1),0)))</f>
        <v>30</v>
      </c>
      <c r="AA11" s="144">
        <f t="shared" si="4"/>
        <v>30</v>
      </c>
      <c r="AB11" s="145">
        <f t="shared" si="12"/>
        <v>74.913542576000026</v>
      </c>
      <c r="AC11" s="145">
        <f>+(S11-T11)*V11-'data 1'!$F$4</f>
        <v>41.253</v>
      </c>
      <c r="AD11" s="145">
        <f t="shared" si="5"/>
        <v>26.775907626315007</v>
      </c>
      <c r="AE11" s="145">
        <f t="shared" si="6"/>
        <v>-36.930999999999997</v>
      </c>
      <c r="AF11" s="145">
        <f t="shared" si="7"/>
        <v>-1.2434080795430011</v>
      </c>
      <c r="AG11" s="772">
        <f t="shared" ref="AG11" si="15">+IF(D11="RONALD WILLIAN GARIBAY ESCUDERO",AC11+AD11+AE11+AF11+70,AC11+AD11+AE11+AF11)+70-53</f>
        <v>46.854499546772004</v>
      </c>
      <c r="AH11" s="146">
        <f t="shared" si="9"/>
        <v>81.237950320822847</v>
      </c>
      <c r="AI11" s="156">
        <f t="shared" si="10"/>
        <v>29.915596322184982</v>
      </c>
      <c r="AJ11" s="156">
        <f t="shared" si="11"/>
        <v>73.058939930922605</v>
      </c>
      <c r="AK11" s="88"/>
      <c r="AL11" s="716">
        <f t="shared" si="13"/>
        <v>1937.3024169220746</v>
      </c>
    </row>
    <row r="12" spans="1:38" ht="15.75" customHeight="1">
      <c r="A12" s="1060" t="s">
        <v>1539</v>
      </c>
      <c r="B12" s="595">
        <v>45657</v>
      </c>
      <c r="C12" s="595">
        <v>45654</v>
      </c>
      <c r="D12" t="s">
        <v>129</v>
      </c>
      <c r="E12" t="e">
        <f>_xlfn.XLOOKUP(D12,RUC!$B$3:$B$89,RUC!$D$3:$D$89)</f>
        <v>#N/A</v>
      </c>
      <c r="G12" s="80" t="s">
        <v>1434</v>
      </c>
      <c r="H12" t="s">
        <v>69</v>
      </c>
      <c r="I12" s="596">
        <v>9.58</v>
      </c>
      <c r="J12" s="596">
        <v>1.2</v>
      </c>
      <c r="K12" s="138">
        <f t="shared" si="0"/>
        <v>9.4650400000000001</v>
      </c>
      <c r="L12" s="139">
        <v>0.41399999999999998</v>
      </c>
      <c r="M12" s="139">
        <v>0.39700000000000002</v>
      </c>
      <c r="N12" s="598">
        <v>0.45600000000000002</v>
      </c>
      <c r="O12" s="139">
        <f t="shared" si="1"/>
        <v>0.42699999999999999</v>
      </c>
      <c r="P12" s="629">
        <v>90</v>
      </c>
      <c r="Q12" s="760">
        <v>89.79</v>
      </c>
      <c r="R12" s="706">
        <v>2615.9499999999998</v>
      </c>
      <c r="S12" s="802">
        <v>120</v>
      </c>
      <c r="U12" s="997">
        <v>100</v>
      </c>
      <c r="V12" s="715">
        <v>1.1023000000000001</v>
      </c>
      <c r="Y12">
        <v>0</v>
      </c>
      <c r="Z12" s="143">
        <f t="shared" si="14"/>
        <v>30</v>
      </c>
      <c r="AA12" s="144">
        <f t="shared" si="4"/>
        <v>30</v>
      </c>
      <c r="AB12" s="145">
        <f t="shared" si="12"/>
        <v>900.44636654549993</v>
      </c>
      <c r="AC12" s="145">
        <f>+(S12-T12)*V12-'data 1'!$F$4</f>
        <v>52.27600000000001</v>
      </c>
      <c r="AD12" s="145">
        <f t="shared" si="5"/>
        <v>-2.4111345669389279</v>
      </c>
      <c r="AE12" s="145">
        <f t="shared" si="6"/>
        <v>-36.930999999999997</v>
      </c>
      <c r="AF12" s="145">
        <f t="shared" si="7"/>
        <v>-32.372268759499526</v>
      </c>
      <c r="AG12" s="772">
        <f>+IF(D12="RONALD WILLIAN GARIBAY ESCUDERO",AC12+AD12+AE12+AF12+70,AC12+AD12+AE12+AF12)</f>
        <v>50.56159667356156</v>
      </c>
      <c r="AH12" s="146">
        <f t="shared" si="9"/>
        <v>120.63125209669141</v>
      </c>
      <c r="AI12" s="156">
        <f t="shared" si="10"/>
        <v>124.58711460753908</v>
      </c>
      <c r="AJ12" s="156">
        <f t="shared" si="11"/>
        <v>124.71018038536108</v>
      </c>
      <c r="AK12" s="88"/>
      <c r="AL12" s="716">
        <f t="shared" si="13"/>
        <v>8522.7608772078183</v>
      </c>
    </row>
    <row r="13" spans="1:38" ht="15.75" customHeight="1">
      <c r="A13" s="1060" t="s">
        <v>1541</v>
      </c>
      <c r="B13" s="595">
        <v>45660</v>
      </c>
      <c r="C13" s="595">
        <v>45655</v>
      </c>
      <c r="D13" t="s">
        <v>66</v>
      </c>
      <c r="E13">
        <f>_xlfn.XLOOKUP(D13,RUC!$B$3:$B$89,RUC!$D$3:$D$89)</f>
        <v>10457401928</v>
      </c>
      <c r="F13" s="1003" t="s">
        <v>1564</v>
      </c>
      <c r="G13" s="80">
        <v>80</v>
      </c>
      <c r="H13" t="s">
        <v>69</v>
      </c>
      <c r="I13" s="596">
        <v>33.909999999999997</v>
      </c>
      <c r="J13" s="596">
        <v>15.4</v>
      </c>
      <c r="K13" s="138">
        <f t="shared" si="0"/>
        <v>28.687859999999997</v>
      </c>
      <c r="L13" s="139">
        <v>0.58499999999999996</v>
      </c>
      <c r="M13" s="139">
        <v>0.56100000000000005</v>
      </c>
      <c r="N13" s="598">
        <v>0.59799999999999998</v>
      </c>
      <c r="O13" s="139">
        <f t="shared" si="1"/>
        <v>0.57999999999999996</v>
      </c>
      <c r="P13" s="629">
        <v>90</v>
      </c>
      <c r="Q13" s="760">
        <v>89.66</v>
      </c>
      <c r="R13" s="706">
        <v>2615.9499999999998</v>
      </c>
      <c r="S13" s="802">
        <v>130</v>
      </c>
      <c r="U13" s="997">
        <v>100</v>
      </c>
      <c r="V13" s="715">
        <v>1.1023000000000001</v>
      </c>
      <c r="Z13" s="143">
        <f t="shared" si="14"/>
        <v>30</v>
      </c>
      <c r="AA13" s="144">
        <f t="shared" si="4"/>
        <v>30</v>
      </c>
      <c r="AB13" s="145">
        <f t="shared" si="12"/>
        <v>1271.3111395699996</v>
      </c>
      <c r="AC13" s="145">
        <f>+(S13-T13)*V13-'data 1'!$F$4</f>
        <v>63.299000000000007</v>
      </c>
      <c r="AD13" s="145">
        <f t="shared" si="5"/>
        <v>-5.5161567214650553</v>
      </c>
      <c r="AE13" s="145">
        <f t="shared" si="6"/>
        <v>-36.930999999999997</v>
      </c>
      <c r="AF13" s="145">
        <f t="shared" si="7"/>
        <v>12.432845943855009</v>
      </c>
      <c r="AG13" s="772">
        <f>+IF(D13="RONALD WILLIAN GARIBAY ESCUDERO",AC13+AD13+AE13+AF13+70,AC13+AD13+AE13+AF13)</f>
        <v>33.284689222389964</v>
      </c>
      <c r="AH13" s="146">
        <f t="shared" si="9"/>
        <v>515.89559863496288</v>
      </c>
      <c r="AI13" s="156">
        <f t="shared" si="10"/>
        <v>175.79212491496514</v>
      </c>
      <c r="AJ13" s="156">
        <f t="shared" si="11"/>
        <v>513.42584328536611</v>
      </c>
      <c r="AK13" s="88"/>
      <c r="AL13" s="716">
        <f t="shared" si="13"/>
        <v>36471.195988424603</v>
      </c>
    </row>
    <row r="14" spans="1:38" ht="15.75" customHeight="1">
      <c r="A14" s="1060" t="s">
        <v>1542</v>
      </c>
      <c r="B14" s="595">
        <v>45660</v>
      </c>
      <c r="C14" s="595">
        <v>45655</v>
      </c>
      <c r="D14" t="s">
        <v>66</v>
      </c>
      <c r="E14">
        <f>_xlfn.XLOOKUP(D14,RUC!$B$3:$B$89,RUC!$D$3:$D$89)</f>
        <v>10457401928</v>
      </c>
      <c r="F14" s="1003" t="s">
        <v>1564</v>
      </c>
      <c r="G14" s="80">
        <v>90</v>
      </c>
      <c r="H14" t="s">
        <v>69</v>
      </c>
      <c r="I14" s="596">
        <v>34.659999999999997</v>
      </c>
      <c r="J14" s="596">
        <v>16.350000000000001</v>
      </c>
      <c r="K14" s="138">
        <f t="shared" si="0"/>
        <v>28.993089999999995</v>
      </c>
      <c r="L14" s="139">
        <v>0.57599999999999996</v>
      </c>
      <c r="M14" s="139">
        <v>0.55300000000000005</v>
      </c>
      <c r="N14" s="598">
        <v>0.57399999999999995</v>
      </c>
      <c r="O14" s="139">
        <f t="shared" si="1"/>
        <v>0.56399999999999995</v>
      </c>
      <c r="P14" s="629">
        <v>90</v>
      </c>
      <c r="Q14" s="760">
        <v>89.71</v>
      </c>
      <c r="R14" s="706">
        <v>2615.9499999999998</v>
      </c>
      <c r="S14" s="802">
        <v>130</v>
      </c>
      <c r="U14" s="997">
        <v>100</v>
      </c>
      <c r="V14" s="715">
        <v>1.1023000000000001</v>
      </c>
      <c r="Z14" s="143">
        <f t="shared" si="14"/>
        <v>30</v>
      </c>
      <c r="AA14" s="144">
        <f t="shared" si="4"/>
        <v>30</v>
      </c>
      <c r="AB14" s="145">
        <f t="shared" si="12"/>
        <v>1231.3751633059999</v>
      </c>
      <c r="AC14" s="145">
        <f>+(S14-T14)*V14-'data 1'!$F$4</f>
        <v>63.299000000000007</v>
      </c>
      <c r="AD14" s="145">
        <f t="shared" si="5"/>
        <v>-4.6325732466240996</v>
      </c>
      <c r="AE14" s="145">
        <f t="shared" si="6"/>
        <v>-36.930999999999997</v>
      </c>
      <c r="AF14" s="145">
        <f t="shared" si="7"/>
        <v>29.855470255362025</v>
      </c>
      <c r="AG14" s="772">
        <f>+IF(D14="RONALD WILLIAN GARIBAY ESCUDERO",AC14+AD14+AE14+AF14+70,AC14+AD14+AE14+AF14)</f>
        <v>51.59089700873794</v>
      </c>
      <c r="AH14" s="146">
        <f t="shared" si="9"/>
        <v>513.64955127548342</v>
      </c>
      <c r="AI14" s="156">
        <f t="shared" si="10"/>
        <v>173.18415512822409</v>
      </c>
      <c r="AJ14" s="156">
        <f t="shared" si="11"/>
        <v>504.57436970406837</v>
      </c>
      <c r="AK14" s="88"/>
      <c r="AL14" s="716">
        <f t="shared" si="13"/>
        <v>35701.370933495549</v>
      </c>
    </row>
    <row r="15" spans="1:38" ht="15.75" customHeight="1">
      <c r="A15" s="1060" t="s">
        <v>1543</v>
      </c>
      <c r="B15" s="595">
        <v>45660</v>
      </c>
      <c r="C15" s="595">
        <v>45655</v>
      </c>
      <c r="D15" t="s">
        <v>1229</v>
      </c>
      <c r="E15">
        <f>_xlfn.XLOOKUP(D15,RUC!$B$3:$B$89,RUC!$D$3:$D$89)</f>
        <v>20610873309</v>
      </c>
      <c r="G15" s="80">
        <v>144</v>
      </c>
      <c r="H15" t="s">
        <v>69</v>
      </c>
      <c r="I15" s="596">
        <v>11.96</v>
      </c>
      <c r="J15" s="596">
        <v>1</v>
      </c>
      <c r="K15" s="138">
        <f t="shared" si="0"/>
        <v>11.840400000000001</v>
      </c>
      <c r="L15" s="139">
        <v>0.55900000000000005</v>
      </c>
      <c r="M15" s="139">
        <v>0.53700000000000003</v>
      </c>
      <c r="N15" s="598">
        <v>0.64700000000000002</v>
      </c>
      <c r="O15" s="139">
        <f t="shared" si="1"/>
        <v>0.59199999999999997</v>
      </c>
      <c r="P15" s="629">
        <v>90</v>
      </c>
      <c r="Q15" s="760">
        <v>89.46</v>
      </c>
      <c r="R15" s="706">
        <v>2615.9499999999998</v>
      </c>
      <c r="S15" s="765">
        <f>IF((90+ROUNDDOWN(O15,1)*100)&lt;95,95,(90+ROUNDDOWN(O15,1)*100))</f>
        <v>140</v>
      </c>
      <c r="U15" s="997">
        <v>120</v>
      </c>
      <c r="V15" s="715">
        <v>1.1023000000000001</v>
      </c>
      <c r="Y15">
        <v>20</v>
      </c>
      <c r="Z15" s="143">
        <f t="shared" si="14"/>
        <v>30</v>
      </c>
      <c r="AA15" s="144">
        <f t="shared" si="4"/>
        <v>50</v>
      </c>
      <c r="AB15" s="145">
        <f t="shared" si="12"/>
        <v>1256.4480129680001</v>
      </c>
      <c r="AC15" s="145">
        <f>+(S15-T15)*V15-'data 1'!$F$4</f>
        <v>74.322000000000003</v>
      </c>
      <c r="AD15" s="145">
        <f t="shared" si="5"/>
        <v>-8.3050309687410966</v>
      </c>
      <c r="AE15" s="145">
        <f t="shared" si="6"/>
        <v>-14.884999999999998</v>
      </c>
      <c r="AF15" s="145">
        <f t="shared" si="7"/>
        <v>-81.222905735432789</v>
      </c>
      <c r="AG15" s="772">
        <f>+IF(D15="RONALD WILLIAN GARIBAY ESCUDERO",AC15+AD15+AE15+AF15+70,AC15+AD15+AE15+AF15)+70-53</f>
        <v>-13.090936704173878</v>
      </c>
      <c r="AH15" s="146">
        <f t="shared" si="9"/>
        <v>203.00939888409553</v>
      </c>
      <c r="AI15" s="156">
        <f t="shared" si="10"/>
        <v>178.62923360564113</v>
      </c>
      <c r="AJ15" s="156">
        <f t="shared" si="11"/>
        <v>216.29160317789487</v>
      </c>
      <c r="AK15" s="88"/>
      <c r="AL15" s="716">
        <f t="shared" si="13"/>
        <v>14876.847052746309</v>
      </c>
    </row>
    <row r="16" spans="1:38" ht="15.75" customHeight="1">
      <c r="A16" s="1060" t="s">
        <v>1544</v>
      </c>
      <c r="B16" s="595">
        <v>45657</v>
      </c>
      <c r="C16" s="595">
        <v>45655</v>
      </c>
      <c r="D16" t="s">
        <v>129</v>
      </c>
      <c r="E16" t="e">
        <f>_xlfn.XLOOKUP(D16,RUC!$B$3:$B$89,RUC!$D$3:$D$89)</f>
        <v>#N/A</v>
      </c>
      <c r="G16" s="80">
        <v>94</v>
      </c>
      <c r="H16" t="s">
        <v>108</v>
      </c>
      <c r="I16" s="596">
        <v>7.16</v>
      </c>
      <c r="J16" s="596">
        <v>1.5</v>
      </c>
      <c r="K16" s="138">
        <f t="shared" si="0"/>
        <v>7.0526</v>
      </c>
      <c r="L16" s="139">
        <v>0.38900000000000001</v>
      </c>
      <c r="M16" s="139">
        <v>0.373</v>
      </c>
      <c r="N16" s="159">
        <v>0.45900000000000002</v>
      </c>
      <c r="O16" s="139">
        <f t="shared" si="1"/>
        <v>0.41599999999999998</v>
      </c>
      <c r="P16" s="629">
        <v>90</v>
      </c>
      <c r="Q16" s="760">
        <v>89.84</v>
      </c>
      <c r="R16" s="706">
        <v>2615.9499999999998</v>
      </c>
      <c r="S16" s="802">
        <v>120</v>
      </c>
      <c r="U16" s="997">
        <v>100</v>
      </c>
      <c r="V16" s="715">
        <v>1.1023000000000001</v>
      </c>
      <c r="Y16">
        <v>0</v>
      </c>
      <c r="Z16" s="143">
        <f t="shared" si="14"/>
        <v>30</v>
      </c>
      <c r="AA16" s="144">
        <f t="shared" si="4"/>
        <v>30</v>
      </c>
      <c r="AB16" s="145">
        <f t="shared" si="12"/>
        <v>872.99038286399991</v>
      </c>
      <c r="AC16" s="145">
        <f>+(S16-T16)*V16-'data 1'!$F$4</f>
        <v>52.27600000000001</v>
      </c>
      <c r="AD16" s="145">
        <f t="shared" si="5"/>
        <v>-1.726121640743963</v>
      </c>
      <c r="AE16" s="145">
        <f t="shared" si="6"/>
        <v>-36.930999999999997</v>
      </c>
      <c r="AF16" s="145">
        <f t="shared" si="7"/>
        <v>-67.272152016707921</v>
      </c>
      <c r="AG16" s="772">
        <f>+IF(D16="RONALD WILLIAN GARIBAY ESCUDERO",AC16+AD16+AE16+AF16+70,AC16+AD16+AE16+AF16)</f>
        <v>16.346726342548131</v>
      </c>
      <c r="AH16" s="146">
        <f t="shared" si="9"/>
        <v>84.50407780735793</v>
      </c>
      <c r="AI16" s="156">
        <f t="shared" si="10"/>
        <v>117.12892563584408</v>
      </c>
      <c r="AJ16" s="156">
        <f t="shared" si="11"/>
        <v>90.530342233879395</v>
      </c>
      <c r="AK16" s="88"/>
      <c r="AL16" s="716">
        <f t="shared" si="13"/>
        <v>6156.8519741866457</v>
      </c>
    </row>
    <row r="17" spans="1:38" ht="15.75" customHeight="1">
      <c r="A17" s="1060" t="s">
        <v>1545</v>
      </c>
      <c r="B17" s="595">
        <v>45661</v>
      </c>
      <c r="C17" s="595">
        <v>45655</v>
      </c>
      <c r="D17" s="1055" t="s">
        <v>1229</v>
      </c>
      <c r="E17">
        <f>_xlfn.XLOOKUP(D17,RUC!$B$3:$B$89,RUC!$D$3:$D$89)</f>
        <v>20610873309</v>
      </c>
      <c r="G17" s="80">
        <v>80</v>
      </c>
      <c r="H17" t="s">
        <v>69</v>
      </c>
      <c r="I17" s="596">
        <v>7.66</v>
      </c>
      <c r="J17" s="596">
        <v>1.6</v>
      </c>
      <c r="K17" s="138">
        <f t="shared" si="0"/>
        <v>7.5374400000000001</v>
      </c>
      <c r="L17" s="139">
        <v>0.19900000000000001</v>
      </c>
      <c r="M17" s="139">
        <v>0.189</v>
      </c>
      <c r="N17" s="159">
        <v>0.189</v>
      </c>
      <c r="O17" s="139">
        <f t="shared" si="1"/>
        <v>0.189</v>
      </c>
      <c r="P17" s="629">
        <v>90</v>
      </c>
      <c r="Q17" s="760">
        <v>89.77</v>
      </c>
      <c r="R17" s="706">
        <v>2615.9499999999998</v>
      </c>
      <c r="S17" s="765">
        <f t="shared" ref="S17:S25" si="16">IF((90+ROUNDDOWN(O17,1)*100)&lt;95,95,(90+ROUNDDOWN(O17,1)*100))</f>
        <v>100</v>
      </c>
      <c r="U17" s="997">
        <v>120</v>
      </c>
      <c r="V17" s="715">
        <v>1.1023000000000001</v>
      </c>
      <c r="Y17">
        <v>10</v>
      </c>
      <c r="Z17" s="143">
        <f t="shared" si="14"/>
        <v>30</v>
      </c>
      <c r="AA17" s="144">
        <f t="shared" si="4"/>
        <v>40</v>
      </c>
      <c r="AB17" s="145">
        <f t="shared" si="12"/>
        <v>313.67169501849997</v>
      </c>
      <c r="AC17" s="145">
        <f>+(S17-T17)*V17-'data 1'!$F$4</f>
        <v>30.230000000000004</v>
      </c>
      <c r="AD17" s="145">
        <f t="shared" si="5"/>
        <v>-1.2592634580245217</v>
      </c>
      <c r="AE17" s="145">
        <f t="shared" si="6"/>
        <v>-25.908000000000001</v>
      </c>
      <c r="AF17" s="145">
        <f t="shared" si="7"/>
        <v>24.698291594245021</v>
      </c>
      <c r="AG17" s="772">
        <f t="shared" ref="AG17:AG25" si="17">+IF(D17="RONALD WILLIAN GARIBAY ESCUDERO",AC17+AD17+AE17+AF17+70,AC17+AD17+AE17+AF17)+70-53</f>
        <v>44.761028136220503</v>
      </c>
      <c r="AH17" s="146">
        <f t="shared" si="9"/>
        <v>46.165467614760885</v>
      </c>
      <c r="AI17" s="156">
        <f t="shared" si="10"/>
        <v>63.811085832324551</v>
      </c>
      <c r="AJ17" s="156">
        <f t="shared" si="11"/>
        <v>43.957931807141001</v>
      </c>
      <c r="AK17" s="88"/>
      <c r="AL17" s="716">
        <f t="shared" si="13"/>
        <v>2364.2815809002427</v>
      </c>
    </row>
    <row r="18" spans="1:38" ht="15.75" customHeight="1">
      <c r="A18" s="1060" t="s">
        <v>1546</v>
      </c>
      <c r="B18" s="595">
        <v>45660</v>
      </c>
      <c r="C18" s="595">
        <v>45655</v>
      </c>
      <c r="D18" t="s">
        <v>1402</v>
      </c>
      <c r="E18">
        <f>_xlfn.XLOOKUP(D18,RUC!$B$3:$B$89,RUC!$D$3:$D$89)</f>
        <v>20606526599</v>
      </c>
      <c r="G18" s="80">
        <v>110</v>
      </c>
      <c r="H18" t="s">
        <v>69</v>
      </c>
      <c r="I18" s="596">
        <v>9.23</v>
      </c>
      <c r="J18" s="596">
        <v>1.1000000000000001</v>
      </c>
      <c r="K18" s="138">
        <f t="shared" si="0"/>
        <v>9.1284700000000001</v>
      </c>
      <c r="L18" s="139">
        <v>0.33400000000000002</v>
      </c>
      <c r="M18" s="139">
        <v>0.32</v>
      </c>
      <c r="N18" s="159">
        <v>0.32</v>
      </c>
      <c r="O18" s="139">
        <f t="shared" si="1"/>
        <v>0.32</v>
      </c>
      <c r="P18" s="629">
        <v>90</v>
      </c>
      <c r="Q18" s="760">
        <v>89.56</v>
      </c>
      <c r="R18" s="706">
        <v>2615.9499999999998</v>
      </c>
      <c r="S18" s="765">
        <f t="shared" si="16"/>
        <v>120</v>
      </c>
      <c r="U18" s="997">
        <v>120</v>
      </c>
      <c r="V18" s="715">
        <v>1.1023000000000001</v>
      </c>
      <c r="Y18">
        <v>20</v>
      </c>
      <c r="Z18" s="143">
        <f t="shared" si="14"/>
        <v>30</v>
      </c>
      <c r="AA18" s="144">
        <f t="shared" si="4"/>
        <v>50</v>
      </c>
      <c r="AB18" s="145">
        <f t="shared" si="12"/>
        <v>604.97927728000013</v>
      </c>
      <c r="AC18" s="145">
        <f>+(S18-T18)*V18-'data 1'!$F$4</f>
        <v>52.27600000000001</v>
      </c>
      <c r="AD18" s="145">
        <f t="shared" si="5"/>
        <v>-4.0432894426759791</v>
      </c>
      <c r="AE18" s="145">
        <f t="shared" si="6"/>
        <v>-14.884999999999998</v>
      </c>
      <c r="AF18" s="145">
        <f t="shared" si="7"/>
        <v>34.496720432804032</v>
      </c>
      <c r="AG18" s="772">
        <f t="shared" si="17"/>
        <v>84.844430990128075</v>
      </c>
      <c r="AH18" s="146">
        <f t="shared" si="9"/>
        <v>93.619779436549649</v>
      </c>
      <c r="AI18" s="156">
        <f t="shared" si="10"/>
        <v>106.84947310607608</v>
      </c>
      <c r="AJ18" s="156">
        <f t="shared" si="11"/>
        <v>90.136263240801654</v>
      </c>
      <c r="AK18" s="88"/>
      <c r="AL18" s="716">
        <f t="shared" si="13"/>
        <v>5522.5351832721626</v>
      </c>
    </row>
    <row r="19" spans="1:38" ht="15.75" customHeight="1">
      <c r="A19" s="1060" t="s">
        <v>1547</v>
      </c>
      <c r="B19" s="595">
        <v>45660</v>
      </c>
      <c r="C19" s="595">
        <v>45656</v>
      </c>
      <c r="D19" t="s">
        <v>145</v>
      </c>
      <c r="E19" t="e">
        <f>_xlfn.XLOOKUP(D19,RUC!$B$3:$B$89,RUC!$D$3:$D$89)</f>
        <v>#N/A</v>
      </c>
      <c r="G19" s="80">
        <v>12</v>
      </c>
      <c r="H19" t="s">
        <v>69</v>
      </c>
      <c r="I19" s="596">
        <v>1.07</v>
      </c>
      <c r="J19" s="596">
        <v>1.3</v>
      </c>
      <c r="K19" s="138">
        <f t="shared" si="0"/>
        <v>1.05609</v>
      </c>
      <c r="L19" s="139">
        <v>0.23400000000000001</v>
      </c>
      <c r="M19" s="139">
        <v>0.224</v>
      </c>
      <c r="N19" s="159">
        <v>0.224</v>
      </c>
      <c r="O19" s="139">
        <f t="shared" si="1"/>
        <v>0.224</v>
      </c>
      <c r="P19" s="629">
        <v>90</v>
      </c>
      <c r="Q19" s="760">
        <v>89.56</v>
      </c>
      <c r="R19" s="706">
        <v>2609.1</v>
      </c>
      <c r="S19" s="765">
        <f t="shared" si="16"/>
        <v>110</v>
      </c>
      <c r="U19" s="997">
        <v>110</v>
      </c>
      <c r="V19" s="715">
        <v>1.1023000000000001</v>
      </c>
      <c r="Y19">
        <v>20</v>
      </c>
      <c r="Z19" s="143">
        <f t="shared" si="14"/>
        <v>30</v>
      </c>
      <c r="AA19" s="144">
        <f t="shared" si="4"/>
        <v>50</v>
      </c>
      <c r="AB19" s="145">
        <f t="shared" si="12"/>
        <v>378.991198688</v>
      </c>
      <c r="AC19" s="145">
        <f>+(S19-T19)*V19-'data 1'!$F$4</f>
        <v>41.253</v>
      </c>
      <c r="AD19" s="145">
        <f t="shared" si="5"/>
        <v>-2.8362987647279856</v>
      </c>
      <c r="AE19" s="145">
        <f t="shared" si="6"/>
        <v>-14.884999999999998</v>
      </c>
      <c r="AF19" s="145">
        <f t="shared" si="7"/>
        <v>24.671612021080023</v>
      </c>
      <c r="AG19" s="772">
        <f t="shared" si="17"/>
        <v>65.203313256352033</v>
      </c>
      <c r="AH19" s="146">
        <f t="shared" si="9"/>
        <v>7.5882204953340713</v>
      </c>
      <c r="AI19" s="156">
        <f t="shared" si="10"/>
        <v>74.130933121128024</v>
      </c>
      <c r="AJ19" s="156">
        <f t="shared" si="11"/>
        <v>7.2996246218900582</v>
      </c>
      <c r="AK19" s="88"/>
      <c r="AL19" s="716">
        <f t="shared" si="13"/>
        <v>400.24881502240993</v>
      </c>
    </row>
    <row r="20" spans="1:38" ht="15.75" customHeight="1">
      <c r="A20" s="1060" t="s">
        <v>1548</v>
      </c>
      <c r="B20" s="595">
        <v>45660</v>
      </c>
      <c r="C20" s="595">
        <v>45656</v>
      </c>
      <c r="D20" t="s">
        <v>145</v>
      </c>
      <c r="E20" t="e">
        <f>_xlfn.XLOOKUP(D20,RUC!$B$3:$B$89,RUC!$D$3:$D$89)</f>
        <v>#N/A</v>
      </c>
      <c r="G20" s="80">
        <v>22</v>
      </c>
      <c r="H20" t="s">
        <v>69</v>
      </c>
      <c r="I20" s="596">
        <v>1.92</v>
      </c>
      <c r="J20" s="596">
        <v>1.4</v>
      </c>
      <c r="K20" s="138">
        <f t="shared" si="0"/>
        <v>1.8931199999999999</v>
      </c>
      <c r="L20" s="139">
        <v>0.158</v>
      </c>
      <c r="M20" s="139">
        <v>0.14799999999999999</v>
      </c>
      <c r="N20" s="159">
        <v>0.14799999999999999</v>
      </c>
      <c r="O20" s="139">
        <f t="shared" si="1"/>
        <v>0.14799999999999999</v>
      </c>
      <c r="P20" s="629">
        <v>90</v>
      </c>
      <c r="Q20" s="760">
        <v>89.79</v>
      </c>
      <c r="R20" s="706">
        <v>2609.1</v>
      </c>
      <c r="S20" s="765">
        <f t="shared" si="16"/>
        <v>100</v>
      </c>
      <c r="U20" s="997">
        <v>110</v>
      </c>
      <c r="V20" s="715">
        <v>1.1023000000000001</v>
      </c>
      <c r="Y20">
        <v>20</v>
      </c>
      <c r="Z20" s="143">
        <f t="shared" si="14"/>
        <v>30</v>
      </c>
      <c r="AA20" s="144">
        <f t="shared" si="4"/>
        <v>50</v>
      </c>
      <c r="AB20" s="145">
        <f t="shared" si="12"/>
        <v>201.588756276</v>
      </c>
      <c r="AC20" s="145">
        <f>+(S20-T20)*V20-'data 1'!$F$4</f>
        <v>30.230000000000004</v>
      </c>
      <c r="AD20" s="145">
        <f t="shared" si="5"/>
        <v>-0.91402868117397273</v>
      </c>
      <c r="AE20" s="145">
        <f t="shared" si="6"/>
        <v>-14.884999999999998</v>
      </c>
      <c r="AF20" s="145">
        <f t="shared" si="7"/>
        <v>24.73497145347002</v>
      </c>
      <c r="AG20" s="772">
        <f t="shared" si="17"/>
        <v>56.165942772296049</v>
      </c>
      <c r="AH20" s="146">
        <f t="shared" si="9"/>
        <v>9.2081475857465094</v>
      </c>
      <c r="AI20" s="156">
        <f t="shared" si="10"/>
        <v>50.182764580374013</v>
      </c>
      <c r="AJ20" s="156">
        <f t="shared" si="11"/>
        <v>8.6455263295187699</v>
      </c>
      <c r="AK20" s="88"/>
      <c r="AL20" s="716">
        <f t="shared" si="13"/>
        <v>381.63170628122111</v>
      </c>
    </row>
    <row r="21" spans="1:38" ht="15.75" customHeight="1">
      <c r="A21" s="1060" t="s">
        <v>1549</v>
      </c>
      <c r="B21" s="595">
        <v>45660</v>
      </c>
      <c r="C21" s="595">
        <v>45656</v>
      </c>
      <c r="D21" t="s">
        <v>145</v>
      </c>
      <c r="E21" t="e">
        <f>_xlfn.XLOOKUP(D21,RUC!$B$3:$B$89,RUC!$D$3:$D$89)</f>
        <v>#N/A</v>
      </c>
      <c r="G21" s="80">
        <v>22</v>
      </c>
      <c r="H21" t="s">
        <v>69</v>
      </c>
      <c r="I21" s="596">
        <v>1.97</v>
      </c>
      <c r="J21" s="596">
        <v>1.5</v>
      </c>
      <c r="K21" s="138">
        <f t="shared" si="0"/>
        <v>1.94045</v>
      </c>
      <c r="L21" s="139">
        <v>0.17100000000000001</v>
      </c>
      <c r="M21" s="139">
        <v>0.161</v>
      </c>
      <c r="N21" s="159">
        <v>0.161</v>
      </c>
      <c r="O21" s="139">
        <f t="shared" si="1"/>
        <v>0.161</v>
      </c>
      <c r="P21" s="629">
        <v>90</v>
      </c>
      <c r="Q21" s="760">
        <v>89.72</v>
      </c>
      <c r="R21" s="706">
        <v>2609.1</v>
      </c>
      <c r="S21" s="765">
        <f t="shared" si="16"/>
        <v>100</v>
      </c>
      <c r="U21" s="997">
        <v>110</v>
      </c>
      <c r="V21" s="715">
        <v>1.1023000000000001</v>
      </c>
      <c r="Y21">
        <v>20</v>
      </c>
      <c r="Z21" s="143">
        <f t="shared" si="14"/>
        <v>30</v>
      </c>
      <c r="AA21" s="144">
        <f t="shared" si="4"/>
        <v>50</v>
      </c>
      <c r="AB21" s="145">
        <f t="shared" si="12"/>
        <v>233.81942405700002</v>
      </c>
      <c r="AC21" s="145">
        <f>+(S21-T21)*V21-'data 1'!$F$4</f>
        <v>30.230000000000004</v>
      </c>
      <c r="AD21" s="145">
        <f t="shared" si="5"/>
        <v>-1.3189780968840055</v>
      </c>
      <c r="AE21" s="145">
        <f t="shared" si="6"/>
        <v>-14.884999999999998</v>
      </c>
      <c r="AF21" s="145">
        <f t="shared" si="7"/>
        <v>24.715688147960023</v>
      </c>
      <c r="AG21" s="772">
        <f t="shared" si="17"/>
        <v>55.741710051076026</v>
      </c>
      <c r="AH21" s="146">
        <f t="shared" si="9"/>
        <v>10.206971478987215</v>
      </c>
      <c r="AI21" s="156">
        <f t="shared" si="10"/>
        <v>54.269384973084016</v>
      </c>
      <c r="AJ21" s="156">
        <f t="shared" si="11"/>
        <v>9.6400638719111029</v>
      </c>
      <c r="AK21" s="88"/>
      <c r="AL21" s="716">
        <f t="shared" si="13"/>
        <v>453.71490141140572</v>
      </c>
    </row>
    <row r="22" spans="1:38" ht="15.75" customHeight="1">
      <c r="A22" s="1060" t="s">
        <v>1551</v>
      </c>
      <c r="B22" s="595">
        <v>45664</v>
      </c>
      <c r="C22" s="595">
        <v>45656</v>
      </c>
      <c r="D22" t="s">
        <v>1177</v>
      </c>
      <c r="E22">
        <f>_xlfn.XLOOKUP(D22,RUC!$B$3:$B$89,RUC!$D$3:$D$89)</f>
        <v>20606094010</v>
      </c>
      <c r="G22" s="80">
        <v>30</v>
      </c>
      <c r="H22" t="s">
        <v>69</v>
      </c>
      <c r="I22" s="596">
        <v>2.66</v>
      </c>
      <c r="J22" s="596">
        <v>1.6</v>
      </c>
      <c r="K22" s="138">
        <f t="shared" si="0"/>
        <v>2.6174400000000002</v>
      </c>
      <c r="L22" s="139">
        <v>0.157</v>
      </c>
      <c r="M22" s="139">
        <v>0.14699999999999999</v>
      </c>
      <c r="N22" s="598">
        <v>0.188</v>
      </c>
      <c r="O22" s="139">
        <f t="shared" si="1"/>
        <v>0.16800000000000001</v>
      </c>
      <c r="P22" s="629">
        <v>90</v>
      </c>
      <c r="Q22" s="760">
        <v>89.79</v>
      </c>
      <c r="R22" s="706">
        <v>2609.1</v>
      </c>
      <c r="S22" s="765">
        <f t="shared" si="16"/>
        <v>100</v>
      </c>
      <c r="U22" s="997">
        <v>120</v>
      </c>
      <c r="V22" s="715">
        <v>1.1023000000000001</v>
      </c>
      <c r="Y22">
        <v>20</v>
      </c>
      <c r="Z22" s="143">
        <f t="shared" si="14"/>
        <v>30</v>
      </c>
      <c r="AA22" s="144">
        <f t="shared" si="4"/>
        <v>50</v>
      </c>
      <c r="AB22" s="145">
        <f t="shared" si="12"/>
        <v>249.50772141600001</v>
      </c>
      <c r="AC22" s="145">
        <f>+(S22-T22)*V22-'data 1'!$F$4</f>
        <v>30.230000000000004</v>
      </c>
      <c r="AD22" s="145">
        <f t="shared" si="5"/>
        <v>-0.90460940642097309</v>
      </c>
      <c r="AE22" s="145">
        <f t="shared" si="6"/>
        <v>-14.884999999999998</v>
      </c>
      <c r="AF22" s="145">
        <f t="shared" si="7"/>
        <v>-27.099595530117025</v>
      </c>
      <c r="AG22" s="772">
        <f t="shared" si="17"/>
        <v>4.3407950634620107</v>
      </c>
      <c r="AH22" s="146">
        <f t="shared" si="9"/>
        <v>12.650667123361377</v>
      </c>
      <c r="AI22" s="156">
        <f t="shared" si="10"/>
        <v>51.419067763221022</v>
      </c>
      <c r="AJ22" s="156">
        <f t="shared" si="11"/>
        <v>13.568679849955913</v>
      </c>
      <c r="AK22" s="88"/>
      <c r="AL22" s="716">
        <f t="shared" si="13"/>
        <v>653.07149034309509</v>
      </c>
    </row>
    <row r="23" spans="1:38" ht="15.75" customHeight="1">
      <c r="A23" s="1060" t="s">
        <v>1552</v>
      </c>
      <c r="B23" s="595">
        <v>45660</v>
      </c>
      <c r="C23" s="595">
        <v>45656</v>
      </c>
      <c r="D23" t="s">
        <v>1402</v>
      </c>
      <c r="E23">
        <f>_xlfn.XLOOKUP(D23,RUC!$B$3:$B$89,RUC!$D$3:$D$89)</f>
        <v>20606526599</v>
      </c>
      <c r="G23" s="80">
        <v>65</v>
      </c>
      <c r="H23" t="s">
        <v>69</v>
      </c>
      <c r="I23" s="596">
        <v>5.03</v>
      </c>
      <c r="J23" s="596">
        <v>1.9</v>
      </c>
      <c r="K23" s="138">
        <f t="shared" si="0"/>
        <v>4.9344299999999999</v>
      </c>
      <c r="L23" s="139">
        <v>0.27800000000000002</v>
      </c>
      <c r="M23" s="139">
        <v>0.26600000000000001</v>
      </c>
      <c r="N23" s="159">
        <v>0.26600000000000001</v>
      </c>
      <c r="O23" s="139">
        <f t="shared" si="1"/>
        <v>0.26600000000000001</v>
      </c>
      <c r="P23" s="629">
        <v>90</v>
      </c>
      <c r="Q23" s="760">
        <v>89.82</v>
      </c>
      <c r="R23" s="706">
        <v>2609.1</v>
      </c>
      <c r="S23" s="765">
        <f t="shared" si="16"/>
        <v>110</v>
      </c>
      <c r="U23" s="997">
        <v>120</v>
      </c>
      <c r="V23" s="715">
        <v>1.1023000000000001</v>
      </c>
      <c r="Y23">
        <v>20</v>
      </c>
      <c r="Z23" s="143">
        <f t="shared" si="14"/>
        <v>30</v>
      </c>
      <c r="AA23" s="144">
        <f t="shared" si="4"/>
        <v>50</v>
      </c>
      <c r="AB23" s="145">
        <f t="shared" si="12"/>
        <v>480.48214224200001</v>
      </c>
      <c r="AC23" s="145">
        <f>+(S23-T23)*V23-'data 1'!$F$4</f>
        <v>41.253</v>
      </c>
      <c r="AD23" s="145">
        <f t="shared" si="5"/>
        <v>-1.3729649589720521</v>
      </c>
      <c r="AE23" s="145">
        <f t="shared" si="6"/>
        <v>-14.884999999999998</v>
      </c>
      <c r="AF23" s="145">
        <f t="shared" si="7"/>
        <v>29.573072569512025</v>
      </c>
      <c r="AG23" s="772">
        <f t="shared" si="17"/>
        <v>71.568107610539968</v>
      </c>
      <c r="AH23" s="146">
        <f t="shared" si="9"/>
        <v>42.24389051314477</v>
      </c>
      <c r="AI23" s="156">
        <f t="shared" si="10"/>
        <v>91.078196278572008</v>
      </c>
      <c r="AJ23" s="156">
        <f t="shared" si="11"/>
        <v>40.501416056921428</v>
      </c>
      <c r="AK23" s="88"/>
      <c r="AL23" s="716">
        <f t="shared" si="13"/>
        <v>2370.905497143192</v>
      </c>
    </row>
    <row r="24" spans="1:38" ht="15.75" customHeight="1">
      <c r="A24" s="1060" t="s">
        <v>1553</v>
      </c>
      <c r="B24" s="595">
        <v>45663</v>
      </c>
      <c r="C24" s="595">
        <v>45657</v>
      </c>
      <c r="D24" t="s">
        <v>1265</v>
      </c>
      <c r="E24">
        <f>_xlfn.XLOOKUP(D24,RUC!$B$3:$B$89,RUC!$D$3:$D$89)</f>
        <v>20606527439</v>
      </c>
      <c r="G24" s="80">
        <v>94</v>
      </c>
      <c r="H24" t="s">
        <v>116</v>
      </c>
      <c r="I24" s="596">
        <v>10.48</v>
      </c>
      <c r="J24" s="596">
        <v>1.1000000000000001</v>
      </c>
      <c r="K24" s="138">
        <f t="shared" si="0"/>
        <v>10.36472</v>
      </c>
      <c r="L24" s="139">
        <v>7.1999999999999995E-2</v>
      </c>
      <c r="M24" s="139">
        <v>6.2E-2</v>
      </c>
      <c r="N24" s="159">
        <v>6.2E-2</v>
      </c>
      <c r="O24" s="139">
        <f t="shared" si="1"/>
        <v>6.2E-2</v>
      </c>
      <c r="P24" s="629">
        <v>90</v>
      </c>
      <c r="Q24" s="760">
        <v>87.8</v>
      </c>
      <c r="R24" s="706">
        <v>2609.1</v>
      </c>
      <c r="S24" s="765">
        <f t="shared" si="16"/>
        <v>95</v>
      </c>
      <c r="U24" s="997">
        <v>120</v>
      </c>
      <c r="V24" s="715">
        <v>1.1023000000000001</v>
      </c>
      <c r="Y24">
        <v>20</v>
      </c>
      <c r="Z24" s="143">
        <f t="shared" si="14"/>
        <v>30</v>
      </c>
      <c r="AA24" s="144">
        <f t="shared" si="4"/>
        <v>50</v>
      </c>
      <c r="AB24" s="1006">
        <v>0</v>
      </c>
      <c r="AC24" s="145">
        <f>+(S24-T24)*V24-'data 1'!$F$4</f>
        <v>24.718500000000006</v>
      </c>
      <c r="AD24" s="145">
        <f t="shared" si="5"/>
        <v>-4.3460761291200045</v>
      </c>
      <c r="AE24" s="145">
        <f t="shared" si="6"/>
        <v>-14.884999999999998</v>
      </c>
      <c r="AF24" s="145">
        <f t="shared" si="7"/>
        <v>24.089992685399988</v>
      </c>
      <c r="AG24" s="772">
        <f t="shared" si="17"/>
        <v>46.577416556279985</v>
      </c>
      <c r="AH24" s="146">
        <f t="shared" si="9"/>
        <v>22.46433960006614</v>
      </c>
      <c r="AI24" s="156">
        <f t="shared" si="10"/>
        <v>23.058103641120006</v>
      </c>
      <c r="AJ24" s="156">
        <f t="shared" si="11"/>
        <v>19.829001355411457</v>
      </c>
      <c r="AK24" s="88"/>
      <c r="AL24" s="716">
        <f t="shared" si="13"/>
        <v>0</v>
      </c>
    </row>
    <row r="25" spans="1:38" ht="15.75" customHeight="1">
      <c r="A25" s="1060" t="s">
        <v>1554</v>
      </c>
      <c r="B25" s="1016">
        <v>45663</v>
      </c>
      <c r="C25" s="595">
        <v>45657</v>
      </c>
      <c r="D25" t="s">
        <v>1265</v>
      </c>
      <c r="E25">
        <f>_xlfn.XLOOKUP(D25,RUC!$B$3:$B$89,RUC!$D$3:$D$89)</f>
        <v>20606527439</v>
      </c>
      <c r="G25" s="80">
        <v>32</v>
      </c>
      <c r="H25" t="s">
        <v>69</v>
      </c>
      <c r="I25" s="596">
        <v>2.52</v>
      </c>
      <c r="J25" s="596">
        <v>1.2</v>
      </c>
      <c r="K25" s="138">
        <f t="shared" si="0"/>
        <v>2.48976</v>
      </c>
      <c r="L25" s="139">
        <v>0.14499999999999999</v>
      </c>
      <c r="M25" s="139">
        <v>0.13500000000000001</v>
      </c>
      <c r="N25" s="159">
        <v>0.16600000000000001</v>
      </c>
      <c r="O25" s="840">
        <v>0.15</v>
      </c>
      <c r="P25" s="948">
        <v>90</v>
      </c>
      <c r="Q25" s="760">
        <v>89.7</v>
      </c>
      <c r="R25" s="706">
        <v>2609.1</v>
      </c>
      <c r="S25" s="765">
        <f t="shared" si="16"/>
        <v>100</v>
      </c>
      <c r="U25" s="997">
        <v>90</v>
      </c>
      <c r="V25" s="715">
        <v>1.1023000000000001</v>
      </c>
      <c r="Y25">
        <v>20</v>
      </c>
      <c r="Z25" s="143">
        <f t="shared" si="14"/>
        <v>30</v>
      </c>
      <c r="AA25" s="144">
        <f t="shared" si="4"/>
        <v>50</v>
      </c>
      <c r="AB25" s="145">
        <f t="shared" ref="AB25:AB79" si="18">+((O25*P25*(R25-U25)/100)-S25-AA25+T25)*V25</f>
        <v>209.52353054999998</v>
      </c>
      <c r="AC25" s="145">
        <f>+(S25-T25)*V25-'data 1'!$F$4</f>
        <v>30.230000000000004</v>
      </c>
      <c r="AD25" s="145">
        <f t="shared" si="5"/>
        <v>-1.2079097095499884</v>
      </c>
      <c r="AE25" s="145">
        <f t="shared" si="6"/>
        <v>-14.884999999999998</v>
      </c>
      <c r="AF25" s="145">
        <f t="shared" si="7"/>
        <v>-12.453965626050012</v>
      </c>
      <c r="AG25" s="772">
        <f t="shared" si="17"/>
        <v>18.683124664400012</v>
      </c>
      <c r="AH25" s="146">
        <f t="shared" si="9"/>
        <v>11.102658962881678</v>
      </c>
      <c r="AI25" s="156">
        <f t="shared" si="10"/>
        <v>43.140228434550018</v>
      </c>
      <c r="AJ25" s="156">
        <f t="shared" si="11"/>
        <v>11.523922346434681</v>
      </c>
      <c r="AK25" s="88"/>
      <c r="AL25" s="716">
        <f t="shared" si="13"/>
        <v>521.66330542216792</v>
      </c>
    </row>
    <row r="26" spans="1:38" ht="15.75" customHeight="1">
      <c r="A26" s="1060" t="s">
        <v>1556</v>
      </c>
      <c r="B26" s="595">
        <v>45660</v>
      </c>
      <c r="C26" s="595">
        <v>45657</v>
      </c>
      <c r="D26" t="s">
        <v>119</v>
      </c>
      <c r="E26">
        <f>_xlfn.XLOOKUP(D26,RUC!$B$3:$B$89,RUC!$D$3:$D$89)</f>
        <v>10082235774</v>
      </c>
      <c r="G26" s="80">
        <v>68</v>
      </c>
      <c r="H26" t="s">
        <v>69</v>
      </c>
      <c r="I26" s="596">
        <v>7.1</v>
      </c>
      <c r="J26" s="596">
        <v>1.5</v>
      </c>
      <c r="K26" s="138">
        <f t="shared" si="0"/>
        <v>6.9935</v>
      </c>
      <c r="L26" s="139">
        <v>0.66200000000000003</v>
      </c>
      <c r="M26" s="139">
        <v>0.65200000000000002</v>
      </c>
      <c r="N26" s="159">
        <v>0.65200000000000002</v>
      </c>
      <c r="O26" s="139">
        <f t="shared" ref="O26:O80" si="19">+ROUND((M26+N26)/2,3)</f>
        <v>0.65200000000000002</v>
      </c>
      <c r="P26" s="629">
        <v>90</v>
      </c>
      <c r="Q26" s="760">
        <v>89.72</v>
      </c>
      <c r="R26" s="706">
        <v>2609.1</v>
      </c>
      <c r="S26" s="802">
        <v>125</v>
      </c>
      <c r="U26" s="947">
        <v>80</v>
      </c>
      <c r="V26" s="715">
        <v>1.1023000000000001</v>
      </c>
      <c r="Z26" s="160">
        <v>10</v>
      </c>
      <c r="AA26" s="144">
        <f t="shared" si="4"/>
        <v>10</v>
      </c>
      <c r="AB26" s="145">
        <f t="shared" si="18"/>
        <v>1487.086342524</v>
      </c>
      <c r="AC26" s="145">
        <f>+(S26-T26)*V26-'data 1'!$F$4</f>
        <v>57.787499999999994</v>
      </c>
      <c r="AD26" s="145">
        <f t="shared" si="5"/>
        <v>-5.1675159974480209</v>
      </c>
      <c r="AE26" s="145">
        <f t="shared" si="6"/>
        <v>-58.977000000000004</v>
      </c>
      <c r="AF26" s="145">
        <f t="shared" si="7"/>
        <v>25.012383215960025</v>
      </c>
      <c r="AG26" s="772">
        <f t="shared" ref="AG26" si="20">+IF(D26="RONALD WILLIAN GARIBAY ESCUDERO",AC26+AD26+AE26+AF26+70,AC26+AD26+AE26+AF26)+70</f>
        <v>88.655367218511998</v>
      </c>
      <c r="AH26" s="146">
        <f t="shared" si="9"/>
        <v>142.41341569607181</v>
      </c>
      <c r="AI26" s="156">
        <f t="shared" si="10"/>
        <v>190.45430025384809</v>
      </c>
      <c r="AJ26" s="156">
        <f t="shared" si="11"/>
        <v>140.6998886270797</v>
      </c>
      <c r="AK26" s="88"/>
      <c r="AL26" s="716">
        <f t="shared" si="13"/>
        <v>10399.938336441593</v>
      </c>
    </row>
    <row r="27" spans="1:38" ht="15.75" customHeight="1">
      <c r="A27" s="1060" t="s">
        <v>1561</v>
      </c>
      <c r="B27" s="1026">
        <v>45683</v>
      </c>
      <c r="C27" s="595">
        <v>45657</v>
      </c>
      <c r="D27" t="s">
        <v>129</v>
      </c>
      <c r="E27" t="e">
        <f>_xlfn.XLOOKUP(D27,RUC!$B$3:$B$89,RUC!$D$3:$D$89)</f>
        <v>#N/A</v>
      </c>
      <c r="G27" s="80"/>
      <c r="H27" t="s">
        <v>69</v>
      </c>
      <c r="I27" s="596">
        <v>7.53</v>
      </c>
      <c r="J27" s="596">
        <v>1.6</v>
      </c>
      <c r="K27" s="138">
        <f t="shared" si="0"/>
        <v>7.4095200000000006</v>
      </c>
      <c r="L27" s="139">
        <v>6.2E-2</v>
      </c>
      <c r="M27" s="139">
        <v>5.2079999999999994E-2</v>
      </c>
      <c r="N27" s="159">
        <v>0.21299999999999999</v>
      </c>
      <c r="O27" s="139">
        <f t="shared" si="19"/>
        <v>0.13300000000000001</v>
      </c>
      <c r="P27" s="629">
        <v>88</v>
      </c>
      <c r="Q27" s="760">
        <v>88.29</v>
      </c>
      <c r="R27" s="706">
        <v>2609.1</v>
      </c>
      <c r="S27" s="765">
        <f t="shared" ref="S27:S54" si="21">IF((90+ROUNDDOWN(O27,1)*100)&lt;95,95,(90+ROUNDDOWN(O27,1)*100))</f>
        <v>100</v>
      </c>
      <c r="U27" s="1004">
        <v>100</v>
      </c>
      <c r="V27" s="715">
        <v>1.1023000000000001</v>
      </c>
      <c r="Z27" s="143">
        <f t="shared" ref="Z27:Z31" si="22">IF(IF(D27="UNTUCA",IF(+((W27-3)*1.5+(X27-3)*3.1)&gt;0,+((W27-3)*1.5+(X27-3)*3.1),0),IF(+((W27-3)*1.5+(X27-3)*3.1)&gt;0,+((W27-3)*1.5+(X27-3)*3.1),0))&lt;30,30,IF(D27="UNTUCA",IF(+((W27-3)*1.5+(X27-3)*3.1)&gt;0,+((W27-3)*1.5+(X27-3)*3.1),0),IF(+((W27-3)*1.5+(X27-3)*3.1)&gt;0,+((W27-3)*1.5+(X27-3)*3.1),0)))</f>
        <v>30</v>
      </c>
      <c r="AA27" s="144">
        <f t="shared" si="4"/>
        <v>30</v>
      </c>
      <c r="AB27" s="145">
        <f t="shared" si="18"/>
        <v>180.40800004720003</v>
      </c>
      <c r="AC27" s="145">
        <f>+(S27-T27)*V27-'data 1'!$F$4</f>
        <v>30.230000000000004</v>
      </c>
      <c r="AD27" s="145">
        <f t="shared" si="5"/>
        <v>0.49728741121401077</v>
      </c>
      <c r="AE27" s="145">
        <f t="shared" si="6"/>
        <v>-36.930999999999997</v>
      </c>
      <c r="AF27" s="145">
        <f t="shared" si="7"/>
        <v>-173.37546679988702</v>
      </c>
      <c r="AG27" s="772">
        <f t="shared" ref="AG27:AG31" si="23">+IF(D27="RONALD WILLIAN GARIBAY ESCUDERO",AC27+AD27+AE27+AF27+70,AC27+AD27+AE27+AF27)+70-53</f>
        <v>-92.579179388672998</v>
      </c>
      <c r="AH27" s="146">
        <f t="shared" si="9"/>
        <v>13.906004008078588</v>
      </c>
      <c r="AI27" s="156">
        <f t="shared" si="10"/>
        <v>18.759606990786008</v>
      </c>
      <c r="AJ27" s="156">
        <f t="shared" si="11"/>
        <v>29.732638941054187</v>
      </c>
      <c r="AK27" s="88"/>
      <c r="AL27" s="716">
        <f t="shared" si="13"/>
        <v>1336.7366845097297</v>
      </c>
    </row>
    <row r="28" spans="1:38" ht="15.75" customHeight="1">
      <c r="A28" s="1060" t="s">
        <v>1569</v>
      </c>
      <c r="B28" s="1026">
        <v>45683</v>
      </c>
      <c r="C28" s="595">
        <v>45657</v>
      </c>
      <c r="D28" t="s">
        <v>129</v>
      </c>
      <c r="E28" t="e">
        <f>_xlfn.XLOOKUP(D28,RUC!$B$3:$B$89,RUC!$D$3:$D$89)</f>
        <v>#N/A</v>
      </c>
      <c r="G28" s="80"/>
      <c r="H28" t="s">
        <v>69</v>
      </c>
      <c r="I28" s="596">
        <v>14.73</v>
      </c>
      <c r="J28" s="596">
        <v>1.7</v>
      </c>
      <c r="K28" s="138">
        <f t="shared" si="0"/>
        <v>14.47959</v>
      </c>
      <c r="L28" s="139">
        <v>9.6500000000000002E-2</v>
      </c>
      <c r="M28" s="139">
        <v>8.6850000000000011E-2</v>
      </c>
      <c r="N28" s="159">
        <v>0.13300000000000001</v>
      </c>
      <c r="O28" s="139">
        <f t="shared" si="19"/>
        <v>0.11</v>
      </c>
      <c r="P28" s="629">
        <v>88</v>
      </c>
      <c r="Q28" s="760">
        <v>89.12</v>
      </c>
      <c r="R28" s="706">
        <v>2609.1</v>
      </c>
      <c r="S28" s="765">
        <f t="shared" si="21"/>
        <v>100</v>
      </c>
      <c r="U28" s="1004">
        <v>100</v>
      </c>
      <c r="V28" s="715">
        <v>1.1023000000000001</v>
      </c>
      <c r="Z28" s="143">
        <f t="shared" si="22"/>
        <v>30</v>
      </c>
      <c r="AA28" s="144">
        <f t="shared" si="4"/>
        <v>30</v>
      </c>
      <c r="AB28" s="145">
        <f t="shared" si="18"/>
        <v>124.42859402399999</v>
      </c>
      <c r="AC28" s="145">
        <f>+(S28-T28)*V28-'data 1'!$F$4</f>
        <v>30.230000000000004</v>
      </c>
      <c r="AD28" s="145">
        <f t="shared" si="5"/>
        <v>2.9892560291440122</v>
      </c>
      <c r="AE28" s="145">
        <f t="shared" si="6"/>
        <v>-36.930999999999997</v>
      </c>
      <c r="AF28" s="145">
        <f t="shared" si="7"/>
        <v>-33.275663525016</v>
      </c>
      <c r="AG28" s="772">
        <f t="shared" si="23"/>
        <v>50.012592504128008</v>
      </c>
      <c r="AH28" s="146">
        <f t="shared" si="9"/>
        <v>42.694096278810918</v>
      </c>
      <c r="AI28" s="156">
        <f t="shared" si="10"/>
        <v>29.472910184056008</v>
      </c>
      <c r="AJ28" s="156">
        <f t="shared" si="11"/>
        <v>48.055233437234271</v>
      </c>
      <c r="AK28" s="88"/>
      <c r="AL28" s="716">
        <f t="shared" si="13"/>
        <v>1801.6750257439701</v>
      </c>
    </row>
    <row r="29" spans="1:38" ht="15.75" customHeight="1">
      <c r="A29" s="1060" t="s">
        <v>1565</v>
      </c>
      <c r="B29" s="595">
        <v>45674</v>
      </c>
      <c r="C29" s="595">
        <v>45660</v>
      </c>
      <c r="D29" t="s">
        <v>154</v>
      </c>
      <c r="E29">
        <f>_xlfn.XLOOKUP(D29,RUC!$B$3:$B$89,RUC!$D$3:$D$89)</f>
        <v>10416085884</v>
      </c>
      <c r="G29" s="80" t="s">
        <v>1434</v>
      </c>
      <c r="H29" t="s">
        <v>69</v>
      </c>
      <c r="I29" s="596">
        <v>30.58</v>
      </c>
      <c r="J29" s="596">
        <v>5.05</v>
      </c>
      <c r="K29" s="138">
        <f t="shared" si="0"/>
        <v>29.035709999999998</v>
      </c>
      <c r="L29" s="139">
        <v>0.16800000000000001</v>
      </c>
      <c r="M29" s="139">
        <v>0.158</v>
      </c>
      <c r="N29" s="159">
        <v>0.158</v>
      </c>
      <c r="O29" s="139">
        <f t="shared" si="19"/>
        <v>0.158</v>
      </c>
      <c r="P29" s="629">
        <v>90</v>
      </c>
      <c r="Q29" s="760">
        <v>89.75</v>
      </c>
      <c r="R29" s="1029">
        <v>2616.4499999999998</v>
      </c>
      <c r="S29" s="802">
        <v>85</v>
      </c>
      <c r="U29" s="1005">
        <v>90</v>
      </c>
      <c r="V29" s="715">
        <v>1.1023000000000001</v>
      </c>
      <c r="Z29" s="1030">
        <v>15</v>
      </c>
      <c r="AA29" s="1030">
        <v>15</v>
      </c>
      <c r="AB29" s="145">
        <f t="shared" si="18"/>
        <v>285.78360973700001</v>
      </c>
      <c r="AC29" s="145">
        <f>+(S29-T29)*V29-'data 1'!$F$4</f>
        <v>13.69550000000001</v>
      </c>
      <c r="AD29" s="145">
        <f t="shared" si="5"/>
        <v>-1.1696604507000001</v>
      </c>
      <c r="AE29" s="145">
        <f t="shared" si="6"/>
        <v>-53.465499999999999</v>
      </c>
      <c r="AF29" s="145">
        <f t="shared" si="7"/>
        <v>24.994529869125021</v>
      </c>
      <c r="AG29" s="772">
        <f>+IF(D29="RONALD WILLIAN GARIBAY ESCUDERO",AC29+AD29+AE29+AF29+70,AC29+AD29+AE29+AF29)+70-10</f>
        <v>44.054869418425028</v>
      </c>
      <c r="AH29" s="146">
        <f t="shared" si="9"/>
        <v>150.1015781546225</v>
      </c>
      <c r="AI29" s="156">
        <f t="shared" si="10"/>
        <v>48.789417278700036</v>
      </c>
      <c r="AJ29" s="156">
        <f t="shared" si="11"/>
        <v>141.56018313826317</v>
      </c>
      <c r="AK29" s="88"/>
      <c r="AL29" s="716">
        <f t="shared" si="13"/>
        <v>8297.9300150767085</v>
      </c>
    </row>
    <row r="30" spans="1:38" ht="15.75" customHeight="1">
      <c r="A30" s="1060" t="s">
        <v>1566</v>
      </c>
      <c r="B30" s="595">
        <v>45674</v>
      </c>
      <c r="C30" s="595">
        <v>45660</v>
      </c>
      <c r="D30" t="s">
        <v>1029</v>
      </c>
      <c r="E30">
        <f>_xlfn.XLOOKUP(D30,RUC!$B$3:$B$89,RUC!$D$3:$D$89)</f>
        <v>10421580605</v>
      </c>
      <c r="G30" s="80" t="s">
        <v>1434</v>
      </c>
      <c r="H30" t="s">
        <v>69</v>
      </c>
      <c r="I30" s="596">
        <v>29.75</v>
      </c>
      <c r="J30" s="596">
        <v>10.199999999999999</v>
      </c>
      <c r="K30" s="138">
        <f t="shared" si="0"/>
        <v>26.715499999999999</v>
      </c>
      <c r="L30" s="139">
        <v>0.16400000000000001</v>
      </c>
      <c r="M30" s="139">
        <v>0.154</v>
      </c>
      <c r="N30" s="159">
        <v>0.154</v>
      </c>
      <c r="O30" s="139">
        <f t="shared" si="19"/>
        <v>0.154</v>
      </c>
      <c r="P30" s="629">
        <v>90</v>
      </c>
      <c r="Q30" s="760">
        <v>89.84</v>
      </c>
      <c r="R30" s="1029">
        <v>2616.4499999999998</v>
      </c>
      <c r="S30" s="802">
        <v>85</v>
      </c>
      <c r="U30" s="1005">
        <v>90</v>
      </c>
      <c r="V30" s="715">
        <v>1.1023000000000001</v>
      </c>
      <c r="Y30">
        <v>30</v>
      </c>
      <c r="Z30" s="1030">
        <v>15</v>
      </c>
      <c r="AA30" s="1030">
        <v>15</v>
      </c>
      <c r="AB30" s="145">
        <f t="shared" si="18"/>
        <v>275.75794873099994</v>
      </c>
      <c r="AC30" s="145">
        <f>+(S30-T30)*V30-'data 1'!$F$4</f>
        <v>13.69550000000001</v>
      </c>
      <c r="AD30" s="145">
        <f t="shared" si="5"/>
        <v>-0.73075929110398452</v>
      </c>
      <c r="AE30" s="145">
        <f t="shared" si="6"/>
        <v>-20.396499999999996</v>
      </c>
      <c r="AF30" s="145">
        <f t="shared" si="7"/>
        <v>25.019594021640017</v>
      </c>
      <c r="AG30" s="772">
        <f>+IF(D30="RONALD WILLIAN GARIBAY ESCUDERO",AC30+AD30+AE30+AF30+70,AC30+AD30+AE30+AF30)+70-10</f>
        <v>77.587834730536045</v>
      </c>
      <c r="AH30" s="146">
        <f t="shared" si="9"/>
        <v>134.95406396774717</v>
      </c>
      <c r="AI30" s="156">
        <f t="shared" si="10"/>
        <v>47.675524918704042</v>
      </c>
      <c r="AJ30" s="156">
        <f t="shared" si="11"/>
        <v>126.95084802473883</v>
      </c>
      <c r="AK30" s="88"/>
      <c r="AL30" s="716">
        <f t="shared" si="13"/>
        <v>7367.0114793230287</v>
      </c>
    </row>
    <row r="31" spans="1:38" ht="15.75" customHeight="1">
      <c r="A31" s="1060" t="s">
        <v>1568</v>
      </c>
      <c r="B31" s="595">
        <v>45667</v>
      </c>
      <c r="C31" s="595">
        <v>45661</v>
      </c>
      <c r="D31" t="s">
        <v>1402</v>
      </c>
      <c r="E31">
        <f>_xlfn.XLOOKUP(D31,RUC!$B$3:$B$89,RUC!$D$3:$D$89)</f>
        <v>20606526599</v>
      </c>
      <c r="G31" s="80">
        <v>180</v>
      </c>
      <c r="H31" t="s">
        <v>69</v>
      </c>
      <c r="I31" s="596">
        <v>14.74</v>
      </c>
      <c r="J31" s="596">
        <v>1.5</v>
      </c>
      <c r="K31" s="138">
        <f t="shared" si="0"/>
        <v>14.5189</v>
      </c>
      <c r="L31" s="139">
        <v>0.36799999999999999</v>
      </c>
      <c r="M31" s="139">
        <v>0.35299999999999998</v>
      </c>
      <c r="N31" s="159">
        <v>0.35299999999999998</v>
      </c>
      <c r="O31" s="139">
        <f t="shared" si="19"/>
        <v>0.35299999999999998</v>
      </c>
      <c r="P31" s="629">
        <v>90</v>
      </c>
      <c r="Q31" s="760">
        <v>89.86</v>
      </c>
      <c r="R31" s="706">
        <v>2646.8</v>
      </c>
      <c r="S31" s="765">
        <f t="shared" si="21"/>
        <v>120</v>
      </c>
      <c r="U31" s="1005">
        <v>120</v>
      </c>
      <c r="V31" s="715">
        <v>1.1023000000000001</v>
      </c>
      <c r="Y31">
        <v>20</v>
      </c>
      <c r="Z31" s="143">
        <f t="shared" si="22"/>
        <v>30</v>
      </c>
      <c r="AA31" s="144">
        <f>+Y31+Z31</f>
        <v>50</v>
      </c>
      <c r="AB31" s="145">
        <f t="shared" si="18"/>
        <v>697.49615402800009</v>
      </c>
      <c r="AC31" s="145">
        <f>+(S31-T31)*V31-'data 1'!$F$4</f>
        <v>52.27600000000001</v>
      </c>
      <c r="AD31" s="145">
        <f t="shared" si="5"/>
        <v>-1.4349822529280061</v>
      </c>
      <c r="AE31" s="145">
        <f t="shared" si="6"/>
        <v>-14.884999999999998</v>
      </c>
      <c r="AF31" s="145">
        <f t="shared" si="7"/>
        <v>37.542946015560034</v>
      </c>
      <c r="AG31" s="772">
        <f t="shared" si="23"/>
        <v>90.49896376263203</v>
      </c>
      <c r="AH31" s="146">
        <f t="shared" si="9"/>
        <v>164.61030371987675</v>
      </c>
      <c r="AI31" s="156">
        <f t="shared" si="10"/>
        <v>106.87546229772794</v>
      </c>
      <c r="AJ31" s="156">
        <f t="shared" si="11"/>
        <v>158.14665050164038</v>
      </c>
      <c r="AK31" s="88"/>
      <c r="AL31" s="716">
        <f t="shared" si="13"/>
        <v>10126.87691071713</v>
      </c>
    </row>
    <row r="32" spans="1:38" ht="15.75" customHeight="1">
      <c r="A32" s="1060" t="s">
        <v>1577</v>
      </c>
      <c r="B32" s="595">
        <v>45673</v>
      </c>
      <c r="C32" s="595">
        <v>45666</v>
      </c>
      <c r="D32" t="s">
        <v>1205</v>
      </c>
      <c r="E32">
        <f>_xlfn.XLOOKUP(D32,RUC!$B$3:$B$89,RUC!$D$3:$D$89)</f>
        <v>20601620147</v>
      </c>
      <c r="G32" s="80">
        <v>51</v>
      </c>
      <c r="H32" t="s">
        <v>116</v>
      </c>
      <c r="I32" s="1027">
        <v>4.0599999999999996</v>
      </c>
      <c r="J32" s="596">
        <v>1.1000000000000001</v>
      </c>
      <c r="K32" s="138">
        <f t="shared" si="0"/>
        <v>4.0153399999999992</v>
      </c>
      <c r="L32" s="139">
        <v>0.45700000000000002</v>
      </c>
      <c r="M32" s="139">
        <v>0.438</v>
      </c>
      <c r="N32" s="159">
        <v>0.438</v>
      </c>
      <c r="O32" s="139">
        <f t="shared" si="19"/>
        <v>0.438</v>
      </c>
      <c r="P32" s="629">
        <v>90</v>
      </c>
      <c r="Q32" s="760">
        <v>90.25</v>
      </c>
      <c r="R32" s="706">
        <v>2650.85</v>
      </c>
      <c r="S32" s="765">
        <v>100</v>
      </c>
      <c r="U32" s="1005">
        <v>90</v>
      </c>
      <c r="V32" s="715">
        <v>1.1023000000000001</v>
      </c>
      <c r="Y32">
        <v>10</v>
      </c>
      <c r="Z32" s="143">
        <f>IF(IF(D32="UNTUCA",IF(+((W32-3)*1.5+(X32-3)*3.1)&gt;0,+((W32-3)*1.5+(X32-3)*3.1),0),IF(+((W32-3)*1.5+(X32-3)*3.1)&gt;0,+((W32-3)*1.5+(X32-3)*3.1),0))&lt;30,30,IF(D32="UNTUCA",IF(+((W32-3)*1.5+(X32-3)*3.1)&gt;0,+((W32-3)*1.5+(X32-3)*3.1),0),IF(+((W32-3)*1.5+(X32-3)*3.1)&gt;0,+((W32-3)*1.5+(X32-3)*3.1),0)))</f>
        <v>30</v>
      </c>
      <c r="AA32" s="144">
        <f t="shared" ref="AA32:AA82" si="24">+Y32+Z32</f>
        <v>40</v>
      </c>
      <c r="AB32" s="145">
        <f t="shared" si="18"/>
        <v>958.435597261</v>
      </c>
      <c r="AC32" s="145">
        <f>+(S32-T32)*V32-'data 1'!$F$4</f>
        <v>30.230000000000004</v>
      </c>
      <c r="AD32" s="145">
        <f t="shared" si="5"/>
        <v>3.2250775110875001</v>
      </c>
      <c r="AE32" s="145">
        <f t="shared" si="6"/>
        <v>-25.908000000000001</v>
      </c>
      <c r="AF32" s="145">
        <f t="shared" si="7"/>
        <v>48.404390915862542</v>
      </c>
      <c r="AG32" s="772">
        <f>+IF(D32="RONALD WILLIAN GARIBAY ESCUDERO",AC32+AD32+AE32+AF32+70,AC32+AD32+AE32+AF32)+70-53</f>
        <v>72.951468426950044</v>
      </c>
      <c r="AH32" s="146">
        <f t="shared" si="9"/>
        <v>56.779923766055354</v>
      </c>
      <c r="AI32" s="156">
        <f t="shared" si="10"/>
        <v>117.81875555241255</v>
      </c>
      <c r="AJ32" s="156">
        <f t="shared" si="11"/>
        <v>54.26852457876921</v>
      </c>
      <c r="AK32" s="88"/>
      <c r="AL32" s="716">
        <f t="shared" si="13"/>
        <v>3848.4447911059829</v>
      </c>
    </row>
    <row r="33" spans="1:38" ht="15.75" customHeight="1">
      <c r="A33" s="1060" t="s">
        <v>1578</v>
      </c>
      <c r="B33" s="595">
        <v>45673</v>
      </c>
      <c r="C33" s="595">
        <v>45666</v>
      </c>
      <c r="D33" t="s">
        <v>1205</v>
      </c>
      <c r="E33">
        <f>_xlfn.XLOOKUP(D33,RUC!$B$3:$B$89,RUC!$D$3:$D$89)</f>
        <v>20601620147</v>
      </c>
      <c r="G33" s="80">
        <v>11</v>
      </c>
      <c r="H33" t="s">
        <v>116</v>
      </c>
      <c r="I33" s="596">
        <v>0.78</v>
      </c>
      <c r="J33" s="596">
        <v>1.2</v>
      </c>
      <c r="K33" s="138">
        <f t="shared" si="0"/>
        <v>0.77063999999999999</v>
      </c>
      <c r="L33" s="139">
        <v>0.57399999999999995</v>
      </c>
      <c r="M33" s="139">
        <v>0.55100000000000005</v>
      </c>
      <c r="N33" s="159">
        <v>0.61</v>
      </c>
      <c r="O33" s="139">
        <f t="shared" si="19"/>
        <v>0.58099999999999996</v>
      </c>
      <c r="P33" s="629">
        <v>90</v>
      </c>
      <c r="Q33" s="760">
        <v>90.4</v>
      </c>
      <c r="R33" s="706">
        <v>2650.85</v>
      </c>
      <c r="S33" s="802">
        <v>110</v>
      </c>
      <c r="U33" s="1005">
        <v>90</v>
      </c>
      <c r="V33" s="715">
        <v>1.1023000000000001</v>
      </c>
      <c r="Y33">
        <v>10</v>
      </c>
      <c r="Z33" s="143">
        <f>IF(IF(D33="UNTUCA",IF(+((W33-3)*1.5+(X33-3)*3.1)&gt;0,+((W33-3)*1.5+(X33-3)*3.1),0),IF(+((W33-3)*1.5+(X33-3)*3.1)&gt;0,+((W33-3)*1.5+(X33-3)*3.1),0))&lt;30,30,IF(D33="UNTUCA",IF(+((W33-3)*1.5+(X33-3)*3.1)&gt;0,+((W33-3)*1.5+(X33-3)*3.1),0),IF(+((W33-3)*1.5+(X33-3)*3.1)&gt;0,+((W33-3)*1.5+(X33-3)*3.1),0)))</f>
        <v>30</v>
      </c>
      <c r="AA33" s="144">
        <f t="shared" si="24"/>
        <v>40</v>
      </c>
      <c r="AB33" s="145">
        <f t="shared" si="18"/>
        <v>1310.7101689694998</v>
      </c>
      <c r="AC33" s="145">
        <f>+(S33-T33)*V33-'data 1'!$F$4</f>
        <v>41.253</v>
      </c>
      <c r="AD33" s="145">
        <f t="shared" si="5"/>
        <v>6.4812060966800917</v>
      </c>
      <c r="AE33" s="145">
        <f t="shared" si="6"/>
        <v>-25.908000000000001</v>
      </c>
      <c r="AF33" s="145">
        <f t="shared" si="7"/>
        <v>-17.862836315240017</v>
      </c>
      <c r="AG33" s="772">
        <f>+IF(D33="RONALD WILLIAN GARIBAY ESCUDERO",AC33+AD33+AE33+AF33+70,AC33+AD33+AE33+AF33)+70-53</f>
        <v>20.963369781440065</v>
      </c>
      <c r="AH33" s="146">
        <f t="shared" si="9"/>
        <v>13.710110005005715</v>
      </c>
      <c r="AI33" s="156">
        <f t="shared" si="10"/>
        <v>148.22837360632005</v>
      </c>
      <c r="AJ33" s="156">
        <f t="shared" si="11"/>
        <v>13.815902457558911</v>
      </c>
      <c r="AK33" s="88"/>
      <c r="AL33" s="716">
        <f t="shared" si="13"/>
        <v>1010.0856846146553</v>
      </c>
    </row>
    <row r="34" spans="1:38" ht="15.75" customHeight="1">
      <c r="A34" s="1060" t="s">
        <v>1579</v>
      </c>
      <c r="B34" s="595">
        <v>45673</v>
      </c>
      <c r="C34" s="595">
        <v>45666</v>
      </c>
      <c r="D34" t="s">
        <v>1205</v>
      </c>
      <c r="E34">
        <f>_xlfn.XLOOKUP(D34,RUC!$B$3:$B$89,RUC!$D$3:$D$89)</f>
        <v>20601620147</v>
      </c>
      <c r="G34" s="80" t="s">
        <v>1434</v>
      </c>
      <c r="H34" t="s">
        <v>69</v>
      </c>
      <c r="I34" s="1028">
        <v>8.4499999999999993</v>
      </c>
      <c r="J34" s="596">
        <v>6.85</v>
      </c>
      <c r="K34" s="138">
        <f t="shared" si="0"/>
        <v>7.8711749999999991</v>
      </c>
      <c r="L34" s="139">
        <v>0.105</v>
      </c>
      <c r="M34" s="139">
        <v>9.5000000000000001E-2</v>
      </c>
      <c r="N34" s="159">
        <v>0.11600000000000001</v>
      </c>
      <c r="O34" s="139">
        <f t="shared" si="19"/>
        <v>0.106</v>
      </c>
      <c r="P34" s="629">
        <v>85</v>
      </c>
      <c r="Q34" s="760">
        <v>90.12</v>
      </c>
      <c r="R34" s="706">
        <v>2650.85</v>
      </c>
      <c r="S34" s="802">
        <v>110</v>
      </c>
      <c r="U34" s="1005">
        <v>90</v>
      </c>
      <c r="V34" s="715">
        <v>1.1023000000000001</v>
      </c>
      <c r="Z34" s="143">
        <f>IF(IF(D34="UNTUCA",IF(+((W34-3)*1.5+(X34-3)*3.1)&gt;0,+((W34-3)*1.5+(X34-3)*3.1),0),IF(+((W34-3)*1.5+(X34-3)*3.1)&gt;0,+((W34-3)*1.5+(X34-3)*3.1),0))&lt;30,30,IF(D34="UNTUCA",IF(+((W34-3)*1.5+(X34-3)*3.1)&gt;0,+((W34-3)*1.5+(X34-3)*3.1),0),IF(+((W34-3)*1.5+(X34-3)*3.1)&gt;0,+((W34-3)*1.5+(X34-3)*3.1),0)))</f>
        <v>30</v>
      </c>
      <c r="AA34" s="144">
        <f t="shared" si="24"/>
        <v>30</v>
      </c>
      <c r="AB34" s="145">
        <f t="shared" si="18"/>
        <v>100.01452844550001</v>
      </c>
      <c r="AC34" s="145">
        <f>+(S34-T34)*V34-'data 1'!$F$4</f>
        <v>41.253</v>
      </c>
      <c r="AD34" s="145">
        <f t="shared" si="5"/>
        <v>15.175506958080012</v>
      </c>
      <c r="AE34" s="145">
        <f t="shared" si="6"/>
        <v>-36.930999999999997</v>
      </c>
      <c r="AF34" s="145">
        <f t="shared" si="7"/>
        <v>-2.5439298494460023</v>
      </c>
      <c r="AG34" s="772">
        <f>+IF(D34="RONALD WILLIAN GARIBAY ESCUDERO",AC34+AD34+AE34+AF34+70,AC34+AD34+AE34+AF34)+70-53</f>
        <v>33.953577108634022</v>
      </c>
      <c r="AH34" s="146">
        <f t="shared" si="9"/>
        <v>25.536367489831196</v>
      </c>
      <c r="AI34" s="156">
        <f t="shared" si="10"/>
        <v>27.03096204417001</v>
      </c>
      <c r="AJ34" s="156">
        <f t="shared" si="11"/>
        <v>24.314952664529734</v>
      </c>
      <c r="AK34" s="88"/>
      <c r="AL34" s="716">
        <f t="shared" si="13"/>
        <v>787.23185593700839</v>
      </c>
    </row>
    <row r="35" spans="1:38" ht="15.75" customHeight="1">
      <c r="A35" s="1060" t="s">
        <v>1580</v>
      </c>
      <c r="B35" s="595">
        <v>45673</v>
      </c>
      <c r="C35" s="595">
        <v>45666</v>
      </c>
      <c r="D35" t="s">
        <v>1205</v>
      </c>
      <c r="E35">
        <f>_xlfn.XLOOKUP(D35,RUC!$B$3:$B$89,RUC!$D$3:$D$89)</f>
        <v>20601620147</v>
      </c>
      <c r="G35" s="802">
        <v>85</v>
      </c>
      <c r="H35" t="s">
        <v>69</v>
      </c>
      <c r="I35" s="1027">
        <v>0.75</v>
      </c>
      <c r="J35" s="596">
        <v>10.1</v>
      </c>
      <c r="K35" s="138">
        <f t="shared" si="0"/>
        <v>0.67425000000000002</v>
      </c>
      <c r="L35" s="139">
        <v>0.16500000000000001</v>
      </c>
      <c r="M35" s="139">
        <v>0.14099999999999999</v>
      </c>
      <c r="N35" s="752">
        <v>0.14099999999999999</v>
      </c>
      <c r="O35" s="139">
        <f t="shared" si="19"/>
        <v>0.14099999999999999</v>
      </c>
      <c r="P35" s="629">
        <v>85</v>
      </c>
      <c r="Q35" s="760">
        <v>90.33</v>
      </c>
      <c r="R35" s="706">
        <v>2650.85</v>
      </c>
      <c r="S35" s="802">
        <v>110</v>
      </c>
      <c r="U35" s="1005">
        <v>90</v>
      </c>
      <c r="V35" s="715">
        <v>1.1023000000000001</v>
      </c>
      <c r="Z35" s="143">
        <f>IF(IF(D35="UNTUCA",IF(+((W35-3)*1.5+(X35-3)*3.1)&gt;0,+((W35-3)*1.5+(X35-3)*3.1),0),IF(+((W35-3)*1.5+(X35-3)*3.1)&gt;0,+((W35-3)*1.5+(X35-3)*3.1),0))&lt;30,30,IF(D35="UNTUCA",IF(+((W35-3)*1.5+(X35-3)*3.1)&gt;0,+((W35-3)*1.5+(X35-3)*3.1),0),IF(+((W35-3)*1.5+(X35-3)*3.1)&gt;0,+((W35-3)*1.5+(X35-3)*3.1),0)))</f>
        <v>30</v>
      </c>
      <c r="AA35" s="144">
        <f t="shared" si="24"/>
        <v>30</v>
      </c>
      <c r="AB35" s="145">
        <f t="shared" si="18"/>
        <v>183.99357085674998</v>
      </c>
      <c r="AC35" s="145">
        <f>+(S35-T35)*V35-'data 1'!$F$4</f>
        <v>41.253</v>
      </c>
      <c r="AD35" s="145">
        <f t="shared" si="5"/>
        <v>24.825334066747494</v>
      </c>
      <c r="AE35" s="145">
        <f t="shared" si="6"/>
        <v>-36.930999999999997</v>
      </c>
      <c r="AF35" s="145">
        <f t="shared" si="7"/>
        <v>61.196586764436049</v>
      </c>
      <c r="AG35" s="772">
        <f>+IF(D35="RONALD WILLIAN GARIBAY ESCUDERO",AC35+AD35+AE35+AF35+70,AC35+AD35+AE35+AF35)+70-53</f>
        <v>107.34392083118354</v>
      </c>
      <c r="AH35" s="146">
        <f t="shared" si="9"/>
        <v>3.4454502140828884</v>
      </c>
      <c r="AI35" s="156">
        <f t="shared" si="10"/>
        <v>42.576207621502519</v>
      </c>
      <c r="AJ35" s="156">
        <f t="shared" si="11"/>
        <v>2.770563208691593</v>
      </c>
      <c r="AK35" s="88"/>
      <c r="AL35" s="716">
        <f t="shared" si="13"/>
        <v>124.05766515016369</v>
      </c>
    </row>
    <row r="36" spans="1:38" ht="15.75" customHeight="1">
      <c r="A36" s="1060" t="s">
        <v>1581</v>
      </c>
      <c r="B36" s="595">
        <v>45671</v>
      </c>
      <c r="C36" s="595">
        <v>45666</v>
      </c>
      <c r="D36" t="s">
        <v>1205</v>
      </c>
      <c r="E36">
        <f>_xlfn.XLOOKUP(D36,RUC!$B$3:$B$89,RUC!$D$3:$D$89)</f>
        <v>20601620147</v>
      </c>
      <c r="G36" s="80" t="s">
        <v>1434</v>
      </c>
      <c r="H36" t="s">
        <v>69</v>
      </c>
      <c r="I36" s="596">
        <v>10.65</v>
      </c>
      <c r="J36" s="596">
        <v>11.1</v>
      </c>
      <c r="K36" s="138">
        <f t="shared" si="0"/>
        <v>9.4678500000000003</v>
      </c>
      <c r="L36" s="139">
        <v>0.161</v>
      </c>
      <c r="M36" s="139">
        <v>0.151</v>
      </c>
      <c r="N36" s="159">
        <v>0.16200000000000001</v>
      </c>
      <c r="O36" s="139">
        <f t="shared" si="19"/>
        <v>0.157</v>
      </c>
      <c r="P36" s="629">
        <v>90</v>
      </c>
      <c r="Q36" s="760">
        <v>91.22</v>
      </c>
      <c r="R36" s="706">
        <v>2650.85</v>
      </c>
      <c r="S36" s="765">
        <f t="shared" si="21"/>
        <v>100</v>
      </c>
      <c r="U36" s="1005">
        <v>90</v>
      </c>
      <c r="V36" s="715">
        <v>1.1023000000000001</v>
      </c>
      <c r="Z36" s="143">
        <f>IF(IF(D36="UNTUCA",IF(+((W36-3)*1.5+(X36-3)*3.1)&gt;0,+((W36-3)*1.5+(X36-3)*3.1),0),IF(+((W36-3)*1.5+(X36-3)*3.1)&gt;0,+((W36-3)*1.5+(X36-3)*3.1),0))&lt;30,30,IF(D36="UNTUCA",IF(+((W36-3)*1.5+(X36-3)*3.1)&gt;0,+((W36-3)*1.5+(X36-3)*3.1),0),IF(+((W36-3)*1.5+(X36-3)*3.1)&gt;0,+((W36-3)*1.5+(X36-3)*3.1),0)))</f>
        <v>30</v>
      </c>
      <c r="AA36" s="144">
        <f t="shared" si="24"/>
        <v>30</v>
      </c>
      <c r="AB36" s="145">
        <f t="shared" si="18"/>
        <v>255.56616614149999</v>
      </c>
      <c r="AC36" s="145">
        <f>+(S36-T36)*V36-'data 1'!$F$4</f>
        <v>30.230000000000004</v>
      </c>
      <c r="AD36" s="145">
        <f t="shared" si="5"/>
        <v>5.5445927766109948</v>
      </c>
      <c r="AE36" s="145">
        <f t="shared" si="6"/>
        <v>-36.930999999999997</v>
      </c>
      <c r="AF36" s="145">
        <f t="shared" si="7"/>
        <v>10.29992369580401</v>
      </c>
      <c r="AG36" s="772">
        <f>+IF(D36="RONALD WILLIAN GARIBAY ESCUDERO",AC36+AD36+AE36+AF36+70,AC36+AD36+AE36+AF36)+70-53</f>
        <v>26.143516472415016</v>
      </c>
      <c r="AH36" s="146">
        <f t="shared" si="9"/>
        <v>47.673428063483662</v>
      </c>
      <c r="AI36" s="156">
        <f t="shared" si="10"/>
        <v>41.953380845089022</v>
      </c>
      <c r="AJ36" s="156">
        <f t="shared" si="11"/>
        <v>45.867239159510909</v>
      </c>
      <c r="AK36" s="88"/>
      <c r="AL36" s="716">
        <f t="shared" si="13"/>
        <v>2419.6621261028008</v>
      </c>
    </row>
    <row r="37" spans="1:38" ht="15.75" customHeight="1">
      <c r="A37" s="1060" t="s">
        <v>1582</v>
      </c>
      <c r="B37" s="595">
        <v>45672</v>
      </c>
      <c r="C37" s="595">
        <v>45666</v>
      </c>
      <c r="D37" t="s">
        <v>1586</v>
      </c>
      <c r="E37" t="e">
        <f>_xlfn.XLOOKUP(D37,RUC!$B$3:$B$89,RUC!$D$3:$D$89)</f>
        <v>#N/A</v>
      </c>
      <c r="G37" s="80">
        <v>50</v>
      </c>
      <c r="H37" t="s">
        <v>69</v>
      </c>
      <c r="I37" s="596">
        <v>6.27</v>
      </c>
      <c r="J37" s="596">
        <v>1</v>
      </c>
      <c r="K37" s="138">
        <f t="shared" si="0"/>
        <v>6.2072999999999992</v>
      </c>
      <c r="L37" s="139">
        <v>0.52300000000000002</v>
      </c>
      <c r="M37" s="139">
        <v>0.502</v>
      </c>
      <c r="N37" s="598">
        <v>0.54700000000000004</v>
      </c>
      <c r="O37" s="139">
        <f t="shared" si="19"/>
        <v>0.52500000000000002</v>
      </c>
      <c r="P37" s="629">
        <v>90</v>
      </c>
      <c r="Q37" s="760">
        <v>90.23</v>
      </c>
      <c r="R37" s="706">
        <v>2674.6</v>
      </c>
      <c r="S37" s="765">
        <f>IF((90+ROUNDDOWN(O37,1)*100)&lt;95,95,(90+ROUNDDOWN(O37,1)*100))-5</f>
        <v>135</v>
      </c>
      <c r="U37" s="1001">
        <v>90</v>
      </c>
      <c r="V37" s="715">
        <v>1.1023000000000001</v>
      </c>
      <c r="Z37" s="709">
        <v>25</v>
      </c>
      <c r="AA37" s="144">
        <f t="shared" si="24"/>
        <v>25</v>
      </c>
      <c r="AB37" s="145">
        <f t="shared" si="18"/>
        <v>1169.7866640499999</v>
      </c>
      <c r="AC37" s="145">
        <f>+(S37-T37)*V37-'data 1'!$F$4</f>
        <v>68.810500000000019</v>
      </c>
      <c r="AD37" s="145">
        <f t="shared" si="5"/>
        <v>3.42706760928206</v>
      </c>
      <c r="AE37" s="145">
        <f t="shared" si="6"/>
        <v>-42.442499999999995</v>
      </c>
      <c r="AF37" s="145">
        <f t="shared" si="7"/>
        <v>-5.1413136650680054</v>
      </c>
      <c r="AG37" s="772">
        <f>+IF(D37="RONALD WILLIAN GARIBAY ESCUDERO",AC37+AD37+AE37+AF37+70,AC37+AD37+AE37+AF37)+70-30-5-3</f>
        <v>56.653753944214088</v>
      </c>
      <c r="AH37" s="146">
        <f t="shared" si="9"/>
        <v>100.43022853075962</v>
      </c>
      <c r="AI37" s="156">
        <f t="shared" si="10"/>
        <v>122.45003459411807</v>
      </c>
      <c r="AJ37" s="156">
        <f t="shared" si="11"/>
        <v>100.55730316720647</v>
      </c>
      <c r="AK37" s="88"/>
      <c r="AL37" s="716">
        <f t="shared" si="13"/>
        <v>7261.2167597575635</v>
      </c>
    </row>
    <row r="38" spans="1:38" ht="15.75" customHeight="1">
      <c r="A38" s="1060" t="s">
        <v>1583</v>
      </c>
      <c r="B38" s="595">
        <v>45672</v>
      </c>
      <c r="C38" s="595">
        <v>45666</v>
      </c>
      <c r="D38" t="s">
        <v>1586</v>
      </c>
      <c r="E38" t="e">
        <f>_xlfn.XLOOKUP(D38,RUC!$B$3:$B$89,RUC!$D$3:$D$89)</f>
        <v>#N/A</v>
      </c>
      <c r="G38" s="80">
        <v>50</v>
      </c>
      <c r="H38" t="s">
        <v>69</v>
      </c>
      <c r="I38" s="596">
        <v>6.54</v>
      </c>
      <c r="J38" s="596">
        <v>0.95</v>
      </c>
      <c r="K38" s="138">
        <f t="shared" si="0"/>
        <v>6.4778700000000002</v>
      </c>
      <c r="L38" s="139">
        <v>0.70299999999999996</v>
      </c>
      <c r="M38" s="139">
        <v>0.67400000000000004</v>
      </c>
      <c r="N38" s="598">
        <v>0.747</v>
      </c>
      <c r="O38" s="139">
        <f t="shared" si="19"/>
        <v>0.71099999999999997</v>
      </c>
      <c r="P38" s="629">
        <v>90</v>
      </c>
      <c r="Q38" s="760">
        <v>90.15</v>
      </c>
      <c r="R38" s="706">
        <v>2674.6</v>
      </c>
      <c r="S38" s="765">
        <f t="shared" ref="S38:S44" si="25">IF((90+ROUNDDOWN(O38,1)*100)&lt;95,95,(90+ROUNDDOWN(O38,1)*100))-5</f>
        <v>155</v>
      </c>
      <c r="U38" s="1001">
        <v>90</v>
      </c>
      <c r="V38" s="715">
        <v>1.1023000000000001</v>
      </c>
      <c r="Z38" s="709">
        <v>25</v>
      </c>
      <c r="AA38" s="144">
        <f t="shared" si="24"/>
        <v>25</v>
      </c>
      <c r="AB38" s="145">
        <f t="shared" si="18"/>
        <v>1624.6640307419998</v>
      </c>
      <c r="AC38" s="145">
        <f>+(S38-T38)*V38-'data 1'!$F$4</f>
        <v>90.856500000000011</v>
      </c>
      <c r="AD38" s="145">
        <f t="shared" si="5"/>
        <v>3.0042753296101137</v>
      </c>
      <c r="AE38" s="145">
        <f t="shared" si="6"/>
        <v>-42.442499999999995</v>
      </c>
      <c r="AF38" s="145">
        <f t="shared" si="7"/>
        <v>-20.547021030960021</v>
      </c>
      <c r="AG38" s="772">
        <f t="shared" ref="AG38:AG44" si="26">+IF(D38="RONALD WILLIAN GARIBAY ESCUDERO",AC38+AD38+AE38+AF38+70,AC38+AD38+AE38+AF38)+70-30-5-3</f>
        <v>62.871254298650101</v>
      </c>
      <c r="AH38" s="146">
        <f t="shared" si="9"/>
        <v>140.7545211214638</v>
      </c>
      <c r="AI38" s="156">
        <f t="shared" si="10"/>
        <v>164.44751759139007</v>
      </c>
      <c r="AJ38" s="156">
        <f t="shared" si="11"/>
        <v>142.11941385130152</v>
      </c>
      <c r="AK38" s="88"/>
      <c r="AL38" s="716">
        <f t="shared" si="13"/>
        <v>10524.362384822678</v>
      </c>
    </row>
    <row r="39" spans="1:38" ht="15.75" customHeight="1">
      <c r="A39" s="1060" t="s">
        <v>1584</v>
      </c>
      <c r="B39" s="595">
        <v>45672</v>
      </c>
      <c r="C39" s="595">
        <v>45666</v>
      </c>
      <c r="D39" t="s">
        <v>1586</v>
      </c>
      <c r="E39" t="e">
        <f>_xlfn.XLOOKUP(D39,RUC!$B$3:$B$89,RUC!$D$3:$D$89)</f>
        <v>#N/A</v>
      </c>
      <c r="G39" s="80">
        <v>50</v>
      </c>
      <c r="H39" t="s">
        <v>69</v>
      </c>
      <c r="I39" s="596">
        <v>6.92</v>
      </c>
      <c r="J39" s="596">
        <v>1</v>
      </c>
      <c r="K39" s="138">
        <f t="shared" si="0"/>
        <v>6.8507999999999996</v>
      </c>
      <c r="L39" s="139">
        <v>0.71199999999999997</v>
      </c>
      <c r="M39" s="149">
        <v>0.68400000000000005</v>
      </c>
      <c r="N39" s="149">
        <v>0.68400000000000005</v>
      </c>
      <c r="O39" s="139">
        <f t="shared" si="19"/>
        <v>0.68400000000000005</v>
      </c>
      <c r="P39" s="629">
        <v>90</v>
      </c>
      <c r="Q39" s="760">
        <v>90.09</v>
      </c>
      <c r="R39" s="706">
        <v>2674.6</v>
      </c>
      <c r="S39" s="765">
        <f t="shared" si="25"/>
        <v>145</v>
      </c>
      <c r="U39" s="1001">
        <v>90</v>
      </c>
      <c r="V39" s="715">
        <v>1.1023000000000001</v>
      </c>
      <c r="Z39" s="709">
        <v>25</v>
      </c>
      <c r="AA39" s="144">
        <f t="shared" si="24"/>
        <v>25</v>
      </c>
      <c r="AB39" s="145">
        <f t="shared" si="18"/>
        <v>1566.456219448</v>
      </c>
      <c r="AC39" s="145">
        <f>+(S39-T39)*V39-'data 1'!$F$4</f>
        <v>79.833500000000015</v>
      </c>
      <c r="AD39" s="145">
        <f t="shared" si="5"/>
        <v>1.8256421348640692</v>
      </c>
      <c r="AE39" s="145">
        <f t="shared" si="6"/>
        <v>-42.442499999999995</v>
      </c>
      <c r="AF39" s="145">
        <f t="shared" si="7"/>
        <v>71.866710331415788</v>
      </c>
      <c r="AG39" s="772">
        <f t="shared" si="26"/>
        <v>143.08335246627988</v>
      </c>
      <c r="AH39" s="146">
        <f t="shared" si="9"/>
        <v>150.663113800243</v>
      </c>
      <c r="AI39" s="156">
        <f t="shared" si="10"/>
        <v>166.4419696299361</v>
      </c>
      <c r="AJ39" s="156">
        <f t="shared" si="11"/>
        <v>144.59356632042989</v>
      </c>
      <c r="AK39" s="88"/>
      <c r="AL39" s="716">
        <f t="shared" si="13"/>
        <v>10731.478268194358</v>
      </c>
    </row>
    <row r="40" spans="1:38" ht="15.75" customHeight="1">
      <c r="A40" s="1060" t="s">
        <v>1585</v>
      </c>
      <c r="B40" s="595">
        <v>45672</v>
      </c>
      <c r="C40" s="595">
        <v>45666</v>
      </c>
      <c r="D40" t="s">
        <v>1586</v>
      </c>
      <c r="E40" t="e">
        <f>_xlfn.XLOOKUP(D40,RUC!$B$3:$B$89,RUC!$D$3:$D$89)</f>
        <v>#N/A</v>
      </c>
      <c r="G40" s="80">
        <v>50</v>
      </c>
      <c r="H40" t="s">
        <v>69</v>
      </c>
      <c r="I40" s="596">
        <v>6.49</v>
      </c>
      <c r="J40" s="596">
        <v>0.91</v>
      </c>
      <c r="K40" s="138">
        <f t="shared" si="0"/>
        <v>6.4309409999999998</v>
      </c>
      <c r="L40" s="139">
        <v>0.73799999999999999</v>
      </c>
      <c r="M40" s="149">
        <v>0.70799999999999996</v>
      </c>
      <c r="N40" s="149">
        <v>0.70799999999999996</v>
      </c>
      <c r="O40" s="139">
        <f t="shared" si="19"/>
        <v>0.70799999999999996</v>
      </c>
      <c r="P40" s="629">
        <v>90</v>
      </c>
      <c r="Q40" s="760">
        <v>90.28</v>
      </c>
      <c r="R40" s="706">
        <v>2674.6</v>
      </c>
      <c r="S40" s="765">
        <f t="shared" si="25"/>
        <v>155</v>
      </c>
      <c r="U40" s="1001">
        <v>90</v>
      </c>
      <c r="V40" s="715">
        <v>1.1023000000000001</v>
      </c>
      <c r="Z40" s="709">
        <v>25</v>
      </c>
      <c r="AA40" s="144">
        <f t="shared" si="24"/>
        <v>25</v>
      </c>
      <c r="AB40" s="145">
        <f t="shared" si="18"/>
        <v>1616.9717183760001</v>
      </c>
      <c r="AC40" s="145">
        <f>+(S40-T40)*V40-'data 1'!$F$4</f>
        <v>90.856500000000011</v>
      </c>
      <c r="AD40" s="145">
        <f t="shared" si="5"/>
        <v>5.8871830641120235</v>
      </c>
      <c r="AE40" s="145">
        <f t="shared" si="6"/>
        <v>-42.442499999999995</v>
      </c>
      <c r="AF40" s="145">
        <f t="shared" si="7"/>
        <v>77.162440044720071</v>
      </c>
      <c r="AG40" s="772">
        <f t="shared" si="26"/>
        <v>163.46362310883211</v>
      </c>
      <c r="AH40" s="146">
        <f t="shared" si="9"/>
        <v>146.90328475473666</v>
      </c>
      <c r="AI40" s="156">
        <f t="shared" si="10"/>
        <v>172.88375157028807</v>
      </c>
      <c r="AJ40" s="156">
        <f t="shared" si="11"/>
        <v>140.49451247386659</v>
      </c>
      <c r="AK40" s="88"/>
      <c r="AL40" s="716">
        <f t="shared" si="13"/>
        <v>10398.649719544672</v>
      </c>
    </row>
    <row r="41" spans="1:38" ht="15.75" customHeight="1">
      <c r="A41" s="1060" t="s">
        <v>1587</v>
      </c>
      <c r="B41" s="595">
        <v>45672</v>
      </c>
      <c r="C41" s="595">
        <v>45666</v>
      </c>
      <c r="D41" t="s">
        <v>1586</v>
      </c>
      <c r="E41" t="e">
        <f>_xlfn.XLOOKUP(D41,RUC!$B$3:$B$89,RUC!$D$3:$D$89)</f>
        <v>#N/A</v>
      </c>
      <c r="G41" s="80">
        <v>50</v>
      </c>
      <c r="H41" t="s">
        <v>69</v>
      </c>
      <c r="I41" s="596">
        <v>6.97</v>
      </c>
      <c r="J41" s="596">
        <v>0.87</v>
      </c>
      <c r="K41" s="138">
        <f t="shared" si="0"/>
        <v>6.9093609999999996</v>
      </c>
      <c r="L41" s="139">
        <v>0.72499999999999998</v>
      </c>
      <c r="M41" s="139">
        <v>0.69599999999999995</v>
      </c>
      <c r="N41" s="598">
        <v>0.77100000000000002</v>
      </c>
      <c r="O41" s="139">
        <f t="shared" si="19"/>
        <v>0.73399999999999999</v>
      </c>
      <c r="P41" s="629">
        <v>90</v>
      </c>
      <c r="Q41" s="760">
        <v>90.17</v>
      </c>
      <c r="R41" s="706">
        <v>2674.6</v>
      </c>
      <c r="S41" s="765">
        <f t="shared" si="25"/>
        <v>155</v>
      </c>
      <c r="U41" s="1001">
        <v>90</v>
      </c>
      <c r="V41" s="715">
        <v>1.1023000000000001</v>
      </c>
      <c r="Z41" s="709">
        <v>25</v>
      </c>
      <c r="AA41" s="144">
        <f t="shared" si="24"/>
        <v>25</v>
      </c>
      <c r="AB41" s="145">
        <f t="shared" si="18"/>
        <v>1683.6384255480002</v>
      </c>
      <c r="AC41" s="145">
        <f>+(S41-T41)*V41-'data 1'!$F$4</f>
        <v>90.856500000000011</v>
      </c>
      <c r="AD41" s="145">
        <f t="shared" si="5"/>
        <v>3.5113981448500353</v>
      </c>
      <c r="AE41" s="145">
        <f t="shared" si="6"/>
        <v>-42.442499999999995</v>
      </c>
      <c r="AF41" s="145">
        <f t="shared" si="7"/>
        <v>-23.12052686807402</v>
      </c>
      <c r="AG41" s="772">
        <f t="shared" si="26"/>
        <v>60.804871276776026</v>
      </c>
      <c r="AH41" s="146">
        <f t="shared" si="9"/>
        <v>154.86277237497936</v>
      </c>
      <c r="AI41" s="156">
        <f t="shared" si="10"/>
        <v>169.63143740015005</v>
      </c>
      <c r="AJ41" s="156">
        <f t="shared" si="11"/>
        <v>156.48961529511132</v>
      </c>
      <c r="AK41" s="88"/>
      <c r="AL41" s="716">
        <f t="shared" si="13"/>
        <v>11632.865675582756</v>
      </c>
    </row>
    <row r="42" spans="1:38" ht="15.75" customHeight="1">
      <c r="A42" s="1060" t="s">
        <v>1588</v>
      </c>
      <c r="B42" s="595">
        <v>45672</v>
      </c>
      <c r="C42" s="595">
        <v>45666</v>
      </c>
      <c r="D42" t="s">
        <v>1586</v>
      </c>
      <c r="E42" t="e">
        <f>_xlfn.XLOOKUP(D42,RUC!$B$3:$B$89,RUC!$D$3:$D$89)</f>
        <v>#N/A</v>
      </c>
      <c r="G42" s="80">
        <v>50</v>
      </c>
      <c r="H42" t="s">
        <v>69</v>
      </c>
      <c r="I42" s="596">
        <v>6.95</v>
      </c>
      <c r="J42" s="596">
        <v>0.93</v>
      </c>
      <c r="K42" s="138">
        <f t="shared" si="0"/>
        <v>6.8853650000000002</v>
      </c>
      <c r="L42" s="139">
        <v>0.93400000000000005</v>
      </c>
      <c r="M42" s="139">
        <v>0.89700000000000002</v>
      </c>
      <c r="N42" s="598">
        <v>0.95799999999999996</v>
      </c>
      <c r="O42" s="139">
        <f t="shared" si="19"/>
        <v>0.92800000000000005</v>
      </c>
      <c r="P42" s="629">
        <v>90</v>
      </c>
      <c r="Q42" s="760">
        <v>90.21</v>
      </c>
      <c r="R42" s="706">
        <v>2674.6</v>
      </c>
      <c r="S42" s="765">
        <f t="shared" si="25"/>
        <v>175</v>
      </c>
      <c r="U42" s="1001">
        <v>90</v>
      </c>
      <c r="V42" s="715">
        <v>1.1023000000000001</v>
      </c>
      <c r="Z42" s="709">
        <v>25</v>
      </c>
      <c r="AA42" s="144">
        <f t="shared" si="24"/>
        <v>25</v>
      </c>
      <c r="AB42" s="145">
        <f t="shared" si="18"/>
        <v>2159.0286252160004</v>
      </c>
      <c r="AC42" s="145">
        <f>+(S42-T42)*V42-'data 1'!$F$4</f>
        <v>112.9025</v>
      </c>
      <c r="AD42" s="145">
        <f t="shared" si="5"/>
        <v>5.5880375832118343</v>
      </c>
      <c r="AE42" s="145">
        <f t="shared" si="6"/>
        <v>-42.442499999999995</v>
      </c>
      <c r="AF42" s="145">
        <f t="shared" si="7"/>
        <v>15.420522189708013</v>
      </c>
      <c r="AG42" s="772">
        <f t="shared" si="26"/>
        <v>123.46855977291983</v>
      </c>
      <c r="AH42" s="146">
        <f t="shared" si="9"/>
        <v>198.90128821460206</v>
      </c>
      <c r="AI42" s="156">
        <f t="shared" si="10"/>
        <v>218.62902850918809</v>
      </c>
      <c r="AJ42" s="156">
        <f t="shared" si="11"/>
        <v>197.16350157606988</v>
      </c>
      <c r="AK42" s="88"/>
      <c r="AL42" s="716">
        <f t="shared" si="13"/>
        <v>14865.700130060366</v>
      </c>
    </row>
    <row r="43" spans="1:38" ht="15.75" customHeight="1">
      <c r="A43" s="1060" t="s">
        <v>1589</v>
      </c>
      <c r="B43" s="595">
        <v>45672</v>
      </c>
      <c r="C43" s="595">
        <v>45666</v>
      </c>
      <c r="D43" t="s">
        <v>1586</v>
      </c>
      <c r="E43" t="e">
        <f>_xlfn.XLOOKUP(D43,RUC!$B$3:$B$89,RUC!$D$3:$D$89)</f>
        <v>#N/A</v>
      </c>
      <c r="G43" s="80">
        <v>50</v>
      </c>
      <c r="H43" t="s">
        <v>69</v>
      </c>
      <c r="I43" s="596">
        <v>6.51</v>
      </c>
      <c r="J43" s="596">
        <v>0.95</v>
      </c>
      <c r="K43" s="138">
        <f t="shared" si="0"/>
        <v>6.4481549999999999</v>
      </c>
      <c r="L43" s="139">
        <v>0.57199999999999995</v>
      </c>
      <c r="M43" s="149">
        <v>0.54900000000000004</v>
      </c>
      <c r="N43" s="149">
        <v>0.54900000000000004</v>
      </c>
      <c r="O43" s="139">
        <f t="shared" si="19"/>
        <v>0.54900000000000004</v>
      </c>
      <c r="P43" s="629">
        <v>90</v>
      </c>
      <c r="Q43" s="760">
        <v>90.07</v>
      </c>
      <c r="R43" s="706">
        <v>2674.6</v>
      </c>
      <c r="S43" s="765">
        <f t="shared" si="25"/>
        <v>135</v>
      </c>
      <c r="U43" s="1001">
        <v>90</v>
      </c>
      <c r="V43" s="715">
        <v>1.1023000000000001</v>
      </c>
      <c r="Z43" s="709">
        <v>25</v>
      </c>
      <c r="AA43" s="144">
        <f t="shared" si="24"/>
        <v>25</v>
      </c>
      <c r="AB43" s="145">
        <f t="shared" si="18"/>
        <v>1231.3251629780002</v>
      </c>
      <c r="AC43" s="145">
        <f>+(S43-T43)*V43-'data 1'!$F$4</f>
        <v>68.810500000000019</v>
      </c>
      <c r="AD43" s="145">
        <f t="shared" si="5"/>
        <v>1.1407414338318889</v>
      </c>
      <c r="AE43" s="145">
        <f t="shared" si="6"/>
        <v>-42.442499999999995</v>
      </c>
      <c r="AF43" s="145">
        <f t="shared" si="7"/>
        <v>59.020263779737761</v>
      </c>
      <c r="AG43" s="772">
        <f t="shared" si="26"/>
        <v>118.52900521356969</v>
      </c>
      <c r="AH43" s="146">
        <f t="shared" si="9"/>
        <v>113.89921456677195</v>
      </c>
      <c r="AI43" s="156">
        <f t="shared" si="10"/>
        <v>133.68493137656804</v>
      </c>
      <c r="AJ43" s="156">
        <f t="shared" si="11"/>
        <v>109.23439096212275</v>
      </c>
      <c r="AK43" s="88"/>
      <c r="AL43" s="716">
        <f t="shared" si="13"/>
        <v>7939.7755062824072</v>
      </c>
    </row>
    <row r="44" spans="1:38" ht="15.75" customHeight="1">
      <c r="A44" s="1060" t="s">
        <v>1590</v>
      </c>
      <c r="B44" s="595">
        <v>45672</v>
      </c>
      <c r="C44" s="595">
        <v>45666</v>
      </c>
      <c r="D44" t="s">
        <v>1586</v>
      </c>
      <c r="E44" t="e">
        <f>_xlfn.XLOOKUP(D44,RUC!$B$3:$B$89,RUC!$D$3:$D$89)</f>
        <v>#N/A</v>
      </c>
      <c r="G44" s="80">
        <v>50</v>
      </c>
      <c r="H44" t="s">
        <v>69</v>
      </c>
      <c r="I44" s="596">
        <v>5.48</v>
      </c>
      <c r="J44" s="596">
        <v>1</v>
      </c>
      <c r="K44" s="138">
        <f t="shared" si="0"/>
        <v>5.4252000000000002</v>
      </c>
      <c r="L44" s="139">
        <v>0.52</v>
      </c>
      <c r="M44" s="139">
        <v>0.499</v>
      </c>
      <c r="N44" s="598">
        <v>0.54100000000000004</v>
      </c>
      <c r="O44" s="139">
        <f t="shared" si="19"/>
        <v>0.52</v>
      </c>
      <c r="P44" s="629">
        <v>90</v>
      </c>
      <c r="Q44" s="760">
        <v>90.3</v>
      </c>
      <c r="R44" s="706">
        <v>2674.6</v>
      </c>
      <c r="S44" s="765">
        <f t="shared" si="25"/>
        <v>135</v>
      </c>
      <c r="U44" s="1001">
        <v>90</v>
      </c>
      <c r="V44" s="715">
        <v>1.1023000000000001</v>
      </c>
      <c r="Z44" s="709">
        <v>25</v>
      </c>
      <c r="AA44" s="144">
        <f t="shared" si="24"/>
        <v>25</v>
      </c>
      <c r="AB44" s="145">
        <f t="shared" si="18"/>
        <v>1156.9661434400002</v>
      </c>
      <c r="AC44" s="145">
        <f>+(S44-T44)*V44-'data 1'!$F$4</f>
        <v>68.810500000000019</v>
      </c>
      <c r="AD44" s="145">
        <f t="shared" si="5"/>
        <v>4.4444471447999581</v>
      </c>
      <c r="AE44" s="145">
        <f t="shared" si="6"/>
        <v>-42.442499999999995</v>
      </c>
      <c r="AF44" s="145">
        <f t="shared" si="7"/>
        <v>0</v>
      </c>
      <c r="AG44" s="772">
        <f t="shared" si="26"/>
        <v>62.812447144799975</v>
      </c>
      <c r="AH44" s="146">
        <f t="shared" si="9"/>
        <v>87.340548768574706</v>
      </c>
      <c r="AI44" s="156">
        <f t="shared" si="10"/>
        <v>121.84209557520008</v>
      </c>
      <c r="AJ44" s="156">
        <f t="shared" si="11"/>
        <v>87.050380832466487</v>
      </c>
      <c r="AK44" s="88"/>
      <c r="AL44" s="716">
        <f t="shared" si="13"/>
        <v>6276.7727213906892</v>
      </c>
    </row>
    <row r="45" spans="1:38" ht="15.75" customHeight="1">
      <c r="A45" s="1060" t="s">
        <v>1591</v>
      </c>
      <c r="B45" s="595">
        <v>45670</v>
      </c>
      <c r="C45" s="595">
        <v>45667</v>
      </c>
      <c r="D45" t="s">
        <v>119</v>
      </c>
      <c r="E45">
        <f>_xlfn.XLOOKUP(D45,RUC!$B$3:$B$89,RUC!$D$3:$D$89)</f>
        <v>10082235774</v>
      </c>
      <c r="G45" s="80">
        <v>50</v>
      </c>
      <c r="H45" t="s">
        <v>69</v>
      </c>
      <c r="I45" s="596">
        <v>6.3</v>
      </c>
      <c r="J45" s="596">
        <v>1.7</v>
      </c>
      <c r="K45" s="138">
        <f t="shared" si="0"/>
        <v>6.1928999999999998</v>
      </c>
      <c r="L45" s="139">
        <v>0.25</v>
      </c>
      <c r="M45" s="159">
        <v>0.246</v>
      </c>
      <c r="N45" s="159">
        <v>0.246</v>
      </c>
      <c r="O45" s="139">
        <f t="shared" si="19"/>
        <v>0.246</v>
      </c>
      <c r="P45" s="629">
        <v>85</v>
      </c>
      <c r="Q45" s="760">
        <v>90.25</v>
      </c>
      <c r="R45" s="706">
        <v>2687.45</v>
      </c>
      <c r="S45" s="839">
        <v>105</v>
      </c>
      <c r="U45" s="1024">
        <v>80</v>
      </c>
      <c r="V45" s="715">
        <v>1.1023000000000001</v>
      </c>
      <c r="Z45" s="160">
        <v>10</v>
      </c>
      <c r="AA45" s="144">
        <f t="shared" si="24"/>
        <v>10</v>
      </c>
      <c r="AB45" s="145">
        <f t="shared" si="18"/>
        <v>474.22907542850004</v>
      </c>
      <c r="AC45" s="145">
        <f>+(S45-T45)*V45-'data 1'!$F$4</f>
        <v>35.741500000000002</v>
      </c>
      <c r="AD45" s="145">
        <f t="shared" si="5"/>
        <v>37.723771771875001</v>
      </c>
      <c r="AE45" s="145">
        <f t="shared" si="6"/>
        <v>-58.977000000000004</v>
      </c>
      <c r="AF45" s="145">
        <f t="shared" si="7"/>
        <v>10.37583360735001</v>
      </c>
      <c r="AG45" s="772">
        <f>+IF(D45="RONALD WILLIAN GARIBAY ESCUDERO",AC45+AD45+AE45+AF45+70,AC45+AD45+AE45+AF45)+70</f>
        <v>94.864105379225009</v>
      </c>
      <c r="AH45" s="146">
        <f t="shared" si="9"/>
        <v>47.906049159624402</v>
      </c>
      <c r="AI45" s="156">
        <f t="shared" si="10"/>
        <v>52.862553290625044</v>
      </c>
      <c r="AJ45" s="156">
        <f t="shared" si="11"/>
        <v>44.3973623458281</v>
      </c>
      <c r="AK45" s="88"/>
      <c r="AL45" s="716">
        <f t="shared" si="13"/>
        <v>2936.853241221158</v>
      </c>
    </row>
    <row r="46" spans="1:38" ht="15.75" customHeight="1">
      <c r="A46" s="1060" t="s">
        <v>1592</v>
      </c>
      <c r="B46" s="595">
        <v>45670</v>
      </c>
      <c r="C46" s="595">
        <v>45667</v>
      </c>
      <c r="D46" t="s">
        <v>119</v>
      </c>
      <c r="E46">
        <f>_xlfn.XLOOKUP(D46,RUC!$B$3:$B$89,RUC!$D$3:$D$89)</f>
        <v>10082235774</v>
      </c>
      <c r="G46" s="80">
        <v>50</v>
      </c>
      <c r="H46" t="s">
        <v>69</v>
      </c>
      <c r="I46" s="596">
        <v>5.0999999999999996</v>
      </c>
      <c r="J46" s="596">
        <v>1.8</v>
      </c>
      <c r="K46" s="138">
        <f t="shared" si="0"/>
        <v>5.0081999999999995</v>
      </c>
      <c r="L46" s="139">
        <v>0.61</v>
      </c>
      <c r="M46" s="139">
        <v>0.60099999999999998</v>
      </c>
      <c r="N46" s="159">
        <v>0.60099999999999998</v>
      </c>
      <c r="O46" s="139">
        <f t="shared" si="19"/>
        <v>0.60099999999999998</v>
      </c>
      <c r="P46" s="629">
        <v>90</v>
      </c>
      <c r="Q46" s="760">
        <v>90.16</v>
      </c>
      <c r="R46" s="706">
        <v>2687.45</v>
      </c>
      <c r="S46" s="839">
        <v>125</v>
      </c>
      <c r="U46" s="1024">
        <v>80</v>
      </c>
      <c r="V46" s="715">
        <v>1.1023000000000001</v>
      </c>
      <c r="Z46" s="160">
        <v>10</v>
      </c>
      <c r="AA46" s="144">
        <f t="shared" si="24"/>
        <v>10</v>
      </c>
      <c r="AB46" s="145">
        <f t="shared" si="18"/>
        <v>1405.8400258214997</v>
      </c>
      <c r="AC46" s="145">
        <f>+(S46-T46)*V46-'data 1'!$F$4</f>
        <v>57.787499999999994</v>
      </c>
      <c r="AD46" s="145">
        <f t="shared" si="5"/>
        <v>2.8052115237599402</v>
      </c>
      <c r="AE46" s="145">
        <f t="shared" si="6"/>
        <v>-58.977000000000004</v>
      </c>
      <c r="AF46" s="145">
        <f t="shared" si="7"/>
        <v>23.322344660244017</v>
      </c>
      <c r="AG46" s="772">
        <f t="shared" ref="AG46:AG51" si="27">+IF(D46="RONALD WILLIAN GARIBAY ESCUDERO",AC46+AD46+AE46+AF46+70,AC46+AD46+AE46+AF46)+70</f>
        <v>94.938056184003941</v>
      </c>
      <c r="AH46" s="146">
        <f t="shared" si="9"/>
        <v>94.435323243675114</v>
      </c>
      <c r="AI46" s="156">
        <f t="shared" si="10"/>
        <v>128.85600269724009</v>
      </c>
      <c r="AJ46" s="156">
        <f t="shared" si="11"/>
        <v>92.876900705674203</v>
      </c>
      <c r="AK46" s="88"/>
      <c r="AL46" s="716">
        <f t="shared" si="13"/>
        <v>7040.7280173192339</v>
      </c>
    </row>
    <row r="47" spans="1:38" ht="15.75" customHeight="1">
      <c r="A47" s="1060" t="s">
        <v>1593</v>
      </c>
      <c r="B47" s="595">
        <v>45670</v>
      </c>
      <c r="C47" s="595">
        <v>45667</v>
      </c>
      <c r="D47" t="s">
        <v>119</v>
      </c>
      <c r="E47">
        <f>_xlfn.XLOOKUP(D47,RUC!$B$3:$B$89,RUC!$D$3:$D$89)</f>
        <v>10082235774</v>
      </c>
      <c r="G47" s="80">
        <v>50</v>
      </c>
      <c r="H47" t="s">
        <v>69</v>
      </c>
      <c r="I47" s="596">
        <v>4.67</v>
      </c>
      <c r="J47" s="596">
        <v>1.9</v>
      </c>
      <c r="K47" s="138">
        <f t="shared" si="0"/>
        <v>4.58127</v>
      </c>
      <c r="L47" s="139">
        <v>0.27400000000000002</v>
      </c>
      <c r="M47" s="139">
        <v>0.26900000000000002</v>
      </c>
      <c r="N47" s="159">
        <v>0.26900000000000002</v>
      </c>
      <c r="O47" s="139">
        <f t="shared" si="19"/>
        <v>0.26900000000000002</v>
      </c>
      <c r="P47" s="629">
        <v>90</v>
      </c>
      <c r="Q47" s="760">
        <v>89.88</v>
      </c>
      <c r="R47" s="706">
        <v>2687.45</v>
      </c>
      <c r="S47" s="839">
        <v>105</v>
      </c>
      <c r="U47" s="1024">
        <v>80</v>
      </c>
      <c r="V47" s="715">
        <v>1.1023000000000001</v>
      </c>
      <c r="Z47" s="160">
        <v>10</v>
      </c>
      <c r="AA47" s="144">
        <f t="shared" si="24"/>
        <v>10</v>
      </c>
      <c r="AB47" s="145">
        <f t="shared" si="18"/>
        <v>569.07741588350007</v>
      </c>
      <c r="AC47" s="145">
        <f>+(S47-T47)*V47-'data 1'!$F$4</f>
        <v>35.741500000000002</v>
      </c>
      <c r="AD47" s="145">
        <f t="shared" si="5"/>
        <v>-0.9450343739880358</v>
      </c>
      <c r="AE47" s="145">
        <f t="shared" si="6"/>
        <v>-58.977000000000004</v>
      </c>
      <c r="AF47" s="145">
        <f t="shared" si="7"/>
        <v>12.916619454690011</v>
      </c>
      <c r="AG47" s="772">
        <f t="shared" si="27"/>
        <v>58.736085080701969</v>
      </c>
      <c r="AH47" s="146">
        <f t="shared" si="9"/>
        <v>38.681970001174435</v>
      </c>
      <c r="AI47" s="156">
        <f t="shared" si="10"/>
        <v>57.699831286188058</v>
      </c>
      <c r="AJ47" s="156">
        <f t="shared" si="11"/>
        <v>38.026797032232473</v>
      </c>
      <c r="AK47" s="88"/>
      <c r="AL47" s="716">
        <f t="shared" si="13"/>
        <v>2607.0972930646021</v>
      </c>
    </row>
    <row r="48" spans="1:38" ht="15.75" customHeight="1">
      <c r="A48" s="1060" t="s">
        <v>1594</v>
      </c>
      <c r="B48" s="595">
        <v>45670</v>
      </c>
      <c r="C48" s="595">
        <v>45667</v>
      </c>
      <c r="D48" t="s">
        <v>119</v>
      </c>
      <c r="E48">
        <f>_xlfn.XLOOKUP(D48,RUC!$B$3:$B$89,RUC!$D$3:$D$89)</f>
        <v>10082235774</v>
      </c>
      <c r="G48" s="80">
        <v>50</v>
      </c>
      <c r="H48" t="s">
        <v>69</v>
      </c>
      <c r="I48" s="596">
        <v>8.2899999999999991</v>
      </c>
      <c r="J48" s="596">
        <v>1.7</v>
      </c>
      <c r="K48" s="138">
        <f t="shared" si="0"/>
        <v>8.1490699999999983</v>
      </c>
      <c r="L48" s="139">
        <v>0.14699999999999999</v>
      </c>
      <c r="M48" s="139">
        <v>0.14399999999999999</v>
      </c>
      <c r="N48" s="159">
        <v>0.14399999999999999</v>
      </c>
      <c r="O48" s="139">
        <f t="shared" si="19"/>
        <v>0.14399999999999999</v>
      </c>
      <c r="P48" s="629">
        <v>85</v>
      </c>
      <c r="Q48" s="760">
        <v>89.46</v>
      </c>
      <c r="R48" s="706">
        <v>2687.45</v>
      </c>
      <c r="S48" s="839">
        <v>95</v>
      </c>
      <c r="U48" s="1024">
        <v>80</v>
      </c>
      <c r="V48" s="715">
        <v>1.1023000000000001</v>
      </c>
      <c r="Z48" s="160">
        <v>10</v>
      </c>
      <c r="AA48" s="144">
        <f t="shared" si="24"/>
        <v>10</v>
      </c>
      <c r="AB48" s="145">
        <f t="shared" si="18"/>
        <v>236.05961732399996</v>
      </c>
      <c r="AC48" s="145">
        <f>+(S48-T48)*V48-'data 1'!$F$4</f>
        <v>24.718500000000006</v>
      </c>
      <c r="AD48" s="145">
        <f t="shared" si="5"/>
        <v>18.843778475486971</v>
      </c>
      <c r="AE48" s="145">
        <f t="shared" si="6"/>
        <v>-58.977000000000004</v>
      </c>
      <c r="AF48" s="145">
        <f t="shared" si="7"/>
        <v>7.713756851913006</v>
      </c>
      <c r="AG48" s="772">
        <f t="shared" si="27"/>
        <v>62.299035327399977</v>
      </c>
      <c r="AH48" s="146">
        <f t="shared" si="9"/>
        <v>36.742046819323278</v>
      </c>
      <c r="AI48" s="156">
        <f t="shared" si="10"/>
        <v>30.811095869463024</v>
      </c>
      <c r="AJ48" s="156">
        <f t="shared" si="11"/>
        <v>34.197828928865491</v>
      </c>
      <c r="AK48" s="88"/>
      <c r="AL48" s="716">
        <f t="shared" si="13"/>
        <v>1923.6663457464879</v>
      </c>
    </row>
    <row r="49" spans="1:38" ht="15.75" customHeight="1">
      <c r="A49" s="1060" t="s">
        <v>1595</v>
      </c>
      <c r="B49" s="595">
        <v>45670</v>
      </c>
      <c r="C49" s="595">
        <v>45667</v>
      </c>
      <c r="D49" t="s">
        <v>119</v>
      </c>
      <c r="E49">
        <f>_xlfn.XLOOKUP(D49,RUC!$B$3:$B$89,RUC!$D$3:$D$89)</f>
        <v>10082235774</v>
      </c>
      <c r="G49" s="80">
        <v>50</v>
      </c>
      <c r="H49" t="s">
        <v>69</v>
      </c>
      <c r="I49" s="596">
        <v>5.68</v>
      </c>
      <c r="J49" s="596">
        <v>1.6</v>
      </c>
      <c r="K49" s="138">
        <f t="shared" si="0"/>
        <v>5.5891199999999994</v>
      </c>
      <c r="L49" s="139">
        <v>0.34300000000000003</v>
      </c>
      <c r="M49" s="139">
        <v>0.33700000000000002</v>
      </c>
      <c r="N49" s="159">
        <v>0.377</v>
      </c>
      <c r="O49" s="139">
        <f t="shared" si="19"/>
        <v>0.35699999999999998</v>
      </c>
      <c r="P49" s="629">
        <v>90</v>
      </c>
      <c r="Q49" s="760">
        <v>90.16</v>
      </c>
      <c r="R49" s="706">
        <v>2687.45</v>
      </c>
      <c r="S49" s="839">
        <v>110</v>
      </c>
      <c r="U49" s="1024">
        <v>80</v>
      </c>
      <c r="V49" s="715">
        <v>1.1023000000000001</v>
      </c>
      <c r="Z49" s="160">
        <v>10</v>
      </c>
      <c r="AA49" s="144">
        <f t="shared" si="24"/>
        <v>10</v>
      </c>
      <c r="AB49" s="145">
        <f t="shared" si="18"/>
        <v>791.20193297549974</v>
      </c>
      <c r="AC49" s="145">
        <f>+(S49-T49)*V49-'data 1'!$F$4</f>
        <v>41.253</v>
      </c>
      <c r="AD49" s="145">
        <f t="shared" si="5"/>
        <v>1.5773566436879665</v>
      </c>
      <c r="AE49" s="145">
        <f t="shared" si="6"/>
        <v>-58.977000000000004</v>
      </c>
      <c r="AF49" s="145">
        <f t="shared" si="7"/>
        <v>-36.279202804823882</v>
      </c>
      <c r="AG49" s="772">
        <f t="shared" si="27"/>
        <v>17.574153838864078</v>
      </c>
      <c r="AH49" s="146">
        <f t="shared" si="9"/>
        <v>59.259847086763777</v>
      </c>
      <c r="AI49" s="156">
        <f t="shared" si="10"/>
        <v>72.455096598612087</v>
      </c>
      <c r="AJ49" s="156">
        <f t="shared" si="11"/>
        <v>61.569160071040542</v>
      </c>
      <c r="AK49" s="88"/>
      <c r="AL49" s="716">
        <f t="shared" si="13"/>
        <v>4422.1225476320251</v>
      </c>
    </row>
    <row r="50" spans="1:38" ht="15.75" customHeight="1">
      <c r="A50" s="1060" t="s">
        <v>1596</v>
      </c>
      <c r="B50" s="595">
        <v>45670</v>
      </c>
      <c r="C50" s="595">
        <v>45667</v>
      </c>
      <c r="D50" t="s">
        <v>119</v>
      </c>
      <c r="E50">
        <f>_xlfn.XLOOKUP(D50,RUC!$B$3:$B$89,RUC!$D$3:$D$89)</f>
        <v>10082235774</v>
      </c>
      <c r="G50" s="80">
        <v>50</v>
      </c>
      <c r="H50" t="s">
        <v>69</v>
      </c>
      <c r="I50" s="596">
        <v>4.2300000000000004</v>
      </c>
      <c r="J50" s="596">
        <v>1.8</v>
      </c>
      <c r="K50" s="138">
        <f t="shared" si="0"/>
        <v>4.1538600000000008</v>
      </c>
      <c r="L50" s="139">
        <v>0.22</v>
      </c>
      <c r="M50" s="139">
        <v>0.217</v>
      </c>
      <c r="N50" s="159">
        <v>0.217</v>
      </c>
      <c r="O50" s="139">
        <f t="shared" si="19"/>
        <v>0.217</v>
      </c>
      <c r="P50" s="629">
        <v>85</v>
      </c>
      <c r="Q50" s="760">
        <v>90.3</v>
      </c>
      <c r="R50" s="706">
        <v>2687.45</v>
      </c>
      <c r="S50" s="839">
        <v>105</v>
      </c>
      <c r="U50" s="1024">
        <v>80</v>
      </c>
      <c r="V50" s="715">
        <v>1.1023000000000001</v>
      </c>
      <c r="Z50" s="160">
        <v>10</v>
      </c>
      <c r="AA50" s="144">
        <f t="shared" si="24"/>
        <v>10</v>
      </c>
      <c r="AB50" s="145">
        <f t="shared" si="18"/>
        <v>403.38023930074996</v>
      </c>
      <c r="AC50" s="145">
        <f>+(S50-T50)*V50-'data 1'!$F$4</f>
        <v>35.741500000000002</v>
      </c>
      <c r="AD50" s="145">
        <f t="shared" si="5"/>
        <v>33.513080294099979</v>
      </c>
      <c r="AE50" s="145">
        <f t="shared" si="6"/>
        <v>-58.977000000000004</v>
      </c>
      <c r="AF50" s="145">
        <f t="shared" si="7"/>
        <v>7.7861864937150065</v>
      </c>
      <c r="AG50" s="772">
        <f t="shared" si="27"/>
        <v>88.063766787814984</v>
      </c>
      <c r="AH50" s="146">
        <f t="shared" si="9"/>
        <v>28.292502020387406</v>
      </c>
      <c r="AI50" s="156">
        <f t="shared" si="10"/>
        <v>46.544819220900038</v>
      </c>
      <c r="AJ50" s="156">
        <f t="shared" si="11"/>
        <v>26.268760684891053</v>
      </c>
      <c r="AK50" s="88"/>
      <c r="AL50" s="716">
        <f t="shared" si="13"/>
        <v>1675.5850408218137</v>
      </c>
    </row>
    <row r="51" spans="1:38" ht="15.75" customHeight="1">
      <c r="A51" s="1060" t="s">
        <v>1597</v>
      </c>
      <c r="B51" s="595">
        <v>45670</v>
      </c>
      <c r="C51" s="595">
        <v>45667</v>
      </c>
      <c r="D51" t="s">
        <v>119</v>
      </c>
      <c r="E51">
        <f>_xlfn.XLOOKUP(D51,RUC!$B$3:$B$89,RUC!$D$3:$D$89)</f>
        <v>10082235774</v>
      </c>
      <c r="G51" s="80">
        <v>50</v>
      </c>
      <c r="H51" t="s">
        <v>69</v>
      </c>
      <c r="I51" s="596">
        <v>5.79</v>
      </c>
      <c r="J51" s="596">
        <v>1.9</v>
      </c>
      <c r="K51" s="138">
        <f t="shared" si="0"/>
        <v>5.6799900000000001</v>
      </c>
      <c r="L51" s="139">
        <v>0.34499999999999997</v>
      </c>
      <c r="M51" s="139">
        <v>0.34</v>
      </c>
      <c r="N51" s="159">
        <v>0.34</v>
      </c>
      <c r="O51" s="139">
        <f t="shared" si="19"/>
        <v>0.34</v>
      </c>
      <c r="P51" s="629">
        <v>90</v>
      </c>
      <c r="Q51" s="760">
        <v>89.89</v>
      </c>
      <c r="R51" s="706">
        <v>2687.45</v>
      </c>
      <c r="S51" s="839">
        <v>110</v>
      </c>
      <c r="U51" s="1024">
        <v>80</v>
      </c>
      <c r="V51" s="715">
        <v>1.1023000000000001</v>
      </c>
      <c r="Z51" s="160">
        <v>10</v>
      </c>
      <c r="AA51" s="144">
        <f t="shared" si="24"/>
        <v>10</v>
      </c>
      <c r="AB51" s="145">
        <f t="shared" si="18"/>
        <v>747.22679330999995</v>
      </c>
      <c r="AC51" s="145">
        <f>+(S51-T51)*V51-'data 1'!$F$4</f>
        <v>41.253</v>
      </c>
      <c r="AD51" s="145">
        <f t="shared" si="5"/>
        <v>-1.0907559152324942</v>
      </c>
      <c r="AE51" s="145">
        <f t="shared" si="6"/>
        <v>-58.977000000000004</v>
      </c>
      <c r="AF51" s="145">
        <f t="shared" si="7"/>
        <v>12.918056550757367</v>
      </c>
      <c r="AG51" s="772">
        <f t="shared" si="27"/>
        <v>64.103300635524874</v>
      </c>
      <c r="AH51" s="146">
        <f t="shared" si="9"/>
        <v>60.393071243420088</v>
      </c>
      <c r="AI51" s="156">
        <f t="shared" si="10"/>
        <v>72.65933056073257</v>
      </c>
      <c r="AJ51" s="156">
        <f t="shared" si="11"/>
        <v>59.590642348656573</v>
      </c>
      <c r="AK51" s="88"/>
      <c r="AL51" s="716">
        <f t="shared" si="13"/>
        <v>4244.2407137328664</v>
      </c>
    </row>
    <row r="52" spans="1:38" ht="15.75" customHeight="1">
      <c r="A52" s="1060" t="s">
        <v>1598</v>
      </c>
      <c r="B52" s="595">
        <v>45670</v>
      </c>
      <c r="C52" s="595">
        <v>45667</v>
      </c>
      <c r="D52" t="s">
        <v>1403</v>
      </c>
      <c r="E52">
        <f>_xlfn.XLOOKUP(D52,RUC!$B$3:$B$89,RUC!$D$3:$D$89)</f>
        <v>10479968131</v>
      </c>
      <c r="G52" s="80">
        <v>50</v>
      </c>
      <c r="H52" t="s">
        <v>108</v>
      </c>
      <c r="I52" s="596">
        <v>3.7</v>
      </c>
      <c r="J52" s="596">
        <v>14.45</v>
      </c>
      <c r="K52" s="138">
        <f t="shared" si="0"/>
        <v>3.1653500000000001</v>
      </c>
      <c r="L52" s="139">
        <v>0.51100000000000001</v>
      </c>
      <c r="M52" s="139">
        <v>0.5</v>
      </c>
      <c r="N52" s="159">
        <v>0.5</v>
      </c>
      <c r="O52" s="139">
        <f t="shared" si="19"/>
        <v>0.5</v>
      </c>
      <c r="P52" s="629">
        <v>90</v>
      </c>
      <c r="Q52" s="760">
        <v>90.24</v>
      </c>
      <c r="R52" s="706">
        <v>2687.45</v>
      </c>
      <c r="S52" s="765">
        <f t="shared" si="21"/>
        <v>140</v>
      </c>
      <c r="U52" s="1005">
        <v>120</v>
      </c>
      <c r="V52" s="715">
        <v>1.1023000000000001</v>
      </c>
      <c r="Z52" s="160">
        <v>25</v>
      </c>
      <c r="AA52" s="144">
        <f t="shared" si="24"/>
        <v>25</v>
      </c>
      <c r="AB52" s="145">
        <f t="shared" si="18"/>
        <v>1091.6655607499999</v>
      </c>
      <c r="AC52" s="145">
        <f>+(S52-T52)*V52-'data 1'!$F$4</f>
        <v>74.322000000000003</v>
      </c>
      <c r="AD52" s="145">
        <f t="shared" si="5"/>
        <v>3.4708348055639262</v>
      </c>
      <c r="AE52" s="145">
        <f t="shared" si="6"/>
        <v>-42.442499999999995</v>
      </c>
      <c r="AF52" s="145">
        <f t="shared" si="7"/>
        <v>28.092705980064025</v>
      </c>
      <c r="AG52" s="772">
        <f t="shared" ref="AG52:AG74" si="28">+IF(D52="RONALD WILLIAN GARIBAY ESCUDERO",AC52+AD52+AE52+AF52+70,AC52+AD52+AE52+AF52)+70-53</f>
        <v>80.443040785627943</v>
      </c>
      <c r="AH52" s="146">
        <f t="shared" si="9"/>
        <v>50.04385925452241</v>
      </c>
      <c r="AI52" s="156">
        <f t="shared" si="10"/>
        <v>128.3710717383361</v>
      </c>
      <c r="AJ52" s="156">
        <f t="shared" si="11"/>
        <v>48.836363878830383</v>
      </c>
      <c r="AK52" s="88"/>
      <c r="AL52" s="716">
        <f t="shared" si="13"/>
        <v>3455.5035827200122</v>
      </c>
    </row>
    <row r="53" spans="1:38" ht="15.75" customHeight="1">
      <c r="A53" s="1060" t="s">
        <v>1599</v>
      </c>
      <c r="B53" s="595">
        <v>45669</v>
      </c>
      <c r="C53" s="595">
        <v>45667</v>
      </c>
      <c r="D53" t="s">
        <v>1403</v>
      </c>
      <c r="E53">
        <f>_xlfn.XLOOKUP(D53,RUC!$B$3:$B$89,RUC!$D$3:$D$89)</f>
        <v>10479968131</v>
      </c>
      <c r="G53" s="80">
        <v>50</v>
      </c>
      <c r="H53" t="s">
        <v>108</v>
      </c>
      <c r="I53" s="596">
        <v>3.76</v>
      </c>
      <c r="J53" s="596">
        <v>15.77</v>
      </c>
      <c r="K53" s="138">
        <f t="shared" si="0"/>
        <v>3.1670479999999999</v>
      </c>
      <c r="L53" s="139">
        <v>0.94399999999999995</v>
      </c>
      <c r="M53" s="139">
        <v>0.90600000000000003</v>
      </c>
      <c r="N53" s="159">
        <v>0.90600000000000003</v>
      </c>
      <c r="O53" s="139">
        <f t="shared" si="19"/>
        <v>0.90600000000000003</v>
      </c>
      <c r="P53" s="629">
        <v>90</v>
      </c>
      <c r="Q53" s="760">
        <v>90.11</v>
      </c>
      <c r="R53" s="706">
        <v>2687.45</v>
      </c>
      <c r="S53" s="765">
        <f t="shared" si="21"/>
        <v>180</v>
      </c>
      <c r="U53" s="1005">
        <v>120</v>
      </c>
      <c r="V53" s="715">
        <v>1.1023000000000001</v>
      </c>
      <c r="Z53" s="160">
        <v>25</v>
      </c>
      <c r="AA53" s="144">
        <f t="shared" si="24"/>
        <v>25</v>
      </c>
      <c r="AB53" s="145">
        <f t="shared" si="18"/>
        <v>2081.6921500789999</v>
      </c>
      <c r="AC53" s="145">
        <f>+(S53-T53)*V53-'data 1'!$F$4</f>
        <v>118.41400000000002</v>
      </c>
      <c r="AD53" s="145">
        <f t="shared" si="5"/>
        <v>2.9387759801839843</v>
      </c>
      <c r="AE53" s="145">
        <f t="shared" si="6"/>
        <v>-42.442499999999995</v>
      </c>
      <c r="AF53" s="145">
        <f t="shared" si="7"/>
        <v>96.907722802642809</v>
      </c>
      <c r="AG53" s="772">
        <f t="shared" si="28"/>
        <v>192.81799878282681</v>
      </c>
      <c r="AH53" s="146">
        <f t="shared" si="9"/>
        <v>92.365268892056406</v>
      </c>
      <c r="AI53" s="156">
        <f t="shared" si="10"/>
        <v>236.80570678621615</v>
      </c>
      <c r="AJ53" s="156">
        <f t="shared" si="11"/>
        <v>88.538961155036958</v>
      </c>
      <c r="AK53" s="88"/>
      <c r="AL53" s="716">
        <f t="shared" si="13"/>
        <v>6592.8189605233965</v>
      </c>
    </row>
    <row r="54" spans="1:38" ht="15.75" customHeight="1">
      <c r="A54" s="1060" t="s">
        <v>1600</v>
      </c>
      <c r="B54" s="595">
        <v>45669</v>
      </c>
      <c r="C54" s="595">
        <v>45667</v>
      </c>
      <c r="D54" t="s">
        <v>1403</v>
      </c>
      <c r="E54">
        <f>_xlfn.XLOOKUP(D54,RUC!$B$3:$B$89,RUC!$D$3:$D$89)</f>
        <v>10479968131</v>
      </c>
      <c r="G54" s="80">
        <v>49</v>
      </c>
      <c r="H54" t="s">
        <v>108</v>
      </c>
      <c r="I54" s="596">
        <v>3.67</v>
      </c>
      <c r="J54" s="596">
        <v>19.07</v>
      </c>
      <c r="K54" s="138">
        <f t="shared" si="0"/>
        <v>2.9701309999999999</v>
      </c>
      <c r="L54" s="139">
        <v>0.13400000000000001</v>
      </c>
      <c r="M54" s="139">
        <v>0.128</v>
      </c>
      <c r="N54" s="159">
        <v>0.128</v>
      </c>
      <c r="O54" s="139">
        <f t="shared" si="19"/>
        <v>0.128</v>
      </c>
      <c r="P54" s="629">
        <v>85</v>
      </c>
      <c r="Q54" s="760">
        <v>89.81</v>
      </c>
      <c r="R54" s="706">
        <v>2687.45</v>
      </c>
      <c r="S54" s="765">
        <f t="shared" si="21"/>
        <v>100</v>
      </c>
      <c r="U54" s="1005">
        <v>100</v>
      </c>
      <c r="V54" s="715">
        <v>1.1023000000000001</v>
      </c>
      <c r="Z54" s="160">
        <v>25</v>
      </c>
      <c r="AA54" s="144">
        <f t="shared" si="24"/>
        <v>25</v>
      </c>
      <c r="AB54" s="145">
        <f t="shared" si="18"/>
        <v>172.52599948799997</v>
      </c>
      <c r="AC54" s="145">
        <f>+(S54-T54)*V54-'data 1'!$F$4</f>
        <v>30.230000000000004</v>
      </c>
      <c r="AD54" s="145">
        <f t="shared" si="5"/>
        <v>18.383222698529011</v>
      </c>
      <c r="AE54" s="145">
        <f t="shared" si="6"/>
        <v>-42.442499999999995</v>
      </c>
      <c r="AF54" s="145">
        <f t="shared" si="7"/>
        <v>15.369074663061015</v>
      </c>
      <c r="AG54" s="772">
        <f t="shared" si="28"/>
        <v>38.539797361590033</v>
      </c>
      <c r="AH54" s="146">
        <f t="shared" si="9"/>
        <v>12.255024072551251</v>
      </c>
      <c r="AI54" s="156">
        <f t="shared" si="10"/>
        <v>30.849323589371028</v>
      </c>
      <c r="AJ54" s="156">
        <f t="shared" si="11"/>
        <v>11.079331815703599</v>
      </c>
      <c r="AK54" s="88"/>
      <c r="AL54" s="716">
        <f t="shared" si="13"/>
        <v>512.42481938529284</v>
      </c>
    </row>
    <row r="55" spans="1:38" ht="15.75" customHeight="1">
      <c r="A55" s="1060" t="s">
        <v>1601</v>
      </c>
      <c r="B55" s="595">
        <v>45674</v>
      </c>
      <c r="C55" s="595">
        <v>45668</v>
      </c>
      <c r="D55" t="s">
        <v>1586</v>
      </c>
      <c r="E55" t="e">
        <f>_xlfn.XLOOKUP(D55,RUC!$B$3:$B$89,RUC!$D$3:$D$89)</f>
        <v>#N/A</v>
      </c>
      <c r="G55" s="80">
        <v>50</v>
      </c>
      <c r="H55" t="s">
        <v>69</v>
      </c>
      <c r="I55" s="596">
        <v>6.91</v>
      </c>
      <c r="J55" s="596">
        <v>1</v>
      </c>
      <c r="K55" s="138">
        <f t="shared" si="0"/>
        <v>6.8409000000000004</v>
      </c>
      <c r="L55" s="139">
        <v>0.61799999999999999</v>
      </c>
      <c r="M55" s="139">
        <v>0.59299999999999997</v>
      </c>
      <c r="N55" s="159">
        <v>0.59299999999999997</v>
      </c>
      <c r="O55" s="139">
        <f t="shared" si="19"/>
        <v>0.59299999999999997</v>
      </c>
      <c r="P55" s="629">
        <v>90</v>
      </c>
      <c r="Q55" s="760">
        <v>90.19</v>
      </c>
      <c r="R55" s="706">
        <v>2687.45</v>
      </c>
      <c r="S55" s="765">
        <f>IF((90+ROUNDDOWN(O55,1)*100)&lt;95,95,(90+ROUNDDOWN(O55,1)*100))-5</f>
        <v>135</v>
      </c>
      <c r="U55" s="1005">
        <v>90</v>
      </c>
      <c r="V55" s="715">
        <v>1.1023000000000001</v>
      </c>
      <c r="Z55" s="160">
        <v>25</v>
      </c>
      <c r="AA55" s="144">
        <f t="shared" si="24"/>
        <v>25</v>
      </c>
      <c r="AB55" s="145">
        <f t="shared" si="18"/>
        <v>1351.7053673494997</v>
      </c>
      <c r="AC55" s="145">
        <f>+(S55-T55)*V55-'data 1'!$F$4</f>
        <v>68.810500000000019</v>
      </c>
      <c r="AD55" s="145">
        <f t="shared" si="5"/>
        <v>3.3619331983169598</v>
      </c>
      <c r="AE55" s="145">
        <f t="shared" si="6"/>
        <v>-42.442499999999995</v>
      </c>
      <c r="AF55" s="145">
        <f t="shared" si="7"/>
        <v>64.557306071412555</v>
      </c>
      <c r="AG55" s="772">
        <f t="shared" si="28"/>
        <v>111.28723926972953</v>
      </c>
      <c r="AH55" s="146">
        <f t="shared" si="9"/>
        <v>130.72816744630131</v>
      </c>
      <c r="AI55" s="156">
        <f t="shared" si="10"/>
        <v>136.73329137588311</v>
      </c>
      <c r="AJ55" s="156">
        <f t="shared" si="11"/>
        <v>125.17555166007145</v>
      </c>
      <c r="AK55" s="88"/>
      <c r="AL55" s="716">
        <f t="shared" si="13"/>
        <v>9246.8812475011928</v>
      </c>
    </row>
    <row r="56" spans="1:38" ht="15.75" customHeight="1">
      <c r="A56" s="1060" t="s">
        <v>1602</v>
      </c>
      <c r="B56" s="595">
        <v>45674</v>
      </c>
      <c r="C56" s="595">
        <v>45668</v>
      </c>
      <c r="D56" t="s">
        <v>1586</v>
      </c>
      <c r="E56" t="e">
        <f>_xlfn.XLOOKUP(D56,RUC!$B$3:$B$89,RUC!$D$3:$D$89)</f>
        <v>#N/A</v>
      </c>
      <c r="G56" s="80">
        <v>50</v>
      </c>
      <c r="H56" t="s">
        <v>69</v>
      </c>
      <c r="I56" s="596">
        <v>6.42</v>
      </c>
      <c r="J56" s="596">
        <v>1.1000000000000001</v>
      </c>
      <c r="K56" s="138">
        <f t="shared" si="0"/>
        <v>6.34938</v>
      </c>
      <c r="L56" s="139">
        <v>0.68</v>
      </c>
      <c r="M56" s="139">
        <v>0.65200000000000002</v>
      </c>
      <c r="N56" s="159">
        <v>0.65200000000000002</v>
      </c>
      <c r="O56" s="139">
        <f t="shared" si="19"/>
        <v>0.65200000000000002</v>
      </c>
      <c r="P56" s="629">
        <v>90</v>
      </c>
      <c r="Q56" s="760">
        <v>89.96</v>
      </c>
      <c r="R56" s="706">
        <v>2687.45</v>
      </c>
      <c r="S56" s="765">
        <f t="shared" ref="S56:S62" si="29">IF((90+ROUNDDOWN(O56,1)*100)&lt;95,95,(90+ROUNDDOWN(O56,1)*100))-5</f>
        <v>145</v>
      </c>
      <c r="U56" s="1005">
        <v>90</v>
      </c>
      <c r="V56" s="715">
        <v>1.1023000000000001</v>
      </c>
      <c r="Z56" s="160">
        <v>25</v>
      </c>
      <c r="AA56" s="144">
        <f t="shared" si="24"/>
        <v>25</v>
      </c>
      <c r="AB56" s="145">
        <f t="shared" si="18"/>
        <v>1492.7166484179997</v>
      </c>
      <c r="AC56" s="145">
        <f>+(S56-T56)*V56-'data 1'!$F$4</f>
        <v>79.833500000000015</v>
      </c>
      <c r="AD56" s="145">
        <f t="shared" si="5"/>
        <v>-0.77878200472012182</v>
      </c>
      <c r="AE56" s="145">
        <f t="shared" si="6"/>
        <v>-42.442499999999995</v>
      </c>
      <c r="AF56" s="145">
        <f t="shared" si="7"/>
        <v>72.119794707688058</v>
      </c>
      <c r="AG56" s="772">
        <f t="shared" si="28"/>
        <v>125.73201270296795</v>
      </c>
      <c r="AH56" s="146">
        <f t="shared" si="9"/>
        <v>133.16765385191621</v>
      </c>
      <c r="AI56" s="156">
        <f t="shared" si="10"/>
        <v>150.06719519272013</v>
      </c>
      <c r="AJ56" s="156">
        <f t="shared" si="11"/>
        <v>127.74105367141023</v>
      </c>
      <c r="AK56" s="88"/>
      <c r="AL56" s="716">
        <f t="shared" si="13"/>
        <v>9477.8252331322801</v>
      </c>
    </row>
    <row r="57" spans="1:38" ht="15.75" customHeight="1">
      <c r="A57" s="1060" t="s">
        <v>1603</v>
      </c>
      <c r="B57" s="595">
        <v>45674</v>
      </c>
      <c r="C57" s="595">
        <v>45668</v>
      </c>
      <c r="D57" t="s">
        <v>1586</v>
      </c>
      <c r="E57" t="e">
        <f>_xlfn.XLOOKUP(D57,RUC!$B$3:$B$89,RUC!$D$3:$D$89)</f>
        <v>#N/A</v>
      </c>
      <c r="G57" s="80">
        <v>50</v>
      </c>
      <c r="H57" t="s">
        <v>69</v>
      </c>
      <c r="I57" s="596">
        <v>6.64</v>
      </c>
      <c r="J57" s="596">
        <v>1.2</v>
      </c>
      <c r="K57" s="138">
        <f t="shared" si="0"/>
        <v>6.5603199999999999</v>
      </c>
      <c r="L57" s="139">
        <v>0.61399999999999999</v>
      </c>
      <c r="M57" s="139">
        <v>0.58899999999999997</v>
      </c>
      <c r="N57" s="159">
        <v>0.58899999999999997</v>
      </c>
      <c r="O57" s="139">
        <f t="shared" si="19"/>
        <v>0.58899999999999997</v>
      </c>
      <c r="P57" s="629">
        <v>90</v>
      </c>
      <c r="Q57" s="760">
        <v>90.16</v>
      </c>
      <c r="R57" s="706">
        <v>2687.45</v>
      </c>
      <c r="S57" s="765">
        <f t="shared" si="29"/>
        <v>135</v>
      </c>
      <c r="U57" s="1005">
        <v>90</v>
      </c>
      <c r="V57" s="715">
        <v>1.1023000000000001</v>
      </c>
      <c r="Z57" s="160">
        <v>25</v>
      </c>
      <c r="AA57" s="144">
        <f t="shared" si="24"/>
        <v>25</v>
      </c>
      <c r="AB57" s="145">
        <f t="shared" si="18"/>
        <v>1341.3979584634999</v>
      </c>
      <c r="AC57" s="145">
        <f>+(S57-T57)*V57-'data 1'!$F$4</f>
        <v>68.810500000000019</v>
      </c>
      <c r="AD57" s="145">
        <f t="shared" si="5"/>
        <v>2.8127773582239399</v>
      </c>
      <c r="AE57" s="145">
        <f t="shared" si="6"/>
        <v>-42.442499999999995</v>
      </c>
      <c r="AF57" s="145">
        <f t="shared" si="7"/>
        <v>64.535832302900062</v>
      </c>
      <c r="AG57" s="772">
        <f t="shared" si="28"/>
        <v>110.71660966112404</v>
      </c>
      <c r="AH57" s="146">
        <f t="shared" si="9"/>
        <v>124.51347888679464</v>
      </c>
      <c r="AI57" s="156">
        <f t="shared" si="10"/>
        <v>135.80309888717611</v>
      </c>
      <c r="AJ57" s="156">
        <f t="shared" si="11"/>
        <v>119.2317442857465</v>
      </c>
      <c r="AK57" s="88"/>
      <c r="AL57" s="716">
        <f t="shared" si="13"/>
        <v>8799.9998548672684</v>
      </c>
    </row>
    <row r="58" spans="1:38" ht="15.75" customHeight="1">
      <c r="A58" s="1060" t="s">
        <v>1604</v>
      </c>
      <c r="B58" s="595">
        <v>45674</v>
      </c>
      <c r="C58" s="595">
        <v>45668</v>
      </c>
      <c r="D58" t="s">
        <v>1586</v>
      </c>
      <c r="E58" t="e">
        <f>_xlfn.XLOOKUP(D58,RUC!$B$3:$B$89,RUC!$D$3:$D$89)</f>
        <v>#N/A</v>
      </c>
      <c r="G58" s="80">
        <v>50</v>
      </c>
      <c r="H58" t="s">
        <v>69</v>
      </c>
      <c r="I58" s="596">
        <v>6.67</v>
      </c>
      <c r="J58" s="596">
        <v>1.1000000000000001</v>
      </c>
      <c r="K58" s="138">
        <f t="shared" si="0"/>
        <v>6.5966300000000002</v>
      </c>
      <c r="L58" s="139">
        <v>0.81200000000000006</v>
      </c>
      <c r="M58" s="139">
        <v>0.77900000000000003</v>
      </c>
      <c r="N58" s="598">
        <v>0.84899999999999998</v>
      </c>
      <c r="O58" s="139">
        <f t="shared" si="19"/>
        <v>0.81399999999999995</v>
      </c>
      <c r="P58" s="629">
        <v>90</v>
      </c>
      <c r="Q58" s="760">
        <v>89.93</v>
      </c>
      <c r="R58" s="706">
        <v>2687.45</v>
      </c>
      <c r="S58" s="765">
        <f t="shared" si="29"/>
        <v>165</v>
      </c>
      <c r="U58" s="1005">
        <v>90</v>
      </c>
      <c r="V58" s="715">
        <v>1.1023000000000001</v>
      </c>
      <c r="Z58" s="160">
        <v>25</v>
      </c>
      <c r="AA58" s="144">
        <f t="shared" si="24"/>
        <v>25</v>
      </c>
      <c r="AB58" s="145">
        <f t="shared" si="18"/>
        <v>1888.1207083009997</v>
      </c>
      <c r="AC58" s="145">
        <f>+(S58-T58)*V58-'data 1'!$F$4</f>
        <v>101.87950000000001</v>
      </c>
      <c r="AD58" s="145">
        <f t="shared" si="5"/>
        <v>-1.6274253363338418</v>
      </c>
      <c r="AE58" s="145">
        <f t="shared" si="6"/>
        <v>-42.442499999999995</v>
      </c>
      <c r="AF58" s="145">
        <f t="shared" si="7"/>
        <v>-5.1496960062107187</v>
      </c>
      <c r="AG58" s="772">
        <f t="shared" si="28"/>
        <v>69.659878657455451</v>
      </c>
      <c r="AH58" s="146">
        <f t="shared" si="9"/>
        <v>165.15503465504483</v>
      </c>
      <c r="AI58" s="156">
        <f t="shared" si="10"/>
        <v>179.1381268359342</v>
      </c>
      <c r="AJ58" s="156">
        <f t="shared" si="11"/>
        <v>165.69069099212612</v>
      </c>
      <c r="AK58" s="88"/>
      <c r="AL58" s="716">
        <f t="shared" si="13"/>
        <v>12455.233707999623</v>
      </c>
    </row>
    <row r="59" spans="1:38" ht="15.75" customHeight="1">
      <c r="A59" s="1060" t="s">
        <v>1605</v>
      </c>
      <c r="B59" s="595">
        <v>45674</v>
      </c>
      <c r="C59" s="595">
        <v>45668</v>
      </c>
      <c r="D59" t="s">
        <v>1586</v>
      </c>
      <c r="E59" t="e">
        <f>_xlfn.XLOOKUP(D59,RUC!$B$3:$B$89,RUC!$D$3:$D$89)</f>
        <v>#N/A</v>
      </c>
      <c r="G59" s="80">
        <v>50</v>
      </c>
      <c r="H59" t="s">
        <v>69</v>
      </c>
      <c r="I59" s="596">
        <v>6.48</v>
      </c>
      <c r="J59" s="596">
        <v>1</v>
      </c>
      <c r="K59" s="138">
        <f t="shared" si="0"/>
        <v>6.4152000000000005</v>
      </c>
      <c r="L59" s="139">
        <v>0.56899999999999995</v>
      </c>
      <c r="M59" s="139">
        <v>0.54600000000000004</v>
      </c>
      <c r="N59" s="159">
        <v>0.54600000000000004</v>
      </c>
      <c r="O59" s="139">
        <f t="shared" si="19"/>
        <v>0.54600000000000004</v>
      </c>
      <c r="P59" s="629">
        <v>90</v>
      </c>
      <c r="Q59" s="760">
        <v>90.18</v>
      </c>
      <c r="R59" s="706">
        <v>2687.45</v>
      </c>
      <c r="S59" s="765">
        <f t="shared" si="29"/>
        <v>135</v>
      </c>
      <c r="U59" s="1005">
        <v>90</v>
      </c>
      <c r="V59" s="715">
        <v>1.1023000000000001</v>
      </c>
      <c r="Z59" s="160">
        <v>25</v>
      </c>
      <c r="AA59" s="144">
        <f t="shared" si="24"/>
        <v>25</v>
      </c>
      <c r="AB59" s="145">
        <f t="shared" si="18"/>
        <v>1230.593312939</v>
      </c>
      <c r="AC59" s="145">
        <f>+(S59-T59)*V59-'data 1'!$F$4</f>
        <v>68.810500000000019</v>
      </c>
      <c r="AD59" s="145">
        <f t="shared" si="5"/>
        <v>2.9324578280671107</v>
      </c>
      <c r="AE59" s="145">
        <f t="shared" si="6"/>
        <v>-42.442499999999995</v>
      </c>
      <c r="AF59" s="145">
        <f t="shared" si="7"/>
        <v>59.386136296688775</v>
      </c>
      <c r="AG59" s="772">
        <f t="shared" si="28"/>
        <v>105.68659412475591</v>
      </c>
      <c r="AH59" s="146">
        <f t="shared" si="9"/>
        <v>112.86044728219886</v>
      </c>
      <c r="AI59" s="156">
        <f t="shared" si="10"/>
        <v>125.8780200996331</v>
      </c>
      <c r="AJ59" s="156">
        <f t="shared" si="11"/>
        <v>108.08226116498214</v>
      </c>
      <c r="AK59" s="88"/>
      <c r="AL59" s="716">
        <f t="shared" si="13"/>
        <v>7894.5022211662736</v>
      </c>
    </row>
    <row r="60" spans="1:38" ht="15.75" customHeight="1">
      <c r="A60" s="1060" t="s">
        <v>1606</v>
      </c>
      <c r="B60" s="595">
        <v>45674</v>
      </c>
      <c r="C60" s="595">
        <v>45668</v>
      </c>
      <c r="D60" t="s">
        <v>1586</v>
      </c>
      <c r="E60" t="e">
        <f>_xlfn.XLOOKUP(D60,RUC!$B$3:$B$89,RUC!$D$3:$D$89)</f>
        <v>#N/A</v>
      </c>
      <c r="G60" s="80">
        <v>50</v>
      </c>
      <c r="H60" t="s">
        <v>69</v>
      </c>
      <c r="I60" s="596">
        <v>6.41</v>
      </c>
      <c r="J60" s="596">
        <v>1.2</v>
      </c>
      <c r="K60" s="138">
        <f t="shared" si="0"/>
        <v>6.3330799999999998</v>
      </c>
      <c r="L60" s="139">
        <v>0.63100000000000001</v>
      </c>
      <c r="M60" s="139">
        <v>0.60499999999999998</v>
      </c>
      <c r="N60" s="159">
        <v>0.60499999999999998</v>
      </c>
      <c r="O60" s="139">
        <f t="shared" si="19"/>
        <v>0.60499999999999998</v>
      </c>
      <c r="P60" s="629">
        <v>90</v>
      </c>
      <c r="Q60" s="760">
        <v>90.34</v>
      </c>
      <c r="R60" s="706">
        <v>2687.45</v>
      </c>
      <c r="S60" s="765">
        <f t="shared" si="29"/>
        <v>145</v>
      </c>
      <c r="U60" s="1005">
        <v>90</v>
      </c>
      <c r="V60" s="715">
        <v>1.1023000000000001</v>
      </c>
      <c r="Z60" s="160">
        <v>25</v>
      </c>
      <c r="AA60" s="144">
        <f t="shared" si="24"/>
        <v>25</v>
      </c>
      <c r="AB60" s="145">
        <f t="shared" si="18"/>
        <v>1371.6045940074996</v>
      </c>
      <c r="AC60" s="145">
        <f>+(S60-T60)*V60-'data 1'!$F$4</f>
        <v>79.833500000000015</v>
      </c>
      <c r="AD60" s="145">
        <f t="shared" si="5"/>
        <v>6.1426430622290615</v>
      </c>
      <c r="AE60" s="145">
        <f t="shared" si="6"/>
        <v>-42.442499999999995</v>
      </c>
      <c r="AF60" s="145">
        <f t="shared" si="7"/>
        <v>67.251261910534055</v>
      </c>
      <c r="AG60" s="772">
        <f t="shared" si="28"/>
        <v>127.78490497276312</v>
      </c>
      <c r="AH60" s="146">
        <f t="shared" si="9"/>
        <v>123.77515784804855</v>
      </c>
      <c r="AI60" s="156">
        <f t="shared" si="10"/>
        <v>139.84175043567112</v>
      </c>
      <c r="AJ60" s="156">
        <f t="shared" si="11"/>
        <v>118.22843136399739</v>
      </c>
      <c r="AK60" s="88"/>
      <c r="AL60" s="716">
        <f t="shared" si="13"/>
        <v>8686.4816222170157</v>
      </c>
    </row>
    <row r="61" spans="1:38" ht="15.75" customHeight="1">
      <c r="A61" s="1060" t="s">
        <v>1607</v>
      </c>
      <c r="B61" s="595">
        <v>45674</v>
      </c>
      <c r="C61" s="595">
        <v>45668</v>
      </c>
      <c r="D61" t="s">
        <v>1586</v>
      </c>
      <c r="E61" t="e">
        <f>_xlfn.XLOOKUP(D61,RUC!$B$3:$B$89,RUC!$D$3:$D$89)</f>
        <v>#N/A</v>
      </c>
      <c r="G61" s="80">
        <v>50</v>
      </c>
      <c r="H61" t="s">
        <v>69</v>
      </c>
      <c r="I61" s="596">
        <v>6.99</v>
      </c>
      <c r="J61" s="596">
        <v>1.1000000000000001</v>
      </c>
      <c r="K61" s="138">
        <f t="shared" si="0"/>
        <v>6.9131100000000005</v>
      </c>
      <c r="L61" s="139">
        <v>0.61799999999999999</v>
      </c>
      <c r="M61" s="139">
        <v>0.59299999999999997</v>
      </c>
      <c r="N61" s="159">
        <v>0.59299999999999997</v>
      </c>
      <c r="O61" s="139">
        <f t="shared" si="19"/>
        <v>0.59299999999999997</v>
      </c>
      <c r="P61" s="629">
        <v>90</v>
      </c>
      <c r="Q61" s="760">
        <v>90.08</v>
      </c>
      <c r="R61" s="706">
        <v>2687.45</v>
      </c>
      <c r="S61" s="765">
        <f t="shared" si="29"/>
        <v>135</v>
      </c>
      <c r="U61" s="1005">
        <v>90</v>
      </c>
      <c r="V61" s="715">
        <v>1.1023000000000001</v>
      </c>
      <c r="Z61" s="160">
        <v>25</v>
      </c>
      <c r="AA61" s="144">
        <f t="shared" si="24"/>
        <v>25</v>
      </c>
      <c r="AB61" s="145">
        <f t="shared" si="18"/>
        <v>1351.7053673494997</v>
      </c>
      <c r="AC61" s="145">
        <f>+(S61-T61)*V61-'data 1'!$F$4</f>
        <v>68.810500000000019</v>
      </c>
      <c r="AD61" s="145">
        <f t="shared" si="5"/>
        <v>1.4155508203439697</v>
      </c>
      <c r="AE61" s="145">
        <f t="shared" si="6"/>
        <v>-42.442499999999995</v>
      </c>
      <c r="AF61" s="145">
        <f t="shared" si="7"/>
        <v>64.478568920200061</v>
      </c>
      <c r="AG61" s="772">
        <f t="shared" si="28"/>
        <v>109.26211974054405</v>
      </c>
      <c r="AH61" s="146">
        <f t="shared" si="9"/>
        <v>131.94696015097588</v>
      </c>
      <c r="AI61" s="156">
        <f t="shared" si="10"/>
        <v>136.56652497105611</v>
      </c>
      <c r="AJ61" s="156">
        <f t="shared" si="11"/>
        <v>126.49685829887245</v>
      </c>
      <c r="AK61" s="88"/>
      <c r="AL61" s="716">
        <f t="shared" si="13"/>
        <v>9344.4878920775009</v>
      </c>
    </row>
    <row r="62" spans="1:38" ht="15.75" customHeight="1">
      <c r="A62" s="1060" t="s">
        <v>1608</v>
      </c>
      <c r="B62" s="595">
        <v>45674</v>
      </c>
      <c r="C62" s="595">
        <v>45668</v>
      </c>
      <c r="D62" t="s">
        <v>1586</v>
      </c>
      <c r="E62" t="e">
        <f>_xlfn.XLOOKUP(D62,RUC!$B$3:$B$89,RUC!$D$3:$D$89)</f>
        <v>#N/A</v>
      </c>
      <c r="G62" s="80">
        <v>50</v>
      </c>
      <c r="H62" t="s">
        <v>69</v>
      </c>
      <c r="I62" s="596">
        <v>5.15</v>
      </c>
      <c r="J62" s="596">
        <v>1</v>
      </c>
      <c r="K62" s="138">
        <f t="shared" si="0"/>
        <v>5.0985000000000005</v>
      </c>
      <c r="L62" s="139">
        <v>0.39300000000000002</v>
      </c>
      <c r="M62" s="139">
        <v>0.377</v>
      </c>
      <c r="N62" s="159">
        <v>0.377</v>
      </c>
      <c r="O62" s="139">
        <f t="shared" si="19"/>
        <v>0.377</v>
      </c>
      <c r="P62" s="629">
        <v>90</v>
      </c>
      <c r="Q62" s="760">
        <v>90.32</v>
      </c>
      <c r="R62" s="706">
        <v>2687.45</v>
      </c>
      <c r="S62" s="765">
        <f t="shared" si="29"/>
        <v>115</v>
      </c>
      <c r="U62" s="1005">
        <v>90</v>
      </c>
      <c r="V62" s="715">
        <v>1.1023000000000001</v>
      </c>
      <c r="Z62" s="160">
        <v>25</v>
      </c>
      <c r="AA62" s="144">
        <f t="shared" si="24"/>
        <v>25</v>
      </c>
      <c r="AB62" s="145">
        <f t="shared" si="18"/>
        <v>817.15128750550002</v>
      </c>
      <c r="AC62" s="145">
        <f>+(S62-T62)*V62-'data 1'!$F$4</f>
        <v>46.764500000000012</v>
      </c>
      <c r="AD62" s="145">
        <f t="shared" si="5"/>
        <v>3.6007215041759237</v>
      </c>
      <c r="AE62" s="145">
        <f t="shared" si="6"/>
        <v>-42.442499999999995</v>
      </c>
      <c r="AF62" s="145">
        <f t="shared" si="7"/>
        <v>41.376229803712029</v>
      </c>
      <c r="AG62" s="772">
        <f t="shared" si="28"/>
        <v>66.298951307887961</v>
      </c>
      <c r="AH62" s="146">
        <f t="shared" si="9"/>
        <v>62.048026403627127</v>
      </c>
      <c r="AI62" s="156">
        <f t="shared" si="10"/>
        <v>87.077085639924078</v>
      </c>
      <c r="AJ62" s="156">
        <f t="shared" si="11"/>
        <v>59.311014495113461</v>
      </c>
      <c r="AK62" s="88"/>
      <c r="AL62" s="716">
        <f t="shared" si="13"/>
        <v>4166.2458393467923</v>
      </c>
    </row>
    <row r="63" spans="1:38" ht="15.75" customHeight="1">
      <c r="A63" s="1060" t="s">
        <v>1609</v>
      </c>
      <c r="B63" s="595">
        <v>45673</v>
      </c>
      <c r="C63" s="595">
        <v>45670</v>
      </c>
      <c r="D63" t="s">
        <v>129</v>
      </c>
      <c r="E63" t="e">
        <f>_xlfn.XLOOKUP(D63,RUC!$B$3:$B$89,RUC!$D$3:$D$89)</f>
        <v>#N/A</v>
      </c>
      <c r="G63" s="80">
        <v>275</v>
      </c>
      <c r="H63" t="s">
        <v>69</v>
      </c>
      <c r="I63" s="596">
        <v>31.75</v>
      </c>
      <c r="J63" s="596">
        <v>1.5</v>
      </c>
      <c r="K63" s="138">
        <f t="shared" si="0"/>
        <v>31.27375</v>
      </c>
      <c r="L63" s="139">
        <v>0.52900000000000003</v>
      </c>
      <c r="M63" s="139">
        <v>0.50700000000000001</v>
      </c>
      <c r="N63" s="159">
        <v>0.50700000000000001</v>
      </c>
      <c r="O63" s="139">
        <f t="shared" si="19"/>
        <v>0.50700000000000001</v>
      </c>
      <c r="P63" s="629">
        <v>90</v>
      </c>
      <c r="Q63" s="760">
        <v>89.92</v>
      </c>
      <c r="R63" s="706">
        <v>2669.5</v>
      </c>
      <c r="S63" s="765">
        <f t="shared" ref="S63:S74" si="30">IF((90+ROUNDDOWN(O63,1)*100)&lt;95,95,(90+ROUNDDOWN(O63,1)*100))</f>
        <v>140</v>
      </c>
      <c r="U63" s="1005">
        <v>100</v>
      </c>
      <c r="V63" s="715">
        <v>1.1023000000000001</v>
      </c>
      <c r="Z63" s="143">
        <f t="shared" ref="Z63:Z74" si="31">IF(IF(D63="UNTUCA",IF(+((W63-3)*1.5+(X63-3)*3.1)&gt;0,+((W63-3)*1.5+(X63-3)*3.1),0),IF(+((W63-3)*1.5+(X63-3)*3.1)&gt;0,+((W63-3)*1.5+(X63-3)*3.1),0))&lt;30,30,IF(D63="UNTUCA",IF(+((W63-3)*1.5+(X63-3)*3.1)&gt;0,+((W63-3)*1.5+(X63-3)*3.1),0),IF(+((W63-3)*1.5+(X63-3)*3.1)&gt;0,+((W63-3)*1.5+(X63-3)*3.1),0)))</f>
        <v>30</v>
      </c>
      <c r="AA63" s="144">
        <f t="shared" si="24"/>
        <v>30</v>
      </c>
      <c r="AB63" s="145">
        <f t="shared" si="18"/>
        <v>1105.0147995550001</v>
      </c>
      <c r="AC63" s="145">
        <f>+(S63-T63)*V63-'data 1'!$F$4</f>
        <v>74.322000000000003</v>
      </c>
      <c r="AD63" s="145">
        <f t="shared" si="5"/>
        <v>-1.1986546885199747</v>
      </c>
      <c r="AE63" s="145">
        <f t="shared" si="6"/>
        <v>-36.930999999999997</v>
      </c>
      <c r="AF63" s="145">
        <f t="shared" si="7"/>
        <v>56.030875496640057</v>
      </c>
      <c r="AG63" s="772">
        <f>+IF(D63="RONALD WILLIAN GARIBAY ESCUDERO",AC63+AD63+AE63+AF63+70,AC63+AD63+AE63+AF63)</f>
        <v>162.22322080812009</v>
      </c>
      <c r="AH63" s="146">
        <f t="shared" si="9"/>
        <v>510.03619796171171</v>
      </c>
      <c r="AI63" s="156">
        <f t="shared" si="10"/>
        <v>131.34680342831999</v>
      </c>
      <c r="AJ63" s="156">
        <f t="shared" si="11"/>
        <v>489.25976026144008</v>
      </c>
      <c r="AK63" s="88"/>
      <c r="AL63" s="716">
        <f t="shared" si="13"/>
        <v>34557.956587583183</v>
      </c>
    </row>
    <row r="64" spans="1:38" ht="15.75" customHeight="1">
      <c r="A64" s="1060" t="s">
        <v>1610</v>
      </c>
      <c r="B64" s="595">
        <v>45672</v>
      </c>
      <c r="C64" s="595">
        <v>45670</v>
      </c>
      <c r="D64" t="s">
        <v>1177</v>
      </c>
      <c r="E64">
        <f>_xlfn.XLOOKUP(D64,RUC!$B$3:$B$89,RUC!$D$3:$D$89)</f>
        <v>20606094010</v>
      </c>
      <c r="G64" s="80">
        <v>90</v>
      </c>
      <c r="H64" t="s">
        <v>69</v>
      </c>
      <c r="I64" s="596">
        <v>7.66</v>
      </c>
      <c r="J64" s="596">
        <v>1</v>
      </c>
      <c r="K64" s="138">
        <f t="shared" si="0"/>
        <v>7.5834000000000001</v>
      </c>
      <c r="L64" s="139">
        <v>0.69099999999999995</v>
      </c>
      <c r="M64" s="139">
        <v>0.66300000000000003</v>
      </c>
      <c r="N64" s="159">
        <v>0.66300000000000003</v>
      </c>
      <c r="O64" s="139">
        <f t="shared" si="19"/>
        <v>0.66300000000000003</v>
      </c>
      <c r="P64" s="629">
        <v>90</v>
      </c>
      <c r="Q64" s="760">
        <v>89.9</v>
      </c>
      <c r="R64" s="706">
        <v>2669.5</v>
      </c>
      <c r="S64" s="765">
        <f t="shared" si="30"/>
        <v>150</v>
      </c>
      <c r="U64" s="1005">
        <v>120</v>
      </c>
      <c r="V64" s="715">
        <v>1.1023000000000001</v>
      </c>
      <c r="Y64">
        <v>20</v>
      </c>
      <c r="Z64" s="143">
        <f t="shared" si="31"/>
        <v>30</v>
      </c>
      <c r="AA64" s="144">
        <f t="shared" si="24"/>
        <v>50</v>
      </c>
      <c r="AB64" s="145">
        <f t="shared" si="18"/>
        <v>1456.454274295</v>
      </c>
      <c r="AC64" s="145">
        <f>+(S64-T64)*V64-'data 1'!$F$4</f>
        <v>85.344999999999999</v>
      </c>
      <c r="AD64" s="145">
        <f t="shared" si="5"/>
        <v>-1.9419268703498895</v>
      </c>
      <c r="AE64" s="145">
        <f t="shared" si="6"/>
        <v>-14.884999999999998</v>
      </c>
      <c r="AF64" s="145">
        <f t="shared" si="7"/>
        <v>70.74122023219978</v>
      </c>
      <c r="AG64" s="772">
        <f t="shared" si="28"/>
        <v>156.25929336184987</v>
      </c>
      <c r="AH64" s="146">
        <f t="shared" si="9"/>
        <v>161.51422305018113</v>
      </c>
      <c r="AI64" s="156">
        <f t="shared" si="10"/>
        <v>185.22722312935002</v>
      </c>
      <c r="AJ64" s="156">
        <f t="shared" si="11"/>
        <v>155.14188766428538</v>
      </c>
      <c r="AK64" s="88"/>
      <c r="AL64" s="716">
        <f t="shared" si="13"/>
        <v>11044.875343688704</v>
      </c>
    </row>
    <row r="65" spans="1:38" ht="15.75" customHeight="1">
      <c r="A65" s="1060" t="s">
        <v>1611</v>
      </c>
      <c r="B65" s="595">
        <v>45673</v>
      </c>
      <c r="C65" s="595">
        <v>45670</v>
      </c>
      <c r="D65" t="s">
        <v>1402</v>
      </c>
      <c r="E65">
        <f>_xlfn.XLOOKUP(D65,RUC!$B$3:$B$89,RUC!$D$3:$D$89)</f>
        <v>20606526599</v>
      </c>
      <c r="G65" s="80">
        <v>78</v>
      </c>
      <c r="H65" t="s">
        <v>69</v>
      </c>
      <c r="I65" s="596">
        <v>6.1</v>
      </c>
      <c r="J65" s="596">
        <v>1.2</v>
      </c>
      <c r="K65" s="138">
        <f t="shared" si="0"/>
        <v>6.0267999999999997</v>
      </c>
      <c r="L65" s="139">
        <v>0.16700000000000001</v>
      </c>
      <c r="M65" s="139">
        <v>0.157</v>
      </c>
      <c r="N65" s="159">
        <v>0.157</v>
      </c>
      <c r="O65" s="139">
        <f t="shared" si="19"/>
        <v>0.157</v>
      </c>
      <c r="P65" s="629">
        <v>90</v>
      </c>
      <c r="Q65" s="760">
        <v>90.09</v>
      </c>
      <c r="R65" s="706">
        <v>2669.5</v>
      </c>
      <c r="S65" s="765">
        <f t="shared" si="30"/>
        <v>100</v>
      </c>
      <c r="U65" s="1005">
        <v>120</v>
      </c>
      <c r="V65" s="715">
        <v>1.1023000000000001</v>
      </c>
      <c r="Y65">
        <v>20</v>
      </c>
      <c r="Z65" s="143">
        <f t="shared" si="31"/>
        <v>30</v>
      </c>
      <c r="AA65" s="144">
        <f t="shared" si="24"/>
        <v>50</v>
      </c>
      <c r="AB65" s="145">
        <f t="shared" si="18"/>
        <v>231.75234700500008</v>
      </c>
      <c r="AC65" s="145">
        <f>+(S65-T65)*V65-'data 1'!$F$4</f>
        <v>30.230000000000004</v>
      </c>
      <c r="AD65" s="145">
        <f t="shared" si="5"/>
        <v>0.42239017165501608</v>
      </c>
      <c r="AE65" s="145">
        <f t="shared" si="6"/>
        <v>-14.884999999999998</v>
      </c>
      <c r="AF65" s="145">
        <f t="shared" si="7"/>
        <v>25.318117474650027</v>
      </c>
      <c r="AG65" s="772">
        <f t="shared" si="28"/>
        <v>58.085507646305047</v>
      </c>
      <c r="AH65" s="146">
        <f t="shared" si="9"/>
        <v>31.087722523828898</v>
      </c>
      <c r="AI65" s="156">
        <f t="shared" si="10"/>
        <v>44.860089419145005</v>
      </c>
      <c r="AJ65" s="156">
        <f t="shared" si="11"/>
        <v>29.196985267673263</v>
      </c>
      <c r="AK65" s="88"/>
      <c r="AL65" s="716">
        <f t="shared" si="13"/>
        <v>1396.7250449297344</v>
      </c>
    </row>
    <row r="66" spans="1:38" ht="15.75" customHeight="1">
      <c r="A66" s="1060" t="s">
        <v>1612</v>
      </c>
      <c r="B66" s="595">
        <v>45673</v>
      </c>
      <c r="C66" s="595">
        <v>45670</v>
      </c>
      <c r="D66" t="s">
        <v>1402</v>
      </c>
      <c r="E66">
        <f>_xlfn.XLOOKUP(D66,RUC!$B$3:$B$89,RUC!$D$3:$D$89)</f>
        <v>20606526599</v>
      </c>
      <c r="G66" s="80">
        <v>87</v>
      </c>
      <c r="H66" t="s">
        <v>69</v>
      </c>
      <c r="I66" s="596">
        <v>6.07</v>
      </c>
      <c r="J66" s="596">
        <v>1.1000000000000001</v>
      </c>
      <c r="K66" s="138">
        <f t="shared" si="0"/>
        <v>6.0032300000000003</v>
      </c>
      <c r="L66" s="139">
        <v>0.23899999999999999</v>
      </c>
      <c r="M66" s="139">
        <v>0.22900000000000001</v>
      </c>
      <c r="N66" s="598">
        <v>0.29699999999999999</v>
      </c>
      <c r="O66" s="139">
        <f t="shared" si="19"/>
        <v>0.26300000000000001</v>
      </c>
      <c r="P66" s="629">
        <v>90</v>
      </c>
      <c r="Q66" s="760">
        <v>90.11</v>
      </c>
      <c r="R66" s="706">
        <v>2669.5</v>
      </c>
      <c r="S66" s="765">
        <f t="shared" si="30"/>
        <v>110</v>
      </c>
      <c r="U66" s="1005">
        <v>120</v>
      </c>
      <c r="V66" s="715">
        <v>1.1023000000000001</v>
      </c>
      <c r="Y66">
        <v>20</v>
      </c>
      <c r="Z66" s="143">
        <f t="shared" si="31"/>
        <v>30</v>
      </c>
      <c r="AA66" s="144">
        <f t="shared" si="24"/>
        <v>50</v>
      </c>
      <c r="AB66" s="145">
        <f t="shared" si="18"/>
        <v>488.83328829499999</v>
      </c>
      <c r="AC66" s="145">
        <f>+(S66-T66)*V66-'data 1'!$F$4</f>
        <v>41.253</v>
      </c>
      <c r="AD66" s="145">
        <f t="shared" si="5"/>
        <v>0.73883151116499624</v>
      </c>
      <c r="AE66" s="145">
        <f t="shared" si="6"/>
        <v>-14.884999999999998</v>
      </c>
      <c r="AF66" s="145">
        <f t="shared" si="7"/>
        <v>-60.776971445640044</v>
      </c>
      <c r="AG66" s="772">
        <f t="shared" si="28"/>
        <v>-16.670139934475046</v>
      </c>
      <c r="AH66" s="146">
        <f t="shared" si="9"/>
        <v>44.326653264371856</v>
      </c>
      <c r="AI66" s="156">
        <f t="shared" si="10"/>
        <v>64.215218923235</v>
      </c>
      <c r="AJ66" s="156">
        <f t="shared" si="11"/>
        <v>48.71832069347515</v>
      </c>
      <c r="AK66" s="88"/>
      <c r="AL66" s="716">
        <f t="shared" si="13"/>
        <v>2934.5786612911929</v>
      </c>
    </row>
    <row r="67" spans="1:38" ht="15.75" customHeight="1">
      <c r="A67" s="1060" t="s">
        <v>1613</v>
      </c>
      <c r="B67" s="595">
        <v>45673</v>
      </c>
      <c r="C67" s="595">
        <v>45670</v>
      </c>
      <c r="D67" t="s">
        <v>145</v>
      </c>
      <c r="E67" t="e">
        <f>_xlfn.XLOOKUP(D67,RUC!$B$3:$B$89,RUC!$D$3:$D$89)</f>
        <v>#N/A</v>
      </c>
      <c r="G67" s="80">
        <v>100</v>
      </c>
      <c r="H67" t="s">
        <v>69</v>
      </c>
      <c r="I67" s="596">
        <v>8.61</v>
      </c>
      <c r="J67" s="596">
        <v>1.2</v>
      </c>
      <c r="K67" s="138">
        <f t="shared" si="0"/>
        <v>8.5066799999999994</v>
      </c>
      <c r="L67" s="139">
        <v>0.56000000000000005</v>
      </c>
      <c r="M67" s="139">
        <v>0.53700000000000003</v>
      </c>
      <c r="N67" s="598">
        <v>0.56999999999999995</v>
      </c>
      <c r="O67" s="139">
        <f t="shared" si="19"/>
        <v>0.55400000000000005</v>
      </c>
      <c r="P67" s="629">
        <v>90</v>
      </c>
      <c r="Q67" s="760">
        <v>89.96</v>
      </c>
      <c r="R67" s="706">
        <v>2669.5</v>
      </c>
      <c r="S67" s="765">
        <f t="shared" si="30"/>
        <v>140</v>
      </c>
      <c r="U67" s="1005">
        <v>120</v>
      </c>
      <c r="V67" s="715">
        <v>1.1023000000000001</v>
      </c>
      <c r="Y67">
        <v>20</v>
      </c>
      <c r="Z67" s="143">
        <f t="shared" si="31"/>
        <v>30</v>
      </c>
      <c r="AA67" s="144">
        <f t="shared" si="24"/>
        <v>50</v>
      </c>
      <c r="AB67" s="145">
        <f t="shared" si="18"/>
        <v>1191.7854856100003</v>
      </c>
      <c r="AC67" s="145">
        <f>+(S67-T67)*V67-'data 1'!$F$4</f>
        <v>74.322000000000003</v>
      </c>
      <c r="AD67" s="145">
        <f t="shared" si="5"/>
        <v>-0.62951030240009842</v>
      </c>
      <c r="AE67" s="145">
        <f t="shared" si="6"/>
        <v>-14.884999999999998</v>
      </c>
      <c r="AF67" s="145">
        <f t="shared" si="7"/>
        <v>15.168950036760011</v>
      </c>
      <c r="AG67" s="772">
        <f t="shared" si="28"/>
        <v>90.976439734359928</v>
      </c>
      <c r="AH67" s="146">
        <f t="shared" si="9"/>
        <v>146.92870102709662</v>
      </c>
      <c r="AI67" s="156">
        <f t="shared" si="10"/>
        <v>150.2119730384</v>
      </c>
      <c r="AJ67" s="156">
        <f t="shared" si="11"/>
        <v>145.41909565384299</v>
      </c>
      <c r="AK67" s="88"/>
      <c r="AL67" s="716">
        <f t="shared" si="13"/>
        <v>10138.137754728876</v>
      </c>
    </row>
    <row r="68" spans="1:38" ht="15.75" customHeight="1">
      <c r="A68" s="1060" t="s">
        <v>1614</v>
      </c>
      <c r="B68" s="595">
        <v>45674</v>
      </c>
      <c r="C68" s="595">
        <v>45670</v>
      </c>
      <c r="D68" t="s">
        <v>1000</v>
      </c>
      <c r="E68">
        <f>_xlfn.XLOOKUP(D68,RUC!$B$3:$B$89,RUC!$D$3:$D$89)</f>
        <v>20611329556</v>
      </c>
      <c r="G68" s="80">
        <v>130</v>
      </c>
      <c r="H68" t="s">
        <v>69</v>
      </c>
      <c r="I68" s="596">
        <v>12.26</v>
      </c>
      <c r="J68" s="596">
        <v>1.1000000000000001</v>
      </c>
      <c r="K68" s="138">
        <f t="shared" ref="K68:K82" si="32">+I68-(I68*(J68/100))</f>
        <v>12.12514</v>
      </c>
      <c r="L68" s="139">
        <v>0.39900000000000002</v>
      </c>
      <c r="M68" s="139">
        <v>0.38300000000000001</v>
      </c>
      <c r="N68" s="159">
        <v>0.38300000000000001</v>
      </c>
      <c r="O68" s="139">
        <f t="shared" si="19"/>
        <v>0.38300000000000001</v>
      </c>
      <c r="P68" s="629">
        <v>90</v>
      </c>
      <c r="Q68" s="760">
        <v>90.09</v>
      </c>
      <c r="R68" s="706">
        <v>2669.5</v>
      </c>
      <c r="S68" s="802">
        <v>115</v>
      </c>
      <c r="U68" s="1005">
        <v>120</v>
      </c>
      <c r="V68" s="715">
        <v>1.1023000000000001</v>
      </c>
      <c r="Y68">
        <v>20</v>
      </c>
      <c r="Z68" s="143">
        <f t="shared" si="31"/>
        <v>30</v>
      </c>
      <c r="AA68" s="144">
        <f t="shared" si="24"/>
        <v>50</v>
      </c>
      <c r="AB68" s="145">
        <f t="shared" si="18"/>
        <v>786.83568409500003</v>
      </c>
      <c r="AC68" s="145">
        <f>+(S68-T68)*V68-'data 1'!$F$4</f>
        <v>46.764500000000012</v>
      </c>
      <c r="AD68" s="145">
        <f t="shared" ref="AD68:AD94" si="33">+(Q68-P68)*(R68-U68)*L68*V68/100</f>
        <v>1.0091837035350382</v>
      </c>
      <c r="AE68" s="145">
        <f t="shared" ref="AE68:AE82" si="34">+(Y68*V68-70)+V68*(Z68-IF(D68="UNTUCA",IF(+((W68-3)*2.5+(X68-3)*3.1)&gt;0,+((W68-3)*1.5+(X68-3)*3.1),0),IF(+((W68-3)*1.5+(X68-3)*3.1)&gt;0,+((W68-3)*1.5+(X68-3)*3.1),0)))</f>
        <v>-14.884999999999998</v>
      </c>
      <c r="AF68" s="145">
        <f t="shared" ref="AF68:AF94" si="35">(L68-O68)*(R68-U68)*Q68*V68/100</f>
        <v>40.508987959440041</v>
      </c>
      <c r="AG68" s="772">
        <f t="shared" si="28"/>
        <v>90.397671662975085</v>
      </c>
      <c r="AH68" s="146">
        <f t="shared" ref="AH68:AH94" si="36">31.1035*L68*Q68*1.1023*K68/100</f>
        <v>149.43258650795798</v>
      </c>
      <c r="AI68" s="156">
        <f t="shared" ref="AI68:AI94" si="37">+((+$AI$2-R68+U68)*L68*Q68*V68)/100</f>
        <v>107.18069268406502</v>
      </c>
      <c r="AJ68" s="156">
        <f t="shared" ref="AJ68:AJ94" si="38">31.1035*1.1023*K68*P68*O68/100</f>
        <v>143.29700533188088</v>
      </c>
      <c r="AK68" s="88"/>
      <c r="AL68" s="716">
        <f t="shared" si="13"/>
        <v>9540.4928266476491</v>
      </c>
    </row>
    <row r="69" spans="1:38" ht="15.75" customHeight="1">
      <c r="A69" s="1060" t="s">
        <v>1615</v>
      </c>
      <c r="B69" s="595">
        <v>45674</v>
      </c>
      <c r="C69" s="595">
        <v>45670</v>
      </c>
      <c r="D69" t="s">
        <v>1000</v>
      </c>
      <c r="E69">
        <f>_xlfn.XLOOKUP(D69,RUC!$B$3:$B$89,RUC!$D$3:$D$89)</f>
        <v>20611329556</v>
      </c>
      <c r="G69" s="80">
        <v>110</v>
      </c>
      <c r="H69" t="s">
        <v>69</v>
      </c>
      <c r="I69" s="596">
        <v>9.86</v>
      </c>
      <c r="J69" s="596">
        <v>1.1499999999999999</v>
      </c>
      <c r="K69" s="138">
        <f t="shared" si="32"/>
        <v>9.7466099999999987</v>
      </c>
      <c r="L69" s="139">
        <v>0.55900000000000005</v>
      </c>
      <c r="M69" s="139">
        <v>0.53600000000000003</v>
      </c>
      <c r="N69" s="159">
        <v>0.53600000000000003</v>
      </c>
      <c r="O69" s="139">
        <f t="shared" si="19"/>
        <v>0.53600000000000003</v>
      </c>
      <c r="P69" s="629">
        <v>90</v>
      </c>
      <c r="Q69" s="760">
        <v>90.15</v>
      </c>
      <c r="R69" s="706">
        <v>2669.5</v>
      </c>
      <c r="S69" s="802">
        <v>135</v>
      </c>
      <c r="U69" s="1005">
        <v>120</v>
      </c>
      <c r="V69" s="715">
        <v>1.1023000000000001</v>
      </c>
      <c r="Y69">
        <v>20</v>
      </c>
      <c r="Z69" s="143">
        <f t="shared" si="31"/>
        <v>30</v>
      </c>
      <c r="AA69" s="144">
        <f t="shared" si="24"/>
        <v>50</v>
      </c>
      <c r="AB69" s="145">
        <f t="shared" si="18"/>
        <v>1151.7699012400001</v>
      </c>
      <c r="AC69" s="145">
        <f>+(S69-T69)*V69-'data 1'!$F$4</f>
        <v>68.810500000000019</v>
      </c>
      <c r="AD69" s="145">
        <f t="shared" si="33"/>
        <v>2.3564481632250898</v>
      </c>
      <c r="AE69" s="145">
        <f t="shared" si="34"/>
        <v>-14.884999999999998</v>
      </c>
      <c r="AF69" s="145">
        <f t="shared" si="35"/>
        <v>58.27045252282506</v>
      </c>
      <c r="AG69" s="772">
        <f t="shared" si="28"/>
        <v>131.55240068605019</v>
      </c>
      <c r="AH69" s="146">
        <f t="shared" si="36"/>
        <v>168.39926700727293</v>
      </c>
      <c r="AI69" s="156">
        <f t="shared" si="37"/>
        <v>150.26042601277501</v>
      </c>
      <c r="AJ69" s="156">
        <f t="shared" si="38"/>
        <v>161.20182602501788</v>
      </c>
      <c r="AK69" s="88"/>
      <c r="AL69" s="716">
        <f t="shared" si="13"/>
        <v>11225.852037124796</v>
      </c>
    </row>
    <row r="70" spans="1:38" ht="15.75" customHeight="1">
      <c r="A70" s="1060" t="s">
        <v>1616</v>
      </c>
      <c r="B70" s="595">
        <v>45674</v>
      </c>
      <c r="C70" s="595">
        <v>45671</v>
      </c>
      <c r="D70" t="s">
        <v>1403</v>
      </c>
      <c r="E70">
        <f>_xlfn.XLOOKUP(D70,RUC!$B$3:$B$89,RUC!$D$3:$D$89)</f>
        <v>10479968131</v>
      </c>
      <c r="G70" s="80">
        <v>39</v>
      </c>
      <c r="H70" t="s">
        <v>108</v>
      </c>
      <c r="I70" s="596">
        <v>1.53</v>
      </c>
      <c r="J70" s="596">
        <v>18.5</v>
      </c>
      <c r="K70" s="138">
        <f t="shared" si="32"/>
        <v>1.24695</v>
      </c>
      <c r="L70" s="139">
        <v>0.41299999999999998</v>
      </c>
      <c r="M70" s="139">
        <v>0.39600000000000002</v>
      </c>
      <c r="N70" s="159">
        <v>0.39600000000000002</v>
      </c>
      <c r="O70" s="139">
        <f t="shared" si="19"/>
        <v>0.39600000000000002</v>
      </c>
      <c r="P70" s="629">
        <v>90</v>
      </c>
      <c r="Q70" s="760">
        <v>89.89</v>
      </c>
      <c r="R70" s="706">
        <v>2667</v>
      </c>
      <c r="S70" s="765">
        <f t="shared" si="30"/>
        <v>120</v>
      </c>
      <c r="U70" s="1005">
        <v>120</v>
      </c>
      <c r="V70" s="715">
        <v>1.1023000000000001</v>
      </c>
      <c r="Y70">
        <v>20</v>
      </c>
      <c r="Z70" s="143">
        <f t="shared" si="31"/>
        <v>30</v>
      </c>
      <c r="AA70" s="144">
        <f t="shared" si="24"/>
        <v>50</v>
      </c>
      <c r="AB70" s="145">
        <f t="shared" si="18"/>
        <v>813.22270684000011</v>
      </c>
      <c r="AC70" s="145">
        <f>+(S70-T70)*V70-'data 1'!$F$4</f>
        <v>52.27600000000001</v>
      </c>
      <c r="AD70" s="145">
        <f t="shared" si="33"/>
        <v>-1.2754736448299935</v>
      </c>
      <c r="AE70" s="145">
        <f t="shared" si="34"/>
        <v>-14.884999999999998</v>
      </c>
      <c r="AF70" s="145">
        <f t="shared" si="35"/>
        <v>42.903137593529912</v>
      </c>
      <c r="AG70" s="772">
        <f t="shared" si="28"/>
        <v>96.018663948699924</v>
      </c>
      <c r="AH70" s="146">
        <f t="shared" si="36"/>
        <v>15.871557284188855</v>
      </c>
      <c r="AI70" s="156">
        <f t="shared" si="37"/>
        <v>111.71818888502999</v>
      </c>
      <c r="AJ70" s="156">
        <f t="shared" si="38"/>
        <v>15.236871473756892</v>
      </c>
      <c r="AK70" s="88"/>
      <c r="AL70" s="716">
        <f t="shared" si="13"/>
        <v>1014.0480542941382</v>
      </c>
    </row>
    <row r="71" spans="1:38" ht="15.75" customHeight="1">
      <c r="A71" s="1060" t="s">
        <v>1617</v>
      </c>
      <c r="B71" s="595">
        <v>45674</v>
      </c>
      <c r="C71" s="595">
        <v>45671</v>
      </c>
      <c r="D71" t="s">
        <v>1403</v>
      </c>
      <c r="E71">
        <f>_xlfn.XLOOKUP(D71,RUC!$B$3:$B$89,RUC!$D$3:$D$89)</f>
        <v>10479968131</v>
      </c>
      <c r="G71" s="80">
        <v>110</v>
      </c>
      <c r="H71" t="s">
        <v>108</v>
      </c>
      <c r="I71" s="596">
        <v>4.17</v>
      </c>
      <c r="J71" s="596">
        <v>18.350000000000001</v>
      </c>
      <c r="K71" s="138">
        <f t="shared" si="32"/>
        <v>3.4048049999999996</v>
      </c>
      <c r="L71" s="139">
        <v>0.53</v>
      </c>
      <c r="M71" s="139">
        <v>0.50900000000000001</v>
      </c>
      <c r="N71" s="159">
        <v>0.50900000000000001</v>
      </c>
      <c r="O71" s="139">
        <f t="shared" si="19"/>
        <v>0.50900000000000001</v>
      </c>
      <c r="P71" s="629">
        <v>90</v>
      </c>
      <c r="Q71" s="760">
        <v>89.92</v>
      </c>
      <c r="R71" s="706">
        <v>2667</v>
      </c>
      <c r="S71" s="765">
        <f t="shared" si="30"/>
        <v>140</v>
      </c>
      <c r="U71" s="1005">
        <v>120</v>
      </c>
      <c r="V71" s="715">
        <v>1.1023000000000001</v>
      </c>
      <c r="Y71">
        <v>20</v>
      </c>
      <c r="Z71" s="143">
        <f t="shared" si="31"/>
        <v>30</v>
      </c>
      <c r="AA71" s="144">
        <f t="shared" si="24"/>
        <v>50</v>
      </c>
      <c r="AB71" s="145">
        <f t="shared" si="18"/>
        <v>1076.7053656100002</v>
      </c>
      <c r="AC71" s="145">
        <f>+(S71-T71)*V71-'data 1'!$F$4</f>
        <v>74.322000000000003</v>
      </c>
      <c r="AD71" s="145">
        <f t="shared" si="33"/>
        <v>-1.1904046343999748</v>
      </c>
      <c r="AE71" s="145">
        <f t="shared" si="34"/>
        <v>-14.884999999999998</v>
      </c>
      <c r="AF71" s="145">
        <f t="shared" si="35"/>
        <v>53.015681113920046</v>
      </c>
      <c r="AG71" s="772">
        <f t="shared" si="28"/>
        <v>128.2622764795201</v>
      </c>
      <c r="AH71" s="146">
        <f t="shared" si="36"/>
        <v>55.633128268900109</v>
      </c>
      <c r="AI71" s="156">
        <f t="shared" si="37"/>
        <v>143.4150148704</v>
      </c>
      <c r="AJ71" s="156">
        <f t="shared" si="38"/>
        <v>53.476331288153716</v>
      </c>
      <c r="AK71" s="88"/>
      <c r="AL71" s="716">
        <f t="shared" si="13"/>
        <v>3665.9718123557564</v>
      </c>
    </row>
    <row r="72" spans="1:38" ht="15.75" customHeight="1">
      <c r="A72" s="1060" t="s">
        <v>1618</v>
      </c>
      <c r="B72" s="595">
        <v>45674</v>
      </c>
      <c r="C72" s="595">
        <v>45671</v>
      </c>
      <c r="D72" t="s">
        <v>1403</v>
      </c>
      <c r="E72">
        <f>_xlfn.XLOOKUP(D72,RUC!$B$3:$B$89,RUC!$D$3:$D$89)</f>
        <v>10479968131</v>
      </c>
      <c r="G72" s="80">
        <v>40</v>
      </c>
      <c r="H72" t="s">
        <v>108</v>
      </c>
      <c r="I72" s="596">
        <v>3.42</v>
      </c>
      <c r="J72" s="596">
        <v>18</v>
      </c>
      <c r="K72" s="138">
        <f t="shared" si="32"/>
        <v>2.8044000000000002</v>
      </c>
      <c r="L72" s="139">
        <v>0.626</v>
      </c>
      <c r="M72" s="139">
        <v>0.6</v>
      </c>
      <c r="N72" s="159">
        <v>0.6</v>
      </c>
      <c r="O72" s="139">
        <f t="shared" si="19"/>
        <v>0.6</v>
      </c>
      <c r="P72" s="629">
        <v>90</v>
      </c>
      <c r="Q72" s="760">
        <v>89.75</v>
      </c>
      <c r="R72" s="706">
        <v>2667</v>
      </c>
      <c r="S72" s="765">
        <f t="shared" si="30"/>
        <v>150</v>
      </c>
      <c r="U72" s="1005">
        <v>120</v>
      </c>
      <c r="V72" s="715">
        <v>1.1023000000000001</v>
      </c>
      <c r="Y72">
        <v>20</v>
      </c>
      <c r="Z72" s="143">
        <f t="shared" si="31"/>
        <v>30</v>
      </c>
      <c r="AA72" s="144">
        <f t="shared" si="24"/>
        <v>50</v>
      </c>
      <c r="AB72" s="145">
        <f t="shared" si="18"/>
        <v>1295.6213740000003</v>
      </c>
      <c r="AC72" s="145">
        <f>+(S72-T72)*V72-'data 1'!$F$4</f>
        <v>85.344999999999999</v>
      </c>
      <c r="AD72" s="145">
        <f t="shared" si="33"/>
        <v>-4.3938284265000007</v>
      </c>
      <c r="AE72" s="145">
        <f t="shared" si="34"/>
        <v>-14.884999999999998</v>
      </c>
      <c r="AF72" s="145">
        <f t="shared" si="35"/>
        <v>65.51436826350006</v>
      </c>
      <c r="AG72" s="772">
        <f t="shared" si="28"/>
        <v>148.58053983700006</v>
      </c>
      <c r="AH72" s="146">
        <f t="shared" si="36"/>
        <v>54.020402802579227</v>
      </c>
      <c r="AI72" s="156">
        <f t="shared" si="37"/>
        <v>169.07182669649998</v>
      </c>
      <c r="AJ72" s="156">
        <f t="shared" si="38"/>
        <v>51.920968813606805</v>
      </c>
      <c r="AK72" s="88"/>
      <c r="AL72" s="716">
        <f t="shared" ref="AL72:AL94" si="39">+IF(AB72*K72&gt;0,AB72*K72,0)</f>
        <v>3633.4405812456012</v>
      </c>
    </row>
    <row r="73" spans="1:38" ht="15.75" customHeight="1">
      <c r="A73" s="1060" t="s">
        <v>1619</v>
      </c>
      <c r="B73" s="595">
        <v>45674</v>
      </c>
      <c r="C73" s="595">
        <v>45671</v>
      </c>
      <c r="D73" t="s">
        <v>1403</v>
      </c>
      <c r="E73">
        <f>_xlfn.XLOOKUP(D73,RUC!$B$3:$B$89,RUC!$D$3:$D$89)</f>
        <v>10479968131</v>
      </c>
      <c r="G73" s="80">
        <v>31</v>
      </c>
      <c r="H73" t="s">
        <v>108</v>
      </c>
      <c r="I73" s="596">
        <v>2.68</v>
      </c>
      <c r="J73" s="596">
        <v>12.05</v>
      </c>
      <c r="K73" s="138">
        <f t="shared" si="32"/>
        <v>2.3570600000000002</v>
      </c>
      <c r="L73" s="139">
        <v>0.33400000000000002</v>
      </c>
      <c r="M73" s="139">
        <v>0.32</v>
      </c>
      <c r="N73" s="159">
        <v>0.32</v>
      </c>
      <c r="O73" s="139">
        <f t="shared" si="19"/>
        <v>0.32</v>
      </c>
      <c r="P73" s="629">
        <v>90</v>
      </c>
      <c r="Q73" s="760">
        <v>89.69</v>
      </c>
      <c r="R73" s="706">
        <v>2667</v>
      </c>
      <c r="S73" s="765">
        <f t="shared" si="30"/>
        <v>120</v>
      </c>
      <c r="U73" s="1005">
        <v>120</v>
      </c>
      <c r="V73" s="715">
        <v>1.1023000000000001</v>
      </c>
      <c r="Y73">
        <v>20</v>
      </c>
      <c r="Z73" s="143">
        <f t="shared" si="31"/>
        <v>30</v>
      </c>
      <c r="AA73" s="144">
        <f t="shared" si="24"/>
        <v>50</v>
      </c>
      <c r="AB73" s="145">
        <f t="shared" si="18"/>
        <v>621.1857328000001</v>
      </c>
      <c r="AC73" s="145">
        <f>+(S73-T73)*V73-'data 1'!$F$4</f>
        <v>52.27600000000001</v>
      </c>
      <c r="AD73" s="145">
        <f t="shared" si="33"/>
        <v>-2.9069456567400214</v>
      </c>
      <c r="AE73" s="145">
        <f t="shared" si="34"/>
        <v>-14.884999999999998</v>
      </c>
      <c r="AF73" s="145">
        <f t="shared" si="35"/>
        <v>35.253384038460027</v>
      </c>
      <c r="AG73" s="772">
        <f t="shared" si="28"/>
        <v>86.737438381720011</v>
      </c>
      <c r="AH73" s="146">
        <f t="shared" si="36"/>
        <v>24.208629170263848</v>
      </c>
      <c r="AI73" s="156">
        <f t="shared" si="37"/>
        <v>90.147345992340021</v>
      </c>
      <c r="AJ73" s="156">
        <f t="shared" si="38"/>
        <v>23.274062426054307</v>
      </c>
      <c r="AK73" s="88"/>
      <c r="AL73" s="716">
        <f t="shared" si="39"/>
        <v>1464.1720433535684</v>
      </c>
    </row>
    <row r="74" spans="1:38" ht="15.6" customHeight="1">
      <c r="A74" s="1060" t="s">
        <v>1620</v>
      </c>
      <c r="B74" s="595">
        <v>45674</v>
      </c>
      <c r="C74" s="595">
        <v>45671</v>
      </c>
      <c r="D74" t="s">
        <v>1403</v>
      </c>
      <c r="E74">
        <f>_xlfn.XLOOKUP(D74,RUC!$B$3:$B$89,RUC!$D$3:$D$89)</f>
        <v>10479968131</v>
      </c>
      <c r="G74" s="80">
        <v>29</v>
      </c>
      <c r="H74" t="s">
        <v>108</v>
      </c>
      <c r="I74" s="596">
        <v>2.36</v>
      </c>
      <c r="J74" s="596">
        <v>14.44</v>
      </c>
      <c r="K74" s="138">
        <f t="shared" si="32"/>
        <v>2.0192160000000001</v>
      </c>
      <c r="L74" s="139">
        <v>0.42199999999999999</v>
      </c>
      <c r="M74" s="139">
        <v>0.40500000000000003</v>
      </c>
      <c r="N74" s="159">
        <v>0.40500000000000003</v>
      </c>
      <c r="O74" s="139">
        <f t="shared" si="19"/>
        <v>0.40500000000000003</v>
      </c>
      <c r="P74" s="629">
        <v>90</v>
      </c>
      <c r="Q74" s="760">
        <v>89.86</v>
      </c>
      <c r="R74" s="706">
        <v>2667</v>
      </c>
      <c r="S74" s="765">
        <f t="shared" si="30"/>
        <v>130</v>
      </c>
      <c r="U74" s="1005">
        <v>120</v>
      </c>
      <c r="V74" s="715">
        <v>1.1023000000000001</v>
      </c>
      <c r="Y74">
        <v>20</v>
      </c>
      <c r="Z74" s="143">
        <f t="shared" si="31"/>
        <v>30</v>
      </c>
      <c r="AA74" s="144">
        <f t="shared" si="24"/>
        <v>50</v>
      </c>
      <c r="AB74" s="145">
        <f t="shared" si="18"/>
        <v>824.94092745000012</v>
      </c>
      <c r="AC74" s="145">
        <f>+(S74-T74)*V74-'data 1'!$F$4</f>
        <v>63.299000000000007</v>
      </c>
      <c r="AD74" s="145">
        <f t="shared" si="33"/>
        <v>-1.6587053254800068</v>
      </c>
      <c r="AE74" s="145">
        <f t="shared" si="34"/>
        <v>-14.884999999999998</v>
      </c>
      <c r="AF74" s="145">
        <f t="shared" si="35"/>
        <v>42.888819047219904</v>
      </c>
      <c r="AG74" s="772">
        <f t="shared" si="28"/>
        <v>106.6441137217399</v>
      </c>
      <c r="AH74" s="146">
        <f t="shared" si="36"/>
        <v>26.252502793436605</v>
      </c>
      <c r="AI74" s="156">
        <f t="shared" si="37"/>
        <v>114.11462821667999</v>
      </c>
      <c r="AJ74" s="156">
        <f t="shared" si="38"/>
        <v>25.23419070056223</v>
      </c>
      <c r="AK74" s="88"/>
      <c r="AL74" s="716">
        <f t="shared" si="39"/>
        <v>1665.7339197618796</v>
      </c>
    </row>
    <row r="75" spans="1:38" ht="15.75" customHeight="1">
      <c r="A75" s="1058" t="s">
        <v>1629</v>
      </c>
      <c r="B75" s="595">
        <v>45950</v>
      </c>
      <c r="C75" s="595">
        <v>45674</v>
      </c>
      <c r="D75" t="s">
        <v>119</v>
      </c>
      <c r="E75">
        <f>_xlfn.XLOOKUP(D75,RUC!$B$3:$B$89,RUC!$D$3:$D$89)</f>
        <v>10082235774</v>
      </c>
      <c r="G75" s="80">
        <v>53</v>
      </c>
      <c r="H75" t="s">
        <v>69</v>
      </c>
      <c r="I75" s="596">
        <v>5.27</v>
      </c>
      <c r="J75" s="596">
        <v>1.9</v>
      </c>
      <c r="K75" s="138">
        <f t="shared" si="32"/>
        <v>5.1698699999999995</v>
      </c>
      <c r="L75" s="139">
        <v>0.214</v>
      </c>
      <c r="M75" s="139">
        <v>0.21099999999999999</v>
      </c>
      <c r="N75" s="159">
        <v>0.21099999999999999</v>
      </c>
      <c r="O75" s="139">
        <f t="shared" si="19"/>
        <v>0.21099999999999999</v>
      </c>
      <c r="P75" s="629">
        <v>85</v>
      </c>
      <c r="Q75" s="760">
        <v>90.12</v>
      </c>
      <c r="R75" s="706">
        <v>2715.2</v>
      </c>
      <c r="S75" s="802">
        <v>105</v>
      </c>
      <c r="U75" s="1024">
        <v>80</v>
      </c>
      <c r="V75" s="715">
        <v>1.1023000000000001</v>
      </c>
      <c r="Z75" s="160">
        <v>10</v>
      </c>
      <c r="AA75" s="144">
        <f t="shared" si="24"/>
        <v>10</v>
      </c>
      <c r="AB75" s="145">
        <f t="shared" si="18"/>
        <v>394.2079651759999</v>
      </c>
      <c r="AC75" s="145">
        <f>+(S75-T75)*V75-'data 1'!$F$4</f>
        <v>35.741500000000002</v>
      </c>
      <c r="AD75" s="145">
        <f t="shared" si="33"/>
        <v>31.827104022528022</v>
      </c>
      <c r="AE75" s="145">
        <f t="shared" si="34"/>
        <v>-58.977000000000004</v>
      </c>
      <c r="AF75" s="145">
        <f t="shared" si="35"/>
        <v>7.8533658034560085</v>
      </c>
      <c r="AG75" s="772">
        <f>+IF(D75="RONALD WILLIAN GARIBAY ESCUDERO",AC75+AD75+AE75+AF75+70,AC75+AD75+AE75+AF75)+70</f>
        <v>86.444969825984032</v>
      </c>
      <c r="AH75" s="146">
        <f t="shared" si="36"/>
        <v>34.184060486710621</v>
      </c>
      <c r="AI75" s="156">
        <f t="shared" si="37"/>
        <v>39.285902158272044</v>
      </c>
      <c r="AJ75" s="156">
        <f t="shared" si="38"/>
        <v>31.789966691822894</v>
      </c>
      <c r="AK75" s="88"/>
      <c r="AL75" s="716">
        <f t="shared" si="39"/>
        <v>2038.0039329244464</v>
      </c>
    </row>
    <row r="76" spans="1:38" ht="15.75" customHeight="1">
      <c r="A76" s="1058" t="s">
        <v>1630</v>
      </c>
      <c r="B76" s="595">
        <v>45950</v>
      </c>
      <c r="C76" s="595">
        <v>45674</v>
      </c>
      <c r="D76" t="s">
        <v>119</v>
      </c>
      <c r="E76">
        <f>_xlfn.XLOOKUP(D76,RUC!$B$3:$B$89,RUC!$D$3:$D$89)</f>
        <v>10082235774</v>
      </c>
      <c r="G76" s="80">
        <v>43</v>
      </c>
      <c r="H76" t="s">
        <v>69</v>
      </c>
      <c r="I76" s="596">
        <v>4.6500000000000004</v>
      </c>
      <c r="J76" s="596">
        <v>1.8</v>
      </c>
      <c r="K76" s="138">
        <f t="shared" si="32"/>
        <v>4.5663</v>
      </c>
      <c r="L76" s="139">
        <v>0.59599999999999997</v>
      </c>
      <c r="M76" s="139">
        <v>0.58699999999999997</v>
      </c>
      <c r="N76" s="159">
        <v>0.58699999999999997</v>
      </c>
      <c r="O76" s="139">
        <f t="shared" si="19"/>
        <v>0.58699999999999997</v>
      </c>
      <c r="P76" s="629">
        <v>90</v>
      </c>
      <c r="Q76" s="760">
        <v>90.09</v>
      </c>
      <c r="R76" s="706">
        <v>2715.2</v>
      </c>
      <c r="S76" s="802">
        <v>120</v>
      </c>
      <c r="U76" s="1024">
        <v>80</v>
      </c>
      <c r="V76" s="715">
        <v>1.1023000000000001</v>
      </c>
      <c r="Z76" s="160">
        <v>10</v>
      </c>
      <c r="AA76" s="144">
        <f t="shared" si="24"/>
        <v>10</v>
      </c>
      <c r="AB76" s="145">
        <f t="shared" si="18"/>
        <v>1391.2967811679998</v>
      </c>
      <c r="AC76" s="145">
        <f>+(S76-T76)*V76-'data 1'!$F$4</f>
        <v>52.27600000000001</v>
      </c>
      <c r="AD76" s="145">
        <f t="shared" si="33"/>
        <v>1.558124506944059</v>
      </c>
      <c r="AE76" s="145">
        <f t="shared" si="34"/>
        <v>-58.977000000000004</v>
      </c>
      <c r="AF76" s="145">
        <f t="shared" si="35"/>
        <v>23.552254501776023</v>
      </c>
      <c r="AG76" s="772">
        <f t="shared" ref="AG76:AG81" si="40">+IF(D76="RONALD WILLIAN GARIBAY ESCUDERO",AC76+AD76+AE76+AF76+70,AC76+AD76+AE76+AF76)+70</f>
        <v>88.409379008720094</v>
      </c>
      <c r="AH76" s="146">
        <f t="shared" si="36"/>
        <v>84.061349273537985</v>
      </c>
      <c r="AI76" s="156">
        <f t="shared" si="37"/>
        <v>109.37665083945612</v>
      </c>
      <c r="AJ76" s="156">
        <f t="shared" si="38"/>
        <v>82.709257225269326</v>
      </c>
      <c r="AK76" s="88"/>
      <c r="AL76" s="716">
        <f t="shared" si="39"/>
        <v>6353.0784918474374</v>
      </c>
    </row>
    <row r="77" spans="1:38" ht="15.75" customHeight="1">
      <c r="A77" s="1058" t="s">
        <v>1631</v>
      </c>
      <c r="B77" s="595">
        <v>45950</v>
      </c>
      <c r="C77" s="595">
        <v>45674</v>
      </c>
      <c r="D77" t="s">
        <v>119</v>
      </c>
      <c r="E77">
        <f>_xlfn.XLOOKUP(D77,RUC!$B$3:$B$89,RUC!$D$3:$D$89)</f>
        <v>10082235774</v>
      </c>
      <c r="G77" s="80">
        <v>65</v>
      </c>
      <c r="H77" t="s">
        <v>69</v>
      </c>
      <c r="I77" s="596">
        <v>6.64</v>
      </c>
      <c r="J77" s="596">
        <v>1.7</v>
      </c>
      <c r="K77" s="138">
        <f t="shared" si="32"/>
        <v>6.52712</v>
      </c>
      <c r="L77" s="139">
        <v>0.19800000000000001</v>
      </c>
      <c r="M77" s="139">
        <v>0.19500000000000001</v>
      </c>
      <c r="N77" s="159">
        <v>0.19500000000000001</v>
      </c>
      <c r="O77" s="139">
        <f t="shared" si="19"/>
        <v>0.19500000000000001</v>
      </c>
      <c r="P77" s="629">
        <v>85</v>
      </c>
      <c r="Q77" s="760">
        <v>90.21</v>
      </c>
      <c r="R77" s="706">
        <v>2715.2</v>
      </c>
      <c r="S77" s="802">
        <v>95</v>
      </c>
      <c r="U77" s="1024">
        <v>80</v>
      </c>
      <c r="V77" s="715">
        <v>1.1023000000000001</v>
      </c>
      <c r="Z77" s="160">
        <v>10</v>
      </c>
      <c r="AA77" s="144">
        <f t="shared" si="24"/>
        <v>10</v>
      </c>
      <c r="AB77" s="145">
        <f t="shared" si="18"/>
        <v>365.72594411999995</v>
      </c>
      <c r="AC77" s="145">
        <f>+(S77-T77)*V77-'data 1'!$F$4</f>
        <v>24.718500000000006</v>
      </c>
      <c r="AD77" s="145">
        <f t="shared" si="33"/>
        <v>29.965139427167969</v>
      </c>
      <c r="AE77" s="145">
        <f t="shared" si="34"/>
        <v>-58.977000000000004</v>
      </c>
      <c r="AF77" s="145">
        <f t="shared" si="35"/>
        <v>7.8612087120480068</v>
      </c>
      <c r="AG77" s="772">
        <f t="shared" si="40"/>
        <v>73.567848139215982</v>
      </c>
      <c r="AH77" s="146">
        <f t="shared" si="36"/>
        <v>39.97150859044077</v>
      </c>
      <c r="AI77" s="156">
        <f t="shared" si="37"/>
        <v>36.384938683632043</v>
      </c>
      <c r="AJ77" s="156">
        <f t="shared" si="38"/>
        <v>37.092337569607828</v>
      </c>
      <c r="AK77" s="88"/>
      <c r="AL77" s="716">
        <f t="shared" si="39"/>
        <v>2387.1371243845342</v>
      </c>
    </row>
    <row r="78" spans="1:38" ht="15.75" customHeight="1">
      <c r="A78" s="1058" t="s">
        <v>1632</v>
      </c>
      <c r="B78" s="595">
        <v>45950</v>
      </c>
      <c r="C78" s="595">
        <v>45674</v>
      </c>
      <c r="D78" t="s">
        <v>119</v>
      </c>
      <c r="E78">
        <f>_xlfn.XLOOKUP(D78,RUC!$B$3:$B$89,RUC!$D$3:$D$89)</f>
        <v>10082235774</v>
      </c>
      <c r="G78" s="80">
        <v>65</v>
      </c>
      <c r="H78" t="s">
        <v>69</v>
      </c>
      <c r="I78" s="596">
        <v>6.59</v>
      </c>
      <c r="J78" s="596">
        <v>1.8</v>
      </c>
      <c r="K78" s="138">
        <f t="shared" si="32"/>
        <v>6.4713799999999999</v>
      </c>
      <c r="L78" s="139">
        <v>0.15</v>
      </c>
      <c r="M78" s="139">
        <v>0.14799999999999999</v>
      </c>
      <c r="N78" s="159">
        <v>0.14799999999999999</v>
      </c>
      <c r="O78" s="139">
        <f t="shared" si="19"/>
        <v>0.14799999999999999</v>
      </c>
      <c r="P78" s="629">
        <v>85</v>
      </c>
      <c r="Q78" s="760">
        <v>90.11</v>
      </c>
      <c r="R78" s="706">
        <v>2715.2</v>
      </c>
      <c r="S78" s="802">
        <v>95</v>
      </c>
      <c r="U78" s="1024">
        <v>80</v>
      </c>
      <c r="V78" s="715">
        <v>1.1023000000000001</v>
      </c>
      <c r="Z78" s="160">
        <v>10</v>
      </c>
      <c r="AA78" s="144">
        <f t="shared" si="24"/>
        <v>10</v>
      </c>
      <c r="AB78" s="145">
        <f t="shared" si="18"/>
        <v>249.67994476799998</v>
      </c>
      <c r="AC78" s="145">
        <f>+(S78-T78)*V78-'data 1'!$F$4</f>
        <v>24.718500000000006</v>
      </c>
      <c r="AD78" s="145">
        <f t="shared" si="33"/>
        <v>22.265146058399996</v>
      </c>
      <c r="AE78" s="145">
        <f t="shared" si="34"/>
        <v>-58.977000000000004</v>
      </c>
      <c r="AF78" s="145">
        <f t="shared" si="35"/>
        <v>5.2349962461120034</v>
      </c>
      <c r="AG78" s="772">
        <f t="shared" si="40"/>
        <v>63.241642304511998</v>
      </c>
      <c r="AH78" s="146">
        <f t="shared" si="36"/>
        <v>29.989568732861855</v>
      </c>
      <c r="AI78" s="156">
        <f t="shared" si="37"/>
        <v>27.533791731600026</v>
      </c>
      <c r="AJ78" s="156">
        <f t="shared" si="38"/>
        <v>27.911720834491334</v>
      </c>
      <c r="AK78" s="88"/>
      <c r="AL78" s="716">
        <f t="shared" si="39"/>
        <v>1615.7738009727398</v>
      </c>
    </row>
    <row r="79" spans="1:38" ht="15.75" customHeight="1">
      <c r="A79" s="1058" t="s">
        <v>1633</v>
      </c>
      <c r="B79" s="595">
        <v>45950</v>
      </c>
      <c r="C79" s="595">
        <v>45674</v>
      </c>
      <c r="D79" t="s">
        <v>119</v>
      </c>
      <c r="E79">
        <f>_xlfn.XLOOKUP(D79,RUC!$B$3:$B$89,RUC!$D$3:$D$89)</f>
        <v>10082235774</v>
      </c>
      <c r="G79" s="80">
        <v>47</v>
      </c>
      <c r="H79" t="s">
        <v>69</v>
      </c>
      <c r="I79" s="596">
        <v>5.1100000000000003</v>
      </c>
      <c r="J79" s="596">
        <v>1.7</v>
      </c>
      <c r="K79" s="138">
        <f t="shared" si="32"/>
        <v>5.0231300000000001</v>
      </c>
      <c r="L79" s="139">
        <v>0.56100000000000005</v>
      </c>
      <c r="M79" s="139">
        <v>0.55200000000000005</v>
      </c>
      <c r="N79" s="159">
        <v>0.55200000000000005</v>
      </c>
      <c r="O79" s="139">
        <f t="shared" si="19"/>
        <v>0.55200000000000005</v>
      </c>
      <c r="P79" s="629">
        <v>90</v>
      </c>
      <c r="Q79" s="760">
        <v>90.06</v>
      </c>
      <c r="R79" s="706">
        <v>2715.2</v>
      </c>
      <c r="S79" s="802">
        <v>120</v>
      </c>
      <c r="U79" s="1024">
        <v>80</v>
      </c>
      <c r="V79" s="715">
        <v>1.1023000000000001</v>
      </c>
      <c r="Z79" s="160">
        <v>10</v>
      </c>
      <c r="AA79" s="144">
        <f t="shared" si="24"/>
        <v>10</v>
      </c>
      <c r="AB79" s="145">
        <f t="shared" si="18"/>
        <v>1299.7961809280002</v>
      </c>
      <c r="AC79" s="145">
        <f>+(S79-T79)*V79-'data 1'!$F$4</f>
        <v>52.27600000000001</v>
      </c>
      <c r="AD79" s="145">
        <f t="shared" si="33"/>
        <v>0.97774927113603727</v>
      </c>
      <c r="AE79" s="145">
        <f t="shared" si="34"/>
        <v>-58.977000000000004</v>
      </c>
      <c r="AF79" s="145">
        <f t="shared" si="35"/>
        <v>23.544411593184023</v>
      </c>
      <c r="AG79" s="772">
        <f t="shared" si="40"/>
        <v>87.821160864320063</v>
      </c>
      <c r="AH79" s="146">
        <f t="shared" si="36"/>
        <v>87.011827687014062</v>
      </c>
      <c r="AI79" s="156">
        <f t="shared" si="37"/>
        <v>102.91924181246414</v>
      </c>
      <c r="AJ79" s="156">
        <f t="shared" si="38"/>
        <v>85.558876761716363</v>
      </c>
      <c r="AK79" s="88"/>
      <c r="AL79" s="716">
        <f t="shared" si="39"/>
        <v>6529.0451903048661</v>
      </c>
    </row>
    <row r="80" spans="1:38" ht="15.75" customHeight="1">
      <c r="A80" s="1058" t="s">
        <v>1634</v>
      </c>
      <c r="B80" s="595">
        <v>45950</v>
      </c>
      <c r="C80" s="595">
        <v>45674</v>
      </c>
      <c r="D80" t="s">
        <v>119</v>
      </c>
      <c r="E80">
        <f>_xlfn.XLOOKUP(D80,RUC!$B$3:$B$89,RUC!$D$3:$D$89)</f>
        <v>10082235774</v>
      </c>
      <c r="G80" s="80">
        <v>40</v>
      </c>
      <c r="H80" t="s">
        <v>69</v>
      </c>
      <c r="I80" s="596">
        <v>4.04</v>
      </c>
      <c r="J80" s="596">
        <v>1.9</v>
      </c>
      <c r="K80" s="138">
        <f t="shared" si="32"/>
        <v>3.9632399999999999</v>
      </c>
      <c r="L80" s="139">
        <v>0.21099999999999999</v>
      </c>
      <c r="M80" s="139">
        <v>0.20799999999999999</v>
      </c>
      <c r="N80" s="159">
        <v>0.20799999999999999</v>
      </c>
      <c r="O80" s="139">
        <f t="shared" si="19"/>
        <v>0.20799999999999999</v>
      </c>
      <c r="P80" s="629">
        <v>85</v>
      </c>
      <c r="Q80" s="760">
        <v>90.16</v>
      </c>
      <c r="R80" s="706">
        <v>2715.2</v>
      </c>
      <c r="S80" s="802">
        <v>105</v>
      </c>
      <c r="U80" s="1024">
        <v>80</v>
      </c>
      <c r="V80" s="715">
        <v>1.1023000000000001</v>
      </c>
      <c r="Z80" s="160">
        <v>10</v>
      </c>
      <c r="AA80" s="144">
        <f t="shared" si="24"/>
        <v>10</v>
      </c>
      <c r="AB80" s="145">
        <f t="shared" ref="AB80:AB94" si="41">+((O80*P80*(R80-U80)/100)-S80-AA80+T80)*V80</f>
        <v>386.80077372799997</v>
      </c>
      <c r="AC80" s="145">
        <f>+(S80-T80)*V80-'data 1'!$F$4</f>
        <v>35.741500000000002</v>
      </c>
      <c r="AD80" s="145">
        <f t="shared" si="33"/>
        <v>31.626093180095982</v>
      </c>
      <c r="AE80" s="145">
        <f t="shared" si="34"/>
        <v>-58.977000000000004</v>
      </c>
      <c r="AF80" s="145">
        <f t="shared" si="35"/>
        <v>7.8568515406080079</v>
      </c>
      <c r="AG80" s="772">
        <f t="shared" si="40"/>
        <v>86.247444720703982</v>
      </c>
      <c r="AH80" s="146">
        <f t="shared" si="36"/>
        <v>25.849717431892842</v>
      </c>
      <c r="AI80" s="156">
        <f t="shared" si="37"/>
        <v>38.752357917504042</v>
      </c>
      <c r="AJ80" s="156">
        <f t="shared" si="38"/>
        <v>24.023799932077853</v>
      </c>
      <c r="AK80" s="88"/>
      <c r="AL80" s="716">
        <f t="shared" si="39"/>
        <v>1532.9842984697586</v>
      </c>
    </row>
    <row r="81" spans="1:38" ht="15.75" customHeight="1">
      <c r="A81" s="1058" t="s">
        <v>1635</v>
      </c>
      <c r="B81" s="595">
        <v>45950</v>
      </c>
      <c r="C81" s="595">
        <v>45674</v>
      </c>
      <c r="D81" t="s">
        <v>119</v>
      </c>
      <c r="E81">
        <f>_xlfn.XLOOKUP(D81,RUC!$B$3:$B$89,RUC!$D$3:$D$89)</f>
        <v>10082235774</v>
      </c>
      <c r="G81" s="80">
        <v>40</v>
      </c>
      <c r="H81" t="s">
        <v>69</v>
      </c>
      <c r="I81" s="596">
        <v>4.07</v>
      </c>
      <c r="J81" s="596">
        <v>1.8</v>
      </c>
      <c r="K81" s="138">
        <f t="shared" si="32"/>
        <v>3.9967400000000004</v>
      </c>
      <c r="L81" s="139">
        <v>0.19800000000000001</v>
      </c>
      <c r="M81" s="139">
        <v>0.19500000000000001</v>
      </c>
      <c r="N81" s="159">
        <v>0.19500000000000001</v>
      </c>
      <c r="O81" s="139">
        <f t="shared" ref="O81:O94" si="42">+ROUND((M81+N81)/2,3)</f>
        <v>0.19500000000000001</v>
      </c>
      <c r="P81" s="629">
        <v>85</v>
      </c>
      <c r="Q81" s="760">
        <v>90.25</v>
      </c>
      <c r="R81" s="706">
        <v>2715.2</v>
      </c>
      <c r="S81" s="802">
        <v>95</v>
      </c>
      <c r="U81" s="1024">
        <v>80</v>
      </c>
      <c r="V81" s="715">
        <v>1.1023000000000001</v>
      </c>
      <c r="Z81" s="160">
        <v>10</v>
      </c>
      <c r="AA81" s="144">
        <f t="shared" si="24"/>
        <v>10</v>
      </c>
      <c r="AB81" s="145">
        <f t="shared" si="41"/>
        <v>365.72594411999995</v>
      </c>
      <c r="AC81" s="145">
        <f>+(S81-T81)*V81-'data 1'!$F$4</f>
        <v>24.718500000000006</v>
      </c>
      <c r="AD81" s="145">
        <f t="shared" si="33"/>
        <v>30.195198079200001</v>
      </c>
      <c r="AE81" s="145">
        <f t="shared" si="34"/>
        <v>-58.977000000000004</v>
      </c>
      <c r="AF81" s="145">
        <f t="shared" si="35"/>
        <v>7.864694449200007</v>
      </c>
      <c r="AG81" s="772">
        <f t="shared" si="40"/>
        <v>73.801392528400001</v>
      </c>
      <c r="AH81" s="146">
        <f t="shared" si="36"/>
        <v>24.486536864997642</v>
      </c>
      <c r="AI81" s="156">
        <f t="shared" si="37"/>
        <v>36.401072122800038</v>
      </c>
      <c r="AJ81" s="156">
        <f t="shared" si="38"/>
        <v>22.712686339144124</v>
      </c>
      <c r="AK81" s="88"/>
      <c r="AL81" s="716">
        <f t="shared" si="39"/>
        <v>1461.7115099021687</v>
      </c>
    </row>
    <row r="82" spans="1:38" ht="15.75" customHeight="1">
      <c r="A82" s="1058" t="s">
        <v>1636</v>
      </c>
      <c r="B82" s="595">
        <v>45950</v>
      </c>
      <c r="C82" s="595">
        <v>45674</v>
      </c>
      <c r="D82" t="s">
        <v>119</v>
      </c>
      <c r="E82">
        <f>_xlfn.XLOOKUP(D82,RUC!$B$3:$B$89,RUC!$D$3:$D$89)</f>
        <v>10082235774</v>
      </c>
      <c r="G82" s="80">
        <v>46</v>
      </c>
      <c r="H82" t="s">
        <v>69</v>
      </c>
      <c r="I82" s="596">
        <v>4.3899999999999997</v>
      </c>
      <c r="J82" s="596">
        <v>2.2999999999999998</v>
      </c>
      <c r="K82" s="138">
        <f t="shared" si="32"/>
        <v>4.2890299999999995</v>
      </c>
      <c r="L82" s="139">
        <v>9.5000000000000001E-2</v>
      </c>
      <c r="M82" s="139">
        <v>9.2999999999999999E-2</v>
      </c>
      <c r="N82" s="159">
        <v>9.2999999999999999E-2</v>
      </c>
      <c r="O82" s="139">
        <f t="shared" si="42"/>
        <v>9.2999999999999999E-2</v>
      </c>
      <c r="P82" s="629">
        <v>85</v>
      </c>
      <c r="Q82" s="760">
        <v>89.89</v>
      </c>
      <c r="R82" s="706">
        <v>2715.2</v>
      </c>
      <c r="S82" s="802">
        <f t="shared" ref="S82" si="43">IF((90+ROUNDDOWN(O82,1)*100)&lt;95,95,(90+ROUNDDOWN(O82,1)*100))</f>
        <v>95</v>
      </c>
      <c r="U82" s="1024">
        <v>80</v>
      </c>
      <c r="V82" s="715">
        <v>1.1023000000000001</v>
      </c>
      <c r="Z82" s="160">
        <v>10</v>
      </c>
      <c r="AA82" s="144">
        <f t="shared" si="24"/>
        <v>10</v>
      </c>
      <c r="AB82" s="145">
        <v>0</v>
      </c>
      <c r="AC82" s="145">
        <f>+(S82-T82)*V82-'data 1'!$F$4</f>
        <v>24.718500000000006</v>
      </c>
      <c r="AD82" s="145">
        <f t="shared" si="33"/>
        <v>13.494159949680002</v>
      </c>
      <c r="AE82" s="145">
        <f t="shared" si="34"/>
        <v>-58.977000000000004</v>
      </c>
      <c r="AF82" s="145">
        <f t="shared" si="35"/>
        <v>5.2222152098880041</v>
      </c>
      <c r="AG82" s="772">
        <f>+IF(D82="RONALD WILLIAN GARIBAY ESCUDERO",AC82+AD82+AE82+AF82+70,AC82+AD82+AE82+AF82)+70+113.88</f>
        <v>168.337875159568</v>
      </c>
      <c r="AH82" s="146">
        <f t="shared" si="36"/>
        <v>12.557498615590426</v>
      </c>
      <c r="AI82" s="156">
        <f t="shared" si="37"/>
        <v>17.395493743320017</v>
      </c>
      <c r="AJ82" s="156">
        <f t="shared" si="38"/>
        <v>11.624386127634631</v>
      </c>
      <c r="AK82" s="88"/>
      <c r="AL82" s="716">
        <f t="shared" si="39"/>
        <v>0</v>
      </c>
    </row>
    <row r="83" spans="1:38" ht="15.75" customHeight="1">
      <c r="A83" s="1058" t="s">
        <v>1637</v>
      </c>
      <c r="B83" s="595"/>
      <c r="C83" s="595"/>
      <c r="G83" s="80"/>
      <c r="I83" s="596"/>
      <c r="J83" s="596"/>
      <c r="K83" s="138"/>
      <c r="L83" s="139"/>
      <c r="M83" s="139"/>
      <c r="N83" s="598"/>
      <c r="O83" s="139"/>
      <c r="P83" s="629"/>
      <c r="Q83" s="760"/>
      <c r="R83" s="706"/>
      <c r="S83" s="765"/>
      <c r="U83" s="1005"/>
      <c r="V83" s="715"/>
      <c r="Z83" s="143"/>
      <c r="AA83" s="144"/>
      <c r="AB83" s="145"/>
      <c r="AC83" s="145"/>
      <c r="AD83" s="145"/>
      <c r="AE83" s="145"/>
      <c r="AF83" s="145"/>
      <c r="AG83" s="772"/>
      <c r="AH83" s="146"/>
      <c r="AI83" s="156"/>
      <c r="AJ83" s="156"/>
      <c r="AK83" s="88"/>
      <c r="AL83" s="716"/>
    </row>
    <row r="84" spans="1:38" ht="15.75" customHeight="1">
      <c r="A84" s="1058" t="s">
        <v>1638</v>
      </c>
      <c r="B84" s="595"/>
      <c r="C84" s="595"/>
      <c r="G84" s="80"/>
      <c r="I84" s="596"/>
      <c r="J84" s="596"/>
      <c r="K84" s="138"/>
      <c r="L84" s="139"/>
      <c r="M84" s="139"/>
      <c r="N84" s="598"/>
      <c r="O84" s="139"/>
      <c r="P84" s="629"/>
      <c r="Q84" s="760"/>
      <c r="R84" s="706"/>
      <c r="S84" s="765"/>
      <c r="U84" s="1005"/>
      <c r="V84" s="715"/>
      <c r="Z84" s="143"/>
      <c r="AA84" s="144"/>
      <c r="AB84" s="145"/>
      <c r="AC84" s="145"/>
      <c r="AD84" s="145"/>
      <c r="AE84" s="145"/>
      <c r="AF84" s="145"/>
      <c r="AG84" s="772"/>
      <c r="AH84" s="146"/>
      <c r="AI84" s="156"/>
      <c r="AJ84" s="156"/>
      <c r="AK84" s="88"/>
      <c r="AL84" s="716"/>
    </row>
    <row r="85" spans="1:38" ht="15.75" customHeight="1">
      <c r="A85" s="1059" t="s">
        <v>1644</v>
      </c>
      <c r="B85" s="1052">
        <v>45681</v>
      </c>
      <c r="C85" s="595">
        <v>45678</v>
      </c>
      <c r="D85" t="s">
        <v>145</v>
      </c>
      <c r="E85" t="e">
        <f>_xlfn.XLOOKUP(D85,RUC!$B$3:$B$89,RUC!$D$3:$D$89)</f>
        <v>#N/A</v>
      </c>
      <c r="G85" s="80">
        <v>100</v>
      </c>
      <c r="H85" t="s">
        <v>69</v>
      </c>
      <c r="I85" s="596">
        <v>7.7</v>
      </c>
      <c r="J85" s="596">
        <v>1.4</v>
      </c>
      <c r="K85" s="138">
        <f t="shared" ref="K85:K94" si="44">+I85-(I85*(J85/100))</f>
        <v>7.5922000000000001</v>
      </c>
      <c r="L85" s="139">
        <v>0.23899999999999999</v>
      </c>
      <c r="M85" s="139">
        <v>0.22900000000000001</v>
      </c>
      <c r="N85" s="159">
        <v>0.255</v>
      </c>
      <c r="O85" s="645">
        <f t="shared" si="42"/>
        <v>0.24199999999999999</v>
      </c>
      <c r="P85" s="629">
        <v>90</v>
      </c>
      <c r="Q85" s="760">
        <v>90.13</v>
      </c>
      <c r="R85" s="706">
        <v>2737.8</v>
      </c>
      <c r="S85" s="765">
        <f t="shared" ref="S85:S86" si="45">IF((90+ROUNDDOWN(O85,1)*100)&lt;95,95,(90+ROUNDDOWN(O85,1)*100))</f>
        <v>110</v>
      </c>
      <c r="U85" s="1005">
        <v>120</v>
      </c>
      <c r="V85" s="715">
        <v>1.1023000000000001</v>
      </c>
      <c r="Y85">
        <v>20</v>
      </c>
      <c r="Z85" s="143">
        <f t="shared" ref="Z85:Z86" si="46">IF(IF(D85="UNTUCA",IF(+((W85-3)*1.5+(X85-3)*3.1)&gt;0,+((W85-3)*1.5+(X85-3)*3.1),0),IF(+((W85-3)*1.5+(X85-3)*3.1)&gt;0,+((W85-3)*1.5+(X85-3)*3.1),0))&lt;30,30,IF(D85="UNTUCA",IF(+((W85-3)*1.5+(X85-3)*3.1)&gt;0,+((W85-3)*1.5+(X85-3)*3.1),0),IF(+((W85-3)*1.5+(X85-3)*3.1)&gt;0,+((W85-3)*1.5+(X85-3)*3.1),0)))</f>
        <v>30</v>
      </c>
      <c r="AA85" s="144">
        <f t="shared" ref="AA85:AA94" si="47">+Y85+Z85</f>
        <v>50</v>
      </c>
      <c r="AB85" s="145">
        <f t="shared" si="41"/>
        <v>452.11588473200015</v>
      </c>
      <c r="AC85" s="145">
        <f>+(S85-T85)*V85-'data 1'!$F$4</f>
        <v>41.253</v>
      </c>
      <c r="AD85" s="145">
        <f t="shared" si="33"/>
        <v>0.89655621205796876</v>
      </c>
      <c r="AE85" s="145">
        <f t="shared" ref="AE85:AE94" si="48">+(Y85*V85-70)+V85*(Z85-IF(D85="UNTUCA",IF(+((W85-3)*2.5+(X85-3)*3.1)&gt;0,+((W85-3)*1.5+(X85-3)*3.1),0),IF(+((W85-3)*1.5+(X85-3)*3.1)&gt;0,+((W85-3)*1.5+(X85-3)*3.1),0)))</f>
        <v>-14.884999999999998</v>
      </c>
      <c r="AF85" s="145">
        <f t="shared" si="35"/>
        <v>-7.8023763816660088</v>
      </c>
      <c r="AG85" s="772">
        <f t="shared" ref="AG85:AG86" si="49">+IF(D85="RONALD WILLIAN GARIBAY ESCUDERO",AC85+AD85+AE85+AF85+70,AC85+AD85+AE85+AF85)+70-53</f>
        <v>36.46217983039196</v>
      </c>
      <c r="AH85" s="146">
        <f t="shared" si="36"/>
        <v>56.071733313499173</v>
      </c>
      <c r="AI85" s="156">
        <f t="shared" si="37"/>
        <v>48.011826794141953</v>
      </c>
      <c r="AJ85" s="156">
        <f t="shared" si="38"/>
        <v>56.693671742769148</v>
      </c>
      <c r="AK85" s="88"/>
      <c r="AL85" s="716">
        <f t="shared" si="39"/>
        <v>3432.5542200622917</v>
      </c>
    </row>
    <row r="86" spans="1:38" ht="15.75" customHeight="1">
      <c r="A86" s="1058" t="s">
        <v>1645</v>
      </c>
      <c r="B86" s="595">
        <v>45686</v>
      </c>
      <c r="C86" s="595">
        <v>45678</v>
      </c>
      <c r="D86" t="s">
        <v>1402</v>
      </c>
      <c r="E86">
        <f>_xlfn.XLOOKUP(D86,RUC!$B$3:$B$89,RUC!$D$3:$D$89)</f>
        <v>20606526599</v>
      </c>
      <c r="G86" s="80">
        <v>77</v>
      </c>
      <c r="H86" t="s">
        <v>69</v>
      </c>
      <c r="I86" s="596">
        <v>5.92</v>
      </c>
      <c r="J86" s="596">
        <v>1.2</v>
      </c>
      <c r="K86" s="138">
        <f t="shared" si="44"/>
        <v>5.8489599999999999</v>
      </c>
      <c r="L86" s="139">
        <v>0.30199999999999999</v>
      </c>
      <c r="M86" s="139">
        <v>0.28999999999999998</v>
      </c>
      <c r="N86" s="598">
        <v>0.32700000000000001</v>
      </c>
      <c r="O86" s="645">
        <f t="shared" si="42"/>
        <v>0.309</v>
      </c>
      <c r="P86" s="629">
        <v>90</v>
      </c>
      <c r="Q86" s="760">
        <v>90.27</v>
      </c>
      <c r="R86" s="706">
        <v>2737.8</v>
      </c>
      <c r="S86" s="765">
        <f t="shared" si="45"/>
        <v>120</v>
      </c>
      <c r="U86" s="1005">
        <v>120</v>
      </c>
      <c r="V86" s="715">
        <v>1.1023000000000001</v>
      </c>
      <c r="Y86">
        <v>20</v>
      </c>
      <c r="Z86" s="143">
        <f t="shared" si="46"/>
        <v>30</v>
      </c>
      <c r="AA86" s="144">
        <f t="shared" si="47"/>
        <v>50</v>
      </c>
      <c r="AB86" s="145">
        <f t="shared" si="41"/>
        <v>615.09462141400002</v>
      </c>
      <c r="AC86" s="145">
        <f>+(S86-T86)*V86-'data 1'!$F$4</f>
        <v>52.27600000000001</v>
      </c>
      <c r="AD86" s="145">
        <f t="shared" si="33"/>
        <v>2.3529190064759651</v>
      </c>
      <c r="AE86" s="145">
        <f t="shared" si="48"/>
        <v>-14.884999999999998</v>
      </c>
      <c r="AF86" s="145">
        <f t="shared" si="35"/>
        <v>-18.23382377976602</v>
      </c>
      <c r="AG86" s="772">
        <f t="shared" si="49"/>
        <v>38.51009522670995</v>
      </c>
      <c r="AH86" s="146">
        <f t="shared" si="36"/>
        <v>54.668619354056418</v>
      </c>
      <c r="AI86" s="156">
        <f t="shared" si="37"/>
        <v>60.761899785923944</v>
      </c>
      <c r="AJ86" s="156">
        <f t="shared" si="38"/>
        <v>55.768467380650883</v>
      </c>
      <c r="AK86" s="88"/>
      <c r="AL86" s="716">
        <f t="shared" si="39"/>
        <v>3597.6638368656295</v>
      </c>
    </row>
    <row r="87" spans="1:38" ht="15.75" customHeight="1">
      <c r="A87" s="1058" t="s">
        <v>1660</v>
      </c>
      <c r="B87" s="595">
        <v>45685</v>
      </c>
      <c r="C87" s="595">
        <v>45682</v>
      </c>
      <c r="D87" t="s">
        <v>119</v>
      </c>
      <c r="E87">
        <f>_xlfn.XLOOKUP(D87,RUC!$B$3:$B$89,RUC!$D$3:$D$89)</f>
        <v>10082235774</v>
      </c>
      <c r="G87" s="80">
        <v>52</v>
      </c>
      <c r="H87" t="s">
        <v>69</v>
      </c>
      <c r="I87" s="596">
        <v>4.83</v>
      </c>
      <c r="J87" s="596">
        <v>1.5</v>
      </c>
      <c r="K87" s="138">
        <f t="shared" si="44"/>
        <v>4.7575500000000002</v>
      </c>
      <c r="L87" s="139">
        <v>0.16300000000000001</v>
      </c>
      <c r="M87" s="139">
        <v>0.161</v>
      </c>
      <c r="N87" s="159">
        <v>0.161</v>
      </c>
      <c r="O87" s="645">
        <f t="shared" si="42"/>
        <v>0.161</v>
      </c>
      <c r="P87" s="629">
        <v>85</v>
      </c>
      <c r="Q87" s="760">
        <v>89.89</v>
      </c>
      <c r="R87" s="706">
        <v>2776.8</v>
      </c>
      <c r="S87" s="802">
        <v>95</v>
      </c>
      <c r="U87" s="1024">
        <v>80</v>
      </c>
      <c r="V87" s="715">
        <v>1.1023000000000001</v>
      </c>
      <c r="Z87" s="160">
        <v>10</v>
      </c>
      <c r="AA87" s="144">
        <f t="shared" si="47"/>
        <v>10</v>
      </c>
      <c r="AB87" s="145">
        <f t="shared" si="41"/>
        <v>291.07011928400004</v>
      </c>
      <c r="AC87" s="145">
        <f>+(S87-T87)*V87-'data 1'!$F$4</f>
        <v>24.718500000000006</v>
      </c>
      <c r="AD87" s="145">
        <f t="shared" si="33"/>
        <v>23.694361518648005</v>
      </c>
      <c r="AE87" s="145">
        <f t="shared" si="48"/>
        <v>-58.977000000000004</v>
      </c>
      <c r="AF87" s="145">
        <f t="shared" si="35"/>
        <v>5.3442888501920063</v>
      </c>
      <c r="AG87" s="772">
        <f>+IF(D87="RONALD WILLIAN GARIBAY ESCUDERO",AC87+AD87+AE87+AF87+70,AC87+AD87+AE87+AF87)+70</f>
        <v>64.780150368840012</v>
      </c>
      <c r="AH87" s="146">
        <f t="shared" si="36"/>
        <v>23.899643088953045</v>
      </c>
      <c r="AI87" s="156">
        <f t="shared" si="37"/>
        <v>19.898003369551972</v>
      </c>
      <c r="AJ87" s="156">
        <f t="shared" si="38"/>
        <v>22.322212197479427</v>
      </c>
      <c r="AK87" s="88"/>
      <c r="AL87" s="716">
        <f t="shared" si="39"/>
        <v>1384.7806459995945</v>
      </c>
    </row>
    <row r="88" spans="1:38" ht="15.75" customHeight="1">
      <c r="A88" s="1058" t="s">
        <v>1661</v>
      </c>
      <c r="B88" s="595">
        <v>45685</v>
      </c>
      <c r="C88" s="595">
        <v>45682</v>
      </c>
      <c r="D88" t="s">
        <v>119</v>
      </c>
      <c r="E88">
        <f>_xlfn.XLOOKUP(D88,RUC!$B$3:$B$89,RUC!$D$3:$D$89)</f>
        <v>10082235774</v>
      </c>
      <c r="G88" s="80">
        <v>49</v>
      </c>
      <c r="H88" t="s">
        <v>69</v>
      </c>
      <c r="I88" s="596">
        <v>4.91</v>
      </c>
      <c r="J88" s="596">
        <v>1.7</v>
      </c>
      <c r="K88" s="138">
        <f t="shared" si="44"/>
        <v>4.82653</v>
      </c>
      <c r="L88" s="139">
        <v>0.123</v>
      </c>
      <c r="M88" s="139">
        <v>0.121</v>
      </c>
      <c r="N88" s="159">
        <v>0.121</v>
      </c>
      <c r="O88" s="645">
        <f t="shared" si="42"/>
        <v>0.121</v>
      </c>
      <c r="P88" s="629">
        <v>85</v>
      </c>
      <c r="Q88">
        <v>89.78</v>
      </c>
      <c r="R88" s="706">
        <v>2776.8</v>
      </c>
      <c r="S88" s="802">
        <v>95</v>
      </c>
      <c r="U88" s="1024">
        <v>80</v>
      </c>
      <c r="V88" s="715">
        <v>1.1023000000000001</v>
      </c>
      <c r="Z88" s="160">
        <v>10</v>
      </c>
      <c r="AA88" s="144">
        <f t="shared" si="47"/>
        <v>10</v>
      </c>
      <c r="AB88" s="145">
        <f t="shared" si="41"/>
        <v>189.99890952400008</v>
      </c>
      <c r="AC88" s="145">
        <f>+(S88-T88)*V88-'data 1'!$F$4</f>
        <v>24.718500000000006</v>
      </c>
      <c r="AD88" s="145">
        <f t="shared" si="33"/>
        <v>17.477590313616005</v>
      </c>
      <c r="AE88" s="145">
        <f t="shared" si="48"/>
        <v>-58.977000000000004</v>
      </c>
      <c r="AF88" s="145">
        <f t="shared" si="35"/>
        <v>5.3377489483840064</v>
      </c>
      <c r="AG88" s="772">
        <f t="shared" ref="AG88:AG94" si="50">+IF(D88="RONALD WILLIAN GARIBAY ESCUDERO",AC88+AD88+AE88+AF88+70,AC88+AD88+AE88+AF88)+70</f>
        <v>58.556839262000011</v>
      </c>
      <c r="AH88" s="146">
        <f t="shared" si="36"/>
        <v>18.273796815887462</v>
      </c>
      <c r="AI88" s="156">
        <f t="shared" si="37"/>
        <v>14.99668356278398</v>
      </c>
      <c r="AJ88" s="156">
        <f t="shared" si="38"/>
        <v>17.019561842353806</v>
      </c>
      <c r="AK88" s="88"/>
      <c r="AL88" s="716">
        <f t="shared" si="39"/>
        <v>917.0354367848721</v>
      </c>
    </row>
    <row r="89" spans="1:38" ht="15.75" customHeight="1">
      <c r="A89" s="1058" t="s">
        <v>1662</v>
      </c>
      <c r="B89" s="595">
        <v>45685</v>
      </c>
      <c r="C89" s="595">
        <v>45682</v>
      </c>
      <c r="D89" t="s">
        <v>119</v>
      </c>
      <c r="E89">
        <f>_xlfn.XLOOKUP(D89,RUC!$B$3:$B$89,RUC!$D$3:$D$89)</f>
        <v>10082235774</v>
      </c>
      <c r="G89" s="80">
        <v>44</v>
      </c>
      <c r="H89" t="s">
        <v>69</v>
      </c>
      <c r="I89" s="596">
        <v>4.62</v>
      </c>
      <c r="J89" s="596">
        <v>1.8</v>
      </c>
      <c r="K89" s="138">
        <f t="shared" si="44"/>
        <v>4.5368399999999998</v>
      </c>
      <c r="L89" s="139">
        <v>0.48699999999999999</v>
      </c>
      <c r="M89" s="139">
        <v>0.48</v>
      </c>
      <c r="N89" s="159">
        <v>0.48</v>
      </c>
      <c r="O89" s="645">
        <f t="shared" si="42"/>
        <v>0.48</v>
      </c>
      <c r="P89" s="629">
        <v>90</v>
      </c>
      <c r="Q89">
        <v>90.21</v>
      </c>
      <c r="R89" s="706">
        <v>2776.8</v>
      </c>
      <c r="S89" s="802">
        <v>115</v>
      </c>
      <c r="U89" s="1024">
        <v>80</v>
      </c>
      <c r="V89" s="715">
        <v>1.1023000000000001</v>
      </c>
      <c r="Z89" s="160">
        <v>10</v>
      </c>
      <c r="AA89" s="144">
        <f t="shared" si="47"/>
        <v>10</v>
      </c>
      <c r="AB89" s="145">
        <f t="shared" si="41"/>
        <v>1146.4114004799999</v>
      </c>
      <c r="AC89" s="145">
        <f>+(S89-T89)*V89-'data 1'!$F$4</f>
        <v>46.764500000000012</v>
      </c>
      <c r="AD89" s="145">
        <f t="shared" si="33"/>
        <v>3.0401625359279092</v>
      </c>
      <c r="AE89" s="145">
        <f t="shared" si="48"/>
        <v>-58.977000000000004</v>
      </c>
      <c r="AF89" s="145">
        <f t="shared" si="35"/>
        <v>18.771599066808019</v>
      </c>
      <c r="AG89" s="772">
        <f t="shared" si="50"/>
        <v>79.599261602735936</v>
      </c>
      <c r="AH89" s="146">
        <f t="shared" si="36"/>
        <v>68.335468565352954</v>
      </c>
      <c r="AI89" s="156">
        <f t="shared" si="37"/>
        <v>59.661498784271913</v>
      </c>
      <c r="AJ89" s="156">
        <f t="shared" si="38"/>
        <v>67.196442205769173</v>
      </c>
      <c r="AK89" s="88"/>
      <c r="AL89" s="716">
        <f t="shared" si="39"/>
        <v>5201.0850981536823</v>
      </c>
    </row>
    <row r="90" spans="1:38" ht="15.75" customHeight="1">
      <c r="A90" s="1058" t="s">
        <v>1663</v>
      </c>
      <c r="B90" s="595">
        <v>45685</v>
      </c>
      <c r="C90" s="595">
        <v>45682</v>
      </c>
      <c r="D90" t="s">
        <v>119</v>
      </c>
      <c r="E90">
        <f>_xlfn.XLOOKUP(D90,RUC!$B$3:$B$89,RUC!$D$3:$D$89)</f>
        <v>10082235774</v>
      </c>
      <c r="G90" s="80">
        <v>48</v>
      </c>
      <c r="H90" t="s">
        <v>69</v>
      </c>
      <c r="I90" s="596">
        <v>4.6100000000000003</v>
      </c>
      <c r="J90" s="596">
        <v>1.1000000000000001</v>
      </c>
      <c r="K90" s="138">
        <f t="shared" si="44"/>
        <v>4.5592900000000007</v>
      </c>
      <c r="L90" s="139">
        <v>0.216</v>
      </c>
      <c r="M90" s="139">
        <v>0.21199999999999999</v>
      </c>
      <c r="N90" s="159">
        <v>0.21199999999999999</v>
      </c>
      <c r="O90" s="645">
        <f t="shared" si="42"/>
        <v>0.21199999999999999</v>
      </c>
      <c r="P90" s="629">
        <v>90</v>
      </c>
      <c r="Q90">
        <v>90.17</v>
      </c>
      <c r="R90" s="706">
        <v>2776.8</v>
      </c>
      <c r="S90" s="802">
        <v>105</v>
      </c>
      <c r="U90" s="1024">
        <v>80</v>
      </c>
      <c r="V90" s="715">
        <v>1.1023000000000001</v>
      </c>
      <c r="Z90" s="160">
        <v>10</v>
      </c>
      <c r="AA90" s="144">
        <f t="shared" si="47"/>
        <v>10</v>
      </c>
      <c r="AB90" s="145">
        <f t="shared" si="41"/>
        <v>440.42334771200001</v>
      </c>
      <c r="AC90" s="145">
        <f>+(S90-T90)*V90-'data 1'!$F$4</f>
        <v>35.741500000000002</v>
      </c>
      <c r="AD90" s="145">
        <f t="shared" si="33"/>
        <v>1.0915690654080112</v>
      </c>
      <c r="AE90" s="145">
        <f t="shared" si="48"/>
        <v>-58.977000000000004</v>
      </c>
      <c r="AF90" s="145">
        <f t="shared" si="35"/>
        <v>10.721871745952011</v>
      </c>
      <c r="AG90" s="772">
        <f t="shared" si="50"/>
        <v>58.577940811360023</v>
      </c>
      <c r="AH90" s="146">
        <f t="shared" si="36"/>
        <v>30.445429638226241</v>
      </c>
      <c r="AI90" s="156">
        <f t="shared" si="37"/>
        <v>26.450040177791966</v>
      </c>
      <c r="AJ90" s="156">
        <f t="shared" si="38"/>
        <v>29.825288729178045</v>
      </c>
      <c r="AK90" s="88"/>
      <c r="AL90" s="716">
        <f t="shared" si="39"/>
        <v>2008.0177649898449</v>
      </c>
    </row>
    <row r="91" spans="1:38" ht="15.75" customHeight="1">
      <c r="A91" s="1058" t="s">
        <v>1664</v>
      </c>
      <c r="B91" s="595">
        <v>45685</v>
      </c>
      <c r="C91" s="595">
        <v>45682</v>
      </c>
      <c r="D91" t="s">
        <v>119</v>
      </c>
      <c r="E91">
        <f>_xlfn.XLOOKUP(D91,RUC!$B$3:$B$89,RUC!$D$3:$D$89)</f>
        <v>10082235774</v>
      </c>
      <c r="G91" s="80">
        <v>44</v>
      </c>
      <c r="H91" t="s">
        <v>69</v>
      </c>
      <c r="I91" s="596">
        <v>4.37</v>
      </c>
      <c r="J91" s="596">
        <v>1.7</v>
      </c>
      <c r="K91" s="138">
        <f t="shared" si="44"/>
        <v>4.2957099999999997</v>
      </c>
      <c r="L91" s="139">
        <v>0.31</v>
      </c>
      <c r="M91" s="139">
        <v>0.30499999999999999</v>
      </c>
      <c r="N91" s="159">
        <v>0.30499999999999999</v>
      </c>
      <c r="O91" s="645">
        <f t="shared" si="42"/>
        <v>0.30499999999999999</v>
      </c>
      <c r="P91" s="629">
        <v>90</v>
      </c>
      <c r="Q91">
        <v>90.26</v>
      </c>
      <c r="R91" s="706">
        <v>2776.8</v>
      </c>
      <c r="S91" s="802">
        <v>110</v>
      </c>
      <c r="U91" s="1024">
        <v>80</v>
      </c>
      <c r="V91" s="715">
        <v>1.1023000000000001</v>
      </c>
      <c r="Z91" s="160">
        <v>10</v>
      </c>
      <c r="AA91" s="144">
        <f t="shared" si="47"/>
        <v>10</v>
      </c>
      <c r="AB91" s="145">
        <f t="shared" si="41"/>
        <v>683.72538468000005</v>
      </c>
      <c r="AC91" s="145">
        <f>+(S91-T91)*V91-'data 1'!$F$4</f>
        <v>41.253</v>
      </c>
      <c r="AD91" s="145">
        <f t="shared" si="33"/>
        <v>2.3959822078400475</v>
      </c>
      <c r="AE91" s="145">
        <f t="shared" si="48"/>
        <v>-58.977000000000004</v>
      </c>
      <c r="AF91" s="145">
        <f t="shared" si="35"/>
        <v>13.415716754320012</v>
      </c>
      <c r="AG91" s="772">
        <f t="shared" si="50"/>
        <v>68.087698962160061</v>
      </c>
      <c r="AH91" s="146">
        <f t="shared" si="36"/>
        <v>41.20985126772009</v>
      </c>
      <c r="AI91" s="156">
        <f t="shared" si="37"/>
        <v>37.998594948159948</v>
      </c>
      <c r="AJ91" s="156">
        <f t="shared" si="38"/>
        <v>40.428383140422874</v>
      </c>
      <c r="AK91" s="88"/>
      <c r="AL91" s="716">
        <f t="shared" si="39"/>
        <v>2937.0859722237228</v>
      </c>
    </row>
    <row r="92" spans="1:38" ht="15.75" customHeight="1">
      <c r="A92" s="1058" t="s">
        <v>1665</v>
      </c>
      <c r="B92" s="595">
        <v>45685</v>
      </c>
      <c r="C92" s="595">
        <v>45682</v>
      </c>
      <c r="D92" t="s">
        <v>1671</v>
      </c>
      <c r="E92">
        <f>_xlfn.XLOOKUP(D92,RUC!$B$3:$B$89,RUC!$D$3:$D$89)</f>
        <v>20517242919</v>
      </c>
      <c r="G92" s="80">
        <v>41</v>
      </c>
      <c r="H92" t="s">
        <v>69</v>
      </c>
      <c r="I92" s="596">
        <v>3.92</v>
      </c>
      <c r="J92" s="596">
        <v>1.1000000000000001</v>
      </c>
      <c r="K92" s="138">
        <f t="shared" si="44"/>
        <v>3.8768799999999999</v>
      </c>
      <c r="L92" s="139">
        <v>0.17</v>
      </c>
      <c r="M92" s="139">
        <v>0.16700000000000001</v>
      </c>
      <c r="N92" s="159">
        <v>0.16700000000000001</v>
      </c>
      <c r="O92" s="645">
        <f t="shared" si="42"/>
        <v>0.16700000000000001</v>
      </c>
      <c r="P92" s="629">
        <v>85</v>
      </c>
      <c r="Q92">
        <v>89.92</v>
      </c>
      <c r="R92" s="706">
        <v>2776.8</v>
      </c>
      <c r="S92" s="802">
        <v>95</v>
      </c>
      <c r="U92" s="1024">
        <v>80</v>
      </c>
      <c r="V92" s="715">
        <v>1.1023000000000001</v>
      </c>
      <c r="Z92" s="160">
        <v>10</v>
      </c>
      <c r="AA92" s="144">
        <f t="shared" si="47"/>
        <v>10</v>
      </c>
      <c r="AB92" s="145">
        <f t="shared" si="41"/>
        <v>306.23080074800004</v>
      </c>
      <c r="AC92" s="145">
        <f>+(S92-T92)*V92-'data 1'!$F$4</f>
        <v>24.718500000000006</v>
      </c>
      <c r="AD92" s="145">
        <f t="shared" si="33"/>
        <v>24.863517600960012</v>
      </c>
      <c r="AE92" s="145">
        <f t="shared" si="48"/>
        <v>-58.977000000000004</v>
      </c>
      <c r="AF92" s="145">
        <f t="shared" si="35"/>
        <v>8.0191086896640087</v>
      </c>
      <c r="AG92" s="772">
        <f t="shared" si="50"/>
        <v>68.624126290624019</v>
      </c>
      <c r="AH92" s="146">
        <f t="shared" si="36"/>
        <v>20.318734123572089</v>
      </c>
      <c r="AI92" s="156">
        <f t="shared" si="37"/>
        <v>20.759444823039971</v>
      </c>
      <c r="AJ92" s="156">
        <f t="shared" si="38"/>
        <v>18.868041584945164</v>
      </c>
      <c r="AK92" s="88"/>
      <c r="AL92" s="716">
        <f t="shared" si="39"/>
        <v>1187.2200668039063</v>
      </c>
    </row>
    <row r="93" spans="1:38" ht="15.75" customHeight="1">
      <c r="A93" s="1058" t="s">
        <v>1666</v>
      </c>
      <c r="B93" s="595">
        <v>45685</v>
      </c>
      <c r="C93" s="595">
        <v>45682</v>
      </c>
      <c r="D93" t="s">
        <v>1671</v>
      </c>
      <c r="E93">
        <f>_xlfn.XLOOKUP(D93,RUC!$B$3:$B$89,RUC!$D$3:$D$89)</f>
        <v>20517242919</v>
      </c>
      <c r="G93" s="80">
        <v>42</v>
      </c>
      <c r="H93" t="s">
        <v>69</v>
      </c>
      <c r="I93" s="596">
        <v>4.22</v>
      </c>
      <c r="J93" s="596">
        <v>1.9</v>
      </c>
      <c r="K93" s="138">
        <f t="shared" si="44"/>
        <v>4.1398199999999994</v>
      </c>
      <c r="L93" s="139">
        <v>0.36599999999999999</v>
      </c>
      <c r="M93" s="139">
        <v>0.36</v>
      </c>
      <c r="N93" s="159">
        <v>0.36</v>
      </c>
      <c r="O93" s="645">
        <f t="shared" si="42"/>
        <v>0.36</v>
      </c>
      <c r="P93" s="629">
        <v>90</v>
      </c>
      <c r="Q93">
        <v>90.13</v>
      </c>
      <c r="R93" s="706">
        <v>2776.8</v>
      </c>
      <c r="S93" s="802">
        <v>110</v>
      </c>
      <c r="U93" s="1024">
        <v>80</v>
      </c>
      <c r="V93" s="715">
        <v>1.1023000000000001</v>
      </c>
      <c r="Z93" s="160">
        <v>10</v>
      </c>
      <c r="AA93" s="144">
        <f t="shared" si="47"/>
        <v>10</v>
      </c>
      <c r="AB93" s="145">
        <f t="shared" si="41"/>
        <v>830.87317536000012</v>
      </c>
      <c r="AC93" s="145">
        <f>+(S93-T93)*V93-'data 1'!$F$4</f>
        <v>41.253</v>
      </c>
      <c r="AD93" s="145">
        <f t="shared" si="33"/>
        <v>1.4144024001119506</v>
      </c>
      <c r="AE93" s="145">
        <f t="shared" si="48"/>
        <v>-58.977000000000004</v>
      </c>
      <c r="AF93" s="145">
        <f t="shared" si="35"/>
        <v>16.075673180592013</v>
      </c>
      <c r="AG93" s="772">
        <f t="shared" si="50"/>
        <v>69.766075580703955</v>
      </c>
      <c r="AH93" s="146">
        <f t="shared" si="36"/>
        <v>46.821032233233311</v>
      </c>
      <c r="AI93" s="156">
        <f t="shared" si="37"/>
        <v>44.79824202268793</v>
      </c>
      <c r="AJ93" s="156">
        <f t="shared" si="38"/>
        <v>45.987048590916913</v>
      </c>
      <c r="AK93" s="88"/>
      <c r="AL93" s="716">
        <f t="shared" si="39"/>
        <v>3439.6653888188353</v>
      </c>
    </row>
    <row r="94" spans="1:38" ht="15.75" customHeight="1">
      <c r="A94" s="1058" t="s">
        <v>1667</v>
      </c>
      <c r="B94" s="595">
        <v>45685</v>
      </c>
      <c r="C94" s="595">
        <v>45682</v>
      </c>
      <c r="D94" t="s">
        <v>1671</v>
      </c>
      <c r="E94">
        <f>_xlfn.XLOOKUP(D94,RUC!$B$3:$B$89,RUC!$D$3:$D$89)</f>
        <v>20517242919</v>
      </c>
      <c r="G94" s="80">
        <v>73</v>
      </c>
      <c r="H94" t="s">
        <v>69</v>
      </c>
      <c r="I94" s="596">
        <v>6.96</v>
      </c>
      <c r="J94" s="596">
        <v>1.3</v>
      </c>
      <c r="K94" s="138">
        <f t="shared" si="44"/>
        <v>6.8695199999999996</v>
      </c>
      <c r="L94" s="139">
        <v>0.17499999999999999</v>
      </c>
      <c r="M94" s="139">
        <v>0.17199999999999999</v>
      </c>
      <c r="N94" s="159">
        <v>0.17199999999999999</v>
      </c>
      <c r="O94" s="645">
        <f t="shared" si="42"/>
        <v>0.17199999999999999</v>
      </c>
      <c r="P94" s="629">
        <v>85</v>
      </c>
      <c r="Q94">
        <v>89.88</v>
      </c>
      <c r="R94" s="706">
        <v>2776.8</v>
      </c>
      <c r="S94" s="802">
        <v>95</v>
      </c>
      <c r="U94" s="1024">
        <v>80</v>
      </c>
      <c r="V94" s="715">
        <v>1.1023000000000001</v>
      </c>
      <c r="Z94" s="160">
        <v>10</v>
      </c>
      <c r="AA94" s="144">
        <f t="shared" si="47"/>
        <v>10</v>
      </c>
      <c r="AB94" s="145">
        <f t="shared" si="41"/>
        <v>318.86470196800002</v>
      </c>
      <c r="AC94" s="145">
        <f>+(S94-T94)*V94-'data 1'!$F$4</f>
        <v>24.718500000000006</v>
      </c>
      <c r="AD94" s="145">
        <f t="shared" si="33"/>
        <v>25.386709745599983</v>
      </c>
      <c r="AE94" s="145">
        <f t="shared" si="48"/>
        <v>-58.977000000000004</v>
      </c>
      <c r="AF94" s="145">
        <f t="shared" si="35"/>
        <v>8.0155414704960091</v>
      </c>
      <c r="AG94" s="772">
        <f t="shared" si="50"/>
        <v>69.143751216095993</v>
      </c>
      <c r="AH94" s="146">
        <f t="shared" si="36"/>
        <v>37.045594956092053</v>
      </c>
      <c r="AI94" s="156">
        <f t="shared" si="37"/>
        <v>21.360510494399968</v>
      </c>
      <c r="AJ94" s="156">
        <f t="shared" si="38"/>
        <v>34.433632033699908</v>
      </c>
      <c r="AK94" s="88"/>
      <c r="AL94" s="716">
        <f t="shared" si="39"/>
        <v>2190.4474474632152</v>
      </c>
    </row>
    <row r="95" spans="1:38" ht="15" customHeight="1">
      <c r="B95" s="595"/>
      <c r="G95" s="80"/>
      <c r="L95" s="139"/>
      <c r="M95" s="139"/>
      <c r="N95" s="159"/>
      <c r="R95" s="706"/>
    </row>
    <row r="96" spans="1:38" ht="15" customHeight="1">
      <c r="B96" s="595"/>
      <c r="G96" s="80"/>
      <c r="L96" s="139"/>
      <c r="M96" s="139"/>
      <c r="N96" s="159"/>
      <c r="R96" s="706"/>
    </row>
    <row r="97" spans="2:18" ht="15" customHeight="1">
      <c r="B97" s="595"/>
      <c r="G97" s="80"/>
      <c r="L97" s="139"/>
      <c r="M97" s="139"/>
      <c r="N97" s="159"/>
      <c r="R97" s="706"/>
    </row>
    <row r="98" spans="2:18" ht="15" customHeight="1">
      <c r="B98" s="595"/>
      <c r="G98" s="80"/>
      <c r="L98" s="139"/>
      <c r="M98" s="139"/>
      <c r="N98" s="159"/>
      <c r="R98" s="706"/>
    </row>
    <row r="99" spans="2:18" ht="15" customHeight="1">
      <c r="B99" s="595"/>
      <c r="G99" s="80"/>
      <c r="L99" s="139"/>
      <c r="M99" s="139"/>
      <c r="N99" s="159"/>
      <c r="R99" s="706"/>
    </row>
    <row r="100" spans="2:18" ht="15" customHeight="1">
      <c r="B100" s="595"/>
      <c r="G100" s="80"/>
      <c r="L100" s="139"/>
      <c r="M100" s="139"/>
      <c r="N100" s="159"/>
      <c r="R100" s="706"/>
    </row>
    <row r="101" spans="2:18" ht="15" customHeight="1">
      <c r="B101" s="595"/>
      <c r="G101" s="80"/>
      <c r="L101" s="139"/>
      <c r="M101" s="139"/>
      <c r="N101" s="159"/>
      <c r="R101" s="706"/>
    </row>
    <row r="102" spans="2:18" ht="15" customHeight="1">
      <c r="B102" s="595"/>
      <c r="G102" s="80"/>
      <c r="L102" s="139"/>
      <c r="M102" s="139"/>
      <c r="N102" s="159"/>
      <c r="R102" s="706"/>
    </row>
    <row r="103" spans="2:18" ht="15" customHeight="1">
      <c r="B103" s="595"/>
      <c r="G103" s="80"/>
      <c r="L103" s="139"/>
      <c r="M103" s="139"/>
      <c r="N103" s="159"/>
      <c r="R103" s="706"/>
    </row>
    <row r="104" spans="2:18" ht="15" customHeight="1">
      <c r="B104" s="595"/>
      <c r="G104" s="80"/>
      <c r="L104" s="139"/>
      <c r="M104" s="139"/>
      <c r="N104" s="159"/>
      <c r="R104" s="706"/>
    </row>
    <row r="105" spans="2:18" ht="15" customHeight="1">
      <c r="B105" s="595"/>
      <c r="G105" s="80"/>
      <c r="L105" s="139"/>
      <c r="M105" s="139"/>
      <c r="N105" s="159"/>
      <c r="R105" s="706"/>
    </row>
    <row r="106" spans="2:18" ht="15" customHeight="1">
      <c r="B106" s="595"/>
      <c r="G106" s="80"/>
      <c r="L106" s="139"/>
      <c r="M106" s="139"/>
      <c r="N106" s="159"/>
      <c r="R106" s="706"/>
    </row>
    <row r="107" spans="2:18" ht="15" customHeight="1">
      <c r="B107" s="595"/>
      <c r="G107" s="80"/>
      <c r="L107" s="139"/>
      <c r="M107" s="139"/>
      <c r="N107" s="159"/>
      <c r="R107" s="706"/>
    </row>
    <row r="108" spans="2:18" ht="15" customHeight="1">
      <c r="B108" s="595"/>
      <c r="G108" s="80"/>
      <c r="L108" s="139"/>
      <c r="M108" s="139"/>
      <c r="N108" s="159"/>
      <c r="R108" s="706"/>
    </row>
    <row r="109" spans="2:18" ht="15" customHeight="1">
      <c r="B109" s="595"/>
      <c r="G109" s="80"/>
      <c r="L109" s="139"/>
      <c r="M109" s="139"/>
      <c r="N109" s="159"/>
      <c r="R109" s="706"/>
    </row>
    <row r="110" spans="2:18" ht="15" customHeight="1">
      <c r="B110" s="595"/>
      <c r="G110" s="80"/>
      <c r="L110" s="139"/>
      <c r="M110" s="139"/>
      <c r="N110" s="159"/>
      <c r="R110" s="706"/>
    </row>
    <row r="111" spans="2:18" ht="15" customHeight="1">
      <c r="B111" s="595"/>
      <c r="G111" s="80"/>
      <c r="L111" s="139"/>
      <c r="M111" s="139"/>
      <c r="N111" s="159"/>
      <c r="R111" s="706"/>
    </row>
    <row r="112" spans="2:18" ht="15" customHeight="1">
      <c r="B112" s="595"/>
      <c r="G112" s="80"/>
      <c r="L112" s="139"/>
      <c r="M112" s="139"/>
      <c r="N112" s="159"/>
      <c r="R112" s="706"/>
    </row>
    <row r="113" spans="2:18" ht="15" customHeight="1">
      <c r="B113" s="595"/>
      <c r="G113" s="80"/>
      <c r="L113" s="139"/>
      <c r="M113" s="139"/>
      <c r="N113" s="159"/>
      <c r="R113" s="706"/>
    </row>
    <row r="114" spans="2:18" ht="15" customHeight="1">
      <c r="B114" s="595"/>
      <c r="G114" s="80"/>
      <c r="L114" s="139"/>
      <c r="M114" s="139"/>
      <c r="N114" s="159"/>
      <c r="R114" s="706"/>
    </row>
    <row r="115" spans="2:18" ht="15" customHeight="1">
      <c r="B115" s="595"/>
      <c r="G115" s="80"/>
      <c r="L115" s="139"/>
      <c r="M115" s="139"/>
      <c r="N115" s="159"/>
      <c r="R115" s="706"/>
    </row>
    <row r="116" spans="2:18" ht="15" customHeight="1">
      <c r="B116" s="595"/>
      <c r="G116" s="80"/>
      <c r="L116" s="139"/>
      <c r="M116" s="139"/>
      <c r="N116" s="159"/>
      <c r="R116" s="706"/>
    </row>
    <row r="117" spans="2:18" ht="15" customHeight="1">
      <c r="B117" s="595"/>
      <c r="G117" s="80"/>
      <c r="L117" s="139"/>
      <c r="M117" s="139"/>
      <c r="N117" s="159"/>
      <c r="R117" s="706"/>
    </row>
    <row r="118" spans="2:18" ht="15" customHeight="1">
      <c r="B118" s="595"/>
      <c r="G118" s="80"/>
      <c r="L118" s="139"/>
      <c r="M118" s="139"/>
      <c r="N118" s="159"/>
      <c r="R118" s="706"/>
    </row>
    <row r="119" spans="2:18" ht="15" customHeight="1">
      <c r="B119" s="595"/>
      <c r="G119" s="80"/>
      <c r="L119" s="139"/>
      <c r="M119" s="139"/>
      <c r="N119" s="159"/>
      <c r="R119" s="706"/>
    </row>
    <row r="120" spans="2:18" ht="15" customHeight="1">
      <c r="B120" s="595"/>
      <c r="G120" s="80"/>
      <c r="L120" s="139"/>
      <c r="M120" s="139"/>
      <c r="N120" s="159"/>
      <c r="R120" s="706"/>
    </row>
    <row r="121" spans="2:18" ht="15" customHeight="1">
      <c r="B121" s="595"/>
      <c r="G121" s="80"/>
      <c r="L121" s="139"/>
      <c r="M121" s="139"/>
      <c r="N121" s="159"/>
      <c r="R121" s="706"/>
    </row>
    <row r="122" spans="2:18" ht="15" customHeight="1">
      <c r="B122" s="595"/>
      <c r="G122" s="80"/>
      <c r="L122" s="139"/>
      <c r="M122" s="139"/>
      <c r="N122" s="159"/>
      <c r="R122" s="706"/>
    </row>
    <row r="123" spans="2:18" ht="15" customHeight="1">
      <c r="B123" s="595"/>
      <c r="G123" s="80"/>
      <c r="L123" s="139"/>
      <c r="M123" s="139"/>
      <c r="N123" s="159"/>
      <c r="R123" s="706"/>
    </row>
    <row r="124" spans="2:18" ht="15" customHeight="1">
      <c r="B124" s="595"/>
      <c r="G124" s="80"/>
      <c r="L124" s="139"/>
      <c r="M124" s="139"/>
      <c r="N124" s="159"/>
      <c r="R124" s="706"/>
    </row>
    <row r="125" spans="2:18" ht="15" customHeight="1">
      <c r="B125" s="595"/>
      <c r="G125" s="80"/>
      <c r="L125" s="139"/>
      <c r="M125" s="139"/>
      <c r="N125" s="159"/>
      <c r="R125" s="706"/>
    </row>
    <row r="126" spans="2:18" ht="15" customHeight="1">
      <c r="B126" s="595"/>
      <c r="G126" s="80"/>
      <c r="L126" s="139"/>
      <c r="M126" s="139"/>
      <c r="N126" s="159"/>
      <c r="R126" s="706"/>
    </row>
    <row r="127" spans="2:18" ht="15" customHeight="1">
      <c r="B127" s="595"/>
      <c r="G127" s="80"/>
      <c r="L127" s="139"/>
      <c r="M127" s="139"/>
      <c r="N127" s="159"/>
      <c r="R127" s="706"/>
    </row>
    <row r="128" spans="2:18" ht="15" customHeight="1">
      <c r="B128" s="595"/>
      <c r="G128" s="80"/>
      <c r="L128" s="139"/>
      <c r="M128" s="139"/>
      <c r="N128" s="159"/>
      <c r="R128" s="706"/>
    </row>
    <row r="129" spans="2:18" ht="15" customHeight="1">
      <c r="B129" s="595"/>
      <c r="G129" s="80"/>
      <c r="L129" s="139"/>
      <c r="M129" s="139"/>
      <c r="N129" s="159"/>
      <c r="R129" s="706"/>
    </row>
    <row r="130" spans="2:18" ht="15" customHeight="1">
      <c r="B130" s="595"/>
      <c r="G130" s="80"/>
      <c r="L130" s="139"/>
      <c r="M130" s="139"/>
      <c r="N130" s="159"/>
      <c r="R130" s="706"/>
    </row>
    <row r="131" spans="2:18" ht="15" customHeight="1">
      <c r="B131" s="595"/>
      <c r="G131" s="80"/>
      <c r="L131" s="139"/>
      <c r="M131" s="139"/>
      <c r="N131" s="159"/>
      <c r="R131" s="706"/>
    </row>
    <row r="132" spans="2:18" ht="15" customHeight="1">
      <c r="B132" s="595"/>
      <c r="G132" s="80"/>
      <c r="L132" s="139"/>
      <c r="M132" s="139"/>
      <c r="N132" s="159"/>
      <c r="R132" s="706"/>
    </row>
    <row r="133" spans="2:18" ht="15" customHeight="1">
      <c r="B133" s="595"/>
      <c r="G133" s="80"/>
      <c r="L133" s="139"/>
      <c r="M133" s="139"/>
      <c r="N133" s="159"/>
      <c r="R133" s="706"/>
    </row>
    <row r="134" spans="2:18" ht="15" customHeight="1">
      <c r="B134" s="595"/>
      <c r="G134" s="80"/>
      <c r="L134" s="139"/>
      <c r="M134" s="139"/>
      <c r="N134" s="159"/>
      <c r="R134" s="706"/>
    </row>
    <row r="135" spans="2:18" ht="15" customHeight="1">
      <c r="B135" s="595"/>
      <c r="G135" s="80"/>
      <c r="L135" s="139"/>
      <c r="M135" s="139"/>
      <c r="N135" s="159"/>
      <c r="R135" s="706"/>
    </row>
    <row r="136" spans="2:18" ht="15" customHeight="1">
      <c r="B136" s="595"/>
      <c r="G136" s="80"/>
      <c r="L136" s="139"/>
      <c r="M136" s="139"/>
      <c r="N136" s="159"/>
      <c r="R136" s="706"/>
    </row>
    <row r="137" spans="2:18" ht="15" customHeight="1">
      <c r="B137" s="595"/>
      <c r="G137" s="80"/>
      <c r="L137" s="139"/>
      <c r="M137" s="139"/>
      <c r="N137" s="159"/>
      <c r="R137" s="706"/>
    </row>
    <row r="138" spans="2:18" ht="15" customHeight="1">
      <c r="B138" s="595"/>
      <c r="G138" s="80"/>
      <c r="L138" s="139"/>
      <c r="M138" s="139"/>
      <c r="N138" s="159"/>
      <c r="R138" s="706"/>
    </row>
    <row r="139" spans="2:18" ht="15" customHeight="1">
      <c r="B139" s="595"/>
      <c r="G139" s="80"/>
      <c r="L139" s="139"/>
      <c r="M139" s="139"/>
      <c r="N139" s="159"/>
      <c r="R139" s="706"/>
    </row>
    <row r="140" spans="2:18" ht="15" customHeight="1">
      <c r="B140" s="595"/>
      <c r="G140" s="80"/>
      <c r="L140" s="139"/>
      <c r="M140" s="139"/>
      <c r="N140" s="159"/>
      <c r="R140" s="706"/>
    </row>
    <row r="141" spans="2:18" ht="15" customHeight="1">
      <c r="B141" s="595"/>
      <c r="G141" s="80"/>
      <c r="L141" s="139"/>
      <c r="M141" s="139"/>
      <c r="N141" s="159"/>
      <c r="R141" s="706"/>
    </row>
    <row r="142" spans="2:18" ht="15" customHeight="1">
      <c r="B142" s="595"/>
      <c r="G142" s="80"/>
      <c r="L142" s="139"/>
      <c r="M142" s="139"/>
      <c r="N142" s="159"/>
      <c r="R142" s="706"/>
    </row>
    <row r="143" spans="2:18" ht="15" customHeight="1">
      <c r="B143" s="595"/>
      <c r="G143" s="80"/>
      <c r="L143" s="139"/>
      <c r="M143" s="139"/>
      <c r="N143" s="159"/>
      <c r="R143" s="706"/>
    </row>
    <row r="144" spans="2:18" ht="15" customHeight="1">
      <c r="B144" s="595"/>
      <c r="G144" s="80"/>
      <c r="L144" s="139"/>
      <c r="M144" s="139"/>
      <c r="N144" s="159"/>
      <c r="R144" s="706"/>
    </row>
    <row r="145" spans="2:18" ht="15" customHeight="1">
      <c r="B145" s="595"/>
      <c r="L145" s="139"/>
      <c r="M145" s="139"/>
      <c r="N145" s="159"/>
      <c r="R145" s="706"/>
    </row>
    <row r="146" spans="2:18" ht="15" customHeight="1">
      <c r="B146" s="595"/>
      <c r="L146" s="139"/>
      <c r="M146" s="139"/>
      <c r="N146" s="159"/>
      <c r="R146" s="706"/>
    </row>
    <row r="147" spans="2:18" ht="15" customHeight="1">
      <c r="B147" s="595"/>
      <c r="N147" s="159"/>
      <c r="R147" s="706"/>
    </row>
    <row r="148" spans="2:18" ht="15" customHeight="1">
      <c r="B148" s="595"/>
      <c r="N148" s="159"/>
      <c r="R148" s="706"/>
    </row>
    <row r="149" spans="2:18" ht="15" customHeight="1">
      <c r="B149" s="595"/>
      <c r="N149" s="159"/>
      <c r="R149" s="706"/>
    </row>
    <row r="150" spans="2:18" ht="15" customHeight="1">
      <c r="B150" s="595"/>
      <c r="N150" s="159"/>
      <c r="R150" s="706"/>
    </row>
    <row r="151" spans="2:18" ht="15" customHeight="1">
      <c r="B151" s="595"/>
      <c r="N151" s="159"/>
      <c r="R151" s="706"/>
    </row>
    <row r="152" spans="2:18" ht="15" customHeight="1">
      <c r="B152" s="595"/>
      <c r="N152" s="159"/>
      <c r="R152" s="706"/>
    </row>
    <row r="153" spans="2:18" ht="15" customHeight="1">
      <c r="B153" s="595"/>
      <c r="N153" s="159"/>
      <c r="R153" s="706"/>
    </row>
    <row r="154" spans="2:18" ht="15" customHeight="1">
      <c r="B154" s="595"/>
      <c r="N154" s="159"/>
      <c r="R154" s="706"/>
    </row>
    <row r="155" spans="2:18" ht="15" customHeight="1">
      <c r="B155" s="595"/>
      <c r="N155" s="159"/>
      <c r="R155" s="706"/>
    </row>
    <row r="156" spans="2:18" ht="15" customHeight="1">
      <c r="B156" s="595"/>
      <c r="N156" s="159"/>
      <c r="R156" s="706"/>
    </row>
    <row r="157" spans="2:18" ht="15" customHeight="1">
      <c r="B157" s="595"/>
      <c r="N157" s="159"/>
      <c r="R157" s="706"/>
    </row>
    <row r="158" spans="2:18" ht="15" customHeight="1">
      <c r="B158" s="595"/>
      <c r="N158" s="159"/>
      <c r="R158" s="706"/>
    </row>
    <row r="159" spans="2:18" ht="15" customHeight="1">
      <c r="B159" s="595"/>
      <c r="N159" s="159"/>
      <c r="R159" s="706"/>
    </row>
    <row r="160" spans="2:18" ht="15" customHeight="1">
      <c r="B160" s="595"/>
      <c r="N160" s="159"/>
      <c r="R160" s="706"/>
    </row>
    <row r="161" spans="2:18" ht="15" customHeight="1">
      <c r="B161" s="595"/>
      <c r="N161" s="159"/>
      <c r="R161" s="706"/>
    </row>
    <row r="162" spans="2:18" ht="15" customHeight="1">
      <c r="B162" s="595"/>
      <c r="N162" s="159"/>
      <c r="R162" s="706"/>
    </row>
    <row r="163" spans="2:18" ht="15" customHeight="1">
      <c r="B163" s="595"/>
      <c r="N163" s="159"/>
      <c r="R163" s="706"/>
    </row>
    <row r="164" spans="2:18" ht="15" customHeight="1">
      <c r="B164" s="595"/>
      <c r="N164" s="159"/>
      <c r="R164" s="706"/>
    </row>
    <row r="165" spans="2:18" ht="15" customHeight="1">
      <c r="B165" s="595"/>
      <c r="N165" s="159"/>
      <c r="R165" s="706"/>
    </row>
    <row r="166" spans="2:18" ht="15" customHeight="1">
      <c r="B166" s="595"/>
      <c r="N166" s="159"/>
      <c r="R166" s="706"/>
    </row>
    <row r="167" spans="2:18" ht="15" customHeight="1">
      <c r="B167" s="595"/>
      <c r="N167" s="159"/>
      <c r="R167" s="706"/>
    </row>
    <row r="168" spans="2:18" ht="15" customHeight="1">
      <c r="B168" s="595"/>
      <c r="N168" s="159"/>
      <c r="R168" s="706"/>
    </row>
    <row r="169" spans="2:18" ht="15" customHeight="1">
      <c r="B169" s="595"/>
      <c r="N169" s="159"/>
      <c r="R169" s="706"/>
    </row>
    <row r="170" spans="2:18" ht="15" customHeight="1">
      <c r="B170" s="595"/>
      <c r="N170" s="159"/>
      <c r="R170" s="706"/>
    </row>
    <row r="171" spans="2:18" ht="15" customHeight="1">
      <c r="B171" s="595"/>
      <c r="N171" s="159"/>
      <c r="R171" s="706"/>
    </row>
    <row r="172" spans="2:18" ht="15" customHeight="1">
      <c r="B172" s="595"/>
      <c r="N172" s="159"/>
      <c r="R172" s="706"/>
    </row>
    <row r="173" spans="2:18" ht="15" customHeight="1">
      <c r="B173" s="595"/>
      <c r="N173" s="159"/>
      <c r="R173" s="706"/>
    </row>
    <row r="174" spans="2:18" ht="15" customHeight="1">
      <c r="B174" s="595"/>
      <c r="N174" s="159"/>
      <c r="R174" s="706"/>
    </row>
    <row r="175" spans="2:18" ht="15" customHeight="1">
      <c r="B175" s="595"/>
      <c r="N175" s="159"/>
      <c r="R175" s="706"/>
    </row>
    <row r="176" spans="2:18" ht="15" customHeight="1">
      <c r="B176" s="595"/>
      <c r="N176" s="159"/>
      <c r="R176" s="706"/>
    </row>
    <row r="177" spans="2:18" ht="15" customHeight="1">
      <c r="B177" s="595"/>
      <c r="N177" s="159"/>
      <c r="R177" s="706"/>
    </row>
    <row r="178" spans="2:18" ht="15" customHeight="1">
      <c r="B178" s="595"/>
      <c r="N178" s="159"/>
      <c r="R178" s="706"/>
    </row>
    <row r="179" spans="2:18" ht="15" customHeight="1">
      <c r="B179" s="595"/>
      <c r="N179" s="159"/>
      <c r="R179" s="706"/>
    </row>
    <row r="180" spans="2:18" ht="15" customHeight="1">
      <c r="B180" s="595"/>
      <c r="N180" s="159"/>
      <c r="R180" s="706"/>
    </row>
    <row r="181" spans="2:18" ht="15" customHeight="1">
      <c r="B181" s="595"/>
      <c r="N181" s="159"/>
      <c r="R181" s="706"/>
    </row>
    <row r="182" spans="2:18" ht="15" customHeight="1">
      <c r="B182" s="595"/>
      <c r="N182" s="159"/>
      <c r="R182" s="706"/>
    </row>
    <row r="183" spans="2:18" ht="15" customHeight="1">
      <c r="B183" s="595"/>
      <c r="N183" s="159"/>
      <c r="R183" s="706"/>
    </row>
    <row r="184" spans="2:18" ht="15" customHeight="1">
      <c r="B184" s="595"/>
      <c r="N184" s="159"/>
      <c r="R184" s="706"/>
    </row>
    <row r="185" spans="2:18" ht="15" customHeight="1">
      <c r="B185" s="595"/>
      <c r="N185" s="159"/>
      <c r="R185" s="706"/>
    </row>
    <row r="186" spans="2:18" ht="15" customHeight="1">
      <c r="B186" s="595"/>
      <c r="N186" s="159"/>
      <c r="R186" s="706"/>
    </row>
    <row r="187" spans="2:18" ht="15" customHeight="1">
      <c r="B187" s="595"/>
      <c r="N187" s="159"/>
      <c r="R187" s="706"/>
    </row>
    <row r="188" spans="2:18" ht="15" customHeight="1">
      <c r="B188" s="595"/>
      <c r="N188" s="159"/>
      <c r="R188" s="706"/>
    </row>
    <row r="189" spans="2:18" ht="15" customHeight="1">
      <c r="B189" s="595"/>
      <c r="N189" s="159"/>
      <c r="R189" s="706"/>
    </row>
    <row r="190" spans="2:18" ht="15" customHeight="1">
      <c r="B190" s="595"/>
      <c r="N190" s="159"/>
      <c r="R190" s="706"/>
    </row>
    <row r="191" spans="2:18" ht="15" customHeight="1">
      <c r="B191" s="595"/>
      <c r="N191" s="159"/>
      <c r="R191" s="706"/>
    </row>
    <row r="192" spans="2:18" ht="15" customHeight="1">
      <c r="B192" s="595"/>
      <c r="N192" s="159"/>
      <c r="R192" s="706"/>
    </row>
    <row r="193" spans="2:18" ht="15" customHeight="1">
      <c r="B193" s="595"/>
      <c r="N193" s="159"/>
      <c r="R193" s="706"/>
    </row>
    <row r="194" spans="2:18" ht="15" customHeight="1">
      <c r="B194" s="595"/>
      <c r="N194" s="159"/>
      <c r="R194" s="706"/>
    </row>
    <row r="195" spans="2:18" ht="15" customHeight="1">
      <c r="B195" s="595"/>
      <c r="N195" s="159"/>
      <c r="R195" s="706"/>
    </row>
    <row r="196" spans="2:18" ht="15" customHeight="1">
      <c r="B196" s="595"/>
      <c r="N196" s="159"/>
      <c r="R196" s="706"/>
    </row>
    <row r="197" spans="2:18" ht="15" customHeight="1">
      <c r="B197" s="595"/>
      <c r="N197" s="159"/>
      <c r="R197" s="706"/>
    </row>
    <row r="198" spans="2:18" ht="15" customHeight="1">
      <c r="B198" s="595"/>
      <c r="N198" s="159"/>
      <c r="R198" s="706"/>
    </row>
    <row r="199" spans="2:18" ht="15" customHeight="1">
      <c r="B199" s="595"/>
      <c r="N199" s="159"/>
      <c r="R199" s="706"/>
    </row>
    <row r="200" spans="2:18" ht="15" customHeight="1">
      <c r="B200" s="595"/>
      <c r="N200" s="159"/>
      <c r="R200" s="706"/>
    </row>
    <row r="201" spans="2:18" ht="15" customHeight="1">
      <c r="B201" s="595"/>
      <c r="N201" s="159"/>
      <c r="R201" s="706"/>
    </row>
    <row r="202" spans="2:18" ht="15" customHeight="1">
      <c r="B202" s="595"/>
      <c r="N202" s="159"/>
      <c r="R202" s="706"/>
    </row>
    <row r="203" spans="2:18" ht="15" customHeight="1">
      <c r="B203" s="595"/>
      <c r="N203" s="159"/>
      <c r="R203" s="706"/>
    </row>
    <row r="204" spans="2:18" ht="15" customHeight="1">
      <c r="B204" s="595"/>
      <c r="N204" s="159"/>
      <c r="R204" s="706"/>
    </row>
    <row r="205" spans="2:18" ht="15" customHeight="1">
      <c r="B205" s="595"/>
      <c r="N205" s="159"/>
      <c r="R205" s="706"/>
    </row>
    <row r="206" spans="2:18" ht="15" customHeight="1">
      <c r="B206" s="595"/>
      <c r="N206" s="159"/>
      <c r="R206" s="706"/>
    </row>
    <row r="207" spans="2:18" ht="15" customHeight="1">
      <c r="B207" s="595"/>
      <c r="N207" s="159"/>
      <c r="R207" s="706"/>
    </row>
    <row r="208" spans="2:18" ht="15" customHeight="1">
      <c r="B208" s="595"/>
      <c r="N208" s="159"/>
      <c r="R208" s="706"/>
    </row>
    <row r="209" spans="2:18" ht="15" customHeight="1">
      <c r="B209" s="595"/>
      <c r="N209" s="159"/>
      <c r="R209" s="706"/>
    </row>
    <row r="210" spans="2:18" ht="15" customHeight="1">
      <c r="B210" s="595"/>
      <c r="N210" s="159"/>
      <c r="R210" s="706"/>
    </row>
    <row r="211" spans="2:18" ht="15" customHeight="1">
      <c r="B211" s="595"/>
      <c r="N211" s="159"/>
      <c r="R211" s="706"/>
    </row>
    <row r="212" spans="2:18" ht="15" customHeight="1">
      <c r="B212" s="595"/>
      <c r="N212" s="159"/>
      <c r="R212" s="706"/>
    </row>
    <row r="213" spans="2:18" ht="15" customHeight="1">
      <c r="B213" s="595"/>
      <c r="N213" s="159"/>
      <c r="R213" s="706"/>
    </row>
    <row r="214" spans="2:18" ht="15" customHeight="1">
      <c r="B214" s="595"/>
      <c r="N214" s="159"/>
      <c r="R214" s="706"/>
    </row>
    <row r="215" spans="2:18" ht="15" customHeight="1">
      <c r="B215" s="595"/>
      <c r="N215" s="159"/>
      <c r="R215" s="706"/>
    </row>
    <row r="216" spans="2:18" ht="15" customHeight="1">
      <c r="B216" s="595"/>
      <c r="N216" s="159"/>
      <c r="R216" s="706"/>
    </row>
    <row r="217" spans="2:18" ht="15" customHeight="1">
      <c r="B217" s="595"/>
      <c r="N217" s="159"/>
      <c r="R217" s="706"/>
    </row>
    <row r="218" spans="2:18" ht="15" customHeight="1">
      <c r="B218" s="595"/>
      <c r="N218" s="159"/>
      <c r="R218" s="706"/>
    </row>
    <row r="219" spans="2:18" ht="15" customHeight="1">
      <c r="B219" s="595"/>
      <c r="N219" s="159"/>
      <c r="R219" s="706"/>
    </row>
    <row r="220" spans="2:18" ht="15" customHeight="1">
      <c r="B220" s="595"/>
      <c r="N220" s="159"/>
      <c r="R220" s="706"/>
    </row>
    <row r="221" spans="2:18" ht="15" customHeight="1">
      <c r="B221" s="595"/>
      <c r="N221" s="159"/>
    </row>
    <row r="222" spans="2:18" ht="15" customHeight="1">
      <c r="B222" s="595"/>
      <c r="N222" s="159"/>
    </row>
    <row r="223" spans="2:18" ht="15" customHeight="1">
      <c r="B223" s="595"/>
      <c r="N223" s="159"/>
    </row>
    <row r="224" spans="2:18" ht="15" customHeight="1">
      <c r="B224" s="595"/>
      <c r="N224" s="159"/>
    </row>
    <row r="225" spans="2:14" ht="15" customHeight="1">
      <c r="B225" s="595"/>
      <c r="N225" s="159"/>
    </row>
    <row r="226" spans="2:14" ht="15" customHeight="1">
      <c r="B226" s="595"/>
      <c r="N226" s="159"/>
    </row>
    <row r="227" spans="2:14" ht="15" customHeight="1">
      <c r="B227" s="595"/>
      <c r="N227" s="159"/>
    </row>
    <row r="228" spans="2:14" ht="15" customHeight="1">
      <c r="B228" s="595"/>
      <c r="N228" s="159"/>
    </row>
    <row r="229" spans="2:14" ht="15" customHeight="1">
      <c r="B229" s="595"/>
      <c r="N229" s="159"/>
    </row>
    <row r="230" spans="2:14" ht="15" customHeight="1">
      <c r="B230" s="595"/>
      <c r="N230" s="159"/>
    </row>
    <row r="231" spans="2:14" ht="15" customHeight="1">
      <c r="B231" s="595"/>
      <c r="N231" s="159"/>
    </row>
    <row r="232" spans="2:14" ht="15" customHeight="1">
      <c r="B232" s="595"/>
      <c r="N232" s="159"/>
    </row>
    <row r="233" spans="2:14" ht="15" customHeight="1">
      <c r="B233" s="595"/>
      <c r="N233" s="159"/>
    </row>
    <row r="234" spans="2:14" ht="15" customHeight="1">
      <c r="B234" s="595"/>
      <c r="N234" s="159"/>
    </row>
    <row r="235" spans="2:14" ht="15" customHeight="1">
      <c r="B235" s="595"/>
      <c r="N235" s="159"/>
    </row>
    <row r="236" spans="2:14" ht="15" customHeight="1">
      <c r="B236" s="595"/>
      <c r="N236" s="159"/>
    </row>
    <row r="237" spans="2:14" ht="15" customHeight="1">
      <c r="B237" s="595"/>
      <c r="N237" s="159"/>
    </row>
    <row r="238" spans="2:14" ht="15" customHeight="1">
      <c r="B238" s="595"/>
      <c r="N238" s="159"/>
    </row>
    <row r="239" spans="2:14" ht="15" customHeight="1">
      <c r="B239" s="595"/>
      <c r="N239" s="159"/>
    </row>
    <row r="240" spans="2:14" ht="15" customHeight="1">
      <c r="B240" s="595"/>
      <c r="N240" s="159"/>
    </row>
    <row r="241" spans="2:14" ht="15" customHeight="1">
      <c r="B241" s="595"/>
      <c r="N241" s="159"/>
    </row>
    <row r="242" spans="2:14" ht="15" customHeight="1">
      <c r="B242" s="595"/>
      <c r="N242" s="159"/>
    </row>
    <row r="243" spans="2:14" ht="15" customHeight="1">
      <c r="B243" s="595"/>
      <c r="N243" s="159"/>
    </row>
    <row r="244" spans="2:14" ht="15" customHeight="1">
      <c r="B244" s="595"/>
      <c r="N244" s="159"/>
    </row>
    <row r="245" spans="2:14" ht="15" customHeight="1">
      <c r="B245" s="595"/>
      <c r="N245" s="159"/>
    </row>
    <row r="246" spans="2:14" ht="15" customHeight="1">
      <c r="B246" s="595"/>
      <c r="N246" s="159"/>
    </row>
    <row r="247" spans="2:14" ht="15" customHeight="1">
      <c r="B247" s="595"/>
      <c r="N247" s="159"/>
    </row>
    <row r="248" spans="2:14" ht="15" customHeight="1">
      <c r="B248" s="595"/>
      <c r="N248" s="159"/>
    </row>
    <row r="249" spans="2:14" ht="15" customHeight="1">
      <c r="B249" s="595"/>
      <c r="N249" s="159"/>
    </row>
    <row r="250" spans="2:14" ht="15" customHeight="1">
      <c r="B250" s="595"/>
      <c r="N250" s="159"/>
    </row>
    <row r="251" spans="2:14" ht="15" customHeight="1">
      <c r="B251" s="595"/>
      <c r="N251" s="159"/>
    </row>
    <row r="252" spans="2:14" ht="15" customHeight="1">
      <c r="B252" s="595"/>
      <c r="N252" s="159"/>
    </row>
    <row r="253" spans="2:14" ht="15" customHeight="1">
      <c r="B253" s="595"/>
      <c r="N253" s="159"/>
    </row>
    <row r="254" spans="2:14" ht="15" customHeight="1">
      <c r="B254" s="595"/>
      <c r="N254" s="159"/>
    </row>
    <row r="255" spans="2:14" ht="15" customHeight="1">
      <c r="B255" s="595"/>
      <c r="N255" s="159"/>
    </row>
    <row r="256" spans="2:14" ht="15" customHeight="1">
      <c r="B256" s="595"/>
      <c r="N256" s="159"/>
    </row>
    <row r="257" spans="2:14" ht="15" customHeight="1">
      <c r="B257" s="595"/>
      <c r="N257" s="159"/>
    </row>
    <row r="258" spans="2:14" ht="15" customHeight="1">
      <c r="B258" s="595"/>
      <c r="N258" s="159"/>
    </row>
    <row r="259" spans="2:14" ht="15" customHeight="1">
      <c r="B259" s="595"/>
      <c r="N259" s="159"/>
    </row>
    <row r="260" spans="2:14" ht="15" customHeight="1">
      <c r="B260" s="595"/>
      <c r="N260" s="159"/>
    </row>
    <row r="261" spans="2:14" ht="15" customHeight="1">
      <c r="B261" s="595"/>
      <c r="N261" s="159"/>
    </row>
    <row r="262" spans="2:14" ht="15" customHeight="1">
      <c r="B262" s="595"/>
      <c r="N262" s="159"/>
    </row>
    <row r="263" spans="2:14" ht="15" customHeight="1">
      <c r="B263" s="595"/>
      <c r="N263" s="159"/>
    </row>
    <row r="264" spans="2:14" ht="15" customHeight="1">
      <c r="B264" s="595"/>
      <c r="N264" s="159"/>
    </row>
    <row r="265" spans="2:14" ht="15" customHeight="1">
      <c r="B265" s="595"/>
      <c r="N265" s="159"/>
    </row>
    <row r="266" spans="2:14" ht="15" customHeight="1">
      <c r="B266" s="595"/>
      <c r="N266" s="159"/>
    </row>
    <row r="267" spans="2:14" ht="15" customHeight="1">
      <c r="B267" s="595"/>
      <c r="N267" s="159"/>
    </row>
    <row r="268" spans="2:14" ht="15" customHeight="1">
      <c r="B268" s="595"/>
      <c r="N268" s="159"/>
    </row>
    <row r="269" spans="2:14" ht="15" customHeight="1">
      <c r="B269" s="595"/>
      <c r="N269" s="159"/>
    </row>
    <row r="270" spans="2:14" ht="15" customHeight="1">
      <c r="B270" s="595"/>
      <c r="N270" s="159"/>
    </row>
    <row r="271" spans="2:14" ht="15" customHeight="1">
      <c r="B271" s="595"/>
      <c r="N271" s="159"/>
    </row>
    <row r="272" spans="2:14" ht="15" customHeight="1">
      <c r="B272" s="595"/>
      <c r="N272" s="159"/>
    </row>
    <row r="273" spans="2:14" ht="15" customHeight="1">
      <c r="B273" s="595"/>
      <c r="N273" s="159"/>
    </row>
    <row r="274" spans="2:14" ht="15" customHeight="1">
      <c r="B274" s="595"/>
      <c r="N274" s="159"/>
    </row>
    <row r="275" spans="2:14" ht="15" customHeight="1">
      <c r="B275" s="595"/>
      <c r="N275" s="159"/>
    </row>
    <row r="276" spans="2:14" ht="15" customHeight="1">
      <c r="B276" s="595"/>
      <c r="N276" s="159"/>
    </row>
    <row r="277" spans="2:14" ht="15" customHeight="1">
      <c r="B277" s="595"/>
      <c r="N277" s="159"/>
    </row>
    <row r="278" spans="2:14" ht="15" customHeight="1">
      <c r="B278" s="595"/>
      <c r="N278" s="159"/>
    </row>
    <row r="279" spans="2:14" ht="15" customHeight="1">
      <c r="B279" s="595"/>
      <c r="N279" s="159"/>
    </row>
    <row r="280" spans="2:14" ht="15" customHeight="1">
      <c r="B280" s="595"/>
      <c r="N280" s="159"/>
    </row>
    <row r="281" spans="2:14" ht="15" customHeight="1">
      <c r="B281" s="595"/>
      <c r="N281" s="159"/>
    </row>
    <row r="282" spans="2:14" ht="15" customHeight="1">
      <c r="B282" s="595"/>
      <c r="N282" s="159"/>
    </row>
    <row r="283" spans="2:14" ht="15" customHeight="1">
      <c r="B283" s="595"/>
      <c r="N283" s="159"/>
    </row>
    <row r="284" spans="2:14" ht="15" customHeight="1">
      <c r="B284" s="595"/>
      <c r="N284" s="159"/>
    </row>
    <row r="285" spans="2:14" ht="15" customHeight="1">
      <c r="B285" s="595"/>
      <c r="N285" s="159"/>
    </row>
    <row r="286" spans="2:14" ht="15" customHeight="1">
      <c r="B286" s="595"/>
      <c r="N286" s="159"/>
    </row>
    <row r="287" spans="2:14" ht="15" customHeight="1">
      <c r="B287" s="595"/>
      <c r="N287" s="159"/>
    </row>
    <row r="288" spans="2:14" ht="15" customHeight="1">
      <c r="B288" s="595"/>
      <c r="N288" s="159"/>
    </row>
    <row r="289" spans="2:14" ht="15" customHeight="1">
      <c r="B289" s="595"/>
      <c r="N289" s="159"/>
    </row>
    <row r="290" spans="2:14" ht="15" customHeight="1">
      <c r="B290" s="595"/>
      <c r="N290" s="159"/>
    </row>
    <row r="291" spans="2:14" ht="15" customHeight="1">
      <c r="B291" s="595"/>
      <c r="N291" s="159"/>
    </row>
    <row r="292" spans="2:14" ht="15" customHeight="1">
      <c r="B292" s="595"/>
      <c r="N292" s="159"/>
    </row>
    <row r="293" spans="2:14" ht="15" customHeight="1">
      <c r="B293" s="595"/>
      <c r="N293" s="159"/>
    </row>
    <row r="294" spans="2:14" ht="15" customHeight="1">
      <c r="B294" s="595"/>
      <c r="N294" s="159"/>
    </row>
    <row r="295" spans="2:14" ht="15" customHeight="1">
      <c r="B295" s="595"/>
      <c r="N295" s="159"/>
    </row>
    <row r="296" spans="2:14" ht="15" customHeight="1">
      <c r="B296" s="595"/>
      <c r="N296" s="159"/>
    </row>
    <row r="297" spans="2:14" ht="15" customHeight="1">
      <c r="B297" s="595"/>
      <c r="N297" s="159"/>
    </row>
    <row r="298" spans="2:14" ht="15" customHeight="1">
      <c r="B298" s="595"/>
      <c r="N298" s="159"/>
    </row>
    <row r="299" spans="2:14" ht="15" customHeight="1">
      <c r="B299" s="595"/>
      <c r="N299" s="159"/>
    </row>
    <row r="300" spans="2:14" ht="15" customHeight="1">
      <c r="B300" s="595"/>
      <c r="N300" s="159"/>
    </row>
    <row r="301" spans="2:14" ht="15" customHeight="1">
      <c r="B301" s="595"/>
      <c r="N301" s="159"/>
    </row>
    <row r="302" spans="2:14" ht="15" customHeight="1">
      <c r="B302" s="595"/>
      <c r="N302" s="159"/>
    </row>
    <row r="303" spans="2:14" ht="15" customHeight="1">
      <c r="B303" s="595"/>
      <c r="N303" s="159"/>
    </row>
    <row r="304" spans="2:14" ht="15" customHeight="1">
      <c r="B304" s="595"/>
      <c r="N304" s="159"/>
    </row>
    <row r="305" spans="2:14" ht="15" customHeight="1">
      <c r="B305" s="595"/>
      <c r="N305" s="159"/>
    </row>
    <row r="306" spans="2:14" ht="15" customHeight="1">
      <c r="B306" s="595"/>
      <c r="N306" s="159"/>
    </row>
    <row r="307" spans="2:14" ht="15" customHeight="1">
      <c r="B307" s="595"/>
      <c r="N307" s="159"/>
    </row>
    <row r="308" spans="2:14" ht="15" customHeight="1">
      <c r="B308" s="595"/>
      <c r="N308" s="159"/>
    </row>
    <row r="309" spans="2:14" ht="15" customHeight="1">
      <c r="B309" s="595"/>
      <c r="N309" s="159"/>
    </row>
    <row r="310" spans="2:14" ht="15" customHeight="1">
      <c r="B310" s="595"/>
      <c r="N310" s="159"/>
    </row>
    <row r="311" spans="2:14" ht="15" customHeight="1">
      <c r="B311" s="595"/>
      <c r="N311" s="159"/>
    </row>
    <row r="312" spans="2:14" ht="15" customHeight="1">
      <c r="B312" s="595"/>
      <c r="N312" s="159"/>
    </row>
    <row r="313" spans="2:14" ht="15" customHeight="1">
      <c r="B313" s="595"/>
      <c r="N313" s="159"/>
    </row>
    <row r="314" spans="2:14" ht="15" customHeight="1">
      <c r="B314" s="595"/>
      <c r="N314" s="159"/>
    </row>
    <row r="315" spans="2:14" ht="15" customHeight="1">
      <c r="B315" s="595"/>
      <c r="N315" s="159"/>
    </row>
    <row r="316" spans="2:14" ht="15" customHeight="1">
      <c r="B316" s="595"/>
      <c r="N316" s="159"/>
    </row>
    <row r="317" spans="2:14" ht="15" customHeight="1">
      <c r="B317" s="595"/>
      <c r="N317" s="159"/>
    </row>
    <row r="318" spans="2:14" ht="15" customHeight="1">
      <c r="B318" s="595"/>
      <c r="N318" s="159"/>
    </row>
    <row r="319" spans="2:14" ht="15" customHeight="1">
      <c r="B319" s="595"/>
      <c r="N319" s="159"/>
    </row>
    <row r="320" spans="2:14" ht="15" customHeight="1">
      <c r="B320" s="595"/>
      <c r="N320" s="159"/>
    </row>
    <row r="321" spans="2:14" ht="15" customHeight="1">
      <c r="B321" s="595"/>
      <c r="N321" s="159"/>
    </row>
    <row r="322" spans="2:14" ht="15" customHeight="1">
      <c r="B322" s="595"/>
      <c r="N322" s="159"/>
    </row>
    <row r="323" spans="2:14" ht="15" customHeight="1">
      <c r="B323" s="595"/>
      <c r="N323" s="159"/>
    </row>
    <row r="324" spans="2:14" ht="15" customHeight="1">
      <c r="B324" s="595"/>
      <c r="N324" s="159"/>
    </row>
    <row r="325" spans="2:14" ht="15" customHeight="1">
      <c r="B325" s="595"/>
      <c r="N325" s="159"/>
    </row>
    <row r="326" spans="2:14" ht="15" customHeight="1">
      <c r="B326" s="595"/>
      <c r="N326" s="159"/>
    </row>
    <row r="327" spans="2:14" ht="15" customHeight="1">
      <c r="B327" s="595"/>
      <c r="N327" s="159"/>
    </row>
    <row r="328" spans="2:14" ht="15" customHeight="1">
      <c r="B328" s="595"/>
      <c r="N328" s="159"/>
    </row>
    <row r="329" spans="2:14" ht="15" customHeight="1">
      <c r="B329" s="595"/>
      <c r="N329" s="159"/>
    </row>
    <row r="330" spans="2:14" ht="15" customHeight="1">
      <c r="B330" s="595"/>
      <c r="N330" s="159"/>
    </row>
    <row r="331" spans="2:14" ht="15" customHeight="1">
      <c r="B331" s="595"/>
      <c r="N331" s="159"/>
    </row>
    <row r="332" spans="2:14" ht="15" customHeight="1">
      <c r="B332" s="595"/>
      <c r="N332" s="159"/>
    </row>
    <row r="333" spans="2:14" ht="15" customHeight="1">
      <c r="B333" s="595"/>
      <c r="N333" s="159"/>
    </row>
    <row r="334" spans="2:14" ht="15" customHeight="1">
      <c r="B334" s="595"/>
      <c r="N334" s="159"/>
    </row>
    <row r="335" spans="2:14" ht="15" customHeight="1">
      <c r="B335" s="595"/>
      <c r="N335" s="159"/>
    </row>
    <row r="336" spans="2:14" ht="15" customHeight="1">
      <c r="B336" s="595"/>
      <c r="N336" s="159"/>
    </row>
    <row r="337" spans="2:14" ht="15" customHeight="1">
      <c r="B337" s="595"/>
      <c r="N337" s="159"/>
    </row>
    <row r="338" spans="2:14" ht="15" customHeight="1">
      <c r="B338" s="595"/>
      <c r="N338" s="159"/>
    </row>
    <row r="339" spans="2:14" ht="15" customHeight="1">
      <c r="B339" s="595"/>
      <c r="N339" s="159"/>
    </row>
    <row r="340" spans="2:14" ht="15" customHeight="1">
      <c r="B340" s="595"/>
      <c r="N340" s="159"/>
    </row>
    <row r="341" spans="2:14" ht="15" customHeight="1">
      <c r="B341" s="595"/>
      <c r="N341" s="159"/>
    </row>
    <row r="342" spans="2:14" ht="15" customHeight="1">
      <c r="B342" s="595"/>
      <c r="N342" s="159"/>
    </row>
    <row r="343" spans="2:14" ht="15" customHeight="1">
      <c r="B343" s="595"/>
      <c r="N343" s="159"/>
    </row>
    <row r="344" spans="2:14" ht="15" customHeight="1">
      <c r="B344" s="595"/>
      <c r="N344" s="159"/>
    </row>
    <row r="345" spans="2:14" ht="15" customHeight="1">
      <c r="B345" s="595"/>
      <c r="N345" s="159"/>
    </row>
    <row r="346" spans="2:14" ht="15" customHeight="1">
      <c r="B346" s="595"/>
      <c r="N346" s="159"/>
    </row>
    <row r="347" spans="2:14" ht="15" customHeight="1">
      <c r="B347" s="595"/>
      <c r="N347" s="159"/>
    </row>
    <row r="348" spans="2:14" ht="15" customHeight="1">
      <c r="B348" s="595"/>
      <c r="N348" s="159"/>
    </row>
    <row r="349" spans="2:14" ht="15" customHeight="1">
      <c r="B349" s="595"/>
      <c r="N349" s="159"/>
    </row>
    <row r="350" spans="2:14" ht="15" customHeight="1">
      <c r="B350" s="595"/>
      <c r="N350" s="159"/>
    </row>
    <row r="351" spans="2:14" ht="15" customHeight="1">
      <c r="B351" s="595"/>
      <c r="N351" s="159"/>
    </row>
    <row r="352" spans="2:14" ht="15" customHeight="1">
      <c r="B352" s="595"/>
      <c r="N352" s="159"/>
    </row>
    <row r="353" spans="2:14" ht="15" customHeight="1">
      <c r="B353" s="595"/>
      <c r="N353" s="159"/>
    </row>
    <row r="354" spans="2:14" ht="15" customHeight="1">
      <c r="B354" s="595"/>
      <c r="N354" s="159"/>
    </row>
    <row r="355" spans="2:14" ht="15" customHeight="1">
      <c r="B355" s="595"/>
      <c r="N355" s="159"/>
    </row>
    <row r="356" spans="2:14" ht="15" customHeight="1">
      <c r="B356" s="595"/>
      <c r="N356" s="159"/>
    </row>
    <row r="357" spans="2:14" ht="15" customHeight="1">
      <c r="B357" s="595"/>
      <c r="N357" s="159"/>
    </row>
    <row r="358" spans="2:14" ht="15" customHeight="1">
      <c r="B358" s="595"/>
      <c r="N358" s="159"/>
    </row>
    <row r="359" spans="2:14" ht="15" customHeight="1">
      <c r="B359" s="595"/>
      <c r="N359" s="159"/>
    </row>
    <row r="360" spans="2:14" ht="15" customHeight="1">
      <c r="B360" s="595"/>
      <c r="N360" s="159"/>
    </row>
    <row r="361" spans="2:14" ht="15" customHeight="1">
      <c r="N361" s="159"/>
    </row>
    <row r="362" spans="2:14" ht="15" customHeight="1">
      <c r="N362" s="159"/>
    </row>
    <row r="363" spans="2:14" ht="15" customHeight="1">
      <c r="N363" s="159"/>
    </row>
    <row r="364" spans="2:14" ht="15" customHeight="1">
      <c r="N364" s="159"/>
    </row>
    <row r="365" spans="2:14" ht="15" customHeight="1">
      <c r="N365" s="159"/>
    </row>
    <row r="366" spans="2:14" ht="15" customHeight="1">
      <c r="N366" s="159"/>
    </row>
    <row r="367" spans="2:14" ht="15" customHeight="1">
      <c r="N367" s="159"/>
    </row>
    <row r="368" spans="2:14" ht="15" customHeight="1">
      <c r="N368" s="159"/>
    </row>
    <row r="369" spans="14:14" ht="15" customHeight="1">
      <c r="N369" s="159"/>
    </row>
    <row r="370" spans="14:14" ht="15" customHeight="1">
      <c r="N370" s="159"/>
    </row>
    <row r="371" spans="14:14" ht="15" customHeight="1">
      <c r="N371" s="159"/>
    </row>
    <row r="372" spans="14:14" ht="15" customHeight="1">
      <c r="N372" s="159"/>
    </row>
    <row r="373" spans="14:14" ht="15" customHeight="1">
      <c r="N373" s="159"/>
    </row>
    <row r="374" spans="14:14" ht="15" customHeight="1">
      <c r="N374" s="159"/>
    </row>
    <row r="375" spans="14:14" ht="15" customHeight="1">
      <c r="N375" s="159"/>
    </row>
    <row r="376" spans="14:14" ht="15" customHeight="1">
      <c r="N376" s="159"/>
    </row>
    <row r="377" spans="14:14" ht="15" customHeight="1">
      <c r="N377" s="159"/>
    </row>
    <row r="378" spans="14:14" ht="15" customHeight="1">
      <c r="N378" s="159"/>
    </row>
    <row r="379" spans="14:14" ht="15" customHeight="1">
      <c r="N379" s="159"/>
    </row>
    <row r="380" spans="14:14" ht="15" customHeight="1">
      <c r="N380" s="159"/>
    </row>
    <row r="381" spans="14:14" ht="15" customHeight="1">
      <c r="N381" s="159"/>
    </row>
    <row r="382" spans="14:14" ht="15" customHeight="1">
      <c r="N382" s="159"/>
    </row>
    <row r="383" spans="14:14" ht="15" customHeight="1">
      <c r="N383" s="159"/>
    </row>
    <row r="384" spans="14:14" ht="15" customHeight="1">
      <c r="N384" s="159"/>
    </row>
    <row r="385" spans="14:14" ht="15" customHeight="1">
      <c r="N385" s="159"/>
    </row>
    <row r="386" spans="14:14" ht="15" customHeight="1">
      <c r="N386" s="159"/>
    </row>
    <row r="387" spans="14:14" ht="15" customHeight="1">
      <c r="N387" s="159"/>
    </row>
    <row r="388" spans="14:14" ht="15" customHeight="1">
      <c r="N388" s="159"/>
    </row>
    <row r="389" spans="14:14" ht="15" customHeight="1">
      <c r="N389" s="159"/>
    </row>
    <row r="390" spans="14:14" ht="15" customHeight="1">
      <c r="N390" s="159"/>
    </row>
    <row r="391" spans="14:14" ht="15" customHeight="1">
      <c r="N391" s="159"/>
    </row>
    <row r="392" spans="14:14" ht="15" customHeight="1">
      <c r="N392" s="159"/>
    </row>
    <row r="393" spans="14:14" ht="15" customHeight="1">
      <c r="N393" s="159"/>
    </row>
    <row r="394" spans="14:14" ht="15" customHeight="1">
      <c r="N394" s="159"/>
    </row>
    <row r="395" spans="14:14" ht="15" customHeight="1">
      <c r="N395" s="159"/>
    </row>
    <row r="396" spans="14:14" ht="15" customHeight="1">
      <c r="N396" s="159"/>
    </row>
    <row r="397" spans="14:14" ht="15" customHeight="1">
      <c r="N397" s="159"/>
    </row>
    <row r="398" spans="14:14" ht="15" customHeight="1">
      <c r="N398" s="159"/>
    </row>
    <row r="399" spans="14:14" ht="15" customHeight="1">
      <c r="N399" s="159"/>
    </row>
    <row r="400" spans="14:14" ht="15" customHeight="1">
      <c r="N400" s="159"/>
    </row>
    <row r="401" spans="14:14" ht="15" customHeight="1">
      <c r="N401" s="159"/>
    </row>
    <row r="402" spans="14:14" ht="15" customHeight="1">
      <c r="N402" s="159"/>
    </row>
    <row r="403" spans="14:14" ht="15" customHeight="1">
      <c r="N403" s="159"/>
    </row>
    <row r="404" spans="14:14" ht="15" customHeight="1">
      <c r="N404" s="159"/>
    </row>
    <row r="405" spans="14:14" ht="15" customHeight="1">
      <c r="N405" s="159"/>
    </row>
    <row r="406" spans="14:14" ht="15" customHeight="1">
      <c r="N406" s="159"/>
    </row>
    <row r="407" spans="14:14" ht="15" customHeight="1">
      <c r="N407" s="159"/>
    </row>
    <row r="408" spans="14:14" ht="15" customHeight="1">
      <c r="N408" s="159"/>
    </row>
    <row r="409" spans="14:14" ht="15" customHeight="1">
      <c r="N409" s="159"/>
    </row>
    <row r="410" spans="14:14" ht="15" customHeight="1">
      <c r="N410" s="159"/>
    </row>
    <row r="411" spans="14:14" ht="15" customHeight="1">
      <c r="N411" s="159"/>
    </row>
    <row r="412" spans="14:14" ht="15" customHeight="1">
      <c r="N412" s="159"/>
    </row>
    <row r="413" spans="14:14" ht="15" customHeight="1">
      <c r="N413" s="159"/>
    </row>
    <row r="414" spans="14:14" ht="15" customHeight="1">
      <c r="N414" s="159"/>
    </row>
    <row r="415" spans="14:14" ht="15" customHeight="1">
      <c r="N415" s="159"/>
    </row>
    <row r="416" spans="14:14" ht="15" customHeight="1">
      <c r="N416" s="159"/>
    </row>
    <row r="417" spans="14:14" ht="15" customHeight="1">
      <c r="N417" s="159"/>
    </row>
    <row r="418" spans="14:14" ht="15" customHeight="1">
      <c r="N418" s="159"/>
    </row>
    <row r="419" spans="14:14" ht="15" customHeight="1">
      <c r="N419" s="159"/>
    </row>
    <row r="420" spans="14:14" ht="15" customHeight="1">
      <c r="N420" s="159"/>
    </row>
    <row r="421" spans="14:14" ht="15" customHeight="1">
      <c r="N421" s="159"/>
    </row>
    <row r="422" spans="14:14" ht="15" customHeight="1">
      <c r="N422" s="159"/>
    </row>
    <row r="423" spans="14:14" ht="15" customHeight="1">
      <c r="N423" s="159"/>
    </row>
    <row r="424" spans="14:14" ht="15" customHeight="1">
      <c r="N424" s="159"/>
    </row>
    <row r="425" spans="14:14" ht="15" customHeight="1">
      <c r="N425" s="159"/>
    </row>
    <row r="426" spans="14:14" ht="15" customHeight="1">
      <c r="N426" s="159"/>
    </row>
    <row r="427" spans="14:14" ht="15" customHeight="1">
      <c r="N427" s="159"/>
    </row>
    <row r="428" spans="14:14" ht="15" customHeight="1">
      <c r="N428" s="159"/>
    </row>
    <row r="429" spans="14:14" ht="15" customHeight="1">
      <c r="N429" s="159"/>
    </row>
    <row r="430" spans="14:14" ht="15" customHeight="1">
      <c r="N430" s="159"/>
    </row>
    <row r="431" spans="14:14" ht="15" customHeight="1">
      <c r="N431" s="159"/>
    </row>
    <row r="432" spans="14:14" ht="15" customHeight="1">
      <c r="N432" s="159"/>
    </row>
    <row r="433" spans="14:14" ht="15" customHeight="1">
      <c r="N433" s="159"/>
    </row>
    <row r="434" spans="14:14" ht="15" customHeight="1">
      <c r="N434" s="159"/>
    </row>
    <row r="435" spans="14:14" ht="15" customHeight="1">
      <c r="N435" s="159"/>
    </row>
    <row r="436" spans="14:14" ht="15" customHeight="1">
      <c r="N436" s="159"/>
    </row>
    <row r="437" spans="14:14" ht="15" customHeight="1">
      <c r="N437" s="159"/>
    </row>
    <row r="438" spans="14:14" ht="15" customHeight="1">
      <c r="N438" s="159"/>
    </row>
    <row r="439" spans="14:14" ht="15" customHeight="1">
      <c r="N439" s="159"/>
    </row>
    <row r="440" spans="14:14" ht="15" customHeight="1">
      <c r="N440" s="159"/>
    </row>
    <row r="441" spans="14:14" ht="15" customHeight="1">
      <c r="N441" s="159"/>
    </row>
    <row r="442" spans="14:14" ht="15" customHeight="1">
      <c r="N442" s="159"/>
    </row>
    <row r="443" spans="14:14" ht="15" customHeight="1">
      <c r="N443" s="159"/>
    </row>
    <row r="444" spans="14:14" ht="15" customHeight="1">
      <c r="N444" s="159"/>
    </row>
    <row r="445" spans="14:14" ht="15" customHeight="1">
      <c r="N445" s="159"/>
    </row>
    <row r="446" spans="14:14" ht="15" customHeight="1">
      <c r="N446" s="159"/>
    </row>
    <row r="447" spans="14:14" ht="15" customHeight="1">
      <c r="N447" s="159"/>
    </row>
    <row r="448" spans="14:14" ht="15" customHeight="1">
      <c r="N448" s="159"/>
    </row>
    <row r="449" spans="14:14" ht="15" customHeight="1">
      <c r="N449" s="159"/>
    </row>
    <row r="450" spans="14:14" ht="15" customHeight="1">
      <c r="N450" s="159"/>
    </row>
    <row r="451" spans="14:14" ht="15" customHeight="1">
      <c r="N451" s="159"/>
    </row>
    <row r="452" spans="14:14" ht="15" customHeight="1">
      <c r="N452" s="159"/>
    </row>
    <row r="453" spans="14:14" ht="15" customHeight="1">
      <c r="N453" s="159"/>
    </row>
    <row r="454" spans="14:14" ht="15" customHeight="1">
      <c r="N454" s="159"/>
    </row>
    <row r="455" spans="14:14" ht="15" customHeight="1">
      <c r="N455" s="159"/>
    </row>
    <row r="456" spans="14:14" ht="15" customHeight="1">
      <c r="N456" s="159"/>
    </row>
    <row r="457" spans="14:14" ht="15" customHeight="1">
      <c r="N457" s="159"/>
    </row>
    <row r="458" spans="14:14" ht="15" customHeight="1">
      <c r="N458" s="159"/>
    </row>
    <row r="459" spans="14:14" ht="15" customHeight="1">
      <c r="N459" s="159"/>
    </row>
    <row r="460" spans="14:14" ht="15" customHeight="1">
      <c r="N460" s="159"/>
    </row>
    <row r="461" spans="14:14" ht="15" customHeight="1">
      <c r="N461" s="159"/>
    </row>
    <row r="462" spans="14:14" ht="15" customHeight="1">
      <c r="N462" s="159"/>
    </row>
    <row r="463" spans="14:14" ht="15" customHeight="1">
      <c r="N463" s="159"/>
    </row>
    <row r="464" spans="14:14" ht="15" customHeight="1">
      <c r="N464" s="159"/>
    </row>
    <row r="465" spans="14:14" ht="15" customHeight="1">
      <c r="N465" s="159"/>
    </row>
    <row r="466" spans="14:14" ht="15" customHeight="1">
      <c r="N466" s="159"/>
    </row>
    <row r="467" spans="14:14" ht="15" customHeight="1">
      <c r="N467" s="159"/>
    </row>
    <row r="468" spans="14:14" ht="15" customHeight="1">
      <c r="N468" s="159"/>
    </row>
    <row r="469" spans="14:14" ht="15" customHeight="1">
      <c r="N469" s="159"/>
    </row>
    <row r="470" spans="14:14" ht="15" customHeight="1">
      <c r="N470" s="159"/>
    </row>
    <row r="471" spans="14:14" ht="15" customHeight="1">
      <c r="N471" s="159"/>
    </row>
    <row r="472" spans="14:14" ht="15" customHeight="1">
      <c r="N472" s="159"/>
    </row>
    <row r="473" spans="14:14" ht="15" customHeight="1">
      <c r="N473" s="159"/>
    </row>
    <row r="474" spans="14:14" ht="15" customHeight="1">
      <c r="N474" s="159"/>
    </row>
    <row r="475" spans="14:14" ht="15" customHeight="1">
      <c r="N475" s="159"/>
    </row>
    <row r="476" spans="14:14" ht="15" customHeight="1">
      <c r="N476" s="159"/>
    </row>
    <row r="477" spans="14:14" ht="15" customHeight="1">
      <c r="N477" s="159"/>
    </row>
    <row r="478" spans="14:14" ht="15" customHeight="1">
      <c r="N478" s="159"/>
    </row>
    <row r="479" spans="14:14" ht="15" customHeight="1">
      <c r="N479" s="159"/>
    </row>
    <row r="480" spans="14:14" ht="15" customHeight="1">
      <c r="N480" s="159"/>
    </row>
    <row r="481" spans="14:14" ht="15" customHeight="1">
      <c r="N481" s="159"/>
    </row>
    <row r="482" spans="14:14" ht="15" customHeight="1">
      <c r="N482" s="159"/>
    </row>
    <row r="483" spans="14:14" ht="15" customHeight="1">
      <c r="N483" s="159"/>
    </row>
    <row r="484" spans="14:14" ht="15" customHeight="1">
      <c r="N484" s="159"/>
    </row>
    <row r="485" spans="14:14" ht="15" customHeight="1">
      <c r="N485" s="159"/>
    </row>
    <row r="486" spans="14:14" ht="15" customHeight="1">
      <c r="N486" s="159"/>
    </row>
    <row r="487" spans="14:14" ht="15" customHeight="1">
      <c r="N487" s="159"/>
    </row>
    <row r="488" spans="14:14" ht="15" customHeight="1">
      <c r="N488" s="159"/>
    </row>
    <row r="489" spans="14:14" ht="15" customHeight="1">
      <c r="N489" s="159"/>
    </row>
    <row r="490" spans="14:14" ht="15" customHeight="1">
      <c r="N490" s="159"/>
    </row>
    <row r="491" spans="14:14" ht="15" customHeight="1">
      <c r="N491" s="159"/>
    </row>
    <row r="492" spans="14:14" ht="15" customHeight="1">
      <c r="N492" s="159"/>
    </row>
    <row r="493" spans="14:14" ht="15" customHeight="1">
      <c r="N493" s="159"/>
    </row>
    <row r="494" spans="14:14" ht="15" customHeight="1">
      <c r="N494" s="159"/>
    </row>
    <row r="495" spans="14:14" ht="15" customHeight="1">
      <c r="N495" s="159"/>
    </row>
    <row r="496" spans="14:14" ht="15" customHeight="1">
      <c r="N496" s="159"/>
    </row>
    <row r="497" spans="14:14" ht="15" customHeight="1">
      <c r="N497" s="159"/>
    </row>
    <row r="498" spans="14:14" ht="15" customHeight="1">
      <c r="N498" s="159"/>
    </row>
    <row r="499" spans="14:14" ht="15" customHeight="1">
      <c r="N499" s="159"/>
    </row>
    <row r="500" spans="14:14" ht="15" customHeight="1">
      <c r="N500" s="159"/>
    </row>
    <row r="501" spans="14:14" ht="15" customHeight="1">
      <c r="N501" s="159"/>
    </row>
    <row r="502" spans="14:14" ht="15" customHeight="1">
      <c r="N502" s="159"/>
    </row>
    <row r="503" spans="14:14" ht="15" customHeight="1">
      <c r="N503" s="159"/>
    </row>
    <row r="504" spans="14:14" ht="15" customHeight="1">
      <c r="N504" s="159"/>
    </row>
    <row r="505" spans="14:14" ht="15" customHeight="1">
      <c r="N505" s="159"/>
    </row>
    <row r="506" spans="14:14" ht="15" customHeight="1">
      <c r="N506" s="159"/>
    </row>
    <row r="507" spans="14:14" ht="15" customHeight="1">
      <c r="N507" s="159"/>
    </row>
    <row r="508" spans="14:14" ht="15" customHeight="1">
      <c r="N508" s="159"/>
    </row>
    <row r="509" spans="14:14" ht="15" customHeight="1">
      <c r="N509" s="159"/>
    </row>
    <row r="510" spans="14:14" ht="15" customHeight="1">
      <c r="N510" s="159"/>
    </row>
    <row r="511" spans="14:14" ht="15" customHeight="1">
      <c r="N511" s="159"/>
    </row>
    <row r="512" spans="14:14" ht="15" customHeight="1">
      <c r="N512" s="159"/>
    </row>
    <row r="513" spans="14:14" ht="15" customHeight="1">
      <c r="N513" s="159"/>
    </row>
    <row r="514" spans="14:14" ht="15" customHeight="1">
      <c r="N514" s="159"/>
    </row>
    <row r="515" spans="14:14" ht="15" customHeight="1">
      <c r="N515" s="159"/>
    </row>
    <row r="516" spans="14:14" ht="15" customHeight="1">
      <c r="N516" s="159"/>
    </row>
    <row r="517" spans="14:14" ht="15" customHeight="1">
      <c r="N517" s="159"/>
    </row>
    <row r="518" spans="14:14" ht="15" customHeight="1">
      <c r="N518" s="159"/>
    </row>
    <row r="519" spans="14:14" ht="15" customHeight="1">
      <c r="N519" s="159"/>
    </row>
    <row r="520" spans="14:14" ht="15" customHeight="1">
      <c r="N520" s="159"/>
    </row>
    <row r="521" spans="14:14" ht="15" customHeight="1">
      <c r="N521" s="159"/>
    </row>
    <row r="522" spans="14:14" ht="15" customHeight="1">
      <c r="N522" s="159"/>
    </row>
    <row r="523" spans="14:14" ht="15" customHeight="1">
      <c r="N523" s="159"/>
    </row>
    <row r="524" spans="14:14" ht="15" customHeight="1">
      <c r="N524" s="159"/>
    </row>
    <row r="525" spans="14:14" ht="15" customHeight="1">
      <c r="N525" s="159"/>
    </row>
    <row r="526" spans="14:14" ht="15" customHeight="1">
      <c r="N526" s="159"/>
    </row>
    <row r="527" spans="14:14" ht="15" customHeight="1">
      <c r="N527" s="159"/>
    </row>
    <row r="528" spans="14:14" ht="15" customHeight="1">
      <c r="N528" s="159"/>
    </row>
    <row r="529" spans="14:14" ht="15" customHeight="1">
      <c r="N529" s="159"/>
    </row>
    <row r="530" spans="14:14" ht="15" customHeight="1">
      <c r="N530" s="159"/>
    </row>
    <row r="531" spans="14:14" ht="15" customHeight="1">
      <c r="N531" s="159"/>
    </row>
    <row r="532" spans="14:14" ht="15" customHeight="1">
      <c r="N532" s="159"/>
    </row>
    <row r="533" spans="14:14" ht="15" customHeight="1">
      <c r="N533" s="159"/>
    </row>
    <row r="534" spans="14:14" ht="15" customHeight="1">
      <c r="N534" s="159"/>
    </row>
    <row r="535" spans="14:14" ht="15" customHeight="1">
      <c r="N535" s="159"/>
    </row>
    <row r="536" spans="14:14" ht="15" customHeight="1">
      <c r="N536" s="159"/>
    </row>
    <row r="537" spans="14:14" ht="15" customHeight="1">
      <c r="N537" s="159"/>
    </row>
    <row r="538" spans="14:14" ht="15" customHeight="1">
      <c r="N538" s="159"/>
    </row>
    <row r="539" spans="14:14" ht="15" customHeight="1">
      <c r="N539" s="159"/>
    </row>
    <row r="540" spans="14:14" ht="15" customHeight="1">
      <c r="N540" s="159"/>
    </row>
    <row r="541" spans="14:14" ht="15" customHeight="1">
      <c r="N541" s="159"/>
    </row>
    <row r="542" spans="14:14" ht="15" customHeight="1">
      <c r="N542" s="159"/>
    </row>
    <row r="543" spans="14:14" ht="15" customHeight="1">
      <c r="N543" s="159"/>
    </row>
    <row r="544" spans="14:14" ht="15" customHeight="1">
      <c r="N544" s="159"/>
    </row>
    <row r="545" spans="14:14" ht="15" customHeight="1">
      <c r="N545" s="159"/>
    </row>
    <row r="546" spans="14:14" ht="15" customHeight="1">
      <c r="N546" s="159"/>
    </row>
    <row r="547" spans="14:14" ht="15" customHeight="1">
      <c r="N547" s="159"/>
    </row>
    <row r="548" spans="14:14" ht="15" customHeight="1">
      <c r="N548" s="159"/>
    </row>
    <row r="549" spans="14:14" ht="15" customHeight="1">
      <c r="N549" s="159"/>
    </row>
    <row r="550" spans="14:14" ht="15" customHeight="1">
      <c r="N550" s="159"/>
    </row>
    <row r="551" spans="14:14" ht="15" customHeight="1">
      <c r="N551" s="159"/>
    </row>
    <row r="552" spans="14:14" ht="15" customHeight="1">
      <c r="N552" s="159"/>
    </row>
    <row r="553" spans="14:14" ht="15" customHeight="1">
      <c r="N553" s="159"/>
    </row>
    <row r="554" spans="14:14" ht="15" customHeight="1">
      <c r="N554" s="159"/>
    </row>
    <row r="555" spans="14:14" ht="15" customHeight="1">
      <c r="N555" s="159"/>
    </row>
    <row r="556" spans="14:14" ht="15" customHeight="1">
      <c r="N556" s="159"/>
    </row>
    <row r="557" spans="14:14" ht="15" customHeight="1">
      <c r="N557" s="159"/>
    </row>
    <row r="558" spans="14:14" ht="15" customHeight="1">
      <c r="N558" s="159"/>
    </row>
    <row r="559" spans="14:14" ht="15" customHeight="1">
      <c r="N559" s="159"/>
    </row>
    <row r="560" spans="14:14" ht="15" customHeight="1">
      <c r="N560" s="159"/>
    </row>
    <row r="561" spans="14:14" ht="15" customHeight="1">
      <c r="N561" s="159"/>
    </row>
    <row r="562" spans="14:14" ht="15" customHeight="1">
      <c r="N562" s="159"/>
    </row>
    <row r="563" spans="14:14" ht="15" customHeight="1">
      <c r="N563" s="159"/>
    </row>
    <row r="564" spans="14:14" ht="15" customHeight="1">
      <c r="N564" s="159"/>
    </row>
    <row r="565" spans="14:14" ht="15" customHeight="1">
      <c r="N565" s="159"/>
    </row>
    <row r="566" spans="14:14" ht="15" customHeight="1">
      <c r="N566" s="159"/>
    </row>
    <row r="567" spans="14:14" ht="15" customHeight="1">
      <c r="N567" s="159"/>
    </row>
    <row r="568" spans="14:14" ht="15" customHeight="1">
      <c r="N568" s="159"/>
    </row>
    <row r="569" spans="14:14" ht="15" customHeight="1">
      <c r="N569" s="159"/>
    </row>
    <row r="570" spans="14:14" ht="15" customHeight="1">
      <c r="N570" s="159"/>
    </row>
    <row r="571" spans="14:14" ht="15" customHeight="1">
      <c r="N571" s="159"/>
    </row>
    <row r="572" spans="14:14" ht="15" customHeight="1">
      <c r="N572" s="159"/>
    </row>
    <row r="573" spans="14:14" ht="15" customHeight="1">
      <c r="N573" s="159"/>
    </row>
    <row r="574" spans="14:14" ht="15" customHeight="1">
      <c r="N574" s="159"/>
    </row>
    <row r="575" spans="14:14" ht="15" customHeight="1">
      <c r="N575" s="159"/>
    </row>
    <row r="576" spans="14:14" ht="15" customHeight="1">
      <c r="N576" s="159"/>
    </row>
    <row r="577" spans="14:14" ht="15" customHeight="1">
      <c r="N577" s="159"/>
    </row>
    <row r="578" spans="14:14" ht="15" customHeight="1">
      <c r="N578" s="159"/>
    </row>
    <row r="579" spans="14:14" ht="15" customHeight="1">
      <c r="N579" s="159"/>
    </row>
    <row r="580" spans="14:14" ht="15" customHeight="1">
      <c r="N580" s="159"/>
    </row>
    <row r="581" spans="14:14" ht="15" customHeight="1">
      <c r="N581" s="159"/>
    </row>
    <row r="582" spans="14:14" ht="15" customHeight="1">
      <c r="N582" s="159"/>
    </row>
    <row r="583" spans="14:14" ht="15" customHeight="1">
      <c r="N583" s="159"/>
    </row>
    <row r="584" spans="14:14" ht="15" customHeight="1">
      <c r="N584" s="159"/>
    </row>
    <row r="585" spans="14:14" ht="15" customHeight="1">
      <c r="N585" s="159"/>
    </row>
    <row r="586" spans="14:14" ht="15" customHeight="1">
      <c r="N586" s="159"/>
    </row>
    <row r="587" spans="14:14" ht="15" customHeight="1">
      <c r="N587" s="159"/>
    </row>
    <row r="588" spans="14:14" ht="15" customHeight="1">
      <c r="N588" s="159"/>
    </row>
    <row r="589" spans="14:14" ht="15" customHeight="1">
      <c r="N589" s="159"/>
    </row>
    <row r="590" spans="14:14" ht="15" customHeight="1">
      <c r="N590" s="159"/>
    </row>
    <row r="591" spans="14:14" ht="15" customHeight="1">
      <c r="N591" s="159"/>
    </row>
    <row r="592" spans="14:14" ht="15" customHeight="1">
      <c r="N592" s="159"/>
    </row>
    <row r="593" spans="14:14" ht="15" customHeight="1">
      <c r="N593" s="159"/>
    </row>
    <row r="594" spans="14:14" ht="15" customHeight="1">
      <c r="N594" s="159"/>
    </row>
    <row r="595" spans="14:14" ht="15" customHeight="1">
      <c r="N595" s="159"/>
    </row>
    <row r="596" spans="14:14" ht="15" customHeight="1">
      <c r="N596" s="159"/>
    </row>
    <row r="597" spans="14:14" ht="15" customHeight="1">
      <c r="N597" s="159"/>
    </row>
    <row r="598" spans="14:14" ht="15" customHeight="1">
      <c r="N598" s="159"/>
    </row>
    <row r="599" spans="14:14" ht="15" customHeight="1">
      <c r="N599" s="159"/>
    </row>
    <row r="600" spans="14:14" ht="15" customHeight="1">
      <c r="N600" s="159"/>
    </row>
    <row r="601" spans="14:14" ht="15" customHeight="1">
      <c r="N601" s="159"/>
    </row>
    <row r="602" spans="14:14" ht="15" customHeight="1">
      <c r="N602" s="159"/>
    </row>
    <row r="603" spans="14:14" ht="15" customHeight="1">
      <c r="N603" s="159"/>
    </row>
    <row r="604" spans="14:14" ht="15" customHeight="1">
      <c r="N604" s="159"/>
    </row>
    <row r="605" spans="14:14" ht="15" customHeight="1">
      <c r="N605" s="159"/>
    </row>
    <row r="606" spans="14:14" ht="15" customHeight="1">
      <c r="N606" s="159"/>
    </row>
    <row r="607" spans="14:14" ht="15" customHeight="1">
      <c r="N607" s="159"/>
    </row>
    <row r="608" spans="14:14" ht="15" customHeight="1">
      <c r="N608" s="159"/>
    </row>
    <row r="609" spans="14:14" ht="15" customHeight="1">
      <c r="N609" s="159"/>
    </row>
    <row r="610" spans="14:14" ht="15" customHeight="1">
      <c r="N610" s="159"/>
    </row>
    <row r="611" spans="14:14" ht="15" customHeight="1">
      <c r="N611" s="159"/>
    </row>
    <row r="612" spans="14:14" ht="15" customHeight="1">
      <c r="N612" s="159"/>
    </row>
    <row r="613" spans="14:14" ht="15" customHeight="1">
      <c r="N613" s="159"/>
    </row>
    <row r="614" spans="14:14" ht="15" customHeight="1">
      <c r="N614" s="159"/>
    </row>
    <row r="615" spans="14:14" ht="15" customHeight="1">
      <c r="N615" s="159"/>
    </row>
    <row r="616" spans="14:14" ht="15" customHeight="1">
      <c r="N616" s="159"/>
    </row>
    <row r="617" spans="14:14" ht="15" customHeight="1">
      <c r="N617" s="159"/>
    </row>
    <row r="618" spans="14:14" ht="15" customHeight="1">
      <c r="N618" s="159"/>
    </row>
    <row r="619" spans="14:14" ht="15" customHeight="1">
      <c r="N619" s="159"/>
    </row>
    <row r="620" spans="14:14" ht="15" customHeight="1">
      <c r="N620" s="159"/>
    </row>
    <row r="621" spans="14:14" ht="15" customHeight="1">
      <c r="N621" s="159"/>
    </row>
    <row r="622" spans="14:14" ht="15" customHeight="1">
      <c r="N622" s="159"/>
    </row>
    <row r="623" spans="14:14" ht="15" customHeight="1">
      <c r="N623" s="159"/>
    </row>
    <row r="624" spans="14:14" ht="15" customHeight="1">
      <c r="N624" s="159"/>
    </row>
    <row r="625" spans="14:14" ht="15" customHeight="1">
      <c r="N625" s="159"/>
    </row>
    <row r="626" spans="14:14" ht="15" customHeight="1">
      <c r="N626" s="159"/>
    </row>
    <row r="627" spans="14:14" ht="15" customHeight="1">
      <c r="N627" s="159"/>
    </row>
    <row r="628" spans="14:14" ht="15" customHeight="1">
      <c r="N628" s="159"/>
    </row>
    <row r="629" spans="14:14" ht="15" customHeight="1">
      <c r="N629" s="159"/>
    </row>
    <row r="630" spans="14:14" ht="15" customHeight="1">
      <c r="N630" s="159"/>
    </row>
    <row r="631" spans="14:14" ht="15" customHeight="1">
      <c r="N631" s="159"/>
    </row>
    <row r="632" spans="14:14" ht="15" customHeight="1">
      <c r="N632" s="159"/>
    </row>
    <row r="633" spans="14:14" ht="15" customHeight="1">
      <c r="N633" s="159"/>
    </row>
    <row r="634" spans="14:14" ht="15" customHeight="1">
      <c r="N634" s="159"/>
    </row>
    <row r="635" spans="14:14" ht="15" customHeight="1">
      <c r="N635" s="159"/>
    </row>
    <row r="636" spans="14:14" ht="15" customHeight="1">
      <c r="N636" s="159"/>
    </row>
    <row r="637" spans="14:14" ht="15" customHeight="1">
      <c r="N637" s="159"/>
    </row>
    <row r="638" spans="14:14" ht="15" customHeight="1">
      <c r="N638" s="159"/>
    </row>
    <row r="639" spans="14:14" ht="15" customHeight="1">
      <c r="N639" s="159"/>
    </row>
    <row r="640" spans="14:14" ht="15" customHeight="1">
      <c r="N640" s="159"/>
    </row>
    <row r="641" spans="14:14" ht="15" customHeight="1">
      <c r="N641" s="159"/>
    </row>
    <row r="642" spans="14:14" ht="15" customHeight="1">
      <c r="N642" s="159"/>
    </row>
    <row r="643" spans="14:14" ht="15" customHeight="1">
      <c r="N643" s="159"/>
    </row>
    <row r="644" spans="14:14" ht="15" customHeight="1">
      <c r="N644" s="159"/>
    </row>
    <row r="645" spans="14:14" ht="15" customHeight="1">
      <c r="N645" s="159"/>
    </row>
    <row r="646" spans="14:14" ht="15" customHeight="1">
      <c r="N646" s="159"/>
    </row>
    <row r="647" spans="14:14" ht="15" customHeight="1">
      <c r="N647" s="159"/>
    </row>
    <row r="648" spans="14:14" ht="15" customHeight="1">
      <c r="N648" s="159"/>
    </row>
    <row r="649" spans="14:14" ht="15" customHeight="1">
      <c r="N649" s="159"/>
    </row>
    <row r="650" spans="14:14" ht="15" customHeight="1">
      <c r="N650" s="159"/>
    </row>
    <row r="651" spans="14:14" ht="15" customHeight="1">
      <c r="N651" s="159"/>
    </row>
    <row r="652" spans="14:14" ht="15" customHeight="1">
      <c r="N652" s="159"/>
    </row>
    <row r="653" spans="14:14" ht="15" customHeight="1">
      <c r="N653" s="159"/>
    </row>
    <row r="654" spans="14:14" ht="15" customHeight="1">
      <c r="N654" s="159"/>
    </row>
    <row r="655" spans="14:14" ht="15" customHeight="1">
      <c r="N655" s="159"/>
    </row>
    <row r="656" spans="14:14" ht="15" customHeight="1">
      <c r="N656" s="159"/>
    </row>
    <row r="657" spans="14:14" ht="15" customHeight="1">
      <c r="N657" s="159"/>
    </row>
    <row r="658" spans="14:14" ht="15" customHeight="1">
      <c r="N658" s="159"/>
    </row>
    <row r="659" spans="14:14" ht="15" customHeight="1">
      <c r="N659" s="159"/>
    </row>
    <row r="660" spans="14:14" ht="15" customHeight="1">
      <c r="N660" s="159"/>
    </row>
    <row r="661" spans="14:14" ht="15" customHeight="1">
      <c r="N661" s="159"/>
    </row>
    <row r="662" spans="14:14" ht="15" customHeight="1">
      <c r="N662" s="159"/>
    </row>
    <row r="663" spans="14:14" ht="15" customHeight="1">
      <c r="N663" s="159"/>
    </row>
    <row r="664" spans="14:14" ht="15" customHeight="1">
      <c r="N664" s="159"/>
    </row>
    <row r="665" spans="14:14" ht="15" customHeight="1">
      <c r="N665" s="159"/>
    </row>
    <row r="666" spans="14:14" ht="15" customHeight="1">
      <c r="N666" s="159"/>
    </row>
    <row r="667" spans="14:14" ht="15" customHeight="1">
      <c r="N667" s="159"/>
    </row>
    <row r="668" spans="14:14" ht="15" customHeight="1">
      <c r="N668" s="159"/>
    </row>
    <row r="669" spans="14:14" ht="15" customHeight="1">
      <c r="N669" s="159"/>
    </row>
    <row r="670" spans="14:14" ht="15" customHeight="1">
      <c r="N670" s="159"/>
    </row>
    <row r="671" spans="14:14" ht="15" customHeight="1">
      <c r="N671" s="159"/>
    </row>
    <row r="672" spans="14:14" ht="15" customHeight="1">
      <c r="N672" s="159"/>
    </row>
    <row r="673" spans="14:14" ht="15" customHeight="1">
      <c r="N673" s="159"/>
    </row>
    <row r="674" spans="14:14" ht="15" customHeight="1">
      <c r="N674" s="159"/>
    </row>
    <row r="675" spans="14:14" ht="15" customHeight="1">
      <c r="N675" s="159"/>
    </row>
    <row r="676" spans="14:14" ht="15" customHeight="1">
      <c r="N676" s="159"/>
    </row>
    <row r="677" spans="14:14" ht="15" customHeight="1">
      <c r="N677" s="159"/>
    </row>
    <row r="678" spans="14:14" ht="15" customHeight="1">
      <c r="N678" s="159"/>
    </row>
    <row r="679" spans="14:14" ht="15" customHeight="1">
      <c r="N679" s="159"/>
    </row>
    <row r="680" spans="14:14" ht="15" customHeight="1">
      <c r="N680" s="159"/>
    </row>
    <row r="681" spans="14:14" ht="15" customHeight="1">
      <c r="N681" s="159"/>
    </row>
    <row r="682" spans="14:14" ht="15" customHeight="1">
      <c r="N682" s="159"/>
    </row>
    <row r="683" spans="14:14" ht="15" customHeight="1">
      <c r="N683" s="159"/>
    </row>
    <row r="684" spans="14:14" ht="15" customHeight="1">
      <c r="N684" s="159"/>
    </row>
    <row r="685" spans="14:14" ht="15" customHeight="1">
      <c r="N685" s="159"/>
    </row>
    <row r="686" spans="14:14" ht="15" customHeight="1">
      <c r="N686" s="159"/>
    </row>
    <row r="687" spans="14:14" ht="15" customHeight="1">
      <c r="N687" s="159"/>
    </row>
    <row r="688" spans="14:14" ht="15" customHeight="1">
      <c r="N688" s="159"/>
    </row>
    <row r="689" spans="14:14" ht="15" customHeight="1">
      <c r="N689" s="159"/>
    </row>
    <row r="690" spans="14:14" ht="15" customHeight="1">
      <c r="N690" s="159"/>
    </row>
    <row r="691" spans="14:14" ht="15" customHeight="1">
      <c r="N691" s="159"/>
    </row>
    <row r="692" spans="14:14" ht="15" customHeight="1">
      <c r="N692" s="159"/>
    </row>
    <row r="693" spans="14:14" ht="15" customHeight="1">
      <c r="N693" s="159"/>
    </row>
    <row r="694" spans="14:14" ht="15" customHeight="1">
      <c r="N694" s="159"/>
    </row>
    <row r="695" spans="14:14" ht="15" customHeight="1">
      <c r="N695" s="159"/>
    </row>
    <row r="696" spans="14:14" ht="15" customHeight="1">
      <c r="N696" s="159"/>
    </row>
    <row r="697" spans="14:14" ht="15" customHeight="1">
      <c r="N697" s="159"/>
    </row>
    <row r="698" spans="14:14" ht="15" customHeight="1">
      <c r="N698" s="159"/>
    </row>
    <row r="699" spans="14:14" ht="15" customHeight="1">
      <c r="N699" s="159"/>
    </row>
    <row r="700" spans="14:14" ht="15" customHeight="1">
      <c r="N700" s="159"/>
    </row>
    <row r="701" spans="14:14" ht="15" customHeight="1">
      <c r="N701" s="159"/>
    </row>
    <row r="702" spans="14:14" ht="15" customHeight="1">
      <c r="N702" s="159"/>
    </row>
    <row r="703" spans="14:14" ht="15" customHeight="1">
      <c r="N703" s="159"/>
    </row>
    <row r="704" spans="14:14" ht="15" customHeight="1">
      <c r="N704" s="159"/>
    </row>
    <row r="705" spans="14:14" ht="15" customHeight="1">
      <c r="N705" s="159"/>
    </row>
    <row r="706" spans="14:14" ht="15" customHeight="1">
      <c r="N706" s="159"/>
    </row>
    <row r="707" spans="14:14" ht="15" customHeight="1">
      <c r="N707" s="159"/>
    </row>
    <row r="708" spans="14:14" ht="15" customHeight="1">
      <c r="N708" s="159"/>
    </row>
    <row r="709" spans="14:14" ht="15" customHeight="1">
      <c r="N709" s="159"/>
    </row>
    <row r="710" spans="14:14" ht="15" customHeight="1">
      <c r="N710" s="159"/>
    </row>
    <row r="711" spans="14:14" ht="15" customHeight="1">
      <c r="N711" s="159"/>
    </row>
    <row r="712" spans="14:14" ht="15" customHeight="1">
      <c r="N712" s="159"/>
    </row>
    <row r="713" spans="14:14" ht="15" customHeight="1">
      <c r="N713" s="159"/>
    </row>
    <row r="714" spans="14:14" ht="15" customHeight="1">
      <c r="N714" s="159"/>
    </row>
    <row r="715" spans="14:14" ht="15" customHeight="1">
      <c r="N715" s="159"/>
    </row>
    <row r="716" spans="14:14" ht="15" customHeight="1">
      <c r="N716" s="159"/>
    </row>
    <row r="717" spans="14:14" ht="15" customHeight="1">
      <c r="N717" s="159"/>
    </row>
    <row r="718" spans="14:14" ht="15" customHeight="1">
      <c r="N718" s="159"/>
    </row>
    <row r="719" spans="14:14" ht="15" customHeight="1">
      <c r="N719" s="159"/>
    </row>
    <row r="720" spans="14:14" ht="15" customHeight="1">
      <c r="N720" s="159"/>
    </row>
    <row r="721" spans="14:14" ht="15" customHeight="1">
      <c r="N721" s="159"/>
    </row>
    <row r="722" spans="14:14" ht="15" customHeight="1">
      <c r="N722" s="159"/>
    </row>
    <row r="723" spans="14:14" ht="15" customHeight="1">
      <c r="N723" s="159"/>
    </row>
    <row r="724" spans="14:14" ht="15" customHeight="1">
      <c r="N724" s="159"/>
    </row>
    <row r="725" spans="14:14" ht="15" customHeight="1">
      <c r="N725" s="159"/>
    </row>
    <row r="726" spans="14:14" ht="15" customHeight="1">
      <c r="N726" s="159"/>
    </row>
    <row r="727" spans="14:14" ht="15" customHeight="1">
      <c r="N727" s="159"/>
    </row>
    <row r="728" spans="14:14" ht="15" customHeight="1">
      <c r="N728" s="159"/>
    </row>
    <row r="729" spans="14:14" ht="15" customHeight="1">
      <c r="N729" s="159"/>
    </row>
    <row r="730" spans="14:14" ht="15" customHeight="1">
      <c r="N730" s="159"/>
    </row>
    <row r="731" spans="14:14" ht="15" customHeight="1">
      <c r="N731" s="159"/>
    </row>
    <row r="732" spans="14:14" ht="15" customHeight="1">
      <c r="N732" s="159"/>
    </row>
    <row r="733" spans="14:14" ht="15" customHeight="1">
      <c r="N733" s="159"/>
    </row>
    <row r="734" spans="14:14" ht="15" customHeight="1">
      <c r="N734" s="159"/>
    </row>
    <row r="735" spans="14:14" ht="15" customHeight="1">
      <c r="N735" s="159"/>
    </row>
    <row r="736" spans="14:14" ht="15" customHeight="1">
      <c r="N736" s="159"/>
    </row>
    <row r="737" spans="14:14" ht="15" customHeight="1">
      <c r="N737" s="159"/>
    </row>
    <row r="738" spans="14:14" ht="15" customHeight="1">
      <c r="N738" s="159"/>
    </row>
    <row r="739" spans="14:14" ht="15" customHeight="1">
      <c r="N739" s="159"/>
    </row>
    <row r="740" spans="14:14" ht="15" customHeight="1">
      <c r="N740" s="159"/>
    </row>
    <row r="741" spans="14:14" ht="15" customHeight="1">
      <c r="N741" s="159"/>
    </row>
    <row r="742" spans="14:14" ht="15" customHeight="1">
      <c r="N742" s="159"/>
    </row>
  </sheetData>
  <autoFilter ref="A3:AL4" xr:uid="{00000000-0009-0000-0000-000000000000}">
    <sortState xmlns:xlrd2="http://schemas.microsoft.com/office/spreadsheetml/2017/richdata2" ref="A4:AL19">
      <sortCondition ref="A3:A4"/>
    </sortState>
  </autoFilter>
  <pageMargins left="0.7" right="0.7" top="0.75" bottom="0.75" header="0" footer="0"/>
  <pageSetup scale="17" fitToHeight="0" orientation="portrait" horizontalDpi="360" verticalDpi="360" r:id="rId1"/>
  <ignoredErrors>
    <ignoredError sqref="AI3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50"/>
    <pageSetUpPr fitToPage="1"/>
  </sheetPr>
  <dimension ref="A1:AN677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J13" sqref="AJ13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style="773" customWidth="1"/>
    <col min="34" max="34" width="20.33203125" customWidth="1"/>
    <col min="35" max="35" width="14.44140625" customWidth="1"/>
    <col min="36" max="36" width="17.5546875" customWidth="1"/>
    <col min="37" max="37" width="5.109375" customWidth="1"/>
    <col min="38" max="38" width="14.44140625" customWidth="1"/>
  </cols>
  <sheetData>
    <row r="1" spans="1:40" ht="15" customHeight="1" thickBot="1">
      <c r="D1" s="845"/>
      <c r="F1" s="79"/>
      <c r="G1" s="80"/>
      <c r="H1" s="81"/>
      <c r="I1" s="843"/>
      <c r="K1" s="1061"/>
      <c r="L1" s="1007"/>
      <c r="AB1" s="83"/>
      <c r="AC1" s="758"/>
      <c r="AD1" s="83"/>
      <c r="AE1" s="83"/>
      <c r="AF1" s="83"/>
      <c r="AG1" s="768" t="s">
        <v>34</v>
      </c>
      <c r="AH1" s="701" t="s">
        <v>1001</v>
      </c>
      <c r="AI1" s="699" t="s">
        <v>36</v>
      </c>
      <c r="AJ1" s="87" t="s">
        <v>37</v>
      </c>
      <c r="AK1" s="88"/>
      <c r="AL1" s="89" t="s">
        <v>38</v>
      </c>
    </row>
    <row r="2" spans="1:40" ht="15" customHeight="1" thickBot="1">
      <c r="D2" s="845"/>
      <c r="G2" s="90"/>
      <c r="H2" s="90"/>
      <c r="I2" s="91">
        <f>SUBTOTAL(9,I4:I9246)</f>
        <v>629.55999999999995</v>
      </c>
      <c r="J2" s="81"/>
      <c r="K2" s="91">
        <f>SUBTOTAL(9,K4:K9246)</f>
        <v>604.60735499999998</v>
      </c>
      <c r="L2" s="93">
        <f>SUMPRODUCT(L5:L90,K5:K90)/K2</f>
        <v>0.36407714454614937</v>
      </c>
      <c r="M2" s="6"/>
      <c r="P2" s="6"/>
      <c r="Q2" s="94">
        <f>+SUMPRODUCT(Q5:Q62,AH5:AH62)/SUM(AH5:AH62)</f>
        <v>90.047408574825923</v>
      </c>
      <c r="R2" s="89">
        <f>+SUMPRODUCT(R5:R62,AH5:AH62)/SUM(AH5:AH62)</f>
        <v>2746.4108274944442</v>
      </c>
      <c r="S2" s="6"/>
      <c r="AB2" s="83"/>
      <c r="AC2" s="83"/>
      <c r="AD2" s="83"/>
      <c r="AE2" s="83"/>
      <c r="AF2" s="83"/>
      <c r="AG2" s="769">
        <f>SUMPRODUCT($AG5:$AG886,$K5:$K886)/SUM($K5:$K886)</f>
        <v>66.03892225509918</v>
      </c>
      <c r="AH2" s="702"/>
      <c r="AI2" s="252">
        <v>2900</v>
      </c>
      <c r="AJ2" s="98"/>
      <c r="AK2" s="88"/>
      <c r="AL2" s="99"/>
    </row>
    <row r="3" spans="1:40" ht="15" customHeight="1" thickBot="1">
      <c r="A3" s="678" t="s">
        <v>11</v>
      </c>
      <c r="B3" s="678" t="s">
        <v>39</v>
      </c>
      <c r="C3" s="678" t="s">
        <v>40</v>
      </c>
      <c r="D3" s="678" t="s">
        <v>41</v>
      </c>
      <c r="E3" s="678" t="s">
        <v>1025</v>
      </c>
      <c r="F3" s="678" t="s">
        <v>43</v>
      </c>
      <c r="G3" s="679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18">
        <f>SUBTOTAL(9,AH5:AH9247)</f>
        <v>6791.7303449336014</v>
      </c>
      <c r="AI3" s="700">
        <f>SUMPRODUCT(K5:K62,AI5:AI62)/K2</f>
        <v>61.117475436563829</v>
      </c>
      <c r="AJ3" s="118">
        <f>SUBTOTAL(9,AJ5:AJ9247)</f>
        <v>6638.7725352580346</v>
      </c>
      <c r="AK3" s="88"/>
      <c r="AL3" s="118">
        <f>SUBTOTAL(9,AL5:AL9247)</f>
        <v>476936.1602762253</v>
      </c>
      <c r="AM3">
        <v>6138</v>
      </c>
    </row>
    <row r="4" spans="1:40" s="677" customFormat="1" ht="15.75" customHeight="1">
      <c r="A4" s="720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4"/>
      <c r="AJ4" s="675"/>
      <c r="AK4" s="676"/>
      <c r="AL4" s="732"/>
      <c r="AM4" s="677">
        <v>7010</v>
      </c>
    </row>
    <row r="5" spans="1:40" ht="15.75" customHeight="1">
      <c r="A5" s="857" t="s">
        <v>1567</v>
      </c>
      <c r="B5" s="1051"/>
      <c r="C5" s="595">
        <v>45660</v>
      </c>
      <c r="D5" t="s">
        <v>145</v>
      </c>
      <c r="E5" t="e">
        <f>_xlfn.XLOOKUP(D5,RUC!$B$3:$B$89,RUC!$D$3:$D$89)</f>
        <v>#N/A</v>
      </c>
      <c r="G5" s="80">
        <v>60</v>
      </c>
      <c r="H5" t="s">
        <v>69</v>
      </c>
      <c r="I5" s="596">
        <v>4.78</v>
      </c>
      <c r="J5" s="596">
        <v>1.4</v>
      </c>
      <c r="K5" s="138">
        <f t="shared" ref="K5:K58" si="0">+I5-(I5*(J5/100))</f>
        <v>4.7130800000000006</v>
      </c>
      <c r="L5" s="139">
        <v>7.0000000000000007E-2</v>
      </c>
      <c r="M5" s="139">
        <v>6.7000000000000004E-2</v>
      </c>
      <c r="N5" s="159">
        <v>6.7000000000000004E-2</v>
      </c>
      <c r="O5" s="139">
        <f t="shared" ref="O5:O58" si="1">+ROUND((M5+N5)/2,3)</f>
        <v>6.7000000000000004E-2</v>
      </c>
      <c r="P5" s="629">
        <v>80</v>
      </c>
      <c r="Q5" s="760">
        <v>87.92</v>
      </c>
      <c r="R5" s="706">
        <v>2646.8</v>
      </c>
      <c r="S5" s="765">
        <f t="shared" ref="S5" si="2">IF((90+ROUNDDOWN(O5,1)*100)&lt;95,95,(90+ROUNDDOWN(O5,1)*100))</f>
        <v>95</v>
      </c>
      <c r="U5" s="1005">
        <v>120</v>
      </c>
      <c r="V5" s="715">
        <v>1.1023000000000001</v>
      </c>
      <c r="Y5">
        <v>30</v>
      </c>
      <c r="Z5" s="143">
        <f t="shared" ref="Z5" si="3"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>+Y5+Z5</f>
        <v>60</v>
      </c>
      <c r="AB5" s="145">
        <f t="shared" ref="AB5:AB11" si="4">+((O5*P5*(R5-U5)/100)-S5-AA5+T5)*V5</f>
        <v>-21.564868095999984</v>
      </c>
      <c r="AC5" s="145">
        <f>+(S5-T5)*V5-'data 1'!$F$4</f>
        <v>24.718500000000006</v>
      </c>
      <c r="AD5" s="145">
        <f t="shared" ref="AD5:AD58" si="5">+(Q5-P5)*(R5-U5)*L5*V5/100</f>
        <v>15.441656852160003</v>
      </c>
      <c r="AE5" s="145">
        <f t="shared" ref="AE5:AE11" si="6">+(Y5*V5-70)+V5*(Z5-IF(D5="UNTUCA",IF(+((W5-3)*2.5+(X5-3)*3.1)&gt;0,+((W5-3)*1.5+(X5-3)*3.1),0),IF(+((W5-3)*1.5+(X5-3)*3.1)&gt;0,+((W5-3)*1.5+(X5-3)*3.1),0)))</f>
        <v>-3.8619999999999948</v>
      </c>
      <c r="AF5" s="145">
        <f t="shared" ref="AF5:AF58" si="7">(L5-O5)*(R5-U5)*Q5*V5/100</f>
        <v>7.3464852296640073</v>
      </c>
      <c r="AG5" s="772">
        <f t="shared" ref="AG5" si="8">+IF(D5="RONALD WILLIAN GARIBAY ESCUDERO",AC5+AD5+AE5+AF5+70,AC5+AD5+AE5+AF5)+70-53</f>
        <v>60.644642081824017</v>
      </c>
      <c r="AH5" s="146">
        <f t="shared" ref="AH5:AH58" si="9">31.1035*L5*Q5*1.1023*K5/100</f>
        <v>9.9448812178829531</v>
      </c>
      <c r="AI5" s="156">
        <f t="shared" ref="AI5:AI58" si="10">+((+$AI$2-R5+U5)*L5*Q5*V5)/100</f>
        <v>25.317869787839992</v>
      </c>
      <c r="AJ5" s="156">
        <f t="shared" ref="AJ5:AJ58" si="11">31.1035*1.1023*K5*P5*O5/100</f>
        <v>8.6612120316932</v>
      </c>
      <c r="AK5" s="88"/>
      <c r="AL5" s="716">
        <f t="shared" ref="AL5:AL58" si="12">+IF(AB5*K5&gt;0,AB5*K5,0)</f>
        <v>0</v>
      </c>
      <c r="AM5">
        <v>499</v>
      </c>
    </row>
    <row r="6" spans="1:40" ht="15.75" customHeight="1">
      <c r="A6" s="857" t="s">
        <v>1623</v>
      </c>
      <c r="B6" s="595">
        <v>45677</v>
      </c>
      <c r="C6" s="595">
        <v>45671</v>
      </c>
      <c r="D6" t="s">
        <v>1586</v>
      </c>
      <c r="E6" t="e">
        <f>_xlfn.XLOOKUP(D6,RUC!$B$3:$B$89,RUC!$D$3:$D$89)</f>
        <v>#N/A</v>
      </c>
      <c r="G6" s="80">
        <v>38</v>
      </c>
      <c r="H6" t="s">
        <v>69</v>
      </c>
      <c r="I6" s="596">
        <v>4.05</v>
      </c>
      <c r="J6" s="596">
        <v>1.1000000000000001</v>
      </c>
      <c r="K6" s="138">
        <f t="shared" si="0"/>
        <v>4.0054499999999997</v>
      </c>
      <c r="L6" s="994">
        <v>1.65</v>
      </c>
      <c r="M6" s="139">
        <v>1.5840000000000001</v>
      </c>
      <c r="N6" s="598">
        <v>1.6339999999999999</v>
      </c>
      <c r="O6" s="139">
        <f t="shared" si="1"/>
        <v>1.609</v>
      </c>
      <c r="P6" s="629">
        <v>90</v>
      </c>
      <c r="Q6" s="760">
        <v>89.82</v>
      </c>
      <c r="R6" s="706">
        <v>2667</v>
      </c>
      <c r="S6" s="802">
        <v>190</v>
      </c>
      <c r="U6" s="1024">
        <v>90</v>
      </c>
      <c r="V6" s="715">
        <v>1.1023000000000001</v>
      </c>
      <c r="Z6" s="1027">
        <v>25</v>
      </c>
      <c r="AA6" s="144">
        <f t="shared" ref="AA6:AA11" si="13">+Y6+Z6</f>
        <v>25</v>
      </c>
      <c r="AB6" s="145">
        <f t="shared" si="4"/>
        <v>3876.5176035099998</v>
      </c>
      <c r="AC6" s="145">
        <f>+(S6-T6)*V6-'data 1'!$F$4</f>
        <v>129.43700000000001</v>
      </c>
      <c r="AD6" s="145">
        <f t="shared" si="5"/>
        <v>-8.4366624870003211</v>
      </c>
      <c r="AE6" s="145">
        <f t="shared" si="6"/>
        <v>-42.442499999999995</v>
      </c>
      <c r="AF6" s="145">
        <f t="shared" si="7"/>
        <v>104.60950171001981</v>
      </c>
      <c r="AG6" s="772">
        <f>+IF(D6="RONALD WILLIAN GARIBAY ESCUDERO",AC6+AD6+AE6+AF6+70,AC6+AD6+AE6+AF6)+70-30-5-3</f>
        <v>215.1673392230195</v>
      </c>
      <c r="AH6" s="146">
        <f t="shared" si="9"/>
        <v>203.52481986336798</v>
      </c>
      <c r="AI6" s="156">
        <f t="shared" si="10"/>
        <v>527.66625908699996</v>
      </c>
      <c r="AJ6" s="156">
        <f t="shared" si="11"/>
        <v>198.86526699469184</v>
      </c>
      <c r="AK6" s="88"/>
      <c r="AL6" s="716">
        <f t="shared" si="12"/>
        <v>15527.197434979127</v>
      </c>
      <c r="AM6">
        <f>+AM4+AM5-AM3</f>
        <v>1371</v>
      </c>
    </row>
    <row r="7" spans="1:40" ht="15.75" customHeight="1">
      <c r="A7" s="857" t="s">
        <v>1624</v>
      </c>
      <c r="B7" s="595">
        <v>45677</v>
      </c>
      <c r="C7" s="595">
        <v>45671</v>
      </c>
      <c r="D7" t="s">
        <v>1586</v>
      </c>
      <c r="E7" t="e">
        <f>_xlfn.XLOOKUP(D7,RUC!$B$3:$B$89,RUC!$D$3:$D$89)</f>
        <v>#N/A</v>
      </c>
      <c r="G7" s="80">
        <v>55</v>
      </c>
      <c r="H7" t="s">
        <v>69</v>
      </c>
      <c r="I7" s="596">
        <v>6.7</v>
      </c>
      <c r="J7" s="596">
        <v>1.2</v>
      </c>
      <c r="K7" s="138">
        <f t="shared" si="0"/>
        <v>6.6196000000000002</v>
      </c>
      <c r="L7" s="139">
        <v>2.4940000000000002</v>
      </c>
      <c r="M7" s="139">
        <v>2.3940000000000001</v>
      </c>
      <c r="N7" s="598">
        <v>2.5609999999999999</v>
      </c>
      <c r="O7" s="139">
        <f t="shared" si="1"/>
        <v>2.4780000000000002</v>
      </c>
      <c r="P7" s="629">
        <v>90</v>
      </c>
      <c r="Q7" s="760">
        <v>89.87</v>
      </c>
      <c r="R7" s="706">
        <v>2667</v>
      </c>
      <c r="S7" s="802">
        <v>190</v>
      </c>
      <c r="U7" s="1024">
        <v>90</v>
      </c>
      <c r="V7" s="715">
        <v>1.1023000000000001</v>
      </c>
      <c r="Z7" s="1027">
        <v>25</v>
      </c>
      <c r="AA7" s="144">
        <f t="shared" si="13"/>
        <v>25</v>
      </c>
      <c r="AB7" s="145">
        <f t="shared" si="4"/>
        <v>6098.1720584200002</v>
      </c>
      <c r="AC7" s="145">
        <f>+(S7-T7)*V7-'data 1'!$F$4</f>
        <v>129.43700000000001</v>
      </c>
      <c r="AD7" s="145">
        <f t="shared" si="5"/>
        <v>-9.2098811836196788</v>
      </c>
      <c r="AE7" s="145">
        <f t="shared" si="6"/>
        <v>-42.442499999999995</v>
      </c>
      <c r="AF7" s="145">
        <f t="shared" si="7"/>
        <v>40.845945196320038</v>
      </c>
      <c r="AG7" s="772">
        <f t="shared" ref="AG7:AG11" si="14">+IF(D7="RONALD WILLIAN GARIBAY ESCUDERO",AC7+AD7+AE7+AF7+70,AC7+AD7+AE7+AF7)+70-30-5-3</f>
        <v>150.63056401270038</v>
      </c>
      <c r="AH7" s="146">
        <f t="shared" si="9"/>
        <v>508.68860286036755</v>
      </c>
      <c r="AI7" s="156">
        <f t="shared" si="10"/>
        <v>798.01953104962013</v>
      </c>
      <c r="AJ7" s="156">
        <f t="shared" si="11"/>
        <v>506.15627817173669</v>
      </c>
      <c r="AK7" s="88"/>
      <c r="AL7" s="716">
        <f t="shared" si="12"/>
        <v>40367.459757917037</v>
      </c>
      <c r="AM7" s="631">
        <v>600</v>
      </c>
      <c r="AN7" t="s">
        <v>1950</v>
      </c>
    </row>
    <row r="8" spans="1:40" ht="15.75" customHeight="1">
      <c r="A8" s="857" t="s">
        <v>1625</v>
      </c>
      <c r="B8" s="595">
        <v>45677</v>
      </c>
      <c r="C8" s="595">
        <v>45671</v>
      </c>
      <c r="D8" t="s">
        <v>1586</v>
      </c>
      <c r="E8" t="e">
        <f>_xlfn.XLOOKUP(D8,RUC!$B$3:$B$89,RUC!$D$3:$D$89)</f>
        <v>#N/A</v>
      </c>
      <c r="G8" s="80">
        <v>45</v>
      </c>
      <c r="H8" t="s">
        <v>69</v>
      </c>
      <c r="I8" s="596">
        <v>6.2</v>
      </c>
      <c r="J8" s="596">
        <v>1.1000000000000001</v>
      </c>
      <c r="K8" s="138">
        <f t="shared" si="0"/>
        <v>6.1318000000000001</v>
      </c>
      <c r="L8" s="139">
        <v>0.78900000000000003</v>
      </c>
      <c r="M8" s="139">
        <v>0.75700000000000001</v>
      </c>
      <c r="N8" s="159">
        <v>0.75700000000000001</v>
      </c>
      <c r="O8" s="139">
        <f t="shared" si="1"/>
        <v>0.75700000000000001</v>
      </c>
      <c r="P8" s="629">
        <v>90</v>
      </c>
      <c r="Q8" s="760">
        <v>90.16</v>
      </c>
      <c r="R8" s="706">
        <v>2667</v>
      </c>
      <c r="S8" s="765">
        <f t="shared" ref="S8:S11" si="15">IF((90+ROUNDDOWN(O8,1)*100)&lt;95,95,(90+ROUNDDOWN(O8,1)*100))-5</f>
        <v>155</v>
      </c>
      <c r="U8" s="1024">
        <v>90</v>
      </c>
      <c r="V8" s="715">
        <v>1.1023000000000001</v>
      </c>
      <c r="Z8" s="1027">
        <v>25</v>
      </c>
      <c r="AA8" s="144">
        <f t="shared" si="13"/>
        <v>25</v>
      </c>
      <c r="AB8" s="145">
        <f t="shared" si="4"/>
        <v>1736.9052432299998</v>
      </c>
      <c r="AC8" s="145">
        <f>+(S8-T8)*V8-'data 1'!$F$4</f>
        <v>90.856500000000011</v>
      </c>
      <c r="AD8" s="145">
        <f t="shared" si="5"/>
        <v>3.5860076510399232</v>
      </c>
      <c r="AE8" s="145">
        <f t="shared" si="6"/>
        <v>-42.442499999999995</v>
      </c>
      <c r="AF8" s="145">
        <f t="shared" si="7"/>
        <v>81.955500587520078</v>
      </c>
      <c r="AG8" s="772">
        <f t="shared" si="14"/>
        <v>165.95550823856001</v>
      </c>
      <c r="AH8" s="146">
        <f t="shared" si="9"/>
        <v>149.55053004440998</v>
      </c>
      <c r="AI8" s="156">
        <f t="shared" si="10"/>
        <v>253.27553184696001</v>
      </c>
      <c r="AJ8" s="156">
        <f t="shared" si="11"/>
        <v>143.23047734777171</v>
      </c>
      <c r="AK8" s="88"/>
      <c r="AL8" s="716">
        <f t="shared" si="12"/>
        <v>10650.355570437712</v>
      </c>
      <c r="AM8">
        <f>+AM6-AM7</f>
        <v>771</v>
      </c>
    </row>
    <row r="9" spans="1:40" ht="15.75" customHeight="1">
      <c r="A9" s="857" t="s">
        <v>1626</v>
      </c>
      <c r="B9" s="595">
        <v>45677</v>
      </c>
      <c r="C9" s="595">
        <v>45671</v>
      </c>
      <c r="D9" t="s">
        <v>1586</v>
      </c>
      <c r="E9" t="e">
        <f>_xlfn.XLOOKUP(D9,RUC!$B$3:$B$89,RUC!$D$3:$D$89)</f>
        <v>#N/A</v>
      </c>
      <c r="G9" s="80">
        <v>50</v>
      </c>
      <c r="H9" t="s">
        <v>69</v>
      </c>
      <c r="I9" s="596">
        <v>6.67</v>
      </c>
      <c r="J9" s="596">
        <v>1.2</v>
      </c>
      <c r="K9" s="138">
        <f t="shared" si="0"/>
        <v>6.5899599999999996</v>
      </c>
      <c r="L9" s="139">
        <v>0.17899999999999999</v>
      </c>
      <c r="M9" s="139">
        <v>0.16900000000000001</v>
      </c>
      <c r="N9" s="598">
        <v>0.217</v>
      </c>
      <c r="O9" s="139">
        <f t="shared" si="1"/>
        <v>0.193</v>
      </c>
      <c r="P9" s="629">
        <v>85</v>
      </c>
      <c r="Q9" s="760">
        <v>90.23</v>
      </c>
      <c r="R9" s="706">
        <v>2667</v>
      </c>
      <c r="S9" s="765">
        <f t="shared" si="15"/>
        <v>95</v>
      </c>
      <c r="U9" s="1024">
        <v>90</v>
      </c>
      <c r="V9" s="715">
        <v>1.1023000000000001</v>
      </c>
      <c r="Z9" s="1027">
        <v>25</v>
      </c>
      <c r="AA9" s="144">
        <f t="shared" si="13"/>
        <v>25</v>
      </c>
      <c r="AB9" s="145">
        <f t="shared" si="4"/>
        <v>333.72887575500005</v>
      </c>
      <c r="AC9" s="145">
        <f>+(S9-T9)*V9-'data 1'!$F$4</f>
        <v>24.718500000000006</v>
      </c>
      <c r="AD9" s="145">
        <f t="shared" si="5"/>
        <v>26.593098722070017</v>
      </c>
      <c r="AE9" s="145">
        <f t="shared" si="6"/>
        <v>-42.442499999999995</v>
      </c>
      <c r="AF9" s="145">
        <f t="shared" si="7"/>
        <v>-35.883369652620033</v>
      </c>
      <c r="AG9" s="1032">
        <f t="shared" si="14"/>
        <v>4.9857290694499952</v>
      </c>
      <c r="AH9" s="146">
        <f t="shared" si="9"/>
        <v>36.491846227416708</v>
      </c>
      <c r="AI9" s="156">
        <f t="shared" si="10"/>
        <v>57.505094051930001</v>
      </c>
      <c r="AJ9" s="156">
        <f t="shared" si="11"/>
        <v>37.065348043564093</v>
      </c>
      <c r="AK9" s="88"/>
      <c r="AL9" s="716">
        <f t="shared" si="12"/>
        <v>2199.25994207042</v>
      </c>
    </row>
    <row r="10" spans="1:40" ht="15.75" customHeight="1">
      <c r="A10" s="857" t="s">
        <v>1627</v>
      </c>
      <c r="B10" s="595">
        <v>45677</v>
      </c>
      <c r="C10" s="595">
        <v>45671</v>
      </c>
      <c r="D10" t="s">
        <v>1586</v>
      </c>
      <c r="E10" t="e">
        <f>_xlfn.XLOOKUP(D10,RUC!$B$3:$B$89,RUC!$D$3:$D$89)</f>
        <v>#N/A</v>
      </c>
      <c r="G10" s="80">
        <v>27</v>
      </c>
      <c r="H10" t="s">
        <v>69</v>
      </c>
      <c r="I10" s="596">
        <v>3.07</v>
      </c>
      <c r="J10" s="596">
        <v>1.3</v>
      </c>
      <c r="K10" s="138">
        <f t="shared" si="0"/>
        <v>3.03009</v>
      </c>
      <c r="L10" s="139">
        <v>0.46700000000000003</v>
      </c>
      <c r="M10" s="139">
        <v>0.44800000000000001</v>
      </c>
      <c r="N10" s="159">
        <v>0.44800000000000001</v>
      </c>
      <c r="O10" s="139">
        <f t="shared" si="1"/>
        <v>0.44800000000000001</v>
      </c>
      <c r="P10" s="629">
        <v>90</v>
      </c>
      <c r="Q10" s="760">
        <v>90.18</v>
      </c>
      <c r="R10" s="706">
        <v>2667</v>
      </c>
      <c r="S10" s="765">
        <f t="shared" si="15"/>
        <v>125</v>
      </c>
      <c r="U10" s="1024">
        <v>90</v>
      </c>
      <c r="V10" s="715">
        <v>1.1023000000000001</v>
      </c>
      <c r="Z10" s="1027">
        <v>25</v>
      </c>
      <c r="AA10" s="144">
        <f t="shared" si="13"/>
        <v>25</v>
      </c>
      <c r="AB10" s="145">
        <f t="shared" si="4"/>
        <v>979.99584672000003</v>
      </c>
      <c r="AC10" s="145">
        <f>+(S10-T10)*V10-'data 1'!$F$4</f>
        <v>57.787499999999994</v>
      </c>
      <c r="AD10" s="145">
        <f t="shared" si="5"/>
        <v>2.3878311402600909</v>
      </c>
      <c r="AE10" s="145">
        <f t="shared" si="6"/>
        <v>-42.442499999999995</v>
      </c>
      <c r="AF10" s="145">
        <f t="shared" si="7"/>
        <v>48.671872856820045</v>
      </c>
      <c r="AG10" s="772">
        <f t="shared" si="14"/>
        <v>98.404703997080134</v>
      </c>
      <c r="AH10" s="146">
        <f t="shared" si="9"/>
        <v>43.751375257868311</v>
      </c>
      <c r="AI10" s="156">
        <f t="shared" si="10"/>
        <v>149.94412053174003</v>
      </c>
      <c r="AJ10" s="156">
        <f t="shared" si="11"/>
        <v>41.887565587294354</v>
      </c>
      <c r="AK10" s="88"/>
      <c r="AL10" s="716">
        <f t="shared" si="12"/>
        <v>2969.475615187805</v>
      </c>
    </row>
    <row r="11" spans="1:40" ht="15.75" customHeight="1">
      <c r="A11" s="857" t="s">
        <v>1628</v>
      </c>
      <c r="B11" s="595">
        <v>45677</v>
      </c>
      <c r="C11" s="595">
        <v>45671</v>
      </c>
      <c r="D11" t="s">
        <v>1586</v>
      </c>
      <c r="E11" t="e">
        <f>_xlfn.XLOOKUP(D11,RUC!$B$3:$B$89,RUC!$D$3:$D$89)</f>
        <v>#N/A</v>
      </c>
      <c r="G11" s="80">
        <v>25</v>
      </c>
      <c r="H11" t="s">
        <v>69</v>
      </c>
      <c r="I11" s="596">
        <v>3.5</v>
      </c>
      <c r="J11" s="596">
        <v>1.2</v>
      </c>
      <c r="K11" s="138">
        <f t="shared" si="0"/>
        <v>3.4580000000000002</v>
      </c>
      <c r="L11" s="139">
        <v>0.76100000000000001</v>
      </c>
      <c r="M11" s="139">
        <v>0.73</v>
      </c>
      <c r="N11" s="598">
        <v>0.79900000000000004</v>
      </c>
      <c r="O11" s="139">
        <f t="shared" si="1"/>
        <v>0.76500000000000001</v>
      </c>
      <c r="P11" s="629">
        <v>90</v>
      </c>
      <c r="Q11" s="760">
        <v>90.2</v>
      </c>
      <c r="R11" s="706">
        <v>2667</v>
      </c>
      <c r="S11" s="765">
        <f t="shared" si="15"/>
        <v>155</v>
      </c>
      <c r="U11" s="1024">
        <v>90</v>
      </c>
      <c r="V11" s="715">
        <v>1.1023000000000001</v>
      </c>
      <c r="Z11" s="1027">
        <v>25</v>
      </c>
      <c r="AA11" s="144">
        <f t="shared" si="13"/>
        <v>25</v>
      </c>
      <c r="AB11" s="145">
        <f t="shared" si="4"/>
        <v>1757.3577583499998</v>
      </c>
      <c r="AC11" s="145">
        <f>+(S11-T11)*V11-'data 1'!$F$4</f>
        <v>90.856500000000011</v>
      </c>
      <c r="AD11" s="145">
        <f t="shared" si="5"/>
        <v>4.3234344462000625</v>
      </c>
      <c r="AE11" s="145">
        <f t="shared" si="6"/>
        <v>-42.442499999999995</v>
      </c>
      <c r="AF11" s="145">
        <f t="shared" si="7"/>
        <v>-10.24898257680001</v>
      </c>
      <c r="AG11" s="772">
        <f t="shared" si="14"/>
        <v>74.48845186940008</v>
      </c>
      <c r="AH11" s="146">
        <f t="shared" si="9"/>
        <v>81.381417951485474</v>
      </c>
      <c r="AI11" s="156">
        <f t="shared" si="10"/>
        <v>244.39567950380001</v>
      </c>
      <c r="AJ11" s="156">
        <f t="shared" si="11"/>
        <v>81.627783287245663</v>
      </c>
      <c r="AK11" s="88"/>
      <c r="AL11" s="716">
        <f t="shared" si="12"/>
        <v>6076.9431283742997</v>
      </c>
    </row>
    <row r="12" spans="1:40" ht="15.75" customHeight="1">
      <c r="A12" s="857" t="s">
        <v>1640</v>
      </c>
      <c r="B12" s="595">
        <v>45685</v>
      </c>
      <c r="C12" s="595">
        <v>45675</v>
      </c>
      <c r="D12" t="s">
        <v>154</v>
      </c>
      <c r="E12">
        <f>_xlfn.XLOOKUP(D12,RUC!$B$3:$B$89,RUC!$D$3:$D$89)</f>
        <v>10416085884</v>
      </c>
      <c r="G12" s="80" t="s">
        <v>1434</v>
      </c>
      <c r="H12" t="s">
        <v>69</v>
      </c>
      <c r="I12" s="596">
        <v>30.53</v>
      </c>
      <c r="J12" s="596">
        <v>5.65</v>
      </c>
      <c r="K12" s="138">
        <f t="shared" si="0"/>
        <v>28.805054999999999</v>
      </c>
      <c r="L12" s="139">
        <v>0.154</v>
      </c>
      <c r="M12" s="139">
        <v>0.14099999999999999</v>
      </c>
      <c r="N12" s="159">
        <v>0.15</v>
      </c>
      <c r="O12" s="139">
        <f t="shared" si="1"/>
        <v>0.14599999999999999</v>
      </c>
      <c r="P12" s="629">
        <v>85</v>
      </c>
      <c r="Q12" s="760">
        <v>90.22</v>
      </c>
      <c r="R12" s="706">
        <v>2715.2</v>
      </c>
      <c r="S12" s="765">
        <v>110</v>
      </c>
      <c r="U12" s="1005">
        <v>90</v>
      </c>
      <c r="V12" s="715">
        <v>1.1023000000000001</v>
      </c>
      <c r="Z12" s="143">
        <f t="shared" ref="Z12:Z16" si="16">IF(IF(D12="UNTUCA",IF(+((W12-3)*1.5+(X12-3)*3.1)&gt;0,+((W12-3)*1.5+(X12-3)*3.1),0),IF(+((W12-3)*1.5+(X12-3)*3.1)&gt;0,+((W12-3)*1.5+(X12-3)*3.1),0))&lt;30,30,IF(D12="UNTUCA",IF(+((W12-3)*1.5+(X12-3)*3.1)&gt;0,+((W12-3)*1.5+(X12-3)*3.1),0),IF(+((W12-3)*1.5+(X12-3)*3.1)&gt;0,+((W12-3)*1.5+(X12-3)*3.1),0)))</f>
        <v>30</v>
      </c>
      <c r="AA12" s="144">
        <f>+Y12+Z12</f>
        <v>30</v>
      </c>
      <c r="AB12" s="145">
        <f t="shared" ref="AB12:AB60" si="17">+((O12*P12*(R12-U12)/100)-S12-AA12+T12)*V12</f>
        <v>204.79336283599991</v>
      </c>
      <c r="AC12" s="145">
        <f>+(S12-T12)*V12-'data 1'!$F$4</f>
        <v>41.253</v>
      </c>
      <c r="AD12" s="145">
        <f t="shared" si="5"/>
        <v>23.262341488847991</v>
      </c>
      <c r="AE12" s="145">
        <f>+(Y12*V12-70)+V12*(Z12-IF(D12="UNTUCA",IF(+((W12-3)*2.5+(X12-3)*3.1)&gt;0,+((W12-3)*1.5+(X12-3)*3.1),0),IF(+((W12-3)*1.5+(X12-3)*3.1)&gt;0,+((W12-3)*1.5+(X12-3)*3.1),0)))</f>
        <v>-36.930999999999997</v>
      </c>
      <c r="AF12" s="145">
        <f t="shared" si="7"/>
        <v>20.885987452096018</v>
      </c>
      <c r="AG12" s="772">
        <f t="shared" ref="AG12:AG16" si="18">+IF(D12="RONALD WILLIAN GARIBAY ESCUDERO",AC12+AD12+AE12+AF12+70,AC12+AD12+AE12+AF12)+70-53</f>
        <v>65.470328940944015</v>
      </c>
      <c r="AH12" s="146">
        <f t="shared" si="9"/>
        <v>137.21491523795163</v>
      </c>
      <c r="AI12" s="156">
        <f t="shared" si="10"/>
        <v>42.086235343152026</v>
      </c>
      <c r="AJ12" s="156">
        <f t="shared" si="11"/>
        <v>122.56022781994515</v>
      </c>
      <c r="AK12" s="88"/>
      <c r="AL12" s="716">
        <f t="shared" si="12"/>
        <v>5899.0840801259337</v>
      </c>
    </row>
    <row r="13" spans="1:40" ht="15.75" customHeight="1">
      <c r="A13" s="857" t="s">
        <v>1641</v>
      </c>
      <c r="B13" s="595">
        <v>45685</v>
      </c>
      <c r="C13" s="595">
        <v>45674</v>
      </c>
      <c r="D13" t="s">
        <v>66</v>
      </c>
      <c r="E13">
        <f>_xlfn.XLOOKUP(D13,RUC!$B$3:$B$89,RUC!$D$3:$D$89)</f>
        <v>10457401928</v>
      </c>
      <c r="G13" s="80" t="s">
        <v>1434</v>
      </c>
      <c r="H13" t="s">
        <v>69</v>
      </c>
      <c r="I13" s="596">
        <v>21.2</v>
      </c>
      <c r="J13" s="596">
        <v>7.5</v>
      </c>
      <c r="K13" s="138">
        <f t="shared" si="0"/>
        <v>19.61</v>
      </c>
      <c r="L13" s="139">
        <v>0.14599999999999999</v>
      </c>
      <c r="M13" s="139">
        <v>0.13600000000000001</v>
      </c>
      <c r="N13" s="598">
        <v>0.19700000000000001</v>
      </c>
      <c r="O13" s="139">
        <f t="shared" si="1"/>
        <v>0.16700000000000001</v>
      </c>
      <c r="P13" s="629">
        <v>88</v>
      </c>
      <c r="Q13" s="760">
        <v>90.07</v>
      </c>
      <c r="R13" s="706">
        <v>2715.2</v>
      </c>
      <c r="S13" s="802">
        <v>120</v>
      </c>
      <c r="U13" s="1005">
        <v>100</v>
      </c>
      <c r="V13" s="715">
        <v>1.1023000000000001</v>
      </c>
      <c r="Z13" s="143">
        <f t="shared" si="16"/>
        <v>30</v>
      </c>
      <c r="AA13" s="144">
        <f t="shared" ref="AA13:AA14" si="19">+Y13+Z13</f>
        <v>30</v>
      </c>
      <c r="AB13" s="145">
        <f t="shared" si="17"/>
        <v>258.3017297216</v>
      </c>
      <c r="AC13" s="145">
        <f>+(S13-T13)*V13-'data 1'!$F$4</f>
        <v>52.27600000000001</v>
      </c>
      <c r="AD13" s="145">
        <f t="shared" si="5"/>
        <v>8.7122015961119708</v>
      </c>
      <c r="AE13" s="145">
        <f t="shared" ref="AE13:AE14" si="20">+(Y13*V13-70)+V13*(Z13-IF(D13="UNTUCA",IF(+((W13-3)*2.5+(X13-3)*3.1)&gt;0,+((W13-3)*1.5+(X13-3)*3.1),0),IF(+((W13-3)*1.5+(X13-3)*3.1)&gt;0,+((W13-3)*1.5+(X13-3)*3.1),0)))</f>
        <v>-36.930999999999997</v>
      </c>
      <c r="AF13" s="145">
        <f t="shared" si="7"/>
        <v>-54.526066947912042</v>
      </c>
      <c r="AG13" s="772">
        <f t="shared" si="18"/>
        <v>-13.468865351800062</v>
      </c>
      <c r="AH13" s="146">
        <f t="shared" si="9"/>
        <v>88.413723585566984</v>
      </c>
      <c r="AI13" s="156">
        <f t="shared" si="10"/>
        <v>41.283148417088022</v>
      </c>
      <c r="AJ13" s="156">
        <f t="shared" si="11"/>
        <v>98.806566111707085</v>
      </c>
      <c r="AK13" s="88"/>
      <c r="AL13" s="716">
        <f t="shared" si="12"/>
        <v>5065.2969198405754</v>
      </c>
    </row>
    <row r="14" spans="1:40" ht="15.75" customHeight="1">
      <c r="A14" s="857" t="s">
        <v>1642</v>
      </c>
      <c r="B14" s="595">
        <v>45685</v>
      </c>
      <c r="C14" s="595">
        <v>45674</v>
      </c>
      <c r="D14" t="s">
        <v>66</v>
      </c>
      <c r="E14">
        <f>_xlfn.XLOOKUP(D14,RUC!$B$3:$B$89,RUC!$D$3:$D$89)</f>
        <v>10457401928</v>
      </c>
      <c r="G14" s="80" t="s">
        <v>1434</v>
      </c>
      <c r="H14" t="s">
        <v>69</v>
      </c>
      <c r="I14" s="596">
        <v>15.93</v>
      </c>
      <c r="J14" s="596">
        <v>7.35</v>
      </c>
      <c r="K14" s="138">
        <f t="shared" si="0"/>
        <v>14.759145</v>
      </c>
      <c r="L14" s="139">
        <v>0.161</v>
      </c>
      <c r="M14" s="139">
        <v>0.151</v>
      </c>
      <c r="N14" s="598">
        <v>0.19400000000000001</v>
      </c>
      <c r="O14" s="139">
        <f t="shared" si="1"/>
        <v>0.17299999999999999</v>
      </c>
      <c r="P14" s="629">
        <v>90</v>
      </c>
      <c r="Q14" s="760">
        <v>90.15</v>
      </c>
      <c r="R14" s="706">
        <v>2715.2</v>
      </c>
      <c r="S14" s="802">
        <v>120</v>
      </c>
      <c r="U14" s="1005">
        <v>100</v>
      </c>
      <c r="V14" s="715">
        <v>1.1023000000000001</v>
      </c>
      <c r="Z14" s="143">
        <f t="shared" si="16"/>
        <v>30</v>
      </c>
      <c r="AA14" s="144">
        <f t="shared" si="19"/>
        <v>30</v>
      </c>
      <c r="AB14" s="145">
        <f t="shared" si="17"/>
        <v>283.49683327199989</v>
      </c>
      <c r="AC14" s="145">
        <f>+(S14-T14)*V14-'data 1'!$F$4</f>
        <v>52.27600000000001</v>
      </c>
      <c r="AD14" s="145">
        <f t="shared" si="5"/>
        <v>0.69618049284002637</v>
      </c>
      <c r="AE14" s="145">
        <f t="shared" si="20"/>
        <v>-36.930999999999997</v>
      </c>
      <c r="AF14" s="145">
        <f t="shared" si="7"/>
        <v>-31.185426797279955</v>
      </c>
      <c r="AG14" s="772">
        <f t="shared" si="18"/>
        <v>1.8557536955600824</v>
      </c>
      <c r="AH14" s="146">
        <f t="shared" si="9"/>
        <v>73.444939230052512</v>
      </c>
      <c r="AI14" s="156">
        <f t="shared" si="10"/>
        <v>45.565002608160036</v>
      </c>
      <c r="AJ14" s="156">
        <f t="shared" si="11"/>
        <v>78.787783219266515</v>
      </c>
      <c r="AK14" s="88"/>
      <c r="AL14" s="716">
        <f t="shared" si="12"/>
        <v>4184.1708693022711</v>
      </c>
    </row>
    <row r="15" spans="1:40" ht="15.75" customHeight="1">
      <c r="A15" s="857" t="s">
        <v>1643</v>
      </c>
      <c r="B15" s="595">
        <v>45680</v>
      </c>
      <c r="C15" s="595">
        <v>45676</v>
      </c>
      <c r="D15" t="s">
        <v>1402</v>
      </c>
      <c r="E15">
        <f>_xlfn.XLOOKUP(D15,RUC!$B$3:$B$89,RUC!$D$3:$D$89)</f>
        <v>20606526599</v>
      </c>
      <c r="G15" s="80">
        <v>146</v>
      </c>
      <c r="H15" t="s">
        <v>69</v>
      </c>
      <c r="I15">
        <v>11.98</v>
      </c>
      <c r="J15">
        <v>1.3</v>
      </c>
      <c r="K15" s="138">
        <f t="shared" si="0"/>
        <v>11.824260000000001</v>
      </c>
      <c r="L15" s="139">
        <v>0.42699999999999999</v>
      </c>
      <c r="M15" s="139">
        <v>0.40899999999999997</v>
      </c>
      <c r="N15" s="159">
        <v>0.44</v>
      </c>
      <c r="O15" s="645">
        <f t="shared" si="1"/>
        <v>0.42499999999999999</v>
      </c>
      <c r="P15" s="629">
        <v>90</v>
      </c>
      <c r="Q15" s="760">
        <v>90.23</v>
      </c>
      <c r="R15" s="706">
        <v>2707.15</v>
      </c>
      <c r="S15" s="765">
        <f t="shared" ref="S15:S16" si="21">IF((90+ROUNDDOWN(O15,1)*100)&lt;95,95,(90+ROUNDDOWN(O15,1)*100))</f>
        <v>130</v>
      </c>
      <c r="U15" s="1005">
        <v>120</v>
      </c>
      <c r="V15" s="715">
        <v>1.1023000000000001</v>
      </c>
      <c r="Y15">
        <v>20</v>
      </c>
      <c r="Z15" s="143">
        <f t="shared" si="16"/>
        <v>30</v>
      </c>
      <c r="AA15" s="144">
        <f>+Y15+Z15</f>
        <v>50</v>
      </c>
      <c r="AB15" s="145">
        <f t="shared" si="17"/>
        <v>892.40540771250005</v>
      </c>
      <c r="AC15" s="145">
        <f>+(S15-T15)*V15-'data 1'!$F$4</f>
        <v>63.299000000000007</v>
      </c>
      <c r="AD15" s="145">
        <f t="shared" si="5"/>
        <v>2.8007679485345487</v>
      </c>
      <c r="AE15" s="145">
        <f>+(Y15*V15-70)+V15*(Z15-IF(D15="UNTUCA",IF(+((W15-3)*2.5+(X15-3)*3.1)&gt;0,+((W15-3)*1.5+(X15-3)*3.1),0),IF(+((W15-3)*1.5+(X15-3)*3.1)&gt;0,+((W15-3)*1.5+(X15-3)*3.1),0)))</f>
        <v>-14.884999999999998</v>
      </c>
      <c r="AF15" s="145">
        <f t="shared" si="7"/>
        <v>5.1463861520470049</v>
      </c>
      <c r="AG15" s="772">
        <f t="shared" si="18"/>
        <v>73.361154100581558</v>
      </c>
      <c r="AH15" s="146">
        <f t="shared" si="9"/>
        <v>156.19311001859623</v>
      </c>
      <c r="AI15" s="156">
        <f t="shared" si="10"/>
        <v>132.86628714496547</v>
      </c>
      <c r="AJ15" s="156">
        <f t="shared" si="11"/>
        <v>155.06524850781557</v>
      </c>
      <c r="AK15" s="88"/>
      <c r="AL15" s="716">
        <f t="shared" si="12"/>
        <v>10552.033566198606</v>
      </c>
    </row>
    <row r="16" spans="1:40" ht="15.75" customHeight="1">
      <c r="A16" s="857" t="s">
        <v>1646</v>
      </c>
      <c r="B16" s="595">
        <v>45681</v>
      </c>
      <c r="C16" s="595">
        <v>45678</v>
      </c>
      <c r="D16" t="s">
        <v>1402</v>
      </c>
      <c r="E16">
        <f>_xlfn.XLOOKUP(D16,RUC!$B$3:$B$89,RUC!$D$3:$D$89)</f>
        <v>20606526599</v>
      </c>
      <c r="G16" s="80">
        <v>200</v>
      </c>
      <c r="H16" t="s">
        <v>69</v>
      </c>
      <c r="I16" s="596">
        <v>12.64</v>
      </c>
      <c r="J16" s="596">
        <v>1.3</v>
      </c>
      <c r="K16" s="138">
        <f t="shared" si="0"/>
        <v>12.475680000000001</v>
      </c>
      <c r="L16" s="139">
        <v>0.25</v>
      </c>
      <c r="M16" s="139">
        <v>0.24</v>
      </c>
      <c r="N16" s="159">
        <v>0.24</v>
      </c>
      <c r="O16" s="645">
        <f t="shared" si="1"/>
        <v>0.24</v>
      </c>
      <c r="P16" s="629">
        <v>90</v>
      </c>
      <c r="Q16" s="760">
        <v>90.19</v>
      </c>
      <c r="R16" s="706">
        <v>2737.8</v>
      </c>
      <c r="S16" s="765">
        <f t="shared" si="21"/>
        <v>110</v>
      </c>
      <c r="U16" s="1005">
        <v>120</v>
      </c>
      <c r="V16" s="715">
        <v>1.1023000000000001</v>
      </c>
      <c r="Y16">
        <v>20</v>
      </c>
      <c r="Z16" s="143">
        <f t="shared" si="16"/>
        <v>30</v>
      </c>
      <c r="AA16" s="144">
        <f t="shared" ref="AA16:AA62" si="22">+Y16+Z16</f>
        <v>50</v>
      </c>
      <c r="AB16" s="145">
        <f t="shared" si="17"/>
        <v>446.92180303999999</v>
      </c>
      <c r="AC16" s="145">
        <f>+(S16-T16)*V16-'data 1'!$F$4</f>
        <v>41.253</v>
      </c>
      <c r="AD16" s="145">
        <f t="shared" si="5"/>
        <v>1.3706604464999839</v>
      </c>
      <c r="AE16" s="145">
        <f t="shared" ref="AE16:AE62" si="23">+(Y16*V16-70)+V16*(Z16-IF(D16="UNTUCA",IF(+((W16-3)*2.5+(X16-3)*3.1)&gt;0,+((W16-3)*1.5+(X16-3)*3.1),0),IF(+((W16-3)*1.5+(X16-3)*3.1)&gt;0,+((W16-3)*1.5+(X16-3)*3.1),0)))</f>
        <v>-14.884999999999998</v>
      </c>
      <c r="AF16" s="145">
        <f t="shared" si="7"/>
        <v>26.025234877860029</v>
      </c>
      <c r="AG16" s="772">
        <f t="shared" si="18"/>
        <v>70.763895324360021</v>
      </c>
      <c r="AH16" s="146">
        <f t="shared" si="9"/>
        <v>96.443217673959538</v>
      </c>
      <c r="AI16" s="156">
        <f t="shared" si="10"/>
        <v>70.138296303499956</v>
      </c>
      <c r="AJ16" s="156">
        <f t="shared" si="11"/>
        <v>92.3904424773268</v>
      </c>
      <c r="AK16" s="88"/>
      <c r="AL16" s="716">
        <f t="shared" si="12"/>
        <v>5575.6533997500674</v>
      </c>
    </row>
    <row r="17" spans="1:38" ht="15.75" customHeight="1">
      <c r="A17" s="857" t="s">
        <v>1653</v>
      </c>
      <c r="B17" s="717">
        <v>45702</v>
      </c>
      <c r="C17" s="595">
        <v>45678</v>
      </c>
      <c r="D17" t="s">
        <v>1586</v>
      </c>
      <c r="E17" t="e">
        <f>_xlfn.XLOOKUP(D17,RUC!$B$3:$B$89,RUC!$D$3:$D$89)</f>
        <v>#N/A</v>
      </c>
      <c r="G17" s="80">
        <v>50</v>
      </c>
      <c r="H17" t="s">
        <v>69</v>
      </c>
      <c r="I17" s="596">
        <v>6.96</v>
      </c>
      <c r="J17" s="596">
        <v>1.1000000000000001</v>
      </c>
      <c r="K17" s="138">
        <f t="shared" si="0"/>
        <v>6.8834400000000002</v>
      </c>
      <c r="L17" s="139">
        <v>0.53500000000000003</v>
      </c>
      <c r="M17" s="139">
        <v>0.51400000000000001</v>
      </c>
      <c r="N17" s="159">
        <v>0.51400000000000001</v>
      </c>
      <c r="O17" s="645">
        <f t="shared" si="1"/>
        <v>0.51400000000000001</v>
      </c>
      <c r="P17" s="629">
        <v>90</v>
      </c>
      <c r="Q17" s="760">
        <v>89.88</v>
      </c>
      <c r="R17" s="706">
        <v>2737.8</v>
      </c>
      <c r="S17" s="765">
        <f t="shared" ref="S17:S18" si="24">IF((85+ROUNDDOWN(O17,1)*100)&lt;95,95,(85+ROUNDDOWN(O17,1)*100))</f>
        <v>135</v>
      </c>
      <c r="U17" s="1024">
        <v>90</v>
      </c>
      <c r="V17" s="715">
        <v>1.1023000000000001</v>
      </c>
      <c r="Z17" s="1034">
        <v>25</v>
      </c>
      <c r="AA17" s="144">
        <f t="shared" si="22"/>
        <v>25</v>
      </c>
      <c r="AB17" s="145">
        <f t="shared" si="17"/>
        <v>1173.8087142440002</v>
      </c>
      <c r="AC17" s="145">
        <f>+(S17-T17)*V17-'data 1'!$F$4</f>
        <v>68.810500000000019</v>
      </c>
      <c r="AD17" s="145">
        <f t="shared" si="5"/>
        <v>-1.8737861014800714</v>
      </c>
      <c r="AE17" s="145">
        <f t="shared" si="23"/>
        <v>-42.442499999999995</v>
      </c>
      <c r="AF17" s="145">
        <f t="shared" si="7"/>
        <v>55.089311383512062</v>
      </c>
      <c r="AG17" s="772">
        <f t="shared" ref="AG17:AG18" si="25">+IF(D17="RONALD WILLIAN GARIBAY ESCUDERO",AC17+AD17+AE17+AF17+70,AC17+AD17+AE17+AF17)+70-30-5-3</f>
        <v>111.58352528203201</v>
      </c>
      <c r="AH17" s="146">
        <f t="shared" si="9"/>
        <v>113.48316674015139</v>
      </c>
      <c r="AI17" s="156">
        <f t="shared" si="10"/>
        <v>133.67855285147991</v>
      </c>
      <c r="AJ17" s="156">
        <f t="shared" si="11"/>
        <v>109.17425296863945</v>
      </c>
      <c r="AK17" s="88"/>
      <c r="AL17" s="716">
        <f t="shared" si="12"/>
        <v>8079.841855975721</v>
      </c>
    </row>
    <row r="18" spans="1:38" ht="15.75" customHeight="1">
      <c r="A18" s="857" t="s">
        <v>1654</v>
      </c>
      <c r="B18" s="717">
        <v>45702</v>
      </c>
      <c r="C18" s="595">
        <v>45678</v>
      </c>
      <c r="D18" s="1055" t="s">
        <v>1586</v>
      </c>
      <c r="E18" t="e">
        <f>_xlfn.XLOOKUP(D18,RUC!$B$3:$B$89,RUC!$D$3:$D$89)</f>
        <v>#N/A</v>
      </c>
      <c r="G18" s="80">
        <v>50</v>
      </c>
      <c r="H18" t="s">
        <v>69</v>
      </c>
      <c r="I18" s="596">
        <v>5.29</v>
      </c>
      <c r="J18" s="596">
        <v>1.8</v>
      </c>
      <c r="K18" s="138">
        <f t="shared" si="0"/>
        <v>5.1947799999999997</v>
      </c>
      <c r="L18" s="139">
        <v>0.193</v>
      </c>
      <c r="M18" s="139">
        <v>0.183</v>
      </c>
      <c r="N18" s="159">
        <v>0.183</v>
      </c>
      <c r="O18" s="645">
        <f t="shared" si="1"/>
        <v>0.183</v>
      </c>
      <c r="P18" s="629">
        <v>85</v>
      </c>
      <c r="Q18" s="760">
        <v>90.31</v>
      </c>
      <c r="R18" s="706">
        <v>2737.8</v>
      </c>
      <c r="S18" s="765">
        <f t="shared" si="24"/>
        <v>95</v>
      </c>
      <c r="U18" s="1024">
        <v>90</v>
      </c>
      <c r="V18" s="715">
        <v>1.1023000000000001</v>
      </c>
      <c r="Z18" s="1034">
        <v>25</v>
      </c>
      <c r="AA18" s="144">
        <f t="shared" si="22"/>
        <v>25</v>
      </c>
      <c r="AB18" s="145">
        <f t="shared" si="17"/>
        <v>321.72310916700002</v>
      </c>
      <c r="AC18" s="145">
        <f>+(S18-T18)*V18-'data 1'!$F$4</f>
        <v>24.718500000000006</v>
      </c>
      <c r="AD18" s="145">
        <f t="shared" si="5"/>
        <v>29.91140514610202</v>
      </c>
      <c r="AE18" s="145">
        <f t="shared" si="23"/>
        <v>-42.442499999999995</v>
      </c>
      <c r="AF18" s="145">
        <f t="shared" si="7"/>
        <v>26.358508228140025</v>
      </c>
      <c r="AG18" s="772">
        <f t="shared" si="25"/>
        <v>70.545913374242048</v>
      </c>
      <c r="AH18" s="146">
        <f t="shared" si="9"/>
        <v>31.043407111240427</v>
      </c>
      <c r="AI18" s="156">
        <f t="shared" si="10"/>
        <v>48.454937857897967</v>
      </c>
      <c r="AJ18" s="156">
        <f t="shared" si="11"/>
        <v>27.704240237302653</v>
      </c>
      <c r="AK18" s="88"/>
      <c r="AL18" s="716">
        <f t="shared" si="12"/>
        <v>1671.2807730385482</v>
      </c>
    </row>
    <row r="19" spans="1:38" ht="15.75" customHeight="1">
      <c r="A19" s="857" t="s">
        <v>1655</v>
      </c>
      <c r="B19" s="595">
        <v>45684</v>
      </c>
      <c r="C19" s="595">
        <v>45679</v>
      </c>
      <c r="D19" t="s">
        <v>145</v>
      </c>
      <c r="E19" t="e">
        <f>_xlfn.XLOOKUP(D19,RUC!$B$3:$B$89,RUC!$D$3:$D$89)</f>
        <v>#N/A</v>
      </c>
      <c r="G19" s="80">
        <v>83</v>
      </c>
      <c r="H19" t="s">
        <v>69</v>
      </c>
      <c r="I19" s="596">
        <v>8.86</v>
      </c>
      <c r="J19" s="596">
        <v>1.2</v>
      </c>
      <c r="K19" s="138">
        <f t="shared" si="0"/>
        <v>8.7536799999999992</v>
      </c>
      <c r="L19" s="139">
        <v>0.47799999999999998</v>
      </c>
      <c r="M19" s="139">
        <v>0.45800000000000002</v>
      </c>
      <c r="N19" s="159">
        <v>0.45800000000000002</v>
      </c>
      <c r="O19" s="645">
        <f t="shared" si="1"/>
        <v>0.45800000000000002</v>
      </c>
      <c r="P19" s="629">
        <v>90</v>
      </c>
      <c r="Q19" s="760">
        <v>90.16</v>
      </c>
      <c r="R19" s="706">
        <v>2751.8</v>
      </c>
      <c r="S19" s="765">
        <f t="shared" ref="S19:S33" si="26">IF((90+ROUNDDOWN(O19,1)*100)&lt;95,95,(90+ROUNDDOWN(O19,1)*100))</f>
        <v>130</v>
      </c>
      <c r="U19" s="1005">
        <v>120</v>
      </c>
      <c r="V19" s="715">
        <v>1.1023000000000001</v>
      </c>
      <c r="Y19">
        <v>20</v>
      </c>
      <c r="Z19" s="143">
        <f t="shared" ref="Z19:Z45" si="27">IF(IF(D19="UNTUCA",IF(+((W19-3)*1.5+(X19-3)*3.1)&gt;0,+((W19-3)*1.5+(X19-3)*3.1),0),IF(+((W19-3)*1.5+(X19-3)*3.1)&gt;0,+((W19-3)*1.5+(X19-3)*3.1),0))&lt;30,30,IF(D19="UNTUCA",IF(+((W19-3)*1.5+(X19-3)*3.1)&gt;0,+((W19-3)*1.5+(X19-3)*3.1),0),IF(+((W19-3)*1.5+(X19-3)*3.1)&gt;0,+((W19-3)*1.5+(X19-3)*3.1),0)))</f>
        <v>30</v>
      </c>
      <c r="AA19" s="144">
        <f t="shared" si="22"/>
        <v>50</v>
      </c>
      <c r="AB19" s="145">
        <f t="shared" si="17"/>
        <v>997.3918603080001</v>
      </c>
      <c r="AC19" s="145">
        <f>+(S19-T19)*V19-'data 1'!$F$4</f>
        <v>63.299000000000007</v>
      </c>
      <c r="AD19" s="145">
        <f t="shared" si="5"/>
        <v>2.2187101454719529</v>
      </c>
      <c r="AE19" s="145">
        <f t="shared" si="23"/>
        <v>-14.884999999999998</v>
      </c>
      <c r="AF19" s="145">
        <f t="shared" si="7"/>
        <v>52.311429580479896</v>
      </c>
      <c r="AG19" s="772">
        <f t="shared" ref="AG19:AG45" si="28">+IF(D19="RONALD WILLIAN GARIBAY ESCUDERO",AC19+AD19+AE19+AF19+70,AC19+AD19+AE19+AF19)+70-53</f>
        <v>119.94413972595186</v>
      </c>
      <c r="AH19" s="146">
        <f t="shared" si="9"/>
        <v>129.3425847111294</v>
      </c>
      <c r="AI19" s="156">
        <f t="shared" si="10"/>
        <v>127.40908024252791</v>
      </c>
      <c r="AJ19" s="156">
        <f t="shared" si="11"/>
        <v>123.71083071732899</v>
      </c>
      <c r="AK19" s="88"/>
      <c r="AL19" s="716">
        <f t="shared" si="12"/>
        <v>8730.8491797409333</v>
      </c>
    </row>
    <row r="20" spans="1:38" ht="15.75" customHeight="1">
      <c r="A20" s="857" t="s">
        <v>1656</v>
      </c>
      <c r="B20" s="595">
        <v>45685</v>
      </c>
      <c r="C20" s="595">
        <v>45679</v>
      </c>
      <c r="D20" t="s">
        <v>145</v>
      </c>
      <c r="E20" t="e">
        <f>_xlfn.XLOOKUP(D20,RUC!$B$3:$B$89,RUC!$D$3:$D$89)</f>
        <v>#N/A</v>
      </c>
      <c r="G20" s="80">
        <v>46</v>
      </c>
      <c r="H20" t="s">
        <v>69</v>
      </c>
      <c r="I20" s="596">
        <v>5.31</v>
      </c>
      <c r="J20" s="596">
        <v>1.3</v>
      </c>
      <c r="K20" s="138">
        <f t="shared" si="0"/>
        <v>5.2409699999999999</v>
      </c>
      <c r="L20" s="139">
        <v>0.45600000000000002</v>
      </c>
      <c r="M20" s="139">
        <v>0.437</v>
      </c>
      <c r="N20" s="159">
        <v>0.437</v>
      </c>
      <c r="O20" s="645">
        <f t="shared" si="1"/>
        <v>0.437</v>
      </c>
      <c r="P20" s="629">
        <v>90</v>
      </c>
      <c r="Q20" s="760">
        <v>90.27</v>
      </c>
      <c r="R20" s="706">
        <v>2751.8</v>
      </c>
      <c r="S20" s="765">
        <f t="shared" si="26"/>
        <v>130</v>
      </c>
      <c r="U20" s="1005">
        <v>120</v>
      </c>
      <c r="V20" s="715">
        <v>1.1023000000000001</v>
      </c>
      <c r="Y20">
        <v>20</v>
      </c>
      <c r="Z20" s="143">
        <f t="shared" si="27"/>
        <v>30</v>
      </c>
      <c r="AA20" s="144">
        <f t="shared" si="22"/>
        <v>50</v>
      </c>
      <c r="AB20" s="145">
        <f t="shared" si="17"/>
        <v>942.56233396200025</v>
      </c>
      <c r="AC20" s="145">
        <f>+(S20-T20)*V20-'data 1'!$F$4</f>
        <v>63.299000000000007</v>
      </c>
      <c r="AD20" s="145">
        <f t="shared" si="5"/>
        <v>3.5717520019679476</v>
      </c>
      <c r="AE20" s="145">
        <f t="shared" si="23"/>
        <v>-14.884999999999998</v>
      </c>
      <c r="AF20" s="145">
        <f t="shared" si="7"/>
        <v>49.756489694082049</v>
      </c>
      <c r="AG20" s="772">
        <f t="shared" si="28"/>
        <v>118.74224169605</v>
      </c>
      <c r="AH20" s="146">
        <f t="shared" si="9"/>
        <v>73.965471176915443</v>
      </c>
      <c r="AI20" s="156">
        <f t="shared" si="10"/>
        <v>121.69335544603193</v>
      </c>
      <c r="AJ20" s="156">
        <f t="shared" si="11"/>
        <v>70.671561858967067</v>
      </c>
      <c r="AK20" s="88"/>
      <c r="AL20" s="716">
        <f t="shared" si="12"/>
        <v>4939.9409154248242</v>
      </c>
    </row>
    <row r="21" spans="1:38" ht="15.75" customHeight="1">
      <c r="A21" s="857" t="s">
        <v>1657</v>
      </c>
      <c r="B21" s="595">
        <v>45689</v>
      </c>
      <c r="C21" s="595">
        <v>45679</v>
      </c>
      <c r="D21" t="s">
        <v>145</v>
      </c>
      <c r="E21" t="e">
        <f>_xlfn.XLOOKUP(D21,RUC!$B$3:$B$89,RUC!$D$3:$D$89)</f>
        <v>#N/A</v>
      </c>
      <c r="G21" s="80">
        <v>64</v>
      </c>
      <c r="H21" t="s">
        <v>69</v>
      </c>
      <c r="I21" s="596">
        <v>8.7100000000000009</v>
      </c>
      <c r="J21" s="596">
        <v>1.3</v>
      </c>
      <c r="K21" s="138">
        <f t="shared" si="0"/>
        <v>8.5967700000000011</v>
      </c>
      <c r="L21" s="139">
        <v>0.24399999999999999</v>
      </c>
      <c r="M21" s="139">
        <v>0.23300000000000001</v>
      </c>
      <c r="N21" s="159">
        <v>0.23300000000000001</v>
      </c>
      <c r="O21" s="645">
        <f t="shared" si="1"/>
        <v>0.23300000000000001</v>
      </c>
      <c r="P21" s="629">
        <v>90</v>
      </c>
      <c r="Q21" s="760">
        <v>90.07</v>
      </c>
      <c r="R21" s="706">
        <v>2751.8</v>
      </c>
      <c r="S21" s="765">
        <f t="shared" si="26"/>
        <v>110</v>
      </c>
      <c r="U21" s="1005">
        <v>120</v>
      </c>
      <c r="V21" s="715">
        <v>1.1023000000000001</v>
      </c>
      <c r="Y21">
        <v>20</v>
      </c>
      <c r="Z21" s="143">
        <f t="shared" si="27"/>
        <v>30</v>
      </c>
      <c r="AA21" s="144">
        <f t="shared" si="22"/>
        <v>50</v>
      </c>
      <c r="AB21" s="145">
        <f t="shared" si="17"/>
        <v>431.97864945800018</v>
      </c>
      <c r="AC21" s="145">
        <f>+(S21-T21)*V21-'data 1'!$F$4</f>
        <v>41.253</v>
      </c>
      <c r="AD21" s="145">
        <f t="shared" si="5"/>
        <v>0.49549646031195171</v>
      </c>
      <c r="AE21" s="145">
        <f t="shared" si="23"/>
        <v>-14.884999999999998</v>
      </c>
      <c r="AF21" s="145">
        <f t="shared" si="7"/>
        <v>28.742566041177952</v>
      </c>
      <c r="AG21" s="772">
        <f t="shared" si="28"/>
        <v>72.606062501489902</v>
      </c>
      <c r="AH21" s="146">
        <f t="shared" si="9"/>
        <v>64.77603576177988</v>
      </c>
      <c r="AI21" s="156">
        <f t="shared" si="10"/>
        <v>64.972349231687957</v>
      </c>
      <c r="AJ21" s="156">
        <f t="shared" si="11"/>
        <v>61.807731960957724</v>
      </c>
      <c r="AK21" s="88"/>
      <c r="AL21" s="716">
        <f t="shared" si="12"/>
        <v>3713.6210943010528</v>
      </c>
    </row>
    <row r="22" spans="1:38" ht="15.75" customHeight="1">
      <c r="A22" s="857" t="s">
        <v>1658</v>
      </c>
      <c r="B22" s="595">
        <v>45686</v>
      </c>
      <c r="C22" s="595">
        <v>45681</v>
      </c>
      <c r="D22" t="s">
        <v>145</v>
      </c>
      <c r="E22" t="e">
        <f>_xlfn.XLOOKUP(D22,RUC!$B$3:$B$89,RUC!$D$3:$D$89)</f>
        <v>#N/A</v>
      </c>
      <c r="G22" s="80">
        <v>46</v>
      </c>
      <c r="H22" t="s">
        <v>69</v>
      </c>
      <c r="I22" s="596">
        <v>3.63</v>
      </c>
      <c r="J22" s="596">
        <v>1.6</v>
      </c>
      <c r="K22" s="138">
        <f t="shared" si="0"/>
        <v>3.57192</v>
      </c>
      <c r="L22" s="139">
        <v>0.215</v>
      </c>
      <c r="M22" s="139">
        <v>0.20599999999999999</v>
      </c>
      <c r="N22" s="159">
        <v>0.20599999999999999</v>
      </c>
      <c r="O22" s="645">
        <f t="shared" si="1"/>
        <v>0.20599999999999999</v>
      </c>
      <c r="P22" s="629">
        <v>90</v>
      </c>
      <c r="Q22" s="760">
        <v>90.28</v>
      </c>
      <c r="R22" s="706">
        <v>2776.8</v>
      </c>
      <c r="S22" s="765">
        <f t="shared" si="26"/>
        <v>110</v>
      </c>
      <c r="U22" s="1005">
        <v>120</v>
      </c>
      <c r="V22" s="715">
        <v>1.1023000000000001</v>
      </c>
      <c r="Y22">
        <v>20</v>
      </c>
      <c r="Z22" s="143">
        <f t="shared" si="27"/>
        <v>30</v>
      </c>
      <c r="AA22" s="144">
        <f t="shared" si="22"/>
        <v>50</v>
      </c>
      <c r="AB22" s="145">
        <f t="shared" si="17"/>
        <v>366.59270465600002</v>
      </c>
      <c r="AC22" s="145">
        <f>+(S22-T22)*V22-'data 1'!$F$4</f>
        <v>41.253</v>
      </c>
      <c r="AD22" s="145">
        <f t="shared" si="5"/>
        <v>1.7630115652800071</v>
      </c>
      <c r="AE22" s="145">
        <f t="shared" si="23"/>
        <v>-14.884999999999998</v>
      </c>
      <c r="AF22" s="145">
        <f t="shared" si="7"/>
        <v>23.795384668128023</v>
      </c>
      <c r="AG22" s="772">
        <f t="shared" si="28"/>
        <v>68.926396233408042</v>
      </c>
      <c r="AH22" s="146">
        <f t="shared" si="9"/>
        <v>23.770636072664789</v>
      </c>
      <c r="AI22" s="156">
        <f t="shared" si="10"/>
        <v>52.034739934719973</v>
      </c>
      <c r="AJ22" s="156">
        <f t="shared" si="11"/>
        <v>22.704948572771283</v>
      </c>
      <c r="AK22" s="88"/>
      <c r="AL22" s="716">
        <f t="shared" si="12"/>
        <v>1309.4398136148595</v>
      </c>
    </row>
    <row r="23" spans="1:38" ht="15.75" customHeight="1">
      <c r="A23" s="857" t="s">
        <v>1659</v>
      </c>
      <c r="B23" s="595">
        <v>45686</v>
      </c>
      <c r="C23" s="595">
        <v>45681</v>
      </c>
      <c r="D23" t="s">
        <v>145</v>
      </c>
      <c r="E23" t="e">
        <f>_xlfn.XLOOKUP(D23,RUC!$B$3:$B$89,RUC!$D$3:$D$89)</f>
        <v>#N/A</v>
      </c>
      <c r="G23" s="80">
        <v>64</v>
      </c>
      <c r="H23" t="s">
        <v>69</v>
      </c>
      <c r="I23" s="596">
        <v>5.69</v>
      </c>
      <c r="J23" s="596">
        <v>1.4</v>
      </c>
      <c r="K23" s="138">
        <f t="shared" si="0"/>
        <v>5.6103400000000008</v>
      </c>
      <c r="L23" s="139">
        <v>0.34899999999999998</v>
      </c>
      <c r="M23" s="139">
        <v>0.33500000000000002</v>
      </c>
      <c r="N23" s="159">
        <v>0.33500000000000002</v>
      </c>
      <c r="O23" s="645">
        <f>+ROUND((M23+N23)/2,3)</f>
        <v>0.33500000000000002</v>
      </c>
      <c r="P23" s="629">
        <v>90</v>
      </c>
      <c r="Q23" s="760">
        <v>90.13</v>
      </c>
      <c r="R23" s="706">
        <v>2776.8</v>
      </c>
      <c r="S23" s="765">
        <f t="shared" si="26"/>
        <v>120</v>
      </c>
      <c r="U23" s="1005">
        <v>120</v>
      </c>
      <c r="V23" s="715">
        <v>1.1023000000000001</v>
      </c>
      <c r="Y23">
        <v>20</v>
      </c>
      <c r="Z23" s="143">
        <f t="shared" si="27"/>
        <v>30</v>
      </c>
      <c r="AA23" s="144">
        <f t="shared" si="22"/>
        <v>50</v>
      </c>
      <c r="AB23" s="145">
        <f t="shared" si="17"/>
        <v>695.57907796000006</v>
      </c>
      <c r="AC23" s="145">
        <f>+(S23-T23)*V23-'data 1'!$F$4</f>
        <v>52.27600000000001</v>
      </c>
      <c r="AD23" s="145">
        <f t="shared" si="5"/>
        <v>1.3287015733679539</v>
      </c>
      <c r="AE23" s="145">
        <f t="shared" si="23"/>
        <v>-14.884999999999998</v>
      </c>
      <c r="AF23" s="145">
        <f t="shared" si="7"/>
        <v>36.953542413647888</v>
      </c>
      <c r="AG23" s="772">
        <f t="shared" si="28"/>
        <v>92.673243987015837</v>
      </c>
      <c r="AH23" s="146">
        <f t="shared" si="9"/>
        <v>60.505248454751829</v>
      </c>
      <c r="AI23" s="156">
        <f t="shared" si="10"/>
        <v>84.325354581631927</v>
      </c>
      <c r="AJ23" s="156">
        <f t="shared" si="11"/>
        <v>57.994334223719768</v>
      </c>
      <c r="AK23" s="88"/>
      <c r="AL23" s="716">
        <f t="shared" si="12"/>
        <v>3902.4351242421071</v>
      </c>
    </row>
    <row r="24" spans="1:38" ht="14.4">
      <c r="A24" s="857" t="s">
        <v>1668</v>
      </c>
      <c r="B24" s="1043">
        <v>45703</v>
      </c>
      <c r="C24" s="595">
        <v>45682</v>
      </c>
      <c r="D24" t="s">
        <v>1000</v>
      </c>
      <c r="E24">
        <f>_xlfn.XLOOKUP(D24,RUC!$B$3:$B$89,RUC!$D$3:$D$89)</f>
        <v>20611329556</v>
      </c>
      <c r="G24" s="80">
        <v>90</v>
      </c>
      <c r="H24" t="s">
        <v>69</v>
      </c>
      <c r="I24" s="596">
        <v>8.48</v>
      </c>
      <c r="J24" s="596">
        <v>1.1000000000000001</v>
      </c>
      <c r="K24" s="138">
        <f t="shared" si="0"/>
        <v>8.3867200000000004</v>
      </c>
      <c r="L24" s="139">
        <v>0.26100000000000001</v>
      </c>
      <c r="M24" s="139">
        <v>0.251</v>
      </c>
      <c r="N24" s="159">
        <v>0.251</v>
      </c>
      <c r="O24" s="645">
        <f t="shared" si="1"/>
        <v>0.251</v>
      </c>
      <c r="P24" s="727">
        <v>90</v>
      </c>
      <c r="Q24" s="1035">
        <v>90.12</v>
      </c>
      <c r="R24" s="706">
        <v>2756.8</v>
      </c>
      <c r="S24" s="765">
        <v>100</v>
      </c>
      <c r="U24" s="1005">
        <v>100</v>
      </c>
      <c r="V24" s="715">
        <v>1.1023000000000001</v>
      </c>
      <c r="Z24" s="143">
        <f t="shared" si="27"/>
        <v>30</v>
      </c>
      <c r="AA24" s="144">
        <f t="shared" si="22"/>
        <v>30</v>
      </c>
      <c r="AB24" s="145">
        <f t="shared" si="17"/>
        <v>518.26962557599995</v>
      </c>
      <c r="AC24" s="145">
        <f>+(S24-T24)*V24-'data 1'!$F$4</f>
        <v>30.230000000000004</v>
      </c>
      <c r="AD24" s="145">
        <f t="shared" si="5"/>
        <v>0.91723458844803485</v>
      </c>
      <c r="AE24" s="145">
        <f t="shared" si="23"/>
        <v>-36.930999999999997</v>
      </c>
      <c r="AF24" s="145">
        <f t="shared" si="7"/>
        <v>26.392458847680029</v>
      </c>
      <c r="AG24" s="772">
        <f t="shared" si="28"/>
        <v>37.608693436128078</v>
      </c>
      <c r="AH24" s="146">
        <f t="shared" si="9"/>
        <v>67.633662115342517</v>
      </c>
      <c r="AI24" s="156">
        <f t="shared" si="10"/>
        <v>63.055804119551965</v>
      </c>
      <c r="AJ24" s="156">
        <f t="shared" si="11"/>
        <v>64.955726429706644</v>
      </c>
      <c r="AK24" s="88"/>
      <c r="AL24" s="716">
        <f t="shared" si="12"/>
        <v>4346.5822342107504</v>
      </c>
    </row>
    <row r="25" spans="1:38" ht="15.75" customHeight="1">
      <c r="A25" s="857" t="s">
        <v>1669</v>
      </c>
      <c r="B25" s="1043">
        <v>45703</v>
      </c>
      <c r="C25" s="595">
        <v>45682</v>
      </c>
      <c r="D25" t="s">
        <v>1000</v>
      </c>
      <c r="E25">
        <f>_xlfn.XLOOKUP(D25,RUC!$B$3:$B$89,RUC!$D$3:$D$89)</f>
        <v>20611329556</v>
      </c>
      <c r="G25" s="80">
        <v>318</v>
      </c>
      <c r="H25" t="s">
        <v>69</v>
      </c>
      <c r="I25" s="596">
        <v>29.4</v>
      </c>
      <c r="J25" s="596">
        <v>1.2</v>
      </c>
      <c r="K25" s="138">
        <f t="shared" si="0"/>
        <v>29.0472</v>
      </c>
      <c r="L25" s="139">
        <v>0.317</v>
      </c>
      <c r="M25" s="139">
        <v>0.30399999999999999</v>
      </c>
      <c r="N25" s="159">
        <v>0.30399999999999999</v>
      </c>
      <c r="O25" s="645">
        <f t="shared" si="1"/>
        <v>0.30399999999999999</v>
      </c>
      <c r="P25" s="727">
        <v>90</v>
      </c>
      <c r="Q25" s="1035">
        <v>90.2</v>
      </c>
      <c r="R25" s="706">
        <v>2756.8</v>
      </c>
      <c r="S25" s="765">
        <v>110</v>
      </c>
      <c r="U25" s="1005">
        <v>100</v>
      </c>
      <c r="V25" s="715">
        <v>1.1023000000000001</v>
      </c>
      <c r="Z25" s="143">
        <f t="shared" si="27"/>
        <v>30</v>
      </c>
      <c r="AA25" s="144">
        <f t="shared" si="22"/>
        <v>30</v>
      </c>
      <c r="AB25" s="145">
        <f t="shared" si="17"/>
        <v>646.94039910400022</v>
      </c>
      <c r="AC25" s="145">
        <f>+(S25-T25)*V25-'data 1'!$F$4</f>
        <v>41.253</v>
      </c>
      <c r="AD25" s="145">
        <f t="shared" si="5"/>
        <v>1.8567264657600269</v>
      </c>
      <c r="AE25" s="145">
        <f t="shared" si="23"/>
        <v>-36.930999999999997</v>
      </c>
      <c r="AF25" s="145">
        <f t="shared" si="7"/>
        <v>34.340653844640038</v>
      </c>
      <c r="AG25" s="772">
        <f t="shared" si="28"/>
        <v>57.519380310400066</v>
      </c>
      <c r="AH25" s="146">
        <f t="shared" si="9"/>
        <v>284.76010475849603</v>
      </c>
      <c r="AI25" s="156">
        <f t="shared" si="10"/>
        <v>76.653003722239944</v>
      </c>
      <c r="AJ25" s="156">
        <f t="shared" si="11"/>
        <v>272.47674170236667</v>
      </c>
      <c r="AK25" s="88"/>
      <c r="AL25" s="716">
        <f t="shared" si="12"/>
        <v>18791.807160853714</v>
      </c>
    </row>
    <row r="26" spans="1:38" ht="15.75" customHeight="1">
      <c r="A26" s="857" t="s">
        <v>1670</v>
      </c>
      <c r="B26" s="595">
        <v>45687</v>
      </c>
      <c r="C26" s="595">
        <v>45682</v>
      </c>
      <c r="D26" t="s">
        <v>145</v>
      </c>
      <c r="E26" t="e">
        <f>_xlfn.XLOOKUP(D26,RUC!$B$3:$B$89,RUC!$D$3:$D$89)</f>
        <v>#N/A</v>
      </c>
      <c r="G26" s="80">
        <v>100</v>
      </c>
      <c r="H26" t="s">
        <v>69</v>
      </c>
      <c r="I26" s="596">
        <v>8.7899999999999991</v>
      </c>
      <c r="J26" s="596">
        <v>1.8</v>
      </c>
      <c r="K26" s="138">
        <f t="shared" si="0"/>
        <v>8.6317799999999991</v>
      </c>
      <c r="L26" s="139">
        <v>0.52300000000000002</v>
      </c>
      <c r="M26" s="139">
        <v>0.502</v>
      </c>
      <c r="N26" s="159">
        <v>0.502</v>
      </c>
      <c r="O26" s="645">
        <f t="shared" si="1"/>
        <v>0.502</v>
      </c>
      <c r="P26" s="727">
        <v>90</v>
      </c>
      <c r="Q26" s="1035">
        <v>90.17</v>
      </c>
      <c r="R26" s="706">
        <v>2756.8</v>
      </c>
      <c r="S26" s="765">
        <f t="shared" si="26"/>
        <v>140</v>
      </c>
      <c r="U26" s="1005">
        <v>120</v>
      </c>
      <c r="V26" s="715">
        <v>1.1023000000000001</v>
      </c>
      <c r="Y26">
        <v>20</v>
      </c>
      <c r="Z26" s="143">
        <f t="shared" si="27"/>
        <v>30</v>
      </c>
      <c r="AA26" s="144">
        <f t="shared" si="22"/>
        <v>50</v>
      </c>
      <c r="AB26" s="145">
        <f t="shared" si="17"/>
        <v>1103.7398683520003</v>
      </c>
      <c r="AC26" s="145">
        <f>+(S26-T26)*V26-'data 1'!$F$4</f>
        <v>74.322000000000003</v>
      </c>
      <c r="AD26" s="145">
        <f t="shared" si="5"/>
        <v>2.5842088394240261</v>
      </c>
      <c r="AE26" s="145">
        <f t="shared" si="23"/>
        <v>-14.884999999999998</v>
      </c>
      <c r="AF26" s="145">
        <f t="shared" si="7"/>
        <v>55.037457339648057</v>
      </c>
      <c r="AG26" s="772">
        <f t="shared" si="28"/>
        <v>134.05866617907208</v>
      </c>
      <c r="AH26" s="146">
        <f t="shared" si="9"/>
        <v>139.56393011942441</v>
      </c>
      <c r="AI26" s="156">
        <f t="shared" si="10"/>
        <v>136.81995740957592</v>
      </c>
      <c r="AJ26" s="156">
        <f t="shared" si="11"/>
        <v>133.70746615635505</v>
      </c>
      <c r="AK26" s="88"/>
      <c r="AL26" s="716">
        <f t="shared" si="12"/>
        <v>9527.2397208434286</v>
      </c>
    </row>
    <row r="27" spans="1:38" ht="15.75" customHeight="1">
      <c r="A27" s="857" t="s">
        <v>1673</v>
      </c>
      <c r="B27" s="595">
        <v>45686</v>
      </c>
      <c r="C27" s="595">
        <v>45684</v>
      </c>
      <c r="D27" t="s">
        <v>1403</v>
      </c>
      <c r="E27">
        <f>_xlfn.XLOOKUP(D27,RUC!$B$3:$B$89,RUC!$D$3:$D$89)</f>
        <v>10479968131</v>
      </c>
      <c r="G27" s="80">
        <v>53</v>
      </c>
      <c r="H27" t="s">
        <v>116</v>
      </c>
      <c r="I27" s="596">
        <v>4.4400000000000004</v>
      </c>
      <c r="J27" s="596">
        <v>12</v>
      </c>
      <c r="K27" s="138">
        <f t="shared" si="0"/>
        <v>3.9072000000000005</v>
      </c>
      <c r="L27" s="139">
        <v>0.25900000000000001</v>
      </c>
      <c r="M27" s="139">
        <v>0.248</v>
      </c>
      <c r="N27" s="159">
        <v>0.248</v>
      </c>
      <c r="O27" s="645">
        <f t="shared" si="1"/>
        <v>0.248</v>
      </c>
      <c r="P27" s="727">
        <v>90</v>
      </c>
      <c r="Q27" s="1035">
        <v>90.22</v>
      </c>
      <c r="R27" s="706">
        <v>2742.4</v>
      </c>
      <c r="S27" s="765">
        <f t="shared" si="26"/>
        <v>110</v>
      </c>
      <c r="U27" s="1005">
        <v>120</v>
      </c>
      <c r="V27" s="715">
        <v>1.1023000000000001</v>
      </c>
      <c r="Y27">
        <v>20</v>
      </c>
      <c r="Z27" s="143">
        <f t="shared" si="27"/>
        <v>30</v>
      </c>
      <c r="AA27" s="144">
        <f t="shared" si="22"/>
        <v>50</v>
      </c>
      <c r="AB27" s="145">
        <f t="shared" si="17"/>
        <v>468.8298832640001</v>
      </c>
      <c r="AC27" s="145">
        <f>+(S27-T27)*V27-'data 1'!$F$4</f>
        <v>41.253</v>
      </c>
      <c r="AD27" s="145">
        <f t="shared" si="5"/>
        <v>1.6471046320959917</v>
      </c>
      <c r="AE27" s="145">
        <f t="shared" si="23"/>
        <v>-14.884999999999998</v>
      </c>
      <c r="AF27" s="145">
        <f t="shared" si="7"/>
        <v>28.687602298784032</v>
      </c>
      <c r="AG27" s="772">
        <f t="shared" si="28"/>
        <v>73.702706930880026</v>
      </c>
      <c r="AH27" s="146">
        <f t="shared" si="9"/>
        <v>31.302375607740654</v>
      </c>
      <c r="AI27" s="156">
        <f t="shared" si="10"/>
        <v>71.502603621903987</v>
      </c>
      <c r="AJ27" s="156">
        <f t="shared" si="11"/>
        <v>29.899842579775878</v>
      </c>
      <c r="AK27" s="88"/>
      <c r="AL27" s="716">
        <f t="shared" si="12"/>
        <v>1831.8121198891015</v>
      </c>
    </row>
    <row r="28" spans="1:38" ht="15.75" customHeight="1">
      <c r="A28" s="857" t="s">
        <v>1674</v>
      </c>
      <c r="B28" s="1057"/>
      <c r="C28" s="595">
        <v>45684</v>
      </c>
      <c r="D28" t="s">
        <v>1403</v>
      </c>
      <c r="E28">
        <f>_xlfn.XLOOKUP(D28,RUC!$B$3:$B$89,RUC!$D$3:$D$89)</f>
        <v>10479968131</v>
      </c>
      <c r="G28" s="80">
        <v>53</v>
      </c>
      <c r="H28" t="s">
        <v>116</v>
      </c>
      <c r="I28" s="596">
        <v>4.5</v>
      </c>
      <c r="J28" s="596">
        <v>13</v>
      </c>
      <c r="K28" s="138">
        <f t="shared" si="0"/>
        <v>3.915</v>
      </c>
      <c r="L28" s="139">
        <v>0.17499999999999999</v>
      </c>
      <c r="M28" s="139">
        <v>0.16500000000000001</v>
      </c>
      <c r="N28" s="159">
        <v>0.16500000000000001</v>
      </c>
      <c r="O28" s="645">
        <f t="shared" si="1"/>
        <v>0.16500000000000001</v>
      </c>
      <c r="P28" s="727">
        <v>90</v>
      </c>
      <c r="Q28" s="1035">
        <v>90.12</v>
      </c>
      <c r="R28" s="706">
        <v>2742.4</v>
      </c>
      <c r="S28" s="765">
        <f t="shared" si="26"/>
        <v>100</v>
      </c>
      <c r="U28" s="1005">
        <v>120</v>
      </c>
      <c r="V28" s="715">
        <v>1.1023000000000001</v>
      </c>
      <c r="Y28">
        <v>20</v>
      </c>
      <c r="Z28" s="143">
        <f t="shared" si="27"/>
        <v>30</v>
      </c>
      <c r="AA28" s="144">
        <f t="shared" si="22"/>
        <v>50</v>
      </c>
      <c r="AB28" s="145">
        <f t="shared" si="17"/>
        <v>263.9197207200001</v>
      </c>
      <c r="AC28" s="145">
        <f>+(S28-T28)*V28-'data 1'!$F$4</f>
        <v>30.230000000000004</v>
      </c>
      <c r="AD28" s="145">
        <f t="shared" si="5"/>
        <v>0.60704101920002296</v>
      </c>
      <c r="AE28" s="145">
        <f t="shared" si="23"/>
        <v>-14.884999999999998</v>
      </c>
      <c r="AF28" s="145">
        <f t="shared" si="7"/>
        <v>26.05073173823995</v>
      </c>
      <c r="AG28" s="772">
        <f t="shared" si="28"/>
        <v>59.002772757439971</v>
      </c>
      <c r="AH28" s="146">
        <f t="shared" si="9"/>
        <v>21.168986570765938</v>
      </c>
      <c r="AI28" s="156">
        <f t="shared" si="10"/>
        <v>48.259020280799987</v>
      </c>
      <c r="AJ28" s="156">
        <f t="shared" si="11"/>
        <v>19.932753191038881</v>
      </c>
      <c r="AK28" s="88"/>
      <c r="AL28" s="716">
        <f t="shared" si="12"/>
        <v>1033.2457066188003</v>
      </c>
    </row>
    <row r="29" spans="1:38" ht="15.75" customHeight="1">
      <c r="A29" s="857" t="s">
        <v>1675</v>
      </c>
      <c r="B29" s="595">
        <v>45686</v>
      </c>
      <c r="C29" s="595">
        <v>45684</v>
      </c>
      <c r="D29" t="s">
        <v>1403</v>
      </c>
      <c r="E29">
        <f>_xlfn.XLOOKUP(D29,RUC!$B$3:$B$89,RUC!$D$3:$D$89)</f>
        <v>10479968131</v>
      </c>
      <c r="G29" s="80">
        <v>44</v>
      </c>
      <c r="H29" t="s">
        <v>116</v>
      </c>
      <c r="I29" s="596">
        <v>3.59</v>
      </c>
      <c r="J29" s="596">
        <v>12.85</v>
      </c>
      <c r="K29" s="138">
        <f t="shared" si="0"/>
        <v>3.1286849999999999</v>
      </c>
      <c r="L29" s="139">
        <v>0.155</v>
      </c>
      <c r="M29" s="139">
        <v>0.14499999999999999</v>
      </c>
      <c r="N29" s="159">
        <v>0.14499999999999999</v>
      </c>
      <c r="O29" s="645">
        <f t="shared" si="1"/>
        <v>0.14499999999999999</v>
      </c>
      <c r="P29" s="727">
        <v>85</v>
      </c>
      <c r="Q29" s="1035">
        <v>90.07</v>
      </c>
      <c r="R29" s="706">
        <v>2742.4</v>
      </c>
      <c r="S29" s="765">
        <f t="shared" si="26"/>
        <v>100</v>
      </c>
      <c r="U29" s="1005">
        <v>120</v>
      </c>
      <c r="V29" s="715">
        <v>1.1023000000000001</v>
      </c>
      <c r="Y29">
        <v>20</v>
      </c>
      <c r="Z29" s="143">
        <f t="shared" si="27"/>
        <v>30</v>
      </c>
      <c r="AA29" s="144">
        <f t="shared" si="22"/>
        <v>50</v>
      </c>
      <c r="AB29" s="145">
        <f t="shared" si="17"/>
        <v>190.93026484000001</v>
      </c>
      <c r="AC29" s="145">
        <f>+(S29-T29)*V29-'data 1'!$F$4</f>
        <v>30.230000000000004</v>
      </c>
      <c r="AD29" s="145">
        <f t="shared" si="5"/>
        <v>22.71634213991997</v>
      </c>
      <c r="AE29" s="145">
        <f t="shared" si="23"/>
        <v>-14.884999999999998</v>
      </c>
      <c r="AF29" s="145">
        <f t="shared" si="7"/>
        <v>26.036278380640027</v>
      </c>
      <c r="AG29" s="772">
        <f t="shared" si="28"/>
        <v>81.097620520560014</v>
      </c>
      <c r="AH29" s="146">
        <f t="shared" si="9"/>
        <v>14.975549611369654</v>
      </c>
      <c r="AI29" s="156">
        <f t="shared" si="10"/>
        <v>42.719988795079992</v>
      </c>
      <c r="AJ29" s="156">
        <f t="shared" si="11"/>
        <v>13.220803100107156</v>
      </c>
      <c r="AK29" s="88"/>
      <c r="AL29" s="716">
        <f t="shared" si="12"/>
        <v>597.36065565093543</v>
      </c>
    </row>
    <row r="30" spans="1:38" ht="15.75" customHeight="1">
      <c r="A30" s="857" t="s">
        <v>1676</v>
      </c>
      <c r="B30" s="595">
        <v>45686</v>
      </c>
      <c r="C30" s="595">
        <v>45684</v>
      </c>
      <c r="D30" s="1055" t="s">
        <v>1403</v>
      </c>
      <c r="E30">
        <f>_xlfn.XLOOKUP(D30,RUC!$B$3:$B$89,RUC!$D$3:$D$89)</f>
        <v>10479968131</v>
      </c>
      <c r="G30" s="80">
        <v>31</v>
      </c>
      <c r="H30" t="s">
        <v>116</v>
      </c>
      <c r="I30" s="596">
        <v>2.34</v>
      </c>
      <c r="J30" s="596">
        <v>11.2</v>
      </c>
      <c r="K30" s="138">
        <f t="shared" si="0"/>
        <v>2.0779199999999998</v>
      </c>
      <c r="L30" s="139">
        <v>0.29799999999999999</v>
      </c>
      <c r="M30" s="139">
        <v>0.28599999999999998</v>
      </c>
      <c r="N30" s="159">
        <v>0.28599999999999998</v>
      </c>
      <c r="O30" s="645">
        <f t="shared" si="1"/>
        <v>0.28599999999999998</v>
      </c>
      <c r="P30" s="727">
        <v>90</v>
      </c>
      <c r="Q30" s="1035">
        <v>90.19</v>
      </c>
      <c r="R30" s="706">
        <v>2742.4</v>
      </c>
      <c r="S30" s="765">
        <f t="shared" si="26"/>
        <v>110</v>
      </c>
      <c r="U30" s="1005">
        <v>120</v>
      </c>
      <c r="V30" s="715">
        <v>1.1023000000000001</v>
      </c>
      <c r="Y30">
        <v>20</v>
      </c>
      <c r="Z30" s="143">
        <f t="shared" si="27"/>
        <v>30</v>
      </c>
      <c r="AA30" s="144">
        <f t="shared" si="22"/>
        <v>50</v>
      </c>
      <c r="AB30" s="145">
        <f t="shared" si="17"/>
        <v>567.69084924800006</v>
      </c>
      <c r="AC30" s="145">
        <f>+(S30-T30)*V30-'data 1'!$F$4</f>
        <v>41.253</v>
      </c>
      <c r="AD30" s="145">
        <f t="shared" si="5"/>
        <v>1.6366982146239804</v>
      </c>
      <c r="AE30" s="145">
        <f t="shared" si="23"/>
        <v>-14.884999999999998</v>
      </c>
      <c r="AF30" s="145">
        <f t="shared" si="7"/>
        <v>31.285159726656033</v>
      </c>
      <c r="AG30" s="772">
        <f t="shared" si="28"/>
        <v>76.289857941280019</v>
      </c>
      <c r="AH30" s="146">
        <f t="shared" si="9"/>
        <v>19.147520513185345</v>
      </c>
      <c r="AI30" s="156">
        <f t="shared" si="10"/>
        <v>82.242048675375969</v>
      </c>
      <c r="AJ30" s="156">
        <f t="shared" si="11"/>
        <v>18.337766356386734</v>
      </c>
      <c r="AK30" s="88"/>
      <c r="AL30" s="716">
        <f t="shared" si="12"/>
        <v>1179.6161694694042</v>
      </c>
    </row>
    <row r="31" spans="1:38" ht="15.75" customHeight="1">
      <c r="A31" s="857" t="s">
        <v>1680</v>
      </c>
      <c r="B31" s="595">
        <v>45689</v>
      </c>
      <c r="C31" s="595">
        <v>45685</v>
      </c>
      <c r="D31" t="s">
        <v>1689</v>
      </c>
      <c r="E31">
        <f>_xlfn.XLOOKUP(D31,RUC!$B$3:$B$89,RUC!$D$3:$D$89)</f>
        <v>10306762465</v>
      </c>
      <c r="G31" s="80">
        <v>98</v>
      </c>
      <c r="H31" t="s">
        <v>69</v>
      </c>
      <c r="I31" s="596">
        <v>8.31</v>
      </c>
      <c r="J31" s="596">
        <v>1.1000000000000001</v>
      </c>
      <c r="K31" s="138">
        <f t="shared" si="0"/>
        <v>8.2185900000000007</v>
      </c>
      <c r="L31" s="139">
        <v>0.13200000000000001</v>
      </c>
      <c r="M31" s="139">
        <v>0.127</v>
      </c>
      <c r="N31" s="159">
        <v>0.127</v>
      </c>
      <c r="O31" s="645">
        <f t="shared" si="1"/>
        <v>0.127</v>
      </c>
      <c r="P31" s="727">
        <v>90</v>
      </c>
      <c r="Q31" s="1035">
        <v>90.22</v>
      </c>
      <c r="R31" s="706">
        <v>2756.3</v>
      </c>
      <c r="S31" s="765">
        <f t="shared" si="26"/>
        <v>100</v>
      </c>
      <c r="U31" s="1048">
        <v>120</v>
      </c>
      <c r="V31" s="715">
        <v>1.1023000000000001</v>
      </c>
      <c r="Y31">
        <v>20</v>
      </c>
      <c r="Z31" s="143">
        <f t="shared" si="27"/>
        <v>30</v>
      </c>
      <c r="AA31" s="144">
        <f t="shared" si="22"/>
        <v>50</v>
      </c>
      <c r="AB31" s="145">
        <f t="shared" si="17"/>
        <v>166.81005590700002</v>
      </c>
      <c r="AC31" s="145">
        <f>+(S31-T31)*V31-'data 1'!$F$4</f>
        <v>30.230000000000004</v>
      </c>
      <c r="AD31" s="145">
        <f t="shared" si="5"/>
        <v>0.84390050949599571</v>
      </c>
      <c r="AE31" s="145">
        <f t="shared" si="23"/>
        <v>-14.884999999999998</v>
      </c>
      <c r="AF31" s="145">
        <f t="shared" si="7"/>
        <v>13.108936633390012</v>
      </c>
      <c r="AG31" s="772">
        <f t="shared" si="28"/>
        <v>46.29783714288601</v>
      </c>
      <c r="AH31" s="146">
        <f t="shared" si="9"/>
        <v>33.557000827770693</v>
      </c>
      <c r="AI31" s="156">
        <f t="shared" si="10"/>
        <v>34.616781846503976</v>
      </c>
      <c r="AJ31" s="156">
        <f t="shared" si="11"/>
        <v>32.207173664831004</v>
      </c>
      <c r="AK31" s="88"/>
      <c r="AL31" s="716">
        <f t="shared" si="12"/>
        <v>1370.9434573767114</v>
      </c>
    </row>
    <row r="32" spans="1:38" ht="15.75" customHeight="1">
      <c r="A32" s="857" t="s">
        <v>1681</v>
      </c>
      <c r="B32" s="595">
        <v>45692</v>
      </c>
      <c r="C32" s="595">
        <v>45686</v>
      </c>
      <c r="D32" t="s">
        <v>1402</v>
      </c>
      <c r="E32">
        <f>_xlfn.XLOOKUP(D32,RUC!$B$3:$B$89,RUC!$D$3:$D$89)</f>
        <v>20606526599</v>
      </c>
      <c r="G32" s="80">
        <v>90</v>
      </c>
      <c r="H32" t="s">
        <v>69</v>
      </c>
      <c r="I32" s="596">
        <v>7.31</v>
      </c>
      <c r="J32" s="596">
        <v>1.1000000000000001</v>
      </c>
      <c r="K32" s="138">
        <f t="shared" si="0"/>
        <v>7.22959</v>
      </c>
      <c r="L32" s="139">
        <v>0.20699999999999999</v>
      </c>
      <c r="M32" s="139">
        <v>0.19700000000000001</v>
      </c>
      <c r="N32" s="598">
        <v>0.252</v>
      </c>
      <c r="O32" s="645">
        <f t="shared" si="1"/>
        <v>0.22500000000000001</v>
      </c>
      <c r="P32" s="727">
        <v>90</v>
      </c>
      <c r="Q32" s="1035">
        <v>90.03</v>
      </c>
      <c r="R32" s="706">
        <v>2756.3</v>
      </c>
      <c r="S32" s="765">
        <f t="shared" si="26"/>
        <v>110</v>
      </c>
      <c r="U32" s="1048">
        <v>120</v>
      </c>
      <c r="V32" s="715">
        <v>1.1023000000000001</v>
      </c>
      <c r="Y32">
        <v>20</v>
      </c>
      <c r="Z32" s="143">
        <f t="shared" si="27"/>
        <v>30</v>
      </c>
      <c r="AA32" s="144">
        <f t="shared" si="22"/>
        <v>50</v>
      </c>
      <c r="AB32" s="145">
        <f t="shared" si="17"/>
        <v>412.09568172500008</v>
      </c>
      <c r="AC32" s="145">
        <f>+(S32-T32)*V32-'data 1'!$F$4</f>
        <v>41.253</v>
      </c>
      <c r="AD32" s="145">
        <f t="shared" si="5"/>
        <v>0.18046219572900682</v>
      </c>
      <c r="AE32" s="145">
        <f t="shared" si="23"/>
        <v>-14.884999999999998</v>
      </c>
      <c r="AF32" s="145">
        <f t="shared" si="7"/>
        <v>-47.092786902846044</v>
      </c>
      <c r="AG32" s="772">
        <f t="shared" si="28"/>
        <v>-3.5443247071170347</v>
      </c>
      <c r="AH32" s="146">
        <f t="shared" si="9"/>
        <v>46.193443011206618</v>
      </c>
      <c r="AI32" s="156">
        <f t="shared" si="10"/>
        <v>54.171084824270963</v>
      </c>
      <c r="AJ32" s="156">
        <f t="shared" si="11"/>
        <v>50.193532964960902</v>
      </c>
      <c r="AK32" s="88"/>
      <c r="AL32" s="716">
        <f t="shared" si="12"/>
        <v>2979.2828196422433</v>
      </c>
    </row>
    <row r="33" spans="1:38" ht="15.75" customHeight="1">
      <c r="A33" s="857" t="s">
        <v>1682</v>
      </c>
      <c r="B33" s="595">
        <v>45694</v>
      </c>
      <c r="C33" s="595">
        <v>45686</v>
      </c>
      <c r="D33" t="s">
        <v>1402</v>
      </c>
      <c r="E33">
        <f>_xlfn.XLOOKUP(D33,RUC!$B$3:$B$89,RUC!$D$3:$D$89)</f>
        <v>20606526599</v>
      </c>
      <c r="G33" s="80">
        <v>69</v>
      </c>
      <c r="H33" t="s">
        <v>69</v>
      </c>
      <c r="I33" s="596">
        <v>5.88</v>
      </c>
      <c r="J33" s="596">
        <v>1.2</v>
      </c>
      <c r="K33" s="138">
        <f t="shared" si="0"/>
        <v>5.8094399999999995</v>
      </c>
      <c r="L33" s="139">
        <v>0.47199999999999998</v>
      </c>
      <c r="M33" s="139">
        <v>0.45300000000000001</v>
      </c>
      <c r="N33" s="159">
        <v>0.45300000000000001</v>
      </c>
      <c r="O33" s="645">
        <f t="shared" si="1"/>
        <v>0.45300000000000001</v>
      </c>
      <c r="P33" s="727">
        <v>90</v>
      </c>
      <c r="Q33" s="1035">
        <v>89.96</v>
      </c>
      <c r="R33" s="706">
        <v>2756.3</v>
      </c>
      <c r="S33" s="765">
        <f t="shared" si="26"/>
        <v>130</v>
      </c>
      <c r="U33" s="1048">
        <v>120</v>
      </c>
      <c r="V33" s="715">
        <v>1.1023000000000001</v>
      </c>
      <c r="Y33">
        <v>20</v>
      </c>
      <c r="Z33" s="143">
        <f t="shared" si="27"/>
        <v>30</v>
      </c>
      <c r="AA33" s="144">
        <f t="shared" si="22"/>
        <v>50</v>
      </c>
      <c r="AB33" s="145">
        <f t="shared" si="17"/>
        <v>986.35954587300034</v>
      </c>
      <c r="AC33" s="145">
        <f>+(S33-T33)*V33-'data 1'!$F$4</f>
        <v>63.299000000000007</v>
      </c>
      <c r="AD33" s="145">
        <f t="shared" si="5"/>
        <v>-0.54865157091208583</v>
      </c>
      <c r="AE33" s="145">
        <f t="shared" si="23"/>
        <v>-14.884999999999998</v>
      </c>
      <c r="AF33" s="145">
        <f t="shared" si="7"/>
        <v>49.670403128475897</v>
      </c>
      <c r="AG33" s="772">
        <f t="shared" si="28"/>
        <v>114.53575155756383</v>
      </c>
      <c r="AH33" s="146">
        <f t="shared" si="9"/>
        <v>84.57359376193854</v>
      </c>
      <c r="AI33" s="156">
        <f t="shared" si="10"/>
        <v>123.4245017229119</v>
      </c>
      <c r="AJ33" s="156">
        <f t="shared" si="11"/>
        <v>81.205239467876396</v>
      </c>
      <c r="AK33" s="88"/>
      <c r="AL33" s="716">
        <f t="shared" si="12"/>
        <v>5730.1966001764422</v>
      </c>
    </row>
    <row r="34" spans="1:38" ht="15.75" customHeight="1">
      <c r="A34" s="857" t="s">
        <v>1683</v>
      </c>
      <c r="B34" s="595">
        <v>45689</v>
      </c>
      <c r="C34" s="595">
        <v>45687</v>
      </c>
      <c r="D34" t="s">
        <v>324</v>
      </c>
      <c r="E34">
        <f>_xlfn.XLOOKUP(D34,RUC!$B$3:$B$89,RUC!$D$3:$D$89)</f>
        <v>20603329059</v>
      </c>
      <c r="G34" s="80">
        <v>16</v>
      </c>
      <c r="H34" t="s">
        <v>116</v>
      </c>
      <c r="I34" s="596">
        <v>1.06</v>
      </c>
      <c r="J34" s="596">
        <v>1.1000000000000001</v>
      </c>
      <c r="K34" s="138">
        <f t="shared" si="0"/>
        <v>1.04834</v>
      </c>
      <c r="L34" s="139">
        <v>0.45500000000000002</v>
      </c>
      <c r="M34" s="139">
        <v>0.437</v>
      </c>
      <c r="N34" s="159">
        <v>0.437</v>
      </c>
      <c r="O34" s="645">
        <f t="shared" si="1"/>
        <v>0.437</v>
      </c>
      <c r="P34" s="727">
        <v>90</v>
      </c>
      <c r="Q34" s="1035">
        <v>89.9</v>
      </c>
      <c r="R34" s="706">
        <v>2787.25</v>
      </c>
      <c r="S34" s="765">
        <f>IF((80+ROUNDDOWN(O34,1)*100)&lt;95,95,(80+ROUNDDOWN(O34,1)*100))</f>
        <v>120</v>
      </c>
      <c r="U34" s="1049">
        <v>100</v>
      </c>
      <c r="V34" s="715">
        <v>1.1023000000000001</v>
      </c>
      <c r="Z34" s="143">
        <f t="shared" si="27"/>
        <v>30</v>
      </c>
      <c r="AA34" s="144">
        <f t="shared" si="22"/>
        <v>30</v>
      </c>
      <c r="AB34" s="145">
        <f t="shared" si="17"/>
        <v>999.67082697749993</v>
      </c>
      <c r="AC34" s="145">
        <f>+(S34-T34)*V34-'data 1'!$F$4</f>
        <v>52.27600000000001</v>
      </c>
      <c r="AD34" s="145">
        <f t="shared" si="5"/>
        <v>-1.3477808321249236</v>
      </c>
      <c r="AE34" s="145">
        <f t="shared" si="23"/>
        <v>-36.930999999999997</v>
      </c>
      <c r="AF34" s="145">
        <f t="shared" si="7"/>
        <v>47.933603132850045</v>
      </c>
      <c r="AG34" s="772">
        <f t="shared" si="28"/>
        <v>78.93082230072514</v>
      </c>
      <c r="AH34" s="146">
        <f t="shared" si="9"/>
        <v>14.702199600176709</v>
      </c>
      <c r="AI34" s="156">
        <f t="shared" si="10"/>
        <v>95.926912069625033</v>
      </c>
      <c r="AJ34" s="156">
        <f t="shared" si="11"/>
        <v>14.136281100488945</v>
      </c>
      <c r="AK34" s="88"/>
      <c r="AL34" s="716">
        <f t="shared" si="12"/>
        <v>1047.9949147535924</v>
      </c>
    </row>
    <row r="35" spans="1:38" ht="15.75" customHeight="1">
      <c r="A35" s="857" t="s">
        <v>1684</v>
      </c>
      <c r="B35" s="595">
        <v>45696</v>
      </c>
      <c r="C35" s="595">
        <v>45687</v>
      </c>
      <c r="D35" t="s">
        <v>324</v>
      </c>
      <c r="E35">
        <f>_xlfn.XLOOKUP(D35,RUC!$B$3:$B$89,RUC!$D$3:$D$89)</f>
        <v>20603329059</v>
      </c>
      <c r="G35" s="80">
        <v>17</v>
      </c>
      <c r="H35" t="s">
        <v>116</v>
      </c>
      <c r="I35" s="596">
        <v>1.1299999999999999</v>
      </c>
      <c r="J35" s="596">
        <v>1.2</v>
      </c>
      <c r="K35" s="138">
        <f t="shared" si="0"/>
        <v>1.1164399999999999</v>
      </c>
      <c r="L35" s="139">
        <v>0.85</v>
      </c>
      <c r="M35" s="139">
        <v>0.81599999999999995</v>
      </c>
      <c r="N35" s="159">
        <v>0.81599999999999995</v>
      </c>
      <c r="O35" s="645">
        <f t="shared" si="1"/>
        <v>0.81599999999999995</v>
      </c>
      <c r="P35" s="727">
        <v>90</v>
      </c>
      <c r="Q35" s="1035">
        <v>89.74</v>
      </c>
      <c r="R35" s="706">
        <v>2787.25</v>
      </c>
      <c r="S35" s="765">
        <f t="shared" ref="S35:S58" si="29">IF((80+ROUNDDOWN(O35,1)*100)&lt;95,95,(80+ROUNDDOWN(O35,1)*100))</f>
        <v>160</v>
      </c>
      <c r="U35" s="1049">
        <v>100</v>
      </c>
      <c r="V35" s="715">
        <v>1.1023000000000001</v>
      </c>
      <c r="Z35" s="143">
        <f t="shared" si="27"/>
        <v>30</v>
      </c>
      <c r="AA35" s="144">
        <f t="shared" si="22"/>
        <v>30</v>
      </c>
      <c r="AB35" s="145">
        <f t="shared" si="17"/>
        <v>1965.9701277199999</v>
      </c>
      <c r="AC35" s="145">
        <f>+(S35-T35)*V35-'data 1'!$F$4</f>
        <v>96.367999999999995</v>
      </c>
      <c r="AD35" s="145">
        <f t="shared" si="5"/>
        <v>-6.5463640417501274</v>
      </c>
      <c r="AE35" s="145">
        <f t="shared" si="23"/>
        <v>-36.930999999999997</v>
      </c>
      <c r="AF35" s="145">
        <f t="shared" si="7"/>
        <v>90.380109093330077</v>
      </c>
      <c r="AG35" s="772">
        <f t="shared" si="28"/>
        <v>160.27074505157995</v>
      </c>
      <c r="AH35" s="146">
        <f t="shared" si="9"/>
        <v>29.197754206642291</v>
      </c>
      <c r="AI35" s="156">
        <f t="shared" si="10"/>
        <v>178.88518196675</v>
      </c>
      <c r="AJ35" s="156">
        <f t="shared" si="11"/>
        <v>28.111053749207642</v>
      </c>
      <c r="AK35" s="88"/>
      <c r="AL35" s="716">
        <f t="shared" si="12"/>
        <v>2194.8876893917163</v>
      </c>
    </row>
    <row r="36" spans="1:38" ht="15.75" customHeight="1">
      <c r="A36" s="857" t="s">
        <v>1685</v>
      </c>
      <c r="B36" s="595">
        <v>45696</v>
      </c>
      <c r="C36" s="595">
        <v>45687</v>
      </c>
      <c r="D36" t="s">
        <v>324</v>
      </c>
      <c r="E36">
        <f>_xlfn.XLOOKUP(D36,RUC!$B$3:$B$89,RUC!$D$3:$D$89)</f>
        <v>20603329059</v>
      </c>
      <c r="G36" s="80">
        <v>18</v>
      </c>
      <c r="H36" t="s">
        <v>116</v>
      </c>
      <c r="I36" s="596">
        <v>1.21</v>
      </c>
      <c r="J36" s="596">
        <v>1.3</v>
      </c>
      <c r="K36" s="138">
        <f t="shared" si="0"/>
        <v>1.1942699999999999</v>
      </c>
      <c r="L36" s="139">
        <v>0.52900000000000003</v>
      </c>
      <c r="M36" s="139">
        <v>0.50700000000000001</v>
      </c>
      <c r="N36" s="159">
        <v>0.50700000000000001</v>
      </c>
      <c r="O36" s="645">
        <f t="shared" si="1"/>
        <v>0.50700000000000001</v>
      </c>
      <c r="P36" s="727">
        <v>90</v>
      </c>
      <c r="Q36" s="1035">
        <v>89.91</v>
      </c>
      <c r="R36" s="706">
        <v>2787.25</v>
      </c>
      <c r="S36" s="765">
        <f t="shared" si="29"/>
        <v>130</v>
      </c>
      <c r="U36" s="1049">
        <v>100</v>
      </c>
      <c r="V36" s="715">
        <v>1.1023000000000001</v>
      </c>
      <c r="Z36" s="143">
        <f t="shared" si="27"/>
        <v>30</v>
      </c>
      <c r="AA36" s="144">
        <f t="shared" si="22"/>
        <v>30</v>
      </c>
      <c r="AB36" s="145">
        <f t="shared" si="17"/>
        <v>1175.2636345025003</v>
      </c>
      <c r="AC36" s="145">
        <f>+(S36-T36)*V36-'data 1'!$F$4</f>
        <v>63.299000000000007</v>
      </c>
      <c r="AD36" s="145">
        <f t="shared" si="5"/>
        <v>-1.4102823168675536</v>
      </c>
      <c r="AE36" s="145">
        <f t="shared" si="23"/>
        <v>-36.930999999999997</v>
      </c>
      <c r="AF36" s="145">
        <f t="shared" si="7"/>
        <v>58.592031682635053</v>
      </c>
      <c r="AG36" s="772">
        <f t="shared" si="28"/>
        <v>100.54974936576752</v>
      </c>
      <c r="AH36" s="146">
        <f t="shared" si="9"/>
        <v>19.474901149455036</v>
      </c>
      <c r="AI36" s="156">
        <f t="shared" si="10"/>
        <v>111.54061786236751</v>
      </c>
      <c r="AJ36" s="156">
        <f t="shared" si="11"/>
        <v>18.683664539347859</v>
      </c>
      <c r="AK36" s="88"/>
      <c r="AL36" s="716">
        <f t="shared" si="12"/>
        <v>1403.5821007773009</v>
      </c>
    </row>
    <row r="37" spans="1:38" ht="15.75" customHeight="1">
      <c r="A37" s="857" t="s">
        <v>1686</v>
      </c>
      <c r="B37" s="595">
        <v>45696</v>
      </c>
      <c r="C37" s="595">
        <v>45687</v>
      </c>
      <c r="D37" t="s">
        <v>324</v>
      </c>
      <c r="E37">
        <f>_xlfn.XLOOKUP(D37,RUC!$B$3:$B$89,RUC!$D$3:$D$89)</f>
        <v>20603329059</v>
      </c>
      <c r="G37" s="80">
        <v>17</v>
      </c>
      <c r="H37" t="s">
        <v>116</v>
      </c>
      <c r="I37" s="596">
        <v>1.1200000000000001</v>
      </c>
      <c r="J37" s="596">
        <v>1.4</v>
      </c>
      <c r="K37" s="138">
        <f t="shared" si="0"/>
        <v>1.1043200000000002</v>
      </c>
      <c r="L37" s="139">
        <v>0.93600000000000005</v>
      </c>
      <c r="M37" s="139">
        <v>0.89900000000000002</v>
      </c>
      <c r="N37" s="598">
        <v>0.97699999999999998</v>
      </c>
      <c r="O37" s="645">
        <f t="shared" si="1"/>
        <v>0.93799999999999994</v>
      </c>
      <c r="P37" s="727">
        <v>90</v>
      </c>
      <c r="Q37" s="1035">
        <v>89.88</v>
      </c>
      <c r="R37" s="706">
        <v>2787.25</v>
      </c>
      <c r="S37" s="765">
        <f t="shared" si="29"/>
        <v>170</v>
      </c>
      <c r="U37" s="1049">
        <v>100</v>
      </c>
      <c r="V37" s="715">
        <v>1.1023000000000001</v>
      </c>
      <c r="Z37" s="143">
        <f t="shared" si="27"/>
        <v>30</v>
      </c>
      <c r="AA37" s="144">
        <f t="shared" si="22"/>
        <v>30</v>
      </c>
      <c r="AB37" s="145">
        <f t="shared" si="17"/>
        <v>2280.1918208350003</v>
      </c>
      <c r="AC37" s="145">
        <f>+(S37-T37)*V37-'data 1'!$F$4</f>
        <v>107.39100000000002</v>
      </c>
      <c r="AD37" s="145">
        <f t="shared" si="5"/>
        <v>-3.3270932541601264</v>
      </c>
      <c r="AE37" s="145">
        <f t="shared" si="23"/>
        <v>-36.930999999999997</v>
      </c>
      <c r="AF37" s="145">
        <f t="shared" si="7"/>
        <v>-5.3247710413797096</v>
      </c>
      <c r="AG37" s="772">
        <f t="shared" si="28"/>
        <v>78.80813570446017</v>
      </c>
      <c r="AH37" s="146">
        <f t="shared" si="9"/>
        <v>31.852455626684872</v>
      </c>
      <c r="AI37" s="156">
        <f t="shared" si="10"/>
        <v>197.29146089016001</v>
      </c>
      <c r="AJ37" s="156">
        <f t="shared" si="11"/>
        <v>31.963133941227625</v>
      </c>
      <c r="AK37" s="88"/>
      <c r="AL37" s="716">
        <f t="shared" si="12"/>
        <v>2518.0614315845078</v>
      </c>
    </row>
    <row r="38" spans="1:38" ht="15.75" customHeight="1">
      <c r="A38" s="857" t="s">
        <v>1687</v>
      </c>
      <c r="B38" s="595">
        <v>45696</v>
      </c>
      <c r="C38" s="595">
        <v>45687</v>
      </c>
      <c r="D38" t="s">
        <v>324</v>
      </c>
      <c r="E38">
        <f>_xlfn.XLOOKUP(D38,RUC!$B$3:$B$89,RUC!$D$3:$D$89)</f>
        <v>20603329059</v>
      </c>
      <c r="G38" s="80">
        <v>19</v>
      </c>
      <c r="H38" t="s">
        <v>116</v>
      </c>
      <c r="I38" s="596">
        <v>1.32</v>
      </c>
      <c r="J38" s="596">
        <v>1.5</v>
      </c>
      <c r="K38" s="138">
        <f t="shared" si="0"/>
        <v>1.3002</v>
      </c>
      <c r="L38" s="139">
        <v>0.57899999999999996</v>
      </c>
      <c r="M38" s="139">
        <v>0.55600000000000005</v>
      </c>
      <c r="N38" s="598">
        <v>0.77600000000000002</v>
      </c>
      <c r="O38" s="645">
        <f t="shared" si="1"/>
        <v>0.66600000000000004</v>
      </c>
      <c r="P38" s="727">
        <v>90</v>
      </c>
      <c r="Q38" s="1035">
        <v>89.78</v>
      </c>
      <c r="R38" s="706">
        <v>2787.25</v>
      </c>
      <c r="S38" s="765">
        <f t="shared" si="29"/>
        <v>140</v>
      </c>
      <c r="U38" s="1049">
        <v>100</v>
      </c>
      <c r="V38" s="715">
        <v>1.1023000000000001</v>
      </c>
      <c r="Z38" s="143">
        <f t="shared" si="27"/>
        <v>30</v>
      </c>
      <c r="AA38" s="144">
        <f t="shared" si="22"/>
        <v>30</v>
      </c>
      <c r="AB38" s="145">
        <f t="shared" si="17"/>
        <v>1588.1251115950001</v>
      </c>
      <c r="AC38" s="145">
        <f>+(S38-T38)*V38-'data 1'!$F$4</f>
        <v>74.322000000000003</v>
      </c>
      <c r="AD38" s="145">
        <f t="shared" si="5"/>
        <v>-3.7731938988149807</v>
      </c>
      <c r="AE38" s="145">
        <f t="shared" si="23"/>
        <v>-36.930999999999997</v>
      </c>
      <c r="AF38" s="145">
        <f t="shared" si="7"/>
        <v>-231.36983275630521</v>
      </c>
      <c r="AG38" s="772">
        <f t="shared" si="28"/>
        <v>-180.75202665512018</v>
      </c>
      <c r="AH38" s="146">
        <f t="shared" si="9"/>
        <v>23.172740369821096</v>
      </c>
      <c r="AI38" s="156">
        <f t="shared" si="10"/>
        <v>121.90669041031501</v>
      </c>
      <c r="AJ38" s="156">
        <f t="shared" si="11"/>
        <v>26.719970208640433</v>
      </c>
      <c r="AK38" s="88"/>
      <c r="AL38" s="716">
        <f t="shared" si="12"/>
        <v>2064.880270095819</v>
      </c>
    </row>
    <row r="39" spans="1:38" ht="15.75" customHeight="1">
      <c r="A39" s="857" t="s">
        <v>1688</v>
      </c>
      <c r="B39" s="595">
        <v>45696</v>
      </c>
      <c r="C39" s="595">
        <v>45687</v>
      </c>
      <c r="D39" t="s">
        <v>324</v>
      </c>
      <c r="E39">
        <f>_xlfn.XLOOKUP(D39,RUC!$B$3:$B$89,RUC!$D$3:$D$89)</f>
        <v>20603329059</v>
      </c>
      <c r="G39" s="80">
        <v>17</v>
      </c>
      <c r="H39" t="s">
        <v>116</v>
      </c>
      <c r="I39" s="596">
        <v>1.2</v>
      </c>
      <c r="J39" s="596">
        <v>1.6</v>
      </c>
      <c r="K39" s="138">
        <f t="shared" si="0"/>
        <v>1.1807999999999998</v>
      </c>
      <c r="L39" s="139">
        <v>0.52700000000000002</v>
      </c>
      <c r="M39" s="139">
        <v>0.50600000000000001</v>
      </c>
      <c r="N39" s="598">
        <v>0.56999999999999995</v>
      </c>
      <c r="O39" s="645">
        <f t="shared" si="1"/>
        <v>0.53800000000000003</v>
      </c>
      <c r="P39" s="727">
        <v>90</v>
      </c>
      <c r="Q39" s="1035">
        <v>89.97</v>
      </c>
      <c r="R39" s="706">
        <v>2787.25</v>
      </c>
      <c r="S39" s="765">
        <f t="shared" si="29"/>
        <v>130</v>
      </c>
      <c r="U39" s="1049">
        <v>100</v>
      </c>
      <c r="V39" s="715">
        <v>1.1023000000000001</v>
      </c>
      <c r="Z39" s="143">
        <f t="shared" si="27"/>
        <v>30</v>
      </c>
      <c r="AA39" s="144">
        <f t="shared" si="22"/>
        <v>30</v>
      </c>
      <c r="AB39" s="145">
        <f t="shared" si="17"/>
        <v>1257.9077778349999</v>
      </c>
      <c r="AC39" s="145">
        <f>+(S39-T39)*V39-'data 1'!$F$4</f>
        <v>63.299000000000007</v>
      </c>
      <c r="AD39" s="145">
        <f t="shared" si="5"/>
        <v>-0.46831681221751781</v>
      </c>
      <c r="AE39" s="145">
        <f t="shared" si="23"/>
        <v>-36.930999999999997</v>
      </c>
      <c r="AF39" s="145">
        <f t="shared" si="7"/>
        <v>-29.315566068772526</v>
      </c>
      <c r="AG39" s="772">
        <f t="shared" si="28"/>
        <v>13.58411711900996</v>
      </c>
      <c r="AH39" s="146">
        <f t="shared" si="9"/>
        <v>19.19524896929768</v>
      </c>
      <c r="AI39" s="156">
        <f t="shared" si="10"/>
        <v>111.1930676327175</v>
      </c>
      <c r="AJ39" s="156">
        <f t="shared" si="11"/>
        <v>19.602442962610848</v>
      </c>
      <c r="AK39" s="88"/>
      <c r="AL39" s="716">
        <f t="shared" si="12"/>
        <v>1485.3375040675678</v>
      </c>
    </row>
    <row r="40" spans="1:38" ht="15.75" customHeight="1">
      <c r="A40" s="857" t="s">
        <v>1690</v>
      </c>
      <c r="B40" s="595">
        <v>45691</v>
      </c>
      <c r="C40" s="595">
        <v>45687</v>
      </c>
      <c r="D40" t="s">
        <v>154</v>
      </c>
      <c r="E40">
        <f>_xlfn.XLOOKUP(D40,RUC!$B$3:$B$89,RUC!$D$3:$D$89)</f>
        <v>10416085884</v>
      </c>
      <c r="G40" s="80" t="s">
        <v>1434</v>
      </c>
      <c r="H40" t="s">
        <v>69</v>
      </c>
      <c r="I40">
        <v>32.83</v>
      </c>
      <c r="J40">
        <v>8.6</v>
      </c>
      <c r="K40" s="138">
        <f t="shared" si="0"/>
        <v>30.006619999999998</v>
      </c>
      <c r="L40" s="139">
        <v>0.11799999999999999</v>
      </c>
      <c r="M40" s="139">
        <v>0.108</v>
      </c>
      <c r="N40" s="159">
        <v>0.111</v>
      </c>
      <c r="O40" s="645">
        <f t="shared" si="1"/>
        <v>0.11</v>
      </c>
      <c r="P40" s="727">
        <v>85</v>
      </c>
      <c r="Q40" s="1035">
        <v>90.33</v>
      </c>
      <c r="R40" s="706">
        <v>2756.3</v>
      </c>
      <c r="S40" s="802">
        <v>110</v>
      </c>
      <c r="U40" s="1050">
        <v>90</v>
      </c>
      <c r="V40" s="715">
        <v>1.1023000000000001</v>
      </c>
      <c r="Z40" s="143">
        <f t="shared" si="27"/>
        <v>30</v>
      </c>
      <c r="AA40" s="144">
        <f t="shared" si="22"/>
        <v>30</v>
      </c>
      <c r="AB40" s="145">
        <f t="shared" si="17"/>
        <v>120.48034281500003</v>
      </c>
      <c r="AC40" s="145">
        <f>+(S40-T40)*V40-'data 1'!$F$4</f>
        <v>41.253</v>
      </c>
      <c r="AD40" s="145">
        <f t="shared" si="5"/>
        <v>18.484939624605996</v>
      </c>
      <c r="AE40" s="145">
        <f t="shared" si="23"/>
        <v>-36.930999999999997</v>
      </c>
      <c r="AF40" s="145">
        <f t="shared" si="7"/>
        <v>21.238841177735985</v>
      </c>
      <c r="AG40" s="772">
        <f t="shared" si="28"/>
        <v>61.045780802341994</v>
      </c>
      <c r="AH40" s="146">
        <f t="shared" si="9"/>
        <v>109.65796074868962</v>
      </c>
      <c r="AI40" s="156">
        <f t="shared" si="10"/>
        <v>27.45822992639398</v>
      </c>
      <c r="AJ40" s="156">
        <f t="shared" si="11"/>
        <v>96.191735106891301</v>
      </c>
      <c r="AK40" s="88"/>
      <c r="AL40" s="716">
        <f t="shared" si="12"/>
        <v>3615.2078643194359</v>
      </c>
    </row>
    <row r="41" spans="1:38" ht="15.75" customHeight="1">
      <c r="A41" s="857" t="s">
        <v>1691</v>
      </c>
      <c r="B41" s="595">
        <v>45691</v>
      </c>
      <c r="C41" s="595">
        <v>45687</v>
      </c>
      <c r="D41" t="s">
        <v>154</v>
      </c>
      <c r="E41">
        <f>_xlfn.XLOOKUP(D41,RUC!$B$3:$B$89,RUC!$D$3:$D$89)</f>
        <v>10416085884</v>
      </c>
      <c r="G41" s="80" t="s">
        <v>1434</v>
      </c>
      <c r="H41" t="s">
        <v>69</v>
      </c>
      <c r="I41" s="596">
        <v>24.64</v>
      </c>
      <c r="J41" s="596">
        <v>4.75</v>
      </c>
      <c r="K41" s="138">
        <f t="shared" si="0"/>
        <v>23.4696</v>
      </c>
      <c r="L41" s="139">
        <v>0.51200000000000001</v>
      </c>
      <c r="M41" s="139">
        <v>0.49099999999999999</v>
      </c>
      <c r="N41" s="159">
        <v>0.52200000000000002</v>
      </c>
      <c r="O41" s="645">
        <f t="shared" si="1"/>
        <v>0.50700000000000001</v>
      </c>
      <c r="P41" s="727">
        <v>90</v>
      </c>
      <c r="Q41" s="1035">
        <v>89.98</v>
      </c>
      <c r="R41" s="706">
        <v>2756.3</v>
      </c>
      <c r="S41" s="802">
        <v>120</v>
      </c>
      <c r="U41" s="1050">
        <v>90</v>
      </c>
      <c r="V41" s="715">
        <v>1.1023000000000001</v>
      </c>
      <c r="Z41" s="143">
        <v>15</v>
      </c>
      <c r="AA41" s="144">
        <f t="shared" si="22"/>
        <v>15</v>
      </c>
      <c r="AB41" s="145">
        <f t="shared" si="17"/>
        <v>1192.2837141870002</v>
      </c>
      <c r="AC41" s="145">
        <f>+(S41-T41)*V41-'data 1'!$F$4</f>
        <v>52.27600000000001</v>
      </c>
      <c r="AD41" s="145">
        <f t="shared" si="5"/>
        <v>-0.30095999897594017</v>
      </c>
      <c r="AE41" s="145">
        <f t="shared" si="23"/>
        <v>-53.465499999999999</v>
      </c>
      <c r="AF41" s="145">
        <f t="shared" si="7"/>
        <v>13.222842142510013</v>
      </c>
      <c r="AG41" s="772">
        <f>+IF(D41="RONALD WILLIAN GARIBAY ESCUDERO",AC41+AD41+AE41+AF41+70,AC41+AD41+AE41+AF41)+70-53</f>
        <v>28.732382143534082</v>
      </c>
      <c r="AH41" s="146">
        <f t="shared" si="9"/>
        <v>370.70693179994959</v>
      </c>
      <c r="AI41" s="156">
        <f t="shared" si="10"/>
        <v>118.67916159897594</v>
      </c>
      <c r="AJ41" s="156">
        <f t="shared" si="11"/>
        <v>367.16833988350919</v>
      </c>
      <c r="AK41" s="88"/>
      <c r="AL41" s="716">
        <f t="shared" si="12"/>
        <v>27982.42185848322</v>
      </c>
    </row>
    <row r="42" spans="1:38" ht="15.75" customHeight="1">
      <c r="A42" s="857" t="s">
        <v>1692</v>
      </c>
      <c r="B42" s="595">
        <v>45690</v>
      </c>
      <c r="C42" s="595">
        <v>45687</v>
      </c>
      <c r="D42" t="s">
        <v>1402</v>
      </c>
      <c r="E42">
        <f>_xlfn.XLOOKUP(D42,RUC!$B$3:$B$89,RUC!$D$3:$D$89)</f>
        <v>20606526599</v>
      </c>
      <c r="G42" s="80">
        <v>90</v>
      </c>
      <c r="H42" t="s">
        <v>69</v>
      </c>
      <c r="I42" s="596">
        <v>7.51</v>
      </c>
      <c r="J42" s="596">
        <v>1.6</v>
      </c>
      <c r="K42" s="138">
        <f t="shared" si="0"/>
        <v>7.3898399999999995</v>
      </c>
      <c r="L42" s="139">
        <v>0.187</v>
      </c>
      <c r="M42" s="139">
        <v>0.17699999999999999</v>
      </c>
      <c r="N42" s="159">
        <v>0.17699999999999999</v>
      </c>
      <c r="O42" s="645">
        <f t="shared" si="1"/>
        <v>0.17699999999999999</v>
      </c>
      <c r="P42" s="727">
        <v>90</v>
      </c>
      <c r="Q42" s="1035">
        <v>90.23</v>
      </c>
      <c r="R42" s="706">
        <v>2787.25</v>
      </c>
      <c r="S42" s="765">
        <f t="shared" si="29"/>
        <v>95</v>
      </c>
      <c r="U42" s="1050">
        <v>120</v>
      </c>
      <c r="V42" s="715">
        <v>1.1023000000000001</v>
      </c>
      <c r="Z42" s="143">
        <f t="shared" si="27"/>
        <v>30</v>
      </c>
      <c r="AA42" s="144">
        <f t="shared" si="22"/>
        <v>30</v>
      </c>
      <c r="AB42" s="145">
        <f t="shared" si="17"/>
        <v>330.57197122749994</v>
      </c>
      <c r="AC42" s="145">
        <f>+(S42-T42)*V42-'data 1'!$F$4</f>
        <v>24.718500000000006</v>
      </c>
      <c r="AD42" s="145">
        <f t="shared" si="5"/>
        <v>1.2645411712175221</v>
      </c>
      <c r="AE42" s="145">
        <f t="shared" si="23"/>
        <v>-36.930999999999997</v>
      </c>
      <c r="AF42" s="145">
        <f t="shared" si="7"/>
        <v>26.528609597525023</v>
      </c>
      <c r="AG42" s="772">
        <f t="shared" si="28"/>
        <v>32.580650768742558</v>
      </c>
      <c r="AH42" s="146">
        <f t="shared" si="9"/>
        <v>42.750054095338434</v>
      </c>
      <c r="AI42" s="156">
        <f t="shared" si="10"/>
        <v>43.289449293282502</v>
      </c>
      <c r="AJ42" s="156">
        <f t="shared" si="11"/>
        <v>40.36081065196673</v>
      </c>
      <c r="AK42" s="88"/>
      <c r="AL42" s="716">
        <f t="shared" si="12"/>
        <v>2442.8739758558281</v>
      </c>
    </row>
    <row r="43" spans="1:38" ht="15.75" customHeight="1">
      <c r="A43" s="857" t="s">
        <v>1693</v>
      </c>
      <c r="B43" s="595">
        <v>45690</v>
      </c>
      <c r="C43" s="595">
        <v>45687</v>
      </c>
      <c r="D43" s="1055" t="s">
        <v>1402</v>
      </c>
      <c r="E43">
        <f>_xlfn.XLOOKUP(D43,RUC!$B$3:$B$89,RUC!$D$3:$D$89)</f>
        <v>20606526599</v>
      </c>
      <c r="G43" s="80">
        <v>70</v>
      </c>
      <c r="H43" t="s">
        <v>69</v>
      </c>
      <c r="I43" s="596">
        <v>5.54</v>
      </c>
      <c r="J43" s="596">
        <v>1.5</v>
      </c>
      <c r="K43" s="138">
        <f t="shared" si="0"/>
        <v>5.4569000000000001</v>
      </c>
      <c r="L43" s="139">
        <v>0.32300000000000001</v>
      </c>
      <c r="M43" s="139">
        <v>0.31</v>
      </c>
      <c r="N43" s="159">
        <v>0.31</v>
      </c>
      <c r="O43" s="645">
        <f t="shared" si="1"/>
        <v>0.31</v>
      </c>
      <c r="P43" s="727">
        <v>90</v>
      </c>
      <c r="Q43" s="1035">
        <v>90.1</v>
      </c>
      <c r="R43" s="706">
        <v>2787.25</v>
      </c>
      <c r="S43" s="765">
        <f t="shared" si="29"/>
        <v>110</v>
      </c>
      <c r="U43" s="1050">
        <v>120</v>
      </c>
      <c r="V43" s="715">
        <v>1.1023000000000001</v>
      </c>
      <c r="Z43" s="143">
        <f t="shared" si="27"/>
        <v>30</v>
      </c>
      <c r="AA43" s="144">
        <f t="shared" si="22"/>
        <v>30</v>
      </c>
      <c r="AB43" s="145">
        <f t="shared" si="17"/>
        <v>665.96859932500001</v>
      </c>
      <c r="AC43" s="145">
        <f>+(S43-T43)*V43-'data 1'!$F$4</f>
        <v>41.253</v>
      </c>
      <c r="AD43" s="145">
        <f t="shared" si="5"/>
        <v>0.94965542502494615</v>
      </c>
      <c r="AE43" s="145">
        <f t="shared" si="23"/>
        <v>-36.930999999999997</v>
      </c>
      <c r="AF43" s="145">
        <f t="shared" si="7"/>
        <v>34.437504623275025</v>
      </c>
      <c r="AG43" s="772">
        <f t="shared" si="28"/>
        <v>56.709160048299964</v>
      </c>
      <c r="AH43" s="146">
        <f t="shared" si="9"/>
        <v>54.448055923046248</v>
      </c>
      <c r="AI43" s="156">
        <f t="shared" si="10"/>
        <v>74.664955462475007</v>
      </c>
      <c r="AJ43" s="156">
        <f t="shared" si="11"/>
        <v>52.198649599962557</v>
      </c>
      <c r="AK43" s="88"/>
      <c r="AL43" s="716">
        <f t="shared" si="12"/>
        <v>3634.1240496565924</v>
      </c>
    </row>
    <row r="44" spans="1:38" ht="15.75" customHeight="1">
      <c r="A44" s="857" t="s">
        <v>1800</v>
      </c>
      <c r="B44" s="595"/>
      <c r="C44" s="595"/>
      <c r="G44" s="80"/>
      <c r="I44" s="596"/>
      <c r="J44" s="596"/>
      <c r="K44" s="138"/>
      <c r="L44" s="139"/>
      <c r="M44" s="139"/>
      <c r="N44" s="159"/>
      <c r="O44" s="645">
        <f t="shared" si="1"/>
        <v>0</v>
      </c>
      <c r="P44" s="727">
        <v>90</v>
      </c>
      <c r="Q44" s="1035"/>
      <c r="R44" s="706">
        <v>2812.05</v>
      </c>
      <c r="S44" s="765">
        <f>IF((90+ROUNDDOWN(O44,1)*100)&lt;95,95,(90+ROUNDDOWN(O44,1)*100))</f>
        <v>95</v>
      </c>
      <c r="U44" s="1050">
        <v>120</v>
      </c>
      <c r="V44" s="715">
        <v>1.1023000000000001</v>
      </c>
      <c r="Z44" s="143">
        <f t="shared" si="27"/>
        <v>30</v>
      </c>
      <c r="AA44" s="144">
        <f t="shared" si="22"/>
        <v>30</v>
      </c>
      <c r="AB44" s="145">
        <f t="shared" si="17"/>
        <v>-137.78749999999999</v>
      </c>
      <c r="AC44" s="145">
        <f>+(S44-T44)*V44-'data 1'!$F$4</f>
        <v>24.718500000000006</v>
      </c>
      <c r="AD44" s="145">
        <f t="shared" si="5"/>
        <v>0</v>
      </c>
      <c r="AE44" s="145">
        <f t="shared" si="23"/>
        <v>-36.930999999999997</v>
      </c>
      <c r="AF44" s="145">
        <f t="shared" si="7"/>
        <v>0</v>
      </c>
      <c r="AG44" s="772">
        <f t="shared" si="28"/>
        <v>4.7875000000000085</v>
      </c>
      <c r="AH44" s="146">
        <f t="shared" si="9"/>
        <v>0</v>
      </c>
      <c r="AI44" s="156">
        <f t="shared" si="10"/>
        <v>0</v>
      </c>
      <c r="AJ44" s="156">
        <f t="shared" si="11"/>
        <v>0</v>
      </c>
      <c r="AK44" s="88"/>
      <c r="AL44" s="716">
        <f t="shared" si="12"/>
        <v>0</v>
      </c>
    </row>
    <row r="45" spans="1:38" ht="15.75" customHeight="1">
      <c r="A45" s="857" t="s">
        <v>1801</v>
      </c>
      <c r="B45" s="595"/>
      <c r="C45" s="595"/>
      <c r="D45" s="1055"/>
      <c r="G45" s="80"/>
      <c r="I45" s="596"/>
      <c r="J45" s="596"/>
      <c r="K45" s="138"/>
      <c r="L45" s="139"/>
      <c r="M45" s="139"/>
      <c r="N45" s="159"/>
      <c r="O45" s="645">
        <f t="shared" si="1"/>
        <v>0</v>
      </c>
      <c r="P45" s="727">
        <v>90</v>
      </c>
      <c r="Q45" s="1035"/>
      <c r="R45" s="706">
        <v>2812.05</v>
      </c>
      <c r="S45" s="765">
        <f>IF((90+ROUNDDOWN(O45,1)*100)&lt;95,95,(90+ROUNDDOWN(O45,1)*100))</f>
        <v>95</v>
      </c>
      <c r="U45" s="1050">
        <v>120</v>
      </c>
      <c r="V45" s="715">
        <v>1.1023000000000001</v>
      </c>
      <c r="Z45" s="143">
        <f t="shared" si="27"/>
        <v>30</v>
      </c>
      <c r="AA45" s="144">
        <f t="shared" si="22"/>
        <v>30</v>
      </c>
      <c r="AB45" s="145">
        <f t="shared" si="17"/>
        <v>-137.78749999999999</v>
      </c>
      <c r="AC45" s="145">
        <f>+(S45-T45)*V45-'data 1'!$F$4</f>
        <v>24.718500000000006</v>
      </c>
      <c r="AD45" s="145">
        <f t="shared" si="5"/>
        <v>0</v>
      </c>
      <c r="AE45" s="145">
        <f t="shared" si="23"/>
        <v>-36.930999999999997</v>
      </c>
      <c r="AF45" s="145">
        <f t="shared" si="7"/>
        <v>0</v>
      </c>
      <c r="AG45" s="772">
        <f t="shared" si="28"/>
        <v>4.7875000000000085</v>
      </c>
      <c r="AH45" s="146">
        <f t="shared" si="9"/>
        <v>0</v>
      </c>
      <c r="AI45" s="156">
        <f t="shared" si="10"/>
        <v>0</v>
      </c>
      <c r="AJ45" s="156">
        <f t="shared" si="11"/>
        <v>0</v>
      </c>
      <c r="AK45" s="88"/>
      <c r="AL45" s="716">
        <f t="shared" si="12"/>
        <v>0</v>
      </c>
    </row>
    <row r="46" spans="1:38" ht="15.75" customHeight="1">
      <c r="A46" s="857" t="s">
        <v>1694</v>
      </c>
      <c r="B46" s="595">
        <v>45692</v>
      </c>
      <c r="C46" s="595">
        <v>45689</v>
      </c>
      <c r="D46" t="s">
        <v>119</v>
      </c>
      <c r="E46">
        <f>_xlfn.XLOOKUP(D46,RUC!$B$3:$B$89,RUC!$D$3:$D$89)</f>
        <v>10082235774</v>
      </c>
      <c r="G46" s="80">
        <v>46</v>
      </c>
      <c r="H46" s="1053" t="s">
        <v>69</v>
      </c>
      <c r="I46" s="596">
        <v>4.62</v>
      </c>
      <c r="J46" s="596">
        <v>1.6</v>
      </c>
      <c r="K46" s="138">
        <f t="shared" si="0"/>
        <v>4.5460799999999999</v>
      </c>
      <c r="L46" s="139">
        <v>0.4</v>
      </c>
      <c r="M46" s="139">
        <v>0.39400000000000002</v>
      </c>
      <c r="N46" s="159">
        <v>0.39400000000000002</v>
      </c>
      <c r="O46" s="645">
        <f t="shared" si="1"/>
        <v>0.39400000000000002</v>
      </c>
      <c r="P46" s="727">
        <v>90</v>
      </c>
      <c r="Q46" s="1035">
        <v>89.89</v>
      </c>
      <c r="R46" s="706">
        <v>2812.05</v>
      </c>
      <c r="S46" s="802">
        <v>110</v>
      </c>
      <c r="U46" s="1024">
        <v>80</v>
      </c>
      <c r="V46" s="715">
        <v>1.1023000000000001</v>
      </c>
      <c r="Z46" s="160">
        <v>10</v>
      </c>
      <c r="AA46" s="144">
        <f t="shared" si="22"/>
        <v>10</v>
      </c>
      <c r="AB46" s="145">
        <f t="shared" si="17"/>
        <v>935.61562833900007</v>
      </c>
      <c r="AC46" s="145">
        <f>+(S46-T46)*V46-'data 1'!$F$4</f>
        <v>41.253</v>
      </c>
      <c r="AD46" s="145">
        <f t="shared" si="5"/>
        <v>-1.3250770345999936</v>
      </c>
      <c r="AE46" s="145">
        <f t="shared" si="23"/>
        <v>-58.977000000000004</v>
      </c>
      <c r="AF46" s="145">
        <f t="shared" si="7"/>
        <v>16.242432905481017</v>
      </c>
      <c r="AG46" s="772">
        <f t="shared" ref="AG46:AG54" si="30">+IF(D46="RONALD WILLIAN GARIBAY ESCUDERO",AC46+AD46+AE46+AF46+70,AC46+AD46+AE46+AF46)+70</f>
        <v>67.193355870881021</v>
      </c>
      <c r="AH46" s="146">
        <f t="shared" si="9"/>
        <v>56.042501874845065</v>
      </c>
      <c r="AI46" s="156">
        <f t="shared" si="10"/>
        <v>66.565804834599945</v>
      </c>
      <c r="AJ46" s="156">
        <f t="shared" si="11"/>
        <v>55.269415854989596</v>
      </c>
      <c r="AK46" s="88"/>
      <c r="AL46" s="716">
        <f t="shared" si="12"/>
        <v>4253.3834956793617</v>
      </c>
    </row>
    <row r="47" spans="1:38" ht="15.75" customHeight="1">
      <c r="A47" s="857" t="s">
        <v>1695</v>
      </c>
      <c r="B47" s="595">
        <v>45692</v>
      </c>
      <c r="C47" s="595">
        <v>45689</v>
      </c>
      <c r="D47" t="s">
        <v>119</v>
      </c>
      <c r="E47">
        <f>_xlfn.XLOOKUP(D47,RUC!$B$3:$B$89,RUC!$D$3:$D$89)</f>
        <v>10082235774</v>
      </c>
      <c r="G47" s="80">
        <v>44</v>
      </c>
      <c r="H47" t="s">
        <v>69</v>
      </c>
      <c r="I47" s="596">
        <v>4.34</v>
      </c>
      <c r="J47" s="596">
        <v>1.7</v>
      </c>
      <c r="K47" s="138">
        <f t="shared" si="0"/>
        <v>4.2662199999999997</v>
      </c>
      <c r="L47" s="139">
        <v>0.19500000000000001</v>
      </c>
      <c r="M47" s="139">
        <v>0.192</v>
      </c>
      <c r="N47" s="159">
        <v>0.192</v>
      </c>
      <c r="O47" s="645">
        <f t="shared" si="1"/>
        <v>0.192</v>
      </c>
      <c r="P47" s="727">
        <v>85</v>
      </c>
      <c r="Q47" s="1035">
        <v>90.22</v>
      </c>
      <c r="R47" s="706">
        <v>2812.05</v>
      </c>
      <c r="S47" s="802">
        <v>95</v>
      </c>
      <c r="U47" s="1024">
        <v>80</v>
      </c>
      <c r="V47" s="715">
        <v>1.1023000000000001</v>
      </c>
      <c r="Z47" s="160">
        <v>10</v>
      </c>
      <c r="AA47" s="144">
        <f t="shared" si="22"/>
        <v>10</v>
      </c>
      <c r="AB47" s="145">
        <f t="shared" si="17"/>
        <v>375.7416182880001</v>
      </c>
      <c r="AC47" s="145">
        <f>+(S47-T47)*V47-'data 1'!$F$4</f>
        <v>24.718500000000006</v>
      </c>
      <c r="AD47" s="145">
        <f t="shared" si="5"/>
        <v>30.654452579985001</v>
      </c>
      <c r="AE47" s="145">
        <f t="shared" si="23"/>
        <v>-58.977000000000004</v>
      </c>
      <c r="AF47" s="145">
        <f t="shared" si="7"/>
        <v>8.1510306860190092</v>
      </c>
      <c r="AG47" s="772">
        <f t="shared" si="30"/>
        <v>74.54698326600402</v>
      </c>
      <c r="AH47" s="146">
        <f t="shared" si="9"/>
        <v>25.732960344791422</v>
      </c>
      <c r="AI47" s="156">
        <f t="shared" si="10"/>
        <v>32.569961838764968</v>
      </c>
      <c r="AJ47" s="156">
        <f t="shared" si="11"/>
        <v>23.871102139328709</v>
      </c>
      <c r="AK47" s="88"/>
      <c r="AL47" s="716">
        <f t="shared" si="12"/>
        <v>1602.9964067726316</v>
      </c>
    </row>
    <row r="48" spans="1:38" ht="15.75" customHeight="1">
      <c r="A48" s="857" t="s">
        <v>1696</v>
      </c>
      <c r="B48" s="595">
        <v>45692</v>
      </c>
      <c r="C48" s="595">
        <v>45689</v>
      </c>
      <c r="D48" t="s">
        <v>119</v>
      </c>
      <c r="E48">
        <f>_xlfn.XLOOKUP(D48,RUC!$B$3:$B$89,RUC!$D$3:$D$89)</f>
        <v>10082235774</v>
      </c>
      <c r="G48" s="80">
        <v>41</v>
      </c>
      <c r="H48" t="s">
        <v>69</v>
      </c>
      <c r="I48" s="596">
        <v>4.0199999999999996</v>
      </c>
      <c r="J48" s="596">
        <v>1.8</v>
      </c>
      <c r="K48" s="138">
        <f t="shared" si="0"/>
        <v>3.9476399999999994</v>
      </c>
      <c r="L48" s="139">
        <v>0.22800000000000001</v>
      </c>
      <c r="M48" s="139">
        <v>0.22500000000000001</v>
      </c>
      <c r="N48" s="159">
        <v>0.22500000000000001</v>
      </c>
      <c r="O48" s="645">
        <f t="shared" si="1"/>
        <v>0.22500000000000001</v>
      </c>
      <c r="P48" s="727">
        <v>90</v>
      </c>
      <c r="Q48" s="1035">
        <v>90.16</v>
      </c>
      <c r="R48" s="706">
        <v>2812.05</v>
      </c>
      <c r="S48" s="802">
        <v>105</v>
      </c>
      <c r="U48" s="1024">
        <v>80</v>
      </c>
      <c r="V48" s="715">
        <v>1.1023000000000001</v>
      </c>
      <c r="Z48" s="160">
        <v>10</v>
      </c>
      <c r="AA48" s="144">
        <f t="shared" si="22"/>
        <v>10</v>
      </c>
      <c r="AB48" s="145">
        <f t="shared" si="17"/>
        <v>483.07208978750009</v>
      </c>
      <c r="AC48" s="145">
        <f>+(S48-T48)*V48-'data 1'!$F$4</f>
        <v>35.741500000000002</v>
      </c>
      <c r="AD48" s="145">
        <f t="shared" si="5"/>
        <v>1.0986093232319769</v>
      </c>
      <c r="AE48" s="145">
        <f t="shared" si="23"/>
        <v>-58.977000000000004</v>
      </c>
      <c r="AF48" s="145">
        <f t="shared" si="7"/>
        <v>8.1456099163320079</v>
      </c>
      <c r="AG48" s="772">
        <f t="shared" si="30"/>
        <v>56.00871923956398</v>
      </c>
      <c r="AH48" s="146">
        <f t="shared" si="9"/>
        <v>27.822449332119209</v>
      </c>
      <c r="AI48" s="156">
        <f t="shared" si="10"/>
        <v>38.056475574767958</v>
      </c>
      <c r="AJ48" s="156">
        <f t="shared" si="11"/>
        <v>27.407639779544652</v>
      </c>
      <c r="AK48" s="88"/>
      <c r="AL48" s="716">
        <f t="shared" si="12"/>
        <v>1906.9947045287265</v>
      </c>
    </row>
    <row r="49" spans="1:38" ht="15.75" customHeight="1">
      <c r="A49" s="857" t="s">
        <v>1697</v>
      </c>
      <c r="B49" s="595">
        <v>45692</v>
      </c>
      <c r="C49" s="595">
        <v>45689</v>
      </c>
      <c r="D49" t="s">
        <v>119</v>
      </c>
      <c r="E49">
        <f>_xlfn.XLOOKUP(D49,RUC!$B$3:$B$89,RUC!$D$3:$D$89)</f>
        <v>10082235774</v>
      </c>
      <c r="G49" s="80">
        <v>43</v>
      </c>
      <c r="H49" t="s">
        <v>69</v>
      </c>
      <c r="I49" s="596">
        <v>4.25</v>
      </c>
      <c r="J49" s="596">
        <v>1.7</v>
      </c>
      <c r="K49" s="138">
        <f t="shared" si="0"/>
        <v>4.1777499999999996</v>
      </c>
      <c r="L49" s="139">
        <v>0.23799999999999999</v>
      </c>
      <c r="M49" s="139">
        <v>0.23400000000000001</v>
      </c>
      <c r="N49" s="159">
        <v>0.23400000000000001</v>
      </c>
      <c r="O49" s="645">
        <f t="shared" si="1"/>
        <v>0.23400000000000001</v>
      </c>
      <c r="P49" s="727">
        <v>90</v>
      </c>
      <c r="Q49" s="1035">
        <v>90.13</v>
      </c>
      <c r="R49" s="706">
        <v>2812.05</v>
      </c>
      <c r="S49" s="802">
        <v>105</v>
      </c>
      <c r="U49" s="1024">
        <v>80</v>
      </c>
      <c r="V49" s="715">
        <v>1.1023000000000001</v>
      </c>
      <c r="Z49" s="160">
        <v>10</v>
      </c>
      <c r="AA49" s="144">
        <f t="shared" si="22"/>
        <v>10</v>
      </c>
      <c r="AB49" s="145">
        <f t="shared" si="17"/>
        <v>507.46555337900014</v>
      </c>
      <c r="AC49" s="145">
        <f>+(S49-T49)*V49-'data 1'!$F$4</f>
        <v>35.741500000000002</v>
      </c>
      <c r="AD49" s="145">
        <f t="shared" si="5"/>
        <v>0.9317700784209676</v>
      </c>
      <c r="AE49" s="145">
        <f t="shared" si="23"/>
        <v>-58.977000000000004</v>
      </c>
      <c r="AF49" s="145">
        <f t="shared" si="7"/>
        <v>10.857199375317935</v>
      </c>
      <c r="AG49" s="772">
        <f t="shared" si="30"/>
        <v>58.553469453738899</v>
      </c>
      <c r="AH49" s="146">
        <f t="shared" si="9"/>
        <v>30.72542121043417</v>
      </c>
      <c r="AI49" s="156">
        <f t="shared" si="10"/>
        <v>39.712400866578953</v>
      </c>
      <c r="AJ49" s="156">
        <f t="shared" si="11"/>
        <v>30.165455252391908</v>
      </c>
      <c r="AK49" s="88"/>
      <c r="AL49" s="716">
        <f t="shared" si="12"/>
        <v>2120.0642156291178</v>
      </c>
    </row>
    <row r="50" spans="1:38" ht="15.75" customHeight="1">
      <c r="A50" s="857" t="s">
        <v>1698</v>
      </c>
      <c r="B50" s="595">
        <v>45692</v>
      </c>
      <c r="C50" s="595">
        <v>45689</v>
      </c>
      <c r="D50" t="s">
        <v>119</v>
      </c>
      <c r="E50">
        <f>_xlfn.XLOOKUP(D50,RUC!$B$3:$B$89,RUC!$D$3:$D$89)</f>
        <v>10082235774</v>
      </c>
      <c r="G50" s="80">
        <v>46</v>
      </c>
      <c r="H50" t="s">
        <v>69</v>
      </c>
      <c r="I50" s="596">
        <v>4.74</v>
      </c>
      <c r="J50" s="596">
        <v>1.6</v>
      </c>
      <c r="K50" s="138">
        <f t="shared" si="0"/>
        <v>4.6641599999999999</v>
      </c>
      <c r="L50" s="139">
        <v>0.45800000000000002</v>
      </c>
      <c r="M50" s="139">
        <v>0.45100000000000001</v>
      </c>
      <c r="N50" s="159">
        <v>0.45100000000000001</v>
      </c>
      <c r="O50" s="645">
        <f t="shared" si="1"/>
        <v>0.45100000000000001</v>
      </c>
      <c r="P50" s="727">
        <v>90</v>
      </c>
      <c r="Q50" s="1035">
        <v>90.06</v>
      </c>
      <c r="R50" s="706">
        <v>2812.05</v>
      </c>
      <c r="S50" s="802">
        <v>115</v>
      </c>
      <c r="U50" s="1024">
        <v>80</v>
      </c>
      <c r="V50" s="715">
        <v>1.1023000000000001</v>
      </c>
      <c r="Z50" s="160">
        <v>10</v>
      </c>
      <c r="AA50" s="144">
        <f t="shared" si="22"/>
        <v>10</v>
      </c>
      <c r="AB50" s="145">
        <f t="shared" si="17"/>
        <v>1084.5960644185002</v>
      </c>
      <c r="AC50" s="145">
        <f>+(S50-T50)*V50-'data 1'!$F$4</f>
        <v>46.764500000000012</v>
      </c>
      <c r="AD50" s="145">
        <f t="shared" si="5"/>
        <v>0.82757083888203153</v>
      </c>
      <c r="AE50" s="145">
        <f t="shared" si="23"/>
        <v>-58.977000000000004</v>
      </c>
      <c r="AF50" s="145">
        <f t="shared" si="7"/>
        <v>18.985342367103016</v>
      </c>
      <c r="AG50" s="772">
        <f t="shared" si="30"/>
        <v>77.600413205985063</v>
      </c>
      <c r="AH50" s="146">
        <f t="shared" si="9"/>
        <v>65.959891109111027</v>
      </c>
      <c r="AI50" s="156">
        <f t="shared" si="10"/>
        <v>76.361989754117943</v>
      </c>
      <c r="AJ50" s="156">
        <f t="shared" si="11"/>
        <v>64.908498170526201</v>
      </c>
      <c r="AK50" s="88"/>
      <c r="AL50" s="716">
        <f t="shared" si="12"/>
        <v>5058.7295798181913</v>
      </c>
    </row>
    <row r="51" spans="1:38" ht="15.75" customHeight="1">
      <c r="A51" s="857" t="s">
        <v>1699</v>
      </c>
      <c r="B51" s="595">
        <v>45692</v>
      </c>
      <c r="C51" s="595">
        <v>45689</v>
      </c>
      <c r="D51" s="1055" t="s">
        <v>119</v>
      </c>
      <c r="E51">
        <f>_xlfn.XLOOKUP(D51,RUC!$B$3:$B$89,RUC!$D$3:$D$89)</f>
        <v>10082235774</v>
      </c>
      <c r="G51" s="80">
        <v>34</v>
      </c>
      <c r="H51" t="s">
        <v>69</v>
      </c>
      <c r="I51" s="596">
        <v>3.31</v>
      </c>
      <c r="J51" s="596">
        <v>1.8</v>
      </c>
      <c r="K51" s="138">
        <f t="shared" si="0"/>
        <v>3.2504200000000001</v>
      </c>
      <c r="L51" s="139">
        <v>0.16300000000000001</v>
      </c>
      <c r="M51" s="139">
        <v>0.161</v>
      </c>
      <c r="N51" s="159">
        <v>0.161</v>
      </c>
      <c r="O51" s="645">
        <f t="shared" si="1"/>
        <v>0.161</v>
      </c>
      <c r="P51" s="727">
        <v>85</v>
      </c>
      <c r="Q51" s="1035">
        <v>90.2</v>
      </c>
      <c r="R51" s="706">
        <v>2812.05</v>
      </c>
      <c r="S51" s="802">
        <v>95</v>
      </c>
      <c r="U51" s="1024">
        <v>80</v>
      </c>
      <c r="V51" s="715">
        <v>1.1023000000000001</v>
      </c>
      <c r="Z51" s="160">
        <v>10</v>
      </c>
      <c r="AA51" s="144">
        <f t="shared" si="22"/>
        <v>10</v>
      </c>
      <c r="AB51" s="145">
        <f t="shared" si="17"/>
        <v>296.38757314775006</v>
      </c>
      <c r="AC51" s="145">
        <f>+(S51-T51)*V51-'data 1'!$F$4</f>
        <v>24.718500000000006</v>
      </c>
      <c r="AD51" s="145">
        <f t="shared" si="5"/>
        <v>25.52580214834002</v>
      </c>
      <c r="AE51" s="145">
        <f t="shared" si="23"/>
        <v>-58.977000000000004</v>
      </c>
      <c r="AF51" s="145">
        <f t="shared" si="7"/>
        <v>5.4328158418600063</v>
      </c>
      <c r="AG51" s="772">
        <f t="shared" si="30"/>
        <v>66.700117990200027</v>
      </c>
      <c r="AH51" s="146">
        <f t="shared" si="9"/>
        <v>16.384858410432372</v>
      </c>
      <c r="AI51" s="156">
        <f t="shared" si="10"/>
        <v>27.219112308409976</v>
      </c>
      <c r="AJ51" s="156">
        <f t="shared" si="11"/>
        <v>15.250825523837074</v>
      </c>
      <c r="AK51" s="88"/>
      <c r="AL51" s="716">
        <f t="shared" si="12"/>
        <v>963.38409551090979</v>
      </c>
    </row>
    <row r="52" spans="1:38" ht="15.75" customHeight="1">
      <c r="A52" s="857" t="s">
        <v>1700</v>
      </c>
      <c r="B52" s="595">
        <v>45692</v>
      </c>
      <c r="C52" s="595">
        <v>45689</v>
      </c>
      <c r="D52" t="s">
        <v>1671</v>
      </c>
      <c r="E52">
        <f>_xlfn.XLOOKUP(D52,RUC!$B$3:$B$89,RUC!$D$3:$D$89)</f>
        <v>20517242919</v>
      </c>
      <c r="G52" s="80">
        <v>42</v>
      </c>
      <c r="H52" t="s">
        <v>69</v>
      </c>
      <c r="I52" s="596">
        <v>4.25</v>
      </c>
      <c r="J52" s="596">
        <v>1.6</v>
      </c>
      <c r="K52" s="138">
        <f t="shared" si="0"/>
        <v>4.1820000000000004</v>
      </c>
      <c r="L52" s="139">
        <v>0.439</v>
      </c>
      <c r="M52" s="139">
        <v>0.432</v>
      </c>
      <c r="N52" s="159">
        <v>0.432</v>
      </c>
      <c r="O52" s="645">
        <f t="shared" si="1"/>
        <v>0.432</v>
      </c>
      <c r="P52" s="727">
        <v>90</v>
      </c>
      <c r="Q52" s="1035">
        <v>89.92</v>
      </c>
      <c r="R52" s="706">
        <v>2812.05</v>
      </c>
      <c r="S52" s="802">
        <v>115</v>
      </c>
      <c r="U52" s="1024">
        <v>80</v>
      </c>
      <c r="V52" s="715">
        <v>1.1023000000000001</v>
      </c>
      <c r="Z52" s="160">
        <v>10</v>
      </c>
      <c r="AA52" s="144">
        <f t="shared" si="22"/>
        <v>10</v>
      </c>
      <c r="AB52" s="145">
        <f t="shared" si="17"/>
        <v>1033.0987523920003</v>
      </c>
      <c r="AC52" s="145">
        <f>+(S52-T52)*V52-'data 1'!$F$4</f>
        <v>46.764500000000012</v>
      </c>
      <c r="AD52" s="145">
        <f t="shared" si="5"/>
        <v>-1.0576523967079776</v>
      </c>
      <c r="AE52" s="145">
        <f t="shared" si="23"/>
        <v>-58.977000000000004</v>
      </c>
      <c r="AF52" s="145">
        <f t="shared" si="7"/>
        <v>18.955829287696019</v>
      </c>
      <c r="AG52" s="772">
        <f t="shared" si="30"/>
        <v>75.685676890988049</v>
      </c>
      <c r="AH52" s="146">
        <f t="shared" si="9"/>
        <v>56.599672234916852</v>
      </c>
      <c r="AI52" s="156">
        <f t="shared" si="10"/>
        <v>73.080352596207916</v>
      </c>
      <c r="AJ52" s="156">
        <f t="shared" si="11"/>
        <v>55.74672441039889</v>
      </c>
      <c r="AK52" s="88"/>
      <c r="AL52" s="716">
        <f t="shared" si="12"/>
        <v>4320.4189825033454</v>
      </c>
    </row>
    <row r="53" spans="1:38" ht="15.75" customHeight="1">
      <c r="A53" s="857" t="s">
        <v>1701</v>
      </c>
      <c r="B53" s="595">
        <v>45692</v>
      </c>
      <c r="C53" s="595">
        <v>45689</v>
      </c>
      <c r="D53" t="s">
        <v>1671</v>
      </c>
      <c r="E53">
        <f>_xlfn.XLOOKUP(D53,RUC!$B$3:$B$89,RUC!$D$3:$D$89)</f>
        <v>20517242919</v>
      </c>
      <c r="G53" s="80">
        <v>38</v>
      </c>
      <c r="H53" t="s">
        <v>69</v>
      </c>
      <c r="I53" s="596">
        <v>3.96</v>
      </c>
      <c r="J53" s="596">
        <v>1.7</v>
      </c>
      <c r="K53" s="138">
        <f t="shared" si="0"/>
        <v>3.8926799999999999</v>
      </c>
      <c r="L53" s="139">
        <v>0.56200000000000006</v>
      </c>
      <c r="M53" s="139">
        <v>0.55300000000000005</v>
      </c>
      <c r="N53" s="159">
        <v>0.55300000000000005</v>
      </c>
      <c r="O53" s="645">
        <f t="shared" si="1"/>
        <v>0.55300000000000005</v>
      </c>
      <c r="P53" s="727">
        <v>90</v>
      </c>
      <c r="Q53" s="1035">
        <v>89.84</v>
      </c>
      <c r="R53" s="706">
        <v>2812.05</v>
      </c>
      <c r="S53" s="802">
        <v>120</v>
      </c>
      <c r="U53" s="1024">
        <v>80</v>
      </c>
      <c r="V53" s="715">
        <v>1.1023000000000001</v>
      </c>
      <c r="Z53" s="160">
        <v>10</v>
      </c>
      <c r="AA53" s="144">
        <f t="shared" si="22"/>
        <v>10</v>
      </c>
      <c r="AB53" s="145">
        <f t="shared" si="17"/>
        <v>1355.5438184555003</v>
      </c>
      <c r="AC53" s="145">
        <f>+(S53-T53)*V53-'data 1'!$F$4</f>
        <v>52.27600000000001</v>
      </c>
      <c r="AD53" s="145">
        <f t="shared" si="5"/>
        <v>-2.7079756125279433</v>
      </c>
      <c r="AE53" s="145">
        <f t="shared" si="23"/>
        <v>-58.977000000000004</v>
      </c>
      <c r="AF53" s="145">
        <f t="shared" si="7"/>
        <v>24.350097434004024</v>
      </c>
      <c r="AG53" s="772">
        <f t="shared" si="30"/>
        <v>84.941121821476088</v>
      </c>
      <c r="AH53" s="146">
        <f t="shared" si="9"/>
        <v>67.38509296420942</v>
      </c>
      <c r="AI53" s="156">
        <f t="shared" si="10"/>
        <v>93.472933901527924</v>
      </c>
      <c r="AJ53" s="156">
        <f t="shared" si="11"/>
        <v>66.424059475221725</v>
      </c>
      <c r="AK53" s="88"/>
      <c r="AL53" s="716">
        <f t="shared" si="12"/>
        <v>5276.6983112253565</v>
      </c>
    </row>
    <row r="54" spans="1:38" ht="15.75" customHeight="1">
      <c r="A54" s="857" t="s">
        <v>1702</v>
      </c>
      <c r="B54" s="595">
        <v>45692</v>
      </c>
      <c r="C54" s="595">
        <v>45689</v>
      </c>
      <c r="D54" t="s">
        <v>1671</v>
      </c>
      <c r="E54">
        <f>_xlfn.XLOOKUP(D54,RUC!$B$3:$B$89,RUC!$D$3:$D$89)</f>
        <v>20517242919</v>
      </c>
      <c r="G54" s="80">
        <v>28</v>
      </c>
      <c r="H54" t="s">
        <v>69</v>
      </c>
      <c r="I54" s="596">
        <v>2.61</v>
      </c>
      <c r="J54" s="596">
        <v>1.2</v>
      </c>
      <c r="K54" s="138">
        <f t="shared" si="0"/>
        <v>2.5786799999999999</v>
      </c>
      <c r="L54" s="139">
        <v>0.16500000000000001</v>
      </c>
      <c r="M54" s="139">
        <v>0.16300000000000001</v>
      </c>
      <c r="N54" s="159">
        <v>0.16300000000000001</v>
      </c>
      <c r="O54" s="645">
        <f t="shared" si="1"/>
        <v>0.16300000000000001</v>
      </c>
      <c r="P54" s="727">
        <v>85</v>
      </c>
      <c r="Q54" s="1035">
        <v>90.33</v>
      </c>
      <c r="R54" s="706">
        <v>2812.05</v>
      </c>
      <c r="S54" s="802">
        <v>95</v>
      </c>
      <c r="U54" s="1024">
        <v>80</v>
      </c>
      <c r="V54" s="715">
        <v>1.1023000000000001</v>
      </c>
      <c r="Z54" s="160">
        <v>10</v>
      </c>
      <c r="AA54" s="144">
        <f t="shared" si="22"/>
        <v>10</v>
      </c>
      <c r="AB54" s="145">
        <f t="shared" si="17"/>
        <v>301.50718896325003</v>
      </c>
      <c r="AC54" s="145">
        <f>+(S54-T54)*V54-'data 1'!$F$4</f>
        <v>24.718500000000006</v>
      </c>
      <c r="AD54" s="145">
        <f t="shared" si="5"/>
        <v>26.484977229067496</v>
      </c>
      <c r="AE54" s="145">
        <f t="shared" si="23"/>
        <v>-58.977000000000004</v>
      </c>
      <c r="AF54" s="145">
        <f t="shared" si="7"/>
        <v>5.4406458425190056</v>
      </c>
      <c r="AG54" s="772">
        <f t="shared" si="30"/>
        <v>67.667123071586502</v>
      </c>
      <c r="AH54" s="146">
        <f t="shared" si="9"/>
        <v>13.177179915537652</v>
      </c>
      <c r="AI54" s="156">
        <f t="shared" si="10"/>
        <v>27.59279980718247</v>
      </c>
      <c r="AJ54" s="156">
        <f t="shared" si="11"/>
        <v>12.249350209486037</v>
      </c>
      <c r="AK54" s="88"/>
      <c r="AL54" s="716">
        <f t="shared" si="12"/>
        <v>777.49055803575357</v>
      </c>
    </row>
    <row r="55" spans="1:38" ht="15.75" customHeight="1">
      <c r="A55" s="857" t="s">
        <v>1703</v>
      </c>
      <c r="B55" s="595">
        <v>45692</v>
      </c>
      <c r="C55" s="595">
        <v>45689</v>
      </c>
      <c r="D55" s="1055" t="s">
        <v>1671</v>
      </c>
      <c r="E55">
        <f>_xlfn.XLOOKUP(D55,RUC!$B$3:$B$89,RUC!$D$3:$D$89)</f>
        <v>20517242919</v>
      </c>
      <c r="G55" s="80">
        <v>40</v>
      </c>
      <c r="H55" t="s">
        <v>69</v>
      </c>
      <c r="I55" s="596">
        <v>3.97</v>
      </c>
      <c r="J55" s="596">
        <v>1.7</v>
      </c>
      <c r="K55" s="138">
        <f t="shared" si="0"/>
        <v>3.9025100000000004</v>
      </c>
      <c r="L55" s="139">
        <v>0.29899999999999999</v>
      </c>
      <c r="M55" s="139">
        <v>0.29499999999999998</v>
      </c>
      <c r="N55" s="159">
        <v>0.29499999999999998</v>
      </c>
      <c r="O55" s="645">
        <f t="shared" si="1"/>
        <v>0.29499999999999998</v>
      </c>
      <c r="P55" s="727">
        <v>90</v>
      </c>
      <c r="Q55" s="1035">
        <v>90.13</v>
      </c>
      <c r="R55" s="706">
        <v>2812.05</v>
      </c>
      <c r="S55" s="802">
        <v>105</v>
      </c>
      <c r="U55" s="1024">
        <v>80</v>
      </c>
      <c r="V55" s="715">
        <v>1.1023000000000001</v>
      </c>
      <c r="Z55" s="160">
        <v>10</v>
      </c>
      <c r="AA55" s="144">
        <f t="shared" si="22"/>
        <v>10</v>
      </c>
      <c r="AB55" s="145">
        <f t="shared" si="17"/>
        <v>672.79902883249997</v>
      </c>
      <c r="AC55" s="145">
        <f>+(S55-T55)*V55-'data 1'!$F$4</f>
        <v>35.741500000000002</v>
      </c>
      <c r="AD55" s="145">
        <f t="shared" si="5"/>
        <v>1.1705850985204591</v>
      </c>
      <c r="AE55" s="145">
        <f t="shared" si="23"/>
        <v>-58.977000000000004</v>
      </c>
      <c r="AF55" s="145">
        <f t="shared" si="7"/>
        <v>10.857199375318009</v>
      </c>
      <c r="AG55" s="772">
        <f>+IF(D55="RONALD WILLIAN GARIBAY ESCUDERO",AC55+AD55+AE55+AF55+70,AC55+AD55+AE55+AF55)+70</f>
        <v>58.792284473838471</v>
      </c>
      <c r="AH55" s="146">
        <f t="shared" si="9"/>
        <v>36.057337359784157</v>
      </c>
      <c r="AI55" s="156">
        <f t="shared" si="10"/>
        <v>49.890789323979455</v>
      </c>
      <c r="AJ55" s="156">
        <f t="shared" si="11"/>
        <v>35.523653010395968</v>
      </c>
      <c r="AK55" s="88"/>
      <c r="AL55" s="716">
        <f t="shared" si="12"/>
        <v>2625.6049380091199</v>
      </c>
    </row>
    <row r="56" spans="1:38" ht="15.75" customHeight="1">
      <c r="A56" s="857" t="s">
        <v>1705</v>
      </c>
      <c r="B56" s="595">
        <v>45695</v>
      </c>
      <c r="C56" s="595">
        <v>45689</v>
      </c>
      <c r="D56" s="1055" t="s">
        <v>145</v>
      </c>
      <c r="E56" t="e">
        <f>_xlfn.XLOOKUP(D56,RUC!$B$3:$B$89,RUC!$D$3:$D$89)</f>
        <v>#N/A</v>
      </c>
      <c r="G56" s="80">
        <v>110</v>
      </c>
      <c r="H56" t="s">
        <v>69</v>
      </c>
      <c r="I56" s="596">
        <v>8.5399999999999991</v>
      </c>
      <c r="J56" s="596">
        <v>1.3</v>
      </c>
      <c r="K56" s="138">
        <f t="shared" si="0"/>
        <v>8.4289799999999993</v>
      </c>
      <c r="L56" s="139">
        <v>0.33700000000000002</v>
      </c>
      <c r="M56" s="139">
        <v>0.32300000000000001</v>
      </c>
      <c r="N56" s="598">
        <v>0.36699999999999999</v>
      </c>
      <c r="O56" s="645">
        <f t="shared" si="1"/>
        <v>0.34499999999999997</v>
      </c>
      <c r="P56" s="727">
        <v>90</v>
      </c>
      <c r="Q56" s="1035">
        <v>90.21</v>
      </c>
      <c r="R56" s="706">
        <v>2812.05</v>
      </c>
      <c r="S56" s="765">
        <f>IF((90+ROUNDDOWN(O56,1)*100)&lt;95,95,(90+ROUNDDOWN(O56,1)*100))</f>
        <v>120</v>
      </c>
      <c r="U56" s="1050">
        <v>120</v>
      </c>
      <c r="V56" s="715">
        <v>1.1023000000000001</v>
      </c>
      <c r="Y56">
        <v>20</v>
      </c>
      <c r="Z56" s="143">
        <f t="shared" ref="Z56:Z76" si="31">IF(IF(D56="UNTUCA",IF(+((W56-3)*1.5+(X56-3)*3.1)&gt;0,+((W56-3)*1.5+(X56-3)*3.1),0),IF(+((W56-3)*1.5+(X56-3)*3.1)&gt;0,+((W56-3)*1.5+(X56-3)*3.1),0))&lt;30,30,IF(D56="UNTUCA",IF(+((W56-3)*1.5+(X56-3)*3.1)&gt;0,+((W56-3)*1.5+(X56-3)*3.1),0),IF(+((W56-3)*1.5+(X56-3)*3.1)&gt;0,+((W56-3)*1.5+(X56-3)*3.1),0)))</f>
        <v>30</v>
      </c>
      <c r="AA56" s="144">
        <f t="shared" si="22"/>
        <v>50</v>
      </c>
      <c r="AB56" s="145">
        <f t="shared" si="17"/>
        <v>734.00120500750006</v>
      </c>
      <c r="AC56" s="145">
        <f>+(S56-T56)*V56-'data 1'!$F$4</f>
        <v>52.27600000000001</v>
      </c>
      <c r="AD56" s="145">
        <f t="shared" si="5"/>
        <v>2.100062040205438</v>
      </c>
      <c r="AE56" s="145">
        <f t="shared" si="23"/>
        <v>-14.884999999999998</v>
      </c>
      <c r="AF56" s="145">
        <f t="shared" si="7"/>
        <v>-21.415469452811873</v>
      </c>
      <c r="AG56" s="772">
        <f t="shared" ref="AG56:AG76" si="32">+IF(D56="RONALD WILLIAN GARIBAY ESCUDERO",AC56+AD56+AE56+AF56+70,AC56+AD56+AE56+AF56)+70-53</f>
        <v>35.075592587393572</v>
      </c>
      <c r="AH56" s="146">
        <f t="shared" si="9"/>
        <v>87.855443679915737</v>
      </c>
      <c r="AI56" s="156">
        <f t="shared" si="10"/>
        <v>69.685643659294442</v>
      </c>
      <c r="AJ56" s="156">
        <f t="shared" si="11"/>
        <v>89.731658976446411</v>
      </c>
      <c r="AK56" s="88"/>
      <c r="AL56" s="716">
        <f t="shared" si="12"/>
        <v>6186.8814769841174</v>
      </c>
    </row>
    <row r="57" spans="1:38" ht="15.75" customHeight="1">
      <c r="A57" s="857" t="s">
        <v>1708</v>
      </c>
      <c r="B57" s="595">
        <v>45692</v>
      </c>
      <c r="C57" s="595">
        <v>45690</v>
      </c>
      <c r="D57" s="1055" t="s">
        <v>129</v>
      </c>
      <c r="E57" t="e">
        <f>_xlfn.XLOOKUP(D57,RUC!$B$3:$B$89,RUC!$D$3:$D$89)</f>
        <v>#N/A</v>
      </c>
      <c r="G57" s="80">
        <v>36</v>
      </c>
      <c r="H57" t="s">
        <v>69</v>
      </c>
      <c r="I57" s="596">
        <v>3.61</v>
      </c>
      <c r="J57" s="596">
        <v>1.1000000000000001</v>
      </c>
      <c r="K57" s="138">
        <f t="shared" si="0"/>
        <v>3.57029</v>
      </c>
      <c r="L57" s="139">
        <v>0.438</v>
      </c>
      <c r="M57" s="139">
        <v>0.42</v>
      </c>
      <c r="N57" s="159">
        <v>0.42</v>
      </c>
      <c r="O57" s="645">
        <f t="shared" si="1"/>
        <v>0.42</v>
      </c>
      <c r="P57" s="727">
        <v>90</v>
      </c>
      <c r="Q57" s="1035">
        <v>89.94</v>
      </c>
      <c r="R57" s="706">
        <v>2826.1</v>
      </c>
      <c r="S57" s="765">
        <f t="shared" si="29"/>
        <v>120</v>
      </c>
      <c r="U57" s="1050">
        <v>100</v>
      </c>
      <c r="V57" s="715">
        <v>1.1023000000000001</v>
      </c>
      <c r="Z57" s="143">
        <f t="shared" si="31"/>
        <v>30</v>
      </c>
      <c r="AA57" s="144">
        <f t="shared" si="22"/>
        <v>30</v>
      </c>
      <c r="AB57" s="145">
        <f t="shared" si="17"/>
        <v>970.53745133999996</v>
      </c>
      <c r="AC57" s="145">
        <f>+(S57-T57)*V57-'data 1'!$F$4</f>
        <v>52.27600000000001</v>
      </c>
      <c r="AD57" s="145">
        <f t="shared" si="5"/>
        <v>-0.78970875188403</v>
      </c>
      <c r="AE57" s="145">
        <f t="shared" si="23"/>
        <v>-36.930999999999997</v>
      </c>
      <c r="AF57" s="145">
        <f t="shared" si="7"/>
        <v>48.64822270167604</v>
      </c>
      <c r="AG57" s="772">
        <f>+IF(D57="RONALD WILLIAN GARIBAY ESCUDERO",AC57+AD57+AE57+AF57+70,AC57+AD57+AE57+AF57)+70-10</f>
        <v>193.20351394979201</v>
      </c>
      <c r="AH57" s="146">
        <f t="shared" si="9"/>
        <v>48.221371300542863</v>
      </c>
      <c r="AI57" s="156">
        <f t="shared" si="10"/>
        <v>75.513810049884043</v>
      </c>
      <c r="AJ57" s="156">
        <f t="shared" si="11"/>
        <v>46.270518122191042</v>
      </c>
      <c r="AK57" s="88"/>
      <c r="AL57" s="716">
        <f t="shared" si="12"/>
        <v>3465.1001571446886</v>
      </c>
    </row>
    <row r="58" spans="1:38" ht="15.75" customHeight="1">
      <c r="A58" s="857" t="s">
        <v>1710</v>
      </c>
      <c r="B58" s="595">
        <v>45692</v>
      </c>
      <c r="C58" s="595">
        <v>45690</v>
      </c>
      <c r="D58" t="s">
        <v>129</v>
      </c>
      <c r="E58" t="e">
        <f>_xlfn.XLOOKUP(D58,RUC!$B$3:$B$89,RUC!$D$3:$D$89)</f>
        <v>#N/A</v>
      </c>
      <c r="G58" s="80">
        <v>60</v>
      </c>
      <c r="H58" t="s">
        <v>69</v>
      </c>
      <c r="I58" s="596">
        <v>2.71</v>
      </c>
      <c r="J58" s="596">
        <v>1.2</v>
      </c>
      <c r="K58" s="138">
        <f t="shared" si="0"/>
        <v>2.6774800000000001</v>
      </c>
      <c r="L58" s="139">
        <v>0.192</v>
      </c>
      <c r="M58" s="139">
        <v>0.182</v>
      </c>
      <c r="N58" s="159">
        <v>0.182</v>
      </c>
      <c r="O58" s="645">
        <f t="shared" si="1"/>
        <v>0.182</v>
      </c>
      <c r="P58" s="727">
        <v>90</v>
      </c>
      <c r="Q58" s="1035">
        <v>90.11</v>
      </c>
      <c r="R58" s="706">
        <v>2826.1</v>
      </c>
      <c r="S58" s="765">
        <f t="shared" si="29"/>
        <v>95</v>
      </c>
      <c r="U58" s="1050">
        <v>100</v>
      </c>
      <c r="V58" s="715">
        <v>1.1023000000000001</v>
      </c>
      <c r="Z58" s="143">
        <f t="shared" si="31"/>
        <v>30</v>
      </c>
      <c r="AA58" s="144">
        <f t="shared" si="22"/>
        <v>30</v>
      </c>
      <c r="AB58" s="145">
        <f t="shared" si="17"/>
        <v>354.42822891399999</v>
      </c>
      <c r="AC58" s="145">
        <f>+(S58-T58)*V58-'data 1'!$F$4</f>
        <v>24.718500000000006</v>
      </c>
      <c r="AD58" s="145">
        <f t="shared" si="5"/>
        <v>0.63465178233599673</v>
      </c>
      <c r="AE58" s="145">
        <f t="shared" si="23"/>
        <v>-36.930999999999997</v>
      </c>
      <c r="AF58" s="145">
        <f t="shared" si="7"/>
        <v>27.077875050330025</v>
      </c>
      <c r="AG58" s="772">
        <f>+IF(D58="RONALD WILLIAN GARIBAY ESCUDERO",AC58+AD58+AE58+AF58+70,AC58+AD58+AE58+AF58)+70-10</f>
        <v>145.50002683266604</v>
      </c>
      <c r="AH58" s="146">
        <f t="shared" si="9"/>
        <v>15.882158400264638</v>
      </c>
      <c r="AI58" s="156">
        <f t="shared" si="10"/>
        <v>33.164511737664021</v>
      </c>
      <c r="AJ58" s="156">
        <f t="shared" si="11"/>
        <v>15.036584602403474</v>
      </c>
      <c r="AK58" s="88"/>
      <c r="AL58" s="716">
        <f t="shared" si="12"/>
        <v>948.97449435265673</v>
      </c>
    </row>
    <row r="59" spans="1:38" ht="15.75" customHeight="1">
      <c r="A59" s="857" t="s">
        <v>1717</v>
      </c>
      <c r="B59" s="595">
        <v>45695</v>
      </c>
      <c r="C59" s="595">
        <v>45690</v>
      </c>
      <c r="D59" t="s">
        <v>1718</v>
      </c>
      <c r="E59">
        <f>_xlfn.XLOOKUP(D59,RUC!$B$3:$B$89,RUC!$D$3:$D$89)</f>
        <v>20548542422</v>
      </c>
      <c r="G59" s="80">
        <v>62</v>
      </c>
      <c r="H59" t="s">
        <v>69</v>
      </c>
      <c r="I59" s="596">
        <v>4</v>
      </c>
      <c r="J59" s="596">
        <v>1.1000000000000001</v>
      </c>
      <c r="K59" s="138">
        <f t="shared" ref="K59:K83" si="33">+I59-(I59*(J59/100))</f>
        <v>3.956</v>
      </c>
      <c r="L59" s="139">
        <v>1.2230000000000001</v>
      </c>
      <c r="M59" s="139">
        <v>1.1739999999999999</v>
      </c>
      <c r="N59" s="149">
        <v>1.2350000000000001</v>
      </c>
      <c r="O59" s="645">
        <f t="shared" ref="O59:O83" si="34">+ROUND((M59+N59)/2,3)</f>
        <v>1.2050000000000001</v>
      </c>
      <c r="P59" s="727">
        <v>90</v>
      </c>
      <c r="Q59" s="1035">
        <v>89.74</v>
      </c>
      <c r="R59" s="706">
        <v>2826.1</v>
      </c>
      <c r="S59" s="765">
        <v>195</v>
      </c>
      <c r="U59" s="1050">
        <v>100</v>
      </c>
      <c r="V59" s="715">
        <v>1.1023000000000001</v>
      </c>
      <c r="Z59" s="143">
        <f t="shared" si="31"/>
        <v>30</v>
      </c>
      <c r="AA59" s="144">
        <f t="shared" si="22"/>
        <v>30</v>
      </c>
      <c r="AB59" s="145">
        <f t="shared" si="17"/>
        <v>3010.8833425349999</v>
      </c>
      <c r="AC59" s="145">
        <f>+(S59-T59)*V59-'data 1'!$F$4</f>
        <v>134.94850000000002</v>
      </c>
      <c r="AD59" s="145">
        <f t="shared" ref="AD59:AD83" si="35">+(Q59-P59)*(R59-U59)*L59*V59/100</f>
        <v>-9.5552354993941897</v>
      </c>
      <c r="AE59" s="145">
        <f t="shared" si="23"/>
        <v>-36.930999999999997</v>
      </c>
      <c r="AF59" s="145">
        <f t="shared" ref="AF59:AF83" si="36">(L59-O59)*(R59-U59)*Q59*V59/100</f>
        <v>48.540043420596049</v>
      </c>
      <c r="AG59" s="772">
        <f t="shared" si="32"/>
        <v>154.00230792120189</v>
      </c>
      <c r="AH59" s="146">
        <f t="shared" ref="AH59:AH83" si="37">31.1035*L59*Q59*1.1023*K59/100</f>
        <v>148.85995193706708</v>
      </c>
      <c r="AI59" s="156">
        <f t="shared" ref="AI59:AI83" si="38">+((+$AI$2-R59+U59)*L59*Q59*V59)/100</f>
        <v>210.38361421239412</v>
      </c>
      <c r="AJ59" s="156">
        <f t="shared" ref="AJ59:AJ83" si="39">31.1035*1.1023*K59*P59*O59/100</f>
        <v>147.0939832139301</v>
      </c>
      <c r="AK59" s="88"/>
      <c r="AL59" s="716">
        <f t="shared" ref="AL59:AL83" si="40">+IF(AB59*K59&gt;0,AB59*K59,0)</f>
        <v>11911.054503068459</v>
      </c>
    </row>
    <row r="60" spans="1:38" ht="15" customHeight="1">
      <c r="A60" s="857" t="s">
        <v>1730</v>
      </c>
      <c r="B60" s="595">
        <v>45701</v>
      </c>
      <c r="C60" s="595">
        <v>45691</v>
      </c>
      <c r="D60" t="s">
        <v>1403</v>
      </c>
      <c r="E60">
        <f>_xlfn.XLOOKUP(D60,RUC!$B$3:$B$89,RUC!$D$3:$D$89)</f>
        <v>10479968131</v>
      </c>
      <c r="G60" s="80">
        <v>68</v>
      </c>
      <c r="H60" t="s">
        <v>69</v>
      </c>
      <c r="I60" s="596">
        <v>5.84</v>
      </c>
      <c r="J60" s="596">
        <v>1.3</v>
      </c>
      <c r="K60" s="138">
        <f t="shared" si="33"/>
        <v>5.7640799999999999</v>
      </c>
      <c r="L60" s="139">
        <v>0.74</v>
      </c>
      <c r="M60" s="139">
        <v>0.71</v>
      </c>
      <c r="N60" s="598">
        <v>0.74</v>
      </c>
      <c r="O60" s="645">
        <f t="shared" si="34"/>
        <v>0.72499999999999998</v>
      </c>
      <c r="P60" s="727">
        <v>90</v>
      </c>
      <c r="Q60" s="1035">
        <v>90.03</v>
      </c>
      <c r="R60" s="706">
        <v>2838.95</v>
      </c>
      <c r="S60" s="765">
        <f t="shared" ref="S60:S87" si="41">IF((90+ROUNDDOWN(O60,1)*100)&lt;95,95,(90+ROUNDDOWN(O60,1)*100))</f>
        <v>160</v>
      </c>
      <c r="U60" s="1050">
        <v>120</v>
      </c>
      <c r="V60" s="715">
        <v>1.1023000000000001</v>
      </c>
      <c r="Y60">
        <v>20</v>
      </c>
      <c r="Z60" s="143">
        <f t="shared" si="31"/>
        <v>30</v>
      </c>
      <c r="AA60" s="144">
        <f t="shared" si="22"/>
        <v>50</v>
      </c>
      <c r="AB60" s="145">
        <f t="shared" si="17"/>
        <v>1724.1238267125</v>
      </c>
      <c r="AC60" s="145">
        <f>+(S60-T60)*V60-'data 1'!$F$4</f>
        <v>96.367999999999995</v>
      </c>
      <c r="AD60" s="145">
        <f t="shared" si="35"/>
        <v>0.66535588587002525</v>
      </c>
      <c r="AE60" s="145">
        <f t="shared" si="23"/>
        <v>-14.884999999999998</v>
      </c>
      <c r="AF60" s="145">
        <f t="shared" si="36"/>
        <v>40.474317841132539</v>
      </c>
      <c r="AG60" s="772">
        <f t="shared" si="32"/>
        <v>139.62267372700256</v>
      </c>
      <c r="AH60" s="146">
        <f t="shared" si="37"/>
        <v>131.66126968686888</v>
      </c>
      <c r="AI60" s="156">
        <f t="shared" si="38"/>
        <v>132.95886724413015</v>
      </c>
      <c r="AJ60" s="156">
        <f t="shared" si="39"/>
        <v>128.94947700718672</v>
      </c>
      <c r="AK60" s="88"/>
      <c r="AL60" s="716">
        <f t="shared" si="40"/>
        <v>9937.9876670769863</v>
      </c>
    </row>
    <row r="61" spans="1:38" ht="15" customHeight="1">
      <c r="A61" s="857" t="s">
        <v>1731</v>
      </c>
      <c r="B61" s="595">
        <v>45696</v>
      </c>
      <c r="C61" s="595">
        <v>45691</v>
      </c>
      <c r="D61" t="s">
        <v>1403</v>
      </c>
      <c r="E61">
        <f>_xlfn.XLOOKUP(D61,RUC!$B$3:$B$89,RUC!$D$3:$D$89)</f>
        <v>10479968131</v>
      </c>
      <c r="G61" s="80">
        <v>43</v>
      </c>
      <c r="H61" t="s">
        <v>69</v>
      </c>
      <c r="I61" s="596">
        <v>3.71</v>
      </c>
      <c r="J61" s="596">
        <v>1.3</v>
      </c>
      <c r="K61" s="138">
        <f t="shared" si="33"/>
        <v>3.6617699999999997</v>
      </c>
      <c r="L61" s="139">
        <v>0.70299999999999996</v>
      </c>
      <c r="M61" s="139">
        <v>0.67400000000000004</v>
      </c>
      <c r="N61" s="598">
        <v>0.72199999999999998</v>
      </c>
      <c r="O61" s="645">
        <f t="shared" si="34"/>
        <v>0.69799999999999995</v>
      </c>
      <c r="P61" s="727">
        <v>90</v>
      </c>
      <c r="Q61" s="1035">
        <v>89.88</v>
      </c>
      <c r="R61" s="706">
        <v>2838.95</v>
      </c>
      <c r="S61" s="765">
        <f t="shared" si="41"/>
        <v>150</v>
      </c>
      <c r="U61" s="1050">
        <v>120</v>
      </c>
      <c r="V61" s="715">
        <v>1.1023000000000001</v>
      </c>
      <c r="Y61" s="665">
        <v>20</v>
      </c>
      <c r="Z61" s="143">
        <f t="shared" si="31"/>
        <v>30</v>
      </c>
      <c r="AA61" s="144">
        <f t="shared" si="22"/>
        <v>50</v>
      </c>
      <c r="AB61" s="145">
        <f t="shared" ref="AB61:AB86" si="42">+((O61*P61*(R61-U61)/100)-S61-AA61+T61)*V61</f>
        <v>1662.3173310969999</v>
      </c>
      <c r="AC61" s="145">
        <f>+(S61-T61)*V61-'data 1'!$F$4</f>
        <v>85.344999999999999</v>
      </c>
      <c r="AD61" s="145">
        <f t="shared" si="35"/>
        <v>-2.5283523663060956</v>
      </c>
      <c r="AE61" s="145">
        <f t="shared" si="23"/>
        <v>-14.884999999999998</v>
      </c>
      <c r="AF61" s="145">
        <f t="shared" si="36"/>
        <v>13.468961040990012</v>
      </c>
      <c r="AG61" s="772">
        <f t="shared" si="32"/>
        <v>98.400608674683895</v>
      </c>
      <c r="AH61" s="146">
        <f t="shared" si="37"/>
        <v>79.326541521208824</v>
      </c>
      <c r="AI61" s="156">
        <f t="shared" si="38"/>
        <v>126.10047582480613</v>
      </c>
      <c r="AJ61" s="156">
        <f t="shared" si="39"/>
        <v>78.867498032184827</v>
      </c>
      <c r="AK61" s="88"/>
      <c r="AL61" s="716">
        <f t="shared" si="40"/>
        <v>6087.0237334910607</v>
      </c>
    </row>
    <row r="62" spans="1:38" ht="15" customHeight="1">
      <c r="A62" s="857" t="s">
        <v>1732</v>
      </c>
      <c r="B62" s="595">
        <v>45695</v>
      </c>
      <c r="C62" s="595">
        <v>45692</v>
      </c>
      <c r="D62" t="s">
        <v>1689</v>
      </c>
      <c r="E62">
        <f>_xlfn.XLOOKUP(D62,RUC!$B$3:$B$89,RUC!$D$3:$D$89)</f>
        <v>10306762465</v>
      </c>
      <c r="G62" s="80">
        <v>100</v>
      </c>
      <c r="H62" t="s">
        <v>69</v>
      </c>
      <c r="I62" s="596">
        <v>8.61</v>
      </c>
      <c r="J62" s="596">
        <v>1.2</v>
      </c>
      <c r="K62" s="138">
        <f t="shared" si="33"/>
        <v>8.5066799999999994</v>
      </c>
      <c r="L62" s="139">
        <v>0.26700000000000002</v>
      </c>
      <c r="M62" s="139">
        <v>0.25600000000000001</v>
      </c>
      <c r="N62" s="159">
        <v>0.25600000000000001</v>
      </c>
      <c r="O62" s="645">
        <f t="shared" si="34"/>
        <v>0.25600000000000001</v>
      </c>
      <c r="P62" s="727">
        <v>90</v>
      </c>
      <c r="Q62" s="1035">
        <v>90.14</v>
      </c>
      <c r="R62" s="706">
        <v>2843.55</v>
      </c>
      <c r="S62" s="765">
        <f t="shared" si="41"/>
        <v>110</v>
      </c>
      <c r="U62" s="1050">
        <v>120</v>
      </c>
      <c r="V62" s="715">
        <v>1.1023000000000001</v>
      </c>
      <c r="Y62">
        <v>20</v>
      </c>
      <c r="Z62" s="143">
        <f t="shared" si="31"/>
        <v>30</v>
      </c>
      <c r="AA62" s="144">
        <f t="shared" si="22"/>
        <v>50</v>
      </c>
      <c r="AB62" s="145">
        <f t="shared" si="42"/>
        <v>515.33177561600007</v>
      </c>
      <c r="AC62" s="145">
        <f>+(S62-T62)*V62-'data 1'!$F$4</f>
        <v>41.253</v>
      </c>
      <c r="AD62" s="145">
        <f t="shared" si="35"/>
        <v>1.1222108338770047</v>
      </c>
      <c r="AE62" s="145">
        <f t="shared" si="23"/>
        <v>-14.884999999999998</v>
      </c>
      <c r="AF62" s="145">
        <f t="shared" si="36"/>
        <v>29.767708138641026</v>
      </c>
      <c r="AG62" s="772">
        <f t="shared" si="32"/>
        <v>74.257918972518041</v>
      </c>
      <c r="AH62" s="146">
        <f t="shared" si="37"/>
        <v>70.193674977083589</v>
      </c>
      <c r="AI62" s="156">
        <f t="shared" si="38"/>
        <v>46.811255062622969</v>
      </c>
      <c r="AJ62" s="156">
        <f t="shared" si="39"/>
        <v>67.197271637876895</v>
      </c>
      <c r="AK62" s="88"/>
      <c r="AL62" s="716">
        <f t="shared" si="40"/>
        <v>4383.7625089971152</v>
      </c>
    </row>
    <row r="63" spans="1:38" ht="15" customHeight="1">
      <c r="A63" s="857" t="s">
        <v>1743</v>
      </c>
      <c r="B63" s="717">
        <v>45699</v>
      </c>
      <c r="C63" s="595">
        <v>45692</v>
      </c>
      <c r="D63" t="s">
        <v>1586</v>
      </c>
      <c r="E63" t="e">
        <f>_xlfn.XLOOKUP(D63,RUC!$B$3:$B$89,RUC!$D$3:$D$89)</f>
        <v>#N/A</v>
      </c>
      <c r="G63" s="80">
        <v>110</v>
      </c>
      <c r="H63" t="s">
        <v>108</v>
      </c>
      <c r="I63" s="596">
        <v>5.95</v>
      </c>
      <c r="J63" s="596">
        <v>30</v>
      </c>
      <c r="K63" s="138">
        <f t="shared" si="33"/>
        <v>4.165</v>
      </c>
      <c r="L63" s="139">
        <v>0.159</v>
      </c>
      <c r="M63" s="139">
        <v>0.14899999999999999</v>
      </c>
      <c r="N63" s="598">
        <v>0.20699999999999999</v>
      </c>
      <c r="O63" s="645">
        <f t="shared" si="34"/>
        <v>0.17799999999999999</v>
      </c>
      <c r="P63" s="727">
        <v>90</v>
      </c>
      <c r="Q63" s="1035">
        <v>90.22</v>
      </c>
      <c r="R63" s="706">
        <v>2843.55</v>
      </c>
      <c r="S63" s="842">
        <f t="shared" ref="S63:S66" si="43">IF((85+ROUNDDOWN(O63,1)*100)&lt;95,95,(85+ROUNDDOWN(O63,1)*100))</f>
        <v>95</v>
      </c>
      <c r="U63" s="1024">
        <v>90</v>
      </c>
      <c r="V63" s="715">
        <v>1.1023000000000001</v>
      </c>
      <c r="Z63" s="1062">
        <v>25</v>
      </c>
      <c r="AA63" s="144">
        <f t="shared" ref="AA63:AA89" si="44">+Y63+Z63</f>
        <v>25</v>
      </c>
      <c r="AB63" s="145">
        <f t="shared" si="42"/>
        <v>353.969154033</v>
      </c>
      <c r="AC63" s="145">
        <f>+(S63-T63)*V63-'data 1'!$F$4</f>
        <v>24.718500000000006</v>
      </c>
      <c r="AD63" s="145">
        <f t="shared" si="35"/>
        <v>1.0617263101169947</v>
      </c>
      <c r="AE63" s="145">
        <f t="shared" ref="AE63:AE89" si="45">+(Y63*V63-70)+V63*(Z63-IF(D63="UNTUCA",IF(+((W63-3)*2.5+(X63-3)*3.1)&gt;0,+((W63-3)*1.5+(X63-3)*3.1),0),IF(+((W63-3)*1.5+(X63-3)*3.1)&gt;0,+((W63-3)*1.5+(X63-3)*3.1),0)))</f>
        <v>-42.442499999999995</v>
      </c>
      <c r="AF63" s="145">
        <f t="shared" si="36"/>
        <v>-52.029445576796974</v>
      </c>
      <c r="AG63" s="772">
        <f t="shared" si="32"/>
        <v>-51.691719266679968</v>
      </c>
      <c r="AH63" s="146">
        <f t="shared" si="37"/>
        <v>20.484436524464218</v>
      </c>
      <c r="AI63" s="156">
        <f t="shared" si="38"/>
        <v>23.157364444382974</v>
      </c>
      <c r="AJ63" s="156">
        <f t="shared" si="39"/>
        <v>22.876342324765645</v>
      </c>
      <c r="AK63" s="88"/>
      <c r="AL63" s="716">
        <f t="shared" si="40"/>
        <v>1474.2815265474451</v>
      </c>
    </row>
    <row r="64" spans="1:38" ht="15" customHeight="1">
      <c r="A64" s="857" t="s">
        <v>1745</v>
      </c>
      <c r="B64" s="717">
        <v>45699</v>
      </c>
      <c r="C64" s="595">
        <v>45692</v>
      </c>
      <c r="D64" t="s">
        <v>1586</v>
      </c>
      <c r="E64" t="e">
        <f>_xlfn.XLOOKUP(D64,RUC!$B$3:$B$89,RUC!$D$3:$D$89)</f>
        <v>#N/A</v>
      </c>
      <c r="G64" s="80">
        <v>23</v>
      </c>
      <c r="H64" t="s">
        <v>69</v>
      </c>
      <c r="I64" s="596">
        <v>2.92</v>
      </c>
      <c r="J64" s="596">
        <v>1.1000000000000001</v>
      </c>
      <c r="K64" s="138">
        <f t="shared" si="33"/>
        <v>2.88788</v>
      </c>
      <c r="L64" s="139">
        <v>0.216</v>
      </c>
      <c r="M64" s="139">
        <v>0.20599999999999999</v>
      </c>
      <c r="N64" s="139">
        <v>0.20599999999999999</v>
      </c>
      <c r="O64" s="645">
        <f t="shared" si="34"/>
        <v>0.20599999999999999</v>
      </c>
      <c r="P64" s="727">
        <v>90</v>
      </c>
      <c r="Q64" s="1035">
        <v>90.16</v>
      </c>
      <c r="R64" s="706">
        <v>2843.55</v>
      </c>
      <c r="S64" s="842">
        <f t="shared" si="43"/>
        <v>105</v>
      </c>
      <c r="U64" s="1024">
        <v>90</v>
      </c>
      <c r="V64" s="715">
        <v>1.1023000000000001</v>
      </c>
      <c r="Z64" s="1062">
        <v>25</v>
      </c>
      <c r="AA64" s="144">
        <f t="shared" si="44"/>
        <v>25</v>
      </c>
      <c r="AB64" s="145">
        <f t="shared" si="42"/>
        <v>419.43415579100002</v>
      </c>
      <c r="AC64" s="145">
        <f>+(S64-T64)*V64-'data 1'!$F$4</f>
        <v>35.741500000000002</v>
      </c>
      <c r="AD64" s="145">
        <f t="shared" si="35"/>
        <v>1.0489783098239778</v>
      </c>
      <c r="AE64" s="145">
        <f t="shared" si="45"/>
        <v>-42.442499999999995</v>
      </c>
      <c r="AF64" s="145">
        <f t="shared" si="36"/>
        <v>27.365707295640028</v>
      </c>
      <c r="AG64" s="772">
        <f t="shared" si="32"/>
        <v>38.713685605464008</v>
      </c>
      <c r="AH64" s="146">
        <f t="shared" si="37"/>
        <v>19.282168181366828</v>
      </c>
      <c r="AI64" s="156">
        <f t="shared" si="38"/>
        <v>31.438139566175963</v>
      </c>
      <c r="AJ64" s="156">
        <f t="shared" si="39"/>
        <v>18.35684082631602</v>
      </c>
      <c r="AK64" s="88"/>
      <c r="AL64" s="716">
        <f t="shared" si="40"/>
        <v>1211.2755098257132</v>
      </c>
    </row>
    <row r="65" spans="1:38" ht="15" customHeight="1">
      <c r="A65" s="857" t="s">
        <v>1746</v>
      </c>
      <c r="B65" s="717">
        <v>45699</v>
      </c>
      <c r="C65" s="595">
        <v>45693</v>
      </c>
      <c r="D65" t="s">
        <v>1586</v>
      </c>
      <c r="E65" t="e">
        <f>_xlfn.XLOOKUP(D65,RUC!$B$3:$B$89,RUC!$D$3:$D$89)</f>
        <v>#N/A</v>
      </c>
      <c r="G65" s="80">
        <v>60</v>
      </c>
      <c r="H65" t="s">
        <v>69</v>
      </c>
      <c r="I65" s="596">
        <v>7.16</v>
      </c>
      <c r="J65" s="596">
        <v>1.2</v>
      </c>
      <c r="K65" s="138">
        <f t="shared" si="33"/>
        <v>7.0740800000000004</v>
      </c>
      <c r="L65" s="139">
        <v>0.151</v>
      </c>
      <c r="M65" s="139">
        <v>0.14099999999999999</v>
      </c>
      <c r="N65" s="598">
        <v>0.188</v>
      </c>
      <c r="O65" s="645">
        <f t="shared" si="34"/>
        <v>0.16500000000000001</v>
      </c>
      <c r="P65" s="727">
        <v>85</v>
      </c>
      <c r="Q65" s="1035">
        <v>90.33</v>
      </c>
      <c r="R65" s="706">
        <v>2871.15</v>
      </c>
      <c r="S65" s="842">
        <f t="shared" si="43"/>
        <v>95</v>
      </c>
      <c r="U65" s="1024">
        <v>90</v>
      </c>
      <c r="V65" s="715">
        <v>1.1023000000000001</v>
      </c>
      <c r="Z65" s="1062">
        <v>25</v>
      </c>
      <c r="AA65" s="144">
        <f t="shared" si="44"/>
        <v>25</v>
      </c>
      <c r="AB65" s="145">
        <f t="shared" si="42"/>
        <v>297.68304571125009</v>
      </c>
      <c r="AC65" s="145">
        <f>+(S65-T65)*V65-'data 1'!$F$4</f>
        <v>24.718500000000006</v>
      </c>
      <c r="AD65" s="145">
        <f t="shared" si="35"/>
        <v>24.673364617453494</v>
      </c>
      <c r="AE65" s="145">
        <f t="shared" si="45"/>
        <v>-42.442499999999995</v>
      </c>
      <c r="AF65" s="145">
        <f t="shared" si="36"/>
        <v>-38.768970294999036</v>
      </c>
      <c r="AG65" s="772">
        <f t="shared" si="32"/>
        <v>-14.819605677545532</v>
      </c>
      <c r="AH65" s="146">
        <f t="shared" si="37"/>
        <v>33.081713311233464</v>
      </c>
      <c r="AI65" s="156">
        <f t="shared" si="38"/>
        <v>17.869316907796485</v>
      </c>
      <c r="AJ65" s="156">
        <f t="shared" si="39"/>
        <v>34.01589530001835</v>
      </c>
      <c r="AK65" s="88"/>
      <c r="AL65" s="716">
        <f t="shared" si="40"/>
        <v>2105.8336800050402</v>
      </c>
    </row>
    <row r="66" spans="1:38" ht="15" customHeight="1">
      <c r="A66" s="857" t="s">
        <v>1747</v>
      </c>
      <c r="B66" s="717">
        <v>45699</v>
      </c>
      <c r="C66" s="595">
        <v>45693</v>
      </c>
      <c r="D66" t="s">
        <v>1586</v>
      </c>
      <c r="E66" t="e">
        <f>_xlfn.XLOOKUP(D66,RUC!$B$3:$B$89,RUC!$D$3:$D$89)</f>
        <v>#N/A</v>
      </c>
      <c r="G66" s="80">
        <v>60</v>
      </c>
      <c r="H66" t="s">
        <v>69</v>
      </c>
      <c r="I66" s="596">
        <v>6.96</v>
      </c>
      <c r="J66" s="596">
        <v>1.1000000000000001</v>
      </c>
      <c r="K66" s="138">
        <f t="shared" si="33"/>
        <v>6.8834400000000002</v>
      </c>
      <c r="L66" s="139">
        <v>0.14599999999999999</v>
      </c>
      <c r="M66" s="139">
        <v>0.13600000000000001</v>
      </c>
      <c r="N66" s="598">
        <v>0.13600000000000001</v>
      </c>
      <c r="O66" s="645">
        <f t="shared" si="34"/>
        <v>0.13600000000000001</v>
      </c>
      <c r="P66" s="727">
        <v>85</v>
      </c>
      <c r="Q66" s="1035">
        <v>90.2</v>
      </c>
      <c r="R66" s="706">
        <v>2871.15</v>
      </c>
      <c r="S66" s="842">
        <f t="shared" si="43"/>
        <v>95</v>
      </c>
      <c r="U66" s="1024">
        <v>90</v>
      </c>
      <c r="V66" s="715">
        <v>1.1023000000000001</v>
      </c>
      <c r="Z66" s="1062">
        <v>25</v>
      </c>
      <c r="AA66" s="144">
        <f t="shared" si="44"/>
        <v>25</v>
      </c>
      <c r="AB66" s="145">
        <f t="shared" si="42"/>
        <v>222.11448616200002</v>
      </c>
      <c r="AC66" s="145">
        <f>+(S66-T66)*V66-'data 1'!$F$4</f>
        <v>24.718500000000006</v>
      </c>
      <c r="AD66" s="145">
        <f t="shared" si="35"/>
        <v>23.274503208840017</v>
      </c>
      <c r="AE66" s="145">
        <f t="shared" si="45"/>
        <v>-42.442499999999995</v>
      </c>
      <c r="AF66" s="145">
        <f t="shared" si="36"/>
        <v>27.652268037899947</v>
      </c>
      <c r="AG66" s="772">
        <f t="shared" si="32"/>
        <v>50.202771246739971</v>
      </c>
      <c r="AH66" s="146">
        <f t="shared" si="37"/>
        <v>31.079497885745926</v>
      </c>
      <c r="AI66" s="156">
        <f t="shared" si="38"/>
        <v>17.252752286659987</v>
      </c>
      <c r="AJ66" s="156">
        <f t="shared" si="39"/>
        <v>27.281763171583915</v>
      </c>
      <c r="AK66" s="88"/>
      <c r="AL66" s="716">
        <f t="shared" si="40"/>
        <v>1528.9117386269575</v>
      </c>
    </row>
    <row r="67" spans="1:38" ht="15" customHeight="1">
      <c r="A67" s="857" t="s">
        <v>1748</v>
      </c>
      <c r="B67" s="717">
        <v>45699</v>
      </c>
      <c r="C67" s="595">
        <v>45693</v>
      </c>
      <c r="D67" t="s">
        <v>1586</v>
      </c>
      <c r="E67" t="e">
        <f>_xlfn.XLOOKUP(D67,RUC!$B$3:$B$89,RUC!$D$3:$D$89)</f>
        <v>#N/A</v>
      </c>
      <c r="G67" s="80">
        <v>50</v>
      </c>
      <c r="H67" t="s">
        <v>69</v>
      </c>
      <c r="I67" s="596">
        <v>6.21</v>
      </c>
      <c r="J67" s="596">
        <v>1.2</v>
      </c>
      <c r="K67" s="138">
        <f t="shared" si="33"/>
        <v>6.1354800000000003</v>
      </c>
      <c r="L67" s="139">
        <v>0.77600000000000002</v>
      </c>
      <c r="M67" s="139">
        <v>0.745</v>
      </c>
      <c r="N67" s="598">
        <v>0.79900000000000004</v>
      </c>
      <c r="O67" s="645">
        <f t="shared" si="34"/>
        <v>0.77200000000000002</v>
      </c>
      <c r="P67" s="727">
        <v>90</v>
      </c>
      <c r="Q67" s="1035">
        <v>89.88</v>
      </c>
      <c r="R67" s="706">
        <v>2871.15</v>
      </c>
      <c r="S67" s="842">
        <f>IF((85+ROUNDDOWN(O67,1)*100)&lt;95,95,(85+ROUNDDOWN(O67,1)*100))</f>
        <v>155</v>
      </c>
      <c r="U67" s="1024">
        <v>90</v>
      </c>
      <c r="V67" s="715">
        <v>1.1023000000000001</v>
      </c>
      <c r="Z67" s="1062">
        <v>25</v>
      </c>
      <c r="AA67" s="144">
        <f t="shared" si="44"/>
        <v>25</v>
      </c>
      <c r="AB67" s="145">
        <f t="shared" si="42"/>
        <v>1931.6077109460005</v>
      </c>
      <c r="AC67" s="145">
        <f>+(S67-T67)*V67-'data 1'!$F$4</f>
        <v>90.856500000000011</v>
      </c>
      <c r="AD67" s="145">
        <f t="shared" si="35"/>
        <v>-2.8547441238241085</v>
      </c>
      <c r="AE67" s="145">
        <f t="shared" si="45"/>
        <v>-42.442499999999995</v>
      </c>
      <c r="AF67" s="145">
        <f t="shared" si="36"/>
        <v>11.02166674610401</v>
      </c>
      <c r="AG67" s="772">
        <f t="shared" si="32"/>
        <v>73.580922622279928</v>
      </c>
      <c r="AH67" s="146">
        <f t="shared" si="37"/>
        <v>146.7176624412719</v>
      </c>
      <c r="AI67" s="156">
        <f t="shared" si="38"/>
        <v>91.37424015182394</v>
      </c>
      <c r="AJ67" s="156">
        <f t="shared" si="39"/>
        <v>146.15626084521011</v>
      </c>
      <c r="AK67" s="88"/>
      <c r="AL67" s="716">
        <f t="shared" si="40"/>
        <v>11851.340478354967</v>
      </c>
    </row>
    <row r="68" spans="1:38" ht="15" customHeight="1">
      <c r="A68" s="857" t="s">
        <v>1750</v>
      </c>
      <c r="B68" s="717">
        <v>45699</v>
      </c>
      <c r="C68" s="595">
        <v>45693</v>
      </c>
      <c r="D68" t="s">
        <v>1586</v>
      </c>
      <c r="E68" t="e">
        <f>_xlfn.XLOOKUP(D68,RUC!$B$3:$B$89,RUC!$D$3:$D$89)</f>
        <v>#N/A</v>
      </c>
      <c r="G68" s="80">
        <v>50</v>
      </c>
      <c r="H68" t="s">
        <v>69</v>
      </c>
      <c r="I68" s="596">
        <v>6.44</v>
      </c>
      <c r="J68" s="596">
        <v>1.2</v>
      </c>
      <c r="K68" s="138">
        <f t="shared" si="33"/>
        <v>6.3627200000000004</v>
      </c>
      <c r="L68" s="139">
        <v>1.34</v>
      </c>
      <c r="M68" s="139">
        <v>1.286</v>
      </c>
      <c r="N68" s="598">
        <v>1.3260000000000001</v>
      </c>
      <c r="O68" s="645">
        <f t="shared" si="34"/>
        <v>1.306</v>
      </c>
      <c r="P68" s="727">
        <v>90</v>
      </c>
      <c r="Q68" s="1035">
        <v>89.61</v>
      </c>
      <c r="R68" s="706">
        <v>2871.15</v>
      </c>
      <c r="S68" s="842">
        <v>190</v>
      </c>
      <c r="U68" s="1024">
        <v>90</v>
      </c>
      <c r="V68" s="715">
        <v>1.1023000000000001</v>
      </c>
      <c r="Z68" s="1062">
        <v>25</v>
      </c>
      <c r="AA68" s="144">
        <f t="shared" si="44"/>
        <v>25</v>
      </c>
      <c r="AB68" s="145">
        <f t="shared" si="42"/>
        <v>3366.3841975330006</v>
      </c>
      <c r="AC68" s="145">
        <f>+(S68-T68)*V68-'data 1'!$F$4</f>
        <v>129.43700000000001</v>
      </c>
      <c r="AD68" s="145">
        <f t="shared" si="35"/>
        <v>-16.021147756770024</v>
      </c>
      <c r="AE68" s="145">
        <f t="shared" si="45"/>
        <v>-42.442499999999995</v>
      </c>
      <c r="AF68" s="145">
        <f t="shared" si="36"/>
        <v>93.402739602873098</v>
      </c>
      <c r="AG68" s="772">
        <f t="shared" si="32"/>
        <v>181.37609184610309</v>
      </c>
      <c r="AH68" s="146">
        <f t="shared" si="37"/>
        <v>261.94683590716744</v>
      </c>
      <c r="AI68" s="156">
        <f t="shared" si="38"/>
        <v>157.31142646676992</v>
      </c>
      <c r="AJ68" s="156">
        <f t="shared" si="39"/>
        <v>256.41154032755918</v>
      </c>
      <c r="AK68" s="88"/>
      <c r="AL68" s="716">
        <f t="shared" si="40"/>
        <v>21419.360061327174</v>
      </c>
    </row>
    <row r="69" spans="1:38" ht="15" customHeight="1">
      <c r="A69" s="857" t="s">
        <v>1751</v>
      </c>
      <c r="B69" s="717">
        <v>45699</v>
      </c>
      <c r="C69" s="595">
        <v>45693</v>
      </c>
      <c r="D69" t="s">
        <v>1586</v>
      </c>
      <c r="E69" t="e">
        <f>_xlfn.XLOOKUP(D69,RUC!$B$3:$B$89,RUC!$D$3:$D$89)</f>
        <v>#N/A</v>
      </c>
      <c r="G69" s="80">
        <v>50</v>
      </c>
      <c r="H69" t="s">
        <v>69</v>
      </c>
      <c r="I69" s="596">
        <v>7.05</v>
      </c>
      <c r="J69" s="596">
        <v>1.2</v>
      </c>
      <c r="K69" s="138">
        <f t="shared" si="33"/>
        <v>6.9653999999999998</v>
      </c>
      <c r="L69" s="139">
        <v>0.77700000000000002</v>
      </c>
      <c r="M69" s="139">
        <v>0.745</v>
      </c>
      <c r="N69" s="139">
        <v>0.745</v>
      </c>
      <c r="O69" s="645">
        <f t="shared" si="34"/>
        <v>0.745</v>
      </c>
      <c r="P69" s="727">
        <v>90</v>
      </c>
      <c r="Q69" s="1035">
        <v>89.74</v>
      </c>
      <c r="R69" s="706">
        <v>2871.15</v>
      </c>
      <c r="S69" s="842">
        <f t="shared" ref="S69:S71" si="46">IF((85+ROUNDDOWN(O69,1)*100)&lt;95,95,(85+ROUNDDOWN(O69,1)*100))</f>
        <v>155</v>
      </c>
      <c r="U69" s="1024">
        <v>90</v>
      </c>
      <c r="V69" s="715">
        <v>1.1023000000000001</v>
      </c>
      <c r="Z69" s="1062">
        <v>25</v>
      </c>
      <c r="AA69" s="144">
        <f t="shared" si="44"/>
        <v>25</v>
      </c>
      <c r="AB69" s="145">
        <f t="shared" si="42"/>
        <v>1857.1121329724999</v>
      </c>
      <c r="AC69" s="145">
        <f>+(S69-T69)*V69-'data 1'!$F$4</f>
        <v>90.856500000000011</v>
      </c>
      <c r="AD69" s="145">
        <f t="shared" si="35"/>
        <v>-6.1932496552291214</v>
      </c>
      <c r="AE69" s="145">
        <f t="shared" si="45"/>
        <v>-42.442499999999995</v>
      </c>
      <c r="AF69" s="145">
        <f t="shared" si="36"/>
        <v>88.035992327136057</v>
      </c>
      <c r="AG69" s="772">
        <f t="shared" si="32"/>
        <v>147.25674267190695</v>
      </c>
      <c r="AH69" s="146">
        <f t="shared" si="37"/>
        <v>166.5183944621088</v>
      </c>
      <c r="AI69" s="156">
        <f t="shared" si="38"/>
        <v>91.349479572728939</v>
      </c>
      <c r="AJ69" s="156">
        <f t="shared" si="39"/>
        <v>160.12307180968662</v>
      </c>
      <c r="AK69" s="88"/>
      <c r="AL69" s="716">
        <f t="shared" si="40"/>
        <v>12935.528851006651</v>
      </c>
    </row>
    <row r="70" spans="1:38" ht="15" customHeight="1">
      <c r="A70" s="857" t="s">
        <v>1753</v>
      </c>
      <c r="B70" s="717">
        <v>45699</v>
      </c>
      <c r="C70" s="595">
        <v>45693</v>
      </c>
      <c r="D70" t="s">
        <v>1586</v>
      </c>
      <c r="E70" t="e">
        <f>_xlfn.XLOOKUP(D70,RUC!$B$3:$B$89,RUC!$D$3:$D$89)</f>
        <v>#N/A</v>
      </c>
      <c r="G70" s="80">
        <v>50</v>
      </c>
      <c r="H70" t="s">
        <v>69</v>
      </c>
      <c r="I70" s="596">
        <v>7.05</v>
      </c>
      <c r="J70" s="596">
        <v>1.1000000000000001</v>
      </c>
      <c r="K70" s="138">
        <f t="shared" si="33"/>
        <v>6.9724500000000003</v>
      </c>
      <c r="L70" s="139">
        <v>0.39800000000000002</v>
      </c>
      <c r="M70" s="139">
        <v>0.38200000000000001</v>
      </c>
      <c r="N70" s="598">
        <v>0.44600000000000001</v>
      </c>
      <c r="O70" s="645">
        <f t="shared" si="34"/>
        <v>0.41399999999999998</v>
      </c>
      <c r="P70" s="727">
        <v>90</v>
      </c>
      <c r="Q70" s="1035">
        <v>90.17</v>
      </c>
      <c r="R70" s="706">
        <v>2871.15</v>
      </c>
      <c r="S70" s="842">
        <f t="shared" si="46"/>
        <v>125</v>
      </c>
      <c r="U70" s="1024">
        <v>90</v>
      </c>
      <c r="V70" s="715">
        <v>1.1023000000000001</v>
      </c>
      <c r="Z70" s="1062">
        <v>25</v>
      </c>
      <c r="AA70" s="144">
        <f t="shared" si="44"/>
        <v>25</v>
      </c>
      <c r="AB70" s="145">
        <f t="shared" si="42"/>
        <v>976.92052892700008</v>
      </c>
      <c r="AC70" s="145">
        <f>+(S70-T70)*V70-'data 1'!$F$4</f>
        <v>57.787499999999994</v>
      </c>
      <c r="AD70" s="145">
        <f t="shared" si="35"/>
        <v>2.0742266690070208</v>
      </c>
      <c r="AE70" s="145">
        <f t="shared" si="45"/>
        <v>-42.442499999999995</v>
      </c>
      <c r="AF70" s="145">
        <f t="shared" si="36"/>
        <v>-44.228913684743894</v>
      </c>
      <c r="AG70" s="772">
        <f t="shared" si="32"/>
        <v>-9.809687015736877</v>
      </c>
      <c r="AH70" s="146">
        <f t="shared" si="37"/>
        <v>85.790583094218491</v>
      </c>
      <c r="AI70" s="156">
        <f t="shared" si="38"/>
        <v>47.015833013992967</v>
      </c>
      <c r="AJ70" s="156">
        <f t="shared" si="39"/>
        <v>89.071205146576304</v>
      </c>
      <c r="AK70" s="88"/>
      <c r="AL70" s="716">
        <f t="shared" si="40"/>
        <v>6811.5295419170616</v>
      </c>
    </row>
    <row r="71" spans="1:38" ht="15" customHeight="1">
      <c r="A71" s="857" t="s">
        <v>1755</v>
      </c>
      <c r="B71" s="717">
        <v>45699</v>
      </c>
      <c r="C71" s="595">
        <v>45693</v>
      </c>
      <c r="D71" t="s">
        <v>1586</v>
      </c>
      <c r="E71" t="e">
        <f>_xlfn.XLOOKUP(D71,RUC!$B$3:$B$89,RUC!$D$3:$D$89)</f>
        <v>#N/A</v>
      </c>
      <c r="G71" s="80">
        <v>50</v>
      </c>
      <c r="H71" t="s">
        <v>69</v>
      </c>
      <c r="I71" s="596">
        <v>5.18</v>
      </c>
      <c r="J71" s="596">
        <v>1.2</v>
      </c>
      <c r="K71" s="138">
        <f t="shared" si="33"/>
        <v>5.1178399999999993</v>
      </c>
      <c r="L71" s="139">
        <v>0.39900000000000002</v>
      </c>
      <c r="M71" s="139">
        <v>0.38300000000000001</v>
      </c>
      <c r="N71" s="598">
        <v>0.439</v>
      </c>
      <c r="O71" s="645">
        <f t="shared" si="34"/>
        <v>0.41099999999999998</v>
      </c>
      <c r="P71" s="727">
        <v>90</v>
      </c>
      <c r="Q71" s="1035">
        <v>90.09</v>
      </c>
      <c r="R71" s="706">
        <v>2871.15</v>
      </c>
      <c r="S71" s="842">
        <f t="shared" si="46"/>
        <v>125</v>
      </c>
      <c r="U71" s="1024">
        <v>90</v>
      </c>
      <c r="V71" s="715">
        <v>1.1023000000000001</v>
      </c>
      <c r="Z71" s="1062">
        <v>25</v>
      </c>
      <c r="AA71" s="144">
        <f t="shared" si="44"/>
        <v>25</v>
      </c>
      <c r="AB71" s="145">
        <f t="shared" si="42"/>
        <v>968.64324248549997</v>
      </c>
      <c r="AC71" s="145">
        <f>+(S71-T71)*V71-'data 1'!$F$4</f>
        <v>57.787499999999994</v>
      </c>
      <c r="AD71" s="145">
        <f t="shared" si="35"/>
        <v>1.1008790967195419</v>
      </c>
      <c r="AE71" s="145">
        <f t="shared" si="45"/>
        <v>-42.442499999999995</v>
      </c>
      <c r="AF71" s="145">
        <f t="shared" si="36"/>
        <v>-33.142254911765882</v>
      </c>
      <c r="AG71" s="772">
        <f t="shared" si="32"/>
        <v>0.30362418495366228</v>
      </c>
      <c r="AH71" s="146">
        <f t="shared" si="37"/>
        <v>63.073256765190962</v>
      </c>
      <c r="AI71" s="156">
        <f t="shared" si="38"/>
        <v>47.092145380780472</v>
      </c>
      <c r="AJ71" s="156">
        <f t="shared" si="39"/>
        <v>64.905291526752649</v>
      </c>
      <c r="AK71" s="88"/>
      <c r="AL71" s="716">
        <f t="shared" si="40"/>
        <v>4957.3611321219905</v>
      </c>
    </row>
    <row r="72" spans="1:38" ht="15" customHeight="1">
      <c r="A72" s="857" t="s">
        <v>1757</v>
      </c>
      <c r="B72" s="717">
        <v>45698</v>
      </c>
      <c r="C72" s="595">
        <v>45693</v>
      </c>
      <c r="D72" t="s">
        <v>154</v>
      </c>
      <c r="E72">
        <f>_xlfn.XLOOKUP(D72,RUC!$B$3:$B$89,RUC!$D$3:$D$89)</f>
        <v>10416085884</v>
      </c>
      <c r="G72" s="80" t="s">
        <v>1434</v>
      </c>
      <c r="H72" t="s">
        <v>69</v>
      </c>
      <c r="I72" s="596">
        <v>23.57</v>
      </c>
      <c r="J72" s="596">
        <v>10</v>
      </c>
      <c r="K72" s="138">
        <f t="shared" si="33"/>
        <v>21.213000000000001</v>
      </c>
      <c r="L72" s="139">
        <v>0.14199999999999999</v>
      </c>
      <c r="M72" s="139">
        <v>0.13700000000000001</v>
      </c>
      <c r="N72" s="159">
        <v>0.155</v>
      </c>
      <c r="O72" s="645">
        <f t="shared" si="34"/>
        <v>0.14599999999999999</v>
      </c>
      <c r="P72" s="727">
        <v>85</v>
      </c>
      <c r="Q72" s="1035">
        <v>89.95</v>
      </c>
      <c r="R72" s="706">
        <v>2843.55</v>
      </c>
      <c r="S72" s="842">
        <v>110</v>
      </c>
      <c r="U72" s="1050">
        <v>90</v>
      </c>
      <c r="V72" s="715">
        <v>1.1023000000000001</v>
      </c>
      <c r="Z72" s="143">
        <f t="shared" si="31"/>
        <v>30</v>
      </c>
      <c r="AA72" s="144">
        <f t="shared" si="44"/>
        <v>30</v>
      </c>
      <c r="AB72" s="145">
        <f t="shared" si="42"/>
        <v>222.35105627649995</v>
      </c>
      <c r="AC72" s="145">
        <f>+(S72-T72)*V72-'data 1'!$F$4</f>
        <v>41.253</v>
      </c>
      <c r="AD72" s="145">
        <f t="shared" si="35"/>
        <v>21.334689061785017</v>
      </c>
      <c r="AE72" s="145">
        <f t="shared" si="45"/>
        <v>-36.930999999999997</v>
      </c>
      <c r="AF72" s="145">
        <f t="shared" si="36"/>
        <v>-10.920786917670011</v>
      </c>
      <c r="AG72" s="772">
        <f t="shared" si="32"/>
        <v>31.735902144115002</v>
      </c>
      <c r="AH72" s="146">
        <f t="shared" si="37"/>
        <v>92.896782699348265</v>
      </c>
      <c r="AI72" s="156">
        <f t="shared" si="38"/>
        <v>20.619526852714969</v>
      </c>
      <c r="AJ72" s="156">
        <f t="shared" si="39"/>
        <v>90.257425745047072</v>
      </c>
      <c r="AK72" s="88"/>
      <c r="AL72" s="716">
        <f t="shared" si="40"/>
        <v>4716.7329567933939</v>
      </c>
    </row>
    <row r="73" spans="1:38" ht="15" customHeight="1">
      <c r="A73" s="857" t="s">
        <v>1760</v>
      </c>
      <c r="B73" s="717">
        <v>45698</v>
      </c>
      <c r="C73" s="595">
        <v>45694</v>
      </c>
      <c r="D73" t="s">
        <v>129</v>
      </c>
      <c r="E73" t="e">
        <f>_xlfn.XLOOKUP(D73,RUC!$B$3:$B$89,RUC!$D$3:$D$89)</f>
        <v>#N/A</v>
      </c>
      <c r="G73" s="80" t="s">
        <v>1434</v>
      </c>
      <c r="H73" t="s">
        <v>69</v>
      </c>
      <c r="I73" s="596">
        <v>19.05</v>
      </c>
      <c r="J73" s="596">
        <v>1.2</v>
      </c>
      <c r="K73" s="138">
        <f t="shared" si="33"/>
        <v>18.821400000000001</v>
      </c>
      <c r="L73" s="139">
        <v>0.28999999999999998</v>
      </c>
      <c r="M73" s="139">
        <v>0.27800000000000002</v>
      </c>
      <c r="N73" s="139">
        <v>0.27800000000000002</v>
      </c>
      <c r="O73" s="645">
        <f t="shared" si="34"/>
        <v>0.27800000000000002</v>
      </c>
      <c r="P73" s="727">
        <v>90</v>
      </c>
      <c r="Q73" s="596">
        <v>90.2</v>
      </c>
      <c r="R73" s="706">
        <v>2838.95</v>
      </c>
      <c r="S73" s="765">
        <f t="shared" ref="S73" si="47">IF((80+ROUNDDOWN(O73,1)*100)&lt;95,95,(80+ROUNDDOWN(O73,1)*100))</f>
        <v>100</v>
      </c>
      <c r="U73" s="1050">
        <v>100</v>
      </c>
      <c r="V73" s="715">
        <v>1.1023000000000001</v>
      </c>
      <c r="Z73" s="143">
        <f t="shared" si="31"/>
        <v>30</v>
      </c>
      <c r="AA73" s="144">
        <f t="shared" si="44"/>
        <v>30</v>
      </c>
      <c r="AB73" s="145">
        <f t="shared" si="42"/>
        <v>612.09097516700024</v>
      </c>
      <c r="AC73" s="145">
        <f>+(S73-T73)*V73-'data 1'!$F$4</f>
        <v>30.230000000000004</v>
      </c>
      <c r="AD73" s="145">
        <f t="shared" si="35"/>
        <v>1.7511038593000248</v>
      </c>
      <c r="AE73" s="145">
        <f t="shared" si="45"/>
        <v>-36.930999999999997</v>
      </c>
      <c r="AF73" s="145">
        <f t="shared" si="36"/>
        <v>32.67922098803988</v>
      </c>
      <c r="AG73" s="772">
        <f>+IF(D73="RONALD WILLIAN GARIBAY ESCUDERO",AC73+AD73+AE73+AF73+70,AC73+AD73+AE73+AF73)</f>
        <v>97.72932484733991</v>
      </c>
      <c r="AH73" s="146">
        <f t="shared" si="37"/>
        <v>168.79731311168814</v>
      </c>
      <c r="AI73" s="156">
        <f t="shared" si="38"/>
        <v>46.437098055700055</v>
      </c>
      <c r="AJ73" s="156">
        <f t="shared" si="39"/>
        <v>161.45381046159639</v>
      </c>
      <c r="AK73" s="88"/>
      <c r="AL73" s="716">
        <f t="shared" si="40"/>
        <v>11520.409080008179</v>
      </c>
    </row>
    <row r="74" spans="1:38" ht="15" customHeight="1">
      <c r="A74" s="857" t="s">
        <v>1772</v>
      </c>
      <c r="B74" s="595">
        <v>45699</v>
      </c>
      <c r="C74" s="595">
        <v>45695</v>
      </c>
      <c r="D74" t="s">
        <v>129</v>
      </c>
      <c r="E74" t="e">
        <f>_xlfn.XLOOKUP(D74,RUC!$B$3:$B$89,RUC!$D$3:$D$89)</f>
        <v>#N/A</v>
      </c>
      <c r="G74" s="80">
        <v>13</v>
      </c>
      <c r="H74" t="s">
        <v>69</v>
      </c>
      <c r="I74" s="596">
        <v>1.02</v>
      </c>
      <c r="J74" s="596">
        <v>1.2</v>
      </c>
      <c r="K74" s="138">
        <f t="shared" si="33"/>
        <v>1.00776</v>
      </c>
      <c r="L74" s="139">
        <v>0.443</v>
      </c>
      <c r="M74" s="139">
        <v>0.42499999999999999</v>
      </c>
      <c r="N74" s="159">
        <v>0.42499999999999999</v>
      </c>
      <c r="O74" s="645">
        <f t="shared" si="34"/>
        <v>0.42499999999999999</v>
      </c>
      <c r="P74" s="727">
        <v>90</v>
      </c>
      <c r="Q74" s="596">
        <v>89.96</v>
      </c>
      <c r="R74" s="706">
        <v>2874.65</v>
      </c>
      <c r="S74" s="842">
        <f>IF((80+ROUNDDOWN(O74,1)*100)&lt;95,95,(80+ROUNDDOWN(O74,1)*100))</f>
        <v>120</v>
      </c>
      <c r="U74" s="1050">
        <v>100</v>
      </c>
      <c r="V74" s="715">
        <v>1.1023000000000001</v>
      </c>
      <c r="Z74" s="143">
        <f t="shared" si="31"/>
        <v>30</v>
      </c>
      <c r="AA74" s="144">
        <f t="shared" si="44"/>
        <v>30</v>
      </c>
      <c r="AB74" s="145">
        <f t="shared" si="42"/>
        <v>1004.5299858375</v>
      </c>
      <c r="AC74" s="145">
        <f>+(S74-T74)*V74-'data 1'!$F$4</f>
        <v>52.27600000000001</v>
      </c>
      <c r="AD74" s="145">
        <f t="shared" si="35"/>
        <v>-0.54196561435408475</v>
      </c>
      <c r="AE74" s="145">
        <f t="shared" si="45"/>
        <v>-36.930999999999997</v>
      </c>
      <c r="AF74" s="145">
        <f t="shared" si="36"/>
        <v>49.525625282796042</v>
      </c>
      <c r="AG74" s="772">
        <f>+IF(D74="RONALD WILLIAN GARIBAY ESCUDERO",AC74+AD74+AE74+AF74+70,AC74+AD74+AE74+AF74)</f>
        <v>134.32865966844196</v>
      </c>
      <c r="AH74" s="146">
        <f t="shared" si="37"/>
        <v>13.769537673407976</v>
      </c>
      <c r="AI74" s="156">
        <f t="shared" si="38"/>
        <v>55.065212393853962</v>
      </c>
      <c r="AJ74" s="156">
        <f t="shared" si="39"/>
        <v>13.215926817935008</v>
      </c>
      <c r="AK74" s="88"/>
      <c r="AL74" s="716">
        <f t="shared" si="40"/>
        <v>1012.3251385275991</v>
      </c>
    </row>
    <row r="75" spans="1:38" ht="15" customHeight="1">
      <c r="A75" s="857" t="s">
        <v>1773</v>
      </c>
      <c r="B75" s="595">
        <v>45699</v>
      </c>
      <c r="C75" s="595">
        <v>45695</v>
      </c>
      <c r="D75" t="s">
        <v>129</v>
      </c>
      <c r="E75" t="e">
        <f>_xlfn.XLOOKUP(D75,RUC!$B$3:$B$89,RUC!$D$3:$D$89)</f>
        <v>#N/A</v>
      </c>
      <c r="G75" s="80">
        <v>37</v>
      </c>
      <c r="H75" t="s">
        <v>69</v>
      </c>
      <c r="I75" s="596">
        <v>4.41</v>
      </c>
      <c r="J75" s="596">
        <v>1.1000000000000001</v>
      </c>
      <c r="K75" s="138">
        <f t="shared" si="33"/>
        <v>4.3614899999999999</v>
      </c>
      <c r="L75" s="139">
        <v>0.30499999999999999</v>
      </c>
      <c r="M75" s="139">
        <v>0.29199999999999998</v>
      </c>
      <c r="N75" s="598">
        <v>0.375</v>
      </c>
      <c r="O75" s="645">
        <f t="shared" si="34"/>
        <v>0.33400000000000002</v>
      </c>
      <c r="P75" s="727">
        <v>90</v>
      </c>
      <c r="Q75" s="596">
        <v>89.98</v>
      </c>
      <c r="R75" s="706">
        <v>2874.65</v>
      </c>
      <c r="S75" s="842">
        <f>IF((80+ROUNDDOWN(O75,1)*100)&lt;95,95,(80+ROUNDDOWN(O75,1)*100))</f>
        <v>110</v>
      </c>
      <c r="U75" s="1050">
        <v>100</v>
      </c>
      <c r="V75" s="715">
        <v>1.1023000000000001</v>
      </c>
      <c r="Z75" s="143">
        <f t="shared" si="31"/>
        <v>30</v>
      </c>
      <c r="AA75" s="144">
        <f t="shared" si="44"/>
        <v>30</v>
      </c>
      <c r="AB75" s="145">
        <f t="shared" si="42"/>
        <v>765.06210651700007</v>
      </c>
      <c r="AC75" s="145">
        <f>+(S75-T75)*V75-'data 1'!$F$4</f>
        <v>41.253</v>
      </c>
      <c r="AD75" s="145">
        <f t="shared" si="35"/>
        <v>-0.18656829839496289</v>
      </c>
      <c r="AE75" s="145">
        <f t="shared" si="45"/>
        <v>-36.930999999999997</v>
      </c>
      <c r="AF75" s="145">
        <f t="shared" si="36"/>
        <v>-79.809024458669086</v>
      </c>
      <c r="AG75" s="772">
        <f>+IF(D75="RONALD WILLIAN GARIBAY ESCUDERO",AC75+AD75+AE75+AF75+70,AC75+AD75+AE75+AF75)</f>
        <v>-5.6735927570640428</v>
      </c>
      <c r="AH75" s="146">
        <f t="shared" si="37"/>
        <v>41.038339363135691</v>
      </c>
      <c r="AI75" s="156">
        <f t="shared" si="38"/>
        <v>37.920143650894971</v>
      </c>
      <c r="AJ75" s="156">
        <f t="shared" si="39"/>
        <v>44.950334364134072</v>
      </c>
      <c r="AK75" s="88"/>
      <c r="AL75" s="716">
        <f t="shared" si="40"/>
        <v>3336.8107269528305</v>
      </c>
    </row>
    <row r="76" spans="1:38" ht="15" customHeight="1">
      <c r="A76" s="857" t="s">
        <v>1775</v>
      </c>
      <c r="B76" s="595">
        <v>45700</v>
      </c>
      <c r="C76" s="595">
        <v>45695</v>
      </c>
      <c r="D76" t="s">
        <v>1484</v>
      </c>
      <c r="E76">
        <f>_xlfn.XLOOKUP(D76,RUC!$B$3:$B$89,RUC!$D$3:$D$89)</f>
        <v>10761932735</v>
      </c>
      <c r="G76" s="80" t="s">
        <v>1434</v>
      </c>
      <c r="H76" t="s">
        <v>69</v>
      </c>
      <c r="I76" s="596">
        <v>21.07</v>
      </c>
      <c r="J76" s="596">
        <v>15.2</v>
      </c>
      <c r="K76" s="138">
        <f t="shared" si="33"/>
        <v>17.867360000000001</v>
      </c>
      <c r="L76" s="139">
        <v>0.129</v>
      </c>
      <c r="M76" s="139">
        <v>0.11899999999999999</v>
      </c>
      <c r="N76" s="159">
        <v>0.17799999999999999</v>
      </c>
      <c r="O76" s="645">
        <f t="shared" si="34"/>
        <v>0.14899999999999999</v>
      </c>
      <c r="P76" s="727">
        <v>80</v>
      </c>
      <c r="Q76" s="596">
        <v>89.93</v>
      </c>
      <c r="R76" s="706">
        <v>2874.65</v>
      </c>
      <c r="S76" s="765">
        <v>105</v>
      </c>
      <c r="U76" s="1050">
        <v>120</v>
      </c>
      <c r="V76" s="715">
        <v>1.1023000000000001</v>
      </c>
      <c r="Y76">
        <v>20</v>
      </c>
      <c r="Z76" s="143">
        <f t="shared" si="31"/>
        <v>30</v>
      </c>
      <c r="AA76" s="144">
        <f t="shared" si="44"/>
        <v>50</v>
      </c>
      <c r="AB76" s="145">
        <f t="shared" si="42"/>
        <v>191.08842284400004</v>
      </c>
      <c r="AC76" s="145">
        <f>+(S76-T76)*V76-'data 1'!$F$4</f>
        <v>35.741500000000002</v>
      </c>
      <c r="AD76" s="145">
        <f t="shared" si="35"/>
        <v>38.896022467741524</v>
      </c>
      <c r="AE76" s="145">
        <f t="shared" si="45"/>
        <v>-14.884999999999998</v>
      </c>
      <c r="AF76" s="145">
        <f t="shared" si="36"/>
        <v>-54.613602200269987</v>
      </c>
      <c r="AG76" s="772">
        <f t="shared" si="32"/>
        <v>22.138920267471534</v>
      </c>
      <c r="AH76" s="146">
        <f t="shared" si="37"/>
        <v>71.066309156268574</v>
      </c>
      <c r="AI76" s="156">
        <f t="shared" si="38"/>
        <v>18.586993507258491</v>
      </c>
      <c r="AJ76" s="156">
        <f t="shared" si="39"/>
        <v>73.020653026662515</v>
      </c>
      <c r="AK76" s="88"/>
      <c r="AL76" s="716">
        <f t="shared" si="40"/>
        <v>3414.2456427859729</v>
      </c>
    </row>
    <row r="77" spans="1:38" ht="15" customHeight="1">
      <c r="A77" s="857" t="s">
        <v>1780</v>
      </c>
      <c r="B77" s="595">
        <v>45698</v>
      </c>
      <c r="C77" s="595">
        <v>45696</v>
      </c>
      <c r="D77" t="s">
        <v>119</v>
      </c>
      <c r="E77">
        <f>_xlfn.XLOOKUP(D77,RUC!$B$3:$B$89,RUC!$D$3:$D$89)</f>
        <v>10082235774</v>
      </c>
      <c r="G77" s="80">
        <v>45</v>
      </c>
      <c r="H77" t="s">
        <v>69</v>
      </c>
      <c r="I77" s="596">
        <v>4.49</v>
      </c>
      <c r="J77" s="596">
        <v>1.7</v>
      </c>
      <c r="K77" s="138">
        <f t="shared" si="33"/>
        <v>4.4136699999999998</v>
      </c>
      <c r="L77" s="139">
        <v>0.17100000000000001</v>
      </c>
      <c r="M77" s="139">
        <v>0.16800000000000001</v>
      </c>
      <c r="N77" s="159">
        <v>0.16800000000000001</v>
      </c>
      <c r="O77" s="645">
        <f t="shared" si="34"/>
        <v>0.16800000000000001</v>
      </c>
      <c r="P77" s="727">
        <v>85</v>
      </c>
      <c r="Q77" s="596">
        <v>90.22</v>
      </c>
      <c r="R77" s="706">
        <v>2874.65</v>
      </c>
      <c r="S77" s="842">
        <v>95</v>
      </c>
      <c r="U77" s="1024">
        <v>80</v>
      </c>
      <c r="V77" s="715">
        <v>1.1023000000000001</v>
      </c>
      <c r="Z77" s="160">
        <v>10</v>
      </c>
      <c r="AA77" s="144">
        <f t="shared" si="44"/>
        <v>10</v>
      </c>
      <c r="AB77" s="145">
        <f t="shared" si="42"/>
        <v>324.15999684600013</v>
      </c>
      <c r="AC77" s="145">
        <f>+(S77-T77)*V77-'data 1'!$F$4</f>
        <v>24.718500000000006</v>
      </c>
      <c r="AD77" s="145">
        <f t="shared" si="35"/>
        <v>27.497540204109001</v>
      </c>
      <c r="AE77" s="145">
        <f t="shared" si="45"/>
        <v>-58.977000000000004</v>
      </c>
      <c r="AF77" s="145">
        <f t="shared" si="36"/>
        <v>8.3377968582870068</v>
      </c>
      <c r="AG77" s="772">
        <f>+IF(D77="RONALD WILLIAN GARIBAY ESCUDERO",AC77+AD77+AE77+AF77+70,AC77+AD77+AE77+AF77)+70</f>
        <v>71.57683706239601</v>
      </c>
      <c r="AH77" s="146">
        <f t="shared" si="37"/>
        <v>23.345751652047042</v>
      </c>
      <c r="AI77" s="156">
        <f t="shared" si="38"/>
        <v>17.915679331640987</v>
      </c>
      <c r="AJ77" s="156">
        <f t="shared" si="39"/>
        <v>21.609122702739093</v>
      </c>
      <c r="AK77" s="88"/>
      <c r="AL77" s="716">
        <f t="shared" si="40"/>
        <v>1430.7352532792852</v>
      </c>
    </row>
    <row r="78" spans="1:38" ht="15" customHeight="1">
      <c r="A78" s="857" t="s">
        <v>1781</v>
      </c>
      <c r="B78" s="595">
        <v>45698</v>
      </c>
      <c r="C78" s="595">
        <v>45696</v>
      </c>
      <c r="D78" t="s">
        <v>119</v>
      </c>
      <c r="E78">
        <f>_xlfn.XLOOKUP(D78,RUC!$B$3:$B$89,RUC!$D$3:$D$89)</f>
        <v>10082235774</v>
      </c>
      <c r="G78" s="80">
        <v>45</v>
      </c>
      <c r="H78" t="s">
        <v>69</v>
      </c>
      <c r="I78" s="596">
        <v>4.54</v>
      </c>
      <c r="J78" s="596">
        <v>1.8</v>
      </c>
      <c r="K78" s="138">
        <f t="shared" si="33"/>
        <v>4.4582800000000002</v>
      </c>
      <c r="L78" s="139">
        <v>0.29599999999999999</v>
      </c>
      <c r="M78" s="139">
        <v>0.29099999999999998</v>
      </c>
      <c r="N78" s="159">
        <v>0.29099999999999998</v>
      </c>
      <c r="O78" s="645">
        <f t="shared" si="34"/>
        <v>0.29099999999999998</v>
      </c>
      <c r="P78" s="727">
        <v>90</v>
      </c>
      <c r="Q78" s="596">
        <v>90.26</v>
      </c>
      <c r="R78" s="706">
        <v>2874.65</v>
      </c>
      <c r="S78" s="842">
        <v>105</v>
      </c>
      <c r="U78" s="1024">
        <v>80</v>
      </c>
      <c r="V78" s="715">
        <v>1.1023000000000001</v>
      </c>
      <c r="Z78" s="160">
        <v>10</v>
      </c>
      <c r="AA78" s="144">
        <f t="shared" si="44"/>
        <v>10</v>
      </c>
      <c r="AB78" s="145">
        <f t="shared" si="42"/>
        <v>680.02963182049996</v>
      </c>
      <c r="AC78" s="145">
        <f>+(S78-T78)*V78-'data 1'!$F$4</f>
        <v>35.741500000000002</v>
      </c>
      <c r="AD78" s="145">
        <f t="shared" si="35"/>
        <v>2.3707856580720468</v>
      </c>
      <c r="AE78" s="145">
        <f t="shared" si="45"/>
        <v>-58.977000000000004</v>
      </c>
      <c r="AF78" s="145">
        <f t="shared" si="36"/>
        <v>13.902489182535014</v>
      </c>
      <c r="AG78" s="772">
        <f t="shared" ref="AG78:AG86" si="48">+IF(D78="RONALD WILLIAN GARIBAY ESCUDERO",AC78+AD78+AE78+AF78+70,AC78+AD78+AE78+AF78)+70</f>
        <v>63.037774840607057</v>
      </c>
      <c r="AH78" s="146">
        <f t="shared" si="37"/>
        <v>40.837904590721031</v>
      </c>
      <c r="AI78" s="156">
        <f t="shared" si="38"/>
        <v>31.025685625927977</v>
      </c>
      <c r="AJ78" s="156">
        <f t="shared" si="39"/>
        <v>40.032425890931592</v>
      </c>
      <c r="AK78" s="88"/>
      <c r="AL78" s="716">
        <f t="shared" si="40"/>
        <v>3031.7625069526989</v>
      </c>
    </row>
    <row r="79" spans="1:38" ht="15" customHeight="1">
      <c r="A79" s="857" t="s">
        <v>1782</v>
      </c>
      <c r="B79" s="595">
        <v>45698</v>
      </c>
      <c r="C79" s="595">
        <v>45696</v>
      </c>
      <c r="D79" t="s">
        <v>119</v>
      </c>
      <c r="E79">
        <f>_xlfn.XLOOKUP(D79,RUC!$B$3:$B$89,RUC!$D$3:$D$89)</f>
        <v>10082235774</v>
      </c>
      <c r="G79" s="80">
        <v>44</v>
      </c>
      <c r="H79" t="s">
        <v>69</v>
      </c>
      <c r="I79" s="596">
        <v>4.82</v>
      </c>
      <c r="J79" s="596">
        <v>1.8</v>
      </c>
      <c r="K79" s="138">
        <f t="shared" si="33"/>
        <v>4.7332400000000003</v>
      </c>
      <c r="L79" s="139">
        <v>0.83099999999999996</v>
      </c>
      <c r="M79" s="139">
        <v>0.81799999999999995</v>
      </c>
      <c r="N79" s="159">
        <v>0.81799999999999995</v>
      </c>
      <c r="O79" s="645">
        <f t="shared" si="34"/>
        <v>0.81799999999999995</v>
      </c>
      <c r="P79" s="727">
        <v>90</v>
      </c>
      <c r="Q79" s="596">
        <v>89.88</v>
      </c>
      <c r="R79" s="706">
        <v>2874.65</v>
      </c>
      <c r="S79" s="842">
        <v>140</v>
      </c>
      <c r="U79" s="1024">
        <v>80</v>
      </c>
      <c r="V79" s="715">
        <v>1.1023000000000001</v>
      </c>
      <c r="Z79" s="160">
        <v>10</v>
      </c>
      <c r="AA79" s="144">
        <f t="shared" si="44"/>
        <v>10</v>
      </c>
      <c r="AB79" s="145">
        <f t="shared" si="42"/>
        <v>2102.5505320589996</v>
      </c>
      <c r="AC79" s="145">
        <f>+(S79-T79)*V79-'data 1'!$F$4</f>
        <v>74.322000000000003</v>
      </c>
      <c r="AD79" s="145">
        <f t="shared" si="35"/>
        <v>-3.0719171754541166</v>
      </c>
      <c r="AE79" s="145">
        <f t="shared" si="45"/>
        <v>-58.977000000000004</v>
      </c>
      <c r="AF79" s="145">
        <f t="shared" si="36"/>
        <v>35.994293065458031</v>
      </c>
      <c r="AG79" s="772">
        <f t="shared" si="48"/>
        <v>118.2673758900039</v>
      </c>
      <c r="AH79" s="146">
        <f t="shared" si="37"/>
        <v>121.20811097963816</v>
      </c>
      <c r="AI79" s="156">
        <f t="shared" si="38"/>
        <v>86.735809260953914</v>
      </c>
      <c r="AJ79" s="156">
        <f t="shared" si="39"/>
        <v>119.4712502124903</v>
      </c>
      <c r="AK79" s="88"/>
      <c r="AL79" s="716">
        <f t="shared" si="40"/>
        <v>9951.8762803629397</v>
      </c>
    </row>
    <row r="80" spans="1:38" ht="15" customHeight="1">
      <c r="A80" s="857" t="s">
        <v>1783</v>
      </c>
      <c r="B80" s="595">
        <v>45698</v>
      </c>
      <c r="C80" s="595">
        <v>45696</v>
      </c>
      <c r="D80" t="s">
        <v>119</v>
      </c>
      <c r="E80">
        <f>_xlfn.XLOOKUP(D80,RUC!$B$3:$B$89,RUC!$D$3:$D$89)</f>
        <v>10082235774</v>
      </c>
      <c r="G80" s="80">
        <v>46</v>
      </c>
      <c r="H80" t="s">
        <v>69</v>
      </c>
      <c r="I80" s="596">
        <v>4.59</v>
      </c>
      <c r="J80" s="596">
        <v>1.7</v>
      </c>
      <c r="K80" s="138">
        <f t="shared" si="33"/>
        <v>4.5119699999999998</v>
      </c>
      <c r="L80" s="139">
        <v>0.56299999999999994</v>
      </c>
      <c r="M80" s="139">
        <v>0.55500000000000005</v>
      </c>
      <c r="N80" s="159">
        <v>0.55500000000000005</v>
      </c>
      <c r="O80" s="645">
        <f t="shared" si="34"/>
        <v>0.55500000000000005</v>
      </c>
      <c r="P80" s="727">
        <v>90</v>
      </c>
      <c r="Q80" s="596">
        <v>89.96</v>
      </c>
      <c r="R80" s="706">
        <v>2874.65</v>
      </c>
      <c r="S80" s="842">
        <v>120</v>
      </c>
      <c r="U80" s="1024">
        <v>80</v>
      </c>
      <c r="V80" s="715">
        <v>1.1023000000000001</v>
      </c>
      <c r="Z80" s="160">
        <v>10</v>
      </c>
      <c r="AA80" s="144">
        <f t="shared" si="44"/>
        <v>10</v>
      </c>
      <c r="AB80" s="145">
        <f t="shared" si="42"/>
        <v>1395.4320761525003</v>
      </c>
      <c r="AC80" s="145">
        <f>+(S80-T80)*V80-'data 1'!$F$4</f>
        <v>52.27600000000001</v>
      </c>
      <c r="AD80" s="145">
        <f t="shared" si="35"/>
        <v>-0.69373821491410848</v>
      </c>
      <c r="AE80" s="145">
        <f t="shared" si="45"/>
        <v>-58.977000000000004</v>
      </c>
      <c r="AF80" s="145">
        <f t="shared" si="36"/>
        <v>22.170049667375711</v>
      </c>
      <c r="AG80" s="772">
        <f t="shared" si="48"/>
        <v>84.775311452461608</v>
      </c>
      <c r="AH80" s="146">
        <f t="shared" si="37"/>
        <v>78.348938030072503</v>
      </c>
      <c r="AI80" s="156">
        <f t="shared" si="38"/>
        <v>58.81555357441394</v>
      </c>
      <c r="AJ80" s="156">
        <f t="shared" si="39"/>
        <v>77.269973838819283</v>
      </c>
      <c r="AK80" s="88"/>
      <c r="AL80" s="716">
        <f t="shared" si="40"/>
        <v>6296.147664637796</v>
      </c>
    </row>
    <row r="81" spans="1:38" ht="15" customHeight="1">
      <c r="A81" s="857" t="s">
        <v>1784</v>
      </c>
      <c r="B81" s="595">
        <v>45698</v>
      </c>
      <c r="C81" s="595">
        <v>45696</v>
      </c>
      <c r="D81" t="s">
        <v>119</v>
      </c>
      <c r="E81">
        <f>_xlfn.XLOOKUP(D81,RUC!$B$3:$B$89,RUC!$D$3:$D$89)</f>
        <v>10082235774</v>
      </c>
      <c r="G81" s="80">
        <v>45</v>
      </c>
      <c r="H81" t="s">
        <v>69</v>
      </c>
      <c r="I81" s="596">
        <v>4.8899999999999997</v>
      </c>
      <c r="J81" s="596">
        <v>1.6</v>
      </c>
      <c r="K81" s="138">
        <f t="shared" si="33"/>
        <v>4.8117599999999996</v>
      </c>
      <c r="L81" s="139">
        <v>0.59699999999999998</v>
      </c>
      <c r="M81" s="139">
        <v>0.58799999999999997</v>
      </c>
      <c r="N81" s="159">
        <v>0.58799999999999997</v>
      </c>
      <c r="O81" s="645">
        <f t="shared" si="34"/>
        <v>0.58799999999999997</v>
      </c>
      <c r="P81" s="727">
        <v>90</v>
      </c>
      <c r="Q81" s="596">
        <v>89.92</v>
      </c>
      <c r="R81" s="706">
        <v>2874.65</v>
      </c>
      <c r="S81" s="842">
        <v>120</v>
      </c>
      <c r="U81" s="1024">
        <v>80</v>
      </c>
      <c r="V81" s="715">
        <v>1.1023000000000001</v>
      </c>
      <c r="Z81" s="160">
        <v>10</v>
      </c>
      <c r="AA81" s="144">
        <f t="shared" si="44"/>
        <v>10</v>
      </c>
      <c r="AB81" s="145">
        <f t="shared" si="42"/>
        <v>1486.9241941939999</v>
      </c>
      <c r="AC81" s="145">
        <f>+(S81-T81)*V81-'data 1'!$F$4</f>
        <v>52.27600000000001</v>
      </c>
      <c r="AD81" s="145">
        <f t="shared" si="35"/>
        <v>-1.4712671911319686</v>
      </c>
      <c r="AE81" s="145">
        <f t="shared" si="45"/>
        <v>-58.977000000000004</v>
      </c>
      <c r="AF81" s="145">
        <f t="shared" si="36"/>
        <v>24.930215922096025</v>
      </c>
      <c r="AG81" s="772">
        <f t="shared" si="48"/>
        <v>86.75794873096406</v>
      </c>
      <c r="AH81" s="146">
        <f t="shared" si="37"/>
        <v>88.561233362218829</v>
      </c>
      <c r="AI81" s="156">
        <f t="shared" si="38"/>
        <v>62.339738575631948</v>
      </c>
      <c r="AJ81" s="156">
        <f t="shared" si="39"/>
        <v>87.303742718795263</v>
      </c>
      <c r="AK81" s="88"/>
      <c r="AL81" s="716">
        <f t="shared" si="40"/>
        <v>7154.7223606549205</v>
      </c>
    </row>
    <row r="82" spans="1:38" ht="15" customHeight="1">
      <c r="A82" s="857" t="s">
        <v>1785</v>
      </c>
      <c r="B82" s="595">
        <v>45698</v>
      </c>
      <c r="C82" s="595">
        <v>45696</v>
      </c>
      <c r="D82" t="s">
        <v>119</v>
      </c>
      <c r="E82">
        <f>_xlfn.XLOOKUP(D82,RUC!$B$3:$B$89,RUC!$D$3:$D$89)</f>
        <v>10082235774</v>
      </c>
      <c r="G82" s="80">
        <v>44</v>
      </c>
      <c r="H82" t="s">
        <v>69</v>
      </c>
      <c r="I82" s="596">
        <v>3.81</v>
      </c>
      <c r="J82" s="596">
        <v>1.7</v>
      </c>
      <c r="K82" s="138">
        <f t="shared" si="33"/>
        <v>3.7452299999999998</v>
      </c>
      <c r="L82" s="139">
        <v>0.23100000000000001</v>
      </c>
      <c r="M82" s="139">
        <v>0.22700000000000001</v>
      </c>
      <c r="N82" s="159">
        <v>0.22700000000000001</v>
      </c>
      <c r="O82" s="645">
        <f t="shared" si="34"/>
        <v>0.22700000000000001</v>
      </c>
      <c r="P82" s="727">
        <v>90</v>
      </c>
      <c r="Q82" s="596">
        <v>90.18</v>
      </c>
      <c r="R82" s="706">
        <v>2874.65</v>
      </c>
      <c r="S82" s="842">
        <v>105</v>
      </c>
      <c r="U82" s="1024">
        <v>80</v>
      </c>
      <c r="V82" s="715">
        <v>1.1023000000000001</v>
      </c>
      <c r="Z82" s="160">
        <v>10</v>
      </c>
      <c r="AA82" s="144">
        <f t="shared" si="44"/>
        <v>10</v>
      </c>
      <c r="AB82" s="145">
        <f t="shared" si="42"/>
        <v>502.59037258850003</v>
      </c>
      <c r="AC82" s="145">
        <f>+(S82-T82)*V82-'data 1'!$F$4</f>
        <v>35.741500000000002</v>
      </c>
      <c r="AD82" s="145">
        <f t="shared" si="35"/>
        <v>1.2808896525810487</v>
      </c>
      <c r="AE82" s="145">
        <f t="shared" si="45"/>
        <v>-58.977000000000004</v>
      </c>
      <c r="AF82" s="145">
        <f t="shared" si="36"/>
        <v>11.112133609404012</v>
      </c>
      <c r="AG82" s="772">
        <f t="shared" si="48"/>
        <v>59.157523261985055</v>
      </c>
      <c r="AH82" s="146">
        <f t="shared" si="37"/>
        <v>26.749136912847675</v>
      </c>
      <c r="AI82" s="156">
        <f t="shared" si="38"/>
        <v>24.191152442918984</v>
      </c>
      <c r="AJ82" s="156">
        <f t="shared" si="39"/>
        <v>26.233481432012258</v>
      </c>
      <c r="AK82" s="88"/>
      <c r="AL82" s="716">
        <f t="shared" si="40"/>
        <v>1882.3165411296279</v>
      </c>
    </row>
    <row r="83" spans="1:38" ht="15" customHeight="1">
      <c r="A83" s="857" t="s">
        <v>1786</v>
      </c>
      <c r="B83" s="595">
        <v>45698</v>
      </c>
      <c r="C83" s="595">
        <v>45696</v>
      </c>
      <c r="D83" t="s">
        <v>1671</v>
      </c>
      <c r="E83">
        <f>_xlfn.XLOOKUP(D83,RUC!$B$3:$B$89,RUC!$D$3:$D$89)</f>
        <v>20517242919</v>
      </c>
      <c r="G83" s="80">
        <v>36</v>
      </c>
      <c r="H83" t="s">
        <v>69</v>
      </c>
      <c r="I83" s="596">
        <v>3.69</v>
      </c>
      <c r="J83" s="596">
        <v>1.8</v>
      </c>
      <c r="K83" s="138">
        <f t="shared" si="33"/>
        <v>3.62358</v>
      </c>
      <c r="L83" s="139">
        <v>0.39700000000000002</v>
      </c>
      <c r="M83" s="139">
        <v>0.39100000000000001</v>
      </c>
      <c r="N83" s="598">
        <v>0.41799999999999998</v>
      </c>
      <c r="O83" s="645">
        <f t="shared" si="34"/>
        <v>0.40500000000000003</v>
      </c>
      <c r="P83" s="727">
        <v>90</v>
      </c>
      <c r="Q83" s="596">
        <v>90.06</v>
      </c>
      <c r="R83" s="706">
        <v>2874.65</v>
      </c>
      <c r="S83" s="842">
        <v>110</v>
      </c>
      <c r="U83" s="1024">
        <v>80</v>
      </c>
      <c r="V83" s="715">
        <v>1.1023000000000001</v>
      </c>
      <c r="Z83" s="160">
        <v>10</v>
      </c>
      <c r="AA83" s="144">
        <f t="shared" si="44"/>
        <v>10</v>
      </c>
      <c r="AB83" s="145">
        <f t="shared" si="42"/>
        <v>990.58181232750007</v>
      </c>
      <c r="AC83" s="145">
        <f>+(S83-T83)*V83-'data 1'!$F$4</f>
        <v>41.253</v>
      </c>
      <c r="AD83" s="145">
        <f t="shared" si="35"/>
        <v>0.73378526994902782</v>
      </c>
      <c r="AE83" s="145">
        <f t="shared" si="45"/>
        <v>-58.977000000000004</v>
      </c>
      <c r="AF83" s="145">
        <f t="shared" si="36"/>
        <v>-22.194694008936022</v>
      </c>
      <c r="AG83" s="772">
        <f t="shared" si="48"/>
        <v>30.815091261013009</v>
      </c>
      <c r="AH83" s="146">
        <f t="shared" si="37"/>
        <v>44.419060908136935</v>
      </c>
      <c r="AI83" s="156">
        <f t="shared" si="38"/>
        <v>41.519947600550971</v>
      </c>
      <c r="AJ83" s="156">
        <f t="shared" si="39"/>
        <v>45.283966023814834</v>
      </c>
      <c r="AK83" s="88"/>
      <c r="AL83" s="716">
        <f t="shared" si="40"/>
        <v>3589.4524435136827</v>
      </c>
    </row>
    <row r="84" spans="1:38" ht="15" customHeight="1">
      <c r="A84" s="857" t="s">
        <v>1787</v>
      </c>
      <c r="B84" s="595">
        <v>45698</v>
      </c>
      <c r="C84" s="595">
        <v>45696</v>
      </c>
      <c r="D84" t="s">
        <v>1671</v>
      </c>
      <c r="E84">
        <f>_xlfn.XLOOKUP(D84,RUC!$B$3:$B$89,RUC!$D$3:$D$89)</f>
        <v>20517242919</v>
      </c>
      <c r="G84" s="80">
        <v>29</v>
      </c>
      <c r="H84" t="s">
        <v>69</v>
      </c>
      <c r="I84" s="596">
        <v>2.8</v>
      </c>
      <c r="J84" s="596">
        <v>1.6</v>
      </c>
      <c r="K84" s="138">
        <f t="shared" ref="K84:K90" si="49">+I84-(I84*(J84/100))</f>
        <v>2.7551999999999999</v>
      </c>
      <c r="L84" s="139">
        <v>0.65</v>
      </c>
      <c r="M84" s="139">
        <v>0.64</v>
      </c>
      <c r="N84" s="159">
        <v>0.64</v>
      </c>
      <c r="O84" s="645">
        <f t="shared" ref="O84:O89" si="50">+ROUND((M84+N84)/2,3)</f>
        <v>0.64</v>
      </c>
      <c r="P84" s="727">
        <v>90</v>
      </c>
      <c r="Q84" s="596">
        <v>89.9</v>
      </c>
      <c r="R84" s="706">
        <v>2874.65</v>
      </c>
      <c r="S84" s="842">
        <v>125</v>
      </c>
      <c r="U84" s="1024">
        <v>80</v>
      </c>
      <c r="V84" s="715">
        <v>1.1023000000000001</v>
      </c>
      <c r="Z84" s="160">
        <v>10</v>
      </c>
      <c r="AA84" s="144">
        <f t="shared" si="44"/>
        <v>10</v>
      </c>
      <c r="AB84" s="145">
        <f t="shared" si="42"/>
        <v>1625.5820923200001</v>
      </c>
      <c r="AC84" s="145">
        <f>+(S84-T84)*V84-'data 1'!$F$4</f>
        <v>57.787499999999994</v>
      </c>
      <c r="AD84" s="145">
        <f t="shared" ref="AD84:AD90" si="51">+(Q84-P84)*(R84-U84)*L84*V84/100</f>
        <v>-2.0023527517498865</v>
      </c>
      <c r="AE84" s="145">
        <f t="shared" si="45"/>
        <v>-58.977000000000004</v>
      </c>
      <c r="AF84" s="145">
        <f t="shared" ref="AF84:AF90" si="52">(L84-O84)*(R84-U84)*Q84*V84/100</f>
        <v>27.694078828050028</v>
      </c>
      <c r="AG84" s="772">
        <f t="shared" si="48"/>
        <v>94.502226076300133</v>
      </c>
      <c r="AH84" s="146">
        <f t="shared" ref="AH84:AH90" si="53">31.1035*L84*Q84*1.1023*K84/100</f>
        <v>55.199513160134622</v>
      </c>
      <c r="AI84" s="156">
        <f t="shared" ref="AI84:AI90" si="54">+((+$AI$2-R84+U84)*L84*Q84*V84)/100</f>
        <v>67.858990676749954</v>
      </c>
      <c r="AJ84" s="156">
        <f t="shared" ref="AJ84:AJ90" si="55">31.1035*1.1023*K84*P84*O84/100</f>
        <v>54.410746265487361</v>
      </c>
      <c r="AK84" s="88"/>
      <c r="AL84" s="716">
        <f t="shared" ref="AL84:AL90" si="56">+IF(AB84*K84&gt;0,AB84*K84,0)</f>
        <v>4478.803780760064</v>
      </c>
    </row>
    <row r="85" spans="1:38" ht="15" customHeight="1">
      <c r="A85" s="857" t="s">
        <v>1788</v>
      </c>
      <c r="B85" s="595">
        <v>45698</v>
      </c>
      <c r="C85" s="595">
        <v>45696</v>
      </c>
      <c r="D85" t="s">
        <v>1671</v>
      </c>
      <c r="E85">
        <f>_xlfn.XLOOKUP(D85,RUC!$B$3:$B$89,RUC!$D$3:$D$89)</f>
        <v>20517242919</v>
      </c>
      <c r="G85" s="80">
        <v>25</v>
      </c>
      <c r="H85" t="s">
        <v>69</v>
      </c>
      <c r="I85" s="596">
        <v>2.38</v>
      </c>
      <c r="J85" s="596">
        <v>1.3</v>
      </c>
      <c r="K85" s="138">
        <f t="shared" si="49"/>
        <v>2.3490599999999997</v>
      </c>
      <c r="L85" s="139">
        <v>0.17199999999999999</v>
      </c>
      <c r="M85" s="139">
        <v>0.16900000000000001</v>
      </c>
      <c r="N85" s="159">
        <v>0.16900000000000001</v>
      </c>
      <c r="O85" s="645">
        <f t="shared" si="50"/>
        <v>0.16900000000000001</v>
      </c>
      <c r="P85" s="727">
        <v>85</v>
      </c>
      <c r="Q85" s="596">
        <v>90.27</v>
      </c>
      <c r="R85" s="706">
        <v>2874.65</v>
      </c>
      <c r="S85" s="842">
        <v>95</v>
      </c>
      <c r="U85" s="1024">
        <v>80</v>
      </c>
      <c r="V85" s="715">
        <v>1.1023000000000001</v>
      </c>
      <c r="Z85" s="160">
        <v>10</v>
      </c>
      <c r="AA85" s="144">
        <f t="shared" si="44"/>
        <v>10</v>
      </c>
      <c r="AB85" s="145">
        <f t="shared" si="42"/>
        <v>326.77845813675003</v>
      </c>
      <c r="AC85" s="145">
        <f>+(S85-T85)*V85-'data 1'!$F$4</f>
        <v>24.718500000000006</v>
      </c>
      <c r="AD85" s="145">
        <f t="shared" si="51"/>
        <v>27.923271204557981</v>
      </c>
      <c r="AE85" s="145">
        <f t="shared" si="45"/>
        <v>-58.977000000000004</v>
      </c>
      <c r="AF85" s="145">
        <f t="shared" si="52"/>
        <v>8.3424176723294288</v>
      </c>
      <c r="AG85" s="772">
        <f t="shared" si="48"/>
        <v>72.007188876887412</v>
      </c>
      <c r="AH85" s="146">
        <f t="shared" si="53"/>
        <v>12.504751578031394</v>
      </c>
      <c r="AI85" s="156">
        <f t="shared" si="54"/>
        <v>18.030436334441983</v>
      </c>
      <c r="AJ85" s="156">
        <f t="shared" si="55"/>
        <v>11.569345994215093</v>
      </c>
      <c r="AK85" s="88"/>
      <c r="AL85" s="716">
        <f t="shared" si="56"/>
        <v>767.62220487071397</v>
      </c>
    </row>
    <row r="86" spans="1:38" ht="15" customHeight="1">
      <c r="A86" s="857" t="s">
        <v>1789</v>
      </c>
      <c r="B86" s="595">
        <v>45698</v>
      </c>
      <c r="C86" s="595">
        <v>45696</v>
      </c>
      <c r="D86" t="s">
        <v>1671</v>
      </c>
      <c r="E86">
        <f>_xlfn.XLOOKUP(D86,RUC!$B$3:$B$89,RUC!$D$3:$D$89)</f>
        <v>20517242919</v>
      </c>
      <c r="G86" s="80">
        <v>26</v>
      </c>
      <c r="H86" t="s">
        <v>69</v>
      </c>
      <c r="I86" s="596">
        <v>2.2200000000000002</v>
      </c>
      <c r="J86" s="596">
        <v>1.3</v>
      </c>
      <c r="K86" s="138">
        <f t="shared" si="49"/>
        <v>2.1911400000000003</v>
      </c>
      <c r="L86" s="139">
        <v>0.28299999999999997</v>
      </c>
      <c r="M86" s="139">
        <v>0.27900000000000003</v>
      </c>
      <c r="N86" s="159">
        <v>0.27900000000000003</v>
      </c>
      <c r="O86" s="645">
        <f t="shared" si="50"/>
        <v>0.27900000000000003</v>
      </c>
      <c r="P86" s="727">
        <v>90</v>
      </c>
      <c r="Q86" s="596">
        <v>90.16</v>
      </c>
      <c r="R86" s="706">
        <v>2874.65</v>
      </c>
      <c r="S86" s="842">
        <v>105</v>
      </c>
      <c r="U86" s="1024">
        <v>80</v>
      </c>
      <c r="V86" s="715">
        <v>1.1023000000000001</v>
      </c>
      <c r="Z86" s="160">
        <v>10</v>
      </c>
      <c r="AA86" s="144">
        <f t="shared" si="44"/>
        <v>10</v>
      </c>
      <c r="AB86" s="145">
        <f t="shared" si="42"/>
        <v>646.75977071450018</v>
      </c>
      <c r="AC86" s="145">
        <f>+(S86-T86)*V86-'data 1'!$F$4</f>
        <v>35.741500000000002</v>
      </c>
      <c r="AD86" s="145">
        <f t="shared" si="51"/>
        <v>1.3948697322959702</v>
      </c>
      <c r="AE86" s="145">
        <f t="shared" si="45"/>
        <v>-58.977000000000004</v>
      </c>
      <c r="AF86" s="145">
        <f t="shared" si="52"/>
        <v>11.109669175247857</v>
      </c>
      <c r="AG86" s="772">
        <f t="shared" si="48"/>
        <v>59.26903890754383</v>
      </c>
      <c r="AH86" s="146">
        <f t="shared" si="53"/>
        <v>19.1681206790429</v>
      </c>
      <c r="AI86" s="156">
        <f t="shared" si="54"/>
        <v>29.630207027203973</v>
      </c>
      <c r="AJ86" s="156">
        <f t="shared" si="55"/>
        <v>18.863657786658319</v>
      </c>
      <c r="AK86" s="88"/>
      <c r="AL86" s="716">
        <f t="shared" si="56"/>
        <v>1417.1412040033701</v>
      </c>
    </row>
    <row r="87" spans="1:38" ht="15" customHeight="1">
      <c r="A87" s="857" t="s">
        <v>1795</v>
      </c>
      <c r="B87" s="595">
        <v>45728</v>
      </c>
      <c r="C87" s="595">
        <v>45697</v>
      </c>
      <c r="D87" t="s">
        <v>1799</v>
      </c>
      <c r="E87">
        <f>_xlfn.XLOOKUP(D87,RUC!$B$3:$B$89,RUC!$D$3:$D$89)</f>
        <v>20604990000</v>
      </c>
      <c r="G87" s="80">
        <v>80</v>
      </c>
      <c r="H87" t="s">
        <v>69</v>
      </c>
      <c r="I87" s="596">
        <v>7.88</v>
      </c>
      <c r="J87" s="596">
        <v>1.3</v>
      </c>
      <c r="K87" s="138">
        <f t="shared" si="49"/>
        <v>7.7775600000000003</v>
      </c>
      <c r="L87" s="139">
        <v>0.36599999999999999</v>
      </c>
      <c r="M87" s="139">
        <v>0.34799999999999998</v>
      </c>
      <c r="N87" s="159">
        <v>0.34799999999999998</v>
      </c>
      <c r="O87" s="645">
        <f t="shared" si="50"/>
        <v>0.34799999999999998</v>
      </c>
      <c r="P87" s="727">
        <v>90</v>
      </c>
      <c r="Q87" s="596">
        <v>89.55</v>
      </c>
      <c r="R87" s="706">
        <v>2904.45</v>
      </c>
      <c r="S87" s="765">
        <f t="shared" si="41"/>
        <v>120</v>
      </c>
      <c r="U87" s="1050">
        <v>100</v>
      </c>
      <c r="V87" s="715">
        <v>1.1023000000000001</v>
      </c>
      <c r="Z87" s="143">
        <f t="shared" ref="Z87:Z89" si="57">IF(IF(D87="UNTUCA",IF(+((W87-3)*1.5+(X87-3)*3.1)&gt;0,+((W87-3)*1.5+(X87-3)*3.1),0),IF(+((W87-3)*1.5+(X87-3)*3.1)&gt;0,+((W87-3)*1.5+(X87-3)*3.1),0))&lt;30,30,IF(D87="UNTUCA",IF(+((W87-3)*1.5+(X87-3)*3.1)&gt;0,+((W87-3)*1.5+(X87-3)*3.1),0),IF(+((W87-3)*1.5+(X87-3)*3.1)&gt;0,+((W87-3)*1.5+(X87-3)*3.1),0)))</f>
        <v>30</v>
      </c>
      <c r="AA87" s="144">
        <f t="shared" si="44"/>
        <v>30</v>
      </c>
      <c r="AB87" s="145">
        <f t="shared" ref="AB87:AB90" si="58">+((O87*P87*(R87-U87)/100)-S87-AA87+T87)*V87</f>
        <v>802.86432760199978</v>
      </c>
      <c r="AC87" s="145">
        <f>+(S87-T87)*V87-'data 1'!$F$4</f>
        <v>52.27600000000001</v>
      </c>
      <c r="AD87" s="145">
        <f t="shared" si="51"/>
        <v>-5.0914456020450318</v>
      </c>
      <c r="AE87" s="145">
        <f t="shared" si="45"/>
        <v>-36.930999999999997</v>
      </c>
      <c r="AF87" s="145">
        <f t="shared" si="52"/>
        <v>49.82939384296504</v>
      </c>
      <c r="AG87" s="772">
        <f>+IF(D87="RONALD WILLIAN GARIBAY ESCUDERO",AC87+AD87+AE87+AF87+70,AC87+AD87+AE87+AF87)+70</f>
        <v>130.08294824092002</v>
      </c>
      <c r="AH87" s="146">
        <f t="shared" si="53"/>
        <v>87.397521164065324</v>
      </c>
      <c r="AI87" s="156">
        <f t="shared" si="54"/>
        <v>34.520507703045062</v>
      </c>
      <c r="AJ87" s="156">
        <f t="shared" si="55"/>
        <v>83.516866752051882</v>
      </c>
      <c r="AK87" s="88"/>
      <c r="AL87" s="716">
        <f t="shared" si="56"/>
        <v>6244.3254797842092</v>
      </c>
    </row>
    <row r="88" spans="1:38" ht="15" customHeight="1">
      <c r="A88" s="857" t="s">
        <v>1796</v>
      </c>
      <c r="B88" s="595">
        <v>45728</v>
      </c>
      <c r="C88" s="595">
        <v>45697</v>
      </c>
      <c r="D88" t="s">
        <v>1799</v>
      </c>
      <c r="E88">
        <f>_xlfn.XLOOKUP(D88,RUC!$B$3:$B$89,RUC!$D$3:$D$89)</f>
        <v>20604990000</v>
      </c>
      <c r="G88" s="80">
        <v>90</v>
      </c>
      <c r="H88" t="s">
        <v>69</v>
      </c>
      <c r="I88" s="596">
        <v>9.2899999999999991</v>
      </c>
      <c r="J88" s="596">
        <v>1.4</v>
      </c>
      <c r="K88" s="138">
        <f t="shared" si="49"/>
        <v>9.1599399999999989</v>
      </c>
      <c r="L88" s="139">
        <v>0.42599999999999999</v>
      </c>
      <c r="M88" s="139">
        <v>0.40400000000000003</v>
      </c>
      <c r="N88" s="159">
        <v>0.40400000000000003</v>
      </c>
      <c r="O88" s="645">
        <f t="shared" si="50"/>
        <v>0.40400000000000003</v>
      </c>
      <c r="P88" s="727">
        <v>90</v>
      </c>
      <c r="Q88" s="596">
        <v>89.48</v>
      </c>
      <c r="R88" s="706">
        <v>2904.45</v>
      </c>
      <c r="S88" s="765">
        <f t="shared" ref="S88:S89" si="59">IF((90+ROUNDDOWN(O88,1)*100)&lt;95,95,(90+ROUNDDOWN(O88,1)*100))</f>
        <v>130</v>
      </c>
      <c r="U88" s="1050">
        <v>100</v>
      </c>
      <c r="V88" s="715">
        <v>1.1023000000000001</v>
      </c>
      <c r="Z88" s="143">
        <f t="shared" si="57"/>
        <v>30</v>
      </c>
      <c r="AA88" s="144">
        <f t="shared" si="44"/>
        <v>30</v>
      </c>
      <c r="AB88" s="145">
        <f t="shared" si="58"/>
        <v>947.64512744599995</v>
      </c>
      <c r="AC88" s="145">
        <f>+(S88-T88)*V88-'data 1'!$F$4</f>
        <v>63.299000000000007</v>
      </c>
      <c r="AD88" s="145">
        <f t="shared" si="51"/>
        <v>-6.8479479645719472</v>
      </c>
      <c r="AE88" s="145">
        <f t="shared" si="45"/>
        <v>-36.930999999999997</v>
      </c>
      <c r="AF88" s="145">
        <f t="shared" si="52"/>
        <v>60.854985758115909</v>
      </c>
      <c r="AG88" s="772">
        <f t="shared" ref="AG88:AG89" si="60">+IF(D88="RONALD WILLIAN GARIBAY ESCUDERO",AC88+AD88+AE88+AF88+70,AC88+AD88+AE88+AF88)+70</f>
        <v>150.37503779354398</v>
      </c>
      <c r="AH88" s="146">
        <f t="shared" si="53"/>
        <v>119.71188594260938</v>
      </c>
      <c r="AI88" s="156">
        <f t="shared" si="54"/>
        <v>40.148199481572078</v>
      </c>
      <c r="AJ88" s="156">
        <f t="shared" si="55"/>
        <v>114.18934261999109</v>
      </c>
      <c r="AK88" s="88"/>
      <c r="AL88" s="716">
        <f t="shared" si="56"/>
        <v>8680.372508697712</v>
      </c>
    </row>
    <row r="89" spans="1:38" ht="15" customHeight="1">
      <c r="A89" s="857" t="s">
        <v>1797</v>
      </c>
      <c r="B89" s="595">
        <v>45728</v>
      </c>
      <c r="C89" s="595">
        <v>45697</v>
      </c>
      <c r="D89" t="s">
        <v>1799</v>
      </c>
      <c r="E89">
        <f>_xlfn.XLOOKUP(D89,RUC!$B$3:$B$89,RUC!$D$3:$D$89)</f>
        <v>20604990000</v>
      </c>
      <c r="G89" s="80" t="s">
        <v>1434</v>
      </c>
      <c r="H89" t="s">
        <v>69</v>
      </c>
      <c r="I89" s="596">
        <v>10.39</v>
      </c>
      <c r="J89" s="596">
        <v>1.3</v>
      </c>
      <c r="K89" s="138">
        <f t="shared" si="49"/>
        <v>10.25493</v>
      </c>
      <c r="L89" s="139">
        <v>0.376</v>
      </c>
      <c r="M89" s="139">
        <v>0.35699999999999998</v>
      </c>
      <c r="N89" s="159">
        <v>0.35699999999999998</v>
      </c>
      <c r="O89" s="645">
        <f t="shared" si="50"/>
        <v>0.35699999999999998</v>
      </c>
      <c r="P89" s="727">
        <v>90</v>
      </c>
      <c r="Q89" s="596">
        <v>89.27</v>
      </c>
      <c r="R89" s="706">
        <v>2904.45</v>
      </c>
      <c r="S89" s="765">
        <f t="shared" si="59"/>
        <v>120</v>
      </c>
      <c r="U89" s="1050">
        <v>100</v>
      </c>
      <c r="V89" s="715">
        <v>1.1023000000000001</v>
      </c>
      <c r="Z89" s="143">
        <f t="shared" si="57"/>
        <v>30</v>
      </c>
      <c r="AA89" s="144">
        <f t="shared" si="44"/>
        <v>30</v>
      </c>
      <c r="AB89" s="145">
        <f t="shared" si="58"/>
        <v>827.90422400549983</v>
      </c>
      <c r="AC89" s="145">
        <f>+(S89-T89)*V89-'data 1'!$F$4</f>
        <v>52.27600000000001</v>
      </c>
      <c r="AD89" s="145">
        <f t="shared" si="51"/>
        <v>-8.4851244010280453</v>
      </c>
      <c r="AE89" s="145">
        <f t="shared" si="45"/>
        <v>-36.930999999999997</v>
      </c>
      <c r="AF89" s="145">
        <f t="shared" si="52"/>
        <v>52.433233934405543</v>
      </c>
      <c r="AG89" s="772">
        <f t="shared" si="60"/>
        <v>129.2931095333775</v>
      </c>
      <c r="AH89" s="146">
        <f t="shared" si="53"/>
        <v>118.01443980485391</v>
      </c>
      <c r="AI89" s="156">
        <f t="shared" si="54"/>
        <v>35.352805061028072</v>
      </c>
      <c r="AJ89" s="156">
        <f t="shared" si="55"/>
        <v>112.96723396300595</v>
      </c>
      <c r="AK89" s="88"/>
      <c r="AL89" s="716">
        <f t="shared" si="56"/>
        <v>8490.0998638807196</v>
      </c>
    </row>
    <row r="90" spans="1:38" ht="15" customHeight="1">
      <c r="A90" s="857" t="s">
        <v>1805</v>
      </c>
      <c r="B90" s="595">
        <v>45701</v>
      </c>
      <c r="C90" s="595">
        <v>45699</v>
      </c>
      <c r="D90" t="s">
        <v>154</v>
      </c>
      <c r="E90">
        <f>_xlfn.XLOOKUP(D90,RUC!$B$3:$B$89,RUC!$D$3:$D$89)</f>
        <v>10416085884</v>
      </c>
      <c r="G90" s="80" t="s">
        <v>1434</v>
      </c>
      <c r="H90" t="s">
        <v>69</v>
      </c>
      <c r="I90">
        <v>30.34</v>
      </c>
      <c r="J90" s="596">
        <v>6</v>
      </c>
      <c r="K90" s="138">
        <f t="shared" si="49"/>
        <v>28.519600000000001</v>
      </c>
      <c r="L90" s="139">
        <v>0.253</v>
      </c>
      <c r="M90" s="139">
        <v>0.24</v>
      </c>
      <c r="N90" s="159">
        <v>0.247</v>
      </c>
      <c r="O90" s="647">
        <v>0.24299999999999999</v>
      </c>
      <c r="P90" s="727">
        <v>90</v>
      </c>
      <c r="Q90" s="596">
        <v>90.09</v>
      </c>
      <c r="R90" s="706">
        <v>2904.45</v>
      </c>
      <c r="S90" s="842">
        <v>85</v>
      </c>
      <c r="U90" s="1050">
        <v>90</v>
      </c>
      <c r="V90" s="715">
        <v>1.1023000000000001</v>
      </c>
      <c r="Z90" s="143">
        <v>15</v>
      </c>
      <c r="AA90" s="144">
        <f t="shared" ref="AA90" si="61">+Y90+Z90</f>
        <v>15</v>
      </c>
      <c r="AB90" s="145">
        <f t="shared" si="58"/>
        <v>568.25793299450004</v>
      </c>
      <c r="AC90" s="145">
        <f>+(S90-T90)*V90-'data 1'!$F$4</f>
        <v>13.69550000000001</v>
      </c>
      <c r="AD90" s="145">
        <f t="shared" si="51"/>
        <v>0.70640924710952679</v>
      </c>
      <c r="AE90" s="145">
        <f t="shared" ref="AE90" si="62">+(Y90*V90-70)+V90*(Z90-IF(D90="UNTUCA",IF(+((W90-3)*2.5+(X90-3)*3.1)&gt;0,+((W90-3)*1.5+(X90-3)*3.1),0),IF(+((W90-3)*1.5+(X90-3)*3.1)&gt;0,+((W90-3)*1.5+(X90-3)*3.1),0)))</f>
        <v>-53.465499999999999</v>
      </c>
      <c r="AF90" s="145">
        <f t="shared" si="52"/>
        <v>27.949235429115024</v>
      </c>
      <c r="AG90" s="772">
        <f>+IF(D90="RONALD WILLIAN GARIBAY ESCUDERO",AC90+AD90+AE90+AF90+70,AC90+AD90+AE90+AF90)+70-10</f>
        <v>48.885644676224558</v>
      </c>
      <c r="AH90" s="146">
        <f t="shared" si="53"/>
        <v>222.86897074953376</v>
      </c>
      <c r="AI90" s="156">
        <f t="shared" si="54"/>
        <v>21.493984402390549</v>
      </c>
      <c r="AJ90" s="156">
        <f t="shared" si="55"/>
        <v>213.84607444783157</v>
      </c>
      <c r="AK90" s="88"/>
      <c r="AL90" s="716">
        <f t="shared" si="56"/>
        <v>16206.488945829944</v>
      </c>
    </row>
    <row r="91" spans="1:38" ht="15" customHeight="1">
      <c r="B91" s="595"/>
      <c r="C91" s="595"/>
      <c r="N91" s="159"/>
      <c r="R91" s="706"/>
    </row>
    <row r="92" spans="1:38" ht="15" customHeight="1">
      <c r="B92" s="595"/>
      <c r="C92" s="595"/>
      <c r="N92" s="159"/>
      <c r="R92" s="706"/>
    </row>
    <row r="93" spans="1:38" ht="15" customHeight="1">
      <c r="B93" s="595"/>
      <c r="C93" s="595"/>
      <c r="N93" s="159"/>
      <c r="R93" s="706"/>
    </row>
    <row r="94" spans="1:38" ht="15" customHeight="1">
      <c r="B94" s="595"/>
      <c r="C94" s="595"/>
      <c r="N94" s="159"/>
      <c r="R94" s="706"/>
    </row>
    <row r="95" spans="1:38" ht="15" customHeight="1">
      <c r="B95" s="595"/>
      <c r="C95" s="595"/>
      <c r="N95" s="159"/>
      <c r="R95" s="706"/>
    </row>
    <row r="96" spans="1:38" ht="15" customHeight="1">
      <c r="B96" s="595"/>
      <c r="C96" s="595"/>
      <c r="N96" s="159"/>
      <c r="R96" s="706"/>
    </row>
    <row r="97" spans="2:18" ht="15" customHeight="1">
      <c r="B97" s="595"/>
      <c r="C97" s="595"/>
      <c r="N97" s="159"/>
      <c r="R97" s="706"/>
    </row>
    <row r="98" spans="2:18" ht="15" customHeight="1">
      <c r="B98" s="595"/>
      <c r="C98" s="595"/>
      <c r="N98" s="159"/>
      <c r="R98" s="706"/>
    </row>
    <row r="99" spans="2:18" ht="15" customHeight="1">
      <c r="B99" s="595"/>
      <c r="C99" s="595"/>
      <c r="N99" s="159"/>
      <c r="R99" s="706"/>
    </row>
    <row r="100" spans="2:18" ht="15" customHeight="1">
      <c r="B100" s="595"/>
      <c r="C100" s="595"/>
      <c r="N100" s="159"/>
      <c r="R100" s="706"/>
    </row>
    <row r="101" spans="2:18" ht="15" customHeight="1">
      <c r="B101" s="595"/>
      <c r="C101" s="595"/>
      <c r="N101" s="159"/>
      <c r="R101" s="706"/>
    </row>
    <row r="102" spans="2:18" ht="15" customHeight="1">
      <c r="B102" s="595"/>
      <c r="C102" s="595"/>
      <c r="N102" s="159"/>
      <c r="R102" s="706"/>
    </row>
    <row r="103" spans="2:18" ht="15" customHeight="1">
      <c r="B103" s="595"/>
      <c r="C103" s="595"/>
      <c r="N103" s="159"/>
      <c r="R103" s="706"/>
    </row>
    <row r="104" spans="2:18" ht="15" customHeight="1">
      <c r="B104" s="595"/>
      <c r="C104" s="595"/>
      <c r="N104" s="159"/>
      <c r="R104" s="706"/>
    </row>
    <row r="105" spans="2:18" ht="15" customHeight="1">
      <c r="B105" s="595"/>
      <c r="C105" s="595"/>
      <c r="N105" s="159"/>
      <c r="R105" s="706"/>
    </row>
    <row r="106" spans="2:18" ht="15" customHeight="1">
      <c r="B106" s="595"/>
      <c r="C106" s="595"/>
      <c r="N106" s="159"/>
      <c r="R106" s="706"/>
    </row>
    <row r="107" spans="2:18" ht="15" customHeight="1">
      <c r="B107" s="595"/>
      <c r="C107" s="595"/>
      <c r="N107" s="159"/>
      <c r="R107" s="706"/>
    </row>
    <row r="108" spans="2:18" ht="15" customHeight="1">
      <c r="B108" s="595"/>
      <c r="C108" s="595"/>
      <c r="N108" s="159"/>
      <c r="R108" s="706"/>
    </row>
    <row r="109" spans="2:18" ht="15" customHeight="1">
      <c r="B109" s="595"/>
      <c r="C109" s="595"/>
      <c r="N109" s="159"/>
      <c r="R109" s="706"/>
    </row>
    <row r="110" spans="2:18" ht="15" customHeight="1">
      <c r="B110" s="595"/>
      <c r="C110" s="595"/>
      <c r="N110" s="159"/>
      <c r="R110" s="706"/>
    </row>
    <row r="111" spans="2:18" ht="15" customHeight="1">
      <c r="B111" s="595"/>
      <c r="C111" s="595"/>
      <c r="N111" s="159"/>
      <c r="R111" s="706"/>
    </row>
    <row r="112" spans="2:18" ht="15" customHeight="1">
      <c r="B112" s="595"/>
      <c r="C112" s="595"/>
      <c r="N112" s="159"/>
      <c r="R112" s="706"/>
    </row>
    <row r="113" spans="2:18" ht="15" customHeight="1">
      <c r="B113" s="595"/>
      <c r="C113" s="595"/>
      <c r="N113" s="159"/>
      <c r="R113" s="706"/>
    </row>
    <row r="114" spans="2:18" ht="15" customHeight="1">
      <c r="B114" s="595"/>
      <c r="C114" s="595"/>
      <c r="N114" s="159"/>
      <c r="R114" s="706"/>
    </row>
    <row r="115" spans="2:18" ht="15" customHeight="1">
      <c r="B115" s="595"/>
      <c r="C115" s="595"/>
      <c r="N115" s="159"/>
      <c r="R115" s="706"/>
    </row>
    <row r="116" spans="2:18" ht="15" customHeight="1">
      <c r="B116" s="595"/>
      <c r="C116" s="595"/>
      <c r="N116" s="159"/>
      <c r="R116" s="706"/>
    </row>
    <row r="117" spans="2:18" ht="15" customHeight="1">
      <c r="B117" s="595"/>
      <c r="C117" s="595"/>
      <c r="N117" s="159"/>
      <c r="R117" s="706"/>
    </row>
    <row r="118" spans="2:18" ht="15" customHeight="1">
      <c r="B118" s="595"/>
      <c r="C118" s="595"/>
      <c r="N118" s="159"/>
      <c r="R118" s="706"/>
    </row>
    <row r="119" spans="2:18" ht="15" customHeight="1">
      <c r="B119" s="595"/>
      <c r="C119" s="595"/>
      <c r="N119" s="159"/>
      <c r="R119" s="706"/>
    </row>
    <row r="120" spans="2:18" ht="15" customHeight="1">
      <c r="B120" s="595"/>
      <c r="C120" s="595"/>
      <c r="N120" s="159"/>
      <c r="R120" s="706"/>
    </row>
    <row r="121" spans="2:18" ht="15" customHeight="1">
      <c r="B121" s="595"/>
      <c r="C121" s="595"/>
      <c r="N121" s="159"/>
      <c r="R121" s="706"/>
    </row>
    <row r="122" spans="2:18" ht="15" customHeight="1">
      <c r="B122" s="595"/>
      <c r="C122" s="595"/>
      <c r="N122" s="159"/>
      <c r="R122" s="706"/>
    </row>
    <row r="123" spans="2:18" ht="15" customHeight="1">
      <c r="B123" s="595"/>
      <c r="C123" s="595"/>
      <c r="N123" s="159"/>
      <c r="R123" s="706"/>
    </row>
    <row r="124" spans="2:18" ht="15" customHeight="1">
      <c r="B124" s="595"/>
      <c r="C124" s="595"/>
      <c r="N124" s="159"/>
      <c r="R124" s="706"/>
    </row>
    <row r="125" spans="2:18" ht="15" customHeight="1">
      <c r="B125" s="595"/>
      <c r="C125" s="595"/>
      <c r="N125" s="159"/>
      <c r="R125" s="706"/>
    </row>
    <row r="126" spans="2:18" ht="15" customHeight="1">
      <c r="B126" s="595"/>
      <c r="C126" s="595"/>
      <c r="N126" s="159"/>
      <c r="R126" s="706"/>
    </row>
    <row r="127" spans="2:18" ht="15" customHeight="1">
      <c r="B127" s="595"/>
      <c r="C127" s="595"/>
      <c r="N127" s="159"/>
      <c r="R127" s="706"/>
    </row>
    <row r="128" spans="2:18" ht="15" customHeight="1">
      <c r="B128" s="595"/>
      <c r="C128" s="595"/>
      <c r="N128" s="159"/>
      <c r="R128" s="706"/>
    </row>
    <row r="129" spans="2:18" ht="15" customHeight="1">
      <c r="B129" s="595"/>
      <c r="C129" s="595"/>
      <c r="N129" s="159"/>
      <c r="R129" s="706"/>
    </row>
    <row r="130" spans="2:18" ht="15" customHeight="1">
      <c r="B130" s="595"/>
      <c r="C130" s="595"/>
      <c r="N130" s="159"/>
      <c r="R130" s="706"/>
    </row>
    <row r="131" spans="2:18" ht="15" customHeight="1">
      <c r="B131" s="595"/>
      <c r="C131" s="595"/>
      <c r="N131" s="159"/>
      <c r="R131" s="706"/>
    </row>
    <row r="132" spans="2:18" ht="15" customHeight="1">
      <c r="B132" s="595"/>
      <c r="C132" s="595"/>
      <c r="N132" s="159"/>
      <c r="R132" s="706"/>
    </row>
    <row r="133" spans="2:18" ht="15" customHeight="1">
      <c r="B133" s="595"/>
      <c r="C133" s="595"/>
      <c r="N133" s="159"/>
      <c r="R133" s="706"/>
    </row>
    <row r="134" spans="2:18" ht="15" customHeight="1">
      <c r="B134" s="595"/>
      <c r="C134" s="595"/>
      <c r="N134" s="159"/>
      <c r="R134" s="706"/>
    </row>
    <row r="135" spans="2:18" ht="15" customHeight="1">
      <c r="B135" s="595"/>
      <c r="C135" s="595"/>
      <c r="N135" s="159"/>
      <c r="R135" s="706"/>
    </row>
    <row r="136" spans="2:18" ht="15" customHeight="1">
      <c r="B136" s="595"/>
      <c r="C136" s="595"/>
      <c r="N136" s="159"/>
      <c r="R136" s="706"/>
    </row>
    <row r="137" spans="2:18" ht="15" customHeight="1">
      <c r="B137" s="595"/>
      <c r="C137" s="595"/>
      <c r="N137" s="159"/>
      <c r="R137" s="706"/>
    </row>
    <row r="138" spans="2:18" ht="15" customHeight="1">
      <c r="B138" s="595"/>
      <c r="C138" s="595"/>
      <c r="N138" s="159"/>
      <c r="R138" s="706"/>
    </row>
    <row r="139" spans="2:18" ht="15" customHeight="1">
      <c r="B139" s="595"/>
      <c r="C139" s="595"/>
      <c r="N139" s="159"/>
      <c r="R139" s="706"/>
    </row>
    <row r="140" spans="2:18" ht="15" customHeight="1">
      <c r="B140" s="595"/>
      <c r="C140" s="595"/>
      <c r="N140" s="159"/>
      <c r="R140" s="706"/>
    </row>
    <row r="141" spans="2:18" ht="15" customHeight="1">
      <c r="B141" s="595"/>
      <c r="C141" s="595"/>
      <c r="N141" s="159"/>
      <c r="R141" s="706"/>
    </row>
    <row r="142" spans="2:18" ht="15" customHeight="1">
      <c r="B142" s="595"/>
      <c r="C142" s="595"/>
      <c r="N142" s="159"/>
      <c r="R142" s="706"/>
    </row>
    <row r="143" spans="2:18" ht="15" customHeight="1">
      <c r="B143" s="595"/>
      <c r="C143" s="595"/>
      <c r="N143" s="159"/>
      <c r="R143" s="706"/>
    </row>
    <row r="144" spans="2:18" ht="15" customHeight="1">
      <c r="B144" s="595"/>
      <c r="C144" s="595"/>
      <c r="N144" s="159"/>
      <c r="R144" s="706"/>
    </row>
    <row r="145" spans="2:18" ht="15" customHeight="1">
      <c r="B145" s="595"/>
      <c r="C145" s="595"/>
      <c r="N145" s="159"/>
      <c r="R145" s="706"/>
    </row>
    <row r="146" spans="2:18" ht="15" customHeight="1">
      <c r="B146" s="595"/>
      <c r="C146" s="595"/>
      <c r="N146" s="159"/>
      <c r="R146" s="706"/>
    </row>
    <row r="147" spans="2:18" ht="15" customHeight="1">
      <c r="B147" s="595"/>
      <c r="C147" s="595"/>
      <c r="N147" s="159"/>
      <c r="R147" s="706"/>
    </row>
    <row r="148" spans="2:18" ht="15" customHeight="1">
      <c r="B148" s="595"/>
      <c r="C148" s="595"/>
      <c r="N148" s="159"/>
      <c r="R148" s="706"/>
    </row>
    <row r="149" spans="2:18" ht="15" customHeight="1">
      <c r="B149" s="595"/>
      <c r="C149" s="595"/>
      <c r="N149" s="159"/>
      <c r="R149" s="706"/>
    </row>
    <row r="150" spans="2:18" ht="15" customHeight="1">
      <c r="B150" s="595"/>
      <c r="C150" s="595"/>
      <c r="N150" s="159"/>
      <c r="R150" s="706"/>
    </row>
    <row r="151" spans="2:18" ht="15" customHeight="1">
      <c r="B151" s="595"/>
      <c r="C151" s="595"/>
      <c r="N151" s="159"/>
      <c r="R151" s="706"/>
    </row>
    <row r="152" spans="2:18" ht="15" customHeight="1">
      <c r="B152" s="595"/>
      <c r="C152" s="595"/>
      <c r="N152" s="159"/>
      <c r="R152" s="706"/>
    </row>
    <row r="153" spans="2:18" ht="15" customHeight="1">
      <c r="B153" s="595"/>
      <c r="C153" s="595"/>
      <c r="N153" s="159"/>
      <c r="R153" s="706"/>
    </row>
    <row r="154" spans="2:18" ht="15" customHeight="1">
      <c r="B154" s="595"/>
      <c r="C154" s="595"/>
      <c r="N154" s="159"/>
      <c r="R154" s="706"/>
    </row>
    <row r="155" spans="2:18" ht="15" customHeight="1">
      <c r="B155" s="595"/>
      <c r="C155" s="595"/>
      <c r="N155" s="159"/>
      <c r="R155" s="706"/>
    </row>
    <row r="156" spans="2:18" ht="15" customHeight="1">
      <c r="B156" s="595"/>
      <c r="C156" s="595"/>
      <c r="N156" s="159"/>
      <c r="R156" s="706"/>
    </row>
    <row r="157" spans="2:18" ht="15" customHeight="1">
      <c r="B157" s="595"/>
      <c r="C157" s="595"/>
      <c r="N157" s="159"/>
      <c r="R157" s="706"/>
    </row>
    <row r="158" spans="2:18" ht="15" customHeight="1">
      <c r="B158" s="595"/>
      <c r="C158" s="595"/>
      <c r="N158" s="159"/>
      <c r="R158" s="706"/>
    </row>
    <row r="159" spans="2:18" ht="15" customHeight="1">
      <c r="B159" s="595"/>
      <c r="C159" s="595"/>
      <c r="N159" s="159"/>
      <c r="R159" s="706"/>
    </row>
    <row r="160" spans="2:18" ht="15" customHeight="1">
      <c r="B160" s="595"/>
      <c r="C160" s="595"/>
      <c r="N160" s="159"/>
      <c r="R160" s="706"/>
    </row>
    <row r="161" spans="2:18" ht="15" customHeight="1">
      <c r="B161" s="595"/>
      <c r="C161" s="595"/>
      <c r="N161" s="159"/>
      <c r="R161" s="706"/>
    </row>
    <row r="162" spans="2:18" ht="15" customHeight="1">
      <c r="B162" s="595"/>
      <c r="C162" s="595"/>
      <c r="N162" s="159"/>
      <c r="R162" s="706"/>
    </row>
    <row r="163" spans="2:18" ht="15" customHeight="1">
      <c r="B163" s="595"/>
      <c r="C163" s="595"/>
      <c r="N163" s="159"/>
      <c r="R163" s="706"/>
    </row>
    <row r="164" spans="2:18" ht="15" customHeight="1">
      <c r="B164" s="595"/>
      <c r="C164" s="595"/>
      <c r="N164" s="159"/>
      <c r="R164" s="706"/>
    </row>
    <row r="165" spans="2:18" ht="15" customHeight="1">
      <c r="B165" s="595"/>
      <c r="C165" s="595"/>
      <c r="N165" s="159"/>
      <c r="R165" s="706"/>
    </row>
    <row r="166" spans="2:18" ht="15" customHeight="1">
      <c r="B166" s="595"/>
      <c r="C166" s="595"/>
      <c r="N166" s="159"/>
      <c r="R166" s="706"/>
    </row>
    <row r="167" spans="2:18" ht="15" customHeight="1">
      <c r="B167" s="595"/>
      <c r="C167" s="595"/>
      <c r="N167" s="159"/>
      <c r="R167" s="706"/>
    </row>
    <row r="168" spans="2:18" ht="15" customHeight="1">
      <c r="B168" s="595"/>
      <c r="C168" s="595"/>
      <c r="N168" s="159"/>
      <c r="R168" s="706"/>
    </row>
    <row r="169" spans="2:18" ht="15" customHeight="1">
      <c r="B169" s="595"/>
      <c r="C169" s="595"/>
      <c r="N169" s="159"/>
      <c r="R169" s="706"/>
    </row>
    <row r="170" spans="2:18" ht="15" customHeight="1">
      <c r="B170" s="595"/>
      <c r="C170" s="595"/>
      <c r="N170" s="159"/>
      <c r="R170" s="706"/>
    </row>
    <row r="171" spans="2:18" ht="15" customHeight="1">
      <c r="B171" s="595"/>
      <c r="C171" s="595"/>
      <c r="N171" s="159"/>
      <c r="R171" s="706"/>
    </row>
    <row r="172" spans="2:18" ht="15" customHeight="1">
      <c r="B172" s="595"/>
      <c r="C172" s="595"/>
      <c r="N172" s="159"/>
      <c r="R172" s="706"/>
    </row>
    <row r="173" spans="2:18" ht="15" customHeight="1">
      <c r="B173" s="595"/>
      <c r="C173" s="595"/>
      <c r="N173" s="159"/>
      <c r="R173" s="706"/>
    </row>
    <row r="174" spans="2:18" ht="15" customHeight="1">
      <c r="B174" s="595"/>
      <c r="C174" s="595"/>
      <c r="N174" s="159"/>
      <c r="R174" s="706"/>
    </row>
    <row r="175" spans="2:18" ht="15" customHeight="1">
      <c r="B175" s="595"/>
      <c r="C175" s="595"/>
      <c r="N175" s="159"/>
      <c r="R175" s="706"/>
    </row>
    <row r="176" spans="2:18" ht="15" customHeight="1">
      <c r="B176" s="595"/>
      <c r="C176" s="595"/>
      <c r="N176" s="159"/>
      <c r="R176" s="706"/>
    </row>
    <row r="177" spans="2:18" ht="15" customHeight="1">
      <c r="B177" s="595"/>
      <c r="C177" s="595"/>
      <c r="N177" s="159"/>
      <c r="R177" s="706"/>
    </row>
    <row r="178" spans="2:18" ht="15" customHeight="1">
      <c r="B178" s="595"/>
      <c r="C178" s="595"/>
      <c r="N178" s="159"/>
      <c r="R178" s="706"/>
    </row>
    <row r="179" spans="2:18" ht="15" customHeight="1">
      <c r="B179" s="595"/>
      <c r="C179" s="595"/>
      <c r="N179" s="159"/>
      <c r="R179" s="706"/>
    </row>
    <row r="180" spans="2:18" ht="15" customHeight="1">
      <c r="B180" s="595"/>
      <c r="C180" s="595"/>
      <c r="N180" s="159"/>
      <c r="R180" s="706"/>
    </row>
    <row r="181" spans="2:18" ht="15" customHeight="1">
      <c r="B181" s="595"/>
      <c r="C181" s="595"/>
      <c r="N181" s="159"/>
      <c r="R181" s="706"/>
    </row>
    <row r="182" spans="2:18" ht="15" customHeight="1">
      <c r="B182" s="595"/>
      <c r="C182" s="595"/>
      <c r="N182" s="159"/>
      <c r="R182" s="706"/>
    </row>
    <row r="183" spans="2:18" ht="15" customHeight="1">
      <c r="B183" s="595"/>
      <c r="C183" s="595"/>
      <c r="N183" s="159"/>
      <c r="R183" s="706"/>
    </row>
    <row r="184" spans="2:18" ht="15" customHeight="1">
      <c r="B184" s="595"/>
      <c r="C184" s="595"/>
      <c r="N184" s="159"/>
      <c r="R184" s="706"/>
    </row>
    <row r="185" spans="2:18" ht="15" customHeight="1">
      <c r="B185" s="595"/>
      <c r="C185" s="595"/>
      <c r="N185" s="159"/>
      <c r="R185" s="706"/>
    </row>
    <row r="186" spans="2:18" ht="15" customHeight="1">
      <c r="B186" s="595"/>
      <c r="C186" s="595"/>
      <c r="N186" s="159"/>
      <c r="R186" s="706"/>
    </row>
    <row r="187" spans="2:18" ht="15" customHeight="1">
      <c r="B187" s="595"/>
      <c r="C187" s="595"/>
      <c r="N187" s="159"/>
      <c r="R187" s="706"/>
    </row>
    <row r="188" spans="2:18" ht="15" customHeight="1">
      <c r="B188" s="595"/>
      <c r="C188" s="595"/>
      <c r="N188" s="159"/>
      <c r="R188" s="706"/>
    </row>
    <row r="189" spans="2:18" ht="15" customHeight="1">
      <c r="B189" s="595"/>
      <c r="C189" s="595"/>
      <c r="N189" s="159"/>
      <c r="R189" s="706"/>
    </row>
    <row r="190" spans="2:18" ht="15" customHeight="1">
      <c r="B190" s="595"/>
      <c r="C190" s="595"/>
      <c r="N190" s="159"/>
      <c r="R190" s="706"/>
    </row>
    <row r="191" spans="2:18" ht="15" customHeight="1">
      <c r="B191" s="595"/>
      <c r="C191" s="595"/>
      <c r="N191" s="159"/>
      <c r="R191" s="706"/>
    </row>
    <row r="192" spans="2:18" ht="15" customHeight="1">
      <c r="B192" s="595"/>
      <c r="C192" s="595"/>
      <c r="N192" s="159"/>
      <c r="R192" s="706"/>
    </row>
    <row r="193" spans="2:18" ht="15" customHeight="1">
      <c r="B193" s="595"/>
      <c r="C193" s="595"/>
      <c r="N193" s="159"/>
      <c r="R193" s="706"/>
    </row>
    <row r="194" spans="2:18" ht="15" customHeight="1">
      <c r="B194" s="595"/>
      <c r="C194" s="595"/>
      <c r="N194" s="159"/>
      <c r="R194" s="706"/>
    </row>
    <row r="195" spans="2:18" ht="15" customHeight="1">
      <c r="B195" s="595"/>
      <c r="C195" s="595"/>
      <c r="N195" s="159"/>
      <c r="R195" s="706"/>
    </row>
    <row r="196" spans="2:18" ht="15" customHeight="1">
      <c r="B196" s="595"/>
      <c r="C196" s="595"/>
      <c r="N196" s="159"/>
      <c r="R196" s="706"/>
    </row>
    <row r="197" spans="2:18" ht="15" customHeight="1">
      <c r="B197" s="595"/>
      <c r="C197" s="595"/>
      <c r="N197" s="159"/>
      <c r="R197" s="706"/>
    </row>
    <row r="198" spans="2:18" ht="15" customHeight="1">
      <c r="B198" s="595"/>
      <c r="C198" s="595"/>
      <c r="N198" s="159"/>
      <c r="R198" s="706"/>
    </row>
    <row r="199" spans="2:18" ht="15" customHeight="1">
      <c r="B199" s="595"/>
      <c r="C199" s="595"/>
      <c r="N199" s="159"/>
      <c r="R199" s="706"/>
    </row>
    <row r="200" spans="2:18" ht="15" customHeight="1">
      <c r="B200" s="595"/>
      <c r="C200" s="595"/>
      <c r="N200" s="159"/>
      <c r="R200" s="706"/>
    </row>
    <row r="201" spans="2:18" ht="15" customHeight="1">
      <c r="B201" s="595"/>
      <c r="C201" s="595"/>
      <c r="N201" s="159"/>
      <c r="R201" s="706"/>
    </row>
    <row r="202" spans="2:18" ht="15" customHeight="1">
      <c r="B202" s="595"/>
      <c r="C202" s="595"/>
      <c r="N202" s="159"/>
      <c r="R202" s="706"/>
    </row>
    <row r="203" spans="2:18" ht="15" customHeight="1">
      <c r="B203" s="595"/>
      <c r="C203" s="595"/>
      <c r="N203" s="159"/>
      <c r="R203" s="706"/>
    </row>
    <row r="204" spans="2:18" ht="15" customHeight="1">
      <c r="B204" s="595"/>
      <c r="C204" s="595"/>
      <c r="N204" s="159"/>
      <c r="R204" s="706"/>
    </row>
    <row r="205" spans="2:18" ht="15" customHeight="1">
      <c r="B205" s="595"/>
      <c r="C205" s="595"/>
      <c r="N205" s="159"/>
      <c r="R205" s="706"/>
    </row>
    <row r="206" spans="2:18" ht="15" customHeight="1">
      <c r="B206" s="595"/>
      <c r="C206" s="595"/>
      <c r="N206" s="159"/>
      <c r="R206" s="706"/>
    </row>
    <row r="207" spans="2:18" ht="15" customHeight="1">
      <c r="B207" s="595"/>
      <c r="C207" s="595"/>
      <c r="N207" s="159"/>
      <c r="R207" s="706"/>
    </row>
    <row r="208" spans="2:18" ht="15" customHeight="1">
      <c r="B208" s="595"/>
      <c r="C208" s="595"/>
      <c r="N208" s="159"/>
      <c r="R208" s="706"/>
    </row>
    <row r="209" spans="2:18" ht="15" customHeight="1">
      <c r="B209" s="595"/>
      <c r="C209" s="595"/>
      <c r="N209" s="159"/>
      <c r="R209" s="706"/>
    </row>
    <row r="210" spans="2:18" ht="15" customHeight="1">
      <c r="B210" s="595"/>
      <c r="C210" s="595"/>
      <c r="N210" s="159"/>
      <c r="R210" s="706"/>
    </row>
    <row r="211" spans="2:18" ht="15" customHeight="1">
      <c r="B211" s="595"/>
      <c r="C211" s="595"/>
      <c r="N211" s="159"/>
      <c r="R211" s="706"/>
    </row>
    <row r="212" spans="2:18" ht="15" customHeight="1">
      <c r="B212" s="595"/>
      <c r="C212" s="595"/>
      <c r="N212" s="159"/>
      <c r="R212" s="706"/>
    </row>
    <row r="213" spans="2:18" ht="15" customHeight="1">
      <c r="B213" s="595"/>
      <c r="C213" s="595"/>
      <c r="N213" s="159"/>
      <c r="R213" s="706"/>
    </row>
    <row r="214" spans="2:18" ht="15" customHeight="1">
      <c r="B214" s="595"/>
      <c r="C214" s="595"/>
      <c r="N214" s="159"/>
      <c r="R214" s="706"/>
    </row>
    <row r="215" spans="2:18" ht="15" customHeight="1">
      <c r="B215" s="595"/>
      <c r="C215" s="595"/>
      <c r="N215" s="159"/>
      <c r="R215" s="706"/>
    </row>
    <row r="216" spans="2:18" ht="15" customHeight="1">
      <c r="B216" s="595"/>
      <c r="C216" s="595"/>
      <c r="N216" s="159"/>
      <c r="R216" s="706"/>
    </row>
    <row r="217" spans="2:18" ht="15" customHeight="1">
      <c r="B217" s="595"/>
      <c r="C217" s="595"/>
      <c r="N217" s="159"/>
      <c r="R217" s="706"/>
    </row>
    <row r="218" spans="2:18" ht="15" customHeight="1">
      <c r="B218" s="595"/>
      <c r="C218" s="595"/>
      <c r="N218" s="159"/>
      <c r="R218" s="706"/>
    </row>
    <row r="219" spans="2:18" ht="15" customHeight="1">
      <c r="B219" s="595"/>
      <c r="C219" s="595"/>
      <c r="N219" s="159"/>
      <c r="R219" s="706"/>
    </row>
    <row r="220" spans="2:18" ht="15" customHeight="1">
      <c r="B220" s="595"/>
      <c r="C220" s="595"/>
      <c r="N220" s="159"/>
      <c r="R220" s="706"/>
    </row>
    <row r="221" spans="2:18" ht="15" customHeight="1">
      <c r="B221" s="595"/>
      <c r="C221" s="595"/>
      <c r="N221" s="159"/>
      <c r="R221" s="706"/>
    </row>
    <row r="222" spans="2:18" ht="15" customHeight="1">
      <c r="B222" s="595"/>
      <c r="C222" s="595"/>
      <c r="N222" s="159"/>
      <c r="R222" s="706"/>
    </row>
    <row r="223" spans="2:18" ht="15" customHeight="1">
      <c r="B223" s="595"/>
      <c r="C223" s="595"/>
      <c r="N223" s="159"/>
      <c r="R223" s="706"/>
    </row>
    <row r="224" spans="2:18" ht="15" customHeight="1">
      <c r="B224" s="595"/>
      <c r="C224" s="595"/>
      <c r="N224" s="159"/>
      <c r="R224" s="706"/>
    </row>
    <row r="225" spans="2:18" ht="15" customHeight="1">
      <c r="B225" s="595"/>
      <c r="C225" s="595"/>
      <c r="N225" s="159"/>
      <c r="R225" s="706"/>
    </row>
    <row r="226" spans="2:18" ht="15" customHeight="1">
      <c r="B226" s="595"/>
      <c r="C226" s="595"/>
      <c r="N226" s="159"/>
      <c r="R226" s="706"/>
    </row>
    <row r="227" spans="2:18" ht="15" customHeight="1">
      <c r="B227" s="595"/>
      <c r="C227" s="595"/>
      <c r="N227" s="159"/>
      <c r="R227" s="706"/>
    </row>
    <row r="228" spans="2:18" ht="15" customHeight="1">
      <c r="B228" s="595"/>
      <c r="C228" s="595"/>
      <c r="N228" s="159"/>
      <c r="R228" s="706"/>
    </row>
    <row r="229" spans="2:18" ht="15" customHeight="1">
      <c r="B229" s="595"/>
      <c r="C229" s="595"/>
      <c r="N229" s="159"/>
      <c r="R229" s="706"/>
    </row>
    <row r="230" spans="2:18" ht="15" customHeight="1">
      <c r="B230" s="595"/>
      <c r="C230" s="595"/>
      <c r="N230" s="159"/>
      <c r="R230" s="706"/>
    </row>
    <row r="231" spans="2:18" ht="15" customHeight="1">
      <c r="B231" s="595"/>
      <c r="C231" s="595"/>
      <c r="N231" s="159"/>
      <c r="R231" s="706"/>
    </row>
    <row r="232" spans="2:18" ht="15" customHeight="1">
      <c r="B232" s="595"/>
      <c r="C232" s="595"/>
      <c r="N232" s="159"/>
      <c r="R232" s="706"/>
    </row>
    <row r="233" spans="2:18" ht="15" customHeight="1">
      <c r="B233" s="595"/>
      <c r="C233" s="595"/>
      <c r="N233" s="159"/>
      <c r="R233" s="706"/>
    </row>
    <row r="234" spans="2:18" ht="15" customHeight="1">
      <c r="B234" s="595"/>
      <c r="C234" s="595"/>
      <c r="N234" s="159"/>
      <c r="R234" s="706"/>
    </row>
    <row r="235" spans="2:18" ht="15" customHeight="1">
      <c r="B235" s="595"/>
      <c r="C235" s="595"/>
      <c r="N235" s="159"/>
      <c r="R235" s="706"/>
    </row>
    <row r="236" spans="2:18" ht="15" customHeight="1">
      <c r="B236" s="595"/>
      <c r="C236" s="595"/>
      <c r="N236" s="159"/>
      <c r="R236" s="706"/>
    </row>
    <row r="237" spans="2:18" ht="15" customHeight="1">
      <c r="B237" s="595"/>
      <c r="C237" s="595"/>
      <c r="N237" s="159"/>
      <c r="R237" s="706"/>
    </row>
    <row r="238" spans="2:18" ht="15" customHeight="1">
      <c r="B238" s="595"/>
      <c r="C238" s="595"/>
      <c r="N238" s="159"/>
      <c r="R238" s="706"/>
    </row>
    <row r="239" spans="2:18" ht="15" customHeight="1">
      <c r="B239" s="595"/>
      <c r="C239" s="595"/>
      <c r="N239" s="159"/>
      <c r="R239" s="706"/>
    </row>
    <row r="240" spans="2:18" ht="15" customHeight="1">
      <c r="B240" s="595"/>
      <c r="C240" s="595"/>
      <c r="N240" s="159"/>
      <c r="R240" s="706"/>
    </row>
    <row r="241" spans="2:18" ht="15" customHeight="1">
      <c r="B241" s="595"/>
      <c r="C241" s="595"/>
      <c r="N241" s="159"/>
      <c r="R241" s="706"/>
    </row>
    <row r="242" spans="2:18" ht="15" customHeight="1">
      <c r="B242" s="595"/>
      <c r="C242" s="595"/>
      <c r="N242" s="159"/>
      <c r="R242" s="706"/>
    </row>
    <row r="243" spans="2:18" ht="15" customHeight="1">
      <c r="B243" s="595"/>
      <c r="C243" s="595"/>
      <c r="N243" s="159"/>
      <c r="R243" s="706"/>
    </row>
    <row r="244" spans="2:18" ht="15" customHeight="1">
      <c r="B244" s="595"/>
      <c r="C244" s="595"/>
      <c r="N244" s="159"/>
      <c r="R244" s="706"/>
    </row>
    <row r="245" spans="2:18" ht="15" customHeight="1">
      <c r="B245" s="595"/>
      <c r="C245" s="595"/>
      <c r="N245" s="159"/>
      <c r="R245" s="706"/>
    </row>
    <row r="246" spans="2:18" ht="15" customHeight="1">
      <c r="B246" s="595"/>
      <c r="C246" s="595"/>
      <c r="N246" s="159"/>
      <c r="R246" s="706"/>
    </row>
    <row r="247" spans="2:18" ht="15" customHeight="1">
      <c r="B247" s="595"/>
      <c r="C247" s="595"/>
      <c r="N247" s="159"/>
      <c r="R247" s="706"/>
    </row>
    <row r="248" spans="2:18" ht="15" customHeight="1">
      <c r="B248" s="595"/>
      <c r="C248" s="595"/>
      <c r="N248" s="159"/>
      <c r="R248" s="706"/>
    </row>
    <row r="249" spans="2:18" ht="15" customHeight="1">
      <c r="B249" s="595"/>
      <c r="C249" s="595"/>
      <c r="N249" s="159"/>
      <c r="R249" s="706"/>
    </row>
    <row r="250" spans="2:18" ht="15" customHeight="1">
      <c r="B250" s="595"/>
      <c r="C250" s="595"/>
      <c r="N250" s="159"/>
      <c r="R250" s="706"/>
    </row>
    <row r="251" spans="2:18" ht="15" customHeight="1">
      <c r="B251" s="595"/>
      <c r="C251" s="595"/>
      <c r="N251" s="159"/>
      <c r="R251" s="706"/>
    </row>
    <row r="252" spans="2:18" ht="15" customHeight="1">
      <c r="B252" s="595"/>
      <c r="C252" s="595"/>
      <c r="N252" s="159"/>
      <c r="R252" s="706"/>
    </row>
    <row r="253" spans="2:18" ht="15" customHeight="1">
      <c r="B253" s="595"/>
      <c r="C253" s="595"/>
      <c r="N253" s="159"/>
      <c r="R253" s="706"/>
    </row>
    <row r="254" spans="2:18" ht="15" customHeight="1">
      <c r="B254" s="595"/>
      <c r="C254" s="595"/>
      <c r="N254" s="159"/>
      <c r="R254" s="706"/>
    </row>
    <row r="255" spans="2:18" ht="15" customHeight="1">
      <c r="B255" s="595"/>
      <c r="C255" s="595"/>
      <c r="N255" s="159"/>
      <c r="R255" s="706"/>
    </row>
    <row r="256" spans="2:18" ht="15" customHeight="1">
      <c r="B256" s="595"/>
      <c r="C256" s="595"/>
      <c r="N256" s="159"/>
      <c r="R256" s="706"/>
    </row>
    <row r="257" spans="2:18" ht="15" customHeight="1">
      <c r="B257" s="595"/>
      <c r="C257" s="595"/>
      <c r="N257" s="159"/>
      <c r="R257" s="706"/>
    </row>
    <row r="258" spans="2:18" ht="15" customHeight="1">
      <c r="B258" s="595"/>
      <c r="C258" s="595"/>
      <c r="N258" s="159"/>
      <c r="R258" s="706"/>
    </row>
    <row r="259" spans="2:18" ht="15" customHeight="1">
      <c r="B259" s="595"/>
      <c r="C259" s="595"/>
      <c r="N259" s="159"/>
      <c r="R259" s="706"/>
    </row>
    <row r="260" spans="2:18" ht="15" customHeight="1">
      <c r="B260" s="595"/>
      <c r="C260" s="595"/>
      <c r="N260" s="159"/>
      <c r="R260" s="706"/>
    </row>
    <row r="261" spans="2:18" ht="15" customHeight="1">
      <c r="B261" s="595"/>
      <c r="C261" s="595"/>
      <c r="N261" s="159"/>
      <c r="R261" s="706"/>
    </row>
    <row r="262" spans="2:18" ht="15" customHeight="1">
      <c r="B262" s="595"/>
      <c r="C262" s="595"/>
      <c r="N262" s="159"/>
      <c r="R262" s="706"/>
    </row>
    <row r="263" spans="2:18" ht="15" customHeight="1">
      <c r="B263" s="595"/>
      <c r="C263" s="595"/>
      <c r="N263" s="159"/>
      <c r="R263" s="706"/>
    </row>
    <row r="264" spans="2:18" ht="15" customHeight="1">
      <c r="B264" s="595"/>
      <c r="C264" s="595"/>
      <c r="N264" s="159"/>
      <c r="R264" s="706"/>
    </row>
    <row r="265" spans="2:18" ht="15" customHeight="1">
      <c r="B265" s="595"/>
      <c r="C265" s="595"/>
      <c r="N265" s="159"/>
      <c r="R265" s="706"/>
    </row>
    <row r="266" spans="2:18" ht="15" customHeight="1">
      <c r="B266" s="595"/>
      <c r="C266" s="595"/>
      <c r="N266" s="159"/>
      <c r="R266" s="706"/>
    </row>
    <row r="267" spans="2:18" ht="15" customHeight="1">
      <c r="B267" s="595"/>
      <c r="C267" s="595"/>
      <c r="N267" s="159"/>
      <c r="R267" s="706"/>
    </row>
    <row r="268" spans="2:18" ht="15" customHeight="1">
      <c r="B268" s="595"/>
      <c r="C268" s="595"/>
      <c r="N268" s="159"/>
      <c r="R268" s="706"/>
    </row>
    <row r="269" spans="2:18" ht="15" customHeight="1">
      <c r="B269" s="595"/>
      <c r="C269" s="595"/>
      <c r="N269" s="159"/>
      <c r="R269" s="706"/>
    </row>
    <row r="270" spans="2:18" ht="15" customHeight="1">
      <c r="B270" s="595"/>
      <c r="C270" s="595"/>
      <c r="N270" s="159"/>
      <c r="R270" s="706"/>
    </row>
    <row r="271" spans="2:18" ht="15" customHeight="1">
      <c r="B271" s="595"/>
      <c r="C271" s="595"/>
      <c r="N271" s="159"/>
      <c r="R271" s="706"/>
    </row>
    <row r="272" spans="2:18" ht="15" customHeight="1">
      <c r="B272" s="595"/>
      <c r="C272" s="595"/>
      <c r="N272" s="159"/>
      <c r="R272" s="706"/>
    </row>
    <row r="273" spans="2:18" ht="15" customHeight="1">
      <c r="B273" s="595"/>
      <c r="C273" s="595"/>
      <c r="N273" s="159"/>
      <c r="R273" s="706"/>
    </row>
    <row r="274" spans="2:18" ht="15" customHeight="1">
      <c r="B274" s="595"/>
      <c r="C274" s="595"/>
      <c r="N274" s="159"/>
      <c r="R274" s="706"/>
    </row>
    <row r="275" spans="2:18" ht="15" customHeight="1">
      <c r="B275" s="595"/>
      <c r="C275" s="595"/>
      <c r="N275" s="159"/>
      <c r="R275" s="706"/>
    </row>
    <row r="276" spans="2:18" ht="15" customHeight="1">
      <c r="B276" s="595"/>
      <c r="C276" s="595"/>
      <c r="N276" s="159"/>
      <c r="R276" s="706"/>
    </row>
    <row r="277" spans="2:18" ht="15" customHeight="1">
      <c r="B277" s="595"/>
      <c r="C277" s="595"/>
      <c r="N277" s="159"/>
      <c r="R277" s="706"/>
    </row>
    <row r="278" spans="2:18" ht="15" customHeight="1">
      <c r="B278" s="595"/>
      <c r="C278" s="595"/>
      <c r="N278" s="159"/>
      <c r="R278" s="706"/>
    </row>
    <row r="279" spans="2:18" ht="15" customHeight="1">
      <c r="B279" s="595"/>
      <c r="C279" s="595"/>
      <c r="N279" s="159"/>
      <c r="R279" s="706"/>
    </row>
    <row r="280" spans="2:18" ht="15" customHeight="1">
      <c r="B280" s="595"/>
      <c r="C280" s="595"/>
      <c r="N280" s="159"/>
      <c r="R280" s="706"/>
    </row>
    <row r="281" spans="2:18" ht="15" customHeight="1">
      <c r="B281" s="595"/>
      <c r="C281" s="595"/>
      <c r="N281" s="159"/>
      <c r="R281" s="706"/>
    </row>
    <row r="282" spans="2:18" ht="15" customHeight="1">
      <c r="B282" s="595"/>
      <c r="C282" s="595"/>
      <c r="N282" s="159"/>
      <c r="R282" s="706"/>
    </row>
    <row r="283" spans="2:18" ht="15" customHeight="1">
      <c r="B283" s="595"/>
      <c r="C283" s="595"/>
      <c r="N283" s="159"/>
      <c r="R283" s="706"/>
    </row>
    <row r="284" spans="2:18" ht="15" customHeight="1">
      <c r="B284" s="595"/>
      <c r="C284" s="595"/>
      <c r="N284" s="159"/>
      <c r="R284" s="706"/>
    </row>
    <row r="285" spans="2:18" ht="15" customHeight="1">
      <c r="B285" s="595"/>
      <c r="C285" s="595"/>
      <c r="N285" s="159"/>
      <c r="R285" s="706"/>
    </row>
    <row r="286" spans="2:18" ht="15" customHeight="1">
      <c r="B286" s="595"/>
      <c r="C286" s="595"/>
      <c r="N286" s="159"/>
      <c r="R286" s="706"/>
    </row>
    <row r="287" spans="2:18" ht="15" customHeight="1">
      <c r="B287" s="595"/>
      <c r="C287" s="595"/>
      <c r="N287" s="159"/>
      <c r="R287" s="706"/>
    </row>
    <row r="288" spans="2:18" ht="15" customHeight="1">
      <c r="B288" s="595"/>
      <c r="C288" s="595"/>
      <c r="N288" s="159"/>
      <c r="R288" s="706"/>
    </row>
    <row r="289" spans="2:18" ht="15" customHeight="1">
      <c r="B289" s="595"/>
      <c r="C289" s="595"/>
      <c r="N289" s="159"/>
      <c r="R289" s="706"/>
    </row>
    <row r="290" spans="2:18" ht="15" customHeight="1">
      <c r="B290" s="595"/>
      <c r="C290" s="595"/>
      <c r="N290" s="159"/>
      <c r="R290" s="706"/>
    </row>
    <row r="291" spans="2:18" ht="15" customHeight="1">
      <c r="B291" s="595"/>
      <c r="C291" s="595"/>
      <c r="N291" s="159"/>
      <c r="R291" s="706"/>
    </row>
    <row r="292" spans="2:18" ht="15" customHeight="1">
      <c r="B292" s="595"/>
      <c r="C292" s="595"/>
      <c r="N292" s="159"/>
      <c r="R292" s="706"/>
    </row>
    <row r="293" spans="2:18" ht="15" customHeight="1">
      <c r="B293" s="595"/>
      <c r="C293" s="595"/>
      <c r="N293" s="159"/>
      <c r="R293" s="706"/>
    </row>
    <row r="294" spans="2:18" ht="15" customHeight="1">
      <c r="B294" s="595"/>
      <c r="C294" s="595"/>
      <c r="N294" s="159"/>
      <c r="R294" s="706"/>
    </row>
    <row r="295" spans="2:18" ht="15" customHeight="1">
      <c r="B295" s="595"/>
      <c r="C295" s="595"/>
      <c r="N295" s="159"/>
      <c r="R295" s="706"/>
    </row>
    <row r="296" spans="2:18" ht="15" customHeight="1">
      <c r="B296" s="595"/>
      <c r="C296" s="595"/>
      <c r="N296" s="159"/>
      <c r="R296" s="706"/>
    </row>
    <row r="297" spans="2:18" ht="15" customHeight="1">
      <c r="B297" s="595"/>
      <c r="C297" s="595"/>
      <c r="N297" s="159"/>
      <c r="R297" s="706"/>
    </row>
    <row r="298" spans="2:18" ht="15" customHeight="1">
      <c r="B298" s="595"/>
      <c r="C298" s="595"/>
      <c r="N298" s="159"/>
      <c r="R298" s="706"/>
    </row>
    <row r="299" spans="2:18" ht="15" customHeight="1">
      <c r="B299" s="595"/>
      <c r="C299" s="595"/>
      <c r="N299" s="159"/>
      <c r="R299" s="706"/>
    </row>
    <row r="300" spans="2:18" ht="15" customHeight="1">
      <c r="B300" s="595"/>
      <c r="C300" s="595"/>
      <c r="N300" s="159"/>
      <c r="R300" s="706"/>
    </row>
    <row r="301" spans="2:18" ht="15" customHeight="1">
      <c r="B301" s="595"/>
      <c r="C301" s="595"/>
      <c r="N301" s="159"/>
      <c r="R301" s="706"/>
    </row>
    <row r="302" spans="2:18" ht="15" customHeight="1">
      <c r="B302" s="595"/>
      <c r="C302" s="595"/>
      <c r="N302" s="159"/>
      <c r="R302" s="706"/>
    </row>
    <row r="303" spans="2:18" ht="15" customHeight="1">
      <c r="B303" s="595"/>
      <c r="C303" s="595"/>
      <c r="N303" s="159"/>
      <c r="R303" s="706"/>
    </row>
    <row r="304" spans="2:18" ht="15" customHeight="1">
      <c r="B304" s="595"/>
      <c r="C304" s="595"/>
      <c r="N304" s="159"/>
      <c r="R304" s="706"/>
    </row>
    <row r="305" spans="2:18" ht="15" customHeight="1">
      <c r="B305" s="595"/>
      <c r="C305" s="595"/>
      <c r="N305" s="159"/>
      <c r="R305" s="706"/>
    </row>
    <row r="306" spans="2:18" ht="15" customHeight="1">
      <c r="B306" s="595"/>
      <c r="C306" s="595"/>
      <c r="N306" s="159"/>
      <c r="R306" s="706"/>
    </row>
    <row r="307" spans="2:18" ht="15" customHeight="1">
      <c r="B307" s="595"/>
      <c r="C307" s="595"/>
      <c r="N307" s="159"/>
      <c r="R307" s="706"/>
    </row>
    <row r="308" spans="2:18" ht="15" customHeight="1">
      <c r="B308" s="595"/>
      <c r="C308" s="595"/>
      <c r="N308" s="159"/>
      <c r="R308" s="706"/>
    </row>
    <row r="309" spans="2:18" ht="15" customHeight="1">
      <c r="B309" s="595"/>
      <c r="C309" s="595"/>
      <c r="N309" s="159"/>
      <c r="R309" s="706"/>
    </row>
    <row r="310" spans="2:18" ht="15" customHeight="1">
      <c r="B310" s="595"/>
      <c r="C310" s="595"/>
      <c r="N310" s="159"/>
      <c r="R310" s="706"/>
    </row>
    <row r="311" spans="2:18" ht="15" customHeight="1">
      <c r="B311" s="595"/>
      <c r="C311" s="595"/>
      <c r="N311" s="159"/>
      <c r="R311" s="706"/>
    </row>
    <row r="312" spans="2:18" ht="15" customHeight="1">
      <c r="B312" s="595"/>
      <c r="C312" s="595"/>
      <c r="N312" s="159"/>
      <c r="R312" s="706"/>
    </row>
    <row r="313" spans="2:18" ht="15" customHeight="1">
      <c r="B313" s="595"/>
      <c r="C313" s="595"/>
      <c r="N313" s="159"/>
      <c r="R313" s="706"/>
    </row>
    <row r="314" spans="2:18" ht="15" customHeight="1">
      <c r="B314" s="595"/>
      <c r="C314" s="595"/>
      <c r="N314" s="159"/>
      <c r="R314" s="706"/>
    </row>
    <row r="315" spans="2:18" ht="15" customHeight="1">
      <c r="B315" s="595"/>
      <c r="C315" s="595"/>
      <c r="N315" s="159"/>
      <c r="R315" s="706"/>
    </row>
    <row r="316" spans="2:18" ht="15" customHeight="1">
      <c r="B316" s="595"/>
      <c r="C316" s="595"/>
      <c r="N316" s="159"/>
      <c r="R316" s="706"/>
    </row>
    <row r="317" spans="2:18" ht="15" customHeight="1">
      <c r="B317" s="595"/>
      <c r="C317" s="595"/>
      <c r="N317" s="159"/>
      <c r="R317" s="706"/>
    </row>
    <row r="318" spans="2:18" ht="15" customHeight="1">
      <c r="B318" s="595"/>
      <c r="C318" s="595"/>
      <c r="N318" s="159"/>
      <c r="R318" s="706"/>
    </row>
    <row r="319" spans="2:18" ht="15" customHeight="1">
      <c r="B319" s="595"/>
      <c r="C319" s="595"/>
      <c r="N319" s="159"/>
      <c r="R319" s="706"/>
    </row>
    <row r="320" spans="2:18" ht="15" customHeight="1">
      <c r="B320" s="595"/>
      <c r="C320" s="595"/>
      <c r="N320" s="159"/>
      <c r="R320" s="706"/>
    </row>
    <row r="321" spans="2:18" ht="15" customHeight="1">
      <c r="B321" s="595"/>
      <c r="C321" s="595"/>
      <c r="N321" s="159"/>
      <c r="R321" s="706"/>
    </row>
    <row r="322" spans="2:18" ht="15" customHeight="1">
      <c r="B322" s="595"/>
      <c r="C322" s="595"/>
      <c r="N322" s="159"/>
      <c r="R322" s="706"/>
    </row>
    <row r="323" spans="2:18" ht="15" customHeight="1">
      <c r="B323" s="595"/>
      <c r="C323" s="595"/>
      <c r="N323" s="159"/>
      <c r="R323" s="706"/>
    </row>
    <row r="324" spans="2:18" ht="15" customHeight="1">
      <c r="B324" s="595"/>
      <c r="C324" s="595"/>
      <c r="N324" s="159"/>
      <c r="R324" s="706"/>
    </row>
    <row r="325" spans="2:18" ht="15" customHeight="1">
      <c r="B325" s="595"/>
      <c r="C325" s="595"/>
      <c r="N325" s="159"/>
      <c r="R325" s="706"/>
    </row>
    <row r="326" spans="2:18" ht="15" customHeight="1">
      <c r="B326" s="595"/>
      <c r="C326" s="595"/>
      <c r="N326" s="159"/>
      <c r="R326" s="706"/>
    </row>
    <row r="327" spans="2:18" ht="15" customHeight="1">
      <c r="B327" s="595"/>
      <c r="C327" s="595"/>
      <c r="N327" s="159"/>
      <c r="R327" s="706"/>
    </row>
    <row r="328" spans="2:18" ht="15" customHeight="1">
      <c r="B328" s="595"/>
      <c r="C328" s="595"/>
      <c r="N328" s="159"/>
      <c r="R328" s="706"/>
    </row>
    <row r="329" spans="2:18" ht="15" customHeight="1">
      <c r="B329" s="595"/>
      <c r="C329" s="595"/>
      <c r="N329" s="159"/>
      <c r="R329" s="706"/>
    </row>
    <row r="330" spans="2:18" ht="15" customHeight="1">
      <c r="B330" s="595"/>
      <c r="C330" s="595"/>
      <c r="N330" s="159"/>
      <c r="R330" s="706"/>
    </row>
    <row r="331" spans="2:18" ht="15" customHeight="1">
      <c r="B331" s="595"/>
      <c r="C331" s="595"/>
      <c r="N331" s="159"/>
      <c r="R331" s="706"/>
    </row>
    <row r="332" spans="2:18" ht="15" customHeight="1">
      <c r="B332" s="595"/>
      <c r="C332" s="595"/>
      <c r="N332" s="159"/>
      <c r="R332" s="706"/>
    </row>
    <row r="333" spans="2:18" ht="15" customHeight="1">
      <c r="B333" s="595"/>
      <c r="C333" s="595"/>
      <c r="N333" s="159"/>
      <c r="R333" s="706"/>
    </row>
    <row r="334" spans="2:18" ht="15" customHeight="1">
      <c r="B334" s="595"/>
      <c r="C334" s="595"/>
      <c r="N334" s="159"/>
      <c r="R334" s="706"/>
    </row>
    <row r="335" spans="2:18" ht="15" customHeight="1">
      <c r="B335" s="595"/>
      <c r="C335" s="595"/>
      <c r="N335" s="159"/>
      <c r="R335" s="706"/>
    </row>
    <row r="336" spans="2:18" ht="15" customHeight="1">
      <c r="B336" s="595"/>
      <c r="C336" s="595"/>
      <c r="N336" s="159"/>
      <c r="R336" s="706"/>
    </row>
    <row r="337" spans="2:18" ht="15" customHeight="1">
      <c r="B337" s="595"/>
      <c r="C337" s="595"/>
      <c r="N337" s="159"/>
      <c r="R337" s="706"/>
    </row>
    <row r="338" spans="2:18" ht="15" customHeight="1">
      <c r="B338" s="595"/>
      <c r="C338" s="595"/>
      <c r="N338" s="159"/>
      <c r="R338" s="706"/>
    </row>
    <row r="339" spans="2:18" ht="15" customHeight="1">
      <c r="B339" s="595"/>
      <c r="C339" s="595"/>
      <c r="N339" s="159"/>
      <c r="R339" s="706"/>
    </row>
    <row r="340" spans="2:18" ht="15" customHeight="1">
      <c r="B340" s="595"/>
      <c r="C340" s="595"/>
      <c r="N340" s="159"/>
      <c r="R340" s="706"/>
    </row>
    <row r="341" spans="2:18" ht="15" customHeight="1">
      <c r="B341" s="595"/>
      <c r="C341" s="595"/>
      <c r="N341" s="159"/>
      <c r="R341" s="706"/>
    </row>
    <row r="342" spans="2:18" ht="15" customHeight="1">
      <c r="B342" s="595"/>
      <c r="C342" s="595"/>
      <c r="N342" s="159"/>
      <c r="R342" s="706"/>
    </row>
    <row r="343" spans="2:18" ht="15" customHeight="1">
      <c r="B343" s="595"/>
      <c r="C343" s="595"/>
      <c r="N343" s="159"/>
      <c r="R343" s="706"/>
    </row>
    <row r="344" spans="2:18" ht="15" customHeight="1">
      <c r="B344" s="595"/>
      <c r="C344" s="595"/>
      <c r="N344" s="159"/>
      <c r="R344" s="706"/>
    </row>
    <row r="345" spans="2:18" ht="15" customHeight="1">
      <c r="B345" s="595"/>
      <c r="C345" s="595"/>
      <c r="N345" s="159"/>
      <c r="R345" s="706"/>
    </row>
    <row r="346" spans="2:18" ht="15" customHeight="1">
      <c r="B346" s="595"/>
      <c r="C346" s="595"/>
      <c r="N346" s="159"/>
      <c r="R346" s="706"/>
    </row>
    <row r="347" spans="2:18" ht="15" customHeight="1">
      <c r="B347" s="595"/>
      <c r="C347" s="595"/>
      <c r="N347" s="159"/>
      <c r="R347" s="706"/>
    </row>
    <row r="348" spans="2:18" ht="15" customHeight="1">
      <c r="B348" s="595"/>
      <c r="C348" s="595"/>
      <c r="N348" s="159"/>
      <c r="R348" s="706"/>
    </row>
    <row r="349" spans="2:18" ht="15" customHeight="1">
      <c r="B349" s="595"/>
      <c r="C349" s="595"/>
      <c r="N349" s="159"/>
      <c r="R349" s="706"/>
    </row>
    <row r="350" spans="2:18" ht="15" customHeight="1">
      <c r="B350" s="595"/>
      <c r="C350" s="595"/>
      <c r="N350" s="159"/>
      <c r="R350" s="706"/>
    </row>
    <row r="351" spans="2:18" ht="15" customHeight="1">
      <c r="B351" s="595"/>
      <c r="C351" s="595"/>
      <c r="N351" s="159"/>
      <c r="R351" s="706"/>
    </row>
    <row r="352" spans="2:18" ht="15" customHeight="1">
      <c r="B352" s="595"/>
      <c r="C352" s="595"/>
      <c r="N352" s="159"/>
      <c r="R352" s="706"/>
    </row>
    <row r="353" spans="2:18" ht="15" customHeight="1">
      <c r="B353" s="595"/>
      <c r="C353" s="595"/>
      <c r="N353" s="159"/>
      <c r="R353" s="706"/>
    </row>
    <row r="354" spans="2:18" ht="15" customHeight="1">
      <c r="B354" s="595"/>
      <c r="C354" s="595"/>
      <c r="N354" s="159"/>
      <c r="R354" s="706"/>
    </row>
    <row r="355" spans="2:18" ht="15" customHeight="1">
      <c r="B355" s="595"/>
      <c r="C355" s="595"/>
      <c r="N355" s="159"/>
      <c r="R355" s="706"/>
    </row>
    <row r="356" spans="2:18" ht="15" customHeight="1">
      <c r="B356" s="595"/>
      <c r="C356" s="595"/>
      <c r="N356" s="159"/>
      <c r="R356" s="706"/>
    </row>
    <row r="357" spans="2:18" ht="15" customHeight="1">
      <c r="B357" s="595"/>
      <c r="C357" s="595"/>
      <c r="N357" s="159"/>
      <c r="R357" s="706"/>
    </row>
    <row r="358" spans="2:18" ht="15" customHeight="1">
      <c r="B358" s="595"/>
      <c r="C358" s="595"/>
      <c r="N358" s="159"/>
      <c r="R358" s="706"/>
    </row>
    <row r="359" spans="2:18" ht="15" customHeight="1">
      <c r="B359" s="595"/>
      <c r="C359" s="595"/>
      <c r="N359" s="159"/>
      <c r="R359" s="706"/>
    </row>
    <row r="360" spans="2:18" ht="15" customHeight="1">
      <c r="B360" s="595"/>
      <c r="C360" s="595"/>
      <c r="N360" s="159"/>
      <c r="R360" s="706"/>
    </row>
    <row r="361" spans="2:18" ht="15" customHeight="1">
      <c r="B361" s="595"/>
      <c r="C361" s="595"/>
      <c r="N361" s="159"/>
      <c r="R361" s="706"/>
    </row>
    <row r="362" spans="2:18" ht="15" customHeight="1">
      <c r="B362" s="595"/>
      <c r="C362" s="595"/>
      <c r="N362" s="159"/>
      <c r="R362" s="706"/>
    </row>
    <row r="363" spans="2:18" ht="15" customHeight="1">
      <c r="B363" s="595"/>
      <c r="C363" s="595"/>
      <c r="N363" s="159"/>
      <c r="R363" s="706"/>
    </row>
    <row r="364" spans="2:18" ht="15" customHeight="1">
      <c r="B364" s="595"/>
      <c r="C364" s="595"/>
      <c r="N364" s="159"/>
      <c r="R364" s="706"/>
    </row>
    <row r="365" spans="2:18" ht="15" customHeight="1">
      <c r="B365" s="595"/>
      <c r="C365" s="595"/>
      <c r="N365" s="159"/>
      <c r="R365" s="706"/>
    </row>
    <row r="366" spans="2:18" ht="15" customHeight="1">
      <c r="B366" s="595"/>
      <c r="C366" s="595"/>
      <c r="N366" s="159"/>
      <c r="R366" s="706"/>
    </row>
    <row r="367" spans="2:18" ht="15" customHeight="1">
      <c r="B367" s="595"/>
      <c r="C367" s="595"/>
      <c r="N367" s="159"/>
      <c r="R367" s="706"/>
    </row>
    <row r="368" spans="2:18" ht="15" customHeight="1">
      <c r="B368" s="595"/>
      <c r="C368" s="595"/>
      <c r="N368" s="159"/>
      <c r="R368" s="706"/>
    </row>
    <row r="369" spans="2:18" ht="15" customHeight="1">
      <c r="B369" s="595"/>
      <c r="C369" s="595"/>
      <c r="N369" s="159"/>
      <c r="R369" s="706"/>
    </row>
    <row r="370" spans="2:18" ht="15" customHeight="1">
      <c r="B370" s="595"/>
      <c r="C370" s="595"/>
      <c r="N370" s="159"/>
      <c r="R370" s="706"/>
    </row>
    <row r="371" spans="2:18" ht="15" customHeight="1">
      <c r="B371" s="595"/>
      <c r="C371" s="595"/>
      <c r="N371" s="159"/>
      <c r="R371" s="706"/>
    </row>
    <row r="372" spans="2:18" ht="15" customHeight="1">
      <c r="B372" s="595"/>
      <c r="C372" s="595"/>
      <c r="N372" s="159"/>
      <c r="R372" s="706"/>
    </row>
    <row r="373" spans="2:18" ht="15" customHeight="1">
      <c r="B373" s="595"/>
      <c r="C373" s="595"/>
      <c r="N373" s="159"/>
      <c r="R373" s="706"/>
    </row>
    <row r="374" spans="2:18" ht="15" customHeight="1">
      <c r="B374" s="595"/>
      <c r="C374" s="595"/>
      <c r="N374" s="159"/>
      <c r="R374" s="706"/>
    </row>
    <row r="375" spans="2:18" ht="15" customHeight="1">
      <c r="B375" s="595"/>
      <c r="C375" s="595"/>
      <c r="N375" s="159"/>
      <c r="R375" s="706"/>
    </row>
    <row r="376" spans="2:18" ht="15" customHeight="1">
      <c r="B376" s="595"/>
      <c r="C376" s="595"/>
      <c r="N376" s="159"/>
      <c r="R376" s="706"/>
    </row>
    <row r="377" spans="2:18" ht="15" customHeight="1">
      <c r="B377" s="595"/>
      <c r="C377" s="595"/>
      <c r="N377" s="159"/>
      <c r="R377" s="706"/>
    </row>
    <row r="378" spans="2:18" ht="15" customHeight="1">
      <c r="B378" s="595"/>
      <c r="C378" s="595"/>
      <c r="N378" s="159"/>
      <c r="R378" s="706"/>
    </row>
    <row r="379" spans="2:18" ht="15" customHeight="1">
      <c r="B379" s="595"/>
      <c r="C379" s="595"/>
      <c r="N379" s="159"/>
      <c r="R379" s="706"/>
    </row>
    <row r="380" spans="2:18" ht="15" customHeight="1">
      <c r="B380" s="595"/>
      <c r="C380" s="595"/>
      <c r="N380" s="159"/>
      <c r="R380" s="706"/>
    </row>
    <row r="381" spans="2:18" ht="15" customHeight="1">
      <c r="B381" s="595"/>
      <c r="C381" s="595"/>
      <c r="N381" s="159"/>
      <c r="R381" s="706"/>
    </row>
    <row r="382" spans="2:18" ht="15" customHeight="1">
      <c r="B382" s="595"/>
      <c r="C382" s="595"/>
      <c r="N382" s="159"/>
      <c r="R382" s="706"/>
    </row>
    <row r="383" spans="2:18" ht="15" customHeight="1">
      <c r="B383" s="595"/>
      <c r="C383" s="595"/>
      <c r="N383" s="159"/>
      <c r="R383" s="706"/>
    </row>
    <row r="384" spans="2:18" ht="15" customHeight="1">
      <c r="B384" s="595"/>
      <c r="C384" s="595"/>
      <c r="N384" s="159"/>
      <c r="R384" s="706"/>
    </row>
    <row r="385" spans="2:18" ht="15" customHeight="1">
      <c r="B385" s="595"/>
      <c r="C385" s="595"/>
      <c r="N385" s="159"/>
      <c r="R385" s="706"/>
    </row>
    <row r="386" spans="2:18" ht="15" customHeight="1">
      <c r="B386" s="595"/>
      <c r="C386" s="595"/>
      <c r="N386" s="159"/>
      <c r="R386" s="706"/>
    </row>
    <row r="387" spans="2:18" ht="15" customHeight="1">
      <c r="B387" s="595"/>
      <c r="C387" s="595"/>
      <c r="N387" s="159"/>
      <c r="R387" s="706"/>
    </row>
    <row r="388" spans="2:18" ht="15" customHeight="1">
      <c r="B388" s="595"/>
      <c r="C388" s="595"/>
      <c r="N388" s="159"/>
      <c r="R388" s="706"/>
    </row>
    <row r="389" spans="2:18" ht="15" customHeight="1">
      <c r="B389" s="595"/>
      <c r="C389" s="595"/>
      <c r="N389" s="159"/>
      <c r="R389" s="706"/>
    </row>
    <row r="390" spans="2:18" ht="15" customHeight="1">
      <c r="B390" s="595"/>
      <c r="C390" s="595"/>
      <c r="N390" s="159"/>
      <c r="R390" s="706"/>
    </row>
    <row r="391" spans="2:18" ht="15" customHeight="1">
      <c r="B391" s="595"/>
      <c r="C391" s="595"/>
      <c r="N391" s="159"/>
      <c r="R391" s="706"/>
    </row>
    <row r="392" spans="2:18" ht="15" customHeight="1">
      <c r="B392" s="595"/>
      <c r="C392" s="595"/>
      <c r="N392" s="159"/>
      <c r="R392" s="706"/>
    </row>
    <row r="393" spans="2:18" ht="15" customHeight="1">
      <c r="B393" s="595"/>
      <c r="C393" s="595"/>
      <c r="N393" s="159"/>
      <c r="R393" s="706"/>
    </row>
    <row r="394" spans="2:18" ht="15" customHeight="1">
      <c r="B394" s="595"/>
      <c r="C394" s="595"/>
      <c r="N394" s="159"/>
      <c r="R394" s="706"/>
    </row>
    <row r="395" spans="2:18" ht="15" customHeight="1">
      <c r="B395" s="595"/>
      <c r="C395" s="595"/>
      <c r="N395" s="159"/>
      <c r="R395" s="706"/>
    </row>
    <row r="396" spans="2:18" ht="15" customHeight="1">
      <c r="B396" s="595"/>
      <c r="C396" s="595"/>
      <c r="N396" s="159"/>
      <c r="R396" s="706"/>
    </row>
    <row r="397" spans="2:18" ht="15" customHeight="1">
      <c r="B397" s="595"/>
      <c r="C397" s="595"/>
      <c r="N397" s="159"/>
      <c r="R397" s="706"/>
    </row>
    <row r="398" spans="2:18" ht="15" customHeight="1">
      <c r="B398" s="595"/>
      <c r="C398" s="595"/>
      <c r="N398" s="159"/>
      <c r="R398" s="706"/>
    </row>
    <row r="399" spans="2:18" ht="15" customHeight="1">
      <c r="B399" s="595"/>
      <c r="C399" s="595"/>
      <c r="N399" s="159"/>
      <c r="R399" s="706"/>
    </row>
    <row r="400" spans="2:18" ht="15" customHeight="1">
      <c r="B400" s="595"/>
      <c r="C400" s="595"/>
      <c r="N400" s="159"/>
      <c r="R400" s="706"/>
    </row>
    <row r="401" spans="2:18" ht="15" customHeight="1">
      <c r="B401" s="595"/>
      <c r="C401" s="595"/>
      <c r="N401" s="159"/>
      <c r="R401" s="706"/>
    </row>
    <row r="402" spans="2:18" ht="15" customHeight="1">
      <c r="B402" s="595"/>
      <c r="C402" s="595"/>
      <c r="N402" s="159"/>
      <c r="R402" s="706"/>
    </row>
    <row r="403" spans="2:18" ht="15" customHeight="1">
      <c r="B403" s="595"/>
      <c r="C403" s="595"/>
      <c r="N403" s="159"/>
      <c r="R403" s="706"/>
    </row>
    <row r="404" spans="2:18" ht="15" customHeight="1">
      <c r="B404" s="595"/>
      <c r="C404" s="595"/>
      <c r="N404" s="159"/>
      <c r="R404" s="706"/>
    </row>
    <row r="405" spans="2:18" ht="15" customHeight="1">
      <c r="B405" s="595"/>
      <c r="C405" s="595"/>
      <c r="N405" s="159"/>
      <c r="R405" s="706"/>
    </row>
    <row r="406" spans="2:18" ht="15" customHeight="1">
      <c r="B406" s="595"/>
      <c r="C406" s="595"/>
      <c r="N406" s="159"/>
      <c r="R406" s="706"/>
    </row>
    <row r="407" spans="2:18" ht="15" customHeight="1">
      <c r="B407" s="595"/>
      <c r="C407" s="595"/>
      <c r="N407" s="159"/>
      <c r="R407" s="706"/>
    </row>
    <row r="408" spans="2:18" ht="15" customHeight="1">
      <c r="B408" s="595"/>
      <c r="C408" s="595"/>
      <c r="N408" s="159"/>
      <c r="R408" s="706"/>
    </row>
    <row r="409" spans="2:18" ht="15" customHeight="1">
      <c r="B409" s="595"/>
      <c r="C409" s="595"/>
      <c r="N409" s="159"/>
      <c r="R409" s="706"/>
    </row>
    <row r="410" spans="2:18" ht="15" customHeight="1">
      <c r="B410" s="595"/>
      <c r="C410" s="595"/>
      <c r="N410" s="159"/>
      <c r="R410" s="706"/>
    </row>
    <row r="411" spans="2:18" ht="15" customHeight="1">
      <c r="B411" s="595"/>
      <c r="C411" s="595"/>
      <c r="N411" s="159"/>
      <c r="R411" s="706"/>
    </row>
    <row r="412" spans="2:18" ht="15" customHeight="1">
      <c r="B412" s="595"/>
      <c r="C412" s="595"/>
      <c r="N412" s="159"/>
      <c r="R412" s="706"/>
    </row>
    <row r="413" spans="2:18" ht="15" customHeight="1">
      <c r="B413" s="595"/>
      <c r="C413" s="595"/>
      <c r="N413" s="159"/>
      <c r="R413" s="706"/>
    </row>
    <row r="414" spans="2:18" ht="15" customHeight="1">
      <c r="B414" s="595"/>
      <c r="C414" s="595"/>
      <c r="N414" s="159"/>
      <c r="R414" s="706"/>
    </row>
    <row r="415" spans="2:18" ht="15" customHeight="1">
      <c r="B415" s="595"/>
      <c r="C415" s="595"/>
      <c r="N415" s="159"/>
      <c r="R415" s="706"/>
    </row>
    <row r="416" spans="2:18" ht="15" customHeight="1">
      <c r="B416" s="595"/>
      <c r="C416" s="595"/>
      <c r="N416" s="159"/>
      <c r="R416" s="706"/>
    </row>
    <row r="417" spans="2:18" ht="15" customHeight="1">
      <c r="B417" s="595"/>
      <c r="C417" s="595"/>
      <c r="N417" s="159"/>
      <c r="R417" s="706"/>
    </row>
    <row r="418" spans="2:18" ht="15" customHeight="1">
      <c r="B418" s="595"/>
      <c r="C418" s="595"/>
      <c r="N418" s="159"/>
      <c r="R418" s="706"/>
    </row>
    <row r="419" spans="2:18" ht="15" customHeight="1">
      <c r="B419" s="595"/>
      <c r="C419" s="595"/>
      <c r="N419" s="159"/>
      <c r="R419" s="706"/>
    </row>
    <row r="420" spans="2:18" ht="15" customHeight="1">
      <c r="B420" s="595"/>
      <c r="C420" s="595"/>
      <c r="N420" s="159"/>
      <c r="R420" s="706"/>
    </row>
    <row r="421" spans="2:18" ht="15" customHeight="1">
      <c r="B421" s="595"/>
      <c r="C421" s="595"/>
      <c r="N421" s="159"/>
      <c r="R421" s="706"/>
    </row>
    <row r="422" spans="2:18" ht="15" customHeight="1">
      <c r="B422" s="595"/>
      <c r="C422" s="595"/>
      <c r="N422" s="159"/>
      <c r="R422" s="706"/>
    </row>
    <row r="423" spans="2:18" ht="15" customHeight="1">
      <c r="B423" s="595"/>
      <c r="C423" s="595"/>
      <c r="N423" s="159"/>
      <c r="R423" s="706"/>
    </row>
    <row r="424" spans="2:18" ht="15" customHeight="1">
      <c r="B424" s="595"/>
      <c r="C424" s="595"/>
      <c r="N424" s="159"/>
      <c r="R424" s="706"/>
    </row>
    <row r="425" spans="2:18" ht="15" customHeight="1">
      <c r="B425" s="595"/>
      <c r="C425" s="595"/>
      <c r="N425" s="159"/>
      <c r="R425" s="706"/>
    </row>
    <row r="426" spans="2:18" ht="15" customHeight="1">
      <c r="B426" s="595"/>
      <c r="C426" s="595"/>
      <c r="N426" s="159"/>
      <c r="R426" s="706"/>
    </row>
    <row r="427" spans="2:18" ht="15" customHeight="1">
      <c r="B427" s="595"/>
      <c r="C427" s="595"/>
      <c r="N427" s="159"/>
      <c r="R427" s="706"/>
    </row>
    <row r="428" spans="2:18" ht="15" customHeight="1">
      <c r="B428" s="595"/>
      <c r="C428" s="595"/>
      <c r="N428" s="159"/>
      <c r="R428" s="706"/>
    </row>
    <row r="429" spans="2:18" ht="15" customHeight="1">
      <c r="B429" s="595"/>
      <c r="C429" s="595"/>
      <c r="N429" s="159"/>
      <c r="R429" s="706"/>
    </row>
    <row r="430" spans="2:18" ht="15" customHeight="1">
      <c r="B430" s="595"/>
      <c r="C430" s="595"/>
      <c r="N430" s="159"/>
      <c r="R430" s="706"/>
    </row>
    <row r="431" spans="2:18" ht="15" customHeight="1">
      <c r="B431" s="595"/>
      <c r="C431" s="595"/>
      <c r="N431" s="159"/>
      <c r="R431" s="706"/>
    </row>
    <row r="432" spans="2:18" ht="15" customHeight="1">
      <c r="B432" s="595"/>
      <c r="C432" s="595"/>
      <c r="N432" s="159"/>
      <c r="R432" s="706"/>
    </row>
    <row r="433" spans="2:18" ht="15" customHeight="1">
      <c r="B433" s="595"/>
      <c r="C433" s="595"/>
      <c r="N433" s="159"/>
      <c r="R433" s="706"/>
    </row>
    <row r="434" spans="2:18" ht="15" customHeight="1">
      <c r="B434" s="595"/>
      <c r="C434" s="595"/>
      <c r="N434" s="159"/>
      <c r="R434" s="706"/>
    </row>
    <row r="435" spans="2:18" ht="15" customHeight="1">
      <c r="B435" s="595"/>
      <c r="C435" s="595"/>
      <c r="N435" s="159"/>
      <c r="R435" s="706"/>
    </row>
    <row r="436" spans="2:18" ht="15" customHeight="1">
      <c r="B436" s="595"/>
      <c r="C436" s="595"/>
      <c r="N436" s="159"/>
      <c r="R436" s="706"/>
    </row>
    <row r="437" spans="2:18" ht="15" customHeight="1">
      <c r="B437" s="595"/>
      <c r="C437" s="595"/>
      <c r="N437" s="159"/>
      <c r="R437" s="706"/>
    </row>
    <row r="438" spans="2:18" ht="15" customHeight="1">
      <c r="B438" s="595"/>
      <c r="C438" s="595"/>
      <c r="N438" s="159"/>
      <c r="R438" s="706"/>
    </row>
    <row r="439" spans="2:18" ht="15" customHeight="1">
      <c r="B439" s="595"/>
      <c r="C439" s="595"/>
      <c r="N439" s="159"/>
      <c r="R439" s="706"/>
    </row>
    <row r="440" spans="2:18" ht="15" customHeight="1">
      <c r="B440" s="595"/>
      <c r="C440" s="595"/>
      <c r="N440" s="159"/>
      <c r="R440" s="706"/>
    </row>
    <row r="441" spans="2:18" ht="15" customHeight="1">
      <c r="B441" s="595"/>
      <c r="C441" s="595"/>
      <c r="N441" s="159"/>
      <c r="R441" s="706"/>
    </row>
    <row r="442" spans="2:18" ht="15" customHeight="1">
      <c r="B442" s="595"/>
      <c r="C442" s="595"/>
      <c r="N442" s="159"/>
      <c r="R442" s="706"/>
    </row>
    <row r="443" spans="2:18" ht="15" customHeight="1">
      <c r="B443" s="595"/>
      <c r="C443" s="595"/>
      <c r="N443" s="159"/>
      <c r="R443" s="706"/>
    </row>
    <row r="444" spans="2:18" ht="15" customHeight="1">
      <c r="B444" s="595"/>
      <c r="C444" s="595"/>
      <c r="N444" s="159"/>
      <c r="R444" s="706"/>
    </row>
    <row r="445" spans="2:18" ht="15" customHeight="1">
      <c r="B445" s="595"/>
      <c r="C445" s="595"/>
      <c r="N445" s="159"/>
      <c r="R445" s="706"/>
    </row>
    <row r="446" spans="2:18" ht="15" customHeight="1">
      <c r="B446" s="595"/>
      <c r="C446" s="595"/>
      <c r="N446" s="159"/>
      <c r="R446" s="706"/>
    </row>
    <row r="447" spans="2:18" ht="15" customHeight="1">
      <c r="B447" s="595"/>
      <c r="C447" s="595"/>
      <c r="N447" s="159"/>
      <c r="R447" s="706"/>
    </row>
    <row r="448" spans="2:18" ht="15" customHeight="1">
      <c r="B448" s="595"/>
      <c r="C448" s="595"/>
      <c r="N448" s="159"/>
      <c r="R448" s="706"/>
    </row>
    <row r="449" spans="2:18" ht="15" customHeight="1">
      <c r="B449" s="595"/>
      <c r="C449" s="595"/>
      <c r="N449" s="159"/>
      <c r="R449" s="706"/>
    </row>
    <row r="450" spans="2:18" ht="15" customHeight="1">
      <c r="B450" s="595"/>
      <c r="C450" s="595"/>
      <c r="N450" s="159"/>
      <c r="R450" s="706"/>
    </row>
    <row r="451" spans="2:18" ht="15" customHeight="1">
      <c r="B451" s="595"/>
      <c r="C451" s="595"/>
      <c r="N451" s="159"/>
      <c r="R451" s="706"/>
    </row>
    <row r="452" spans="2:18" ht="15" customHeight="1">
      <c r="B452" s="595"/>
      <c r="C452" s="595"/>
      <c r="N452" s="159"/>
      <c r="R452" s="706"/>
    </row>
    <row r="453" spans="2:18" ht="15" customHeight="1">
      <c r="B453" s="595"/>
      <c r="C453" s="595"/>
      <c r="N453" s="159"/>
      <c r="R453" s="706"/>
    </row>
    <row r="454" spans="2:18" ht="15" customHeight="1">
      <c r="B454" s="595"/>
      <c r="C454" s="595"/>
      <c r="N454" s="159"/>
      <c r="R454" s="706"/>
    </row>
    <row r="455" spans="2:18" ht="15" customHeight="1">
      <c r="B455" s="595"/>
      <c r="C455" s="595"/>
      <c r="N455" s="159"/>
      <c r="R455" s="706"/>
    </row>
    <row r="456" spans="2:18" ht="15" customHeight="1">
      <c r="B456" s="595"/>
      <c r="C456" s="595"/>
      <c r="N456" s="159"/>
      <c r="R456" s="706"/>
    </row>
    <row r="457" spans="2:18" ht="15" customHeight="1">
      <c r="B457" s="595"/>
      <c r="C457" s="595"/>
      <c r="N457" s="159"/>
      <c r="R457" s="706"/>
    </row>
    <row r="458" spans="2:18" ht="15" customHeight="1">
      <c r="B458" s="595"/>
      <c r="C458" s="595"/>
      <c r="N458" s="159"/>
      <c r="R458" s="706"/>
    </row>
    <row r="459" spans="2:18" ht="15" customHeight="1">
      <c r="B459" s="595"/>
      <c r="C459" s="595"/>
      <c r="N459" s="159"/>
      <c r="R459" s="706"/>
    </row>
    <row r="460" spans="2:18" ht="15" customHeight="1">
      <c r="B460" s="595"/>
      <c r="C460" s="595"/>
      <c r="N460" s="159"/>
      <c r="R460" s="706"/>
    </row>
    <row r="461" spans="2:18" ht="15" customHeight="1">
      <c r="B461" s="595"/>
      <c r="C461" s="595"/>
      <c r="N461" s="159"/>
      <c r="R461" s="706"/>
    </row>
    <row r="462" spans="2:18" ht="15" customHeight="1">
      <c r="B462" s="595"/>
      <c r="C462" s="595"/>
      <c r="N462" s="159"/>
      <c r="R462" s="706"/>
    </row>
    <row r="463" spans="2:18" ht="15" customHeight="1">
      <c r="B463" s="595"/>
      <c r="C463" s="595"/>
      <c r="N463" s="159"/>
      <c r="R463" s="706"/>
    </row>
    <row r="464" spans="2:18" ht="15" customHeight="1">
      <c r="B464" s="595"/>
      <c r="C464" s="595"/>
      <c r="N464" s="159"/>
      <c r="R464" s="706"/>
    </row>
    <row r="465" spans="2:18" ht="15" customHeight="1">
      <c r="B465" s="595"/>
      <c r="C465" s="595"/>
      <c r="N465" s="159"/>
      <c r="R465" s="706"/>
    </row>
    <row r="466" spans="2:18" ht="15" customHeight="1">
      <c r="B466" s="595"/>
      <c r="C466" s="595"/>
      <c r="N466" s="159"/>
      <c r="R466" s="706"/>
    </row>
    <row r="467" spans="2:18" ht="15" customHeight="1">
      <c r="B467" s="595"/>
      <c r="C467" s="595"/>
      <c r="N467" s="159"/>
      <c r="R467" s="706"/>
    </row>
    <row r="468" spans="2:18" ht="15" customHeight="1">
      <c r="B468" s="595"/>
      <c r="C468" s="595"/>
      <c r="N468" s="159"/>
      <c r="R468" s="706"/>
    </row>
    <row r="469" spans="2:18" ht="15" customHeight="1">
      <c r="B469" s="595"/>
      <c r="C469" s="595"/>
      <c r="N469" s="159"/>
      <c r="R469" s="706"/>
    </row>
    <row r="470" spans="2:18" ht="15" customHeight="1">
      <c r="B470" s="595"/>
      <c r="C470" s="595"/>
      <c r="N470" s="159"/>
      <c r="R470" s="706"/>
    </row>
    <row r="471" spans="2:18" ht="15" customHeight="1">
      <c r="B471" s="595"/>
      <c r="C471" s="595"/>
      <c r="N471" s="159"/>
      <c r="R471" s="706"/>
    </row>
    <row r="472" spans="2:18" ht="15" customHeight="1">
      <c r="B472" s="595"/>
      <c r="C472" s="595"/>
      <c r="N472" s="159"/>
      <c r="R472" s="706"/>
    </row>
    <row r="473" spans="2:18" ht="15" customHeight="1">
      <c r="B473" s="595"/>
      <c r="C473" s="595"/>
      <c r="N473" s="159"/>
      <c r="R473" s="706"/>
    </row>
    <row r="474" spans="2:18" ht="15" customHeight="1">
      <c r="B474" s="595"/>
      <c r="C474" s="595"/>
      <c r="N474" s="159"/>
      <c r="R474" s="706"/>
    </row>
    <row r="475" spans="2:18" ht="15" customHeight="1">
      <c r="B475" s="595"/>
      <c r="C475" s="595"/>
      <c r="N475" s="159"/>
      <c r="R475" s="706"/>
    </row>
    <row r="476" spans="2:18" ht="15" customHeight="1">
      <c r="B476" s="595"/>
      <c r="C476" s="595"/>
      <c r="N476" s="159"/>
      <c r="R476" s="706"/>
    </row>
    <row r="477" spans="2:18" ht="15" customHeight="1">
      <c r="B477" s="595"/>
      <c r="C477" s="595"/>
      <c r="N477" s="159"/>
      <c r="R477" s="706"/>
    </row>
    <row r="478" spans="2:18" ht="15" customHeight="1">
      <c r="B478" s="595"/>
      <c r="C478" s="595"/>
      <c r="N478" s="159"/>
      <c r="R478" s="706"/>
    </row>
    <row r="479" spans="2:18" ht="15" customHeight="1">
      <c r="B479" s="595"/>
      <c r="C479" s="595"/>
      <c r="N479" s="159"/>
      <c r="R479" s="706"/>
    </row>
    <row r="480" spans="2:18" ht="15" customHeight="1">
      <c r="B480" s="595"/>
      <c r="C480" s="595"/>
      <c r="N480" s="159"/>
      <c r="R480" s="706"/>
    </row>
    <row r="481" spans="2:18" ht="15" customHeight="1">
      <c r="B481" s="595"/>
      <c r="C481" s="595"/>
      <c r="N481" s="159"/>
      <c r="R481" s="706"/>
    </row>
    <row r="482" spans="2:18" ht="15" customHeight="1">
      <c r="B482" s="595"/>
      <c r="C482" s="595"/>
      <c r="N482" s="159"/>
      <c r="R482" s="706"/>
    </row>
    <row r="483" spans="2:18" ht="15" customHeight="1">
      <c r="B483" s="595"/>
      <c r="C483" s="595"/>
      <c r="N483" s="159"/>
      <c r="R483" s="706"/>
    </row>
    <row r="484" spans="2:18" ht="15" customHeight="1">
      <c r="B484" s="595"/>
      <c r="C484" s="595"/>
      <c r="N484" s="159"/>
      <c r="R484" s="706"/>
    </row>
    <row r="485" spans="2:18" ht="15" customHeight="1">
      <c r="B485" s="595"/>
      <c r="C485" s="595"/>
      <c r="N485" s="159"/>
    </row>
    <row r="486" spans="2:18" ht="15" customHeight="1">
      <c r="B486" s="595"/>
      <c r="C486" s="595"/>
      <c r="N486" s="159"/>
    </row>
    <row r="487" spans="2:18" ht="15" customHeight="1">
      <c r="B487" s="595"/>
      <c r="C487" s="595"/>
      <c r="N487" s="159"/>
    </row>
    <row r="488" spans="2:18" ht="15" customHeight="1">
      <c r="B488" s="595"/>
      <c r="C488" s="595"/>
      <c r="N488" s="159"/>
    </row>
    <row r="489" spans="2:18" ht="15" customHeight="1">
      <c r="B489" s="595"/>
      <c r="C489" s="595"/>
      <c r="N489" s="159"/>
    </row>
    <row r="490" spans="2:18" ht="15" customHeight="1">
      <c r="B490" s="595"/>
      <c r="C490" s="595"/>
      <c r="N490" s="159"/>
    </row>
    <row r="491" spans="2:18" ht="15" customHeight="1">
      <c r="B491" s="595"/>
      <c r="C491" s="595"/>
      <c r="N491" s="159"/>
    </row>
    <row r="492" spans="2:18" ht="15" customHeight="1">
      <c r="B492" s="595"/>
      <c r="C492" s="595"/>
      <c r="N492" s="159"/>
    </row>
    <row r="493" spans="2:18" ht="15" customHeight="1">
      <c r="B493" s="595"/>
      <c r="C493" s="595"/>
      <c r="N493" s="159"/>
    </row>
    <row r="494" spans="2:18" ht="15" customHeight="1">
      <c r="B494" s="595"/>
      <c r="C494" s="595"/>
      <c r="N494" s="159"/>
    </row>
    <row r="495" spans="2:18" ht="15" customHeight="1">
      <c r="B495" s="595"/>
      <c r="C495" s="595"/>
      <c r="N495" s="159"/>
    </row>
    <row r="496" spans="2:18" ht="15" customHeight="1">
      <c r="B496" s="595"/>
      <c r="C496" s="595"/>
      <c r="N496" s="159"/>
    </row>
    <row r="497" spans="2:14" ht="15" customHeight="1">
      <c r="B497" s="595"/>
      <c r="C497" s="595"/>
      <c r="N497" s="159"/>
    </row>
    <row r="498" spans="2:14" ht="15" customHeight="1">
      <c r="B498" s="595"/>
      <c r="C498" s="595"/>
      <c r="N498" s="159"/>
    </row>
    <row r="499" spans="2:14" ht="15" customHeight="1">
      <c r="B499" s="595"/>
      <c r="C499" s="595"/>
      <c r="N499" s="159"/>
    </row>
    <row r="500" spans="2:14" ht="15" customHeight="1">
      <c r="B500" s="595"/>
      <c r="C500" s="595"/>
      <c r="N500" s="159"/>
    </row>
    <row r="501" spans="2:14" ht="15" customHeight="1">
      <c r="B501" s="595"/>
      <c r="C501" s="595"/>
      <c r="N501" s="159"/>
    </row>
    <row r="502" spans="2:14" ht="15" customHeight="1">
      <c r="B502" s="595"/>
      <c r="C502" s="595"/>
      <c r="N502" s="159"/>
    </row>
    <row r="503" spans="2:14" ht="15" customHeight="1">
      <c r="B503" s="595"/>
      <c r="C503" s="595"/>
      <c r="N503" s="159"/>
    </row>
    <row r="504" spans="2:14" ht="15" customHeight="1">
      <c r="B504" s="595"/>
      <c r="C504" s="595"/>
      <c r="N504" s="159"/>
    </row>
    <row r="505" spans="2:14" ht="15" customHeight="1">
      <c r="B505" s="595"/>
      <c r="C505" s="595"/>
      <c r="N505" s="159"/>
    </row>
    <row r="506" spans="2:14" ht="15" customHeight="1">
      <c r="B506" s="595"/>
      <c r="C506" s="595"/>
      <c r="N506" s="159"/>
    </row>
    <row r="507" spans="2:14" ht="15" customHeight="1">
      <c r="B507" s="595"/>
      <c r="C507" s="595"/>
      <c r="N507" s="159"/>
    </row>
    <row r="508" spans="2:14" ht="15" customHeight="1">
      <c r="B508" s="595"/>
      <c r="C508" s="595"/>
      <c r="N508" s="159"/>
    </row>
    <row r="509" spans="2:14" ht="15" customHeight="1">
      <c r="B509" s="595"/>
      <c r="C509" s="595"/>
      <c r="N509" s="159"/>
    </row>
    <row r="510" spans="2:14" ht="15" customHeight="1">
      <c r="B510" s="595"/>
      <c r="C510" s="595"/>
      <c r="N510" s="159"/>
    </row>
    <row r="511" spans="2:14" ht="15" customHeight="1">
      <c r="B511" s="595"/>
      <c r="C511" s="595"/>
      <c r="N511" s="159"/>
    </row>
    <row r="512" spans="2:14" ht="15" customHeight="1">
      <c r="B512" s="595"/>
      <c r="C512" s="595"/>
      <c r="N512" s="159"/>
    </row>
    <row r="513" spans="2:14" ht="15" customHeight="1">
      <c r="B513" s="595"/>
      <c r="C513" s="595"/>
      <c r="N513" s="159"/>
    </row>
    <row r="514" spans="2:14" ht="15" customHeight="1">
      <c r="B514" s="595"/>
      <c r="C514" s="595"/>
      <c r="N514" s="159"/>
    </row>
    <row r="515" spans="2:14" ht="15" customHeight="1">
      <c r="B515" s="595"/>
      <c r="C515" s="595"/>
      <c r="N515" s="159"/>
    </row>
    <row r="516" spans="2:14" ht="15" customHeight="1">
      <c r="B516" s="595"/>
      <c r="C516" s="595"/>
      <c r="N516" s="159"/>
    </row>
    <row r="517" spans="2:14" ht="15" customHeight="1">
      <c r="B517" s="595"/>
      <c r="C517" s="595"/>
      <c r="N517" s="159"/>
    </row>
    <row r="518" spans="2:14" ht="15" customHeight="1">
      <c r="B518" s="595"/>
      <c r="C518" s="595"/>
      <c r="N518" s="159"/>
    </row>
    <row r="519" spans="2:14" ht="15" customHeight="1">
      <c r="B519" s="595"/>
      <c r="C519" s="595"/>
      <c r="N519" s="159"/>
    </row>
    <row r="520" spans="2:14" ht="15" customHeight="1">
      <c r="B520" s="595"/>
      <c r="C520" s="595"/>
      <c r="N520" s="159"/>
    </row>
    <row r="521" spans="2:14" ht="15" customHeight="1">
      <c r="B521" s="595"/>
      <c r="C521" s="595"/>
      <c r="N521" s="159"/>
    </row>
    <row r="522" spans="2:14" ht="15" customHeight="1">
      <c r="B522" s="595"/>
      <c r="C522" s="595"/>
      <c r="N522" s="159"/>
    </row>
    <row r="523" spans="2:14" ht="15" customHeight="1">
      <c r="B523" s="595"/>
      <c r="C523" s="595"/>
      <c r="N523" s="159"/>
    </row>
    <row r="524" spans="2:14" ht="15" customHeight="1">
      <c r="B524" s="595"/>
      <c r="C524" s="595"/>
      <c r="N524" s="159"/>
    </row>
    <row r="525" spans="2:14" ht="15" customHeight="1">
      <c r="B525" s="595"/>
      <c r="C525" s="595"/>
      <c r="N525" s="159"/>
    </row>
    <row r="526" spans="2:14" ht="15" customHeight="1">
      <c r="B526" s="595"/>
      <c r="C526" s="595"/>
      <c r="N526" s="159"/>
    </row>
    <row r="527" spans="2:14" ht="15" customHeight="1">
      <c r="B527" s="595"/>
      <c r="C527" s="595"/>
      <c r="N527" s="159"/>
    </row>
    <row r="528" spans="2:14" ht="15" customHeight="1">
      <c r="B528" s="595"/>
      <c r="C528" s="595"/>
      <c r="N528" s="159"/>
    </row>
    <row r="529" spans="2:14" ht="15" customHeight="1">
      <c r="B529" s="595"/>
      <c r="C529" s="595"/>
      <c r="N529" s="159"/>
    </row>
    <row r="530" spans="2:14" ht="15" customHeight="1">
      <c r="B530" s="595"/>
      <c r="C530" s="595"/>
      <c r="N530" s="159"/>
    </row>
    <row r="531" spans="2:14" ht="15" customHeight="1">
      <c r="B531" s="595"/>
      <c r="C531" s="595"/>
      <c r="N531" s="159"/>
    </row>
    <row r="532" spans="2:14" ht="15" customHeight="1">
      <c r="B532" s="595"/>
      <c r="C532" s="595"/>
      <c r="N532" s="159"/>
    </row>
    <row r="533" spans="2:14" ht="15" customHeight="1">
      <c r="B533" s="595"/>
      <c r="C533" s="595"/>
      <c r="N533" s="159"/>
    </row>
    <row r="534" spans="2:14" ht="15" customHeight="1">
      <c r="B534" s="595"/>
      <c r="C534" s="595"/>
      <c r="N534" s="159"/>
    </row>
    <row r="535" spans="2:14" ht="15" customHeight="1">
      <c r="B535" s="595"/>
      <c r="C535" s="595"/>
      <c r="N535" s="159"/>
    </row>
    <row r="536" spans="2:14" ht="15" customHeight="1">
      <c r="B536" s="595"/>
      <c r="C536" s="595"/>
      <c r="N536" s="159"/>
    </row>
    <row r="537" spans="2:14" ht="15" customHeight="1">
      <c r="B537" s="595"/>
      <c r="C537" s="595"/>
      <c r="N537" s="159"/>
    </row>
    <row r="538" spans="2:14" ht="15" customHeight="1">
      <c r="B538" s="595"/>
      <c r="C538" s="595"/>
      <c r="N538" s="159"/>
    </row>
    <row r="539" spans="2:14" ht="15" customHeight="1">
      <c r="B539" s="595"/>
      <c r="C539" s="595"/>
      <c r="N539" s="159"/>
    </row>
    <row r="540" spans="2:14" ht="15" customHeight="1">
      <c r="B540" s="595"/>
      <c r="C540" s="595"/>
      <c r="N540" s="159"/>
    </row>
    <row r="541" spans="2:14" ht="15" customHeight="1">
      <c r="B541" s="595"/>
      <c r="C541" s="595"/>
      <c r="N541" s="159"/>
    </row>
    <row r="542" spans="2:14" ht="15" customHeight="1">
      <c r="B542" s="595"/>
      <c r="C542" s="595"/>
      <c r="N542" s="159"/>
    </row>
    <row r="543" spans="2:14" ht="15" customHeight="1">
      <c r="B543" s="595"/>
      <c r="C543" s="595"/>
      <c r="N543" s="159"/>
    </row>
    <row r="544" spans="2:14" ht="15" customHeight="1">
      <c r="B544" s="595"/>
      <c r="C544" s="595"/>
      <c r="N544" s="159"/>
    </row>
    <row r="545" spans="2:14" ht="15" customHeight="1">
      <c r="B545" s="595"/>
      <c r="C545" s="595"/>
      <c r="N545" s="159"/>
    </row>
    <row r="546" spans="2:14" ht="15" customHeight="1">
      <c r="B546" s="595"/>
      <c r="C546" s="595"/>
      <c r="N546" s="159"/>
    </row>
    <row r="547" spans="2:14" ht="15" customHeight="1">
      <c r="B547" s="595"/>
      <c r="C547" s="595"/>
      <c r="N547" s="159"/>
    </row>
    <row r="548" spans="2:14" ht="15" customHeight="1">
      <c r="B548" s="595"/>
      <c r="C548" s="595"/>
      <c r="N548" s="159"/>
    </row>
    <row r="549" spans="2:14" ht="15" customHeight="1">
      <c r="B549" s="595"/>
      <c r="C549" s="595"/>
      <c r="N549" s="159"/>
    </row>
    <row r="550" spans="2:14" ht="15" customHeight="1">
      <c r="B550" s="595"/>
      <c r="C550" s="595"/>
      <c r="N550" s="159"/>
    </row>
    <row r="551" spans="2:14" ht="15" customHeight="1">
      <c r="B551" s="595"/>
      <c r="C551" s="595"/>
      <c r="N551" s="159"/>
    </row>
    <row r="552" spans="2:14" ht="15" customHeight="1">
      <c r="B552" s="595"/>
      <c r="C552" s="595"/>
      <c r="N552" s="159"/>
    </row>
    <row r="553" spans="2:14" ht="15" customHeight="1">
      <c r="B553" s="595"/>
      <c r="C553" s="595"/>
      <c r="N553" s="159"/>
    </row>
    <row r="554" spans="2:14" ht="15" customHeight="1">
      <c r="B554" s="595"/>
      <c r="C554" s="595"/>
      <c r="N554" s="159"/>
    </row>
    <row r="555" spans="2:14" ht="15" customHeight="1">
      <c r="B555" s="595"/>
      <c r="C555" s="595"/>
      <c r="N555" s="159"/>
    </row>
    <row r="556" spans="2:14" ht="15" customHeight="1">
      <c r="B556" s="595"/>
      <c r="C556" s="595"/>
      <c r="N556" s="159"/>
    </row>
    <row r="557" spans="2:14" ht="15" customHeight="1">
      <c r="B557" s="595"/>
      <c r="C557" s="595"/>
      <c r="N557" s="159"/>
    </row>
    <row r="558" spans="2:14" ht="15" customHeight="1">
      <c r="B558" s="595"/>
      <c r="C558" s="595"/>
      <c r="N558" s="159"/>
    </row>
    <row r="559" spans="2:14" ht="15" customHeight="1">
      <c r="B559" s="595"/>
      <c r="C559" s="595"/>
      <c r="N559" s="159"/>
    </row>
    <row r="560" spans="2:14" ht="15" customHeight="1">
      <c r="B560" s="595"/>
      <c r="C560" s="595"/>
      <c r="N560" s="159"/>
    </row>
    <row r="561" spans="2:14" ht="15" customHeight="1">
      <c r="B561" s="595"/>
      <c r="C561" s="595"/>
      <c r="N561" s="159"/>
    </row>
    <row r="562" spans="2:14" ht="15" customHeight="1">
      <c r="B562" s="595"/>
      <c r="C562" s="595"/>
      <c r="N562" s="159"/>
    </row>
    <row r="563" spans="2:14" ht="15" customHeight="1">
      <c r="B563" s="595"/>
      <c r="C563" s="595"/>
      <c r="N563" s="159"/>
    </row>
    <row r="564" spans="2:14" ht="15" customHeight="1">
      <c r="B564" s="595"/>
      <c r="C564" s="595"/>
      <c r="N564" s="159"/>
    </row>
    <row r="565" spans="2:14" ht="15" customHeight="1">
      <c r="B565" s="595"/>
      <c r="C565" s="595"/>
      <c r="N565" s="159"/>
    </row>
    <row r="566" spans="2:14" ht="15" customHeight="1">
      <c r="B566" s="595"/>
      <c r="C566" s="595"/>
      <c r="N566" s="159"/>
    </row>
    <row r="567" spans="2:14" ht="15" customHeight="1">
      <c r="B567" s="595"/>
      <c r="C567" s="595"/>
      <c r="N567" s="159"/>
    </row>
    <row r="568" spans="2:14" ht="15" customHeight="1">
      <c r="B568" s="595"/>
      <c r="C568" s="595"/>
      <c r="N568" s="159"/>
    </row>
    <row r="569" spans="2:14" ht="15" customHeight="1">
      <c r="B569" s="595"/>
      <c r="C569" s="595"/>
      <c r="N569" s="159"/>
    </row>
    <row r="570" spans="2:14" ht="15" customHeight="1">
      <c r="B570" s="595"/>
      <c r="C570" s="595"/>
      <c r="N570" s="159"/>
    </row>
    <row r="571" spans="2:14" ht="15" customHeight="1">
      <c r="B571" s="595"/>
      <c r="C571" s="595"/>
      <c r="N571" s="159"/>
    </row>
    <row r="572" spans="2:14" ht="15" customHeight="1">
      <c r="B572" s="595"/>
      <c r="C572" s="595"/>
      <c r="N572" s="159"/>
    </row>
    <row r="573" spans="2:14" ht="15" customHeight="1">
      <c r="B573" s="595"/>
      <c r="C573" s="595"/>
      <c r="N573" s="159"/>
    </row>
    <row r="574" spans="2:14" ht="15" customHeight="1">
      <c r="B574" s="595"/>
      <c r="C574" s="595"/>
      <c r="N574" s="159"/>
    </row>
    <row r="575" spans="2:14" ht="15" customHeight="1">
      <c r="B575" s="595"/>
      <c r="C575" s="595"/>
      <c r="N575" s="159"/>
    </row>
    <row r="576" spans="2:14" ht="15" customHeight="1">
      <c r="N576" s="159"/>
    </row>
    <row r="577" spans="14:14" ht="15" customHeight="1">
      <c r="N577" s="159"/>
    </row>
    <row r="578" spans="14:14" ht="15" customHeight="1">
      <c r="N578" s="159"/>
    </row>
    <row r="579" spans="14:14" ht="15" customHeight="1">
      <c r="N579" s="159"/>
    </row>
    <row r="580" spans="14:14" ht="15" customHeight="1">
      <c r="N580" s="159"/>
    </row>
    <row r="581" spans="14:14" ht="15" customHeight="1">
      <c r="N581" s="159"/>
    </row>
    <row r="582" spans="14:14" ht="15" customHeight="1">
      <c r="N582" s="159"/>
    </row>
    <row r="583" spans="14:14" ht="15" customHeight="1">
      <c r="N583" s="159"/>
    </row>
    <row r="584" spans="14:14" ht="15" customHeight="1">
      <c r="N584" s="159"/>
    </row>
    <row r="585" spans="14:14" ht="15" customHeight="1">
      <c r="N585" s="159"/>
    </row>
    <row r="586" spans="14:14" ht="15" customHeight="1">
      <c r="N586" s="159"/>
    </row>
    <row r="587" spans="14:14" ht="15" customHeight="1">
      <c r="N587" s="159"/>
    </row>
    <row r="588" spans="14:14" ht="15" customHeight="1">
      <c r="N588" s="159"/>
    </row>
    <row r="589" spans="14:14" ht="15" customHeight="1">
      <c r="N589" s="159"/>
    </row>
    <row r="590" spans="14:14" ht="15" customHeight="1">
      <c r="N590" s="159"/>
    </row>
    <row r="591" spans="14:14" ht="15" customHeight="1">
      <c r="N591" s="159"/>
    </row>
    <row r="592" spans="14:14" ht="15" customHeight="1">
      <c r="N592" s="159"/>
    </row>
    <row r="593" spans="14:14" ht="15" customHeight="1">
      <c r="N593" s="159"/>
    </row>
    <row r="594" spans="14:14" ht="15" customHeight="1">
      <c r="N594" s="159"/>
    </row>
    <row r="595" spans="14:14" ht="15" customHeight="1">
      <c r="N595" s="159"/>
    </row>
    <row r="596" spans="14:14" ht="15" customHeight="1">
      <c r="N596" s="159"/>
    </row>
    <row r="597" spans="14:14" ht="15" customHeight="1">
      <c r="N597" s="159"/>
    </row>
    <row r="598" spans="14:14" ht="15" customHeight="1">
      <c r="N598" s="159"/>
    </row>
    <row r="599" spans="14:14" ht="15" customHeight="1">
      <c r="N599" s="159"/>
    </row>
    <row r="600" spans="14:14" ht="15" customHeight="1">
      <c r="N600" s="159"/>
    </row>
    <row r="601" spans="14:14" ht="15" customHeight="1">
      <c r="N601" s="159"/>
    </row>
    <row r="602" spans="14:14" ht="15" customHeight="1">
      <c r="N602" s="159"/>
    </row>
    <row r="603" spans="14:14" ht="15" customHeight="1">
      <c r="N603" s="159"/>
    </row>
    <row r="604" spans="14:14" ht="15" customHeight="1">
      <c r="N604" s="159"/>
    </row>
    <row r="605" spans="14:14" ht="15" customHeight="1">
      <c r="N605" s="159"/>
    </row>
    <row r="606" spans="14:14" ht="15" customHeight="1">
      <c r="N606" s="159"/>
    </row>
    <row r="607" spans="14:14" ht="15" customHeight="1">
      <c r="N607" s="159"/>
    </row>
    <row r="608" spans="14:14" ht="15" customHeight="1">
      <c r="N608" s="159"/>
    </row>
    <row r="609" spans="14:14" ht="15" customHeight="1">
      <c r="N609" s="159"/>
    </row>
    <row r="610" spans="14:14" ht="15" customHeight="1">
      <c r="N610" s="159"/>
    </row>
    <row r="611" spans="14:14" ht="15" customHeight="1">
      <c r="N611" s="159"/>
    </row>
    <row r="612" spans="14:14" ht="15" customHeight="1">
      <c r="N612" s="159"/>
    </row>
    <row r="613" spans="14:14" ht="15" customHeight="1">
      <c r="N613" s="159"/>
    </row>
    <row r="614" spans="14:14" ht="15" customHeight="1">
      <c r="N614" s="159"/>
    </row>
    <row r="615" spans="14:14" ht="15" customHeight="1">
      <c r="N615" s="159"/>
    </row>
    <row r="616" spans="14:14" ht="15" customHeight="1">
      <c r="N616" s="159"/>
    </row>
    <row r="617" spans="14:14" ht="15" customHeight="1">
      <c r="N617" s="159"/>
    </row>
    <row r="618" spans="14:14" ht="15" customHeight="1">
      <c r="N618" s="159"/>
    </row>
    <row r="619" spans="14:14" ht="15" customHeight="1">
      <c r="N619" s="159"/>
    </row>
    <row r="620" spans="14:14" ht="15" customHeight="1">
      <c r="N620" s="159"/>
    </row>
    <row r="621" spans="14:14" ht="15" customHeight="1">
      <c r="N621" s="159"/>
    </row>
    <row r="622" spans="14:14" ht="15" customHeight="1">
      <c r="N622" s="159"/>
    </row>
    <row r="623" spans="14:14" ht="15" customHeight="1">
      <c r="N623" s="159"/>
    </row>
    <row r="624" spans="14:14" ht="15" customHeight="1">
      <c r="N624" s="159"/>
    </row>
    <row r="625" spans="14:14" ht="15" customHeight="1">
      <c r="N625" s="159"/>
    </row>
    <row r="626" spans="14:14" ht="15" customHeight="1">
      <c r="N626" s="159"/>
    </row>
    <row r="627" spans="14:14" ht="15" customHeight="1">
      <c r="N627" s="159"/>
    </row>
    <row r="628" spans="14:14" ht="15" customHeight="1">
      <c r="N628" s="159"/>
    </row>
    <row r="629" spans="14:14" ht="15" customHeight="1">
      <c r="N629" s="159"/>
    </row>
    <row r="630" spans="14:14" ht="15" customHeight="1">
      <c r="N630" s="159"/>
    </row>
    <row r="631" spans="14:14" ht="15" customHeight="1">
      <c r="N631" s="159"/>
    </row>
    <row r="632" spans="14:14" ht="15" customHeight="1">
      <c r="N632" s="159"/>
    </row>
    <row r="633" spans="14:14" ht="15" customHeight="1">
      <c r="N633" s="159"/>
    </row>
    <row r="634" spans="14:14" ht="15" customHeight="1">
      <c r="N634" s="159"/>
    </row>
    <row r="635" spans="14:14" ht="15" customHeight="1">
      <c r="N635" s="159"/>
    </row>
    <row r="636" spans="14:14" ht="15" customHeight="1">
      <c r="N636" s="159"/>
    </row>
    <row r="637" spans="14:14" ht="15" customHeight="1">
      <c r="N637" s="159"/>
    </row>
    <row r="638" spans="14:14" ht="15" customHeight="1">
      <c r="N638" s="159"/>
    </row>
    <row r="639" spans="14:14" ht="15" customHeight="1">
      <c r="N639" s="159"/>
    </row>
    <row r="640" spans="14:14" ht="15" customHeight="1">
      <c r="N640" s="159"/>
    </row>
    <row r="641" spans="14:14" ht="15" customHeight="1">
      <c r="N641" s="159"/>
    </row>
    <row r="642" spans="14:14" ht="15" customHeight="1">
      <c r="N642" s="159"/>
    </row>
    <row r="643" spans="14:14" ht="15" customHeight="1">
      <c r="N643" s="159"/>
    </row>
    <row r="644" spans="14:14" ht="15" customHeight="1">
      <c r="N644" s="159"/>
    </row>
    <row r="645" spans="14:14" ht="15" customHeight="1">
      <c r="N645" s="159"/>
    </row>
    <row r="646" spans="14:14" ht="15" customHeight="1">
      <c r="N646" s="159"/>
    </row>
    <row r="647" spans="14:14" ht="15" customHeight="1">
      <c r="N647" s="159"/>
    </row>
    <row r="648" spans="14:14" ht="15" customHeight="1">
      <c r="N648" s="159"/>
    </row>
    <row r="649" spans="14:14" ht="15" customHeight="1">
      <c r="N649" s="159"/>
    </row>
    <row r="650" spans="14:14" ht="15" customHeight="1">
      <c r="N650" s="159"/>
    </row>
    <row r="651" spans="14:14" ht="15" customHeight="1">
      <c r="N651" s="159"/>
    </row>
    <row r="652" spans="14:14" ht="15" customHeight="1">
      <c r="N652" s="159"/>
    </row>
    <row r="653" spans="14:14" ht="15" customHeight="1">
      <c r="N653" s="159"/>
    </row>
    <row r="654" spans="14:14" ht="15" customHeight="1">
      <c r="N654" s="159"/>
    </row>
    <row r="655" spans="14:14" ht="15" customHeight="1">
      <c r="N655" s="159"/>
    </row>
    <row r="656" spans="14:14" ht="15" customHeight="1">
      <c r="N656" s="159"/>
    </row>
    <row r="657" spans="14:14" ht="15" customHeight="1">
      <c r="N657" s="159"/>
    </row>
    <row r="658" spans="14:14" ht="15" customHeight="1">
      <c r="N658" s="159"/>
    </row>
    <row r="659" spans="14:14" ht="15" customHeight="1">
      <c r="N659" s="159"/>
    </row>
    <row r="660" spans="14:14" ht="15" customHeight="1">
      <c r="N660" s="159"/>
    </row>
    <row r="661" spans="14:14" ht="15" customHeight="1">
      <c r="N661" s="159"/>
    </row>
    <row r="662" spans="14:14" ht="15" customHeight="1">
      <c r="N662" s="159"/>
    </row>
    <row r="663" spans="14:14" ht="15" customHeight="1">
      <c r="N663" s="159"/>
    </row>
    <row r="664" spans="14:14" ht="15" customHeight="1">
      <c r="N664" s="159"/>
    </row>
    <row r="665" spans="14:14" ht="15" customHeight="1">
      <c r="N665" s="159"/>
    </row>
    <row r="666" spans="14:14" ht="15" customHeight="1">
      <c r="N666" s="159"/>
    </row>
    <row r="667" spans="14:14" ht="15" customHeight="1">
      <c r="N667" s="159"/>
    </row>
    <row r="668" spans="14:14" ht="15" customHeight="1">
      <c r="N668" s="159"/>
    </row>
    <row r="669" spans="14:14" ht="15" customHeight="1">
      <c r="N669" s="159"/>
    </row>
    <row r="670" spans="14:14" ht="15" customHeight="1">
      <c r="N670" s="159"/>
    </row>
    <row r="671" spans="14:14" ht="15" customHeight="1">
      <c r="N671" s="159"/>
    </row>
    <row r="672" spans="14:14" ht="15" customHeight="1">
      <c r="N672" s="159"/>
    </row>
    <row r="673" spans="14:14" ht="15" customHeight="1">
      <c r="N673" s="159"/>
    </row>
    <row r="674" spans="14:14" ht="15" customHeight="1">
      <c r="N674" s="159"/>
    </row>
    <row r="675" spans="14:14" ht="15" customHeight="1">
      <c r="N675" s="159"/>
    </row>
    <row r="676" spans="14:14" ht="15" customHeight="1">
      <c r="N676" s="159"/>
    </row>
    <row r="677" spans="14:14" ht="15" customHeight="1">
      <c r="N677" s="159"/>
    </row>
  </sheetData>
  <autoFilter ref="A3:AL4" xr:uid="{00000000-0009-0000-0000-000001000000}">
    <sortState xmlns:xlrd2="http://schemas.microsoft.com/office/spreadsheetml/2017/richdata2" ref="A4:AL19">
      <sortCondition ref="A3:A4"/>
    </sortState>
  </autoFilter>
  <pageMargins left="0.7" right="0.7" top="0.75" bottom="0.75" header="0" footer="0"/>
  <pageSetup scale="16" fitToHeight="0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>
    <tabColor rgb="FF00B050"/>
    <pageSetUpPr fitToPage="1"/>
  </sheetPr>
  <dimension ref="A1:AL526"/>
  <sheetViews>
    <sheetView showGridLines="0" zoomScale="96" workbookViewId="0">
      <pane xSplit="1" ySplit="3" topLeftCell="B70" activePane="bottomRight" state="frozen"/>
      <selection pane="topRight" activeCell="B1" sqref="B1"/>
      <selection pane="bottomLeft" activeCell="A4" sqref="A4"/>
      <selection pane="bottomRight" activeCell="C2" sqref="C2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style="773" customWidth="1"/>
    <col min="34" max="34" width="20.33203125" customWidth="1"/>
    <col min="35" max="35" width="14.44140625" customWidth="1"/>
    <col min="36" max="36" width="17.5546875" customWidth="1"/>
    <col min="37" max="37" width="5.109375" customWidth="1"/>
    <col min="38" max="38" width="14.44140625" customWidth="1"/>
  </cols>
  <sheetData>
    <row r="1" spans="1:38" ht="15" customHeight="1" thickBot="1">
      <c r="A1" s="677"/>
      <c r="D1" s="1075" t="s">
        <v>1906</v>
      </c>
      <c r="E1" s="1076">
        <f>+AL3</f>
        <v>412608.9626343936</v>
      </c>
      <c r="F1" s="79"/>
      <c r="G1" s="80"/>
      <c r="H1" s="81"/>
      <c r="I1" s="843">
        <f>694.28</f>
        <v>694.28</v>
      </c>
      <c r="K1" s="1061"/>
      <c r="L1" s="1007"/>
      <c r="AB1" s="83"/>
      <c r="AC1" s="758"/>
      <c r="AD1" s="83"/>
      <c r="AE1" s="83"/>
      <c r="AF1" s="83"/>
      <c r="AG1" s="768" t="s">
        <v>34</v>
      </c>
      <c r="AH1" s="701" t="s">
        <v>1001</v>
      </c>
      <c r="AI1" s="699" t="s">
        <v>36</v>
      </c>
      <c r="AJ1" s="87" t="s">
        <v>37</v>
      </c>
      <c r="AK1" s="88"/>
      <c r="AL1" s="89" t="s">
        <v>38</v>
      </c>
    </row>
    <row r="2" spans="1:38" ht="15" customHeight="1" thickBot="1">
      <c r="C2" s="847"/>
      <c r="D2" s="1075" t="s">
        <v>1907</v>
      </c>
      <c r="E2" s="1076">
        <f>+AH3</f>
        <v>5768.9923871779229</v>
      </c>
      <c r="F2" s="1079" t="s">
        <v>1908</v>
      </c>
      <c r="G2" s="1080">
        <f>+Q2</f>
        <v>89.975967980415973</v>
      </c>
      <c r="H2" s="90"/>
      <c r="I2" s="91">
        <f>SUBTOTAL(9,I4:I8821)</f>
        <v>694.28000000000031</v>
      </c>
      <c r="J2" s="81"/>
      <c r="K2" s="91">
        <f>SUBTOTAL(9,K4:K8821)</f>
        <v>651.11548000000016</v>
      </c>
      <c r="L2" s="93">
        <f>SUMPRODUCT(L5:L8821,K5:K8821)/K2</f>
        <v>0.2872536214006155</v>
      </c>
      <c r="M2" s="6"/>
      <c r="P2" s="94">
        <f>+SUMPRODUCT(P5:P8821,AG5:AG8821)/SUM(AG5:AG8821)</f>
        <v>89.517742139357807</v>
      </c>
      <c r="Q2" s="94">
        <f>+SUMPRODUCT(Q5:Q8821,AH5:AH8821)/SUM(AH5:AH8821)</f>
        <v>89.975967980415973</v>
      </c>
      <c r="R2" s="89">
        <f>+SUMPRODUCT(R5:R8821,AH5:AH8821)/SUM(AH5:AH8821)</f>
        <v>2952.3709203916992</v>
      </c>
      <c r="S2" s="6"/>
      <c r="AB2" s="83"/>
      <c r="AC2" s="83"/>
      <c r="AD2" s="83"/>
      <c r="AE2" s="83"/>
      <c r="AF2" s="83"/>
      <c r="AG2" s="769">
        <f>SUMPRODUCT($AG5:$AG8821,$K5:$K8821)/SUM($K5:$K8821)</f>
        <v>63.401455926465701</v>
      </c>
      <c r="AH2" s="702"/>
      <c r="AI2" s="252">
        <v>3000</v>
      </c>
      <c r="AJ2" s="98"/>
      <c r="AK2" s="88"/>
      <c r="AL2" s="99"/>
    </row>
    <row r="3" spans="1:38" ht="15" customHeight="1" thickBot="1">
      <c r="A3" s="678" t="s">
        <v>11</v>
      </c>
      <c r="B3" s="678" t="s">
        <v>39</v>
      </c>
      <c r="C3" s="678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18">
        <f>SUBTOTAL(9,AH5:AH8821)</f>
        <v>5768.9923871779229</v>
      </c>
      <c r="AI3" s="700">
        <f>SUMPRODUCT(K5:K8821,AI5:AI8821)/K2</f>
        <v>41.798874916534949</v>
      </c>
      <c r="AJ3" s="118">
        <f>SUBTOTAL(9,AJ5:AJ8821)</f>
        <v>5607.6950835738598</v>
      </c>
      <c r="AK3" s="88"/>
      <c r="AL3" s="118">
        <f>SUBTOTAL(9,AL5:AL8821)</f>
        <v>412608.9626343936</v>
      </c>
    </row>
    <row r="4" spans="1:38" s="677" customFormat="1" ht="15.75" customHeight="1">
      <c r="A4" s="720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4"/>
      <c r="AJ4" s="675"/>
      <c r="AK4" s="676"/>
      <c r="AL4" s="732"/>
    </row>
    <row r="5" spans="1:38" ht="15" customHeight="1">
      <c r="A5" s="857" t="s">
        <v>2061</v>
      </c>
      <c r="B5" s="1136">
        <v>45715</v>
      </c>
      <c r="C5" s="595">
        <v>45711</v>
      </c>
      <c r="D5" t="s">
        <v>145</v>
      </c>
      <c r="E5" t="e">
        <f>_xlfn.XLOOKUP(D5,RUC!$B$3:$B$123,RUC!$D$3:$D$123)</f>
        <v>#N/A</v>
      </c>
      <c r="G5" s="80">
        <v>57</v>
      </c>
      <c r="H5" t="s">
        <v>69</v>
      </c>
      <c r="I5" s="596">
        <v>5.79</v>
      </c>
      <c r="J5" s="596">
        <v>1.1000000000000001</v>
      </c>
      <c r="K5" s="138">
        <f t="shared" ref="K5:K60" si="0">+I5-(I5*(J5/100))</f>
        <v>5.7263099999999998</v>
      </c>
      <c r="L5" s="139">
        <v>0.36199999999999999</v>
      </c>
      <c r="M5" s="139">
        <v>0.34</v>
      </c>
      <c r="N5" s="159">
        <v>0.34</v>
      </c>
      <c r="O5" s="645">
        <f t="shared" ref="O5:O60" si="1">+ROUND((M5+N5)/2,3)</f>
        <v>0.34</v>
      </c>
      <c r="P5" s="727">
        <v>90</v>
      </c>
      <c r="Q5">
        <v>90.22</v>
      </c>
      <c r="R5" s="706">
        <v>2931.9</v>
      </c>
      <c r="S5" s="765">
        <f t="shared" ref="S5:S7" si="2">IF((90+ROUNDDOWN(O5,1)*100)&lt;95,95,(90+ROUNDDOWN(O5,1)*100))</f>
        <v>120</v>
      </c>
      <c r="U5" s="1066">
        <v>120</v>
      </c>
      <c r="V5" s="715">
        <v>1.1023000000000001</v>
      </c>
      <c r="Y5">
        <v>20</v>
      </c>
      <c r="Z5" s="143">
        <f t="shared" ref="Z5:Z8" si="3"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 t="shared" ref="AA5:AA60" si="4">+Y5+Z5</f>
        <v>50</v>
      </c>
      <c r="AB5" s="145">
        <f t="shared" ref="AB5:AB7" si="5">+((O5*P5*(R5-U5)/100)-S5-AA5+T5)*V5</f>
        <v>761.07355522000023</v>
      </c>
      <c r="AC5" s="145">
        <f>+(S5-T5)*V5-'data 1'!$F$4</f>
        <v>52.27600000000001</v>
      </c>
      <c r="AD5" s="145">
        <f t="shared" ref="AD5:AD60" si="6">+(Q5-P5)*(R5-U5)*L5*V5/100</f>
        <v>2.4684874894679876</v>
      </c>
      <c r="AE5" s="145">
        <f t="shared" ref="AE5:AE60" si="7">+(Y5*V5-70)+V5*(Z5-IF(D5="UNTUCA",IF(+((W5-3)*2.5+(X5-3)*3.1)&gt;0,+((W5-3)*1.5+(X5-3)*3.1),0),IF(+((W5-3)*1.5+(X5-3)*3.1)&gt;0,+((W5-3)*1.5+(X5-3)*3.1),0)))</f>
        <v>-14.884999999999998</v>
      </c>
      <c r="AF5" s="145">
        <f t="shared" ref="AF5:AF60" si="8">(L5-O5)*(R5-U5)*Q5*V5/100</f>
        <v>61.521254502707905</v>
      </c>
      <c r="AG5" s="772">
        <f t="shared" ref="AG5:AG14" si="9">+IF(D5="RONALD WILLIAN GARIBAY ESCUDERO",AC5+AD5+AE5+AF5+70,AC5+AD5+AE5+AF5)+70-53</f>
        <v>118.3807419921759</v>
      </c>
      <c r="AH5" s="146">
        <f t="shared" ref="AH5:AH60" si="10">31.1035*L5*Q5*1.1023*K5/100</f>
        <v>64.120266377667292</v>
      </c>
      <c r="AI5" s="156">
        <f t="shared" ref="AI5:AI60" si="11">+((+$AI$2-R5+U5)*L5*Q5*V5)/100</f>
        <v>67.717356524531965</v>
      </c>
      <c r="AJ5" s="156">
        <f t="shared" ref="AJ5:AJ60" si="12">31.1035*1.1023*K5*P5*O5/100</f>
        <v>60.076600696046228</v>
      </c>
      <c r="AK5" s="88"/>
      <c r="AL5" s="716">
        <f t="shared" ref="AL5:AL60" si="13">+IF(AB5*K5&gt;0,AB5*K5,0)</f>
        <v>4358.1431099918391</v>
      </c>
    </row>
    <row r="6" spans="1:38" ht="15" customHeight="1">
      <c r="A6" s="857" t="s">
        <v>1862</v>
      </c>
      <c r="B6" s="595">
        <v>45714</v>
      </c>
      <c r="C6" s="595">
        <v>45711</v>
      </c>
      <c r="D6" t="s">
        <v>1869</v>
      </c>
      <c r="E6">
        <f>_xlfn.XLOOKUP(D6,RUC!$B$3:$B$123,RUC!$D$3:$D$123)</f>
        <v>10756747652</v>
      </c>
      <c r="G6" s="80" t="s">
        <v>1434</v>
      </c>
      <c r="H6" t="s">
        <v>69</v>
      </c>
      <c r="I6" s="596">
        <v>40.31</v>
      </c>
      <c r="J6" s="596">
        <v>3.35</v>
      </c>
      <c r="K6" s="138">
        <f t="shared" si="0"/>
        <v>38.959614999999999</v>
      </c>
      <c r="L6" s="139">
        <v>0.16200000000000001</v>
      </c>
      <c r="M6" s="139">
        <v>0.152</v>
      </c>
      <c r="N6" s="159">
        <v>0.152</v>
      </c>
      <c r="O6" s="645">
        <f t="shared" si="1"/>
        <v>0.152</v>
      </c>
      <c r="P6" s="727">
        <v>85</v>
      </c>
      <c r="Q6" s="596">
        <v>90.2</v>
      </c>
      <c r="R6" s="706">
        <v>2931.9</v>
      </c>
      <c r="S6" s="842">
        <f>IF((85+ROUNDDOWN(O6,1)*100)&lt;95,95,(85+ROUNDDOWN(O6,1)*100))</f>
        <v>95</v>
      </c>
      <c r="U6" s="1024">
        <v>90</v>
      </c>
      <c r="V6" s="715">
        <v>1.1023000000000001</v>
      </c>
      <c r="Z6" s="709">
        <v>25</v>
      </c>
      <c r="AA6" s="144">
        <f t="shared" si="4"/>
        <v>25</v>
      </c>
      <c r="AB6" s="145">
        <f t="shared" si="5"/>
        <v>272.45932700399999</v>
      </c>
      <c r="AC6" s="145">
        <f>+(S6-T6)*V6-'data 1'!$F$4</f>
        <v>24.718500000000006</v>
      </c>
      <c r="AD6" s="145">
        <f t="shared" si="6"/>
        <v>26.389244540880018</v>
      </c>
      <c r="AE6" s="145">
        <f t="shared" si="7"/>
        <v>-42.442499999999995</v>
      </c>
      <c r="AF6" s="145">
        <f t="shared" si="8"/>
        <v>28.256289857400031</v>
      </c>
      <c r="AG6" s="772">
        <f>+IF(D6="RONALD WILLIAN GARIBAY ESCUDERO",AC6+AD6+AE6+AF6+70,AC6+AD6+AE6+AF6)+70</f>
        <v>106.92153439828006</v>
      </c>
      <c r="AH6" s="146">
        <f t="shared" si="10"/>
        <v>195.18447815312638</v>
      </c>
      <c r="AI6" s="156">
        <f t="shared" si="11"/>
        <v>25.465559910119993</v>
      </c>
      <c r="AJ6" s="156">
        <f t="shared" si="12"/>
        <v>172.57832099712522</v>
      </c>
      <c r="AK6" s="88"/>
      <c r="AL6" s="716">
        <f t="shared" si="13"/>
        <v>10614.910483234942</v>
      </c>
    </row>
    <row r="7" spans="1:38" ht="15" customHeight="1">
      <c r="A7" s="857" t="s">
        <v>1866</v>
      </c>
      <c r="B7" s="595">
        <v>45716</v>
      </c>
      <c r="C7" s="595">
        <v>45712</v>
      </c>
      <c r="D7" t="s">
        <v>1402</v>
      </c>
      <c r="E7">
        <f>_xlfn.XLOOKUP(D7,RUC!$B$3:$B$123,RUC!$D$3:$D$123)</f>
        <v>20606526599</v>
      </c>
      <c r="G7" s="80">
        <v>150</v>
      </c>
      <c r="H7" t="s">
        <v>69</v>
      </c>
      <c r="I7" s="596">
        <v>12.12</v>
      </c>
      <c r="J7" s="596">
        <v>4.2</v>
      </c>
      <c r="K7" s="138">
        <f t="shared" si="0"/>
        <v>11.610959999999999</v>
      </c>
      <c r="L7" s="139">
        <v>0.154</v>
      </c>
      <c r="M7" s="139">
        <v>0.14399999999999999</v>
      </c>
      <c r="N7" s="159">
        <v>0.14399999999999999</v>
      </c>
      <c r="O7" s="645">
        <f t="shared" si="1"/>
        <v>0.14399999999999999</v>
      </c>
      <c r="P7" s="727">
        <v>90</v>
      </c>
      <c r="Q7">
        <v>90.23</v>
      </c>
      <c r="R7" s="706">
        <v>2931.9</v>
      </c>
      <c r="S7" s="765">
        <f t="shared" si="2"/>
        <v>100</v>
      </c>
      <c r="U7" s="1066">
        <v>120</v>
      </c>
      <c r="V7" s="715">
        <v>1.1023000000000001</v>
      </c>
      <c r="Y7">
        <v>20</v>
      </c>
      <c r="Z7" s="143">
        <f t="shared" si="3"/>
        <v>30</v>
      </c>
      <c r="AA7" s="144">
        <f t="shared" si="4"/>
        <v>50</v>
      </c>
      <c r="AB7" s="145">
        <f t="shared" si="5"/>
        <v>236.35763515200006</v>
      </c>
      <c r="AC7" s="145">
        <f>+(S7-T7)*V7-'data 1'!$F$4</f>
        <v>30.230000000000004</v>
      </c>
      <c r="AD7" s="145">
        <f t="shared" si="6"/>
        <v>1.0978632204540191</v>
      </c>
      <c r="AE7" s="145">
        <f t="shared" si="7"/>
        <v>-14.884999999999998</v>
      </c>
      <c r="AF7" s="145">
        <f t="shared" si="8"/>
        <v>27.967306149510026</v>
      </c>
      <c r="AG7" s="772">
        <f t="shared" si="9"/>
        <v>61.410169369964052</v>
      </c>
      <c r="AH7" s="146">
        <f t="shared" si="10"/>
        <v>55.315759072260022</v>
      </c>
      <c r="AI7" s="156">
        <f t="shared" si="11"/>
        <v>28.811129277545991</v>
      </c>
      <c r="AJ7" s="156">
        <f t="shared" si="12"/>
        <v>51.59198049260042</v>
      </c>
      <c r="AK7" s="88"/>
      <c r="AL7" s="716">
        <f t="shared" si="13"/>
        <v>2744.3390474444664</v>
      </c>
    </row>
    <row r="8" spans="1:38" ht="15" customHeight="1">
      <c r="A8" s="857" t="s">
        <v>1868</v>
      </c>
      <c r="B8" s="595">
        <v>45717</v>
      </c>
      <c r="C8" s="595">
        <v>45713</v>
      </c>
      <c r="D8" t="s">
        <v>1433</v>
      </c>
      <c r="E8">
        <f>_xlfn.XLOOKUP(D8,RUC!$B$3:$B$123,RUC!$D$3:$D$123)</f>
        <v>10473108823</v>
      </c>
      <c r="G8" s="80" t="s">
        <v>1434</v>
      </c>
      <c r="H8" t="s">
        <v>69</v>
      </c>
      <c r="I8" s="596">
        <v>36.299999999999997</v>
      </c>
      <c r="J8" s="596">
        <v>9.6999999999999993</v>
      </c>
      <c r="K8" s="138">
        <f t="shared" si="0"/>
        <v>32.7789</v>
      </c>
      <c r="L8" s="139">
        <v>0.10199999999999999</v>
      </c>
      <c r="M8" s="139">
        <v>9.1999999999999998E-2</v>
      </c>
      <c r="N8" s="598">
        <v>0.13500000000000001</v>
      </c>
      <c r="O8" s="1074">
        <v>0.113</v>
      </c>
      <c r="P8" s="727">
        <v>85</v>
      </c>
      <c r="Q8">
        <v>90.33</v>
      </c>
      <c r="R8" s="706">
        <v>2933.25</v>
      </c>
      <c r="S8" s="802">
        <v>110</v>
      </c>
      <c r="U8" s="1066">
        <v>90</v>
      </c>
      <c r="V8" s="715">
        <v>1.1023000000000001</v>
      </c>
      <c r="Z8" s="143">
        <f t="shared" si="3"/>
        <v>30</v>
      </c>
      <c r="AA8" s="144">
        <f t="shared" si="4"/>
        <v>30</v>
      </c>
      <c r="AB8" s="244">
        <f>+((O8*P8*(R8-U8)/100)-S8-AA8+T8)*V8</f>
        <v>146.70969532375005</v>
      </c>
      <c r="AC8" s="145">
        <f>+(S8-T8)*V8-'data 1'!$F$4</f>
        <v>41.253</v>
      </c>
      <c r="AD8" s="145">
        <f t="shared" si="6"/>
        <v>17.038926754784992</v>
      </c>
      <c r="AE8" s="145">
        <f t="shared" si="7"/>
        <v>-36.930999999999997</v>
      </c>
      <c r="AF8" s="145">
        <f t="shared" si="8"/>
        <v>-31.141501657942527</v>
      </c>
      <c r="AG8" s="772">
        <f t="shared" si="9"/>
        <v>7.2194250968424711</v>
      </c>
      <c r="AH8" s="146">
        <f t="shared" si="10"/>
        <v>103.54654836044504</v>
      </c>
      <c r="AI8" s="156">
        <f t="shared" si="11"/>
        <v>15.919870802715</v>
      </c>
      <c r="AJ8" s="156">
        <f t="shared" si="12"/>
        <v>107.94457327512355</v>
      </c>
      <c r="AK8" s="88"/>
      <c r="AL8" s="716">
        <f t="shared" si="13"/>
        <v>4808.982432047671</v>
      </c>
    </row>
    <row r="9" spans="1:38" ht="15" customHeight="1">
      <c r="A9" s="857" t="s">
        <v>1878</v>
      </c>
      <c r="B9" s="717">
        <v>45723</v>
      </c>
      <c r="C9" s="595">
        <v>45714</v>
      </c>
      <c r="D9" t="s">
        <v>1586</v>
      </c>
      <c r="E9" t="e">
        <f>_xlfn.XLOOKUP(D9,RUC!$B$3:$B$123,RUC!$D$3:$D$123)</f>
        <v>#N/A</v>
      </c>
      <c r="G9" s="80">
        <v>50</v>
      </c>
      <c r="H9" t="s">
        <v>69</v>
      </c>
      <c r="I9" s="596">
        <v>6.39</v>
      </c>
      <c r="J9" s="596">
        <v>1.1499999999999999</v>
      </c>
      <c r="K9" s="138">
        <f t="shared" si="0"/>
        <v>6.3165149999999999</v>
      </c>
      <c r="L9" s="139">
        <v>0.36</v>
      </c>
      <c r="M9" s="139">
        <v>0.34200000000000003</v>
      </c>
      <c r="N9" s="139">
        <v>0.34200000000000003</v>
      </c>
      <c r="O9" s="645">
        <f t="shared" si="1"/>
        <v>0.34200000000000003</v>
      </c>
      <c r="P9" s="727">
        <v>90</v>
      </c>
      <c r="Q9">
        <v>90.22</v>
      </c>
      <c r="R9" s="706">
        <v>2901</v>
      </c>
      <c r="S9" s="802">
        <f t="shared" ref="S9:S11" si="14">IF((85+ROUNDDOWN(O9,1)*100)&lt;95,95,(85+ROUNDDOWN(O9,1)*100))</f>
        <v>115</v>
      </c>
      <c r="U9" s="1024">
        <v>90</v>
      </c>
      <c r="V9" s="715">
        <v>1.1023000000000001</v>
      </c>
      <c r="Z9" s="1062">
        <v>25</v>
      </c>
      <c r="AA9" s="144">
        <f t="shared" si="4"/>
        <v>25</v>
      </c>
      <c r="AB9" s="145">
        <f t="shared" ref="AB9:AB14" si="15">+((O9*P9*(R9-U9)/100)-S9-AA9+T9)*V9</f>
        <v>799.41639934000011</v>
      </c>
      <c r="AC9" s="145">
        <f>+(S9-T9)*V9-'data 1'!$F$4</f>
        <v>46.764500000000012</v>
      </c>
      <c r="AD9" s="145">
        <f t="shared" si="6"/>
        <v>2.4540637175999875</v>
      </c>
      <c r="AE9" s="145">
        <f t="shared" si="7"/>
        <v>-42.442499999999995</v>
      </c>
      <c r="AF9" s="145">
        <f t="shared" si="8"/>
        <v>50.319461045879898</v>
      </c>
      <c r="AG9" s="772">
        <f t="shared" si="9"/>
        <v>74.095524763479901</v>
      </c>
      <c r="AH9" s="146">
        <f t="shared" si="10"/>
        <v>70.338309220136949</v>
      </c>
      <c r="AI9" s="156">
        <f t="shared" si="11"/>
        <v>67.665443882399998</v>
      </c>
      <c r="AJ9" s="156">
        <f t="shared" si="12"/>
        <v>66.658450879203173</v>
      </c>
      <c r="AK9" s="88"/>
      <c r="AL9" s="716">
        <f t="shared" si="13"/>
        <v>5049.5256776771012</v>
      </c>
    </row>
    <row r="10" spans="1:38" ht="15" customHeight="1">
      <c r="A10" s="857" t="s">
        <v>1881</v>
      </c>
      <c r="B10" s="717">
        <v>45723</v>
      </c>
      <c r="C10" s="595">
        <v>45714</v>
      </c>
      <c r="D10" t="s">
        <v>1586</v>
      </c>
      <c r="E10" t="e">
        <f>_xlfn.XLOOKUP(D10,RUC!$B$3:$B$123,RUC!$D$3:$D$123)</f>
        <v>#N/A</v>
      </c>
      <c r="G10" s="80">
        <v>50</v>
      </c>
      <c r="H10" t="s">
        <v>69</v>
      </c>
      <c r="I10" s="596">
        <v>5.28</v>
      </c>
      <c r="J10" s="596">
        <v>4.7</v>
      </c>
      <c r="K10" s="138">
        <f t="shared" si="0"/>
        <v>5.0318399999999999</v>
      </c>
      <c r="L10" s="139">
        <v>0.496</v>
      </c>
      <c r="M10" s="139">
        <v>0.46600000000000003</v>
      </c>
      <c r="N10" s="598">
        <v>0.51200000000000001</v>
      </c>
      <c r="O10" s="645">
        <f t="shared" si="1"/>
        <v>0.48899999999999999</v>
      </c>
      <c r="P10" s="727">
        <v>90</v>
      </c>
      <c r="Q10">
        <v>90.06</v>
      </c>
      <c r="R10" s="706">
        <v>2901</v>
      </c>
      <c r="S10" s="802">
        <f t="shared" si="14"/>
        <v>125</v>
      </c>
      <c r="U10" s="1024">
        <v>90</v>
      </c>
      <c r="V10" s="715">
        <v>1.1023000000000001</v>
      </c>
      <c r="Z10" s="1062">
        <v>25</v>
      </c>
      <c r="AA10" s="144">
        <f t="shared" si="4"/>
        <v>25</v>
      </c>
      <c r="AB10" s="145">
        <f t="shared" si="15"/>
        <v>1198.33358853</v>
      </c>
      <c r="AC10" s="145">
        <f>+(S10-T10)*V10-'data 1'!$F$4</f>
        <v>57.787499999999994</v>
      </c>
      <c r="AD10" s="145">
        <f t="shared" si="6"/>
        <v>0.92213303328003504</v>
      </c>
      <c r="AE10" s="145">
        <f t="shared" si="7"/>
        <v>-42.442499999999995</v>
      </c>
      <c r="AF10" s="145">
        <f t="shared" si="8"/>
        <v>19.533975364260019</v>
      </c>
      <c r="AG10" s="772">
        <f t="shared" si="9"/>
        <v>52.801108397540048</v>
      </c>
      <c r="AH10" s="146">
        <f t="shared" si="10"/>
        <v>77.0636387707534</v>
      </c>
      <c r="AI10" s="156">
        <f t="shared" si="11"/>
        <v>93.062610486720018</v>
      </c>
      <c r="AJ10" s="156">
        <f t="shared" si="12"/>
        <v>75.92543014112583</v>
      </c>
      <c r="AK10" s="88"/>
      <c r="AL10" s="716">
        <f t="shared" si="13"/>
        <v>6029.8228841087948</v>
      </c>
    </row>
    <row r="11" spans="1:38" ht="15" customHeight="1">
      <c r="A11" s="857" t="s">
        <v>1882</v>
      </c>
      <c r="B11" s="717">
        <v>45723</v>
      </c>
      <c r="C11" s="595">
        <v>45714</v>
      </c>
      <c r="D11" t="s">
        <v>1586</v>
      </c>
      <c r="E11" t="e">
        <f>_xlfn.XLOOKUP(D11,RUC!$B$3:$B$123,RUC!$D$3:$D$123)</f>
        <v>#N/A</v>
      </c>
      <c r="G11" s="80">
        <v>50</v>
      </c>
      <c r="H11" t="s">
        <v>69</v>
      </c>
      <c r="I11" s="596">
        <v>5.47</v>
      </c>
      <c r="J11" s="596">
        <v>8.25</v>
      </c>
      <c r="K11" s="138">
        <f t="shared" si="0"/>
        <v>5.0187249999999999</v>
      </c>
      <c r="L11" s="139">
        <v>0.313</v>
      </c>
      <c r="M11" s="139">
        <v>0.29399999999999998</v>
      </c>
      <c r="N11" s="598">
        <v>0.34</v>
      </c>
      <c r="O11" s="645">
        <f t="shared" si="1"/>
        <v>0.317</v>
      </c>
      <c r="P11" s="727">
        <v>90</v>
      </c>
      <c r="Q11">
        <v>90.15</v>
      </c>
      <c r="R11" s="706">
        <v>2901</v>
      </c>
      <c r="S11" s="802">
        <f t="shared" si="14"/>
        <v>115</v>
      </c>
      <c r="U11" s="1024">
        <v>90</v>
      </c>
      <c r="V11" s="715">
        <v>1.1023000000000001</v>
      </c>
      <c r="Z11" s="1062">
        <v>25</v>
      </c>
      <c r="AA11" s="144">
        <f t="shared" si="4"/>
        <v>25</v>
      </c>
      <c r="AB11" s="145">
        <f t="shared" si="15"/>
        <v>729.69868009000004</v>
      </c>
      <c r="AC11" s="145">
        <f>+(S11-T11)*V11-'data 1'!$F$4</f>
        <v>46.764500000000012</v>
      </c>
      <c r="AD11" s="145">
        <f t="shared" si="6"/>
        <v>1.4547764083500554</v>
      </c>
      <c r="AE11" s="145">
        <f t="shared" si="7"/>
        <v>-42.442499999999995</v>
      </c>
      <c r="AF11" s="145">
        <f t="shared" si="8"/>
        <v>-11.173426471800012</v>
      </c>
      <c r="AG11" s="772">
        <f t="shared" si="9"/>
        <v>11.60334993655006</v>
      </c>
      <c r="AH11" s="146">
        <f t="shared" si="10"/>
        <v>48.552605112165573</v>
      </c>
      <c r="AI11" s="156">
        <f t="shared" si="11"/>
        <v>58.785698131650008</v>
      </c>
      <c r="AJ11" s="156">
        <f t="shared" si="12"/>
        <v>49.091266910494696</v>
      </c>
      <c r="AK11" s="88"/>
      <c r="AL11" s="716">
        <f t="shared" si="13"/>
        <v>3662.1570082346852</v>
      </c>
    </row>
    <row r="12" spans="1:38" ht="15" customHeight="1">
      <c r="A12" s="857" t="s">
        <v>2006</v>
      </c>
      <c r="B12" s="1136">
        <v>45719</v>
      </c>
      <c r="C12" s="595">
        <v>45716</v>
      </c>
      <c r="D12" t="s">
        <v>1840</v>
      </c>
      <c r="E12">
        <f>_xlfn.XLOOKUP(D12,RUC!$B$3:$B$123,RUC!$D$3:$D$123)</f>
        <v>20611000350</v>
      </c>
      <c r="G12" s="80">
        <v>47</v>
      </c>
      <c r="H12" t="s">
        <v>116</v>
      </c>
      <c r="I12" s="596">
        <v>4.03</v>
      </c>
      <c r="J12" s="596">
        <v>15.7</v>
      </c>
      <c r="K12" s="138">
        <f t="shared" si="0"/>
        <v>3.3972900000000004</v>
      </c>
      <c r="L12" s="139">
        <v>0.74199999999999999</v>
      </c>
      <c r="M12" s="139">
        <v>0.70399999999999996</v>
      </c>
      <c r="N12" s="159">
        <v>0.70399999999999996</v>
      </c>
      <c r="O12" s="645">
        <f t="shared" si="1"/>
        <v>0.70399999999999996</v>
      </c>
      <c r="P12" s="727">
        <v>90</v>
      </c>
      <c r="Q12">
        <v>89.56</v>
      </c>
      <c r="R12" s="706">
        <v>2834.55</v>
      </c>
      <c r="S12" s="765">
        <f t="shared" ref="S12:S14" si="16">IF((90+ROUNDDOWN(O12,1)*100)&lt;95,95,(90+ROUNDDOWN(O12,1)*100))</f>
        <v>160</v>
      </c>
      <c r="U12" s="1066">
        <v>120</v>
      </c>
      <c r="V12" s="715">
        <v>1.1023000000000001</v>
      </c>
      <c r="Y12">
        <v>20</v>
      </c>
      <c r="Z12" s="143">
        <f t="shared" ref="Z12:Z37" si="17">IF(IF(D12="UNTUCA",IF(+((W12-3)*1.5+(X12-3)*3.1)&gt;0,+((W12-3)*1.5+(X12-3)*3.1),0),IF(+((W12-3)*1.5+(X12-3)*3.1)&gt;0,+((W12-3)*1.5+(X12-3)*3.1),0))&lt;30,30,IF(D12="UNTUCA",IF(+((W12-3)*1.5+(X12-3)*3.1)&gt;0,+((W12-3)*1.5+(X12-3)*3.1),0),IF(+((W12-3)*1.5+(X12-3)*3.1)&gt;0,+((W12-3)*1.5+(X12-3)*3.1),0)))</f>
        <v>30</v>
      </c>
      <c r="AA12" s="144">
        <f t="shared" si="4"/>
        <v>50</v>
      </c>
      <c r="AB12" s="145">
        <f t="shared" si="15"/>
        <v>1664.4056274240002</v>
      </c>
      <c r="AC12" s="145">
        <f>+(S12-T12)*V12-'data 1'!$F$4</f>
        <v>96.367999999999995</v>
      </c>
      <c r="AD12" s="145">
        <f t="shared" si="6"/>
        <v>-9.7690927885319514</v>
      </c>
      <c r="AE12" s="145">
        <f t="shared" si="7"/>
        <v>-14.884999999999998</v>
      </c>
      <c r="AF12" s="145">
        <f t="shared" si="8"/>
        <v>101.83459355965211</v>
      </c>
      <c r="AG12" s="772">
        <f t="shared" si="9"/>
        <v>190.54850077112013</v>
      </c>
      <c r="AH12" s="146">
        <f t="shared" si="10"/>
        <v>77.403336270681606</v>
      </c>
      <c r="AI12" s="156">
        <f t="shared" si="11"/>
        <v>209.09702074153185</v>
      </c>
      <c r="AJ12" s="156">
        <f t="shared" si="12"/>
        <v>73.800084421568428</v>
      </c>
      <c r="AK12" s="88"/>
      <c r="AL12" s="716">
        <f t="shared" si="13"/>
        <v>5654.4685939912824</v>
      </c>
    </row>
    <row r="13" spans="1:38" ht="15" customHeight="1">
      <c r="A13" s="857" t="s">
        <v>2007</v>
      </c>
      <c r="B13" s="1136">
        <v>45719</v>
      </c>
      <c r="C13" s="595">
        <v>45716</v>
      </c>
      <c r="D13" t="s">
        <v>1840</v>
      </c>
      <c r="E13">
        <f>_xlfn.XLOOKUP(D13,RUC!$B$3:$B$123,RUC!$D$3:$D$123)</f>
        <v>20611000350</v>
      </c>
      <c r="G13" s="80">
        <v>21</v>
      </c>
      <c r="H13" t="s">
        <v>116</v>
      </c>
      <c r="I13" s="596">
        <v>1.82</v>
      </c>
      <c r="J13" s="596">
        <v>13.25</v>
      </c>
      <c r="K13" s="138">
        <f t="shared" si="0"/>
        <v>1.5788500000000001</v>
      </c>
      <c r="L13" s="139">
        <v>0.87</v>
      </c>
      <c r="M13" s="139">
        <v>0.82599999999999996</v>
      </c>
      <c r="N13" s="159">
        <v>0.82599999999999996</v>
      </c>
      <c r="O13" s="645">
        <f t="shared" si="1"/>
        <v>0.82599999999999996</v>
      </c>
      <c r="P13" s="727">
        <v>90</v>
      </c>
      <c r="Q13">
        <v>89.84</v>
      </c>
      <c r="R13" s="706">
        <v>2834.55</v>
      </c>
      <c r="S13" s="765">
        <f t="shared" si="16"/>
        <v>170</v>
      </c>
      <c r="U13" s="1066">
        <v>120</v>
      </c>
      <c r="V13" s="715">
        <v>1.1023000000000001</v>
      </c>
      <c r="Y13">
        <v>20</v>
      </c>
      <c r="Z13" s="143">
        <f t="shared" si="17"/>
        <v>30</v>
      </c>
      <c r="AA13" s="144">
        <f t="shared" si="4"/>
        <v>50</v>
      </c>
      <c r="AB13" s="145">
        <f t="shared" si="15"/>
        <v>1981.9315088810001</v>
      </c>
      <c r="AC13" s="145">
        <f>+(S13-T13)*V13-'data 1'!$F$4</f>
        <v>107.39100000000002</v>
      </c>
      <c r="AD13" s="145">
        <f t="shared" si="6"/>
        <v>-4.1652098632799115</v>
      </c>
      <c r="AE13" s="145">
        <f t="shared" si="7"/>
        <v>-14.884999999999998</v>
      </c>
      <c r="AF13" s="145">
        <f t="shared" si="8"/>
        <v>118.28238492206414</v>
      </c>
      <c r="AG13" s="772">
        <f t="shared" si="9"/>
        <v>223.62317505878423</v>
      </c>
      <c r="AH13" s="146">
        <f t="shared" si="10"/>
        <v>42.309601667494924</v>
      </c>
      <c r="AI13" s="156">
        <f t="shared" si="11"/>
        <v>245.93415696827986</v>
      </c>
      <c r="AJ13" s="156">
        <f t="shared" si="12"/>
        <v>40.241345891566787</v>
      </c>
      <c r="AK13" s="88"/>
      <c r="AL13" s="716">
        <f t="shared" si="13"/>
        <v>3129.1725627967671</v>
      </c>
    </row>
    <row r="14" spans="1:38" ht="15" customHeight="1">
      <c r="A14" s="857" t="s">
        <v>2008</v>
      </c>
      <c r="B14" s="1136">
        <v>45719</v>
      </c>
      <c r="C14" s="595">
        <v>45716</v>
      </c>
      <c r="D14" t="s">
        <v>1840</v>
      </c>
      <c r="E14">
        <f>_xlfn.XLOOKUP(D14,RUC!$B$3:$B$123,RUC!$D$3:$D$123)</f>
        <v>20611000350</v>
      </c>
      <c r="G14" s="80">
        <v>30</v>
      </c>
      <c r="H14" t="s">
        <v>116</v>
      </c>
      <c r="I14" s="596">
        <v>2.63</v>
      </c>
      <c r="J14" s="596">
        <v>15.05</v>
      </c>
      <c r="K14" s="138">
        <f t="shared" si="0"/>
        <v>2.2341850000000001</v>
      </c>
      <c r="L14" s="139">
        <v>0.442</v>
      </c>
      <c r="M14" s="139">
        <v>0.41499999999999998</v>
      </c>
      <c r="N14" s="159">
        <v>0.41499999999999998</v>
      </c>
      <c r="O14" s="645">
        <f t="shared" si="1"/>
        <v>0.41499999999999998</v>
      </c>
      <c r="P14" s="727">
        <v>90</v>
      </c>
      <c r="Q14" s="596">
        <v>89.9</v>
      </c>
      <c r="R14" s="706">
        <v>2834.55</v>
      </c>
      <c r="S14" s="765">
        <f t="shared" si="16"/>
        <v>130</v>
      </c>
      <c r="U14" s="1066">
        <v>120</v>
      </c>
      <c r="V14" s="715">
        <v>1.1023000000000001</v>
      </c>
      <c r="Y14">
        <v>20</v>
      </c>
      <c r="Z14" s="143">
        <f t="shared" si="17"/>
        <v>30</v>
      </c>
      <c r="AA14" s="144">
        <f t="shared" si="4"/>
        <v>50</v>
      </c>
      <c r="AB14" s="145">
        <f t="shared" si="15"/>
        <v>919.19080167750019</v>
      </c>
      <c r="AC14" s="145">
        <f>+(S14-T14)*V14-'data 1'!$F$4</f>
        <v>63.299000000000007</v>
      </c>
      <c r="AD14" s="145">
        <f t="shared" si="6"/>
        <v>-1.322573821529925</v>
      </c>
      <c r="AE14" s="145">
        <f t="shared" si="7"/>
        <v>-14.884999999999998</v>
      </c>
      <c r="AF14" s="145">
        <f t="shared" si="8"/>
        <v>72.630846990945088</v>
      </c>
      <c r="AG14" s="772">
        <f t="shared" si="9"/>
        <v>136.72227316941519</v>
      </c>
      <c r="AH14" s="146">
        <f t="shared" si="10"/>
        <v>30.43758294518701</v>
      </c>
      <c r="AI14" s="156">
        <f t="shared" si="11"/>
        <v>125.02930464452994</v>
      </c>
      <c r="AJ14" s="156">
        <f t="shared" si="12"/>
        <v>28.610062538132738</v>
      </c>
      <c r="AK14" s="88"/>
      <c r="AL14" s="716">
        <f t="shared" si="13"/>
        <v>2053.6423012458458</v>
      </c>
    </row>
    <row r="15" spans="1:38" ht="15" customHeight="1">
      <c r="A15" s="857" t="s">
        <v>1888</v>
      </c>
      <c r="B15" s="1051">
        <v>45723</v>
      </c>
      <c r="C15" s="595">
        <v>45717</v>
      </c>
      <c r="D15" t="s">
        <v>129</v>
      </c>
      <c r="E15" t="e">
        <f>_xlfn.XLOOKUP(D15,RUC!$B$3:$B$123,RUC!$D$3:$D$123)</f>
        <v>#N/A</v>
      </c>
      <c r="G15" s="80">
        <v>30</v>
      </c>
      <c r="H15" t="s">
        <v>69</v>
      </c>
      <c r="I15" s="596">
        <v>2.68</v>
      </c>
      <c r="J15" s="596">
        <v>1.2</v>
      </c>
      <c r="K15" s="138">
        <f t="shared" si="0"/>
        <v>2.64784</v>
      </c>
      <c r="L15" s="139">
        <v>1.4999999999999999E-2</v>
      </c>
      <c r="M15" s="139">
        <v>1.2E-2</v>
      </c>
      <c r="N15" s="159">
        <v>1.2E-2</v>
      </c>
      <c r="O15" s="645">
        <f t="shared" si="1"/>
        <v>1.2E-2</v>
      </c>
      <c r="P15" s="727">
        <v>85</v>
      </c>
      <c r="Q15" s="596">
        <v>56.3</v>
      </c>
      <c r="R15" s="706">
        <v>2834.55</v>
      </c>
      <c r="S15" s="802">
        <f>IF((80+ROUNDDOWN(O15,1)*100)&lt;95,95,(80+ROUNDDOWN(O15,1)*100))</f>
        <v>95</v>
      </c>
      <c r="U15" s="1066">
        <v>100</v>
      </c>
      <c r="V15" s="715">
        <v>1.1023000000000001</v>
      </c>
      <c r="Z15" s="143">
        <f t="shared" si="17"/>
        <v>30</v>
      </c>
      <c r="AA15" s="144">
        <f t="shared" si="4"/>
        <v>30</v>
      </c>
      <c r="AB15" s="145">
        <v>0</v>
      </c>
      <c r="AC15" s="145">
        <f>+(S15-T15)*V15-'data 1'!$F$4</f>
        <v>24.718500000000006</v>
      </c>
      <c r="AD15" s="145">
        <f t="shared" si="6"/>
        <v>-12.976537671825001</v>
      </c>
      <c r="AE15" s="145">
        <f t="shared" si="7"/>
        <v>-36.930999999999997</v>
      </c>
      <c r="AF15" s="145">
        <f t="shared" si="8"/>
        <v>5.0911433513849982</v>
      </c>
      <c r="AG15" s="772">
        <v>0</v>
      </c>
      <c r="AH15" s="146">
        <f t="shared" si="10"/>
        <v>0.76665586389746476</v>
      </c>
      <c r="AI15" s="156">
        <f t="shared" si="11"/>
        <v>2.4710537430749984</v>
      </c>
      <c r="AJ15" s="156">
        <f t="shared" si="12"/>
        <v>0.92597866332198242</v>
      </c>
      <c r="AK15" s="88"/>
      <c r="AL15" s="716">
        <f t="shared" si="13"/>
        <v>0</v>
      </c>
    </row>
    <row r="16" spans="1:38" ht="15" customHeight="1">
      <c r="A16" s="857" t="s">
        <v>2062</v>
      </c>
      <c r="B16" s="1136">
        <v>45722</v>
      </c>
      <c r="C16" s="595">
        <v>45717</v>
      </c>
      <c r="D16" t="s">
        <v>145</v>
      </c>
      <c r="E16" t="e">
        <f>_xlfn.XLOOKUP(D16,RUC!$B$3:$B$123,RUC!$D$3:$D$123)</f>
        <v>#N/A</v>
      </c>
      <c r="G16" s="80">
        <v>100</v>
      </c>
      <c r="H16" t="s">
        <v>69</v>
      </c>
      <c r="I16" s="596">
        <v>8.44</v>
      </c>
      <c r="J16" s="596">
        <v>1.5</v>
      </c>
      <c r="K16" s="138">
        <f t="shared" si="0"/>
        <v>8.3133999999999997</v>
      </c>
      <c r="L16" s="139">
        <v>0.18099999999999999</v>
      </c>
      <c r="M16" s="139">
        <v>0.17</v>
      </c>
      <c r="N16" s="159">
        <v>0.17</v>
      </c>
      <c r="O16" s="645">
        <f t="shared" si="1"/>
        <v>0.17</v>
      </c>
      <c r="P16" s="727">
        <v>90</v>
      </c>
      <c r="Q16" s="596">
        <v>90.25</v>
      </c>
      <c r="R16" s="706">
        <v>2834.55</v>
      </c>
      <c r="S16" s="765">
        <f t="shared" ref="S16:S21" si="18">IF((90+ROUNDDOWN(O16,1)*100)&lt;95,95,(90+ROUNDDOWN(O16,1)*100))</f>
        <v>100</v>
      </c>
      <c r="U16" s="1066">
        <v>120</v>
      </c>
      <c r="V16" s="715">
        <v>1.1023000000000001</v>
      </c>
      <c r="Y16">
        <v>20</v>
      </c>
      <c r="Z16" s="143">
        <f t="shared" si="17"/>
        <v>30</v>
      </c>
      <c r="AA16" s="144">
        <f t="shared" si="4"/>
        <v>50</v>
      </c>
      <c r="AB16" s="145">
        <f t="shared" ref="AB16:AB59" si="19">+((O16*P16*(R16-U16)/100)-S16-AA16+T16)*V16</f>
        <v>292.46901514500007</v>
      </c>
      <c r="AC16" s="145">
        <f>+(S16-T16)*V16-'data 1'!$F$4</f>
        <v>30.230000000000004</v>
      </c>
      <c r="AD16" s="145">
        <f t="shared" si="6"/>
        <v>1.3539924304124999</v>
      </c>
      <c r="AE16" s="145">
        <f t="shared" si="7"/>
        <v>-14.884999999999998</v>
      </c>
      <c r="AF16" s="145">
        <f t="shared" si="8"/>
        <v>29.705546636287455</v>
      </c>
      <c r="AG16" s="772">
        <f t="shared" ref="AG16:AG31" si="20">+IF(D16="RONALD WILLIAN GARIBAY ESCUDERO",AC16+AD16+AE16+AF16+70,AC16+AD16+AE16+AF16)+70-53</f>
        <v>63.404539066699954</v>
      </c>
      <c r="AH16" s="146">
        <f t="shared" si="10"/>
        <v>46.560060058541552</v>
      </c>
      <c r="AI16" s="156">
        <f t="shared" si="11"/>
        <v>51.399114871087455</v>
      </c>
      <c r="AJ16" s="156">
        <f t="shared" si="12"/>
        <v>43.609306187275116</v>
      </c>
      <c r="AK16" s="88"/>
      <c r="AL16" s="716">
        <f t="shared" si="13"/>
        <v>2431.4119105064433</v>
      </c>
    </row>
    <row r="17" spans="1:38" ht="15" customHeight="1">
      <c r="A17" s="857" t="s">
        <v>2063</v>
      </c>
      <c r="B17" s="1136">
        <v>45720</v>
      </c>
      <c r="C17" s="595">
        <v>45717</v>
      </c>
      <c r="D17" t="s">
        <v>1403</v>
      </c>
      <c r="E17">
        <f>_xlfn.XLOOKUP(D17,RUC!$B$3:$B$123,RUC!$D$3:$D$123)</f>
        <v>10479968131</v>
      </c>
      <c r="G17" s="80">
        <v>50</v>
      </c>
      <c r="H17" t="s">
        <v>69</v>
      </c>
      <c r="I17" s="596">
        <v>4.3099999999999996</v>
      </c>
      <c r="J17" s="596">
        <v>1.1000000000000001</v>
      </c>
      <c r="K17" s="138">
        <f t="shared" si="0"/>
        <v>4.2625899999999994</v>
      </c>
      <c r="L17" s="139">
        <v>0.214</v>
      </c>
      <c r="M17" s="139">
        <v>0.20100000000000001</v>
      </c>
      <c r="N17" s="159">
        <v>0.20100000000000001</v>
      </c>
      <c r="O17" s="645">
        <f t="shared" si="1"/>
        <v>0.20100000000000001</v>
      </c>
      <c r="P17" s="727">
        <v>90</v>
      </c>
      <c r="Q17" s="596">
        <v>90.2</v>
      </c>
      <c r="R17" s="706">
        <v>2834.55</v>
      </c>
      <c r="S17" s="765">
        <f t="shared" si="18"/>
        <v>110</v>
      </c>
      <c r="U17" s="1066">
        <v>120</v>
      </c>
      <c r="V17" s="715">
        <v>1.1023000000000001</v>
      </c>
      <c r="Y17">
        <v>20</v>
      </c>
      <c r="Z17" s="143">
        <f t="shared" si="17"/>
        <v>30</v>
      </c>
      <c r="AA17" s="144">
        <f t="shared" si="4"/>
        <v>50</v>
      </c>
      <c r="AB17" s="145">
        <f t="shared" si="19"/>
        <v>364.92974731850006</v>
      </c>
      <c r="AC17" s="145">
        <f>+(S17-T17)*V17-'data 1'!$F$4</f>
        <v>41.253</v>
      </c>
      <c r="AD17" s="145">
        <f t="shared" si="6"/>
        <v>1.2806823430200183</v>
      </c>
      <c r="AE17" s="145">
        <f t="shared" si="7"/>
        <v>-14.884999999999998</v>
      </c>
      <c r="AF17" s="145">
        <f t="shared" si="8"/>
        <v>35.087105500589956</v>
      </c>
      <c r="AG17" s="772">
        <f t="shared" si="20"/>
        <v>79.735787843609984</v>
      </c>
      <c r="AH17" s="146">
        <f t="shared" si="10"/>
        <v>28.209990631336499</v>
      </c>
      <c r="AI17" s="156">
        <f t="shared" si="11"/>
        <v>60.736556497979961</v>
      </c>
      <c r="AJ17" s="156">
        <f t="shared" si="12"/>
        <v>26.437549501672152</v>
      </c>
      <c r="AK17" s="88"/>
      <c r="AL17" s="716">
        <f t="shared" si="13"/>
        <v>1555.5458916223649</v>
      </c>
    </row>
    <row r="18" spans="1:38" ht="15" customHeight="1">
      <c r="A18" s="857" t="s">
        <v>2064</v>
      </c>
      <c r="B18" s="1136">
        <v>45720</v>
      </c>
      <c r="C18" s="595">
        <v>45717</v>
      </c>
      <c r="D18" t="s">
        <v>1403</v>
      </c>
      <c r="E18">
        <f>_xlfn.XLOOKUP(D18,RUC!$B$3:$B$123,RUC!$D$3:$D$123)</f>
        <v>10479968131</v>
      </c>
      <c r="G18" s="80">
        <v>20</v>
      </c>
      <c r="H18" t="s">
        <v>69</v>
      </c>
      <c r="I18" s="596">
        <v>1.74</v>
      </c>
      <c r="J18" s="596">
        <v>1.2</v>
      </c>
      <c r="K18" s="138">
        <f t="shared" si="0"/>
        <v>1.71912</v>
      </c>
      <c r="L18" s="139">
        <v>0.28000000000000003</v>
      </c>
      <c r="M18" s="139">
        <v>0.26300000000000001</v>
      </c>
      <c r="N18" s="159">
        <v>0.26300000000000001</v>
      </c>
      <c r="O18" s="645">
        <f t="shared" si="1"/>
        <v>0.26300000000000001</v>
      </c>
      <c r="P18" s="727">
        <v>90</v>
      </c>
      <c r="Q18" s="596">
        <v>90.18</v>
      </c>
      <c r="R18" s="706">
        <v>2834.55</v>
      </c>
      <c r="S18" s="765">
        <f t="shared" si="18"/>
        <v>110</v>
      </c>
      <c r="U18" s="1066">
        <v>120</v>
      </c>
      <c r="V18" s="715">
        <v>1.1023000000000001</v>
      </c>
      <c r="Y18">
        <v>20</v>
      </c>
      <c r="Z18" s="143">
        <f t="shared" si="17"/>
        <v>30</v>
      </c>
      <c r="AA18" s="144">
        <f t="shared" si="4"/>
        <v>50</v>
      </c>
      <c r="AB18" s="145">
        <f t="shared" si="19"/>
        <v>531.89721166550021</v>
      </c>
      <c r="AC18" s="145">
        <f>+(S18-T18)*V18-'data 1'!$F$4</f>
        <v>41.253</v>
      </c>
      <c r="AD18" s="145">
        <f t="shared" si="6"/>
        <v>1.5080932263600575</v>
      </c>
      <c r="AE18" s="145">
        <f t="shared" si="7"/>
        <v>-14.884999999999998</v>
      </c>
      <c r="AF18" s="145">
        <f t="shared" si="8"/>
        <v>45.872964317529046</v>
      </c>
      <c r="AG18" s="772">
        <f t="shared" si="20"/>
        <v>90.749057543889109</v>
      </c>
      <c r="AH18" s="146">
        <f t="shared" si="10"/>
        <v>14.882761579675511</v>
      </c>
      <c r="AI18" s="156">
        <f t="shared" si="11"/>
        <v>79.45077119363998</v>
      </c>
      <c r="AJ18" s="156">
        <f t="shared" si="12"/>
        <v>13.951262815278938</v>
      </c>
      <c r="AK18" s="88"/>
      <c r="AL18" s="716">
        <f t="shared" si="13"/>
        <v>914.39513451839468</v>
      </c>
    </row>
    <row r="19" spans="1:38" ht="15" customHeight="1">
      <c r="A19" s="857" t="s">
        <v>2065</v>
      </c>
      <c r="B19" s="1136">
        <v>45720</v>
      </c>
      <c r="C19" s="595">
        <v>45717</v>
      </c>
      <c r="D19" t="s">
        <v>1403</v>
      </c>
      <c r="E19">
        <f>_xlfn.XLOOKUP(D19,RUC!$B$3:$B$123,RUC!$D$3:$D$123)</f>
        <v>10479968131</v>
      </c>
      <c r="G19" s="80">
        <v>20</v>
      </c>
      <c r="H19" t="s">
        <v>69</v>
      </c>
      <c r="I19" s="596">
        <v>1.69</v>
      </c>
      <c r="J19" s="596">
        <v>1.3</v>
      </c>
      <c r="K19" s="138">
        <f t="shared" si="0"/>
        <v>1.6680299999999999</v>
      </c>
      <c r="L19" s="139">
        <v>0.14399999999999999</v>
      </c>
      <c r="M19" s="139">
        <v>0.13500000000000001</v>
      </c>
      <c r="N19" s="159">
        <v>0.13500000000000001</v>
      </c>
      <c r="O19" s="645">
        <f t="shared" si="1"/>
        <v>0.13500000000000001</v>
      </c>
      <c r="P19" s="727">
        <v>85</v>
      </c>
      <c r="Q19" s="596">
        <v>90.11</v>
      </c>
      <c r="R19" s="706">
        <v>2834.55</v>
      </c>
      <c r="S19" s="765">
        <f t="shared" si="18"/>
        <v>100</v>
      </c>
      <c r="U19" s="1066">
        <v>120</v>
      </c>
      <c r="V19" s="715">
        <v>1.1023000000000001</v>
      </c>
      <c r="Y19">
        <v>20</v>
      </c>
      <c r="Z19" s="143">
        <f t="shared" si="17"/>
        <v>30</v>
      </c>
      <c r="AA19" s="144">
        <f t="shared" si="4"/>
        <v>50</v>
      </c>
      <c r="AB19" s="145">
        <f t="shared" si="19"/>
        <v>178.0155113587501</v>
      </c>
      <c r="AC19" s="145">
        <f>+(S19-T19)*V19-'data 1'!$F$4</f>
        <v>30.230000000000004</v>
      </c>
      <c r="AD19" s="145">
        <f t="shared" si="6"/>
        <v>22.018161104855999</v>
      </c>
      <c r="AE19" s="145">
        <f t="shared" si="7"/>
        <v>-14.884999999999998</v>
      </c>
      <c r="AF19" s="145">
        <f t="shared" si="8"/>
        <v>24.266835826303449</v>
      </c>
      <c r="AG19" s="772">
        <f t="shared" si="20"/>
        <v>78.62999693115944</v>
      </c>
      <c r="AH19" s="146">
        <f t="shared" si="10"/>
        <v>7.4207603818870993</v>
      </c>
      <c r="AI19" s="156">
        <f t="shared" si="11"/>
        <v>40.828679739143972</v>
      </c>
      <c r="AJ19" s="156">
        <f t="shared" si="12"/>
        <v>6.5624441563825133</v>
      </c>
      <c r="AK19" s="88"/>
      <c r="AL19" s="716">
        <f t="shared" si="13"/>
        <v>296.9352134117359</v>
      </c>
    </row>
    <row r="20" spans="1:38" ht="15" customHeight="1">
      <c r="A20" s="857" t="s">
        <v>2066</v>
      </c>
      <c r="B20" s="1136">
        <v>45720</v>
      </c>
      <c r="C20" s="595">
        <v>45717</v>
      </c>
      <c r="D20" t="s">
        <v>1403</v>
      </c>
      <c r="E20">
        <f>_xlfn.XLOOKUP(D20,RUC!$B$3:$B$123,RUC!$D$3:$D$123)</f>
        <v>10479968131</v>
      </c>
      <c r="G20" s="80">
        <v>22</v>
      </c>
      <c r="H20" t="s">
        <v>69</v>
      </c>
      <c r="I20" s="596">
        <v>1.83</v>
      </c>
      <c r="J20" s="596">
        <v>1.4</v>
      </c>
      <c r="K20" s="138">
        <f t="shared" si="0"/>
        <v>1.8043800000000001</v>
      </c>
      <c r="L20" s="139">
        <v>0.20899999999999999</v>
      </c>
      <c r="M20" s="139">
        <v>0.19600000000000001</v>
      </c>
      <c r="N20" s="159">
        <v>0.19600000000000001</v>
      </c>
      <c r="O20" s="645">
        <f t="shared" si="1"/>
        <v>0.19600000000000001</v>
      </c>
      <c r="P20" s="727">
        <v>90</v>
      </c>
      <c r="Q20" s="596">
        <v>90.09</v>
      </c>
      <c r="R20" s="706">
        <v>2834.55</v>
      </c>
      <c r="S20" s="765">
        <f t="shared" si="18"/>
        <v>100</v>
      </c>
      <c r="U20" s="1066">
        <v>120</v>
      </c>
      <c r="V20" s="715">
        <v>1.1023000000000001</v>
      </c>
      <c r="Y20">
        <v>20</v>
      </c>
      <c r="Z20" s="143">
        <f t="shared" si="17"/>
        <v>30</v>
      </c>
      <c r="AA20" s="144">
        <f t="shared" si="4"/>
        <v>50</v>
      </c>
      <c r="AB20" s="145">
        <f t="shared" si="19"/>
        <v>362.48762922600002</v>
      </c>
      <c r="AC20" s="145">
        <f>+(S20-T20)*V20-'data 1'!$F$4</f>
        <v>30.230000000000004</v>
      </c>
      <c r="AD20" s="145">
        <f t="shared" si="6"/>
        <v>0.56284193626652135</v>
      </c>
      <c r="AE20" s="145">
        <f t="shared" si="7"/>
        <v>-14.884999999999998</v>
      </c>
      <c r="AF20" s="145">
        <f t="shared" si="8"/>
        <v>35.044316347540459</v>
      </c>
      <c r="AG20" s="772">
        <f t="shared" si="20"/>
        <v>67.952158283806995</v>
      </c>
      <c r="AH20" s="146">
        <f t="shared" si="10"/>
        <v>11.648230256567764</v>
      </c>
      <c r="AI20" s="156">
        <f t="shared" si="11"/>
        <v>59.245139687233468</v>
      </c>
      <c r="AJ20" s="156">
        <f t="shared" si="12"/>
        <v>10.91278640157585</v>
      </c>
      <c r="AK20" s="88"/>
      <c r="AL20" s="716">
        <f t="shared" si="13"/>
        <v>654.06542842280999</v>
      </c>
    </row>
    <row r="21" spans="1:38" ht="15" customHeight="1">
      <c r="A21" s="857" t="s">
        <v>1893</v>
      </c>
      <c r="B21" s="595">
        <v>45729</v>
      </c>
      <c r="C21" s="595">
        <v>45720</v>
      </c>
      <c r="D21" t="s">
        <v>1010</v>
      </c>
      <c r="E21">
        <f>_xlfn.XLOOKUP(D21,RUC!$B$3:$B$123,RUC!$D$3:$D$123)</f>
        <v>20606102519</v>
      </c>
      <c r="G21" s="80">
        <v>125</v>
      </c>
      <c r="H21" t="s">
        <v>69</v>
      </c>
      <c r="I21" s="596">
        <v>9.77</v>
      </c>
      <c r="J21" s="596">
        <v>12.5</v>
      </c>
      <c r="K21" s="138">
        <f t="shared" si="0"/>
        <v>8.5487500000000001</v>
      </c>
      <c r="L21" s="139">
        <v>0.307</v>
      </c>
      <c r="M21" s="139">
        <v>0.28799999999999998</v>
      </c>
      <c r="N21" s="139">
        <v>0.28799999999999998</v>
      </c>
      <c r="O21" s="645">
        <f t="shared" si="1"/>
        <v>0.28799999999999998</v>
      </c>
      <c r="P21" s="727">
        <v>90</v>
      </c>
      <c r="Q21" s="596">
        <v>89</v>
      </c>
      <c r="R21" s="706">
        <v>2905.9</v>
      </c>
      <c r="S21" s="765">
        <f t="shared" si="18"/>
        <v>110</v>
      </c>
      <c r="U21" s="1066">
        <v>120</v>
      </c>
      <c r="V21" s="715">
        <v>1.1023000000000001</v>
      </c>
      <c r="Z21" s="143">
        <f t="shared" si="17"/>
        <v>30</v>
      </c>
      <c r="AA21" s="144">
        <f t="shared" si="4"/>
        <v>30</v>
      </c>
      <c r="AB21" s="145">
        <f t="shared" si="19"/>
        <v>641.6546501439999</v>
      </c>
      <c r="AC21" s="145">
        <f>+(S21-T21)*V21-'data 1'!$F$4</f>
        <v>41.253</v>
      </c>
      <c r="AD21" s="145">
        <f t="shared" si="6"/>
        <v>-9.4276555398999999</v>
      </c>
      <c r="AE21" s="145">
        <f t="shared" si="7"/>
        <v>-36.930999999999997</v>
      </c>
      <c r="AF21" s="145">
        <f t="shared" si="8"/>
        <v>51.928877908700052</v>
      </c>
      <c r="AG21" s="772">
        <f t="shared" si="20"/>
        <v>63.82322236880006</v>
      </c>
      <c r="AH21" s="146">
        <f t="shared" si="10"/>
        <v>80.082950986786713</v>
      </c>
      <c r="AI21" s="156">
        <f t="shared" si="11"/>
        <v>64.482943948899987</v>
      </c>
      <c r="AJ21" s="156">
        <f t="shared" si="12"/>
        <v>75.970797115159797</v>
      </c>
      <c r="AK21" s="88"/>
      <c r="AL21" s="716">
        <f t="shared" si="13"/>
        <v>5485.3451904185195</v>
      </c>
    </row>
    <row r="22" spans="1:38" ht="15" customHeight="1">
      <c r="A22" s="857" t="s">
        <v>1894</v>
      </c>
      <c r="B22" s="1090">
        <v>45733</v>
      </c>
      <c r="C22" s="595">
        <v>45720</v>
      </c>
      <c r="D22" t="s">
        <v>1586</v>
      </c>
      <c r="E22" t="e">
        <f>_xlfn.XLOOKUP(D22,RUC!$B$3:$B$123,RUC!$D$3:$D$123)</f>
        <v>#N/A</v>
      </c>
      <c r="G22" s="80">
        <v>50</v>
      </c>
      <c r="H22" t="s">
        <v>69</v>
      </c>
      <c r="I22" s="596">
        <v>6.6</v>
      </c>
      <c r="J22" s="596">
        <v>1.55</v>
      </c>
      <c r="K22" s="138">
        <f t="shared" si="0"/>
        <v>6.4977</v>
      </c>
      <c r="L22" s="139">
        <v>0.57199999999999995</v>
      </c>
      <c r="M22" s="139">
        <v>0.53700000000000003</v>
      </c>
      <c r="N22" s="598">
        <v>0.53700000000000003</v>
      </c>
      <c r="O22" s="645">
        <f t="shared" si="1"/>
        <v>0.53700000000000003</v>
      </c>
      <c r="P22" s="727">
        <v>90</v>
      </c>
      <c r="Q22" s="596">
        <v>89.89</v>
      </c>
      <c r="R22" s="706">
        <v>2905.9</v>
      </c>
      <c r="S22" s="802">
        <f t="shared" ref="S22:S26" si="21">IF((85+ROUNDDOWN(O22,1)*100)&lt;95,95,(85+ROUNDDOWN(O22,1)*100))</f>
        <v>135</v>
      </c>
      <c r="U22" s="1024">
        <v>90</v>
      </c>
      <c r="V22" s="715">
        <v>1.1023000000000001</v>
      </c>
      <c r="Z22" s="1062">
        <v>25</v>
      </c>
      <c r="AA22" s="144">
        <f t="shared" si="4"/>
        <v>25</v>
      </c>
      <c r="AB22" s="145">
        <f t="shared" si="19"/>
        <v>1323.7790432810002</v>
      </c>
      <c r="AC22" s="145">
        <f>+(S22-T22)*V22-'data 1'!$F$4</f>
        <v>68.810500000000019</v>
      </c>
      <c r="AD22" s="145">
        <f t="shared" si="6"/>
        <v>-1.9530157658439899</v>
      </c>
      <c r="AE22" s="145">
        <f t="shared" si="7"/>
        <v>-42.442499999999995</v>
      </c>
      <c r="AF22" s="145">
        <f t="shared" si="8"/>
        <v>97.65544424205477</v>
      </c>
      <c r="AG22" s="772">
        <f t="shared" si="20"/>
        <v>139.07042847621079</v>
      </c>
      <c r="AH22" s="146">
        <f t="shared" si="10"/>
        <v>114.54499945843855</v>
      </c>
      <c r="AI22" s="156">
        <f t="shared" si="11"/>
        <v>104.34244404984396</v>
      </c>
      <c r="AJ22" s="156">
        <f t="shared" si="12"/>
        <v>107.66772099517001</v>
      </c>
      <c r="AK22" s="88"/>
      <c r="AL22" s="716">
        <f t="shared" si="13"/>
        <v>8601.5190895269552</v>
      </c>
    </row>
    <row r="23" spans="1:38" ht="15" customHeight="1">
      <c r="A23" s="857" t="s">
        <v>1895</v>
      </c>
      <c r="B23" s="1090">
        <v>45733</v>
      </c>
      <c r="C23" s="595">
        <v>45720</v>
      </c>
      <c r="D23" t="s">
        <v>1586</v>
      </c>
      <c r="E23" t="e">
        <f>_xlfn.XLOOKUP(D23,RUC!$B$3:$B$123,RUC!$D$3:$D$123)</f>
        <v>#N/A</v>
      </c>
      <c r="G23" s="80">
        <v>50</v>
      </c>
      <c r="H23" t="s">
        <v>69</v>
      </c>
      <c r="I23" s="596">
        <v>6.68</v>
      </c>
      <c r="J23" s="596">
        <v>1.1499999999999999</v>
      </c>
      <c r="K23" s="138">
        <f t="shared" si="0"/>
        <v>6.60318</v>
      </c>
      <c r="L23" s="139">
        <v>0.45600000000000002</v>
      </c>
      <c r="M23" s="139">
        <v>0.42799999999999999</v>
      </c>
      <c r="N23" s="598">
        <v>0.42799999999999999</v>
      </c>
      <c r="O23" s="645">
        <f t="shared" si="1"/>
        <v>0.42799999999999999</v>
      </c>
      <c r="P23" s="727">
        <v>90</v>
      </c>
      <c r="Q23" s="596">
        <v>89.92</v>
      </c>
      <c r="R23" s="706">
        <v>2905.9</v>
      </c>
      <c r="S23" s="802">
        <f t="shared" si="21"/>
        <v>125</v>
      </c>
      <c r="U23" s="1024">
        <v>90</v>
      </c>
      <c r="V23" s="715">
        <v>1.1023000000000001</v>
      </c>
      <c r="Z23" s="1062">
        <v>25</v>
      </c>
      <c r="AA23" s="144">
        <f t="shared" si="4"/>
        <v>25</v>
      </c>
      <c r="AB23" s="145">
        <f t="shared" si="19"/>
        <v>1030.302922764</v>
      </c>
      <c r="AC23" s="145">
        <f>+(S23-T23)*V23-'data 1'!$F$4</f>
        <v>57.787499999999994</v>
      </c>
      <c r="AD23" s="145">
        <f t="shared" si="6"/>
        <v>-1.1323270047359761</v>
      </c>
      <c r="AE23" s="145">
        <f t="shared" si="7"/>
        <v>-42.442499999999995</v>
      </c>
      <c r="AF23" s="145">
        <f t="shared" si="8"/>
        <v>78.150428712832095</v>
      </c>
      <c r="AG23" s="772">
        <f t="shared" si="20"/>
        <v>109.36310170809611</v>
      </c>
      <c r="AH23" s="146">
        <f t="shared" si="10"/>
        <v>92.828930371360585</v>
      </c>
      <c r="AI23" s="156">
        <f t="shared" si="11"/>
        <v>83.209849556735975</v>
      </c>
      <c r="AJ23" s="156">
        <f t="shared" si="12"/>
        <v>87.206425153372422</v>
      </c>
      <c r="AK23" s="88"/>
      <c r="AL23" s="716">
        <f t="shared" si="13"/>
        <v>6803.2756535367889</v>
      </c>
    </row>
    <row r="24" spans="1:38" ht="15" customHeight="1">
      <c r="A24" s="857" t="s">
        <v>1897</v>
      </c>
      <c r="B24" s="1090">
        <v>45733</v>
      </c>
      <c r="C24" s="595">
        <v>45720</v>
      </c>
      <c r="D24" t="s">
        <v>1586</v>
      </c>
      <c r="E24" t="e">
        <f>_xlfn.XLOOKUP(D24,RUC!$B$3:$B$123,RUC!$D$3:$D$123)</f>
        <v>#N/A</v>
      </c>
      <c r="G24" s="80">
        <v>50</v>
      </c>
      <c r="H24" t="s">
        <v>69</v>
      </c>
      <c r="I24" s="596">
        <v>6.9</v>
      </c>
      <c r="J24" s="596">
        <v>2.6</v>
      </c>
      <c r="K24" s="138">
        <f t="shared" si="0"/>
        <v>6.7206000000000001</v>
      </c>
      <c r="L24" s="139">
        <v>0.59799999999999998</v>
      </c>
      <c r="M24" s="139">
        <v>0.56200000000000006</v>
      </c>
      <c r="N24" s="598">
        <v>0.61599999999999999</v>
      </c>
      <c r="O24" s="645">
        <f t="shared" si="1"/>
        <v>0.58899999999999997</v>
      </c>
      <c r="P24" s="727">
        <v>90</v>
      </c>
      <c r="Q24" s="596">
        <v>89.89</v>
      </c>
      <c r="R24" s="706">
        <v>2905.9</v>
      </c>
      <c r="S24" s="802">
        <f t="shared" si="21"/>
        <v>135</v>
      </c>
      <c r="U24" s="1024">
        <v>90</v>
      </c>
      <c r="V24" s="715">
        <v>1.1023000000000001</v>
      </c>
      <c r="Z24" s="1062">
        <v>25</v>
      </c>
      <c r="AA24" s="144">
        <f t="shared" si="4"/>
        <v>25</v>
      </c>
      <c r="AB24" s="145">
        <f t="shared" si="19"/>
        <v>1469.0446787569999</v>
      </c>
      <c r="AC24" s="145">
        <f>+(S24-T24)*V24-'data 1'!$F$4</f>
        <v>68.810500000000019</v>
      </c>
      <c r="AD24" s="145">
        <f t="shared" si="6"/>
        <v>-2.0417892097459895</v>
      </c>
      <c r="AE24" s="145">
        <f t="shared" si="7"/>
        <v>-42.442499999999995</v>
      </c>
      <c r="AF24" s="145">
        <f t="shared" si="8"/>
        <v>25.111399947957025</v>
      </c>
      <c r="AG24" s="772">
        <f t="shared" si="20"/>
        <v>66.437610738211063</v>
      </c>
      <c r="AH24" s="146">
        <f t="shared" si="10"/>
        <v>123.85960232983693</v>
      </c>
      <c r="AI24" s="156">
        <f t="shared" si="11"/>
        <v>109.08528241574594</v>
      </c>
      <c r="AJ24" s="156">
        <f t="shared" si="12"/>
        <v>122.14478267017279</v>
      </c>
      <c r="AK24" s="88"/>
      <c r="AL24" s="716">
        <f t="shared" si="13"/>
        <v>9872.8616680542946</v>
      </c>
    </row>
    <row r="25" spans="1:38" ht="15" customHeight="1">
      <c r="A25" s="857" t="s">
        <v>1898</v>
      </c>
      <c r="B25" s="1090">
        <v>45733</v>
      </c>
      <c r="C25" s="595">
        <v>45720</v>
      </c>
      <c r="D25" t="s">
        <v>1586</v>
      </c>
      <c r="E25" t="e">
        <f>_xlfn.XLOOKUP(D25,RUC!$B$3:$B$123,RUC!$D$3:$D$123)</f>
        <v>#N/A</v>
      </c>
      <c r="G25" s="80">
        <v>50</v>
      </c>
      <c r="H25" t="s">
        <v>69</v>
      </c>
      <c r="I25" s="596">
        <v>6.56</v>
      </c>
      <c r="J25" s="596">
        <v>1.9</v>
      </c>
      <c r="K25" s="138">
        <f t="shared" si="0"/>
        <v>6.4353599999999993</v>
      </c>
      <c r="L25" s="139">
        <v>0.48599999999999999</v>
      </c>
      <c r="M25" s="139">
        <v>0.45700000000000002</v>
      </c>
      <c r="N25" s="598">
        <v>0.45700000000000002</v>
      </c>
      <c r="O25" s="645">
        <f t="shared" si="1"/>
        <v>0.45700000000000002</v>
      </c>
      <c r="P25" s="727">
        <v>90</v>
      </c>
      <c r="Q25" s="596">
        <v>90.09</v>
      </c>
      <c r="R25" s="706">
        <v>2905.9</v>
      </c>
      <c r="S25" s="802">
        <f t="shared" si="21"/>
        <v>125</v>
      </c>
      <c r="U25" s="1024">
        <v>90</v>
      </c>
      <c r="V25" s="715">
        <v>1.1023000000000001</v>
      </c>
      <c r="Z25" s="1062">
        <v>25</v>
      </c>
      <c r="AA25" s="144">
        <f t="shared" si="4"/>
        <v>25</v>
      </c>
      <c r="AB25" s="145">
        <f t="shared" si="19"/>
        <v>1111.316450241</v>
      </c>
      <c r="AC25" s="145">
        <f>+(S25-T25)*V25-'data 1'!$F$4</f>
        <v>57.787499999999994</v>
      </c>
      <c r="AD25" s="145">
        <f t="shared" si="6"/>
        <v>1.3576749777180515</v>
      </c>
      <c r="AE25" s="145">
        <f t="shared" si="7"/>
        <v>-42.442499999999995</v>
      </c>
      <c r="AF25" s="145">
        <f t="shared" si="8"/>
        <v>81.094541004476937</v>
      </c>
      <c r="AG25" s="772">
        <f t="shared" si="20"/>
        <v>114.79721598219498</v>
      </c>
      <c r="AH25" s="146">
        <f t="shared" si="10"/>
        <v>96.603925029261006</v>
      </c>
      <c r="AI25" s="156">
        <f t="shared" si="11"/>
        <v>88.851845364281957</v>
      </c>
      <c r="AJ25" s="156">
        <f t="shared" si="12"/>
        <v>90.748744544287561</v>
      </c>
      <c r="AK25" s="88"/>
      <c r="AL25" s="716">
        <f t="shared" si="13"/>
        <v>7151.7214312229207</v>
      </c>
    </row>
    <row r="26" spans="1:38" ht="15" customHeight="1">
      <c r="A26" s="857" t="s">
        <v>1899</v>
      </c>
      <c r="B26" s="1090">
        <v>45733</v>
      </c>
      <c r="C26" s="595">
        <v>45720</v>
      </c>
      <c r="D26" t="s">
        <v>1586</v>
      </c>
      <c r="E26" t="e">
        <f>_xlfn.XLOOKUP(D26,RUC!$B$3:$B$123,RUC!$D$3:$D$123)</f>
        <v>#N/A</v>
      </c>
      <c r="G26" s="80">
        <v>50</v>
      </c>
      <c r="H26" t="s">
        <v>69</v>
      </c>
      <c r="I26" s="596">
        <v>6.57</v>
      </c>
      <c r="J26" s="596">
        <v>1.6</v>
      </c>
      <c r="K26" s="138">
        <f t="shared" si="0"/>
        <v>6.46488</v>
      </c>
      <c r="L26" s="139">
        <v>0.58099999999999996</v>
      </c>
      <c r="M26" s="139">
        <v>0.54600000000000004</v>
      </c>
      <c r="N26" s="598">
        <v>0.66200000000000003</v>
      </c>
      <c r="O26" s="645">
        <f t="shared" si="1"/>
        <v>0.60399999999999998</v>
      </c>
      <c r="P26" s="727">
        <v>90</v>
      </c>
      <c r="Q26" s="596">
        <v>90.04</v>
      </c>
      <c r="R26" s="706">
        <v>2905.9</v>
      </c>
      <c r="S26" s="802">
        <f t="shared" si="21"/>
        <v>145</v>
      </c>
      <c r="U26" s="1024">
        <v>90</v>
      </c>
      <c r="V26" s="715">
        <v>1.1023000000000001</v>
      </c>
      <c r="Z26" s="1062">
        <v>25</v>
      </c>
      <c r="AA26" s="144">
        <f t="shared" si="4"/>
        <v>25</v>
      </c>
      <c r="AB26" s="145">
        <f t="shared" si="19"/>
        <v>1499.9252274520002</v>
      </c>
      <c r="AC26" s="145">
        <f>+(S26-T26)*V26-'data 1'!$F$4</f>
        <v>79.833500000000015</v>
      </c>
      <c r="AD26" s="145">
        <f t="shared" si="6"/>
        <v>0.72136183086811267</v>
      </c>
      <c r="AE26" s="145">
        <f t="shared" si="7"/>
        <v>-42.442499999999995</v>
      </c>
      <c r="AF26" s="145">
        <f t="shared" si="8"/>
        <v>-64.280664491444071</v>
      </c>
      <c r="AG26" s="772">
        <f t="shared" si="20"/>
        <v>-9.1683026605759324</v>
      </c>
      <c r="AH26" s="146">
        <f t="shared" si="10"/>
        <v>115.95277747850709</v>
      </c>
      <c r="AI26" s="156">
        <f t="shared" si="11"/>
        <v>106.16105227613194</v>
      </c>
      <c r="AJ26" s="156">
        <f t="shared" si="12"/>
        <v>120.48943983839743</v>
      </c>
      <c r="AK26" s="88"/>
      <c r="AL26" s="716">
        <f t="shared" si="13"/>
        <v>9696.8366044498871</v>
      </c>
    </row>
    <row r="27" spans="1:38" ht="15" customHeight="1">
      <c r="A27" s="857" t="s">
        <v>1901</v>
      </c>
      <c r="B27" s="595">
        <v>45736</v>
      </c>
      <c r="C27" s="595">
        <v>45720</v>
      </c>
      <c r="D27" t="s">
        <v>1029</v>
      </c>
      <c r="E27">
        <f>_xlfn.XLOOKUP(D27,RUC!$B$3:$B$123,RUC!$D$3:$D$123)</f>
        <v>10421580605</v>
      </c>
      <c r="G27" s="80" t="s">
        <v>1434</v>
      </c>
      <c r="H27" t="s">
        <v>69</v>
      </c>
      <c r="I27" s="596">
        <v>31.08</v>
      </c>
      <c r="J27" s="596">
        <v>19.45</v>
      </c>
      <c r="K27" s="138">
        <f t="shared" si="0"/>
        <v>25.034939999999999</v>
      </c>
      <c r="L27" s="139">
        <v>0.13600000000000001</v>
      </c>
      <c r="M27" s="139">
        <v>0.126</v>
      </c>
      <c r="N27" s="159">
        <v>0.14399999999999999</v>
      </c>
      <c r="O27" s="645">
        <f t="shared" si="1"/>
        <v>0.13500000000000001</v>
      </c>
      <c r="P27" s="727">
        <v>85</v>
      </c>
      <c r="Q27" s="596">
        <v>90.21</v>
      </c>
      <c r="R27" s="706">
        <v>2905.9</v>
      </c>
      <c r="S27" s="802">
        <v>110</v>
      </c>
      <c r="U27" s="1066">
        <v>90</v>
      </c>
      <c r="V27" s="715">
        <v>1.1023000000000001</v>
      </c>
      <c r="Z27" s="143">
        <f t="shared" si="17"/>
        <v>30</v>
      </c>
      <c r="AA27" s="144">
        <f t="shared" si="4"/>
        <v>30</v>
      </c>
      <c r="AB27" s="145">
        <f t="shared" si="19"/>
        <v>201.85816390750009</v>
      </c>
      <c r="AC27" s="145">
        <f>+(S27-T27)*V27-'data 1'!$F$4</f>
        <v>41.253</v>
      </c>
      <c r="AD27" s="145">
        <f t="shared" si="6"/>
        <v>21.993465528391976</v>
      </c>
      <c r="AE27" s="145">
        <f t="shared" si="7"/>
        <v>-36.930999999999997</v>
      </c>
      <c r="AF27" s="145">
        <f t="shared" si="8"/>
        <v>2.8000882427970026</v>
      </c>
      <c r="AG27" s="772">
        <f t="shared" si="20"/>
        <v>46.115553771188985</v>
      </c>
      <c r="AH27" s="146">
        <f t="shared" si="10"/>
        <v>105.30505404341791</v>
      </c>
      <c r="AI27" s="156">
        <f t="shared" si="11"/>
        <v>24.897009619607992</v>
      </c>
      <c r="AJ27" s="156">
        <f t="shared" si="12"/>
        <v>98.493669603296581</v>
      </c>
      <c r="AK27" s="88"/>
      <c r="AL27" s="716">
        <f t="shared" si="13"/>
        <v>5053.5070219344298</v>
      </c>
    </row>
    <row r="28" spans="1:38" ht="15" customHeight="1">
      <c r="A28" s="857" t="s">
        <v>1902</v>
      </c>
      <c r="B28" s="1090">
        <v>45733</v>
      </c>
      <c r="C28" s="595">
        <v>45720</v>
      </c>
      <c r="D28" t="s">
        <v>1586</v>
      </c>
      <c r="E28" t="e">
        <f>_xlfn.XLOOKUP(D28,RUC!$B$3:$B$123,RUC!$D$3:$D$123)</f>
        <v>#N/A</v>
      </c>
      <c r="G28" s="80">
        <v>50</v>
      </c>
      <c r="H28" t="s">
        <v>69</v>
      </c>
      <c r="I28" s="596">
        <v>6.83</v>
      </c>
      <c r="J28" s="596">
        <v>1.75</v>
      </c>
      <c r="K28" s="138">
        <f t="shared" si="0"/>
        <v>6.7104749999999997</v>
      </c>
      <c r="L28" s="139">
        <v>0.33500000000000002</v>
      </c>
      <c r="M28" s="139">
        <v>0.315</v>
      </c>
      <c r="N28" s="598">
        <v>0.39200000000000002</v>
      </c>
      <c r="O28" s="645">
        <f t="shared" si="1"/>
        <v>0.35399999999999998</v>
      </c>
      <c r="P28" s="727">
        <v>90</v>
      </c>
      <c r="Q28" s="596">
        <v>90.15</v>
      </c>
      <c r="R28" s="706">
        <v>2905.9</v>
      </c>
      <c r="S28" s="802">
        <f t="shared" ref="S28:S29" si="22">IF((85+ROUNDDOWN(O28,1)*100)&lt;95,95,(85+ROUNDDOWN(O28,1)*100))</f>
        <v>115</v>
      </c>
      <c r="U28" s="1024">
        <v>90</v>
      </c>
      <c r="V28" s="715">
        <v>1.1023000000000001</v>
      </c>
      <c r="Z28" s="1062">
        <v>25</v>
      </c>
      <c r="AA28" s="144">
        <f t="shared" si="4"/>
        <v>25</v>
      </c>
      <c r="AB28" s="145">
        <f t="shared" si="19"/>
        <v>834.60174920200006</v>
      </c>
      <c r="AC28" s="145">
        <f>+(S28-T28)*V28-'data 1'!$F$4</f>
        <v>46.764500000000012</v>
      </c>
      <c r="AD28" s="145">
        <f t="shared" si="6"/>
        <v>1.5597432014250592</v>
      </c>
      <c r="AE28" s="145">
        <f t="shared" si="7"/>
        <v>-42.442499999999995</v>
      </c>
      <c r="AF28" s="145">
        <f t="shared" si="8"/>
        <v>-53.166291394244894</v>
      </c>
      <c r="AG28" s="772">
        <f t="shared" si="20"/>
        <v>-30.28454819281982</v>
      </c>
      <c r="AH28" s="146">
        <f t="shared" si="10"/>
        <v>69.482089469295218</v>
      </c>
      <c r="AI28" s="156">
        <f t="shared" si="11"/>
        <v>61.286403193574991</v>
      </c>
      <c r="AJ28" s="156">
        <f t="shared" si="12"/>
        <v>73.300696864818846</v>
      </c>
      <c r="AK28" s="88"/>
      <c r="AL28" s="716">
        <f t="shared" si="13"/>
        <v>5600.5741729762913</v>
      </c>
    </row>
    <row r="29" spans="1:38" ht="15" customHeight="1">
      <c r="A29" s="857" t="s">
        <v>1903</v>
      </c>
      <c r="B29" s="1090">
        <v>45733</v>
      </c>
      <c r="C29" s="595">
        <v>45720</v>
      </c>
      <c r="D29" t="s">
        <v>1586</v>
      </c>
      <c r="E29" t="e">
        <f>_xlfn.XLOOKUP(D29,RUC!$B$3:$B$123,RUC!$D$3:$D$123)</f>
        <v>#N/A</v>
      </c>
      <c r="G29" s="80">
        <v>50</v>
      </c>
      <c r="H29" t="s">
        <v>69</v>
      </c>
      <c r="I29" s="596">
        <v>6.82</v>
      </c>
      <c r="J29" s="596">
        <v>1.1000000000000001</v>
      </c>
      <c r="K29" s="138">
        <f t="shared" si="0"/>
        <v>6.74498</v>
      </c>
      <c r="L29" s="139">
        <v>0.44800000000000001</v>
      </c>
      <c r="M29" s="139">
        <v>0.42099999999999999</v>
      </c>
      <c r="N29" s="598">
        <v>0.48799999999999999</v>
      </c>
      <c r="O29" s="645">
        <f t="shared" si="1"/>
        <v>0.45500000000000002</v>
      </c>
      <c r="P29" s="727">
        <v>90</v>
      </c>
      <c r="Q29" s="596">
        <v>90.21</v>
      </c>
      <c r="R29" s="706">
        <v>2905.9</v>
      </c>
      <c r="S29" s="802">
        <f t="shared" si="22"/>
        <v>125</v>
      </c>
      <c r="U29" s="1024">
        <v>90</v>
      </c>
      <c r="V29" s="715">
        <v>1.1023000000000001</v>
      </c>
      <c r="Z29" s="1062">
        <v>25</v>
      </c>
      <c r="AA29" s="144">
        <f t="shared" si="4"/>
        <v>25</v>
      </c>
      <c r="AB29" s="145">
        <f t="shared" si="19"/>
        <v>1105.7293104150003</v>
      </c>
      <c r="AC29" s="145">
        <f>+(S29-T29)*V29-'data 1'!$F$4</f>
        <v>57.787499999999994</v>
      </c>
      <c r="AD29" s="145">
        <f t="shared" si="6"/>
        <v>2.9202117490559134</v>
      </c>
      <c r="AE29" s="145">
        <f t="shared" si="7"/>
        <v>-42.442499999999995</v>
      </c>
      <c r="AF29" s="145">
        <f t="shared" si="8"/>
        <v>-19.600617699579018</v>
      </c>
      <c r="AG29" s="772">
        <f t="shared" si="20"/>
        <v>15.664594049476904</v>
      </c>
      <c r="AH29" s="146">
        <f t="shared" si="10"/>
        <v>93.459280301895433</v>
      </c>
      <c r="AI29" s="156">
        <f t="shared" si="11"/>
        <v>82.013678746943953</v>
      </c>
      <c r="AJ29" s="156">
        <f t="shared" si="12"/>
        <v>94.698618114345734</v>
      </c>
      <c r="AK29" s="88"/>
      <c r="AL29" s="716">
        <f t="shared" si="13"/>
        <v>7458.1220841629693</v>
      </c>
    </row>
    <row r="30" spans="1:38" ht="15" customHeight="1">
      <c r="A30" s="857" t="s">
        <v>1904</v>
      </c>
      <c r="B30" s="1090">
        <v>45733</v>
      </c>
      <c r="C30" s="595">
        <v>45720</v>
      </c>
      <c r="D30" t="s">
        <v>1586</v>
      </c>
      <c r="E30" t="e">
        <f>_xlfn.XLOOKUP(D30,RUC!$B$3:$B$123,RUC!$D$3:$D$123)</f>
        <v>#N/A</v>
      </c>
      <c r="G30" s="80">
        <v>50</v>
      </c>
      <c r="H30" t="s">
        <v>69</v>
      </c>
      <c r="I30" s="596">
        <v>5.43</v>
      </c>
      <c r="J30" s="596">
        <v>1.1000000000000001</v>
      </c>
      <c r="K30" s="138">
        <f t="shared" si="0"/>
        <v>5.3702699999999997</v>
      </c>
      <c r="L30" s="139">
        <v>0.27700000000000002</v>
      </c>
      <c r="M30" s="714">
        <v>0.26</v>
      </c>
      <c r="N30" s="598">
        <v>0.32100000000000001</v>
      </c>
      <c r="O30" s="645">
        <f t="shared" si="1"/>
        <v>0.29099999999999998</v>
      </c>
      <c r="P30" s="727">
        <v>90</v>
      </c>
      <c r="Q30" s="596">
        <v>90.27</v>
      </c>
      <c r="R30" s="706">
        <v>2905.9</v>
      </c>
      <c r="S30" s="802">
        <f>IF((85+ROUNDDOWN(O30,1)*100)&lt;95,95,(85+ROUNDDOWN(O30,1)*100))</f>
        <v>105</v>
      </c>
      <c r="U30" s="1024">
        <v>90</v>
      </c>
      <c r="V30" s="715">
        <v>1.1023000000000001</v>
      </c>
      <c r="Z30" s="1062">
        <v>25</v>
      </c>
      <c r="AA30" s="144">
        <f t="shared" si="4"/>
        <v>25</v>
      </c>
      <c r="AB30" s="145">
        <f t="shared" si="19"/>
        <v>669.6298446830001</v>
      </c>
      <c r="AC30" s="145">
        <f>+(S30-T30)*V30-'data 1'!$F$4</f>
        <v>35.741500000000002</v>
      </c>
      <c r="AD30" s="145">
        <f t="shared" si="6"/>
        <v>2.3214565977029662</v>
      </c>
      <c r="AE30" s="145">
        <f t="shared" si="7"/>
        <v>-42.442499999999995</v>
      </c>
      <c r="AF30" s="145">
        <f t="shared" si="8"/>
        <v>-39.227308718345881</v>
      </c>
      <c r="AG30" s="772">
        <f t="shared" si="20"/>
        <v>-26.606852120642905</v>
      </c>
      <c r="AH30" s="146">
        <f t="shared" si="10"/>
        <v>46.039267154601681</v>
      </c>
      <c r="AI30" s="156">
        <f t="shared" si="11"/>
        <v>50.743078011296973</v>
      </c>
      <c r="AJ30" s="156">
        <f t="shared" si="12"/>
        <v>48.221497032329324</v>
      </c>
      <c r="AK30" s="88"/>
      <c r="AL30" s="716">
        <f t="shared" si="13"/>
        <v>3596.0930660057747</v>
      </c>
    </row>
    <row r="31" spans="1:38" ht="15" customHeight="1">
      <c r="A31" s="857" t="s">
        <v>1905</v>
      </c>
      <c r="B31" s="595">
        <v>45726</v>
      </c>
      <c r="C31" s="595">
        <v>45720</v>
      </c>
      <c r="D31" t="s">
        <v>1229</v>
      </c>
      <c r="E31">
        <f>_xlfn.XLOOKUP(D31,RUC!$B$3:$B$123,RUC!$D$3:$D$123)</f>
        <v>20610873309</v>
      </c>
      <c r="G31" s="80">
        <v>145</v>
      </c>
      <c r="H31" t="s">
        <v>69</v>
      </c>
      <c r="I31" s="596">
        <v>12.15</v>
      </c>
      <c r="J31" s="596">
        <v>1.3</v>
      </c>
      <c r="K31" s="138">
        <f t="shared" si="0"/>
        <v>11.992050000000001</v>
      </c>
      <c r="L31" s="139">
        <v>0.40699999999999997</v>
      </c>
      <c r="M31" s="139">
        <v>0.40699999999999997</v>
      </c>
      <c r="N31" s="159">
        <v>0.40699999999999997</v>
      </c>
      <c r="O31" s="645">
        <f t="shared" si="1"/>
        <v>0.40699999999999997</v>
      </c>
      <c r="P31" s="727">
        <v>90</v>
      </c>
      <c r="Q31" s="596">
        <v>90.12</v>
      </c>
      <c r="R31" s="706">
        <v>2905.9</v>
      </c>
      <c r="S31" s="765">
        <f t="shared" ref="S31:S37" si="23">IF((90+ROUNDDOWN(O31,1)*100)&lt;95,95,(90+ROUNDDOWN(O31,1)*100))</f>
        <v>130</v>
      </c>
      <c r="U31" s="1066">
        <v>120</v>
      </c>
      <c r="V31" s="715">
        <v>1.1023000000000001</v>
      </c>
      <c r="Y31">
        <v>20</v>
      </c>
      <c r="Z31" s="143">
        <f t="shared" si="17"/>
        <v>30</v>
      </c>
      <c r="AA31" s="144">
        <f t="shared" si="4"/>
        <v>50</v>
      </c>
      <c r="AB31" s="145">
        <f t="shared" si="19"/>
        <v>926.45577989100002</v>
      </c>
      <c r="AC31" s="145">
        <f>+(S31-T31)*V31-'data 1'!$F$4</f>
        <v>63.299000000000007</v>
      </c>
      <c r="AD31" s="145">
        <f t="shared" si="6"/>
        <v>1.4998263731880568</v>
      </c>
      <c r="AE31" s="145">
        <f t="shared" si="7"/>
        <v>-14.884999999999998</v>
      </c>
      <c r="AF31" s="145">
        <f t="shared" si="8"/>
        <v>0</v>
      </c>
      <c r="AG31" s="772">
        <f t="shared" si="20"/>
        <v>66.913826373188073</v>
      </c>
      <c r="AH31" s="146">
        <f t="shared" si="10"/>
        <v>150.80581642798484</v>
      </c>
      <c r="AI31" s="156">
        <f t="shared" si="11"/>
        <v>86.562953695811956</v>
      </c>
      <c r="AJ31" s="156">
        <f t="shared" si="12"/>
        <v>150.60500974832041</v>
      </c>
      <c r="AK31" s="88"/>
      <c r="AL31" s="716">
        <f t="shared" si="13"/>
        <v>11110.104035241868</v>
      </c>
    </row>
    <row r="32" spans="1:38" ht="15" customHeight="1">
      <c r="A32" s="857" t="s">
        <v>1909</v>
      </c>
      <c r="B32" s="595">
        <v>45723</v>
      </c>
      <c r="C32" s="595">
        <v>45721</v>
      </c>
      <c r="D32" t="s">
        <v>129</v>
      </c>
      <c r="E32" t="e">
        <f>_xlfn.XLOOKUP(D32,RUC!$B$3:$B$123,RUC!$D$3:$D$123)</f>
        <v>#N/A</v>
      </c>
      <c r="G32" s="80">
        <v>11</v>
      </c>
      <c r="H32" t="s">
        <v>108</v>
      </c>
      <c r="I32" s="596">
        <v>0.84</v>
      </c>
      <c r="J32" s="596">
        <v>4.55</v>
      </c>
      <c r="K32" s="138">
        <f t="shared" si="0"/>
        <v>0.80177999999999994</v>
      </c>
      <c r="L32" s="139">
        <v>0.17399999999999999</v>
      </c>
      <c r="M32" s="139">
        <v>0.16400000000000001</v>
      </c>
      <c r="N32" s="159">
        <v>0.16400000000000001</v>
      </c>
      <c r="O32" s="645">
        <f t="shared" si="1"/>
        <v>0.16400000000000001</v>
      </c>
      <c r="P32" s="727">
        <v>90</v>
      </c>
      <c r="Q32" s="596">
        <v>90.13</v>
      </c>
      <c r="R32" s="706">
        <v>2913.25</v>
      </c>
      <c r="S32" s="802">
        <f>IF((80+ROUNDDOWN(O32,1)*100)&lt;95,95,(80+ROUNDDOWN(O32,1)*100))</f>
        <v>95</v>
      </c>
      <c r="U32" s="1066">
        <v>100</v>
      </c>
      <c r="V32" s="715">
        <v>1.1023000000000001</v>
      </c>
      <c r="Z32" s="143">
        <f t="shared" si="17"/>
        <v>30</v>
      </c>
      <c r="AA32" s="144">
        <f t="shared" si="4"/>
        <v>30</v>
      </c>
      <c r="AB32" s="145">
        <f t="shared" si="19"/>
        <v>319.92681211000001</v>
      </c>
      <c r="AC32" s="145">
        <f>+(S32-T32)*V32-'data 1'!$F$4</f>
        <v>24.718500000000006</v>
      </c>
      <c r="AD32" s="145">
        <f t="shared" si="6"/>
        <v>0.7014564864449756</v>
      </c>
      <c r="AE32" s="145">
        <f t="shared" si="7"/>
        <v>-36.930999999999997</v>
      </c>
      <c r="AF32" s="145">
        <f t="shared" si="8"/>
        <v>27.949722866174948</v>
      </c>
      <c r="AG32" s="772">
        <f>+IF(D32="RONALD WILLIAN GARIBAY ESCUDERO",AC32+AD32+AE32+AF32+70,AC32+AD32+AE32+AF32)</f>
        <v>86.438679352619928</v>
      </c>
      <c r="AH32" s="146">
        <f t="shared" si="10"/>
        <v>4.3110484866051912</v>
      </c>
      <c r="AI32" s="156">
        <f t="shared" si="11"/>
        <v>32.283382908554998</v>
      </c>
      <c r="AJ32" s="156">
        <f t="shared" si="12"/>
        <v>4.0574263523756002</v>
      </c>
      <c r="AK32" s="88"/>
      <c r="AL32" s="716">
        <f t="shared" si="13"/>
        <v>256.51091941355577</v>
      </c>
    </row>
    <row r="33" spans="1:38" ht="15" customHeight="1">
      <c r="A33" s="857" t="s">
        <v>1910</v>
      </c>
      <c r="B33" s="595">
        <v>45729</v>
      </c>
      <c r="C33" s="595">
        <v>45721</v>
      </c>
      <c r="D33" t="s">
        <v>1010</v>
      </c>
      <c r="E33">
        <f>_xlfn.XLOOKUP(D33,RUC!$B$3:$B$123,RUC!$D$3:$D$123)</f>
        <v>20606102519</v>
      </c>
      <c r="G33" s="80">
        <v>17</v>
      </c>
      <c r="H33" t="s">
        <v>69</v>
      </c>
      <c r="I33" s="596">
        <v>1.44</v>
      </c>
      <c r="J33" s="596">
        <v>2.5</v>
      </c>
      <c r="K33" s="138">
        <f t="shared" si="0"/>
        <v>1.4039999999999999</v>
      </c>
      <c r="L33" s="139">
        <v>0.45700000000000002</v>
      </c>
      <c r="M33" s="139">
        <v>0.43</v>
      </c>
      <c r="N33" s="598">
        <v>0.47199999999999998</v>
      </c>
      <c r="O33" s="645">
        <f t="shared" si="1"/>
        <v>0.45100000000000001</v>
      </c>
      <c r="P33" s="727">
        <v>90</v>
      </c>
      <c r="Q33" s="596">
        <v>90.21</v>
      </c>
      <c r="R33" s="706">
        <v>2913.25</v>
      </c>
      <c r="S33" s="765">
        <f t="shared" si="23"/>
        <v>130</v>
      </c>
      <c r="U33" s="1066">
        <v>120</v>
      </c>
      <c r="V33" s="715">
        <v>1.1023000000000001</v>
      </c>
      <c r="Z33" s="143">
        <f t="shared" si="17"/>
        <v>30</v>
      </c>
      <c r="AA33" s="144">
        <f t="shared" si="4"/>
        <v>30</v>
      </c>
      <c r="AB33" s="145">
        <f t="shared" si="19"/>
        <v>1073.3978869025002</v>
      </c>
      <c r="AC33" s="145">
        <f>+(S33-T33)*V33-'data 1'!$F$4</f>
        <v>63.299000000000007</v>
      </c>
      <c r="AD33" s="145">
        <f t="shared" si="6"/>
        <v>2.9549157961574122</v>
      </c>
      <c r="AE33" s="145">
        <f t="shared" si="7"/>
        <v>-36.930999999999997</v>
      </c>
      <c r="AF33" s="145">
        <f t="shared" si="8"/>
        <v>16.665392558385012</v>
      </c>
      <c r="AG33" s="772">
        <f t="shared" ref="AG33:AG59" si="24">+IF(D33="RONALD WILLIAN GARIBAY ESCUDERO",AC33+AD33+AE33+AF33+70,AC33+AD33+AE33+AF33)+70-53</f>
        <v>62.988308354542426</v>
      </c>
      <c r="AH33" s="146">
        <f t="shared" si="10"/>
        <v>19.844815243794727</v>
      </c>
      <c r="AI33" s="156">
        <f t="shared" si="11"/>
        <v>93.954202066342489</v>
      </c>
      <c r="AJ33" s="156">
        <f t="shared" si="12"/>
        <v>19.538680369330976</v>
      </c>
      <c r="AK33" s="88"/>
      <c r="AL33" s="716">
        <f t="shared" si="13"/>
        <v>1507.0506332111102</v>
      </c>
    </row>
    <row r="34" spans="1:38" ht="15" customHeight="1">
      <c r="A34" s="857" t="s">
        <v>1911</v>
      </c>
      <c r="B34" s="595">
        <v>45729</v>
      </c>
      <c r="C34" s="595">
        <v>45721</v>
      </c>
      <c r="D34" t="s">
        <v>1010</v>
      </c>
      <c r="E34">
        <f>_xlfn.XLOOKUP(D34,RUC!$B$3:$B$123,RUC!$D$3:$D$123)</f>
        <v>20606102519</v>
      </c>
      <c r="G34" s="80">
        <v>18</v>
      </c>
      <c r="H34" t="s">
        <v>69</v>
      </c>
      <c r="I34" s="596">
        <v>1.44</v>
      </c>
      <c r="J34" s="596">
        <v>2.1</v>
      </c>
      <c r="K34" s="138">
        <f t="shared" si="0"/>
        <v>1.4097599999999999</v>
      </c>
      <c r="L34" s="139">
        <v>0.50600000000000001</v>
      </c>
      <c r="M34" s="139">
        <v>0.47499999999999998</v>
      </c>
      <c r="N34" s="598">
        <v>0.55000000000000004</v>
      </c>
      <c r="O34" s="645">
        <f t="shared" si="1"/>
        <v>0.51300000000000001</v>
      </c>
      <c r="P34" s="727">
        <v>90</v>
      </c>
      <c r="Q34" s="596">
        <v>90.06</v>
      </c>
      <c r="R34" s="706">
        <v>2913.25</v>
      </c>
      <c r="S34" s="765">
        <f t="shared" si="23"/>
        <v>140</v>
      </c>
      <c r="U34" s="1066">
        <v>120</v>
      </c>
      <c r="V34" s="715">
        <v>1.1023000000000001</v>
      </c>
      <c r="Z34" s="143">
        <f t="shared" si="17"/>
        <v>30</v>
      </c>
      <c r="AA34" s="144">
        <f t="shared" si="4"/>
        <v>30</v>
      </c>
      <c r="AB34" s="145">
        <f t="shared" si="19"/>
        <v>1234.1830576075004</v>
      </c>
      <c r="AC34" s="145">
        <f>+(S34-T34)*V34-'data 1'!$F$4</f>
        <v>74.322000000000003</v>
      </c>
      <c r="AD34" s="145">
        <f t="shared" si="6"/>
        <v>0.9347842406100354</v>
      </c>
      <c r="AE34" s="145">
        <f t="shared" si="7"/>
        <v>-36.930999999999997</v>
      </c>
      <c r="AF34" s="145">
        <f t="shared" si="8"/>
        <v>-19.410628490295018</v>
      </c>
      <c r="AG34" s="772">
        <f t="shared" si="24"/>
        <v>35.915155750315023</v>
      </c>
      <c r="AH34" s="146">
        <f t="shared" si="10"/>
        <v>22.026054660169766</v>
      </c>
      <c r="AI34" s="156">
        <f t="shared" si="11"/>
        <v>103.85508968439001</v>
      </c>
      <c r="AJ34" s="156">
        <f t="shared" si="12"/>
        <v>22.315885669106805</v>
      </c>
      <c r="AK34" s="88"/>
      <c r="AL34" s="716">
        <f t="shared" si="13"/>
        <v>1739.9019072927497</v>
      </c>
    </row>
    <row r="35" spans="1:38" ht="15" customHeight="1">
      <c r="A35" s="857" t="s">
        <v>1913</v>
      </c>
      <c r="B35" s="595">
        <v>45745</v>
      </c>
      <c r="C35" s="595">
        <v>45722</v>
      </c>
      <c r="D35" t="s">
        <v>1402</v>
      </c>
      <c r="E35">
        <f>_xlfn.XLOOKUP(D35,RUC!$B$3:$B$123,RUC!$D$3:$D$123)</f>
        <v>20606526599</v>
      </c>
      <c r="G35" s="80">
        <v>100</v>
      </c>
      <c r="H35" t="s">
        <v>69</v>
      </c>
      <c r="I35" s="596">
        <v>7.69</v>
      </c>
      <c r="J35" s="596">
        <v>5.9</v>
      </c>
      <c r="K35" s="138">
        <f t="shared" si="0"/>
        <v>7.2362900000000003</v>
      </c>
      <c r="L35" s="139">
        <v>0.107</v>
      </c>
      <c r="M35" s="139">
        <v>9.7000000000000003E-2</v>
      </c>
      <c r="N35" s="159">
        <v>0.14299999999999999</v>
      </c>
      <c r="O35" s="645">
        <f t="shared" si="1"/>
        <v>0.12</v>
      </c>
      <c r="P35" s="727">
        <v>85</v>
      </c>
      <c r="Q35" s="596">
        <v>90.22</v>
      </c>
      <c r="R35" s="706">
        <v>2922.2</v>
      </c>
      <c r="S35" s="765">
        <f t="shared" si="23"/>
        <v>100</v>
      </c>
      <c r="U35" s="1066">
        <v>120</v>
      </c>
      <c r="V35" s="715">
        <v>1.1023000000000001</v>
      </c>
      <c r="Y35">
        <v>20</v>
      </c>
      <c r="Z35" s="143">
        <f t="shared" si="17"/>
        <v>30</v>
      </c>
      <c r="AA35" s="144">
        <f t="shared" si="4"/>
        <v>50</v>
      </c>
      <c r="AB35" s="145">
        <f t="shared" si="19"/>
        <v>149.71923611999998</v>
      </c>
      <c r="AC35" s="145">
        <f>+(S35-T35)*V35-'data 1'!$F$4</f>
        <v>30.230000000000004</v>
      </c>
      <c r="AD35" s="145">
        <f t="shared" si="6"/>
        <v>17.252546906124</v>
      </c>
      <c r="AE35" s="145">
        <f t="shared" si="7"/>
        <v>-14.884999999999998</v>
      </c>
      <c r="AF35" s="145">
        <f t="shared" si="8"/>
        <v>-36.228062742715991</v>
      </c>
      <c r="AG35" s="772">
        <f t="shared" si="24"/>
        <v>13.369484163408003</v>
      </c>
      <c r="AH35" s="146">
        <f t="shared" si="10"/>
        <v>23.950337236788791</v>
      </c>
      <c r="AI35" s="156">
        <f t="shared" si="11"/>
        <v>21.048090146876021</v>
      </c>
      <c r="AJ35" s="156">
        <f t="shared" si="12"/>
        <v>25.306099090618119</v>
      </c>
      <c r="AK35" s="88"/>
      <c r="AL35" s="716">
        <f t="shared" si="13"/>
        <v>1083.4118111427947</v>
      </c>
    </row>
    <row r="36" spans="1:38" ht="15" customHeight="1">
      <c r="A36" s="857" t="s">
        <v>1915</v>
      </c>
      <c r="B36" s="595">
        <v>45735</v>
      </c>
      <c r="C36" s="595">
        <v>45723</v>
      </c>
      <c r="D36" t="s">
        <v>1177</v>
      </c>
      <c r="E36">
        <f>_xlfn.XLOOKUP(D36,RUC!$B$3:$B$123,RUC!$D$3:$D$123)</f>
        <v>20606094010</v>
      </c>
      <c r="G36" s="80">
        <v>100</v>
      </c>
      <c r="H36" t="s">
        <v>69</v>
      </c>
      <c r="I36" s="596">
        <v>8.4</v>
      </c>
      <c r="J36" s="596">
        <v>1.6</v>
      </c>
      <c r="K36" s="138">
        <f t="shared" si="0"/>
        <v>8.2656000000000009</v>
      </c>
      <c r="L36" s="139">
        <v>0.20300000000000001</v>
      </c>
      <c r="M36" s="139">
        <v>0.191</v>
      </c>
      <c r="N36" s="598">
        <v>0.22800000000000001</v>
      </c>
      <c r="O36" s="645">
        <f t="shared" si="1"/>
        <v>0.21</v>
      </c>
      <c r="P36" s="727">
        <v>90</v>
      </c>
      <c r="Q36" s="596">
        <v>90.26</v>
      </c>
      <c r="R36" s="706">
        <v>2931.15</v>
      </c>
      <c r="S36" s="765">
        <f t="shared" si="23"/>
        <v>110</v>
      </c>
      <c r="U36" s="1066">
        <v>120</v>
      </c>
      <c r="V36" s="715">
        <v>1.1023000000000001</v>
      </c>
      <c r="Y36">
        <v>20</v>
      </c>
      <c r="Z36" s="143">
        <f t="shared" si="17"/>
        <v>30</v>
      </c>
      <c r="AA36" s="144">
        <f t="shared" si="4"/>
        <v>50</v>
      </c>
      <c r="AB36" s="145">
        <f t="shared" si="19"/>
        <v>409.29209190500006</v>
      </c>
      <c r="AC36" s="145">
        <f>+(S36-T36)*V36-'data 1'!$F$4</f>
        <v>41.253</v>
      </c>
      <c r="AD36" s="145">
        <f t="shared" si="6"/>
        <v>1.6355100344310325</v>
      </c>
      <c r="AE36" s="145">
        <f t="shared" si="7"/>
        <v>-14.884999999999998</v>
      </c>
      <c r="AF36" s="145">
        <f t="shared" si="8"/>
        <v>-19.57839996123894</v>
      </c>
      <c r="AG36" s="772">
        <f t="shared" si="24"/>
        <v>25.425110073192101</v>
      </c>
      <c r="AH36" s="146">
        <f t="shared" si="10"/>
        <v>51.92479861762223</v>
      </c>
      <c r="AI36" s="156">
        <f t="shared" si="11"/>
        <v>38.14241294406898</v>
      </c>
      <c r="AJ36" s="156">
        <f t="shared" si="12"/>
        <v>53.56057835508912</v>
      </c>
      <c r="AK36" s="88"/>
      <c r="AL36" s="716">
        <f t="shared" si="13"/>
        <v>3383.0447148499688</v>
      </c>
    </row>
    <row r="37" spans="1:38" ht="15" customHeight="1">
      <c r="A37" s="857" t="s">
        <v>1917</v>
      </c>
      <c r="B37" s="595">
        <v>45725</v>
      </c>
      <c r="C37" s="595">
        <v>45723</v>
      </c>
      <c r="D37" t="s">
        <v>1402</v>
      </c>
      <c r="E37">
        <f>_xlfn.XLOOKUP(D37,RUC!$B$3:$B$123,RUC!$D$3:$D$123)</f>
        <v>20606526599</v>
      </c>
      <c r="G37" s="80">
        <v>83</v>
      </c>
      <c r="H37" t="s">
        <v>69</v>
      </c>
      <c r="I37" s="596">
        <v>6.54</v>
      </c>
      <c r="J37" s="596">
        <v>1.4</v>
      </c>
      <c r="K37" s="138">
        <f t="shared" si="0"/>
        <v>6.4484399999999997</v>
      </c>
      <c r="L37" s="139">
        <v>0.192</v>
      </c>
      <c r="M37" s="139">
        <v>0.18</v>
      </c>
      <c r="N37" s="159">
        <v>0.18</v>
      </c>
      <c r="O37" s="645">
        <f t="shared" si="1"/>
        <v>0.18</v>
      </c>
      <c r="P37" s="727">
        <v>90</v>
      </c>
      <c r="Q37" s="596">
        <v>90.25</v>
      </c>
      <c r="R37" s="706">
        <v>2931.15</v>
      </c>
      <c r="S37" s="765">
        <f t="shared" si="23"/>
        <v>100</v>
      </c>
      <c r="U37" s="1066">
        <v>120</v>
      </c>
      <c r="V37" s="715">
        <v>1.1023000000000001</v>
      </c>
      <c r="Y37">
        <v>20</v>
      </c>
      <c r="Z37" s="143">
        <f t="shared" si="17"/>
        <v>30</v>
      </c>
      <c r="AA37" s="144">
        <f t="shared" si="4"/>
        <v>50</v>
      </c>
      <c r="AB37" s="145">
        <f t="shared" si="19"/>
        <v>336.64936448999998</v>
      </c>
      <c r="AC37" s="145">
        <f>+(S37-T37)*V37-'data 1'!$F$4</f>
        <v>30.230000000000004</v>
      </c>
      <c r="AD37" s="145">
        <f t="shared" si="6"/>
        <v>1.4873907096000003</v>
      </c>
      <c r="AE37" s="145">
        <f t="shared" si="7"/>
        <v>-14.884999999999998</v>
      </c>
      <c r="AF37" s="145">
        <f t="shared" si="8"/>
        <v>33.559252885350027</v>
      </c>
      <c r="AG37" s="772">
        <f t="shared" si="24"/>
        <v>67.39164359495004</v>
      </c>
      <c r="AH37" s="146">
        <f t="shared" si="10"/>
        <v>38.310001750026366</v>
      </c>
      <c r="AI37" s="156">
        <f t="shared" si="11"/>
        <v>36.07158583439999</v>
      </c>
      <c r="AJ37" s="156">
        <f t="shared" si="12"/>
        <v>35.81613737017701</v>
      </c>
      <c r="AK37" s="88"/>
      <c r="AL37" s="716">
        <f t="shared" si="13"/>
        <v>2170.8632279518952</v>
      </c>
    </row>
    <row r="38" spans="1:38" ht="15" customHeight="1">
      <c r="A38" s="857" t="s">
        <v>1919</v>
      </c>
      <c r="B38" s="1090">
        <v>45741</v>
      </c>
      <c r="C38" s="595">
        <v>45724</v>
      </c>
      <c r="D38" t="s">
        <v>1586</v>
      </c>
      <c r="E38" t="e">
        <f>_xlfn.XLOOKUP(D38,RUC!$B$3:$B$123,RUC!$D$3:$D$123)</f>
        <v>#N/A</v>
      </c>
      <c r="G38" s="80">
        <v>50</v>
      </c>
      <c r="H38" t="s">
        <v>69</v>
      </c>
      <c r="I38">
        <v>7.06</v>
      </c>
      <c r="J38" s="596">
        <v>2.75</v>
      </c>
      <c r="K38" s="138">
        <f t="shared" si="0"/>
        <v>6.86585</v>
      </c>
      <c r="L38" s="139">
        <v>0.98299999999999998</v>
      </c>
      <c r="M38" s="1097">
        <v>0.751</v>
      </c>
      <c r="N38" s="1097">
        <v>0.89400000000000002</v>
      </c>
      <c r="O38" s="645">
        <f t="shared" si="1"/>
        <v>0.82299999999999995</v>
      </c>
      <c r="P38" s="727">
        <v>90</v>
      </c>
      <c r="Q38" s="596">
        <v>89.92</v>
      </c>
      <c r="R38" s="706">
        <v>2931.15</v>
      </c>
      <c r="S38" s="802">
        <f>IF((85+ROUNDDOWN(O38,1)*100)&lt;95,95,(85+ROUNDDOWN(O38,1)*100))</f>
        <v>165</v>
      </c>
      <c r="U38" s="1024">
        <v>90</v>
      </c>
      <c r="V38" s="715">
        <v>1.1023000000000001</v>
      </c>
      <c r="Z38" s="1062">
        <v>25</v>
      </c>
      <c r="AA38" s="144">
        <f t="shared" si="4"/>
        <v>25</v>
      </c>
      <c r="AB38" s="145">
        <f t="shared" si="19"/>
        <v>2110.2869970515003</v>
      </c>
      <c r="AC38" s="145">
        <f>+(S38-T38)*V38-'data 1'!$F$4</f>
        <v>101.87950000000001</v>
      </c>
      <c r="AD38" s="145">
        <f t="shared" si="6"/>
        <v>-2.4628472408279478</v>
      </c>
      <c r="AE38" s="145">
        <f t="shared" si="7"/>
        <v>-42.442499999999995</v>
      </c>
      <c r="AF38" s="1068">
        <f t="shared" si="8"/>
        <v>450.57827852544017</v>
      </c>
      <c r="AG38" s="772">
        <f t="shared" si="24"/>
        <v>524.55243128461223</v>
      </c>
      <c r="AH38" s="146">
        <f t="shared" si="10"/>
        <v>208.07178666824845</v>
      </c>
      <c r="AI38" s="156">
        <f t="shared" si="11"/>
        <v>154.77358514932794</v>
      </c>
      <c r="AJ38" s="156">
        <f t="shared" si="12"/>
        <v>174.3595441739686</v>
      </c>
      <c r="AK38" s="88"/>
      <c r="AL38" s="716">
        <f t="shared" si="13"/>
        <v>14488.913978706043</v>
      </c>
    </row>
    <row r="39" spans="1:38" ht="15" customHeight="1">
      <c r="A39" s="857" t="s">
        <v>1922</v>
      </c>
      <c r="B39" s="1090">
        <v>45741</v>
      </c>
      <c r="C39" s="595">
        <v>45724</v>
      </c>
      <c r="D39" t="s">
        <v>1586</v>
      </c>
      <c r="E39" t="e">
        <f>_xlfn.XLOOKUP(D39,RUC!$B$3:$B$123,RUC!$D$3:$D$123)</f>
        <v>#N/A</v>
      </c>
      <c r="G39" s="80">
        <v>50</v>
      </c>
      <c r="H39" t="s">
        <v>69</v>
      </c>
      <c r="I39">
        <v>6.9</v>
      </c>
      <c r="J39" s="596">
        <v>1.9</v>
      </c>
      <c r="K39" s="138">
        <f t="shared" si="0"/>
        <v>6.7689000000000004</v>
      </c>
      <c r="L39" s="139">
        <v>0.38600000000000001</v>
      </c>
      <c r="M39" s="139">
        <v>0.36299999999999999</v>
      </c>
      <c r="N39" s="647">
        <v>0.44600000000000001</v>
      </c>
      <c r="O39" s="645">
        <f t="shared" si="1"/>
        <v>0.40500000000000003</v>
      </c>
      <c r="P39" s="727">
        <v>90</v>
      </c>
      <c r="Q39" s="596">
        <v>90.15</v>
      </c>
      <c r="R39" s="706">
        <v>2931.15</v>
      </c>
      <c r="S39" s="802">
        <f t="shared" ref="S39:S45" si="25">IF((85+ROUNDDOWN(O39,1)*100)&lt;95,95,(85+ROUNDDOWN(O39,1)*100))</f>
        <v>125</v>
      </c>
      <c r="U39" s="1024">
        <v>90</v>
      </c>
      <c r="V39" s="715">
        <v>1.1023000000000001</v>
      </c>
      <c r="Z39" s="1062">
        <v>25</v>
      </c>
      <c r="AA39" s="144">
        <f t="shared" si="4"/>
        <v>25</v>
      </c>
      <c r="AB39" s="145">
        <f t="shared" si="19"/>
        <v>976.1959706025001</v>
      </c>
      <c r="AC39" s="145">
        <f>+(S39-T39)*V39-'data 1'!$F$4</f>
        <v>57.787499999999994</v>
      </c>
      <c r="AD39" s="145">
        <f t="shared" si="6"/>
        <v>1.8133119944550689</v>
      </c>
      <c r="AE39" s="145">
        <f t="shared" si="7"/>
        <v>-42.442499999999995</v>
      </c>
      <c r="AF39" s="145">
        <f t="shared" si="8"/>
        <v>-53.643030219382553</v>
      </c>
      <c r="AG39" s="772">
        <f t="shared" si="24"/>
        <v>-19.484718224927484</v>
      </c>
      <c r="AH39" s="146">
        <f t="shared" si="10"/>
        <v>80.75700482210587</v>
      </c>
      <c r="AI39" s="156">
        <f t="shared" si="11"/>
        <v>60.931246432544974</v>
      </c>
      <c r="AJ39" s="156">
        <f t="shared" si="12"/>
        <v>84.591105376064604</v>
      </c>
      <c r="AK39" s="88"/>
      <c r="AL39" s="716">
        <f t="shared" si="13"/>
        <v>6607.7729054112633</v>
      </c>
    </row>
    <row r="40" spans="1:38" ht="15" customHeight="1">
      <c r="A40" s="857" t="s">
        <v>1923</v>
      </c>
      <c r="B40" s="1090">
        <v>45741</v>
      </c>
      <c r="C40" s="595">
        <v>45724</v>
      </c>
      <c r="D40" t="s">
        <v>1586</v>
      </c>
      <c r="E40" t="e">
        <f>_xlfn.XLOOKUP(D40,RUC!$B$3:$B$123,RUC!$D$3:$D$123)</f>
        <v>#N/A</v>
      </c>
      <c r="G40" s="80">
        <v>50</v>
      </c>
      <c r="H40" t="s">
        <v>69</v>
      </c>
      <c r="I40">
        <v>6.42</v>
      </c>
      <c r="J40" s="596">
        <v>2.2000000000000002</v>
      </c>
      <c r="K40" s="138">
        <f t="shared" si="0"/>
        <v>6.2787600000000001</v>
      </c>
      <c r="L40" s="139">
        <v>0.376</v>
      </c>
      <c r="M40" s="139">
        <v>0.35299999999999998</v>
      </c>
      <c r="N40" s="598">
        <v>0.443</v>
      </c>
      <c r="O40" s="645">
        <f t="shared" si="1"/>
        <v>0.39800000000000002</v>
      </c>
      <c r="P40" s="727">
        <v>90</v>
      </c>
      <c r="Q40" s="596">
        <v>90.2</v>
      </c>
      <c r="R40" s="706">
        <v>2931.15</v>
      </c>
      <c r="S40" s="802">
        <f t="shared" si="25"/>
        <v>115</v>
      </c>
      <c r="U40" s="1024">
        <v>90</v>
      </c>
      <c r="V40" s="715">
        <v>1.1023000000000001</v>
      </c>
      <c r="Z40" s="1062">
        <v>25</v>
      </c>
      <c r="AA40" s="144">
        <f t="shared" si="4"/>
        <v>25</v>
      </c>
      <c r="AB40" s="145">
        <f t="shared" si="19"/>
        <v>967.48863283900005</v>
      </c>
      <c r="AC40" s="145">
        <f>+(S40-T40)*V40-'data 1'!$F$4</f>
        <v>46.764500000000012</v>
      </c>
      <c r="AD40" s="145">
        <f t="shared" si="6"/>
        <v>2.3551133330400336</v>
      </c>
      <c r="AE40" s="145">
        <f t="shared" si="7"/>
        <v>-42.442499999999995</v>
      </c>
      <c r="AF40" s="145">
        <f t="shared" si="8"/>
        <v>-62.147432155380059</v>
      </c>
      <c r="AG40" s="772">
        <f t="shared" si="24"/>
        <v>-38.470318822340012</v>
      </c>
      <c r="AH40" s="146">
        <f t="shared" si="10"/>
        <v>73.009157119592388</v>
      </c>
      <c r="AI40" s="156">
        <f t="shared" si="11"/>
        <v>59.385635598959972</v>
      </c>
      <c r="AJ40" s="156">
        <f t="shared" si="12"/>
        <v>77.109614804683417</v>
      </c>
      <c r="AK40" s="88"/>
      <c r="AL40" s="716">
        <f t="shared" si="13"/>
        <v>6074.6289283242004</v>
      </c>
    </row>
    <row r="41" spans="1:38" ht="15" customHeight="1">
      <c r="A41" s="857" t="s">
        <v>1924</v>
      </c>
      <c r="B41" s="1090">
        <v>45741</v>
      </c>
      <c r="C41" s="595">
        <v>45724</v>
      </c>
      <c r="D41" t="s">
        <v>1586</v>
      </c>
      <c r="E41" t="e">
        <f>_xlfn.XLOOKUP(D41,RUC!$B$3:$B$123,RUC!$D$3:$D$123)</f>
        <v>#N/A</v>
      </c>
      <c r="G41" s="80">
        <v>50</v>
      </c>
      <c r="H41" t="s">
        <v>69</v>
      </c>
      <c r="I41">
        <v>6.8</v>
      </c>
      <c r="J41" s="596">
        <v>1.1499999999999999</v>
      </c>
      <c r="K41" s="138">
        <f t="shared" si="0"/>
        <v>6.7218</v>
      </c>
      <c r="L41" s="139">
        <v>0.52100000000000002</v>
      </c>
      <c r="M41" s="139">
        <v>0.48899999999999999</v>
      </c>
      <c r="N41" s="598">
        <v>0.58799999999999997</v>
      </c>
      <c r="O41" s="645">
        <f t="shared" si="1"/>
        <v>0.53900000000000003</v>
      </c>
      <c r="P41" s="727">
        <v>90</v>
      </c>
      <c r="Q41" s="596">
        <v>90.1</v>
      </c>
      <c r="R41" s="706">
        <v>2931.15</v>
      </c>
      <c r="S41" s="802">
        <f t="shared" si="25"/>
        <v>135</v>
      </c>
      <c r="U41" s="1024">
        <v>90</v>
      </c>
      <c r="V41" s="715">
        <v>1.1023000000000001</v>
      </c>
      <c r="Z41" s="1062">
        <v>25</v>
      </c>
      <c r="AA41" s="144">
        <f t="shared" si="4"/>
        <v>25</v>
      </c>
      <c r="AB41" s="145">
        <f t="shared" si="19"/>
        <v>1342.8680077895003</v>
      </c>
      <c r="AC41" s="145">
        <f>+(S41-T41)*V41-'data 1'!$F$4</f>
        <v>68.810500000000019</v>
      </c>
      <c r="AD41" s="145">
        <f t="shared" si="6"/>
        <v>1.6316676150449074</v>
      </c>
      <c r="AE41" s="145">
        <f t="shared" si="7"/>
        <v>-42.442499999999995</v>
      </c>
      <c r="AF41" s="145">
        <f t="shared" si="8"/>
        <v>-50.791526642610044</v>
      </c>
      <c r="AG41" s="772">
        <f t="shared" si="24"/>
        <v>-5.7918590275651169</v>
      </c>
      <c r="AH41" s="146">
        <f t="shared" si="10"/>
        <v>108.18253899252289</v>
      </c>
      <c r="AI41" s="156">
        <f t="shared" si="11"/>
        <v>82.195783744454971</v>
      </c>
      <c r="AJ41" s="156">
        <f t="shared" si="12"/>
        <v>111.79591382846712</v>
      </c>
      <c r="AK41" s="88"/>
      <c r="AL41" s="716">
        <f t="shared" si="13"/>
        <v>9026.4901747594631</v>
      </c>
    </row>
    <row r="42" spans="1:38" ht="15" customHeight="1">
      <c r="A42" s="857" t="s">
        <v>1925</v>
      </c>
      <c r="B42" s="1090">
        <v>45741</v>
      </c>
      <c r="C42" s="595">
        <v>45724</v>
      </c>
      <c r="D42" t="s">
        <v>1586</v>
      </c>
      <c r="E42" t="e">
        <f>_xlfn.XLOOKUP(D42,RUC!$B$3:$B$123,RUC!$D$3:$D$123)</f>
        <v>#N/A</v>
      </c>
      <c r="G42" s="80">
        <v>50</v>
      </c>
      <c r="H42" t="s">
        <v>69</v>
      </c>
      <c r="I42">
        <v>6.86</v>
      </c>
      <c r="J42" s="596">
        <v>1.1000000000000001</v>
      </c>
      <c r="K42" s="138">
        <f t="shared" si="0"/>
        <v>6.7845400000000007</v>
      </c>
      <c r="L42" s="139">
        <v>0.72199999999999998</v>
      </c>
      <c r="M42" s="139">
        <v>0.67900000000000005</v>
      </c>
      <c r="N42" s="598">
        <v>0.748</v>
      </c>
      <c r="O42" s="645">
        <f t="shared" si="1"/>
        <v>0.71399999999999997</v>
      </c>
      <c r="P42" s="727">
        <v>90</v>
      </c>
      <c r="Q42" s="596">
        <v>89.95</v>
      </c>
      <c r="R42" s="706">
        <v>2931.15</v>
      </c>
      <c r="S42" s="802">
        <f t="shared" si="25"/>
        <v>155</v>
      </c>
      <c r="U42" s="1024">
        <v>90</v>
      </c>
      <c r="V42" s="715">
        <v>1.1023000000000001</v>
      </c>
      <c r="Z42" s="1062">
        <v>25</v>
      </c>
      <c r="AA42" s="144">
        <f t="shared" si="4"/>
        <v>25</v>
      </c>
      <c r="AB42" s="145">
        <f t="shared" si="19"/>
        <v>1814.0804518769999</v>
      </c>
      <c r="AC42" s="145">
        <f>+(S42-T42)*V42-'data 1'!$F$4</f>
        <v>90.856500000000011</v>
      </c>
      <c r="AD42" s="145">
        <f t="shared" si="6"/>
        <v>-1.1305796718449359</v>
      </c>
      <c r="AE42" s="145">
        <f t="shared" si="7"/>
        <v>-42.442499999999995</v>
      </c>
      <c r="AF42" s="145">
        <f t="shared" si="8"/>
        <v>22.536430245420021</v>
      </c>
      <c r="AG42" s="772">
        <f t="shared" si="24"/>
        <v>86.819850573575081</v>
      </c>
      <c r="AH42" s="146">
        <f t="shared" si="10"/>
        <v>151.06638677738013</v>
      </c>
      <c r="AI42" s="156">
        <f t="shared" si="11"/>
        <v>113.71699945084494</v>
      </c>
      <c r="AJ42" s="156">
        <f t="shared" si="12"/>
        <v>149.47556297534405</v>
      </c>
      <c r="AK42" s="88"/>
      <c r="AL42" s="716">
        <f t="shared" si="13"/>
        <v>12307.701388977583</v>
      </c>
    </row>
    <row r="43" spans="1:38" ht="15" customHeight="1">
      <c r="A43" s="857" t="s">
        <v>1929</v>
      </c>
      <c r="B43" s="1090">
        <v>45736</v>
      </c>
      <c r="C43" s="595">
        <v>45724</v>
      </c>
      <c r="D43" t="s">
        <v>1586</v>
      </c>
      <c r="E43" t="e">
        <f>_xlfn.XLOOKUP(D43,RUC!$B$3:$B$123,RUC!$D$3:$D$123)</f>
        <v>#N/A</v>
      </c>
      <c r="G43" s="80">
        <v>50</v>
      </c>
      <c r="H43" t="s">
        <v>69</v>
      </c>
      <c r="I43">
        <v>6.92</v>
      </c>
      <c r="J43" s="596">
        <v>1.5</v>
      </c>
      <c r="K43" s="138">
        <f t="shared" si="0"/>
        <v>6.8162000000000003</v>
      </c>
      <c r="L43" s="139">
        <v>0.39200000000000002</v>
      </c>
      <c r="M43" s="139">
        <v>0.36799999999999999</v>
      </c>
      <c r="N43" s="598">
        <v>0.47199999999999998</v>
      </c>
      <c r="O43" s="645">
        <f t="shared" si="1"/>
        <v>0.42</v>
      </c>
      <c r="P43" s="727">
        <v>90</v>
      </c>
      <c r="Q43" s="596">
        <v>90.13</v>
      </c>
      <c r="R43" s="706">
        <v>2931.15</v>
      </c>
      <c r="S43" s="802">
        <f t="shared" si="25"/>
        <v>125</v>
      </c>
      <c r="U43" s="1024">
        <v>90</v>
      </c>
      <c r="V43" s="715">
        <v>1.1023000000000001</v>
      </c>
      <c r="Z43" s="1062">
        <v>25</v>
      </c>
      <c r="AA43" s="144">
        <f t="shared" si="4"/>
        <v>25</v>
      </c>
      <c r="AB43" s="145">
        <f t="shared" si="19"/>
        <v>1018.4752658100001</v>
      </c>
      <c r="AC43" s="145">
        <f>+(S43-T43)*V43-'data 1'!$F$4</f>
        <v>57.787499999999994</v>
      </c>
      <c r="AD43" s="145">
        <f t="shared" si="6"/>
        <v>1.5959650990919443</v>
      </c>
      <c r="AE43" s="145">
        <f t="shared" si="7"/>
        <v>-42.442499999999995</v>
      </c>
      <c r="AF43" s="145">
        <f t="shared" si="8"/>
        <v>-79.03534856107791</v>
      </c>
      <c r="AG43" s="772">
        <f t="shared" si="24"/>
        <v>-45.09438346198597</v>
      </c>
      <c r="AH43" s="146">
        <f t="shared" si="10"/>
        <v>82.567062196126116</v>
      </c>
      <c r="AI43" s="156">
        <f t="shared" si="11"/>
        <v>61.864636384907975</v>
      </c>
      <c r="AJ43" s="156">
        <f t="shared" si="12"/>
        <v>88.337111445982998</v>
      </c>
      <c r="AK43" s="88"/>
      <c r="AL43" s="716">
        <f t="shared" si="13"/>
        <v>6942.1311068141231</v>
      </c>
    </row>
    <row r="44" spans="1:38" ht="15" customHeight="1">
      <c r="A44" s="857" t="s">
        <v>1931</v>
      </c>
      <c r="B44" s="1090">
        <v>45736</v>
      </c>
      <c r="C44" s="595">
        <v>45724</v>
      </c>
      <c r="D44" t="s">
        <v>1586</v>
      </c>
      <c r="E44" t="e">
        <f>_xlfn.XLOOKUP(D44,RUC!$B$3:$B$123,RUC!$D$3:$D$123)</f>
        <v>#N/A</v>
      </c>
      <c r="G44" s="80">
        <v>50</v>
      </c>
      <c r="H44" t="s">
        <v>69</v>
      </c>
      <c r="I44">
        <v>6.86</v>
      </c>
      <c r="J44" s="596">
        <v>1.8</v>
      </c>
      <c r="K44" s="138">
        <f t="shared" si="0"/>
        <v>6.7365200000000005</v>
      </c>
      <c r="L44" s="139">
        <v>0.51700000000000002</v>
      </c>
      <c r="M44" s="139">
        <v>0.48599999999999999</v>
      </c>
      <c r="N44" s="598">
        <v>0.56999999999999995</v>
      </c>
      <c r="O44" s="645">
        <f t="shared" si="1"/>
        <v>0.52800000000000002</v>
      </c>
      <c r="P44" s="727">
        <v>90</v>
      </c>
      <c r="Q44" s="596">
        <v>90.02</v>
      </c>
      <c r="R44" s="706">
        <v>2931.15</v>
      </c>
      <c r="S44" s="802">
        <f t="shared" si="25"/>
        <v>135</v>
      </c>
      <c r="U44" s="1024">
        <v>90</v>
      </c>
      <c r="V44" s="715">
        <v>1.1023000000000001</v>
      </c>
      <c r="Z44" s="1062">
        <v>25</v>
      </c>
      <c r="AA44" s="144">
        <f t="shared" si="4"/>
        <v>25</v>
      </c>
      <c r="AB44" s="145">
        <f t="shared" si="19"/>
        <v>1311.8631913040001</v>
      </c>
      <c r="AC44" s="145">
        <f>+(S44-T44)*V44-'data 1'!$F$4</f>
        <v>68.810500000000019</v>
      </c>
      <c r="AD44" s="145">
        <f t="shared" si="6"/>
        <v>0.32382808329293561</v>
      </c>
      <c r="AE44" s="145">
        <f t="shared" si="7"/>
        <v>-42.442499999999995</v>
      </c>
      <c r="AF44" s="145">
        <f t="shared" si="8"/>
        <v>-31.011706444719028</v>
      </c>
      <c r="AG44" s="772">
        <f t="shared" si="24"/>
        <v>12.680121638573937</v>
      </c>
      <c r="AH44" s="146">
        <f t="shared" si="10"/>
        <v>107.49152503177299</v>
      </c>
      <c r="AI44" s="156">
        <f t="shared" si="11"/>
        <v>81.492300558206964</v>
      </c>
      <c r="AJ44" s="156">
        <f t="shared" si="12"/>
        <v>109.75418893608969</v>
      </c>
      <c r="AK44" s="88"/>
      <c r="AL44" s="716">
        <f t="shared" si="13"/>
        <v>8837.392625483224</v>
      </c>
    </row>
    <row r="45" spans="1:38" ht="15" customHeight="1">
      <c r="A45" s="857" t="s">
        <v>1936</v>
      </c>
      <c r="B45" s="1090">
        <v>45736</v>
      </c>
      <c r="C45" s="595">
        <v>45724</v>
      </c>
      <c r="D45" t="s">
        <v>1586</v>
      </c>
      <c r="E45" t="e">
        <f>_xlfn.XLOOKUP(D45,RUC!$B$3:$B$123,RUC!$D$3:$D$123)</f>
        <v>#N/A</v>
      </c>
      <c r="G45" s="80">
        <v>50</v>
      </c>
      <c r="H45" t="s">
        <v>69</v>
      </c>
      <c r="I45">
        <v>5.82</v>
      </c>
      <c r="J45" s="596">
        <v>1.9</v>
      </c>
      <c r="K45" s="138">
        <f t="shared" si="0"/>
        <v>5.7094200000000006</v>
      </c>
      <c r="L45" s="139">
        <v>0.17699999999999999</v>
      </c>
      <c r="M45" s="139">
        <v>0.16600000000000001</v>
      </c>
      <c r="N45" s="598">
        <v>0.21099999999999999</v>
      </c>
      <c r="O45" s="645">
        <f t="shared" si="1"/>
        <v>0.189</v>
      </c>
      <c r="P45" s="727">
        <v>85</v>
      </c>
      <c r="Q45" s="596">
        <v>90.28</v>
      </c>
      <c r="R45" s="706">
        <v>2931.15</v>
      </c>
      <c r="S45" s="802">
        <f t="shared" si="25"/>
        <v>95</v>
      </c>
      <c r="U45" s="1024">
        <v>90</v>
      </c>
      <c r="V45" s="715">
        <v>1.1023000000000001</v>
      </c>
      <c r="Z45" s="1062">
        <v>25</v>
      </c>
      <c r="AA45" s="144">
        <f t="shared" si="4"/>
        <v>25</v>
      </c>
      <c r="AB45" s="145">
        <f t="shared" si="19"/>
        <v>370.84761296925006</v>
      </c>
      <c r="AC45" s="145">
        <f>+(S45-T45)*V45-'data 1'!$F$4</f>
        <v>24.718500000000006</v>
      </c>
      <c r="AD45" s="145">
        <f t="shared" si="6"/>
        <v>29.268546762312006</v>
      </c>
      <c r="AE45" s="145">
        <f t="shared" si="7"/>
        <v>-42.442499999999995</v>
      </c>
      <c r="AF45" s="145">
        <f t="shared" si="8"/>
        <v>-33.928664634072035</v>
      </c>
      <c r="AG45" s="772">
        <f t="shared" si="24"/>
        <v>-5.3841178717600187</v>
      </c>
      <c r="AH45" s="146">
        <f t="shared" si="10"/>
        <v>31.279937603827822</v>
      </c>
      <c r="AI45" s="156">
        <f t="shared" si="11"/>
        <v>27.980266287437985</v>
      </c>
      <c r="AJ45" s="156">
        <f t="shared" si="12"/>
        <v>31.447186130625241</v>
      </c>
      <c r="AK45" s="88"/>
      <c r="AL45" s="716">
        <f t="shared" si="13"/>
        <v>2117.3247784388959</v>
      </c>
    </row>
    <row r="46" spans="1:38" ht="15" customHeight="1">
      <c r="A46" s="857" t="s">
        <v>1958</v>
      </c>
      <c r="B46" s="595">
        <v>45728</v>
      </c>
      <c r="C46" s="595">
        <v>45725</v>
      </c>
      <c r="D46" t="s">
        <v>1689</v>
      </c>
      <c r="E46">
        <f>_xlfn.XLOOKUP(D46,RUC!$B$3:$B$123,RUC!$D$3:$D$123)</f>
        <v>10306762465</v>
      </c>
      <c r="G46" s="80">
        <v>50</v>
      </c>
      <c r="H46" t="s">
        <v>69</v>
      </c>
      <c r="I46" s="596">
        <v>4.21</v>
      </c>
      <c r="J46" s="596">
        <v>1.2</v>
      </c>
      <c r="K46" s="138">
        <f t="shared" si="0"/>
        <v>4.1594800000000003</v>
      </c>
      <c r="L46" s="139">
        <v>0.32800000000000001</v>
      </c>
      <c r="M46" s="139">
        <v>0.308</v>
      </c>
      <c r="N46" s="159">
        <v>0.34899999999999998</v>
      </c>
      <c r="O46" s="645">
        <f t="shared" si="1"/>
        <v>0.32900000000000001</v>
      </c>
      <c r="P46" s="727">
        <v>90</v>
      </c>
      <c r="Q46" s="596">
        <v>90.2</v>
      </c>
      <c r="R46" s="706">
        <v>2910.2</v>
      </c>
      <c r="S46" s="765">
        <f t="shared" ref="S46:S53" si="26">IF((90+ROUNDDOWN(O46,1)*100)&lt;95,95,(90+ROUNDDOWN(O46,1)*100))</f>
        <v>120</v>
      </c>
      <c r="U46" s="1066">
        <v>120</v>
      </c>
      <c r="V46" s="715">
        <v>1.1023000000000001</v>
      </c>
      <c r="Y46">
        <v>20</v>
      </c>
      <c r="Z46" s="143">
        <f t="shared" ref="Z46:Z65" si="27">IF(IF(D46="UNTUCA",IF(+((W46-3)*1.5+(X46-3)*3.1)&gt;0,+((W46-3)*1.5+(X46-3)*3.1),0),IF(+((W46-3)*1.5+(X46-3)*3.1)&gt;0,+((W46-3)*1.5+(X46-3)*3.1),0))&lt;30,30,IF(D46="UNTUCA",IF(+((W46-3)*1.5+(X46-3)*3.1)&gt;0,+((W46-3)*1.5+(X46-3)*3.1),0),IF(+((W46-3)*1.5+(X46-3)*3.1)&gt;0,+((W46-3)*1.5+(X46-3)*3.1),0)))</f>
        <v>30</v>
      </c>
      <c r="AA46" s="144">
        <f t="shared" si="4"/>
        <v>50</v>
      </c>
      <c r="AB46" s="145">
        <f t="shared" si="19"/>
        <v>723.30525190600008</v>
      </c>
      <c r="AC46" s="145">
        <f>+(S46-T46)*V46-'data 1'!$F$4</f>
        <v>52.27600000000001</v>
      </c>
      <c r="AD46" s="145">
        <f t="shared" si="6"/>
        <v>2.0176181737600287</v>
      </c>
      <c r="AE46" s="145">
        <f t="shared" si="7"/>
        <v>-14.884999999999998</v>
      </c>
      <c r="AF46" s="145">
        <f t="shared" si="8"/>
        <v>-2.7742249889200026</v>
      </c>
      <c r="AG46" s="772">
        <f t="shared" si="24"/>
        <v>53.634393184840036</v>
      </c>
      <c r="AH46" s="146">
        <f t="shared" si="10"/>
        <v>42.191842470751737</v>
      </c>
      <c r="AI46" s="156">
        <f t="shared" si="11"/>
        <v>68.420410034240064</v>
      </c>
      <c r="AJ46" s="156">
        <f t="shared" si="12"/>
        <v>42.226639160907979</v>
      </c>
      <c r="AK46" s="88"/>
      <c r="AL46" s="716">
        <f t="shared" si="13"/>
        <v>3008.5737291979694</v>
      </c>
    </row>
    <row r="47" spans="1:38" ht="15" customHeight="1">
      <c r="A47" s="857" t="s">
        <v>1959</v>
      </c>
      <c r="B47" s="595">
        <v>45729</v>
      </c>
      <c r="C47" s="595">
        <v>45725</v>
      </c>
      <c r="D47" t="s">
        <v>1689</v>
      </c>
      <c r="E47">
        <f>_xlfn.XLOOKUP(D47,RUC!$B$3:$B$123,RUC!$D$3:$D$123)</f>
        <v>10306762465</v>
      </c>
      <c r="G47" s="80">
        <v>48</v>
      </c>
      <c r="H47" t="s">
        <v>69</v>
      </c>
      <c r="I47" s="596">
        <v>4.26</v>
      </c>
      <c r="J47" s="596">
        <v>1.1000000000000001</v>
      </c>
      <c r="K47" s="138">
        <f t="shared" si="0"/>
        <v>4.2131400000000001</v>
      </c>
      <c r="L47" s="139">
        <v>0.32300000000000001</v>
      </c>
      <c r="M47" s="139">
        <v>0.30299999999999999</v>
      </c>
      <c r="N47" s="598">
        <v>0.38700000000000001</v>
      </c>
      <c r="O47" s="645">
        <f t="shared" si="1"/>
        <v>0.34499999999999997</v>
      </c>
      <c r="P47" s="727">
        <v>90</v>
      </c>
      <c r="Q47" s="596">
        <v>90.15</v>
      </c>
      <c r="R47" s="706">
        <v>2910.2</v>
      </c>
      <c r="S47" s="765">
        <f t="shared" si="26"/>
        <v>120</v>
      </c>
      <c r="U47" s="1066">
        <v>120</v>
      </c>
      <c r="V47" s="715">
        <v>1.1023000000000001</v>
      </c>
      <c r="Y47">
        <v>20</v>
      </c>
      <c r="Z47" s="143">
        <f t="shared" si="27"/>
        <v>30</v>
      </c>
      <c r="AA47" s="144">
        <f t="shared" si="4"/>
        <v>50</v>
      </c>
      <c r="AB47" s="145">
        <f t="shared" si="19"/>
        <v>767.59443133000002</v>
      </c>
      <c r="AC47" s="145">
        <f>+(S47-T47)*V47-'data 1'!$F$4</f>
        <v>52.27600000000001</v>
      </c>
      <c r="AD47" s="145">
        <f t="shared" si="6"/>
        <v>1.4901463493700566</v>
      </c>
      <c r="AE47" s="145">
        <f t="shared" si="7"/>
        <v>-14.884999999999998</v>
      </c>
      <c r="AF47" s="145">
        <f t="shared" si="8"/>
        <v>-60.999117744179905</v>
      </c>
      <c r="AG47" s="772">
        <f t="shared" si="24"/>
        <v>-5.1179713948098353</v>
      </c>
      <c r="AH47" s="146">
        <f t="shared" si="10"/>
        <v>42.061350550707068</v>
      </c>
      <c r="AI47" s="156">
        <f t="shared" si="11"/>
        <v>67.340067078630057</v>
      </c>
      <c r="AJ47" s="156">
        <f t="shared" si="12"/>
        <v>44.851457910687358</v>
      </c>
      <c r="AK47" s="88"/>
      <c r="AL47" s="716">
        <f t="shared" si="13"/>
        <v>3233.9828024136764</v>
      </c>
    </row>
    <row r="48" spans="1:38" ht="15" customHeight="1">
      <c r="A48" s="857" t="s">
        <v>1960</v>
      </c>
      <c r="B48" s="595">
        <v>45741</v>
      </c>
      <c r="C48" s="595">
        <v>45727</v>
      </c>
      <c r="D48" t="s">
        <v>1966</v>
      </c>
      <c r="E48">
        <f>_xlfn.XLOOKUP(D48,RUC!$B$3:$B$123,RUC!$D$3:$D$123)</f>
        <v>20612791148</v>
      </c>
      <c r="G48" s="80">
        <v>41</v>
      </c>
      <c r="H48" t="s">
        <v>69</v>
      </c>
      <c r="I48" s="596">
        <v>3.42</v>
      </c>
      <c r="J48" s="596">
        <v>1.2</v>
      </c>
      <c r="K48" s="138">
        <f t="shared" si="0"/>
        <v>3.3789599999999997</v>
      </c>
      <c r="L48" s="840">
        <v>0.222</v>
      </c>
      <c r="M48" s="840">
        <v>0.222</v>
      </c>
      <c r="N48" s="840">
        <v>0.222</v>
      </c>
      <c r="O48" s="645">
        <f t="shared" si="1"/>
        <v>0.222</v>
      </c>
      <c r="P48" s="727">
        <v>90</v>
      </c>
      <c r="Q48" s="596">
        <v>90.18</v>
      </c>
      <c r="R48" s="706">
        <v>2916.9</v>
      </c>
      <c r="S48" s="765">
        <f t="shared" si="26"/>
        <v>110</v>
      </c>
      <c r="U48" s="1066">
        <v>120</v>
      </c>
      <c r="V48" s="715">
        <v>1.1023000000000001</v>
      </c>
      <c r="Y48">
        <v>20</v>
      </c>
      <c r="Z48" s="143">
        <f t="shared" si="27"/>
        <v>30</v>
      </c>
      <c r="AA48" s="144">
        <f t="shared" si="4"/>
        <v>50</v>
      </c>
      <c r="AB48" s="145">
        <f t="shared" si="19"/>
        <v>439.61996942600013</v>
      </c>
      <c r="AC48" s="145">
        <f>+(S48-T48)*V48-'data 1'!$F$4</f>
        <v>41.253</v>
      </c>
      <c r="AD48" s="145">
        <f t="shared" si="6"/>
        <v>1.2319759388520468</v>
      </c>
      <c r="AE48" s="145">
        <f t="shared" si="7"/>
        <v>-14.884999999999998</v>
      </c>
      <c r="AF48" s="145">
        <f t="shared" si="8"/>
        <v>0</v>
      </c>
      <c r="AG48" s="772">
        <f t="shared" si="24"/>
        <v>44.599975938852054</v>
      </c>
      <c r="AH48" s="146">
        <f t="shared" si="10"/>
        <v>23.19291441246477</v>
      </c>
      <c r="AI48" s="156">
        <f t="shared" si="11"/>
        <v>44.820111875147987</v>
      </c>
      <c r="AJ48" s="156">
        <f t="shared" si="12"/>
        <v>23.146621170124511</v>
      </c>
      <c r="AK48" s="88"/>
      <c r="AL48" s="716">
        <f t="shared" si="13"/>
        <v>1485.4582918916772</v>
      </c>
    </row>
    <row r="49" spans="1:38" ht="15" customHeight="1">
      <c r="A49" s="857" t="s">
        <v>1961</v>
      </c>
      <c r="B49" s="595">
        <v>45741</v>
      </c>
      <c r="C49" s="595">
        <v>45727</v>
      </c>
      <c r="D49" t="s">
        <v>1966</v>
      </c>
      <c r="E49">
        <f>_xlfn.XLOOKUP(D49,RUC!$B$3:$B$123,RUC!$D$3:$D$123)</f>
        <v>20612791148</v>
      </c>
      <c r="G49" s="80">
        <v>69</v>
      </c>
      <c r="H49" t="s">
        <v>69</v>
      </c>
      <c r="I49" s="596">
        <v>5.89</v>
      </c>
      <c r="J49" s="596">
        <v>1.3</v>
      </c>
      <c r="K49" s="138">
        <f t="shared" si="0"/>
        <v>5.8134299999999994</v>
      </c>
      <c r="L49" s="840">
        <v>0.38100000000000001</v>
      </c>
      <c r="M49" s="840">
        <v>0.38100000000000001</v>
      </c>
      <c r="N49" s="840">
        <v>0.38100000000000001</v>
      </c>
      <c r="O49" s="645">
        <f t="shared" si="1"/>
        <v>0.38100000000000001</v>
      </c>
      <c r="P49" s="727">
        <v>90</v>
      </c>
      <c r="Q49" s="596">
        <v>90.11</v>
      </c>
      <c r="R49" s="706">
        <v>2916.9</v>
      </c>
      <c r="S49" s="765">
        <f t="shared" si="26"/>
        <v>120</v>
      </c>
      <c r="U49" s="1066">
        <v>120</v>
      </c>
      <c r="V49" s="715">
        <v>1.1023000000000001</v>
      </c>
      <c r="Y49">
        <v>20</v>
      </c>
      <c r="Z49" s="143">
        <f t="shared" si="27"/>
        <v>30</v>
      </c>
      <c r="AA49" s="144">
        <f t="shared" si="4"/>
        <v>50</v>
      </c>
      <c r="AB49" s="145">
        <f t="shared" si="19"/>
        <v>869.77754212299999</v>
      </c>
      <c r="AC49" s="145">
        <f>+(S49-T49)*V49-'data 1'!$F$4</f>
        <v>52.27600000000001</v>
      </c>
      <c r="AD49" s="145">
        <f t="shared" si="6"/>
        <v>1.2920948848169933</v>
      </c>
      <c r="AE49" s="145">
        <f t="shared" si="7"/>
        <v>-14.884999999999998</v>
      </c>
      <c r="AF49" s="145">
        <f t="shared" si="8"/>
        <v>0</v>
      </c>
      <c r="AG49" s="772">
        <f t="shared" si="24"/>
        <v>55.683094884816995</v>
      </c>
      <c r="AH49" s="146">
        <f t="shared" si="10"/>
        <v>68.428887924839827</v>
      </c>
      <c r="AI49" s="156">
        <f t="shared" si="11"/>
        <v>76.861294782182966</v>
      </c>
      <c r="AJ49" s="156">
        <f t="shared" si="12"/>
        <v>68.345354713523292</v>
      </c>
      <c r="AK49" s="88"/>
      <c r="AL49" s="716">
        <f t="shared" si="13"/>
        <v>5056.3908567041117</v>
      </c>
    </row>
    <row r="50" spans="1:38" ht="15" customHeight="1">
      <c r="A50" s="857" t="s">
        <v>2009</v>
      </c>
      <c r="B50" s="595"/>
      <c r="C50" s="1095">
        <v>45727</v>
      </c>
      <c r="D50" s="1096" t="s">
        <v>1967</v>
      </c>
      <c r="E50" s="1096">
        <f>_xlfn.XLOOKUP(D50,RUC!$B$3:$B$123,RUC!$D$3:$D$123)</f>
        <v>20601769396</v>
      </c>
      <c r="G50" s="80"/>
      <c r="I50" s="596"/>
      <c r="J50" s="596"/>
      <c r="K50" s="138"/>
      <c r="L50" s="139"/>
      <c r="M50" s="139"/>
      <c r="N50" s="159"/>
      <c r="O50" s="645"/>
      <c r="P50" s="727"/>
      <c r="Q50" s="596"/>
      <c r="R50" s="706"/>
      <c r="S50" s="765"/>
      <c r="U50" s="1066"/>
      <c r="V50" s="715"/>
      <c r="Z50" s="143"/>
      <c r="AA50" s="144"/>
      <c r="AB50" s="145"/>
      <c r="AC50" s="145"/>
      <c r="AD50" s="145"/>
      <c r="AE50" s="145"/>
      <c r="AF50" s="145"/>
      <c r="AG50" s="772"/>
      <c r="AH50" s="146"/>
      <c r="AI50" s="156"/>
      <c r="AJ50" s="156"/>
      <c r="AK50" s="88"/>
      <c r="AL50" s="716"/>
    </row>
    <row r="51" spans="1:38" ht="15" customHeight="1">
      <c r="A51" s="857" t="s">
        <v>2010</v>
      </c>
      <c r="B51" s="595"/>
      <c r="C51" s="1095">
        <v>45727</v>
      </c>
      <c r="D51" s="1096" t="s">
        <v>1967</v>
      </c>
      <c r="E51" s="1096">
        <f>_xlfn.XLOOKUP(D51,RUC!$B$3:$B$123,RUC!$D$3:$D$123)</f>
        <v>20601769396</v>
      </c>
      <c r="G51" s="80"/>
      <c r="I51" s="596"/>
      <c r="J51" s="596"/>
      <c r="K51" s="138"/>
      <c r="L51" s="139"/>
      <c r="M51" s="139"/>
      <c r="N51" s="159"/>
      <c r="O51" s="645"/>
      <c r="P51" s="727"/>
      <c r="Q51" s="596"/>
      <c r="R51" s="706"/>
      <c r="S51" s="765"/>
      <c r="U51" s="1066"/>
      <c r="V51" s="715"/>
      <c r="Z51" s="143"/>
      <c r="AA51" s="144"/>
      <c r="AB51" s="145"/>
      <c r="AC51" s="145"/>
      <c r="AD51" s="145"/>
      <c r="AE51" s="145"/>
      <c r="AF51" s="145"/>
      <c r="AG51" s="772"/>
      <c r="AH51" s="146"/>
      <c r="AI51" s="156"/>
      <c r="AJ51" s="156"/>
      <c r="AK51" s="88"/>
      <c r="AL51" s="716"/>
    </row>
    <row r="52" spans="1:38" ht="15" customHeight="1">
      <c r="A52" s="857" t="s">
        <v>2011</v>
      </c>
      <c r="B52" s="595"/>
      <c r="C52" s="1095">
        <v>45727</v>
      </c>
      <c r="D52" s="1096" t="s">
        <v>1967</v>
      </c>
      <c r="E52" s="1096">
        <f>_xlfn.XLOOKUP(D52,RUC!$B$3:$B$123,RUC!$D$3:$D$123)</f>
        <v>20601769396</v>
      </c>
      <c r="G52" s="80"/>
      <c r="I52" s="596"/>
      <c r="J52" s="596"/>
      <c r="K52" s="138"/>
      <c r="L52" s="139"/>
      <c r="M52" s="139"/>
      <c r="N52" s="159"/>
      <c r="O52" s="645"/>
      <c r="P52" s="727"/>
      <c r="Q52" s="596"/>
      <c r="R52" s="706"/>
      <c r="S52" s="765"/>
      <c r="U52" s="1066"/>
      <c r="V52" s="715"/>
      <c r="Z52" s="143"/>
      <c r="AA52" s="144"/>
      <c r="AB52" s="145"/>
      <c r="AC52" s="145"/>
      <c r="AD52" s="145"/>
      <c r="AE52" s="145"/>
      <c r="AF52" s="145"/>
      <c r="AG52" s="772"/>
      <c r="AH52" s="146"/>
      <c r="AI52" s="156"/>
      <c r="AJ52" s="156"/>
      <c r="AK52" s="88"/>
      <c r="AL52" s="716"/>
    </row>
    <row r="53" spans="1:38" ht="15" customHeight="1">
      <c r="A53" s="857" t="s">
        <v>1962</v>
      </c>
      <c r="B53" s="595">
        <v>45731</v>
      </c>
      <c r="C53" s="595">
        <v>45727</v>
      </c>
      <c r="D53" t="s">
        <v>1402</v>
      </c>
      <c r="E53">
        <f>_xlfn.XLOOKUP(D53,RUC!$B$3:$B$123,RUC!$D$3:$D$123)</f>
        <v>20606526599</v>
      </c>
      <c r="G53" s="80">
        <v>175</v>
      </c>
      <c r="H53" t="s">
        <v>69</v>
      </c>
      <c r="I53" s="596">
        <v>14.85</v>
      </c>
      <c r="J53" s="596">
        <v>1.25</v>
      </c>
      <c r="K53" s="138">
        <f t="shared" si="0"/>
        <v>14.664375</v>
      </c>
      <c r="L53" s="139">
        <v>0.20300000000000001</v>
      </c>
      <c r="M53" s="139">
        <v>0.19</v>
      </c>
      <c r="N53" s="159">
        <v>0.19</v>
      </c>
      <c r="O53" s="645">
        <f t="shared" si="1"/>
        <v>0.19</v>
      </c>
      <c r="P53" s="727">
        <v>90</v>
      </c>
      <c r="Q53" s="596">
        <v>90.28</v>
      </c>
      <c r="R53" s="706">
        <v>2916.9</v>
      </c>
      <c r="S53" s="765">
        <f t="shared" si="26"/>
        <v>100</v>
      </c>
      <c r="U53" s="1066">
        <v>120</v>
      </c>
      <c r="V53" s="715">
        <v>1.1023000000000001</v>
      </c>
      <c r="Y53">
        <v>20</v>
      </c>
      <c r="Z53" s="143">
        <f t="shared" si="27"/>
        <v>30</v>
      </c>
      <c r="AA53" s="144">
        <f t="shared" si="4"/>
        <v>50</v>
      </c>
      <c r="AB53" s="145">
        <f t="shared" si="19"/>
        <v>361.85191077000007</v>
      </c>
      <c r="AC53" s="145">
        <f>+(S53-T53)*V53-'data 1'!$F$4</f>
        <v>30.230000000000004</v>
      </c>
      <c r="AD53" s="145">
        <f t="shared" si="6"/>
        <v>1.7523901993080073</v>
      </c>
      <c r="AE53" s="145">
        <f t="shared" si="7"/>
        <v>-14.884999999999998</v>
      </c>
      <c r="AF53" s="145">
        <f t="shared" si="8"/>
        <v>36.183589611468037</v>
      </c>
      <c r="AG53" s="772">
        <f t="shared" si="24"/>
        <v>70.280979810776046</v>
      </c>
      <c r="AH53" s="146">
        <f t="shared" si="10"/>
        <v>92.142547576120876</v>
      </c>
      <c r="AI53" s="156">
        <f t="shared" si="11"/>
        <v>41.029603411691994</v>
      </c>
      <c r="AJ53" s="156">
        <f t="shared" si="12"/>
        <v>85.974317642957899</v>
      </c>
      <c r="AK53" s="88"/>
      <c r="AL53" s="716">
        <f t="shared" si="13"/>
        <v>5306.3321139978198</v>
      </c>
    </row>
    <row r="54" spans="1:38" ht="15" customHeight="1">
      <c r="A54" s="857" t="s">
        <v>1963</v>
      </c>
      <c r="B54" s="595">
        <v>45736</v>
      </c>
      <c r="C54" s="595">
        <v>45727</v>
      </c>
      <c r="D54" t="s">
        <v>1433</v>
      </c>
      <c r="E54">
        <f>_xlfn.XLOOKUP(D54,RUC!$B$3:$B$123,RUC!$D$3:$D$123)</f>
        <v>10473108823</v>
      </c>
      <c r="G54" s="80" t="s">
        <v>1434</v>
      </c>
      <c r="H54" t="s">
        <v>108</v>
      </c>
      <c r="I54" s="596">
        <v>36.17</v>
      </c>
      <c r="J54" s="596">
        <v>24</v>
      </c>
      <c r="K54" s="138">
        <f t="shared" si="0"/>
        <v>27.489200000000004</v>
      </c>
      <c r="L54" s="139">
        <v>0.25</v>
      </c>
      <c r="M54" s="139">
        <v>0.23499999999999999</v>
      </c>
      <c r="N54" s="598">
        <v>0.26700000000000002</v>
      </c>
      <c r="O54" s="645">
        <f t="shared" si="1"/>
        <v>0.251</v>
      </c>
      <c r="P54" s="727">
        <v>90</v>
      </c>
      <c r="Q54" s="596">
        <v>90.1</v>
      </c>
      <c r="R54" s="706">
        <v>2916.9</v>
      </c>
      <c r="S54" s="802">
        <v>85</v>
      </c>
      <c r="U54" s="1066">
        <v>90</v>
      </c>
      <c r="V54" s="715">
        <v>1.1023000000000001</v>
      </c>
      <c r="Z54" s="143">
        <f t="shared" si="27"/>
        <v>30</v>
      </c>
      <c r="AA54" s="144">
        <f t="shared" si="4"/>
        <v>30</v>
      </c>
      <c r="AB54" s="145">
        <f t="shared" si="19"/>
        <v>577.16065343300011</v>
      </c>
      <c r="AC54" s="145">
        <f>+(S54-T54)*V54-'data 1'!$F$4</f>
        <v>13.69550000000001</v>
      </c>
      <c r="AD54" s="145">
        <f t="shared" si="6"/>
        <v>0.77902296749995581</v>
      </c>
      <c r="AE54" s="145">
        <f t="shared" si="7"/>
        <v>-36.930999999999997</v>
      </c>
      <c r="AF54" s="145">
        <f t="shared" si="8"/>
        <v>-2.807598774870002</v>
      </c>
      <c r="AG54" s="772">
        <f>+IF(D54="RONALD WILLIAN GARIBAY ESCUDERO",AC54+AD54+AE54+AF54+70,AC54+AD54+AE54+AF54)+70-20</f>
        <v>24.735924192629966</v>
      </c>
      <c r="AH54" s="146">
        <f t="shared" si="10"/>
        <v>212.29314453870956</v>
      </c>
      <c r="AI54" s="156">
        <f t="shared" si="11"/>
        <v>42.979531282499977</v>
      </c>
      <c r="AJ54" s="156">
        <f t="shared" si="12"/>
        <v>212.9057551666792</v>
      </c>
      <c r="AK54" s="88"/>
      <c r="AL54" s="716">
        <f t="shared" si="13"/>
        <v>15865.684634350429</v>
      </c>
    </row>
    <row r="55" spans="1:38" ht="15" customHeight="1">
      <c r="A55" s="857" t="s">
        <v>1964</v>
      </c>
      <c r="B55" s="595">
        <v>45736</v>
      </c>
      <c r="C55" s="595">
        <v>45727</v>
      </c>
      <c r="D55" t="s">
        <v>1433</v>
      </c>
      <c r="E55">
        <f>_xlfn.XLOOKUP(D55,RUC!$B$3:$B$123,RUC!$D$3:$D$123)</f>
        <v>10473108823</v>
      </c>
      <c r="G55" s="80" t="s">
        <v>1434</v>
      </c>
      <c r="H55" t="s">
        <v>108</v>
      </c>
      <c r="I55" s="596">
        <v>1.95</v>
      </c>
      <c r="J55" s="596">
        <v>3.45</v>
      </c>
      <c r="K55" s="138">
        <f t="shared" si="0"/>
        <v>1.882725</v>
      </c>
      <c r="L55" s="139">
        <v>0.19800000000000001</v>
      </c>
      <c r="M55" s="139">
        <v>0.186</v>
      </c>
      <c r="N55" s="598">
        <v>0.20300000000000001</v>
      </c>
      <c r="O55" s="645">
        <f t="shared" si="1"/>
        <v>0.19500000000000001</v>
      </c>
      <c r="P55" s="727">
        <v>90</v>
      </c>
      <c r="Q55" s="596">
        <v>90.1</v>
      </c>
      <c r="R55" s="706">
        <v>2916.9</v>
      </c>
      <c r="S55" s="802">
        <v>85</v>
      </c>
      <c r="U55" s="1066">
        <v>90</v>
      </c>
      <c r="V55" s="715">
        <v>1.1023000000000001</v>
      </c>
      <c r="Z55" s="143">
        <f t="shared" si="27"/>
        <v>30</v>
      </c>
      <c r="AA55" s="144">
        <f t="shared" si="4"/>
        <v>30</v>
      </c>
      <c r="AB55" s="145">
        <f t="shared" si="19"/>
        <v>420.10962318500003</v>
      </c>
      <c r="AC55" s="145">
        <f>+(S55-T55)*V55-'data 1'!$F$4</f>
        <v>13.69550000000001</v>
      </c>
      <c r="AD55" s="145">
        <f t="shared" si="6"/>
        <v>0.61698619025996504</v>
      </c>
      <c r="AE55" s="145">
        <f t="shared" si="7"/>
        <v>-36.930999999999997</v>
      </c>
      <c r="AF55" s="145">
        <f t="shared" si="8"/>
        <v>8.4227963246100064</v>
      </c>
      <c r="AG55" s="772">
        <f t="shared" ref="AG55:AG56" si="28">+IF(D55="RONALD WILLIAN GARIBAY ESCUDERO",AC55+AD55+AE55+AF55+70,AC55+AD55+AE55+AF55)+70-20</f>
        <v>35.804282514869982</v>
      </c>
      <c r="AH55" s="146">
        <f t="shared" si="10"/>
        <v>11.51558326749779</v>
      </c>
      <c r="AI55" s="156">
        <f t="shared" si="11"/>
        <v>34.039788775739979</v>
      </c>
      <c r="AJ55" s="156">
        <f t="shared" si="12"/>
        <v>11.328517491484563</v>
      </c>
      <c r="AK55" s="88"/>
      <c r="AL55" s="716">
        <f t="shared" si="13"/>
        <v>790.95089031097916</v>
      </c>
    </row>
    <row r="56" spans="1:38" ht="15" customHeight="1">
      <c r="A56" s="857" t="s">
        <v>1965</v>
      </c>
      <c r="B56" s="595">
        <v>45736</v>
      </c>
      <c r="C56" s="595">
        <v>45727</v>
      </c>
      <c r="D56" t="s">
        <v>1433</v>
      </c>
      <c r="E56">
        <f>_xlfn.XLOOKUP(D56,RUC!$B$3:$B$123,RUC!$D$3:$D$123)</f>
        <v>10473108823</v>
      </c>
      <c r="G56" s="80" t="s">
        <v>1434</v>
      </c>
      <c r="H56" t="s">
        <v>108</v>
      </c>
      <c r="I56" s="596">
        <v>33.08</v>
      </c>
      <c r="J56" s="596">
        <v>20.3</v>
      </c>
      <c r="K56" s="138">
        <f t="shared" si="0"/>
        <v>26.364759999999997</v>
      </c>
      <c r="L56" s="139">
        <v>0.23</v>
      </c>
      <c r="M56" s="139">
        <v>0.216</v>
      </c>
      <c r="N56" s="598">
        <v>0.221</v>
      </c>
      <c r="O56" s="645">
        <f t="shared" si="1"/>
        <v>0.219</v>
      </c>
      <c r="P56" s="727">
        <v>90</v>
      </c>
      <c r="Q56" s="596">
        <v>90.3</v>
      </c>
      <c r="R56" s="706">
        <v>2916.9</v>
      </c>
      <c r="S56" s="802">
        <v>85</v>
      </c>
      <c r="U56" s="1066">
        <v>90</v>
      </c>
      <c r="V56" s="715">
        <v>1.1023000000000001</v>
      </c>
      <c r="Z56" s="143">
        <f t="shared" si="27"/>
        <v>30</v>
      </c>
      <c r="AA56" s="144">
        <f t="shared" si="4"/>
        <v>30</v>
      </c>
      <c r="AB56" s="145">
        <f t="shared" si="19"/>
        <v>487.41720757700006</v>
      </c>
      <c r="AC56" s="145">
        <f>+(S56-T56)*V56-'data 1'!$F$4</f>
        <v>13.69550000000001</v>
      </c>
      <c r="AD56" s="145">
        <f t="shared" si="6"/>
        <v>2.15010339029998</v>
      </c>
      <c r="AE56" s="145">
        <f t="shared" si="7"/>
        <v>-36.930999999999997</v>
      </c>
      <c r="AF56" s="145">
        <f t="shared" si="8"/>
        <v>30.952140544710034</v>
      </c>
      <c r="AG56" s="772">
        <f t="shared" si="28"/>
        <v>59.866743935010021</v>
      </c>
      <c r="AH56" s="146">
        <f t="shared" si="10"/>
        <v>187.73639664007658</v>
      </c>
      <c r="AI56" s="156">
        <f t="shared" si="11"/>
        <v>39.628940519699981</v>
      </c>
      <c r="AJ56" s="156">
        <f t="shared" si="12"/>
        <v>178.16382000943275</v>
      </c>
      <c r="AK56" s="88"/>
      <c r="AL56" s="716">
        <f t="shared" si="13"/>
        <v>12850.637697637787</v>
      </c>
    </row>
    <row r="57" spans="1:38" ht="15" customHeight="1">
      <c r="A57" s="857" t="s">
        <v>2015</v>
      </c>
      <c r="B57" s="595">
        <v>45733</v>
      </c>
      <c r="C57" s="595">
        <v>45729</v>
      </c>
      <c r="D57" t="s">
        <v>129</v>
      </c>
      <c r="E57" t="e">
        <f>_xlfn.XLOOKUP(D57,RUC!$B$3:$B$123,RUC!$D$3:$D$123)</f>
        <v>#N/A</v>
      </c>
      <c r="G57" s="80">
        <v>76</v>
      </c>
      <c r="H57" t="s">
        <v>116</v>
      </c>
      <c r="I57" s="596">
        <v>5.49</v>
      </c>
      <c r="J57" s="596">
        <v>1.2</v>
      </c>
      <c r="K57" s="138">
        <f t="shared" si="0"/>
        <v>5.4241200000000003</v>
      </c>
      <c r="L57" s="139">
        <v>0.24</v>
      </c>
      <c r="M57" s="139">
        <v>0.22600000000000001</v>
      </c>
      <c r="N57" s="159">
        <v>0.22600000000000001</v>
      </c>
      <c r="O57" s="645">
        <f t="shared" si="1"/>
        <v>0.22600000000000001</v>
      </c>
      <c r="P57" s="727">
        <v>90</v>
      </c>
      <c r="Q57" s="596">
        <v>90.24</v>
      </c>
      <c r="R57" s="706">
        <v>2974.07</v>
      </c>
      <c r="S57" s="802">
        <f>IF((80+ROUNDDOWN(O57,1)*100)&lt;95,95,(80+ROUNDDOWN(O57,1)*100))</f>
        <v>100</v>
      </c>
      <c r="U57" s="1066">
        <v>100</v>
      </c>
      <c r="V57" s="715">
        <v>1.1023000000000001</v>
      </c>
      <c r="Z57" s="143">
        <f t="shared" si="27"/>
        <v>30</v>
      </c>
      <c r="AA57" s="144">
        <f t="shared" si="4"/>
        <v>30</v>
      </c>
      <c r="AB57" s="145">
        <f t="shared" si="19"/>
        <v>501.08996922739999</v>
      </c>
      <c r="AC57" s="145">
        <f>+(S57-T57)*V57-'data 1'!$F$4</f>
        <v>30.230000000000004</v>
      </c>
      <c r="AD57" s="145">
        <f t="shared" si="6"/>
        <v>1.8248183199359611</v>
      </c>
      <c r="AE57" s="145">
        <f t="shared" si="7"/>
        <v>-36.930999999999997</v>
      </c>
      <c r="AF57" s="145">
        <f t="shared" si="8"/>
        <v>40.024348483929565</v>
      </c>
      <c r="AG57" s="772">
        <f t="shared" si="24"/>
        <v>122.14816680386554</v>
      </c>
      <c r="AH57" s="146">
        <f t="shared" si="10"/>
        <v>40.276218352430597</v>
      </c>
      <c r="AI57" s="156">
        <f t="shared" si="11"/>
        <v>30.063486104063958</v>
      </c>
      <c r="AJ57" s="156">
        <f t="shared" si="12"/>
        <v>37.825903206654409</v>
      </c>
      <c r="AK57" s="88"/>
      <c r="AL57" s="716">
        <f t="shared" si="13"/>
        <v>2717.9721238857251</v>
      </c>
    </row>
    <row r="58" spans="1:38" ht="15" customHeight="1">
      <c r="A58" s="857" t="s">
        <v>2016</v>
      </c>
      <c r="B58" s="595">
        <v>45733</v>
      </c>
      <c r="C58" s="595">
        <v>45729</v>
      </c>
      <c r="D58" t="s">
        <v>129</v>
      </c>
      <c r="E58" t="e">
        <f>_xlfn.XLOOKUP(D58,RUC!$B$3:$B$123,RUC!$D$3:$D$123)</f>
        <v>#N/A</v>
      </c>
      <c r="G58" s="80">
        <v>80</v>
      </c>
      <c r="H58" t="s">
        <v>116</v>
      </c>
      <c r="I58" s="596">
        <v>5.82</v>
      </c>
      <c r="J58" s="596">
        <v>1.3</v>
      </c>
      <c r="K58" s="138">
        <f t="shared" si="0"/>
        <v>5.7443400000000002</v>
      </c>
      <c r="L58" s="139">
        <v>0.24199999999999999</v>
      </c>
      <c r="M58" s="139">
        <v>0.22700000000000001</v>
      </c>
      <c r="N58" s="159">
        <v>0.22700000000000001</v>
      </c>
      <c r="O58" s="645">
        <f t="shared" si="1"/>
        <v>0.22700000000000001</v>
      </c>
      <c r="P58" s="727">
        <v>90</v>
      </c>
      <c r="Q58" s="596">
        <v>90.17</v>
      </c>
      <c r="R58" s="706">
        <v>2974.07</v>
      </c>
      <c r="S58" s="802">
        <f>IF((80+ROUNDDOWN(O58,1)*100)&lt;95,95,(80+ROUNDDOWN(O58,1)*100))</f>
        <v>100</v>
      </c>
      <c r="U58" s="1066">
        <v>100</v>
      </c>
      <c r="V58" s="715">
        <v>1.1023000000000001</v>
      </c>
      <c r="Z58" s="143">
        <f t="shared" si="27"/>
        <v>30</v>
      </c>
      <c r="AA58" s="144">
        <f t="shared" si="4"/>
        <v>30</v>
      </c>
      <c r="AB58" s="145">
        <f t="shared" si="19"/>
        <v>503.94124785230002</v>
      </c>
      <c r="AC58" s="145">
        <f>+(S58-T58)*V58-'data 1'!$F$4</f>
        <v>30.230000000000004</v>
      </c>
      <c r="AD58" s="145">
        <f t="shared" si="6"/>
        <v>1.3033511403154134</v>
      </c>
      <c r="AE58" s="145">
        <f t="shared" si="7"/>
        <v>-36.930999999999997</v>
      </c>
      <c r="AF58" s="145">
        <f t="shared" si="8"/>
        <v>42.849965601205469</v>
      </c>
      <c r="AG58" s="772">
        <f t="shared" si="24"/>
        <v>124.45231674152089</v>
      </c>
      <c r="AH58" s="146">
        <f t="shared" si="10"/>
        <v>42.976064446222402</v>
      </c>
      <c r="AI58" s="156">
        <f t="shared" si="11"/>
        <v>30.290500293884563</v>
      </c>
      <c r="AJ58" s="156">
        <f t="shared" si="12"/>
        <v>40.2362569799893</v>
      </c>
      <c r="AK58" s="88"/>
      <c r="AL58" s="716">
        <f t="shared" si="13"/>
        <v>2894.8098676878813</v>
      </c>
    </row>
    <row r="59" spans="1:38" ht="15" customHeight="1">
      <c r="A59" s="857" t="s">
        <v>1968</v>
      </c>
      <c r="B59" s="595">
        <v>45731</v>
      </c>
      <c r="C59" s="595">
        <v>45730</v>
      </c>
      <c r="D59" t="s">
        <v>1000</v>
      </c>
      <c r="E59">
        <f>_xlfn.XLOOKUP(D59,RUC!$B$3:$B$123,RUC!$D$3:$D$123)</f>
        <v>20611329556</v>
      </c>
      <c r="G59" s="80">
        <v>82</v>
      </c>
      <c r="H59" t="s">
        <v>108</v>
      </c>
      <c r="I59" s="596">
        <v>8.1</v>
      </c>
      <c r="J59" s="596">
        <v>16.149999999999999</v>
      </c>
      <c r="K59" s="138">
        <f t="shared" si="0"/>
        <v>6.7918500000000002</v>
      </c>
      <c r="L59" s="139">
        <v>0.161</v>
      </c>
      <c r="M59" s="139">
        <v>0.151</v>
      </c>
      <c r="N59" s="159">
        <v>0.151</v>
      </c>
      <c r="O59" s="645">
        <f t="shared" si="1"/>
        <v>0.151</v>
      </c>
      <c r="P59" s="727">
        <v>90</v>
      </c>
      <c r="Q59" s="596">
        <v>90.2</v>
      </c>
      <c r="R59" s="706">
        <v>2978.05</v>
      </c>
      <c r="S59" s="765">
        <f t="shared" ref="S59" si="29">IF((90+ROUNDDOWN(O59,1)*100)&lt;95,95,(90+ROUNDDOWN(O59,1)*100))</f>
        <v>100</v>
      </c>
      <c r="U59" s="1066">
        <v>120</v>
      </c>
      <c r="V59" s="715">
        <v>1.1023000000000001</v>
      </c>
      <c r="Y59">
        <v>20</v>
      </c>
      <c r="Z59" s="143">
        <f t="shared" si="27"/>
        <v>30</v>
      </c>
      <c r="AA59" s="144">
        <f t="shared" si="4"/>
        <v>50</v>
      </c>
      <c r="AB59" s="145">
        <f t="shared" si="19"/>
        <v>262.79823518850003</v>
      </c>
      <c r="AC59" s="145">
        <f>+(S59-T59)*V59-'data 1'!$F$4</f>
        <v>30.230000000000004</v>
      </c>
      <c r="AD59" s="145">
        <f t="shared" si="6"/>
        <v>1.0144379818300147</v>
      </c>
      <c r="AE59" s="145">
        <f t="shared" si="7"/>
        <v>-14.884999999999998</v>
      </c>
      <c r="AF59" s="145">
        <f t="shared" si="8"/>
        <v>28.416865205300027</v>
      </c>
      <c r="AG59" s="772">
        <f t="shared" si="24"/>
        <v>61.776303187130054</v>
      </c>
      <c r="AH59" s="146">
        <f t="shared" si="10"/>
        <v>33.816571049219604</v>
      </c>
      <c r="AI59" s="156">
        <f t="shared" si="11"/>
        <v>22.723101994669975</v>
      </c>
      <c r="AJ59" s="156">
        <f t="shared" si="12"/>
        <v>31.645838823242642</v>
      </c>
      <c r="AK59" s="88"/>
      <c r="AL59" s="716">
        <f t="shared" si="13"/>
        <v>1784.8861936650139</v>
      </c>
    </row>
    <row r="60" spans="1:38" ht="15" customHeight="1">
      <c r="A60" s="857" t="s">
        <v>1969</v>
      </c>
      <c r="B60" s="1025">
        <v>45735</v>
      </c>
      <c r="C60" s="595">
        <v>45733</v>
      </c>
      <c r="D60" t="s">
        <v>2004</v>
      </c>
      <c r="E60">
        <f>_xlfn.XLOOKUP(D60,RUC!$B$3:$B$123,RUC!$D$3:$D$123)</f>
        <v>20612921866</v>
      </c>
      <c r="G60" s="80">
        <v>20</v>
      </c>
      <c r="H60" t="s">
        <v>69</v>
      </c>
      <c r="I60" s="596">
        <v>1.99</v>
      </c>
      <c r="J60" s="596">
        <v>1.3</v>
      </c>
      <c r="K60" s="138">
        <f t="shared" si="0"/>
        <v>1.9641299999999999</v>
      </c>
      <c r="L60" s="139">
        <v>8.7999999999999995E-2</v>
      </c>
      <c r="M60" s="139">
        <v>8.2000000000000003E-2</v>
      </c>
      <c r="N60" s="159">
        <v>8.2000000000000003E-2</v>
      </c>
      <c r="O60" s="645">
        <f t="shared" si="1"/>
        <v>8.2000000000000003E-2</v>
      </c>
      <c r="P60" s="727">
        <v>90</v>
      </c>
      <c r="Q60" s="596">
        <v>90.1</v>
      </c>
      <c r="R60" s="706">
        <v>2978.05</v>
      </c>
      <c r="S60" s="802">
        <f>IF((80+ROUNDDOWN(O60,1)*100)&lt;95,95,(80+ROUNDDOWN(O60,1)*100))</f>
        <v>95</v>
      </c>
      <c r="U60" s="1066">
        <v>100</v>
      </c>
      <c r="V60" s="715">
        <v>1.1023000000000001</v>
      </c>
      <c r="Z60" s="143">
        <f t="shared" si="27"/>
        <v>30</v>
      </c>
      <c r="AA60" s="144">
        <f t="shared" si="4"/>
        <v>30</v>
      </c>
      <c r="AB60" s="145">
        <v>0.01</v>
      </c>
      <c r="AC60" s="145">
        <f>+(S60-T60)*V60-'data 1'!$F$4</f>
        <v>24.718500000000006</v>
      </c>
      <c r="AD60" s="145">
        <f t="shared" si="6"/>
        <v>0.27917775731998412</v>
      </c>
      <c r="AE60" s="145">
        <f t="shared" si="7"/>
        <v>-36.930999999999997</v>
      </c>
      <c r="AF60" s="145">
        <f t="shared" si="8"/>
        <v>17.150397228089975</v>
      </c>
      <c r="AG60" s="772">
        <f>+IF(D60="RONALD WILLIAN GARIBAY ESCUDERO",AC60+AD60+AE60+AF60+70,AC60+AD60+AE60+AF60)+70+96</f>
        <v>171.21707498540997</v>
      </c>
      <c r="AH60" s="146">
        <f t="shared" si="10"/>
        <v>5.3393299754794983</v>
      </c>
      <c r="AI60" s="156">
        <f t="shared" si="11"/>
        <v>10.658327854679984</v>
      </c>
      <c r="AJ60" s="156">
        <f t="shared" si="12"/>
        <v>4.9697627912217124</v>
      </c>
      <c r="AK60" s="88"/>
      <c r="AL60" s="716">
        <f t="shared" si="13"/>
        <v>1.96413E-2</v>
      </c>
    </row>
    <row r="61" spans="1:38" ht="15" customHeight="1">
      <c r="A61" s="857" t="s">
        <v>1970</v>
      </c>
      <c r="B61" s="595">
        <v>45735</v>
      </c>
      <c r="C61" s="595">
        <v>45733</v>
      </c>
      <c r="D61" t="s">
        <v>2004</v>
      </c>
      <c r="E61">
        <f>_xlfn.XLOOKUP(D61,RUC!$B$3:$B$123,RUC!$D$3:$D$123)</f>
        <v>20612921866</v>
      </c>
      <c r="G61" s="80">
        <v>11</v>
      </c>
      <c r="H61" t="s">
        <v>69</v>
      </c>
      <c r="I61" s="596">
        <v>1.1499999999999999</v>
      </c>
      <c r="J61" s="596">
        <v>1.5</v>
      </c>
      <c r="K61" s="138">
        <f t="shared" ref="K61:K92" si="30">+I61-(I61*(J61/100))</f>
        <v>1.1327499999999999</v>
      </c>
      <c r="L61" s="139">
        <f>+M61+0.01</f>
        <v>0.104</v>
      </c>
      <c r="M61" s="139">
        <v>9.4E-2</v>
      </c>
      <c r="N61" s="598">
        <v>0.128</v>
      </c>
      <c r="O61" s="645">
        <f t="shared" ref="O61:O92" si="31">+ROUND((M61+N61)/2,3)</f>
        <v>0.111</v>
      </c>
      <c r="P61" s="727">
        <v>90</v>
      </c>
      <c r="Q61" s="596">
        <v>90.1</v>
      </c>
      <c r="R61" s="706">
        <v>2978.05</v>
      </c>
      <c r="S61" s="802">
        <f t="shared" ref="S61:S63" si="32">IF((80+ROUNDDOWN(O61,1)*100)&lt;95,95,(80+ROUNDDOWN(O61,1)*100))</f>
        <v>95</v>
      </c>
      <c r="U61" s="1066">
        <v>100</v>
      </c>
      <c r="V61" s="715">
        <v>1.1023000000000001</v>
      </c>
      <c r="Z61" s="143">
        <f t="shared" si="27"/>
        <v>30</v>
      </c>
      <c r="AA61" s="144">
        <f t="shared" ref="AA61:AA92" si="33">+Y61+Z61</f>
        <v>30</v>
      </c>
      <c r="AB61" s="145">
        <f t="shared" ref="AB61:AB92" si="34">+((O61*P61*(R61-U61)/100)-S61-AA61+T61)*V61</f>
        <v>179.14270404850004</v>
      </c>
      <c r="AC61" s="145">
        <f>+(S61-T61)*V61-'data 1'!$F$4</f>
        <v>24.718500000000006</v>
      </c>
      <c r="AD61" s="145">
        <f t="shared" ref="AD61:AD92" si="35">+(Q61-P61)*(R61-U61)*L61*V61/100</f>
        <v>0.32993734955998122</v>
      </c>
      <c r="AE61" s="145">
        <f t="shared" ref="AE61:AE92" si="36">+(Y61*V61-70)+V61*(Z61-IF(D61="UNTUCA",IF(+((W61-3)*2.5+(X61-3)*3.1)&gt;0,+((W61-3)*1.5+(X61-3)*3.1),0),IF(+((W61-3)*1.5+(X61-3)*3.1)&gt;0,+((W61-3)*1.5+(X61-3)*3.1),0)))</f>
        <v>-36.930999999999997</v>
      </c>
      <c r="AF61" s="145">
        <f t="shared" ref="AF61:AF92" si="37">(L61-O61)*(R61-U61)*Q61*V61/100</f>
        <v>-20.008796766105021</v>
      </c>
      <c r="AG61" s="772">
        <f>+IF(D61="RONALD WILLIAN GARIBAY ESCUDERO",AC61+AD61+AE61+AF61+70,AC61+AD61+AE61+AF61)+70</f>
        <v>38.108640583454971</v>
      </c>
      <c r="AH61" s="146">
        <f t="shared" ref="AH61:AH92" si="38">31.1035*L61*Q61*1.1023*K61/100</f>
        <v>3.6391610065810873</v>
      </c>
      <c r="AI61" s="156">
        <f t="shared" ref="AI61:AI92" si="39">+((+$AI$2-R61+U61)*L61*Q61*V61)/100</f>
        <v>12.59620564643998</v>
      </c>
      <c r="AJ61" s="156">
        <f t="shared" ref="AJ61:AJ92" si="40">31.1035*1.1023*K61*P61*O61/100</f>
        <v>3.8797936540323859</v>
      </c>
      <c r="AK61" s="88"/>
      <c r="AL61" s="716">
        <f t="shared" ref="AL61:AL92" si="41">+IF(AB61*K61&gt;0,AB61*K61,0)</f>
        <v>202.92389801093842</v>
      </c>
    </row>
    <row r="62" spans="1:38" ht="15" customHeight="1">
      <c r="A62" s="857" t="s">
        <v>1971</v>
      </c>
      <c r="B62" s="595">
        <v>45739</v>
      </c>
      <c r="C62" s="595">
        <v>45733</v>
      </c>
      <c r="D62" t="s">
        <v>2004</v>
      </c>
      <c r="E62">
        <f>_xlfn.XLOOKUP(D62,RUC!$B$3:$B$123,RUC!$D$3:$D$123)</f>
        <v>20612921866</v>
      </c>
      <c r="G62" s="80">
        <v>9</v>
      </c>
      <c r="H62" s="1093" t="s">
        <v>69</v>
      </c>
      <c r="I62" s="596">
        <v>0.97</v>
      </c>
      <c r="J62" s="596">
        <v>1.2</v>
      </c>
      <c r="K62" s="138">
        <f t="shared" si="30"/>
        <v>0.95835999999999999</v>
      </c>
      <c r="L62" s="139">
        <v>0.48399999999999999</v>
      </c>
      <c r="M62" s="139">
        <v>0.45500000000000002</v>
      </c>
      <c r="N62" s="598">
        <v>0.55000000000000004</v>
      </c>
      <c r="O62" s="645">
        <f t="shared" si="31"/>
        <v>0.503</v>
      </c>
      <c r="P62" s="727">
        <v>90</v>
      </c>
      <c r="Q62" s="596">
        <v>90.2</v>
      </c>
      <c r="R62" s="706">
        <v>2978.05</v>
      </c>
      <c r="S62" s="802">
        <f t="shared" si="32"/>
        <v>130</v>
      </c>
      <c r="U62" s="1066">
        <v>100</v>
      </c>
      <c r="V62" s="715">
        <v>1.1023000000000001</v>
      </c>
      <c r="Z62" s="143">
        <f t="shared" si="27"/>
        <v>30</v>
      </c>
      <c r="AA62" s="144">
        <f t="shared" si="33"/>
        <v>30</v>
      </c>
      <c r="AB62" s="145">
        <f t="shared" si="34"/>
        <v>1259.8112129405004</v>
      </c>
      <c r="AC62" s="145">
        <f>+(S62-T62)*V62-'data 1'!$F$4</f>
        <v>63.299000000000007</v>
      </c>
      <c r="AD62" s="145">
        <f t="shared" si="35"/>
        <v>3.0709553305200439</v>
      </c>
      <c r="AE62" s="145">
        <f t="shared" si="36"/>
        <v>-36.930999999999997</v>
      </c>
      <c r="AF62" s="145">
        <f t="shared" si="37"/>
        <v>-54.369868238070055</v>
      </c>
      <c r="AG62" s="772">
        <f>+IF(D62="RONALD WILLIAN GARIBAY ESCUDERO",AC62+AD62+AE62+AF62+70,AC62+AD62+AE62+AF62)+70</f>
        <v>45.069087092450005</v>
      </c>
      <c r="AH62" s="146">
        <f t="shared" si="38"/>
        <v>14.344639797207956</v>
      </c>
      <c r="AI62" s="156">
        <f t="shared" si="39"/>
        <v>58.685865135479908</v>
      </c>
      <c r="AJ62" s="156">
        <f t="shared" si="40"/>
        <v>14.874700931346412</v>
      </c>
      <c r="AK62" s="88"/>
      <c r="AL62" s="716">
        <f t="shared" si="41"/>
        <v>1207.3526740336579</v>
      </c>
    </row>
    <row r="63" spans="1:38" ht="15" customHeight="1">
      <c r="A63" s="857" t="s">
        <v>1972</v>
      </c>
      <c r="B63" s="595">
        <v>45735</v>
      </c>
      <c r="C63" s="595">
        <v>45733</v>
      </c>
      <c r="D63" t="s">
        <v>2004</v>
      </c>
      <c r="E63">
        <f>_xlfn.XLOOKUP(D63,RUC!$B$3:$B$123,RUC!$D$3:$D$123)</f>
        <v>20612921866</v>
      </c>
      <c r="G63" s="80">
        <v>21</v>
      </c>
      <c r="H63" t="s">
        <v>108</v>
      </c>
      <c r="I63" s="596">
        <v>2.09</v>
      </c>
      <c r="J63" s="596">
        <v>16</v>
      </c>
      <c r="K63" s="138">
        <f t="shared" si="30"/>
        <v>1.7555999999999998</v>
      </c>
      <c r="L63" s="139">
        <v>0.23699999999999999</v>
      </c>
      <c r="M63" s="139">
        <v>0.223</v>
      </c>
      <c r="N63" s="159">
        <v>0.223</v>
      </c>
      <c r="O63" s="645">
        <f t="shared" si="31"/>
        <v>0.223</v>
      </c>
      <c r="P63" s="727">
        <v>90</v>
      </c>
      <c r="Q63" s="596">
        <v>90.1</v>
      </c>
      <c r="R63" s="706">
        <v>2978.05</v>
      </c>
      <c r="S63" s="802">
        <f t="shared" si="32"/>
        <v>100</v>
      </c>
      <c r="U63" s="1066">
        <v>100</v>
      </c>
      <c r="V63" s="715">
        <v>1.1023000000000001</v>
      </c>
      <c r="Z63" s="143">
        <f t="shared" si="27"/>
        <v>30</v>
      </c>
      <c r="AA63" s="144">
        <f t="shared" si="33"/>
        <v>30</v>
      </c>
      <c r="AB63" s="145">
        <f t="shared" si="34"/>
        <v>493.41663516050005</v>
      </c>
      <c r="AC63" s="145">
        <f>+(S63-T63)*V63-'data 1'!$F$4</f>
        <v>30.230000000000004</v>
      </c>
      <c r="AD63" s="145">
        <f t="shared" si="35"/>
        <v>0.75187646005495723</v>
      </c>
      <c r="AE63" s="145">
        <f t="shared" si="36"/>
        <v>-36.930999999999997</v>
      </c>
      <c r="AF63" s="145">
        <f t="shared" si="37"/>
        <v>40.017593532209965</v>
      </c>
      <c r="AG63" s="772">
        <f>+IF(D63="RONALD WILLIAN GARIBAY ESCUDERO",AC63+AD63+AE63+AF63+70,AC63+AD63+AE63+AF63)+70</f>
        <v>104.06846999226494</v>
      </c>
      <c r="AH63" s="146">
        <f t="shared" si="38"/>
        <v>12.853096802942471</v>
      </c>
      <c r="AI63" s="156">
        <f t="shared" si="39"/>
        <v>28.704814790444956</v>
      </c>
      <c r="AJ63" s="156">
        <f t="shared" si="40"/>
        <v>12.080419451198404</v>
      </c>
      <c r="AK63" s="88"/>
      <c r="AL63" s="716">
        <f t="shared" si="41"/>
        <v>866.24224468777379</v>
      </c>
    </row>
    <row r="64" spans="1:38" ht="15" customHeight="1">
      <c r="A64" s="857" t="s">
        <v>1973</v>
      </c>
      <c r="B64" s="595">
        <v>45740</v>
      </c>
      <c r="C64" s="595">
        <v>45734</v>
      </c>
      <c r="D64" t="s">
        <v>1010</v>
      </c>
      <c r="E64">
        <f>_xlfn.XLOOKUP(D64,RUC!$B$3:$B$123,RUC!$D$3:$D$123)</f>
        <v>20606102519</v>
      </c>
      <c r="G64" s="80" t="s">
        <v>1434</v>
      </c>
      <c r="H64" s="1093" t="s">
        <v>69</v>
      </c>
      <c r="I64" s="596">
        <v>8.1</v>
      </c>
      <c r="J64" s="596">
        <v>1.3</v>
      </c>
      <c r="K64" s="138">
        <f t="shared" si="30"/>
        <v>7.9946999999999999</v>
      </c>
      <c r="L64" s="139">
        <v>0.36799999999999999</v>
      </c>
      <c r="M64" s="139">
        <v>0.34499999999999997</v>
      </c>
      <c r="N64" s="159">
        <v>0.34499999999999997</v>
      </c>
      <c r="O64" s="645">
        <f t="shared" si="31"/>
        <v>0.34499999999999997</v>
      </c>
      <c r="P64" s="727">
        <v>90</v>
      </c>
      <c r="Q64" s="596">
        <v>90.4</v>
      </c>
      <c r="R64" s="706">
        <v>3025.8</v>
      </c>
      <c r="S64" s="765">
        <f t="shared" ref="S64:S82" si="42">IF((90+ROUNDDOWN(O64,1)*100)&lt;95,95,(90+ROUNDDOWN(O64,1)*100))</f>
        <v>120</v>
      </c>
      <c r="U64" s="1066">
        <v>120</v>
      </c>
      <c r="V64" s="715">
        <v>1.1023000000000001</v>
      </c>
      <c r="Z64" s="143">
        <f t="shared" si="27"/>
        <v>30</v>
      </c>
      <c r="AA64" s="144">
        <f t="shared" si="33"/>
        <v>30</v>
      </c>
      <c r="AB64" s="145">
        <f t="shared" si="34"/>
        <v>829.20616706999999</v>
      </c>
      <c r="AC64" s="145">
        <f>+(S64-T64)*V64-'data 1'!$F$4</f>
        <v>52.27600000000001</v>
      </c>
      <c r="AD64" s="145">
        <f t="shared" si="35"/>
        <v>4.7149092364800671</v>
      </c>
      <c r="AE64" s="145">
        <f t="shared" si="36"/>
        <v>-36.930999999999997</v>
      </c>
      <c r="AF64" s="145">
        <f t="shared" si="37"/>
        <v>66.598092965280074</v>
      </c>
      <c r="AG64" s="772">
        <f t="shared" ref="AG64:AG65" si="43">+IF(D64="RONALD WILLIAN GARIBAY ESCUDERO",AC64+AD64+AE64+AF64+70,AC64+AD64+AE64+AF64)+70-53</f>
        <v>103.65800220176016</v>
      </c>
      <c r="AH64" s="146">
        <f t="shared" si="38"/>
        <v>91.185858227305943</v>
      </c>
      <c r="AI64" s="156">
        <f t="shared" si="39"/>
        <v>34.543549355519943</v>
      </c>
      <c r="AJ64" s="156">
        <f t="shared" si="40"/>
        <v>85.108482167355518</v>
      </c>
      <c r="AK64" s="88"/>
      <c r="AL64" s="716">
        <f t="shared" si="41"/>
        <v>6629.2545438745292</v>
      </c>
    </row>
    <row r="65" spans="1:38" ht="15" customHeight="1">
      <c r="A65" s="857" t="s">
        <v>1974</v>
      </c>
      <c r="B65" s="595">
        <v>45740</v>
      </c>
      <c r="C65" s="595">
        <v>45735</v>
      </c>
      <c r="D65" t="s">
        <v>1402</v>
      </c>
      <c r="E65">
        <f>_xlfn.XLOOKUP(D65,RUC!$B$3:$B$123,RUC!$D$3:$D$123)</f>
        <v>20606526599</v>
      </c>
      <c r="G65" s="80">
        <v>81</v>
      </c>
      <c r="H65" s="1093" t="s">
        <v>69</v>
      </c>
      <c r="I65" s="596">
        <v>6.75</v>
      </c>
      <c r="J65" s="596">
        <v>1.3</v>
      </c>
      <c r="K65" s="138">
        <f t="shared" si="30"/>
        <v>6.6622500000000002</v>
      </c>
      <c r="L65" s="139">
        <v>0.20300000000000001</v>
      </c>
      <c r="M65" s="139">
        <v>0.191</v>
      </c>
      <c r="N65" s="159">
        <v>0.191</v>
      </c>
      <c r="O65" s="645">
        <f t="shared" si="31"/>
        <v>0.191</v>
      </c>
      <c r="P65" s="727">
        <v>90</v>
      </c>
      <c r="Q65" s="596">
        <v>90.4</v>
      </c>
      <c r="R65" s="706">
        <v>3027.55</v>
      </c>
      <c r="S65" s="765">
        <f t="shared" si="42"/>
        <v>100</v>
      </c>
      <c r="U65" s="1066">
        <v>120</v>
      </c>
      <c r="V65" s="715">
        <v>1.1023000000000001</v>
      </c>
      <c r="Y65">
        <v>20</v>
      </c>
      <c r="Z65" s="143">
        <f t="shared" si="27"/>
        <v>30</v>
      </c>
      <c r="AA65" s="144">
        <f t="shared" si="33"/>
        <v>50</v>
      </c>
      <c r="AB65" s="145">
        <f t="shared" si="34"/>
        <v>385.59318754350011</v>
      </c>
      <c r="AC65" s="145">
        <f>+(S65-T65)*V65-'data 1'!$F$4</f>
        <v>30.230000000000004</v>
      </c>
      <c r="AD65" s="145">
        <f t="shared" si="35"/>
        <v>2.6024538003800375</v>
      </c>
      <c r="AE65" s="145">
        <f t="shared" si="36"/>
        <v>-14.884999999999998</v>
      </c>
      <c r="AF65" s="145">
        <f t="shared" si="37"/>
        <v>34.767757175520039</v>
      </c>
      <c r="AG65" s="772">
        <f t="shared" si="43"/>
        <v>69.715210975900078</v>
      </c>
      <c r="AH65" s="146">
        <f t="shared" si="38"/>
        <v>41.917412183295092</v>
      </c>
      <c r="AI65" s="156">
        <f t="shared" si="39"/>
        <v>18.701273914119966</v>
      </c>
      <c r="AJ65" s="156">
        <f t="shared" si="40"/>
        <v>39.265024381557744</v>
      </c>
      <c r="AK65" s="88"/>
      <c r="AL65" s="716">
        <f t="shared" si="41"/>
        <v>2568.9182137116836</v>
      </c>
    </row>
    <row r="66" spans="1:38" ht="15" customHeight="1">
      <c r="A66" s="857" t="s">
        <v>1975</v>
      </c>
      <c r="B66" s="595">
        <v>45743</v>
      </c>
      <c r="C66" s="595">
        <v>45736</v>
      </c>
      <c r="D66" t="s">
        <v>119</v>
      </c>
      <c r="E66">
        <f>_xlfn.XLOOKUP(D66,RUC!$B$3:$B$123,RUC!$D$3:$D$123)</f>
        <v>10082235774</v>
      </c>
      <c r="G66" s="80">
        <v>37</v>
      </c>
      <c r="H66" t="s">
        <v>69</v>
      </c>
      <c r="I66" s="596">
        <v>3.89</v>
      </c>
      <c r="J66" s="596">
        <v>1.9</v>
      </c>
      <c r="K66" s="138">
        <f t="shared" si="30"/>
        <v>3.81609</v>
      </c>
      <c r="L66" s="139">
        <v>0.63400000000000001</v>
      </c>
      <c r="M66" s="139">
        <v>0.60199999999999998</v>
      </c>
      <c r="N66" s="598">
        <v>0.64300000000000002</v>
      </c>
      <c r="O66" s="645">
        <f t="shared" si="31"/>
        <v>0.623</v>
      </c>
      <c r="P66" s="727">
        <v>90</v>
      </c>
      <c r="Q66" s="596">
        <v>90.12</v>
      </c>
      <c r="R66" s="706">
        <v>3038.15</v>
      </c>
      <c r="S66" s="802">
        <v>125</v>
      </c>
      <c r="U66" s="1091">
        <v>80</v>
      </c>
      <c r="V66" s="715">
        <v>1.1023000000000001</v>
      </c>
      <c r="Z66" s="1034">
        <v>10</v>
      </c>
      <c r="AA66" s="144">
        <f t="shared" si="33"/>
        <v>10</v>
      </c>
      <c r="AB66" s="145">
        <f t="shared" si="34"/>
        <v>1679.5025353215001</v>
      </c>
      <c r="AC66" s="145">
        <f>+(S66-T66)*V66-'data 1'!$F$4</f>
        <v>57.787499999999994</v>
      </c>
      <c r="AD66" s="145">
        <f t="shared" si="35"/>
        <v>2.4807928611960945</v>
      </c>
      <c r="AE66" s="145">
        <f t="shared" si="36"/>
        <v>-58.977000000000004</v>
      </c>
      <c r="AF66" s="145">
        <f t="shared" si="37"/>
        <v>32.324652722934033</v>
      </c>
      <c r="AG66" s="772">
        <f>+IF(D66="RONALD WILLIAN GARIBAY ESCUDERO",AC66+AD66+AE66+AF66+70,AC66+AD66+AE66+AF66)+70</f>
        <v>103.61594558413012</v>
      </c>
      <c r="AH66" s="146">
        <f t="shared" si="38"/>
        <v>74.754633896642019</v>
      </c>
      <c r="AI66" s="156">
        <f t="shared" si="39"/>
        <v>26.357590761803944</v>
      </c>
      <c r="AJ66" s="156">
        <f t="shared" si="40"/>
        <v>73.359816119424337</v>
      </c>
      <c r="AK66" s="88"/>
      <c r="AL66" s="716">
        <f t="shared" si="41"/>
        <v>6409.1328300150235</v>
      </c>
    </row>
    <row r="67" spans="1:38" ht="15" customHeight="1">
      <c r="A67" s="857" t="s">
        <v>1976</v>
      </c>
      <c r="B67" s="595">
        <v>45743</v>
      </c>
      <c r="C67" s="595">
        <v>45736</v>
      </c>
      <c r="D67" t="s">
        <v>119</v>
      </c>
      <c r="E67">
        <f>_xlfn.XLOOKUP(D67,RUC!$B$3:$B$123,RUC!$D$3:$D$123)</f>
        <v>10082235774</v>
      </c>
      <c r="G67" s="80">
        <v>51</v>
      </c>
      <c r="H67" t="s">
        <v>69</v>
      </c>
      <c r="I67" s="596">
        <v>5.07</v>
      </c>
      <c r="J67" s="596">
        <v>2.9</v>
      </c>
      <c r="K67" s="138">
        <f t="shared" si="30"/>
        <v>4.9229700000000003</v>
      </c>
      <c r="L67" s="139">
        <v>0.32800000000000001</v>
      </c>
      <c r="M67" s="139">
        <v>0.312</v>
      </c>
      <c r="N67" s="598">
        <v>0.34200000000000003</v>
      </c>
      <c r="O67" s="645">
        <f t="shared" si="31"/>
        <v>0.32700000000000001</v>
      </c>
      <c r="P67" s="727">
        <v>90</v>
      </c>
      <c r="Q67" s="596">
        <v>90.18</v>
      </c>
      <c r="R67" s="706">
        <v>3038.15</v>
      </c>
      <c r="S67" s="802">
        <v>110</v>
      </c>
      <c r="U67" s="1091">
        <v>80</v>
      </c>
      <c r="V67" s="715">
        <v>1.1023000000000001</v>
      </c>
      <c r="Z67" s="1034">
        <v>10</v>
      </c>
      <c r="AA67" s="144">
        <f t="shared" si="33"/>
        <v>10</v>
      </c>
      <c r="AB67" s="145">
        <f t="shared" si="34"/>
        <v>827.36824165350004</v>
      </c>
      <c r="AC67" s="145">
        <f>+(S67-T67)*V67-'data 1'!$F$4</f>
        <v>41.253</v>
      </c>
      <c r="AD67" s="145">
        <f t="shared" si="35"/>
        <v>1.9251578670480731</v>
      </c>
      <c r="AE67" s="145">
        <f t="shared" si="36"/>
        <v>-58.977000000000004</v>
      </c>
      <c r="AF67" s="145">
        <f t="shared" si="37"/>
        <v>2.9405612542410036</v>
      </c>
      <c r="AG67" s="772">
        <f t="shared" ref="AG67:AG74" si="44">+IF(D67="RONALD WILLIAN GARIBAY ESCUDERO",AC67+AD67+AE67+AF67+70,AC67+AD67+AE67+AF67)+70</f>
        <v>57.141719121289071</v>
      </c>
      <c r="AH67" s="146">
        <f t="shared" si="38"/>
        <v>49.925259762963464</v>
      </c>
      <c r="AI67" s="156">
        <f t="shared" si="39"/>
        <v>13.645182368951973</v>
      </c>
      <c r="AJ67" s="156">
        <f t="shared" si="40"/>
        <v>49.673701202744063</v>
      </c>
      <c r="AK67" s="88"/>
      <c r="AL67" s="716">
        <f t="shared" si="41"/>
        <v>4073.1090326129315</v>
      </c>
    </row>
    <row r="68" spans="1:38" ht="15" customHeight="1">
      <c r="A68" s="857" t="s">
        <v>1977</v>
      </c>
      <c r="B68" s="595">
        <v>45743</v>
      </c>
      <c r="C68" s="595">
        <v>45736</v>
      </c>
      <c r="D68" t="s">
        <v>119</v>
      </c>
      <c r="E68">
        <f>_xlfn.XLOOKUP(D68,RUC!$B$3:$B$123,RUC!$D$3:$D$123)</f>
        <v>10082235774</v>
      </c>
      <c r="G68" s="80">
        <v>50</v>
      </c>
      <c r="H68" t="s">
        <v>69</v>
      </c>
      <c r="I68" s="596">
        <v>5.21</v>
      </c>
      <c r="J68" s="596">
        <v>2.1</v>
      </c>
      <c r="K68" s="138">
        <f t="shared" si="30"/>
        <v>5.1005900000000004</v>
      </c>
      <c r="L68" s="139">
        <v>0.56899999999999995</v>
      </c>
      <c r="M68" s="139">
        <v>0.54100000000000004</v>
      </c>
      <c r="N68" s="598">
        <v>0.57799999999999996</v>
      </c>
      <c r="O68" s="645">
        <f t="shared" si="31"/>
        <v>0.56000000000000005</v>
      </c>
      <c r="P68" s="727">
        <v>90</v>
      </c>
      <c r="Q68" s="596">
        <v>90.2</v>
      </c>
      <c r="R68" s="706">
        <v>3038.15</v>
      </c>
      <c r="S68" s="802">
        <v>120</v>
      </c>
      <c r="U68" s="1091">
        <v>80</v>
      </c>
      <c r="V68" s="715">
        <v>1.1023000000000001</v>
      </c>
      <c r="Z68" s="1034">
        <v>10</v>
      </c>
      <c r="AA68" s="144">
        <f t="shared" si="33"/>
        <v>10</v>
      </c>
      <c r="AB68" s="145">
        <f t="shared" si="34"/>
        <v>1500.12844748</v>
      </c>
      <c r="AC68" s="145">
        <f>+(S68-T68)*V68-'data 1'!$F$4</f>
        <v>52.27600000000001</v>
      </c>
      <c r="AD68" s="145">
        <f t="shared" si="35"/>
        <v>3.7107548318100525</v>
      </c>
      <c r="AE68" s="145">
        <f t="shared" si="36"/>
        <v>-58.977000000000004</v>
      </c>
      <c r="AF68" s="145">
        <f t="shared" si="37"/>
        <v>26.470920671909703</v>
      </c>
      <c r="AG68" s="772">
        <f t="shared" si="44"/>
        <v>93.480675503719766</v>
      </c>
      <c r="AH68" s="146">
        <f t="shared" si="38"/>
        <v>89.752858331985365</v>
      </c>
      <c r="AI68" s="156">
        <f t="shared" si="39"/>
        <v>23.676313053689945</v>
      </c>
      <c r="AJ68" s="156">
        <f t="shared" si="40"/>
        <v>88.137356546710564</v>
      </c>
      <c r="AK68" s="88"/>
      <c r="AL68" s="716">
        <f t="shared" si="41"/>
        <v>7651.5401579320132</v>
      </c>
    </row>
    <row r="69" spans="1:38" ht="15" customHeight="1">
      <c r="A69" s="857" t="s">
        <v>1978</v>
      </c>
      <c r="B69" s="595">
        <v>45743</v>
      </c>
      <c r="C69" s="595">
        <v>45736</v>
      </c>
      <c r="D69" t="s">
        <v>119</v>
      </c>
      <c r="E69">
        <f>_xlfn.XLOOKUP(D69,RUC!$B$3:$B$123,RUC!$D$3:$D$123)</f>
        <v>10082235774</v>
      </c>
      <c r="G69" s="80">
        <v>50</v>
      </c>
      <c r="H69" t="s">
        <v>69</v>
      </c>
      <c r="I69" s="596">
        <v>5.12</v>
      </c>
      <c r="J69" s="596">
        <v>2.6</v>
      </c>
      <c r="K69" s="138">
        <f t="shared" si="30"/>
        <v>4.9868800000000002</v>
      </c>
      <c r="L69" s="139">
        <v>0.57699999999999996</v>
      </c>
      <c r="M69" s="139">
        <v>0.54800000000000004</v>
      </c>
      <c r="N69" s="598">
        <v>0.625</v>
      </c>
      <c r="O69" s="645">
        <f t="shared" si="31"/>
        <v>0.58699999999999997</v>
      </c>
      <c r="P69" s="727">
        <v>90</v>
      </c>
      <c r="Q69" s="596">
        <v>90.18</v>
      </c>
      <c r="R69" s="706">
        <v>3038.15</v>
      </c>
      <c r="S69" s="802">
        <v>120</v>
      </c>
      <c r="U69" s="1091">
        <v>80</v>
      </c>
      <c r="V69" s="715">
        <v>1.1023000000000001</v>
      </c>
      <c r="Z69" s="1034">
        <v>10</v>
      </c>
      <c r="AA69" s="144">
        <f t="shared" si="33"/>
        <v>10</v>
      </c>
      <c r="AB69" s="145">
        <f t="shared" si="34"/>
        <v>1579.3651279835001</v>
      </c>
      <c r="AC69" s="145">
        <f>+(S69-T69)*V69-'data 1'!$F$4</f>
        <v>52.27600000000001</v>
      </c>
      <c r="AD69" s="145">
        <f t="shared" si="35"/>
        <v>3.3866344185571284</v>
      </c>
      <c r="AE69" s="145">
        <f t="shared" si="36"/>
        <v>-58.977000000000004</v>
      </c>
      <c r="AF69" s="145">
        <f t="shared" si="37"/>
        <v>-29.405612542410029</v>
      </c>
      <c r="AG69" s="772">
        <f t="shared" si="44"/>
        <v>37.280021876147103</v>
      </c>
      <c r="AH69" s="146">
        <f t="shared" si="38"/>
        <v>88.965993150031338</v>
      </c>
      <c r="AI69" s="156">
        <f t="shared" si="39"/>
        <v>24.003872642942952</v>
      </c>
      <c r="AJ69" s="156">
        <f t="shared" si="40"/>
        <v>90.327210361025593</v>
      </c>
      <c r="AK69" s="88"/>
      <c r="AL69" s="716">
        <f t="shared" si="41"/>
        <v>7876.104369438357</v>
      </c>
    </row>
    <row r="70" spans="1:38" ht="15" customHeight="1">
      <c r="A70" s="857" t="s">
        <v>1979</v>
      </c>
      <c r="B70" s="595">
        <v>45743</v>
      </c>
      <c r="C70" s="595">
        <v>45736</v>
      </c>
      <c r="D70" t="s">
        <v>119</v>
      </c>
      <c r="E70">
        <f>_xlfn.XLOOKUP(D70,RUC!$B$3:$B$123,RUC!$D$3:$D$123)</f>
        <v>10082235774</v>
      </c>
      <c r="G70" s="80">
        <v>49</v>
      </c>
      <c r="H70" t="s">
        <v>69</v>
      </c>
      <c r="I70" s="596">
        <v>5.0999999999999996</v>
      </c>
      <c r="J70" s="596">
        <v>1.6</v>
      </c>
      <c r="K70" s="138">
        <f t="shared" si="30"/>
        <v>5.0183999999999997</v>
      </c>
      <c r="L70" s="139">
        <v>0.65600000000000003</v>
      </c>
      <c r="M70" s="139">
        <v>0.623</v>
      </c>
      <c r="N70" s="755">
        <v>0.64800000000000002</v>
      </c>
      <c r="O70" s="645">
        <f t="shared" si="31"/>
        <v>0.63600000000000001</v>
      </c>
      <c r="P70" s="727">
        <v>90</v>
      </c>
      <c r="Q70" s="596">
        <v>90.2</v>
      </c>
      <c r="R70" s="706">
        <v>3038.15</v>
      </c>
      <c r="S70" s="802">
        <v>125</v>
      </c>
      <c r="U70" s="1091">
        <v>80</v>
      </c>
      <c r="V70" s="715">
        <v>1.1023000000000001</v>
      </c>
      <c r="Z70" s="1034">
        <v>10</v>
      </c>
      <c r="AA70" s="144">
        <f t="shared" si="33"/>
        <v>10</v>
      </c>
      <c r="AB70" s="145">
        <f t="shared" si="34"/>
        <v>1717.6535296380002</v>
      </c>
      <c r="AC70" s="145">
        <f>+(S70-T70)*V70-'data 1'!$F$4</f>
        <v>57.787499999999994</v>
      </c>
      <c r="AD70" s="145">
        <f t="shared" si="35"/>
        <v>4.2781285934400612</v>
      </c>
      <c r="AE70" s="145">
        <f t="shared" si="36"/>
        <v>-58.977000000000004</v>
      </c>
      <c r="AF70" s="145">
        <f t="shared" si="37"/>
        <v>58.824268159800056</v>
      </c>
      <c r="AG70" s="772">
        <f t="shared" si="44"/>
        <v>131.91289675324009</v>
      </c>
      <c r="AH70" s="146">
        <f t="shared" si="38"/>
        <v>101.80865985903068</v>
      </c>
      <c r="AI70" s="156">
        <f t="shared" si="39"/>
        <v>27.296417158559944</v>
      </c>
      <c r="AJ70" s="156">
        <f t="shared" si="40"/>
        <v>98.485879791704704</v>
      </c>
      <c r="AK70" s="88"/>
      <c r="AL70" s="716">
        <f t="shared" si="41"/>
        <v>8619.8724731353395</v>
      </c>
    </row>
    <row r="71" spans="1:38" ht="15" customHeight="1">
      <c r="A71" s="857" t="s">
        <v>1980</v>
      </c>
      <c r="B71" s="595">
        <v>45743</v>
      </c>
      <c r="C71" s="595">
        <v>45736</v>
      </c>
      <c r="D71" t="s">
        <v>119</v>
      </c>
      <c r="E71">
        <f>_xlfn.XLOOKUP(D71,RUC!$B$3:$B$123,RUC!$D$3:$D$123)</f>
        <v>10082235774</v>
      </c>
      <c r="G71" s="80">
        <v>54</v>
      </c>
      <c r="H71" t="s">
        <v>69</v>
      </c>
      <c r="I71" s="596">
        <v>4.96</v>
      </c>
      <c r="J71" s="596">
        <v>1.5</v>
      </c>
      <c r="K71" s="138">
        <f t="shared" si="30"/>
        <v>4.8856000000000002</v>
      </c>
      <c r="L71" s="139">
        <v>0.112</v>
      </c>
      <c r="M71" s="139">
        <v>0.106</v>
      </c>
      <c r="N71" s="159">
        <v>0.106</v>
      </c>
      <c r="O71" s="645">
        <f t="shared" si="31"/>
        <v>0.106</v>
      </c>
      <c r="P71" s="727">
        <v>85</v>
      </c>
      <c r="Q71" s="596">
        <v>90.21</v>
      </c>
      <c r="R71" s="706">
        <v>3038.15</v>
      </c>
      <c r="S71" s="802">
        <v>95</v>
      </c>
      <c r="U71" s="1091">
        <v>80</v>
      </c>
      <c r="V71" s="715">
        <v>1.1023000000000001</v>
      </c>
      <c r="Z71" s="1034">
        <v>10</v>
      </c>
      <c r="AA71" s="144">
        <f t="shared" si="33"/>
        <v>10</v>
      </c>
      <c r="AB71" s="145">
        <f t="shared" si="34"/>
        <v>178.0537639245</v>
      </c>
      <c r="AC71" s="145">
        <f>+(S71-T71)*V71-'data 1'!$F$4</f>
        <v>24.718500000000006</v>
      </c>
      <c r="AD71" s="145">
        <f t="shared" si="35"/>
        <v>19.027237780823977</v>
      </c>
      <c r="AE71" s="145">
        <f t="shared" si="36"/>
        <v>-58.977000000000004</v>
      </c>
      <c r="AF71" s="145">
        <f t="shared" si="37"/>
        <v>17.649236909187017</v>
      </c>
      <c r="AG71" s="772">
        <f t="shared" si="44"/>
        <v>72.417974690010993</v>
      </c>
      <c r="AH71" s="146">
        <f t="shared" si="38"/>
        <v>16.923870042718448</v>
      </c>
      <c r="AI71" s="156">
        <f t="shared" si="39"/>
        <v>4.6608805751759901</v>
      </c>
      <c r="AJ71" s="156">
        <f t="shared" si="40"/>
        <v>15.09217273632291</v>
      </c>
      <c r="AK71" s="88"/>
      <c r="AL71" s="716">
        <f t="shared" si="41"/>
        <v>869.89946902953727</v>
      </c>
    </row>
    <row r="72" spans="1:38" ht="15" customHeight="1">
      <c r="A72" s="857" t="s">
        <v>1981</v>
      </c>
      <c r="B72" s="595">
        <v>45743</v>
      </c>
      <c r="C72" s="595">
        <v>45736</v>
      </c>
      <c r="D72" t="s">
        <v>1671</v>
      </c>
      <c r="E72">
        <f>_xlfn.XLOOKUP(D72,RUC!$B$3:$B$123,RUC!$D$3:$D$123)</f>
        <v>20517242919</v>
      </c>
      <c r="G72" s="80">
        <v>47</v>
      </c>
      <c r="H72" t="s">
        <v>69</v>
      </c>
      <c r="I72" s="596">
        <v>4.5999999999999996</v>
      </c>
      <c r="J72" s="596">
        <v>2.1</v>
      </c>
      <c r="K72" s="138">
        <f t="shared" si="30"/>
        <v>4.5034000000000001</v>
      </c>
      <c r="L72" s="139">
        <v>0.34100000000000003</v>
      </c>
      <c r="M72" s="139">
        <v>0.32</v>
      </c>
      <c r="N72" s="159">
        <v>0.32</v>
      </c>
      <c r="O72" s="645">
        <f t="shared" si="31"/>
        <v>0.32</v>
      </c>
      <c r="P72" s="727">
        <v>90</v>
      </c>
      <c r="Q72" s="596">
        <v>90.22</v>
      </c>
      <c r="R72" s="706">
        <v>3038.15</v>
      </c>
      <c r="S72" s="802">
        <v>110</v>
      </c>
      <c r="U72" s="1091">
        <v>80</v>
      </c>
      <c r="V72" s="715">
        <v>1.1023000000000001</v>
      </c>
      <c r="Z72" s="1034">
        <v>10</v>
      </c>
      <c r="AA72" s="144">
        <f t="shared" si="33"/>
        <v>10</v>
      </c>
      <c r="AB72" s="145">
        <f t="shared" si="34"/>
        <v>806.82539856000017</v>
      </c>
      <c r="AC72" s="145">
        <f>+(S72-T72)*V72-'data 1'!$F$4</f>
        <v>41.253</v>
      </c>
      <c r="AD72" s="145">
        <f t="shared" si="35"/>
        <v>2.4462287124989879</v>
      </c>
      <c r="AE72" s="145">
        <f t="shared" si="36"/>
        <v>-58.977000000000004</v>
      </c>
      <c r="AF72" s="145">
        <f t="shared" si="37"/>
        <v>61.77917679651906</v>
      </c>
      <c r="AG72" s="772">
        <f t="shared" si="44"/>
        <v>116.50140550901804</v>
      </c>
      <c r="AH72" s="146">
        <f t="shared" si="38"/>
        <v>47.501442090038744</v>
      </c>
      <c r="AI72" s="156">
        <f t="shared" si="39"/>
        <v>14.19228982700097</v>
      </c>
      <c r="AJ72" s="156">
        <f t="shared" si="40"/>
        <v>44.467435164778564</v>
      </c>
      <c r="AK72" s="88"/>
      <c r="AL72" s="716">
        <f t="shared" si="41"/>
        <v>3633.457499875105</v>
      </c>
    </row>
    <row r="73" spans="1:38" ht="15" customHeight="1">
      <c r="A73" s="857" t="s">
        <v>1982</v>
      </c>
      <c r="B73" s="595">
        <v>45743</v>
      </c>
      <c r="C73" s="595">
        <v>45736</v>
      </c>
      <c r="D73" t="s">
        <v>1671</v>
      </c>
      <c r="E73">
        <f>_xlfn.XLOOKUP(D73,RUC!$B$3:$B$123,RUC!$D$3:$D$123)</f>
        <v>20517242919</v>
      </c>
      <c r="G73" s="80">
        <v>54</v>
      </c>
      <c r="H73" t="s">
        <v>69</v>
      </c>
      <c r="I73" s="596">
        <v>4.72</v>
      </c>
      <c r="J73" s="596">
        <v>1.9</v>
      </c>
      <c r="K73" s="138">
        <f t="shared" si="30"/>
        <v>4.6303199999999993</v>
      </c>
      <c r="L73" s="139">
        <v>0.13500000000000001</v>
      </c>
      <c r="M73" s="139">
        <v>0.127</v>
      </c>
      <c r="N73" s="598">
        <v>0.187</v>
      </c>
      <c r="O73" s="645">
        <f t="shared" si="31"/>
        <v>0.157</v>
      </c>
      <c r="P73" s="727">
        <v>85</v>
      </c>
      <c r="Q73" s="596">
        <v>90.1</v>
      </c>
      <c r="R73" s="706">
        <v>3038.15</v>
      </c>
      <c r="S73" s="802">
        <v>95</v>
      </c>
      <c r="U73" s="1091">
        <v>80</v>
      </c>
      <c r="V73" s="715">
        <v>1.1023000000000001</v>
      </c>
      <c r="Z73" s="1034">
        <v>10</v>
      </c>
      <c r="AA73" s="144">
        <f t="shared" si="33"/>
        <v>10</v>
      </c>
      <c r="AB73" s="145">
        <f t="shared" si="34"/>
        <v>319.40808902025003</v>
      </c>
      <c r="AC73" s="145">
        <f>+(S73-T73)*V73-'data 1'!$F$4</f>
        <v>24.718500000000006</v>
      </c>
      <c r="AD73" s="145">
        <f t="shared" si="35"/>
        <v>22.450392809324981</v>
      </c>
      <c r="AE73" s="145">
        <f t="shared" si="36"/>
        <v>-58.977000000000004</v>
      </c>
      <c r="AF73" s="145">
        <f t="shared" si="37"/>
        <v>-64.634958063389973</v>
      </c>
      <c r="AG73" s="772">
        <f t="shared" si="44"/>
        <v>-6.4430652540649902</v>
      </c>
      <c r="AH73" s="146">
        <f t="shared" si="38"/>
        <v>19.309838199404048</v>
      </c>
      <c r="AI73" s="156">
        <f t="shared" si="39"/>
        <v>5.611175201924989</v>
      </c>
      <c r="AJ73" s="156">
        <f t="shared" si="40"/>
        <v>21.185496836522958</v>
      </c>
      <c r="AK73" s="88"/>
      <c r="AL73" s="716">
        <f t="shared" si="41"/>
        <v>1478.9616627522439</v>
      </c>
    </row>
    <row r="74" spans="1:38" ht="15" customHeight="1">
      <c r="A74" s="857" t="s">
        <v>1983</v>
      </c>
      <c r="B74" s="595">
        <v>45743</v>
      </c>
      <c r="C74" s="595">
        <v>45736</v>
      </c>
      <c r="D74" t="s">
        <v>1671</v>
      </c>
      <c r="E74">
        <f>_xlfn.XLOOKUP(D74,RUC!$B$3:$B$123,RUC!$D$3:$D$123)</f>
        <v>20517242919</v>
      </c>
      <c r="G74" s="80">
        <v>20</v>
      </c>
      <c r="H74" t="s">
        <v>69</v>
      </c>
      <c r="I74" s="596">
        <v>1.89</v>
      </c>
      <c r="J74" s="596">
        <v>1.5</v>
      </c>
      <c r="K74" s="138">
        <f t="shared" si="30"/>
        <v>1.8616499999999998</v>
      </c>
      <c r="L74" s="139">
        <v>0.14199999999999999</v>
      </c>
      <c r="M74" s="139">
        <v>0.13300000000000001</v>
      </c>
      <c r="N74" s="159">
        <v>0.13300000000000001</v>
      </c>
      <c r="O74" s="645">
        <f t="shared" si="31"/>
        <v>0.13300000000000001</v>
      </c>
      <c r="P74" s="727">
        <v>85</v>
      </c>
      <c r="Q74" s="596">
        <v>90</v>
      </c>
      <c r="R74" s="706">
        <v>3038.15</v>
      </c>
      <c r="S74" s="802">
        <v>95</v>
      </c>
      <c r="U74" s="1091">
        <v>80</v>
      </c>
      <c r="V74" s="715">
        <v>1.1023000000000001</v>
      </c>
      <c r="Z74" s="1034">
        <v>10</v>
      </c>
      <c r="AA74" s="144">
        <f t="shared" si="33"/>
        <v>10</v>
      </c>
      <c r="AB74" s="145">
        <f t="shared" si="34"/>
        <v>252.88840662225002</v>
      </c>
      <c r="AC74" s="145">
        <f>+(S74-T74)*V74-'data 1'!$F$4</f>
        <v>24.718500000000006</v>
      </c>
      <c r="AD74" s="145">
        <f t="shared" si="35"/>
        <v>23.151458089499997</v>
      </c>
      <c r="AE74" s="145">
        <f t="shared" si="36"/>
        <v>-58.977000000000004</v>
      </c>
      <c r="AF74" s="145">
        <f t="shared" si="37"/>
        <v>26.412226834499943</v>
      </c>
      <c r="AG74" s="772">
        <f t="shared" si="44"/>
        <v>85.305184923999946</v>
      </c>
      <c r="AH74" s="146">
        <f t="shared" si="38"/>
        <v>8.1571407823675024</v>
      </c>
      <c r="AI74" s="156">
        <f t="shared" si="39"/>
        <v>5.8955743889999868</v>
      </c>
      <c r="AJ74" s="156">
        <f t="shared" si="40"/>
        <v>7.2156867405840863</v>
      </c>
      <c r="AK74" s="88"/>
      <c r="AL74" s="716">
        <f t="shared" si="41"/>
        <v>470.78970218831171</v>
      </c>
    </row>
    <row r="75" spans="1:38" ht="15" customHeight="1">
      <c r="A75" s="857" t="s">
        <v>1984</v>
      </c>
      <c r="B75" s="595">
        <v>45747</v>
      </c>
      <c r="C75" s="595">
        <v>45736</v>
      </c>
      <c r="D75" t="s">
        <v>1402</v>
      </c>
      <c r="E75">
        <f>_xlfn.XLOOKUP(D75,RUC!$B$3:$B$123,RUC!$D$3:$D$123)</f>
        <v>20606526599</v>
      </c>
      <c r="G75" s="80">
        <v>48</v>
      </c>
      <c r="H75" t="s">
        <v>69</v>
      </c>
      <c r="I75" s="596">
        <v>3.94</v>
      </c>
      <c r="J75" s="596">
        <v>1.8</v>
      </c>
      <c r="K75" s="138">
        <f t="shared" si="30"/>
        <v>3.8690799999999999</v>
      </c>
      <c r="L75" s="139">
        <v>0.25</v>
      </c>
      <c r="M75" s="139">
        <v>0.23200000000000001</v>
      </c>
      <c r="N75" s="159">
        <v>0.23200000000000001</v>
      </c>
      <c r="O75" s="645">
        <f t="shared" si="31"/>
        <v>0.23200000000000001</v>
      </c>
      <c r="P75" s="727">
        <v>90</v>
      </c>
      <c r="Q75" s="596">
        <v>90.2</v>
      </c>
      <c r="R75" s="706">
        <v>3038.15</v>
      </c>
      <c r="S75" s="765">
        <f t="shared" si="42"/>
        <v>110</v>
      </c>
      <c r="U75" s="1066">
        <v>120</v>
      </c>
      <c r="V75" s="715">
        <v>1.1023000000000001</v>
      </c>
      <c r="Y75">
        <v>20</v>
      </c>
      <c r="Z75" s="143">
        <f t="shared" ref="Z75:Z92" si="45">IF(IF(D75="UNTUCA",IF(+((W75-3)*1.5+(X75-3)*3.1)&gt;0,+((W75-3)*1.5+(X75-3)*3.1),0),IF(+((W75-3)*1.5+(X75-3)*3.1)&gt;0,+((W75-3)*1.5+(X75-3)*3.1),0))&lt;30,30,IF(D75="UNTUCA",IF(+((W75-3)*1.5+(X75-3)*3.1)&gt;0,+((W75-3)*1.5+(X75-3)*3.1),0),IF(+((W75-3)*1.5+(X75-3)*3.1)&gt;0,+((W75-3)*1.5+(X75-3)*3.1),0)))</f>
        <v>30</v>
      </c>
      <c r="AA75" s="144">
        <f t="shared" si="33"/>
        <v>50</v>
      </c>
      <c r="AB75" s="145">
        <f t="shared" si="34"/>
        <v>495.27410435600012</v>
      </c>
      <c r="AC75" s="145">
        <f>+(S75-T75)*V75-'data 1'!$F$4</f>
        <v>41.253</v>
      </c>
      <c r="AD75" s="145">
        <f t="shared" si="35"/>
        <v>1.6083383725000229</v>
      </c>
      <c r="AE75" s="145">
        <f t="shared" si="36"/>
        <v>-14.884999999999998</v>
      </c>
      <c r="AF75" s="145">
        <f t="shared" si="37"/>
        <v>52.225963631819965</v>
      </c>
      <c r="AG75" s="772">
        <f t="shared" ref="AG75:AG82" si="46">+IF(D75="RONALD WILLIAN GARIBAY ESCUDERO",AC75+AD75+AE75+AF75+70,AC75+AD75+AE75+AF75)+70-53</f>
        <v>97.202302004319989</v>
      </c>
      <c r="AH75" s="146">
        <f t="shared" si="38"/>
        <v>29.913231023809395</v>
      </c>
      <c r="AI75" s="156">
        <f t="shared" si="39"/>
        <v>20.345344002499978</v>
      </c>
      <c r="AJ75" s="156">
        <f t="shared" si="40"/>
        <v>27.697927440227947</v>
      </c>
      <c r="AK75" s="88"/>
      <c r="AL75" s="716">
        <f t="shared" si="41"/>
        <v>1916.2551316817128</v>
      </c>
    </row>
    <row r="76" spans="1:38" ht="15" customHeight="1">
      <c r="A76" s="857" t="s">
        <v>1985</v>
      </c>
      <c r="B76" s="595">
        <v>45681</v>
      </c>
      <c r="C76" s="595">
        <v>45736</v>
      </c>
      <c r="D76" t="s">
        <v>1402</v>
      </c>
      <c r="E76">
        <f>_xlfn.XLOOKUP(D76,RUC!$B$3:$B$123,RUC!$D$3:$D$123)</f>
        <v>20606526599</v>
      </c>
      <c r="G76" s="80">
        <v>147</v>
      </c>
      <c r="H76" t="s">
        <v>69</v>
      </c>
      <c r="I76" s="596">
        <v>13.72</v>
      </c>
      <c r="J76" s="596">
        <v>1.4</v>
      </c>
      <c r="K76" s="138">
        <f t="shared" si="30"/>
        <v>13.52792</v>
      </c>
      <c r="L76" s="139">
        <v>0.19600000000000001</v>
      </c>
      <c r="M76" s="139">
        <v>0.184</v>
      </c>
      <c r="N76" s="159">
        <v>0.184</v>
      </c>
      <c r="O76" s="645">
        <f t="shared" si="31"/>
        <v>0.184</v>
      </c>
      <c r="P76" s="727">
        <v>90</v>
      </c>
      <c r="Q76" s="596">
        <v>90</v>
      </c>
      <c r="R76" s="706">
        <v>3038.15</v>
      </c>
      <c r="S76" s="765">
        <f t="shared" si="42"/>
        <v>100</v>
      </c>
      <c r="U76" s="1066">
        <v>120</v>
      </c>
      <c r="V76" s="715">
        <v>1.1023000000000001</v>
      </c>
      <c r="Y76">
        <v>20</v>
      </c>
      <c r="Z76" s="143">
        <f t="shared" si="45"/>
        <v>30</v>
      </c>
      <c r="AA76" s="144">
        <f t="shared" si="33"/>
        <v>50</v>
      </c>
      <c r="AB76" s="145">
        <f t="shared" si="34"/>
        <v>367.33666897199998</v>
      </c>
      <c r="AC76" s="145">
        <f>+(S76-T76)*V76-'data 1'!$F$4</f>
        <v>30.230000000000004</v>
      </c>
      <c r="AD76" s="145">
        <f t="shared" si="35"/>
        <v>0</v>
      </c>
      <c r="AE76" s="145">
        <f t="shared" si="36"/>
        <v>-14.884999999999998</v>
      </c>
      <c r="AF76" s="145">
        <f t="shared" si="37"/>
        <v>34.740108846000027</v>
      </c>
      <c r="AG76" s="772">
        <f t="shared" si="46"/>
        <v>67.085108846000026</v>
      </c>
      <c r="AH76" s="146">
        <f t="shared" si="38"/>
        <v>81.816081655530411</v>
      </c>
      <c r="AI76" s="156">
        <f t="shared" si="39"/>
        <v>15.915382181999984</v>
      </c>
      <c r="AJ76" s="156">
        <f t="shared" si="40"/>
        <v>76.806933799069355</v>
      </c>
      <c r="AK76" s="88"/>
      <c r="AL76" s="716">
        <f t="shared" si="41"/>
        <v>4969.3010709196978</v>
      </c>
    </row>
    <row r="77" spans="1:38" ht="15" customHeight="1">
      <c r="A77" s="857" t="s">
        <v>1986</v>
      </c>
      <c r="B77" s="1098">
        <v>45743</v>
      </c>
      <c r="C77" s="1098">
        <v>45737</v>
      </c>
      <c r="D77" t="s">
        <v>1993</v>
      </c>
      <c r="E77">
        <f>_xlfn.XLOOKUP(D77,RUC!$B$3:$B$123,RUC!$D$3:$D$123)</f>
        <v>20612937096</v>
      </c>
      <c r="G77" s="80">
        <v>40</v>
      </c>
      <c r="H77" t="s">
        <v>108</v>
      </c>
      <c r="I77" s="596">
        <v>3.63</v>
      </c>
      <c r="J77" s="596">
        <v>16.149999999999999</v>
      </c>
      <c r="K77" s="138">
        <f t="shared" si="30"/>
        <v>3.043755</v>
      </c>
      <c r="L77" s="139">
        <v>0.625</v>
      </c>
      <c r="M77" s="139">
        <v>0.58799999999999997</v>
      </c>
      <c r="N77" s="159">
        <v>0.58799999999999997</v>
      </c>
      <c r="O77" s="645">
        <f t="shared" si="31"/>
        <v>0.58799999999999997</v>
      </c>
      <c r="P77" s="727">
        <v>90</v>
      </c>
      <c r="Q77" s="596">
        <v>90.18</v>
      </c>
      <c r="R77" s="706">
        <v>3013.7</v>
      </c>
      <c r="S77" s="765">
        <f t="shared" si="42"/>
        <v>140</v>
      </c>
      <c r="U77" s="1066">
        <v>120</v>
      </c>
      <c r="V77" s="715">
        <v>1.1023000000000001</v>
      </c>
      <c r="Y77">
        <v>20</v>
      </c>
      <c r="Z77" s="143">
        <f t="shared" si="45"/>
        <v>30</v>
      </c>
      <c r="AA77" s="144">
        <f t="shared" si="33"/>
        <v>50</v>
      </c>
      <c r="AB77" s="145">
        <f t="shared" si="34"/>
        <v>1478.5657398919998</v>
      </c>
      <c r="AC77" s="145">
        <f>+(S77-T77)*V77-'data 1'!$F$4</f>
        <v>74.322000000000003</v>
      </c>
      <c r="AD77" s="145">
        <f t="shared" si="35"/>
        <v>3.588441198750135</v>
      </c>
      <c r="AE77" s="145">
        <f t="shared" si="36"/>
        <v>-14.884999999999998</v>
      </c>
      <c r="AF77" s="145">
        <f t="shared" si="37"/>
        <v>106.43029520196609</v>
      </c>
      <c r="AG77" s="772">
        <f t="shared" si="46"/>
        <v>186.45573640071623</v>
      </c>
      <c r="AH77" s="146">
        <f t="shared" si="38"/>
        <v>58.817831595039017</v>
      </c>
      <c r="AI77" s="156">
        <f t="shared" si="39"/>
        <v>66.042471926250116</v>
      </c>
      <c r="AJ77" s="156">
        <f t="shared" si="40"/>
        <v>55.225365234144412</v>
      </c>
      <c r="AK77" s="88"/>
      <c r="AL77" s="716">
        <f t="shared" si="41"/>
        <v>4500.3918636249737</v>
      </c>
    </row>
    <row r="78" spans="1:38" ht="15" customHeight="1">
      <c r="A78" s="857" t="s">
        <v>1987</v>
      </c>
      <c r="B78" s="1098">
        <v>45743</v>
      </c>
      <c r="C78" s="1098">
        <v>45737</v>
      </c>
      <c r="D78" t="s">
        <v>1993</v>
      </c>
      <c r="E78">
        <f>_xlfn.XLOOKUP(D78,RUC!$B$3:$B$123,RUC!$D$3:$D$123)</f>
        <v>20612937096</v>
      </c>
      <c r="G78" s="80">
        <v>126</v>
      </c>
      <c r="H78" t="s">
        <v>108</v>
      </c>
      <c r="I78" s="596">
        <v>5.08</v>
      </c>
      <c r="J78" s="596">
        <v>14.75</v>
      </c>
      <c r="K78" s="138">
        <f t="shared" si="30"/>
        <v>4.3307000000000002</v>
      </c>
      <c r="L78" s="139">
        <v>0.59899999999999998</v>
      </c>
      <c r="M78" s="139">
        <v>0.56299999999999994</v>
      </c>
      <c r="N78" s="159">
        <v>0.56299999999999994</v>
      </c>
      <c r="O78" s="645">
        <f t="shared" si="31"/>
        <v>0.56299999999999994</v>
      </c>
      <c r="P78" s="727">
        <v>90</v>
      </c>
      <c r="Q78" s="596">
        <v>90.2</v>
      </c>
      <c r="R78" s="706">
        <v>3013.7</v>
      </c>
      <c r="S78" s="765">
        <f t="shared" si="42"/>
        <v>140</v>
      </c>
      <c r="U78" s="1066">
        <v>120</v>
      </c>
      <c r="V78" s="715">
        <v>1.1023000000000001</v>
      </c>
      <c r="Y78">
        <v>20</v>
      </c>
      <c r="Z78" s="143">
        <f t="shared" si="45"/>
        <v>30</v>
      </c>
      <c r="AA78" s="144">
        <f t="shared" si="33"/>
        <v>50</v>
      </c>
      <c r="AB78" s="145">
        <f t="shared" si="34"/>
        <v>1406.796915917</v>
      </c>
      <c r="AC78" s="145">
        <f>+(S78-T78)*V78-'data 1'!$F$4</f>
        <v>74.322000000000003</v>
      </c>
      <c r="AD78" s="145">
        <f t="shared" si="35"/>
        <v>3.8212911609800542</v>
      </c>
      <c r="AE78" s="145">
        <f t="shared" si="36"/>
        <v>-14.884999999999998</v>
      </c>
      <c r="AF78" s="145">
        <f t="shared" si="37"/>
        <v>103.57676676072009</v>
      </c>
      <c r="AG78" s="772">
        <f t="shared" si="46"/>
        <v>183.83505792170016</v>
      </c>
      <c r="AH78" s="146">
        <f t="shared" si="38"/>
        <v>80.22330117474128</v>
      </c>
      <c r="AI78" s="156">
        <f t="shared" si="39"/>
        <v>63.309142598020109</v>
      </c>
      <c r="AJ78" s="156">
        <f t="shared" si="40"/>
        <v>75.234679205256001</v>
      </c>
      <c r="AK78" s="88"/>
      <c r="AL78" s="716">
        <f t="shared" si="41"/>
        <v>6092.4154037617518</v>
      </c>
    </row>
    <row r="79" spans="1:38" ht="15" customHeight="1">
      <c r="A79" s="857" t="s">
        <v>1988</v>
      </c>
      <c r="B79" s="595">
        <v>45742</v>
      </c>
      <c r="C79" s="595">
        <v>45859</v>
      </c>
      <c r="D79" t="s">
        <v>154</v>
      </c>
      <c r="E79">
        <f>_xlfn.XLOOKUP(D79,RUC!$B$3:$B$123,RUC!$D$3:$D$123)</f>
        <v>10416085884</v>
      </c>
      <c r="G79" s="80" t="s">
        <v>1434</v>
      </c>
      <c r="H79" t="s">
        <v>69</v>
      </c>
      <c r="I79" s="596">
        <v>31.64</v>
      </c>
      <c r="J79" s="596">
        <v>5.2</v>
      </c>
      <c r="K79" s="138">
        <f t="shared" si="30"/>
        <v>29.994720000000001</v>
      </c>
      <c r="L79" s="139">
        <v>0.245</v>
      </c>
      <c r="M79" s="139">
        <v>0.23</v>
      </c>
      <c r="N79" s="159">
        <v>0.29299999999999998</v>
      </c>
      <c r="O79" s="645">
        <f t="shared" si="31"/>
        <v>0.26200000000000001</v>
      </c>
      <c r="P79" s="727">
        <v>90</v>
      </c>
      <c r="Q79" s="596">
        <v>90</v>
      </c>
      <c r="R79" s="706">
        <v>3013.7</v>
      </c>
      <c r="S79" s="802">
        <v>85</v>
      </c>
      <c r="U79" s="1066">
        <v>90</v>
      </c>
      <c r="V79" s="715">
        <v>1.1023000000000001</v>
      </c>
      <c r="Z79" s="143">
        <v>15</v>
      </c>
      <c r="AA79" s="144">
        <f t="shared" si="33"/>
        <v>15</v>
      </c>
      <c r="AB79" s="145">
        <f t="shared" si="34"/>
        <v>649.70494545800011</v>
      </c>
      <c r="AC79" s="145">
        <f>+(S79-T79)*V79-'data 1'!$F$4</f>
        <v>13.69550000000001</v>
      </c>
      <c r="AD79" s="145">
        <f t="shared" si="35"/>
        <v>0</v>
      </c>
      <c r="AE79" s="145">
        <f t="shared" si="36"/>
        <v>-53.465499999999999</v>
      </c>
      <c r="AF79" s="145">
        <f t="shared" si="37"/>
        <v>-49.308756003000042</v>
      </c>
      <c r="AG79" s="772">
        <f>+IF(D79="RONALD WILLIAN GARIBAY ESCUDERO",AC79+AD79+AE79+AF79+70,AC79+AD79+AE79+AF79)+70</f>
        <v>-19.078756003000024</v>
      </c>
      <c r="AH79" s="146">
        <f t="shared" si="38"/>
        <v>226.75792553056669</v>
      </c>
      <c r="AI79" s="156">
        <f t="shared" si="39"/>
        <v>18.545260545000044</v>
      </c>
      <c r="AJ79" s="156">
        <f t="shared" si="40"/>
        <v>242.49214893472848</v>
      </c>
      <c r="AK79" s="88"/>
      <c r="AL79" s="716">
        <f t="shared" si="41"/>
        <v>19487.717921627987</v>
      </c>
    </row>
    <row r="80" spans="1:38" ht="15" customHeight="1">
      <c r="A80" s="857" t="s">
        <v>1989</v>
      </c>
      <c r="B80" s="595">
        <v>45742</v>
      </c>
      <c r="C80" s="595">
        <v>45737</v>
      </c>
      <c r="D80" s="1100" t="s">
        <v>1433</v>
      </c>
      <c r="E80">
        <f>_xlfn.XLOOKUP(D80,RUC!$B$3:$B$123,RUC!$D$3:$D$123)</f>
        <v>10473108823</v>
      </c>
      <c r="G80" s="80" t="s">
        <v>1434</v>
      </c>
      <c r="H80" t="s">
        <v>69</v>
      </c>
      <c r="I80" s="596">
        <v>32.549999999999997</v>
      </c>
      <c r="J80" s="596">
        <v>3.5</v>
      </c>
      <c r="K80" s="138">
        <f t="shared" si="30"/>
        <v>31.410749999999997</v>
      </c>
      <c r="L80" s="139">
        <v>0.128</v>
      </c>
      <c r="M80" s="139">
        <v>0.12</v>
      </c>
      <c r="N80" s="598">
        <v>0.14000000000000001</v>
      </c>
      <c r="O80" s="645">
        <f t="shared" si="31"/>
        <v>0.13</v>
      </c>
      <c r="P80" s="727">
        <v>85</v>
      </c>
      <c r="Q80" s="596">
        <v>90</v>
      </c>
      <c r="R80" s="706">
        <v>3013.7</v>
      </c>
      <c r="S80" s="802">
        <v>110</v>
      </c>
      <c r="U80" s="1066">
        <v>90</v>
      </c>
      <c r="V80" s="715">
        <v>1.1023000000000001</v>
      </c>
      <c r="Z80" s="143">
        <f t="shared" si="45"/>
        <v>30</v>
      </c>
      <c r="AA80" s="144">
        <f t="shared" si="33"/>
        <v>30</v>
      </c>
      <c r="AB80" s="145">
        <f t="shared" si="34"/>
        <v>201.79679335500001</v>
      </c>
      <c r="AC80" s="145">
        <f>+(S80-T80)*V80-'data 1'!$F$4</f>
        <v>41.253</v>
      </c>
      <c r="AD80" s="145">
        <f t="shared" si="35"/>
        <v>20.625884864000003</v>
      </c>
      <c r="AE80" s="145">
        <f t="shared" si="36"/>
        <v>-36.930999999999997</v>
      </c>
      <c r="AF80" s="145">
        <f t="shared" si="37"/>
        <v>-5.8010301180000043</v>
      </c>
      <c r="AG80" s="772">
        <f t="shared" si="46"/>
        <v>36.146854746000002</v>
      </c>
      <c r="AH80" s="146">
        <f t="shared" si="38"/>
        <v>124.06230751006512</v>
      </c>
      <c r="AI80" s="156">
        <f t="shared" si="39"/>
        <v>9.6889524480000233</v>
      </c>
      <c r="AJ80" s="156">
        <f t="shared" si="40"/>
        <v>119.00073767241489</v>
      </c>
      <c r="AK80" s="88"/>
      <c r="AL80" s="716">
        <f t="shared" si="41"/>
        <v>6338.5886268755658</v>
      </c>
    </row>
    <row r="81" spans="1:38" ht="15" customHeight="1">
      <c r="A81" s="857" t="s">
        <v>1990</v>
      </c>
      <c r="B81" s="1098">
        <v>45743</v>
      </c>
      <c r="C81" s="595">
        <v>45737</v>
      </c>
      <c r="D81" t="s">
        <v>1993</v>
      </c>
      <c r="E81">
        <f>_xlfn.XLOOKUP(D81,RUC!$B$3:$B$123,RUC!$D$3:$D$123)</f>
        <v>20612937096</v>
      </c>
      <c r="G81" s="80">
        <v>50</v>
      </c>
      <c r="H81" t="s">
        <v>108</v>
      </c>
      <c r="I81" s="596">
        <v>2.23</v>
      </c>
      <c r="J81" s="596">
        <v>17.45</v>
      </c>
      <c r="K81" s="138">
        <f t="shared" si="30"/>
        <v>1.840865</v>
      </c>
      <c r="L81" s="139">
        <v>0.48599999999999999</v>
      </c>
      <c r="M81" s="139">
        <v>0.45700000000000002</v>
      </c>
      <c r="N81" s="159">
        <v>0.45700000000000002</v>
      </c>
      <c r="O81" s="645">
        <f t="shared" si="31"/>
        <v>0.45700000000000002</v>
      </c>
      <c r="P81" s="727">
        <v>90</v>
      </c>
      <c r="Q81" s="596">
        <v>79</v>
      </c>
      <c r="R81" s="706">
        <v>3013.7</v>
      </c>
      <c r="S81" s="765">
        <f t="shared" si="42"/>
        <v>130</v>
      </c>
      <c r="U81" s="1066">
        <v>120</v>
      </c>
      <c r="V81" s="715">
        <v>1.1023000000000001</v>
      </c>
      <c r="Y81">
        <v>20</v>
      </c>
      <c r="Z81" s="143">
        <f t="shared" si="45"/>
        <v>30</v>
      </c>
      <c r="AA81" s="144">
        <f t="shared" si="33"/>
        <v>50</v>
      </c>
      <c r="AB81" s="145">
        <f t="shared" si="34"/>
        <v>1113.5201022629999</v>
      </c>
      <c r="AC81" s="145">
        <f>+(S81-T81)*V81-'data 1'!$F$4</f>
        <v>63.299000000000007</v>
      </c>
      <c r="AD81" s="145">
        <f t="shared" si="35"/>
        <v>-170.52272576460001</v>
      </c>
      <c r="AE81" s="145">
        <f t="shared" si="36"/>
        <v>-14.884999999999998</v>
      </c>
      <c r="AF81" s="145">
        <f t="shared" si="37"/>
        <v>73.076611434099917</v>
      </c>
      <c r="AG81" s="772">
        <f t="shared" si="46"/>
        <v>-32.032114330500079</v>
      </c>
      <c r="AH81" s="146">
        <f t="shared" si="38"/>
        <v>24.232285128850332</v>
      </c>
      <c r="AI81" s="156">
        <f t="shared" si="39"/>
        <v>44.987973690600072</v>
      </c>
      <c r="AJ81" s="156">
        <f t="shared" si="40"/>
        <v>25.959105259926396</v>
      </c>
      <c r="AK81" s="88"/>
      <c r="AL81" s="716">
        <f t="shared" si="41"/>
        <v>2049.8401830523771</v>
      </c>
    </row>
    <row r="82" spans="1:38" ht="15" customHeight="1">
      <c r="A82" s="857" t="s">
        <v>1991</v>
      </c>
      <c r="B82" s="1098">
        <v>45743</v>
      </c>
      <c r="C82" s="595">
        <v>45737</v>
      </c>
      <c r="D82" t="s">
        <v>1993</v>
      </c>
      <c r="E82">
        <f>_xlfn.XLOOKUP(D82,RUC!$B$3:$B$123,RUC!$D$3:$D$123)</f>
        <v>20612937096</v>
      </c>
      <c r="G82" s="80">
        <v>100</v>
      </c>
      <c r="H82" t="s">
        <v>108</v>
      </c>
      <c r="I82" s="596">
        <v>4.83</v>
      </c>
      <c r="J82" s="596">
        <v>17</v>
      </c>
      <c r="K82" s="138">
        <f t="shared" si="30"/>
        <v>4.0088999999999997</v>
      </c>
      <c r="L82" s="139">
        <v>0.32300000000000001</v>
      </c>
      <c r="M82" s="139">
        <v>0.30399999999999999</v>
      </c>
      <c r="N82" s="159">
        <v>0.30399999999999999</v>
      </c>
      <c r="O82" s="645">
        <f t="shared" si="31"/>
        <v>0.30399999999999999</v>
      </c>
      <c r="P82" s="727">
        <v>90</v>
      </c>
      <c r="Q82" s="596">
        <v>85</v>
      </c>
      <c r="R82" s="706">
        <v>3013.7</v>
      </c>
      <c r="S82" s="765">
        <f t="shared" si="42"/>
        <v>120</v>
      </c>
      <c r="U82" s="1066">
        <v>120</v>
      </c>
      <c r="V82" s="715">
        <v>1.1023000000000001</v>
      </c>
      <c r="Y82">
        <v>20</v>
      </c>
      <c r="Z82" s="143">
        <f t="shared" si="45"/>
        <v>30</v>
      </c>
      <c r="AA82" s="144">
        <f t="shared" si="33"/>
        <v>50</v>
      </c>
      <c r="AB82" s="145">
        <f t="shared" si="34"/>
        <v>685.31789953600003</v>
      </c>
      <c r="AC82" s="145">
        <f>+(S82-T82)*V82-'data 1'!$F$4</f>
        <v>52.27600000000001</v>
      </c>
      <c r="AD82" s="145">
        <f t="shared" si="35"/>
        <v>-51.514066986500005</v>
      </c>
      <c r="AE82" s="145">
        <f t="shared" si="36"/>
        <v>-14.884999999999998</v>
      </c>
      <c r="AF82" s="145">
        <f t="shared" si="37"/>
        <v>51.51406698650004</v>
      </c>
      <c r="AG82" s="772">
        <f t="shared" si="46"/>
        <v>54.391000000000048</v>
      </c>
      <c r="AH82" s="146">
        <f t="shared" si="38"/>
        <v>37.735989330783234</v>
      </c>
      <c r="AI82" s="156">
        <f t="shared" si="39"/>
        <v>32.170256229500055</v>
      </c>
      <c r="AJ82" s="156">
        <f t="shared" si="40"/>
        <v>37.605414973237274</v>
      </c>
      <c r="AK82" s="88"/>
      <c r="AL82" s="716">
        <f t="shared" si="41"/>
        <v>2747.3709274498701</v>
      </c>
    </row>
    <row r="83" spans="1:38" ht="15" customHeight="1">
      <c r="A83" s="857" t="s">
        <v>1992</v>
      </c>
      <c r="B83" s="595">
        <v>45742</v>
      </c>
      <c r="C83" s="595">
        <v>45738</v>
      </c>
      <c r="D83" t="s">
        <v>2004</v>
      </c>
      <c r="E83">
        <f>_xlfn.XLOOKUP(D83,RUC!$B$3:$B$123,RUC!$D$3:$D$123)</f>
        <v>20612921866</v>
      </c>
      <c r="G83" s="80" t="s">
        <v>1434</v>
      </c>
      <c r="H83" t="s">
        <v>69</v>
      </c>
      <c r="I83" s="596">
        <v>18.760000000000002</v>
      </c>
      <c r="J83" s="596">
        <v>1.5</v>
      </c>
      <c r="K83" s="138">
        <f t="shared" si="30"/>
        <v>18.4786</v>
      </c>
      <c r="L83" s="139">
        <v>0.24</v>
      </c>
      <c r="M83" s="139">
        <v>0.223</v>
      </c>
      <c r="N83" s="598">
        <v>0.25</v>
      </c>
      <c r="O83" s="645">
        <f t="shared" si="31"/>
        <v>0.23699999999999999</v>
      </c>
      <c r="P83" s="727">
        <v>90</v>
      </c>
      <c r="Q83" s="596">
        <v>90.1</v>
      </c>
      <c r="R83" s="706">
        <v>3013.7</v>
      </c>
      <c r="S83" s="765">
        <f>IF((80+ROUNDDOWN(O83,1)*100)&lt;95,95,(80+ROUNDDOWN(O83,1)*100))</f>
        <v>100</v>
      </c>
      <c r="U83" s="1066">
        <v>100</v>
      </c>
      <c r="V83" s="715">
        <v>1.1023000000000001</v>
      </c>
      <c r="Z83" s="143">
        <f t="shared" si="45"/>
        <v>30</v>
      </c>
      <c r="AA83" s="144">
        <f t="shared" si="33"/>
        <v>30</v>
      </c>
      <c r="AB83" s="145">
        <f t="shared" si="34"/>
        <v>541.77186308299986</v>
      </c>
      <c r="AC83" s="145">
        <f>+(S83-T83)*V83-'data 1'!$F$4</f>
        <v>30.230000000000004</v>
      </c>
      <c r="AD83" s="145">
        <f t="shared" si="35"/>
        <v>0.77082516239995613</v>
      </c>
      <c r="AE83" s="145">
        <f t="shared" si="36"/>
        <v>-36.930999999999997</v>
      </c>
      <c r="AF83" s="145">
        <f t="shared" si="37"/>
        <v>8.6814183915300056</v>
      </c>
      <c r="AG83" s="772">
        <f>+IF(D83="RONALD WILLIAN GARIBAY ESCUDERO",AC83+AD83+AE83+AF83+70,AC83+AD83+AE83+AF83)+70</f>
        <v>72.751243553929967</v>
      </c>
      <c r="AH83" s="146">
        <f t="shared" si="38"/>
        <v>136.99798090326664</v>
      </c>
      <c r="AI83" s="156">
        <f t="shared" si="39"/>
        <v>20.570584677600042</v>
      </c>
      <c r="AJ83" s="156">
        <f t="shared" si="40"/>
        <v>135.13535574670169</v>
      </c>
      <c r="AK83" s="88"/>
      <c r="AL83" s="716">
        <f t="shared" si="41"/>
        <v>10011.185549165521</v>
      </c>
    </row>
    <row r="84" spans="1:38" ht="15" customHeight="1">
      <c r="A84" s="857" t="s">
        <v>1994</v>
      </c>
      <c r="B84" s="595">
        <v>45742</v>
      </c>
      <c r="C84" s="595">
        <v>45738</v>
      </c>
      <c r="D84" t="s">
        <v>1999</v>
      </c>
      <c r="E84">
        <f>_xlfn.XLOOKUP(D84,RUC!$B$3:$B$123,RUC!$D$3:$D$123)</f>
        <v>10445192410</v>
      </c>
      <c r="G84" s="80" t="s">
        <v>1434</v>
      </c>
      <c r="H84" t="s">
        <v>69</v>
      </c>
      <c r="I84" s="596">
        <v>5.71</v>
      </c>
      <c r="J84" s="596">
        <v>1.2</v>
      </c>
      <c r="K84" s="138">
        <f t="shared" si="30"/>
        <v>5.6414799999999996</v>
      </c>
      <c r="L84" s="139">
        <v>0.215</v>
      </c>
      <c r="M84" s="139">
        <v>0.19800000000000001</v>
      </c>
      <c r="N84" s="159">
        <v>0.19800000000000001</v>
      </c>
      <c r="O84" s="645">
        <f t="shared" si="31"/>
        <v>0.19800000000000001</v>
      </c>
      <c r="P84" s="727">
        <v>90</v>
      </c>
      <c r="Q84" s="596">
        <v>90.1</v>
      </c>
      <c r="R84" s="706">
        <v>3013.7</v>
      </c>
      <c r="S84" s="802">
        <f>IF((80+ROUNDDOWN(O84,1)*100)&lt;95,95,(80+ROUNDDOWN(O84,1)*100))</f>
        <v>95</v>
      </c>
      <c r="U84" s="1066">
        <v>100</v>
      </c>
      <c r="V84" s="715">
        <v>1.1023000000000001</v>
      </c>
      <c r="Z84" s="143">
        <f t="shared" si="45"/>
        <v>30</v>
      </c>
      <c r="AA84" s="144">
        <f t="shared" si="33"/>
        <v>30</v>
      </c>
      <c r="AB84" s="145">
        <f t="shared" si="34"/>
        <v>434.55018308199993</v>
      </c>
      <c r="AC84" s="145">
        <f>+(S84-T84)*V84-'data 1'!$F$4</f>
        <v>24.718500000000006</v>
      </c>
      <c r="AD84" s="145">
        <f t="shared" si="35"/>
        <v>0.69053087464996066</v>
      </c>
      <c r="AE84" s="145">
        <f t="shared" si="36"/>
        <v>-36.930999999999997</v>
      </c>
      <c r="AF84" s="145">
        <f t="shared" si="37"/>
        <v>49.194704218669955</v>
      </c>
      <c r="AG84" s="772">
        <f>+IF(D84="RONALD WILLIAN GARIBAY ESCUDERO",AC84+AD84+AE84+AF84+70,AC84+AD84+AE84+AF84)+70</f>
        <v>107.67273509331993</v>
      </c>
      <c r="AH84" s="146">
        <f t="shared" si="38"/>
        <v>37.46841941507666</v>
      </c>
      <c r="AI84" s="156">
        <f t="shared" si="39"/>
        <v>18.427815440350038</v>
      </c>
      <c r="AJ84" s="156">
        <f t="shared" si="40"/>
        <v>34.467502979979159</v>
      </c>
      <c r="AK84" s="88"/>
      <c r="AL84" s="716">
        <f t="shared" si="41"/>
        <v>2451.5061668534408</v>
      </c>
    </row>
    <row r="85" spans="1:38" ht="15" customHeight="1">
      <c r="A85" s="857" t="s">
        <v>1995</v>
      </c>
      <c r="B85" s="595">
        <v>45743</v>
      </c>
      <c r="C85" s="595">
        <v>45738</v>
      </c>
      <c r="D85" s="1094" t="s">
        <v>1177</v>
      </c>
      <c r="E85">
        <f>_xlfn.XLOOKUP(D85,RUC!$B$3:$B$123,RUC!$D$3:$D$123)</f>
        <v>20606094010</v>
      </c>
      <c r="G85" s="80">
        <v>26</v>
      </c>
      <c r="H85" t="s">
        <v>69</v>
      </c>
      <c r="I85" s="596">
        <v>2.38</v>
      </c>
      <c r="J85" s="596">
        <v>1.3</v>
      </c>
      <c r="K85" s="138">
        <f t="shared" si="30"/>
        <v>2.3490599999999997</v>
      </c>
      <c r="L85" s="139">
        <v>0.13</v>
      </c>
      <c r="M85" s="139">
        <v>0.114</v>
      </c>
      <c r="N85" s="159">
        <v>0.161</v>
      </c>
      <c r="O85" s="645">
        <f t="shared" si="31"/>
        <v>0.13800000000000001</v>
      </c>
      <c r="P85" s="727">
        <v>90</v>
      </c>
      <c r="Q85" s="596">
        <v>90.2</v>
      </c>
      <c r="R85" s="706">
        <v>3013.7</v>
      </c>
      <c r="S85" s="765">
        <f t="shared" ref="S85:S92" si="47">IF((90+ROUNDDOWN(O85,1)*100)&lt;95,95,(90+ROUNDDOWN(O85,1)*100))</f>
        <v>100</v>
      </c>
      <c r="U85" s="1066">
        <v>120</v>
      </c>
      <c r="V85" s="715">
        <v>1.1023000000000001</v>
      </c>
      <c r="Y85">
        <v>20</v>
      </c>
      <c r="Z85" s="143">
        <f t="shared" si="45"/>
        <v>30</v>
      </c>
      <c r="AA85" s="144">
        <f t="shared" si="33"/>
        <v>50</v>
      </c>
      <c r="AB85" s="145">
        <f t="shared" si="34"/>
        <v>230.81890834200001</v>
      </c>
      <c r="AC85" s="145">
        <f>+(S85-T85)*V85-'data 1'!$F$4</f>
        <v>30.230000000000004</v>
      </c>
      <c r="AD85" s="145">
        <f t="shared" si="35"/>
        <v>0.82932863260001166</v>
      </c>
      <c r="AE85" s="145">
        <f t="shared" si="36"/>
        <v>-14.884999999999998</v>
      </c>
      <c r="AF85" s="145">
        <f t="shared" si="37"/>
        <v>-23.017059280160023</v>
      </c>
      <c r="AG85" s="772">
        <f t="shared" ref="AG85:AG92" si="48">+IF(D85="RONALD WILLIAN GARIBAY ESCUDERO",AC85+AD85+AE85+AF85+70,AC85+AD85+AE85+AF85)+70-53</f>
        <v>10.157269352439997</v>
      </c>
      <c r="AH85" s="146">
        <f t="shared" si="38"/>
        <v>9.4439367301194697</v>
      </c>
      <c r="AI85" s="156">
        <f t="shared" si="39"/>
        <v>13.739880697400027</v>
      </c>
      <c r="AJ85" s="156">
        <f t="shared" si="40"/>
        <v>10.00287345966944</v>
      </c>
      <c r="AK85" s="88"/>
      <c r="AL85" s="716">
        <f t="shared" si="41"/>
        <v>542.20746482985851</v>
      </c>
    </row>
    <row r="86" spans="1:38" ht="15" customHeight="1">
      <c r="A86" s="857" t="s">
        <v>1996</v>
      </c>
      <c r="B86" s="595">
        <v>45747</v>
      </c>
      <c r="C86" s="595">
        <v>45738</v>
      </c>
      <c r="D86" t="s">
        <v>1177</v>
      </c>
      <c r="E86">
        <f>_xlfn.XLOOKUP(D86,RUC!$B$3:$B$123,RUC!$D$3:$D$123)</f>
        <v>20606094010</v>
      </c>
      <c r="G86" s="80">
        <v>41</v>
      </c>
      <c r="H86" t="s">
        <v>69</v>
      </c>
      <c r="I86" s="596">
        <v>3.44</v>
      </c>
      <c r="J86" s="596">
        <v>1.4</v>
      </c>
      <c r="K86" s="138">
        <f t="shared" si="30"/>
        <v>3.3918399999999997</v>
      </c>
      <c r="L86" s="139">
        <v>0.38100000000000001</v>
      </c>
      <c r="M86" s="139">
        <v>0.36</v>
      </c>
      <c r="N86" s="159">
        <v>0.36</v>
      </c>
      <c r="O86" s="645">
        <f t="shared" si="31"/>
        <v>0.36</v>
      </c>
      <c r="P86" s="727">
        <v>90</v>
      </c>
      <c r="Q86" s="596">
        <v>90.4</v>
      </c>
      <c r="R86" s="706">
        <v>3013.7</v>
      </c>
      <c r="S86" s="765">
        <f t="shared" si="47"/>
        <v>120</v>
      </c>
      <c r="U86" s="1066">
        <v>120</v>
      </c>
      <c r="V86" s="715">
        <v>1.1023000000000001</v>
      </c>
      <c r="Y86">
        <v>20</v>
      </c>
      <c r="Z86" s="143">
        <f t="shared" si="45"/>
        <v>30</v>
      </c>
      <c r="AA86" s="144">
        <f t="shared" si="33"/>
        <v>50</v>
      </c>
      <c r="AB86" s="145">
        <f t="shared" si="34"/>
        <v>846.08006523999995</v>
      </c>
      <c r="AC86" s="145">
        <f>+(S86-T86)*V86-'data 1'!$F$4</f>
        <v>52.27600000000001</v>
      </c>
      <c r="AD86" s="145">
        <f t="shared" si="35"/>
        <v>4.8611416772400693</v>
      </c>
      <c r="AE86" s="145">
        <f t="shared" si="36"/>
        <v>-14.884999999999998</v>
      </c>
      <c r="AF86" s="145">
        <f t="shared" si="37"/>
        <v>60.55374908184006</v>
      </c>
      <c r="AG86" s="772">
        <f t="shared" si="48"/>
        <v>119.80589075908014</v>
      </c>
      <c r="AH86" s="146">
        <f t="shared" si="38"/>
        <v>40.053256601064021</v>
      </c>
      <c r="AI86" s="156">
        <f t="shared" si="39"/>
        <v>40.357706543760074</v>
      </c>
      <c r="AJ86" s="156">
        <f t="shared" si="40"/>
        <v>37.678138395537886</v>
      </c>
      <c r="AK86" s="88"/>
      <c r="AL86" s="716">
        <f t="shared" si="41"/>
        <v>2869.768208483641</v>
      </c>
    </row>
    <row r="87" spans="1:38" ht="15" customHeight="1">
      <c r="A87" s="857" t="s">
        <v>1997</v>
      </c>
      <c r="B87" s="595">
        <v>45743</v>
      </c>
      <c r="C87" s="595">
        <v>45738</v>
      </c>
      <c r="D87" t="s">
        <v>1966</v>
      </c>
      <c r="E87">
        <f>_xlfn.XLOOKUP(D87,RUC!$B$3:$B$123,RUC!$D$3:$D$123)</f>
        <v>20612791148</v>
      </c>
      <c r="G87" s="80">
        <v>30</v>
      </c>
      <c r="H87" t="s">
        <v>69</v>
      </c>
      <c r="I87" s="596">
        <v>2.52</v>
      </c>
      <c r="J87" s="596">
        <v>1.1000000000000001</v>
      </c>
      <c r="K87" s="138">
        <f t="shared" si="30"/>
        <v>2.4922800000000001</v>
      </c>
      <c r="L87" s="139">
        <v>0.51300000000000001</v>
      </c>
      <c r="M87" s="139">
        <v>0.48199999999999998</v>
      </c>
      <c r="N87" s="159">
        <v>0.48199999999999998</v>
      </c>
      <c r="O87" s="645">
        <f t="shared" si="31"/>
        <v>0.48199999999999998</v>
      </c>
      <c r="P87" s="727">
        <v>90</v>
      </c>
      <c r="Q87" s="596">
        <v>90.3</v>
      </c>
      <c r="R87" s="706">
        <v>3013.7</v>
      </c>
      <c r="S87" s="765">
        <f t="shared" si="47"/>
        <v>130</v>
      </c>
      <c r="U87" s="1066">
        <v>120</v>
      </c>
      <c r="V87" s="715">
        <v>1.1023000000000001</v>
      </c>
      <c r="Z87" s="143">
        <f t="shared" si="45"/>
        <v>30</v>
      </c>
      <c r="AA87" s="144">
        <f t="shared" si="33"/>
        <v>30</v>
      </c>
      <c r="AB87" s="145">
        <f t="shared" si="34"/>
        <v>1207.3349262379998</v>
      </c>
      <c r="AC87" s="145">
        <f>+(S87-T87)*V87-'data 1'!$F$4</f>
        <v>63.299000000000007</v>
      </c>
      <c r="AD87" s="145">
        <f t="shared" si="35"/>
        <v>4.9089875598899537</v>
      </c>
      <c r="AE87" s="145">
        <f t="shared" si="36"/>
        <v>-36.930999999999997</v>
      </c>
      <c r="AF87" s="145">
        <f t="shared" si="37"/>
        <v>89.289986201430068</v>
      </c>
      <c r="AG87" s="772">
        <f t="shared" si="48"/>
        <v>137.56697376132001</v>
      </c>
      <c r="AH87" s="146">
        <f t="shared" si="38"/>
        <v>39.583210608320698</v>
      </c>
      <c r="AI87" s="156">
        <f t="shared" si="39"/>
        <v>54.279793573110091</v>
      </c>
      <c r="AJ87" s="156">
        <f t="shared" si="40"/>
        <v>37.067683769910388</v>
      </c>
      <c r="AK87" s="88"/>
      <c r="AL87" s="716">
        <f t="shared" si="41"/>
        <v>3009.0166899644419</v>
      </c>
    </row>
    <row r="88" spans="1:38" ht="15" customHeight="1">
      <c r="A88" s="857" t="s">
        <v>1998</v>
      </c>
      <c r="B88" s="595">
        <v>45742</v>
      </c>
      <c r="C88" s="595">
        <v>45739</v>
      </c>
      <c r="D88" t="s">
        <v>2004</v>
      </c>
      <c r="E88">
        <f>_xlfn.XLOOKUP(D88,RUC!$B$3:$B$123,RUC!$D$3:$D$123)</f>
        <v>20612921866</v>
      </c>
      <c r="G88" s="80">
        <v>37</v>
      </c>
      <c r="H88" t="s">
        <v>69</v>
      </c>
      <c r="I88" s="596">
        <v>4.3899999999999997</v>
      </c>
      <c r="J88" s="596">
        <v>1.1000000000000001</v>
      </c>
      <c r="K88" s="138">
        <f t="shared" si="30"/>
        <v>4.34171</v>
      </c>
      <c r="L88" s="139">
        <v>0.28299999999999997</v>
      </c>
      <c r="M88" s="139">
        <v>0.26600000000000001</v>
      </c>
      <c r="N88" s="159">
        <v>0.26600000000000001</v>
      </c>
      <c r="O88" s="645">
        <f t="shared" si="31"/>
        <v>0.26600000000000001</v>
      </c>
      <c r="P88" s="727">
        <v>90</v>
      </c>
      <c r="Q88" s="596">
        <v>88</v>
      </c>
      <c r="R88" s="706">
        <v>3007.75</v>
      </c>
      <c r="S88" s="765">
        <f>IF((80+ROUNDDOWN(O88,1)*100)&lt;95,95,(80+ROUNDDOWN(O88,1)*100))</f>
        <v>100</v>
      </c>
      <c r="U88" s="1066">
        <v>100</v>
      </c>
      <c r="V88" s="715">
        <v>1.1023000000000001</v>
      </c>
      <c r="Z88" s="143">
        <f t="shared" si="45"/>
        <v>30</v>
      </c>
      <c r="AA88" s="144">
        <f t="shared" si="33"/>
        <v>30</v>
      </c>
      <c r="AB88" s="145">
        <f t="shared" si="34"/>
        <v>624.02895030500008</v>
      </c>
      <c r="AC88" s="145">
        <f>+(S88-T88)*V88-'data 1'!$F$4</f>
        <v>30.230000000000004</v>
      </c>
      <c r="AD88" s="145">
        <f t="shared" si="35"/>
        <v>-18.141504589500002</v>
      </c>
      <c r="AE88" s="145">
        <f t="shared" si="36"/>
        <v>-36.930999999999997</v>
      </c>
      <c r="AF88" s="145">
        <f t="shared" si="37"/>
        <v>47.94998386199989</v>
      </c>
      <c r="AG88" s="772">
        <f>+IF(D88="RONALD WILLIAN GARIBAY ESCUDERO",AC88+AD88+AE88+AF88+70,AC88+AD88+AE88+AF88)+70</f>
        <v>93.107479272499887</v>
      </c>
      <c r="AH88" s="146">
        <f t="shared" si="38"/>
        <v>37.071400113976836</v>
      </c>
      <c r="AI88" s="156">
        <f t="shared" si="39"/>
        <v>25.324174061999997</v>
      </c>
      <c r="AJ88" s="156">
        <f t="shared" si="40"/>
        <v>35.636416588845393</v>
      </c>
      <c r="AK88" s="88"/>
      <c r="AL88" s="716">
        <f t="shared" si="41"/>
        <v>2709.3527338287217</v>
      </c>
    </row>
    <row r="89" spans="1:38" ht="15" customHeight="1">
      <c r="A89" s="857" t="s">
        <v>2000</v>
      </c>
      <c r="B89" s="595">
        <v>45742</v>
      </c>
      <c r="C89" s="595">
        <v>45739</v>
      </c>
      <c r="D89" t="s">
        <v>2004</v>
      </c>
      <c r="E89">
        <f>_xlfn.XLOOKUP(D89,RUC!$B$3:$B$123,RUC!$D$3:$D$123)</f>
        <v>20612921866</v>
      </c>
      <c r="G89" s="80">
        <v>15</v>
      </c>
      <c r="H89" t="s">
        <v>69</v>
      </c>
      <c r="I89" s="596">
        <v>1.36</v>
      </c>
      <c r="J89" s="596">
        <v>1.1000000000000001</v>
      </c>
      <c r="K89" s="138">
        <f t="shared" si="30"/>
        <v>1.34504</v>
      </c>
      <c r="L89" s="139">
        <v>0.39800000000000002</v>
      </c>
      <c r="M89" s="139">
        <v>0.374</v>
      </c>
      <c r="N89" s="159">
        <v>0.374</v>
      </c>
      <c r="O89" s="645">
        <f t="shared" si="31"/>
        <v>0.374</v>
      </c>
      <c r="P89" s="727">
        <v>90</v>
      </c>
      <c r="Q89" s="596">
        <v>90.1</v>
      </c>
      <c r="R89" s="706">
        <v>3007.75</v>
      </c>
      <c r="S89" s="765">
        <f>IF((80+ROUNDDOWN(O89,1)*100)&lt;95,95,(80+ROUNDDOWN(O89,1)*100))</f>
        <v>110</v>
      </c>
      <c r="U89" s="1066">
        <v>100</v>
      </c>
      <c r="V89" s="715">
        <v>1.1023000000000001</v>
      </c>
      <c r="Z89" s="143">
        <f t="shared" si="45"/>
        <v>30</v>
      </c>
      <c r="AA89" s="144">
        <f t="shared" si="33"/>
        <v>30</v>
      </c>
      <c r="AB89" s="145">
        <f t="shared" si="34"/>
        <v>924.55263689499986</v>
      </c>
      <c r="AC89" s="145">
        <f>+(S89-T89)*V89-'data 1'!$F$4</f>
        <v>41.253</v>
      </c>
      <c r="AD89" s="145">
        <f t="shared" si="35"/>
        <v>1.2756747043499277</v>
      </c>
      <c r="AE89" s="145">
        <f t="shared" si="36"/>
        <v>-36.930999999999997</v>
      </c>
      <c r="AF89" s="145">
        <f t="shared" si="37"/>
        <v>69.309522127800051</v>
      </c>
      <c r="AG89" s="772">
        <f>+IF(D89="RONALD WILLIAN GARIBAY ESCUDERO",AC89+AD89+AE89+AF89+70,AC89+AD89+AE89+AF89)+70</f>
        <v>144.90719683214996</v>
      </c>
      <c r="AH89" s="146">
        <f t="shared" si="38"/>
        <v>16.536825067281356</v>
      </c>
      <c r="AI89" s="156">
        <f t="shared" si="39"/>
        <v>36.464817580649999</v>
      </c>
      <c r="AJ89" s="156">
        <f t="shared" si="40"/>
        <v>15.522382494177057</v>
      </c>
      <c r="AK89" s="88"/>
      <c r="AL89" s="716">
        <f t="shared" si="41"/>
        <v>1243.5602787292507</v>
      </c>
    </row>
    <row r="90" spans="1:38" ht="15" customHeight="1">
      <c r="A90" s="857" t="s">
        <v>2001</v>
      </c>
      <c r="B90" s="595">
        <v>45742</v>
      </c>
      <c r="C90" s="595">
        <v>45739</v>
      </c>
      <c r="D90" t="s">
        <v>1999</v>
      </c>
      <c r="E90">
        <f>_xlfn.XLOOKUP(D90,RUC!$B$3:$B$123,RUC!$D$3:$D$123)</f>
        <v>10445192410</v>
      </c>
      <c r="G90" s="80" t="s">
        <v>1434</v>
      </c>
      <c r="H90" t="s">
        <v>2005</v>
      </c>
      <c r="I90" s="596">
        <v>8.5500000000000007</v>
      </c>
      <c r="J90" s="596">
        <v>1.1499999999999999</v>
      </c>
      <c r="K90" s="138">
        <f t="shared" si="30"/>
        <v>8.4516749999999998</v>
      </c>
      <c r="L90" s="139">
        <v>0.29199999999999998</v>
      </c>
      <c r="M90" s="139">
        <v>0.27400000000000002</v>
      </c>
      <c r="N90" s="159">
        <v>0.27400000000000002</v>
      </c>
      <c r="O90" s="645">
        <f t="shared" si="31"/>
        <v>0.27400000000000002</v>
      </c>
      <c r="P90" s="727">
        <v>90</v>
      </c>
      <c r="Q90" s="596">
        <v>90</v>
      </c>
      <c r="R90" s="706">
        <v>3007.75</v>
      </c>
      <c r="S90" s="802">
        <f>IF((80+ROUNDDOWN(O90,1)*100)&lt;95,95,(80+ROUNDDOWN(O90,1)*100))</f>
        <v>100</v>
      </c>
      <c r="U90" s="1066">
        <v>100</v>
      </c>
      <c r="V90" s="715">
        <v>1.1023000000000001</v>
      </c>
      <c r="Y90">
        <v>20</v>
      </c>
      <c r="Z90" s="143">
        <f t="shared" si="45"/>
        <v>30</v>
      </c>
      <c r="AA90" s="144">
        <f t="shared" si="33"/>
        <v>50</v>
      </c>
      <c r="AB90" s="145">
        <f t="shared" si="34"/>
        <v>625.06048264500009</v>
      </c>
      <c r="AC90" s="145">
        <f>+(S90-T90)*V90-'data 1'!$F$4</f>
        <v>30.230000000000004</v>
      </c>
      <c r="AD90" s="145">
        <f t="shared" si="35"/>
        <v>0</v>
      </c>
      <c r="AE90" s="145">
        <f t="shared" si="36"/>
        <v>-14.884999999999998</v>
      </c>
      <c r="AF90" s="145">
        <f t="shared" si="37"/>
        <v>51.924447764999897</v>
      </c>
      <c r="AG90" s="772">
        <f>+IF(D90="RONALD WILLIAN GARIBAY ESCUDERO",AC90+AD90+AE90+AF90+70,AC90+AD90+AE90+AF90)+70</f>
        <v>137.26944776499991</v>
      </c>
      <c r="AH90" s="146">
        <f t="shared" si="38"/>
        <v>76.151281912078744</v>
      </c>
      <c r="AI90" s="156">
        <f t="shared" si="39"/>
        <v>26.72338959</v>
      </c>
      <c r="AJ90" s="156">
        <f t="shared" si="40"/>
        <v>71.457024807909491</v>
      </c>
      <c r="AK90" s="88"/>
      <c r="AL90" s="716">
        <f t="shared" si="41"/>
        <v>5282.8080546586807</v>
      </c>
    </row>
    <row r="91" spans="1:38" ht="15" customHeight="1">
      <c r="A91" s="857" t="s">
        <v>2002</v>
      </c>
      <c r="B91" s="595">
        <v>45742</v>
      </c>
      <c r="C91" s="595">
        <v>45739</v>
      </c>
      <c r="D91" t="s">
        <v>1402</v>
      </c>
      <c r="E91">
        <f>_xlfn.XLOOKUP(D91,RUC!$B$3:$B$123,RUC!$D$3:$D$123)</f>
        <v>20606526599</v>
      </c>
      <c r="G91" s="80">
        <v>140</v>
      </c>
      <c r="H91" t="s">
        <v>69</v>
      </c>
      <c r="I91" s="596">
        <v>12.07</v>
      </c>
      <c r="J91" s="596">
        <v>1.1000000000000001</v>
      </c>
      <c r="K91" s="138">
        <f t="shared" si="30"/>
        <v>11.93723</v>
      </c>
      <c r="L91" s="139">
        <v>0.22600000000000001</v>
      </c>
      <c r="M91" s="139">
        <v>0.21</v>
      </c>
      <c r="N91" s="159">
        <v>0.21</v>
      </c>
      <c r="O91" s="645">
        <f t="shared" si="31"/>
        <v>0.21</v>
      </c>
      <c r="P91" s="727">
        <v>90</v>
      </c>
      <c r="Q91" s="596">
        <v>89</v>
      </c>
      <c r="R91" s="706">
        <v>3007.75</v>
      </c>
      <c r="S91" s="765">
        <f t="shared" si="47"/>
        <v>110</v>
      </c>
      <c r="U91" s="1066">
        <v>120</v>
      </c>
      <c r="V91" s="715">
        <v>1.1023000000000001</v>
      </c>
      <c r="Y91">
        <v>20</v>
      </c>
      <c r="Z91" s="143">
        <f t="shared" si="45"/>
        <v>30</v>
      </c>
      <c r="AA91" s="144">
        <f t="shared" si="33"/>
        <v>50</v>
      </c>
      <c r="AB91" s="145">
        <f t="shared" si="34"/>
        <v>425.25052992500008</v>
      </c>
      <c r="AC91" s="145">
        <f>+(S91-T91)*V91-'data 1'!$F$4</f>
        <v>41.253</v>
      </c>
      <c r="AD91" s="145">
        <f t="shared" si="35"/>
        <v>-7.1939570245000013</v>
      </c>
      <c r="AE91" s="145">
        <f t="shared" si="36"/>
        <v>-14.884999999999998</v>
      </c>
      <c r="AF91" s="145">
        <f t="shared" si="37"/>
        <v>45.328295588000046</v>
      </c>
      <c r="AG91" s="772">
        <f t="shared" si="48"/>
        <v>81.502338563500047</v>
      </c>
      <c r="AH91" s="146">
        <f t="shared" si="38"/>
        <v>82.321083280003307</v>
      </c>
      <c r="AI91" s="156">
        <f t="shared" si="39"/>
        <v>24.887690819499998</v>
      </c>
      <c r="AJ91" s="156">
        <f t="shared" si="40"/>
        <v>77.352514367707172</v>
      </c>
      <c r="AK91" s="88"/>
      <c r="AL91" s="716">
        <f t="shared" si="41"/>
        <v>5076.3133833366082</v>
      </c>
    </row>
    <row r="92" spans="1:38" ht="15" customHeight="1">
      <c r="A92" s="857" t="s">
        <v>2003</v>
      </c>
      <c r="B92" s="595">
        <v>45742</v>
      </c>
      <c r="C92" s="595">
        <v>45739</v>
      </c>
      <c r="D92" t="s">
        <v>1402</v>
      </c>
      <c r="E92">
        <f>_xlfn.XLOOKUP(D92,RUC!$B$3:$B$123,RUC!$D$3:$D$123)</f>
        <v>20606526599</v>
      </c>
      <c r="G92" s="80">
        <v>60</v>
      </c>
      <c r="H92" t="s">
        <v>69</v>
      </c>
      <c r="I92" s="596">
        <v>4.84</v>
      </c>
      <c r="J92" s="596">
        <v>1.2</v>
      </c>
      <c r="K92" s="138">
        <f t="shared" si="30"/>
        <v>4.7819199999999995</v>
      </c>
      <c r="L92" s="139">
        <v>0.23200000000000001</v>
      </c>
      <c r="M92" s="139">
        <v>0.215</v>
      </c>
      <c r="N92" s="159">
        <v>0.215</v>
      </c>
      <c r="O92" s="645">
        <f t="shared" si="31"/>
        <v>0.215</v>
      </c>
      <c r="P92" s="727">
        <v>90</v>
      </c>
      <c r="Q92" s="596">
        <v>88</v>
      </c>
      <c r="R92" s="706">
        <v>3007.75</v>
      </c>
      <c r="S92" s="765">
        <f t="shared" si="47"/>
        <v>110</v>
      </c>
      <c r="U92" s="1066">
        <v>120</v>
      </c>
      <c r="V92" s="715">
        <v>1.1023000000000001</v>
      </c>
      <c r="Y92">
        <v>20</v>
      </c>
      <c r="Z92" s="143">
        <f t="shared" si="45"/>
        <v>30</v>
      </c>
      <c r="AA92" s="144">
        <f t="shared" si="33"/>
        <v>50</v>
      </c>
      <c r="AB92" s="145">
        <f t="shared" si="34"/>
        <v>439.57478063750006</v>
      </c>
      <c r="AC92" s="145">
        <f>+(S92-T92)*V92-'data 1'!$F$4</f>
        <v>41.253</v>
      </c>
      <c r="AD92" s="145">
        <f t="shared" si="35"/>
        <v>-14.769894068000003</v>
      </c>
      <c r="AE92" s="145">
        <f t="shared" si="36"/>
        <v>-14.884999999999998</v>
      </c>
      <c r="AF92" s="145">
        <f t="shared" si="37"/>
        <v>47.62017570200004</v>
      </c>
      <c r="AG92" s="772">
        <f t="shared" si="48"/>
        <v>76.21828163400005</v>
      </c>
      <c r="AH92" s="146">
        <f t="shared" si="38"/>
        <v>33.472028493359268</v>
      </c>
      <c r="AI92" s="156">
        <f t="shared" si="39"/>
        <v>25.261365008000002</v>
      </c>
      <c r="AJ92" s="156">
        <f t="shared" si="40"/>
        <v>31.724321676454828</v>
      </c>
      <c r="AK92" s="88"/>
      <c r="AL92" s="716">
        <f t="shared" si="41"/>
        <v>2102.0114350260742</v>
      </c>
    </row>
    <row r="93" spans="1:38" ht="15" customHeight="1">
      <c r="A93" s="857" t="s">
        <v>2067</v>
      </c>
      <c r="B93" s="1095">
        <v>45747</v>
      </c>
      <c r="C93" s="595">
        <v>45740</v>
      </c>
      <c r="D93" t="s">
        <v>2004</v>
      </c>
      <c r="E93">
        <f>_xlfn.XLOOKUP(D93,RUC!$B$3:$B$123,RUC!$D$3:$D$123)</f>
        <v>20612921866</v>
      </c>
      <c r="G93" s="80"/>
      <c r="L93" s="139"/>
      <c r="M93" s="139"/>
      <c r="N93" s="159"/>
      <c r="Q93" s="596"/>
      <c r="R93" s="706"/>
    </row>
    <row r="94" spans="1:38" ht="15" customHeight="1">
      <c r="A94" s="857" t="s">
        <v>2068</v>
      </c>
      <c r="B94" s="1095">
        <v>45747</v>
      </c>
      <c r="C94" s="595">
        <v>45740</v>
      </c>
      <c r="D94" t="s">
        <v>2004</v>
      </c>
      <c r="E94">
        <f>_xlfn.XLOOKUP(D94,RUC!$B$3:$B$123,RUC!$D$3:$D$123)</f>
        <v>20612921866</v>
      </c>
      <c r="G94" s="80"/>
      <c r="L94" s="139"/>
      <c r="M94" s="139"/>
      <c r="N94" s="159"/>
      <c r="R94" s="706"/>
    </row>
    <row r="95" spans="1:38" ht="15" customHeight="1">
      <c r="A95" s="857" t="s">
        <v>2013</v>
      </c>
      <c r="B95" s="595">
        <v>45742</v>
      </c>
      <c r="C95" s="595">
        <v>45740</v>
      </c>
      <c r="D95" t="s">
        <v>2004</v>
      </c>
      <c r="E95">
        <f>_xlfn.XLOOKUP(D95,RUC!$B$3:$B$123,RUC!$D$3:$D$123)</f>
        <v>20612921866</v>
      </c>
      <c r="G95" s="80">
        <v>20</v>
      </c>
      <c r="H95" t="s">
        <v>69</v>
      </c>
      <c r="I95" s="596">
        <v>2.36</v>
      </c>
      <c r="J95" s="596">
        <v>1.2</v>
      </c>
      <c r="K95" s="138">
        <f t="shared" ref="K95:K99" si="49">+I95-(I95*(J95/100))</f>
        <v>2.33168</v>
      </c>
      <c r="L95" s="139">
        <v>0.433</v>
      </c>
      <c r="M95" s="139">
        <v>0.40699999999999997</v>
      </c>
      <c r="N95" s="159">
        <v>0.40699999999999997</v>
      </c>
      <c r="O95" s="645">
        <f t="shared" ref="O95:O99" si="50">+ROUND((M95+N95)/2,3)</f>
        <v>0.40699999999999997</v>
      </c>
      <c r="P95" s="727">
        <v>90</v>
      </c>
      <c r="Q95">
        <v>90.17</v>
      </c>
      <c r="R95" s="706">
        <v>3007.75</v>
      </c>
      <c r="S95" s="765">
        <f>IF((80+ROUNDDOWN(O95,1)*100)&lt;95,95,(80+ROUNDDOWN(O95,1)*100))</f>
        <v>120</v>
      </c>
      <c r="U95" s="1066">
        <v>100</v>
      </c>
      <c r="V95" s="715">
        <v>1.1023000000000001</v>
      </c>
      <c r="Y95">
        <v>20</v>
      </c>
      <c r="Z95" s="143">
        <f t="shared" ref="Z95:Z96" si="51">IF(IF(D95="UNTUCA",IF(+((W95-3)*1.5+(X95-3)*3.1)&gt;0,+((W95-3)*1.5+(X95-3)*3.1),0),IF(+((W95-3)*1.5+(X95-3)*3.1)&gt;0,+((W95-3)*1.5+(X95-3)*3.1),0))&lt;30,30,IF(D95="UNTUCA",IF(+((W95-3)*1.5+(X95-3)*3.1)&gt;0,+((W95-3)*1.5+(X95-3)*3.1),0),IF(+((W95-3)*1.5+(X95-3)*3.1)&gt;0,+((W95-3)*1.5+(X95-3)*3.1),0)))</f>
        <v>30</v>
      </c>
      <c r="AA95" s="144">
        <f t="shared" ref="AA95:AA99" si="52">+Y95+Z95</f>
        <v>50</v>
      </c>
      <c r="AB95" s="145">
        <f t="shared" ref="AB95:AB99" si="53">+((O95*P95*(R95-U95)/100)-S95-AA95+T95)*V95</f>
        <v>986.67845779750007</v>
      </c>
      <c r="AC95" s="145">
        <f>+(S95-T95)*V95-'data 1'!$F$4</f>
        <v>52.27600000000001</v>
      </c>
      <c r="AD95" s="145">
        <f t="shared" ref="AD95:AD99" si="54">+(Q95-P95)*(R95-U95)*L95*V95/100</f>
        <v>2.3593571604825239</v>
      </c>
      <c r="AE95" s="145">
        <f t="shared" ref="AE95:AE99" si="55">+(Y95*V95-70)+V95*(Z95-IF(D95="UNTUCA",IF(+((W95-3)*2.5+(X95-3)*3.1)&gt;0,+((W95-3)*1.5+(X95-3)*3.1),0),IF(+((W95-3)*1.5+(X95-3)*3.1)&gt;0,+((W95-3)*1.5+(X95-3)*3.1),0)))</f>
        <v>-14.884999999999998</v>
      </c>
      <c r="AF95" s="145">
        <f t="shared" ref="AF95:AF99" si="56">(L95-O95)*(R95-U95)*Q95*V95/100</f>
        <v>75.143650511865076</v>
      </c>
      <c r="AG95" s="772">
        <f>+IF(D95="RONALD WILLIAN GARIBAY ESCUDERO",AC95+AD95+AE95+AF95+70,AC95+AD95+AE95+AF95)+70</f>
        <v>184.89400767234761</v>
      </c>
      <c r="AH95" s="146">
        <f t="shared" ref="AH95:AH99" si="57">31.1035*L95*Q95*1.1023*K95/100</f>
        <v>31.212458854913994</v>
      </c>
      <c r="AI95" s="156">
        <f t="shared" ref="AI95:AI99" si="58">+((+$AI$2-R95+U95)*L95*Q95*V95)/100</f>
        <v>39.702344027017496</v>
      </c>
      <c r="AJ95" s="156">
        <f t="shared" ref="AJ95:AJ99" si="59">31.1035*1.1023*K95*P95*O95/100</f>
        <v>29.282957386765712</v>
      </c>
      <c r="AK95" s="88"/>
      <c r="AL95" s="716">
        <f t="shared" ref="AL95:AL99" si="60">+IF(AB95*K95&gt;0,AB95*K95,0)</f>
        <v>2300.6184264772751</v>
      </c>
    </row>
    <row r="96" spans="1:38" ht="15" customHeight="1">
      <c r="A96" s="857" t="s">
        <v>2014</v>
      </c>
      <c r="B96" s="595">
        <v>45742</v>
      </c>
      <c r="C96" s="595">
        <v>45740</v>
      </c>
      <c r="D96" t="s">
        <v>2004</v>
      </c>
      <c r="E96">
        <f>_xlfn.XLOOKUP(D96,RUC!$B$3:$B$123,RUC!$D$3:$D$123)</f>
        <v>20612921866</v>
      </c>
      <c r="G96" s="80">
        <v>22</v>
      </c>
      <c r="H96" t="s">
        <v>69</v>
      </c>
      <c r="I96" s="596">
        <v>2.63</v>
      </c>
      <c r="J96" s="596">
        <v>1.1000000000000001</v>
      </c>
      <c r="K96" s="138">
        <f t="shared" si="49"/>
        <v>2.60107</v>
      </c>
      <c r="L96" s="139">
        <v>0.121</v>
      </c>
      <c r="M96" s="139">
        <v>0.106</v>
      </c>
      <c r="N96" s="159">
        <v>0.106</v>
      </c>
      <c r="O96" s="645">
        <f t="shared" si="50"/>
        <v>0.106</v>
      </c>
      <c r="P96" s="727">
        <v>90</v>
      </c>
      <c r="Q96" s="596">
        <v>90.2</v>
      </c>
      <c r="R96" s="706">
        <v>3007.75</v>
      </c>
      <c r="S96" s="765">
        <f>IF((80+ROUNDDOWN(O96,1)*100)&lt;95,95,(80+ROUNDDOWN(O96,1)*100))</f>
        <v>95</v>
      </c>
      <c r="U96" s="1066">
        <v>100</v>
      </c>
      <c r="V96" s="715">
        <v>1.1023000000000001</v>
      </c>
      <c r="Y96">
        <v>20</v>
      </c>
      <c r="Z96" s="143">
        <f t="shared" si="51"/>
        <v>30</v>
      </c>
      <c r="AA96" s="144">
        <f t="shared" si="52"/>
        <v>50</v>
      </c>
      <c r="AB96" s="145">
        <f t="shared" si="53"/>
        <v>145.94380350499998</v>
      </c>
      <c r="AC96" s="145">
        <f>+(S96-T96)*V96-'data 1'!$F$4</f>
        <v>24.718500000000006</v>
      </c>
      <c r="AD96" s="145">
        <f t="shared" si="54"/>
        <v>0.77566150365001107</v>
      </c>
      <c r="AE96" s="145">
        <f t="shared" si="55"/>
        <v>-14.884999999999998</v>
      </c>
      <c r="AF96" s="145">
        <f t="shared" si="56"/>
        <v>43.366529522250005</v>
      </c>
      <c r="AG96" s="772">
        <f>+IF(D96="RONALD WILLIAN GARIBAY ESCUDERO",AC96+AD96+AE96+AF96+70,AC96+AD96+AE96+AF96)+70</f>
        <v>123.97569102590002</v>
      </c>
      <c r="AH96" s="146">
        <f t="shared" si="57"/>
        <v>9.7331410527681914</v>
      </c>
      <c r="AI96" s="156">
        <f t="shared" si="58"/>
        <v>11.098341653849999</v>
      </c>
      <c r="AJ96" s="156">
        <f t="shared" si="59"/>
        <v>8.5076474357633689</v>
      </c>
      <c r="AK96" s="88"/>
      <c r="AL96" s="716">
        <f t="shared" si="60"/>
        <v>379.6100489827503</v>
      </c>
    </row>
    <row r="97" spans="1:38" ht="15" customHeight="1">
      <c r="A97" s="857" t="s">
        <v>2033</v>
      </c>
      <c r="B97" s="595">
        <v>45748</v>
      </c>
      <c r="C97" s="595">
        <v>45744</v>
      </c>
      <c r="D97" s="665" t="s">
        <v>1402</v>
      </c>
      <c r="E97">
        <f>_xlfn.XLOOKUP(D97,RUC!$B$3:$B$123,RUC!$D$3:$D$123)</f>
        <v>20606526599</v>
      </c>
      <c r="G97" s="80">
        <v>48</v>
      </c>
      <c r="H97" t="s">
        <v>69</v>
      </c>
      <c r="I97" s="596">
        <v>4.13</v>
      </c>
      <c r="J97" s="596">
        <v>1.1000000000000001</v>
      </c>
      <c r="K97" s="138">
        <f t="shared" si="49"/>
        <v>4.0845700000000003</v>
      </c>
      <c r="L97" s="139">
        <v>0.20100000000000001</v>
      </c>
      <c r="M97" s="139">
        <v>0.187</v>
      </c>
      <c r="N97" s="159">
        <v>0.187</v>
      </c>
      <c r="O97" s="645">
        <f t="shared" si="50"/>
        <v>0.187</v>
      </c>
      <c r="P97" s="727">
        <v>90</v>
      </c>
      <c r="Q97" s="596">
        <v>90.2</v>
      </c>
      <c r="R97" s="706">
        <v>3071.6</v>
      </c>
      <c r="S97" s="765">
        <f t="shared" ref="S97:S99" si="61">IF((80+ROUNDDOWN(O97,1)*100)&lt;95,95,(80+ROUNDDOWN(O97,1)*100))</f>
        <v>95</v>
      </c>
      <c r="U97" s="1066">
        <v>100</v>
      </c>
      <c r="V97" s="715">
        <v>1.1023000000000001</v>
      </c>
      <c r="Y97">
        <v>20</v>
      </c>
      <c r="Z97" s="143">
        <f t="shared" ref="Z97:Z99" si="62">IF(IF(D97="UNTUCA",IF(+((W97-3)*1.5+(X97-3)*3.1)&gt;0,+((W97-3)*1.5+(X97-3)*3.1),0),IF(+((W97-3)*1.5+(X97-3)*3.1)&gt;0,+((W97-3)*1.5+(X97-3)*3.1),0))&lt;30,30,IF(D97="UNTUCA",IF(+((W97-3)*1.5+(X97-3)*3.1)&gt;0,+((W97-3)*1.5+(X97-3)*3.1),0),IF(+((W97-3)*1.5+(X97-3)*3.1)&gt;0,+((W97-3)*1.5+(X97-3)*3.1),0)))</f>
        <v>30</v>
      </c>
      <c r="AA97" s="144">
        <f t="shared" si="52"/>
        <v>50</v>
      </c>
      <c r="AB97" s="145">
        <f t="shared" si="53"/>
        <v>391.44908464399992</v>
      </c>
      <c r="AC97" s="145">
        <f>+(S97-T97)*V97-'data 1'!$F$4</f>
        <v>24.718500000000006</v>
      </c>
      <c r="AD97" s="145">
        <f t="shared" si="54"/>
        <v>1.3167890613600191</v>
      </c>
      <c r="AE97" s="145">
        <f t="shared" si="55"/>
        <v>-14.884999999999998</v>
      </c>
      <c r="AF97" s="145">
        <f t="shared" si="56"/>
        <v>41.364209619040039</v>
      </c>
      <c r="AG97" s="772">
        <f>+IF(D97="RONALD WILLIAN GARIBAY ESCUDERO",AC97+AD97+AE97+AF97+70,AC97+AD97+AE97+AF97)+70-53</f>
        <v>69.514498680400067</v>
      </c>
      <c r="AH97" s="146">
        <f t="shared" si="57"/>
        <v>25.389725613972473</v>
      </c>
      <c r="AI97" s="156">
        <f t="shared" si="58"/>
        <v>5.675717126640019</v>
      </c>
      <c r="AJ97" s="156">
        <f t="shared" si="59"/>
        <v>23.568911654761493</v>
      </c>
      <c r="AK97" s="88"/>
      <c r="AL97" s="716">
        <f t="shared" si="60"/>
        <v>1598.9011876643428</v>
      </c>
    </row>
    <row r="98" spans="1:38" ht="15" customHeight="1">
      <c r="A98" s="857" t="s">
        <v>2034</v>
      </c>
      <c r="B98" s="595">
        <v>45748</v>
      </c>
      <c r="C98" s="595">
        <v>45744</v>
      </c>
      <c r="D98" s="665" t="s">
        <v>1402</v>
      </c>
      <c r="E98">
        <f>_xlfn.XLOOKUP(D98,RUC!$B$3:$B$123,RUC!$D$3:$D$123)</f>
        <v>20606526599</v>
      </c>
      <c r="G98" s="80">
        <v>36</v>
      </c>
      <c r="H98" t="s">
        <v>69</v>
      </c>
      <c r="I98" s="596">
        <v>2.95</v>
      </c>
      <c r="J98" s="596">
        <v>1.2</v>
      </c>
      <c r="K98" s="138">
        <f t="shared" si="49"/>
        <v>2.9146000000000001</v>
      </c>
      <c r="L98" s="139">
        <v>0.72399999999999998</v>
      </c>
      <c r="M98" s="139">
        <v>0.68100000000000005</v>
      </c>
      <c r="N98" s="159">
        <v>0.68100000000000005</v>
      </c>
      <c r="O98" s="645">
        <f t="shared" si="50"/>
        <v>0.68100000000000005</v>
      </c>
      <c r="P98" s="727">
        <v>90</v>
      </c>
      <c r="Q98" s="596">
        <v>90.1</v>
      </c>
      <c r="R98" s="706">
        <v>3071.6</v>
      </c>
      <c r="S98" s="765">
        <f t="shared" si="61"/>
        <v>140</v>
      </c>
      <c r="U98" s="1066">
        <v>100</v>
      </c>
      <c r="V98" s="715">
        <v>1.1023000000000001</v>
      </c>
      <c r="Y98">
        <v>20</v>
      </c>
      <c r="Z98" s="143">
        <f t="shared" si="62"/>
        <v>30</v>
      </c>
      <c r="AA98" s="144">
        <f t="shared" si="52"/>
        <v>50</v>
      </c>
      <c r="AB98" s="145">
        <f t="shared" si="53"/>
        <v>1798.1749793720003</v>
      </c>
      <c r="AC98" s="145">
        <f>+(S98-T98)*V98-'data 1'!$F$4</f>
        <v>74.322000000000003</v>
      </c>
      <c r="AD98" s="145">
        <f t="shared" si="54"/>
        <v>2.371530548319865</v>
      </c>
      <c r="AE98" s="145">
        <f t="shared" si="55"/>
        <v>-14.884999999999998</v>
      </c>
      <c r="AF98" s="145">
        <f t="shared" si="56"/>
        <v>126.90636468723977</v>
      </c>
      <c r="AG98" s="772">
        <f t="shared" ref="AG98:AG99" si="63">+IF(D98="RONALD WILLIAN GARIBAY ESCUDERO",AC98+AD98+AE98+AF98+70,AC98+AD98+AE98+AF98)+70-53</f>
        <v>205.71489523555965</v>
      </c>
      <c r="AH98" s="146">
        <f t="shared" si="57"/>
        <v>65.185557925076964</v>
      </c>
      <c r="AI98" s="156">
        <f t="shared" si="58"/>
        <v>20.421211563680064</v>
      </c>
      <c r="AJ98" s="156">
        <f t="shared" si="59"/>
        <v>61.245988883253851</v>
      </c>
      <c r="AK98" s="88"/>
      <c r="AL98" s="716">
        <f t="shared" si="60"/>
        <v>5240.960794877632</v>
      </c>
    </row>
    <row r="99" spans="1:38" ht="15" customHeight="1">
      <c r="A99" s="857" t="s">
        <v>2035</v>
      </c>
      <c r="B99" s="595">
        <v>45748</v>
      </c>
      <c r="C99" s="595">
        <v>45744</v>
      </c>
      <c r="D99" s="665" t="s">
        <v>1402</v>
      </c>
      <c r="E99">
        <f>_xlfn.XLOOKUP(D99,RUC!$B$3:$B$123,RUC!$D$3:$D$123)</f>
        <v>20606526599</v>
      </c>
      <c r="G99" s="80">
        <v>110</v>
      </c>
      <c r="H99" t="s">
        <v>69</v>
      </c>
      <c r="I99" s="596">
        <v>9.51</v>
      </c>
      <c r="J99" s="596">
        <v>1.3</v>
      </c>
      <c r="K99" s="138">
        <f t="shared" si="49"/>
        <v>9.3863699999999994</v>
      </c>
      <c r="L99" s="139">
        <v>0.125</v>
      </c>
      <c r="M99" s="139">
        <v>0.11</v>
      </c>
      <c r="N99" s="159">
        <v>0.11</v>
      </c>
      <c r="O99" s="645">
        <f t="shared" si="50"/>
        <v>0.11</v>
      </c>
      <c r="P99" s="727">
        <v>80</v>
      </c>
      <c r="Q99" s="596">
        <v>90.2</v>
      </c>
      <c r="R99" s="706">
        <v>3071.6</v>
      </c>
      <c r="S99" s="765">
        <f t="shared" si="61"/>
        <v>95</v>
      </c>
      <c r="U99" s="1066">
        <v>100</v>
      </c>
      <c r="V99" s="715">
        <v>1.1023000000000001</v>
      </c>
      <c r="Y99">
        <v>20</v>
      </c>
      <c r="Z99" s="143">
        <f t="shared" si="62"/>
        <v>30</v>
      </c>
      <c r="AA99" s="144">
        <f t="shared" si="52"/>
        <v>50</v>
      </c>
      <c r="AB99" s="145">
        <f t="shared" si="53"/>
        <v>128.41883184000002</v>
      </c>
      <c r="AC99" s="145">
        <f>+(S99-T99)*V99-'data 1'!$F$4</f>
        <v>24.718500000000006</v>
      </c>
      <c r="AD99" s="145">
        <f t="shared" si="54"/>
        <v>41.763832170000015</v>
      </c>
      <c r="AE99" s="145">
        <f t="shared" si="55"/>
        <v>-14.884999999999998</v>
      </c>
      <c r="AF99" s="145">
        <f t="shared" si="56"/>
        <v>44.318796020400008</v>
      </c>
      <c r="AG99" s="772">
        <f t="shared" si="63"/>
        <v>112.91612819040003</v>
      </c>
      <c r="AH99" s="146">
        <f t="shared" si="57"/>
        <v>36.284679340431552</v>
      </c>
      <c r="AI99" s="156">
        <f t="shared" si="58"/>
        <v>3.5296748300000123</v>
      </c>
      <c r="AJ99" s="156">
        <f t="shared" si="59"/>
        <v>28.319749729117305</v>
      </c>
      <c r="AK99" s="88"/>
      <c r="AL99" s="716">
        <f t="shared" si="60"/>
        <v>1205.3866706180208</v>
      </c>
    </row>
    <row r="100" spans="1:38" ht="15" customHeight="1">
      <c r="A100" s="857" t="s">
        <v>2055</v>
      </c>
      <c r="B100" s="595"/>
      <c r="C100" s="595">
        <v>45747</v>
      </c>
      <c r="D100" t="s">
        <v>1966</v>
      </c>
      <c r="E100">
        <f>_xlfn.XLOOKUP(D100,RUC!$B$3:$B$123,RUC!$D$3:$D$123)</f>
        <v>20612791148</v>
      </c>
      <c r="G100" s="80">
        <v>22</v>
      </c>
      <c r="H100" t="s">
        <v>69</v>
      </c>
      <c r="I100" s="596"/>
      <c r="J100" s="596"/>
      <c r="K100" s="138"/>
      <c r="L100" s="139"/>
      <c r="M100" s="139"/>
      <c r="N100" s="159"/>
      <c r="O100" s="645"/>
      <c r="P100" s="727"/>
      <c r="Q100" s="596"/>
      <c r="R100" s="706"/>
      <c r="S100" s="765"/>
      <c r="U100" s="1066"/>
      <c r="V100" s="715"/>
      <c r="Z100" s="143"/>
      <c r="AA100" s="144"/>
      <c r="AB100" s="145"/>
      <c r="AC100" s="145"/>
      <c r="AD100" s="145"/>
      <c r="AE100" s="145"/>
      <c r="AF100" s="145"/>
      <c r="AG100" s="772"/>
      <c r="AH100" s="146"/>
      <c r="AI100" s="156"/>
      <c r="AJ100" s="156"/>
      <c r="AK100" s="88"/>
      <c r="AL100" s="716"/>
    </row>
    <row r="101" spans="1:38" ht="15" customHeight="1">
      <c r="A101" s="857" t="s">
        <v>2056</v>
      </c>
      <c r="B101" s="595"/>
      <c r="C101" s="595">
        <v>45747</v>
      </c>
      <c r="D101" t="s">
        <v>1966</v>
      </c>
      <c r="E101">
        <f>_xlfn.XLOOKUP(D101,RUC!$B$3:$B$123,RUC!$D$3:$D$123)</f>
        <v>20612791148</v>
      </c>
      <c r="G101" s="80">
        <v>20</v>
      </c>
      <c r="H101" t="s">
        <v>69</v>
      </c>
      <c r="I101" s="596"/>
      <c r="J101" s="596"/>
      <c r="K101" s="138"/>
      <c r="L101" s="139"/>
      <c r="M101" s="139"/>
      <c r="N101" s="159"/>
      <c r="O101" s="645"/>
      <c r="P101" s="727"/>
      <c r="Q101" s="596"/>
      <c r="R101" s="706"/>
      <c r="S101" s="765"/>
      <c r="U101" s="1066"/>
      <c r="V101" s="715"/>
      <c r="Z101" s="143"/>
      <c r="AA101" s="144"/>
      <c r="AB101" s="145"/>
      <c r="AC101" s="145"/>
      <c r="AD101" s="145"/>
      <c r="AE101" s="145"/>
      <c r="AF101" s="145"/>
      <c r="AG101" s="772"/>
      <c r="AH101" s="146"/>
      <c r="AI101" s="156"/>
      <c r="AJ101" s="156"/>
      <c r="AK101" s="88"/>
      <c r="AL101" s="716"/>
    </row>
    <row r="102" spans="1:38" ht="15" customHeight="1">
      <c r="A102" s="857" t="s">
        <v>2057</v>
      </c>
      <c r="B102" s="595"/>
      <c r="C102" s="595">
        <v>45747</v>
      </c>
      <c r="D102" t="s">
        <v>1966</v>
      </c>
      <c r="E102">
        <f>_xlfn.XLOOKUP(D102,RUC!$B$3:$B$123,RUC!$D$3:$D$123)</f>
        <v>20612791148</v>
      </c>
      <c r="G102" s="80">
        <v>20</v>
      </c>
      <c r="H102" t="s">
        <v>69</v>
      </c>
      <c r="I102" s="596"/>
      <c r="J102" s="596"/>
      <c r="K102" s="138"/>
      <c r="L102" s="139"/>
      <c r="M102" s="139"/>
      <c r="N102" s="159"/>
      <c r="O102" s="645"/>
      <c r="P102" s="727"/>
      <c r="Q102" s="596"/>
      <c r="R102" s="706"/>
      <c r="S102" s="765"/>
      <c r="U102" s="1066"/>
      <c r="V102" s="715"/>
      <c r="Z102" s="143"/>
      <c r="AA102" s="144"/>
      <c r="AB102" s="145"/>
      <c r="AC102" s="145"/>
      <c r="AD102" s="145"/>
      <c r="AE102" s="145"/>
      <c r="AF102" s="145"/>
      <c r="AG102" s="772"/>
      <c r="AH102" s="146"/>
      <c r="AI102" s="156"/>
      <c r="AJ102" s="156"/>
      <c r="AK102" s="88"/>
      <c r="AL102" s="716"/>
    </row>
    <row r="103" spans="1:38" ht="15" customHeight="1">
      <c r="A103" s="857" t="s">
        <v>2058</v>
      </c>
      <c r="B103" s="595"/>
      <c r="C103" s="595">
        <v>45747</v>
      </c>
      <c r="D103" t="s">
        <v>1966</v>
      </c>
      <c r="E103">
        <f>_xlfn.XLOOKUP(D103,RUC!$B$3:$B$123,RUC!$D$3:$D$123)</f>
        <v>20612791148</v>
      </c>
      <c r="G103" s="80">
        <v>50</v>
      </c>
      <c r="H103" t="s">
        <v>69</v>
      </c>
      <c r="I103" s="596"/>
      <c r="J103" s="596"/>
      <c r="K103" s="138"/>
      <c r="L103" s="139"/>
      <c r="M103" s="139"/>
      <c r="N103" s="159"/>
      <c r="O103" s="645"/>
      <c r="P103" s="727"/>
      <c r="Q103" s="596"/>
      <c r="R103" s="706"/>
      <c r="S103" s="765"/>
      <c r="U103" s="1066"/>
      <c r="V103" s="715"/>
      <c r="Z103" s="143"/>
      <c r="AA103" s="144"/>
      <c r="AB103" s="145"/>
      <c r="AC103" s="145"/>
      <c r="AD103" s="145"/>
      <c r="AE103" s="145"/>
      <c r="AF103" s="145"/>
      <c r="AG103" s="772"/>
      <c r="AH103" s="146"/>
      <c r="AI103" s="156"/>
      <c r="AJ103" s="156"/>
      <c r="AK103" s="88"/>
      <c r="AL103" s="716"/>
    </row>
    <row r="104" spans="1:38" ht="15" customHeight="1">
      <c r="A104" s="857" t="s">
        <v>2059</v>
      </c>
      <c r="B104" s="595"/>
      <c r="C104" s="595">
        <v>45751</v>
      </c>
      <c r="D104" t="s">
        <v>1993</v>
      </c>
      <c r="E104">
        <f>_xlfn.XLOOKUP(D104,RUC!$B$3:$B$123,RUC!$D$3:$D$123)</f>
        <v>20612937096</v>
      </c>
      <c r="G104" s="80">
        <v>57</v>
      </c>
      <c r="H104" t="s">
        <v>69</v>
      </c>
      <c r="I104" s="596"/>
      <c r="J104" s="596"/>
      <c r="K104" s="138"/>
      <c r="L104" s="139"/>
      <c r="M104" s="139"/>
      <c r="N104" s="159"/>
      <c r="O104" s="645"/>
      <c r="P104" s="727"/>
      <c r="R104" s="706"/>
      <c r="S104" s="765"/>
      <c r="U104" s="1066"/>
      <c r="V104" s="715"/>
      <c r="Z104" s="143"/>
      <c r="AA104" s="144"/>
      <c r="AB104" s="145"/>
      <c r="AC104" s="145"/>
      <c r="AD104" s="145"/>
      <c r="AE104" s="145"/>
      <c r="AF104" s="145"/>
      <c r="AG104" s="772"/>
      <c r="AH104" s="146"/>
      <c r="AI104" s="156"/>
      <c r="AJ104" s="156"/>
      <c r="AK104" s="88"/>
      <c r="AL104" s="716"/>
    </row>
    <row r="105" spans="1:38" ht="15" customHeight="1">
      <c r="A105" s="857" t="s">
        <v>2060</v>
      </c>
      <c r="B105" s="595"/>
      <c r="C105" s="595">
        <v>45751</v>
      </c>
      <c r="D105" t="s">
        <v>1993</v>
      </c>
      <c r="E105">
        <f>_xlfn.XLOOKUP(D105,RUC!$B$3:$B$123,RUC!$D$3:$D$123)</f>
        <v>20612937096</v>
      </c>
      <c r="G105" s="80">
        <v>100</v>
      </c>
      <c r="H105" t="s">
        <v>69</v>
      </c>
      <c r="I105" s="596"/>
      <c r="J105" s="596"/>
      <c r="K105" s="138"/>
      <c r="L105" s="139"/>
      <c r="M105" s="139"/>
      <c r="N105" s="159"/>
      <c r="O105" s="645"/>
      <c r="P105" s="727"/>
      <c r="R105" s="706"/>
      <c r="S105" s="765"/>
      <c r="U105" s="1066"/>
      <c r="V105" s="715"/>
      <c r="Z105" s="143"/>
      <c r="AA105" s="144"/>
      <c r="AB105" s="145"/>
      <c r="AC105" s="145"/>
      <c r="AD105" s="145"/>
      <c r="AE105" s="145"/>
      <c r="AF105" s="145"/>
      <c r="AG105" s="772"/>
      <c r="AH105" s="146"/>
      <c r="AI105" s="156"/>
      <c r="AJ105" s="156"/>
      <c r="AK105" s="88"/>
      <c r="AL105" s="716"/>
    </row>
    <row r="106" spans="1:38" ht="15" customHeight="1">
      <c r="B106" s="595"/>
      <c r="C106" s="595"/>
      <c r="G106" s="80"/>
      <c r="L106" s="139"/>
      <c r="M106" s="139"/>
      <c r="N106" s="159"/>
      <c r="R106" s="706"/>
    </row>
    <row r="107" spans="1:38" ht="15" customHeight="1">
      <c r="B107" s="595"/>
      <c r="C107" s="595"/>
      <c r="G107" s="80"/>
      <c r="L107" s="139"/>
      <c r="M107" s="139"/>
      <c r="N107" s="159"/>
      <c r="R107" s="706"/>
    </row>
    <row r="108" spans="1:38" ht="15" customHeight="1">
      <c r="B108" s="595"/>
      <c r="C108" s="595"/>
      <c r="G108" s="80"/>
      <c r="L108" s="139"/>
      <c r="M108" s="139"/>
      <c r="N108" s="159"/>
      <c r="R108" s="706"/>
    </row>
    <row r="109" spans="1:38" ht="15" customHeight="1">
      <c r="B109" s="595"/>
      <c r="C109" s="595"/>
      <c r="G109" s="80"/>
      <c r="L109" s="139"/>
      <c r="M109" s="139"/>
      <c r="N109" s="159"/>
      <c r="R109" s="706"/>
    </row>
    <row r="110" spans="1:38" ht="15" customHeight="1">
      <c r="B110" s="595"/>
      <c r="C110" s="595"/>
      <c r="G110" s="80"/>
      <c r="L110" s="139"/>
      <c r="M110" s="139"/>
      <c r="N110" s="159"/>
      <c r="R110" s="706"/>
    </row>
    <row r="111" spans="1:38" ht="15" customHeight="1">
      <c r="B111" s="595"/>
      <c r="C111" s="595"/>
      <c r="G111" s="80"/>
      <c r="L111" s="139"/>
      <c r="M111" s="139"/>
      <c r="N111" s="159"/>
      <c r="R111" s="706"/>
    </row>
    <row r="112" spans="1:38" ht="15" customHeight="1">
      <c r="B112" s="595"/>
      <c r="C112" s="595"/>
      <c r="G112" s="80"/>
      <c r="L112" s="139"/>
      <c r="M112" s="139"/>
      <c r="N112" s="159"/>
      <c r="R112" s="706"/>
    </row>
    <row r="113" spans="2:18" ht="15" customHeight="1">
      <c r="B113" s="595"/>
      <c r="C113" s="595"/>
      <c r="G113" s="80"/>
      <c r="L113" s="139"/>
      <c r="M113" s="139"/>
      <c r="N113" s="159"/>
      <c r="R113" s="706"/>
    </row>
    <row r="114" spans="2:18" ht="15" customHeight="1">
      <c r="B114" s="595"/>
      <c r="C114" s="595"/>
      <c r="G114" s="80"/>
      <c r="L114" s="139"/>
      <c r="M114" s="139"/>
      <c r="N114" s="159"/>
      <c r="R114" s="706"/>
    </row>
    <row r="115" spans="2:18" ht="15" customHeight="1">
      <c r="B115" s="595"/>
      <c r="C115" s="595"/>
      <c r="G115" s="80"/>
      <c r="L115" s="139"/>
      <c r="M115" s="139"/>
      <c r="N115" s="159"/>
      <c r="R115" s="706"/>
    </row>
    <row r="116" spans="2:18" ht="15" customHeight="1">
      <c r="B116" s="595"/>
      <c r="C116" s="595"/>
      <c r="G116" s="80"/>
      <c r="L116" s="139"/>
      <c r="M116" s="139"/>
      <c r="N116" s="159"/>
      <c r="R116" s="706"/>
    </row>
    <row r="117" spans="2:18" ht="15" customHeight="1">
      <c r="B117" s="595"/>
      <c r="C117" s="595"/>
      <c r="G117" s="80"/>
      <c r="L117" s="139"/>
      <c r="M117" s="139"/>
      <c r="N117" s="159"/>
      <c r="R117" s="706"/>
    </row>
    <row r="118" spans="2:18" ht="15" customHeight="1">
      <c r="B118" s="595"/>
      <c r="C118" s="595"/>
      <c r="G118" s="80"/>
      <c r="L118" s="139"/>
      <c r="M118" s="139"/>
      <c r="N118" s="159"/>
      <c r="R118" s="706"/>
    </row>
    <row r="119" spans="2:18" ht="15" customHeight="1">
      <c r="B119" s="595"/>
      <c r="C119" s="595"/>
      <c r="G119" s="80"/>
      <c r="L119" s="139"/>
      <c r="M119" s="139"/>
      <c r="N119" s="159"/>
      <c r="R119" s="706"/>
    </row>
    <row r="120" spans="2:18" ht="15" customHeight="1">
      <c r="B120" s="595"/>
      <c r="C120" s="595"/>
      <c r="G120" s="80"/>
      <c r="L120" s="139"/>
      <c r="M120" s="139"/>
      <c r="N120" s="159"/>
      <c r="R120" s="706"/>
    </row>
    <row r="121" spans="2:18" ht="15" customHeight="1">
      <c r="B121" s="595"/>
      <c r="C121" s="595"/>
      <c r="G121" s="80"/>
      <c r="L121" s="139"/>
      <c r="M121" s="139"/>
      <c r="N121" s="159"/>
      <c r="R121" s="706"/>
    </row>
    <row r="122" spans="2:18" ht="15" customHeight="1">
      <c r="B122" s="595"/>
      <c r="C122" s="595"/>
      <c r="G122" s="80"/>
      <c r="L122" s="139"/>
      <c r="M122" s="139"/>
      <c r="N122" s="159"/>
      <c r="R122" s="706"/>
    </row>
    <row r="123" spans="2:18" ht="15" customHeight="1">
      <c r="B123" s="595"/>
      <c r="C123" s="595"/>
      <c r="G123" s="80"/>
      <c r="L123" s="139"/>
      <c r="M123" s="139"/>
      <c r="N123" s="159"/>
      <c r="R123" s="706"/>
    </row>
    <row r="124" spans="2:18" ht="15" customHeight="1">
      <c r="B124" s="595"/>
      <c r="C124" s="595"/>
      <c r="G124" s="80"/>
      <c r="L124" s="139"/>
      <c r="M124" s="139"/>
      <c r="N124" s="159"/>
      <c r="R124" s="706"/>
    </row>
    <row r="125" spans="2:18" ht="15" customHeight="1">
      <c r="B125" s="595"/>
      <c r="C125" s="595"/>
      <c r="G125" s="80"/>
      <c r="L125" s="139"/>
      <c r="M125" s="139"/>
      <c r="N125" s="159"/>
      <c r="R125" s="706"/>
    </row>
    <row r="126" spans="2:18" ht="15" customHeight="1">
      <c r="B126" s="595"/>
      <c r="C126" s="595"/>
      <c r="G126" s="80"/>
      <c r="L126" s="139"/>
      <c r="M126" s="139"/>
      <c r="N126" s="159"/>
      <c r="R126" s="706"/>
    </row>
    <row r="127" spans="2:18" ht="15" customHeight="1">
      <c r="B127" s="595"/>
      <c r="C127" s="595"/>
      <c r="G127" s="80"/>
      <c r="L127" s="139"/>
      <c r="M127" s="139"/>
      <c r="N127" s="159"/>
      <c r="R127" s="706"/>
    </row>
    <row r="128" spans="2:18" ht="15" customHeight="1">
      <c r="B128" s="595"/>
      <c r="C128" s="595"/>
      <c r="G128" s="80"/>
      <c r="L128" s="139"/>
      <c r="M128" s="139"/>
      <c r="N128" s="159"/>
      <c r="R128" s="706"/>
    </row>
    <row r="129" spans="2:18" ht="15" customHeight="1">
      <c r="B129" s="595"/>
      <c r="C129" s="595"/>
      <c r="G129" s="80"/>
      <c r="L129" s="139"/>
      <c r="M129" s="139"/>
      <c r="N129" s="159"/>
      <c r="R129" s="706"/>
    </row>
    <row r="130" spans="2:18" ht="15" customHeight="1">
      <c r="B130" s="595"/>
      <c r="C130" s="595"/>
      <c r="G130" s="80"/>
      <c r="L130" s="139"/>
      <c r="M130" s="139"/>
      <c r="N130" s="159"/>
      <c r="R130" s="706"/>
    </row>
    <row r="131" spans="2:18" ht="15" customHeight="1">
      <c r="B131" s="595"/>
      <c r="C131" s="595"/>
      <c r="G131" s="80"/>
      <c r="L131" s="139"/>
      <c r="M131" s="139"/>
      <c r="N131" s="159"/>
      <c r="R131" s="706"/>
    </row>
    <row r="132" spans="2:18" ht="15" customHeight="1">
      <c r="B132" s="595"/>
      <c r="C132" s="595"/>
      <c r="G132" s="80"/>
      <c r="L132" s="139"/>
      <c r="M132" s="139"/>
      <c r="N132" s="159"/>
      <c r="R132" s="706"/>
    </row>
    <row r="133" spans="2:18" ht="15" customHeight="1">
      <c r="B133" s="595"/>
      <c r="C133" s="595"/>
      <c r="G133" s="80"/>
      <c r="L133" s="139"/>
      <c r="M133" s="139"/>
      <c r="N133" s="159"/>
      <c r="R133" s="706"/>
    </row>
    <row r="134" spans="2:18" ht="15" customHeight="1">
      <c r="B134" s="595"/>
      <c r="C134" s="595"/>
      <c r="G134" s="80"/>
      <c r="L134" s="139"/>
      <c r="M134" s="139"/>
      <c r="N134" s="159"/>
      <c r="R134" s="706"/>
    </row>
    <row r="135" spans="2:18" ht="15" customHeight="1">
      <c r="B135" s="595"/>
      <c r="C135" s="595"/>
      <c r="G135" s="80"/>
      <c r="L135" s="139"/>
      <c r="M135" s="139"/>
      <c r="N135" s="159"/>
      <c r="R135" s="706"/>
    </row>
    <row r="136" spans="2:18" ht="15" customHeight="1">
      <c r="B136" s="595"/>
      <c r="C136" s="595"/>
      <c r="G136" s="80"/>
      <c r="L136" s="139"/>
      <c r="M136" s="139"/>
      <c r="N136" s="159"/>
      <c r="R136" s="706"/>
    </row>
    <row r="137" spans="2:18" ht="15" customHeight="1">
      <c r="B137" s="595"/>
      <c r="C137" s="595"/>
      <c r="G137" s="80"/>
      <c r="L137" s="139"/>
      <c r="M137" s="139"/>
      <c r="N137" s="159"/>
      <c r="R137" s="706"/>
    </row>
    <row r="138" spans="2:18" ht="15" customHeight="1">
      <c r="B138" s="595"/>
      <c r="C138" s="595"/>
      <c r="G138" s="80"/>
      <c r="L138" s="139"/>
      <c r="M138" s="139"/>
      <c r="N138" s="159"/>
      <c r="R138" s="706"/>
    </row>
    <row r="139" spans="2:18" ht="15" customHeight="1">
      <c r="B139" s="595"/>
      <c r="C139" s="595"/>
      <c r="G139" s="80"/>
      <c r="L139" s="139"/>
      <c r="M139" s="139"/>
      <c r="N139" s="159"/>
      <c r="R139" s="706"/>
    </row>
    <row r="140" spans="2:18" ht="15" customHeight="1">
      <c r="B140" s="595"/>
      <c r="C140" s="595"/>
      <c r="G140" s="80"/>
      <c r="L140" s="139"/>
      <c r="M140" s="139"/>
      <c r="N140" s="159"/>
      <c r="R140" s="706"/>
    </row>
    <row r="141" spans="2:18" ht="15" customHeight="1">
      <c r="B141" s="595"/>
      <c r="C141" s="595"/>
      <c r="G141" s="80"/>
      <c r="L141" s="139"/>
      <c r="M141" s="139"/>
      <c r="N141" s="159"/>
      <c r="R141" s="706"/>
    </row>
    <row r="142" spans="2:18" ht="15" customHeight="1">
      <c r="B142" s="595"/>
      <c r="C142" s="595"/>
      <c r="G142" s="80"/>
      <c r="L142" s="139"/>
      <c r="M142" s="139"/>
      <c r="N142" s="159"/>
      <c r="R142" s="706"/>
    </row>
    <row r="143" spans="2:18" ht="15" customHeight="1">
      <c r="B143" s="595"/>
      <c r="C143" s="595"/>
      <c r="G143" s="80"/>
      <c r="L143" s="139"/>
      <c r="M143" s="139"/>
      <c r="N143" s="159"/>
      <c r="R143" s="706"/>
    </row>
    <row r="144" spans="2:18" ht="15" customHeight="1">
      <c r="B144" s="595"/>
      <c r="C144" s="595"/>
      <c r="G144" s="80"/>
      <c r="L144" s="139"/>
      <c r="M144" s="139"/>
      <c r="N144" s="159"/>
      <c r="R144" s="706"/>
    </row>
    <row r="145" spans="2:18" ht="15" customHeight="1">
      <c r="B145" s="595"/>
      <c r="C145" s="595"/>
      <c r="G145" s="80"/>
      <c r="L145" s="139"/>
      <c r="M145" s="139"/>
      <c r="N145" s="159"/>
      <c r="R145" s="706"/>
    </row>
    <row r="146" spans="2:18" ht="15" customHeight="1">
      <c r="B146" s="595"/>
      <c r="C146" s="595"/>
      <c r="G146" s="80"/>
      <c r="L146" s="139"/>
      <c r="M146" s="139"/>
      <c r="N146" s="159"/>
      <c r="R146" s="706"/>
    </row>
    <row r="147" spans="2:18" ht="15" customHeight="1">
      <c r="B147" s="595"/>
      <c r="C147" s="595"/>
      <c r="G147" s="80"/>
      <c r="L147" s="139"/>
      <c r="M147" s="139"/>
      <c r="N147" s="159"/>
      <c r="R147" s="706"/>
    </row>
    <row r="148" spans="2:18" ht="15" customHeight="1">
      <c r="B148" s="595"/>
      <c r="C148" s="595"/>
      <c r="G148" s="80"/>
      <c r="L148" s="139"/>
      <c r="M148" s="139"/>
      <c r="N148" s="159"/>
      <c r="R148" s="706"/>
    </row>
    <row r="149" spans="2:18" ht="15" customHeight="1">
      <c r="B149" s="595"/>
      <c r="C149" s="595"/>
      <c r="G149" s="80"/>
      <c r="L149" s="139"/>
      <c r="M149" s="139"/>
      <c r="N149" s="159"/>
      <c r="R149" s="706"/>
    </row>
    <row r="150" spans="2:18" ht="15" customHeight="1">
      <c r="B150" s="595"/>
      <c r="C150" s="595"/>
      <c r="G150" s="80"/>
      <c r="L150" s="139"/>
      <c r="M150" s="139"/>
      <c r="N150" s="159"/>
      <c r="R150" s="706"/>
    </row>
    <row r="151" spans="2:18" ht="15" customHeight="1">
      <c r="B151" s="595"/>
      <c r="C151" s="595"/>
      <c r="G151" s="80"/>
      <c r="L151" s="139"/>
      <c r="M151" s="139"/>
      <c r="N151" s="159"/>
      <c r="R151" s="706"/>
    </row>
    <row r="152" spans="2:18" ht="15" customHeight="1">
      <c r="B152" s="595"/>
      <c r="C152" s="595"/>
      <c r="G152" s="80"/>
      <c r="L152" s="139"/>
      <c r="M152" s="139"/>
      <c r="N152" s="159"/>
      <c r="R152" s="706"/>
    </row>
    <row r="153" spans="2:18" ht="15" customHeight="1">
      <c r="B153" s="595"/>
      <c r="C153" s="595"/>
      <c r="G153" s="80"/>
      <c r="L153" s="139"/>
      <c r="M153" s="139"/>
      <c r="N153" s="159"/>
      <c r="R153" s="706"/>
    </row>
    <row r="154" spans="2:18" ht="15" customHeight="1">
      <c r="B154" s="595"/>
      <c r="C154" s="595"/>
      <c r="G154" s="80"/>
      <c r="L154" s="139"/>
      <c r="M154" s="139"/>
      <c r="N154" s="159"/>
      <c r="R154" s="706"/>
    </row>
    <row r="155" spans="2:18" ht="15" customHeight="1">
      <c r="B155" s="595"/>
      <c r="C155" s="595"/>
      <c r="G155" s="80"/>
      <c r="L155" s="139"/>
      <c r="M155" s="139"/>
      <c r="N155" s="159"/>
      <c r="R155" s="706"/>
    </row>
    <row r="156" spans="2:18" ht="15" customHeight="1">
      <c r="B156" s="595"/>
      <c r="C156" s="595"/>
      <c r="G156" s="80"/>
      <c r="L156" s="139"/>
      <c r="M156" s="139"/>
      <c r="N156" s="159"/>
      <c r="R156" s="706"/>
    </row>
    <row r="157" spans="2:18" ht="15" customHeight="1">
      <c r="B157" s="595"/>
      <c r="C157" s="595"/>
      <c r="G157" s="80"/>
      <c r="L157" s="139"/>
      <c r="M157" s="139"/>
      <c r="N157" s="159"/>
      <c r="R157" s="706"/>
    </row>
    <row r="158" spans="2:18" ht="15" customHeight="1">
      <c r="B158" s="595"/>
      <c r="C158" s="595"/>
      <c r="G158" s="80"/>
      <c r="L158" s="139"/>
      <c r="M158" s="139"/>
      <c r="N158" s="159"/>
      <c r="R158" s="706"/>
    </row>
    <row r="159" spans="2:18" ht="15" customHeight="1">
      <c r="B159" s="595"/>
      <c r="C159" s="595"/>
      <c r="G159" s="80"/>
      <c r="L159" s="139"/>
      <c r="M159" s="139"/>
      <c r="N159" s="159"/>
      <c r="R159" s="706"/>
    </row>
    <row r="160" spans="2:18" ht="15" customHeight="1">
      <c r="B160" s="595"/>
      <c r="C160" s="595"/>
      <c r="G160" s="80"/>
      <c r="L160" s="139"/>
      <c r="M160" s="139"/>
      <c r="N160" s="159"/>
      <c r="R160" s="706"/>
    </row>
    <row r="161" spans="2:18" ht="15" customHeight="1">
      <c r="B161" s="595"/>
      <c r="C161" s="595"/>
      <c r="G161" s="80"/>
      <c r="L161" s="139"/>
      <c r="M161" s="139"/>
      <c r="N161" s="159"/>
      <c r="R161" s="706"/>
    </row>
    <row r="162" spans="2:18" ht="15" customHeight="1">
      <c r="B162" s="595"/>
      <c r="C162" s="595"/>
      <c r="G162" s="80"/>
      <c r="L162" s="139"/>
      <c r="M162" s="139"/>
      <c r="N162" s="159"/>
      <c r="R162" s="706"/>
    </row>
    <row r="163" spans="2:18" ht="15" customHeight="1">
      <c r="B163" s="595"/>
      <c r="C163" s="595"/>
      <c r="G163" s="80"/>
      <c r="L163" s="139"/>
      <c r="M163" s="139"/>
      <c r="N163" s="159"/>
      <c r="R163" s="706"/>
    </row>
    <row r="164" spans="2:18" ht="15" customHeight="1">
      <c r="B164" s="595"/>
      <c r="C164" s="595"/>
      <c r="G164" s="80"/>
      <c r="L164" s="139"/>
      <c r="M164" s="139"/>
      <c r="N164" s="159"/>
      <c r="R164" s="706"/>
    </row>
    <row r="165" spans="2:18" ht="15" customHeight="1">
      <c r="B165" s="595"/>
      <c r="C165" s="595"/>
      <c r="G165" s="80"/>
      <c r="L165" s="139"/>
      <c r="M165" s="139"/>
      <c r="N165" s="159"/>
      <c r="R165" s="706"/>
    </row>
    <row r="166" spans="2:18" ht="15" customHeight="1">
      <c r="B166" s="595"/>
      <c r="C166" s="595"/>
      <c r="G166" s="80"/>
      <c r="L166" s="139"/>
      <c r="M166" s="139"/>
      <c r="N166" s="159"/>
      <c r="R166" s="706"/>
    </row>
    <row r="167" spans="2:18" ht="15" customHeight="1">
      <c r="B167" s="595"/>
      <c r="C167" s="595"/>
      <c r="G167" s="80"/>
      <c r="L167" s="139"/>
      <c r="M167" s="139"/>
      <c r="N167" s="159"/>
      <c r="R167" s="706"/>
    </row>
    <row r="168" spans="2:18" ht="15" customHeight="1">
      <c r="B168" s="595"/>
      <c r="C168" s="595"/>
      <c r="G168" s="80"/>
      <c r="L168" s="139"/>
      <c r="M168" s="139"/>
      <c r="N168" s="159"/>
      <c r="R168" s="706"/>
    </row>
    <row r="169" spans="2:18" ht="15" customHeight="1">
      <c r="B169" s="595"/>
      <c r="C169" s="595"/>
      <c r="G169" s="80"/>
      <c r="L169" s="139"/>
      <c r="M169" s="139"/>
      <c r="N169" s="159"/>
      <c r="R169" s="706"/>
    </row>
    <row r="170" spans="2:18" ht="15" customHeight="1">
      <c r="B170" s="595"/>
      <c r="C170" s="595"/>
      <c r="G170" s="80"/>
      <c r="L170" s="139"/>
      <c r="M170" s="139"/>
      <c r="N170" s="159"/>
      <c r="R170" s="706"/>
    </row>
    <row r="171" spans="2:18" ht="15" customHeight="1">
      <c r="B171" s="595"/>
      <c r="C171" s="595"/>
      <c r="G171" s="80"/>
      <c r="L171" s="139"/>
      <c r="M171" s="139"/>
      <c r="N171" s="159"/>
      <c r="R171" s="706"/>
    </row>
    <row r="172" spans="2:18" ht="15" customHeight="1">
      <c r="B172" s="595"/>
      <c r="C172" s="595"/>
      <c r="G172" s="80"/>
      <c r="L172" s="139"/>
      <c r="M172" s="139"/>
      <c r="N172" s="159"/>
      <c r="R172" s="706"/>
    </row>
    <row r="173" spans="2:18" ht="15" customHeight="1">
      <c r="B173" s="595"/>
      <c r="C173" s="595"/>
      <c r="G173" s="80"/>
      <c r="L173" s="139"/>
      <c r="M173" s="139"/>
      <c r="N173" s="159"/>
      <c r="R173" s="706"/>
    </row>
    <row r="174" spans="2:18" ht="15" customHeight="1">
      <c r="B174" s="595"/>
      <c r="C174" s="595"/>
      <c r="G174" s="80"/>
      <c r="L174" s="139"/>
      <c r="M174" s="139"/>
      <c r="N174" s="159"/>
      <c r="R174" s="706"/>
    </row>
    <row r="175" spans="2:18" ht="15" customHeight="1">
      <c r="B175" s="595"/>
      <c r="C175" s="595"/>
      <c r="G175" s="80"/>
      <c r="L175" s="139"/>
      <c r="M175" s="139"/>
      <c r="N175" s="159"/>
      <c r="R175" s="706"/>
    </row>
    <row r="176" spans="2:18" ht="15" customHeight="1">
      <c r="B176" s="595"/>
      <c r="C176" s="595"/>
      <c r="G176" s="80"/>
      <c r="L176" s="139"/>
      <c r="M176" s="139"/>
      <c r="N176" s="159"/>
      <c r="R176" s="706"/>
    </row>
    <row r="177" spans="2:18" ht="15" customHeight="1">
      <c r="B177" s="595"/>
      <c r="C177" s="595"/>
      <c r="G177" s="80"/>
      <c r="L177" s="139"/>
      <c r="M177" s="139"/>
      <c r="N177" s="159"/>
      <c r="R177" s="706"/>
    </row>
    <row r="178" spans="2:18" ht="15" customHeight="1">
      <c r="B178" s="595"/>
      <c r="C178" s="595"/>
      <c r="G178" s="80"/>
      <c r="L178" s="139"/>
      <c r="M178" s="139"/>
      <c r="N178" s="159"/>
      <c r="R178" s="706"/>
    </row>
    <row r="179" spans="2:18" ht="15" customHeight="1">
      <c r="B179" s="595"/>
      <c r="C179" s="595"/>
      <c r="G179" s="80"/>
      <c r="L179" s="139"/>
      <c r="M179" s="139"/>
      <c r="N179" s="159"/>
      <c r="R179" s="706"/>
    </row>
    <row r="180" spans="2:18" ht="15" customHeight="1">
      <c r="B180" s="595"/>
      <c r="C180" s="595"/>
      <c r="G180" s="80"/>
      <c r="L180" s="139"/>
      <c r="M180" s="139"/>
      <c r="N180" s="159"/>
      <c r="R180" s="706"/>
    </row>
    <row r="181" spans="2:18" ht="15" customHeight="1">
      <c r="B181" s="595"/>
      <c r="C181" s="595"/>
      <c r="G181" s="80"/>
      <c r="L181" s="139"/>
      <c r="M181" s="139"/>
      <c r="N181" s="159"/>
      <c r="R181" s="706"/>
    </row>
    <row r="182" spans="2:18" ht="15" customHeight="1">
      <c r="B182" s="595"/>
      <c r="C182" s="595"/>
      <c r="G182" s="80"/>
      <c r="L182" s="139"/>
      <c r="M182" s="139"/>
      <c r="N182" s="159"/>
      <c r="R182" s="706"/>
    </row>
    <row r="183" spans="2:18" ht="15" customHeight="1">
      <c r="B183" s="595"/>
      <c r="C183" s="595"/>
      <c r="G183" s="80"/>
      <c r="L183" s="139"/>
      <c r="M183" s="139"/>
      <c r="N183" s="159"/>
      <c r="R183" s="706"/>
    </row>
    <row r="184" spans="2:18" ht="15" customHeight="1">
      <c r="B184" s="595"/>
      <c r="C184" s="595"/>
      <c r="G184" s="80"/>
      <c r="L184" s="139"/>
      <c r="M184" s="139"/>
      <c r="N184" s="159"/>
      <c r="R184" s="706"/>
    </row>
    <row r="185" spans="2:18" ht="15" customHeight="1">
      <c r="B185" s="595"/>
      <c r="C185" s="595"/>
      <c r="G185" s="80"/>
      <c r="L185" s="139"/>
      <c r="M185" s="139"/>
      <c r="N185" s="159"/>
      <c r="R185" s="706"/>
    </row>
    <row r="186" spans="2:18" ht="15" customHeight="1">
      <c r="B186" s="595"/>
      <c r="C186" s="595"/>
      <c r="G186" s="80"/>
      <c r="L186" s="139"/>
      <c r="M186" s="139"/>
      <c r="N186" s="159"/>
      <c r="R186" s="706"/>
    </row>
    <row r="187" spans="2:18" ht="15" customHeight="1">
      <c r="B187" s="595"/>
      <c r="C187" s="595"/>
      <c r="G187" s="80"/>
      <c r="L187" s="139"/>
      <c r="M187" s="139"/>
      <c r="N187" s="159"/>
      <c r="R187" s="706"/>
    </row>
    <row r="188" spans="2:18" ht="15" customHeight="1">
      <c r="B188" s="595"/>
      <c r="C188" s="595"/>
      <c r="G188" s="80"/>
      <c r="L188" s="139"/>
      <c r="M188" s="139"/>
      <c r="N188" s="159"/>
      <c r="R188" s="706"/>
    </row>
    <row r="189" spans="2:18" ht="15" customHeight="1">
      <c r="B189" s="595"/>
      <c r="C189" s="595"/>
      <c r="G189" s="80"/>
      <c r="L189" s="139"/>
      <c r="M189" s="139"/>
      <c r="N189" s="159"/>
      <c r="R189" s="706"/>
    </row>
    <row r="190" spans="2:18" ht="15" customHeight="1">
      <c r="B190" s="595"/>
      <c r="C190" s="595"/>
      <c r="G190" s="80"/>
      <c r="L190" s="139"/>
      <c r="M190" s="139"/>
      <c r="N190" s="159"/>
      <c r="R190" s="706"/>
    </row>
    <row r="191" spans="2:18" ht="15" customHeight="1">
      <c r="B191" s="595"/>
      <c r="C191" s="595"/>
      <c r="G191" s="80"/>
      <c r="L191" s="139"/>
      <c r="M191" s="139"/>
      <c r="N191" s="159"/>
      <c r="R191" s="706"/>
    </row>
    <row r="192" spans="2:18" ht="15" customHeight="1">
      <c r="B192" s="595"/>
      <c r="C192" s="595"/>
      <c r="G192" s="80"/>
      <c r="L192" s="139"/>
      <c r="M192" s="139"/>
      <c r="N192" s="159"/>
      <c r="R192" s="706"/>
    </row>
    <row r="193" spans="2:18" ht="15" customHeight="1">
      <c r="B193" s="595"/>
      <c r="C193" s="595"/>
      <c r="G193" s="80"/>
      <c r="L193" s="139"/>
      <c r="M193" s="139"/>
      <c r="N193" s="159"/>
      <c r="R193" s="706"/>
    </row>
    <row r="194" spans="2:18" ht="15" customHeight="1">
      <c r="B194" s="595"/>
      <c r="C194" s="595"/>
      <c r="G194" s="80"/>
      <c r="L194" s="139"/>
      <c r="M194" s="139"/>
      <c r="N194" s="159"/>
      <c r="R194" s="706"/>
    </row>
    <row r="195" spans="2:18" ht="15" customHeight="1">
      <c r="B195" s="595"/>
      <c r="C195" s="595"/>
      <c r="G195" s="80"/>
      <c r="L195" s="139"/>
      <c r="M195" s="139"/>
      <c r="N195" s="159"/>
      <c r="R195" s="706"/>
    </row>
    <row r="196" spans="2:18" ht="15" customHeight="1">
      <c r="B196" s="595"/>
      <c r="C196" s="595"/>
      <c r="G196" s="80"/>
      <c r="L196" s="139"/>
      <c r="M196" s="139"/>
      <c r="N196" s="159"/>
      <c r="R196" s="706"/>
    </row>
    <row r="197" spans="2:18" ht="15" customHeight="1">
      <c r="B197" s="595"/>
      <c r="C197" s="595"/>
      <c r="G197" s="80"/>
      <c r="L197" s="139"/>
      <c r="M197" s="139"/>
      <c r="N197" s="159"/>
      <c r="R197" s="706"/>
    </row>
    <row r="198" spans="2:18" ht="15" customHeight="1">
      <c r="B198" s="595"/>
      <c r="C198" s="595"/>
      <c r="G198" s="80"/>
      <c r="L198" s="139"/>
      <c r="M198" s="139"/>
      <c r="N198" s="159"/>
      <c r="R198" s="706"/>
    </row>
    <row r="199" spans="2:18" ht="15" customHeight="1">
      <c r="B199" s="595"/>
      <c r="C199" s="595"/>
      <c r="G199" s="80"/>
      <c r="L199" s="139"/>
      <c r="M199" s="139"/>
      <c r="N199" s="159"/>
      <c r="R199" s="706"/>
    </row>
    <row r="200" spans="2:18" ht="15" customHeight="1">
      <c r="B200" s="595"/>
      <c r="C200" s="595"/>
      <c r="G200" s="80"/>
      <c r="L200" s="139"/>
      <c r="M200" s="139"/>
      <c r="N200" s="159"/>
      <c r="R200" s="706"/>
    </row>
    <row r="201" spans="2:18" ht="15" customHeight="1">
      <c r="B201" s="595"/>
      <c r="C201" s="595"/>
      <c r="G201" s="80"/>
      <c r="L201" s="139"/>
      <c r="M201" s="139"/>
      <c r="N201" s="159"/>
      <c r="R201" s="706"/>
    </row>
    <row r="202" spans="2:18" ht="15" customHeight="1">
      <c r="B202" s="595"/>
      <c r="C202" s="595"/>
      <c r="G202" s="80"/>
      <c r="L202" s="139"/>
      <c r="M202" s="139"/>
      <c r="N202" s="159"/>
      <c r="R202" s="706"/>
    </row>
    <row r="203" spans="2:18" ht="15" customHeight="1">
      <c r="B203" s="595"/>
      <c r="C203" s="595"/>
      <c r="G203" s="80"/>
      <c r="L203" s="139"/>
      <c r="M203" s="139"/>
      <c r="N203" s="159"/>
      <c r="R203" s="706"/>
    </row>
    <row r="204" spans="2:18" ht="15" customHeight="1">
      <c r="B204" s="595"/>
      <c r="C204" s="595"/>
      <c r="G204" s="80"/>
      <c r="L204" s="139"/>
      <c r="M204" s="139"/>
      <c r="N204" s="159"/>
      <c r="R204" s="706"/>
    </row>
    <row r="205" spans="2:18" ht="15" customHeight="1">
      <c r="B205" s="595"/>
      <c r="C205" s="595"/>
      <c r="G205" s="80"/>
      <c r="L205" s="139"/>
      <c r="M205" s="139"/>
      <c r="N205" s="159"/>
      <c r="R205" s="706"/>
    </row>
    <row r="206" spans="2:18" ht="15" customHeight="1">
      <c r="B206" s="595"/>
      <c r="C206" s="595"/>
      <c r="G206" s="80"/>
      <c r="L206" s="139"/>
      <c r="M206" s="139"/>
      <c r="N206" s="159"/>
      <c r="R206" s="706"/>
    </row>
    <row r="207" spans="2:18" ht="15" customHeight="1">
      <c r="B207" s="595"/>
      <c r="C207" s="595"/>
      <c r="G207" s="80"/>
      <c r="L207" s="139"/>
      <c r="M207" s="139"/>
      <c r="N207" s="159"/>
      <c r="R207" s="706"/>
    </row>
    <row r="208" spans="2:18" ht="15" customHeight="1">
      <c r="B208" s="595"/>
      <c r="C208" s="595"/>
      <c r="G208" s="80"/>
      <c r="L208" s="139"/>
      <c r="M208" s="139"/>
      <c r="N208" s="159"/>
      <c r="R208" s="706"/>
    </row>
    <row r="209" spans="2:18" ht="15" customHeight="1">
      <c r="B209" s="595"/>
      <c r="C209" s="595"/>
      <c r="G209" s="80"/>
      <c r="L209" s="139"/>
      <c r="M209" s="139"/>
      <c r="N209" s="159"/>
      <c r="R209" s="706"/>
    </row>
    <row r="210" spans="2:18" ht="15" customHeight="1">
      <c r="B210" s="595"/>
      <c r="C210" s="595"/>
      <c r="G210" s="80"/>
      <c r="L210" s="139"/>
      <c r="M210" s="139"/>
      <c r="N210" s="159"/>
      <c r="R210" s="706"/>
    </row>
    <row r="211" spans="2:18" ht="15" customHeight="1">
      <c r="B211" s="595"/>
      <c r="C211" s="595"/>
      <c r="G211" s="80"/>
      <c r="L211" s="139"/>
      <c r="M211" s="139"/>
      <c r="N211" s="159"/>
      <c r="R211" s="706"/>
    </row>
    <row r="212" spans="2:18" ht="15" customHeight="1">
      <c r="B212" s="595"/>
      <c r="C212" s="595"/>
      <c r="G212" s="80"/>
      <c r="L212" s="139"/>
      <c r="M212" s="139"/>
      <c r="N212" s="159"/>
      <c r="R212" s="706"/>
    </row>
    <row r="213" spans="2:18" ht="15" customHeight="1">
      <c r="B213" s="595"/>
      <c r="C213" s="595"/>
      <c r="G213" s="80"/>
      <c r="L213" s="139"/>
      <c r="M213" s="139"/>
      <c r="N213" s="159"/>
      <c r="R213" s="706"/>
    </row>
    <row r="214" spans="2:18" ht="15" customHeight="1">
      <c r="B214" s="595"/>
      <c r="C214" s="595"/>
      <c r="G214" s="80"/>
      <c r="L214" s="139"/>
      <c r="M214" s="139"/>
      <c r="N214" s="159"/>
      <c r="R214" s="706"/>
    </row>
    <row r="215" spans="2:18" ht="15" customHeight="1">
      <c r="B215" s="595"/>
      <c r="C215" s="595"/>
      <c r="G215" s="80"/>
      <c r="L215" s="139"/>
      <c r="M215" s="139"/>
      <c r="N215" s="159"/>
      <c r="R215" s="706"/>
    </row>
    <row r="216" spans="2:18" ht="15" customHeight="1">
      <c r="B216" s="595"/>
      <c r="C216" s="595"/>
      <c r="G216" s="80"/>
      <c r="L216" s="139"/>
      <c r="M216" s="139"/>
      <c r="N216" s="159"/>
      <c r="R216" s="706"/>
    </row>
    <row r="217" spans="2:18" ht="15" customHeight="1">
      <c r="B217" s="595"/>
      <c r="C217" s="595"/>
      <c r="G217" s="80"/>
      <c r="L217" s="139"/>
      <c r="M217" s="139"/>
      <c r="N217" s="159"/>
      <c r="R217" s="706"/>
    </row>
    <row r="218" spans="2:18" ht="15" customHeight="1">
      <c r="B218" s="595"/>
      <c r="C218" s="595"/>
      <c r="G218" s="80"/>
      <c r="L218" s="139"/>
      <c r="M218" s="139"/>
      <c r="N218" s="159"/>
      <c r="R218" s="706"/>
    </row>
    <row r="219" spans="2:18" ht="15" customHeight="1">
      <c r="B219" s="595"/>
      <c r="C219" s="595"/>
      <c r="G219" s="80"/>
      <c r="L219" s="139"/>
      <c r="M219" s="139"/>
      <c r="N219" s="159"/>
      <c r="R219" s="706"/>
    </row>
    <row r="220" spans="2:18" ht="15" customHeight="1">
      <c r="B220" s="595"/>
      <c r="C220" s="595"/>
      <c r="G220" s="80"/>
      <c r="L220" s="139"/>
      <c r="M220" s="139"/>
      <c r="N220" s="159"/>
      <c r="R220" s="706"/>
    </row>
    <row r="221" spans="2:18" ht="15" customHeight="1">
      <c r="B221" s="595"/>
      <c r="C221" s="595"/>
      <c r="G221" s="80"/>
      <c r="L221" s="139"/>
      <c r="M221" s="139"/>
      <c r="N221" s="159"/>
      <c r="R221" s="706"/>
    </row>
    <row r="222" spans="2:18" ht="15" customHeight="1">
      <c r="B222" s="595"/>
      <c r="C222" s="595"/>
      <c r="G222" s="80"/>
      <c r="L222" s="139"/>
      <c r="M222" s="139"/>
      <c r="N222" s="159"/>
      <c r="R222" s="706"/>
    </row>
    <row r="223" spans="2:18" ht="15" customHeight="1">
      <c r="B223" s="595"/>
      <c r="C223" s="595"/>
      <c r="G223" s="80"/>
      <c r="L223" s="139"/>
      <c r="M223" s="139"/>
      <c r="N223" s="159"/>
      <c r="R223" s="706"/>
    </row>
    <row r="224" spans="2:18" ht="15" customHeight="1">
      <c r="B224" s="595"/>
      <c r="C224" s="595"/>
      <c r="G224" s="80"/>
      <c r="L224" s="139"/>
      <c r="M224" s="139"/>
      <c r="N224" s="159"/>
      <c r="R224" s="706"/>
    </row>
    <row r="225" spans="2:18" ht="15" customHeight="1">
      <c r="B225" s="595"/>
      <c r="C225" s="595"/>
      <c r="G225" s="80"/>
      <c r="L225" s="139"/>
      <c r="M225" s="139"/>
      <c r="N225" s="159"/>
      <c r="R225" s="706"/>
    </row>
    <row r="226" spans="2:18" ht="15" customHeight="1">
      <c r="B226" s="595"/>
      <c r="C226" s="595"/>
      <c r="G226" s="80"/>
      <c r="L226" s="139"/>
      <c r="M226" s="139"/>
      <c r="N226" s="159"/>
      <c r="R226" s="706"/>
    </row>
    <row r="227" spans="2:18" ht="15" customHeight="1">
      <c r="B227" s="595"/>
      <c r="C227" s="595"/>
      <c r="G227" s="80"/>
      <c r="L227" s="139"/>
      <c r="M227" s="139"/>
      <c r="N227" s="159"/>
      <c r="R227" s="706"/>
    </row>
    <row r="228" spans="2:18" ht="15" customHeight="1">
      <c r="B228" s="595"/>
      <c r="C228" s="595"/>
      <c r="G228" s="80"/>
      <c r="L228" s="139"/>
      <c r="M228" s="139"/>
      <c r="N228" s="159"/>
      <c r="R228" s="706"/>
    </row>
    <row r="229" spans="2:18" ht="15" customHeight="1">
      <c r="B229" s="595"/>
      <c r="C229" s="595"/>
      <c r="G229" s="80"/>
      <c r="L229" s="139"/>
      <c r="M229" s="139"/>
      <c r="N229" s="159"/>
      <c r="R229" s="706"/>
    </row>
    <row r="230" spans="2:18" ht="15" customHeight="1">
      <c r="B230" s="595"/>
      <c r="C230" s="595"/>
      <c r="G230" s="80"/>
      <c r="L230" s="139"/>
      <c r="M230" s="139"/>
      <c r="N230" s="159"/>
      <c r="R230" s="706"/>
    </row>
    <row r="231" spans="2:18" ht="15" customHeight="1">
      <c r="B231" s="595"/>
      <c r="C231" s="595"/>
      <c r="G231" s="80"/>
      <c r="L231" s="139"/>
      <c r="M231" s="139"/>
      <c r="N231" s="159"/>
      <c r="R231" s="706"/>
    </row>
    <row r="232" spans="2:18" ht="15" customHeight="1">
      <c r="B232" s="595"/>
      <c r="C232" s="595"/>
      <c r="G232" s="80"/>
      <c r="L232" s="139"/>
      <c r="M232" s="139"/>
      <c r="N232" s="159"/>
      <c r="R232" s="706"/>
    </row>
    <row r="233" spans="2:18" ht="15" customHeight="1">
      <c r="B233" s="595"/>
      <c r="C233" s="595"/>
      <c r="G233" s="80"/>
      <c r="L233" s="139"/>
      <c r="M233" s="139"/>
      <c r="N233" s="159"/>
      <c r="R233" s="706"/>
    </row>
    <row r="234" spans="2:18" ht="15" customHeight="1">
      <c r="B234" s="595"/>
      <c r="C234" s="595"/>
      <c r="G234" s="80"/>
      <c r="L234" s="139"/>
      <c r="M234" s="139"/>
      <c r="N234" s="159"/>
      <c r="R234" s="706"/>
    </row>
    <row r="235" spans="2:18" ht="15" customHeight="1">
      <c r="B235" s="595"/>
      <c r="C235" s="595"/>
      <c r="G235" s="80"/>
      <c r="L235" s="139"/>
      <c r="M235" s="139"/>
      <c r="N235" s="159"/>
      <c r="R235" s="706"/>
    </row>
    <row r="236" spans="2:18" ht="15" customHeight="1">
      <c r="B236" s="595"/>
      <c r="C236" s="595"/>
      <c r="G236" s="80"/>
      <c r="L236" s="139"/>
      <c r="M236" s="139"/>
      <c r="N236" s="159"/>
      <c r="R236" s="706"/>
    </row>
    <row r="237" spans="2:18" ht="15" customHeight="1">
      <c r="B237" s="595"/>
      <c r="C237" s="595"/>
      <c r="G237" s="80"/>
      <c r="L237" s="139"/>
      <c r="M237" s="139"/>
      <c r="N237" s="159"/>
      <c r="R237" s="706"/>
    </row>
    <row r="238" spans="2:18" ht="15" customHeight="1">
      <c r="B238" s="595"/>
      <c r="C238" s="595"/>
      <c r="G238" s="80"/>
      <c r="L238" s="139"/>
      <c r="M238" s="139"/>
      <c r="N238" s="159"/>
      <c r="R238" s="706"/>
    </row>
    <row r="239" spans="2:18" ht="15" customHeight="1">
      <c r="B239" s="595"/>
      <c r="C239" s="595"/>
      <c r="G239" s="80"/>
      <c r="L239" s="139"/>
      <c r="M239" s="139"/>
      <c r="N239" s="159"/>
      <c r="R239" s="706"/>
    </row>
    <row r="240" spans="2:18" ht="15" customHeight="1">
      <c r="B240" s="595"/>
      <c r="C240" s="595"/>
      <c r="G240" s="80"/>
      <c r="L240" s="139"/>
      <c r="M240" s="139"/>
      <c r="N240" s="159"/>
      <c r="R240" s="706"/>
    </row>
    <row r="241" spans="2:18" ht="15" customHeight="1">
      <c r="B241" s="595"/>
      <c r="C241" s="595"/>
      <c r="G241" s="80"/>
      <c r="L241" s="139"/>
      <c r="M241" s="139"/>
      <c r="N241" s="159"/>
      <c r="R241" s="706"/>
    </row>
    <row r="242" spans="2:18" ht="15" customHeight="1">
      <c r="B242" s="595"/>
      <c r="C242" s="595"/>
      <c r="G242" s="80"/>
      <c r="L242" s="139"/>
      <c r="M242" s="139"/>
      <c r="N242" s="159"/>
      <c r="R242" s="706"/>
    </row>
    <row r="243" spans="2:18" ht="15" customHeight="1">
      <c r="B243" s="595"/>
      <c r="C243" s="595"/>
      <c r="G243" s="80"/>
      <c r="L243" s="139"/>
      <c r="M243" s="139"/>
      <c r="N243" s="159"/>
      <c r="R243" s="706"/>
    </row>
    <row r="244" spans="2:18" ht="15" customHeight="1">
      <c r="B244" s="595"/>
      <c r="C244" s="595"/>
      <c r="G244" s="80"/>
      <c r="L244" s="139"/>
      <c r="M244" s="139"/>
      <c r="N244" s="159"/>
      <c r="R244" s="706"/>
    </row>
    <row r="245" spans="2:18" ht="15" customHeight="1">
      <c r="B245" s="595"/>
      <c r="C245" s="595"/>
      <c r="G245" s="80"/>
      <c r="L245" s="139"/>
      <c r="M245" s="139"/>
      <c r="N245" s="159"/>
      <c r="R245" s="706"/>
    </row>
    <row r="246" spans="2:18" ht="15" customHeight="1">
      <c r="B246" s="595"/>
      <c r="C246" s="595"/>
      <c r="G246" s="80"/>
      <c r="L246" s="139"/>
      <c r="M246" s="139"/>
      <c r="N246" s="159"/>
      <c r="R246" s="706"/>
    </row>
    <row r="247" spans="2:18" ht="15" customHeight="1">
      <c r="B247" s="595"/>
      <c r="C247" s="595"/>
      <c r="G247" s="80"/>
      <c r="L247" s="139"/>
      <c r="M247" s="139"/>
      <c r="N247" s="159"/>
      <c r="R247" s="706"/>
    </row>
    <row r="248" spans="2:18" ht="15" customHeight="1">
      <c r="B248" s="595"/>
      <c r="C248" s="595"/>
      <c r="G248" s="80"/>
      <c r="L248" s="139"/>
      <c r="M248" s="139"/>
      <c r="N248" s="159"/>
      <c r="R248" s="706"/>
    </row>
    <row r="249" spans="2:18" ht="15" customHeight="1">
      <c r="B249" s="595"/>
      <c r="C249" s="595"/>
      <c r="G249" s="80"/>
      <c r="L249" s="139"/>
      <c r="M249" s="139"/>
      <c r="N249" s="159"/>
      <c r="R249" s="706"/>
    </row>
    <row r="250" spans="2:18" ht="15" customHeight="1">
      <c r="B250" s="595"/>
      <c r="C250" s="595"/>
      <c r="G250" s="80"/>
      <c r="L250" s="139"/>
      <c r="M250" s="139"/>
      <c r="N250" s="159"/>
      <c r="R250" s="706"/>
    </row>
    <row r="251" spans="2:18" ht="15" customHeight="1">
      <c r="B251" s="595"/>
      <c r="C251" s="595"/>
      <c r="G251" s="80"/>
      <c r="L251" s="139"/>
      <c r="M251" s="139"/>
      <c r="N251" s="159"/>
      <c r="R251" s="706"/>
    </row>
    <row r="252" spans="2:18" ht="15" customHeight="1">
      <c r="B252" s="595"/>
      <c r="C252" s="595"/>
      <c r="G252" s="80"/>
      <c r="L252" s="139"/>
      <c r="M252" s="139"/>
      <c r="N252" s="159"/>
      <c r="R252" s="706"/>
    </row>
    <row r="253" spans="2:18" ht="15" customHeight="1">
      <c r="B253" s="595"/>
      <c r="C253" s="595"/>
      <c r="G253" s="80"/>
      <c r="L253" s="139"/>
      <c r="M253" s="139"/>
      <c r="N253" s="159"/>
      <c r="R253" s="706"/>
    </row>
    <row r="254" spans="2:18" ht="15" customHeight="1">
      <c r="B254" s="595"/>
      <c r="C254" s="595"/>
      <c r="G254" s="80"/>
      <c r="L254" s="139"/>
      <c r="M254" s="139"/>
      <c r="N254" s="159"/>
      <c r="R254" s="706"/>
    </row>
    <row r="255" spans="2:18" ht="15" customHeight="1">
      <c r="B255" s="595"/>
      <c r="C255" s="595"/>
      <c r="G255" s="80"/>
      <c r="L255" s="139"/>
      <c r="M255" s="139"/>
      <c r="N255" s="159"/>
      <c r="R255" s="706"/>
    </row>
    <row r="256" spans="2:18" ht="15" customHeight="1">
      <c r="B256" s="595"/>
      <c r="C256" s="595"/>
      <c r="G256" s="80"/>
      <c r="L256" s="139"/>
      <c r="M256" s="139"/>
      <c r="N256" s="159"/>
      <c r="R256" s="706"/>
    </row>
    <row r="257" spans="2:18" ht="15" customHeight="1">
      <c r="B257" s="595"/>
      <c r="C257" s="595"/>
      <c r="G257" s="80"/>
      <c r="L257" s="139"/>
      <c r="M257" s="139"/>
      <c r="N257" s="159"/>
      <c r="R257" s="706"/>
    </row>
    <row r="258" spans="2:18" ht="15" customHeight="1">
      <c r="B258" s="595"/>
      <c r="C258" s="595"/>
      <c r="G258" s="80"/>
      <c r="L258" s="139"/>
      <c r="M258" s="139"/>
      <c r="N258" s="159"/>
      <c r="R258" s="706"/>
    </row>
    <row r="259" spans="2:18" ht="15" customHeight="1">
      <c r="B259" s="595"/>
      <c r="C259" s="595"/>
      <c r="G259" s="80"/>
      <c r="L259" s="139"/>
      <c r="M259" s="139"/>
      <c r="N259" s="159"/>
      <c r="R259" s="706"/>
    </row>
    <row r="260" spans="2:18" ht="15" customHeight="1">
      <c r="B260" s="595"/>
      <c r="C260" s="595"/>
      <c r="G260" s="80"/>
      <c r="L260" s="139"/>
      <c r="M260" s="139"/>
      <c r="N260" s="159"/>
      <c r="R260" s="706"/>
    </row>
    <row r="261" spans="2:18" ht="15" customHeight="1">
      <c r="B261" s="595"/>
      <c r="C261" s="595"/>
      <c r="G261" s="80"/>
      <c r="L261" s="139"/>
      <c r="M261" s="139"/>
      <c r="N261" s="159"/>
      <c r="R261" s="706"/>
    </row>
    <row r="262" spans="2:18" ht="15" customHeight="1">
      <c r="B262" s="595"/>
      <c r="C262" s="595"/>
      <c r="G262" s="80"/>
      <c r="L262" s="139"/>
      <c r="M262" s="139"/>
      <c r="N262" s="159"/>
      <c r="R262" s="706"/>
    </row>
    <row r="263" spans="2:18" ht="15" customHeight="1">
      <c r="B263" s="595"/>
      <c r="C263" s="595"/>
      <c r="G263" s="80"/>
      <c r="L263" s="139"/>
      <c r="M263" s="139"/>
      <c r="N263" s="159"/>
      <c r="R263" s="706"/>
    </row>
    <row r="264" spans="2:18" ht="15" customHeight="1">
      <c r="B264" s="595"/>
      <c r="C264" s="595"/>
      <c r="G264" s="80"/>
      <c r="L264" s="139"/>
      <c r="M264" s="139"/>
      <c r="N264" s="159"/>
      <c r="R264" s="706"/>
    </row>
    <row r="265" spans="2:18" ht="15" customHeight="1">
      <c r="B265" s="595"/>
      <c r="C265" s="595"/>
      <c r="G265" s="80"/>
      <c r="L265" s="139"/>
      <c r="M265" s="139"/>
      <c r="N265" s="159"/>
      <c r="R265" s="706"/>
    </row>
    <row r="266" spans="2:18" ht="15" customHeight="1">
      <c r="B266" s="595"/>
      <c r="C266" s="595"/>
      <c r="G266" s="80"/>
      <c r="L266" s="139"/>
      <c r="M266" s="139"/>
      <c r="N266" s="159"/>
      <c r="R266" s="706"/>
    </row>
    <row r="267" spans="2:18" ht="15" customHeight="1">
      <c r="B267" s="595"/>
      <c r="C267" s="595"/>
      <c r="G267" s="80"/>
      <c r="L267" s="139"/>
      <c r="M267" s="139"/>
      <c r="N267" s="159"/>
      <c r="R267" s="706"/>
    </row>
    <row r="268" spans="2:18" ht="15" customHeight="1">
      <c r="B268" s="595"/>
      <c r="C268" s="595"/>
      <c r="G268" s="80"/>
      <c r="L268" s="139"/>
      <c r="M268" s="139"/>
      <c r="N268" s="159"/>
      <c r="R268" s="706"/>
    </row>
    <row r="269" spans="2:18" ht="15" customHeight="1">
      <c r="B269" s="595"/>
      <c r="C269" s="595"/>
      <c r="G269" s="80"/>
      <c r="L269" s="139"/>
      <c r="M269" s="139"/>
      <c r="N269" s="159"/>
      <c r="R269" s="706"/>
    </row>
    <row r="270" spans="2:18" ht="15" customHeight="1">
      <c r="B270" s="595"/>
      <c r="C270" s="595"/>
      <c r="G270" s="80"/>
      <c r="L270" s="139"/>
      <c r="M270" s="139"/>
      <c r="N270" s="159"/>
      <c r="R270" s="706"/>
    </row>
    <row r="271" spans="2:18" ht="15" customHeight="1">
      <c r="B271" s="595"/>
      <c r="C271" s="595"/>
      <c r="G271" s="80"/>
      <c r="L271" s="139"/>
      <c r="M271" s="139"/>
      <c r="N271" s="159"/>
      <c r="R271" s="706"/>
    </row>
    <row r="272" spans="2:18" ht="15" customHeight="1">
      <c r="B272" s="595"/>
      <c r="C272" s="595"/>
      <c r="G272" s="80"/>
      <c r="L272" s="139"/>
      <c r="M272" s="139"/>
      <c r="N272" s="159"/>
      <c r="R272" s="706"/>
    </row>
    <row r="273" spans="2:18" ht="15" customHeight="1">
      <c r="B273" s="595"/>
      <c r="C273" s="595"/>
      <c r="G273" s="80"/>
      <c r="L273" s="139"/>
      <c r="M273" s="139"/>
      <c r="N273" s="159"/>
      <c r="R273" s="706"/>
    </row>
    <row r="274" spans="2:18" ht="15" customHeight="1">
      <c r="B274" s="595"/>
      <c r="C274" s="595"/>
      <c r="G274" s="80"/>
      <c r="L274" s="139"/>
      <c r="M274" s="139"/>
      <c r="N274" s="159"/>
      <c r="R274" s="706"/>
    </row>
    <row r="275" spans="2:18" ht="15" customHeight="1">
      <c r="B275" s="595"/>
      <c r="C275" s="595"/>
      <c r="G275" s="80"/>
      <c r="L275" s="139"/>
      <c r="M275" s="139"/>
      <c r="N275" s="159"/>
      <c r="R275" s="706"/>
    </row>
    <row r="276" spans="2:18" ht="15" customHeight="1">
      <c r="B276" s="595"/>
      <c r="C276" s="595"/>
      <c r="G276" s="80"/>
      <c r="L276" s="139"/>
      <c r="M276" s="139"/>
      <c r="N276" s="159"/>
      <c r="R276" s="706"/>
    </row>
    <row r="277" spans="2:18" ht="15" customHeight="1">
      <c r="B277" s="595"/>
      <c r="C277" s="595"/>
      <c r="G277" s="80"/>
      <c r="L277" s="139"/>
      <c r="M277" s="139"/>
      <c r="N277" s="159"/>
      <c r="R277" s="706"/>
    </row>
    <row r="278" spans="2:18" ht="15" customHeight="1">
      <c r="B278" s="595"/>
      <c r="C278" s="595"/>
      <c r="G278" s="80"/>
      <c r="L278" s="139"/>
      <c r="M278" s="139"/>
      <c r="N278" s="159"/>
      <c r="R278" s="706"/>
    </row>
    <row r="279" spans="2:18" ht="15" customHeight="1">
      <c r="B279" s="595"/>
      <c r="C279" s="595"/>
      <c r="G279" s="80"/>
      <c r="L279" s="139"/>
      <c r="M279" s="139"/>
      <c r="N279" s="159"/>
      <c r="R279" s="706"/>
    </row>
    <row r="280" spans="2:18" ht="15" customHeight="1">
      <c r="B280" s="595"/>
      <c r="C280" s="595"/>
      <c r="G280" s="80"/>
      <c r="L280" s="139"/>
      <c r="M280" s="139"/>
      <c r="N280" s="159"/>
      <c r="R280" s="706"/>
    </row>
    <row r="281" spans="2:18" ht="15" customHeight="1">
      <c r="B281" s="595"/>
      <c r="C281" s="595"/>
      <c r="G281" s="80"/>
      <c r="L281" s="139"/>
      <c r="M281" s="139"/>
      <c r="N281" s="159"/>
      <c r="R281" s="706"/>
    </row>
    <row r="282" spans="2:18" ht="15" customHeight="1">
      <c r="B282" s="595"/>
      <c r="C282" s="595"/>
      <c r="G282" s="80"/>
      <c r="L282" s="139"/>
      <c r="M282" s="139"/>
      <c r="N282" s="159"/>
      <c r="R282" s="706"/>
    </row>
    <row r="283" spans="2:18" ht="15" customHeight="1">
      <c r="B283" s="595"/>
      <c r="C283" s="595"/>
      <c r="G283" s="80"/>
      <c r="L283" s="139"/>
      <c r="M283" s="139"/>
      <c r="N283" s="159"/>
      <c r="R283" s="706"/>
    </row>
    <row r="284" spans="2:18" ht="15" customHeight="1">
      <c r="B284" s="595"/>
      <c r="C284" s="595"/>
      <c r="G284" s="80"/>
      <c r="L284" s="139"/>
      <c r="M284" s="139"/>
      <c r="N284" s="159"/>
      <c r="R284" s="706"/>
    </row>
    <row r="285" spans="2:18" ht="15" customHeight="1">
      <c r="B285" s="595"/>
      <c r="C285" s="595"/>
      <c r="G285" s="80"/>
      <c r="L285" s="139"/>
      <c r="M285" s="139"/>
      <c r="N285" s="159"/>
      <c r="R285" s="706"/>
    </row>
    <row r="286" spans="2:18" ht="15" customHeight="1">
      <c r="B286" s="595"/>
      <c r="C286" s="595"/>
      <c r="G286" s="80"/>
      <c r="L286" s="139"/>
      <c r="M286" s="139"/>
      <c r="N286" s="159"/>
      <c r="R286" s="706"/>
    </row>
    <row r="287" spans="2:18" ht="15" customHeight="1">
      <c r="B287" s="595"/>
      <c r="C287" s="595"/>
      <c r="G287" s="80"/>
      <c r="L287" s="139"/>
      <c r="M287" s="139"/>
      <c r="N287" s="159"/>
      <c r="R287" s="706"/>
    </row>
    <row r="288" spans="2:18" ht="15" customHeight="1">
      <c r="B288" s="595"/>
      <c r="C288" s="595"/>
      <c r="G288" s="80"/>
      <c r="L288" s="139"/>
      <c r="M288" s="139"/>
      <c r="N288" s="159"/>
      <c r="R288" s="706"/>
    </row>
    <row r="289" spans="2:18" ht="15" customHeight="1">
      <c r="B289" s="595"/>
      <c r="C289" s="595"/>
      <c r="G289" s="80"/>
      <c r="L289" s="139"/>
      <c r="M289" s="139"/>
      <c r="N289" s="159"/>
      <c r="R289" s="706"/>
    </row>
    <row r="290" spans="2:18" ht="15" customHeight="1">
      <c r="B290" s="595"/>
      <c r="C290" s="595"/>
      <c r="G290" s="80"/>
      <c r="L290" s="139"/>
      <c r="M290" s="139"/>
      <c r="N290" s="159"/>
      <c r="R290" s="706"/>
    </row>
    <row r="291" spans="2:18" ht="15" customHeight="1">
      <c r="B291" s="595"/>
      <c r="C291" s="595"/>
      <c r="G291" s="80"/>
      <c r="L291" s="139"/>
      <c r="M291" s="139"/>
      <c r="N291" s="159"/>
      <c r="R291" s="706"/>
    </row>
    <row r="292" spans="2:18" ht="15" customHeight="1">
      <c r="B292" s="595"/>
      <c r="C292" s="595"/>
      <c r="G292" s="80"/>
      <c r="L292" s="139"/>
      <c r="M292" s="139"/>
      <c r="N292" s="159"/>
      <c r="R292" s="706"/>
    </row>
    <row r="293" spans="2:18" ht="15" customHeight="1">
      <c r="B293" s="595"/>
      <c r="C293" s="595"/>
      <c r="G293" s="80"/>
      <c r="L293" s="139"/>
      <c r="M293" s="139"/>
      <c r="N293" s="159"/>
      <c r="R293" s="706"/>
    </row>
    <row r="294" spans="2:18" ht="15" customHeight="1">
      <c r="B294" s="595"/>
      <c r="C294" s="595"/>
      <c r="G294" s="80"/>
      <c r="L294" s="139"/>
      <c r="M294" s="139"/>
      <c r="N294" s="159"/>
      <c r="R294" s="706"/>
    </row>
    <row r="295" spans="2:18" ht="15" customHeight="1">
      <c r="B295" s="595"/>
      <c r="C295" s="595"/>
      <c r="G295" s="80"/>
      <c r="L295" s="139"/>
      <c r="M295" s="139"/>
      <c r="N295" s="159"/>
      <c r="R295" s="706"/>
    </row>
    <row r="296" spans="2:18" ht="15" customHeight="1">
      <c r="B296" s="595"/>
      <c r="C296" s="595"/>
      <c r="G296" s="80"/>
      <c r="L296" s="139"/>
      <c r="M296" s="139"/>
      <c r="N296" s="159"/>
      <c r="R296" s="706"/>
    </row>
    <row r="297" spans="2:18" ht="15" customHeight="1">
      <c r="B297" s="595"/>
      <c r="C297" s="595"/>
      <c r="G297" s="80"/>
      <c r="L297" s="139"/>
      <c r="M297" s="139"/>
      <c r="N297" s="159"/>
      <c r="R297" s="706"/>
    </row>
    <row r="298" spans="2:18" ht="15" customHeight="1">
      <c r="B298" s="595"/>
      <c r="C298" s="595"/>
      <c r="G298" s="80"/>
      <c r="L298" s="139"/>
      <c r="M298" s="139"/>
      <c r="N298" s="159"/>
      <c r="R298" s="706"/>
    </row>
    <row r="299" spans="2:18" ht="15" customHeight="1">
      <c r="B299" s="595"/>
      <c r="C299" s="595"/>
      <c r="G299" s="80"/>
      <c r="L299" s="139"/>
      <c r="M299" s="139"/>
      <c r="N299" s="159"/>
      <c r="R299" s="706"/>
    </row>
    <row r="300" spans="2:18" ht="15" customHeight="1">
      <c r="B300" s="595"/>
      <c r="C300" s="595"/>
      <c r="G300" s="80"/>
      <c r="L300" s="139"/>
      <c r="M300" s="139"/>
      <c r="N300" s="159"/>
      <c r="R300" s="706"/>
    </row>
    <row r="301" spans="2:18" ht="15" customHeight="1">
      <c r="B301" s="595"/>
      <c r="C301" s="595"/>
      <c r="G301" s="80"/>
      <c r="L301" s="139"/>
      <c r="M301" s="139"/>
      <c r="N301" s="159"/>
      <c r="R301" s="706"/>
    </row>
    <row r="302" spans="2:18" ht="15" customHeight="1">
      <c r="B302" s="595"/>
      <c r="C302" s="595"/>
      <c r="G302" s="80"/>
      <c r="L302" s="139"/>
      <c r="M302" s="139"/>
      <c r="N302" s="159"/>
      <c r="R302" s="706"/>
    </row>
    <row r="303" spans="2:18" ht="15" customHeight="1">
      <c r="B303" s="595"/>
      <c r="C303" s="595"/>
      <c r="G303" s="80"/>
      <c r="L303" s="139"/>
      <c r="M303" s="139"/>
      <c r="N303" s="159"/>
      <c r="R303" s="706"/>
    </row>
    <row r="304" spans="2:18" ht="15" customHeight="1">
      <c r="B304" s="595"/>
      <c r="C304" s="595"/>
      <c r="G304" s="80"/>
      <c r="L304" s="139"/>
      <c r="M304" s="139"/>
      <c r="N304" s="159"/>
      <c r="R304" s="706"/>
    </row>
    <row r="305" spans="2:18" ht="15" customHeight="1">
      <c r="B305" s="595"/>
      <c r="C305" s="595"/>
      <c r="G305" s="80"/>
      <c r="L305" s="139"/>
      <c r="M305" s="139"/>
      <c r="N305" s="159"/>
      <c r="R305" s="706"/>
    </row>
    <row r="306" spans="2:18" ht="15" customHeight="1">
      <c r="B306" s="595"/>
      <c r="C306" s="595"/>
      <c r="G306" s="80"/>
      <c r="L306" s="139"/>
      <c r="M306" s="139"/>
      <c r="N306" s="159"/>
      <c r="R306" s="706"/>
    </row>
    <row r="307" spans="2:18" ht="15" customHeight="1">
      <c r="B307" s="595"/>
      <c r="C307" s="595"/>
      <c r="G307" s="80"/>
      <c r="L307" s="139"/>
      <c r="M307" s="139"/>
      <c r="N307" s="159"/>
      <c r="R307" s="706"/>
    </row>
    <row r="308" spans="2:18" ht="15" customHeight="1">
      <c r="B308" s="595"/>
      <c r="C308" s="595"/>
      <c r="G308" s="80"/>
      <c r="L308" s="139"/>
      <c r="M308" s="139"/>
      <c r="N308" s="159"/>
      <c r="R308" s="706"/>
    </row>
    <row r="309" spans="2:18" ht="15" customHeight="1">
      <c r="B309" s="595"/>
      <c r="C309" s="595"/>
      <c r="G309" s="80"/>
      <c r="L309" s="139"/>
      <c r="M309" s="139"/>
      <c r="N309" s="159"/>
      <c r="R309" s="706"/>
    </row>
    <row r="310" spans="2:18" ht="15" customHeight="1">
      <c r="B310" s="595"/>
      <c r="C310" s="595"/>
      <c r="G310" s="80"/>
      <c r="L310" s="139"/>
      <c r="M310" s="139"/>
      <c r="N310" s="159"/>
      <c r="R310" s="706"/>
    </row>
    <row r="311" spans="2:18" ht="15" customHeight="1">
      <c r="B311" s="595"/>
      <c r="C311" s="595"/>
      <c r="G311" s="80"/>
      <c r="L311" s="139"/>
      <c r="M311" s="139"/>
      <c r="N311" s="159"/>
      <c r="R311" s="706"/>
    </row>
    <row r="312" spans="2:18" ht="15" customHeight="1">
      <c r="B312" s="595"/>
      <c r="C312" s="595"/>
      <c r="G312" s="80"/>
      <c r="L312" s="139"/>
      <c r="M312" s="139"/>
      <c r="N312" s="159"/>
      <c r="R312" s="706"/>
    </row>
    <row r="313" spans="2:18" ht="15" customHeight="1">
      <c r="B313" s="595"/>
      <c r="C313" s="595"/>
      <c r="G313" s="80"/>
      <c r="L313" s="139"/>
      <c r="M313" s="139"/>
      <c r="N313" s="159"/>
      <c r="R313" s="706"/>
    </row>
    <row r="314" spans="2:18" ht="15" customHeight="1">
      <c r="B314" s="595"/>
      <c r="C314" s="595"/>
      <c r="G314" s="80"/>
      <c r="L314" s="139"/>
      <c r="M314" s="139"/>
      <c r="N314" s="159"/>
      <c r="R314" s="706"/>
    </row>
    <row r="315" spans="2:18" ht="15" customHeight="1">
      <c r="B315" s="595"/>
      <c r="C315" s="595"/>
      <c r="G315" s="80"/>
      <c r="L315" s="139"/>
      <c r="M315" s="139"/>
      <c r="N315" s="159"/>
      <c r="R315" s="706"/>
    </row>
    <row r="316" spans="2:18" ht="15" customHeight="1">
      <c r="B316" s="595"/>
      <c r="C316" s="595"/>
      <c r="G316" s="80"/>
      <c r="L316" s="139"/>
      <c r="M316" s="139"/>
      <c r="N316" s="159"/>
      <c r="R316" s="706"/>
    </row>
    <row r="317" spans="2:18" ht="15" customHeight="1">
      <c r="B317" s="595"/>
      <c r="C317" s="595"/>
      <c r="G317" s="80"/>
      <c r="L317" s="139"/>
      <c r="M317" s="139"/>
      <c r="N317" s="159"/>
      <c r="R317" s="706"/>
    </row>
    <row r="318" spans="2:18" ht="15" customHeight="1">
      <c r="B318" s="595"/>
      <c r="C318" s="595"/>
      <c r="G318" s="80"/>
      <c r="L318" s="139"/>
      <c r="M318" s="139"/>
      <c r="N318" s="159"/>
      <c r="R318" s="706"/>
    </row>
    <row r="319" spans="2:18" ht="15" customHeight="1">
      <c r="B319" s="595"/>
      <c r="C319" s="595"/>
      <c r="G319" s="80"/>
      <c r="L319" s="139"/>
      <c r="M319" s="139"/>
      <c r="N319" s="159"/>
      <c r="R319" s="706"/>
    </row>
    <row r="320" spans="2:18" ht="15" customHeight="1">
      <c r="B320" s="595"/>
      <c r="C320" s="595"/>
      <c r="G320" s="80"/>
      <c r="L320" s="139"/>
      <c r="M320" s="139"/>
      <c r="N320" s="159"/>
      <c r="R320" s="706"/>
    </row>
    <row r="321" spans="2:18" ht="15" customHeight="1">
      <c r="B321" s="595"/>
      <c r="C321" s="595"/>
      <c r="G321" s="80"/>
      <c r="L321" s="139"/>
      <c r="M321" s="139"/>
      <c r="N321" s="159"/>
      <c r="R321" s="706"/>
    </row>
    <row r="322" spans="2:18" ht="15" customHeight="1">
      <c r="B322" s="595"/>
      <c r="C322" s="595"/>
      <c r="G322" s="80"/>
      <c r="L322" s="139"/>
      <c r="M322" s="139"/>
      <c r="N322" s="159"/>
      <c r="R322" s="706"/>
    </row>
    <row r="323" spans="2:18" ht="15" customHeight="1">
      <c r="B323" s="595"/>
      <c r="C323" s="595"/>
      <c r="G323" s="80"/>
      <c r="L323" s="139"/>
      <c r="M323" s="139"/>
      <c r="N323" s="159"/>
      <c r="R323" s="706"/>
    </row>
    <row r="324" spans="2:18" ht="15" customHeight="1">
      <c r="B324" s="595"/>
      <c r="C324" s="595"/>
      <c r="G324" s="80"/>
      <c r="L324" s="139"/>
      <c r="M324" s="139"/>
      <c r="N324" s="159"/>
      <c r="R324" s="706"/>
    </row>
    <row r="325" spans="2:18" ht="15" customHeight="1">
      <c r="B325" s="595"/>
      <c r="C325" s="595"/>
      <c r="G325" s="80"/>
      <c r="L325" s="139"/>
      <c r="M325" s="139"/>
      <c r="N325" s="159"/>
      <c r="R325" s="706"/>
    </row>
    <row r="326" spans="2:18" ht="15" customHeight="1">
      <c r="B326" s="595"/>
      <c r="C326" s="595"/>
      <c r="G326" s="80"/>
      <c r="L326" s="139"/>
      <c r="M326" s="139"/>
      <c r="N326" s="159"/>
      <c r="R326" s="706"/>
    </row>
    <row r="327" spans="2:18" ht="15" customHeight="1">
      <c r="B327" s="595"/>
      <c r="C327" s="595"/>
      <c r="G327" s="80"/>
      <c r="L327" s="139"/>
      <c r="M327" s="139"/>
      <c r="N327" s="159"/>
      <c r="R327" s="706"/>
    </row>
    <row r="328" spans="2:18" ht="15" customHeight="1">
      <c r="B328" s="595"/>
      <c r="C328" s="595"/>
      <c r="G328" s="80"/>
      <c r="L328" s="139"/>
      <c r="M328" s="139"/>
      <c r="N328" s="159"/>
      <c r="R328" s="706"/>
    </row>
    <row r="329" spans="2:18" ht="15" customHeight="1">
      <c r="B329" s="595"/>
      <c r="C329" s="595"/>
      <c r="G329" s="80"/>
      <c r="L329" s="139"/>
      <c r="M329" s="139"/>
      <c r="N329" s="159"/>
      <c r="R329" s="706"/>
    </row>
    <row r="330" spans="2:18" ht="15" customHeight="1">
      <c r="B330" s="595"/>
      <c r="C330" s="595"/>
      <c r="G330" s="80"/>
      <c r="L330" s="139"/>
      <c r="M330" s="139"/>
      <c r="N330" s="159"/>
      <c r="R330" s="706"/>
    </row>
    <row r="331" spans="2:18" ht="15" customHeight="1">
      <c r="B331" s="595"/>
      <c r="C331" s="595"/>
      <c r="G331" s="80"/>
      <c r="L331" s="139"/>
      <c r="M331" s="139"/>
      <c r="N331" s="159"/>
      <c r="R331" s="706"/>
    </row>
    <row r="332" spans="2:18" ht="15" customHeight="1">
      <c r="B332" s="595"/>
      <c r="C332" s="595"/>
      <c r="G332" s="80"/>
      <c r="L332" s="139"/>
      <c r="M332" s="139"/>
      <c r="N332" s="159"/>
      <c r="R332" s="706"/>
    </row>
    <row r="333" spans="2:18" ht="15" customHeight="1">
      <c r="B333" s="595"/>
      <c r="C333" s="595"/>
      <c r="G333" s="80"/>
      <c r="L333" s="139"/>
      <c r="M333" s="139"/>
      <c r="N333" s="159"/>
      <c r="R333" s="706"/>
    </row>
    <row r="334" spans="2:18" ht="15" customHeight="1">
      <c r="B334" s="595"/>
      <c r="C334" s="595"/>
      <c r="G334" s="80"/>
      <c r="L334" s="139"/>
      <c r="M334" s="139"/>
      <c r="N334" s="159"/>
    </row>
    <row r="335" spans="2:18" ht="15" customHeight="1">
      <c r="B335" s="595"/>
      <c r="C335" s="595"/>
      <c r="G335" s="80"/>
      <c r="L335" s="139"/>
      <c r="M335" s="139"/>
      <c r="N335" s="159"/>
    </row>
    <row r="336" spans="2:18" ht="15" customHeight="1">
      <c r="B336" s="595"/>
      <c r="C336" s="595"/>
      <c r="G336" s="80"/>
      <c r="L336" s="139"/>
      <c r="M336" s="139"/>
      <c r="N336" s="159"/>
    </row>
    <row r="337" spans="2:14" ht="15" customHeight="1">
      <c r="B337" s="595"/>
      <c r="C337" s="595"/>
      <c r="G337" s="80"/>
      <c r="L337" s="139"/>
      <c r="M337" s="139"/>
      <c r="N337" s="159"/>
    </row>
    <row r="338" spans="2:14" ht="15" customHeight="1">
      <c r="B338" s="595"/>
      <c r="C338" s="595"/>
      <c r="G338" s="80"/>
      <c r="L338" s="139"/>
      <c r="M338" s="139"/>
      <c r="N338" s="159"/>
    </row>
    <row r="339" spans="2:14" ht="15" customHeight="1">
      <c r="B339" s="595"/>
      <c r="C339" s="595"/>
      <c r="G339" s="80"/>
      <c r="L339" s="139"/>
      <c r="M339" s="139"/>
      <c r="N339" s="159"/>
    </row>
    <row r="340" spans="2:14" ht="15" customHeight="1">
      <c r="B340" s="595"/>
      <c r="C340" s="595"/>
      <c r="G340" s="80"/>
      <c r="L340" s="139"/>
      <c r="M340" s="139"/>
      <c r="N340" s="159"/>
    </row>
    <row r="341" spans="2:14" ht="15" customHeight="1">
      <c r="B341" s="595"/>
      <c r="C341" s="595"/>
      <c r="G341" s="80"/>
      <c r="L341" s="139"/>
      <c r="M341" s="139"/>
      <c r="N341" s="159"/>
    </row>
    <row r="342" spans="2:14" ht="15" customHeight="1">
      <c r="B342" s="595"/>
      <c r="C342" s="595"/>
      <c r="G342" s="80"/>
      <c r="L342" s="139"/>
      <c r="M342" s="139"/>
      <c r="N342" s="159"/>
    </row>
    <row r="343" spans="2:14" ht="15" customHeight="1">
      <c r="B343" s="595"/>
      <c r="C343" s="595"/>
      <c r="G343" s="80"/>
      <c r="L343" s="139"/>
      <c r="M343" s="139"/>
      <c r="N343" s="159"/>
    </row>
    <row r="344" spans="2:14" ht="15" customHeight="1">
      <c r="B344" s="595"/>
      <c r="C344" s="595"/>
      <c r="G344" s="80"/>
      <c r="L344" s="139"/>
      <c r="M344" s="139"/>
      <c r="N344" s="159"/>
    </row>
    <row r="345" spans="2:14" ht="15" customHeight="1">
      <c r="B345" s="595"/>
      <c r="C345" s="595"/>
      <c r="G345" s="80"/>
      <c r="L345" s="139"/>
      <c r="M345" s="139"/>
      <c r="N345" s="159"/>
    </row>
    <row r="346" spans="2:14" ht="15" customHeight="1">
      <c r="B346" s="595"/>
      <c r="C346" s="595"/>
      <c r="G346" s="80"/>
      <c r="L346" s="139"/>
      <c r="M346" s="139"/>
      <c r="N346" s="159"/>
    </row>
    <row r="347" spans="2:14" ht="15" customHeight="1">
      <c r="B347" s="595"/>
      <c r="C347" s="595"/>
      <c r="G347" s="80"/>
      <c r="L347" s="139"/>
      <c r="M347" s="139"/>
      <c r="N347" s="159"/>
    </row>
    <row r="348" spans="2:14" ht="15" customHeight="1">
      <c r="B348" s="595"/>
      <c r="C348" s="595"/>
      <c r="G348" s="80"/>
      <c r="L348" s="139"/>
      <c r="M348" s="139"/>
      <c r="N348" s="159"/>
    </row>
    <row r="349" spans="2:14" ht="15" customHeight="1">
      <c r="B349" s="595"/>
      <c r="C349" s="595"/>
      <c r="G349" s="80"/>
      <c r="L349" s="139"/>
      <c r="M349" s="139"/>
      <c r="N349" s="159"/>
    </row>
    <row r="350" spans="2:14" ht="15" customHeight="1">
      <c r="B350" s="595"/>
      <c r="C350" s="595"/>
      <c r="G350" s="80"/>
      <c r="L350" s="139"/>
      <c r="M350" s="139"/>
      <c r="N350" s="159"/>
    </row>
    <row r="351" spans="2:14" ht="15" customHeight="1">
      <c r="B351" s="595"/>
      <c r="C351" s="595"/>
      <c r="G351" s="80"/>
      <c r="L351" s="139"/>
      <c r="M351" s="139"/>
      <c r="N351" s="159"/>
    </row>
    <row r="352" spans="2:14" ht="15" customHeight="1">
      <c r="B352" s="595"/>
      <c r="C352" s="595"/>
      <c r="G352" s="80"/>
      <c r="L352" s="139"/>
      <c r="M352" s="139"/>
      <c r="N352" s="159"/>
    </row>
    <row r="353" spans="2:14" ht="15" customHeight="1">
      <c r="B353" s="595"/>
      <c r="C353" s="595"/>
      <c r="G353" s="80"/>
      <c r="L353" s="139"/>
      <c r="M353" s="139"/>
      <c r="N353" s="159"/>
    </row>
    <row r="354" spans="2:14" ht="15" customHeight="1">
      <c r="B354" s="595"/>
      <c r="C354" s="595"/>
      <c r="G354" s="80"/>
      <c r="L354" s="139"/>
      <c r="M354" s="139"/>
      <c r="N354" s="159"/>
    </row>
    <row r="355" spans="2:14" ht="15" customHeight="1">
      <c r="B355" s="595"/>
      <c r="C355" s="595"/>
      <c r="G355" s="80"/>
      <c r="L355" s="139"/>
      <c r="M355" s="139"/>
      <c r="N355" s="159"/>
    </row>
    <row r="356" spans="2:14" ht="15" customHeight="1">
      <c r="B356" s="595"/>
      <c r="C356" s="595"/>
      <c r="G356" s="80"/>
      <c r="L356" s="139"/>
      <c r="M356" s="139"/>
      <c r="N356" s="159"/>
    </row>
    <row r="357" spans="2:14" ht="15" customHeight="1">
      <c r="B357" s="595"/>
      <c r="C357" s="595"/>
      <c r="G357" s="80"/>
      <c r="L357" s="139"/>
      <c r="M357" s="139"/>
      <c r="N357" s="159"/>
    </row>
    <row r="358" spans="2:14" ht="15" customHeight="1">
      <c r="B358" s="595"/>
      <c r="C358" s="595"/>
      <c r="G358" s="80"/>
      <c r="L358" s="139"/>
      <c r="M358" s="139"/>
      <c r="N358" s="159"/>
    </row>
    <row r="359" spans="2:14" ht="15" customHeight="1">
      <c r="B359" s="595"/>
      <c r="C359" s="595"/>
      <c r="G359" s="80"/>
      <c r="L359" s="139"/>
      <c r="M359" s="139"/>
      <c r="N359" s="159"/>
    </row>
    <row r="360" spans="2:14" ht="15" customHeight="1">
      <c r="B360" s="595"/>
      <c r="C360" s="595"/>
      <c r="G360" s="80"/>
      <c r="L360" s="139"/>
      <c r="M360" s="139"/>
      <c r="N360" s="159"/>
    </row>
    <row r="361" spans="2:14" ht="15" customHeight="1">
      <c r="B361" s="595"/>
      <c r="C361" s="595"/>
      <c r="G361" s="80"/>
      <c r="L361" s="139"/>
      <c r="M361" s="139"/>
      <c r="N361" s="159"/>
    </row>
    <row r="362" spans="2:14" ht="15" customHeight="1">
      <c r="B362" s="595"/>
      <c r="C362" s="595"/>
      <c r="G362" s="80"/>
      <c r="L362" s="139"/>
      <c r="M362" s="139"/>
      <c r="N362" s="159"/>
    </row>
    <row r="363" spans="2:14" ht="15" customHeight="1">
      <c r="B363" s="595"/>
      <c r="C363" s="595"/>
      <c r="G363" s="80"/>
      <c r="L363" s="139"/>
      <c r="M363" s="139"/>
      <c r="N363" s="159"/>
    </row>
    <row r="364" spans="2:14" ht="15" customHeight="1">
      <c r="B364" s="595"/>
      <c r="C364" s="595"/>
      <c r="G364" s="80"/>
      <c r="L364" s="139"/>
      <c r="M364" s="139"/>
      <c r="N364" s="159"/>
    </row>
    <row r="365" spans="2:14" ht="15" customHeight="1">
      <c r="B365" s="595"/>
      <c r="C365" s="595"/>
      <c r="G365" s="80"/>
      <c r="L365" s="139"/>
      <c r="M365" s="139"/>
      <c r="N365" s="159"/>
    </row>
    <row r="366" spans="2:14" ht="15" customHeight="1">
      <c r="B366" s="595"/>
      <c r="C366" s="595"/>
      <c r="M366" s="139"/>
      <c r="N366" s="159"/>
    </row>
    <row r="367" spans="2:14" ht="15" customHeight="1">
      <c r="B367" s="595"/>
      <c r="C367" s="595"/>
      <c r="M367" s="139"/>
      <c r="N367" s="159"/>
    </row>
    <row r="368" spans="2:14" ht="15" customHeight="1">
      <c r="B368" s="595"/>
      <c r="C368" s="595"/>
      <c r="M368" s="139"/>
      <c r="N368" s="159"/>
    </row>
    <row r="369" spans="2:14" ht="15" customHeight="1">
      <c r="B369" s="595"/>
      <c r="C369" s="595"/>
      <c r="M369" s="139"/>
      <c r="N369" s="159"/>
    </row>
    <row r="370" spans="2:14" ht="15" customHeight="1">
      <c r="B370" s="595"/>
      <c r="C370" s="595"/>
      <c r="M370" s="139"/>
      <c r="N370" s="159"/>
    </row>
    <row r="371" spans="2:14" ht="15" customHeight="1">
      <c r="B371" s="595"/>
      <c r="C371" s="595"/>
      <c r="M371" s="139"/>
      <c r="N371" s="159"/>
    </row>
    <row r="372" spans="2:14" ht="15" customHeight="1">
      <c r="B372" s="595"/>
      <c r="C372" s="595"/>
      <c r="M372" s="139"/>
      <c r="N372" s="159"/>
    </row>
    <row r="373" spans="2:14" ht="15" customHeight="1">
      <c r="B373" s="595"/>
      <c r="C373" s="595"/>
      <c r="M373" s="139"/>
      <c r="N373" s="159"/>
    </row>
    <row r="374" spans="2:14" ht="15" customHeight="1">
      <c r="B374" s="595"/>
      <c r="C374" s="595"/>
      <c r="M374" s="139"/>
      <c r="N374" s="159"/>
    </row>
    <row r="375" spans="2:14" ht="15" customHeight="1">
      <c r="B375" s="595"/>
      <c r="C375" s="595"/>
      <c r="M375" s="139"/>
      <c r="N375" s="159"/>
    </row>
    <row r="376" spans="2:14" ht="15" customHeight="1">
      <c r="B376" s="595"/>
      <c r="C376" s="595"/>
      <c r="M376" s="139"/>
      <c r="N376" s="159"/>
    </row>
    <row r="377" spans="2:14" ht="15" customHeight="1">
      <c r="B377" s="595"/>
      <c r="C377" s="595"/>
      <c r="M377" s="139"/>
      <c r="N377" s="159"/>
    </row>
    <row r="378" spans="2:14" ht="15" customHeight="1">
      <c r="B378" s="595"/>
      <c r="C378" s="595"/>
      <c r="M378" s="139"/>
      <c r="N378" s="159"/>
    </row>
    <row r="379" spans="2:14" ht="15" customHeight="1">
      <c r="B379" s="595"/>
      <c r="C379" s="595"/>
      <c r="M379" s="139"/>
      <c r="N379" s="159"/>
    </row>
    <row r="380" spans="2:14" ht="15" customHeight="1">
      <c r="B380" s="595"/>
      <c r="C380" s="595"/>
      <c r="M380" s="139"/>
      <c r="N380" s="159"/>
    </row>
    <row r="381" spans="2:14" ht="15" customHeight="1">
      <c r="B381" s="595"/>
      <c r="C381" s="595"/>
      <c r="M381" s="139"/>
      <c r="N381" s="159"/>
    </row>
    <row r="382" spans="2:14" ht="15" customHeight="1">
      <c r="B382" s="595"/>
      <c r="C382" s="595"/>
      <c r="M382" s="139"/>
      <c r="N382" s="159"/>
    </row>
    <row r="383" spans="2:14" ht="15" customHeight="1">
      <c r="B383" s="595"/>
      <c r="C383" s="595"/>
      <c r="M383" s="139"/>
      <c r="N383" s="159"/>
    </row>
    <row r="384" spans="2:14" ht="15" customHeight="1">
      <c r="B384" s="595"/>
      <c r="C384" s="595"/>
      <c r="M384" s="139"/>
      <c r="N384" s="159"/>
    </row>
    <row r="385" spans="2:14" ht="15" customHeight="1">
      <c r="B385" s="595"/>
      <c r="C385" s="595"/>
      <c r="M385" s="139"/>
      <c r="N385" s="159"/>
    </row>
    <row r="386" spans="2:14" ht="15" customHeight="1">
      <c r="B386" s="595"/>
      <c r="C386" s="595"/>
      <c r="M386" s="139"/>
      <c r="N386" s="159"/>
    </row>
    <row r="387" spans="2:14" ht="15" customHeight="1">
      <c r="B387" s="595"/>
      <c r="C387" s="595"/>
      <c r="M387" s="139"/>
      <c r="N387" s="159"/>
    </row>
    <row r="388" spans="2:14" ht="15" customHeight="1">
      <c r="B388" s="595"/>
      <c r="C388" s="595"/>
      <c r="M388" s="139"/>
      <c r="N388" s="159"/>
    </row>
    <row r="389" spans="2:14" ht="15" customHeight="1">
      <c r="B389" s="595"/>
      <c r="C389" s="595"/>
      <c r="M389" s="139"/>
      <c r="N389" s="159"/>
    </row>
    <row r="390" spans="2:14" ht="15" customHeight="1">
      <c r="B390" s="595"/>
      <c r="C390" s="595"/>
      <c r="M390" s="139"/>
      <c r="N390" s="159"/>
    </row>
    <row r="391" spans="2:14" ht="15" customHeight="1">
      <c r="B391" s="595"/>
      <c r="C391" s="595"/>
      <c r="M391" s="139"/>
      <c r="N391" s="159"/>
    </row>
    <row r="392" spans="2:14" ht="15" customHeight="1">
      <c r="B392" s="595"/>
      <c r="C392" s="595"/>
      <c r="M392" s="139"/>
      <c r="N392" s="159"/>
    </row>
    <row r="393" spans="2:14" ht="15" customHeight="1">
      <c r="B393" s="595"/>
      <c r="C393" s="595"/>
      <c r="M393" s="139"/>
      <c r="N393" s="159"/>
    </row>
    <row r="394" spans="2:14" ht="15" customHeight="1">
      <c r="B394" s="595"/>
      <c r="C394" s="595"/>
      <c r="M394" s="139"/>
      <c r="N394" s="159"/>
    </row>
    <row r="395" spans="2:14" ht="15" customHeight="1">
      <c r="B395" s="595"/>
      <c r="C395" s="595"/>
      <c r="M395" s="139"/>
      <c r="N395" s="159"/>
    </row>
    <row r="396" spans="2:14" ht="15" customHeight="1">
      <c r="B396" s="595"/>
      <c r="C396" s="595"/>
      <c r="M396" s="139"/>
      <c r="N396" s="159"/>
    </row>
    <row r="397" spans="2:14" ht="15" customHeight="1">
      <c r="B397" s="595"/>
      <c r="C397" s="595"/>
      <c r="M397" s="139"/>
      <c r="N397" s="159"/>
    </row>
    <row r="398" spans="2:14" ht="15" customHeight="1">
      <c r="B398" s="595"/>
      <c r="C398" s="595"/>
      <c r="M398" s="139"/>
      <c r="N398" s="159"/>
    </row>
    <row r="399" spans="2:14" ht="15" customHeight="1">
      <c r="B399" s="595"/>
      <c r="C399" s="595"/>
      <c r="M399" s="139"/>
      <c r="N399" s="159"/>
    </row>
    <row r="400" spans="2:14" ht="15" customHeight="1">
      <c r="B400" s="595"/>
      <c r="C400" s="595"/>
      <c r="M400" s="139"/>
      <c r="N400" s="159"/>
    </row>
    <row r="401" spans="2:14" ht="15" customHeight="1">
      <c r="B401" s="595"/>
      <c r="C401" s="595"/>
      <c r="M401" s="139"/>
      <c r="N401" s="159"/>
    </row>
    <row r="402" spans="2:14" ht="15" customHeight="1">
      <c r="B402" s="595"/>
      <c r="C402" s="595"/>
      <c r="M402" s="139"/>
      <c r="N402" s="159"/>
    </row>
    <row r="403" spans="2:14" ht="15" customHeight="1">
      <c r="B403" s="595"/>
      <c r="C403" s="595"/>
      <c r="M403" s="139"/>
      <c r="N403" s="159"/>
    </row>
    <row r="404" spans="2:14" ht="15" customHeight="1">
      <c r="B404" s="595"/>
      <c r="C404" s="595"/>
      <c r="M404" s="139"/>
      <c r="N404" s="159"/>
    </row>
    <row r="405" spans="2:14" ht="15" customHeight="1">
      <c r="B405" s="595"/>
      <c r="C405" s="595"/>
      <c r="M405" s="139"/>
      <c r="N405" s="159"/>
    </row>
    <row r="406" spans="2:14" ht="15" customHeight="1">
      <c r="B406" s="595"/>
      <c r="C406" s="595"/>
      <c r="M406" s="139"/>
      <c r="N406" s="159"/>
    </row>
    <row r="407" spans="2:14" ht="15" customHeight="1">
      <c r="B407" s="595"/>
      <c r="C407" s="595"/>
      <c r="M407" s="139"/>
      <c r="N407" s="159"/>
    </row>
    <row r="408" spans="2:14" ht="15" customHeight="1">
      <c r="B408" s="595"/>
      <c r="C408" s="595"/>
      <c r="M408" s="139"/>
      <c r="N408" s="159"/>
    </row>
    <row r="409" spans="2:14" ht="15" customHeight="1">
      <c r="B409" s="595"/>
      <c r="C409" s="595"/>
      <c r="M409" s="139"/>
      <c r="N409" s="159"/>
    </row>
    <row r="410" spans="2:14" ht="15" customHeight="1">
      <c r="B410" s="595"/>
      <c r="C410" s="595"/>
      <c r="M410" s="139"/>
      <c r="N410" s="159"/>
    </row>
    <row r="411" spans="2:14" ht="15" customHeight="1">
      <c r="B411" s="595"/>
      <c r="C411" s="595"/>
      <c r="M411" s="139"/>
      <c r="N411" s="159"/>
    </row>
    <row r="412" spans="2:14" ht="15" customHeight="1">
      <c r="B412" s="595"/>
      <c r="C412" s="595"/>
      <c r="M412" s="139"/>
      <c r="N412" s="159"/>
    </row>
    <row r="413" spans="2:14" ht="15" customHeight="1">
      <c r="B413" s="595"/>
      <c r="C413" s="595"/>
      <c r="M413" s="139"/>
      <c r="N413" s="159"/>
    </row>
    <row r="414" spans="2:14" ht="15" customHeight="1">
      <c r="B414" s="595"/>
      <c r="C414" s="595"/>
      <c r="M414" s="139"/>
      <c r="N414" s="159"/>
    </row>
    <row r="415" spans="2:14" ht="15" customHeight="1">
      <c r="B415" s="595"/>
      <c r="C415" s="595"/>
      <c r="M415" s="139"/>
      <c r="N415" s="159"/>
    </row>
    <row r="416" spans="2:14" ht="15" customHeight="1">
      <c r="B416" s="595"/>
      <c r="C416" s="595"/>
      <c r="M416" s="139"/>
      <c r="N416" s="159"/>
    </row>
    <row r="417" spans="2:14" ht="15" customHeight="1">
      <c r="B417" s="595"/>
      <c r="C417" s="595"/>
      <c r="M417" s="139"/>
      <c r="N417" s="159"/>
    </row>
    <row r="418" spans="2:14" ht="15" customHeight="1">
      <c r="B418" s="595"/>
      <c r="C418" s="595"/>
      <c r="M418" s="139"/>
      <c r="N418" s="159"/>
    </row>
    <row r="419" spans="2:14" ht="15" customHeight="1">
      <c r="B419" s="595"/>
      <c r="C419" s="595"/>
      <c r="M419" s="139"/>
      <c r="N419" s="159"/>
    </row>
    <row r="420" spans="2:14" ht="15" customHeight="1">
      <c r="B420" s="595"/>
      <c r="C420" s="595"/>
      <c r="M420" s="139"/>
      <c r="N420" s="159"/>
    </row>
    <row r="421" spans="2:14" ht="15" customHeight="1">
      <c r="B421" s="595"/>
      <c r="C421" s="595"/>
      <c r="M421" s="139"/>
      <c r="N421" s="159"/>
    </row>
    <row r="422" spans="2:14" ht="15" customHeight="1">
      <c r="B422" s="595"/>
      <c r="C422" s="595"/>
      <c r="M422" s="139"/>
      <c r="N422" s="159"/>
    </row>
    <row r="423" spans="2:14" ht="15" customHeight="1">
      <c r="B423" s="595"/>
      <c r="C423" s="595"/>
      <c r="M423" s="139"/>
      <c r="N423" s="159"/>
    </row>
    <row r="424" spans="2:14" ht="15" customHeight="1">
      <c r="B424" s="595"/>
      <c r="C424" s="595"/>
      <c r="M424" s="139"/>
      <c r="N424" s="159"/>
    </row>
    <row r="425" spans="2:14" ht="15" customHeight="1">
      <c r="M425" s="139"/>
      <c r="N425" s="159"/>
    </row>
    <row r="426" spans="2:14" ht="15" customHeight="1">
      <c r="M426" s="139"/>
      <c r="N426" s="159"/>
    </row>
    <row r="427" spans="2:14" ht="15" customHeight="1">
      <c r="M427" s="139"/>
      <c r="N427" s="159"/>
    </row>
    <row r="428" spans="2:14" ht="15" customHeight="1">
      <c r="M428" s="139"/>
      <c r="N428" s="159"/>
    </row>
    <row r="429" spans="2:14" ht="15" customHeight="1">
      <c r="M429" s="139"/>
      <c r="N429" s="159"/>
    </row>
    <row r="430" spans="2:14" ht="15" customHeight="1">
      <c r="M430" s="139"/>
      <c r="N430" s="159"/>
    </row>
    <row r="431" spans="2:14" ht="15" customHeight="1">
      <c r="M431" s="139"/>
      <c r="N431" s="159"/>
    </row>
    <row r="432" spans="2:14" ht="15" customHeight="1">
      <c r="M432" s="139"/>
      <c r="N432" s="159"/>
    </row>
    <row r="433" spans="13:14" ht="15" customHeight="1">
      <c r="M433" s="139"/>
      <c r="N433" s="159"/>
    </row>
    <row r="434" spans="13:14" ht="15" customHeight="1">
      <c r="M434" s="139"/>
      <c r="N434" s="159"/>
    </row>
    <row r="435" spans="13:14" ht="15" customHeight="1">
      <c r="M435" s="139"/>
      <c r="N435" s="159"/>
    </row>
    <row r="436" spans="13:14" ht="15" customHeight="1">
      <c r="M436" s="139"/>
      <c r="N436" s="159"/>
    </row>
    <row r="437" spans="13:14" ht="15" customHeight="1">
      <c r="M437" s="139"/>
      <c r="N437" s="159"/>
    </row>
    <row r="438" spans="13:14" ht="15" customHeight="1">
      <c r="M438" s="139"/>
      <c r="N438" s="159"/>
    </row>
    <row r="439" spans="13:14" ht="15" customHeight="1">
      <c r="M439" s="139"/>
      <c r="N439" s="159"/>
    </row>
    <row r="440" spans="13:14" ht="15" customHeight="1">
      <c r="M440" s="139"/>
      <c r="N440" s="159"/>
    </row>
    <row r="441" spans="13:14" ht="15" customHeight="1">
      <c r="M441" s="139"/>
      <c r="N441" s="159"/>
    </row>
    <row r="442" spans="13:14" ht="15" customHeight="1">
      <c r="M442" s="139"/>
      <c r="N442" s="159"/>
    </row>
    <row r="443" spans="13:14" ht="15" customHeight="1">
      <c r="M443" s="139"/>
      <c r="N443" s="159"/>
    </row>
    <row r="444" spans="13:14" ht="15" customHeight="1">
      <c r="M444" s="139"/>
      <c r="N444" s="159"/>
    </row>
    <row r="445" spans="13:14" ht="15" customHeight="1">
      <c r="M445" s="139"/>
      <c r="N445" s="159"/>
    </row>
    <row r="446" spans="13:14" ht="15" customHeight="1">
      <c r="M446" s="139"/>
      <c r="N446" s="159"/>
    </row>
    <row r="447" spans="13:14" ht="15" customHeight="1">
      <c r="M447" s="139"/>
      <c r="N447" s="159"/>
    </row>
    <row r="448" spans="13:14" ht="15" customHeight="1">
      <c r="M448" s="139"/>
      <c r="N448" s="159"/>
    </row>
    <row r="449" spans="13:14" ht="15" customHeight="1">
      <c r="M449" s="139"/>
      <c r="N449" s="159"/>
    </row>
    <row r="450" spans="13:14" ht="15" customHeight="1">
      <c r="M450" s="139"/>
      <c r="N450" s="159"/>
    </row>
    <row r="451" spans="13:14" ht="15" customHeight="1">
      <c r="M451" s="139"/>
      <c r="N451" s="159"/>
    </row>
    <row r="452" spans="13:14" ht="15" customHeight="1">
      <c r="M452" s="139"/>
      <c r="N452" s="159"/>
    </row>
    <row r="453" spans="13:14" ht="15" customHeight="1">
      <c r="M453" s="139"/>
      <c r="N453" s="159"/>
    </row>
    <row r="454" spans="13:14" ht="15" customHeight="1">
      <c r="M454" s="139"/>
      <c r="N454" s="159"/>
    </row>
    <row r="455" spans="13:14" ht="15" customHeight="1">
      <c r="M455" s="139"/>
      <c r="N455" s="159"/>
    </row>
    <row r="456" spans="13:14" ht="15" customHeight="1">
      <c r="M456" s="139"/>
      <c r="N456" s="159"/>
    </row>
    <row r="457" spans="13:14" ht="15" customHeight="1">
      <c r="M457" s="139"/>
      <c r="N457" s="159"/>
    </row>
    <row r="458" spans="13:14" ht="15" customHeight="1">
      <c r="M458" s="139"/>
      <c r="N458" s="159"/>
    </row>
    <row r="459" spans="13:14" ht="15" customHeight="1">
      <c r="M459" s="139"/>
      <c r="N459" s="159"/>
    </row>
    <row r="460" spans="13:14" ht="15" customHeight="1">
      <c r="M460" s="139"/>
      <c r="N460" s="159"/>
    </row>
    <row r="461" spans="13:14" ht="15" customHeight="1">
      <c r="M461" s="139"/>
      <c r="N461" s="159"/>
    </row>
    <row r="462" spans="13:14" ht="15" customHeight="1">
      <c r="M462" s="139"/>
      <c r="N462" s="159"/>
    </row>
    <row r="463" spans="13:14" ht="15" customHeight="1">
      <c r="M463" s="139"/>
      <c r="N463" s="159"/>
    </row>
    <row r="464" spans="13:14" ht="15" customHeight="1">
      <c r="M464" s="139"/>
      <c r="N464" s="159"/>
    </row>
    <row r="465" spans="13:14" ht="15" customHeight="1">
      <c r="M465" s="139"/>
      <c r="N465" s="159"/>
    </row>
    <row r="466" spans="13:14" ht="15" customHeight="1">
      <c r="M466" s="139"/>
      <c r="N466" s="159"/>
    </row>
    <row r="467" spans="13:14" ht="15" customHeight="1">
      <c r="M467" s="139"/>
      <c r="N467" s="159"/>
    </row>
    <row r="468" spans="13:14" ht="15" customHeight="1">
      <c r="M468" s="139"/>
      <c r="N468" s="159"/>
    </row>
    <row r="469" spans="13:14" ht="15" customHeight="1">
      <c r="M469" s="139"/>
      <c r="N469" s="159"/>
    </row>
    <row r="470" spans="13:14" ht="15" customHeight="1">
      <c r="M470" s="139"/>
      <c r="N470" s="159"/>
    </row>
    <row r="471" spans="13:14" ht="15" customHeight="1">
      <c r="M471" s="139"/>
      <c r="N471" s="159"/>
    </row>
    <row r="472" spans="13:14" ht="15" customHeight="1">
      <c r="M472" s="139"/>
      <c r="N472" s="159"/>
    </row>
    <row r="473" spans="13:14" ht="15" customHeight="1">
      <c r="M473" s="139"/>
      <c r="N473" s="159"/>
    </row>
    <row r="474" spans="13:14" ht="15" customHeight="1">
      <c r="M474" s="139"/>
      <c r="N474" s="159"/>
    </row>
    <row r="475" spans="13:14" ht="15" customHeight="1">
      <c r="M475" s="139"/>
      <c r="N475" s="159"/>
    </row>
    <row r="476" spans="13:14" ht="15" customHeight="1">
      <c r="M476" s="139"/>
      <c r="N476" s="159"/>
    </row>
    <row r="477" spans="13:14" ht="15" customHeight="1">
      <c r="M477" s="139"/>
      <c r="N477" s="159"/>
    </row>
    <row r="478" spans="13:14" ht="15" customHeight="1">
      <c r="M478" s="139"/>
      <c r="N478" s="159"/>
    </row>
    <row r="479" spans="13:14" ht="15" customHeight="1">
      <c r="M479" s="139"/>
      <c r="N479" s="159"/>
    </row>
    <row r="480" spans="13:14" ht="15" customHeight="1">
      <c r="M480" s="139"/>
      <c r="N480" s="159"/>
    </row>
    <row r="481" spans="13:14" ht="15" customHeight="1">
      <c r="M481" s="139"/>
      <c r="N481" s="159"/>
    </row>
    <row r="482" spans="13:14" ht="15" customHeight="1">
      <c r="M482" s="139"/>
      <c r="N482" s="159"/>
    </row>
    <row r="483" spans="13:14" ht="15" customHeight="1">
      <c r="M483" s="139"/>
      <c r="N483" s="159"/>
    </row>
    <row r="484" spans="13:14" ht="15" customHeight="1">
      <c r="M484" s="139"/>
      <c r="N484" s="159"/>
    </row>
    <row r="485" spans="13:14" ht="15" customHeight="1">
      <c r="M485" s="139"/>
      <c r="N485" s="159"/>
    </row>
    <row r="486" spans="13:14" ht="15" customHeight="1">
      <c r="M486" s="139"/>
      <c r="N486" s="159"/>
    </row>
    <row r="487" spans="13:14" ht="15" customHeight="1">
      <c r="M487" s="139"/>
      <c r="N487" s="159"/>
    </row>
    <row r="488" spans="13:14" ht="15" customHeight="1">
      <c r="M488" s="139"/>
      <c r="N488" s="159"/>
    </row>
    <row r="489" spans="13:14" ht="15" customHeight="1">
      <c r="M489" s="139"/>
      <c r="N489" s="159"/>
    </row>
    <row r="490" spans="13:14" ht="15" customHeight="1">
      <c r="M490" s="139"/>
      <c r="N490" s="159"/>
    </row>
    <row r="491" spans="13:14" ht="15" customHeight="1">
      <c r="M491" s="139"/>
      <c r="N491" s="159"/>
    </row>
    <row r="492" spans="13:14" ht="15" customHeight="1">
      <c r="M492" s="139"/>
      <c r="N492" s="159"/>
    </row>
    <row r="493" spans="13:14" ht="15" customHeight="1">
      <c r="M493" s="139"/>
      <c r="N493" s="159"/>
    </row>
    <row r="494" spans="13:14" ht="15" customHeight="1">
      <c r="M494" s="139"/>
      <c r="N494" s="159"/>
    </row>
    <row r="495" spans="13:14" ht="15" customHeight="1">
      <c r="M495" s="139"/>
      <c r="N495" s="159"/>
    </row>
    <row r="496" spans="13:14" ht="15" customHeight="1">
      <c r="M496" s="139"/>
      <c r="N496" s="159"/>
    </row>
    <row r="497" spans="13:14" ht="15" customHeight="1">
      <c r="M497" s="139"/>
      <c r="N497" s="159"/>
    </row>
    <row r="498" spans="13:14" ht="15" customHeight="1">
      <c r="M498" s="139"/>
      <c r="N498" s="159"/>
    </row>
    <row r="499" spans="13:14" ht="15" customHeight="1">
      <c r="M499" s="139"/>
      <c r="N499" s="159"/>
    </row>
    <row r="500" spans="13:14" ht="15" customHeight="1">
      <c r="M500" s="139"/>
      <c r="N500" s="159"/>
    </row>
    <row r="501" spans="13:14" ht="15" customHeight="1">
      <c r="M501" s="139"/>
      <c r="N501" s="159"/>
    </row>
    <row r="502" spans="13:14" ht="15" customHeight="1">
      <c r="M502" s="139"/>
      <c r="N502" s="159"/>
    </row>
    <row r="503" spans="13:14" ht="15" customHeight="1">
      <c r="M503" s="139"/>
      <c r="N503" s="159"/>
    </row>
    <row r="504" spans="13:14" ht="15" customHeight="1">
      <c r="M504" s="139"/>
      <c r="N504" s="159"/>
    </row>
    <row r="505" spans="13:14" ht="15" customHeight="1">
      <c r="M505" s="139"/>
      <c r="N505" s="159"/>
    </row>
    <row r="506" spans="13:14" ht="15" customHeight="1">
      <c r="M506" s="139"/>
      <c r="N506" s="159"/>
    </row>
    <row r="507" spans="13:14" ht="15" customHeight="1">
      <c r="M507" s="139"/>
      <c r="N507" s="159"/>
    </row>
    <row r="508" spans="13:14" ht="15" customHeight="1">
      <c r="M508" s="139"/>
      <c r="N508" s="159"/>
    </row>
    <row r="509" spans="13:14" ht="15" customHeight="1">
      <c r="M509" s="139"/>
      <c r="N509" s="159"/>
    </row>
    <row r="510" spans="13:14" ht="15" customHeight="1">
      <c r="M510" s="139"/>
      <c r="N510" s="159"/>
    </row>
    <row r="511" spans="13:14" ht="15" customHeight="1">
      <c r="M511" s="139"/>
      <c r="N511" s="159"/>
    </row>
    <row r="512" spans="13:14" ht="15" customHeight="1">
      <c r="M512" s="139"/>
      <c r="N512" s="159"/>
    </row>
    <row r="513" spans="13:14" ht="15" customHeight="1">
      <c r="M513" s="139"/>
      <c r="N513" s="159"/>
    </row>
    <row r="514" spans="13:14" ht="15" customHeight="1">
      <c r="M514" s="139"/>
      <c r="N514" s="159"/>
    </row>
    <row r="515" spans="13:14" ht="15" customHeight="1">
      <c r="M515" s="139"/>
      <c r="N515" s="159"/>
    </row>
    <row r="516" spans="13:14" ht="15" customHeight="1">
      <c r="M516" s="139"/>
      <c r="N516" s="159"/>
    </row>
    <row r="517" spans="13:14" ht="15" customHeight="1">
      <c r="M517" s="139"/>
      <c r="N517" s="159"/>
    </row>
    <row r="518" spans="13:14" ht="15" customHeight="1">
      <c r="M518" s="139"/>
      <c r="N518" s="159"/>
    </row>
    <row r="519" spans="13:14" ht="15" customHeight="1">
      <c r="M519" s="139"/>
      <c r="N519" s="159"/>
    </row>
    <row r="520" spans="13:14" ht="15" customHeight="1">
      <c r="M520" s="139"/>
      <c r="N520" s="159"/>
    </row>
    <row r="521" spans="13:14" ht="15" customHeight="1">
      <c r="N521" s="159"/>
    </row>
    <row r="522" spans="13:14" ht="15" customHeight="1">
      <c r="N522" s="159"/>
    </row>
    <row r="523" spans="13:14" ht="15" customHeight="1">
      <c r="N523" s="159"/>
    </row>
    <row r="524" spans="13:14" ht="15" customHeight="1">
      <c r="N524" s="159"/>
    </row>
    <row r="525" spans="13:14" ht="15" customHeight="1">
      <c r="N525" s="159"/>
    </row>
    <row r="526" spans="13:14" ht="15" customHeight="1">
      <c r="N526" s="159"/>
    </row>
  </sheetData>
  <autoFilter ref="A3:AL4" xr:uid="{00000000-0009-0000-0000-000002000000}">
    <sortState xmlns:xlrd2="http://schemas.microsoft.com/office/spreadsheetml/2017/richdata2" ref="A4:AL19">
      <sortCondition ref="A3:A4"/>
    </sortState>
  </autoFilter>
  <pageMargins left="0.7" right="0.7" top="0.75" bottom="0.75" header="0" footer="0"/>
  <pageSetup scale="17" fitToHeight="0" orientation="portrait" horizontalDpi="360" verticalDpi="360" r:id="rId1"/>
  <ignoredErrors>
    <ignoredError sqref="AG6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4">
    <tabColor rgb="FF00B050"/>
    <pageSetUpPr fitToPage="1"/>
  </sheetPr>
  <dimension ref="A1:AL549"/>
  <sheetViews>
    <sheetView showGridLines="0" zoomScale="96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" sqref="E2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style="773" customWidth="1"/>
    <col min="34" max="34" width="20.33203125" customWidth="1"/>
    <col min="35" max="35" width="14.44140625" customWidth="1"/>
    <col min="36" max="36" width="17.5546875" customWidth="1"/>
    <col min="37" max="37" width="5.109375" customWidth="1"/>
    <col min="38" max="38" width="14.44140625" customWidth="1"/>
  </cols>
  <sheetData>
    <row r="1" spans="1:38" ht="15" customHeight="1" thickBot="1">
      <c r="D1" s="1075" t="s">
        <v>1906</v>
      </c>
      <c r="E1" s="1076">
        <f>+AL3</f>
        <v>377741.42688204476</v>
      </c>
      <c r="F1" s="79">
        <f>5500/31.1035</f>
        <v>176.82897423119584</v>
      </c>
      <c r="G1" s="80"/>
      <c r="H1" s="81"/>
      <c r="I1" s="843">
        <v>553.66</v>
      </c>
      <c r="K1" s="1061"/>
      <c r="L1" s="1007"/>
      <c r="AB1" s="83"/>
      <c r="AC1" s="758"/>
      <c r="AD1" s="83"/>
      <c r="AE1" s="83"/>
      <c r="AF1" s="83"/>
      <c r="AG1" s="768" t="s">
        <v>34</v>
      </c>
      <c r="AH1" s="701" t="s">
        <v>1001</v>
      </c>
      <c r="AI1" s="699" t="s">
        <v>36</v>
      </c>
      <c r="AJ1" s="87" t="s">
        <v>37</v>
      </c>
      <c r="AK1" s="88"/>
      <c r="AL1" s="89" t="s">
        <v>38</v>
      </c>
    </row>
    <row r="2" spans="1:38" ht="15" customHeight="1" thickBot="1">
      <c r="C2" s="847">
        <f>+E2/0.9006</f>
        <v>5730.5244033397785</v>
      </c>
      <c r="D2" s="1075" t="s">
        <v>1907</v>
      </c>
      <c r="E2" s="1076">
        <f>+AH3</f>
        <v>5160.9102776478039</v>
      </c>
      <c r="F2" s="1079" t="s">
        <v>1908</v>
      </c>
      <c r="G2" s="1080">
        <f>+Q2</f>
        <v>90.055994427929775</v>
      </c>
      <c r="H2" s="90"/>
      <c r="I2" s="91">
        <f>SUBTOTAL(9,I4:I8844)</f>
        <v>553.66000000000008</v>
      </c>
      <c r="J2" s="81"/>
      <c r="K2" s="91">
        <f>SUBTOTAL(9,K4:K8844)</f>
        <v>503.19969700000007</v>
      </c>
      <c r="L2" s="93">
        <f>SUMPRODUCT(L5:L8844,K5:K8844)/K2</f>
        <v>0.33217483654009433</v>
      </c>
      <c r="M2" s="6"/>
      <c r="P2" s="6"/>
      <c r="Q2" s="94">
        <f>+SUMPRODUCT(Q5:Q8844,AH5:AH8844)/SUM(AH5:AH8844)</f>
        <v>90.055994427929775</v>
      </c>
      <c r="R2" s="89">
        <f>+SUMPRODUCT(R5:R8844,AH5:AH8844)/SUM(AH5:AH8844)</f>
        <v>2902.3275571516474</v>
      </c>
      <c r="S2" s="6"/>
      <c r="AB2" s="83"/>
      <c r="AC2" s="83"/>
      <c r="AD2" s="83"/>
      <c r="AE2" s="83"/>
      <c r="AF2" s="83"/>
      <c r="AG2" s="769">
        <f>SUMPRODUCT($AG5:$AG8844,$K5:$K8844)/SUM($K5:$K8844)</f>
        <v>47.984680928562447</v>
      </c>
      <c r="AH2" s="702"/>
      <c r="AI2" s="252">
        <v>3020</v>
      </c>
      <c r="AJ2" s="98"/>
      <c r="AK2" s="88"/>
      <c r="AL2" s="99"/>
    </row>
    <row r="3" spans="1:38" ht="15" customHeight="1" thickBot="1">
      <c r="A3" s="678" t="s">
        <v>11</v>
      </c>
      <c r="B3" s="678" t="s">
        <v>39</v>
      </c>
      <c r="C3" s="678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18">
        <f>SUBTOTAL(9,AH5:AH8844)</f>
        <v>5160.9102776478039</v>
      </c>
      <c r="AI3" s="700">
        <f>SUMPRODUCT(K5:K8844,AI5:AI8844)/K2</f>
        <v>73.196758207167704</v>
      </c>
      <c r="AJ3" s="118">
        <f>SUBTOTAL(9,AJ5:AJ8844)</f>
        <v>5107.5689471926662</v>
      </c>
      <c r="AK3" s="88"/>
      <c r="AL3" s="118">
        <f>SUBTOTAL(9,AL5:AL8844)</f>
        <v>377741.42688204476</v>
      </c>
    </row>
    <row r="4" spans="1:38" s="677" customFormat="1" ht="15.75" customHeight="1">
      <c r="A4" s="720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4"/>
      <c r="AJ4" s="675"/>
      <c r="AK4" s="676"/>
      <c r="AL4" s="732"/>
    </row>
    <row r="5" spans="1:38" ht="15.75" customHeight="1">
      <c r="A5" s="857" t="s">
        <v>1639</v>
      </c>
      <c r="B5" s="1025">
        <v>45685</v>
      </c>
      <c r="C5" s="595">
        <v>45675</v>
      </c>
      <c r="D5" t="s">
        <v>154</v>
      </c>
      <c r="E5">
        <f>_xlfn.XLOOKUP(D5,RUC!$B$3:$B$123,RUC!$D$3:$D$123)</f>
        <v>10416085884</v>
      </c>
      <c r="G5" s="80" t="s">
        <v>1434</v>
      </c>
      <c r="H5" t="s">
        <v>108</v>
      </c>
      <c r="I5" s="596">
        <v>2.72</v>
      </c>
      <c r="J5" s="596">
        <v>1.95</v>
      </c>
      <c r="K5" s="138">
        <f t="shared" ref="K5:K64" si="0">+I5-(I5*(J5/100))</f>
        <v>2.66696</v>
      </c>
      <c r="L5" s="139">
        <v>9.6000000000000002E-2</v>
      </c>
      <c r="M5" s="139">
        <v>8.5999999999999993E-2</v>
      </c>
      <c r="N5" s="159">
        <v>8.5999999999999993E-2</v>
      </c>
      <c r="O5" s="139">
        <f t="shared" ref="O5:O64" si="1">+ROUND((M5+N5)/2,3)</f>
        <v>8.5999999999999993E-2</v>
      </c>
      <c r="P5" s="629">
        <v>90</v>
      </c>
      <c r="Q5" s="760">
        <v>89.92</v>
      </c>
      <c r="R5" s="706">
        <v>2715.2</v>
      </c>
      <c r="S5" s="765">
        <f t="shared" ref="S5" si="2">IF((90+ROUNDDOWN(O5,1)*100)&lt;95,95,(90+ROUNDDOWN(O5,1)*100))</f>
        <v>95</v>
      </c>
      <c r="U5" s="1005">
        <v>120</v>
      </c>
      <c r="V5" s="715">
        <v>1.1023000000000001</v>
      </c>
      <c r="Z5" s="143">
        <f t="shared" ref="Z5:Z22" si="3"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 t="shared" ref="AA5:AA64" si="4">+Y5+Z5</f>
        <v>30</v>
      </c>
      <c r="AB5" s="145">
        <v>0</v>
      </c>
      <c r="AC5" s="145">
        <v>0</v>
      </c>
      <c r="AD5" s="145">
        <f t="shared" ref="AD5:AD64" si="5">+(Q5-P5)*(R5-U5)*L5*V5/100</f>
        <v>-0.21970091212799531</v>
      </c>
      <c r="AE5" s="145">
        <f t="shared" ref="AE5:AE64" si="6">+(Y5*V5-70)+V5*(Z5-IF(D5="UNTUCA",IF(+((W5-3)*2.5+(X5-3)*3.1)&gt;0,+((W5-3)*1.5+(X5-3)*3.1),0),IF(+((W5-3)*1.5+(X5-3)*3.1)&gt;0,+((W5-3)*1.5+(X5-3)*3.1),0)))</f>
        <v>-36.930999999999997</v>
      </c>
      <c r="AF5" s="145">
        <f t="shared" ref="AF5:AF64" si="7">(L5-O5)*(R5-U5)*Q5*V5/100</f>
        <v>25.723315128320017</v>
      </c>
      <c r="AG5" s="772">
        <f>+IF(D5="RONALD WILLIAN GARIBAY ESCUDERO",AC5+AD5+AE5+AF5+70,AC5+AD5+AE5+AF5)+70+61.58</f>
        <v>120.15261421619202</v>
      </c>
      <c r="AH5" s="146">
        <f t="shared" ref="AH5:AH64" si="8">31.1035*L5*Q5*1.1023*K5/100</f>
        <v>7.8931999157408788</v>
      </c>
      <c r="AI5" s="156">
        <f t="shared" ref="AI5:AI64" si="9">+((+$AI$2-R5+U5)*L5*Q5*V5)/100</f>
        <v>40.421446115328024</v>
      </c>
      <c r="AJ5" s="156">
        <f t="shared" ref="AJ5:AJ64" si="10">31.1035*1.1023*K5*P5*O5/100</f>
        <v>7.0772825089702858</v>
      </c>
      <c r="AK5" s="88"/>
      <c r="AL5" s="716">
        <f t="shared" ref="AL5:AL64" si="11">+IF(AB5*K5&gt;0,AB5*K5,0)</f>
        <v>0</v>
      </c>
    </row>
    <row r="6" spans="1:38" ht="15.75" customHeight="1">
      <c r="A6" s="857" t="s">
        <v>1706</v>
      </c>
      <c r="B6" s="595">
        <v>45694</v>
      </c>
      <c r="C6" s="595">
        <v>45690</v>
      </c>
      <c r="D6" t="s">
        <v>324</v>
      </c>
      <c r="E6">
        <f>_xlfn.XLOOKUP(D6,RUC!$B$3:$B$123,RUC!$D$3:$D$123)</f>
        <v>20603329059</v>
      </c>
      <c r="G6" s="80">
        <v>94</v>
      </c>
      <c r="H6" t="s">
        <v>108</v>
      </c>
      <c r="I6" s="596">
        <v>3.06</v>
      </c>
      <c r="J6" s="596">
        <v>16</v>
      </c>
      <c r="K6" s="138">
        <f t="shared" si="0"/>
        <v>2.5704000000000002</v>
      </c>
      <c r="L6" s="139">
        <v>0.28899999999999998</v>
      </c>
      <c r="M6" s="139">
        <v>0.27700000000000002</v>
      </c>
      <c r="N6" s="598">
        <v>0.32200000000000001</v>
      </c>
      <c r="O6" s="645">
        <f t="shared" si="1"/>
        <v>0.3</v>
      </c>
      <c r="P6" s="727">
        <v>90</v>
      </c>
      <c r="Q6" s="1035">
        <v>90.1</v>
      </c>
      <c r="R6" s="706">
        <v>2826.1</v>
      </c>
      <c r="S6" s="765">
        <f>IF((80+ROUNDDOWN(O6,1)*100)&lt;95,95,(80+ROUNDDOWN(O6,1)*100))</f>
        <v>110</v>
      </c>
      <c r="U6" s="1050">
        <v>120</v>
      </c>
      <c r="V6" s="715">
        <v>1.1023000000000001</v>
      </c>
      <c r="Z6" s="143">
        <f t="shared" si="3"/>
        <v>30</v>
      </c>
      <c r="AA6" s="144">
        <f t="shared" si="4"/>
        <v>30</v>
      </c>
      <c r="AB6" s="145">
        <f t="shared" ref="AB6:AB63" si="12">+((O6*P6*(R6-U6)/100)-S6-AA6+T6)*V6</f>
        <v>651.0701881</v>
      </c>
      <c r="AC6" s="145">
        <f>+(S6-T6)*V6-'data 1'!$F$4</f>
        <v>41.253</v>
      </c>
      <c r="AD6" s="145">
        <f t="shared" si="5"/>
        <v>0.86206793466995091</v>
      </c>
      <c r="AE6" s="145">
        <f t="shared" si="6"/>
        <v>-36.930999999999997</v>
      </c>
      <c r="AF6" s="145">
        <f t="shared" si="7"/>
        <v>-29.563859171330023</v>
      </c>
      <c r="AG6" s="772">
        <f t="shared" ref="AG6:AG34" si="13">+IF(D6="RONALD WILLIAN GARIBAY ESCUDERO",AC6+AD6+AE6+AF6+70,AC6+AD6+AE6+AF6)+70-53</f>
        <v>-7.3797912366600684</v>
      </c>
      <c r="AH6" s="146">
        <f t="shared" si="8"/>
        <v>22.947343441168805</v>
      </c>
      <c r="AI6" s="156">
        <f t="shared" si="9"/>
        <v>90.097710856330011</v>
      </c>
      <c r="AJ6" s="156">
        <f t="shared" si="10"/>
        <v>23.794333589804399</v>
      </c>
      <c r="AK6" s="88"/>
      <c r="AL6" s="716">
        <f t="shared" si="11"/>
        <v>1673.5108114922402</v>
      </c>
    </row>
    <row r="7" spans="1:38" ht="15.75" customHeight="1">
      <c r="A7" s="857" t="s">
        <v>1707</v>
      </c>
      <c r="B7" s="595">
        <v>45694</v>
      </c>
      <c r="C7" s="595">
        <v>45690</v>
      </c>
      <c r="D7" t="s">
        <v>324</v>
      </c>
      <c r="E7">
        <f>_xlfn.XLOOKUP(D7,RUC!$B$3:$B$123,RUC!$D$3:$D$123)</f>
        <v>20603329059</v>
      </c>
      <c r="G7" s="80">
        <v>220</v>
      </c>
      <c r="H7" t="s">
        <v>108</v>
      </c>
      <c r="I7" s="596">
        <v>6.2</v>
      </c>
      <c r="J7" s="596">
        <v>15.15</v>
      </c>
      <c r="K7" s="138">
        <f t="shared" si="0"/>
        <v>5.2606999999999999</v>
      </c>
      <c r="L7" s="139">
        <v>0.252</v>
      </c>
      <c r="M7" s="139">
        <v>0.24099999999999999</v>
      </c>
      <c r="N7" s="598">
        <v>0.28399999999999997</v>
      </c>
      <c r="O7" s="645">
        <f t="shared" si="1"/>
        <v>0.26300000000000001</v>
      </c>
      <c r="P7" s="727">
        <v>90</v>
      </c>
      <c r="Q7" s="1035">
        <v>90.22</v>
      </c>
      <c r="R7" s="706">
        <v>2826.1</v>
      </c>
      <c r="S7" s="765">
        <f>IF((80+ROUNDDOWN(O7,1)*100)&lt;95,95,(80+ROUNDDOWN(O7,1)*100))</f>
        <v>100</v>
      </c>
      <c r="U7" s="1050">
        <v>120</v>
      </c>
      <c r="V7" s="715">
        <v>1.1023000000000001</v>
      </c>
      <c r="Z7" s="143">
        <f t="shared" si="3"/>
        <v>30</v>
      </c>
      <c r="AA7" s="144">
        <f t="shared" si="4"/>
        <v>30</v>
      </c>
      <c r="AB7" s="145">
        <f t="shared" si="12"/>
        <v>562.76148490100002</v>
      </c>
      <c r="AC7" s="145">
        <f>+(S7-T7)*V7-'data 1'!$F$4</f>
        <v>30.230000000000004</v>
      </c>
      <c r="AD7" s="145">
        <f t="shared" si="5"/>
        <v>1.6537386262319915</v>
      </c>
      <c r="AE7" s="145">
        <f t="shared" si="6"/>
        <v>-36.930999999999997</v>
      </c>
      <c r="AF7" s="145">
        <f t="shared" si="7"/>
        <v>-29.603233900526025</v>
      </c>
      <c r="AG7" s="772">
        <f t="shared" si="13"/>
        <v>-17.65049527429403</v>
      </c>
      <c r="AH7" s="146">
        <f t="shared" si="8"/>
        <v>41.006808393562295</v>
      </c>
      <c r="AI7" s="156">
        <f t="shared" si="9"/>
        <v>78.667343832168029</v>
      </c>
      <c r="AJ7" s="156">
        <f t="shared" si="10"/>
        <v>42.692428854494111</v>
      </c>
      <c r="AK7" s="88"/>
      <c r="AL7" s="716">
        <f t="shared" si="11"/>
        <v>2960.5193436186905</v>
      </c>
    </row>
    <row r="8" spans="1:38" ht="15.75" customHeight="1">
      <c r="A8" s="857" t="s">
        <v>1709</v>
      </c>
      <c r="B8" s="595">
        <v>45694</v>
      </c>
      <c r="C8" s="595">
        <v>45690</v>
      </c>
      <c r="D8" t="s">
        <v>324</v>
      </c>
      <c r="E8">
        <f>_xlfn.XLOOKUP(D8,RUC!$B$3:$B$123,RUC!$D$3:$D$123)</f>
        <v>20603329059</v>
      </c>
      <c r="G8" s="80">
        <v>113</v>
      </c>
      <c r="H8" t="s">
        <v>108</v>
      </c>
      <c r="I8" s="596">
        <v>3.54</v>
      </c>
      <c r="J8" s="596">
        <v>16</v>
      </c>
      <c r="K8" s="138">
        <f t="shared" si="0"/>
        <v>2.9736000000000002</v>
      </c>
      <c r="L8" s="139">
        <v>0.23799999999999999</v>
      </c>
      <c r="M8" s="139">
        <v>0.22800000000000001</v>
      </c>
      <c r="N8" s="159">
        <v>0.22800000000000001</v>
      </c>
      <c r="O8" s="645">
        <f t="shared" si="1"/>
        <v>0.22800000000000001</v>
      </c>
      <c r="P8" s="727">
        <v>90</v>
      </c>
      <c r="Q8" s="1035">
        <v>90.08</v>
      </c>
      <c r="R8" s="706">
        <v>2826.1</v>
      </c>
      <c r="S8" s="765">
        <f>IF((80+ROUNDDOWN(O8,1)*100)&lt;95,95,(80+ROUNDDOWN(O8,1)*100))</f>
        <v>100</v>
      </c>
      <c r="U8" s="1050">
        <v>120</v>
      </c>
      <c r="V8" s="715">
        <v>1.1023000000000001</v>
      </c>
      <c r="Z8" s="143">
        <f t="shared" si="3"/>
        <v>30</v>
      </c>
      <c r="AA8" s="144">
        <f t="shared" si="4"/>
        <v>30</v>
      </c>
      <c r="AB8" s="145">
        <f t="shared" si="12"/>
        <v>468.79906295599994</v>
      </c>
      <c r="AC8" s="145">
        <f>+(S8-T8)*V8-'data 1'!$F$4</f>
        <v>30.230000000000004</v>
      </c>
      <c r="AD8" s="145">
        <f t="shared" si="5"/>
        <v>0.56795063931198786</v>
      </c>
      <c r="AE8" s="145">
        <f t="shared" si="6"/>
        <v>-36.930999999999997</v>
      </c>
      <c r="AF8" s="145">
        <f t="shared" si="7"/>
        <v>26.870269742239948</v>
      </c>
      <c r="AG8" s="772">
        <f t="shared" si="13"/>
        <v>37.737220381551936</v>
      </c>
      <c r="AH8" s="146">
        <f t="shared" si="8"/>
        <v>21.857322081847823</v>
      </c>
      <c r="AI8" s="156">
        <f t="shared" si="9"/>
        <v>74.181644653088028</v>
      </c>
      <c r="AJ8" s="156">
        <f t="shared" si="10"/>
        <v>20.920351336604497</v>
      </c>
      <c r="AK8" s="88"/>
      <c r="AL8" s="716">
        <f t="shared" si="11"/>
        <v>1394.0208936059616</v>
      </c>
    </row>
    <row r="9" spans="1:38" ht="15.75" customHeight="1">
      <c r="A9" s="857" t="s">
        <v>1711</v>
      </c>
      <c r="B9" s="595">
        <v>45694</v>
      </c>
      <c r="C9" s="595">
        <v>45690</v>
      </c>
      <c r="D9" t="s">
        <v>324</v>
      </c>
      <c r="E9">
        <f>_xlfn.XLOOKUP(D9,RUC!$B$3:$B$123,RUC!$D$3:$D$123)</f>
        <v>20603329059</v>
      </c>
      <c r="G9" s="80">
        <v>79</v>
      </c>
      <c r="H9" t="s">
        <v>108</v>
      </c>
      <c r="I9" s="596">
        <v>2.37</v>
      </c>
      <c r="J9" s="596">
        <v>15.75</v>
      </c>
      <c r="K9" s="138">
        <f t="shared" si="0"/>
        <v>1.9967250000000001</v>
      </c>
      <c r="L9" s="139">
        <v>0.33800000000000002</v>
      </c>
      <c r="M9" s="139">
        <v>0.32400000000000001</v>
      </c>
      <c r="N9" s="159">
        <v>0.32400000000000001</v>
      </c>
      <c r="O9" s="645">
        <f t="shared" si="1"/>
        <v>0.32400000000000001</v>
      </c>
      <c r="P9" s="727">
        <v>90</v>
      </c>
      <c r="Q9" s="1035">
        <v>90.26</v>
      </c>
      <c r="R9" s="706">
        <v>2826.1</v>
      </c>
      <c r="S9" s="765">
        <f t="shared" ref="S9:S13" si="14">IF((80+ROUNDDOWN(O9,1)*100)&lt;95,95,(80+ROUNDDOWN(O9,1)*100))</f>
        <v>110</v>
      </c>
      <c r="U9" s="1050">
        <v>120</v>
      </c>
      <c r="V9" s="715">
        <v>1.1023000000000001</v>
      </c>
      <c r="Z9" s="143">
        <f t="shared" si="3"/>
        <v>30</v>
      </c>
      <c r="AA9" s="144">
        <f t="shared" si="4"/>
        <v>30</v>
      </c>
      <c r="AB9" s="145">
        <f t="shared" si="12"/>
        <v>715.50156314800017</v>
      </c>
      <c r="AC9" s="145">
        <f>+(S9-T9)*V9-'data 1'!$F$4</f>
        <v>41.253</v>
      </c>
      <c r="AD9" s="145">
        <f t="shared" si="5"/>
        <v>2.6214024255640513</v>
      </c>
      <c r="AE9" s="145">
        <f t="shared" si="6"/>
        <v>-36.930999999999997</v>
      </c>
      <c r="AF9" s="145">
        <f t="shared" si="7"/>
        <v>37.693547576692033</v>
      </c>
      <c r="AG9" s="772">
        <f t="shared" si="13"/>
        <v>61.636950002256086</v>
      </c>
      <c r="AH9" s="146">
        <f t="shared" si="8"/>
        <v>20.885234422638145</v>
      </c>
      <c r="AI9" s="156">
        <f t="shared" si="9"/>
        <v>105.56091659323606</v>
      </c>
      <c r="AJ9" s="156">
        <f t="shared" si="10"/>
        <v>19.96249610802613</v>
      </c>
      <c r="AK9" s="88"/>
      <c r="AL9" s="716">
        <f t="shared" si="11"/>
        <v>1428.6598586766906</v>
      </c>
    </row>
    <row r="10" spans="1:38" ht="15.75" customHeight="1">
      <c r="A10" s="857" t="s">
        <v>1712</v>
      </c>
      <c r="B10" s="595">
        <v>45694</v>
      </c>
      <c r="C10" s="595">
        <v>45690</v>
      </c>
      <c r="D10" t="s">
        <v>324</v>
      </c>
      <c r="E10">
        <f>_xlfn.XLOOKUP(D10,RUC!$B$3:$B$123,RUC!$D$3:$D$123)</f>
        <v>20603329059</v>
      </c>
      <c r="G10" s="80">
        <v>213</v>
      </c>
      <c r="H10" t="s">
        <v>108</v>
      </c>
      <c r="I10" s="596">
        <v>6.97</v>
      </c>
      <c r="J10" s="596">
        <v>14.55</v>
      </c>
      <c r="K10" s="138">
        <f t="shared" si="0"/>
        <v>5.9558649999999993</v>
      </c>
      <c r="L10" s="139">
        <v>0.54600000000000004</v>
      </c>
      <c r="M10" s="139">
        <v>0.52400000000000002</v>
      </c>
      <c r="N10" s="598">
        <v>0.59399999999999997</v>
      </c>
      <c r="O10" s="645">
        <f t="shared" si="1"/>
        <v>0.55900000000000005</v>
      </c>
      <c r="P10" s="727">
        <v>90</v>
      </c>
      <c r="Q10" s="1035">
        <v>89.86</v>
      </c>
      <c r="R10" s="706">
        <v>2826.1</v>
      </c>
      <c r="S10" s="765">
        <f t="shared" si="14"/>
        <v>130</v>
      </c>
      <c r="U10" s="1050">
        <v>120</v>
      </c>
      <c r="V10" s="715">
        <v>1.1023000000000001</v>
      </c>
      <c r="Z10" s="143">
        <f t="shared" si="3"/>
        <v>30</v>
      </c>
      <c r="AA10" s="144">
        <f t="shared" si="4"/>
        <v>30</v>
      </c>
      <c r="AB10" s="145">
        <f t="shared" si="12"/>
        <v>1324.3461104930002</v>
      </c>
      <c r="AC10" s="145">
        <f>+(S10-T10)*V10-'data 1'!$F$4</f>
        <v>63.299000000000007</v>
      </c>
      <c r="AD10" s="145">
        <f t="shared" si="5"/>
        <v>-2.2801547725320095</v>
      </c>
      <c r="AE10" s="145">
        <f t="shared" si="6"/>
        <v>-36.930999999999997</v>
      </c>
      <c r="AF10" s="145">
        <f t="shared" si="7"/>
        <v>-34.846038751654035</v>
      </c>
      <c r="AG10" s="772">
        <f t="shared" si="13"/>
        <v>6.2418064758139664</v>
      </c>
      <c r="AH10" s="146">
        <f t="shared" si="8"/>
        <v>100.18736889732162</v>
      </c>
      <c r="AI10" s="156">
        <f t="shared" si="9"/>
        <v>169.76579050813206</v>
      </c>
      <c r="AJ10" s="156">
        <f t="shared" si="10"/>
        <v>102.73258869157171</v>
      </c>
      <c r="AK10" s="88"/>
      <c r="AL10" s="716">
        <f t="shared" si="11"/>
        <v>7887.6266473713913</v>
      </c>
    </row>
    <row r="11" spans="1:38" ht="15.75" customHeight="1">
      <c r="A11" s="857" t="s">
        <v>1713</v>
      </c>
      <c r="B11" s="595">
        <v>45694</v>
      </c>
      <c r="C11" s="595">
        <v>45690</v>
      </c>
      <c r="D11" t="s">
        <v>324</v>
      </c>
      <c r="E11">
        <f>_xlfn.XLOOKUP(D11,RUC!$B$3:$B$123,RUC!$D$3:$D$123)</f>
        <v>20603329059</v>
      </c>
      <c r="G11" s="80">
        <v>100</v>
      </c>
      <c r="H11" t="s">
        <v>108</v>
      </c>
      <c r="I11" s="596">
        <v>3.23</v>
      </c>
      <c r="J11" s="596">
        <v>14.6</v>
      </c>
      <c r="K11" s="138">
        <f t="shared" si="0"/>
        <v>2.7584200000000001</v>
      </c>
      <c r="L11" s="139">
        <v>0.307</v>
      </c>
      <c r="M11" s="139">
        <v>0.29499999999999998</v>
      </c>
      <c r="N11" s="159">
        <v>0.29499999999999998</v>
      </c>
      <c r="O11" s="645">
        <f t="shared" si="1"/>
        <v>0.29499999999999998</v>
      </c>
      <c r="P11" s="727">
        <v>90</v>
      </c>
      <c r="Q11" s="1035">
        <v>90.06</v>
      </c>
      <c r="R11" s="706">
        <v>2826.1</v>
      </c>
      <c r="S11" s="765">
        <f t="shared" si="14"/>
        <v>100</v>
      </c>
      <c r="U11" s="1050">
        <v>120</v>
      </c>
      <c r="V11" s="715">
        <v>1.1023000000000001</v>
      </c>
      <c r="Z11" s="143">
        <f t="shared" si="3"/>
        <v>30</v>
      </c>
      <c r="AA11" s="144">
        <f t="shared" si="4"/>
        <v>30</v>
      </c>
      <c r="AB11" s="145">
        <f t="shared" si="12"/>
        <v>648.66998496499991</v>
      </c>
      <c r="AC11" s="145">
        <f>+(S11-T11)*V11-'data 1'!$F$4</f>
        <v>30.230000000000004</v>
      </c>
      <c r="AD11" s="145">
        <f t="shared" si="5"/>
        <v>0.54945644832602081</v>
      </c>
      <c r="AE11" s="145">
        <f t="shared" si="6"/>
        <v>-36.930999999999997</v>
      </c>
      <c r="AF11" s="145">
        <f t="shared" si="7"/>
        <v>32.23716464901603</v>
      </c>
      <c r="AG11" s="772">
        <f t="shared" si="13"/>
        <v>43.085621097342056</v>
      </c>
      <c r="AH11" s="146">
        <f t="shared" si="8"/>
        <v>26.14807851769794</v>
      </c>
      <c r="AI11" s="156">
        <f t="shared" si="9"/>
        <v>95.666842715874026</v>
      </c>
      <c r="AJ11" s="156">
        <f t="shared" si="10"/>
        <v>25.109264277845906</v>
      </c>
      <c r="AK11" s="88"/>
      <c r="AL11" s="716">
        <f t="shared" si="11"/>
        <v>1789.304259927155</v>
      </c>
    </row>
    <row r="12" spans="1:38" ht="15.75" customHeight="1">
      <c r="A12" s="857" t="s">
        <v>1714</v>
      </c>
      <c r="B12" s="595">
        <v>45694</v>
      </c>
      <c r="C12" s="595">
        <v>45690</v>
      </c>
      <c r="D12" t="s">
        <v>324</v>
      </c>
      <c r="E12">
        <f>_xlfn.XLOOKUP(D12,RUC!$B$3:$B$123,RUC!$D$3:$D$123)</f>
        <v>20603329059</v>
      </c>
      <c r="G12" s="80">
        <v>50</v>
      </c>
      <c r="H12" t="s">
        <v>108</v>
      </c>
      <c r="I12" s="596">
        <v>2.77</v>
      </c>
      <c r="J12" s="596">
        <v>16</v>
      </c>
      <c r="K12" s="138">
        <f t="shared" si="0"/>
        <v>2.3268</v>
      </c>
      <c r="L12" s="139">
        <v>0.28299999999999997</v>
      </c>
      <c r="M12" s="139">
        <v>0.27100000000000002</v>
      </c>
      <c r="N12" s="598">
        <v>0.28699999999999998</v>
      </c>
      <c r="O12" s="645">
        <f t="shared" si="1"/>
        <v>0.27900000000000003</v>
      </c>
      <c r="P12" s="727">
        <v>90</v>
      </c>
      <c r="Q12" s="1035">
        <v>89.98</v>
      </c>
      <c r="R12" s="706">
        <v>2826.1</v>
      </c>
      <c r="S12" s="765">
        <f t="shared" si="14"/>
        <v>100</v>
      </c>
      <c r="U12" s="1050">
        <v>120</v>
      </c>
      <c r="V12" s="715">
        <v>1.1023000000000001</v>
      </c>
      <c r="Z12" s="143">
        <f t="shared" si="3"/>
        <v>30</v>
      </c>
      <c r="AA12" s="144">
        <f t="shared" si="4"/>
        <v>30</v>
      </c>
      <c r="AB12" s="145">
        <f t="shared" si="12"/>
        <v>605.71573493300002</v>
      </c>
      <c r="AC12" s="145">
        <f>+(S12-T12)*V12-'data 1'!$F$4</f>
        <v>30.230000000000004</v>
      </c>
      <c r="AD12" s="145">
        <f t="shared" si="5"/>
        <v>-0.16883406609796636</v>
      </c>
      <c r="AE12" s="145">
        <f t="shared" si="6"/>
        <v>-36.930999999999997</v>
      </c>
      <c r="AF12" s="145">
        <f t="shared" si="7"/>
        <v>10.736176160775861</v>
      </c>
      <c r="AG12" s="772">
        <f t="shared" si="13"/>
        <v>20.866342094677904</v>
      </c>
      <c r="AH12" s="146">
        <f t="shared" si="8"/>
        <v>20.314238582348501</v>
      </c>
      <c r="AI12" s="156">
        <f t="shared" si="9"/>
        <v>88.109664481498044</v>
      </c>
      <c r="AJ12" s="156">
        <f t="shared" si="10"/>
        <v>20.031562993691217</v>
      </c>
      <c r="AK12" s="88"/>
      <c r="AL12" s="716">
        <f t="shared" si="11"/>
        <v>1409.3793720421045</v>
      </c>
    </row>
    <row r="13" spans="1:38" ht="15.75" customHeight="1">
      <c r="A13" s="857" t="s">
        <v>1715</v>
      </c>
      <c r="B13" s="595">
        <v>45692</v>
      </c>
      <c r="C13" s="595">
        <v>45690</v>
      </c>
      <c r="D13" t="s">
        <v>324</v>
      </c>
      <c r="E13">
        <f>_xlfn.XLOOKUP(D13,RUC!$B$3:$B$123,RUC!$D$3:$D$123)</f>
        <v>20603329059</v>
      </c>
      <c r="G13" s="80">
        <v>221</v>
      </c>
      <c r="H13" t="s">
        <v>108</v>
      </c>
      <c r="I13" s="596">
        <v>5.94</v>
      </c>
      <c r="J13" s="596">
        <v>14.75</v>
      </c>
      <c r="K13" s="138">
        <f t="shared" si="0"/>
        <v>5.0638500000000004</v>
      </c>
      <c r="L13" s="139">
        <v>0.247</v>
      </c>
      <c r="M13" s="139">
        <v>0.23699999999999999</v>
      </c>
      <c r="N13" s="598">
        <v>0.26700000000000002</v>
      </c>
      <c r="O13" s="645">
        <f t="shared" si="1"/>
        <v>0.252</v>
      </c>
      <c r="P13" s="727">
        <v>90</v>
      </c>
      <c r="Q13" s="1035">
        <v>90.09</v>
      </c>
      <c r="R13" s="706">
        <v>2826.1</v>
      </c>
      <c r="S13" s="765">
        <f t="shared" si="14"/>
        <v>100</v>
      </c>
      <c r="U13" s="1050">
        <v>120</v>
      </c>
      <c r="V13" s="715">
        <v>1.1023000000000001</v>
      </c>
      <c r="Z13" s="143">
        <f t="shared" si="3"/>
        <v>30</v>
      </c>
      <c r="AA13" s="144">
        <f t="shared" si="4"/>
        <v>30</v>
      </c>
      <c r="AB13" s="145">
        <f t="shared" si="12"/>
        <v>533.23043800400001</v>
      </c>
      <c r="AC13" s="145">
        <f>+(S13-T13)*V13-'data 1'!$F$4</f>
        <v>30.230000000000004</v>
      </c>
      <c r="AD13" s="145">
        <f t="shared" si="5"/>
        <v>0.66310623486902509</v>
      </c>
      <c r="AE13" s="145">
        <f t="shared" si="6"/>
        <v>-36.930999999999997</v>
      </c>
      <c r="AF13" s="145">
        <f t="shared" si="7"/>
        <v>-13.436626338135014</v>
      </c>
      <c r="AG13" s="772">
        <f t="shared" si="13"/>
        <v>-2.4745201032659807</v>
      </c>
      <c r="AH13" s="146">
        <f t="shared" si="8"/>
        <v>38.633445494819618</v>
      </c>
      <c r="AI13" s="156">
        <f t="shared" si="9"/>
        <v>76.995379391931039</v>
      </c>
      <c r="AJ13" s="156">
        <f t="shared" si="10"/>
        <v>39.376122924421907</v>
      </c>
      <c r="AK13" s="88"/>
      <c r="AL13" s="716">
        <f t="shared" si="11"/>
        <v>2700.1989534865556</v>
      </c>
    </row>
    <row r="14" spans="1:38" ht="15" customHeight="1">
      <c r="A14" s="857" t="s">
        <v>1733</v>
      </c>
      <c r="B14" s="717">
        <v>45700</v>
      </c>
      <c r="C14" s="595">
        <v>45692</v>
      </c>
      <c r="D14" t="s">
        <v>324</v>
      </c>
      <c r="E14">
        <f>_xlfn.XLOOKUP(D14,RUC!$B$3:$B$123,RUC!$D$3:$D$123)</f>
        <v>20603329059</v>
      </c>
      <c r="G14" s="80">
        <v>34</v>
      </c>
      <c r="H14" t="s">
        <v>108</v>
      </c>
      <c r="I14" s="596">
        <v>2.89</v>
      </c>
      <c r="J14" s="596">
        <v>14</v>
      </c>
      <c r="K14" s="138">
        <f t="shared" si="0"/>
        <v>2.4854000000000003</v>
      </c>
      <c r="L14" s="139">
        <v>0.219</v>
      </c>
      <c r="M14" s="139">
        <v>0.20899999999999999</v>
      </c>
      <c r="N14" s="139">
        <v>0.20899999999999999</v>
      </c>
      <c r="O14" s="645">
        <f t="shared" si="1"/>
        <v>0.20899999999999999</v>
      </c>
      <c r="P14" s="727">
        <v>90</v>
      </c>
      <c r="Q14" s="1035">
        <v>90.03</v>
      </c>
      <c r="R14" s="706">
        <v>2843.55</v>
      </c>
      <c r="S14" s="842">
        <f>IF((80+ROUNDDOWN(O14,1)*100)&lt;95,95,(80+ROUNDDOWN(O14,1)*100))</f>
        <v>100</v>
      </c>
      <c r="U14" s="1050">
        <v>100</v>
      </c>
      <c r="V14" s="715">
        <v>1.1023000000000001</v>
      </c>
      <c r="Z14" s="143">
        <f t="shared" si="3"/>
        <v>30</v>
      </c>
      <c r="AA14" s="144">
        <f t="shared" si="4"/>
        <v>30</v>
      </c>
      <c r="AB14" s="145">
        <f t="shared" si="12"/>
        <v>425.55587253649998</v>
      </c>
      <c r="AC14" s="145">
        <f>+(S14-T14)*V14-'data 1'!$F$4</f>
        <v>30.230000000000004</v>
      </c>
      <c r="AD14" s="145">
        <f t="shared" si="5"/>
        <v>0.19869093634050755</v>
      </c>
      <c r="AE14" s="145">
        <f t="shared" si="6"/>
        <v>-36.930999999999997</v>
      </c>
      <c r="AF14" s="145">
        <f t="shared" si="7"/>
        <v>27.227009130495031</v>
      </c>
      <c r="AG14" s="772">
        <f t="shared" si="13"/>
        <v>37.724700066835538</v>
      </c>
      <c r="AH14" s="146">
        <f t="shared" si="8"/>
        <v>16.801061759618825</v>
      </c>
      <c r="AI14" s="156">
        <f t="shared" si="9"/>
        <v>60.082468394359466</v>
      </c>
      <c r="AJ14" s="156">
        <f t="shared" si="10"/>
        <v>16.028547140726307</v>
      </c>
      <c r="AK14" s="88"/>
      <c r="AL14" s="716">
        <f t="shared" si="11"/>
        <v>1057.6765656022171</v>
      </c>
    </row>
    <row r="15" spans="1:38" ht="15" customHeight="1">
      <c r="A15" s="857" t="s">
        <v>1734</v>
      </c>
      <c r="B15" s="717">
        <v>45700</v>
      </c>
      <c r="C15" s="595">
        <v>45692</v>
      </c>
      <c r="D15" t="s">
        <v>324</v>
      </c>
      <c r="E15">
        <f>_xlfn.XLOOKUP(D15,RUC!$B$3:$B$123,RUC!$D$3:$D$123)</f>
        <v>20603329059</v>
      </c>
      <c r="G15" s="80">
        <v>54</v>
      </c>
      <c r="H15" t="s">
        <v>108</v>
      </c>
      <c r="I15" s="596">
        <v>5.32</v>
      </c>
      <c r="J15" s="596">
        <v>15.1</v>
      </c>
      <c r="K15" s="138">
        <f t="shared" si="0"/>
        <v>4.51668</v>
      </c>
      <c r="L15" s="139">
        <v>0.308</v>
      </c>
      <c r="M15" s="139">
        <v>0.29499999999999998</v>
      </c>
      <c r="N15" s="139">
        <v>0.29499999999999998</v>
      </c>
      <c r="O15" s="645">
        <f t="shared" si="1"/>
        <v>0.29499999999999998</v>
      </c>
      <c r="P15" s="727">
        <v>90</v>
      </c>
      <c r="Q15" s="1035">
        <v>90.15</v>
      </c>
      <c r="R15" s="706">
        <v>2843.55</v>
      </c>
      <c r="S15" s="842">
        <f t="shared" ref="S15:S22" si="15">IF((80+ROUNDDOWN(O15,1)*100)&lt;95,95,(80+ROUNDDOWN(O15,1)*100))</f>
        <v>100</v>
      </c>
      <c r="U15" s="1050">
        <v>100</v>
      </c>
      <c r="V15" s="715">
        <v>1.1023000000000001</v>
      </c>
      <c r="Z15" s="143">
        <f t="shared" si="3"/>
        <v>30</v>
      </c>
      <c r="AA15" s="144">
        <f t="shared" si="4"/>
        <v>30</v>
      </c>
      <c r="AB15" s="145">
        <f t="shared" si="12"/>
        <v>659.63012630750006</v>
      </c>
      <c r="AC15" s="145">
        <f>+(S15-T15)*V15-'data 1'!$F$4</f>
        <v>30.230000000000004</v>
      </c>
      <c r="AD15" s="145">
        <f t="shared" si="5"/>
        <v>1.3971874062300529</v>
      </c>
      <c r="AE15" s="145">
        <f t="shared" si="6"/>
        <v>-36.930999999999997</v>
      </c>
      <c r="AF15" s="145">
        <f t="shared" si="7"/>
        <v>35.442289626217544</v>
      </c>
      <c r="AG15" s="772">
        <f t="shared" si="13"/>
        <v>47.138477032447611</v>
      </c>
      <c r="AH15" s="146">
        <f t="shared" si="8"/>
        <v>42.997661795597168</v>
      </c>
      <c r="AI15" s="156">
        <f t="shared" si="9"/>
        <v>84.612173107769962</v>
      </c>
      <c r="AJ15" s="156">
        <f t="shared" si="10"/>
        <v>41.114301585132445</v>
      </c>
      <c r="AK15" s="88"/>
      <c r="AL15" s="716">
        <f t="shared" si="11"/>
        <v>2979.3381988905594</v>
      </c>
    </row>
    <row r="16" spans="1:38" ht="15" customHeight="1">
      <c r="A16" s="857" t="s">
        <v>1735</v>
      </c>
      <c r="B16" s="717">
        <v>45700</v>
      </c>
      <c r="C16" s="595">
        <v>45692</v>
      </c>
      <c r="D16" t="s">
        <v>324</v>
      </c>
      <c r="E16">
        <f>_xlfn.XLOOKUP(D16,RUC!$B$3:$B$123,RUC!$D$3:$D$123)</f>
        <v>20603329059</v>
      </c>
      <c r="G16" s="80">
        <v>73</v>
      </c>
      <c r="H16" t="s">
        <v>108</v>
      </c>
      <c r="I16" s="596">
        <v>4.57</v>
      </c>
      <c r="J16" s="596">
        <v>14.5</v>
      </c>
      <c r="K16" s="138">
        <f t="shared" si="0"/>
        <v>3.9073500000000001</v>
      </c>
      <c r="L16" s="139">
        <v>0.19600000000000001</v>
      </c>
      <c r="M16" s="139">
        <v>0.186</v>
      </c>
      <c r="N16" s="139">
        <v>0.186</v>
      </c>
      <c r="O16" s="645">
        <f t="shared" si="1"/>
        <v>0.186</v>
      </c>
      <c r="P16" s="727">
        <v>90</v>
      </c>
      <c r="Q16" s="1035">
        <v>90.22</v>
      </c>
      <c r="R16" s="706">
        <v>2843.55</v>
      </c>
      <c r="S16" s="842">
        <f t="shared" si="15"/>
        <v>95</v>
      </c>
      <c r="U16" s="1050">
        <v>100</v>
      </c>
      <c r="V16" s="715">
        <v>1.1023000000000001</v>
      </c>
      <c r="Z16" s="143">
        <f t="shared" si="3"/>
        <v>30</v>
      </c>
      <c r="AA16" s="144">
        <f t="shared" si="4"/>
        <v>30</v>
      </c>
      <c r="AB16" s="145">
        <f t="shared" si="12"/>
        <v>368.46611862100008</v>
      </c>
      <c r="AC16" s="145">
        <f>+(S16-T16)*V16-'data 1'!$F$4</f>
        <v>24.718500000000006</v>
      </c>
      <c r="AD16" s="145">
        <f t="shared" si="5"/>
        <v>1.3040415791479936</v>
      </c>
      <c r="AE16" s="145">
        <f t="shared" si="6"/>
        <v>-36.930999999999997</v>
      </c>
      <c r="AF16" s="145">
        <f t="shared" si="7"/>
        <v>27.284469218630026</v>
      </c>
      <c r="AG16" s="772">
        <f t="shared" si="13"/>
        <v>33.376010797778036</v>
      </c>
      <c r="AH16" s="146">
        <f t="shared" si="8"/>
        <v>23.689193652642324</v>
      </c>
      <c r="AI16" s="156">
        <f t="shared" si="9"/>
        <v>53.885919230051968</v>
      </c>
      <c r="AJ16" s="156">
        <f t="shared" si="10"/>
        <v>22.425742840925842</v>
      </c>
      <c r="AK16" s="88"/>
      <c r="AL16" s="716">
        <f t="shared" si="11"/>
        <v>1439.7260885937646</v>
      </c>
    </row>
    <row r="17" spans="1:38" ht="15" customHeight="1">
      <c r="A17" s="857" t="s">
        <v>1736</v>
      </c>
      <c r="B17" s="717">
        <v>45700</v>
      </c>
      <c r="C17" s="595">
        <v>45692</v>
      </c>
      <c r="D17" t="s">
        <v>324</v>
      </c>
      <c r="E17">
        <f>_xlfn.XLOOKUP(D17,RUC!$B$3:$B$123,RUC!$D$3:$D$123)</f>
        <v>20603329059</v>
      </c>
      <c r="G17" s="80">
        <v>38</v>
      </c>
      <c r="H17" t="s">
        <v>108</v>
      </c>
      <c r="I17" s="596">
        <v>2.33</v>
      </c>
      <c r="J17" s="596">
        <v>15.1</v>
      </c>
      <c r="K17" s="138">
        <f t="shared" si="0"/>
        <v>1.97817</v>
      </c>
      <c r="L17" s="139">
        <v>0.23899999999999999</v>
      </c>
      <c r="M17" s="139">
        <v>0.22900000000000001</v>
      </c>
      <c r="N17" s="139">
        <v>0.22900000000000001</v>
      </c>
      <c r="O17" s="645">
        <f t="shared" si="1"/>
        <v>0.22900000000000001</v>
      </c>
      <c r="P17" s="727">
        <v>90</v>
      </c>
      <c r="Q17" s="1035">
        <v>89.92</v>
      </c>
      <c r="R17" s="706">
        <v>2843.55</v>
      </c>
      <c r="S17" s="842">
        <f t="shared" si="15"/>
        <v>100</v>
      </c>
      <c r="U17" s="1050">
        <v>100</v>
      </c>
      <c r="V17" s="715">
        <v>1.1023000000000001</v>
      </c>
      <c r="Z17" s="143">
        <f t="shared" si="3"/>
        <v>30</v>
      </c>
      <c r="AA17" s="144">
        <f t="shared" si="4"/>
        <v>30</v>
      </c>
      <c r="AB17" s="145">
        <f t="shared" si="12"/>
        <v>479.99174550650002</v>
      </c>
      <c r="AC17" s="145">
        <f>+(S17-T17)*V17-'data 1'!$F$4</f>
        <v>30.230000000000004</v>
      </c>
      <c r="AD17" s="145">
        <f t="shared" si="5"/>
        <v>-0.57822993954798774</v>
      </c>
      <c r="AE17" s="145">
        <f t="shared" si="6"/>
        <v>-36.930999999999997</v>
      </c>
      <c r="AF17" s="145">
        <f t="shared" si="7"/>
        <v>27.193742763679953</v>
      </c>
      <c r="AG17" s="772">
        <f t="shared" si="13"/>
        <v>36.914512824131975</v>
      </c>
      <c r="AH17" s="146">
        <f t="shared" si="8"/>
        <v>14.575614710818334</v>
      </c>
      <c r="AI17" s="156">
        <f t="shared" si="9"/>
        <v>65.489338072847971</v>
      </c>
      <c r="AJ17" s="156">
        <f t="shared" si="10"/>
        <v>13.978181404854798</v>
      </c>
      <c r="AK17" s="88"/>
      <c r="AL17" s="716">
        <f t="shared" si="11"/>
        <v>949.50527120859317</v>
      </c>
    </row>
    <row r="18" spans="1:38" ht="15" customHeight="1">
      <c r="A18" s="857" t="s">
        <v>1737</v>
      </c>
      <c r="B18" s="717">
        <v>45700</v>
      </c>
      <c r="C18" s="595">
        <v>45692</v>
      </c>
      <c r="D18" t="s">
        <v>324</v>
      </c>
      <c r="E18">
        <f>_xlfn.XLOOKUP(D18,RUC!$B$3:$B$123,RUC!$D$3:$D$123)</f>
        <v>20603329059</v>
      </c>
      <c r="G18" s="80">
        <v>49</v>
      </c>
      <c r="H18" t="s">
        <v>108</v>
      </c>
      <c r="I18" s="596">
        <v>3.2</v>
      </c>
      <c r="J18" s="596">
        <v>14.1</v>
      </c>
      <c r="K18" s="138">
        <f t="shared" si="0"/>
        <v>2.7488000000000001</v>
      </c>
      <c r="L18" s="139">
        <v>0.223</v>
      </c>
      <c r="M18" s="139">
        <v>0.21199999999999999</v>
      </c>
      <c r="N18" s="139">
        <v>0.21199999999999999</v>
      </c>
      <c r="O18" s="645">
        <f t="shared" si="1"/>
        <v>0.21199999999999999</v>
      </c>
      <c r="P18" s="727">
        <v>90</v>
      </c>
      <c r="Q18" s="1035">
        <v>89.94</v>
      </c>
      <c r="R18" s="706">
        <v>2843.55</v>
      </c>
      <c r="S18" s="842">
        <f t="shared" si="15"/>
        <v>100</v>
      </c>
      <c r="U18" s="1050">
        <v>100</v>
      </c>
      <c r="V18" s="715">
        <v>1.1023000000000001</v>
      </c>
      <c r="Z18" s="143">
        <f t="shared" si="3"/>
        <v>30</v>
      </c>
      <c r="AA18" s="144">
        <f t="shared" si="4"/>
        <v>30</v>
      </c>
      <c r="AB18" s="145">
        <f t="shared" si="12"/>
        <v>433.72125348200001</v>
      </c>
      <c r="AC18" s="145">
        <f>+(S18-T18)*V18-'data 1'!$F$4</f>
        <v>30.230000000000004</v>
      </c>
      <c r="AD18" s="145">
        <f t="shared" si="5"/>
        <v>-0.40463998907701537</v>
      </c>
      <c r="AE18" s="145">
        <f t="shared" si="6"/>
        <v>-36.930999999999997</v>
      </c>
      <c r="AF18" s="145">
        <f t="shared" si="7"/>
        <v>29.919770313411028</v>
      </c>
      <c r="AG18" s="772">
        <f t="shared" si="13"/>
        <v>39.814130324334016</v>
      </c>
      <c r="AH18" s="146">
        <f t="shared" si="8"/>
        <v>18.902095702967195</v>
      </c>
      <c r="AI18" s="156">
        <f t="shared" si="9"/>
        <v>61.118705598776963</v>
      </c>
      <c r="AJ18" s="156">
        <f t="shared" si="10"/>
        <v>17.981693127387075</v>
      </c>
      <c r="AK18" s="88"/>
      <c r="AL18" s="716">
        <f t="shared" si="11"/>
        <v>1192.2129815713217</v>
      </c>
    </row>
    <row r="19" spans="1:38" ht="15" customHeight="1">
      <c r="A19" s="857" t="s">
        <v>1738</v>
      </c>
      <c r="B19" s="717">
        <v>45700</v>
      </c>
      <c r="C19" s="595">
        <v>45692</v>
      </c>
      <c r="D19" t="s">
        <v>324</v>
      </c>
      <c r="E19">
        <f>_xlfn.XLOOKUP(D19,RUC!$B$3:$B$123,RUC!$D$3:$D$123)</f>
        <v>20603329059</v>
      </c>
      <c r="G19" s="80">
        <v>64</v>
      </c>
      <c r="H19" t="s">
        <v>108</v>
      </c>
      <c r="I19" s="596">
        <v>2.02</v>
      </c>
      <c r="J19" s="596">
        <v>16</v>
      </c>
      <c r="K19" s="138">
        <f t="shared" si="0"/>
        <v>1.6968000000000001</v>
      </c>
      <c r="L19" s="139">
        <v>0.65800000000000003</v>
      </c>
      <c r="M19" s="139">
        <v>0.63100000000000001</v>
      </c>
      <c r="N19" s="598">
        <v>0.67900000000000005</v>
      </c>
      <c r="O19" s="645">
        <f t="shared" si="1"/>
        <v>0.65500000000000003</v>
      </c>
      <c r="P19" s="727">
        <v>90</v>
      </c>
      <c r="Q19" s="1035">
        <v>90.16</v>
      </c>
      <c r="R19" s="706">
        <v>2843.55</v>
      </c>
      <c r="S19" s="842">
        <f t="shared" si="15"/>
        <v>140</v>
      </c>
      <c r="U19" s="1050">
        <v>100</v>
      </c>
      <c r="V19" s="715">
        <v>1.1023000000000001</v>
      </c>
      <c r="Z19" s="143">
        <f t="shared" si="3"/>
        <v>30</v>
      </c>
      <c r="AA19" s="144">
        <f t="shared" si="4"/>
        <v>30</v>
      </c>
      <c r="AB19" s="145">
        <f t="shared" si="12"/>
        <v>1595.3838397675004</v>
      </c>
      <c r="AC19" s="145">
        <f>+(S19-T19)*V19-'data 1'!$F$4</f>
        <v>74.322000000000003</v>
      </c>
      <c r="AD19" s="145">
        <f t="shared" si="5"/>
        <v>3.1838937257119331</v>
      </c>
      <c r="AE19" s="145">
        <f t="shared" si="6"/>
        <v>-36.930999999999997</v>
      </c>
      <c r="AF19" s="145">
        <f t="shared" si="7"/>
        <v>8.1798971782920074</v>
      </c>
      <c r="AG19" s="772">
        <f t="shared" si="13"/>
        <v>65.754790904003954</v>
      </c>
      <c r="AH19" s="146">
        <f t="shared" si="8"/>
        <v>34.512746493702174</v>
      </c>
      <c r="AI19" s="156">
        <f t="shared" si="9"/>
        <v>180.78242111008785</v>
      </c>
      <c r="AJ19" s="156">
        <f t="shared" si="10"/>
        <v>34.294425678289983</v>
      </c>
      <c r="AK19" s="88"/>
      <c r="AL19" s="716">
        <f t="shared" si="11"/>
        <v>2707.0472993174949</v>
      </c>
    </row>
    <row r="20" spans="1:38" ht="15" customHeight="1">
      <c r="A20" s="857" t="s">
        <v>1739</v>
      </c>
      <c r="B20" s="717">
        <v>45700</v>
      </c>
      <c r="C20" s="595">
        <v>45692</v>
      </c>
      <c r="D20" t="s">
        <v>324</v>
      </c>
      <c r="E20">
        <f>_xlfn.XLOOKUP(D20,RUC!$B$3:$B$123,RUC!$D$3:$D$123)</f>
        <v>20603329059</v>
      </c>
      <c r="G20" s="80">
        <v>62</v>
      </c>
      <c r="H20" t="s">
        <v>108</v>
      </c>
      <c r="I20" s="596">
        <v>1.54</v>
      </c>
      <c r="J20" s="596">
        <v>14.75</v>
      </c>
      <c r="K20" s="138">
        <f t="shared" si="0"/>
        <v>1.3128500000000001</v>
      </c>
      <c r="L20" s="139">
        <v>0.33400000000000002</v>
      </c>
      <c r="M20" s="139">
        <v>0.32100000000000001</v>
      </c>
      <c r="N20" s="139">
        <v>0.32100000000000001</v>
      </c>
      <c r="O20" s="645">
        <f t="shared" si="1"/>
        <v>0.32100000000000001</v>
      </c>
      <c r="P20" s="727">
        <v>90</v>
      </c>
      <c r="Q20" s="1035">
        <v>90.21</v>
      </c>
      <c r="R20" s="706">
        <v>2843.55</v>
      </c>
      <c r="S20" s="842">
        <f t="shared" si="15"/>
        <v>110</v>
      </c>
      <c r="U20" s="1050">
        <v>100</v>
      </c>
      <c r="V20" s="715">
        <v>1.1023000000000001</v>
      </c>
      <c r="Z20" s="143">
        <f t="shared" si="3"/>
        <v>30</v>
      </c>
      <c r="AA20" s="144">
        <f t="shared" si="4"/>
        <v>30</v>
      </c>
      <c r="AB20" s="145">
        <f t="shared" si="12"/>
        <v>719.3737611685001</v>
      </c>
      <c r="AC20" s="145">
        <f>+(S20-T20)*V20-'data 1'!$F$4</f>
        <v>41.253</v>
      </c>
      <c r="AD20" s="145">
        <f t="shared" si="5"/>
        <v>2.1211845167309376</v>
      </c>
      <c r="AE20" s="145">
        <f t="shared" si="6"/>
        <v>-36.930999999999997</v>
      </c>
      <c r="AF20" s="145">
        <f t="shared" si="7"/>
        <v>35.465878504504538</v>
      </c>
      <c r="AG20" s="772">
        <f t="shared" si="13"/>
        <v>58.909063021235482</v>
      </c>
      <c r="AH20" s="146">
        <f t="shared" si="8"/>
        <v>13.562049569845009</v>
      </c>
      <c r="AI20" s="156">
        <f t="shared" si="9"/>
        <v>91.815827208668949</v>
      </c>
      <c r="AJ20" s="156">
        <f t="shared" si="10"/>
        <v>13.003843064546741</v>
      </c>
      <c r="AK20" s="88"/>
      <c r="AL20" s="716">
        <f t="shared" si="11"/>
        <v>944.42984235006543</v>
      </c>
    </row>
    <row r="21" spans="1:38" ht="15" customHeight="1">
      <c r="A21" s="857" t="s">
        <v>1740</v>
      </c>
      <c r="B21" s="717">
        <v>45700</v>
      </c>
      <c r="C21" s="595">
        <v>45692</v>
      </c>
      <c r="D21" t="s">
        <v>324</v>
      </c>
      <c r="E21">
        <f>_xlfn.XLOOKUP(D21,RUC!$B$3:$B$123,RUC!$D$3:$D$123)</f>
        <v>20603329059</v>
      </c>
      <c r="G21" s="80">
        <v>135</v>
      </c>
      <c r="H21" t="s">
        <v>108</v>
      </c>
      <c r="I21" s="596">
        <v>4.43</v>
      </c>
      <c r="J21" s="596">
        <v>15.3</v>
      </c>
      <c r="K21" s="138">
        <f t="shared" si="0"/>
        <v>3.7522099999999998</v>
      </c>
      <c r="L21" s="139">
        <v>0.52200000000000002</v>
      </c>
      <c r="M21" s="139">
        <v>0.501</v>
      </c>
      <c r="N21" s="598">
        <v>0.54200000000000004</v>
      </c>
      <c r="O21" s="645">
        <f t="shared" si="1"/>
        <v>0.52200000000000002</v>
      </c>
      <c r="P21" s="727">
        <v>90</v>
      </c>
      <c r="Q21" s="1035">
        <v>89.97</v>
      </c>
      <c r="R21" s="706">
        <v>2843.55</v>
      </c>
      <c r="S21" s="842">
        <f t="shared" si="15"/>
        <v>130</v>
      </c>
      <c r="U21" s="1050">
        <v>100</v>
      </c>
      <c r="V21" s="715">
        <v>1.1023000000000001</v>
      </c>
      <c r="Z21" s="143">
        <f t="shared" si="3"/>
        <v>30</v>
      </c>
      <c r="AA21" s="144">
        <f t="shared" si="4"/>
        <v>30</v>
      </c>
      <c r="AB21" s="145">
        <f t="shared" si="12"/>
        <v>1244.4082845170003</v>
      </c>
      <c r="AC21" s="145">
        <f>+(S21-T21)*V21-'data 1'!$F$4</f>
        <v>63.299000000000007</v>
      </c>
      <c r="AD21" s="145">
        <f t="shared" si="5"/>
        <v>-0.4735920948390181</v>
      </c>
      <c r="AE21" s="145">
        <f t="shared" si="6"/>
        <v>-36.930999999999997</v>
      </c>
      <c r="AF21" s="145">
        <f t="shared" si="7"/>
        <v>0</v>
      </c>
      <c r="AG21" s="772">
        <f t="shared" si="13"/>
        <v>42.894407905160989</v>
      </c>
      <c r="AH21" s="146">
        <f t="shared" si="8"/>
        <v>60.417733515688354</v>
      </c>
      <c r="AI21" s="156">
        <f t="shared" si="9"/>
        <v>143.11482543423892</v>
      </c>
      <c r="AJ21" s="156">
        <f t="shared" si="10"/>
        <v>60.437879475513512</v>
      </c>
      <c r="AK21" s="88"/>
      <c r="AL21" s="716">
        <f t="shared" si="11"/>
        <v>4669.2812092475333</v>
      </c>
    </row>
    <row r="22" spans="1:38" ht="15" customHeight="1">
      <c r="A22" s="857" t="s">
        <v>1741</v>
      </c>
      <c r="B22" s="717">
        <v>45700</v>
      </c>
      <c r="C22" s="595">
        <v>45692</v>
      </c>
      <c r="D22" t="s">
        <v>324</v>
      </c>
      <c r="E22">
        <f>_xlfn.XLOOKUP(D22,RUC!$B$3:$B$123,RUC!$D$3:$D$123)</f>
        <v>20603329059</v>
      </c>
      <c r="G22" s="80">
        <v>54</v>
      </c>
      <c r="H22" t="s">
        <v>108</v>
      </c>
      <c r="I22" s="596">
        <v>5.23</v>
      </c>
      <c r="J22" s="596">
        <v>16.149999999999999</v>
      </c>
      <c r="K22" s="138">
        <f t="shared" si="0"/>
        <v>4.3853550000000006</v>
      </c>
      <c r="L22" s="139">
        <v>0.309</v>
      </c>
      <c r="M22" s="139">
        <v>0.29699999999999999</v>
      </c>
      <c r="N22" s="139">
        <v>0.29699999999999999</v>
      </c>
      <c r="O22" s="645">
        <f t="shared" si="1"/>
        <v>0.29699999999999999</v>
      </c>
      <c r="P22" s="727">
        <v>90</v>
      </c>
      <c r="Q22" s="1035">
        <v>90.11</v>
      </c>
      <c r="R22" s="706">
        <v>2843.55</v>
      </c>
      <c r="S22" s="842">
        <f t="shared" si="15"/>
        <v>100</v>
      </c>
      <c r="U22" s="1050">
        <v>100</v>
      </c>
      <c r="V22" s="715">
        <v>1.1023000000000001</v>
      </c>
      <c r="Z22" s="143">
        <f t="shared" si="3"/>
        <v>30</v>
      </c>
      <c r="AA22" s="144">
        <f t="shared" si="4"/>
        <v>30</v>
      </c>
      <c r="AB22" s="145">
        <f t="shared" si="12"/>
        <v>665.0737136045002</v>
      </c>
      <c r="AC22" s="145">
        <f>+(S22-T22)*V22-'data 1'!$F$4</f>
        <v>30.230000000000004</v>
      </c>
      <c r="AD22" s="145">
        <f t="shared" si="5"/>
        <v>1.0279307345834949</v>
      </c>
      <c r="AE22" s="145">
        <f t="shared" si="6"/>
        <v>-36.930999999999997</v>
      </c>
      <c r="AF22" s="145">
        <f t="shared" si="7"/>
        <v>32.701443422178031</v>
      </c>
      <c r="AG22" s="772">
        <f t="shared" si="13"/>
        <v>44.028374156761529</v>
      </c>
      <c r="AH22" s="146">
        <f t="shared" si="8"/>
        <v>41.864440767259659</v>
      </c>
      <c r="AI22" s="156">
        <f t="shared" si="9"/>
        <v>84.849223224316447</v>
      </c>
      <c r="AJ22" s="156">
        <f t="shared" si="10"/>
        <v>40.189516721879677</v>
      </c>
      <c r="AK22" s="88"/>
      <c r="AL22" s="716">
        <f t="shared" si="11"/>
        <v>2916.5843353240634</v>
      </c>
    </row>
    <row r="23" spans="1:38" ht="15" customHeight="1">
      <c r="A23" s="857" t="s">
        <v>1742</v>
      </c>
      <c r="B23" s="717">
        <v>45699</v>
      </c>
      <c r="C23" s="595">
        <v>45692</v>
      </c>
      <c r="D23" t="s">
        <v>1586</v>
      </c>
      <c r="E23" t="e">
        <f>_xlfn.XLOOKUP(D23,RUC!$B$3:$B$123,RUC!$D$3:$D$123)</f>
        <v>#N/A</v>
      </c>
      <c r="G23" s="80">
        <v>110</v>
      </c>
      <c r="H23" t="s">
        <v>108</v>
      </c>
      <c r="I23" s="596">
        <v>8.34</v>
      </c>
      <c r="J23" s="596">
        <v>14.45</v>
      </c>
      <c r="K23" s="138">
        <f t="shared" si="0"/>
        <v>7.1348700000000003</v>
      </c>
      <c r="L23" s="139">
        <v>0.28699999999999998</v>
      </c>
      <c r="M23" s="139">
        <v>0.27600000000000002</v>
      </c>
      <c r="N23" s="598">
        <v>0.33200000000000002</v>
      </c>
      <c r="O23" s="645">
        <f t="shared" si="1"/>
        <v>0.30399999999999999</v>
      </c>
      <c r="P23" s="727">
        <v>90</v>
      </c>
      <c r="Q23" s="1035">
        <v>90.09</v>
      </c>
      <c r="R23" s="706">
        <v>2843.55</v>
      </c>
      <c r="S23" s="842">
        <f t="shared" ref="S23" si="16">IF((85+ROUNDDOWN(O23,1)*100)&lt;95,95,(85+ROUNDDOWN(O23,1)*100))</f>
        <v>115</v>
      </c>
      <c r="U23" s="1024">
        <v>90</v>
      </c>
      <c r="V23" s="715">
        <v>1.1023000000000001</v>
      </c>
      <c r="Z23" s="1062">
        <v>25</v>
      </c>
      <c r="AA23" s="144">
        <f t="shared" si="4"/>
        <v>25</v>
      </c>
      <c r="AB23" s="145">
        <f t="shared" si="12"/>
        <v>676.11916194399998</v>
      </c>
      <c r="AC23" s="145">
        <f>+(S23-T23)*V23-'data 1'!$F$4</f>
        <v>46.764500000000012</v>
      </c>
      <c r="AD23" s="145">
        <f t="shared" si="5"/>
        <v>0.78400201801952973</v>
      </c>
      <c r="AE23" s="145">
        <f t="shared" si="6"/>
        <v>-42.442499999999995</v>
      </c>
      <c r="AF23" s="145">
        <f t="shared" si="7"/>
        <v>-46.485583068424539</v>
      </c>
      <c r="AG23" s="772">
        <f t="shared" si="13"/>
        <v>-24.379581050404994</v>
      </c>
      <c r="AH23" s="146">
        <f t="shared" si="8"/>
        <v>63.248993295645349</v>
      </c>
      <c r="AI23" s="156">
        <f t="shared" si="9"/>
        <v>75.940598514280452</v>
      </c>
      <c r="AJ23" s="156">
        <f t="shared" si="10"/>
        <v>66.928520823692637</v>
      </c>
      <c r="AK23" s="88"/>
      <c r="AL23" s="716">
        <f t="shared" si="11"/>
        <v>4824.0223249793871</v>
      </c>
    </row>
    <row r="24" spans="1:38" ht="15" customHeight="1">
      <c r="A24" s="857" t="s">
        <v>1758</v>
      </c>
      <c r="B24" s="717">
        <v>45700</v>
      </c>
      <c r="C24" s="595">
        <v>45694</v>
      </c>
      <c r="D24" t="s">
        <v>324</v>
      </c>
      <c r="E24">
        <f>_xlfn.XLOOKUP(D24,RUC!$B$3:$B$123,RUC!$D$3:$D$123)</f>
        <v>20603329059</v>
      </c>
      <c r="G24" s="80">
        <v>54</v>
      </c>
      <c r="H24" t="s">
        <v>108</v>
      </c>
      <c r="I24" s="596">
        <v>5.22</v>
      </c>
      <c r="J24" s="596">
        <v>16</v>
      </c>
      <c r="K24" s="138">
        <f t="shared" si="0"/>
        <v>4.3848000000000003</v>
      </c>
      <c r="L24" s="139">
        <v>0.20899999999999999</v>
      </c>
      <c r="M24" s="139">
        <v>0.19900000000000001</v>
      </c>
      <c r="N24" s="139">
        <v>0.19900000000000001</v>
      </c>
      <c r="O24" s="645">
        <f t="shared" si="1"/>
        <v>0.19900000000000001</v>
      </c>
      <c r="P24" s="727">
        <v>90</v>
      </c>
      <c r="Q24" s="596">
        <v>90.25</v>
      </c>
      <c r="R24" s="706">
        <v>2838.95</v>
      </c>
      <c r="S24" s="802">
        <f>IF((80+ROUNDDOWN(O24,1)*100)&lt;95,95,(80+ROUNDDOWN(O24,1)*100))</f>
        <v>95</v>
      </c>
      <c r="U24" s="1050">
        <v>100</v>
      </c>
      <c r="V24" s="715">
        <v>1.1023000000000001</v>
      </c>
      <c r="Z24" s="143">
        <f t="shared" ref="Z24:Z63" si="17">IF(IF(D24="UNTUCA",IF(+((W24-3)*1.5+(X24-3)*3.1)&gt;0,+((W24-3)*1.5+(X24-3)*3.1),0),IF(+((W24-3)*1.5+(X24-3)*3.1)&gt;0,+((W24-3)*1.5+(X24-3)*3.1),0))&lt;30,30,IF(D24="UNTUCA",IF(+((W24-3)*1.5+(X24-3)*3.1)&gt;0,+((W24-3)*1.5+(X24-3)*3.1),0),IF(+((W24-3)*1.5+(X24-3)*3.1)&gt;0,+((W24-3)*1.5+(X24-3)*3.1),0)))</f>
        <v>30</v>
      </c>
      <c r="AA24" s="144">
        <f t="shared" si="4"/>
        <v>30</v>
      </c>
      <c r="AB24" s="145">
        <f t="shared" si="12"/>
        <v>402.94129517350007</v>
      </c>
      <c r="AC24" s="145">
        <f>+(S24-T24)*V24-'data 1'!$F$4</f>
        <v>24.718500000000006</v>
      </c>
      <c r="AD24" s="145">
        <f t="shared" si="5"/>
        <v>1.5775030456624999</v>
      </c>
      <c r="AE24" s="145">
        <f t="shared" si="6"/>
        <v>-36.930999999999997</v>
      </c>
      <c r="AF24" s="145">
        <f t="shared" si="7"/>
        <v>27.247779879624947</v>
      </c>
      <c r="AG24" s="772">
        <f t="shared" si="13"/>
        <v>33.612782925287462</v>
      </c>
      <c r="AH24" s="146">
        <f t="shared" si="8"/>
        <v>28.356482339595544</v>
      </c>
      <c r="AI24" s="156">
        <f t="shared" si="9"/>
        <v>58.43551740083754</v>
      </c>
      <c r="AJ24" s="156">
        <f t="shared" si="10"/>
        <v>26.924921401325733</v>
      </c>
      <c r="AK24" s="88"/>
      <c r="AL24" s="716">
        <f t="shared" si="11"/>
        <v>1766.8169910767631</v>
      </c>
    </row>
    <row r="25" spans="1:38" ht="15" customHeight="1">
      <c r="A25" s="857" t="s">
        <v>1759</v>
      </c>
      <c r="B25" s="717">
        <v>45700</v>
      </c>
      <c r="C25" s="595">
        <v>45694</v>
      </c>
      <c r="D25" t="s">
        <v>324</v>
      </c>
      <c r="E25">
        <f>_xlfn.XLOOKUP(D25,RUC!$B$3:$B$123,RUC!$D$3:$D$123)</f>
        <v>20603329059</v>
      </c>
      <c r="G25" s="80">
        <v>34</v>
      </c>
      <c r="H25" t="s">
        <v>108</v>
      </c>
      <c r="I25" s="596">
        <v>3.09</v>
      </c>
      <c r="J25" s="596">
        <v>15.15</v>
      </c>
      <c r="K25" s="138">
        <f t="shared" si="0"/>
        <v>2.6218649999999997</v>
      </c>
      <c r="L25" s="139">
        <v>0.29099999999999998</v>
      </c>
      <c r="M25" s="139">
        <v>0.27900000000000003</v>
      </c>
      <c r="N25" s="598">
        <v>0.33600000000000002</v>
      </c>
      <c r="O25" s="645">
        <f t="shared" si="1"/>
        <v>0.308</v>
      </c>
      <c r="P25" s="727">
        <v>90</v>
      </c>
      <c r="Q25" s="596">
        <v>90.12</v>
      </c>
      <c r="R25" s="706">
        <v>2838.95</v>
      </c>
      <c r="S25" s="802">
        <f>IF((80+ROUNDDOWN(O25,1)*100)&lt;95,95,(80+ROUNDDOWN(O25,1)*100))</f>
        <v>110</v>
      </c>
      <c r="U25" s="1050">
        <v>100</v>
      </c>
      <c r="V25" s="715">
        <v>1.1023000000000001</v>
      </c>
      <c r="Z25" s="143">
        <f t="shared" si="17"/>
        <v>30</v>
      </c>
      <c r="AA25" s="144">
        <f t="shared" si="4"/>
        <v>30</v>
      </c>
      <c r="AB25" s="145">
        <f t="shared" si="12"/>
        <v>682.58487896199995</v>
      </c>
      <c r="AC25" s="145">
        <f>+(S25-T25)*V25-'data 1'!$F$4</f>
        <v>41.253</v>
      </c>
      <c r="AD25" s="145">
        <f t="shared" si="5"/>
        <v>1.0542852890820398</v>
      </c>
      <c r="AE25" s="145">
        <f t="shared" si="6"/>
        <v>-36.930999999999997</v>
      </c>
      <c r="AF25" s="145">
        <f t="shared" si="7"/>
        <v>-46.254502700034045</v>
      </c>
      <c r="AG25" s="772">
        <f t="shared" si="13"/>
        <v>-23.878217410952004</v>
      </c>
      <c r="AH25" s="146">
        <f t="shared" si="8"/>
        <v>23.574015643612647</v>
      </c>
      <c r="AI25" s="156">
        <f t="shared" si="9"/>
        <v>81.245173242618051</v>
      </c>
      <c r="AJ25" s="156">
        <f t="shared" si="10"/>
        <v>24.91796785808851</v>
      </c>
      <c r="AK25" s="88"/>
      <c r="AL25" s="716">
        <f t="shared" si="11"/>
        <v>1789.6454036797038</v>
      </c>
    </row>
    <row r="26" spans="1:38" ht="15" customHeight="1">
      <c r="A26" s="857" t="s">
        <v>1761</v>
      </c>
      <c r="B26" s="595">
        <v>45700</v>
      </c>
      <c r="C26" s="595">
        <v>45694</v>
      </c>
      <c r="D26" t="s">
        <v>324</v>
      </c>
      <c r="E26">
        <f>_xlfn.XLOOKUP(D26,RUC!$B$3:$B$123,RUC!$D$3:$D$123)</f>
        <v>20603329059</v>
      </c>
      <c r="G26" s="80">
        <v>26</v>
      </c>
      <c r="H26" t="s">
        <v>108</v>
      </c>
      <c r="I26" s="596">
        <v>2.36</v>
      </c>
      <c r="J26" s="596">
        <v>16</v>
      </c>
      <c r="K26" s="138">
        <f t="shared" si="0"/>
        <v>1.9823999999999999</v>
      </c>
      <c r="L26" s="139">
        <v>0.55200000000000005</v>
      </c>
      <c r="M26" s="139">
        <v>0.52900000000000003</v>
      </c>
      <c r="N26" s="598">
        <v>0.60599999999999998</v>
      </c>
      <c r="O26" s="645">
        <f t="shared" si="1"/>
        <v>0.56799999999999995</v>
      </c>
      <c r="P26" s="727">
        <v>90</v>
      </c>
      <c r="Q26" s="596">
        <v>89.88</v>
      </c>
      <c r="R26" s="706">
        <v>2838.95</v>
      </c>
      <c r="S26" s="802">
        <f t="shared" ref="S26:S32" si="18">IF((80+ROUNDDOWN(O26,1)*100)&lt;95,95,(80+ROUNDDOWN(O26,1)*100))</f>
        <v>130</v>
      </c>
      <c r="U26" s="1050">
        <v>100</v>
      </c>
      <c r="V26" s="715">
        <v>1.1023000000000001</v>
      </c>
      <c r="Z26" s="143">
        <f t="shared" si="17"/>
        <v>30</v>
      </c>
      <c r="AA26" s="144">
        <f t="shared" si="4"/>
        <v>30</v>
      </c>
      <c r="AB26" s="145">
        <f t="shared" si="12"/>
        <v>1367.018711852</v>
      </c>
      <c r="AC26" s="145">
        <f>+(S26-T26)*V26-'data 1'!$F$4</f>
        <v>63.299000000000007</v>
      </c>
      <c r="AD26" s="145">
        <f t="shared" si="5"/>
        <v>-1.9998813731040759</v>
      </c>
      <c r="AE26" s="145">
        <f t="shared" si="6"/>
        <v>-36.930999999999997</v>
      </c>
      <c r="AF26" s="145">
        <f t="shared" si="7"/>
        <v>-43.417714447967725</v>
      </c>
      <c r="AG26" s="772">
        <f t="shared" si="13"/>
        <v>-2.0495958210717902</v>
      </c>
      <c r="AH26" s="146">
        <f t="shared" si="8"/>
        <v>33.721159529888716</v>
      </c>
      <c r="AI26" s="156">
        <f t="shared" si="9"/>
        <v>153.70413051470413</v>
      </c>
      <c r="AJ26" s="156">
        <f t="shared" si="10"/>
        <v>34.744910991787584</v>
      </c>
      <c r="AK26" s="88"/>
      <c r="AL26" s="716">
        <f t="shared" si="11"/>
        <v>2709.977894375405</v>
      </c>
    </row>
    <row r="27" spans="1:38" ht="15" customHeight="1">
      <c r="A27" s="857" t="s">
        <v>1762</v>
      </c>
      <c r="B27" s="595">
        <v>45700</v>
      </c>
      <c r="C27" s="595">
        <v>45694</v>
      </c>
      <c r="D27" t="s">
        <v>324</v>
      </c>
      <c r="E27">
        <f>_xlfn.XLOOKUP(D27,RUC!$B$3:$B$123,RUC!$D$3:$D$123)</f>
        <v>20603329059</v>
      </c>
      <c r="G27" s="80">
        <v>38</v>
      </c>
      <c r="H27" t="s">
        <v>108</v>
      </c>
      <c r="I27" s="596">
        <v>1.38</v>
      </c>
      <c r="J27" s="596">
        <v>15.75</v>
      </c>
      <c r="K27" s="138">
        <f t="shared" si="0"/>
        <v>1.16265</v>
      </c>
      <c r="L27" s="139">
        <v>0.58899999999999997</v>
      </c>
      <c r="M27" s="139">
        <v>0.56499999999999995</v>
      </c>
      <c r="N27" s="139">
        <v>0.56499999999999995</v>
      </c>
      <c r="O27" s="645">
        <f t="shared" si="1"/>
        <v>0.56499999999999995</v>
      </c>
      <c r="P27" s="727">
        <v>90</v>
      </c>
      <c r="Q27" s="596">
        <v>89.9</v>
      </c>
      <c r="R27" s="706">
        <v>2838.95</v>
      </c>
      <c r="S27" s="802">
        <f t="shared" si="18"/>
        <v>130</v>
      </c>
      <c r="U27" s="1050">
        <v>100</v>
      </c>
      <c r="V27" s="715">
        <v>1.1023000000000001</v>
      </c>
      <c r="Z27" s="143">
        <f t="shared" si="17"/>
        <v>30</v>
      </c>
      <c r="AA27" s="144">
        <f t="shared" si="4"/>
        <v>30</v>
      </c>
      <c r="AB27" s="145">
        <f t="shared" si="12"/>
        <v>1358.8670214724998</v>
      </c>
      <c r="AC27" s="145">
        <f>+(S27-T27)*V27-'data 1'!$F$4</f>
        <v>63.299000000000007</v>
      </c>
      <c r="AD27" s="145">
        <f t="shared" si="5"/>
        <v>-1.7782761605648989</v>
      </c>
      <c r="AE27" s="145">
        <f t="shared" si="6"/>
        <v>-36.930999999999997</v>
      </c>
      <c r="AF27" s="145">
        <f t="shared" si="7"/>
        <v>65.141063565960053</v>
      </c>
      <c r="AG27" s="772">
        <f t="shared" si="13"/>
        <v>106.73078740539518</v>
      </c>
      <c r="AH27" s="146">
        <f t="shared" si="8"/>
        <v>21.107317928418638</v>
      </c>
      <c r="AI27" s="156">
        <f t="shared" si="9"/>
        <v>164.04325705806511</v>
      </c>
      <c r="AJ27" s="156">
        <f t="shared" si="10"/>
        <v>20.269779412705073</v>
      </c>
      <c r="AK27" s="88"/>
      <c r="AL27" s="716">
        <f t="shared" si="11"/>
        <v>1579.8867425150017</v>
      </c>
    </row>
    <row r="28" spans="1:38" ht="15" customHeight="1">
      <c r="A28" s="857" t="s">
        <v>1763</v>
      </c>
      <c r="B28" s="595">
        <v>45700</v>
      </c>
      <c r="C28" s="595">
        <v>45694</v>
      </c>
      <c r="D28" t="s">
        <v>324</v>
      </c>
      <c r="E28">
        <f>_xlfn.XLOOKUP(D28,RUC!$B$3:$B$123,RUC!$D$3:$D$123)</f>
        <v>20603329059</v>
      </c>
      <c r="G28" s="80">
        <v>90</v>
      </c>
      <c r="H28" t="s">
        <v>108</v>
      </c>
      <c r="I28" s="596">
        <v>8.44</v>
      </c>
      <c r="J28" s="596">
        <v>14.55</v>
      </c>
      <c r="K28" s="138">
        <f t="shared" si="0"/>
        <v>7.2119799999999996</v>
      </c>
      <c r="L28" s="139">
        <v>0.316</v>
      </c>
      <c r="M28" s="139">
        <v>0.30299999999999999</v>
      </c>
      <c r="N28" s="139">
        <v>0.30299999999999999</v>
      </c>
      <c r="O28" s="645">
        <f t="shared" si="1"/>
        <v>0.30299999999999999</v>
      </c>
      <c r="P28" s="727">
        <v>90</v>
      </c>
      <c r="Q28" s="596">
        <v>90.09</v>
      </c>
      <c r="R28" s="706">
        <v>2838.95</v>
      </c>
      <c r="S28" s="802">
        <f t="shared" si="18"/>
        <v>110</v>
      </c>
      <c r="U28" s="1050">
        <v>100</v>
      </c>
      <c r="V28" s="715">
        <v>1.1023000000000001</v>
      </c>
      <c r="Z28" s="143">
        <f t="shared" si="17"/>
        <v>30</v>
      </c>
      <c r="AA28" s="144">
        <f t="shared" si="4"/>
        <v>30</v>
      </c>
      <c r="AB28" s="145">
        <f t="shared" si="12"/>
        <v>668.99872832949995</v>
      </c>
      <c r="AC28" s="145">
        <f>+(S28-T28)*V28-'data 1'!$F$4</f>
        <v>41.253</v>
      </c>
      <c r="AD28" s="145">
        <f t="shared" si="5"/>
        <v>0.85864471997403258</v>
      </c>
      <c r="AE28" s="145">
        <f t="shared" si="6"/>
        <v>-36.930999999999997</v>
      </c>
      <c r="AF28" s="145">
        <f t="shared" si="7"/>
        <v>35.359315636144537</v>
      </c>
      <c r="AG28" s="772">
        <f t="shared" si="13"/>
        <v>57.53996035611857</v>
      </c>
      <c r="AH28" s="146">
        <f t="shared" si="8"/>
        <v>70.392639876833087</v>
      </c>
      <c r="AI28" s="156">
        <f t="shared" si="9"/>
        <v>88.195629948426074</v>
      </c>
      <c r="AJ28" s="156">
        <f t="shared" si="10"/>
        <v>67.429310824240389</v>
      </c>
      <c r="AK28" s="88"/>
      <c r="AL28" s="716">
        <f t="shared" si="11"/>
        <v>4824.8054487377867</v>
      </c>
    </row>
    <row r="29" spans="1:38" ht="15" customHeight="1">
      <c r="A29" s="857" t="s">
        <v>1764</v>
      </c>
      <c r="B29" s="595">
        <v>45700</v>
      </c>
      <c r="C29" s="595">
        <v>45694</v>
      </c>
      <c r="D29" t="s">
        <v>324</v>
      </c>
      <c r="E29">
        <f>_xlfn.XLOOKUP(D29,RUC!$B$3:$B$123,RUC!$D$3:$D$123)</f>
        <v>20603329059</v>
      </c>
      <c r="G29" s="80">
        <v>45</v>
      </c>
      <c r="H29" t="s">
        <v>108</v>
      </c>
      <c r="I29" s="596">
        <v>3.73</v>
      </c>
      <c r="J29" s="596">
        <v>14.6</v>
      </c>
      <c r="K29" s="138">
        <f t="shared" si="0"/>
        <v>3.1854200000000001</v>
      </c>
      <c r="L29" s="139">
        <v>0.33200000000000002</v>
      </c>
      <c r="M29" s="139">
        <v>0.318</v>
      </c>
      <c r="N29" s="139">
        <v>0.318</v>
      </c>
      <c r="O29" s="645">
        <f t="shared" si="1"/>
        <v>0.318</v>
      </c>
      <c r="P29" s="727">
        <v>90</v>
      </c>
      <c r="Q29" s="596">
        <v>90.17</v>
      </c>
      <c r="R29" s="706">
        <v>2838.95</v>
      </c>
      <c r="S29" s="802">
        <f t="shared" si="18"/>
        <v>110</v>
      </c>
      <c r="U29" s="1050">
        <v>100</v>
      </c>
      <c r="V29" s="715">
        <v>1.1023000000000001</v>
      </c>
      <c r="Z29" s="143">
        <f t="shared" si="17"/>
        <v>30</v>
      </c>
      <c r="AA29" s="144">
        <f t="shared" si="4"/>
        <v>30</v>
      </c>
      <c r="AB29" s="145">
        <f t="shared" si="12"/>
        <v>709.75718022699994</v>
      </c>
      <c r="AC29" s="145">
        <f>+(S29-T29)*V29-'data 1'!$F$4</f>
        <v>41.253</v>
      </c>
      <c r="AD29" s="145">
        <f t="shared" si="5"/>
        <v>1.704005203774017</v>
      </c>
      <c r="AE29" s="145">
        <f t="shared" si="6"/>
        <v>-36.930999999999997</v>
      </c>
      <c r="AF29" s="145">
        <f t="shared" si="7"/>
        <v>38.113077412123033</v>
      </c>
      <c r="AG29" s="772">
        <f t="shared" si="13"/>
        <v>61.139082615897053</v>
      </c>
      <c r="AH29" s="146">
        <f t="shared" si="8"/>
        <v>32.694592228543407</v>
      </c>
      <c r="AI29" s="156">
        <f t="shared" si="9"/>
        <v>92.743514720626067</v>
      </c>
      <c r="AJ29" s="156">
        <f t="shared" si="10"/>
        <v>31.256863861598514</v>
      </c>
      <c r="AK29" s="88"/>
      <c r="AL29" s="716">
        <f t="shared" si="11"/>
        <v>2260.8747170386901</v>
      </c>
    </row>
    <row r="30" spans="1:38" ht="15" customHeight="1">
      <c r="A30" s="857" t="s">
        <v>1765</v>
      </c>
      <c r="B30" s="595">
        <v>45700</v>
      </c>
      <c r="C30" s="595">
        <v>45694</v>
      </c>
      <c r="D30" t="s">
        <v>324</v>
      </c>
      <c r="E30">
        <f>_xlfn.XLOOKUP(D30,RUC!$B$3:$B$123,RUC!$D$3:$D$123)</f>
        <v>20603329059</v>
      </c>
      <c r="G30" s="80">
        <v>44</v>
      </c>
      <c r="H30" t="s">
        <v>108</v>
      </c>
      <c r="I30" s="596">
        <v>3.69</v>
      </c>
      <c r="J30" s="596">
        <v>16</v>
      </c>
      <c r="K30" s="138">
        <f t="shared" si="0"/>
        <v>3.0995999999999997</v>
      </c>
      <c r="L30" s="139">
        <v>0.20399999999999999</v>
      </c>
      <c r="M30" s="139">
        <v>0.193</v>
      </c>
      <c r="N30" s="139">
        <v>0.193</v>
      </c>
      <c r="O30" s="645">
        <f t="shared" si="1"/>
        <v>0.193</v>
      </c>
      <c r="P30" s="727">
        <v>90</v>
      </c>
      <c r="Q30" s="596">
        <v>90.22</v>
      </c>
      <c r="R30" s="706">
        <v>2838.95</v>
      </c>
      <c r="S30" s="802">
        <f t="shared" si="18"/>
        <v>95</v>
      </c>
      <c r="U30" s="1050">
        <v>100</v>
      </c>
      <c r="V30" s="715">
        <v>1.1023000000000001</v>
      </c>
      <c r="Z30" s="143">
        <f t="shared" si="17"/>
        <v>30</v>
      </c>
      <c r="AA30" s="144">
        <f t="shared" si="4"/>
        <v>30</v>
      </c>
      <c r="AB30" s="145">
        <f t="shared" si="12"/>
        <v>386.63791441450002</v>
      </c>
      <c r="AC30" s="145">
        <f>+(S30-T30)*V30-'data 1'!$F$4</f>
        <v>24.718500000000006</v>
      </c>
      <c r="AD30" s="145">
        <f t="shared" si="5"/>
        <v>1.354992089747993</v>
      </c>
      <c r="AE30" s="145">
        <f t="shared" si="6"/>
        <v>-36.930999999999997</v>
      </c>
      <c r="AF30" s="145">
        <f t="shared" si="7"/>
        <v>29.96259469045695</v>
      </c>
      <c r="AG30" s="772">
        <f t="shared" si="13"/>
        <v>36.105086780204942</v>
      </c>
      <c r="AH30" s="146">
        <f t="shared" si="8"/>
        <v>19.559047963412947</v>
      </c>
      <c r="AI30" s="156">
        <f t="shared" si="9"/>
        <v>57.018578669052033</v>
      </c>
      <c r="AJ30" s="156">
        <f t="shared" si="10"/>
        <v>18.459270754521789</v>
      </c>
      <c r="AK30" s="88"/>
      <c r="AL30" s="716">
        <f t="shared" si="11"/>
        <v>1198.4228795191841</v>
      </c>
    </row>
    <row r="31" spans="1:38" ht="15" customHeight="1">
      <c r="A31" s="857" t="s">
        <v>1766</v>
      </c>
      <c r="B31" s="595">
        <v>45669</v>
      </c>
      <c r="C31" s="595">
        <v>45694</v>
      </c>
      <c r="D31" t="s">
        <v>324</v>
      </c>
      <c r="E31">
        <f>_xlfn.XLOOKUP(D31,RUC!$B$3:$B$123,RUC!$D$3:$D$123)</f>
        <v>20603329059</v>
      </c>
      <c r="G31" s="80">
        <v>20</v>
      </c>
      <c r="H31" t="s">
        <v>108</v>
      </c>
      <c r="I31" s="596">
        <v>1.66</v>
      </c>
      <c r="J31" s="596">
        <v>14.65</v>
      </c>
      <c r="K31" s="138">
        <f t="shared" si="0"/>
        <v>1.4168099999999999</v>
      </c>
      <c r="L31" s="139">
        <v>0.21299999999999999</v>
      </c>
      <c r="M31" s="139">
        <v>0.20300000000000001</v>
      </c>
      <c r="N31" s="139">
        <v>0.20300000000000001</v>
      </c>
      <c r="O31" s="645">
        <f t="shared" si="1"/>
        <v>0.20300000000000001</v>
      </c>
      <c r="P31" s="727">
        <v>90</v>
      </c>
      <c r="Q31" s="596">
        <v>90.19</v>
      </c>
      <c r="R31" s="706">
        <v>2838.95</v>
      </c>
      <c r="S31" s="802">
        <f t="shared" si="18"/>
        <v>100</v>
      </c>
      <c r="U31" s="1050">
        <v>100</v>
      </c>
      <c r="V31" s="715">
        <v>1.1023000000000001</v>
      </c>
      <c r="Z31" s="143">
        <f t="shared" si="17"/>
        <v>30</v>
      </c>
      <c r="AA31" s="144">
        <f t="shared" si="4"/>
        <v>30</v>
      </c>
      <c r="AB31" s="145">
        <f t="shared" si="12"/>
        <v>408.29871567949999</v>
      </c>
      <c r="AC31" s="145">
        <f>+(S31-T31)*V31-'data 1'!$F$4</f>
        <v>30.230000000000004</v>
      </c>
      <c r="AD31" s="145">
        <f t="shared" si="5"/>
        <v>1.2218478135494852</v>
      </c>
      <c r="AE31" s="145">
        <f t="shared" si="6"/>
        <v>-36.930999999999997</v>
      </c>
      <c r="AF31" s="145">
        <f t="shared" si="7"/>
        <v>27.229665012114946</v>
      </c>
      <c r="AG31" s="772">
        <f t="shared" si="13"/>
        <v>38.75051282566443</v>
      </c>
      <c r="AH31" s="146">
        <f t="shared" si="8"/>
        <v>9.3316549781824687</v>
      </c>
      <c r="AI31" s="156">
        <f t="shared" si="9"/>
        <v>59.51430788815054</v>
      </c>
      <c r="AJ31" s="156">
        <f t="shared" si="10"/>
        <v>8.8748133934981155</v>
      </c>
      <c r="AK31" s="88"/>
      <c r="AL31" s="716">
        <f t="shared" si="11"/>
        <v>578.48170336187229</v>
      </c>
    </row>
    <row r="32" spans="1:38" ht="15" customHeight="1">
      <c r="A32" s="857" t="s">
        <v>1767</v>
      </c>
      <c r="B32" s="595">
        <v>45700</v>
      </c>
      <c r="C32" s="595">
        <v>45694</v>
      </c>
      <c r="D32" t="s">
        <v>324</v>
      </c>
      <c r="E32">
        <f>_xlfn.XLOOKUP(D32,RUC!$B$3:$B$123,RUC!$D$3:$D$123)</f>
        <v>20603329059</v>
      </c>
      <c r="G32" s="80">
        <v>29</v>
      </c>
      <c r="H32" t="s">
        <v>108</v>
      </c>
      <c r="I32" s="596">
        <v>2.5299999999999998</v>
      </c>
      <c r="J32" s="596">
        <v>14.44</v>
      </c>
      <c r="K32" s="138">
        <f t="shared" si="0"/>
        <v>2.1646679999999998</v>
      </c>
      <c r="L32" s="139">
        <v>0.26300000000000001</v>
      </c>
      <c r="M32" s="139">
        <v>0.252</v>
      </c>
      <c r="N32" s="598">
        <v>0.34799999999999998</v>
      </c>
      <c r="O32" s="645">
        <f t="shared" si="1"/>
        <v>0.3</v>
      </c>
      <c r="P32" s="727">
        <v>90</v>
      </c>
      <c r="Q32" s="596">
        <v>90.11</v>
      </c>
      <c r="R32" s="706">
        <v>2838.95</v>
      </c>
      <c r="S32" s="802">
        <f t="shared" si="18"/>
        <v>110</v>
      </c>
      <c r="U32" s="1050">
        <v>100</v>
      </c>
      <c r="V32" s="715">
        <v>1.1023000000000001</v>
      </c>
      <c r="Z32" s="143">
        <f t="shared" si="17"/>
        <v>30</v>
      </c>
      <c r="AA32" s="144">
        <f t="shared" si="4"/>
        <v>30</v>
      </c>
      <c r="AB32" s="145">
        <f t="shared" si="12"/>
        <v>660.84703794999996</v>
      </c>
      <c r="AC32" s="145">
        <f>+(S32-T32)*V32-'data 1'!$F$4</f>
        <v>41.253</v>
      </c>
      <c r="AD32" s="145">
        <f t="shared" si="5"/>
        <v>0.87343852844049552</v>
      </c>
      <c r="AE32" s="145">
        <f t="shared" si="6"/>
        <v>-36.930999999999997</v>
      </c>
      <c r="AF32" s="145">
        <f t="shared" si="7"/>
        <v>-100.66039386510944</v>
      </c>
      <c r="AG32" s="772">
        <f t="shared" si="13"/>
        <v>-78.464955336668936</v>
      </c>
      <c r="AH32" s="146">
        <f t="shared" si="8"/>
        <v>17.588512207560466</v>
      </c>
      <c r="AI32" s="156">
        <f t="shared" si="9"/>
        <v>73.419620479859546</v>
      </c>
      <c r="AJ32" s="156">
        <f t="shared" si="10"/>
        <v>20.038450242442696</v>
      </c>
      <c r="AK32" s="88"/>
      <c r="AL32" s="716">
        <f t="shared" si="11"/>
        <v>1430.5144359451504</v>
      </c>
    </row>
    <row r="33" spans="1:38" ht="15" customHeight="1">
      <c r="A33" s="857" t="s">
        <v>1769</v>
      </c>
      <c r="B33" s="595">
        <v>45700</v>
      </c>
      <c r="C33" s="595">
        <v>45695</v>
      </c>
      <c r="D33" t="s">
        <v>1798</v>
      </c>
      <c r="E33" t="e">
        <f>_xlfn.XLOOKUP(D33,RUC!$B$3:$B$123,RUC!$D$3:$D$123)</f>
        <v>#N/A</v>
      </c>
      <c r="G33" s="80" t="s">
        <v>1434</v>
      </c>
      <c r="H33" t="s">
        <v>108</v>
      </c>
      <c r="I33" s="596">
        <v>18.09</v>
      </c>
      <c r="J33" s="596">
        <v>10</v>
      </c>
      <c r="K33" s="138">
        <f t="shared" si="0"/>
        <v>16.280999999999999</v>
      </c>
      <c r="L33" s="139">
        <v>0.151</v>
      </c>
      <c r="M33" s="139">
        <v>0.14099999999999999</v>
      </c>
      <c r="N33" s="755">
        <v>0.20899999999999999</v>
      </c>
      <c r="O33" s="645">
        <f t="shared" si="1"/>
        <v>0.17499999999999999</v>
      </c>
      <c r="P33" s="727">
        <v>85</v>
      </c>
      <c r="Q33" s="596">
        <v>90.12</v>
      </c>
      <c r="R33" s="706">
        <v>2874.65</v>
      </c>
      <c r="S33" s="765">
        <f t="shared" ref="S33:S34" si="19">IF((90+ROUNDDOWN(O33,1)*100)&lt;95,95,(90+ROUNDDOWN(O33,1)*100))</f>
        <v>100</v>
      </c>
      <c r="U33" s="1050">
        <v>120</v>
      </c>
      <c r="V33" s="715">
        <v>1.1023000000000001</v>
      </c>
      <c r="Y33">
        <v>35</v>
      </c>
      <c r="Z33" s="143">
        <f t="shared" si="17"/>
        <v>30</v>
      </c>
      <c r="AA33" s="144">
        <f t="shared" si="4"/>
        <v>65</v>
      </c>
      <c r="AB33" s="145">
        <f t="shared" si="12"/>
        <v>269.79254088124998</v>
      </c>
      <c r="AC33" s="145">
        <f>+(S33-T33)*V33-'data 1'!$F$4</f>
        <v>30.230000000000004</v>
      </c>
      <c r="AD33" s="145">
        <f t="shared" si="5"/>
        <v>23.475407613184025</v>
      </c>
      <c r="AE33" s="145">
        <f t="shared" si="6"/>
        <v>1.6495000000000033</v>
      </c>
      <c r="AF33" s="145">
        <f t="shared" si="7"/>
        <v>-65.674784792015984</v>
      </c>
      <c r="AG33" s="772">
        <f t="shared" si="13"/>
        <v>6.6801228211680481</v>
      </c>
      <c r="AH33" s="146">
        <f t="shared" si="8"/>
        <v>75.960580659229578</v>
      </c>
      <c r="AI33" s="156">
        <f t="shared" si="9"/>
        <v>39.803112098765986</v>
      </c>
      <c r="AJ33" s="156">
        <f t="shared" si="10"/>
        <v>83.032309922754933</v>
      </c>
      <c r="AK33" s="88"/>
      <c r="AL33" s="716">
        <f t="shared" si="11"/>
        <v>4392.4923580876302</v>
      </c>
    </row>
    <row r="34" spans="1:38" ht="15" customHeight="1">
      <c r="A34" s="857" t="s">
        <v>1770</v>
      </c>
      <c r="B34" s="595">
        <v>45700</v>
      </c>
      <c r="C34" s="595">
        <v>45695</v>
      </c>
      <c r="D34" t="s">
        <v>1798</v>
      </c>
      <c r="E34" t="e">
        <f>_xlfn.XLOOKUP(D34,RUC!$B$3:$B$123,RUC!$D$3:$D$123)</f>
        <v>#N/A</v>
      </c>
      <c r="G34" s="80" t="s">
        <v>1434</v>
      </c>
      <c r="H34" t="s">
        <v>108</v>
      </c>
      <c r="I34" s="596">
        <v>16.12</v>
      </c>
      <c r="J34" s="596">
        <v>12.5</v>
      </c>
      <c r="K34" s="138">
        <f t="shared" si="0"/>
        <v>14.105</v>
      </c>
      <c r="L34" s="139">
        <v>0.16900000000000001</v>
      </c>
      <c r="M34" s="139">
        <v>0.159</v>
      </c>
      <c r="N34" s="755">
        <v>0.247</v>
      </c>
      <c r="O34" s="645">
        <f t="shared" si="1"/>
        <v>0.20300000000000001</v>
      </c>
      <c r="P34" s="727">
        <v>90</v>
      </c>
      <c r="Q34" s="596">
        <v>90.09</v>
      </c>
      <c r="R34" s="706">
        <v>2874.65</v>
      </c>
      <c r="S34" s="765">
        <f t="shared" si="19"/>
        <v>110</v>
      </c>
      <c r="U34" s="1050">
        <v>120</v>
      </c>
      <c r="V34" s="715">
        <v>1.1023000000000001</v>
      </c>
      <c r="Y34">
        <v>35</v>
      </c>
      <c r="Z34" s="143">
        <f t="shared" si="17"/>
        <v>30</v>
      </c>
      <c r="AA34" s="144">
        <f t="shared" si="4"/>
        <v>65</v>
      </c>
      <c r="AB34" s="145">
        <f t="shared" si="12"/>
        <v>361.85704197650006</v>
      </c>
      <c r="AC34" s="145">
        <f>+(S34-T34)*V34-'data 1'!$F$4</f>
        <v>41.253</v>
      </c>
      <c r="AD34" s="145">
        <f t="shared" si="5"/>
        <v>0.46184415070951756</v>
      </c>
      <c r="AE34" s="145">
        <f t="shared" si="6"/>
        <v>1.6495000000000033</v>
      </c>
      <c r="AF34" s="145">
        <f t="shared" si="7"/>
        <v>-93.008306658267017</v>
      </c>
      <c r="AG34" s="772">
        <f t="shared" si="13"/>
        <v>-32.643962507557497</v>
      </c>
      <c r="AH34" s="146">
        <f t="shared" si="8"/>
        <v>73.628414963626071</v>
      </c>
      <c r="AI34" s="156">
        <f t="shared" si="9"/>
        <v>44.53302442639049</v>
      </c>
      <c r="AJ34" s="156">
        <f t="shared" si="10"/>
        <v>88.35287929594719</v>
      </c>
      <c r="AK34" s="88"/>
      <c r="AL34" s="716">
        <f t="shared" si="11"/>
        <v>5103.9935770785332</v>
      </c>
    </row>
    <row r="35" spans="1:38" ht="15" customHeight="1">
      <c r="A35" s="857" t="s">
        <v>1777</v>
      </c>
      <c r="B35" s="595">
        <v>45698</v>
      </c>
      <c r="C35" s="595">
        <v>45695</v>
      </c>
      <c r="D35" t="s">
        <v>129</v>
      </c>
      <c r="E35" t="e">
        <f>_xlfn.XLOOKUP(D35,RUC!$B$3:$B$123,RUC!$D$3:$D$123)</f>
        <v>#N/A</v>
      </c>
      <c r="G35" s="80">
        <v>84</v>
      </c>
      <c r="H35" t="s">
        <v>108</v>
      </c>
      <c r="I35" s="596">
        <v>6.27</v>
      </c>
      <c r="J35" s="596">
        <v>1.2</v>
      </c>
      <c r="K35" s="138">
        <f t="shared" si="0"/>
        <v>6.1947599999999996</v>
      </c>
      <c r="L35" s="139">
        <v>0.19800000000000001</v>
      </c>
      <c r="M35" s="139">
        <v>0.19</v>
      </c>
      <c r="N35" s="159">
        <v>0.19</v>
      </c>
      <c r="O35" s="645">
        <f t="shared" si="1"/>
        <v>0.19</v>
      </c>
      <c r="P35" s="727">
        <v>90</v>
      </c>
      <c r="Q35" s="596">
        <v>90.16</v>
      </c>
      <c r="R35" s="706">
        <v>2874.65</v>
      </c>
      <c r="S35" s="842">
        <f t="shared" ref="S35" si="20">IF((80+ROUNDDOWN(O35,1)*100)&lt;95,95,(80+ROUNDDOWN(O35,1)*100))</f>
        <v>95</v>
      </c>
      <c r="U35" s="1050">
        <v>100</v>
      </c>
      <c r="V35" s="715">
        <v>1.1023000000000001</v>
      </c>
      <c r="Z35" s="143">
        <f t="shared" si="17"/>
        <v>30</v>
      </c>
      <c r="AA35" s="144">
        <f t="shared" si="4"/>
        <v>30</v>
      </c>
      <c r="AB35" s="145">
        <f t="shared" si="12"/>
        <v>385.21543484500006</v>
      </c>
      <c r="AC35" s="145">
        <f>+(S35-T35)*V35-'data 1'!$F$4</f>
        <v>24.718500000000006</v>
      </c>
      <c r="AD35" s="145">
        <f t="shared" si="5"/>
        <v>0.96893175297597944</v>
      </c>
      <c r="AE35" s="145">
        <f t="shared" si="6"/>
        <v>-36.930999999999997</v>
      </c>
      <c r="AF35" s="145">
        <f t="shared" si="7"/>
        <v>22.060324961696018</v>
      </c>
      <c r="AG35" s="772">
        <f>+IF(D35="RONALD WILLIAN GARIBAY ESCUDERO",AC35+AD35+AE35+AF35+70,AC35+AD35+AE35+AF35)</f>
        <v>80.81675671467201</v>
      </c>
      <c r="AH35" s="146">
        <f t="shared" si="8"/>
        <v>37.915138607884316</v>
      </c>
      <c r="AI35" s="156">
        <f t="shared" si="9"/>
        <v>48.27974449082398</v>
      </c>
      <c r="AJ35" s="156">
        <f t="shared" si="10"/>
        <v>36.318647331501673</v>
      </c>
      <c r="AK35" s="88"/>
      <c r="AL35" s="716">
        <f t="shared" si="11"/>
        <v>2386.3171671604123</v>
      </c>
    </row>
    <row r="36" spans="1:38" ht="15" customHeight="1">
      <c r="A36" s="857" t="s">
        <v>1778</v>
      </c>
      <c r="B36" s="595">
        <v>45698</v>
      </c>
      <c r="C36" s="595">
        <v>45695</v>
      </c>
      <c r="D36" t="s">
        <v>129</v>
      </c>
      <c r="E36" t="e">
        <f>_xlfn.XLOOKUP(D36,RUC!$B$3:$B$123,RUC!$D$3:$D$123)</f>
        <v>#N/A</v>
      </c>
      <c r="G36" s="80">
        <v>95</v>
      </c>
      <c r="H36" t="s">
        <v>108</v>
      </c>
      <c r="I36" s="596">
        <v>6.59</v>
      </c>
      <c r="J36" s="596">
        <v>1.1000000000000001</v>
      </c>
      <c r="K36" s="138">
        <f t="shared" si="0"/>
        <v>6.5175099999999997</v>
      </c>
      <c r="L36" s="139">
        <v>0.21</v>
      </c>
      <c r="M36" s="139">
        <v>0.20200000000000001</v>
      </c>
      <c r="N36" s="159">
        <v>0.24199999999999999</v>
      </c>
      <c r="O36" s="645">
        <f t="shared" si="1"/>
        <v>0.222</v>
      </c>
      <c r="P36" s="727">
        <v>90</v>
      </c>
      <c r="Q36" s="596">
        <v>90.09</v>
      </c>
      <c r="R36" s="706">
        <v>2874.65</v>
      </c>
      <c r="S36" s="842">
        <f>IF((80+ROUNDDOWN(O36,1)*100)&lt;95,95,(80+ROUNDDOWN(O36,1)*100))</f>
        <v>100</v>
      </c>
      <c r="U36" s="1050">
        <v>100</v>
      </c>
      <c r="V36" s="715">
        <v>1.1023000000000001</v>
      </c>
      <c r="Z36" s="143">
        <f t="shared" si="17"/>
        <v>30</v>
      </c>
      <c r="AA36" s="144">
        <f t="shared" si="4"/>
        <v>30</v>
      </c>
      <c r="AB36" s="145">
        <f t="shared" si="12"/>
        <v>467.7886396610001</v>
      </c>
      <c r="AC36" s="145">
        <f>+(S36-T36)*V36-'data 1'!$F$4</f>
        <v>30.230000000000004</v>
      </c>
      <c r="AD36" s="145">
        <f t="shared" si="5"/>
        <v>0.5780558753550219</v>
      </c>
      <c r="AE36" s="145">
        <f t="shared" si="6"/>
        <v>-36.930999999999997</v>
      </c>
      <c r="AF36" s="145">
        <f t="shared" si="7"/>
        <v>-33.064796070306031</v>
      </c>
      <c r="AG36" s="772">
        <f t="shared" ref="AG36:AG37" si="21">+IF(D36="RONALD WILLIAN GARIBAY ESCUDERO",AC36+AD36+AE36+AF36+70,AC36+AD36+AE36+AF36)</f>
        <v>30.812259805048996</v>
      </c>
      <c r="AH36" s="146">
        <f t="shared" si="8"/>
        <v>42.275296002723572</v>
      </c>
      <c r="AI36" s="156">
        <f t="shared" si="9"/>
        <v>51.166033563644987</v>
      </c>
      <c r="AJ36" s="156">
        <f t="shared" si="10"/>
        <v>44.646380822057154</v>
      </c>
      <c r="AK36" s="88"/>
      <c r="AL36" s="716">
        <f t="shared" si="11"/>
        <v>3048.8171368769645</v>
      </c>
    </row>
    <row r="37" spans="1:38" ht="15" customHeight="1">
      <c r="A37" s="857" t="s">
        <v>1779</v>
      </c>
      <c r="B37" s="595">
        <v>45698</v>
      </c>
      <c r="C37" s="595">
        <v>45695</v>
      </c>
      <c r="D37" t="s">
        <v>129</v>
      </c>
      <c r="E37" t="e">
        <f>_xlfn.XLOOKUP(D37,RUC!$B$3:$B$123,RUC!$D$3:$D$123)</f>
        <v>#N/A</v>
      </c>
      <c r="G37" s="80">
        <v>96</v>
      </c>
      <c r="H37" t="s">
        <v>108</v>
      </c>
      <c r="I37" s="596">
        <v>7.02</v>
      </c>
      <c r="J37" s="596">
        <v>1.3</v>
      </c>
      <c r="K37" s="138">
        <f t="shared" si="0"/>
        <v>6.9287399999999995</v>
      </c>
      <c r="L37" s="139">
        <v>0.23400000000000001</v>
      </c>
      <c r="M37" s="139">
        <v>0.22500000000000001</v>
      </c>
      <c r="N37" s="159">
        <v>0.22500000000000001</v>
      </c>
      <c r="O37" s="645">
        <f t="shared" si="1"/>
        <v>0.22500000000000001</v>
      </c>
      <c r="P37" s="727">
        <v>90</v>
      </c>
      <c r="Q37" s="596">
        <v>90.2</v>
      </c>
      <c r="R37" s="706">
        <v>2874.65</v>
      </c>
      <c r="S37" s="842">
        <f t="shared" ref="S37" si="22">IF((80+ROUNDDOWN(O37,1)*100)&lt;95,95,(80+ROUNDDOWN(O37,1)*100))</f>
        <v>100</v>
      </c>
      <c r="U37" s="1050">
        <v>100</v>
      </c>
      <c r="V37" s="715">
        <v>1.1023000000000001</v>
      </c>
      <c r="Z37" s="143">
        <f t="shared" si="17"/>
        <v>30</v>
      </c>
      <c r="AA37" s="144">
        <f t="shared" si="4"/>
        <v>30</v>
      </c>
      <c r="AB37" s="145">
        <f t="shared" si="12"/>
        <v>476.04658073750005</v>
      </c>
      <c r="AC37" s="145">
        <f>+(S37-T37)*V37-'data 1'!$F$4</f>
        <v>30.230000000000004</v>
      </c>
      <c r="AD37" s="145">
        <f t="shared" si="5"/>
        <v>1.4313764532600206</v>
      </c>
      <c r="AE37" s="145">
        <f t="shared" si="6"/>
        <v>-36.930999999999997</v>
      </c>
      <c r="AF37" s="145">
        <f t="shared" si="7"/>
        <v>24.828876170010027</v>
      </c>
      <c r="AG37" s="772">
        <f t="shared" si="21"/>
        <v>89.559252623270055</v>
      </c>
      <c r="AH37" s="146">
        <f t="shared" si="8"/>
        <v>50.140161563777177</v>
      </c>
      <c r="AI37" s="156">
        <f t="shared" si="9"/>
        <v>57.083193907739989</v>
      </c>
      <c r="AJ37" s="156">
        <f t="shared" si="10"/>
        <v>48.104794268505294</v>
      </c>
      <c r="AK37" s="88"/>
      <c r="AL37" s="716">
        <f t="shared" si="11"/>
        <v>3298.4029858191457</v>
      </c>
    </row>
    <row r="38" spans="1:38" ht="15" customHeight="1">
      <c r="A38" s="857" t="s">
        <v>1818</v>
      </c>
      <c r="B38" s="595">
        <v>45705</v>
      </c>
      <c r="C38" s="595">
        <v>45701</v>
      </c>
      <c r="D38" t="s">
        <v>1403</v>
      </c>
      <c r="E38">
        <f>_xlfn.XLOOKUP(D38,RUC!$B$3:$B$123,RUC!$D$3:$D$123)</f>
        <v>10479968131</v>
      </c>
      <c r="G38" s="80" t="s">
        <v>1434</v>
      </c>
      <c r="H38" t="s">
        <v>108</v>
      </c>
      <c r="I38" s="596">
        <v>17.77</v>
      </c>
      <c r="J38" s="596">
        <v>22</v>
      </c>
      <c r="K38" s="138">
        <f t="shared" si="0"/>
        <v>13.8606</v>
      </c>
      <c r="L38" s="139">
        <v>0.65900000000000003</v>
      </c>
      <c r="M38" s="139">
        <v>0.626</v>
      </c>
      <c r="N38" s="159">
        <v>0.67</v>
      </c>
      <c r="O38" s="645">
        <f t="shared" si="1"/>
        <v>0.64800000000000002</v>
      </c>
      <c r="P38" s="727">
        <v>90</v>
      </c>
      <c r="Q38">
        <v>90.18</v>
      </c>
      <c r="R38" s="706">
        <v>2915.3</v>
      </c>
      <c r="S38" s="765">
        <f t="shared" ref="S38:S63" si="23">IF((90+ROUNDDOWN(O38,1)*100)&lt;95,95,(90+ROUNDDOWN(O38,1)*100))</f>
        <v>150</v>
      </c>
      <c r="U38" s="1066">
        <v>120</v>
      </c>
      <c r="V38" s="715">
        <v>1.1023000000000001</v>
      </c>
      <c r="Y38">
        <v>20</v>
      </c>
      <c r="Z38" s="143">
        <f t="shared" si="17"/>
        <v>30</v>
      </c>
      <c r="AA38" s="144">
        <f t="shared" si="4"/>
        <v>50</v>
      </c>
      <c r="AB38" s="145">
        <f t="shared" si="12"/>
        <v>1576.5303596080003</v>
      </c>
      <c r="AC38" s="145">
        <f>+(S38-T38)*V38-'data 1'!$F$4</f>
        <v>85.344999999999999</v>
      </c>
      <c r="AD38" s="145">
        <f t="shared" si="5"/>
        <v>3.6549896511781395</v>
      </c>
      <c r="AE38" s="145">
        <f t="shared" si="6"/>
        <v>-14.884999999999998</v>
      </c>
      <c r="AF38" s="145">
        <f t="shared" si="7"/>
        <v>30.565474912962031</v>
      </c>
      <c r="AG38" s="772">
        <f t="shared" ref="AG38" si="24">+IF(D38="RONALD WILLIAN GARIBAY ESCUDERO",AC38+AD38+AE38+AF38+70,AC38+AD38+AE38+AF38)+70-53</f>
        <v>121.68046456414018</v>
      </c>
      <c r="AH38" s="146">
        <f t="shared" si="8"/>
        <v>282.41434029926023</v>
      </c>
      <c r="AI38" s="156">
        <f t="shared" si="9"/>
        <v>147.19685310502192</v>
      </c>
      <c r="AJ38" s="156">
        <f t="shared" si="10"/>
        <v>277.14600013012006</v>
      </c>
      <c r="AK38" s="88"/>
      <c r="AL38" s="716">
        <f t="shared" si="11"/>
        <v>21851.656702382646</v>
      </c>
    </row>
    <row r="39" spans="1:38" ht="15" customHeight="1">
      <c r="A39" s="857" t="s">
        <v>1822</v>
      </c>
      <c r="B39" s="595">
        <v>45707</v>
      </c>
      <c r="C39" s="595">
        <v>45703</v>
      </c>
      <c r="D39" t="s">
        <v>1010</v>
      </c>
      <c r="E39">
        <f>_xlfn.XLOOKUP(D39,RUC!$B$3:$B$123,RUC!$D$3:$D$123)</f>
        <v>20606102519</v>
      </c>
      <c r="G39" s="80" t="s">
        <v>1434</v>
      </c>
      <c r="H39" t="s">
        <v>69</v>
      </c>
      <c r="I39" s="596">
        <v>7.44</v>
      </c>
      <c r="J39" s="596">
        <v>1.6</v>
      </c>
      <c r="K39" s="138">
        <f t="shared" si="0"/>
        <v>7.3209600000000004</v>
      </c>
      <c r="L39" s="139">
        <v>0.64800000000000002</v>
      </c>
      <c r="M39" s="139">
        <v>0.61599999999999999</v>
      </c>
      <c r="N39" s="598">
        <v>0.67100000000000004</v>
      </c>
      <c r="O39" s="645">
        <f t="shared" si="1"/>
        <v>0.64400000000000002</v>
      </c>
      <c r="P39" s="727">
        <v>90</v>
      </c>
      <c r="Q39">
        <v>89.86</v>
      </c>
      <c r="R39" s="706">
        <v>2921.5</v>
      </c>
      <c r="S39" s="765">
        <f t="shared" si="23"/>
        <v>150</v>
      </c>
      <c r="U39" s="1066">
        <v>120</v>
      </c>
      <c r="V39" s="715">
        <v>1.1023000000000001</v>
      </c>
      <c r="Y39">
        <v>20</v>
      </c>
      <c r="Z39" s="143">
        <f t="shared" si="17"/>
        <v>30</v>
      </c>
      <c r="AA39" s="144">
        <f t="shared" si="4"/>
        <v>50</v>
      </c>
      <c r="AB39" s="145">
        <f t="shared" si="12"/>
        <v>1569.3989636199999</v>
      </c>
      <c r="AC39" s="145">
        <f>+(S39-T39)*V39-'data 1'!$F$4</f>
        <v>85.344999999999999</v>
      </c>
      <c r="AD39" s="145">
        <f t="shared" si="5"/>
        <v>-2.8015183778400115</v>
      </c>
      <c r="AE39" s="145">
        <f t="shared" si="6"/>
        <v>-14.884999999999998</v>
      </c>
      <c r="AF39" s="145">
        <f t="shared" si="7"/>
        <v>11.099843096680011</v>
      </c>
      <c r="AG39" s="772">
        <f>+IF(D39="RONALD WILLIAN GARIBAY ESCUDERO",AC39+AD39+AE39+AF39+70,AC39+AD39+AE39+AF39)+70</f>
        <v>148.75832471884002</v>
      </c>
      <c r="AH39" s="146">
        <f t="shared" si="8"/>
        <v>146.15663089042047</v>
      </c>
      <c r="AI39" s="156">
        <f t="shared" si="9"/>
        <v>140.24670572663999</v>
      </c>
      <c r="AJ39" s="156">
        <f t="shared" si="10"/>
        <v>145.48073282734686</v>
      </c>
      <c r="AK39" s="88"/>
      <c r="AL39" s="716">
        <f t="shared" si="11"/>
        <v>11489.507036703475</v>
      </c>
    </row>
    <row r="40" spans="1:38" ht="15" customHeight="1">
      <c r="A40" s="857" t="s">
        <v>1823</v>
      </c>
      <c r="B40" s="595">
        <v>45706</v>
      </c>
      <c r="C40" s="595">
        <v>45704</v>
      </c>
      <c r="D40" t="s">
        <v>145</v>
      </c>
      <c r="E40" t="e">
        <f>_xlfn.XLOOKUP(D40,RUC!$B$3:$B$123,RUC!$D$3:$D$123)</f>
        <v>#N/A</v>
      </c>
      <c r="G40" s="80">
        <v>55</v>
      </c>
      <c r="H40" t="s">
        <v>108</v>
      </c>
      <c r="I40" s="596">
        <v>4.87</v>
      </c>
      <c r="J40" s="596">
        <v>15.65</v>
      </c>
      <c r="K40" s="138">
        <f t="shared" si="0"/>
        <v>4.1078450000000002</v>
      </c>
      <c r="L40" s="139">
        <v>0.29299999999999998</v>
      </c>
      <c r="M40" s="139">
        <v>0.27800000000000002</v>
      </c>
      <c r="N40" s="159">
        <v>0.27800000000000002</v>
      </c>
      <c r="O40" s="645">
        <f t="shared" si="1"/>
        <v>0.27800000000000002</v>
      </c>
      <c r="P40" s="727">
        <v>90</v>
      </c>
      <c r="Q40">
        <v>90.15</v>
      </c>
      <c r="R40" s="706">
        <v>2900.55</v>
      </c>
      <c r="S40" s="765">
        <f t="shared" si="23"/>
        <v>110</v>
      </c>
      <c r="U40" s="1066">
        <v>120</v>
      </c>
      <c r="V40" s="715">
        <v>1.1023000000000001</v>
      </c>
      <c r="Y40">
        <v>20</v>
      </c>
      <c r="Z40" s="143">
        <f t="shared" si="17"/>
        <v>30</v>
      </c>
      <c r="AA40" s="144">
        <f t="shared" si="4"/>
        <v>50</v>
      </c>
      <c r="AB40" s="145">
        <f t="shared" si="12"/>
        <v>590.49506630300016</v>
      </c>
      <c r="AC40" s="145">
        <f>+(S40-T40)*V40-'data 1'!$F$4</f>
        <v>41.253</v>
      </c>
      <c r="AD40" s="145">
        <f t="shared" si="5"/>
        <v>1.3470676164675512</v>
      </c>
      <c r="AE40" s="145">
        <f t="shared" si="6"/>
        <v>-14.884999999999998</v>
      </c>
      <c r="AF40" s="145">
        <f t="shared" si="7"/>
        <v>41.44646608346239</v>
      </c>
      <c r="AG40" s="772">
        <f>+IF(D40="RONALD WILLIAN GARIBAY ESCUDERO",AC40+AD40+AE40+AF40+70,AC40+AD40+AE40+AF40)+70-29</f>
        <v>110.16153369992995</v>
      </c>
      <c r="AH40" s="146">
        <f t="shared" si="8"/>
        <v>37.201158855655059</v>
      </c>
      <c r="AI40" s="156">
        <f t="shared" si="9"/>
        <v>69.718494470032454</v>
      </c>
      <c r="AJ40" s="156">
        <f t="shared" si="10"/>
        <v>35.237932780537918</v>
      </c>
      <c r="AK40" s="88"/>
      <c r="AL40" s="716">
        <f t="shared" si="11"/>
        <v>2425.6622056374476</v>
      </c>
    </row>
    <row r="41" spans="1:38" ht="15" customHeight="1">
      <c r="A41" s="857" t="s">
        <v>1824</v>
      </c>
      <c r="B41" s="595">
        <v>45706</v>
      </c>
      <c r="C41" s="595">
        <v>45704</v>
      </c>
      <c r="D41" t="s">
        <v>145</v>
      </c>
      <c r="E41" t="e">
        <f>_xlfn.XLOOKUP(D41,RUC!$B$3:$B$123,RUC!$D$3:$D$123)</f>
        <v>#N/A</v>
      </c>
      <c r="G41" s="80">
        <v>40</v>
      </c>
      <c r="H41" t="s">
        <v>108</v>
      </c>
      <c r="I41" s="596">
        <v>3.59</v>
      </c>
      <c r="J41" s="596">
        <v>15.55</v>
      </c>
      <c r="K41" s="138">
        <f>+I41-(I41*(J41/100))</f>
        <v>3.031755</v>
      </c>
      <c r="L41" s="139">
        <v>0.188</v>
      </c>
      <c r="M41" s="139">
        <v>0.17699999999999999</v>
      </c>
      <c r="N41" s="159">
        <v>0.17699999999999999</v>
      </c>
      <c r="O41" s="645">
        <f>+ROUND((M41+N41)/2,3)</f>
        <v>0.17699999999999999</v>
      </c>
      <c r="P41" s="727">
        <v>90</v>
      </c>
      <c r="Q41">
        <v>89.95</v>
      </c>
      <c r="R41" s="706">
        <v>2900.55</v>
      </c>
      <c r="S41" s="765">
        <f>IF((90+ROUNDDOWN(O41,1)*100)&lt;95,95,(90+ROUNDDOWN(O41,1)*100))</f>
        <v>100</v>
      </c>
      <c r="U41" s="1066">
        <v>120</v>
      </c>
      <c r="V41" s="715">
        <v>1.1023000000000001</v>
      </c>
      <c r="Y41">
        <v>20</v>
      </c>
      <c r="Z41" s="143">
        <f>IF(IF(D41="UNTUCA",IF(+((W41-3)*1.5+(X41-3)*3.1)&gt;0,+((W41-3)*1.5+(X41-3)*3.1),0),IF(+((W41-3)*1.5+(X41-3)*3.1)&gt;0,+((W41-3)*1.5+(X41-3)*3.1),0))&lt;30,30,IF(D41="UNTUCA",IF(+((W41-3)*1.5+(X41-3)*3.1)&gt;0,+((W41-3)*1.5+(X41-3)*3.1),0),IF(+((W41-3)*1.5+(X41-3)*3.1)&gt;0,+((W41-3)*1.5+(X41-3)*3.1),0)))</f>
        <v>30</v>
      </c>
      <c r="AA41" s="144">
        <f>+Y41+Z41</f>
        <v>50</v>
      </c>
      <c r="AB41" s="145">
        <f>+((O41*P41*(R41-U41)/100)-S41-AA41+T41)*V41</f>
        <v>322.90954221450005</v>
      </c>
      <c r="AC41" s="145">
        <f>+(S41-T41)*V41-'data 1'!$F$4</f>
        <v>30.230000000000004</v>
      </c>
      <c r="AD41" s="145">
        <f>+(Q41-P41)*(R41-U41)*L41*V41/100</f>
        <v>-0.28811002490998366</v>
      </c>
      <c r="AE41" s="145">
        <f>+(Y41*V41-70)+V41*(Z41-IF(D41="UNTUCA",IF(+((W41-3)*2.5+(X41-3)*3.1)&gt;0,+((W41-3)*1.5+(X41-3)*3.1),0),IF(+((W41-3)*1.5+(X41-3)*3.1)&gt;0,+((W41-3)*1.5+(X41-3)*3.1),0)))</f>
        <v>-14.884999999999998</v>
      </c>
      <c r="AF41" s="145">
        <f>(L41-O41)*(R41-U41)*Q41*V41/100</f>
        <v>30.326645122042532</v>
      </c>
      <c r="AG41" s="772">
        <f>+IF(D41="RONALD WILLIAN GARIBAY ESCUDERO",AC41+AD41+AE41+AF41+70,AC41+AD41+AE41+AF41)+70-29</f>
        <v>86.383535097132551</v>
      </c>
      <c r="AH41" s="146">
        <f>31.1035*L41*Q41*1.1023*K41/100</f>
        <v>17.57770569247683</v>
      </c>
      <c r="AI41" s="156">
        <f>+((+'19'!$AI$2-R41+U41)*L41*Q41*V41)/100</f>
        <v>40.906696586909973</v>
      </c>
      <c r="AJ41" s="156">
        <f>31.1035*1.1023*K41*P41*O41/100</f>
        <v>16.558422035951171</v>
      </c>
      <c r="AK41" s="88"/>
      <c r="AL41" s="716">
        <f>+IF(AB41*K41&gt;0,AB41*K41,0)</f>
        <v>978.98261915652154</v>
      </c>
    </row>
    <row r="42" spans="1:38" ht="15" customHeight="1">
      <c r="A42" s="857" t="s">
        <v>1825</v>
      </c>
      <c r="B42" s="595">
        <v>45706</v>
      </c>
      <c r="C42" s="595">
        <v>45704</v>
      </c>
      <c r="D42" t="s">
        <v>145</v>
      </c>
      <c r="E42" t="e">
        <f>_xlfn.XLOOKUP(D42,RUC!$B$3:$B$123,RUC!$D$3:$D$123)</f>
        <v>#N/A</v>
      </c>
      <c r="G42" s="80">
        <v>96</v>
      </c>
      <c r="H42" t="s">
        <v>108</v>
      </c>
      <c r="I42" s="596">
        <v>3.91</v>
      </c>
      <c r="J42" s="596">
        <v>15.75</v>
      </c>
      <c r="K42" s="138">
        <f>+I42-(I42*(J42/100))</f>
        <v>3.2941750000000001</v>
      </c>
      <c r="L42" s="139">
        <v>0.38600000000000001</v>
      </c>
      <c r="M42" s="139">
        <v>0.36599999999999999</v>
      </c>
      <c r="N42" s="159">
        <v>0.36599999999999999</v>
      </c>
      <c r="O42" s="645">
        <f>+ROUND((M42+N42)/2,3)</f>
        <v>0.36599999999999999</v>
      </c>
      <c r="P42" s="727">
        <v>90</v>
      </c>
      <c r="Q42">
        <v>89.87</v>
      </c>
      <c r="R42" s="706">
        <v>2900.55</v>
      </c>
      <c r="S42" s="765">
        <f>IF((90+ROUNDDOWN(O42,1)*100)&lt;95,95,(90+ROUNDDOWN(O42,1)*100))</f>
        <v>120</v>
      </c>
      <c r="U42" s="1066">
        <v>120</v>
      </c>
      <c r="V42" s="715">
        <v>1.1023000000000001</v>
      </c>
      <c r="Y42">
        <v>20</v>
      </c>
      <c r="Z42" s="143">
        <f>IF(IF(D42="UNTUCA",IF(+((W42-3)*1.5+(X42-3)*3.1)&gt;0,+((W42-3)*1.5+(X42-3)*3.1),0),IF(+((W42-3)*1.5+(X42-3)*3.1)&gt;0,+((W42-3)*1.5+(X42-3)*3.1),0))&lt;30,30,IF(D42="UNTUCA",IF(+((W42-3)*1.5+(X42-3)*3.1)&gt;0,+((W42-3)*1.5+(X42-3)*3.1),0),IF(+((W42-3)*1.5+(X42-3)*3.1)&gt;0,+((W42-3)*1.5+(X42-3)*3.1),0)))</f>
        <v>30</v>
      </c>
      <c r="AA42" s="144">
        <f>+Y42+Z42</f>
        <v>50</v>
      </c>
      <c r="AB42" s="145">
        <f>+((O42*P42*(R42-U42)/100)-S42-AA42+T42)*V42</f>
        <v>822.22008729099991</v>
      </c>
      <c r="AC42" s="145">
        <f>+(S42-T42)*V42-'data 1'!$F$4</f>
        <v>52.27600000000001</v>
      </c>
      <c r="AD42" s="145">
        <f>+(Q42-P42)*(R42-U42)*L42*V42/100</f>
        <v>-1.5380171329769465</v>
      </c>
      <c r="AE42" s="145">
        <f>+(Y42*V42-70)+V42*(Z42-IF(D42="UNTUCA",IF(+((W42-3)*2.5+(X42-3)*3.1)&gt;0,+((W42-3)*1.5+(X42-3)*3.1),0),IF(+((W42-3)*1.5+(X42-3)*3.1)&gt;0,+((W42-3)*1.5+(X42-3)*3.1),0)))</f>
        <v>-14.884999999999998</v>
      </c>
      <c r="AF42" s="145">
        <f>(L42-O42)*(R42-U42)*Q42*V42/100</f>
        <v>55.090314763110058</v>
      </c>
      <c r="AG42" s="772">
        <f>+IF(D42="RONALD WILLIAN GARIBAY ESCUDERO",AC42+AD42+AE42+AF42+70,AC42+AD42+AE42+AF42)+70-29</f>
        <v>131.94329763013312</v>
      </c>
      <c r="AH42" s="146">
        <f>31.1035*L42*Q42*1.1023*K42/100</f>
        <v>39.179400155783561</v>
      </c>
      <c r="AI42" s="156">
        <f>+((+'19'!$AI$2-R42+U42)*L42*Q42*V42)/100</f>
        <v>83.914582651976943</v>
      </c>
      <c r="AJ42" s="156">
        <f>31.1035*1.1023*K42*P42*O42/100</f>
        <v>37.203117258363122</v>
      </c>
      <c r="AK42" s="88"/>
      <c r="AL42" s="716">
        <f>+IF(AB42*K42&gt;0,AB42*K42,0)</f>
        <v>2708.5368560518295</v>
      </c>
    </row>
    <row r="43" spans="1:38" ht="15" customHeight="1">
      <c r="A43" s="857" t="s">
        <v>1826</v>
      </c>
      <c r="B43" s="595">
        <v>45706</v>
      </c>
      <c r="C43" s="595">
        <v>45704</v>
      </c>
      <c r="D43" t="s">
        <v>145</v>
      </c>
      <c r="E43" t="e">
        <f>_xlfn.XLOOKUP(D43,RUC!$B$3:$B$123,RUC!$D$3:$D$123)</f>
        <v>#N/A</v>
      </c>
      <c r="G43" s="80">
        <v>84</v>
      </c>
      <c r="H43" t="s">
        <v>108</v>
      </c>
      <c r="I43" s="596">
        <v>3.42</v>
      </c>
      <c r="J43" s="596">
        <v>15.8</v>
      </c>
      <c r="K43" s="138">
        <f t="shared" si="0"/>
        <v>2.8796400000000002</v>
      </c>
      <c r="L43" s="139">
        <v>0.496</v>
      </c>
      <c r="M43" s="139">
        <v>0.47099999999999997</v>
      </c>
      <c r="N43" s="159">
        <v>0.47099999999999997</v>
      </c>
      <c r="O43" s="645">
        <f t="shared" si="1"/>
        <v>0.47099999999999997</v>
      </c>
      <c r="P43" s="727">
        <v>90</v>
      </c>
      <c r="Q43">
        <v>89.94</v>
      </c>
      <c r="R43" s="706">
        <v>2900.55</v>
      </c>
      <c r="S43" s="765">
        <f t="shared" si="23"/>
        <v>130</v>
      </c>
      <c r="U43" s="1066">
        <v>120</v>
      </c>
      <c r="V43" s="715">
        <v>1.1023000000000001</v>
      </c>
      <c r="Y43">
        <v>20</v>
      </c>
      <c r="Z43" s="143">
        <f t="shared" si="17"/>
        <v>30</v>
      </c>
      <c r="AA43" s="144">
        <f t="shared" si="4"/>
        <v>50</v>
      </c>
      <c r="AB43" s="145">
        <f t="shared" si="12"/>
        <v>1100.8396123335003</v>
      </c>
      <c r="AC43" s="145">
        <f>+(S43-T43)*V43-'data 1'!$F$4</f>
        <v>63.299000000000007</v>
      </c>
      <c r="AD43" s="145">
        <f t="shared" si="5"/>
        <v>-0.91214407886403459</v>
      </c>
      <c r="AE43" s="145">
        <f t="shared" si="6"/>
        <v>-14.884999999999998</v>
      </c>
      <c r="AF43" s="145">
        <f t="shared" si="7"/>
        <v>68.916530958525072</v>
      </c>
      <c r="AG43" s="772">
        <f t="shared" ref="AG43" si="25">+IF(D43="RONALD WILLIAN GARIBAY ESCUDERO",AC43+AD43+AE43+AF43+70,AC43+AD43+AE43+AF43)+70-29</f>
        <v>157.41838687966106</v>
      </c>
      <c r="AH43" s="146">
        <f t="shared" si="8"/>
        <v>44.043500289022759</v>
      </c>
      <c r="AI43" s="156">
        <f t="shared" si="9"/>
        <v>117.74682585326391</v>
      </c>
      <c r="AJ43" s="156">
        <f t="shared" si="10"/>
        <v>41.851466776499613</v>
      </c>
      <c r="AK43" s="88"/>
      <c r="AL43" s="716">
        <f t="shared" si="11"/>
        <v>3170.0217812600413</v>
      </c>
    </row>
    <row r="44" spans="1:38" ht="15" customHeight="1">
      <c r="A44" s="857" t="s">
        <v>1836</v>
      </c>
      <c r="B44" s="595">
        <v>45710</v>
      </c>
      <c r="C44" s="595">
        <v>45706</v>
      </c>
      <c r="D44" t="s">
        <v>1840</v>
      </c>
      <c r="E44">
        <f>_xlfn.XLOOKUP(D44,RUC!$B$3:$B$123,RUC!$D$3:$D$123)</f>
        <v>20611000350</v>
      </c>
      <c r="G44" s="80">
        <v>52</v>
      </c>
      <c r="H44" t="s">
        <v>108</v>
      </c>
      <c r="I44" s="596">
        <v>4.01</v>
      </c>
      <c r="J44" s="596">
        <v>13.3</v>
      </c>
      <c r="K44" s="138">
        <f t="shared" si="0"/>
        <v>3.4766699999999999</v>
      </c>
      <c r="L44" s="139">
        <v>0.57599999999999996</v>
      </c>
      <c r="M44" s="139">
        <v>0.54100000000000004</v>
      </c>
      <c r="N44" s="159">
        <v>0.54100000000000004</v>
      </c>
      <c r="O44" s="645">
        <f t="shared" si="1"/>
        <v>0.54100000000000004</v>
      </c>
      <c r="P44" s="727">
        <v>90</v>
      </c>
      <c r="Q44">
        <v>90.08</v>
      </c>
      <c r="R44" s="706">
        <v>2927.1</v>
      </c>
      <c r="S44" s="765">
        <f t="shared" si="23"/>
        <v>140</v>
      </c>
      <c r="U44" s="1066">
        <v>120</v>
      </c>
      <c r="V44" s="715">
        <v>1.1023000000000001</v>
      </c>
      <c r="Y44">
        <v>20</v>
      </c>
      <c r="Z44" s="143">
        <f t="shared" si="17"/>
        <v>30</v>
      </c>
      <c r="AA44" s="144">
        <f t="shared" si="4"/>
        <v>50</v>
      </c>
      <c r="AB44" s="145">
        <f t="shared" si="12"/>
        <v>1297.1612760770004</v>
      </c>
      <c r="AC44" s="145">
        <f>+(S44-T44)*V44-'data 1'!$F$4</f>
        <v>74.322000000000003</v>
      </c>
      <c r="AD44" s="145">
        <f t="shared" si="5"/>
        <v>1.4258379248639697</v>
      </c>
      <c r="AE44" s="145">
        <f t="shared" si="6"/>
        <v>-14.884999999999998</v>
      </c>
      <c r="AF44" s="145">
        <f t="shared" si="7"/>
        <v>97.556028852239763</v>
      </c>
      <c r="AG44" s="772">
        <f>+IF(D44="RONALD WILLIAN GARIBAY ESCUDERO",AC44+AD44+AE44+AF44+70,AC44+AD44+AE44+AF44)+70-53</f>
        <v>175.41886677710374</v>
      </c>
      <c r="AH44" s="146">
        <f t="shared" si="8"/>
        <v>61.847678159234832</v>
      </c>
      <c r="AI44" s="156">
        <f t="shared" si="9"/>
        <v>121.76608131993603</v>
      </c>
      <c r="AJ44" s="156">
        <f t="shared" si="10"/>
        <v>58.037983396956264</v>
      </c>
      <c r="AK44" s="88"/>
      <c r="AL44" s="716">
        <f t="shared" si="11"/>
        <v>4509.8016936986251</v>
      </c>
    </row>
    <row r="45" spans="1:38" ht="15" customHeight="1">
      <c r="A45" s="857" t="s">
        <v>1837</v>
      </c>
      <c r="B45" s="595">
        <v>45710</v>
      </c>
      <c r="C45" s="595">
        <v>45706</v>
      </c>
      <c r="D45" t="s">
        <v>1840</v>
      </c>
      <c r="E45">
        <f>_xlfn.XLOOKUP(D45,RUC!$B$3:$B$123,RUC!$D$3:$D$123)</f>
        <v>20611000350</v>
      </c>
      <c r="G45" s="80">
        <v>50</v>
      </c>
      <c r="H45" t="s">
        <v>108</v>
      </c>
      <c r="I45" s="596">
        <v>3.93</v>
      </c>
      <c r="J45" s="596">
        <v>12.6</v>
      </c>
      <c r="K45" s="138">
        <f t="shared" si="0"/>
        <v>3.4348200000000002</v>
      </c>
      <c r="L45" s="139">
        <v>0.40200000000000002</v>
      </c>
      <c r="M45" s="139">
        <v>0.378</v>
      </c>
      <c r="N45" s="159">
        <v>0.378</v>
      </c>
      <c r="O45" s="645">
        <f t="shared" si="1"/>
        <v>0.378</v>
      </c>
      <c r="P45" s="727">
        <v>90</v>
      </c>
      <c r="Q45">
        <v>90.13</v>
      </c>
      <c r="R45" s="706">
        <v>2927.1</v>
      </c>
      <c r="S45" s="765">
        <f t="shared" si="23"/>
        <v>120</v>
      </c>
      <c r="U45" s="1066">
        <v>120</v>
      </c>
      <c r="V45" s="715">
        <v>1.1023000000000001</v>
      </c>
      <c r="Y45">
        <v>20</v>
      </c>
      <c r="Z45" s="143">
        <f t="shared" si="17"/>
        <v>30</v>
      </c>
      <c r="AA45" s="144">
        <f t="shared" si="4"/>
        <v>50</v>
      </c>
      <c r="AB45" s="145">
        <f t="shared" si="12"/>
        <v>865.27840546599998</v>
      </c>
      <c r="AC45" s="145">
        <f>+(S45-T45)*V45-'data 1'!$F$4</f>
        <v>52.27600000000001</v>
      </c>
      <c r="AD45" s="145">
        <f t="shared" si="5"/>
        <v>1.6170635840579437</v>
      </c>
      <c r="AE45" s="145">
        <f t="shared" si="6"/>
        <v>-14.884999999999998</v>
      </c>
      <c r="AF45" s="145">
        <f t="shared" si="7"/>
        <v>66.93269383749606</v>
      </c>
      <c r="AG45" s="772">
        <f t="shared" ref="AG45:AG68" si="26">+IF(D45="RONALD WILLIAN GARIBAY ESCUDERO",AC45+AD45+AE45+AF45+70,AC45+AD45+AE45+AF45)+70-53</f>
        <v>122.94075742155403</v>
      </c>
      <c r="AH45" s="146">
        <f t="shared" si="8"/>
        <v>42.668608153109481</v>
      </c>
      <c r="AI45" s="156">
        <f t="shared" si="9"/>
        <v>85.029748201542048</v>
      </c>
      <c r="AJ45" s="156">
        <f t="shared" si="10"/>
        <v>40.063359265162724</v>
      </c>
      <c r="AK45" s="88"/>
      <c r="AL45" s="716">
        <f t="shared" si="11"/>
        <v>2972.0755726627262</v>
      </c>
    </row>
    <row r="46" spans="1:38" ht="15" customHeight="1">
      <c r="A46" s="857" t="s">
        <v>1838</v>
      </c>
      <c r="B46" s="595">
        <v>45710</v>
      </c>
      <c r="C46" s="595">
        <v>45706</v>
      </c>
      <c r="D46" t="s">
        <v>1840</v>
      </c>
      <c r="E46">
        <f>_xlfn.XLOOKUP(D46,RUC!$B$3:$B$123,RUC!$D$3:$D$123)</f>
        <v>20611000350</v>
      </c>
      <c r="G46" s="80">
        <v>50</v>
      </c>
      <c r="H46" t="s">
        <v>108</v>
      </c>
      <c r="I46" s="596">
        <v>3.79</v>
      </c>
      <c r="J46" s="596">
        <v>15.7</v>
      </c>
      <c r="K46" s="138">
        <f t="shared" si="0"/>
        <v>3.1949700000000001</v>
      </c>
      <c r="L46" s="139">
        <v>0.34300000000000003</v>
      </c>
      <c r="M46" s="139">
        <v>0.32200000000000001</v>
      </c>
      <c r="N46" s="159">
        <v>0.32200000000000001</v>
      </c>
      <c r="O46" s="645">
        <f t="shared" si="1"/>
        <v>0.32200000000000001</v>
      </c>
      <c r="P46" s="727">
        <v>90</v>
      </c>
      <c r="Q46">
        <v>90.21</v>
      </c>
      <c r="R46" s="706">
        <v>2927.1</v>
      </c>
      <c r="S46" s="765">
        <f t="shared" si="23"/>
        <v>120</v>
      </c>
      <c r="U46" s="1066">
        <v>120</v>
      </c>
      <c r="V46" s="715">
        <v>1.1023000000000001</v>
      </c>
      <c r="Y46">
        <v>20</v>
      </c>
      <c r="Z46" s="143">
        <f t="shared" si="17"/>
        <v>30</v>
      </c>
      <c r="AA46" s="144">
        <f t="shared" si="4"/>
        <v>50</v>
      </c>
      <c r="AB46" s="145">
        <f t="shared" si="12"/>
        <v>709.32738243400001</v>
      </c>
      <c r="AC46" s="145">
        <f>+(S46-T46)*V46-'data 1'!$F$4</f>
        <v>52.27600000000001</v>
      </c>
      <c r="AD46" s="145">
        <f t="shared" si="5"/>
        <v>2.2288000374989339</v>
      </c>
      <c r="AE46" s="145">
        <f t="shared" si="6"/>
        <v>-14.884999999999998</v>
      </c>
      <c r="AF46" s="145">
        <f t="shared" si="7"/>
        <v>58.618090782153047</v>
      </c>
      <c r="AG46" s="772">
        <f t="shared" si="26"/>
        <v>115.23789081965199</v>
      </c>
      <c r="AH46" s="146">
        <f t="shared" si="8"/>
        <v>33.894142946219816</v>
      </c>
      <c r="AI46" s="156">
        <f t="shared" si="9"/>
        <v>72.614653895301046</v>
      </c>
      <c r="AJ46" s="156">
        <f t="shared" si="10"/>
        <v>31.744919857599847</v>
      </c>
      <c r="AK46" s="88"/>
      <c r="AL46" s="716">
        <f t="shared" si="11"/>
        <v>2266.2797070551569</v>
      </c>
    </row>
    <row r="47" spans="1:38" ht="15" customHeight="1">
      <c r="A47" s="857" t="s">
        <v>1843</v>
      </c>
      <c r="B47" s="595">
        <v>45716</v>
      </c>
      <c r="C47" s="595">
        <v>45708</v>
      </c>
      <c r="D47" t="s">
        <v>1484</v>
      </c>
      <c r="E47">
        <f>_xlfn.XLOOKUP(D47,RUC!$B$3:$B$123,RUC!$D$3:$D$123)</f>
        <v>10761932735</v>
      </c>
      <c r="G47" s="80">
        <v>190</v>
      </c>
      <c r="H47" t="s">
        <v>69</v>
      </c>
      <c r="I47" s="596">
        <v>14.58</v>
      </c>
      <c r="J47" s="596">
        <v>17.75</v>
      </c>
      <c r="K47" s="138">
        <f t="shared" si="0"/>
        <v>11.992050000000001</v>
      </c>
      <c r="L47" s="139">
        <v>0.14199999999999999</v>
      </c>
      <c r="M47" s="139">
        <v>0.13200000000000001</v>
      </c>
      <c r="N47" s="598">
        <v>0.19900000000000001</v>
      </c>
      <c r="O47" s="645">
        <f t="shared" si="1"/>
        <v>0.16600000000000001</v>
      </c>
      <c r="P47" s="727">
        <v>85</v>
      </c>
      <c r="Q47">
        <v>90.09</v>
      </c>
      <c r="R47" s="706">
        <v>2932.05</v>
      </c>
      <c r="S47" s="765">
        <f t="shared" si="23"/>
        <v>100</v>
      </c>
      <c r="U47" s="1066">
        <v>120</v>
      </c>
      <c r="V47" s="715">
        <v>1.1023000000000001</v>
      </c>
      <c r="Y47">
        <v>10</v>
      </c>
      <c r="Z47" s="143">
        <f t="shared" si="17"/>
        <v>30</v>
      </c>
      <c r="AA47" s="144">
        <f t="shared" si="4"/>
        <v>40</v>
      </c>
      <c r="AB47" s="145">
        <f t="shared" si="12"/>
        <v>283.0488750865</v>
      </c>
      <c r="AC47" s="145">
        <f>+(S47-T47)*V47-'data 1'!$F$4</f>
        <v>30.230000000000004</v>
      </c>
      <c r="AD47" s="145">
        <f t="shared" si="5"/>
        <v>22.404175839477016</v>
      </c>
      <c r="AE47" s="145">
        <f t="shared" si="6"/>
        <v>-25.908000000000001</v>
      </c>
      <c r="AF47" s="145">
        <f t="shared" si="7"/>
        <v>-67.020964654644075</v>
      </c>
      <c r="AG47" s="772">
        <f t="shared" si="26"/>
        <v>-23.294788815167053</v>
      </c>
      <c r="AH47" s="146">
        <f t="shared" si="8"/>
        <v>52.5977820531837</v>
      </c>
      <c r="AI47" s="156">
        <f t="shared" si="9"/>
        <v>29.324030558822979</v>
      </c>
      <c r="AJ47" s="156">
        <f t="shared" si="10"/>
        <v>58.013559583641864</v>
      </c>
      <c r="AK47" s="88"/>
      <c r="AL47" s="716">
        <f t="shared" si="11"/>
        <v>3394.3362624810625</v>
      </c>
    </row>
    <row r="48" spans="1:38" ht="15" customHeight="1">
      <c r="A48" s="857" t="s">
        <v>1845</v>
      </c>
      <c r="B48" s="595">
        <v>45716</v>
      </c>
      <c r="C48" s="595">
        <v>45708</v>
      </c>
      <c r="D48" t="s">
        <v>1484</v>
      </c>
      <c r="E48">
        <f>_xlfn.XLOOKUP(D48,RUC!$B$3:$B$123,RUC!$D$3:$D$123)</f>
        <v>10761932735</v>
      </c>
      <c r="G48" s="80">
        <v>25</v>
      </c>
      <c r="H48" t="s">
        <v>69</v>
      </c>
      <c r="I48" s="596">
        <v>2.78</v>
      </c>
      <c r="J48" s="596">
        <v>19.149999999999999</v>
      </c>
      <c r="K48" s="138">
        <f t="shared" si="0"/>
        <v>2.24763</v>
      </c>
      <c r="L48" s="139">
        <v>0.16700000000000001</v>
      </c>
      <c r="M48" s="139">
        <v>0.157</v>
      </c>
      <c r="N48" s="598">
        <v>0.218</v>
      </c>
      <c r="O48" s="645">
        <f t="shared" si="1"/>
        <v>0.188</v>
      </c>
      <c r="P48" s="727">
        <v>90</v>
      </c>
      <c r="Q48">
        <v>90.14</v>
      </c>
      <c r="R48" s="706">
        <v>2932.05</v>
      </c>
      <c r="S48" s="765">
        <f t="shared" si="23"/>
        <v>100</v>
      </c>
      <c r="U48" s="1066">
        <v>120</v>
      </c>
      <c r="V48" s="715">
        <v>1.1023000000000001</v>
      </c>
      <c r="Y48">
        <v>10</v>
      </c>
      <c r="Z48" s="143">
        <f t="shared" si="17"/>
        <v>30</v>
      </c>
      <c r="AA48" s="144">
        <f t="shared" si="4"/>
        <v>40</v>
      </c>
      <c r="AB48" s="145">
        <f t="shared" si="12"/>
        <v>370.15108337800007</v>
      </c>
      <c r="AC48" s="145">
        <f>+(S48-T48)*V48-'data 1'!$F$4</f>
        <v>30.230000000000004</v>
      </c>
      <c r="AD48" s="145">
        <f t="shared" si="5"/>
        <v>0.72471517076700298</v>
      </c>
      <c r="AE48" s="145">
        <f t="shared" si="6"/>
        <v>-25.908000000000001</v>
      </c>
      <c r="AF48" s="145">
        <f t="shared" si="7"/>
        <v>-58.67589116132099</v>
      </c>
      <c r="AG48" s="772">
        <f t="shared" si="26"/>
        <v>-36.629175990553989</v>
      </c>
      <c r="AH48" s="146">
        <f t="shared" si="8"/>
        <v>11.600265102090546</v>
      </c>
      <c r="AI48" s="156">
        <f t="shared" si="9"/>
        <v>34.505852139532969</v>
      </c>
      <c r="AJ48" s="156">
        <f t="shared" si="10"/>
        <v>13.038698652885397</v>
      </c>
      <c r="AK48" s="88"/>
      <c r="AL48" s="716">
        <f t="shared" si="11"/>
        <v>831.9626795328943</v>
      </c>
    </row>
    <row r="49" spans="1:38" ht="15" customHeight="1">
      <c r="A49" s="857" t="s">
        <v>1847</v>
      </c>
      <c r="B49" s="595">
        <v>45740</v>
      </c>
      <c r="C49" s="595">
        <v>45709</v>
      </c>
      <c r="D49" t="s">
        <v>66</v>
      </c>
      <c r="E49">
        <f>_xlfn.XLOOKUP(D49,RUC!$B$3:$B$123,RUC!$D$3:$D$123)</f>
        <v>10457401928</v>
      </c>
      <c r="G49" s="80">
        <v>60</v>
      </c>
      <c r="H49" t="s">
        <v>116</v>
      </c>
      <c r="I49" s="596">
        <v>4.7300000000000004</v>
      </c>
      <c r="J49" s="596">
        <v>9.5</v>
      </c>
      <c r="K49" s="138">
        <f t="shared" si="0"/>
        <v>4.2806500000000005</v>
      </c>
      <c r="L49" s="139">
        <v>0.13700000000000001</v>
      </c>
      <c r="M49" s="139">
        <v>0.127</v>
      </c>
      <c r="N49" s="159">
        <v>0.127</v>
      </c>
      <c r="O49" s="645">
        <f t="shared" si="1"/>
        <v>0.127</v>
      </c>
      <c r="P49" s="727">
        <v>90</v>
      </c>
      <c r="Q49">
        <v>90.09</v>
      </c>
      <c r="R49" s="706">
        <v>2934.15</v>
      </c>
      <c r="S49" s="765">
        <f t="shared" si="23"/>
        <v>100</v>
      </c>
      <c r="U49" s="1066">
        <v>120</v>
      </c>
      <c r="V49" s="715">
        <v>1.1023000000000001</v>
      </c>
      <c r="Y49">
        <v>20</v>
      </c>
      <c r="Z49" s="143">
        <f t="shared" si="17"/>
        <v>30</v>
      </c>
      <c r="AA49" s="144">
        <f t="shared" si="4"/>
        <v>50</v>
      </c>
      <c r="AB49" s="145">
        <f t="shared" si="12"/>
        <v>189.21789139349997</v>
      </c>
      <c r="AC49" s="145">
        <f>+(S49-T49)*V49-'data 1'!$F$4</f>
        <v>30.230000000000004</v>
      </c>
      <c r="AD49" s="145">
        <f t="shared" si="5"/>
        <v>0.38248122929851464</v>
      </c>
      <c r="AE49" s="145">
        <f t="shared" si="6"/>
        <v>-14.884999999999998</v>
      </c>
      <c r="AF49" s="145">
        <f t="shared" si="7"/>
        <v>27.946256242905022</v>
      </c>
      <c r="AG49" s="772">
        <f t="shared" si="26"/>
        <v>60.673737472203541</v>
      </c>
      <c r="AH49" s="146">
        <f t="shared" si="8"/>
        <v>18.114065895649201</v>
      </c>
      <c r="AI49" s="156">
        <f t="shared" si="9"/>
        <v>28.005790314001498</v>
      </c>
      <c r="AJ49" s="156">
        <f t="shared" si="10"/>
        <v>16.775096208517379</v>
      </c>
      <c r="AK49" s="88"/>
      <c r="AL49" s="716">
        <f t="shared" si="11"/>
        <v>809.9755667935857</v>
      </c>
    </row>
    <row r="50" spans="1:38" ht="15" customHeight="1">
      <c r="A50" s="857" t="s">
        <v>1848</v>
      </c>
      <c r="B50" s="595">
        <v>45723</v>
      </c>
      <c r="C50" s="595">
        <v>45709</v>
      </c>
      <c r="D50" t="s">
        <v>66</v>
      </c>
      <c r="E50">
        <f>_xlfn.XLOOKUP(D50,RUC!$B$3:$B$123,RUC!$D$3:$D$123)</f>
        <v>10457401928</v>
      </c>
      <c r="G50" s="80">
        <v>123</v>
      </c>
      <c r="H50" t="s">
        <v>69</v>
      </c>
      <c r="I50" s="596">
        <v>11.02</v>
      </c>
      <c r="J50" s="596">
        <v>14.65</v>
      </c>
      <c r="K50" s="138">
        <f t="shared" si="0"/>
        <v>9.4055699999999991</v>
      </c>
      <c r="L50" s="139">
        <v>0.85499999999999998</v>
      </c>
      <c r="M50" s="139">
        <v>0.81200000000000006</v>
      </c>
      <c r="N50" s="598">
        <v>0.9</v>
      </c>
      <c r="O50" s="645">
        <f t="shared" si="1"/>
        <v>0.85599999999999998</v>
      </c>
      <c r="P50" s="727">
        <v>90</v>
      </c>
      <c r="Q50">
        <v>90.08</v>
      </c>
      <c r="R50" s="706">
        <v>2934.15</v>
      </c>
      <c r="S50" s="765">
        <f>IF((80+ROUNDDOWN(O50,1)*100)&lt;95,95,(80+ROUNDDOWN(O50,1)*100))</f>
        <v>160</v>
      </c>
      <c r="U50" s="1066">
        <v>120</v>
      </c>
      <c r="V50" s="715">
        <v>1.1023000000000001</v>
      </c>
      <c r="Z50" s="143">
        <f t="shared" si="17"/>
        <v>30</v>
      </c>
      <c r="AA50" s="144">
        <f t="shared" si="4"/>
        <v>30</v>
      </c>
      <c r="AB50" s="145">
        <f t="shared" si="12"/>
        <v>2180.372724668</v>
      </c>
      <c r="AC50" s="145">
        <f>+(S50-T50)*V50-'data 1'!$F$4</f>
        <v>96.367999999999995</v>
      </c>
      <c r="AD50" s="145">
        <f t="shared" si="5"/>
        <v>2.1217936807799549</v>
      </c>
      <c r="AE50" s="145">
        <f t="shared" si="6"/>
        <v>-36.930999999999997</v>
      </c>
      <c r="AF50" s="145">
        <f t="shared" si="7"/>
        <v>-2.7943154205360026</v>
      </c>
      <c r="AG50" s="772">
        <f t="shared" si="26"/>
        <v>75.764478260243948</v>
      </c>
      <c r="AH50" s="146">
        <f t="shared" si="8"/>
        <v>248.36402045228741</v>
      </c>
      <c r="AI50" s="156">
        <f t="shared" si="9"/>
        <v>174.76126150571997</v>
      </c>
      <c r="AJ50" s="156">
        <f t="shared" si="10"/>
        <v>248.43367475362018</v>
      </c>
      <c r="AK50" s="88"/>
      <c r="AL50" s="716">
        <f t="shared" si="11"/>
        <v>20507.648287955599</v>
      </c>
    </row>
    <row r="51" spans="1:38" ht="15" customHeight="1">
      <c r="A51" s="857" t="s">
        <v>1849</v>
      </c>
      <c r="B51" s="595">
        <v>45723</v>
      </c>
      <c r="C51" s="595">
        <v>45709</v>
      </c>
      <c r="D51" t="s">
        <v>66</v>
      </c>
      <c r="E51">
        <f>_xlfn.XLOOKUP(D51,RUC!$B$3:$B$123,RUC!$D$3:$D$123)</f>
        <v>10457401928</v>
      </c>
      <c r="G51" s="80">
        <v>89</v>
      </c>
      <c r="H51" t="s">
        <v>69</v>
      </c>
      <c r="I51" s="596">
        <v>7.76</v>
      </c>
      <c r="J51" s="596">
        <v>12.85</v>
      </c>
      <c r="K51" s="138">
        <f t="shared" si="0"/>
        <v>6.7628399999999997</v>
      </c>
      <c r="L51" s="139">
        <v>0.33</v>
      </c>
      <c r="M51" s="139">
        <v>0.31</v>
      </c>
      <c r="N51" s="598">
        <v>0.374</v>
      </c>
      <c r="O51" s="645">
        <f t="shared" si="1"/>
        <v>0.34200000000000003</v>
      </c>
      <c r="P51" s="727">
        <v>90</v>
      </c>
      <c r="Q51">
        <v>90.17</v>
      </c>
      <c r="R51" s="706">
        <v>2934.15</v>
      </c>
      <c r="S51" s="765">
        <f>IF((80+ROUNDDOWN(O51,1)*100)&lt;95,95,(80+ROUNDDOWN(O51,1)*100))</f>
        <v>110</v>
      </c>
      <c r="U51" s="1066">
        <v>120</v>
      </c>
      <c r="V51" s="715">
        <v>1.1023000000000001</v>
      </c>
      <c r="Z51" s="143">
        <f t="shared" si="17"/>
        <v>30</v>
      </c>
      <c r="AA51" s="144">
        <f t="shared" si="4"/>
        <v>30</v>
      </c>
      <c r="AB51" s="145">
        <f t="shared" si="12"/>
        <v>800.48515635100023</v>
      </c>
      <c r="AC51" s="145">
        <f>+(S51-T51)*V51-'data 1'!$F$4</f>
        <v>41.253</v>
      </c>
      <c r="AD51" s="145">
        <f t="shared" si="5"/>
        <v>1.7402430627450178</v>
      </c>
      <c r="AE51" s="145">
        <f t="shared" si="6"/>
        <v>-36.930999999999997</v>
      </c>
      <c r="AF51" s="145">
        <f t="shared" si="7"/>
        <v>-33.565287051918034</v>
      </c>
      <c r="AG51" s="772">
        <f t="shared" si="26"/>
        <v>-10.503043989173015</v>
      </c>
      <c r="AH51" s="146">
        <f t="shared" si="8"/>
        <v>68.994455493935376</v>
      </c>
      <c r="AI51" s="156">
        <f t="shared" si="9"/>
        <v>67.519106778254979</v>
      </c>
      <c r="AJ51" s="156">
        <f t="shared" si="10"/>
        <v>71.368537547035089</v>
      </c>
      <c r="AK51" s="88"/>
      <c r="AL51" s="716">
        <f t="shared" si="11"/>
        <v>5413.5530347767981</v>
      </c>
    </row>
    <row r="52" spans="1:38" ht="15" customHeight="1">
      <c r="A52" s="857" t="s">
        <v>1853</v>
      </c>
      <c r="B52" s="595">
        <v>45719</v>
      </c>
      <c r="C52" s="595">
        <v>45710</v>
      </c>
      <c r="D52" t="s">
        <v>1403</v>
      </c>
      <c r="E52">
        <f>_xlfn.XLOOKUP(D52,RUC!$B$3:$B$123,RUC!$D$3:$D$123)</f>
        <v>10479968131</v>
      </c>
      <c r="G52" s="80">
        <v>105</v>
      </c>
      <c r="H52" t="s">
        <v>69</v>
      </c>
      <c r="I52" s="596">
        <v>8.42</v>
      </c>
      <c r="J52" s="596">
        <v>2.85</v>
      </c>
      <c r="K52" s="138">
        <f t="shared" si="0"/>
        <v>8.1800300000000004</v>
      </c>
      <c r="L52" s="139">
        <v>0.13800000000000001</v>
      </c>
      <c r="M52" s="139">
        <v>0.128</v>
      </c>
      <c r="N52" s="159">
        <v>0.128</v>
      </c>
      <c r="O52" s="645">
        <f t="shared" si="1"/>
        <v>0.128</v>
      </c>
      <c r="P52" s="727">
        <v>85</v>
      </c>
      <c r="Q52">
        <v>90.15</v>
      </c>
      <c r="R52" s="706">
        <v>2934.15</v>
      </c>
      <c r="S52" s="765">
        <f t="shared" si="23"/>
        <v>100</v>
      </c>
      <c r="U52" s="1066">
        <v>120</v>
      </c>
      <c r="V52" s="715">
        <v>1.1023000000000001</v>
      </c>
      <c r="Y52">
        <v>10</v>
      </c>
      <c r="Z52" s="143">
        <f t="shared" si="17"/>
        <v>30</v>
      </c>
      <c r="AA52" s="144">
        <f t="shared" si="4"/>
        <v>40</v>
      </c>
      <c r="AB52" s="145">
        <f t="shared" si="12"/>
        <v>183.17968489600003</v>
      </c>
      <c r="AC52" s="145">
        <f>+(S52-T52)*V52-'data 1'!$F$4</f>
        <v>30.230000000000004</v>
      </c>
      <c r="AD52" s="145">
        <f t="shared" si="5"/>
        <v>22.046180832315027</v>
      </c>
      <c r="AE52" s="145">
        <f t="shared" si="6"/>
        <v>-25.908000000000001</v>
      </c>
      <c r="AF52" s="145">
        <f t="shared" si="7"/>
        <v>27.96486846817503</v>
      </c>
      <c r="AG52" s="772">
        <f t="shared" si="26"/>
        <v>71.33304930049006</v>
      </c>
      <c r="AH52" s="146">
        <f t="shared" si="8"/>
        <v>34.890627738163481</v>
      </c>
      <c r="AI52" s="156">
        <f t="shared" si="9"/>
        <v>28.229000161184992</v>
      </c>
      <c r="AJ52" s="156">
        <f t="shared" si="10"/>
        <v>30.513558705797795</v>
      </c>
      <c r="AK52" s="88"/>
      <c r="AL52" s="716">
        <f t="shared" si="11"/>
        <v>1498.4153178398271</v>
      </c>
    </row>
    <row r="53" spans="1:38" ht="15" customHeight="1">
      <c r="A53" s="857" t="s">
        <v>1854</v>
      </c>
      <c r="B53" s="595">
        <v>45723</v>
      </c>
      <c r="C53" s="595">
        <v>45710</v>
      </c>
      <c r="D53" t="s">
        <v>1586</v>
      </c>
      <c r="E53" t="e">
        <f>_xlfn.XLOOKUP(D53,RUC!$B$3:$B$123,RUC!$D$3:$D$123)</f>
        <v>#N/A</v>
      </c>
      <c r="G53" s="80">
        <v>50</v>
      </c>
      <c r="H53" t="s">
        <v>69</v>
      </c>
      <c r="I53" s="596">
        <v>6.84</v>
      </c>
      <c r="J53" s="596">
        <v>6.05</v>
      </c>
      <c r="K53" s="138">
        <f t="shared" si="0"/>
        <v>6.4261799999999996</v>
      </c>
      <c r="L53" s="139">
        <v>0.58099999999999996</v>
      </c>
      <c r="M53" s="139">
        <v>0.54600000000000004</v>
      </c>
      <c r="N53" s="598">
        <v>0.59899999999999998</v>
      </c>
      <c r="O53" s="645">
        <f t="shared" si="1"/>
        <v>0.57299999999999995</v>
      </c>
      <c r="P53" s="727">
        <v>90</v>
      </c>
      <c r="Q53">
        <v>89.98</v>
      </c>
      <c r="R53" s="706">
        <v>2934.15</v>
      </c>
      <c r="S53" s="802">
        <f>IF((85+ROUNDDOWN(O53,1)*100)&lt;95,95,(85+ROUNDDOWN(O53,1)*100))</f>
        <v>135</v>
      </c>
      <c r="T53" s="891"/>
      <c r="U53" s="1024">
        <v>90</v>
      </c>
      <c r="V53" s="715">
        <v>1.1023000000000001</v>
      </c>
      <c r="Z53" s="1062">
        <v>25</v>
      </c>
      <c r="AA53" s="144">
        <f t="shared" si="4"/>
        <v>25</v>
      </c>
      <c r="AB53" s="145">
        <f t="shared" si="12"/>
        <v>1440.4064452565001</v>
      </c>
      <c r="AC53" s="145">
        <f>+(S53-T53)*V53-'data 1'!$F$4</f>
        <v>68.810500000000019</v>
      </c>
      <c r="AD53" s="145">
        <f t="shared" si="5"/>
        <v>-0.36429938052892757</v>
      </c>
      <c r="AE53" s="145">
        <f t="shared" si="6"/>
        <v>-42.442499999999995</v>
      </c>
      <c r="AF53" s="145">
        <f t="shared" si="7"/>
        <v>22.567750953528027</v>
      </c>
      <c r="AG53" s="772">
        <f t="shared" si="26"/>
        <v>65.571451572999109</v>
      </c>
      <c r="AH53" s="146">
        <f t="shared" si="8"/>
        <v>115.18185714908442</v>
      </c>
      <c r="AI53" s="156">
        <f t="shared" si="9"/>
        <v>101.33612687482895</v>
      </c>
      <c r="AJ53" s="156">
        <f t="shared" si="10"/>
        <v>113.62112546674713</v>
      </c>
      <c r="AK53" s="88"/>
      <c r="AL53" s="716">
        <f t="shared" si="11"/>
        <v>9256.3110903784145</v>
      </c>
    </row>
    <row r="54" spans="1:38" ht="15" customHeight="1">
      <c r="A54" s="857" t="s">
        <v>1855</v>
      </c>
      <c r="B54" s="595">
        <v>45723</v>
      </c>
      <c r="C54" s="595">
        <v>45710</v>
      </c>
      <c r="D54" t="s">
        <v>1586</v>
      </c>
      <c r="E54" t="e">
        <f>_xlfn.XLOOKUP(D54,RUC!$B$3:$B$123,RUC!$D$3:$D$123)</f>
        <v>#N/A</v>
      </c>
      <c r="G54" s="80">
        <v>50</v>
      </c>
      <c r="H54" t="s">
        <v>69</v>
      </c>
      <c r="I54" s="596">
        <v>6.58</v>
      </c>
      <c r="J54" s="596">
        <v>5.5</v>
      </c>
      <c r="K54" s="138">
        <f t="shared" si="0"/>
        <v>6.2180999999999997</v>
      </c>
      <c r="L54" s="139">
        <v>0.60499999999999998</v>
      </c>
      <c r="M54" s="139">
        <v>0.56899999999999995</v>
      </c>
      <c r="N54" s="598">
        <v>0.61599999999999999</v>
      </c>
      <c r="O54" s="645">
        <f t="shared" si="1"/>
        <v>0.59299999999999997</v>
      </c>
      <c r="P54" s="727">
        <v>90</v>
      </c>
      <c r="Q54">
        <v>89.94</v>
      </c>
      <c r="R54" s="706">
        <v>2934.15</v>
      </c>
      <c r="S54" s="802">
        <f t="shared" ref="S54:S60" si="27">IF((85+ROUNDDOWN(O54,1)*100)&lt;95,95,(85+ROUNDDOWN(O54,1)*100))</f>
        <v>135</v>
      </c>
      <c r="T54" s="891"/>
      <c r="U54" s="1024">
        <v>90</v>
      </c>
      <c r="V54" s="715">
        <v>1.1023000000000001</v>
      </c>
      <c r="Z54" s="1062">
        <v>25</v>
      </c>
      <c r="AA54" s="144">
        <f t="shared" si="4"/>
        <v>25</v>
      </c>
      <c r="AB54" s="145">
        <f t="shared" si="12"/>
        <v>1496.8383630665001</v>
      </c>
      <c r="AC54" s="145">
        <f>+(S54-T54)*V54-'data 1'!$F$4</f>
        <v>68.810500000000019</v>
      </c>
      <c r="AD54" s="145">
        <f t="shared" si="5"/>
        <v>-1.1380436758350434</v>
      </c>
      <c r="AE54" s="145">
        <f t="shared" si="6"/>
        <v>-42.442499999999995</v>
      </c>
      <c r="AF54" s="145">
        <f t="shared" si="7"/>
        <v>33.836577918876031</v>
      </c>
      <c r="AG54" s="772">
        <f t="shared" si="26"/>
        <v>76.066534243041019</v>
      </c>
      <c r="AH54" s="146">
        <f t="shared" si="8"/>
        <v>116.00455148602194</v>
      </c>
      <c r="AI54" s="156">
        <f t="shared" si="9"/>
        <v>105.47521952533496</v>
      </c>
      <c r="AJ54" s="156">
        <f t="shared" si="10"/>
        <v>113.77948775416837</v>
      </c>
      <c r="AK54" s="88"/>
      <c r="AL54" s="716">
        <f t="shared" si="11"/>
        <v>9307.4906253838035</v>
      </c>
    </row>
    <row r="55" spans="1:38" ht="15" customHeight="1">
      <c r="A55" s="857" t="s">
        <v>1856</v>
      </c>
      <c r="B55" s="595">
        <v>45723</v>
      </c>
      <c r="C55" s="595">
        <v>45710</v>
      </c>
      <c r="D55" t="s">
        <v>1586</v>
      </c>
      <c r="E55" t="e">
        <f>_xlfn.XLOOKUP(D55,RUC!$B$3:$B$123,RUC!$D$3:$D$123)</f>
        <v>#N/A</v>
      </c>
      <c r="G55" s="80">
        <v>50</v>
      </c>
      <c r="H55" t="s">
        <v>69</v>
      </c>
      <c r="I55" s="596">
        <v>6.77</v>
      </c>
      <c r="J55" s="596">
        <v>5.5</v>
      </c>
      <c r="K55" s="138">
        <f t="shared" si="0"/>
        <v>6.3976499999999996</v>
      </c>
      <c r="L55" s="139">
        <v>0.41</v>
      </c>
      <c r="M55" s="139">
        <v>0.38500000000000001</v>
      </c>
      <c r="N55" s="598">
        <v>0.47299999999999998</v>
      </c>
      <c r="O55" s="645">
        <f t="shared" si="1"/>
        <v>0.42899999999999999</v>
      </c>
      <c r="P55" s="727">
        <v>90</v>
      </c>
      <c r="Q55">
        <v>90.13</v>
      </c>
      <c r="R55" s="706">
        <v>2934.15</v>
      </c>
      <c r="S55" s="802">
        <f t="shared" si="27"/>
        <v>125</v>
      </c>
      <c r="T55" s="891"/>
      <c r="U55" s="1024">
        <v>90</v>
      </c>
      <c r="V55" s="715">
        <v>1.1023000000000001</v>
      </c>
      <c r="Z55" s="1062">
        <v>25</v>
      </c>
      <c r="AA55" s="144">
        <f t="shared" si="4"/>
        <v>25</v>
      </c>
      <c r="AB55" s="145">
        <f t="shared" si="12"/>
        <v>1045.1196370245</v>
      </c>
      <c r="AC55" s="145">
        <f>+(S55-T55)*V55-'data 1'!$F$4</f>
        <v>57.787499999999994</v>
      </c>
      <c r="AD55" s="145">
        <f t="shared" si="5"/>
        <v>1.6710117884849416</v>
      </c>
      <c r="AE55" s="145">
        <f t="shared" si="6"/>
        <v>-42.442499999999995</v>
      </c>
      <c r="AF55" s="145">
        <f t="shared" si="7"/>
        <v>-53.687759051161549</v>
      </c>
      <c r="AG55" s="772">
        <f t="shared" si="26"/>
        <v>-19.671747262676611</v>
      </c>
      <c r="AH55" s="146">
        <f t="shared" si="8"/>
        <v>81.0555532161858</v>
      </c>
      <c r="AI55" s="156">
        <f t="shared" si="9"/>
        <v>71.630075324514962</v>
      </c>
      <c r="AJ55" s="156">
        <f t="shared" si="10"/>
        <v>84.689456954505658</v>
      </c>
      <c r="AK55" s="88"/>
      <c r="AL55" s="716">
        <f t="shared" si="11"/>
        <v>6686.3096458097916</v>
      </c>
    </row>
    <row r="56" spans="1:38" ht="15" customHeight="1">
      <c r="A56" s="857" t="s">
        <v>1857</v>
      </c>
      <c r="B56" s="595">
        <v>45723</v>
      </c>
      <c r="C56" s="595">
        <v>45710</v>
      </c>
      <c r="D56" t="s">
        <v>1586</v>
      </c>
      <c r="E56" t="e">
        <f>_xlfn.XLOOKUP(D56,RUC!$B$3:$B$123,RUC!$D$3:$D$123)</f>
        <v>#N/A</v>
      </c>
      <c r="G56" s="80">
        <v>50</v>
      </c>
      <c r="H56" t="s">
        <v>69</v>
      </c>
      <c r="I56" s="596">
        <v>6.7</v>
      </c>
      <c r="J56" s="596">
        <v>3.85</v>
      </c>
      <c r="K56" s="138">
        <f t="shared" si="0"/>
        <v>6.4420500000000001</v>
      </c>
      <c r="L56" s="139">
        <v>0.51600000000000001</v>
      </c>
      <c r="M56" s="139">
        <v>0.48399999999999999</v>
      </c>
      <c r="N56" s="598">
        <v>0.55400000000000005</v>
      </c>
      <c r="O56" s="645">
        <f t="shared" si="1"/>
        <v>0.51900000000000002</v>
      </c>
      <c r="P56" s="727">
        <v>90</v>
      </c>
      <c r="Q56">
        <v>89.96</v>
      </c>
      <c r="R56" s="706">
        <v>2934.15</v>
      </c>
      <c r="S56" s="802">
        <f t="shared" si="27"/>
        <v>135</v>
      </c>
      <c r="T56" s="891"/>
      <c r="U56" s="1024">
        <v>90</v>
      </c>
      <c r="V56" s="715">
        <v>1.1023000000000001</v>
      </c>
      <c r="Z56" s="1062">
        <v>25</v>
      </c>
      <c r="AA56" s="144">
        <f t="shared" si="4"/>
        <v>25</v>
      </c>
      <c r="AB56" s="145">
        <f t="shared" si="12"/>
        <v>1288.0402671695001</v>
      </c>
      <c r="AC56" s="145">
        <f>+(S56-T56)*V56-'data 1'!$F$4</f>
        <v>68.810500000000019</v>
      </c>
      <c r="AD56" s="145">
        <f t="shared" si="5"/>
        <v>-0.64708599088810115</v>
      </c>
      <c r="AE56" s="145">
        <f t="shared" si="6"/>
        <v>-42.442499999999995</v>
      </c>
      <c r="AF56" s="145">
        <f t="shared" si="7"/>
        <v>-8.4610255436460076</v>
      </c>
      <c r="AG56" s="772">
        <f t="shared" si="26"/>
        <v>34.259888465465906</v>
      </c>
      <c r="AH56" s="146">
        <f t="shared" si="8"/>
        <v>102.52559749704051</v>
      </c>
      <c r="AI56" s="156">
        <f t="shared" si="9"/>
        <v>89.979034438487957</v>
      </c>
      <c r="AJ56" s="156">
        <f t="shared" si="10"/>
        <v>103.16752878727242</v>
      </c>
      <c r="AK56" s="88"/>
      <c r="AL56" s="716">
        <f t="shared" si="11"/>
        <v>8297.619803119278</v>
      </c>
    </row>
    <row r="57" spans="1:38" ht="15" customHeight="1">
      <c r="A57" s="857" t="s">
        <v>1858</v>
      </c>
      <c r="B57" s="595">
        <v>45723</v>
      </c>
      <c r="C57" s="595">
        <v>45710</v>
      </c>
      <c r="D57" t="s">
        <v>1586</v>
      </c>
      <c r="E57" t="e">
        <f>_xlfn.XLOOKUP(D57,RUC!$B$3:$B$123,RUC!$D$3:$D$123)</f>
        <v>#N/A</v>
      </c>
      <c r="G57" s="80">
        <v>50</v>
      </c>
      <c r="H57" t="s">
        <v>69</v>
      </c>
      <c r="I57" s="596">
        <v>6.82</v>
      </c>
      <c r="J57" s="596">
        <v>4.5</v>
      </c>
      <c r="K57" s="138">
        <f t="shared" si="0"/>
        <v>6.5131000000000006</v>
      </c>
      <c r="L57" s="139">
        <v>0.42799999999999999</v>
      </c>
      <c r="M57" s="139">
        <v>0.36299999999999999</v>
      </c>
      <c r="N57" s="598">
        <v>0.42499999999999999</v>
      </c>
      <c r="O57" s="645">
        <f t="shared" si="1"/>
        <v>0.39400000000000002</v>
      </c>
      <c r="P57" s="727">
        <v>90</v>
      </c>
      <c r="Q57">
        <v>90.12</v>
      </c>
      <c r="R57" s="706">
        <v>2934.15</v>
      </c>
      <c r="S57" s="802">
        <f t="shared" si="27"/>
        <v>115</v>
      </c>
      <c r="T57" s="891"/>
      <c r="U57" s="1024">
        <v>90</v>
      </c>
      <c r="V57" s="715">
        <v>1.1023000000000001</v>
      </c>
      <c r="Z57" s="1062">
        <v>25</v>
      </c>
      <c r="AA57" s="144">
        <f t="shared" si="4"/>
        <v>25</v>
      </c>
      <c r="AB57" s="145">
        <f t="shared" si="12"/>
        <v>957.38678085700008</v>
      </c>
      <c r="AC57" s="145">
        <f>+(S57-T57)*V57-'data 1'!$F$4</f>
        <v>46.764500000000012</v>
      </c>
      <c r="AD57" s="145">
        <f t="shared" si="5"/>
        <v>1.6101907215120612</v>
      </c>
      <c r="AE57" s="145">
        <f t="shared" si="6"/>
        <v>-42.442499999999995</v>
      </c>
      <c r="AF57" s="145">
        <f t="shared" si="7"/>
        <v>96.062172624035938</v>
      </c>
      <c r="AG57" s="772">
        <f t="shared" si="26"/>
        <v>118.99436334554801</v>
      </c>
      <c r="AH57" s="146">
        <f t="shared" si="8"/>
        <v>86.131451798979469</v>
      </c>
      <c r="AI57" s="156">
        <f t="shared" si="9"/>
        <v>74.766514010087974</v>
      </c>
      <c r="AJ57" s="156">
        <f t="shared" si="10"/>
        <v>79.183655458138162</v>
      </c>
      <c r="AK57" s="88"/>
      <c r="AL57" s="716">
        <f t="shared" si="11"/>
        <v>6235.5558423997281</v>
      </c>
    </row>
    <row r="58" spans="1:38" ht="15" customHeight="1">
      <c r="A58" s="857" t="s">
        <v>1859</v>
      </c>
      <c r="B58" s="595">
        <v>45723</v>
      </c>
      <c r="C58" s="595">
        <v>45710</v>
      </c>
      <c r="D58" t="s">
        <v>1586</v>
      </c>
      <c r="E58" t="e">
        <f>_xlfn.XLOOKUP(D58,RUC!$B$3:$B$123,RUC!$D$3:$D$123)</f>
        <v>#N/A</v>
      </c>
      <c r="G58" s="80">
        <v>50</v>
      </c>
      <c r="H58" t="s">
        <v>69</v>
      </c>
      <c r="I58" s="596">
        <v>6.79</v>
      </c>
      <c r="J58" s="596">
        <v>3.15</v>
      </c>
      <c r="K58" s="138">
        <f t="shared" si="0"/>
        <v>6.5761149999999997</v>
      </c>
      <c r="L58" s="139">
        <v>0.439</v>
      </c>
      <c r="M58" s="139">
        <v>0.42699999999999999</v>
      </c>
      <c r="N58" s="598">
        <v>0.505</v>
      </c>
      <c r="O58" s="645">
        <f t="shared" si="1"/>
        <v>0.46600000000000003</v>
      </c>
      <c r="P58" s="727">
        <v>90</v>
      </c>
      <c r="Q58">
        <v>90.22</v>
      </c>
      <c r="R58" s="706">
        <v>2934.15</v>
      </c>
      <c r="S58" s="802">
        <f t="shared" si="27"/>
        <v>125</v>
      </c>
      <c r="T58" s="891"/>
      <c r="U58" s="1024">
        <v>90</v>
      </c>
      <c r="V58" s="715">
        <v>1.1023000000000001</v>
      </c>
      <c r="Z58" s="1062">
        <v>25</v>
      </c>
      <c r="AA58" s="144">
        <f t="shared" si="4"/>
        <v>25</v>
      </c>
      <c r="AB58" s="145">
        <f t="shared" si="12"/>
        <v>1149.5186849730001</v>
      </c>
      <c r="AC58" s="145">
        <f>+(S58-T58)*V58-'data 1'!$F$4</f>
        <v>57.787499999999994</v>
      </c>
      <c r="AD58" s="145">
        <f t="shared" si="5"/>
        <v>3.0278859011609849</v>
      </c>
      <c r="AE58" s="145">
        <f t="shared" si="6"/>
        <v>-42.442499999999995</v>
      </c>
      <c r="AF58" s="145">
        <f t="shared" si="7"/>
        <v>-76.369314372273081</v>
      </c>
      <c r="AG58" s="772">
        <f t="shared" si="26"/>
        <v>-40.996428471112097</v>
      </c>
      <c r="AH58" s="146">
        <f t="shared" si="8"/>
        <v>89.298838810299671</v>
      </c>
      <c r="AI58" s="156">
        <f t="shared" si="9"/>
        <v>76.773178816138966</v>
      </c>
      <c r="AJ58" s="156">
        <f t="shared" si="10"/>
        <v>94.559876154516985</v>
      </c>
      <c r="AK58" s="88"/>
      <c r="AL58" s="716">
        <f t="shared" si="11"/>
        <v>7559.3670670312204</v>
      </c>
    </row>
    <row r="59" spans="1:38" ht="15" customHeight="1">
      <c r="A59" s="857" t="s">
        <v>1860</v>
      </c>
      <c r="B59" s="595">
        <v>45723</v>
      </c>
      <c r="C59" s="595">
        <v>45710</v>
      </c>
      <c r="D59" t="s">
        <v>1586</v>
      </c>
      <c r="E59" t="e">
        <f>_xlfn.XLOOKUP(D59,RUC!$B$3:$B$123,RUC!$D$3:$D$123)</f>
        <v>#N/A</v>
      </c>
      <c r="G59" s="80">
        <v>50</v>
      </c>
      <c r="H59" t="s">
        <v>69</v>
      </c>
      <c r="I59" s="596">
        <v>5.63</v>
      </c>
      <c r="J59" s="596">
        <v>10.3</v>
      </c>
      <c r="K59" s="138">
        <f t="shared" si="0"/>
        <v>5.0501100000000001</v>
      </c>
      <c r="L59" s="139">
        <v>0.439</v>
      </c>
      <c r="M59" s="139">
        <v>0.41199999999999998</v>
      </c>
      <c r="N59" s="598">
        <v>0.46700000000000003</v>
      </c>
      <c r="O59" s="645">
        <f t="shared" si="1"/>
        <v>0.44</v>
      </c>
      <c r="P59" s="727">
        <v>90</v>
      </c>
      <c r="Q59">
        <v>90.13</v>
      </c>
      <c r="R59" s="706">
        <v>2934.15</v>
      </c>
      <c r="S59" s="802">
        <f t="shared" si="27"/>
        <v>125</v>
      </c>
      <c r="T59" s="891"/>
      <c r="U59" s="1024">
        <v>90</v>
      </c>
      <c r="V59" s="715">
        <v>1.1023000000000001</v>
      </c>
      <c r="Z59" s="1062">
        <v>25</v>
      </c>
      <c r="AA59" s="144">
        <f t="shared" si="4"/>
        <v>25</v>
      </c>
      <c r="AB59" s="145">
        <f t="shared" si="12"/>
        <v>1076.15719182</v>
      </c>
      <c r="AC59" s="145">
        <f>+(S59-T59)*V59-'data 1'!$F$4</f>
        <v>57.787499999999994</v>
      </c>
      <c r="AD59" s="145">
        <f t="shared" si="5"/>
        <v>1.7892053052314376</v>
      </c>
      <c r="AE59" s="145">
        <f t="shared" si="6"/>
        <v>-42.442499999999995</v>
      </c>
      <c r="AF59" s="145">
        <f t="shared" si="7"/>
        <v>-2.8256715290085026</v>
      </c>
      <c r="AG59" s="772">
        <f t="shared" si="26"/>
        <v>31.30853377622293</v>
      </c>
      <c r="AH59" s="146">
        <f t="shared" si="8"/>
        <v>68.508395851635271</v>
      </c>
      <c r="AI59" s="156">
        <f t="shared" si="9"/>
        <v>76.696592847468452</v>
      </c>
      <c r="AJ59" s="156">
        <f t="shared" si="10"/>
        <v>68.565412493893461</v>
      </c>
      <c r="AK59" s="88"/>
      <c r="AL59" s="716">
        <f t="shared" si="11"/>
        <v>5434.7121959821006</v>
      </c>
    </row>
    <row r="60" spans="1:38" ht="15" customHeight="1">
      <c r="A60" s="857" t="s">
        <v>1861</v>
      </c>
      <c r="B60" s="595">
        <v>45723</v>
      </c>
      <c r="C60" s="595">
        <v>45710</v>
      </c>
      <c r="D60" t="s">
        <v>1586</v>
      </c>
      <c r="E60" t="e">
        <f>_xlfn.XLOOKUP(D60,RUC!$B$3:$B$123,RUC!$D$3:$D$123)</f>
        <v>#N/A</v>
      </c>
      <c r="G60" s="80">
        <v>50</v>
      </c>
      <c r="H60" t="s">
        <v>69</v>
      </c>
      <c r="I60" s="596">
        <v>5.58</v>
      </c>
      <c r="J60" s="596">
        <v>10.199999999999999</v>
      </c>
      <c r="K60" s="138">
        <f t="shared" si="0"/>
        <v>5.01084</v>
      </c>
      <c r="L60" s="139">
        <v>0.52400000000000002</v>
      </c>
      <c r="M60" s="139">
        <v>0.49299999999999999</v>
      </c>
      <c r="N60" s="598">
        <v>0.57999999999999996</v>
      </c>
      <c r="O60" s="645">
        <f t="shared" si="1"/>
        <v>0.53700000000000003</v>
      </c>
      <c r="P60" s="727">
        <v>90</v>
      </c>
      <c r="Q60">
        <v>90.11</v>
      </c>
      <c r="R60" s="706">
        <v>2934.15</v>
      </c>
      <c r="S60" s="802">
        <f t="shared" si="27"/>
        <v>135</v>
      </c>
      <c r="T60" s="891"/>
      <c r="U60" s="1024">
        <v>90</v>
      </c>
      <c r="V60" s="715">
        <v>1.1023000000000001</v>
      </c>
      <c r="Y60">
        <v>20</v>
      </c>
      <c r="Z60" s="1062">
        <v>25</v>
      </c>
      <c r="AA60" s="144">
        <f t="shared" si="4"/>
        <v>45</v>
      </c>
      <c r="AB60" s="145">
        <f t="shared" si="12"/>
        <v>1316.7829931985002</v>
      </c>
      <c r="AC60" s="145">
        <f>+(S60-T60)*V60-'data 1'!$F$4</f>
        <v>68.810500000000019</v>
      </c>
      <c r="AD60" s="145">
        <f t="shared" si="5"/>
        <v>1.8070754125379909</v>
      </c>
      <c r="AE60" s="145">
        <f t="shared" si="6"/>
        <v>-20.3965</v>
      </c>
      <c r="AF60" s="145">
        <f t="shared" si="7"/>
        <v>-36.725578600093534</v>
      </c>
      <c r="AG60" s="772">
        <f t="shared" si="26"/>
        <v>30.495496812444486</v>
      </c>
      <c r="AH60" s="146">
        <f t="shared" si="8"/>
        <v>81.119241572206363</v>
      </c>
      <c r="AI60" s="156">
        <f t="shared" si="9"/>
        <v>91.526416039861957</v>
      </c>
      <c r="AJ60" s="156">
        <f t="shared" si="10"/>
        <v>83.030260410828106</v>
      </c>
      <c r="AK60" s="88"/>
      <c r="AL60" s="716">
        <f t="shared" si="11"/>
        <v>6598.1888936387732</v>
      </c>
    </row>
    <row r="61" spans="1:38" ht="15" customHeight="1">
      <c r="A61" s="857" t="s">
        <v>1864</v>
      </c>
      <c r="B61" s="595">
        <v>45719</v>
      </c>
      <c r="C61" s="595">
        <v>45712</v>
      </c>
      <c r="D61" t="s">
        <v>1586</v>
      </c>
      <c r="E61" t="e">
        <f>_xlfn.XLOOKUP(D61,RUC!$B$3:$B$123,RUC!$D$3:$D$123)</f>
        <v>#N/A</v>
      </c>
      <c r="G61" s="80" t="s">
        <v>1434</v>
      </c>
      <c r="H61" t="s">
        <v>69</v>
      </c>
      <c r="I61" s="596">
        <v>40.409999999999997</v>
      </c>
      <c r="J61" s="596">
        <v>2.2000000000000002</v>
      </c>
      <c r="K61" s="138">
        <f t="shared" si="0"/>
        <v>39.520979999999994</v>
      </c>
      <c r="L61" s="139">
        <v>0.22500000000000001</v>
      </c>
      <c r="M61" s="139">
        <v>0.21199999999999999</v>
      </c>
      <c r="N61" s="598">
        <v>0.253</v>
      </c>
      <c r="O61" s="645">
        <f t="shared" si="1"/>
        <v>0.23300000000000001</v>
      </c>
      <c r="P61" s="727">
        <v>90</v>
      </c>
      <c r="Q61">
        <v>90.22</v>
      </c>
      <c r="R61" s="706">
        <v>2931.9</v>
      </c>
      <c r="S61" s="802">
        <f t="shared" ref="S61" si="28">IF((85+ROUNDDOWN(O61,1)*100)&lt;95,95,(85+ROUNDDOWN(O61,1)*100))</f>
        <v>105</v>
      </c>
      <c r="U61" s="1024">
        <v>90</v>
      </c>
      <c r="V61" s="715">
        <v>1.1023000000000001</v>
      </c>
      <c r="Y61" s="677"/>
      <c r="Z61" s="709">
        <v>25</v>
      </c>
      <c r="AA61" s="144">
        <f t="shared" si="4"/>
        <v>25</v>
      </c>
      <c r="AB61" s="145">
        <f t="shared" si="12"/>
        <v>513.61274978900008</v>
      </c>
      <c r="AC61" s="145">
        <f>+(S61-T61)*V61-'data 1'!$F$4</f>
        <v>35.741500000000002</v>
      </c>
      <c r="AD61" s="145">
        <f t="shared" si="5"/>
        <v>1.550650053149992</v>
      </c>
      <c r="AE61" s="145">
        <f t="shared" si="6"/>
        <v>-42.442499999999995</v>
      </c>
      <c r="AF61" s="145">
        <f t="shared" si="7"/>
        <v>-22.610044088112019</v>
      </c>
      <c r="AG61" s="772">
        <f t="shared" si="26"/>
        <v>-10.760394034962019</v>
      </c>
      <c r="AH61" s="146">
        <f t="shared" si="8"/>
        <v>275.05662852882955</v>
      </c>
      <c r="AI61" s="156">
        <f t="shared" si="9"/>
        <v>39.851903291849986</v>
      </c>
      <c r="AJ61" s="156">
        <f t="shared" si="10"/>
        <v>284.14185079679578</v>
      </c>
      <c r="AK61" s="88"/>
      <c r="AL61" s="716">
        <f t="shared" si="11"/>
        <v>20298.479212156075</v>
      </c>
    </row>
    <row r="62" spans="1:38" ht="15" customHeight="1">
      <c r="A62" s="857" t="s">
        <v>1865</v>
      </c>
      <c r="B62" s="595">
        <v>45700</v>
      </c>
      <c r="C62" s="595">
        <v>45712</v>
      </c>
      <c r="D62" t="s">
        <v>1402</v>
      </c>
      <c r="E62">
        <f>_xlfn.XLOOKUP(D62,RUC!$B$3:$B$123,RUC!$D$3:$D$123)</f>
        <v>20606526599</v>
      </c>
      <c r="G62" s="80">
        <v>123</v>
      </c>
      <c r="H62" t="s">
        <v>69</v>
      </c>
      <c r="I62" s="596">
        <v>9.77</v>
      </c>
      <c r="J62" s="596">
        <v>2.1</v>
      </c>
      <c r="K62" s="138">
        <f t="shared" si="0"/>
        <v>9.5648299999999988</v>
      </c>
      <c r="L62" s="139">
        <v>0.21099999999999999</v>
      </c>
      <c r="M62" s="139">
        <v>0.19800000000000001</v>
      </c>
      <c r="N62" s="159">
        <v>0.19800000000000001</v>
      </c>
      <c r="O62" s="645">
        <f t="shared" si="1"/>
        <v>0.19800000000000001</v>
      </c>
      <c r="P62" s="727">
        <v>90</v>
      </c>
      <c r="Q62">
        <v>90.06</v>
      </c>
      <c r="R62" s="706">
        <v>2931.9</v>
      </c>
      <c r="S62" s="765">
        <f t="shared" si="23"/>
        <v>100</v>
      </c>
      <c r="U62" s="1066">
        <v>120</v>
      </c>
      <c r="V62" s="715">
        <v>1.1023000000000001</v>
      </c>
      <c r="Y62">
        <v>20</v>
      </c>
      <c r="Z62" s="143">
        <f t="shared" si="17"/>
        <v>30</v>
      </c>
      <c r="AA62" s="144">
        <f t="shared" si="4"/>
        <v>50</v>
      </c>
      <c r="AB62" s="145">
        <f t="shared" si="12"/>
        <v>386.99612333400006</v>
      </c>
      <c r="AC62" s="145">
        <f>+(S62-T62)*V62-'data 1'!$F$4</f>
        <v>30.230000000000004</v>
      </c>
      <c r="AD62" s="145">
        <f t="shared" si="5"/>
        <v>0.39240396304201491</v>
      </c>
      <c r="AE62" s="145">
        <f t="shared" si="6"/>
        <v>-14.884999999999998</v>
      </c>
      <c r="AF62" s="145">
        <f t="shared" si="7"/>
        <v>36.288997776485957</v>
      </c>
      <c r="AG62" s="772">
        <f t="shared" si="26"/>
        <v>69.026401739527984</v>
      </c>
      <c r="AH62" s="146">
        <f t="shared" si="8"/>
        <v>62.316165596591127</v>
      </c>
      <c r="AI62" s="156">
        <f t="shared" si="9"/>
        <v>43.589941437557982</v>
      </c>
      <c r="AJ62" s="156">
        <f t="shared" si="10"/>
        <v>58.43782243808257</v>
      </c>
      <c r="AK62" s="88"/>
      <c r="AL62" s="716">
        <f t="shared" si="11"/>
        <v>3701.5521303487435</v>
      </c>
    </row>
    <row r="63" spans="1:38" ht="15" customHeight="1">
      <c r="A63" s="857" t="s">
        <v>1867</v>
      </c>
      <c r="B63" s="595">
        <v>45716</v>
      </c>
      <c r="C63" s="595">
        <v>45713</v>
      </c>
      <c r="D63" t="s">
        <v>1402</v>
      </c>
      <c r="E63">
        <f>_xlfn.XLOOKUP(D63,RUC!$B$3:$B$123,RUC!$D$3:$D$123)</f>
        <v>20606526599</v>
      </c>
      <c r="G63" s="80">
        <v>139</v>
      </c>
      <c r="H63" t="s">
        <v>69</v>
      </c>
      <c r="I63" s="596">
        <v>10.63</v>
      </c>
      <c r="J63" s="596">
        <v>1.7</v>
      </c>
      <c r="K63" s="138">
        <f t="shared" si="0"/>
        <v>10.449290000000001</v>
      </c>
      <c r="L63" s="139">
        <v>0.24199999999999999</v>
      </c>
      <c r="M63" s="139">
        <v>0.22700000000000001</v>
      </c>
      <c r="N63" s="159">
        <v>0.22700000000000001</v>
      </c>
      <c r="O63" s="645">
        <f t="shared" si="1"/>
        <v>0.22700000000000001</v>
      </c>
      <c r="P63" s="727">
        <v>90</v>
      </c>
      <c r="Q63">
        <v>90.19</v>
      </c>
      <c r="R63" s="706">
        <v>2933.25</v>
      </c>
      <c r="S63" s="765">
        <f t="shared" si="23"/>
        <v>110</v>
      </c>
      <c r="U63" s="1066">
        <v>120</v>
      </c>
      <c r="V63" s="715">
        <v>1.1023000000000001</v>
      </c>
      <c r="Y63">
        <v>20</v>
      </c>
      <c r="Z63" s="143">
        <f t="shared" si="17"/>
        <v>30</v>
      </c>
      <c r="AA63" s="144">
        <f t="shared" si="4"/>
        <v>50</v>
      </c>
      <c r="AB63" s="145">
        <f t="shared" si="12"/>
        <v>457.17559054250006</v>
      </c>
      <c r="AC63" s="145">
        <f>+(S63-T63)*V63-'data 1'!$F$4</f>
        <v>41.253</v>
      </c>
      <c r="AD63" s="145">
        <f t="shared" si="5"/>
        <v>1.4258607094049831</v>
      </c>
      <c r="AE63" s="145">
        <f t="shared" si="6"/>
        <v>-14.884999999999998</v>
      </c>
      <c r="AF63" s="145">
        <f t="shared" si="7"/>
        <v>41.95249370853746</v>
      </c>
      <c r="AG63" s="772">
        <f t="shared" si="26"/>
        <v>86.746354417942456</v>
      </c>
      <c r="AH63" s="146">
        <f t="shared" si="8"/>
        <v>78.193311242999343</v>
      </c>
      <c r="AI63" s="156">
        <f t="shared" si="9"/>
        <v>49.741523006394999</v>
      </c>
      <c r="AJ63" s="156">
        <f t="shared" si="10"/>
        <v>73.192101738133957</v>
      </c>
      <c r="AK63" s="88"/>
      <c r="AL63" s="716">
        <f t="shared" si="11"/>
        <v>4777.1603264998412</v>
      </c>
    </row>
    <row r="64" spans="1:38" ht="15" customHeight="1">
      <c r="A64" s="857" t="s">
        <v>1872</v>
      </c>
      <c r="B64" s="717">
        <v>45723</v>
      </c>
      <c r="C64" s="595">
        <v>45714</v>
      </c>
      <c r="D64" t="s">
        <v>1586</v>
      </c>
      <c r="E64" t="e">
        <f>_xlfn.XLOOKUP(D64,RUC!$B$3:$B$123,RUC!$D$3:$D$123)</f>
        <v>#N/A</v>
      </c>
      <c r="G64" s="80">
        <v>50</v>
      </c>
      <c r="H64" t="s">
        <v>69</v>
      </c>
      <c r="I64" s="596">
        <v>7.54</v>
      </c>
      <c r="J64" s="596">
        <v>3.15</v>
      </c>
      <c r="K64" s="138">
        <f t="shared" si="0"/>
        <v>7.3024899999999997</v>
      </c>
      <c r="L64" s="139">
        <v>0.57599999999999996</v>
      </c>
      <c r="M64" s="139">
        <v>0.54100000000000004</v>
      </c>
      <c r="N64" s="598">
        <v>0.59399999999999997</v>
      </c>
      <c r="O64" s="645">
        <f t="shared" si="1"/>
        <v>0.56799999999999995</v>
      </c>
      <c r="P64" s="727">
        <v>90</v>
      </c>
      <c r="Q64">
        <v>89.92</v>
      </c>
      <c r="R64" s="706">
        <v>2901</v>
      </c>
      <c r="S64" s="802">
        <f>IF((85+ROUNDDOWN(O64,1)*100)&lt;95,95,(85+ROUNDDOWN(O64,1)*100))</f>
        <v>135</v>
      </c>
      <c r="U64" s="1024">
        <v>90</v>
      </c>
      <c r="V64" s="715">
        <v>1.1023000000000001</v>
      </c>
      <c r="Z64" s="1062">
        <v>25</v>
      </c>
      <c r="AA64" s="144">
        <f t="shared" si="4"/>
        <v>25</v>
      </c>
      <c r="AB64" s="145">
        <f t="shared" ref="AB64:AB68" si="29">+((O64*P64*(R64-U64)/100)-S64-AA64+T64)*V64</f>
        <v>1407.6185813600002</v>
      </c>
      <c r="AC64" s="145">
        <f>+(S64-T64)*V64-'data 1'!$F$4</f>
        <v>68.810500000000019</v>
      </c>
      <c r="AD64" s="145">
        <f t="shared" si="5"/>
        <v>-1.4278188902399698</v>
      </c>
      <c r="AE64" s="145">
        <f t="shared" si="6"/>
        <v>-42.442499999999995</v>
      </c>
      <c r="AF64" s="145">
        <f t="shared" si="7"/>
        <v>22.289839342080022</v>
      </c>
      <c r="AG64" s="772">
        <f t="shared" si="26"/>
        <v>64.230020451840062</v>
      </c>
      <c r="AH64" s="146">
        <f t="shared" si="8"/>
        <v>129.67576593431909</v>
      </c>
      <c r="AI64" s="156">
        <f t="shared" si="9"/>
        <v>119.32319545343998</v>
      </c>
      <c r="AJ64" s="156">
        <f t="shared" si="10"/>
        <v>127.98848116849219</v>
      </c>
      <c r="AK64" s="88"/>
      <c r="AL64" s="716">
        <f t="shared" si="11"/>
        <v>10279.120614195588</v>
      </c>
    </row>
    <row r="65" spans="1:38" ht="15" customHeight="1">
      <c r="A65" s="857" t="s">
        <v>1873</v>
      </c>
      <c r="B65" s="717">
        <v>45723</v>
      </c>
      <c r="C65" s="595">
        <v>45714</v>
      </c>
      <c r="D65" t="s">
        <v>1586</v>
      </c>
      <c r="E65" t="e">
        <f>_xlfn.XLOOKUP(D65,RUC!$B$3:$B$123,RUC!$D$3:$D$123)</f>
        <v>#N/A</v>
      </c>
      <c r="G65" s="80">
        <v>50</v>
      </c>
      <c r="H65" t="s">
        <v>69</v>
      </c>
      <c r="I65" s="596">
        <v>6.9</v>
      </c>
      <c r="J65" s="596">
        <v>1.1499999999999999</v>
      </c>
      <c r="K65" s="138">
        <f t="shared" ref="K65:K83" si="30">+I65-(I65*(J65/100))</f>
        <v>6.8206500000000005</v>
      </c>
      <c r="L65" s="139">
        <v>0.376</v>
      </c>
      <c r="M65" s="139">
        <v>0.35299999999999998</v>
      </c>
      <c r="N65" s="598">
        <v>0.439</v>
      </c>
      <c r="O65" s="645">
        <f t="shared" ref="O65:O83" si="31">+ROUND((M65+N65)/2,3)</f>
        <v>0.39600000000000002</v>
      </c>
      <c r="P65" s="727">
        <v>90</v>
      </c>
      <c r="Q65">
        <v>90.12</v>
      </c>
      <c r="R65" s="706">
        <v>2901</v>
      </c>
      <c r="S65" s="802">
        <f t="shared" ref="S65:S68" si="32">IF((85+ROUNDDOWN(O65,1)*100)&lt;95,95,(85+ROUNDDOWN(O65,1)*100))</f>
        <v>115</v>
      </c>
      <c r="U65" s="1024">
        <v>90</v>
      </c>
      <c r="V65" s="715">
        <v>1.1023000000000001</v>
      </c>
      <c r="Z65" s="1062">
        <v>25</v>
      </c>
      <c r="AA65" s="144">
        <f t="shared" ref="AA65:AA83" si="33">+Y65+Z65</f>
        <v>25</v>
      </c>
      <c r="AB65" s="145">
        <f t="shared" si="29"/>
        <v>950.00667292000014</v>
      </c>
      <c r="AC65" s="145">
        <f>+(S65-T65)*V65-'data 1'!$F$4</f>
        <v>46.764500000000012</v>
      </c>
      <c r="AD65" s="145">
        <f t="shared" ref="AD65:AD83" si="34">+(Q65-P65)*(R65-U65)*L65*V65/100</f>
        <v>1.3980726633600531</v>
      </c>
      <c r="AE65" s="145">
        <f t="shared" ref="AE65:AE83" si="35">+(Y65*V65-70)+V65*(Z65-IF(D65="UNTUCA",IF(+((W65-3)*2.5+(X65-3)*3.1)&gt;0,+((W65-3)*1.5+(X65-3)*3.1),0),IF(+((W65-3)*1.5+(X65-3)*3.1)&gt;0,+((W65-3)*1.5+(X65-3)*3.1),0)))</f>
        <v>-42.442499999999995</v>
      </c>
      <c r="AF65" s="145">
        <f t="shared" ref="AF65:AF83" si="36">(L65-O65)*(R65-U65)*Q65*V65/100</f>
        <v>-55.848540967200051</v>
      </c>
      <c r="AG65" s="772">
        <f t="shared" si="26"/>
        <v>-33.128468303839981</v>
      </c>
      <c r="AH65" s="146">
        <f t="shared" ref="AH65:AH83" si="37">31.1035*L65*Q65*1.1023*K65/100</f>
        <v>79.239889572653752</v>
      </c>
      <c r="AI65" s="156">
        <f t="shared" ref="AI65:AI83" si="38">+((+$AI$2-R65+U65)*L65*Q65*V65)/100</f>
        <v>78.064776651840006</v>
      </c>
      <c r="AJ65" s="156">
        <f t="shared" ref="AJ65:AJ83" si="39">31.1035*1.1023*K65*P65*O65/100</f>
        <v>83.34365244595206</v>
      </c>
      <c r="AK65" s="88"/>
      <c r="AL65" s="716">
        <f t="shared" ref="AL65:AL83" si="40">+IF(AB65*K65&gt;0,AB65*K65,0)</f>
        <v>6479.6630136517997</v>
      </c>
    </row>
    <row r="66" spans="1:38" ht="15" customHeight="1">
      <c r="A66" s="857" t="s">
        <v>1874</v>
      </c>
      <c r="B66" s="717">
        <v>45723</v>
      </c>
      <c r="C66" s="595">
        <v>45714</v>
      </c>
      <c r="D66" t="s">
        <v>1586</v>
      </c>
      <c r="E66" t="e">
        <f>_xlfn.XLOOKUP(D66,RUC!$B$3:$B$123,RUC!$D$3:$D$123)</f>
        <v>#N/A</v>
      </c>
      <c r="G66" s="80">
        <v>50</v>
      </c>
      <c r="H66" t="s">
        <v>69</v>
      </c>
      <c r="I66" s="596">
        <v>6.79</v>
      </c>
      <c r="J66" s="596">
        <v>3.7</v>
      </c>
      <c r="K66" s="138">
        <f t="shared" si="30"/>
        <v>6.5387700000000004</v>
      </c>
      <c r="L66" s="139">
        <v>0.55600000000000005</v>
      </c>
      <c r="M66" s="139">
        <v>0.52300000000000002</v>
      </c>
      <c r="N66" s="598">
        <v>0.56999999999999995</v>
      </c>
      <c r="O66" s="645">
        <f t="shared" si="31"/>
        <v>0.54700000000000004</v>
      </c>
      <c r="P66" s="727">
        <v>90</v>
      </c>
      <c r="Q66">
        <v>89.94</v>
      </c>
      <c r="R66" s="706">
        <v>2901</v>
      </c>
      <c r="S66" s="802">
        <f t="shared" si="32"/>
        <v>135</v>
      </c>
      <c r="U66" s="1024">
        <v>90</v>
      </c>
      <c r="V66" s="715">
        <v>1.1023000000000001</v>
      </c>
      <c r="Z66" s="1062">
        <v>25</v>
      </c>
      <c r="AA66" s="144">
        <f t="shared" si="33"/>
        <v>25</v>
      </c>
      <c r="AB66" s="145">
        <f t="shared" si="29"/>
        <v>1349.05569719</v>
      </c>
      <c r="AC66" s="145">
        <f>+(S66-T66)*V66-'data 1'!$F$4</f>
        <v>68.810500000000019</v>
      </c>
      <c r="AD66" s="145">
        <f t="shared" si="34"/>
        <v>-1.0336813840800394</v>
      </c>
      <c r="AE66" s="145">
        <f t="shared" si="35"/>
        <v>-42.442499999999995</v>
      </c>
      <c r="AF66" s="145">
        <f t="shared" si="36"/>
        <v>25.081646677380022</v>
      </c>
      <c r="AG66" s="772">
        <f t="shared" si="26"/>
        <v>67.415965293300005</v>
      </c>
      <c r="AH66" s="146">
        <f t="shared" si="37"/>
        <v>112.1070192451661</v>
      </c>
      <c r="AI66" s="156">
        <f t="shared" si="38"/>
        <v>115.20564727848001</v>
      </c>
      <c r="AJ66" s="156">
        <f t="shared" si="39"/>
        <v>110.36591455533758</v>
      </c>
      <c r="AK66" s="88"/>
      <c r="AL66" s="716">
        <f t="shared" si="40"/>
        <v>8821.164921115058</v>
      </c>
    </row>
    <row r="67" spans="1:38" ht="15" customHeight="1">
      <c r="A67" s="857" t="s">
        <v>1875</v>
      </c>
      <c r="B67" s="717">
        <v>45723</v>
      </c>
      <c r="C67" s="595">
        <v>45714</v>
      </c>
      <c r="D67" t="s">
        <v>1586</v>
      </c>
      <c r="E67" t="e">
        <f>_xlfn.XLOOKUP(D67,RUC!$B$3:$B$123,RUC!$D$3:$D$123)</f>
        <v>#N/A</v>
      </c>
      <c r="G67" s="80">
        <v>50</v>
      </c>
      <c r="H67" t="s">
        <v>69</v>
      </c>
      <c r="I67" s="596">
        <v>6.68</v>
      </c>
      <c r="J67" s="596">
        <v>1.27</v>
      </c>
      <c r="K67" s="138">
        <f t="shared" si="30"/>
        <v>6.5951639999999996</v>
      </c>
      <c r="L67" s="139">
        <v>0.36099999999999999</v>
      </c>
      <c r="M67" s="139">
        <v>0.33900000000000002</v>
      </c>
      <c r="N67" s="598">
        <v>0.38300000000000001</v>
      </c>
      <c r="O67" s="645">
        <f t="shared" si="31"/>
        <v>0.36099999999999999</v>
      </c>
      <c r="P67" s="727">
        <v>90</v>
      </c>
      <c r="Q67">
        <v>90.14</v>
      </c>
      <c r="R67" s="706">
        <v>2901</v>
      </c>
      <c r="S67" s="802">
        <f t="shared" si="32"/>
        <v>115</v>
      </c>
      <c r="U67" s="1024">
        <v>90</v>
      </c>
      <c r="V67" s="715">
        <v>1.1023000000000001</v>
      </c>
      <c r="Z67" s="1062">
        <v>25</v>
      </c>
      <c r="AA67" s="144">
        <f t="shared" si="33"/>
        <v>25</v>
      </c>
      <c r="AB67" s="145">
        <f t="shared" si="29"/>
        <v>852.40186597000002</v>
      </c>
      <c r="AC67" s="145">
        <f>+(S67-T67)*V67-'data 1'!$F$4</f>
        <v>46.764500000000012</v>
      </c>
      <c r="AD67" s="145">
        <f t="shared" si="34"/>
        <v>1.5660149026200065</v>
      </c>
      <c r="AE67" s="145">
        <f t="shared" si="35"/>
        <v>-42.442499999999995</v>
      </c>
      <c r="AF67" s="145">
        <f t="shared" si="36"/>
        <v>0</v>
      </c>
      <c r="AG67" s="772">
        <f t="shared" si="26"/>
        <v>22.888014902620029</v>
      </c>
      <c r="AH67" s="146">
        <f t="shared" si="37"/>
        <v>73.579939161536927</v>
      </c>
      <c r="AI67" s="156">
        <f t="shared" si="38"/>
        <v>74.967123835780001</v>
      </c>
      <c r="AJ67" s="156">
        <f t="shared" si="39"/>
        <v>73.465659247152473</v>
      </c>
      <c r="AK67" s="88"/>
      <c r="AL67" s="716">
        <f t="shared" si="40"/>
        <v>5621.7300999781692</v>
      </c>
    </row>
    <row r="68" spans="1:38" ht="15" customHeight="1">
      <c r="A68" s="857" t="s">
        <v>1880</v>
      </c>
      <c r="B68" s="717">
        <v>45723</v>
      </c>
      <c r="C68" s="595">
        <v>45714</v>
      </c>
      <c r="D68" t="s">
        <v>1586</v>
      </c>
      <c r="E68" t="e">
        <f>_xlfn.XLOOKUP(D68,RUC!$B$3:$B$123,RUC!$D$3:$D$123)</f>
        <v>#N/A</v>
      </c>
      <c r="G68" s="80">
        <v>50</v>
      </c>
      <c r="H68" t="s">
        <v>69</v>
      </c>
      <c r="I68" s="596">
        <v>6.73</v>
      </c>
      <c r="J68" s="596">
        <v>1.3</v>
      </c>
      <c r="K68" s="138">
        <f t="shared" si="30"/>
        <v>6.6425100000000006</v>
      </c>
      <c r="L68" s="139">
        <v>0.47099999999999997</v>
      </c>
      <c r="M68" s="139">
        <v>0.442</v>
      </c>
      <c r="N68" s="598">
        <v>0.51200000000000001</v>
      </c>
      <c r="O68" s="645">
        <f t="shared" si="31"/>
        <v>0.47699999999999998</v>
      </c>
      <c r="P68" s="727">
        <v>90</v>
      </c>
      <c r="Q68">
        <v>90.17</v>
      </c>
      <c r="R68" s="706">
        <v>2901</v>
      </c>
      <c r="S68" s="802">
        <f t="shared" si="32"/>
        <v>125</v>
      </c>
      <c r="U68" s="1024">
        <v>90</v>
      </c>
      <c r="V68" s="715">
        <v>1.1023000000000001</v>
      </c>
      <c r="Z68" s="1062">
        <v>25</v>
      </c>
      <c r="AA68" s="144">
        <f t="shared" si="33"/>
        <v>25</v>
      </c>
      <c r="AB68" s="145">
        <f t="shared" si="29"/>
        <v>1164.8690832899999</v>
      </c>
      <c r="AC68" s="145">
        <f>+(S68-T68)*V68-'data 1'!$F$4</f>
        <v>57.787499999999994</v>
      </c>
      <c r="AD68" s="145">
        <f t="shared" si="34"/>
        <v>2.4810212357100245</v>
      </c>
      <c r="AE68" s="145">
        <f t="shared" si="35"/>
        <v>-42.442499999999995</v>
      </c>
      <c r="AF68" s="145">
        <f t="shared" si="36"/>
        <v>-16.763857986060017</v>
      </c>
      <c r="AG68" s="772">
        <f t="shared" si="26"/>
        <v>18.062163249650013</v>
      </c>
      <c r="AH68" s="146">
        <f t="shared" si="37"/>
        <v>96.721776123632651</v>
      </c>
      <c r="AI68" s="156">
        <f t="shared" si="38"/>
        <v>97.842844556489993</v>
      </c>
      <c r="AJ68" s="156">
        <f t="shared" si="39"/>
        <v>97.769225456599159</v>
      </c>
      <c r="AK68" s="88"/>
      <c r="AL68" s="716">
        <f t="shared" si="40"/>
        <v>7737.6545344446586</v>
      </c>
    </row>
    <row r="69" spans="1:38" ht="15" customHeight="1">
      <c r="A69" s="857" t="s">
        <v>1889</v>
      </c>
      <c r="B69" s="595">
        <v>45722</v>
      </c>
      <c r="C69" s="595">
        <v>45718</v>
      </c>
      <c r="D69" t="s">
        <v>66</v>
      </c>
      <c r="E69">
        <f>_xlfn.XLOOKUP(D69,RUC!$B$3:$B$123,RUC!$D$3:$D$123)</f>
        <v>10457401928</v>
      </c>
      <c r="G69" s="80">
        <v>153</v>
      </c>
      <c r="H69" t="s">
        <v>69</v>
      </c>
      <c r="I69" s="596">
        <v>15.22</v>
      </c>
      <c r="J69" s="596">
        <v>8.35</v>
      </c>
      <c r="K69" s="138">
        <f t="shared" si="30"/>
        <v>13.94913</v>
      </c>
      <c r="L69" s="139">
        <v>0.224</v>
      </c>
      <c r="M69" s="139">
        <v>0.19500000000000001</v>
      </c>
      <c r="N69" s="159">
        <v>0.19500000000000001</v>
      </c>
      <c r="O69" s="645">
        <f t="shared" si="31"/>
        <v>0.19500000000000001</v>
      </c>
      <c r="P69" s="727">
        <v>90</v>
      </c>
      <c r="Q69" s="596">
        <v>90.23</v>
      </c>
      <c r="R69" s="706">
        <v>2880.7</v>
      </c>
      <c r="S69" s="765">
        <f t="shared" ref="S69:S72" si="41">IF((90+ROUNDDOWN(O69,1)*100)&lt;95,95,(90+ROUNDDOWN(O69,1)*100))</f>
        <v>100</v>
      </c>
      <c r="U69" s="1066">
        <v>120</v>
      </c>
      <c r="V69" s="715">
        <v>1.1023000000000001</v>
      </c>
      <c r="Z69" s="143">
        <f t="shared" ref="Z69:Z77" si="42">IF(IF(D69="UNTUCA",IF(+((W69-3)*1.5+(X69-3)*3.1)&gt;0,+((W69-3)*1.5+(X69-3)*3.1),0),IF(+((W69-3)*1.5+(X69-3)*3.1)&gt;0,+((W69-3)*1.5+(X69-3)*3.1),0))&lt;30,30,IF(D69="UNTUCA",IF(+((W69-3)*1.5+(X69-3)*3.1)&gt;0,+((W69-3)*1.5+(X69-3)*3.1),0),IF(+((W69-3)*1.5+(X69-3)*3.1)&gt;0,+((W69-3)*1.5+(X69-3)*3.1),0)))</f>
        <v>30</v>
      </c>
      <c r="AA69" s="144">
        <f t="shared" si="33"/>
        <v>30</v>
      </c>
      <c r="AB69" s="145">
        <f t="shared" ref="AB69:AB87" si="43">+((O69*P69*(R69-U69)/100)-S69-AA69+T69)*V69</f>
        <v>390.76849155499997</v>
      </c>
      <c r="AC69" s="145">
        <f>+(S69-T69)*V69-'data 1'!$F$4</f>
        <v>30.230000000000004</v>
      </c>
      <c r="AD69" s="145">
        <f t="shared" si="34"/>
        <v>1.5678152230720273</v>
      </c>
      <c r="AE69" s="145">
        <f t="shared" si="35"/>
        <v>-36.930999999999997</v>
      </c>
      <c r="AF69" s="145">
        <f t="shared" si="36"/>
        <v>79.628397898986989</v>
      </c>
      <c r="AG69" s="772">
        <f t="shared" ref="AG69:AG72" si="44">+IF(D69="RONALD WILLIAN GARIBAY ESCUDERO",AC69+AD69+AE69+AF69+70,AC69+AD69+AE69+AF69)+70-53</f>
        <v>91.495213122059027</v>
      </c>
      <c r="AH69" s="146">
        <f t="shared" si="37"/>
        <v>96.661864225792257</v>
      </c>
      <c r="AI69" s="156">
        <f t="shared" si="38"/>
        <v>57.769857980128045</v>
      </c>
      <c r="AJ69" s="156">
        <f t="shared" si="39"/>
        <v>83.933109294236843</v>
      </c>
      <c r="AK69" s="88"/>
      <c r="AL69" s="716">
        <f t="shared" si="40"/>
        <v>5450.8804886045964</v>
      </c>
    </row>
    <row r="70" spans="1:38" ht="15" customHeight="1">
      <c r="A70" s="857" t="s">
        <v>1890</v>
      </c>
      <c r="B70" s="717">
        <v>45735</v>
      </c>
      <c r="C70" s="595">
        <v>45718</v>
      </c>
      <c r="D70" t="s">
        <v>1484</v>
      </c>
      <c r="E70">
        <f>_xlfn.XLOOKUP(D70,RUC!$B$3:$B$123,RUC!$D$3:$D$123)</f>
        <v>10761932735</v>
      </c>
      <c r="G70" s="80"/>
      <c r="H70" t="s">
        <v>69</v>
      </c>
      <c r="I70" s="596">
        <v>1.1599999999999999</v>
      </c>
      <c r="J70" s="596">
        <v>9.35</v>
      </c>
      <c r="K70" s="138">
        <f t="shared" si="30"/>
        <v>1.0515399999999999</v>
      </c>
      <c r="L70" s="139">
        <v>0.97799999999999998</v>
      </c>
      <c r="M70" s="139">
        <v>0.92</v>
      </c>
      <c r="N70" s="755">
        <v>1.016</v>
      </c>
      <c r="O70" s="645">
        <f t="shared" si="31"/>
        <v>0.96799999999999997</v>
      </c>
      <c r="P70" s="727">
        <v>90</v>
      </c>
      <c r="Q70" s="596">
        <v>89.92</v>
      </c>
      <c r="R70" s="706">
        <v>2880.7</v>
      </c>
      <c r="S70" s="765">
        <f t="shared" si="41"/>
        <v>180</v>
      </c>
      <c r="U70" s="1066">
        <v>100</v>
      </c>
      <c r="V70" s="715">
        <v>1.1023000000000001</v>
      </c>
      <c r="Z70" s="143">
        <f t="shared" si="42"/>
        <v>30</v>
      </c>
      <c r="AA70" s="144">
        <f t="shared" si="33"/>
        <v>30</v>
      </c>
      <c r="AB70" s="145">
        <f t="shared" si="43"/>
        <v>2438.8892794320004</v>
      </c>
      <c r="AC70" s="145">
        <f>+(S70-T70)*V70-'data 1'!$F$4</f>
        <v>118.41400000000002</v>
      </c>
      <c r="AD70" s="145">
        <f t="shared" si="34"/>
        <v>-2.398185573263949</v>
      </c>
      <c r="AE70" s="145">
        <f t="shared" si="35"/>
        <v>-36.930999999999997</v>
      </c>
      <c r="AF70" s="145">
        <f t="shared" si="36"/>
        <v>27.561969165120026</v>
      </c>
      <c r="AG70" s="772">
        <f t="shared" si="44"/>
        <v>123.64678359185609</v>
      </c>
      <c r="AH70" s="146">
        <f t="shared" si="37"/>
        <v>31.705165165157624</v>
      </c>
      <c r="AI70" s="156">
        <f t="shared" si="38"/>
        <v>231.97311750086422</v>
      </c>
      <c r="AJ70" s="156">
        <f t="shared" si="39"/>
        <v>31.408900494924502</v>
      </c>
      <c r="AK70" s="88"/>
      <c r="AL70" s="716">
        <f t="shared" si="40"/>
        <v>2564.5896328939257</v>
      </c>
    </row>
    <row r="71" spans="1:38" ht="15" customHeight="1">
      <c r="A71" s="857" t="s">
        <v>1891</v>
      </c>
      <c r="B71" s="717">
        <v>45735</v>
      </c>
      <c r="C71" s="595">
        <v>45718</v>
      </c>
      <c r="D71" t="s">
        <v>1484</v>
      </c>
      <c r="E71">
        <f>_xlfn.XLOOKUP(D71,RUC!$B$3:$B$123,RUC!$D$3:$D$123)</f>
        <v>10761932735</v>
      </c>
      <c r="G71" s="80"/>
      <c r="H71" t="s">
        <v>69</v>
      </c>
      <c r="I71" s="596">
        <v>9.16</v>
      </c>
      <c r="J71" s="596">
        <v>8.1999999999999993</v>
      </c>
      <c r="K71" s="138">
        <f t="shared" si="30"/>
        <v>8.4088799999999999</v>
      </c>
      <c r="L71" s="139">
        <v>0.44500000000000001</v>
      </c>
      <c r="M71" s="139">
        <v>0.41399999999999998</v>
      </c>
      <c r="N71" s="139">
        <v>0.45200000000000001</v>
      </c>
      <c r="O71" s="645">
        <f t="shared" si="31"/>
        <v>0.433</v>
      </c>
      <c r="P71" s="727">
        <v>90</v>
      </c>
      <c r="Q71" s="596">
        <v>90.09</v>
      </c>
      <c r="R71" s="706">
        <v>2880.7</v>
      </c>
      <c r="S71" s="802">
        <v>125</v>
      </c>
      <c r="U71" s="1066">
        <v>100</v>
      </c>
      <c r="V71" s="715">
        <v>1.1023000000000001</v>
      </c>
      <c r="Z71" s="143">
        <f t="shared" si="42"/>
        <v>30</v>
      </c>
      <c r="AA71" s="144">
        <f t="shared" si="33"/>
        <v>30</v>
      </c>
      <c r="AB71" s="145">
        <f t="shared" si="43"/>
        <v>1023.638538217</v>
      </c>
      <c r="AC71" s="145">
        <f>+(S71-T71)*V71-'data 1'!$F$4</f>
        <v>57.787499999999994</v>
      </c>
      <c r="AD71" s="145">
        <f t="shared" si="34"/>
        <v>1.2275988268050466</v>
      </c>
      <c r="AE71" s="145">
        <f t="shared" si="35"/>
        <v>-36.930999999999997</v>
      </c>
      <c r="AF71" s="145">
        <f t="shared" si="36"/>
        <v>33.136892376588037</v>
      </c>
      <c r="AG71" s="772">
        <f t="shared" si="44"/>
        <v>72.220991203393083</v>
      </c>
      <c r="AH71" s="146">
        <f t="shared" si="37"/>
        <v>115.58030123968985</v>
      </c>
      <c r="AI71" s="156">
        <f t="shared" si="38"/>
        <v>105.74969024119511</v>
      </c>
      <c r="AJ71" s="156">
        <f t="shared" si="39"/>
        <v>112.35117789353498</v>
      </c>
      <c r="AK71" s="88"/>
      <c r="AL71" s="716">
        <f t="shared" si="40"/>
        <v>8607.6536312421667</v>
      </c>
    </row>
    <row r="72" spans="1:38" ht="15" customHeight="1">
      <c r="A72" s="857" t="s">
        <v>1892</v>
      </c>
      <c r="B72" s="595">
        <v>45725</v>
      </c>
      <c r="C72" s="595">
        <v>45718</v>
      </c>
      <c r="D72" t="s">
        <v>66</v>
      </c>
      <c r="E72">
        <f>_xlfn.XLOOKUP(D72,RUC!$B$3:$B$123,RUC!$D$3:$D$123)</f>
        <v>10457401928</v>
      </c>
      <c r="G72" s="80">
        <v>44</v>
      </c>
      <c r="H72" t="s">
        <v>69</v>
      </c>
      <c r="I72" s="596">
        <v>4.25</v>
      </c>
      <c r="J72" s="596">
        <v>9.3000000000000007</v>
      </c>
      <c r="K72" s="138">
        <f t="shared" si="30"/>
        <v>3.8547500000000001</v>
      </c>
      <c r="L72" s="139">
        <v>0.432</v>
      </c>
      <c r="M72" s="139">
        <v>0.41</v>
      </c>
      <c r="N72" s="159">
        <v>0.41</v>
      </c>
      <c r="O72" s="645">
        <f t="shared" si="31"/>
        <v>0.41</v>
      </c>
      <c r="P72" s="727">
        <v>90</v>
      </c>
      <c r="Q72" s="596">
        <v>90.11</v>
      </c>
      <c r="R72" s="706">
        <v>2880.7</v>
      </c>
      <c r="S72" s="765">
        <f t="shared" si="41"/>
        <v>130</v>
      </c>
      <c r="U72" s="1066">
        <v>120</v>
      </c>
      <c r="V72" s="715">
        <v>1.1023000000000001</v>
      </c>
      <c r="Y72">
        <v>20</v>
      </c>
      <c r="Z72" s="143">
        <f t="shared" si="42"/>
        <v>30</v>
      </c>
      <c r="AA72" s="144">
        <f t="shared" si="33"/>
        <v>50</v>
      </c>
      <c r="AB72" s="145">
        <f t="shared" si="43"/>
        <v>924.49713608999991</v>
      </c>
      <c r="AC72" s="145">
        <f>+(S72-T72)*V72-'data 1'!$F$4</f>
        <v>63.299000000000007</v>
      </c>
      <c r="AD72" s="145">
        <f t="shared" si="34"/>
        <v>1.4460904386719926</v>
      </c>
      <c r="AE72" s="145">
        <f t="shared" si="35"/>
        <v>-14.884999999999998</v>
      </c>
      <c r="AF72" s="145">
        <f t="shared" si="36"/>
        <v>60.327411772562051</v>
      </c>
      <c r="AG72" s="772">
        <f t="shared" si="44"/>
        <v>127.18750221123406</v>
      </c>
      <c r="AH72" s="146">
        <f t="shared" si="37"/>
        <v>51.447233111057884</v>
      </c>
      <c r="AI72" s="156">
        <f t="shared" si="38"/>
        <v>111.26512513252808</v>
      </c>
      <c r="AJ72" s="156">
        <f t="shared" si="39"/>
        <v>48.767630247137141</v>
      </c>
      <c r="AK72" s="88"/>
      <c r="AL72" s="716">
        <f t="shared" si="40"/>
        <v>3563.7053353429274</v>
      </c>
    </row>
    <row r="73" spans="1:38" ht="15" customHeight="1">
      <c r="A73" s="857" t="s">
        <v>1896</v>
      </c>
      <c r="B73" s="595">
        <v>45723</v>
      </c>
      <c r="C73" s="595">
        <v>45720</v>
      </c>
      <c r="D73" t="s">
        <v>129</v>
      </c>
      <c r="E73" t="e">
        <f>_xlfn.XLOOKUP(D73,RUC!$B$3:$B$123,RUC!$D$3:$D$123)</f>
        <v>#N/A</v>
      </c>
      <c r="G73" s="80">
        <v>17</v>
      </c>
      <c r="H73" t="s">
        <v>69</v>
      </c>
      <c r="I73" s="596">
        <v>1.8</v>
      </c>
      <c r="J73" s="596">
        <v>1.2</v>
      </c>
      <c r="K73" s="138">
        <f t="shared" si="30"/>
        <v>1.7784</v>
      </c>
      <c r="L73" s="139">
        <v>0.45800000000000002</v>
      </c>
      <c r="M73" s="139">
        <v>0.43</v>
      </c>
      <c r="N73" s="159">
        <v>0.43</v>
      </c>
      <c r="O73" s="645">
        <f t="shared" si="31"/>
        <v>0.43</v>
      </c>
      <c r="P73" s="727">
        <v>90</v>
      </c>
      <c r="Q73" s="596">
        <v>90.11</v>
      </c>
      <c r="R73" s="706">
        <v>2905.9</v>
      </c>
      <c r="S73" s="802">
        <f>IF((80+ROUNDDOWN(O73,1)*100)&lt;95,95,(80+ROUNDDOWN(O73,1)*100))</f>
        <v>120</v>
      </c>
      <c r="U73" s="1066">
        <v>100</v>
      </c>
      <c r="V73" s="715">
        <v>1.1023000000000001</v>
      </c>
      <c r="Z73" s="143">
        <f t="shared" si="42"/>
        <v>30</v>
      </c>
      <c r="AA73" s="144">
        <f t="shared" si="33"/>
        <v>30</v>
      </c>
      <c r="AB73" s="145">
        <f t="shared" si="43"/>
        <v>1031.6241615900003</v>
      </c>
      <c r="AC73" s="145">
        <f>+(S73-T73)*V73-'data 1'!$F$4</f>
        <v>52.27600000000001</v>
      </c>
      <c r="AD73" s="145">
        <f t="shared" si="34"/>
        <v>1.5582249705659919</v>
      </c>
      <c r="AE73" s="145">
        <f t="shared" si="35"/>
        <v>-36.930999999999997</v>
      </c>
      <c r="AF73" s="145">
        <f t="shared" si="36"/>
        <v>78.03744062595608</v>
      </c>
      <c r="AG73" s="772">
        <f>+IF(D73="RONALD WILLIAN GARIBAY ESCUDERO",AC73+AD73+AE73+AF73+70,AC73+AD73+AE73+AF73)</f>
        <v>164.94066559652208</v>
      </c>
      <c r="AH73" s="146">
        <f t="shared" si="37"/>
        <v>25.163844144330742</v>
      </c>
      <c r="AI73" s="156">
        <f t="shared" si="38"/>
        <v>97.399099670233966</v>
      </c>
      <c r="AJ73" s="156">
        <f t="shared" si="39"/>
        <v>23.596602899842438</v>
      </c>
      <c r="AK73" s="88"/>
      <c r="AL73" s="716">
        <f t="shared" si="40"/>
        <v>1834.6404089716566</v>
      </c>
    </row>
    <row r="74" spans="1:38" ht="15" customHeight="1">
      <c r="A74" s="857" t="s">
        <v>1900</v>
      </c>
      <c r="B74" s="595">
        <v>45736</v>
      </c>
      <c r="C74" s="595">
        <v>45720</v>
      </c>
      <c r="D74" t="s">
        <v>1029</v>
      </c>
      <c r="E74">
        <f>_xlfn.XLOOKUP(D74,RUC!$B$3:$B$123,RUC!$D$3:$D$123)</f>
        <v>10421580605</v>
      </c>
      <c r="G74" s="80" t="s">
        <v>1434</v>
      </c>
      <c r="H74" t="s">
        <v>69</v>
      </c>
      <c r="I74" s="596">
        <v>32.04</v>
      </c>
      <c r="J74" s="596">
        <v>21.1</v>
      </c>
      <c r="K74" s="138">
        <f t="shared" si="30"/>
        <v>25.279559999999996</v>
      </c>
      <c r="L74" s="139">
        <v>0.19900000000000001</v>
      </c>
      <c r="M74" s="139">
        <v>0.187</v>
      </c>
      <c r="N74" s="159">
        <v>0.19800000000000001</v>
      </c>
      <c r="O74" s="645">
        <f t="shared" si="31"/>
        <v>0.193</v>
      </c>
      <c r="P74" s="727">
        <v>90</v>
      </c>
      <c r="Q74" s="596">
        <v>89</v>
      </c>
      <c r="R74" s="706">
        <v>2905.9</v>
      </c>
      <c r="S74" s="802">
        <v>85</v>
      </c>
      <c r="U74" s="1066">
        <v>90</v>
      </c>
      <c r="V74" s="715">
        <v>1.1023000000000001</v>
      </c>
      <c r="Z74" s="1062">
        <v>15</v>
      </c>
      <c r="AA74" s="144">
        <f t="shared" si="33"/>
        <v>15</v>
      </c>
      <c r="AB74" s="145">
        <f t="shared" si="43"/>
        <v>428.92899320900005</v>
      </c>
      <c r="AC74" s="145">
        <f>+(S74-T74)*V74-'data 1'!$F$4</f>
        <v>13.69550000000001</v>
      </c>
      <c r="AD74" s="145">
        <f t="shared" si="34"/>
        <v>-6.1768934742999999</v>
      </c>
      <c r="AE74" s="145">
        <f t="shared" si="35"/>
        <v>-53.465499999999999</v>
      </c>
      <c r="AF74" s="145">
        <f t="shared" si="36"/>
        <v>16.575181483800019</v>
      </c>
      <c r="AG74" s="772">
        <f>+IF(D74="RONALD WILLIAN GARIBAY ESCUDERO",AC74+AD74+AE74+AF74+70,AC74+AD74+AE74+AF74)+70-10</f>
        <v>30.628288009500025</v>
      </c>
      <c r="AH74" s="146">
        <f t="shared" si="37"/>
        <v>153.50469495466334</v>
      </c>
      <c r="AI74" s="156">
        <f t="shared" si="38"/>
        <v>39.846106847299986</v>
      </c>
      <c r="AJ74" s="156">
        <f t="shared" si="39"/>
        <v>150.5491813766869</v>
      </c>
      <c r="AK74" s="88"/>
      <c r="AL74" s="716">
        <f t="shared" si="40"/>
        <v>10843.136219566508</v>
      </c>
    </row>
    <row r="75" spans="1:38" ht="15" customHeight="1">
      <c r="A75" s="857" t="s">
        <v>1912</v>
      </c>
      <c r="B75" s="595">
        <v>45729</v>
      </c>
      <c r="C75" s="595">
        <v>45722</v>
      </c>
      <c r="D75" t="s">
        <v>1402</v>
      </c>
      <c r="E75">
        <f>_xlfn.XLOOKUP(D75,RUC!$B$3:$B$123,RUC!$D$3:$D$123)</f>
        <v>20606526599</v>
      </c>
      <c r="G75" s="80">
        <v>200</v>
      </c>
      <c r="H75" t="s">
        <v>69</v>
      </c>
      <c r="I75" s="596">
        <v>16.329999999999998</v>
      </c>
      <c r="J75" s="596">
        <v>1.6</v>
      </c>
      <c r="K75" s="138">
        <f t="shared" si="30"/>
        <v>16.068719999999999</v>
      </c>
      <c r="L75" s="139">
        <v>0.17599999999999999</v>
      </c>
      <c r="M75" s="139">
        <v>0.159</v>
      </c>
      <c r="N75" s="159">
        <v>0.159</v>
      </c>
      <c r="O75" s="645">
        <f t="shared" si="31"/>
        <v>0.159</v>
      </c>
      <c r="P75" s="727">
        <v>85</v>
      </c>
      <c r="Q75" s="596">
        <v>90.16</v>
      </c>
      <c r="R75" s="706">
        <v>2922.2</v>
      </c>
      <c r="S75" s="765">
        <f t="shared" ref="S75:S80" si="45">IF((90+ROUNDDOWN(O75,1)*100)&lt;95,95,(90+ROUNDDOWN(O75,1)*100))</f>
        <v>100</v>
      </c>
      <c r="U75" s="1066">
        <v>120</v>
      </c>
      <c r="V75" s="715">
        <v>1.1023000000000001</v>
      </c>
      <c r="Y75">
        <v>20</v>
      </c>
      <c r="Z75" s="143">
        <f t="shared" si="42"/>
        <v>30</v>
      </c>
      <c r="AA75" s="144">
        <f t="shared" si="33"/>
        <v>50</v>
      </c>
      <c r="AB75" s="145">
        <f t="shared" si="43"/>
        <v>252.11511285900002</v>
      </c>
      <c r="AC75" s="145">
        <f>+(S75-T75)*V75-'data 1'!$F$4</f>
        <v>30.230000000000004</v>
      </c>
      <c r="AD75" s="145">
        <f t="shared" si="34"/>
        <v>28.051836928895977</v>
      </c>
      <c r="AE75" s="145">
        <f t="shared" si="35"/>
        <v>-14.884999999999998</v>
      </c>
      <c r="AF75" s="145">
        <f t="shared" si="36"/>
        <v>47.343652547631962</v>
      </c>
      <c r="AG75" s="772">
        <f t="shared" ref="AG75:AG80" si="46">+IF(D75="RONALD WILLIAN GARIBAY ESCUDERO",AC75+AD75+AE75+AF75+70,AC75+AD75+AE75+AF75)+70-53</f>
        <v>107.74048947652796</v>
      </c>
      <c r="AH75" s="146">
        <f t="shared" si="37"/>
        <v>87.421232145488233</v>
      </c>
      <c r="AI75" s="156">
        <f t="shared" si="38"/>
        <v>38.096427688704026</v>
      </c>
      <c r="AJ75" s="156">
        <f t="shared" si="39"/>
        <v>74.457148935117473</v>
      </c>
      <c r="AK75" s="88"/>
      <c r="AL75" s="716">
        <f t="shared" si="40"/>
        <v>4051.1671562996708</v>
      </c>
    </row>
    <row r="76" spans="1:38" ht="15" customHeight="1">
      <c r="A76" s="857" t="s">
        <v>1914</v>
      </c>
      <c r="B76" s="595">
        <v>45733</v>
      </c>
      <c r="C76" s="595">
        <v>45723</v>
      </c>
      <c r="D76" t="s">
        <v>1177</v>
      </c>
      <c r="E76">
        <f>_xlfn.XLOOKUP(D76,RUC!$B$3:$B$123,RUC!$D$3:$D$123)</f>
        <v>20606094010</v>
      </c>
      <c r="G76" s="80">
        <v>85</v>
      </c>
      <c r="H76" t="s">
        <v>69</v>
      </c>
      <c r="I76" s="596">
        <v>7.13</v>
      </c>
      <c r="J76" s="596">
        <v>1.2</v>
      </c>
      <c r="K76" s="138">
        <f t="shared" si="30"/>
        <v>7.0444399999999998</v>
      </c>
      <c r="L76" s="708">
        <v>0.64800000000000002</v>
      </c>
      <c r="M76" s="708">
        <v>0.64800000000000002</v>
      </c>
      <c r="N76" s="1092">
        <v>0.64800000000000002</v>
      </c>
      <c r="O76" s="645">
        <f t="shared" si="31"/>
        <v>0.64800000000000002</v>
      </c>
      <c r="P76" s="727">
        <v>90</v>
      </c>
      <c r="Q76" s="596">
        <v>89.89</v>
      </c>
      <c r="R76" s="706">
        <v>2931.15</v>
      </c>
      <c r="S76" s="765">
        <f t="shared" si="45"/>
        <v>150</v>
      </c>
      <c r="U76" s="1066">
        <v>120</v>
      </c>
      <c r="V76" s="715">
        <v>1.1023000000000001</v>
      </c>
      <c r="Y76">
        <v>20</v>
      </c>
      <c r="Z76" s="143">
        <f t="shared" si="42"/>
        <v>30</v>
      </c>
      <c r="AA76" s="144">
        <f t="shared" si="33"/>
        <v>50</v>
      </c>
      <c r="AB76" s="145">
        <f t="shared" si="43"/>
        <v>1586.7197121640002</v>
      </c>
      <c r="AC76" s="145">
        <f>+(S76-T76)*V76-'data 1'!$F$4</f>
        <v>85.344999999999999</v>
      </c>
      <c r="AD76" s="145">
        <f t="shared" si="34"/>
        <v>-2.2087752037559891</v>
      </c>
      <c r="AE76" s="145">
        <f t="shared" si="35"/>
        <v>-14.884999999999998</v>
      </c>
      <c r="AF76" s="145">
        <f t="shared" si="36"/>
        <v>0</v>
      </c>
      <c r="AG76" s="772">
        <f t="shared" si="46"/>
        <v>85.251224796244003</v>
      </c>
      <c r="AH76" s="146">
        <f t="shared" si="37"/>
        <v>140.6831001411586</v>
      </c>
      <c r="AI76" s="156">
        <f t="shared" si="38"/>
        <v>134.09749753095596</v>
      </c>
      <c r="AJ76" s="156">
        <f t="shared" si="39"/>
        <v>140.8552565658502</v>
      </c>
      <c r="AK76" s="88"/>
      <c r="AL76" s="716">
        <f t="shared" si="40"/>
        <v>11177.551809156568</v>
      </c>
    </row>
    <row r="77" spans="1:38" ht="15" customHeight="1">
      <c r="A77" s="857" t="s">
        <v>1916</v>
      </c>
      <c r="B77" s="595">
        <v>45725</v>
      </c>
      <c r="C77" s="595">
        <v>45723</v>
      </c>
      <c r="D77" t="s">
        <v>1402</v>
      </c>
      <c r="E77">
        <f>_xlfn.XLOOKUP(D77,RUC!$B$3:$B$123,RUC!$D$3:$D$123)</f>
        <v>20606526599</v>
      </c>
      <c r="G77" s="80">
        <v>98</v>
      </c>
      <c r="H77" t="s">
        <v>69</v>
      </c>
      <c r="I77" s="596">
        <v>8.57</v>
      </c>
      <c r="J77" s="596">
        <v>1.5</v>
      </c>
      <c r="K77" s="138">
        <f t="shared" si="30"/>
        <v>8.4414499999999997</v>
      </c>
      <c r="L77" s="139">
        <v>0.26300000000000001</v>
      </c>
      <c r="M77" s="139">
        <v>0.247</v>
      </c>
      <c r="N77" s="159">
        <v>0.247</v>
      </c>
      <c r="O77" s="645">
        <f t="shared" si="31"/>
        <v>0.247</v>
      </c>
      <c r="P77" s="727">
        <v>90</v>
      </c>
      <c r="Q77" s="596">
        <v>90.17</v>
      </c>
      <c r="R77" s="706">
        <v>2931.15</v>
      </c>
      <c r="S77" s="765">
        <f t="shared" si="45"/>
        <v>110</v>
      </c>
      <c r="U77" s="1066">
        <v>120</v>
      </c>
      <c r="V77" s="715">
        <v>1.1023000000000001</v>
      </c>
      <c r="Y77">
        <v>20</v>
      </c>
      <c r="Z77" s="143">
        <f t="shared" si="42"/>
        <v>30</v>
      </c>
      <c r="AA77" s="144">
        <f t="shared" si="33"/>
        <v>50</v>
      </c>
      <c r="AB77" s="145">
        <f t="shared" si="43"/>
        <v>512.47982238350016</v>
      </c>
      <c r="AC77" s="145">
        <f>+(S77-T77)*V77-'data 1'!$F$4</f>
        <v>41.253</v>
      </c>
      <c r="AD77" s="145">
        <f t="shared" si="34"/>
        <v>1.3854424713795139</v>
      </c>
      <c r="AE77" s="145">
        <f t="shared" si="35"/>
        <v>-14.884999999999998</v>
      </c>
      <c r="AF77" s="145">
        <f t="shared" si="36"/>
        <v>44.706006761544046</v>
      </c>
      <c r="AG77" s="772">
        <f t="shared" si="46"/>
        <v>89.459449232923561</v>
      </c>
      <c r="AH77" s="146">
        <f t="shared" si="37"/>
        <v>68.634731627272629</v>
      </c>
      <c r="AI77" s="156">
        <f t="shared" si="38"/>
        <v>54.594903813720478</v>
      </c>
      <c r="AJ77" s="156">
        <f t="shared" si="39"/>
        <v>64.337707864623695</v>
      </c>
      <c r="AK77" s="88"/>
      <c r="AL77" s="716">
        <f t="shared" si="40"/>
        <v>4326.0727966591976</v>
      </c>
    </row>
    <row r="78" spans="1:38" ht="15" customHeight="1">
      <c r="A78" s="857" t="s">
        <v>1918</v>
      </c>
      <c r="B78" s="595">
        <v>45727</v>
      </c>
      <c r="C78" s="595">
        <v>45724</v>
      </c>
      <c r="D78" t="s">
        <v>1937</v>
      </c>
      <c r="E78">
        <f>_xlfn.XLOOKUP(D78,RUC!$B$3:$B$123,RUC!$D$3:$D$123)</f>
        <v>10424767285</v>
      </c>
      <c r="G78" s="80">
        <v>38</v>
      </c>
      <c r="H78" t="s">
        <v>69</v>
      </c>
      <c r="I78">
        <v>5.16</v>
      </c>
      <c r="J78" s="596">
        <v>1.1000000000000001</v>
      </c>
      <c r="K78" s="138">
        <f t="shared" si="30"/>
        <v>5.1032400000000004</v>
      </c>
      <c r="L78" s="139">
        <v>0.32500000000000001</v>
      </c>
      <c r="M78" s="139">
        <v>0.30599999999999999</v>
      </c>
      <c r="N78" s="159">
        <v>0.30599999999999999</v>
      </c>
      <c r="O78" s="645">
        <f t="shared" si="31"/>
        <v>0.30599999999999999</v>
      </c>
      <c r="P78" s="727">
        <v>90</v>
      </c>
      <c r="Q78" s="596">
        <v>90.06</v>
      </c>
      <c r="R78" s="706">
        <v>2931.15</v>
      </c>
      <c r="S78" s="765">
        <f t="shared" si="45"/>
        <v>120</v>
      </c>
      <c r="U78" s="1066">
        <v>120</v>
      </c>
      <c r="V78" s="715">
        <v>1.1023000000000001</v>
      </c>
      <c r="Y78">
        <v>20</v>
      </c>
      <c r="Z78" s="1062">
        <v>25</v>
      </c>
      <c r="AA78" s="144">
        <f t="shared" si="33"/>
        <v>45</v>
      </c>
      <c r="AB78" s="145">
        <f t="shared" si="43"/>
        <v>671.51091963299996</v>
      </c>
      <c r="AC78" s="145">
        <f>+(S78-T78)*V78-'data 1'!$F$4</f>
        <v>52.27600000000001</v>
      </c>
      <c r="AD78" s="145">
        <f t="shared" si="34"/>
        <v>0.60425247577502295</v>
      </c>
      <c r="AE78" s="145">
        <f t="shared" si="35"/>
        <v>-20.3965</v>
      </c>
      <c r="AF78" s="145">
        <f t="shared" si="36"/>
        <v>53.023619558853049</v>
      </c>
      <c r="AG78" s="772">
        <f t="shared" si="46"/>
        <v>102.50737203462808</v>
      </c>
      <c r="AH78" s="146">
        <f t="shared" si="37"/>
        <v>51.21183836576639</v>
      </c>
      <c r="AI78" s="156">
        <f t="shared" si="38"/>
        <v>67.382883331724983</v>
      </c>
      <c r="AJ78" s="156">
        <f t="shared" si="39"/>
        <v>48.18579164636246</v>
      </c>
      <c r="AK78" s="88"/>
      <c r="AL78" s="716">
        <f t="shared" si="40"/>
        <v>3426.8813855079111</v>
      </c>
    </row>
    <row r="79" spans="1:38" ht="15" customHeight="1">
      <c r="A79" s="857" t="s">
        <v>1920</v>
      </c>
      <c r="B79" s="595">
        <v>45727</v>
      </c>
      <c r="C79" s="595">
        <v>45724</v>
      </c>
      <c r="D79" t="s">
        <v>1938</v>
      </c>
      <c r="E79">
        <f>_xlfn.XLOOKUP(D79,RUC!$B$3:$B$123,RUC!$D$3:$D$123)</f>
        <v>20609578786</v>
      </c>
      <c r="G79" s="80">
        <v>28</v>
      </c>
      <c r="H79" t="s">
        <v>69</v>
      </c>
      <c r="I79">
        <v>3.91</v>
      </c>
      <c r="J79" s="596">
        <v>1.2</v>
      </c>
      <c r="K79" s="138">
        <f t="shared" si="30"/>
        <v>3.8630800000000001</v>
      </c>
      <c r="L79" s="139">
        <v>0.35899999999999999</v>
      </c>
      <c r="M79" s="139">
        <v>0.33700000000000002</v>
      </c>
      <c r="N79" s="159">
        <v>0.39500000000000002</v>
      </c>
      <c r="O79" s="645">
        <f t="shared" si="31"/>
        <v>0.36599999999999999</v>
      </c>
      <c r="P79" s="727">
        <v>90</v>
      </c>
      <c r="Q79" s="596">
        <v>90.11</v>
      </c>
      <c r="R79" s="706">
        <v>2931.15</v>
      </c>
      <c r="S79" s="765">
        <f t="shared" si="45"/>
        <v>120</v>
      </c>
      <c r="U79" s="1066">
        <v>120</v>
      </c>
      <c r="V79" s="715">
        <v>1.1023000000000001</v>
      </c>
      <c r="Y79">
        <v>20</v>
      </c>
      <c r="Z79" s="1062">
        <v>25</v>
      </c>
      <c r="AA79" s="144">
        <f t="shared" si="33"/>
        <v>45</v>
      </c>
      <c r="AB79" s="145">
        <f t="shared" si="43"/>
        <v>838.84237446300017</v>
      </c>
      <c r="AC79" s="145">
        <f>+(S79-T79)*V79-'data 1'!$F$4</f>
        <v>52.27600000000001</v>
      </c>
      <c r="AD79" s="145">
        <f t="shared" si="34"/>
        <v>1.2236887317104936</v>
      </c>
      <c r="AE79" s="145">
        <f t="shared" si="35"/>
        <v>-20.3965</v>
      </c>
      <c r="AF79" s="145">
        <f t="shared" si="36"/>
        <v>-19.545863289466517</v>
      </c>
      <c r="AG79" s="772">
        <f t="shared" si="46"/>
        <v>30.557325442243979</v>
      </c>
      <c r="AH79" s="146">
        <f t="shared" si="37"/>
        <v>42.845992706156743</v>
      </c>
      <c r="AI79" s="156">
        <f t="shared" si="38"/>
        <v>74.47349324418947</v>
      </c>
      <c r="AJ79" s="156">
        <f t="shared" si="39"/>
        <v>43.628106648383103</v>
      </c>
      <c r="AK79" s="88"/>
      <c r="AL79" s="716">
        <f t="shared" si="40"/>
        <v>3240.5151999405266</v>
      </c>
    </row>
    <row r="80" spans="1:38" ht="15" customHeight="1">
      <c r="A80" s="857" t="s">
        <v>1921</v>
      </c>
      <c r="B80" s="595">
        <v>45727</v>
      </c>
      <c r="C80" s="595">
        <v>45724</v>
      </c>
      <c r="D80" t="s">
        <v>1938</v>
      </c>
      <c r="E80">
        <f>_xlfn.XLOOKUP(D80,RUC!$B$3:$B$123,RUC!$D$3:$D$123)</f>
        <v>20609578786</v>
      </c>
      <c r="G80" s="80">
        <v>31</v>
      </c>
      <c r="H80" t="s">
        <v>69</v>
      </c>
      <c r="I80">
        <v>4.43</v>
      </c>
      <c r="J80" s="596">
        <v>1.3</v>
      </c>
      <c r="K80" s="138">
        <f t="shared" si="30"/>
        <v>4.3724099999999995</v>
      </c>
      <c r="L80" s="139">
        <v>0.38700000000000001</v>
      </c>
      <c r="M80" s="139">
        <v>0.36399999999999999</v>
      </c>
      <c r="N80" s="159">
        <v>0.41499999999999998</v>
      </c>
      <c r="O80" s="645">
        <f t="shared" si="31"/>
        <v>0.39</v>
      </c>
      <c r="P80" s="727">
        <v>90</v>
      </c>
      <c r="Q80" s="596">
        <v>90.18</v>
      </c>
      <c r="R80" s="706">
        <v>2931.15</v>
      </c>
      <c r="S80" s="765">
        <f t="shared" si="45"/>
        <v>120</v>
      </c>
      <c r="U80" s="1066">
        <v>120</v>
      </c>
      <c r="V80" s="715">
        <v>1.1023000000000001</v>
      </c>
      <c r="Y80">
        <v>20</v>
      </c>
      <c r="Z80" s="1062">
        <v>25</v>
      </c>
      <c r="AA80" s="144">
        <f t="shared" si="33"/>
        <v>45</v>
      </c>
      <c r="AB80" s="145">
        <f t="shared" si="43"/>
        <v>905.77495639500012</v>
      </c>
      <c r="AC80" s="145">
        <f>+(S80-T80)*V80-'data 1'!$F$4</f>
        <v>52.27600000000001</v>
      </c>
      <c r="AD80" s="145">
        <f t="shared" si="34"/>
        <v>2.1585757673070818</v>
      </c>
      <c r="AE80" s="145">
        <f t="shared" si="35"/>
        <v>-20.3965</v>
      </c>
      <c r="AF80" s="145">
        <f t="shared" si="36"/>
        <v>-8.3833058869830079</v>
      </c>
      <c r="AG80" s="772">
        <f t="shared" si="46"/>
        <v>42.654769880324082</v>
      </c>
      <c r="AH80" s="146">
        <f t="shared" si="37"/>
        <v>52.318001280501363</v>
      </c>
      <c r="AI80" s="156">
        <f t="shared" si="38"/>
        <v>80.344376162792983</v>
      </c>
      <c r="AJ80" s="156">
        <f t="shared" si="39"/>
        <v>52.618330520858883</v>
      </c>
      <c r="AK80" s="88"/>
      <c r="AL80" s="716">
        <f t="shared" si="40"/>
        <v>3960.4194770910622</v>
      </c>
    </row>
    <row r="81" spans="1:38" ht="15" customHeight="1">
      <c r="A81" s="857" t="s">
        <v>1951</v>
      </c>
      <c r="B81" s="595">
        <v>45727</v>
      </c>
      <c r="C81" s="595">
        <v>45725</v>
      </c>
      <c r="D81" t="s">
        <v>119</v>
      </c>
      <c r="E81">
        <f>_xlfn.XLOOKUP(D81,RUC!$B$3:$B$123,RUC!$D$3:$D$123)</f>
        <v>10082235774</v>
      </c>
      <c r="G81" s="80">
        <v>38</v>
      </c>
      <c r="H81" t="s">
        <v>69</v>
      </c>
      <c r="I81" s="596">
        <v>3.87</v>
      </c>
      <c r="J81" s="596">
        <v>2.6</v>
      </c>
      <c r="K81" s="138">
        <f t="shared" si="30"/>
        <v>3.76938</v>
      </c>
      <c r="L81" s="139">
        <v>0.22700000000000001</v>
      </c>
      <c r="M81" s="139">
        <v>0.223</v>
      </c>
      <c r="N81" s="159">
        <v>0.223</v>
      </c>
      <c r="O81" s="645">
        <f t="shared" si="31"/>
        <v>0.223</v>
      </c>
      <c r="P81" s="727">
        <v>85</v>
      </c>
      <c r="Q81" s="596">
        <v>90.2</v>
      </c>
      <c r="R81" s="706">
        <v>2910.2</v>
      </c>
      <c r="S81" s="802">
        <v>105</v>
      </c>
      <c r="U81" s="1091">
        <v>80</v>
      </c>
      <c r="V81" s="715">
        <v>1.1023000000000001</v>
      </c>
      <c r="Z81" s="1034">
        <v>10</v>
      </c>
      <c r="AA81" s="144">
        <f t="shared" si="33"/>
        <v>10</v>
      </c>
      <c r="AB81" s="145">
        <f t="shared" si="43"/>
        <v>464.58021914300008</v>
      </c>
      <c r="AC81" s="145">
        <f>+(S81-T81)*V81-'data 1'!$F$4</f>
        <v>35.741500000000002</v>
      </c>
      <c r="AD81" s="145">
        <f t="shared" si="34"/>
        <v>36.825286545840022</v>
      </c>
      <c r="AE81" s="145">
        <f t="shared" si="35"/>
        <v>-58.977000000000004</v>
      </c>
      <c r="AF81" s="145">
        <f t="shared" si="36"/>
        <v>11.25598389168001</v>
      </c>
      <c r="AG81" s="772">
        <f>+IF(D81="RONALD WILLIAN GARIBAY ESCUDERO",AC81+AD81+AE81+AF81+70,AC81+AD81+AE81+AF81)+70</f>
        <v>94.845770437520031</v>
      </c>
      <c r="AH81" s="146">
        <f t="shared" si="37"/>
        <v>26.461312756243402</v>
      </c>
      <c r="AI81" s="156">
        <f t="shared" si="38"/>
        <v>42.837923431160043</v>
      </c>
      <c r="AJ81" s="156">
        <f t="shared" si="39"/>
        <v>24.496429046299149</v>
      </c>
      <c r="AK81" s="88"/>
      <c r="AL81" s="716">
        <f t="shared" si="40"/>
        <v>1751.1793864332417</v>
      </c>
    </row>
    <row r="82" spans="1:38" ht="15" customHeight="1">
      <c r="A82" s="857" t="s">
        <v>1952</v>
      </c>
      <c r="B82" s="595">
        <v>45727</v>
      </c>
      <c r="C82" s="595">
        <v>45725</v>
      </c>
      <c r="D82" t="s">
        <v>119</v>
      </c>
      <c r="E82">
        <f>_xlfn.XLOOKUP(D82,RUC!$B$3:$B$123,RUC!$D$3:$D$123)</f>
        <v>10082235774</v>
      </c>
      <c r="G82" s="80">
        <v>49</v>
      </c>
      <c r="H82" t="s">
        <v>69</v>
      </c>
      <c r="I82" s="596">
        <v>4.97</v>
      </c>
      <c r="J82" s="596">
        <v>2.1</v>
      </c>
      <c r="K82" s="138">
        <f t="shared" si="30"/>
        <v>4.8656299999999995</v>
      </c>
      <c r="L82" s="139">
        <v>0.437</v>
      </c>
      <c r="M82" s="139">
        <v>0.43</v>
      </c>
      <c r="N82" s="159">
        <v>0.43</v>
      </c>
      <c r="O82" s="645">
        <f t="shared" si="31"/>
        <v>0.43</v>
      </c>
      <c r="P82" s="727">
        <v>90</v>
      </c>
      <c r="Q82" s="596">
        <v>90.18</v>
      </c>
      <c r="R82" s="706">
        <v>2910.2</v>
      </c>
      <c r="S82" s="802">
        <v>115</v>
      </c>
      <c r="U82" s="1091">
        <v>80</v>
      </c>
      <c r="V82" s="715">
        <v>1.1023000000000001</v>
      </c>
      <c r="Z82" s="1034">
        <v>10</v>
      </c>
      <c r="AA82" s="144">
        <f t="shared" si="33"/>
        <v>10</v>
      </c>
      <c r="AB82" s="145">
        <f t="shared" si="43"/>
        <v>1069.5478010200002</v>
      </c>
      <c r="AC82" s="145">
        <f>+(S82-T82)*V82-'data 1'!$F$4</f>
        <v>46.764500000000012</v>
      </c>
      <c r="AD82" s="145">
        <f t="shared" si="34"/>
        <v>2.4539791932360928</v>
      </c>
      <c r="AE82" s="145">
        <f t="shared" si="35"/>
        <v>-58.977000000000004</v>
      </c>
      <c r="AF82" s="145">
        <f t="shared" si="36"/>
        <v>19.693604189196019</v>
      </c>
      <c r="AG82" s="772">
        <f t="shared" ref="AG82:AG87" si="47">+IF(D82="RONALD WILLIAN GARIBAY ESCUDERO",AC82+AD82+AE82+AF82+70,AC82+AD82+AE82+AF82)+70</f>
        <v>79.935083382432126</v>
      </c>
      <c r="AH82" s="146">
        <f t="shared" si="37"/>
        <v>65.741531600238432</v>
      </c>
      <c r="AI82" s="156">
        <f t="shared" si="38"/>
        <v>82.449434912364083</v>
      </c>
      <c r="AJ82" s="156">
        <f t="shared" si="39"/>
        <v>64.559344898538214</v>
      </c>
      <c r="AK82" s="88"/>
      <c r="AL82" s="716">
        <f t="shared" si="40"/>
        <v>5204.0238670769431</v>
      </c>
    </row>
    <row r="83" spans="1:38" ht="15" customHeight="1">
      <c r="A83" s="857" t="s">
        <v>1953</v>
      </c>
      <c r="B83" s="595">
        <v>45727</v>
      </c>
      <c r="C83" s="595">
        <v>45725</v>
      </c>
      <c r="D83" t="s">
        <v>119</v>
      </c>
      <c r="E83">
        <f>_xlfn.XLOOKUP(D83,RUC!$B$3:$B$123,RUC!$D$3:$D$123)</f>
        <v>10082235774</v>
      </c>
      <c r="G83" s="80">
        <v>50</v>
      </c>
      <c r="H83" t="s">
        <v>69</v>
      </c>
      <c r="I83" s="596">
        <v>5.0199999999999996</v>
      </c>
      <c r="J83" s="596">
        <v>2.15</v>
      </c>
      <c r="K83" s="138">
        <f t="shared" si="30"/>
        <v>4.9120699999999999</v>
      </c>
      <c r="L83" s="139">
        <v>0.47499999999999998</v>
      </c>
      <c r="M83" s="139">
        <v>0.46800000000000003</v>
      </c>
      <c r="N83" s="159">
        <v>0.46800000000000003</v>
      </c>
      <c r="O83" s="645">
        <f t="shared" si="31"/>
        <v>0.46800000000000003</v>
      </c>
      <c r="P83" s="727">
        <v>90</v>
      </c>
      <c r="Q83" s="596">
        <v>90.11</v>
      </c>
      <c r="R83" s="706">
        <v>2910.2</v>
      </c>
      <c r="S83" s="802">
        <v>115</v>
      </c>
      <c r="U83" s="1091">
        <v>80</v>
      </c>
      <c r="V83" s="715">
        <v>1.1023000000000001</v>
      </c>
      <c r="Z83" s="1034">
        <v>10</v>
      </c>
      <c r="AA83" s="144">
        <f t="shared" si="33"/>
        <v>10</v>
      </c>
      <c r="AB83" s="145">
        <f t="shared" si="43"/>
        <v>1176.242548552</v>
      </c>
      <c r="AC83" s="145">
        <f>+(S83-T83)*V83-'data 1'!$F$4</f>
        <v>46.764500000000012</v>
      </c>
      <c r="AD83" s="145">
        <f t="shared" si="34"/>
        <v>1.6300586428499912</v>
      </c>
      <c r="AE83" s="145">
        <f t="shared" si="35"/>
        <v>-58.977000000000004</v>
      </c>
      <c r="AF83" s="145">
        <f t="shared" si="36"/>
        <v>19.678317514841861</v>
      </c>
      <c r="AG83" s="772">
        <f t="shared" si="47"/>
        <v>79.095876157691862</v>
      </c>
      <c r="AH83" s="146">
        <f t="shared" si="37"/>
        <v>72.084222036797541</v>
      </c>
      <c r="AI83" s="156">
        <f t="shared" si="38"/>
        <v>89.549386492150091</v>
      </c>
      <c r="AJ83" s="156">
        <f t="shared" si="39"/>
        <v>70.935229624375182</v>
      </c>
      <c r="AK83" s="88"/>
      <c r="AL83" s="716">
        <f t="shared" si="40"/>
        <v>5777.7857354658227</v>
      </c>
    </row>
    <row r="84" spans="1:38" ht="15" customHeight="1">
      <c r="A84" s="857" t="s">
        <v>1954</v>
      </c>
      <c r="B84" s="595">
        <v>45727</v>
      </c>
      <c r="C84" s="595">
        <v>45725</v>
      </c>
      <c r="D84" t="s">
        <v>119</v>
      </c>
      <c r="E84">
        <f>_xlfn.XLOOKUP(D84,RUC!$B$3:$B$123,RUC!$D$3:$D$123)</f>
        <v>10082235774</v>
      </c>
      <c r="G84" s="80">
        <v>49</v>
      </c>
      <c r="H84" t="s">
        <v>69</v>
      </c>
      <c r="I84" s="596">
        <v>4.9800000000000004</v>
      </c>
      <c r="J84" s="596">
        <v>2.8</v>
      </c>
      <c r="K84" s="138">
        <f t="shared" ref="K84:K87" si="48">+I84-(I84*(J84/100))</f>
        <v>4.84056</v>
      </c>
      <c r="L84" s="139">
        <v>0.39300000000000002</v>
      </c>
      <c r="M84" s="139">
        <v>0.38700000000000001</v>
      </c>
      <c r="N84" s="159">
        <v>0.38700000000000001</v>
      </c>
      <c r="O84" s="645">
        <f t="shared" ref="O84:O87" si="49">+ROUND((M84+N84)/2,3)</f>
        <v>0.38700000000000001</v>
      </c>
      <c r="P84" s="727">
        <v>90</v>
      </c>
      <c r="Q84" s="596">
        <v>90.23</v>
      </c>
      <c r="R84" s="706">
        <v>2910.2</v>
      </c>
      <c r="S84" s="802">
        <v>110</v>
      </c>
      <c r="U84" s="1091">
        <v>80</v>
      </c>
      <c r="V84" s="715">
        <v>1.1023000000000001</v>
      </c>
      <c r="Z84" s="1034">
        <v>10</v>
      </c>
      <c r="AA84" s="144">
        <f t="shared" ref="AA84:AA87" si="50">+Y84+Z84</f>
        <v>10</v>
      </c>
      <c r="AB84" s="145">
        <f t="shared" si="43"/>
        <v>954.32577091799999</v>
      </c>
      <c r="AC84" s="145">
        <f>+(S84-T84)*V84-'data 1'!$F$4</f>
        <v>41.253</v>
      </c>
      <c r="AD84" s="145">
        <f t="shared" ref="AD84:AD87" si="51">+(Q84-P84)*(R84-U84)*L84*V84/100</f>
        <v>2.8199234588940487</v>
      </c>
      <c r="AE84" s="145">
        <f t="shared" ref="AE84:AE87" si="52">+(Y84*V84-70)+V84*(Z84-IF(D84="UNTUCA",IF(+((W84-3)*2.5+(X84-3)*3.1)&gt;0,+((W84-3)*1.5+(X84-3)*3.1),0),IF(+((W84-3)*1.5+(X84-3)*3.1)&gt;0,+((W84-3)*1.5+(X84-3)*3.1),0)))</f>
        <v>-58.977000000000004</v>
      </c>
      <c r="AF84" s="145">
        <f t="shared" ref="AF84:AF87" si="53">(L84-O84)*(R84-U84)*Q84*V84/100</f>
        <v>16.889591350548017</v>
      </c>
      <c r="AG84" s="772">
        <f t="shared" si="47"/>
        <v>71.985514809442066</v>
      </c>
      <c r="AH84" s="146">
        <f t="shared" ref="AH84:AH87" si="54">31.1035*L84*Q84*1.1023*K84/100</f>
        <v>58.850232737326742</v>
      </c>
      <c r="AI84" s="156">
        <f t="shared" ref="AI84:AI87" si="55">+((+$AI$2-R84+U84)*L84*Q84*V84)/100</f>
        <v>74.189001028506084</v>
      </c>
      <c r="AJ84" s="156">
        <f t="shared" ref="AJ84:AJ87" si="56">31.1035*1.1023*K84*P84*O84/100</f>
        <v>57.804034480192975</v>
      </c>
      <c r="AK84" s="88"/>
      <c r="AL84" s="716">
        <f t="shared" ref="AL84:AL87" si="57">+IF(AB84*K84&gt;0,AB84*K84,0)</f>
        <v>4619.4711536748337</v>
      </c>
    </row>
    <row r="85" spans="1:38" ht="15" customHeight="1">
      <c r="A85" s="857" t="s">
        <v>1955</v>
      </c>
      <c r="B85" s="595">
        <v>45727</v>
      </c>
      <c r="C85" s="595">
        <v>45725</v>
      </c>
      <c r="D85" t="s">
        <v>1671</v>
      </c>
      <c r="E85">
        <f>_xlfn.XLOOKUP(D85,RUC!$B$3:$B$123,RUC!$D$3:$D$123)</f>
        <v>20517242919</v>
      </c>
      <c r="G85" s="80">
        <v>53</v>
      </c>
      <c r="H85" t="s">
        <v>69</v>
      </c>
      <c r="I85" s="596">
        <v>4.7699999999999996</v>
      </c>
      <c r="J85" s="596">
        <v>2.5</v>
      </c>
      <c r="K85" s="138">
        <f t="shared" si="48"/>
        <v>4.6507499999999995</v>
      </c>
      <c r="L85" s="139">
        <v>0.20499999999999999</v>
      </c>
      <c r="M85" s="139">
        <v>0.20200000000000001</v>
      </c>
      <c r="N85" s="159">
        <v>0.20200000000000001</v>
      </c>
      <c r="O85" s="645">
        <f t="shared" si="49"/>
        <v>0.20200000000000001</v>
      </c>
      <c r="P85" s="727">
        <v>85</v>
      </c>
      <c r="Q85" s="596">
        <v>90.14</v>
      </c>
      <c r="R85" s="706">
        <v>2910.2</v>
      </c>
      <c r="S85" s="802">
        <v>105</v>
      </c>
      <c r="U85" s="1091">
        <v>80</v>
      </c>
      <c r="V85" s="715">
        <v>1.1023000000000001</v>
      </c>
      <c r="Z85" s="1034">
        <v>10</v>
      </c>
      <c r="AA85" s="144">
        <f t="shared" si="50"/>
        <v>10</v>
      </c>
      <c r="AB85" s="145">
        <f t="shared" si="43"/>
        <v>408.893048282</v>
      </c>
      <c r="AC85" s="145">
        <f>+(S85-T85)*V85-'data 1'!$F$4</f>
        <v>35.741500000000002</v>
      </c>
      <c r="AD85" s="145">
        <f t="shared" si="51"/>
        <v>32.872589320020005</v>
      </c>
      <c r="AE85" s="145">
        <f t="shared" si="52"/>
        <v>-58.977000000000004</v>
      </c>
      <c r="AF85" s="145">
        <f t="shared" si="53"/>
        <v>8.4363724057319285</v>
      </c>
      <c r="AG85" s="772">
        <f t="shared" si="47"/>
        <v>88.07346172575194</v>
      </c>
      <c r="AH85" s="146">
        <f t="shared" si="54"/>
        <v>29.464798727919575</v>
      </c>
      <c r="AI85" s="156">
        <f t="shared" si="55"/>
        <v>38.660496776980033</v>
      </c>
      <c r="AJ85" s="156">
        <f t="shared" si="56"/>
        <v>27.378040346906392</v>
      </c>
      <c r="AK85" s="88"/>
      <c r="AL85" s="716">
        <f t="shared" si="57"/>
        <v>1901.6593442975113</v>
      </c>
    </row>
    <row r="86" spans="1:38" ht="15" customHeight="1">
      <c r="A86" s="857" t="s">
        <v>1956</v>
      </c>
      <c r="B86" s="595">
        <v>45727</v>
      </c>
      <c r="C86" s="595">
        <v>45725</v>
      </c>
      <c r="D86" t="s">
        <v>1671</v>
      </c>
      <c r="E86">
        <f>_xlfn.XLOOKUP(D86,RUC!$B$3:$B$123,RUC!$D$3:$D$123)</f>
        <v>20517242919</v>
      </c>
      <c r="G86" s="80">
        <v>50</v>
      </c>
      <c r="H86" t="s">
        <v>69</v>
      </c>
      <c r="I86" s="596">
        <v>4.7300000000000004</v>
      </c>
      <c r="J86" s="596">
        <v>2.15</v>
      </c>
      <c r="K86" s="138">
        <f t="shared" si="48"/>
        <v>4.6283050000000001</v>
      </c>
      <c r="L86" s="139">
        <v>0.13800000000000001</v>
      </c>
      <c r="M86" s="139">
        <v>0.13600000000000001</v>
      </c>
      <c r="N86" s="159">
        <v>0.13600000000000001</v>
      </c>
      <c r="O86" s="645">
        <f t="shared" si="49"/>
        <v>0.13600000000000001</v>
      </c>
      <c r="P86" s="727">
        <v>85</v>
      </c>
      <c r="Q86" s="596">
        <v>90.2</v>
      </c>
      <c r="R86" s="706">
        <v>2910.2</v>
      </c>
      <c r="S86" s="802">
        <v>95</v>
      </c>
      <c r="U86" s="1091">
        <v>80</v>
      </c>
      <c r="V86" s="715">
        <v>1.1023000000000001</v>
      </c>
      <c r="Z86" s="1034">
        <v>10</v>
      </c>
      <c r="AA86" s="144">
        <f t="shared" si="50"/>
        <v>10</v>
      </c>
      <c r="AB86" s="145">
        <f t="shared" si="43"/>
        <v>244.89922557600005</v>
      </c>
      <c r="AC86" s="145">
        <f>+(S86-T86)*V86-'data 1'!$F$4</f>
        <v>24.718500000000006</v>
      </c>
      <c r="AD86" s="145">
        <f t="shared" si="51"/>
        <v>22.387178604960013</v>
      </c>
      <c r="AE86" s="145">
        <f t="shared" si="52"/>
        <v>-58.977000000000004</v>
      </c>
      <c r="AF86" s="145">
        <f t="shared" si="53"/>
        <v>5.6279919458400052</v>
      </c>
      <c r="AG86" s="772">
        <f t="shared" si="47"/>
        <v>63.756670550800024</v>
      </c>
      <c r="AH86" s="146">
        <f t="shared" si="54"/>
        <v>19.7522541032845</v>
      </c>
      <c r="AI86" s="156">
        <f t="shared" si="55"/>
        <v>26.042438033040028</v>
      </c>
      <c r="AJ86" s="156">
        <f t="shared" si="56"/>
        <v>18.34378172772011</v>
      </c>
      <c r="AK86" s="88"/>
      <c r="AL86" s="716">
        <f t="shared" si="57"/>
        <v>1133.4683102295289</v>
      </c>
    </row>
    <row r="87" spans="1:38" ht="15" customHeight="1">
      <c r="A87" s="857" t="s">
        <v>1957</v>
      </c>
      <c r="B87" s="595">
        <v>45727</v>
      </c>
      <c r="C87" s="595">
        <v>45725</v>
      </c>
      <c r="D87" t="s">
        <v>1671</v>
      </c>
      <c r="E87">
        <f>_xlfn.XLOOKUP(D87,RUC!$B$3:$B$123,RUC!$D$3:$D$123)</f>
        <v>20517242919</v>
      </c>
      <c r="G87" s="80">
        <v>43</v>
      </c>
      <c r="H87" t="s">
        <v>69</v>
      </c>
      <c r="I87" s="596">
        <v>4.12</v>
      </c>
      <c r="J87" s="596">
        <v>2.2000000000000002</v>
      </c>
      <c r="K87" s="138">
        <f t="shared" si="48"/>
        <v>4.0293600000000005</v>
      </c>
      <c r="L87" s="139">
        <v>0.14799999999999999</v>
      </c>
      <c r="M87" s="139">
        <v>0.14599999999999999</v>
      </c>
      <c r="N87" s="159">
        <v>0.14599999999999999</v>
      </c>
      <c r="O87" s="645">
        <f t="shared" si="49"/>
        <v>0.14599999999999999</v>
      </c>
      <c r="P87" s="727">
        <v>85</v>
      </c>
      <c r="Q87" s="596">
        <v>90.13</v>
      </c>
      <c r="R87" s="706">
        <v>2910.2</v>
      </c>
      <c r="S87" s="802">
        <v>95</v>
      </c>
      <c r="U87" s="1091">
        <v>80</v>
      </c>
      <c r="V87" s="715">
        <v>1.1023000000000001</v>
      </c>
      <c r="Z87" s="1034">
        <v>10</v>
      </c>
      <c r="AA87" s="144">
        <f t="shared" si="50"/>
        <v>10</v>
      </c>
      <c r="AB87" s="145">
        <f t="shared" si="43"/>
        <v>271.41692598599991</v>
      </c>
      <c r="AC87" s="145">
        <f>+(S87-T87)*V87-'data 1'!$F$4</f>
        <v>24.718500000000006</v>
      </c>
      <c r="AD87" s="145">
        <f t="shared" si="51"/>
        <v>23.686233952103979</v>
      </c>
      <c r="AE87" s="145">
        <f t="shared" si="52"/>
        <v>-58.977000000000004</v>
      </c>
      <c r="AF87" s="145">
        <f t="shared" si="53"/>
        <v>5.6236243245960047</v>
      </c>
      <c r="AG87" s="772">
        <f t="shared" si="47"/>
        <v>65.051358276699986</v>
      </c>
      <c r="AH87" s="146">
        <f t="shared" si="54"/>
        <v>18.427916111064878</v>
      </c>
      <c r="AI87" s="156">
        <f t="shared" si="55"/>
        <v>27.907896390296024</v>
      </c>
      <c r="AJ87" s="156">
        <f t="shared" si="56"/>
        <v>17.144188045069669</v>
      </c>
      <c r="AK87" s="88"/>
      <c r="AL87" s="716">
        <f t="shared" si="57"/>
        <v>1093.6365048909488</v>
      </c>
    </row>
    <row r="88" spans="1:38" ht="15" customHeight="1">
      <c r="B88" s="595"/>
      <c r="C88" s="595"/>
      <c r="G88" s="80"/>
      <c r="L88" s="139"/>
      <c r="M88" s="139"/>
      <c r="N88" s="159"/>
      <c r="R88" s="706"/>
    </row>
    <row r="89" spans="1:38" ht="15" customHeight="1">
      <c r="B89" s="595"/>
      <c r="C89" s="595"/>
      <c r="G89" s="80"/>
      <c r="L89" s="139"/>
      <c r="M89" s="139"/>
      <c r="N89" s="159"/>
      <c r="R89" s="706"/>
    </row>
    <row r="90" spans="1:38" ht="15" customHeight="1">
      <c r="B90" s="595"/>
      <c r="C90" s="595"/>
      <c r="G90" s="80"/>
      <c r="L90" s="139"/>
      <c r="M90" s="139"/>
      <c r="N90" s="159"/>
      <c r="R90" s="706"/>
    </row>
    <row r="91" spans="1:38" ht="15" customHeight="1">
      <c r="B91" s="595"/>
      <c r="C91" s="595"/>
      <c r="G91" s="80"/>
      <c r="L91" s="139"/>
      <c r="M91" s="139"/>
      <c r="N91" s="159"/>
      <c r="R91" s="706"/>
    </row>
    <row r="92" spans="1:38" ht="15" customHeight="1">
      <c r="B92" s="595"/>
      <c r="C92" s="595"/>
      <c r="G92" s="80"/>
      <c r="L92" s="139"/>
      <c r="M92" s="139"/>
      <c r="N92" s="159"/>
      <c r="R92" s="706"/>
    </row>
    <row r="93" spans="1:38" ht="15" customHeight="1">
      <c r="B93" s="595"/>
      <c r="C93" s="595"/>
      <c r="G93" s="80"/>
      <c r="L93" s="139"/>
      <c r="M93" s="139"/>
      <c r="N93" s="159"/>
      <c r="R93" s="706"/>
    </row>
    <row r="94" spans="1:38" ht="15" customHeight="1">
      <c r="B94" s="595"/>
      <c r="C94" s="595"/>
      <c r="G94" s="80"/>
      <c r="L94" s="139"/>
      <c r="M94" s="139"/>
      <c r="N94" s="159"/>
      <c r="R94" s="706"/>
    </row>
    <row r="95" spans="1:38" ht="15" customHeight="1">
      <c r="B95" s="595"/>
      <c r="C95" s="595"/>
      <c r="G95" s="80"/>
      <c r="L95" s="139"/>
      <c r="M95" s="139"/>
      <c r="N95" s="159"/>
      <c r="R95" s="706"/>
    </row>
    <row r="96" spans="1:38" ht="15" customHeight="1">
      <c r="B96" s="595"/>
      <c r="C96" s="595"/>
      <c r="G96" s="80"/>
      <c r="L96" s="139"/>
      <c r="M96" s="139"/>
      <c r="N96" s="159"/>
      <c r="R96" s="706"/>
    </row>
    <row r="97" spans="2:18" ht="15" customHeight="1">
      <c r="B97" s="595"/>
      <c r="C97" s="595"/>
      <c r="G97" s="80"/>
      <c r="L97" s="139"/>
      <c r="M97" s="139"/>
      <c r="N97" s="159"/>
      <c r="R97" s="706"/>
    </row>
    <row r="98" spans="2:18" ht="15" customHeight="1">
      <c r="B98" s="595"/>
      <c r="C98" s="595"/>
      <c r="G98" s="80"/>
      <c r="L98" s="139"/>
      <c r="M98" s="139"/>
      <c r="N98" s="159"/>
      <c r="R98" s="706"/>
    </row>
    <row r="99" spans="2:18" ht="15" customHeight="1">
      <c r="B99" s="595"/>
      <c r="C99" s="595"/>
      <c r="G99" s="80"/>
      <c r="L99" s="139"/>
      <c r="M99" s="139"/>
      <c r="N99" s="159"/>
      <c r="R99" s="706"/>
    </row>
    <row r="100" spans="2:18" ht="15" customHeight="1">
      <c r="B100" s="595"/>
      <c r="C100" s="595"/>
      <c r="G100" s="80"/>
      <c r="L100" s="139"/>
      <c r="M100" s="139"/>
      <c r="N100" s="159"/>
      <c r="R100" s="706"/>
    </row>
    <row r="101" spans="2:18" ht="15" customHeight="1">
      <c r="B101" s="595"/>
      <c r="C101" s="595"/>
      <c r="G101" s="80"/>
      <c r="L101" s="139"/>
      <c r="M101" s="139"/>
      <c r="N101" s="159"/>
      <c r="R101" s="706"/>
    </row>
    <row r="102" spans="2:18" ht="15" customHeight="1">
      <c r="B102" s="595"/>
      <c r="C102" s="595"/>
      <c r="G102" s="80"/>
      <c r="L102" s="139"/>
      <c r="M102" s="139"/>
      <c r="N102" s="159"/>
      <c r="R102" s="706"/>
    </row>
    <row r="103" spans="2:18" ht="15" customHeight="1">
      <c r="B103" s="595"/>
      <c r="C103" s="595"/>
      <c r="G103" s="80"/>
      <c r="L103" s="139"/>
      <c r="M103" s="139"/>
      <c r="N103" s="159"/>
      <c r="R103" s="706"/>
    </row>
    <row r="104" spans="2:18" ht="15" customHeight="1">
      <c r="B104" s="595"/>
      <c r="C104" s="595"/>
      <c r="G104" s="80"/>
      <c r="L104" s="139"/>
      <c r="M104" s="139"/>
      <c r="N104" s="159"/>
      <c r="R104" s="706"/>
    </row>
    <row r="105" spans="2:18" ht="15" customHeight="1">
      <c r="B105" s="595"/>
      <c r="C105" s="595"/>
      <c r="G105" s="80"/>
      <c r="L105" s="139"/>
      <c r="M105" s="139"/>
      <c r="N105" s="159"/>
      <c r="R105" s="706"/>
    </row>
    <row r="106" spans="2:18" ht="15" customHeight="1">
      <c r="B106" s="595"/>
      <c r="C106" s="595"/>
      <c r="G106" s="80"/>
      <c r="L106" s="139"/>
      <c r="M106" s="139"/>
      <c r="N106" s="159"/>
      <c r="R106" s="706"/>
    </row>
    <row r="107" spans="2:18" ht="15" customHeight="1">
      <c r="B107" s="595"/>
      <c r="C107" s="595"/>
      <c r="G107" s="80"/>
      <c r="L107" s="139"/>
      <c r="M107" s="139"/>
      <c r="N107" s="159"/>
      <c r="R107" s="706"/>
    </row>
    <row r="108" spans="2:18" ht="15" customHeight="1">
      <c r="B108" s="595"/>
      <c r="C108" s="595"/>
      <c r="G108" s="80"/>
      <c r="L108" s="139"/>
      <c r="M108" s="139"/>
      <c r="N108" s="159"/>
      <c r="R108" s="706"/>
    </row>
    <row r="109" spans="2:18" ht="15" customHeight="1">
      <c r="B109" s="595"/>
      <c r="C109" s="595"/>
      <c r="G109" s="80"/>
      <c r="L109" s="139"/>
      <c r="M109" s="139"/>
      <c r="N109" s="159"/>
      <c r="R109" s="706"/>
    </row>
    <row r="110" spans="2:18" ht="15" customHeight="1">
      <c r="B110" s="595"/>
      <c r="C110" s="595"/>
      <c r="G110" s="80"/>
      <c r="L110" s="139"/>
      <c r="M110" s="139"/>
      <c r="N110" s="159"/>
      <c r="R110" s="706"/>
    </row>
    <row r="111" spans="2:18" ht="15" customHeight="1">
      <c r="B111" s="595"/>
      <c r="C111" s="595"/>
      <c r="G111" s="80"/>
      <c r="L111" s="139"/>
      <c r="M111" s="139"/>
      <c r="N111" s="159"/>
      <c r="R111" s="706"/>
    </row>
    <row r="112" spans="2:18" ht="15" customHeight="1">
      <c r="B112" s="595"/>
      <c r="C112" s="595"/>
      <c r="G112" s="80"/>
      <c r="L112" s="139"/>
      <c r="M112" s="139"/>
      <c r="N112" s="159"/>
      <c r="R112" s="706"/>
    </row>
    <row r="113" spans="2:18" ht="15" customHeight="1">
      <c r="B113" s="595"/>
      <c r="C113" s="595"/>
      <c r="G113" s="80"/>
      <c r="L113" s="139"/>
      <c r="M113" s="139"/>
      <c r="N113" s="159"/>
      <c r="R113" s="706"/>
    </row>
    <row r="114" spans="2:18" ht="15" customHeight="1">
      <c r="B114" s="595"/>
      <c r="C114" s="595"/>
      <c r="G114" s="80"/>
      <c r="L114" s="139"/>
      <c r="M114" s="139"/>
      <c r="N114" s="159"/>
      <c r="R114" s="706"/>
    </row>
    <row r="115" spans="2:18" ht="15" customHeight="1">
      <c r="B115" s="595"/>
      <c r="C115" s="595"/>
      <c r="G115" s="80"/>
      <c r="L115" s="139"/>
      <c r="M115" s="139"/>
      <c r="N115" s="159"/>
      <c r="R115" s="706"/>
    </row>
    <row r="116" spans="2:18" ht="15" customHeight="1">
      <c r="B116" s="595"/>
      <c r="C116" s="595"/>
      <c r="G116" s="80"/>
      <c r="L116" s="139"/>
      <c r="M116" s="139"/>
      <c r="N116" s="159"/>
      <c r="R116" s="706"/>
    </row>
    <row r="117" spans="2:18" ht="15" customHeight="1">
      <c r="B117" s="595"/>
      <c r="C117" s="595"/>
      <c r="G117" s="80"/>
      <c r="L117" s="139"/>
      <c r="M117" s="139"/>
      <c r="N117" s="159"/>
      <c r="R117" s="706"/>
    </row>
    <row r="118" spans="2:18" ht="15" customHeight="1">
      <c r="B118" s="595"/>
      <c r="C118" s="595"/>
      <c r="G118" s="80"/>
      <c r="L118" s="139"/>
      <c r="M118" s="139"/>
      <c r="N118" s="159"/>
      <c r="R118" s="706"/>
    </row>
    <row r="119" spans="2:18" ht="15" customHeight="1">
      <c r="B119" s="595"/>
      <c r="C119" s="595"/>
      <c r="G119" s="80"/>
      <c r="L119" s="139"/>
      <c r="M119" s="139"/>
      <c r="N119" s="159"/>
      <c r="R119" s="706"/>
    </row>
    <row r="120" spans="2:18" ht="15" customHeight="1">
      <c r="B120" s="595"/>
      <c r="C120" s="595"/>
      <c r="G120" s="80"/>
      <c r="L120" s="139"/>
      <c r="M120" s="139"/>
      <c r="N120" s="159"/>
      <c r="R120" s="706"/>
    </row>
    <row r="121" spans="2:18" ht="15" customHeight="1">
      <c r="B121" s="595"/>
      <c r="C121" s="595"/>
      <c r="G121" s="80"/>
      <c r="L121" s="139"/>
      <c r="M121" s="139"/>
      <c r="N121" s="159"/>
      <c r="R121" s="706"/>
    </row>
    <row r="122" spans="2:18" ht="15" customHeight="1">
      <c r="B122" s="595"/>
      <c r="C122" s="595"/>
      <c r="G122" s="80"/>
      <c r="L122" s="139"/>
      <c r="M122" s="139"/>
      <c r="N122" s="159"/>
      <c r="R122" s="706"/>
    </row>
    <row r="123" spans="2:18" ht="15" customHeight="1">
      <c r="B123" s="595"/>
      <c r="C123" s="595"/>
      <c r="G123" s="80"/>
      <c r="L123" s="139"/>
      <c r="M123" s="139"/>
      <c r="N123" s="159"/>
      <c r="R123" s="706"/>
    </row>
    <row r="124" spans="2:18" ht="15" customHeight="1">
      <c r="B124" s="595"/>
      <c r="C124" s="595"/>
      <c r="G124" s="80"/>
      <c r="L124" s="139"/>
      <c r="M124" s="139"/>
      <c r="N124" s="159"/>
      <c r="R124" s="706"/>
    </row>
    <row r="125" spans="2:18" ht="15" customHeight="1">
      <c r="B125" s="595"/>
      <c r="C125" s="595"/>
      <c r="G125" s="80"/>
      <c r="L125" s="139"/>
      <c r="M125" s="139"/>
      <c r="N125" s="159"/>
      <c r="R125" s="706"/>
    </row>
    <row r="126" spans="2:18" ht="15" customHeight="1">
      <c r="B126" s="595"/>
      <c r="C126" s="595"/>
      <c r="G126" s="80"/>
      <c r="L126" s="139"/>
      <c r="M126" s="139"/>
      <c r="N126" s="159"/>
      <c r="R126" s="706"/>
    </row>
    <row r="127" spans="2:18" ht="15" customHeight="1">
      <c r="B127" s="595"/>
      <c r="C127" s="595"/>
      <c r="G127" s="80"/>
      <c r="L127" s="139"/>
      <c r="M127" s="139"/>
      <c r="N127" s="159"/>
      <c r="R127" s="706"/>
    </row>
    <row r="128" spans="2:18" ht="15" customHeight="1">
      <c r="B128" s="595"/>
      <c r="C128" s="595"/>
      <c r="G128" s="80"/>
      <c r="L128" s="139"/>
      <c r="M128" s="139"/>
      <c r="N128" s="159"/>
      <c r="R128" s="706"/>
    </row>
    <row r="129" spans="2:18" ht="15" customHeight="1">
      <c r="B129" s="595"/>
      <c r="C129" s="595"/>
      <c r="G129" s="80"/>
      <c r="L129" s="139"/>
      <c r="M129" s="139"/>
      <c r="N129" s="159"/>
      <c r="R129" s="706"/>
    </row>
    <row r="130" spans="2:18" ht="15" customHeight="1">
      <c r="B130" s="595"/>
      <c r="C130" s="595"/>
      <c r="G130" s="80"/>
      <c r="L130" s="139"/>
      <c r="M130" s="139"/>
      <c r="N130" s="159"/>
      <c r="R130" s="706"/>
    </row>
    <row r="131" spans="2:18" ht="15" customHeight="1">
      <c r="B131" s="595"/>
      <c r="C131" s="595"/>
      <c r="G131" s="80"/>
      <c r="L131" s="139"/>
      <c r="M131" s="139"/>
      <c r="N131" s="159"/>
      <c r="R131" s="706"/>
    </row>
    <row r="132" spans="2:18" ht="15" customHeight="1">
      <c r="B132" s="595"/>
      <c r="C132" s="595"/>
      <c r="G132" s="80"/>
      <c r="L132" s="139"/>
      <c r="M132" s="139"/>
      <c r="N132" s="159"/>
      <c r="R132" s="706"/>
    </row>
    <row r="133" spans="2:18" ht="15" customHeight="1">
      <c r="B133" s="595"/>
      <c r="C133" s="595"/>
      <c r="G133" s="80"/>
      <c r="L133" s="139"/>
      <c r="M133" s="139"/>
      <c r="N133" s="159"/>
      <c r="R133" s="706"/>
    </row>
    <row r="134" spans="2:18" ht="15" customHeight="1">
      <c r="B134" s="595"/>
      <c r="C134" s="595"/>
      <c r="G134" s="80"/>
      <c r="L134" s="139"/>
      <c r="M134" s="139"/>
      <c r="N134" s="159"/>
      <c r="R134" s="706"/>
    </row>
    <row r="135" spans="2:18" ht="15" customHeight="1">
      <c r="B135" s="595"/>
      <c r="C135" s="595"/>
      <c r="G135" s="80"/>
      <c r="L135" s="139"/>
      <c r="M135" s="139"/>
      <c r="N135" s="159"/>
      <c r="R135" s="706"/>
    </row>
    <row r="136" spans="2:18" ht="15" customHeight="1">
      <c r="B136" s="595"/>
      <c r="C136" s="595"/>
      <c r="G136" s="80"/>
      <c r="L136" s="139"/>
      <c r="M136" s="139"/>
      <c r="N136" s="159"/>
      <c r="R136" s="706"/>
    </row>
    <row r="137" spans="2:18" ht="15" customHeight="1">
      <c r="B137" s="595"/>
      <c r="C137" s="595"/>
      <c r="G137" s="80"/>
      <c r="L137" s="139"/>
      <c r="M137" s="139"/>
      <c r="N137" s="159"/>
      <c r="R137" s="706"/>
    </row>
    <row r="138" spans="2:18" ht="15" customHeight="1">
      <c r="B138" s="595"/>
      <c r="C138" s="595"/>
      <c r="G138" s="80"/>
      <c r="L138" s="139"/>
      <c r="M138" s="139"/>
      <c r="N138" s="159"/>
      <c r="R138" s="706"/>
    </row>
    <row r="139" spans="2:18" ht="15" customHeight="1">
      <c r="B139" s="595"/>
      <c r="C139" s="595"/>
      <c r="G139" s="80"/>
      <c r="L139" s="139"/>
      <c r="M139" s="139"/>
      <c r="N139" s="159"/>
      <c r="R139" s="706"/>
    </row>
    <row r="140" spans="2:18" ht="15" customHeight="1">
      <c r="B140" s="595"/>
      <c r="C140" s="595"/>
      <c r="G140" s="80"/>
      <c r="L140" s="139"/>
      <c r="M140" s="139"/>
      <c r="N140" s="159"/>
      <c r="R140" s="706"/>
    </row>
    <row r="141" spans="2:18" ht="15" customHeight="1">
      <c r="B141" s="595"/>
      <c r="C141" s="595"/>
      <c r="G141" s="80"/>
      <c r="L141" s="139"/>
      <c r="M141" s="139"/>
      <c r="N141" s="159"/>
      <c r="R141" s="706"/>
    </row>
    <row r="142" spans="2:18" ht="15" customHeight="1">
      <c r="B142" s="595"/>
      <c r="C142" s="595"/>
      <c r="G142" s="80"/>
      <c r="L142" s="139"/>
      <c r="M142" s="139"/>
      <c r="N142" s="159"/>
      <c r="R142" s="706"/>
    </row>
    <row r="143" spans="2:18" ht="15" customHeight="1">
      <c r="B143" s="595"/>
      <c r="C143" s="595"/>
      <c r="G143" s="80"/>
      <c r="L143" s="139"/>
      <c r="M143" s="139"/>
      <c r="N143" s="159"/>
      <c r="R143" s="706"/>
    </row>
    <row r="144" spans="2:18" ht="15" customHeight="1">
      <c r="B144" s="595"/>
      <c r="C144" s="595"/>
      <c r="G144" s="80"/>
      <c r="L144" s="139"/>
      <c r="M144" s="139"/>
      <c r="N144" s="159"/>
      <c r="R144" s="706"/>
    </row>
    <row r="145" spans="2:18" ht="15" customHeight="1">
      <c r="B145" s="595"/>
      <c r="C145" s="595"/>
      <c r="G145" s="80"/>
      <c r="L145" s="139"/>
      <c r="M145" s="139"/>
      <c r="N145" s="159"/>
      <c r="R145" s="706"/>
    </row>
    <row r="146" spans="2:18" ht="15" customHeight="1">
      <c r="B146" s="595"/>
      <c r="C146" s="595"/>
      <c r="G146" s="80"/>
      <c r="L146" s="139"/>
      <c r="M146" s="139"/>
      <c r="N146" s="159"/>
      <c r="R146" s="706"/>
    </row>
    <row r="147" spans="2:18" ht="15" customHeight="1">
      <c r="B147" s="595"/>
      <c r="C147" s="595"/>
      <c r="G147" s="80"/>
      <c r="L147" s="139"/>
      <c r="M147" s="139"/>
      <c r="N147" s="159"/>
      <c r="R147" s="706"/>
    </row>
    <row r="148" spans="2:18" ht="15" customHeight="1">
      <c r="B148" s="595"/>
      <c r="C148" s="595"/>
      <c r="G148" s="80"/>
      <c r="L148" s="139"/>
      <c r="M148" s="139"/>
      <c r="N148" s="159"/>
      <c r="R148" s="706"/>
    </row>
    <row r="149" spans="2:18" ht="15" customHeight="1">
      <c r="B149" s="595"/>
      <c r="C149" s="595"/>
      <c r="G149" s="80"/>
      <c r="L149" s="139"/>
      <c r="M149" s="139"/>
      <c r="N149" s="159"/>
      <c r="R149" s="706"/>
    </row>
    <row r="150" spans="2:18" ht="15" customHeight="1">
      <c r="B150" s="595"/>
      <c r="C150" s="595"/>
      <c r="G150" s="80"/>
      <c r="L150" s="139"/>
      <c r="M150" s="139"/>
      <c r="N150" s="159"/>
      <c r="R150" s="706"/>
    </row>
    <row r="151" spans="2:18" ht="15" customHeight="1">
      <c r="B151" s="595"/>
      <c r="C151" s="595"/>
      <c r="G151" s="80"/>
      <c r="L151" s="139"/>
      <c r="M151" s="139"/>
      <c r="N151" s="159"/>
      <c r="R151" s="706"/>
    </row>
    <row r="152" spans="2:18" ht="15" customHeight="1">
      <c r="B152" s="595"/>
      <c r="C152" s="595"/>
      <c r="G152" s="80"/>
      <c r="L152" s="139"/>
      <c r="M152" s="139"/>
      <c r="N152" s="159"/>
      <c r="R152" s="706"/>
    </row>
    <row r="153" spans="2:18" ht="15" customHeight="1">
      <c r="B153" s="595"/>
      <c r="C153" s="595"/>
      <c r="G153" s="80"/>
      <c r="L153" s="139"/>
      <c r="M153" s="139"/>
      <c r="N153" s="159"/>
      <c r="R153" s="706"/>
    </row>
    <row r="154" spans="2:18" ht="15" customHeight="1">
      <c r="B154" s="595"/>
      <c r="C154" s="595"/>
      <c r="G154" s="80"/>
      <c r="L154" s="139"/>
      <c r="M154" s="139"/>
      <c r="N154" s="159"/>
      <c r="R154" s="706"/>
    </row>
    <row r="155" spans="2:18" ht="15" customHeight="1">
      <c r="B155" s="595"/>
      <c r="C155" s="595"/>
      <c r="G155" s="80"/>
      <c r="L155" s="139"/>
      <c r="M155" s="139"/>
      <c r="N155" s="159"/>
      <c r="R155" s="706"/>
    </row>
    <row r="156" spans="2:18" ht="15" customHeight="1">
      <c r="B156" s="595"/>
      <c r="C156" s="595"/>
      <c r="G156" s="80"/>
      <c r="L156" s="139"/>
      <c r="M156" s="139"/>
      <c r="N156" s="159"/>
      <c r="R156" s="706"/>
    </row>
    <row r="157" spans="2:18" ht="15" customHeight="1">
      <c r="B157" s="595"/>
      <c r="C157" s="595"/>
      <c r="G157" s="80"/>
      <c r="L157" s="139"/>
      <c r="M157" s="139"/>
      <c r="N157" s="159"/>
      <c r="R157" s="706"/>
    </row>
    <row r="158" spans="2:18" ht="15" customHeight="1">
      <c r="B158" s="595"/>
      <c r="C158" s="595"/>
      <c r="G158" s="80"/>
      <c r="L158" s="139"/>
      <c r="M158" s="139"/>
      <c r="N158" s="159"/>
      <c r="R158" s="706"/>
    </row>
    <row r="159" spans="2:18" ht="15" customHeight="1">
      <c r="B159" s="595"/>
      <c r="C159" s="595"/>
      <c r="G159" s="80"/>
      <c r="L159" s="139"/>
      <c r="M159" s="139"/>
      <c r="N159" s="159"/>
      <c r="R159" s="706"/>
    </row>
    <row r="160" spans="2:18" ht="15" customHeight="1">
      <c r="B160" s="595"/>
      <c r="C160" s="595"/>
      <c r="G160" s="80"/>
      <c r="L160" s="139"/>
      <c r="M160" s="139"/>
      <c r="N160" s="159"/>
      <c r="R160" s="706"/>
    </row>
    <row r="161" spans="2:18" ht="15" customHeight="1">
      <c r="B161" s="595"/>
      <c r="C161" s="595"/>
      <c r="G161" s="80"/>
      <c r="L161" s="139"/>
      <c r="M161" s="139"/>
      <c r="N161" s="159"/>
      <c r="R161" s="706"/>
    </row>
    <row r="162" spans="2:18" ht="15" customHeight="1">
      <c r="B162" s="595"/>
      <c r="C162" s="595"/>
      <c r="G162" s="80"/>
      <c r="L162" s="139"/>
      <c r="M162" s="139"/>
      <c r="N162" s="159"/>
      <c r="R162" s="706"/>
    </row>
    <row r="163" spans="2:18" ht="15" customHeight="1">
      <c r="B163" s="595"/>
      <c r="C163" s="595"/>
      <c r="G163" s="80"/>
      <c r="L163" s="139"/>
      <c r="M163" s="139"/>
      <c r="N163" s="159"/>
      <c r="R163" s="706"/>
    </row>
    <row r="164" spans="2:18" ht="15" customHeight="1">
      <c r="B164" s="595"/>
      <c r="C164" s="595"/>
      <c r="G164" s="80"/>
      <c r="L164" s="139"/>
      <c r="M164" s="139"/>
      <c r="N164" s="159"/>
      <c r="R164" s="706"/>
    </row>
    <row r="165" spans="2:18" ht="15" customHeight="1">
      <c r="B165" s="595"/>
      <c r="C165" s="595"/>
      <c r="G165" s="80"/>
      <c r="L165" s="139"/>
      <c r="M165" s="139"/>
      <c r="N165" s="159"/>
      <c r="R165" s="706"/>
    </row>
    <row r="166" spans="2:18" ht="15" customHeight="1">
      <c r="B166" s="595"/>
      <c r="C166" s="595"/>
      <c r="G166" s="80"/>
      <c r="L166" s="139"/>
      <c r="M166" s="139"/>
      <c r="N166" s="159"/>
      <c r="R166" s="706"/>
    </row>
    <row r="167" spans="2:18" ht="15" customHeight="1">
      <c r="B167" s="595"/>
      <c r="C167" s="595"/>
      <c r="G167" s="80"/>
      <c r="L167" s="139"/>
      <c r="M167" s="139"/>
      <c r="N167" s="159"/>
      <c r="R167" s="706"/>
    </row>
    <row r="168" spans="2:18" ht="15" customHeight="1">
      <c r="B168" s="595"/>
      <c r="C168" s="595"/>
      <c r="G168" s="80"/>
      <c r="L168" s="139"/>
      <c r="M168" s="139"/>
      <c r="N168" s="159"/>
      <c r="R168" s="706"/>
    </row>
    <row r="169" spans="2:18" ht="15" customHeight="1">
      <c r="B169" s="595"/>
      <c r="C169" s="595"/>
      <c r="G169" s="80"/>
      <c r="L169" s="139"/>
      <c r="M169" s="139"/>
      <c r="N169" s="159"/>
      <c r="R169" s="706"/>
    </row>
    <row r="170" spans="2:18" ht="15" customHeight="1">
      <c r="B170" s="595"/>
      <c r="C170" s="595"/>
      <c r="G170" s="80"/>
      <c r="L170" s="139"/>
      <c r="M170" s="139"/>
      <c r="N170" s="159"/>
      <c r="R170" s="706"/>
    </row>
    <row r="171" spans="2:18" ht="15" customHeight="1">
      <c r="B171" s="595"/>
      <c r="C171" s="595"/>
      <c r="G171" s="80"/>
      <c r="L171" s="139"/>
      <c r="M171" s="139"/>
      <c r="N171" s="159"/>
      <c r="R171" s="706"/>
    </row>
    <row r="172" spans="2:18" ht="15" customHeight="1">
      <c r="B172" s="595"/>
      <c r="C172" s="595"/>
      <c r="G172" s="80"/>
      <c r="L172" s="139"/>
      <c r="M172" s="139"/>
      <c r="N172" s="159"/>
      <c r="R172" s="706"/>
    </row>
    <row r="173" spans="2:18" ht="15" customHeight="1">
      <c r="B173" s="595"/>
      <c r="C173" s="595"/>
      <c r="G173" s="80"/>
      <c r="L173" s="139"/>
      <c r="M173" s="139"/>
      <c r="N173" s="159"/>
      <c r="R173" s="706"/>
    </row>
    <row r="174" spans="2:18" ht="15" customHeight="1">
      <c r="B174" s="595"/>
      <c r="C174" s="595"/>
      <c r="G174" s="80"/>
      <c r="L174" s="139"/>
      <c r="M174" s="139"/>
      <c r="N174" s="159"/>
      <c r="R174" s="706"/>
    </row>
    <row r="175" spans="2:18" ht="15" customHeight="1">
      <c r="B175" s="595"/>
      <c r="C175" s="595"/>
      <c r="G175" s="80"/>
      <c r="L175" s="139"/>
      <c r="M175" s="139"/>
      <c r="N175" s="159"/>
      <c r="R175" s="706"/>
    </row>
    <row r="176" spans="2:18" ht="15" customHeight="1">
      <c r="B176" s="595"/>
      <c r="C176" s="595"/>
      <c r="G176" s="80"/>
      <c r="L176" s="139"/>
      <c r="M176" s="139"/>
      <c r="N176" s="159"/>
      <c r="R176" s="706"/>
    </row>
    <row r="177" spans="2:18" ht="15" customHeight="1">
      <c r="B177" s="595"/>
      <c r="C177" s="595"/>
      <c r="G177" s="80"/>
      <c r="L177" s="139"/>
      <c r="M177" s="139"/>
      <c r="N177" s="159"/>
      <c r="R177" s="706"/>
    </row>
    <row r="178" spans="2:18" ht="15" customHeight="1">
      <c r="B178" s="595"/>
      <c r="C178" s="595"/>
      <c r="G178" s="80"/>
      <c r="L178" s="139"/>
      <c r="M178" s="139"/>
      <c r="N178" s="159"/>
      <c r="R178" s="706"/>
    </row>
    <row r="179" spans="2:18" ht="15" customHeight="1">
      <c r="B179" s="595"/>
      <c r="C179" s="595"/>
      <c r="G179" s="80"/>
      <c r="L179" s="139"/>
      <c r="M179" s="139"/>
      <c r="N179" s="159"/>
      <c r="R179" s="706"/>
    </row>
    <row r="180" spans="2:18" ht="15" customHeight="1">
      <c r="B180" s="595"/>
      <c r="C180" s="595"/>
      <c r="G180" s="80"/>
      <c r="L180" s="139"/>
      <c r="M180" s="139"/>
      <c r="N180" s="159"/>
      <c r="R180" s="706"/>
    </row>
    <row r="181" spans="2:18" ht="15" customHeight="1">
      <c r="B181" s="595"/>
      <c r="C181" s="595"/>
      <c r="G181" s="80"/>
      <c r="L181" s="139"/>
      <c r="M181" s="139"/>
      <c r="N181" s="159"/>
      <c r="R181" s="706"/>
    </row>
    <row r="182" spans="2:18" ht="15" customHeight="1">
      <c r="B182" s="595"/>
      <c r="C182" s="595"/>
      <c r="G182" s="80"/>
      <c r="L182" s="139"/>
      <c r="M182" s="139"/>
      <c r="N182" s="159"/>
      <c r="R182" s="706"/>
    </row>
    <row r="183" spans="2:18" ht="15" customHeight="1">
      <c r="B183" s="595"/>
      <c r="C183" s="595"/>
      <c r="G183" s="80"/>
      <c r="L183" s="139"/>
      <c r="M183" s="139"/>
      <c r="N183" s="159"/>
      <c r="R183" s="706"/>
    </row>
    <row r="184" spans="2:18" ht="15" customHeight="1">
      <c r="B184" s="595"/>
      <c r="C184" s="595"/>
      <c r="G184" s="80"/>
      <c r="L184" s="139"/>
      <c r="M184" s="139"/>
      <c r="N184" s="159"/>
      <c r="R184" s="706"/>
    </row>
    <row r="185" spans="2:18" ht="15" customHeight="1">
      <c r="B185" s="595"/>
      <c r="C185" s="595"/>
      <c r="G185" s="80"/>
      <c r="L185" s="139"/>
      <c r="M185" s="139"/>
      <c r="N185" s="159"/>
      <c r="R185" s="706"/>
    </row>
    <row r="186" spans="2:18" ht="15" customHeight="1">
      <c r="B186" s="595"/>
      <c r="C186" s="595"/>
      <c r="G186" s="80"/>
      <c r="L186" s="139"/>
      <c r="M186" s="139"/>
      <c r="N186" s="159"/>
      <c r="R186" s="706"/>
    </row>
    <row r="187" spans="2:18" ht="15" customHeight="1">
      <c r="B187" s="595"/>
      <c r="C187" s="595"/>
      <c r="G187" s="80"/>
      <c r="L187" s="139"/>
      <c r="M187" s="139"/>
      <c r="N187" s="159"/>
      <c r="R187" s="706"/>
    </row>
    <row r="188" spans="2:18" ht="15" customHeight="1">
      <c r="B188" s="595"/>
      <c r="C188" s="595"/>
      <c r="G188" s="80"/>
      <c r="L188" s="139"/>
      <c r="M188" s="139"/>
      <c r="N188" s="159"/>
      <c r="R188" s="706"/>
    </row>
    <row r="189" spans="2:18" ht="15" customHeight="1">
      <c r="B189" s="595"/>
      <c r="C189" s="595"/>
      <c r="G189" s="80"/>
      <c r="L189" s="139"/>
      <c r="M189" s="139"/>
      <c r="N189" s="159"/>
      <c r="R189" s="706"/>
    </row>
    <row r="190" spans="2:18" ht="15" customHeight="1">
      <c r="B190" s="595"/>
      <c r="C190" s="595"/>
      <c r="G190" s="80"/>
      <c r="L190" s="139"/>
      <c r="M190" s="139"/>
      <c r="N190" s="159"/>
      <c r="R190" s="706"/>
    </row>
    <row r="191" spans="2:18" ht="15" customHeight="1">
      <c r="B191" s="595"/>
      <c r="C191" s="595"/>
      <c r="G191" s="80"/>
      <c r="L191" s="139"/>
      <c r="M191" s="139"/>
      <c r="N191" s="159"/>
      <c r="R191" s="706"/>
    </row>
    <row r="192" spans="2:18" ht="15" customHeight="1">
      <c r="B192" s="595"/>
      <c r="C192" s="595"/>
      <c r="G192" s="80"/>
      <c r="L192" s="139"/>
      <c r="M192" s="139"/>
      <c r="N192" s="159"/>
      <c r="R192" s="706"/>
    </row>
    <row r="193" spans="2:18" ht="15" customHeight="1">
      <c r="B193" s="595"/>
      <c r="C193" s="595"/>
      <c r="G193" s="80"/>
      <c r="L193" s="139"/>
      <c r="M193" s="139"/>
      <c r="N193" s="159"/>
      <c r="R193" s="706"/>
    </row>
    <row r="194" spans="2:18" ht="15" customHeight="1">
      <c r="B194" s="595"/>
      <c r="C194" s="595"/>
      <c r="G194" s="80"/>
      <c r="L194" s="139"/>
      <c r="M194" s="139"/>
      <c r="N194" s="159"/>
      <c r="R194" s="706"/>
    </row>
    <row r="195" spans="2:18" ht="15" customHeight="1">
      <c r="B195" s="595"/>
      <c r="C195" s="595"/>
      <c r="G195" s="80"/>
      <c r="L195" s="139"/>
      <c r="M195" s="139"/>
      <c r="N195" s="159"/>
      <c r="R195" s="706"/>
    </row>
    <row r="196" spans="2:18" ht="15" customHeight="1">
      <c r="B196" s="595"/>
      <c r="C196" s="595"/>
      <c r="G196" s="80"/>
      <c r="L196" s="139"/>
      <c r="M196" s="139"/>
      <c r="N196" s="159"/>
      <c r="R196" s="706"/>
    </row>
    <row r="197" spans="2:18" ht="15" customHeight="1">
      <c r="B197" s="595"/>
      <c r="C197" s="595"/>
      <c r="G197" s="80"/>
      <c r="L197" s="139"/>
      <c r="M197" s="139"/>
      <c r="N197" s="159"/>
      <c r="R197" s="706"/>
    </row>
    <row r="198" spans="2:18" ht="15" customHeight="1">
      <c r="B198" s="595"/>
      <c r="C198" s="595"/>
      <c r="G198" s="80"/>
      <c r="L198" s="139"/>
      <c r="M198" s="139"/>
      <c r="N198" s="159"/>
      <c r="R198" s="706"/>
    </row>
    <row r="199" spans="2:18" ht="15" customHeight="1">
      <c r="B199" s="595"/>
      <c r="C199" s="595"/>
      <c r="G199" s="80"/>
      <c r="L199" s="139"/>
      <c r="M199" s="139"/>
      <c r="N199" s="159"/>
      <c r="R199" s="706"/>
    </row>
    <row r="200" spans="2:18" ht="15" customHeight="1">
      <c r="B200" s="595"/>
      <c r="C200" s="595"/>
      <c r="G200" s="80"/>
      <c r="L200" s="139"/>
      <c r="M200" s="139"/>
      <c r="N200" s="159"/>
      <c r="R200" s="706"/>
    </row>
    <row r="201" spans="2:18" ht="15" customHeight="1">
      <c r="B201" s="595"/>
      <c r="C201" s="595"/>
      <c r="G201" s="80"/>
      <c r="L201" s="139"/>
      <c r="M201" s="139"/>
      <c r="N201" s="159"/>
      <c r="R201" s="706"/>
    </row>
    <row r="202" spans="2:18" ht="15" customHeight="1">
      <c r="B202" s="595"/>
      <c r="C202" s="595"/>
      <c r="G202" s="80"/>
      <c r="L202" s="139"/>
      <c r="M202" s="139"/>
      <c r="N202" s="159"/>
      <c r="R202" s="706"/>
    </row>
    <row r="203" spans="2:18" ht="15" customHeight="1">
      <c r="B203" s="595"/>
      <c r="C203" s="595"/>
      <c r="G203" s="80"/>
      <c r="L203" s="139"/>
      <c r="M203" s="139"/>
      <c r="N203" s="159"/>
      <c r="R203" s="706"/>
    </row>
    <row r="204" spans="2:18" ht="15" customHeight="1">
      <c r="B204" s="595"/>
      <c r="C204" s="595"/>
      <c r="G204" s="80"/>
      <c r="L204" s="139"/>
      <c r="M204" s="139"/>
      <c r="N204" s="159"/>
      <c r="R204" s="706"/>
    </row>
    <row r="205" spans="2:18" ht="15" customHeight="1">
      <c r="B205" s="595"/>
      <c r="C205" s="595"/>
      <c r="G205" s="80"/>
      <c r="L205" s="139"/>
      <c r="M205" s="139"/>
      <c r="N205" s="159"/>
      <c r="R205" s="706"/>
    </row>
    <row r="206" spans="2:18" ht="15" customHeight="1">
      <c r="B206" s="595"/>
      <c r="C206" s="595"/>
      <c r="G206" s="80"/>
      <c r="L206" s="139"/>
      <c r="M206" s="139"/>
      <c r="N206" s="159"/>
      <c r="R206" s="706"/>
    </row>
    <row r="207" spans="2:18" ht="15" customHeight="1">
      <c r="B207" s="595"/>
      <c r="C207" s="595"/>
      <c r="G207" s="80"/>
      <c r="L207" s="139"/>
      <c r="M207" s="139"/>
      <c r="N207" s="159"/>
      <c r="R207" s="706"/>
    </row>
    <row r="208" spans="2:18" ht="15" customHeight="1">
      <c r="B208" s="595"/>
      <c r="C208" s="595"/>
      <c r="G208" s="80"/>
      <c r="L208" s="139"/>
      <c r="M208" s="139"/>
      <c r="N208" s="159"/>
      <c r="R208" s="706"/>
    </row>
    <row r="209" spans="2:18" ht="15" customHeight="1">
      <c r="B209" s="595"/>
      <c r="C209" s="595"/>
      <c r="G209" s="80"/>
      <c r="L209" s="139"/>
      <c r="M209" s="139"/>
      <c r="N209" s="159"/>
      <c r="R209" s="706"/>
    </row>
    <row r="210" spans="2:18" ht="15" customHeight="1">
      <c r="B210" s="595"/>
      <c r="C210" s="595"/>
      <c r="G210" s="80"/>
      <c r="L210" s="139"/>
      <c r="M210" s="139"/>
      <c r="N210" s="159"/>
      <c r="R210" s="706"/>
    </row>
    <row r="211" spans="2:18" ht="15" customHeight="1">
      <c r="B211" s="595"/>
      <c r="C211" s="595"/>
      <c r="G211" s="80"/>
      <c r="L211" s="139"/>
      <c r="M211" s="139"/>
      <c r="N211" s="159"/>
      <c r="R211" s="706"/>
    </row>
    <row r="212" spans="2:18" ht="15" customHeight="1">
      <c r="B212" s="595"/>
      <c r="C212" s="595"/>
      <c r="G212" s="80"/>
      <c r="L212" s="139"/>
      <c r="M212" s="139"/>
      <c r="N212" s="159"/>
      <c r="R212" s="706"/>
    </row>
    <row r="213" spans="2:18" ht="15" customHeight="1">
      <c r="B213" s="595"/>
      <c r="C213" s="595"/>
      <c r="G213" s="80"/>
      <c r="L213" s="139"/>
      <c r="M213" s="139"/>
      <c r="N213" s="159"/>
      <c r="R213" s="706"/>
    </row>
    <row r="214" spans="2:18" ht="15" customHeight="1">
      <c r="B214" s="595"/>
      <c r="C214" s="595"/>
      <c r="G214" s="80"/>
      <c r="L214" s="139"/>
      <c r="M214" s="139"/>
      <c r="N214" s="159"/>
      <c r="R214" s="706"/>
    </row>
    <row r="215" spans="2:18" ht="15" customHeight="1">
      <c r="B215" s="595"/>
      <c r="C215" s="595"/>
      <c r="G215" s="80"/>
      <c r="L215" s="139"/>
      <c r="M215" s="139"/>
      <c r="N215" s="159"/>
      <c r="R215" s="706"/>
    </row>
    <row r="216" spans="2:18" ht="15" customHeight="1">
      <c r="B216" s="595"/>
      <c r="C216" s="595"/>
      <c r="G216" s="80"/>
      <c r="L216" s="139"/>
      <c r="M216" s="139"/>
      <c r="N216" s="159"/>
      <c r="R216" s="706"/>
    </row>
    <row r="217" spans="2:18" ht="15" customHeight="1">
      <c r="B217" s="595"/>
      <c r="C217" s="595"/>
      <c r="G217" s="80"/>
      <c r="L217" s="139"/>
      <c r="M217" s="139"/>
      <c r="N217" s="159"/>
      <c r="R217" s="706"/>
    </row>
    <row r="218" spans="2:18" ht="15" customHeight="1">
      <c r="B218" s="595"/>
      <c r="C218" s="595"/>
      <c r="G218" s="80"/>
      <c r="L218" s="139"/>
      <c r="M218" s="139"/>
      <c r="N218" s="159"/>
      <c r="R218" s="706"/>
    </row>
    <row r="219" spans="2:18" ht="15" customHeight="1">
      <c r="B219" s="595"/>
      <c r="C219" s="595"/>
      <c r="G219" s="80"/>
      <c r="L219" s="139"/>
      <c r="M219" s="139"/>
      <c r="N219" s="159"/>
      <c r="R219" s="706"/>
    </row>
    <row r="220" spans="2:18" ht="15" customHeight="1">
      <c r="B220" s="595"/>
      <c r="C220" s="595"/>
      <c r="G220" s="80"/>
      <c r="L220" s="139"/>
      <c r="M220" s="139"/>
      <c r="N220" s="159"/>
      <c r="R220" s="706"/>
    </row>
    <row r="221" spans="2:18" ht="15" customHeight="1">
      <c r="B221" s="595"/>
      <c r="C221" s="595"/>
      <c r="G221" s="80"/>
      <c r="L221" s="139"/>
      <c r="M221" s="139"/>
      <c r="N221" s="159"/>
      <c r="R221" s="706"/>
    </row>
    <row r="222" spans="2:18" ht="15" customHeight="1">
      <c r="B222" s="595"/>
      <c r="C222" s="595"/>
      <c r="G222" s="80"/>
      <c r="L222" s="139"/>
      <c r="M222" s="139"/>
      <c r="N222" s="159"/>
      <c r="R222" s="706"/>
    </row>
    <row r="223" spans="2:18" ht="15" customHeight="1">
      <c r="B223" s="595"/>
      <c r="C223" s="595"/>
      <c r="G223" s="80"/>
      <c r="L223" s="139"/>
      <c r="M223" s="139"/>
      <c r="N223" s="159"/>
      <c r="R223" s="706"/>
    </row>
    <row r="224" spans="2:18" ht="15" customHeight="1">
      <c r="B224" s="595"/>
      <c r="C224" s="595"/>
      <c r="G224" s="80"/>
      <c r="L224" s="139"/>
      <c r="M224" s="139"/>
      <c r="N224" s="159"/>
      <c r="R224" s="706"/>
    </row>
    <row r="225" spans="2:18" ht="15" customHeight="1">
      <c r="B225" s="595"/>
      <c r="C225" s="595"/>
      <c r="G225" s="80"/>
      <c r="L225" s="139"/>
      <c r="M225" s="139"/>
      <c r="N225" s="159"/>
      <c r="R225" s="706"/>
    </row>
    <row r="226" spans="2:18" ht="15" customHeight="1">
      <c r="B226" s="595"/>
      <c r="C226" s="595"/>
      <c r="G226" s="80"/>
      <c r="L226" s="139"/>
      <c r="M226" s="139"/>
      <c r="N226" s="159"/>
      <c r="R226" s="706"/>
    </row>
    <row r="227" spans="2:18" ht="15" customHeight="1">
      <c r="B227" s="595"/>
      <c r="C227" s="595"/>
      <c r="G227" s="80"/>
      <c r="L227" s="139"/>
      <c r="M227" s="139"/>
      <c r="N227" s="159"/>
      <c r="R227" s="706"/>
    </row>
    <row r="228" spans="2:18" ht="15" customHeight="1">
      <c r="B228" s="595"/>
      <c r="C228" s="595"/>
      <c r="G228" s="80"/>
      <c r="L228" s="139"/>
      <c r="M228" s="139"/>
      <c r="N228" s="159"/>
      <c r="R228" s="706"/>
    </row>
    <row r="229" spans="2:18" ht="15" customHeight="1">
      <c r="B229" s="595"/>
      <c r="C229" s="595"/>
      <c r="G229" s="80"/>
      <c r="L229" s="139"/>
      <c r="M229" s="139"/>
      <c r="N229" s="159"/>
      <c r="R229" s="706"/>
    </row>
    <row r="230" spans="2:18" ht="15" customHeight="1">
      <c r="B230" s="595"/>
      <c r="C230" s="595"/>
      <c r="G230" s="80"/>
      <c r="L230" s="139"/>
      <c r="M230" s="139"/>
      <c r="N230" s="159"/>
      <c r="R230" s="706"/>
    </row>
    <row r="231" spans="2:18" ht="15" customHeight="1">
      <c r="B231" s="595"/>
      <c r="C231" s="595"/>
      <c r="G231" s="80"/>
      <c r="L231" s="139"/>
      <c r="M231" s="139"/>
      <c r="N231" s="159"/>
      <c r="R231" s="706"/>
    </row>
    <row r="232" spans="2:18" ht="15" customHeight="1">
      <c r="B232" s="595"/>
      <c r="C232" s="595"/>
      <c r="G232" s="80"/>
      <c r="L232" s="139"/>
      <c r="M232" s="139"/>
      <c r="N232" s="159"/>
      <c r="R232" s="706"/>
    </row>
    <row r="233" spans="2:18" ht="15" customHeight="1">
      <c r="B233" s="595"/>
      <c r="C233" s="595"/>
      <c r="G233" s="80"/>
      <c r="L233" s="139"/>
      <c r="M233" s="139"/>
      <c r="N233" s="159"/>
      <c r="R233" s="706"/>
    </row>
    <row r="234" spans="2:18" ht="15" customHeight="1">
      <c r="B234" s="595"/>
      <c r="C234" s="595"/>
      <c r="G234" s="80"/>
      <c r="L234" s="139"/>
      <c r="M234" s="139"/>
      <c r="N234" s="159"/>
      <c r="R234" s="706"/>
    </row>
    <row r="235" spans="2:18" ht="15" customHeight="1">
      <c r="B235" s="595"/>
      <c r="C235" s="595"/>
      <c r="G235" s="80"/>
      <c r="L235" s="139"/>
      <c r="M235" s="139"/>
      <c r="N235" s="159"/>
      <c r="R235" s="706"/>
    </row>
    <row r="236" spans="2:18" ht="15" customHeight="1">
      <c r="B236" s="595"/>
      <c r="C236" s="595"/>
      <c r="G236" s="80"/>
      <c r="L236" s="139"/>
      <c r="M236" s="139"/>
      <c r="N236" s="159"/>
      <c r="R236" s="706"/>
    </row>
    <row r="237" spans="2:18" ht="15" customHeight="1">
      <c r="B237" s="595"/>
      <c r="C237" s="595"/>
      <c r="G237" s="80"/>
      <c r="L237" s="139"/>
      <c r="M237" s="139"/>
      <c r="N237" s="159"/>
      <c r="R237" s="706"/>
    </row>
    <row r="238" spans="2:18" ht="15" customHeight="1">
      <c r="B238" s="595"/>
      <c r="C238" s="595"/>
      <c r="G238" s="80"/>
      <c r="L238" s="139"/>
      <c r="M238" s="139"/>
      <c r="N238" s="159"/>
      <c r="R238" s="706"/>
    </row>
    <row r="239" spans="2:18" ht="15" customHeight="1">
      <c r="B239" s="595"/>
      <c r="C239" s="595"/>
      <c r="G239" s="80"/>
      <c r="L239" s="139"/>
      <c r="M239" s="139"/>
      <c r="N239" s="159"/>
      <c r="R239" s="706"/>
    </row>
    <row r="240" spans="2:18" ht="15" customHeight="1">
      <c r="B240" s="595"/>
      <c r="C240" s="595"/>
      <c r="G240" s="80"/>
      <c r="L240" s="139"/>
      <c r="M240" s="139"/>
      <c r="N240" s="159"/>
      <c r="R240" s="706"/>
    </row>
    <row r="241" spans="2:18" ht="15" customHeight="1">
      <c r="B241" s="595"/>
      <c r="C241" s="595"/>
      <c r="G241" s="80"/>
      <c r="L241" s="139"/>
      <c r="M241" s="139"/>
      <c r="N241" s="159"/>
      <c r="R241" s="706"/>
    </row>
    <row r="242" spans="2:18" ht="15" customHeight="1">
      <c r="B242" s="595"/>
      <c r="C242" s="595"/>
      <c r="G242" s="80"/>
      <c r="L242" s="139"/>
      <c r="M242" s="139"/>
      <c r="N242" s="159"/>
      <c r="R242" s="706"/>
    </row>
    <row r="243" spans="2:18" ht="15" customHeight="1">
      <c r="B243" s="595"/>
      <c r="C243" s="595"/>
      <c r="G243" s="80"/>
      <c r="L243" s="139"/>
      <c r="M243" s="139"/>
      <c r="N243" s="159"/>
      <c r="R243" s="706"/>
    </row>
    <row r="244" spans="2:18" ht="15" customHeight="1">
      <c r="B244" s="595"/>
      <c r="C244" s="595"/>
      <c r="G244" s="80"/>
      <c r="L244" s="139"/>
      <c r="M244" s="139"/>
      <c r="N244" s="159"/>
      <c r="R244" s="706"/>
    </row>
    <row r="245" spans="2:18" ht="15" customHeight="1">
      <c r="B245" s="595"/>
      <c r="C245" s="595"/>
      <c r="G245" s="80"/>
      <c r="L245" s="139"/>
      <c r="M245" s="139"/>
      <c r="N245" s="159"/>
      <c r="R245" s="706"/>
    </row>
    <row r="246" spans="2:18" ht="15" customHeight="1">
      <c r="B246" s="595"/>
      <c r="C246" s="595"/>
      <c r="G246" s="80"/>
      <c r="L246" s="139"/>
      <c r="M246" s="139"/>
      <c r="N246" s="159"/>
      <c r="R246" s="706"/>
    </row>
    <row r="247" spans="2:18" ht="15" customHeight="1">
      <c r="B247" s="595"/>
      <c r="C247" s="595"/>
      <c r="G247" s="80"/>
      <c r="L247" s="139"/>
      <c r="M247" s="139"/>
      <c r="N247" s="159"/>
      <c r="R247" s="706"/>
    </row>
    <row r="248" spans="2:18" ht="15" customHeight="1">
      <c r="B248" s="595"/>
      <c r="C248" s="595"/>
      <c r="G248" s="80"/>
      <c r="L248" s="139"/>
      <c r="M248" s="139"/>
      <c r="N248" s="159"/>
      <c r="R248" s="706"/>
    </row>
    <row r="249" spans="2:18" ht="15" customHeight="1">
      <c r="B249" s="595"/>
      <c r="C249" s="595"/>
      <c r="G249" s="80"/>
      <c r="L249" s="139"/>
      <c r="M249" s="139"/>
      <c r="N249" s="159"/>
      <c r="R249" s="706"/>
    </row>
    <row r="250" spans="2:18" ht="15" customHeight="1">
      <c r="B250" s="595"/>
      <c r="C250" s="595"/>
      <c r="G250" s="80"/>
      <c r="L250" s="139"/>
      <c r="M250" s="139"/>
      <c r="N250" s="159"/>
      <c r="R250" s="706"/>
    </row>
    <row r="251" spans="2:18" ht="15" customHeight="1">
      <c r="B251" s="595"/>
      <c r="C251" s="595"/>
      <c r="G251" s="80"/>
      <c r="L251" s="139"/>
      <c r="M251" s="139"/>
      <c r="N251" s="159"/>
      <c r="R251" s="706"/>
    </row>
    <row r="252" spans="2:18" ht="15" customHeight="1">
      <c r="B252" s="595"/>
      <c r="C252" s="595"/>
      <c r="G252" s="80"/>
      <c r="L252" s="139"/>
      <c r="M252" s="139"/>
      <c r="N252" s="159"/>
      <c r="R252" s="706"/>
    </row>
    <row r="253" spans="2:18" ht="15" customHeight="1">
      <c r="B253" s="595"/>
      <c r="C253" s="595"/>
      <c r="G253" s="80"/>
      <c r="L253" s="139"/>
      <c r="M253" s="139"/>
      <c r="N253" s="159"/>
      <c r="R253" s="706"/>
    </row>
    <row r="254" spans="2:18" ht="15" customHeight="1">
      <c r="B254" s="595"/>
      <c r="C254" s="595"/>
      <c r="G254" s="80"/>
      <c r="L254" s="139"/>
      <c r="M254" s="139"/>
      <c r="N254" s="159"/>
      <c r="R254" s="706"/>
    </row>
    <row r="255" spans="2:18" ht="15" customHeight="1">
      <c r="B255" s="595"/>
      <c r="C255" s="595"/>
      <c r="G255" s="80"/>
      <c r="L255" s="139"/>
      <c r="M255" s="139"/>
      <c r="N255" s="159"/>
      <c r="R255" s="706"/>
    </row>
    <row r="256" spans="2:18" ht="15" customHeight="1">
      <c r="B256" s="595"/>
      <c r="C256" s="595"/>
      <c r="G256" s="80"/>
      <c r="L256" s="139"/>
      <c r="M256" s="139"/>
      <c r="N256" s="159"/>
      <c r="R256" s="706"/>
    </row>
    <row r="257" spans="2:18" ht="15" customHeight="1">
      <c r="B257" s="595"/>
      <c r="C257" s="595"/>
      <c r="G257" s="80"/>
      <c r="L257" s="139"/>
      <c r="M257" s="139"/>
      <c r="N257" s="159"/>
      <c r="R257" s="706"/>
    </row>
    <row r="258" spans="2:18" ht="15" customHeight="1">
      <c r="B258" s="595"/>
      <c r="C258" s="595"/>
      <c r="G258" s="80"/>
      <c r="L258" s="139"/>
      <c r="M258" s="139"/>
      <c r="N258" s="159"/>
      <c r="R258" s="706"/>
    </row>
    <row r="259" spans="2:18" ht="15" customHeight="1">
      <c r="B259" s="595"/>
      <c r="C259" s="595"/>
      <c r="G259" s="80"/>
      <c r="L259" s="139"/>
      <c r="M259" s="139"/>
      <c r="N259" s="159"/>
      <c r="R259" s="706"/>
    </row>
    <row r="260" spans="2:18" ht="15" customHeight="1">
      <c r="B260" s="595"/>
      <c r="C260" s="595"/>
      <c r="G260" s="80"/>
      <c r="L260" s="139"/>
      <c r="M260" s="139"/>
      <c r="N260" s="159"/>
      <c r="R260" s="706"/>
    </row>
    <row r="261" spans="2:18" ht="15" customHeight="1">
      <c r="B261" s="595"/>
      <c r="C261" s="595"/>
      <c r="G261" s="80"/>
      <c r="L261" s="139"/>
      <c r="M261" s="139"/>
      <c r="N261" s="159"/>
      <c r="R261" s="706"/>
    </row>
    <row r="262" spans="2:18" ht="15" customHeight="1">
      <c r="B262" s="595"/>
      <c r="C262" s="595"/>
      <c r="G262" s="80"/>
      <c r="L262" s="139"/>
      <c r="M262" s="139"/>
      <c r="N262" s="159"/>
      <c r="R262" s="706"/>
    </row>
    <row r="263" spans="2:18" ht="15" customHeight="1">
      <c r="B263" s="595"/>
      <c r="C263" s="595"/>
      <c r="G263" s="80"/>
      <c r="L263" s="139"/>
      <c r="M263" s="139"/>
      <c r="N263" s="159"/>
      <c r="R263" s="706"/>
    </row>
    <row r="264" spans="2:18" ht="15" customHeight="1">
      <c r="B264" s="595"/>
      <c r="C264" s="595"/>
      <c r="G264" s="80"/>
      <c r="L264" s="139"/>
      <c r="M264" s="139"/>
      <c r="N264" s="159"/>
      <c r="R264" s="706"/>
    </row>
    <row r="265" spans="2:18" ht="15" customHeight="1">
      <c r="B265" s="595"/>
      <c r="C265" s="595"/>
      <c r="G265" s="80"/>
      <c r="L265" s="139"/>
      <c r="M265" s="139"/>
      <c r="N265" s="159"/>
      <c r="R265" s="706"/>
    </row>
    <row r="266" spans="2:18" ht="15" customHeight="1">
      <c r="B266" s="595"/>
      <c r="C266" s="595"/>
      <c r="G266" s="80"/>
      <c r="L266" s="139"/>
      <c r="M266" s="139"/>
      <c r="N266" s="159"/>
      <c r="R266" s="706"/>
    </row>
    <row r="267" spans="2:18" ht="15" customHeight="1">
      <c r="B267" s="595"/>
      <c r="C267" s="595"/>
      <c r="G267" s="80"/>
      <c r="L267" s="139"/>
      <c r="M267" s="139"/>
      <c r="N267" s="159"/>
      <c r="R267" s="706"/>
    </row>
    <row r="268" spans="2:18" ht="15" customHeight="1">
      <c r="B268" s="595"/>
      <c r="C268" s="595"/>
      <c r="G268" s="80"/>
      <c r="L268" s="139"/>
      <c r="M268" s="139"/>
      <c r="N268" s="159"/>
      <c r="R268" s="706"/>
    </row>
    <row r="269" spans="2:18" ht="15" customHeight="1">
      <c r="B269" s="595"/>
      <c r="C269" s="595"/>
      <c r="G269" s="80"/>
      <c r="L269" s="139"/>
      <c r="M269" s="139"/>
      <c r="N269" s="159"/>
      <c r="R269" s="706"/>
    </row>
    <row r="270" spans="2:18" ht="15" customHeight="1">
      <c r="B270" s="595"/>
      <c r="C270" s="595"/>
      <c r="G270" s="80"/>
      <c r="L270" s="139"/>
      <c r="M270" s="139"/>
      <c r="N270" s="159"/>
      <c r="R270" s="706"/>
    </row>
    <row r="271" spans="2:18" ht="15" customHeight="1">
      <c r="B271" s="595"/>
      <c r="C271" s="595"/>
      <c r="G271" s="80"/>
      <c r="L271" s="139"/>
      <c r="M271" s="139"/>
      <c r="N271" s="159"/>
      <c r="R271" s="706"/>
    </row>
    <row r="272" spans="2:18" ht="15" customHeight="1">
      <c r="B272" s="595"/>
      <c r="C272" s="595"/>
      <c r="G272" s="80"/>
      <c r="L272" s="139"/>
      <c r="M272" s="139"/>
      <c r="N272" s="159"/>
      <c r="R272" s="706"/>
    </row>
    <row r="273" spans="2:18" ht="15" customHeight="1">
      <c r="B273" s="595"/>
      <c r="C273" s="595"/>
      <c r="G273" s="80"/>
      <c r="L273" s="139"/>
      <c r="M273" s="139"/>
      <c r="N273" s="159"/>
      <c r="R273" s="706"/>
    </row>
    <row r="274" spans="2:18" ht="15" customHeight="1">
      <c r="B274" s="595"/>
      <c r="C274" s="595"/>
      <c r="G274" s="80"/>
      <c r="L274" s="139"/>
      <c r="M274" s="139"/>
      <c r="N274" s="159"/>
      <c r="R274" s="706"/>
    </row>
    <row r="275" spans="2:18" ht="15" customHeight="1">
      <c r="B275" s="595"/>
      <c r="C275" s="595"/>
      <c r="G275" s="80"/>
      <c r="L275" s="139"/>
      <c r="M275" s="139"/>
      <c r="N275" s="159"/>
      <c r="R275" s="706"/>
    </row>
    <row r="276" spans="2:18" ht="15" customHeight="1">
      <c r="B276" s="595"/>
      <c r="C276" s="595"/>
      <c r="G276" s="80"/>
      <c r="L276" s="139"/>
      <c r="M276" s="139"/>
      <c r="N276" s="159"/>
      <c r="R276" s="706"/>
    </row>
    <row r="277" spans="2:18" ht="15" customHeight="1">
      <c r="B277" s="595"/>
      <c r="C277" s="595"/>
      <c r="G277" s="80"/>
      <c r="L277" s="139"/>
      <c r="M277" s="139"/>
      <c r="N277" s="159"/>
      <c r="R277" s="706"/>
    </row>
    <row r="278" spans="2:18" ht="15" customHeight="1">
      <c r="B278" s="595"/>
      <c r="C278" s="595"/>
      <c r="G278" s="80"/>
      <c r="L278" s="139"/>
      <c r="M278" s="139"/>
      <c r="N278" s="159"/>
      <c r="R278" s="706"/>
    </row>
    <row r="279" spans="2:18" ht="15" customHeight="1">
      <c r="B279" s="595"/>
      <c r="C279" s="595"/>
      <c r="G279" s="80"/>
      <c r="L279" s="139"/>
      <c r="M279" s="139"/>
      <c r="N279" s="159"/>
      <c r="R279" s="706"/>
    </row>
    <row r="280" spans="2:18" ht="15" customHeight="1">
      <c r="B280" s="595"/>
      <c r="C280" s="595"/>
      <c r="G280" s="80"/>
      <c r="L280" s="139"/>
      <c r="M280" s="139"/>
      <c r="N280" s="159"/>
      <c r="R280" s="706"/>
    </row>
    <row r="281" spans="2:18" ht="15" customHeight="1">
      <c r="B281" s="595"/>
      <c r="C281" s="595"/>
      <c r="G281" s="80"/>
      <c r="L281" s="139"/>
      <c r="M281" s="139"/>
      <c r="N281" s="159"/>
      <c r="R281" s="706"/>
    </row>
    <row r="282" spans="2:18" ht="15" customHeight="1">
      <c r="B282" s="595"/>
      <c r="C282" s="595"/>
      <c r="G282" s="80"/>
      <c r="L282" s="139"/>
      <c r="M282" s="139"/>
      <c r="N282" s="159"/>
      <c r="R282" s="706"/>
    </row>
    <row r="283" spans="2:18" ht="15" customHeight="1">
      <c r="B283" s="595"/>
      <c r="C283" s="595"/>
      <c r="G283" s="80"/>
      <c r="L283" s="139"/>
      <c r="M283" s="139"/>
      <c r="N283" s="159"/>
      <c r="R283" s="706"/>
    </row>
    <row r="284" spans="2:18" ht="15" customHeight="1">
      <c r="B284" s="595"/>
      <c r="C284" s="595"/>
      <c r="G284" s="80"/>
      <c r="L284" s="139"/>
      <c r="M284" s="139"/>
      <c r="N284" s="159"/>
      <c r="R284" s="706"/>
    </row>
    <row r="285" spans="2:18" ht="15" customHeight="1">
      <c r="B285" s="595"/>
      <c r="C285" s="595"/>
      <c r="G285" s="80"/>
      <c r="L285" s="139"/>
      <c r="M285" s="139"/>
      <c r="N285" s="159"/>
      <c r="R285" s="706"/>
    </row>
    <row r="286" spans="2:18" ht="15" customHeight="1">
      <c r="B286" s="595"/>
      <c r="C286" s="595"/>
      <c r="G286" s="80"/>
      <c r="L286" s="139"/>
      <c r="M286" s="139"/>
      <c r="N286" s="159"/>
      <c r="R286" s="706"/>
    </row>
    <row r="287" spans="2:18" ht="15" customHeight="1">
      <c r="B287" s="595"/>
      <c r="C287" s="595"/>
      <c r="G287" s="80"/>
      <c r="L287" s="139"/>
      <c r="M287" s="139"/>
      <c r="N287" s="159"/>
      <c r="R287" s="706"/>
    </row>
    <row r="288" spans="2:18" ht="15" customHeight="1">
      <c r="B288" s="595"/>
      <c r="C288" s="595"/>
      <c r="G288" s="80"/>
      <c r="L288" s="139"/>
      <c r="M288" s="139"/>
      <c r="N288" s="159"/>
      <c r="R288" s="706"/>
    </row>
    <row r="289" spans="2:18" ht="15" customHeight="1">
      <c r="B289" s="595"/>
      <c r="C289" s="595"/>
      <c r="G289" s="80"/>
      <c r="L289" s="139"/>
      <c r="M289" s="139"/>
      <c r="N289" s="159"/>
      <c r="R289" s="706"/>
    </row>
    <row r="290" spans="2:18" ht="15" customHeight="1">
      <c r="B290" s="595"/>
      <c r="C290" s="595"/>
      <c r="G290" s="80"/>
      <c r="L290" s="139"/>
      <c r="M290" s="139"/>
      <c r="N290" s="159"/>
      <c r="R290" s="706"/>
    </row>
    <row r="291" spans="2:18" ht="15" customHeight="1">
      <c r="B291" s="595"/>
      <c r="C291" s="595"/>
      <c r="G291" s="80"/>
      <c r="L291" s="139"/>
      <c r="M291" s="139"/>
      <c r="N291" s="159"/>
      <c r="R291" s="706"/>
    </row>
    <row r="292" spans="2:18" ht="15" customHeight="1">
      <c r="B292" s="595"/>
      <c r="C292" s="595"/>
      <c r="G292" s="80"/>
      <c r="L292" s="139"/>
      <c r="M292" s="139"/>
      <c r="N292" s="159"/>
      <c r="R292" s="706"/>
    </row>
    <row r="293" spans="2:18" ht="15" customHeight="1">
      <c r="B293" s="595"/>
      <c r="C293" s="595"/>
      <c r="G293" s="80"/>
      <c r="L293" s="139"/>
      <c r="M293" s="139"/>
      <c r="N293" s="159"/>
      <c r="R293" s="706"/>
    </row>
    <row r="294" spans="2:18" ht="15" customHeight="1">
      <c r="B294" s="595"/>
      <c r="C294" s="595"/>
      <c r="G294" s="80"/>
      <c r="L294" s="139"/>
      <c r="M294" s="139"/>
      <c r="N294" s="159"/>
      <c r="R294" s="706"/>
    </row>
    <row r="295" spans="2:18" ht="15" customHeight="1">
      <c r="B295" s="595"/>
      <c r="C295" s="595"/>
      <c r="G295" s="80"/>
      <c r="L295" s="139"/>
      <c r="M295" s="139"/>
      <c r="N295" s="159"/>
      <c r="R295" s="706"/>
    </row>
    <row r="296" spans="2:18" ht="15" customHeight="1">
      <c r="B296" s="595"/>
      <c r="C296" s="595"/>
      <c r="G296" s="80"/>
      <c r="L296" s="139"/>
      <c r="M296" s="139"/>
      <c r="N296" s="159"/>
      <c r="R296" s="706"/>
    </row>
    <row r="297" spans="2:18" ht="15" customHeight="1">
      <c r="B297" s="595"/>
      <c r="C297" s="595"/>
      <c r="G297" s="80"/>
      <c r="L297" s="139"/>
      <c r="M297" s="139"/>
      <c r="N297" s="159"/>
      <c r="R297" s="706"/>
    </row>
    <row r="298" spans="2:18" ht="15" customHeight="1">
      <c r="B298" s="595"/>
      <c r="C298" s="595"/>
      <c r="G298" s="80"/>
      <c r="L298" s="139"/>
      <c r="M298" s="139"/>
      <c r="N298" s="159"/>
      <c r="R298" s="706"/>
    </row>
    <row r="299" spans="2:18" ht="15" customHeight="1">
      <c r="B299" s="595"/>
      <c r="C299" s="595"/>
      <c r="G299" s="80"/>
      <c r="L299" s="139"/>
      <c r="M299" s="139"/>
      <c r="N299" s="159"/>
      <c r="R299" s="706"/>
    </row>
    <row r="300" spans="2:18" ht="15" customHeight="1">
      <c r="B300" s="595"/>
      <c r="C300" s="595"/>
      <c r="G300" s="80"/>
      <c r="L300" s="139"/>
      <c r="M300" s="139"/>
      <c r="N300" s="159"/>
      <c r="R300" s="706"/>
    </row>
    <row r="301" spans="2:18" ht="15" customHeight="1">
      <c r="B301" s="595"/>
      <c r="C301" s="595"/>
      <c r="G301" s="80"/>
      <c r="L301" s="139"/>
      <c r="M301" s="139"/>
      <c r="N301" s="159"/>
      <c r="R301" s="706"/>
    </row>
    <row r="302" spans="2:18" ht="15" customHeight="1">
      <c r="B302" s="595"/>
      <c r="C302" s="595"/>
      <c r="G302" s="80"/>
      <c r="L302" s="139"/>
      <c r="M302" s="139"/>
      <c r="N302" s="159"/>
      <c r="R302" s="706"/>
    </row>
    <row r="303" spans="2:18" ht="15" customHeight="1">
      <c r="B303" s="595"/>
      <c r="C303" s="595"/>
      <c r="G303" s="80"/>
      <c r="L303" s="139"/>
      <c r="M303" s="139"/>
      <c r="N303" s="159"/>
      <c r="R303" s="706"/>
    </row>
    <row r="304" spans="2:18" ht="15" customHeight="1">
      <c r="B304" s="595"/>
      <c r="C304" s="595"/>
      <c r="G304" s="80"/>
      <c r="L304" s="139"/>
      <c r="M304" s="139"/>
      <c r="N304" s="159"/>
      <c r="R304" s="706"/>
    </row>
    <row r="305" spans="2:18" ht="15" customHeight="1">
      <c r="B305" s="595"/>
      <c r="C305" s="595"/>
      <c r="G305" s="80"/>
      <c r="L305" s="139"/>
      <c r="M305" s="139"/>
      <c r="N305" s="159"/>
      <c r="R305" s="706"/>
    </row>
    <row r="306" spans="2:18" ht="15" customHeight="1">
      <c r="B306" s="595"/>
      <c r="C306" s="595"/>
      <c r="G306" s="80"/>
      <c r="L306" s="139"/>
      <c r="M306" s="139"/>
      <c r="N306" s="159"/>
      <c r="R306" s="706"/>
    </row>
    <row r="307" spans="2:18" ht="15" customHeight="1">
      <c r="B307" s="595"/>
      <c r="C307" s="595"/>
      <c r="G307" s="80"/>
      <c r="L307" s="139"/>
      <c r="M307" s="139"/>
      <c r="N307" s="159"/>
      <c r="R307" s="706"/>
    </row>
    <row r="308" spans="2:18" ht="15" customHeight="1">
      <c r="B308" s="595"/>
      <c r="C308" s="595"/>
      <c r="G308" s="80"/>
      <c r="L308" s="139"/>
      <c r="M308" s="139"/>
      <c r="N308" s="159"/>
      <c r="R308" s="706"/>
    </row>
    <row r="309" spans="2:18" ht="15" customHeight="1">
      <c r="B309" s="595"/>
      <c r="C309" s="595"/>
      <c r="G309" s="80"/>
      <c r="L309" s="139"/>
      <c r="M309" s="139"/>
      <c r="N309" s="159"/>
      <c r="R309" s="706"/>
    </row>
    <row r="310" spans="2:18" ht="15" customHeight="1">
      <c r="B310" s="595"/>
      <c r="C310" s="595"/>
      <c r="G310" s="80"/>
      <c r="L310" s="139"/>
      <c r="M310" s="139"/>
      <c r="N310" s="159"/>
      <c r="R310" s="706"/>
    </row>
    <row r="311" spans="2:18" ht="15" customHeight="1">
      <c r="B311" s="595"/>
      <c r="C311" s="595"/>
      <c r="G311" s="80"/>
      <c r="L311" s="139"/>
      <c r="M311" s="139"/>
      <c r="N311" s="159"/>
      <c r="R311" s="706"/>
    </row>
    <row r="312" spans="2:18" ht="15" customHeight="1">
      <c r="B312" s="595"/>
      <c r="C312" s="595"/>
      <c r="G312" s="80"/>
      <c r="L312" s="139"/>
      <c r="M312" s="139"/>
      <c r="N312" s="159"/>
      <c r="R312" s="706"/>
    </row>
    <row r="313" spans="2:18" ht="15" customHeight="1">
      <c r="B313" s="595"/>
      <c r="C313" s="595"/>
      <c r="G313" s="80"/>
      <c r="L313" s="139"/>
      <c r="M313" s="139"/>
      <c r="N313" s="159"/>
      <c r="R313" s="706"/>
    </row>
    <row r="314" spans="2:18" ht="15" customHeight="1">
      <c r="B314" s="595"/>
      <c r="C314" s="595"/>
      <c r="G314" s="80"/>
      <c r="L314" s="139"/>
      <c r="M314" s="139"/>
      <c r="N314" s="159"/>
      <c r="R314" s="706"/>
    </row>
    <row r="315" spans="2:18" ht="15" customHeight="1">
      <c r="B315" s="595"/>
      <c r="C315" s="595"/>
      <c r="G315" s="80"/>
      <c r="L315" s="139"/>
      <c r="M315" s="139"/>
      <c r="N315" s="159"/>
      <c r="R315" s="706"/>
    </row>
    <row r="316" spans="2:18" ht="15" customHeight="1">
      <c r="B316" s="595"/>
      <c r="C316" s="595"/>
      <c r="G316" s="80"/>
      <c r="L316" s="139"/>
      <c r="M316" s="139"/>
      <c r="N316" s="159"/>
      <c r="R316" s="706"/>
    </row>
    <row r="317" spans="2:18" ht="15" customHeight="1">
      <c r="B317" s="595"/>
      <c r="C317" s="595"/>
      <c r="G317" s="80"/>
      <c r="L317" s="139"/>
      <c r="M317" s="139"/>
      <c r="N317" s="159"/>
      <c r="R317" s="706"/>
    </row>
    <row r="318" spans="2:18" ht="15" customHeight="1">
      <c r="B318" s="595"/>
      <c r="C318" s="595"/>
      <c r="G318" s="80"/>
      <c r="L318" s="139"/>
      <c r="M318" s="139"/>
      <c r="N318" s="159"/>
      <c r="R318" s="706"/>
    </row>
    <row r="319" spans="2:18" ht="15" customHeight="1">
      <c r="B319" s="595"/>
      <c r="C319" s="595"/>
      <c r="G319" s="80"/>
      <c r="L319" s="139"/>
      <c r="M319" s="139"/>
      <c r="N319" s="159"/>
      <c r="R319" s="706"/>
    </row>
    <row r="320" spans="2:18" ht="15" customHeight="1">
      <c r="B320" s="595"/>
      <c r="C320" s="595"/>
      <c r="G320" s="80"/>
      <c r="L320" s="139"/>
      <c r="M320" s="139"/>
      <c r="N320" s="159"/>
      <c r="R320" s="706"/>
    </row>
    <row r="321" spans="2:18" ht="15" customHeight="1">
      <c r="B321" s="595"/>
      <c r="C321" s="595"/>
      <c r="G321" s="80"/>
      <c r="L321" s="139"/>
      <c r="M321" s="139"/>
      <c r="N321" s="159"/>
      <c r="R321" s="706"/>
    </row>
    <row r="322" spans="2:18" ht="15" customHeight="1">
      <c r="B322" s="595"/>
      <c r="C322" s="595"/>
      <c r="G322" s="80"/>
      <c r="L322" s="139"/>
      <c r="M322" s="139"/>
      <c r="N322" s="159"/>
      <c r="R322" s="706"/>
    </row>
    <row r="323" spans="2:18" ht="15" customHeight="1">
      <c r="B323" s="595"/>
      <c r="C323" s="595"/>
      <c r="G323" s="80"/>
      <c r="L323" s="139"/>
      <c r="M323" s="139"/>
      <c r="N323" s="159"/>
      <c r="R323" s="706"/>
    </row>
    <row r="324" spans="2:18" ht="15" customHeight="1">
      <c r="B324" s="595"/>
      <c r="C324" s="595"/>
      <c r="G324" s="80"/>
      <c r="L324" s="139"/>
      <c r="M324" s="139"/>
      <c r="N324" s="159"/>
      <c r="R324" s="706"/>
    </row>
    <row r="325" spans="2:18" ht="15" customHeight="1">
      <c r="B325" s="595"/>
      <c r="C325" s="595"/>
      <c r="G325" s="80"/>
      <c r="L325" s="139"/>
      <c r="M325" s="139"/>
      <c r="N325" s="159"/>
      <c r="R325" s="706"/>
    </row>
    <row r="326" spans="2:18" ht="15" customHeight="1">
      <c r="B326" s="595"/>
      <c r="C326" s="595"/>
      <c r="G326" s="80"/>
      <c r="L326" s="139"/>
      <c r="M326" s="139"/>
      <c r="N326" s="159"/>
      <c r="R326" s="706"/>
    </row>
    <row r="327" spans="2:18" ht="15" customHeight="1">
      <c r="B327" s="595"/>
      <c r="C327" s="595"/>
      <c r="G327" s="80"/>
      <c r="L327" s="139"/>
      <c r="M327" s="139"/>
      <c r="N327" s="159"/>
      <c r="R327" s="706"/>
    </row>
    <row r="328" spans="2:18" ht="15" customHeight="1">
      <c r="B328" s="595"/>
      <c r="C328" s="595"/>
      <c r="G328" s="80"/>
      <c r="L328" s="139"/>
      <c r="M328" s="139"/>
      <c r="N328" s="159"/>
      <c r="R328" s="706"/>
    </row>
    <row r="329" spans="2:18" ht="15" customHeight="1">
      <c r="B329" s="595"/>
      <c r="C329" s="595"/>
      <c r="G329" s="80"/>
      <c r="L329" s="139"/>
      <c r="M329" s="139"/>
      <c r="N329" s="159"/>
      <c r="R329" s="706"/>
    </row>
    <row r="330" spans="2:18" ht="15" customHeight="1">
      <c r="B330" s="595"/>
      <c r="C330" s="595"/>
      <c r="G330" s="80"/>
      <c r="L330" s="139"/>
      <c r="M330" s="139"/>
      <c r="N330" s="159"/>
      <c r="R330" s="706"/>
    </row>
    <row r="331" spans="2:18" ht="15" customHeight="1">
      <c r="B331" s="595"/>
      <c r="C331" s="595"/>
      <c r="G331" s="80"/>
      <c r="L331" s="139"/>
      <c r="M331" s="139"/>
      <c r="N331" s="159"/>
      <c r="R331" s="706"/>
    </row>
    <row r="332" spans="2:18" ht="15" customHeight="1">
      <c r="B332" s="595"/>
      <c r="C332" s="595"/>
      <c r="G332" s="80"/>
      <c r="L332" s="139"/>
      <c r="M332" s="139"/>
      <c r="N332" s="159"/>
      <c r="R332" s="706"/>
    </row>
    <row r="333" spans="2:18" ht="15" customHeight="1">
      <c r="B333" s="595"/>
      <c r="C333" s="595"/>
      <c r="G333" s="80"/>
      <c r="L333" s="139"/>
      <c r="M333" s="139"/>
      <c r="N333" s="159"/>
      <c r="R333" s="706"/>
    </row>
    <row r="334" spans="2:18" ht="15" customHeight="1">
      <c r="B334" s="595"/>
      <c r="C334" s="595"/>
      <c r="G334" s="80"/>
      <c r="L334" s="139"/>
      <c r="M334" s="139"/>
      <c r="N334" s="159"/>
      <c r="R334" s="706"/>
    </row>
    <row r="335" spans="2:18" ht="15" customHeight="1">
      <c r="B335" s="595"/>
      <c r="C335" s="595"/>
      <c r="G335" s="80"/>
      <c r="L335" s="139"/>
      <c r="M335" s="139"/>
      <c r="N335" s="159"/>
      <c r="R335" s="706"/>
    </row>
    <row r="336" spans="2:18" ht="15" customHeight="1">
      <c r="B336" s="595"/>
      <c r="C336" s="595"/>
      <c r="G336" s="80"/>
      <c r="L336" s="139"/>
      <c r="M336" s="139"/>
      <c r="N336" s="159"/>
      <c r="R336" s="706"/>
    </row>
    <row r="337" spans="2:18" ht="15" customHeight="1">
      <c r="B337" s="595"/>
      <c r="C337" s="595"/>
      <c r="G337" s="80"/>
      <c r="L337" s="139"/>
      <c r="M337" s="139"/>
      <c r="N337" s="159"/>
      <c r="R337" s="706"/>
    </row>
    <row r="338" spans="2:18" ht="15" customHeight="1">
      <c r="B338" s="595"/>
      <c r="C338" s="595"/>
      <c r="G338" s="80"/>
      <c r="L338" s="139"/>
      <c r="M338" s="139"/>
      <c r="N338" s="159"/>
      <c r="R338" s="706"/>
    </row>
    <row r="339" spans="2:18" ht="15" customHeight="1">
      <c r="B339" s="595"/>
      <c r="C339" s="595"/>
      <c r="G339" s="80"/>
      <c r="L339" s="139"/>
      <c r="M339" s="139"/>
      <c r="N339" s="159"/>
      <c r="R339" s="706"/>
    </row>
    <row r="340" spans="2:18" ht="15" customHeight="1">
      <c r="B340" s="595"/>
      <c r="C340" s="595"/>
      <c r="G340" s="80"/>
      <c r="L340" s="139"/>
      <c r="M340" s="139"/>
      <c r="N340" s="159"/>
      <c r="R340" s="706"/>
    </row>
    <row r="341" spans="2:18" ht="15" customHeight="1">
      <c r="B341" s="595"/>
      <c r="C341" s="595"/>
      <c r="G341" s="80"/>
      <c r="L341" s="139"/>
      <c r="M341" s="139"/>
      <c r="N341" s="159"/>
      <c r="R341" s="706"/>
    </row>
    <row r="342" spans="2:18" ht="15" customHeight="1">
      <c r="B342" s="595"/>
      <c r="C342" s="595"/>
      <c r="G342" s="80"/>
      <c r="L342" s="139"/>
      <c r="M342" s="139"/>
      <c r="N342" s="159"/>
      <c r="R342" s="706"/>
    </row>
    <row r="343" spans="2:18" ht="15" customHeight="1">
      <c r="B343" s="595"/>
      <c r="C343" s="595"/>
      <c r="G343" s="80"/>
      <c r="L343" s="139"/>
      <c r="M343" s="139"/>
      <c r="N343" s="159"/>
      <c r="R343" s="706"/>
    </row>
    <row r="344" spans="2:18" ht="15" customHeight="1">
      <c r="B344" s="595"/>
      <c r="C344" s="595"/>
      <c r="G344" s="80"/>
      <c r="L344" s="139"/>
      <c r="M344" s="139"/>
      <c r="N344" s="159"/>
      <c r="R344" s="706"/>
    </row>
    <row r="345" spans="2:18" ht="15" customHeight="1">
      <c r="B345" s="595"/>
      <c r="C345" s="595"/>
      <c r="G345" s="80"/>
      <c r="L345" s="139"/>
      <c r="M345" s="139"/>
      <c r="N345" s="159"/>
      <c r="R345" s="706"/>
    </row>
    <row r="346" spans="2:18" ht="15" customHeight="1">
      <c r="B346" s="595"/>
      <c r="C346" s="595"/>
      <c r="G346" s="80"/>
      <c r="L346" s="139"/>
      <c r="M346" s="139"/>
      <c r="N346" s="159"/>
      <c r="R346" s="706"/>
    </row>
    <row r="347" spans="2:18" ht="15" customHeight="1">
      <c r="B347" s="595"/>
      <c r="C347" s="595"/>
      <c r="G347" s="80"/>
      <c r="L347" s="139"/>
      <c r="M347" s="139"/>
      <c r="N347" s="159"/>
      <c r="R347" s="706"/>
    </row>
    <row r="348" spans="2:18" ht="15" customHeight="1">
      <c r="B348" s="595"/>
      <c r="C348" s="595"/>
      <c r="G348" s="80"/>
      <c r="L348" s="139"/>
      <c r="M348" s="139"/>
      <c r="N348" s="159"/>
      <c r="R348" s="706"/>
    </row>
    <row r="349" spans="2:18" ht="15" customHeight="1">
      <c r="B349" s="595"/>
      <c r="C349" s="595"/>
      <c r="G349" s="80"/>
      <c r="L349" s="139"/>
      <c r="M349" s="139"/>
      <c r="N349" s="159"/>
      <c r="R349" s="706"/>
    </row>
    <row r="350" spans="2:18" ht="15" customHeight="1">
      <c r="B350" s="595"/>
      <c r="C350" s="595"/>
      <c r="G350" s="80"/>
      <c r="L350" s="139"/>
      <c r="M350" s="139"/>
      <c r="N350" s="159"/>
      <c r="R350" s="706"/>
    </row>
    <row r="351" spans="2:18" ht="15" customHeight="1">
      <c r="B351" s="595"/>
      <c r="C351" s="595"/>
      <c r="G351" s="80"/>
      <c r="L351" s="139"/>
      <c r="M351" s="139"/>
      <c r="N351" s="159"/>
      <c r="R351" s="706"/>
    </row>
    <row r="352" spans="2:18" ht="15" customHeight="1">
      <c r="B352" s="595"/>
      <c r="C352" s="595"/>
      <c r="G352" s="80"/>
      <c r="L352" s="139"/>
      <c r="M352" s="139"/>
      <c r="N352" s="159"/>
      <c r="R352" s="706"/>
    </row>
    <row r="353" spans="2:18" ht="15" customHeight="1">
      <c r="B353" s="595"/>
      <c r="C353" s="595"/>
      <c r="G353" s="80"/>
      <c r="L353" s="139"/>
      <c r="M353" s="139"/>
      <c r="N353" s="159"/>
      <c r="R353" s="706"/>
    </row>
    <row r="354" spans="2:18" ht="15" customHeight="1">
      <c r="B354" s="595"/>
      <c r="C354" s="595"/>
      <c r="G354" s="80"/>
      <c r="L354" s="139"/>
      <c r="M354" s="139"/>
      <c r="N354" s="159"/>
      <c r="R354" s="706"/>
    </row>
    <row r="355" spans="2:18" ht="15" customHeight="1">
      <c r="B355" s="595"/>
      <c r="C355" s="595"/>
      <c r="G355" s="80"/>
      <c r="L355" s="139"/>
      <c r="M355" s="139"/>
      <c r="N355" s="159"/>
      <c r="R355" s="706"/>
    </row>
    <row r="356" spans="2:18" ht="15" customHeight="1">
      <c r="B356" s="595"/>
      <c r="C356" s="595"/>
      <c r="G356" s="80"/>
      <c r="L356" s="139"/>
      <c r="M356" s="139"/>
      <c r="N356" s="159"/>
      <c r="R356" s="706"/>
    </row>
    <row r="357" spans="2:18" ht="15" customHeight="1">
      <c r="B357" s="595"/>
      <c r="C357" s="595"/>
      <c r="G357" s="80"/>
      <c r="L357" s="139"/>
      <c r="M357" s="139"/>
      <c r="N357" s="159"/>
    </row>
    <row r="358" spans="2:18" ht="15" customHeight="1">
      <c r="B358" s="595"/>
      <c r="C358" s="595"/>
      <c r="G358" s="80"/>
      <c r="L358" s="139"/>
      <c r="M358" s="139"/>
      <c r="N358" s="159"/>
    </row>
    <row r="359" spans="2:18" ht="15" customHeight="1">
      <c r="B359" s="595"/>
      <c r="C359" s="595"/>
      <c r="G359" s="80"/>
      <c r="L359" s="139"/>
      <c r="M359" s="139"/>
      <c r="N359" s="159"/>
    </row>
    <row r="360" spans="2:18" ht="15" customHeight="1">
      <c r="B360" s="595"/>
      <c r="C360" s="595"/>
      <c r="G360" s="80"/>
      <c r="L360" s="139"/>
      <c r="M360" s="139"/>
      <c r="N360" s="159"/>
    </row>
    <row r="361" spans="2:18" ht="15" customHeight="1">
      <c r="B361" s="595"/>
      <c r="C361" s="595"/>
      <c r="G361" s="80"/>
      <c r="L361" s="139"/>
      <c r="M361" s="139"/>
      <c r="N361" s="159"/>
    </row>
    <row r="362" spans="2:18" ht="15" customHeight="1">
      <c r="B362" s="595"/>
      <c r="C362" s="595"/>
      <c r="G362" s="80"/>
      <c r="L362" s="139"/>
      <c r="M362" s="139"/>
      <c r="N362" s="159"/>
    </row>
    <row r="363" spans="2:18" ht="15" customHeight="1">
      <c r="B363" s="595"/>
      <c r="C363" s="595"/>
      <c r="G363" s="80"/>
      <c r="L363" s="139"/>
      <c r="M363" s="139"/>
      <c r="N363" s="159"/>
    </row>
    <row r="364" spans="2:18" ht="15" customHeight="1">
      <c r="B364" s="595"/>
      <c r="C364" s="595"/>
      <c r="G364" s="80"/>
      <c r="L364" s="139"/>
      <c r="M364" s="139"/>
      <c r="N364" s="159"/>
    </row>
    <row r="365" spans="2:18" ht="15" customHeight="1">
      <c r="B365" s="595"/>
      <c r="C365" s="595"/>
      <c r="G365" s="80"/>
      <c r="L365" s="139"/>
      <c r="M365" s="139"/>
      <c r="N365" s="159"/>
    </row>
    <row r="366" spans="2:18" ht="15" customHeight="1">
      <c r="B366" s="595"/>
      <c r="C366" s="595"/>
      <c r="G366" s="80"/>
      <c r="L366" s="139"/>
      <c r="M366" s="139"/>
      <c r="N366" s="159"/>
    </row>
    <row r="367" spans="2:18" ht="15" customHeight="1">
      <c r="B367" s="595"/>
      <c r="C367" s="595"/>
      <c r="G367" s="80"/>
      <c r="L367" s="139"/>
      <c r="M367" s="139"/>
      <c r="N367" s="159"/>
    </row>
    <row r="368" spans="2:18" ht="15" customHeight="1">
      <c r="B368" s="595"/>
      <c r="C368" s="595"/>
      <c r="G368" s="80"/>
      <c r="L368" s="139"/>
      <c r="M368" s="139"/>
      <c r="N368" s="159"/>
    </row>
    <row r="369" spans="2:14" ht="15" customHeight="1">
      <c r="B369" s="595"/>
      <c r="C369" s="595"/>
      <c r="G369" s="80"/>
      <c r="L369" s="139"/>
      <c r="M369" s="139"/>
      <c r="N369" s="159"/>
    </row>
    <row r="370" spans="2:14" ht="15" customHeight="1">
      <c r="B370" s="595"/>
      <c r="C370" s="595"/>
      <c r="G370" s="80"/>
      <c r="L370" s="139"/>
      <c r="M370" s="139"/>
      <c r="N370" s="159"/>
    </row>
    <row r="371" spans="2:14" ht="15" customHeight="1">
      <c r="B371" s="595"/>
      <c r="C371" s="595"/>
      <c r="G371" s="80"/>
      <c r="L371" s="139"/>
      <c r="M371" s="139"/>
      <c r="N371" s="159"/>
    </row>
    <row r="372" spans="2:14" ht="15" customHeight="1">
      <c r="B372" s="595"/>
      <c r="C372" s="595"/>
      <c r="G372" s="80"/>
      <c r="L372" s="139"/>
      <c r="M372" s="139"/>
      <c r="N372" s="159"/>
    </row>
    <row r="373" spans="2:14" ht="15" customHeight="1">
      <c r="B373" s="595"/>
      <c r="C373" s="595"/>
      <c r="G373" s="80"/>
      <c r="L373" s="139"/>
      <c r="M373" s="139"/>
      <c r="N373" s="159"/>
    </row>
    <row r="374" spans="2:14" ht="15" customHeight="1">
      <c r="B374" s="595"/>
      <c r="C374" s="595"/>
      <c r="G374" s="80"/>
      <c r="L374" s="139"/>
      <c r="M374" s="139"/>
      <c r="N374" s="159"/>
    </row>
    <row r="375" spans="2:14" ht="15" customHeight="1">
      <c r="B375" s="595"/>
      <c r="C375" s="595"/>
      <c r="G375" s="80"/>
      <c r="L375" s="139"/>
      <c r="M375" s="139"/>
      <c r="N375" s="159"/>
    </row>
    <row r="376" spans="2:14" ht="15" customHeight="1">
      <c r="B376" s="595"/>
      <c r="C376" s="595"/>
      <c r="G376" s="80"/>
      <c r="L376" s="139"/>
      <c r="M376" s="139"/>
      <c r="N376" s="159"/>
    </row>
    <row r="377" spans="2:14" ht="15" customHeight="1">
      <c r="B377" s="595"/>
      <c r="C377" s="595"/>
      <c r="G377" s="80"/>
      <c r="L377" s="139"/>
      <c r="M377" s="139"/>
      <c r="N377" s="159"/>
    </row>
    <row r="378" spans="2:14" ht="15" customHeight="1">
      <c r="B378" s="595"/>
      <c r="C378" s="595"/>
      <c r="G378" s="80"/>
      <c r="L378" s="139"/>
      <c r="M378" s="139"/>
      <c r="N378" s="159"/>
    </row>
    <row r="379" spans="2:14" ht="15" customHeight="1">
      <c r="B379" s="595"/>
      <c r="C379" s="595"/>
      <c r="G379" s="80"/>
      <c r="L379" s="139"/>
      <c r="M379" s="139"/>
      <c r="N379" s="159"/>
    </row>
    <row r="380" spans="2:14" ht="15" customHeight="1">
      <c r="B380" s="595"/>
      <c r="C380" s="595"/>
      <c r="G380" s="80"/>
      <c r="L380" s="139"/>
      <c r="M380" s="139"/>
      <c r="N380" s="159"/>
    </row>
    <row r="381" spans="2:14" ht="15" customHeight="1">
      <c r="B381" s="595"/>
      <c r="C381" s="595"/>
      <c r="G381" s="80"/>
      <c r="L381" s="139"/>
      <c r="M381" s="139"/>
      <c r="N381" s="159"/>
    </row>
    <row r="382" spans="2:14" ht="15" customHeight="1">
      <c r="B382" s="595"/>
      <c r="C382" s="595"/>
      <c r="G382" s="80"/>
      <c r="L382" s="139"/>
      <c r="M382" s="139"/>
      <c r="N382" s="159"/>
    </row>
    <row r="383" spans="2:14" ht="15" customHeight="1">
      <c r="B383" s="595"/>
      <c r="C383" s="595"/>
      <c r="G383" s="80"/>
      <c r="L383" s="139"/>
      <c r="M383" s="139"/>
      <c r="N383" s="159"/>
    </row>
    <row r="384" spans="2:14" ht="15" customHeight="1">
      <c r="B384" s="595"/>
      <c r="C384" s="595"/>
      <c r="G384" s="80"/>
      <c r="L384" s="139"/>
      <c r="M384" s="139"/>
      <c r="N384" s="159"/>
    </row>
    <row r="385" spans="2:14" ht="15" customHeight="1">
      <c r="B385" s="595"/>
      <c r="C385" s="595"/>
      <c r="G385" s="80"/>
      <c r="L385" s="139"/>
      <c r="M385" s="139"/>
      <c r="N385" s="159"/>
    </row>
    <row r="386" spans="2:14" ht="15" customHeight="1">
      <c r="B386" s="595"/>
      <c r="C386" s="595"/>
      <c r="G386" s="80"/>
      <c r="L386" s="139"/>
      <c r="M386" s="139"/>
      <c r="N386" s="159"/>
    </row>
    <row r="387" spans="2:14" ht="15" customHeight="1">
      <c r="B387" s="595"/>
      <c r="C387" s="595"/>
      <c r="G387" s="80"/>
      <c r="L387" s="139"/>
      <c r="M387" s="139"/>
      <c r="N387" s="159"/>
    </row>
    <row r="388" spans="2:14" ht="15" customHeight="1">
      <c r="B388" s="595"/>
      <c r="C388" s="595"/>
      <c r="G388" s="80"/>
      <c r="L388" s="139"/>
      <c r="M388" s="139"/>
      <c r="N388" s="159"/>
    </row>
    <row r="389" spans="2:14" ht="15" customHeight="1">
      <c r="B389" s="595"/>
      <c r="C389" s="595"/>
      <c r="M389" s="139"/>
      <c r="N389" s="159"/>
    </row>
    <row r="390" spans="2:14" ht="15" customHeight="1">
      <c r="B390" s="595"/>
      <c r="C390" s="595"/>
      <c r="M390" s="139"/>
      <c r="N390" s="159"/>
    </row>
    <row r="391" spans="2:14" ht="15" customHeight="1">
      <c r="B391" s="595"/>
      <c r="C391" s="595"/>
      <c r="M391" s="139"/>
      <c r="N391" s="159"/>
    </row>
    <row r="392" spans="2:14" ht="15" customHeight="1">
      <c r="B392" s="595"/>
      <c r="C392" s="595"/>
      <c r="M392" s="139"/>
      <c r="N392" s="159"/>
    </row>
    <row r="393" spans="2:14" ht="15" customHeight="1">
      <c r="B393" s="595"/>
      <c r="C393" s="595"/>
      <c r="M393" s="139"/>
      <c r="N393" s="159"/>
    </row>
    <row r="394" spans="2:14" ht="15" customHeight="1">
      <c r="B394" s="595"/>
      <c r="C394" s="595"/>
      <c r="M394" s="139"/>
      <c r="N394" s="159"/>
    </row>
    <row r="395" spans="2:14" ht="15" customHeight="1">
      <c r="B395" s="595"/>
      <c r="C395" s="595"/>
      <c r="M395" s="139"/>
      <c r="N395" s="159"/>
    </row>
    <row r="396" spans="2:14" ht="15" customHeight="1">
      <c r="B396" s="595"/>
      <c r="C396" s="595"/>
      <c r="M396" s="139"/>
      <c r="N396" s="159"/>
    </row>
    <row r="397" spans="2:14" ht="15" customHeight="1">
      <c r="B397" s="595"/>
      <c r="C397" s="595"/>
      <c r="M397" s="139"/>
      <c r="N397" s="159"/>
    </row>
    <row r="398" spans="2:14" ht="15" customHeight="1">
      <c r="B398" s="595"/>
      <c r="C398" s="595"/>
      <c r="M398" s="139"/>
      <c r="N398" s="159"/>
    </row>
    <row r="399" spans="2:14" ht="15" customHeight="1">
      <c r="B399" s="595"/>
      <c r="C399" s="595"/>
      <c r="M399" s="139"/>
      <c r="N399" s="159"/>
    </row>
    <row r="400" spans="2:14" ht="15" customHeight="1">
      <c r="B400" s="595"/>
      <c r="C400" s="595"/>
      <c r="M400" s="139"/>
      <c r="N400" s="159"/>
    </row>
    <row r="401" spans="2:14" ht="15" customHeight="1">
      <c r="B401" s="595"/>
      <c r="C401" s="595"/>
      <c r="M401" s="139"/>
      <c r="N401" s="159"/>
    </row>
    <row r="402" spans="2:14" ht="15" customHeight="1">
      <c r="B402" s="595"/>
      <c r="C402" s="595"/>
      <c r="M402" s="139"/>
      <c r="N402" s="159"/>
    </row>
    <row r="403" spans="2:14" ht="15" customHeight="1">
      <c r="B403" s="595"/>
      <c r="C403" s="595"/>
      <c r="M403" s="139"/>
      <c r="N403" s="159"/>
    </row>
    <row r="404" spans="2:14" ht="15" customHeight="1">
      <c r="B404" s="595"/>
      <c r="C404" s="595"/>
      <c r="M404" s="139"/>
      <c r="N404" s="159"/>
    </row>
    <row r="405" spans="2:14" ht="15" customHeight="1">
      <c r="B405" s="595"/>
      <c r="C405" s="595"/>
      <c r="M405" s="139"/>
      <c r="N405" s="159"/>
    </row>
    <row r="406" spans="2:14" ht="15" customHeight="1">
      <c r="B406" s="595"/>
      <c r="C406" s="595"/>
      <c r="M406" s="139"/>
      <c r="N406" s="159"/>
    </row>
    <row r="407" spans="2:14" ht="15" customHeight="1">
      <c r="B407" s="595"/>
      <c r="C407" s="595"/>
      <c r="M407" s="139"/>
      <c r="N407" s="159"/>
    </row>
    <row r="408" spans="2:14" ht="15" customHeight="1">
      <c r="B408" s="595"/>
      <c r="C408" s="595"/>
      <c r="M408" s="139"/>
      <c r="N408" s="159"/>
    </row>
    <row r="409" spans="2:14" ht="15" customHeight="1">
      <c r="B409" s="595"/>
      <c r="C409" s="595"/>
      <c r="M409" s="139"/>
      <c r="N409" s="159"/>
    </row>
    <row r="410" spans="2:14" ht="15" customHeight="1">
      <c r="B410" s="595"/>
      <c r="C410" s="595"/>
      <c r="M410" s="139"/>
      <c r="N410" s="159"/>
    </row>
    <row r="411" spans="2:14" ht="15" customHeight="1">
      <c r="B411" s="595"/>
      <c r="C411" s="595"/>
      <c r="M411" s="139"/>
      <c r="N411" s="159"/>
    </row>
    <row r="412" spans="2:14" ht="15" customHeight="1">
      <c r="B412" s="595"/>
      <c r="C412" s="595"/>
      <c r="M412" s="139"/>
      <c r="N412" s="159"/>
    </row>
    <row r="413" spans="2:14" ht="15" customHeight="1">
      <c r="B413" s="595"/>
      <c r="C413" s="595"/>
      <c r="M413" s="139"/>
      <c r="N413" s="159"/>
    </row>
    <row r="414" spans="2:14" ht="15" customHeight="1">
      <c r="B414" s="595"/>
      <c r="C414" s="595"/>
      <c r="M414" s="139"/>
      <c r="N414" s="159"/>
    </row>
    <row r="415" spans="2:14" ht="15" customHeight="1">
      <c r="B415" s="595"/>
      <c r="C415" s="595"/>
      <c r="M415" s="139"/>
      <c r="N415" s="159"/>
    </row>
    <row r="416" spans="2:14" ht="15" customHeight="1">
      <c r="B416" s="595"/>
      <c r="C416" s="595"/>
      <c r="M416" s="139"/>
      <c r="N416" s="159"/>
    </row>
    <row r="417" spans="2:14" ht="15" customHeight="1">
      <c r="B417" s="595"/>
      <c r="C417" s="595"/>
      <c r="M417" s="139"/>
      <c r="N417" s="159"/>
    </row>
    <row r="418" spans="2:14" ht="15" customHeight="1">
      <c r="B418" s="595"/>
      <c r="C418" s="595"/>
      <c r="M418" s="139"/>
      <c r="N418" s="159"/>
    </row>
    <row r="419" spans="2:14" ht="15" customHeight="1">
      <c r="B419" s="595"/>
      <c r="C419" s="595"/>
      <c r="M419" s="139"/>
      <c r="N419" s="159"/>
    </row>
    <row r="420" spans="2:14" ht="15" customHeight="1">
      <c r="B420" s="595"/>
      <c r="C420" s="595"/>
      <c r="M420" s="139"/>
      <c r="N420" s="159"/>
    </row>
    <row r="421" spans="2:14" ht="15" customHeight="1">
      <c r="B421" s="595"/>
      <c r="C421" s="595"/>
      <c r="M421" s="139"/>
      <c r="N421" s="159"/>
    </row>
    <row r="422" spans="2:14" ht="15" customHeight="1">
      <c r="B422" s="595"/>
      <c r="C422" s="595"/>
      <c r="M422" s="139"/>
      <c r="N422" s="159"/>
    </row>
    <row r="423" spans="2:14" ht="15" customHeight="1">
      <c r="B423" s="595"/>
      <c r="C423" s="595"/>
      <c r="M423" s="139"/>
      <c r="N423" s="159"/>
    </row>
    <row r="424" spans="2:14" ht="15" customHeight="1">
      <c r="B424" s="595"/>
      <c r="C424" s="595"/>
      <c r="M424" s="139"/>
      <c r="N424" s="159"/>
    </row>
    <row r="425" spans="2:14" ht="15" customHeight="1">
      <c r="B425" s="595"/>
      <c r="C425" s="595"/>
      <c r="M425" s="139"/>
      <c r="N425" s="159"/>
    </row>
    <row r="426" spans="2:14" ht="15" customHeight="1">
      <c r="B426" s="595"/>
      <c r="C426" s="595"/>
      <c r="M426" s="139"/>
      <c r="N426" s="159"/>
    </row>
    <row r="427" spans="2:14" ht="15" customHeight="1">
      <c r="B427" s="595"/>
      <c r="C427" s="595"/>
      <c r="M427" s="139"/>
      <c r="N427" s="159"/>
    </row>
    <row r="428" spans="2:14" ht="15" customHeight="1">
      <c r="B428" s="595"/>
      <c r="C428" s="595"/>
      <c r="M428" s="139"/>
      <c r="N428" s="159"/>
    </row>
    <row r="429" spans="2:14" ht="15" customHeight="1">
      <c r="B429" s="595"/>
      <c r="C429" s="595"/>
      <c r="M429" s="139"/>
      <c r="N429" s="159"/>
    </row>
    <row r="430" spans="2:14" ht="15" customHeight="1">
      <c r="B430" s="595"/>
      <c r="C430" s="595"/>
      <c r="M430" s="139"/>
      <c r="N430" s="159"/>
    </row>
    <row r="431" spans="2:14" ht="15" customHeight="1">
      <c r="B431" s="595"/>
      <c r="C431" s="595"/>
      <c r="M431" s="139"/>
      <c r="N431" s="159"/>
    </row>
    <row r="432" spans="2:14" ht="15" customHeight="1">
      <c r="B432" s="595"/>
      <c r="C432" s="595"/>
      <c r="M432" s="139"/>
      <c r="N432" s="159"/>
    </row>
    <row r="433" spans="2:14" ht="15" customHeight="1">
      <c r="B433" s="595"/>
      <c r="C433" s="595"/>
      <c r="M433" s="139"/>
      <c r="N433" s="159"/>
    </row>
    <row r="434" spans="2:14" ht="15" customHeight="1">
      <c r="B434" s="595"/>
      <c r="C434" s="595"/>
      <c r="M434" s="139"/>
      <c r="N434" s="159"/>
    </row>
    <row r="435" spans="2:14" ht="15" customHeight="1">
      <c r="B435" s="595"/>
      <c r="C435" s="595"/>
      <c r="M435" s="139"/>
      <c r="N435" s="159"/>
    </row>
    <row r="436" spans="2:14" ht="15" customHeight="1">
      <c r="B436" s="595"/>
      <c r="C436" s="595"/>
      <c r="M436" s="139"/>
      <c r="N436" s="159"/>
    </row>
    <row r="437" spans="2:14" ht="15" customHeight="1">
      <c r="B437" s="595"/>
      <c r="C437" s="595"/>
      <c r="M437" s="139"/>
      <c r="N437" s="159"/>
    </row>
    <row r="438" spans="2:14" ht="15" customHeight="1">
      <c r="B438" s="595"/>
      <c r="C438" s="595"/>
      <c r="M438" s="139"/>
      <c r="N438" s="159"/>
    </row>
    <row r="439" spans="2:14" ht="15" customHeight="1">
      <c r="B439" s="595"/>
      <c r="C439" s="595"/>
      <c r="M439" s="139"/>
      <c r="N439" s="159"/>
    </row>
    <row r="440" spans="2:14" ht="15" customHeight="1">
      <c r="B440" s="595"/>
      <c r="C440" s="595"/>
      <c r="M440" s="139"/>
      <c r="N440" s="159"/>
    </row>
    <row r="441" spans="2:14" ht="15" customHeight="1">
      <c r="B441" s="595"/>
      <c r="C441" s="595"/>
      <c r="M441" s="139"/>
      <c r="N441" s="159"/>
    </row>
    <row r="442" spans="2:14" ht="15" customHeight="1">
      <c r="B442" s="595"/>
      <c r="C442" s="595"/>
      <c r="M442" s="139"/>
      <c r="N442" s="159"/>
    </row>
    <row r="443" spans="2:14" ht="15" customHeight="1">
      <c r="B443" s="595"/>
      <c r="C443" s="595"/>
      <c r="M443" s="139"/>
      <c r="N443" s="159"/>
    </row>
    <row r="444" spans="2:14" ht="15" customHeight="1">
      <c r="B444" s="595"/>
      <c r="C444" s="595"/>
      <c r="M444" s="139"/>
      <c r="N444" s="159"/>
    </row>
    <row r="445" spans="2:14" ht="15" customHeight="1">
      <c r="B445" s="595"/>
      <c r="C445" s="595"/>
      <c r="M445" s="139"/>
      <c r="N445" s="159"/>
    </row>
    <row r="446" spans="2:14" ht="15" customHeight="1">
      <c r="B446" s="595"/>
      <c r="C446" s="595"/>
      <c r="M446" s="139"/>
      <c r="N446" s="159"/>
    </row>
    <row r="447" spans="2:14" ht="15" customHeight="1">
      <c r="B447" s="595"/>
      <c r="C447" s="595"/>
      <c r="M447" s="139"/>
      <c r="N447" s="159"/>
    </row>
    <row r="448" spans="2:14" ht="15" customHeight="1">
      <c r="M448" s="139"/>
      <c r="N448" s="159"/>
    </row>
    <row r="449" spans="13:14" ht="15" customHeight="1">
      <c r="M449" s="139"/>
      <c r="N449" s="159"/>
    </row>
    <row r="450" spans="13:14" ht="15" customHeight="1">
      <c r="M450" s="139"/>
      <c r="N450" s="159"/>
    </row>
    <row r="451" spans="13:14" ht="15" customHeight="1">
      <c r="M451" s="139"/>
      <c r="N451" s="159"/>
    </row>
    <row r="452" spans="13:14" ht="15" customHeight="1">
      <c r="M452" s="139"/>
      <c r="N452" s="159"/>
    </row>
    <row r="453" spans="13:14" ht="15" customHeight="1">
      <c r="M453" s="139"/>
      <c r="N453" s="159"/>
    </row>
    <row r="454" spans="13:14" ht="15" customHeight="1">
      <c r="M454" s="139"/>
      <c r="N454" s="159"/>
    </row>
    <row r="455" spans="13:14" ht="15" customHeight="1">
      <c r="M455" s="139"/>
      <c r="N455" s="159"/>
    </row>
    <row r="456" spans="13:14" ht="15" customHeight="1">
      <c r="M456" s="139"/>
      <c r="N456" s="159"/>
    </row>
    <row r="457" spans="13:14" ht="15" customHeight="1">
      <c r="M457" s="139"/>
      <c r="N457" s="159"/>
    </row>
    <row r="458" spans="13:14" ht="15" customHeight="1">
      <c r="M458" s="139"/>
      <c r="N458" s="159"/>
    </row>
    <row r="459" spans="13:14" ht="15" customHeight="1">
      <c r="M459" s="139"/>
      <c r="N459" s="159"/>
    </row>
    <row r="460" spans="13:14" ht="15" customHeight="1">
      <c r="M460" s="139"/>
      <c r="N460" s="159"/>
    </row>
    <row r="461" spans="13:14" ht="15" customHeight="1">
      <c r="M461" s="139"/>
      <c r="N461" s="159"/>
    </row>
    <row r="462" spans="13:14" ht="15" customHeight="1">
      <c r="M462" s="139"/>
      <c r="N462" s="159"/>
    </row>
    <row r="463" spans="13:14" ht="15" customHeight="1">
      <c r="M463" s="139"/>
      <c r="N463" s="159"/>
    </row>
    <row r="464" spans="13:14" ht="15" customHeight="1">
      <c r="M464" s="139"/>
      <c r="N464" s="159"/>
    </row>
    <row r="465" spans="13:14" ht="15" customHeight="1">
      <c r="M465" s="139"/>
      <c r="N465" s="159"/>
    </row>
    <row r="466" spans="13:14" ht="15" customHeight="1">
      <c r="M466" s="139"/>
      <c r="N466" s="159"/>
    </row>
    <row r="467" spans="13:14" ht="15" customHeight="1">
      <c r="M467" s="139"/>
      <c r="N467" s="159"/>
    </row>
    <row r="468" spans="13:14" ht="15" customHeight="1">
      <c r="M468" s="139"/>
      <c r="N468" s="159"/>
    </row>
    <row r="469" spans="13:14" ht="15" customHeight="1">
      <c r="M469" s="139"/>
      <c r="N469" s="159"/>
    </row>
    <row r="470" spans="13:14" ht="15" customHeight="1">
      <c r="M470" s="139"/>
      <c r="N470" s="159"/>
    </row>
    <row r="471" spans="13:14" ht="15" customHeight="1">
      <c r="M471" s="139"/>
      <c r="N471" s="159"/>
    </row>
    <row r="472" spans="13:14" ht="15" customHeight="1">
      <c r="M472" s="139"/>
      <c r="N472" s="159"/>
    </row>
    <row r="473" spans="13:14" ht="15" customHeight="1">
      <c r="M473" s="139"/>
      <c r="N473" s="159"/>
    </row>
    <row r="474" spans="13:14" ht="15" customHeight="1">
      <c r="M474" s="139"/>
      <c r="N474" s="159"/>
    </row>
    <row r="475" spans="13:14" ht="15" customHeight="1">
      <c r="M475" s="139"/>
      <c r="N475" s="159"/>
    </row>
    <row r="476" spans="13:14" ht="15" customHeight="1">
      <c r="M476" s="139"/>
      <c r="N476" s="159"/>
    </row>
    <row r="477" spans="13:14" ht="15" customHeight="1">
      <c r="M477" s="139"/>
      <c r="N477" s="159"/>
    </row>
    <row r="478" spans="13:14" ht="15" customHeight="1">
      <c r="M478" s="139"/>
      <c r="N478" s="159"/>
    </row>
    <row r="479" spans="13:14" ht="15" customHeight="1">
      <c r="M479" s="139"/>
      <c r="N479" s="159"/>
    </row>
    <row r="480" spans="13:14" ht="15" customHeight="1">
      <c r="M480" s="139"/>
      <c r="N480" s="159"/>
    </row>
    <row r="481" spans="13:14" ht="15" customHeight="1">
      <c r="M481" s="139"/>
      <c r="N481" s="159"/>
    </row>
    <row r="482" spans="13:14" ht="15" customHeight="1">
      <c r="M482" s="139"/>
      <c r="N482" s="159"/>
    </row>
    <row r="483" spans="13:14" ht="15" customHeight="1">
      <c r="M483" s="139"/>
      <c r="N483" s="159"/>
    </row>
    <row r="484" spans="13:14" ht="15" customHeight="1">
      <c r="M484" s="139"/>
      <c r="N484" s="159"/>
    </row>
    <row r="485" spans="13:14" ht="15" customHeight="1">
      <c r="M485" s="139"/>
      <c r="N485" s="159"/>
    </row>
    <row r="486" spans="13:14" ht="15" customHeight="1">
      <c r="M486" s="139"/>
      <c r="N486" s="159"/>
    </row>
    <row r="487" spans="13:14" ht="15" customHeight="1">
      <c r="M487" s="139"/>
      <c r="N487" s="159"/>
    </row>
    <row r="488" spans="13:14" ht="15" customHeight="1">
      <c r="M488" s="139"/>
      <c r="N488" s="159"/>
    </row>
    <row r="489" spans="13:14" ht="15" customHeight="1">
      <c r="M489" s="139"/>
      <c r="N489" s="159"/>
    </row>
    <row r="490" spans="13:14" ht="15" customHeight="1">
      <c r="M490" s="139"/>
      <c r="N490" s="159"/>
    </row>
    <row r="491" spans="13:14" ht="15" customHeight="1">
      <c r="M491" s="139"/>
      <c r="N491" s="159"/>
    </row>
    <row r="492" spans="13:14" ht="15" customHeight="1">
      <c r="M492" s="139"/>
      <c r="N492" s="159"/>
    </row>
    <row r="493" spans="13:14" ht="15" customHeight="1">
      <c r="M493" s="139"/>
      <c r="N493" s="159"/>
    </row>
    <row r="494" spans="13:14" ht="15" customHeight="1">
      <c r="M494" s="139"/>
      <c r="N494" s="159"/>
    </row>
    <row r="495" spans="13:14" ht="15" customHeight="1">
      <c r="M495" s="139"/>
      <c r="N495" s="159"/>
    </row>
    <row r="496" spans="13:14" ht="15" customHeight="1">
      <c r="M496" s="139"/>
      <c r="N496" s="159"/>
    </row>
    <row r="497" spans="13:14" ht="15" customHeight="1">
      <c r="M497" s="139"/>
      <c r="N497" s="159"/>
    </row>
    <row r="498" spans="13:14" ht="15" customHeight="1">
      <c r="M498" s="139"/>
      <c r="N498" s="159"/>
    </row>
    <row r="499" spans="13:14" ht="15" customHeight="1">
      <c r="M499" s="139"/>
      <c r="N499" s="159"/>
    </row>
    <row r="500" spans="13:14" ht="15" customHeight="1">
      <c r="M500" s="139"/>
      <c r="N500" s="159"/>
    </row>
    <row r="501" spans="13:14" ht="15" customHeight="1">
      <c r="M501" s="139"/>
      <c r="N501" s="159"/>
    </row>
    <row r="502" spans="13:14" ht="15" customHeight="1">
      <c r="M502" s="139"/>
      <c r="N502" s="159"/>
    </row>
    <row r="503" spans="13:14" ht="15" customHeight="1">
      <c r="M503" s="139"/>
      <c r="N503" s="159"/>
    </row>
    <row r="504" spans="13:14" ht="15" customHeight="1">
      <c r="M504" s="139"/>
      <c r="N504" s="159"/>
    </row>
    <row r="505" spans="13:14" ht="15" customHeight="1">
      <c r="M505" s="139"/>
      <c r="N505" s="159"/>
    </row>
    <row r="506" spans="13:14" ht="15" customHeight="1">
      <c r="M506" s="139"/>
      <c r="N506" s="159"/>
    </row>
    <row r="507" spans="13:14" ht="15" customHeight="1">
      <c r="M507" s="139"/>
      <c r="N507" s="159"/>
    </row>
    <row r="508" spans="13:14" ht="15" customHeight="1">
      <c r="M508" s="139"/>
      <c r="N508" s="159"/>
    </row>
    <row r="509" spans="13:14" ht="15" customHeight="1">
      <c r="M509" s="139"/>
      <c r="N509" s="159"/>
    </row>
    <row r="510" spans="13:14" ht="15" customHeight="1">
      <c r="M510" s="139"/>
      <c r="N510" s="159"/>
    </row>
    <row r="511" spans="13:14" ht="15" customHeight="1">
      <c r="M511" s="139"/>
      <c r="N511" s="159"/>
    </row>
    <row r="512" spans="13:14" ht="15" customHeight="1">
      <c r="M512" s="139"/>
      <c r="N512" s="159"/>
    </row>
    <row r="513" spans="13:14" ht="15" customHeight="1">
      <c r="M513" s="139"/>
      <c r="N513" s="159"/>
    </row>
    <row r="514" spans="13:14" ht="15" customHeight="1">
      <c r="M514" s="139"/>
      <c r="N514" s="159"/>
    </row>
    <row r="515" spans="13:14" ht="15" customHeight="1">
      <c r="M515" s="139"/>
      <c r="N515" s="159"/>
    </row>
    <row r="516" spans="13:14" ht="15" customHeight="1">
      <c r="M516" s="139"/>
      <c r="N516" s="159"/>
    </row>
    <row r="517" spans="13:14" ht="15" customHeight="1">
      <c r="M517" s="139"/>
      <c r="N517" s="159"/>
    </row>
    <row r="518" spans="13:14" ht="15" customHeight="1">
      <c r="M518" s="139"/>
      <c r="N518" s="159"/>
    </row>
    <row r="519" spans="13:14" ht="15" customHeight="1">
      <c r="M519" s="139"/>
      <c r="N519" s="159"/>
    </row>
    <row r="520" spans="13:14" ht="15" customHeight="1">
      <c r="M520" s="139"/>
      <c r="N520" s="159"/>
    </row>
    <row r="521" spans="13:14" ht="15" customHeight="1">
      <c r="M521" s="139"/>
      <c r="N521" s="159"/>
    </row>
    <row r="522" spans="13:14" ht="15" customHeight="1">
      <c r="M522" s="139"/>
      <c r="N522" s="159"/>
    </row>
    <row r="523" spans="13:14" ht="15" customHeight="1">
      <c r="M523" s="139"/>
      <c r="N523" s="159"/>
    </row>
    <row r="524" spans="13:14" ht="15" customHeight="1">
      <c r="M524" s="139"/>
      <c r="N524" s="159"/>
    </row>
    <row r="525" spans="13:14" ht="15" customHeight="1">
      <c r="M525" s="139"/>
      <c r="N525" s="159"/>
    </row>
    <row r="526" spans="13:14" ht="15" customHeight="1">
      <c r="M526" s="139"/>
      <c r="N526" s="159"/>
    </row>
    <row r="527" spans="13:14" ht="15" customHeight="1">
      <c r="M527" s="139"/>
      <c r="N527" s="159"/>
    </row>
    <row r="528" spans="13:14" ht="15" customHeight="1">
      <c r="M528" s="139"/>
      <c r="N528" s="159"/>
    </row>
    <row r="529" spans="13:14" ht="15" customHeight="1">
      <c r="M529" s="139"/>
      <c r="N529" s="159"/>
    </row>
    <row r="530" spans="13:14" ht="15" customHeight="1">
      <c r="M530" s="139"/>
      <c r="N530" s="159"/>
    </row>
    <row r="531" spans="13:14" ht="15" customHeight="1">
      <c r="M531" s="139"/>
      <c r="N531" s="159"/>
    </row>
    <row r="532" spans="13:14" ht="15" customHeight="1">
      <c r="M532" s="139"/>
      <c r="N532" s="159"/>
    </row>
    <row r="533" spans="13:14" ht="15" customHeight="1">
      <c r="M533" s="139"/>
      <c r="N533" s="159"/>
    </row>
    <row r="534" spans="13:14" ht="15" customHeight="1">
      <c r="M534" s="139"/>
      <c r="N534" s="159"/>
    </row>
    <row r="535" spans="13:14" ht="15" customHeight="1">
      <c r="M535" s="139"/>
      <c r="N535" s="159"/>
    </row>
    <row r="536" spans="13:14" ht="15" customHeight="1">
      <c r="M536" s="139"/>
      <c r="N536" s="159"/>
    </row>
    <row r="537" spans="13:14" ht="15" customHeight="1">
      <c r="M537" s="139"/>
      <c r="N537" s="159"/>
    </row>
    <row r="538" spans="13:14" ht="15" customHeight="1">
      <c r="M538" s="139"/>
      <c r="N538" s="159"/>
    </row>
    <row r="539" spans="13:14" ht="15" customHeight="1">
      <c r="M539" s="139"/>
      <c r="N539" s="159"/>
    </row>
    <row r="540" spans="13:14" ht="15" customHeight="1">
      <c r="M540" s="139"/>
      <c r="N540" s="159"/>
    </row>
    <row r="541" spans="13:14" ht="15" customHeight="1">
      <c r="M541" s="139"/>
      <c r="N541" s="159"/>
    </row>
    <row r="542" spans="13:14" ht="15" customHeight="1">
      <c r="M542" s="139"/>
      <c r="N542" s="159"/>
    </row>
    <row r="543" spans="13:14" ht="15" customHeight="1">
      <c r="M543" s="139"/>
      <c r="N543" s="159"/>
    </row>
    <row r="544" spans="13:14" ht="15" customHeight="1">
      <c r="N544" s="159"/>
    </row>
    <row r="545" spans="14:14" ht="15" customHeight="1">
      <c r="N545" s="159"/>
    </row>
    <row r="546" spans="14:14" ht="15" customHeight="1">
      <c r="N546" s="159"/>
    </row>
    <row r="547" spans="14:14" ht="15" customHeight="1">
      <c r="N547" s="159"/>
    </row>
    <row r="548" spans="14:14" ht="15" customHeight="1">
      <c r="N548" s="159"/>
    </row>
    <row r="549" spans="14:14" ht="15" customHeight="1">
      <c r="N549" s="159"/>
    </row>
  </sheetData>
  <autoFilter ref="A3:AL4" xr:uid="{00000000-0009-0000-0000-000003000000}">
    <sortState xmlns:xlrd2="http://schemas.microsoft.com/office/spreadsheetml/2017/richdata2" ref="A4:AL19">
      <sortCondition ref="A3:A4"/>
    </sortState>
  </autoFilter>
  <pageMargins left="0.7" right="0.7" top="0.75" bottom="0.75" header="0" footer="0"/>
  <pageSetup scale="17" fitToHeight="0" orientation="portrait" horizontalDpi="360" verticalDpi="360" r:id="rId1"/>
  <ignoredErrors>
    <ignoredError sqref="AI3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9">
    <tabColor rgb="FF00B050"/>
    <pageSetUpPr fitToPage="1"/>
  </sheetPr>
  <dimension ref="A1:AL408"/>
  <sheetViews>
    <sheetView showGridLines="0" zoomScale="96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D12" sqref="D12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4" width="20.33203125" customWidth="1"/>
    <col min="35" max="35" width="14.44140625" customWidth="1"/>
    <col min="36" max="36" width="17.5546875" customWidth="1"/>
    <col min="37" max="37" width="5.109375" customWidth="1"/>
    <col min="38" max="38" width="14.44140625" customWidth="1"/>
  </cols>
  <sheetData>
    <row r="1" spans="1:38" ht="15" customHeight="1" thickBot="1">
      <c r="A1" s="677"/>
      <c r="D1" s="1075" t="s">
        <v>1906</v>
      </c>
      <c r="E1" s="1076">
        <f>+AL3</f>
        <v>218064.08159721916</v>
      </c>
      <c r="F1" s="79"/>
      <c r="G1" s="80"/>
      <c r="H1" s="81"/>
      <c r="I1" s="843"/>
      <c r="K1" s="1061"/>
      <c r="L1" s="1007"/>
      <c r="AB1" s="83"/>
      <c r="AC1" s="758"/>
      <c r="AD1" s="83"/>
      <c r="AE1" s="83"/>
      <c r="AF1" s="83"/>
      <c r="AG1" s="768" t="s">
        <v>34</v>
      </c>
      <c r="AH1" s="701" t="s">
        <v>1001</v>
      </c>
      <c r="AI1" s="699" t="s">
        <v>36</v>
      </c>
      <c r="AJ1" s="87" t="s">
        <v>37</v>
      </c>
      <c r="AK1" s="88"/>
      <c r="AL1" s="89" t="s">
        <v>38</v>
      </c>
    </row>
    <row r="2" spans="1:38" ht="15" customHeight="1" thickBot="1">
      <c r="D2" s="1075" t="s">
        <v>1907</v>
      </c>
      <c r="E2" s="1076">
        <f>+AH3</f>
        <v>2884.4003059781899</v>
      </c>
      <c r="F2" s="1079" t="s">
        <v>1908</v>
      </c>
      <c r="G2" s="1080">
        <f>+Q2</f>
        <v>89.843505121636838</v>
      </c>
      <c r="H2" s="90"/>
      <c r="I2" s="91">
        <f>SUBTOTAL(9,I4:I8703)</f>
        <v>328.07</v>
      </c>
      <c r="J2" s="81"/>
      <c r="K2" s="91">
        <f>SUBTOTAL(9,K4:K8703)</f>
        <v>294.40514999999999</v>
      </c>
      <c r="L2" s="93">
        <f>SUMPRODUCT(L10:L8703,K10:K8703)/K2</f>
        <v>0.3180893622614957</v>
      </c>
      <c r="M2" s="6"/>
      <c r="P2" s="94">
        <f>+SUMPRODUCT(P10:P8703,AG10:AG8703)/SUM(AG10:AG8703)</f>
        <v>88.652355909458109</v>
      </c>
      <c r="Q2" s="94">
        <f>+SUMPRODUCT(Q10:Q8703,AH10:AH8703)/SUM(AH10:AH8703)</f>
        <v>89.843505121636838</v>
      </c>
      <c r="R2" s="89">
        <v>3200</v>
      </c>
      <c r="S2" s="6"/>
      <c r="AB2" s="83"/>
      <c r="AC2" s="83"/>
      <c r="AD2" s="83"/>
      <c r="AE2" s="83"/>
      <c r="AF2" s="83"/>
      <c r="AG2" s="769">
        <f>SUMPRODUCT($AG10:$AG8703,$K10:$K8703)/SUM($K10:$K8703)</f>
        <v>66.397143687732083</v>
      </c>
      <c r="AH2" s="702"/>
      <c r="AI2" s="1142">
        <v>3385.7</v>
      </c>
      <c r="AJ2" s="98"/>
      <c r="AK2" s="88"/>
      <c r="AL2" s="99"/>
    </row>
    <row r="3" spans="1:38" ht="15" customHeight="1" thickBot="1">
      <c r="A3" s="678" t="s">
        <v>11</v>
      </c>
      <c r="B3" s="678" t="s">
        <v>39</v>
      </c>
      <c r="C3" s="678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18">
        <f>SUBTOTAL(9,AH10:AH8703)</f>
        <v>2884.4003059781899</v>
      </c>
      <c r="AI3" s="700">
        <f>SUMPRODUCT(K10:K8703,AI10:AI8703)/K2</f>
        <v>148.26888659093038</v>
      </c>
      <c r="AJ3" s="118">
        <f>SUBTOTAL(9,AJ10:AJ8703)</f>
        <v>2806.8125664795489</v>
      </c>
      <c r="AK3" s="88"/>
      <c r="AL3" s="118">
        <f>SUBTOTAL(9,AL10:AL8703)</f>
        <v>218064.08159721916</v>
      </c>
    </row>
    <row r="4" spans="1:38" s="677" customFormat="1" ht="15.75" customHeight="1">
      <c r="A4" s="720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4"/>
      <c r="AJ4" s="675"/>
      <c r="AK4" s="676"/>
      <c r="AL4" s="732"/>
    </row>
    <row r="5" spans="1:38" ht="15" customHeight="1">
      <c r="A5" s="747" t="s">
        <v>2069</v>
      </c>
      <c r="B5" s="595"/>
      <c r="C5" s="595">
        <v>45746</v>
      </c>
      <c r="D5" t="s">
        <v>1993</v>
      </c>
      <c r="E5">
        <f>_xlfn.XLOOKUP(D5,RUC!$B$3:$B$123,RUC!$D$3:$D$123)</f>
        <v>20612937096</v>
      </c>
      <c r="G5" s="80"/>
      <c r="I5" s="596"/>
      <c r="J5" s="596"/>
      <c r="K5" s="138"/>
      <c r="L5" s="139"/>
      <c r="M5" s="139"/>
      <c r="N5" s="159"/>
      <c r="O5" s="645"/>
      <c r="P5" s="727"/>
      <c r="Q5" s="596"/>
      <c r="R5" s="706"/>
      <c r="S5" s="765"/>
      <c r="U5" s="1066"/>
      <c r="V5" s="715"/>
      <c r="Z5" s="143"/>
      <c r="AA5" s="144"/>
      <c r="AB5" s="145"/>
      <c r="AC5" s="145"/>
      <c r="AD5" s="145"/>
      <c r="AE5" s="145"/>
      <c r="AF5" s="145"/>
      <c r="AG5" s="772"/>
      <c r="AH5" s="146"/>
      <c r="AI5" s="156"/>
      <c r="AJ5" s="156"/>
      <c r="AK5" s="88"/>
      <c r="AL5" s="716"/>
    </row>
    <row r="6" spans="1:38" ht="15" customHeight="1">
      <c r="A6" s="747" t="s">
        <v>2070</v>
      </c>
      <c r="B6" s="595"/>
      <c r="C6" s="595">
        <v>45746</v>
      </c>
      <c r="D6" t="s">
        <v>1993</v>
      </c>
      <c r="E6">
        <f>_xlfn.XLOOKUP(D6,RUC!$B$3:$B$123,RUC!$D$3:$D$123)</f>
        <v>20612937096</v>
      </c>
      <c r="G6" s="80"/>
      <c r="I6" s="596"/>
      <c r="J6" s="596"/>
      <c r="K6" s="138"/>
      <c r="L6" s="139"/>
      <c r="M6" s="139"/>
      <c r="N6" s="159"/>
      <c r="O6" s="645"/>
      <c r="P6" s="727"/>
      <c r="Q6" s="596"/>
      <c r="R6" s="706"/>
      <c r="S6" s="765"/>
      <c r="U6" s="1066"/>
      <c r="V6" s="715"/>
      <c r="Z6" s="143"/>
      <c r="AA6" s="144"/>
      <c r="AB6" s="145"/>
      <c r="AC6" s="145"/>
      <c r="AD6" s="145"/>
      <c r="AE6" s="145"/>
      <c r="AF6" s="145"/>
      <c r="AG6" s="772"/>
      <c r="AH6" s="146"/>
      <c r="AI6" s="156"/>
      <c r="AJ6" s="156"/>
      <c r="AK6" s="88"/>
      <c r="AL6" s="716"/>
    </row>
    <row r="7" spans="1:38" ht="15" customHeight="1">
      <c r="A7" s="747" t="s">
        <v>2071</v>
      </c>
      <c r="B7" s="595"/>
      <c r="C7" s="595">
        <v>45746</v>
      </c>
      <c r="D7" t="s">
        <v>1993</v>
      </c>
      <c r="E7">
        <f>_xlfn.XLOOKUP(D7,RUC!$B$3:$B$123,RUC!$D$3:$D$123)</f>
        <v>20612937096</v>
      </c>
      <c r="G7" s="80"/>
      <c r="I7" s="596"/>
      <c r="J7" s="596"/>
      <c r="K7" s="138"/>
      <c r="L7" s="139"/>
      <c r="M7" s="139"/>
      <c r="N7" s="159"/>
      <c r="O7" s="645"/>
      <c r="P7" s="727"/>
      <c r="Q7" s="596"/>
      <c r="R7" s="706"/>
      <c r="S7" s="765"/>
      <c r="U7" s="1066"/>
      <c r="V7" s="715"/>
      <c r="Z7" s="143"/>
      <c r="AA7" s="144"/>
      <c r="AB7" s="145"/>
      <c r="AC7" s="145"/>
      <c r="AD7" s="145"/>
      <c r="AE7" s="145"/>
      <c r="AF7" s="145"/>
      <c r="AG7" s="772"/>
      <c r="AH7" s="146"/>
      <c r="AI7" s="156"/>
      <c r="AJ7" s="156"/>
      <c r="AK7" s="88"/>
      <c r="AL7" s="716"/>
    </row>
    <row r="8" spans="1:38" ht="15" customHeight="1">
      <c r="A8" s="747" t="s">
        <v>2072</v>
      </c>
      <c r="B8" s="595"/>
      <c r="C8" s="595">
        <v>45746</v>
      </c>
      <c r="D8" t="s">
        <v>1993</v>
      </c>
      <c r="E8">
        <f>_xlfn.XLOOKUP(D8,RUC!$B$3:$B$123,RUC!$D$3:$D$123)</f>
        <v>20612937096</v>
      </c>
      <c r="G8" s="80"/>
      <c r="I8" s="596"/>
      <c r="J8" s="596"/>
      <c r="K8" s="138"/>
      <c r="L8" s="139"/>
      <c r="M8" s="139"/>
      <c r="N8" s="159"/>
      <c r="O8" s="645"/>
      <c r="P8" s="727"/>
      <c r="Q8" s="596"/>
      <c r="R8" s="706"/>
      <c r="S8" s="765"/>
      <c r="U8" s="1066"/>
      <c r="V8" s="715"/>
      <c r="Z8" s="143"/>
      <c r="AA8" s="144"/>
      <c r="AB8" s="145"/>
      <c r="AC8" s="145"/>
      <c r="AD8" s="145"/>
      <c r="AE8" s="145"/>
      <c r="AF8" s="145"/>
      <c r="AG8" s="772"/>
      <c r="AH8" s="146"/>
      <c r="AI8" s="156"/>
      <c r="AJ8" s="156"/>
      <c r="AK8" s="88"/>
      <c r="AL8" s="716"/>
    </row>
    <row r="9" spans="1:38" ht="15" customHeight="1">
      <c r="A9" s="747" t="s">
        <v>2073</v>
      </c>
      <c r="B9" s="595"/>
      <c r="C9" s="595">
        <v>45747</v>
      </c>
      <c r="D9" t="s">
        <v>1966</v>
      </c>
      <c r="E9">
        <f>_xlfn.XLOOKUP(D9,RUC!$B$3:$B$123,RUC!$D$3:$D$123)</f>
        <v>20612791148</v>
      </c>
      <c r="G9" s="80"/>
      <c r="I9" s="596"/>
      <c r="J9" s="596"/>
      <c r="K9" s="138"/>
      <c r="L9" s="139"/>
      <c r="M9" s="139"/>
      <c r="N9" s="159"/>
      <c r="O9" s="645"/>
      <c r="P9" s="727"/>
      <c r="Q9" s="596"/>
      <c r="R9" s="706"/>
      <c r="S9" s="765"/>
      <c r="U9" s="1066"/>
      <c r="V9" s="715"/>
      <c r="Z9" s="143"/>
      <c r="AA9" s="144"/>
      <c r="AB9" s="145"/>
      <c r="AC9" s="145"/>
      <c r="AD9" s="145"/>
      <c r="AE9" s="145"/>
      <c r="AF9" s="145"/>
      <c r="AG9" s="772"/>
      <c r="AH9" s="146"/>
      <c r="AI9" s="156"/>
      <c r="AJ9" s="156"/>
      <c r="AK9" s="88"/>
      <c r="AL9" s="716"/>
    </row>
    <row r="10" spans="1:38" ht="15" customHeight="1">
      <c r="A10" s="877" t="s">
        <v>1926</v>
      </c>
      <c r="B10" s="717">
        <v>45741</v>
      </c>
      <c r="C10" s="595">
        <v>45724</v>
      </c>
      <c r="D10" t="s">
        <v>1586</v>
      </c>
      <c r="E10" t="e">
        <f>_xlfn.XLOOKUP(D10,RUC!$B$3:$B$123,RUC!$D$3:$D$123)</f>
        <v>#N/A</v>
      </c>
      <c r="G10" s="80">
        <v>50</v>
      </c>
      <c r="H10" t="s">
        <v>69</v>
      </c>
      <c r="I10">
        <v>6.83</v>
      </c>
      <c r="J10" s="596">
        <v>1.5</v>
      </c>
      <c r="K10" s="1138">
        <f t="shared" ref="K10:K24" si="0">+I10-(I10*(J10/100))</f>
        <v>6.7275499999999999</v>
      </c>
      <c r="L10" s="139">
        <v>1.06</v>
      </c>
      <c r="M10" s="1097">
        <v>1.0529999999999999</v>
      </c>
      <c r="N10" s="1097">
        <v>1.177</v>
      </c>
      <c r="O10" s="645">
        <f t="shared" ref="O10:O24" si="1">+ROUND((M10+N10)/2,3)</f>
        <v>1.115</v>
      </c>
      <c r="P10" s="727">
        <v>90</v>
      </c>
      <c r="Q10" s="596">
        <v>89.93</v>
      </c>
      <c r="R10" s="706">
        <v>2931.15</v>
      </c>
      <c r="S10" s="802">
        <f t="shared" ref="S10:S17" si="2">IF((85+ROUNDDOWN(O10,1)*100)&lt;95,95,(85+ROUNDDOWN(O10,1)*100))</f>
        <v>195</v>
      </c>
      <c r="U10" s="1024">
        <v>90</v>
      </c>
      <c r="V10" s="715">
        <v>1.1023000000000001</v>
      </c>
      <c r="Z10" s="1062">
        <v>25</v>
      </c>
      <c r="AA10" s="144">
        <f t="shared" ref="AA10:AA24" si="3">+Y10+Z10</f>
        <v>25</v>
      </c>
      <c r="AB10" s="145">
        <f t="shared" ref="AB10:AB24" si="4">+((O10*P10*(R10-U10)/100)-S10-AA10+T10)*V10</f>
        <v>2900.2549437574999</v>
      </c>
      <c r="AC10" s="145">
        <f>+(S10-T10)*V10-'data 1'!$F$4</f>
        <v>134.94850000000002</v>
      </c>
      <c r="AD10" s="145">
        <f t="shared" ref="AD10:AD24" si="5">+(Q10-P10)*(R10-U10)*L10*V10/100</f>
        <v>-2.3237953365897739</v>
      </c>
      <c r="AE10" s="145">
        <f t="shared" ref="AE10:AE24" si="6">+(Y10*V10-70)+V10*(Z10-IF(D10="UNTUCA",IF(+((W10-3)*2.5+(X10-3)*3.1)&gt;0,+((W10-3)*1.5+(X10-3)*3.1),0),IF(+((W10-3)*1.5+(X10-3)*3.1)&gt;0,+((W10-3)*1.5+(X10-3)*3.1),0)))</f>
        <v>-42.442499999999995</v>
      </c>
      <c r="AF10" s="145">
        <f t="shared" ref="AF10:AF24" si="7">(L10-O10)*(R10-U10)*Q10*V10/100</f>
        <v>-154.90350814116735</v>
      </c>
      <c r="AG10" s="772">
        <f t="shared" ref="AG10:AG17" si="8">+IF(D10="RONALD WILLIAN GARIBAY ESCUDERO",AC10+AD10+AE10+AF10+70,AC10+AD10+AE10+AF10)+70-53</f>
        <v>-47.72130347775709</v>
      </c>
      <c r="AH10" s="146">
        <f t="shared" ref="AH10:AH24" si="9">31.1035*L10*Q10*1.1023*K10/100</f>
        <v>219.87530866300892</v>
      </c>
      <c r="AI10" s="156">
        <f t="shared" ref="AI10:AI24" si="10">+((+$AI$2-R10+U10)*L10*Q10*V10)/100</f>
        <v>572.20023057096978</v>
      </c>
      <c r="AJ10" s="156">
        <f t="shared" ref="AJ10:AJ24" si="11">31.1035*1.1023*K10*P10*O10/100</f>
        <v>231.46396069409272</v>
      </c>
      <c r="AK10" s="88"/>
      <c r="AL10" s="716">
        <f t="shared" ref="AL10:AL24" si="12">+IF(AB10*K10&gt;0,AB10*K10,0)</f>
        <v>19511.61014687577</v>
      </c>
    </row>
    <row r="11" spans="1:38" ht="15" customHeight="1">
      <c r="A11" s="877" t="s">
        <v>1927</v>
      </c>
      <c r="B11" s="717">
        <v>45741</v>
      </c>
      <c r="C11" s="595">
        <v>45724</v>
      </c>
      <c r="D11" t="s">
        <v>1586</v>
      </c>
      <c r="E11" t="e">
        <f>_xlfn.XLOOKUP(D11,RUC!$B$3:$B$123,RUC!$D$3:$D$123)</f>
        <v>#N/A</v>
      </c>
      <c r="G11" s="80">
        <v>50</v>
      </c>
      <c r="H11" t="s">
        <v>69</v>
      </c>
      <c r="I11">
        <v>6.77</v>
      </c>
      <c r="J11" s="596">
        <v>1.1499999999999999</v>
      </c>
      <c r="K11" s="1138">
        <f t="shared" si="0"/>
        <v>6.692145</v>
      </c>
      <c r="L11" s="139">
        <v>1.365</v>
      </c>
      <c r="M11" s="1097">
        <v>1.1359999999999999</v>
      </c>
      <c r="N11" s="1097">
        <v>1.155</v>
      </c>
      <c r="O11" s="645">
        <f t="shared" si="1"/>
        <v>1.1459999999999999</v>
      </c>
      <c r="P11" s="727">
        <v>90</v>
      </c>
      <c r="Q11" s="596">
        <v>89.9</v>
      </c>
      <c r="R11" s="706">
        <v>2931.15</v>
      </c>
      <c r="S11" s="802">
        <f t="shared" si="2"/>
        <v>195</v>
      </c>
      <c r="U11" s="1024">
        <v>90</v>
      </c>
      <c r="V11" s="715">
        <v>1.1023000000000001</v>
      </c>
      <c r="Z11" s="1062">
        <v>25</v>
      </c>
      <c r="AA11" s="144">
        <f t="shared" si="3"/>
        <v>25</v>
      </c>
      <c r="AB11" s="145">
        <f t="shared" si="4"/>
        <v>2987.6321538529996</v>
      </c>
      <c r="AC11" s="145">
        <f>+(S11-T11)*V11-'data 1'!$F$4</f>
        <v>134.94850000000002</v>
      </c>
      <c r="AD11" s="145">
        <f t="shared" si="5"/>
        <v>-4.2749065154247576</v>
      </c>
      <c r="AE11" s="145">
        <f t="shared" si="6"/>
        <v>-42.442499999999995</v>
      </c>
      <c r="AF11" s="1068">
        <f t="shared" si="7"/>
        <v>616.59184590724533</v>
      </c>
      <c r="AG11" s="772">
        <f t="shared" si="8"/>
        <v>721.82293939182057</v>
      </c>
      <c r="AH11" s="146">
        <f t="shared" si="9"/>
        <v>281.55727591236979</v>
      </c>
      <c r="AI11" s="156">
        <f t="shared" si="10"/>
        <v>736.59694431277467</v>
      </c>
      <c r="AJ11" s="156">
        <f t="shared" si="11"/>
        <v>236.64729176171986</v>
      </c>
      <c r="AK11" s="88"/>
      <c r="AL11" s="716">
        <f t="shared" si="12"/>
        <v>19993.667580246583</v>
      </c>
    </row>
    <row r="12" spans="1:38" ht="15" customHeight="1">
      <c r="A12" s="877" t="s">
        <v>1928</v>
      </c>
      <c r="B12" s="717">
        <v>45741</v>
      </c>
      <c r="C12" s="595">
        <v>45724</v>
      </c>
      <c r="D12" t="s">
        <v>1586</v>
      </c>
      <c r="E12" t="e">
        <f>_xlfn.XLOOKUP(D12,RUC!$B$3:$B$123,RUC!$D$3:$D$123)</f>
        <v>#N/A</v>
      </c>
      <c r="G12" s="80">
        <v>50</v>
      </c>
      <c r="H12" t="s">
        <v>69</v>
      </c>
      <c r="I12">
        <v>5.61</v>
      </c>
      <c r="J12" s="596">
        <v>1.2</v>
      </c>
      <c r="K12" s="1139">
        <f t="shared" si="0"/>
        <v>5.5426800000000007</v>
      </c>
      <c r="L12" s="139">
        <v>0.26200000000000001</v>
      </c>
      <c r="M12" s="139">
        <v>0.246</v>
      </c>
      <c r="N12" s="598">
        <v>0.29899999999999999</v>
      </c>
      <c r="O12" s="645">
        <f t="shared" si="1"/>
        <v>0.27300000000000002</v>
      </c>
      <c r="P12" s="727">
        <v>85</v>
      </c>
      <c r="Q12" s="596">
        <v>90.21</v>
      </c>
      <c r="R12" s="706">
        <v>2931.15</v>
      </c>
      <c r="S12" s="802">
        <f t="shared" si="2"/>
        <v>105</v>
      </c>
      <c r="U12" s="1024">
        <v>90</v>
      </c>
      <c r="V12" s="715">
        <v>1.1023000000000001</v>
      </c>
      <c r="Z12" s="1062">
        <v>25</v>
      </c>
      <c r="AA12" s="144">
        <f t="shared" si="3"/>
        <v>25</v>
      </c>
      <c r="AB12" s="145">
        <f t="shared" si="4"/>
        <v>583.43510762225014</v>
      </c>
      <c r="AC12" s="145">
        <f>+(S12-T12)*V12-'data 1'!$F$4</f>
        <v>35.741500000000002</v>
      </c>
      <c r="AD12" s="145">
        <f t="shared" si="5"/>
        <v>42.749691514178956</v>
      </c>
      <c r="AE12" s="145">
        <f t="shared" si="6"/>
        <v>-42.442499999999995</v>
      </c>
      <c r="AF12" s="145">
        <f t="shared" si="7"/>
        <v>-31.077161057299527</v>
      </c>
      <c r="AG12" s="772">
        <f t="shared" si="8"/>
        <v>21.971530456879435</v>
      </c>
      <c r="AH12" s="146">
        <f t="shared" si="9"/>
        <v>44.914322108035741</v>
      </c>
      <c r="AI12" s="156">
        <f t="shared" si="10"/>
        <v>141.87097190424294</v>
      </c>
      <c r="AJ12" s="156">
        <f t="shared" si="11"/>
        <v>44.097142482509824</v>
      </c>
      <c r="AK12" s="88"/>
      <c r="AL12" s="716">
        <f t="shared" si="12"/>
        <v>3233.7941023156936</v>
      </c>
    </row>
    <row r="13" spans="1:38" ht="15" customHeight="1">
      <c r="A13" s="877" t="s">
        <v>1930</v>
      </c>
      <c r="B13" s="717">
        <v>45736</v>
      </c>
      <c r="C13" s="595">
        <v>45724</v>
      </c>
      <c r="D13" t="s">
        <v>1586</v>
      </c>
      <c r="E13" t="e">
        <f>_xlfn.XLOOKUP(D13,RUC!$B$3:$B$123,RUC!$D$3:$D$123)</f>
        <v>#N/A</v>
      </c>
      <c r="G13" s="80">
        <v>50</v>
      </c>
      <c r="H13" t="s">
        <v>69</v>
      </c>
      <c r="I13">
        <v>6.73</v>
      </c>
      <c r="J13" s="596">
        <v>2</v>
      </c>
      <c r="K13" s="138">
        <f t="shared" si="0"/>
        <v>6.5954000000000006</v>
      </c>
      <c r="L13" s="139">
        <v>0.52800000000000002</v>
      </c>
      <c r="M13" s="139">
        <v>0.496</v>
      </c>
      <c r="N13" s="598">
        <v>0.56000000000000005</v>
      </c>
      <c r="O13" s="645">
        <f t="shared" si="1"/>
        <v>0.52800000000000002</v>
      </c>
      <c r="P13" s="727">
        <v>90</v>
      </c>
      <c r="Q13" s="596">
        <v>90.08</v>
      </c>
      <c r="R13" s="706">
        <v>2931.15</v>
      </c>
      <c r="S13" s="802">
        <f t="shared" si="2"/>
        <v>135</v>
      </c>
      <c r="U13" s="1024">
        <v>90</v>
      </c>
      <c r="V13" s="715">
        <v>1.1023000000000001</v>
      </c>
      <c r="Z13" s="1062">
        <v>25</v>
      </c>
      <c r="AA13" s="144">
        <f t="shared" si="3"/>
        <v>25</v>
      </c>
      <c r="AB13" s="145">
        <f t="shared" si="4"/>
        <v>1311.8631913040001</v>
      </c>
      <c r="AC13" s="145">
        <f>+(S13-T13)*V13-'data 1'!$F$4</f>
        <v>68.810500000000019</v>
      </c>
      <c r="AD13" s="145">
        <f t="shared" si="5"/>
        <v>1.3228721700479722</v>
      </c>
      <c r="AE13" s="145">
        <f t="shared" si="6"/>
        <v>-42.442499999999995</v>
      </c>
      <c r="AF13" s="145">
        <f t="shared" si="7"/>
        <v>0</v>
      </c>
      <c r="AG13" s="772">
        <f t="shared" si="8"/>
        <v>44.690872170047996</v>
      </c>
      <c r="AH13" s="146">
        <f t="shared" si="9"/>
        <v>107.55051869187068</v>
      </c>
      <c r="AI13" s="156">
        <f t="shared" si="10"/>
        <v>285.49589612121594</v>
      </c>
      <c r="AJ13" s="156">
        <f t="shared" si="11"/>
        <v>107.45500313352976</v>
      </c>
      <c r="AK13" s="88"/>
      <c r="AL13" s="716">
        <f t="shared" si="12"/>
        <v>8652.2624919264035</v>
      </c>
    </row>
    <row r="14" spans="1:38" ht="15" customHeight="1">
      <c r="A14" s="877" t="s">
        <v>1932</v>
      </c>
      <c r="B14" s="717">
        <v>45736</v>
      </c>
      <c r="C14" s="595">
        <v>45724</v>
      </c>
      <c r="D14" t="s">
        <v>1586</v>
      </c>
      <c r="E14" t="e">
        <f>_xlfn.XLOOKUP(D14,RUC!$B$3:$B$123,RUC!$D$3:$D$123)</f>
        <v>#N/A</v>
      </c>
      <c r="G14" s="80">
        <v>50</v>
      </c>
      <c r="H14" t="s">
        <v>69</v>
      </c>
      <c r="I14">
        <v>6.4</v>
      </c>
      <c r="J14" s="596">
        <v>1.9</v>
      </c>
      <c r="K14" s="138">
        <f t="shared" si="0"/>
        <v>6.2784000000000004</v>
      </c>
      <c r="L14" s="139">
        <v>0.69399999999999995</v>
      </c>
      <c r="M14" s="139">
        <v>0.65200000000000002</v>
      </c>
      <c r="N14" s="598">
        <v>0.76900000000000002</v>
      </c>
      <c r="O14" s="645">
        <f t="shared" si="1"/>
        <v>0.71099999999999997</v>
      </c>
      <c r="P14" s="727">
        <v>90</v>
      </c>
      <c r="Q14" s="596">
        <v>90.11</v>
      </c>
      <c r="R14" s="706">
        <v>2931.15</v>
      </c>
      <c r="S14" s="802">
        <f t="shared" si="2"/>
        <v>155</v>
      </c>
      <c r="U14" s="1024">
        <v>90</v>
      </c>
      <c r="V14" s="715">
        <v>1.1023000000000001</v>
      </c>
      <c r="Z14" s="1062">
        <v>25</v>
      </c>
      <c r="AA14" s="144">
        <f t="shared" si="3"/>
        <v>25</v>
      </c>
      <c r="AB14" s="145">
        <f t="shared" si="4"/>
        <v>1805.6245928354999</v>
      </c>
      <c r="AC14" s="145">
        <f>+(S14-T14)*V14-'data 1'!$F$4</f>
        <v>90.856500000000011</v>
      </c>
      <c r="AD14" s="145">
        <f t="shared" si="5"/>
        <v>2.3908158489929878</v>
      </c>
      <c r="AE14" s="145">
        <f t="shared" si="6"/>
        <v>-42.442499999999995</v>
      </c>
      <c r="AF14" s="145">
        <f t="shared" si="7"/>
        <v>-47.975099221861548</v>
      </c>
      <c r="AG14" s="772">
        <f t="shared" si="8"/>
        <v>19.829716627131461</v>
      </c>
      <c r="AH14" s="146">
        <f t="shared" si="9"/>
        <v>134.61408724021305</v>
      </c>
      <c r="AI14" s="156">
        <f t="shared" si="10"/>
        <v>375.37904918778077</v>
      </c>
      <c r="AJ14" s="156">
        <f t="shared" si="11"/>
        <v>137.74319767516349</v>
      </c>
      <c r="AK14" s="88"/>
      <c r="AL14" s="716">
        <f t="shared" si="12"/>
        <v>11336.433443658403</v>
      </c>
    </row>
    <row r="15" spans="1:38" ht="15" customHeight="1">
      <c r="A15" s="877" t="s">
        <v>1933</v>
      </c>
      <c r="B15" s="717">
        <v>45736</v>
      </c>
      <c r="C15" s="595">
        <v>45724</v>
      </c>
      <c r="D15" t="s">
        <v>1586</v>
      </c>
      <c r="E15" t="e">
        <f>_xlfn.XLOOKUP(D15,RUC!$B$3:$B$123,RUC!$D$3:$D$123)</f>
        <v>#N/A</v>
      </c>
      <c r="G15" s="80">
        <v>50</v>
      </c>
      <c r="H15" t="s">
        <v>69</v>
      </c>
      <c r="I15">
        <v>6.5</v>
      </c>
      <c r="J15" s="596">
        <v>1.9</v>
      </c>
      <c r="K15" s="138">
        <f t="shared" si="0"/>
        <v>6.3765000000000001</v>
      </c>
      <c r="L15" s="139">
        <v>0.58699999999999997</v>
      </c>
      <c r="M15" s="139">
        <v>0.55200000000000005</v>
      </c>
      <c r="N15" s="598">
        <v>0.61699999999999999</v>
      </c>
      <c r="O15" s="645">
        <f t="shared" si="1"/>
        <v>0.58499999999999996</v>
      </c>
      <c r="P15" s="727">
        <v>90</v>
      </c>
      <c r="Q15" s="596">
        <v>90.22</v>
      </c>
      <c r="R15" s="706">
        <v>2931.15</v>
      </c>
      <c r="S15" s="802">
        <f t="shared" si="2"/>
        <v>135</v>
      </c>
      <c r="U15" s="1024">
        <v>90</v>
      </c>
      <c r="V15" s="715">
        <v>1.1023000000000001</v>
      </c>
      <c r="Z15" s="1062">
        <v>25</v>
      </c>
      <c r="AA15" s="144">
        <f t="shared" si="3"/>
        <v>25</v>
      </c>
      <c r="AB15" s="145">
        <f t="shared" si="4"/>
        <v>1472.5245130925002</v>
      </c>
      <c r="AC15" s="145">
        <f>+(S15-T15)*V15-'data 1'!$F$4</f>
        <v>68.810500000000019</v>
      </c>
      <c r="AD15" s="145">
        <f t="shared" si="5"/>
        <v>4.04440606155298</v>
      </c>
      <c r="AE15" s="145">
        <f t="shared" si="6"/>
        <v>-42.442499999999995</v>
      </c>
      <c r="AF15" s="145">
        <f t="shared" si="7"/>
        <v>5.6510192794380059</v>
      </c>
      <c r="AG15" s="772">
        <f t="shared" si="8"/>
        <v>53.063425340991003</v>
      </c>
      <c r="AH15" s="146">
        <f t="shared" si="9"/>
        <v>115.77968330799558</v>
      </c>
      <c r="AI15" s="156">
        <f t="shared" si="10"/>
        <v>317.89119124980084</v>
      </c>
      <c r="AJ15" s="156">
        <f t="shared" si="11"/>
        <v>115.10383903828435</v>
      </c>
      <c r="AK15" s="88"/>
      <c r="AL15" s="716">
        <f t="shared" si="12"/>
        <v>9389.5525577343269</v>
      </c>
    </row>
    <row r="16" spans="1:38" ht="15" customHeight="1">
      <c r="A16" s="877" t="s">
        <v>1934</v>
      </c>
      <c r="B16" s="717">
        <v>45736</v>
      </c>
      <c r="C16" s="595">
        <v>45724</v>
      </c>
      <c r="D16" t="s">
        <v>1586</v>
      </c>
      <c r="E16" t="e">
        <f>_xlfn.XLOOKUP(D16,RUC!$B$3:$B$123,RUC!$D$3:$D$123)</f>
        <v>#N/A</v>
      </c>
      <c r="G16" s="80">
        <v>50</v>
      </c>
      <c r="H16" t="s">
        <v>69</v>
      </c>
      <c r="I16">
        <v>6.96</v>
      </c>
      <c r="J16" s="596">
        <v>1.7</v>
      </c>
      <c r="K16" s="138">
        <f t="shared" si="0"/>
        <v>6.8416800000000002</v>
      </c>
      <c r="L16" s="139">
        <v>0.67100000000000004</v>
      </c>
      <c r="M16" s="139">
        <v>0.63</v>
      </c>
      <c r="N16" s="139">
        <v>0.63</v>
      </c>
      <c r="O16" s="645">
        <f t="shared" si="1"/>
        <v>0.63</v>
      </c>
      <c r="P16" s="727">
        <v>90</v>
      </c>
      <c r="Q16" s="596">
        <v>90.39</v>
      </c>
      <c r="R16" s="706">
        <v>2931.15</v>
      </c>
      <c r="S16" s="802">
        <f t="shared" si="2"/>
        <v>145</v>
      </c>
      <c r="U16" s="1024">
        <v>90</v>
      </c>
      <c r="V16" s="715">
        <v>1.1023000000000001</v>
      </c>
      <c r="Z16" s="1062">
        <v>25</v>
      </c>
      <c r="AA16" s="144">
        <f t="shared" si="3"/>
        <v>25</v>
      </c>
      <c r="AB16" s="145">
        <f t="shared" si="4"/>
        <v>1588.3393987150002</v>
      </c>
      <c r="AC16" s="145">
        <f>+(S16-T16)*V16-'data 1'!$F$4</f>
        <v>79.833500000000015</v>
      </c>
      <c r="AD16" s="145">
        <f t="shared" si="5"/>
        <v>8.1956064910005129</v>
      </c>
      <c r="AE16" s="145">
        <f t="shared" si="6"/>
        <v>-42.442499999999995</v>
      </c>
      <c r="AF16" s="145">
        <f t="shared" si="7"/>
        <v>116.06418166373561</v>
      </c>
      <c r="AG16" s="772">
        <f t="shared" si="8"/>
        <v>178.65078815473615</v>
      </c>
      <c r="AH16" s="146">
        <f t="shared" si="9"/>
        <v>142.27045920464269</v>
      </c>
      <c r="AI16" s="156">
        <f t="shared" si="10"/>
        <v>364.06629687365836</v>
      </c>
      <c r="AJ16" s="156">
        <f t="shared" si="11"/>
        <v>133.00099365579493</v>
      </c>
      <c r="AK16" s="88"/>
      <c r="AL16" s="716">
        <f t="shared" si="12"/>
        <v>10866.909897400443</v>
      </c>
    </row>
    <row r="17" spans="1:38" ht="15" customHeight="1">
      <c r="A17" s="877" t="s">
        <v>1935</v>
      </c>
      <c r="B17" s="717">
        <v>45736</v>
      </c>
      <c r="C17" s="595">
        <v>45724</v>
      </c>
      <c r="D17" t="s">
        <v>1586</v>
      </c>
      <c r="E17" t="e">
        <f>_xlfn.XLOOKUP(D17,RUC!$B$3:$B$123,RUC!$D$3:$D$123)</f>
        <v>#N/A</v>
      </c>
      <c r="G17" s="80">
        <v>50</v>
      </c>
      <c r="H17" t="s">
        <v>69</v>
      </c>
      <c r="I17">
        <v>6.64</v>
      </c>
      <c r="J17" s="596">
        <v>1.8</v>
      </c>
      <c r="K17" s="1138">
        <f t="shared" si="0"/>
        <v>6.5204800000000001</v>
      </c>
      <c r="L17" s="139">
        <v>0.86399999999999999</v>
      </c>
      <c r="M17" s="139">
        <v>0.81200000000000006</v>
      </c>
      <c r="N17" s="598">
        <v>0.91800000000000004</v>
      </c>
      <c r="O17" s="645">
        <f t="shared" si="1"/>
        <v>0.86499999999999999</v>
      </c>
      <c r="P17" s="727">
        <v>90</v>
      </c>
      <c r="Q17" s="596">
        <v>90.07</v>
      </c>
      <c r="R17" s="706">
        <v>2931.15</v>
      </c>
      <c r="S17" s="802">
        <f t="shared" si="2"/>
        <v>165</v>
      </c>
      <c r="U17" s="1024">
        <v>90</v>
      </c>
      <c r="V17" s="715">
        <v>1.1023000000000001</v>
      </c>
      <c r="Z17" s="1062">
        <v>25</v>
      </c>
      <c r="AA17" s="144">
        <f t="shared" si="3"/>
        <v>25</v>
      </c>
      <c r="AB17" s="145">
        <f t="shared" si="4"/>
        <v>2228.6690236324998</v>
      </c>
      <c r="AC17" s="145">
        <f>+(S17-T17)*V17-'data 1'!$F$4</f>
        <v>101.87950000000001</v>
      </c>
      <c r="AD17" s="145">
        <f t="shared" si="5"/>
        <v>1.8941124252958155</v>
      </c>
      <c r="AE17" s="145">
        <f t="shared" si="6"/>
        <v>-42.442499999999995</v>
      </c>
      <c r="AF17" s="145">
        <f t="shared" si="7"/>
        <v>-2.8208119402515024</v>
      </c>
      <c r="AG17" s="772">
        <f t="shared" si="8"/>
        <v>75.510300485044326</v>
      </c>
      <c r="AH17" s="146">
        <f t="shared" si="9"/>
        <v>173.97327605413378</v>
      </c>
      <c r="AI17" s="156">
        <f t="shared" si="10"/>
        <v>467.12324049883182</v>
      </c>
      <c r="AJ17" s="156">
        <f t="shared" si="11"/>
        <v>174.03927013575753</v>
      </c>
      <c r="AK17" s="88"/>
      <c r="AL17" s="716">
        <f t="shared" si="12"/>
        <v>14531.991795215243</v>
      </c>
    </row>
    <row r="18" spans="1:38" ht="15" customHeight="1">
      <c r="A18" s="877" t="s">
        <v>2029</v>
      </c>
      <c r="B18" s="595">
        <v>45754</v>
      </c>
      <c r="C18" s="595">
        <v>45741</v>
      </c>
      <c r="D18" t="s">
        <v>1433</v>
      </c>
      <c r="E18">
        <f>_xlfn.XLOOKUP(D18,RUC!$B$3:$B$123,RUC!$D$3:$D$123)</f>
        <v>10473108823</v>
      </c>
      <c r="G18" s="80" t="s">
        <v>1434</v>
      </c>
      <c r="H18" t="s">
        <v>69</v>
      </c>
      <c r="I18" s="596">
        <v>33.770000000000003</v>
      </c>
      <c r="J18" s="596">
        <v>26.25</v>
      </c>
      <c r="K18" s="1138">
        <f t="shared" si="0"/>
        <v>24.905374999999999</v>
      </c>
      <c r="L18" s="139">
        <v>0.23499999999999999</v>
      </c>
      <c r="M18" s="139">
        <v>0.22</v>
      </c>
      <c r="N18" s="159">
        <v>0.27800000000000002</v>
      </c>
      <c r="O18" s="645">
        <f t="shared" si="1"/>
        <v>0.249</v>
      </c>
      <c r="P18" s="727">
        <v>90</v>
      </c>
      <c r="Q18" s="596">
        <v>89</v>
      </c>
      <c r="R18" s="706">
        <v>3025.2</v>
      </c>
      <c r="S18" s="802">
        <v>85</v>
      </c>
      <c r="U18" s="1066">
        <v>90</v>
      </c>
      <c r="V18" s="715">
        <v>1.1023000000000001</v>
      </c>
      <c r="Z18" s="143">
        <v>30</v>
      </c>
      <c r="AA18" s="144">
        <f t="shared" si="3"/>
        <v>30</v>
      </c>
      <c r="AB18" s="145">
        <f t="shared" si="4"/>
        <v>598.3045421359999</v>
      </c>
      <c r="AC18" s="145">
        <f>+(S18-T18)*V18-'data 1'!$F$4</f>
        <v>13.69550000000001</v>
      </c>
      <c r="AD18" s="145">
        <f t="shared" si="5"/>
        <v>-7.6033567559999993</v>
      </c>
      <c r="AE18" s="145">
        <f t="shared" si="6"/>
        <v>-36.930999999999997</v>
      </c>
      <c r="AF18" s="145">
        <f t="shared" si="7"/>
        <v>-40.31396816160003</v>
      </c>
      <c r="AG18" s="772">
        <f>+IF(D18="RONALD WILLIAN GARIBAY ESCUDERO",AC18+AD18+AE18+AF18+70,AC18+AD18+AE18+AF18)+70-20</f>
        <v>-21.152824917600014</v>
      </c>
      <c r="AH18" s="146">
        <f t="shared" si="9"/>
        <v>178.59118686576653</v>
      </c>
      <c r="AI18" s="156">
        <f t="shared" si="10"/>
        <v>103.86099327249998</v>
      </c>
      <c r="AJ18" s="156">
        <f t="shared" si="11"/>
        <v>191.35684903953276</v>
      </c>
      <c r="AK18" s="88"/>
      <c r="AL18" s="716">
        <f t="shared" si="12"/>
        <v>14900.998986100378</v>
      </c>
    </row>
    <row r="19" spans="1:38" ht="15" customHeight="1">
      <c r="A19" s="877" t="s">
        <v>2030</v>
      </c>
      <c r="B19" s="595">
        <v>45754</v>
      </c>
      <c r="C19" s="595">
        <v>45741</v>
      </c>
      <c r="D19" t="s">
        <v>1433</v>
      </c>
      <c r="E19">
        <f>_xlfn.XLOOKUP(D19,RUC!$B$3:$B$123,RUC!$D$3:$D$123)</f>
        <v>10473108823</v>
      </c>
      <c r="G19" s="80" t="s">
        <v>1434</v>
      </c>
      <c r="H19" t="s">
        <v>69</v>
      </c>
      <c r="I19" s="596">
        <v>29.76</v>
      </c>
      <c r="J19" s="596">
        <v>11.5</v>
      </c>
      <c r="K19" s="1138">
        <f t="shared" si="0"/>
        <v>26.337600000000002</v>
      </c>
      <c r="L19" s="139">
        <v>0.106</v>
      </c>
      <c r="M19" s="139">
        <v>9.0999999999999998E-2</v>
      </c>
      <c r="N19" s="159">
        <v>0.1</v>
      </c>
      <c r="O19" s="645">
        <f t="shared" si="1"/>
        <v>9.6000000000000002E-2</v>
      </c>
      <c r="P19" s="727">
        <v>80</v>
      </c>
      <c r="Q19" s="596">
        <v>89</v>
      </c>
      <c r="R19" s="706">
        <v>3025.2</v>
      </c>
      <c r="S19" s="802">
        <v>110</v>
      </c>
      <c r="U19" s="1066">
        <v>90</v>
      </c>
      <c r="V19" s="715">
        <v>1.1023000000000001</v>
      </c>
      <c r="Z19" s="143">
        <f>IF(IF(D19="UNTUCA",IF(+((W19-3)*1.5+(X19-3)*3.1)&gt;0,+((W19-3)*1.5+(X19-3)*3.1),0),IF(+((W19-3)*1.5+(X19-3)*3.1)&gt;0,+((W19-3)*1.5+(X19-3)*3.1),0))&lt;30,30,IF(D19="UNTUCA",IF(+((W19-3)*1.5+(X19-3)*3.1)&gt;0,+((W19-3)*1.5+(X19-3)*3.1),0),IF(+((W19-3)*1.5+(X19-3)*3.1)&gt;0,+((W19-3)*1.5+(X19-3)*3.1),0)))</f>
        <v>30</v>
      </c>
      <c r="AA19" s="144">
        <f t="shared" si="3"/>
        <v>30</v>
      </c>
      <c r="AB19" s="145">
        <f t="shared" si="4"/>
        <v>94.162169728000009</v>
      </c>
      <c r="AC19" s="145">
        <f>+(S19-T19)*V19-'data 1'!$F$4</f>
        <v>41.253</v>
      </c>
      <c r="AD19" s="145">
        <f t="shared" si="5"/>
        <v>30.866392958399999</v>
      </c>
      <c r="AE19" s="145">
        <f t="shared" si="6"/>
        <v>-36.930999999999997</v>
      </c>
      <c r="AF19" s="145">
        <f t="shared" si="7"/>
        <v>28.795691543999986</v>
      </c>
      <c r="AG19" s="772">
        <f>+IF(D19="RONALD WILLIAN GARIBAY ESCUDERO",AC19+AD19+AE19+AF19+70,AC19+AD19+AE19+AF19)+70</f>
        <v>133.98408450239998</v>
      </c>
      <c r="AH19" s="146">
        <f t="shared" si="9"/>
        <v>85.188532857077874</v>
      </c>
      <c r="AI19" s="156">
        <f t="shared" si="10"/>
        <v>46.847937391000002</v>
      </c>
      <c r="AJ19" s="156">
        <f t="shared" si="11"/>
        <v>69.350003428276239</v>
      </c>
      <c r="AK19" s="88"/>
      <c r="AL19" s="716">
        <f t="shared" si="12"/>
        <v>2480.0055614281732</v>
      </c>
    </row>
    <row r="20" spans="1:38" ht="15" customHeight="1">
      <c r="A20" s="877" t="s">
        <v>2031</v>
      </c>
      <c r="B20" s="595">
        <v>45755</v>
      </c>
      <c r="C20" s="595">
        <v>45744</v>
      </c>
      <c r="D20" t="s">
        <v>1689</v>
      </c>
      <c r="E20">
        <f>_xlfn.XLOOKUP(D20,RUC!$B$3:$B$123,RUC!$D$3:$D$123)</f>
        <v>10306762465</v>
      </c>
      <c r="G20" s="80">
        <v>160</v>
      </c>
      <c r="H20" t="s">
        <v>69</v>
      </c>
      <c r="I20" s="596">
        <v>16.350000000000001</v>
      </c>
      <c r="J20" s="596">
        <v>1.2</v>
      </c>
      <c r="K20" s="1139">
        <f t="shared" si="0"/>
        <v>16.1538</v>
      </c>
      <c r="L20" s="139">
        <v>0.122</v>
      </c>
      <c r="M20" s="139">
        <v>0.11799999999999999</v>
      </c>
      <c r="N20" s="159">
        <v>0.11799999999999999</v>
      </c>
      <c r="O20" s="645">
        <f t="shared" si="1"/>
        <v>0.11799999999999999</v>
      </c>
      <c r="P20" s="727">
        <v>85</v>
      </c>
      <c r="Q20" s="596">
        <v>85</v>
      </c>
      <c r="R20" s="706">
        <v>3071.6</v>
      </c>
      <c r="S20" s="765">
        <f>IF((90+ROUNDDOWN(O20,1)*100)&lt;95,95,(90+ROUNDDOWN(O20,1)*100))</f>
        <v>100</v>
      </c>
      <c r="U20" s="1066">
        <v>120</v>
      </c>
      <c r="V20" s="715">
        <v>1.1023000000000001</v>
      </c>
      <c r="Y20">
        <v>20</v>
      </c>
      <c r="Z20" s="143">
        <f>IF(IF(D20="UNTUCA",IF(+((W20-3)*1.5+(X20-3)*3.1)&gt;0,+((W20-3)*1.5+(X20-3)*3.1),0),IF(+((W20-3)*1.5+(X20-3)*3.1)&gt;0,+((W20-3)*1.5+(X20-3)*3.1),0))&lt;30,30,IF(D20="UNTUCA",IF(+((W20-3)*1.5+(X20-3)*3.1)&gt;0,+((W20-3)*1.5+(X20-3)*3.1),0),IF(+((W20-3)*1.5+(X20-3)*3.1)&gt;0,+((W20-3)*1.5+(X20-3)*3.1),0)))</f>
        <v>30</v>
      </c>
      <c r="AA20" s="144">
        <f t="shared" si="3"/>
        <v>50</v>
      </c>
      <c r="AB20" s="145">
        <f t="shared" si="4"/>
        <v>160.985932604</v>
      </c>
      <c r="AC20" s="145">
        <f>+(S20-T20)*V20-'data 1'!$F$4</f>
        <v>30.230000000000004</v>
      </c>
      <c r="AD20" s="145">
        <f t="shared" si="5"/>
        <v>0</v>
      </c>
      <c r="AE20" s="145">
        <f t="shared" si="6"/>
        <v>-14.884999999999998</v>
      </c>
      <c r="AF20" s="145">
        <f t="shared" si="7"/>
        <v>11.062065512000011</v>
      </c>
      <c r="AG20" s="772">
        <f>+IF(D20="RONALD WILLIAN GARIBAY ESCUDERO",AC20+AD20+AE20+AF20+70,AC20+AD20+AE20+AF20)+70-53</f>
        <v>43.407065512000017</v>
      </c>
      <c r="AH20" s="146">
        <f t="shared" si="9"/>
        <v>57.43313556369273</v>
      </c>
      <c r="AI20" s="156">
        <f t="shared" si="10"/>
        <v>49.621324190999985</v>
      </c>
      <c r="AJ20" s="156">
        <f t="shared" si="11"/>
        <v>55.550081938653626</v>
      </c>
      <c r="AK20" s="88"/>
      <c r="AL20" s="716">
        <f t="shared" si="12"/>
        <v>2600.5345580984954</v>
      </c>
    </row>
    <row r="21" spans="1:38" ht="15" customHeight="1">
      <c r="A21" s="877" t="s">
        <v>2032</v>
      </c>
      <c r="B21" s="595">
        <v>45754</v>
      </c>
      <c r="C21" s="595">
        <v>45744</v>
      </c>
      <c r="D21" t="s">
        <v>1433</v>
      </c>
      <c r="E21">
        <f>_xlfn.XLOOKUP(D21,RUC!$B$3:$B$123,RUC!$D$3:$D$123)</f>
        <v>10473108823</v>
      </c>
      <c r="G21" s="80" t="s">
        <v>1434</v>
      </c>
      <c r="H21" t="s">
        <v>69</v>
      </c>
      <c r="I21" s="596">
        <v>35.21</v>
      </c>
      <c r="J21" s="596">
        <v>13.75</v>
      </c>
      <c r="K21" s="1138">
        <f t="shared" si="0"/>
        <v>30.368625000000002</v>
      </c>
      <c r="L21" s="139">
        <v>0.113</v>
      </c>
      <c r="M21" s="139">
        <v>9.8000000000000004E-2</v>
      </c>
      <c r="N21" s="159">
        <v>0.111</v>
      </c>
      <c r="O21" s="645">
        <f t="shared" si="1"/>
        <v>0.105</v>
      </c>
      <c r="P21" s="727">
        <v>85</v>
      </c>
      <c r="Q21" s="596">
        <v>89</v>
      </c>
      <c r="R21" s="706">
        <v>3071.6</v>
      </c>
      <c r="S21" s="802">
        <v>110</v>
      </c>
      <c r="U21" s="1066">
        <v>90</v>
      </c>
      <c r="V21" s="715">
        <v>1.1023000000000001</v>
      </c>
      <c r="Z21" s="143">
        <f>IF(IF(D21="UNTUCA",IF(+((W21-3)*1.5+(X21-3)*3.1)&gt;0,+((W21-3)*1.5+(X21-3)*3.1),0),IF(+((W21-3)*1.5+(X21-3)*3.1)&gt;0,+((W21-3)*1.5+(X21-3)*3.1),0))&lt;30,30,IF(D21="UNTUCA",IF(+((W21-3)*1.5+(X21-3)*3.1)&gt;0,+((W21-3)*1.5+(X21-3)*3.1),0),IF(+((W21-3)*1.5+(X21-3)*3.1)&gt;0,+((W21-3)*1.5+(X21-3)*3.1),0)))</f>
        <v>30</v>
      </c>
      <c r="AA21" s="144">
        <f t="shared" si="3"/>
        <v>30</v>
      </c>
      <c r="AB21" s="145">
        <f t="shared" si="4"/>
        <v>139.00862793999994</v>
      </c>
      <c r="AC21" s="145">
        <f>+(S21-T21)*V21-'data 1'!$F$4</f>
        <v>41.253</v>
      </c>
      <c r="AD21" s="145">
        <f t="shared" si="5"/>
        <v>14.855511913600001</v>
      </c>
      <c r="AE21" s="145">
        <f t="shared" si="6"/>
        <v>-36.930999999999997</v>
      </c>
      <c r="AF21" s="145">
        <f t="shared" si="7"/>
        <v>23.40071788160002</v>
      </c>
      <c r="AG21" s="772">
        <f>+IF(D21="RONALD WILLIAN GARIBAY ESCUDERO",AC21+AD21+AE21+AF21+70,AC21+AD21+AE21+AF21)+70-53</f>
        <v>59.578229795200016</v>
      </c>
      <c r="AH21" s="146">
        <f t="shared" si="9"/>
        <v>104.713493319815</v>
      </c>
      <c r="AI21" s="156">
        <f t="shared" si="10"/>
        <v>44.797843475099995</v>
      </c>
      <c r="AJ21" s="156">
        <f t="shared" si="11"/>
        <v>92.927108270791365</v>
      </c>
      <c r="AK21" s="88"/>
      <c r="AL21" s="716">
        <f t="shared" si="12"/>
        <v>4221.5008936743807</v>
      </c>
    </row>
    <row r="22" spans="1:38" ht="15" customHeight="1">
      <c r="A22" s="877" t="s">
        <v>2036</v>
      </c>
      <c r="B22" s="595">
        <v>45752</v>
      </c>
      <c r="C22" s="595">
        <v>45744</v>
      </c>
      <c r="D22" t="s">
        <v>1402</v>
      </c>
      <c r="E22">
        <f>_xlfn.XLOOKUP(D22,RUC!$B$3:$B$123,RUC!$D$3:$D$123)</f>
        <v>20606526599</v>
      </c>
      <c r="G22" s="80">
        <v>175</v>
      </c>
      <c r="H22" t="s">
        <v>69</v>
      </c>
      <c r="I22" s="596">
        <v>14.83</v>
      </c>
      <c r="J22" s="596">
        <v>1.75</v>
      </c>
      <c r="K22" s="1138">
        <f t="shared" si="0"/>
        <v>14.570475</v>
      </c>
      <c r="L22" s="139">
        <v>0.128</v>
      </c>
      <c r="M22" s="139">
        <v>0.124</v>
      </c>
      <c r="N22" s="159">
        <v>0.124</v>
      </c>
      <c r="O22" s="645">
        <f t="shared" si="1"/>
        <v>0.124</v>
      </c>
      <c r="P22" s="727">
        <v>80</v>
      </c>
      <c r="Q22" s="596">
        <v>90.1</v>
      </c>
      <c r="R22" s="706">
        <v>3071.6</v>
      </c>
      <c r="S22" s="765">
        <f>IF((80+ROUNDDOWN(O22,1)*100)&lt;95,95,(80+ROUNDDOWN(O22,1)*100))</f>
        <v>95</v>
      </c>
      <c r="U22" s="1066">
        <v>100</v>
      </c>
      <c r="V22" s="715">
        <v>1.1023000000000001</v>
      </c>
      <c r="Y22">
        <v>20</v>
      </c>
      <c r="Z22" s="143">
        <f>IF(IF(D22="UNTUCA",IF(+((W22-3)*1.5+(X22-3)*3.1)&gt;0,+((W22-3)*1.5+(X22-3)*3.1),0),IF(+((W22-3)*1.5+(X22-3)*3.1)&gt;0,+((W22-3)*1.5+(X22-3)*3.1),0))&lt;30,30,IF(D22="UNTUCA",IF(+((W22-3)*1.5+(X22-3)*3.1)&gt;0,+((W22-3)*1.5+(X22-3)*3.1),0),IF(+((W22-3)*1.5+(X22-3)*3.1)&gt;0,+((W22-3)*1.5+(X22-3)*3.1),0)))</f>
        <v>30</v>
      </c>
      <c r="AA22" s="144">
        <f t="shared" si="3"/>
        <v>50</v>
      </c>
      <c r="AB22" s="145">
        <f t="shared" si="4"/>
        <v>165.10549225599999</v>
      </c>
      <c r="AC22" s="145">
        <f>+(S22-T22)*V22-'data 1'!$F$4</f>
        <v>24.718500000000006</v>
      </c>
      <c r="AD22" s="145">
        <f t="shared" si="5"/>
        <v>42.346888023039973</v>
      </c>
      <c r="AE22" s="145">
        <f t="shared" si="6"/>
        <v>-14.884999999999998</v>
      </c>
      <c r="AF22" s="145">
        <f t="shared" si="7"/>
        <v>11.805243226720011</v>
      </c>
      <c r="AG22" s="772">
        <f>+IF(D22="RONALD WILLIAN GARIBAY ESCUDERO",AC22+AD22+AE22+AF22+70,AC22+AD22+AE22+AF22)+70-53</f>
        <v>80.98563124975999</v>
      </c>
      <c r="AH22" s="146">
        <f t="shared" si="9"/>
        <v>57.612608626238625</v>
      </c>
      <c r="AI22" s="156">
        <f t="shared" si="10"/>
        <v>52.642899127039989</v>
      </c>
      <c r="AJ22" s="156">
        <f t="shared" si="11"/>
        <v>49.55579543322412</v>
      </c>
      <c r="AK22" s="88"/>
      <c r="AL22" s="716">
        <f t="shared" si="12"/>
        <v>2405.6654472787413</v>
      </c>
    </row>
    <row r="23" spans="1:38" ht="15" customHeight="1">
      <c r="A23" s="877" t="s">
        <v>2037</v>
      </c>
      <c r="B23" s="595">
        <v>45754</v>
      </c>
      <c r="C23" s="595">
        <v>45746</v>
      </c>
      <c r="D23" t="s">
        <v>1433</v>
      </c>
      <c r="E23">
        <f>_xlfn.XLOOKUP(D23,RUC!$B$3:$B$123,RUC!$D$3:$D$123)</f>
        <v>10473108823</v>
      </c>
      <c r="G23" s="80" t="s">
        <v>1434</v>
      </c>
      <c r="H23" t="s">
        <v>69</v>
      </c>
      <c r="I23" s="596">
        <v>33.47</v>
      </c>
      <c r="J23" s="596">
        <v>19.850000000000001</v>
      </c>
      <c r="K23" s="1138">
        <f t="shared" si="0"/>
        <v>26.826204999999998</v>
      </c>
      <c r="L23" s="139">
        <v>0.17100000000000001</v>
      </c>
      <c r="M23" s="139">
        <v>0.156</v>
      </c>
      <c r="N23" s="159">
        <v>0.189</v>
      </c>
      <c r="O23" s="645">
        <f t="shared" si="1"/>
        <v>0.17299999999999999</v>
      </c>
      <c r="P23" s="727">
        <v>90</v>
      </c>
      <c r="Q23" s="596">
        <v>90.06</v>
      </c>
      <c r="R23" s="706">
        <v>3071.6</v>
      </c>
      <c r="S23" s="802">
        <v>85</v>
      </c>
      <c r="U23" s="1066">
        <v>90</v>
      </c>
      <c r="V23" s="715">
        <v>1.1023000000000001</v>
      </c>
      <c r="Z23" s="143">
        <v>30</v>
      </c>
      <c r="AA23" s="144">
        <f t="shared" si="3"/>
        <v>30</v>
      </c>
      <c r="AB23" s="145">
        <f t="shared" si="4"/>
        <v>384.96187277599995</v>
      </c>
      <c r="AC23" s="145">
        <f>+(S23-T23)*V23-'data 1'!$F$4</f>
        <v>13.69550000000001</v>
      </c>
      <c r="AD23" s="145">
        <f t="shared" si="5"/>
        <v>0.33720697396801286</v>
      </c>
      <c r="AE23" s="145">
        <f t="shared" si="6"/>
        <v>-36.930999999999997</v>
      </c>
      <c r="AF23" s="145">
        <f t="shared" si="7"/>
        <v>-5.9198557652159245</v>
      </c>
      <c r="AG23" s="772">
        <f>+IF(D23="RONALD WILLIAN GARIBAY ESCUDERO",AC23+AD23+AE23+AF23+70,AC23+AD23+AE23+AF23)+70-20</f>
        <v>21.1818512087521</v>
      </c>
      <c r="AH23" s="146">
        <f t="shared" si="9"/>
        <v>141.64340598521861</v>
      </c>
      <c r="AI23" s="156">
        <f t="shared" si="10"/>
        <v>68.598830362518001</v>
      </c>
      <c r="AJ23" s="156">
        <f t="shared" si="11"/>
        <v>143.20458428558047</v>
      </c>
      <c r="AK23" s="88"/>
      <c r="AL23" s="716">
        <f t="shared" si="12"/>
        <v>10327.066116272894</v>
      </c>
    </row>
    <row r="24" spans="1:38" ht="15" customHeight="1">
      <c r="A24" s="877" t="s">
        <v>2038</v>
      </c>
      <c r="B24" s="595">
        <v>45754</v>
      </c>
      <c r="C24" s="595">
        <v>45746</v>
      </c>
      <c r="D24" t="s">
        <v>1433</v>
      </c>
      <c r="E24">
        <f>_xlfn.XLOOKUP(D24,RUC!$B$3:$B$123,RUC!$D$3:$D$123)</f>
        <v>10473108823</v>
      </c>
      <c r="G24" s="80" t="s">
        <v>1434</v>
      </c>
      <c r="H24" t="s">
        <v>69</v>
      </c>
      <c r="I24" s="596">
        <v>31.89</v>
      </c>
      <c r="J24" s="596">
        <v>22.45</v>
      </c>
      <c r="K24" s="1139">
        <f t="shared" si="0"/>
        <v>24.730695000000001</v>
      </c>
      <c r="L24" s="139">
        <v>0.151</v>
      </c>
      <c r="M24" s="139">
        <v>0.13500000000000001</v>
      </c>
      <c r="N24" s="159">
        <v>0.16700000000000001</v>
      </c>
      <c r="O24" s="645">
        <f t="shared" si="1"/>
        <v>0.151</v>
      </c>
      <c r="P24" s="727">
        <v>90</v>
      </c>
      <c r="Q24" s="596">
        <v>90.09</v>
      </c>
      <c r="R24" s="706">
        <v>3071.6</v>
      </c>
      <c r="S24" s="802">
        <v>85</v>
      </c>
      <c r="U24" s="1066">
        <v>90</v>
      </c>
      <c r="V24" s="715">
        <v>1.1023000000000001</v>
      </c>
      <c r="Z24" s="143">
        <f>IF(IF(D24="UNTUCA",IF(+((W24-3)*1.5+(X24-3)*3.1)&gt;0,+((W24-3)*1.5+(X24-3)*3.1),0),IF(+((W24-3)*1.5+(X24-3)*3.1)&gt;0,+((W24-3)*1.5+(X24-3)*3.1),0))&lt;30,30,IF(D24="UNTUCA",IF(+((W24-3)*1.5+(X24-3)*3.1)&gt;0,+((W24-3)*1.5+(X24-3)*3.1),0),IF(+((W24-3)*1.5+(X24-3)*3.1)&gt;0,+((W24-3)*1.5+(X24-3)*3.1),0)))</f>
        <v>30</v>
      </c>
      <c r="AA24" s="144">
        <f t="shared" si="3"/>
        <v>30</v>
      </c>
      <c r="AB24" s="145">
        <f t="shared" si="4"/>
        <v>319.88684271199998</v>
      </c>
      <c r="AC24" s="145">
        <f>+(S24-T24)*V24-'data 1'!$F$4</f>
        <v>13.69550000000001</v>
      </c>
      <c r="AD24" s="145">
        <f t="shared" si="5"/>
        <v>0.44665134271201695</v>
      </c>
      <c r="AE24" s="145">
        <f t="shared" si="6"/>
        <v>-36.930999999999997</v>
      </c>
      <c r="AF24" s="145">
        <f t="shared" si="7"/>
        <v>0</v>
      </c>
      <c r="AG24" s="772">
        <f>+IF(D24="RONALD WILLIAN GARIBAY ESCUDERO",AC24+AD24+AE24+AF24+70,AC24+AD24+AE24+AF24)+70-20</f>
        <v>27.211151342712029</v>
      </c>
      <c r="AH24" s="146">
        <f t="shared" si="9"/>
        <v>115.34504023862858</v>
      </c>
      <c r="AI24" s="156">
        <f t="shared" si="10"/>
        <v>60.59575375553699</v>
      </c>
      <c r="AJ24" s="156">
        <f t="shared" si="11"/>
        <v>115.22981042820038</v>
      </c>
      <c r="AK24" s="88"/>
      <c r="AL24" s="716">
        <f t="shared" si="12"/>
        <v>7911.0239416234444</v>
      </c>
    </row>
    <row r="25" spans="1:38" ht="15" customHeight="1">
      <c r="A25" s="877" t="s">
        <v>2039</v>
      </c>
      <c r="B25" s="595">
        <v>45757</v>
      </c>
      <c r="C25" s="595">
        <v>45751</v>
      </c>
      <c r="D25" t="s">
        <v>2004</v>
      </c>
      <c r="E25">
        <f>_xlfn.XLOOKUP(D25,RUC!$B$3:$B$123,RUC!$D$3:$D$123)</f>
        <v>20612921866</v>
      </c>
      <c r="G25" s="80">
        <v>28</v>
      </c>
      <c r="H25" t="s">
        <v>69</v>
      </c>
      <c r="I25" s="596">
        <v>3</v>
      </c>
      <c r="J25" s="596">
        <v>1.2</v>
      </c>
      <c r="K25" s="1138">
        <f t="shared" ref="K25:K39" si="13">+I25-(I25*(J25/100))</f>
        <v>2.964</v>
      </c>
      <c r="L25" s="139">
        <v>0.17599999999999999</v>
      </c>
      <c r="M25" s="139">
        <v>0.16500000000000001</v>
      </c>
      <c r="N25" s="159">
        <v>0.16500000000000001</v>
      </c>
      <c r="O25" s="645">
        <f t="shared" ref="O25:O39" si="14">+ROUND((M25+N25)/2,3)</f>
        <v>0.16500000000000001</v>
      </c>
      <c r="P25" s="727">
        <v>90</v>
      </c>
      <c r="Q25">
        <v>90.03</v>
      </c>
      <c r="R25" s="706">
        <v>3054.6</v>
      </c>
      <c r="S25" s="765">
        <f>IF((80+ROUNDDOWN(O25,1)*100)&lt;95,95,(80+ROUNDDOWN(O25,1)*100))</f>
        <v>95</v>
      </c>
      <c r="U25" s="1066">
        <v>100</v>
      </c>
      <c r="V25" s="715">
        <v>1.1023000000000001</v>
      </c>
      <c r="Z25" s="143">
        <f t="shared" ref="Z25" si="15">IF(IF(D25="UNTUCA",IF(+((W25-3)*1.5+(X25-3)*3.1)&gt;0,+((W25-3)*1.5+(X25-3)*3.1),0),IF(+((W25-3)*1.5+(X25-3)*3.1)&gt;0,+((W25-3)*1.5+(X25-3)*3.1),0))&lt;30,30,IF(D25="UNTUCA",IF(+((W25-3)*1.5+(X25-3)*3.1)&gt;0,+((W25-3)*1.5+(X25-3)*3.1),0),IF(+((W25-3)*1.5+(X25-3)*3.1)&gt;0,+((W25-3)*1.5+(X25-3)*3.1),0)))</f>
        <v>30</v>
      </c>
      <c r="AA25" s="144">
        <f t="shared" ref="AA25:AA39" si="16">+Y25+Z25</f>
        <v>30</v>
      </c>
      <c r="AB25" s="145">
        <f>+((O25*P25*(R25-U25)/100)-S25-AA25+T25)*V25</f>
        <v>345.85555363000009</v>
      </c>
      <c r="AC25" s="145">
        <f>+(S25-T25)*V25-'data 1'!$F$4</f>
        <v>24.718500000000006</v>
      </c>
      <c r="AD25" s="145">
        <f t="shared" ref="AD25:AD39" si="17">+(Q25-P25)*(R25-U25)*L25*V25/100</f>
        <v>0.1719619746240065</v>
      </c>
      <c r="AE25" s="145">
        <f t="shared" ref="AE25:AE39" si="18">+(Y25*V25-70)+V25*(Z25-IF(D25="UNTUCA",IF(+((W25-3)*2.5+(X25-3)*3.1)&gt;0,+((W25-3)*1.5+(X25-3)*3.1),0),IF(+((W25-3)*1.5+(X25-3)*3.1)&gt;0,+((W25-3)*1.5+(X25-3)*3.1),0)))</f>
        <v>-36.930999999999997</v>
      </c>
      <c r="AF25" s="145">
        <f t="shared" ref="AF25:AF39" si="19">(L25-O25)*(R25-U25)*Q25*V25/100</f>
        <v>32.25361786541395</v>
      </c>
      <c r="AG25" s="772">
        <f>+IF(D25="RONALD WILLIAN GARIBAY ESCUDERO",AC25+AD25+AE25+AF25+70,AC25+AD25+AE25+AF25)+70</f>
        <v>90.213079840037963</v>
      </c>
      <c r="AH25" s="146">
        <f t="shared" ref="AH25:AH39" si="20">31.1035*L25*Q25*1.1023*K25/100</f>
        <v>16.102273040345196</v>
      </c>
      <c r="AI25" s="156">
        <f t="shared" ref="AI25:AI39" si="21">+((+$AI$2-R25+U25)*L25*Q25*V25)/100</f>
        <v>75.297012992783991</v>
      </c>
      <c r="AJ25" s="156">
        <f t="shared" ref="AJ25:AJ39" si="22">31.1035*1.1023*K25*P25*O25/100</f>
        <v>15.0908506917597</v>
      </c>
      <c r="AK25" s="88"/>
      <c r="AL25" s="716">
        <f t="shared" ref="AL25:AL39" si="23">+IF(AB25*K25&gt;0,AB25*K25,0)</f>
        <v>1025.1158609593203</v>
      </c>
    </row>
    <row r="26" spans="1:38" ht="15" customHeight="1">
      <c r="A26" s="877" t="s">
        <v>2046</v>
      </c>
      <c r="B26" s="595">
        <v>45754</v>
      </c>
      <c r="C26" s="595">
        <v>45752</v>
      </c>
      <c r="D26" t="s">
        <v>119</v>
      </c>
      <c r="E26">
        <f>_xlfn.XLOOKUP(D26,RUC!$B$3:$B$123,RUC!$D$3:$D$123)</f>
        <v>10082235774</v>
      </c>
      <c r="G26" s="80">
        <v>60</v>
      </c>
      <c r="H26" t="s">
        <v>69</v>
      </c>
      <c r="I26" s="596">
        <v>6.09</v>
      </c>
      <c r="J26" s="596">
        <v>1.85</v>
      </c>
      <c r="K26" s="1138">
        <f t="shared" si="13"/>
        <v>5.9773350000000001</v>
      </c>
      <c r="L26" s="139">
        <v>0.315</v>
      </c>
      <c r="M26" s="139">
        <v>0.31</v>
      </c>
      <c r="N26" s="159">
        <v>0.31</v>
      </c>
      <c r="O26" s="645">
        <f t="shared" si="14"/>
        <v>0.31</v>
      </c>
      <c r="P26" s="727">
        <v>90</v>
      </c>
      <c r="Q26" s="596">
        <v>90.2</v>
      </c>
      <c r="R26" s="706">
        <v>3054.6</v>
      </c>
      <c r="S26" s="802">
        <v>110</v>
      </c>
      <c r="U26" s="1091">
        <v>80</v>
      </c>
      <c r="V26" s="715">
        <v>1.1023000000000001</v>
      </c>
      <c r="Z26" s="1034">
        <v>10</v>
      </c>
      <c r="AA26" s="144">
        <f t="shared" si="16"/>
        <v>10</v>
      </c>
      <c r="AB26" s="145">
        <f t="shared" ref="AB26:AB39" si="24">+((O26*P26*(R26-U26)/100)-S26-AA26+T26)*V26</f>
        <v>782.53754081999989</v>
      </c>
      <c r="AC26" s="145">
        <f>+(S26-T26)*V26-'data 1'!$F$4</f>
        <v>41.253</v>
      </c>
      <c r="AD26" s="145">
        <f t="shared" si="17"/>
        <v>2.0657079954000297</v>
      </c>
      <c r="AE26" s="145">
        <f t="shared" si="18"/>
        <v>-58.977000000000004</v>
      </c>
      <c r="AF26" s="145">
        <f t="shared" si="19"/>
        <v>14.787846125800016</v>
      </c>
      <c r="AG26" s="772">
        <f t="shared" ref="AG26:AG34" si="25">+IF(D26="RONALD WILLIAN GARIBAY ESCUDERO",AC26+AD26+AE26+AF26+70,AC26+AD26+AE26+AF26)+70</f>
        <v>69.129554121200044</v>
      </c>
      <c r="AH26" s="146">
        <f t="shared" si="20"/>
        <v>58.228252576773869</v>
      </c>
      <c r="AI26" s="156">
        <f t="shared" si="21"/>
        <v>128.75508073889998</v>
      </c>
      <c r="AJ26" s="156">
        <f t="shared" si="22"/>
        <v>57.176934744377249</v>
      </c>
      <c r="AK26" s="88"/>
      <c r="AL26" s="716">
        <f t="shared" si="23"/>
        <v>4677.4890315573139</v>
      </c>
    </row>
    <row r="27" spans="1:38" ht="15" customHeight="1">
      <c r="A27" s="877" t="s">
        <v>2047</v>
      </c>
      <c r="B27" s="595">
        <v>45754</v>
      </c>
      <c r="C27" s="595">
        <v>45752</v>
      </c>
      <c r="D27" t="s">
        <v>119</v>
      </c>
      <c r="E27">
        <f>_xlfn.XLOOKUP(D27,RUC!$B$3:$B$123,RUC!$D$3:$D$123)</f>
        <v>10082235774</v>
      </c>
      <c r="G27" s="80">
        <v>37</v>
      </c>
      <c r="H27" t="s">
        <v>69</v>
      </c>
      <c r="I27" s="596">
        <v>3.82</v>
      </c>
      <c r="J27" s="596">
        <v>2.5</v>
      </c>
      <c r="K27" s="1138">
        <f t="shared" si="13"/>
        <v>3.7244999999999999</v>
      </c>
      <c r="L27" s="139">
        <v>0.41199999999999998</v>
      </c>
      <c r="M27" s="139">
        <v>0.40600000000000003</v>
      </c>
      <c r="N27" s="598">
        <v>0.435</v>
      </c>
      <c r="O27" s="645">
        <f t="shared" si="14"/>
        <v>0.42099999999999999</v>
      </c>
      <c r="P27" s="727">
        <v>90</v>
      </c>
      <c r="Q27">
        <v>90.17</v>
      </c>
      <c r="R27" s="706">
        <v>3054.6</v>
      </c>
      <c r="S27" s="802">
        <v>115</v>
      </c>
      <c r="U27" s="1091">
        <v>80</v>
      </c>
      <c r="V27" s="715">
        <v>1.1023000000000001</v>
      </c>
      <c r="Z27" s="1034">
        <v>10</v>
      </c>
      <c r="AA27" s="144">
        <f t="shared" si="16"/>
        <v>10</v>
      </c>
      <c r="AB27" s="145">
        <f t="shared" si="24"/>
        <v>1104.5883086619999</v>
      </c>
      <c r="AC27" s="145">
        <f>+(S27-T27)*V27-'data 1'!$F$4</f>
        <v>46.764500000000012</v>
      </c>
      <c r="AD27" s="145">
        <f t="shared" si="17"/>
        <v>2.296542666632023</v>
      </c>
      <c r="AE27" s="145">
        <f t="shared" si="18"/>
        <v>-58.977000000000004</v>
      </c>
      <c r="AF27" s="145">
        <f t="shared" si="19"/>
        <v>-26.609269992174028</v>
      </c>
      <c r="AG27" s="772">
        <f t="shared" si="25"/>
        <v>33.474772674458002</v>
      </c>
      <c r="AH27" s="146">
        <f t="shared" si="20"/>
        <v>47.439088253182696</v>
      </c>
      <c r="AI27" s="156">
        <f t="shared" si="21"/>
        <v>168.34746065721197</v>
      </c>
      <c r="AJ27" s="156">
        <f t="shared" si="22"/>
        <v>48.383987040474047</v>
      </c>
      <c r="AK27" s="88"/>
      <c r="AL27" s="716">
        <f t="shared" si="23"/>
        <v>4114.0391556116183</v>
      </c>
    </row>
    <row r="28" spans="1:38" ht="15" customHeight="1">
      <c r="A28" s="877" t="s">
        <v>2048</v>
      </c>
      <c r="B28" s="595">
        <v>45754</v>
      </c>
      <c r="C28" s="595">
        <v>45752</v>
      </c>
      <c r="D28" t="s">
        <v>119</v>
      </c>
      <c r="E28">
        <f>_xlfn.XLOOKUP(D28,RUC!$B$3:$B$123,RUC!$D$3:$D$123)</f>
        <v>10082235774</v>
      </c>
      <c r="G28" s="80">
        <v>32</v>
      </c>
      <c r="H28" t="s">
        <v>69</v>
      </c>
      <c r="I28" s="596">
        <v>3.12</v>
      </c>
      <c r="J28" s="596">
        <v>2.1</v>
      </c>
      <c r="K28" s="1138">
        <f t="shared" si="13"/>
        <v>3.0544800000000003</v>
      </c>
      <c r="L28" s="139">
        <v>0.45500000000000002</v>
      </c>
      <c r="M28" s="139">
        <v>0.44800000000000001</v>
      </c>
      <c r="N28" s="598">
        <v>0.46899999999999997</v>
      </c>
      <c r="O28" s="645">
        <f t="shared" si="14"/>
        <v>0.45900000000000002</v>
      </c>
      <c r="P28" s="727">
        <v>90</v>
      </c>
      <c r="Q28">
        <v>90.11</v>
      </c>
      <c r="R28" s="706">
        <v>3054.6</v>
      </c>
      <c r="S28" s="802">
        <v>115</v>
      </c>
      <c r="U28" s="1091">
        <v>80</v>
      </c>
      <c r="V28" s="715">
        <v>1.1023000000000001</v>
      </c>
      <c r="Z28" s="1034">
        <v>10</v>
      </c>
      <c r="AA28" s="144">
        <f t="shared" si="16"/>
        <v>10</v>
      </c>
      <c r="AB28" s="145">
        <f t="shared" si="24"/>
        <v>1216.7267426980002</v>
      </c>
      <c r="AC28" s="145">
        <f>+(S28-T28)*V28-'data 1'!$F$4</f>
        <v>46.764500000000012</v>
      </c>
      <c r="AD28" s="145">
        <f t="shared" si="17"/>
        <v>1.6410902407899914</v>
      </c>
      <c r="AE28" s="145">
        <f t="shared" si="18"/>
        <v>-58.977000000000004</v>
      </c>
      <c r="AF28" s="145">
        <f t="shared" si="19"/>
        <v>-11.818472854952011</v>
      </c>
      <c r="AG28" s="772">
        <f t="shared" si="25"/>
        <v>47.610117385837988</v>
      </c>
      <c r="AH28" s="146">
        <f t="shared" si="20"/>
        <v>42.936905519311296</v>
      </c>
      <c r="AI28" s="156">
        <f t="shared" si="21"/>
        <v>185.79399387776499</v>
      </c>
      <c r="AJ28" s="156">
        <f t="shared" si="22"/>
        <v>43.261497656777237</v>
      </c>
      <c r="AK28" s="88"/>
      <c r="AL28" s="716">
        <f t="shared" si="23"/>
        <v>3716.467501036188</v>
      </c>
    </row>
    <row r="29" spans="1:38" ht="15" customHeight="1">
      <c r="A29" s="877" t="s">
        <v>2049</v>
      </c>
      <c r="B29" s="595">
        <v>45754</v>
      </c>
      <c r="C29" s="595">
        <v>45752</v>
      </c>
      <c r="D29" t="s">
        <v>119</v>
      </c>
      <c r="E29">
        <f>_xlfn.XLOOKUP(D29,RUC!$B$3:$B$123,RUC!$D$3:$D$123)</f>
        <v>10082235774</v>
      </c>
      <c r="G29" s="80">
        <v>53</v>
      </c>
      <c r="H29" t="s">
        <v>69</v>
      </c>
      <c r="I29" s="596">
        <v>5.62</v>
      </c>
      <c r="J29" s="596">
        <v>2.2000000000000002</v>
      </c>
      <c r="K29" s="1138">
        <f t="shared" si="13"/>
        <v>5.4963600000000001</v>
      </c>
      <c r="L29" s="139">
        <v>0.755</v>
      </c>
      <c r="M29" s="139">
        <v>0.74399999999999999</v>
      </c>
      <c r="N29" s="159">
        <v>0.74399999999999999</v>
      </c>
      <c r="O29" s="645">
        <f t="shared" si="14"/>
        <v>0.74399999999999999</v>
      </c>
      <c r="P29" s="727">
        <v>90</v>
      </c>
      <c r="Q29">
        <v>90.05</v>
      </c>
      <c r="R29" s="706">
        <v>3054.6</v>
      </c>
      <c r="S29" s="802">
        <v>130</v>
      </c>
      <c r="U29" s="1091">
        <v>80</v>
      </c>
      <c r="V29" s="715">
        <v>1.1023000000000001</v>
      </c>
      <c r="Z29" s="1034">
        <v>10</v>
      </c>
      <c r="AA29" s="144">
        <f t="shared" si="16"/>
        <v>10</v>
      </c>
      <c r="AB29" s="145">
        <f t="shared" si="24"/>
        <v>2041.230497968</v>
      </c>
      <c r="AC29" s="145">
        <f>+(S29-T29)*V29-'data 1'!$F$4</f>
        <v>63.299000000000007</v>
      </c>
      <c r="AD29" s="145">
        <f t="shared" si="17"/>
        <v>1.2377853464499298</v>
      </c>
      <c r="AE29" s="145">
        <f t="shared" si="18"/>
        <v>-58.977000000000004</v>
      </c>
      <c r="AF29" s="145">
        <f t="shared" si="19"/>
        <v>32.479159600690025</v>
      </c>
      <c r="AG29" s="772">
        <f t="shared" si="25"/>
        <v>108.03894494713995</v>
      </c>
      <c r="AH29" s="146">
        <f t="shared" si="20"/>
        <v>128.11940362215449</v>
      </c>
      <c r="AI29" s="156">
        <f t="shared" si="21"/>
        <v>308.09024884757497</v>
      </c>
      <c r="AJ29" s="156">
        <f t="shared" si="22"/>
        <v>126.18266182568867</v>
      </c>
      <c r="AK29" s="88"/>
      <c r="AL29" s="716">
        <f t="shared" si="23"/>
        <v>11219.337659811397</v>
      </c>
    </row>
    <row r="30" spans="1:38" ht="15" customHeight="1">
      <c r="A30" s="877" t="s">
        <v>2050</v>
      </c>
      <c r="B30" s="595">
        <v>45754</v>
      </c>
      <c r="C30" s="595">
        <v>45752</v>
      </c>
      <c r="D30" t="s">
        <v>119</v>
      </c>
      <c r="E30">
        <f>_xlfn.XLOOKUP(D30,RUC!$B$3:$B$123,RUC!$D$3:$D$123)</f>
        <v>10082235774</v>
      </c>
      <c r="G30" s="80">
        <v>47</v>
      </c>
      <c r="H30" t="s">
        <v>69</v>
      </c>
      <c r="I30" s="596">
        <v>4.6100000000000003</v>
      </c>
      <c r="J30" s="596">
        <v>2.75</v>
      </c>
      <c r="K30" s="1139">
        <f t="shared" si="13"/>
        <v>4.483225</v>
      </c>
      <c r="L30" s="139">
        <v>0.28999999999999998</v>
      </c>
      <c r="M30" s="139">
        <v>0.28599999999999998</v>
      </c>
      <c r="N30" s="159">
        <v>0.28599999999999998</v>
      </c>
      <c r="O30" s="645">
        <f t="shared" si="14"/>
        <v>0.28599999999999998</v>
      </c>
      <c r="P30" s="727">
        <v>90</v>
      </c>
      <c r="Q30">
        <v>90.12</v>
      </c>
      <c r="R30" s="706">
        <v>3054.6</v>
      </c>
      <c r="S30" s="802">
        <v>105</v>
      </c>
      <c r="U30" s="1091">
        <v>80</v>
      </c>
      <c r="V30" s="715">
        <v>1.1023000000000001</v>
      </c>
      <c r="Z30" s="1034">
        <v>10</v>
      </c>
      <c r="AA30" s="144">
        <f t="shared" si="16"/>
        <v>10</v>
      </c>
      <c r="AB30" s="145">
        <f t="shared" si="24"/>
        <v>717.224766692</v>
      </c>
      <c r="AC30" s="145">
        <f>+(S30-T30)*V30-'data 1'!$F$4</f>
        <v>35.741500000000002</v>
      </c>
      <c r="AD30" s="145">
        <f t="shared" si="17"/>
        <v>1.1410577498400432</v>
      </c>
      <c r="AE30" s="145">
        <f t="shared" si="18"/>
        <v>-58.977000000000004</v>
      </c>
      <c r="AF30" s="145">
        <f t="shared" si="19"/>
        <v>11.81978441558401</v>
      </c>
      <c r="AG30" s="772">
        <f t="shared" si="25"/>
        <v>59.725342165424053</v>
      </c>
      <c r="AH30" s="146">
        <f t="shared" si="20"/>
        <v>40.171568177236864</v>
      </c>
      <c r="AI30" s="156">
        <f t="shared" si="21"/>
        <v>118.43129145443999</v>
      </c>
      <c r="AJ30" s="156">
        <f t="shared" si="22"/>
        <v>39.564724615534722</v>
      </c>
      <c r="AK30" s="88"/>
      <c r="AL30" s="716">
        <f t="shared" si="23"/>
        <v>3215.4800046527416</v>
      </c>
    </row>
    <row r="31" spans="1:38" ht="15" customHeight="1">
      <c r="A31" s="877" t="s">
        <v>2051</v>
      </c>
      <c r="B31" s="595">
        <v>45754</v>
      </c>
      <c r="C31" s="595">
        <v>45752</v>
      </c>
      <c r="D31" t="s">
        <v>119</v>
      </c>
      <c r="E31">
        <f>_xlfn.XLOOKUP(D31,RUC!$B$3:$B$123,RUC!$D$3:$D$123)</f>
        <v>10082235774</v>
      </c>
      <c r="G31" s="80">
        <v>51</v>
      </c>
      <c r="H31" t="s">
        <v>69</v>
      </c>
      <c r="I31" s="596">
        <v>4.6399999999999997</v>
      </c>
      <c r="J31" s="596">
        <v>2.5</v>
      </c>
      <c r="K31" s="1139">
        <f t="shared" si="13"/>
        <v>4.524</v>
      </c>
      <c r="L31" s="139">
        <v>0.114</v>
      </c>
      <c r="M31" s="139">
        <v>0.112</v>
      </c>
      <c r="N31" s="159">
        <v>0.112</v>
      </c>
      <c r="O31" s="645">
        <f t="shared" si="14"/>
        <v>0.112</v>
      </c>
      <c r="P31" s="727">
        <v>85</v>
      </c>
      <c r="Q31">
        <v>89.92</v>
      </c>
      <c r="R31" s="706">
        <v>3054.6</v>
      </c>
      <c r="S31" s="802">
        <v>95</v>
      </c>
      <c r="U31" s="1091">
        <v>80</v>
      </c>
      <c r="V31" s="715">
        <v>1.1023000000000001</v>
      </c>
      <c r="Z31" s="1034">
        <v>10</v>
      </c>
      <c r="AA31" s="144">
        <f t="shared" si="16"/>
        <v>10</v>
      </c>
      <c r="AB31" s="145">
        <f t="shared" si="24"/>
        <v>196.40993041600001</v>
      </c>
      <c r="AC31" s="145">
        <f>+(S31-T31)*V31-'data 1'!$F$4</f>
        <v>24.718500000000006</v>
      </c>
      <c r="AD31" s="145">
        <f t="shared" si="17"/>
        <v>18.390703181904009</v>
      </c>
      <c r="AE31" s="145">
        <f t="shared" si="18"/>
        <v>-58.977000000000004</v>
      </c>
      <c r="AF31" s="145">
        <f t="shared" si="19"/>
        <v>5.8967766014720056</v>
      </c>
      <c r="AG31" s="772">
        <f t="shared" si="25"/>
        <v>60.028979783376016</v>
      </c>
      <c r="AH31" s="146">
        <f t="shared" si="20"/>
        <v>15.89984223510624</v>
      </c>
      <c r="AI31" s="156">
        <f t="shared" si="21"/>
        <v>46.452429593663993</v>
      </c>
      <c r="AJ31" s="156">
        <f t="shared" si="22"/>
        <v>14.766195495236641</v>
      </c>
      <c r="AK31" s="88"/>
      <c r="AL31" s="716">
        <f t="shared" si="23"/>
        <v>888.55852520198403</v>
      </c>
    </row>
    <row r="32" spans="1:38" ht="15" customHeight="1">
      <c r="A32" s="877" t="s">
        <v>2052</v>
      </c>
      <c r="B32" s="595">
        <v>45754</v>
      </c>
      <c r="C32" s="595">
        <v>45752</v>
      </c>
      <c r="D32" t="s">
        <v>1671</v>
      </c>
      <c r="E32">
        <f>_xlfn.XLOOKUP(D32,RUC!$B$3:$B$123,RUC!$D$3:$D$123)</f>
        <v>20517242919</v>
      </c>
      <c r="G32" s="80">
        <v>34</v>
      </c>
      <c r="H32" t="s">
        <v>69</v>
      </c>
      <c r="I32" s="596">
        <v>3.46</v>
      </c>
      <c r="J32" s="596">
        <v>2.5</v>
      </c>
      <c r="K32" s="1138">
        <f t="shared" si="13"/>
        <v>3.3734999999999999</v>
      </c>
      <c r="L32" s="139">
        <v>0.45600000000000002</v>
      </c>
      <c r="M32" s="139">
        <v>0.44900000000000001</v>
      </c>
      <c r="N32" s="159">
        <v>0.44900000000000001</v>
      </c>
      <c r="O32" s="645">
        <f t="shared" si="14"/>
        <v>0.44900000000000001</v>
      </c>
      <c r="P32" s="727">
        <v>90</v>
      </c>
      <c r="Q32">
        <v>90.15</v>
      </c>
      <c r="R32" s="706">
        <v>3054.6</v>
      </c>
      <c r="S32" s="802">
        <v>115</v>
      </c>
      <c r="U32" s="1091">
        <v>80</v>
      </c>
      <c r="V32" s="715">
        <v>1.1023000000000001</v>
      </c>
      <c r="Z32" s="1034">
        <v>10</v>
      </c>
      <c r="AA32" s="144">
        <f t="shared" si="16"/>
        <v>10</v>
      </c>
      <c r="AB32" s="145">
        <f t="shared" si="24"/>
        <v>1187.2166284780003</v>
      </c>
      <c r="AC32" s="145">
        <f>+(S32-T32)*V32-'data 1'!$F$4</f>
        <v>46.764500000000012</v>
      </c>
      <c r="AD32" s="145">
        <f t="shared" si="17"/>
        <v>2.2427686807200846</v>
      </c>
      <c r="AE32" s="145">
        <f t="shared" si="18"/>
        <v>-58.977000000000004</v>
      </c>
      <c r="AF32" s="145">
        <f t="shared" si="19"/>
        <v>20.691508420590015</v>
      </c>
      <c r="AG32" s="772">
        <f t="shared" si="25"/>
        <v>80.72177710131011</v>
      </c>
      <c r="AH32" s="146">
        <f t="shared" si="20"/>
        <v>47.546697544676711</v>
      </c>
      <c r="AI32" s="156">
        <f t="shared" si="21"/>
        <v>186.28498789451999</v>
      </c>
      <c r="AJ32" s="156">
        <f t="shared" si="22"/>
        <v>46.738915836675368</v>
      </c>
      <c r="AK32" s="88"/>
      <c r="AL32" s="716">
        <f t="shared" si="23"/>
        <v>4005.0752961705339</v>
      </c>
    </row>
    <row r="33" spans="1:38" ht="15" customHeight="1">
      <c r="A33" s="877" t="s">
        <v>2053</v>
      </c>
      <c r="B33" s="595">
        <v>45754</v>
      </c>
      <c r="C33" s="595">
        <v>45752</v>
      </c>
      <c r="D33" t="s">
        <v>1671</v>
      </c>
      <c r="E33">
        <f>_xlfn.XLOOKUP(D33,RUC!$B$3:$B$123,RUC!$D$3:$D$123)</f>
        <v>20517242919</v>
      </c>
      <c r="G33" s="80">
        <v>45</v>
      </c>
      <c r="H33" t="s">
        <v>69</v>
      </c>
      <c r="I33" s="596">
        <v>4.38</v>
      </c>
      <c r="J33" s="596">
        <v>1.75</v>
      </c>
      <c r="K33" s="1138">
        <f t="shared" si="13"/>
        <v>4.30335</v>
      </c>
      <c r="L33" s="139">
        <v>0.32300000000000001</v>
      </c>
      <c r="M33" s="139">
        <v>0.318</v>
      </c>
      <c r="N33" s="159">
        <v>0.318</v>
      </c>
      <c r="O33" s="645">
        <f t="shared" si="14"/>
        <v>0.318</v>
      </c>
      <c r="P33" s="727">
        <v>90</v>
      </c>
      <c r="Q33">
        <v>90.11</v>
      </c>
      <c r="R33" s="706">
        <v>3054.6</v>
      </c>
      <c r="S33" s="802">
        <v>110</v>
      </c>
      <c r="U33" s="1091">
        <v>80</v>
      </c>
      <c r="V33" s="715">
        <v>1.1023000000000001</v>
      </c>
      <c r="Z33" s="1034">
        <v>10</v>
      </c>
      <c r="AA33" s="144">
        <f t="shared" si="16"/>
        <v>10</v>
      </c>
      <c r="AB33" s="145">
        <f t="shared" si="24"/>
        <v>806.14563219600007</v>
      </c>
      <c r="AC33" s="145">
        <f>+(S33-T33)*V33-'data 1'!$F$4</f>
        <v>41.253</v>
      </c>
      <c r="AD33" s="145">
        <f t="shared" si="17"/>
        <v>1.1649937313739942</v>
      </c>
      <c r="AE33" s="145">
        <f t="shared" si="18"/>
        <v>-58.977000000000004</v>
      </c>
      <c r="AF33" s="145">
        <f t="shared" si="19"/>
        <v>14.773091068690015</v>
      </c>
      <c r="AG33" s="772">
        <f t="shared" si="25"/>
        <v>68.214084800064001</v>
      </c>
      <c r="AH33" s="146">
        <f t="shared" si="20"/>
        <v>42.942888251469512</v>
      </c>
      <c r="AI33" s="156">
        <f t="shared" si="21"/>
        <v>131.893318730809</v>
      </c>
      <c r="AJ33" s="156">
        <f t="shared" si="22"/>
        <v>42.226527459113697</v>
      </c>
      <c r="AK33" s="88"/>
      <c r="AL33" s="716">
        <f t="shared" si="23"/>
        <v>3469.1268063106568</v>
      </c>
    </row>
    <row r="34" spans="1:38" ht="15" customHeight="1">
      <c r="A34" s="877" t="s">
        <v>2054</v>
      </c>
      <c r="B34" s="595">
        <v>45754</v>
      </c>
      <c r="C34" s="595">
        <v>45752</v>
      </c>
      <c r="D34" t="s">
        <v>1671</v>
      </c>
      <c r="E34">
        <f>_xlfn.XLOOKUP(D34,RUC!$B$3:$B$123,RUC!$D$3:$D$123)</f>
        <v>20517242919</v>
      </c>
      <c r="G34" s="80">
        <v>72</v>
      </c>
      <c r="H34" t="s">
        <v>69</v>
      </c>
      <c r="I34" s="596">
        <v>7.43</v>
      </c>
      <c r="J34" s="596">
        <v>2.1</v>
      </c>
      <c r="K34" s="1138">
        <f t="shared" si="13"/>
        <v>7.2739699999999994</v>
      </c>
      <c r="L34" s="139">
        <v>0.441</v>
      </c>
      <c r="M34" s="139">
        <v>0.434</v>
      </c>
      <c r="N34" s="159">
        <v>0.434</v>
      </c>
      <c r="O34" s="645">
        <f t="shared" si="14"/>
        <v>0.434</v>
      </c>
      <c r="P34" s="727">
        <v>90</v>
      </c>
      <c r="Q34">
        <v>90.06</v>
      </c>
      <c r="R34" s="706">
        <v>3054.6</v>
      </c>
      <c r="S34" s="802">
        <v>115</v>
      </c>
      <c r="U34" s="1091">
        <v>80</v>
      </c>
      <c r="V34" s="715">
        <v>1.1023000000000001</v>
      </c>
      <c r="Z34" s="1034">
        <v>10</v>
      </c>
      <c r="AA34" s="144">
        <f t="shared" si="16"/>
        <v>10</v>
      </c>
      <c r="AB34" s="145">
        <f t="shared" si="24"/>
        <v>1142.9514571480001</v>
      </c>
      <c r="AC34" s="145">
        <f>+(S34-T34)*V34-'data 1'!$F$4</f>
        <v>46.764500000000012</v>
      </c>
      <c r="AD34" s="145">
        <f t="shared" si="17"/>
        <v>0.86759735806803295</v>
      </c>
      <c r="AE34" s="145">
        <f t="shared" si="18"/>
        <v>-58.977000000000004</v>
      </c>
      <c r="AF34" s="145">
        <f t="shared" si="19"/>
        <v>20.67085134063602</v>
      </c>
      <c r="AG34" s="772">
        <f t="shared" si="25"/>
        <v>79.325948698704053</v>
      </c>
      <c r="AH34" s="146">
        <f t="shared" si="20"/>
        <v>99.049230732806393</v>
      </c>
      <c r="AI34" s="156">
        <f t="shared" si="21"/>
        <v>179.97733481023798</v>
      </c>
      <c r="AJ34" s="156">
        <f t="shared" si="22"/>
        <v>97.412079334951244</v>
      </c>
      <c r="AK34" s="88"/>
      <c r="AL34" s="716">
        <f t="shared" si="23"/>
        <v>8313.7946107508378</v>
      </c>
    </row>
    <row r="35" spans="1:38" ht="15" customHeight="1">
      <c r="A35" s="877" t="s">
        <v>2076</v>
      </c>
      <c r="B35" s="595">
        <v>45698</v>
      </c>
      <c r="C35" s="595">
        <v>45755</v>
      </c>
      <c r="D35" t="s">
        <v>2004</v>
      </c>
      <c r="E35">
        <f>_xlfn.XLOOKUP(D35,RUC!$B$3:$B$123,RUC!$D$3:$D$123)</f>
        <v>20612921866</v>
      </c>
      <c r="G35" s="80" t="s">
        <v>1434</v>
      </c>
      <c r="H35" t="s">
        <v>116</v>
      </c>
      <c r="I35" s="596">
        <v>8.7200000000000006</v>
      </c>
      <c r="J35" s="596">
        <v>1.2</v>
      </c>
      <c r="K35" s="1139">
        <f t="shared" si="13"/>
        <v>8.6153600000000008</v>
      </c>
      <c r="L35" s="139">
        <v>0.14299999999999999</v>
      </c>
      <c r="M35" s="139">
        <v>0.128</v>
      </c>
      <c r="N35" s="159">
        <v>0.128</v>
      </c>
      <c r="O35" s="645">
        <f t="shared" si="14"/>
        <v>0.128</v>
      </c>
      <c r="P35" s="727">
        <v>90</v>
      </c>
      <c r="Q35" s="596">
        <v>90</v>
      </c>
      <c r="R35" s="706">
        <v>3015.4</v>
      </c>
      <c r="S35" s="765">
        <f>IF((90+ROUNDDOWN(O35,1)*100)&lt;95,95,(90+ROUNDDOWN(O35,1)*100))</f>
        <v>100</v>
      </c>
      <c r="U35" s="1066">
        <v>120</v>
      </c>
      <c r="V35" s="715">
        <v>1.1023000000000001</v>
      </c>
      <c r="Y35">
        <v>20</v>
      </c>
      <c r="Z35" s="143">
        <f>IF(IF(D35="UNTUCA",IF(+((W35-3)*1.5+(X35-3)*3.1)&gt;0,+((W35-3)*1.5+(X35-3)*3.1),0),IF(+((W35-3)*1.5+(X35-3)*3.1)&gt;0,+((W35-3)*1.5+(X35-3)*3.1),0))&lt;30,30,IF(D35="UNTUCA",IF(+((W35-3)*1.5+(X35-3)*3.1)&gt;0,+((W35-3)*1.5+(X35-3)*3.1),0),IF(+((W35-3)*1.5+(X35-3)*3.1)&gt;0,+((W35-3)*1.5+(X35-3)*3.1),0)))</f>
        <v>30</v>
      </c>
      <c r="AA35" s="144">
        <f t="shared" si="16"/>
        <v>50</v>
      </c>
      <c r="AB35" s="145">
        <f t="shared" si="24"/>
        <v>202.32725318400006</v>
      </c>
      <c r="AC35" s="145">
        <f>+(S35-T35)*V35-'data 1'!$F$4</f>
        <v>30.230000000000004</v>
      </c>
      <c r="AD35" s="145">
        <f t="shared" si="17"/>
        <v>0</v>
      </c>
      <c r="AE35" s="145">
        <f t="shared" si="18"/>
        <v>-14.884999999999998</v>
      </c>
      <c r="AF35" s="145">
        <f t="shared" si="19"/>
        <v>43.086592169999967</v>
      </c>
      <c r="AG35" s="772">
        <f>+IF(D35="RONALD WILLIAN GARIBAY ESCUDERO",AC35+AD35+AE35+AF35+70,AC35+AD35+AE35+AF35)+70-53</f>
        <v>75.431592169999988</v>
      </c>
      <c r="AH35" s="146">
        <f t="shared" si="20"/>
        <v>38.01552965373066</v>
      </c>
      <c r="AI35" s="156">
        <f t="shared" si="21"/>
        <v>69.556904702999958</v>
      </c>
      <c r="AJ35" s="156">
        <f t="shared" si="22"/>
        <v>34.027886683059613</v>
      </c>
      <c r="AK35" s="88"/>
      <c r="AL35" s="716">
        <f t="shared" si="23"/>
        <v>1743.1221239913068</v>
      </c>
    </row>
    <row r="36" spans="1:38" ht="15" customHeight="1">
      <c r="A36" s="877" t="s">
        <v>2079</v>
      </c>
      <c r="B36" s="595">
        <v>45732</v>
      </c>
      <c r="C36" s="595">
        <v>45756</v>
      </c>
      <c r="D36" t="s">
        <v>1586</v>
      </c>
      <c r="E36" t="e">
        <f>_xlfn.XLOOKUP(D36,RUC!$B$3:$B$123,RUC!$D$3:$D$123)</f>
        <v>#N/A</v>
      </c>
      <c r="G36" s="80">
        <v>50</v>
      </c>
      <c r="H36" t="s">
        <v>69</v>
      </c>
      <c r="I36" s="596">
        <v>6.57</v>
      </c>
      <c r="J36" s="596">
        <v>1.2</v>
      </c>
      <c r="K36" s="1139">
        <f t="shared" si="13"/>
        <v>6.4911600000000007</v>
      </c>
      <c r="L36" s="139">
        <v>0.51600000000000001</v>
      </c>
      <c r="M36" s="139">
        <v>0.48499999999999999</v>
      </c>
      <c r="N36" s="1137">
        <v>0.51900000000000002</v>
      </c>
      <c r="O36" s="645">
        <f t="shared" si="14"/>
        <v>0.502</v>
      </c>
      <c r="P36" s="727">
        <v>90</v>
      </c>
      <c r="Q36" s="596">
        <v>90.1</v>
      </c>
      <c r="R36" s="706">
        <v>3075.1</v>
      </c>
      <c r="S36" s="1070">
        <v>115</v>
      </c>
      <c r="U36" s="1091">
        <v>90</v>
      </c>
      <c r="V36" s="715">
        <v>1.1023000000000001</v>
      </c>
      <c r="Z36" s="1062">
        <v>25</v>
      </c>
      <c r="AA36" s="144">
        <f t="shared" si="16"/>
        <v>25</v>
      </c>
      <c r="AB36" s="145">
        <f t="shared" si="24"/>
        <v>1332.314934814</v>
      </c>
      <c r="AC36" s="145">
        <f>+(S36-T36)*V36-'data 1'!$F$4</f>
        <v>46.764500000000012</v>
      </c>
      <c r="AD36" s="145">
        <f t="shared" si="17"/>
        <v>1.6978854766799032</v>
      </c>
      <c r="AE36" s="145">
        <f t="shared" si="18"/>
        <v>-42.442499999999995</v>
      </c>
      <c r="AF36" s="145">
        <f t="shared" si="19"/>
        <v>41.506060858220032</v>
      </c>
      <c r="AG36" s="772">
        <f t="shared" ref="AG36:AG39" si="26">+IF(D36="RONALD WILLIAN GARIBAY ESCUDERO",AC36+AD36+AE36+AF36+70,AC36+AD36+AE36+AF36)+70-53</f>
        <v>64.525946334899942</v>
      </c>
      <c r="AH36" s="146">
        <f t="shared" si="20"/>
        <v>103.46795750208913</v>
      </c>
      <c r="AI36" s="156">
        <f t="shared" si="21"/>
        <v>205.29824886407997</v>
      </c>
      <c r="AJ36" s="156">
        <f t="shared" si="22"/>
        <v>100.54896626367747</v>
      </c>
      <c r="AK36" s="88"/>
      <c r="AL36" s="716">
        <f t="shared" si="23"/>
        <v>8648.2694122672456</v>
      </c>
    </row>
    <row r="37" spans="1:38" ht="15" customHeight="1">
      <c r="A37" s="877" t="s">
        <v>2080</v>
      </c>
      <c r="B37" s="595">
        <v>45732</v>
      </c>
      <c r="C37" s="595">
        <v>45756</v>
      </c>
      <c r="D37" t="s">
        <v>1586</v>
      </c>
      <c r="E37" t="e">
        <f>_xlfn.XLOOKUP(D37,RUC!$B$3:$B$123,RUC!$D$3:$D$123)</f>
        <v>#N/A</v>
      </c>
      <c r="G37" s="80">
        <v>50</v>
      </c>
      <c r="H37" t="s">
        <v>69</v>
      </c>
      <c r="I37" s="596">
        <v>7.02</v>
      </c>
      <c r="J37" s="596">
        <v>1.3</v>
      </c>
      <c r="K37" s="1139">
        <f t="shared" si="13"/>
        <v>6.9287399999999995</v>
      </c>
      <c r="L37" s="139">
        <v>0.42199999999999999</v>
      </c>
      <c r="M37" s="139">
        <v>0.39700000000000002</v>
      </c>
      <c r="N37" s="1137">
        <v>0.45600000000000002</v>
      </c>
      <c r="O37" s="645">
        <f t="shared" si="14"/>
        <v>0.42699999999999999</v>
      </c>
      <c r="P37" s="727">
        <v>90</v>
      </c>
      <c r="Q37" s="596">
        <v>90.1</v>
      </c>
      <c r="R37" s="706">
        <v>3075.1</v>
      </c>
      <c r="S37" s="1070">
        <v>115</v>
      </c>
      <c r="U37" s="1091">
        <v>90</v>
      </c>
      <c r="V37" s="715">
        <v>1.1023000000000001</v>
      </c>
      <c r="Z37" s="1062">
        <v>25</v>
      </c>
      <c r="AA37" s="144">
        <f t="shared" si="16"/>
        <v>25</v>
      </c>
      <c r="AB37" s="145">
        <f t="shared" si="24"/>
        <v>1110.207823039</v>
      </c>
      <c r="AC37" s="145">
        <f>+(S37-T37)*V37-'data 1'!$F$4</f>
        <v>46.764500000000012</v>
      </c>
      <c r="AD37" s="145">
        <f t="shared" si="17"/>
        <v>1.3885807580599208</v>
      </c>
      <c r="AE37" s="145">
        <f t="shared" si="18"/>
        <v>-42.442499999999995</v>
      </c>
      <c r="AF37" s="145">
        <f t="shared" si="19"/>
        <v>-14.823593163650012</v>
      </c>
      <c r="AG37" s="772">
        <f t="shared" si="26"/>
        <v>7.8869875944099306</v>
      </c>
      <c r="AH37" s="146">
        <f t="shared" si="20"/>
        <v>90.323462154862312</v>
      </c>
      <c r="AI37" s="156">
        <f t="shared" si="21"/>
        <v>167.89895546635995</v>
      </c>
      <c r="AJ37" s="156">
        <f t="shared" si="22"/>
        <v>91.292209567341146</v>
      </c>
      <c r="AK37" s="88"/>
      <c r="AL37" s="716">
        <f t="shared" si="23"/>
        <v>7692.3413518032403</v>
      </c>
    </row>
    <row r="38" spans="1:38" ht="15" customHeight="1">
      <c r="A38" s="877" t="s">
        <v>2081</v>
      </c>
      <c r="B38" s="595">
        <v>45732</v>
      </c>
      <c r="C38" s="595">
        <v>45756</v>
      </c>
      <c r="D38" t="s">
        <v>1586</v>
      </c>
      <c r="E38" t="e">
        <f>_xlfn.XLOOKUP(D38,RUC!$B$3:$B$123,RUC!$D$3:$D$123)</f>
        <v>#N/A</v>
      </c>
      <c r="G38" s="80">
        <v>50</v>
      </c>
      <c r="H38" t="s">
        <v>69</v>
      </c>
      <c r="I38" s="596">
        <v>6.45</v>
      </c>
      <c r="J38" s="596">
        <v>1.2</v>
      </c>
      <c r="K38" s="1139">
        <f t="shared" si="13"/>
        <v>6.3726000000000003</v>
      </c>
      <c r="L38" s="139">
        <v>0.499</v>
      </c>
      <c r="M38" s="139">
        <v>0.46899999999999997</v>
      </c>
      <c r="N38" s="1137">
        <v>0.52400000000000002</v>
      </c>
      <c r="O38" s="645">
        <f t="shared" si="14"/>
        <v>0.497</v>
      </c>
      <c r="P38" s="727">
        <v>90</v>
      </c>
      <c r="Q38" s="596">
        <v>90.2</v>
      </c>
      <c r="R38" s="706">
        <v>3075.1</v>
      </c>
      <c r="S38" s="1070">
        <v>115</v>
      </c>
      <c r="U38" s="1091">
        <v>90</v>
      </c>
      <c r="V38" s="715">
        <v>1.1023000000000001</v>
      </c>
      <c r="Z38" s="1062">
        <v>25</v>
      </c>
      <c r="AA38" s="144">
        <f t="shared" si="16"/>
        <v>25</v>
      </c>
      <c r="AB38" s="145">
        <f t="shared" si="24"/>
        <v>1317.5077940289998</v>
      </c>
      <c r="AC38" s="145">
        <f>+(S38-T38)*V38-'data 1'!$F$4</f>
        <v>46.764500000000012</v>
      </c>
      <c r="AD38" s="145">
        <f t="shared" si="17"/>
        <v>3.2838947785400472</v>
      </c>
      <c r="AE38" s="145">
        <f t="shared" si="18"/>
        <v>-42.442499999999995</v>
      </c>
      <c r="AF38" s="145">
        <f t="shared" si="19"/>
        <v>5.9360182169200062</v>
      </c>
      <c r="AG38" s="772">
        <f t="shared" si="26"/>
        <v>30.541912995460066</v>
      </c>
      <c r="AH38" s="146">
        <f t="shared" si="20"/>
        <v>98.34059048160448</v>
      </c>
      <c r="AI38" s="156">
        <f t="shared" si="21"/>
        <v>198.75489597523995</v>
      </c>
      <c r="AJ38" s="156">
        <f t="shared" si="22"/>
        <v>97.729263676847452</v>
      </c>
      <c r="AK38" s="88"/>
      <c r="AL38" s="716">
        <f t="shared" si="23"/>
        <v>8395.9501682292048</v>
      </c>
    </row>
    <row r="39" spans="1:38" ht="15" customHeight="1">
      <c r="A39" s="877" t="s">
        <v>2085</v>
      </c>
      <c r="B39" s="595">
        <v>45732</v>
      </c>
      <c r="C39" s="595">
        <v>45756</v>
      </c>
      <c r="D39" t="s">
        <v>1586</v>
      </c>
      <c r="E39" t="e">
        <f>_xlfn.XLOOKUP(D39,RUC!$B$3:$B$123,RUC!$D$3:$D$123)</f>
        <v>#N/A</v>
      </c>
      <c r="G39" s="80">
        <v>50</v>
      </c>
      <c r="H39" t="s">
        <v>69</v>
      </c>
      <c r="I39" s="596">
        <v>5.42</v>
      </c>
      <c r="J39" s="596">
        <v>1.2</v>
      </c>
      <c r="K39" s="1139">
        <f t="shared" si="13"/>
        <v>5.3549600000000002</v>
      </c>
      <c r="L39" s="139">
        <v>0.33100000000000002</v>
      </c>
      <c r="M39" s="139">
        <v>0.311</v>
      </c>
      <c r="N39" s="1137">
        <v>0.36299999999999999</v>
      </c>
      <c r="O39" s="645">
        <f t="shared" si="14"/>
        <v>0.33700000000000002</v>
      </c>
      <c r="P39" s="727">
        <v>90</v>
      </c>
      <c r="Q39" s="596">
        <v>90.1</v>
      </c>
      <c r="R39" s="706">
        <v>3075.1</v>
      </c>
      <c r="S39" s="1070">
        <v>105</v>
      </c>
      <c r="U39" s="1091">
        <v>90</v>
      </c>
      <c r="V39" s="715">
        <v>1.1023000000000001</v>
      </c>
      <c r="Z39" s="1062">
        <v>25</v>
      </c>
      <c r="AA39" s="144">
        <f t="shared" si="16"/>
        <v>25</v>
      </c>
      <c r="AB39" s="145">
        <f t="shared" si="24"/>
        <v>854.702288909</v>
      </c>
      <c r="AC39" s="145">
        <f>+(S39-T39)*V39-'data 1'!$F$4</f>
        <v>35.741500000000002</v>
      </c>
      <c r="AD39" s="145">
        <f t="shared" si="17"/>
        <v>1.0891474666299381</v>
      </c>
      <c r="AE39" s="145">
        <f t="shared" si="18"/>
        <v>-42.442499999999995</v>
      </c>
      <c r="AF39" s="145">
        <f t="shared" si="19"/>
        <v>-17.788311796380015</v>
      </c>
      <c r="AG39" s="772">
        <f t="shared" si="26"/>
        <v>-6.4001643297500692</v>
      </c>
      <c r="AH39" s="146">
        <f t="shared" si="20"/>
        <v>54.754281594131754</v>
      </c>
      <c r="AI39" s="156">
        <f t="shared" si="21"/>
        <v>131.69325653877996</v>
      </c>
      <c r="AJ39" s="156">
        <f t="shared" si="22"/>
        <v>55.684934186922767</v>
      </c>
      <c r="AK39" s="88"/>
      <c r="AL39" s="716">
        <f t="shared" si="23"/>
        <v>4576.8965690161385</v>
      </c>
    </row>
    <row r="40" spans="1:38" ht="15" customHeight="1">
      <c r="B40" s="595"/>
      <c r="C40" s="595"/>
      <c r="G40" s="80"/>
      <c r="L40" s="139"/>
      <c r="M40" s="139"/>
      <c r="N40" s="159"/>
      <c r="R40" s="706"/>
    </row>
    <row r="41" spans="1:38" ht="15" customHeight="1">
      <c r="B41" s="595"/>
      <c r="C41" s="595"/>
      <c r="G41" s="80"/>
      <c r="L41" s="139"/>
      <c r="M41" s="139"/>
      <c r="N41" s="159"/>
      <c r="R41" s="706"/>
    </row>
    <row r="42" spans="1:38" ht="15" customHeight="1">
      <c r="B42" s="595"/>
      <c r="C42" s="595"/>
      <c r="G42" s="80"/>
      <c r="L42" s="139"/>
      <c r="M42" s="139"/>
      <c r="N42" s="159"/>
      <c r="R42" s="706"/>
    </row>
    <row r="43" spans="1:38" ht="15" customHeight="1">
      <c r="B43" s="595"/>
      <c r="C43" s="595"/>
      <c r="G43" s="80"/>
      <c r="L43" s="139"/>
      <c r="M43" s="139"/>
      <c r="N43" s="159"/>
      <c r="R43" s="706"/>
    </row>
    <row r="44" spans="1:38" ht="15" customHeight="1">
      <c r="B44" s="595"/>
      <c r="C44" s="595"/>
      <c r="G44" s="80"/>
      <c r="L44" s="139"/>
      <c r="M44" s="139"/>
      <c r="N44" s="159"/>
      <c r="R44" s="706"/>
    </row>
    <row r="45" spans="1:38" ht="15" customHeight="1">
      <c r="B45" s="595"/>
      <c r="C45" s="595"/>
      <c r="G45" s="80"/>
      <c r="L45" s="139"/>
      <c r="M45" s="139"/>
      <c r="N45" s="159"/>
      <c r="R45" s="706"/>
    </row>
    <row r="46" spans="1:38" ht="15" customHeight="1">
      <c r="B46" s="595"/>
      <c r="C46" s="595"/>
      <c r="G46" s="80"/>
      <c r="L46" s="139"/>
      <c r="M46" s="139"/>
      <c r="N46" s="159"/>
      <c r="R46" s="706"/>
    </row>
    <row r="47" spans="1:38" ht="15" customHeight="1">
      <c r="B47" s="595"/>
      <c r="C47" s="595"/>
      <c r="G47" s="80"/>
      <c r="L47" s="139"/>
      <c r="M47" s="139"/>
      <c r="N47" s="159"/>
      <c r="R47" s="706"/>
    </row>
    <row r="48" spans="1:38" ht="15" customHeight="1">
      <c r="B48" s="595"/>
      <c r="C48" s="595"/>
      <c r="G48" s="80"/>
      <c r="L48" s="139"/>
      <c r="M48" s="139"/>
      <c r="N48" s="159"/>
      <c r="R48" s="706"/>
    </row>
    <row r="49" spans="2:18" ht="15" customHeight="1">
      <c r="B49" s="595"/>
      <c r="C49" s="595"/>
      <c r="G49" s="80"/>
      <c r="L49" s="139"/>
      <c r="M49" s="139"/>
      <c r="N49" s="159"/>
      <c r="R49" s="706"/>
    </row>
    <row r="50" spans="2:18" ht="15" customHeight="1">
      <c r="B50" s="595"/>
      <c r="C50" s="595"/>
      <c r="G50" s="80"/>
      <c r="L50" s="139"/>
      <c r="M50" s="139"/>
      <c r="N50" s="159"/>
      <c r="R50" s="706"/>
    </row>
    <row r="51" spans="2:18" ht="15" customHeight="1">
      <c r="B51" s="595"/>
      <c r="C51" s="595"/>
      <c r="G51" s="80"/>
      <c r="L51" s="139"/>
      <c r="M51" s="139"/>
      <c r="N51" s="159"/>
      <c r="R51" s="706"/>
    </row>
    <row r="52" spans="2:18" ht="15" customHeight="1">
      <c r="B52" s="595"/>
      <c r="C52" s="595"/>
      <c r="G52" s="80"/>
      <c r="L52" s="139"/>
      <c r="M52" s="139"/>
      <c r="N52" s="159"/>
      <c r="R52" s="706"/>
    </row>
    <row r="53" spans="2:18" ht="15" customHeight="1">
      <c r="B53" s="595"/>
      <c r="C53" s="595"/>
      <c r="G53" s="80"/>
      <c r="L53" s="139"/>
      <c r="M53" s="139"/>
      <c r="N53" s="159"/>
      <c r="R53" s="706"/>
    </row>
    <row r="54" spans="2:18" ht="15" customHeight="1">
      <c r="B54" s="595"/>
      <c r="C54" s="595"/>
      <c r="G54" s="80"/>
      <c r="L54" s="139"/>
      <c r="M54" s="139"/>
      <c r="N54" s="159"/>
      <c r="R54" s="706"/>
    </row>
    <row r="55" spans="2:18" ht="15" customHeight="1">
      <c r="B55" s="595"/>
      <c r="C55" s="595"/>
      <c r="G55" s="80"/>
      <c r="L55" s="139"/>
      <c r="M55" s="139"/>
      <c r="N55" s="159"/>
      <c r="R55" s="706"/>
    </row>
    <row r="56" spans="2:18" ht="15" customHeight="1">
      <c r="B56" s="595"/>
      <c r="C56" s="595"/>
      <c r="G56" s="80"/>
      <c r="L56" s="139"/>
      <c r="M56" s="139"/>
      <c r="N56" s="159"/>
      <c r="R56" s="706"/>
    </row>
    <row r="57" spans="2:18" ht="15" customHeight="1">
      <c r="B57" s="595"/>
      <c r="C57" s="595"/>
      <c r="G57" s="80"/>
      <c r="L57" s="139"/>
      <c r="M57" s="139"/>
      <c r="N57" s="159"/>
      <c r="R57" s="706"/>
    </row>
    <row r="58" spans="2:18" ht="15" customHeight="1">
      <c r="B58" s="595"/>
      <c r="C58" s="595"/>
      <c r="G58" s="80"/>
      <c r="L58" s="139"/>
      <c r="M58" s="139"/>
      <c r="N58" s="159"/>
      <c r="R58" s="706"/>
    </row>
    <row r="59" spans="2:18" ht="15" customHeight="1">
      <c r="B59" s="595"/>
      <c r="C59" s="595"/>
      <c r="G59" s="80"/>
      <c r="L59" s="139"/>
      <c r="M59" s="139"/>
      <c r="N59" s="159"/>
      <c r="R59" s="706"/>
    </row>
    <row r="60" spans="2:18" ht="15" customHeight="1">
      <c r="B60" s="595"/>
      <c r="C60" s="595"/>
      <c r="G60" s="80"/>
      <c r="L60" s="139"/>
      <c r="M60" s="139"/>
      <c r="N60" s="159"/>
      <c r="R60" s="706"/>
    </row>
    <row r="61" spans="2:18" ht="15" customHeight="1">
      <c r="B61" s="595"/>
      <c r="C61" s="595"/>
      <c r="G61" s="80"/>
      <c r="L61" s="139"/>
      <c r="M61" s="139"/>
      <c r="N61" s="159"/>
      <c r="R61" s="706"/>
    </row>
    <row r="62" spans="2:18" ht="15" customHeight="1">
      <c r="B62" s="595"/>
      <c r="C62" s="595"/>
      <c r="G62" s="80"/>
      <c r="L62" s="139"/>
      <c r="M62" s="139"/>
      <c r="N62" s="159"/>
      <c r="R62" s="706"/>
    </row>
    <row r="63" spans="2:18" ht="15" customHeight="1">
      <c r="B63" s="595"/>
      <c r="C63" s="595"/>
      <c r="G63" s="80"/>
      <c r="L63" s="139"/>
      <c r="M63" s="139"/>
      <c r="N63" s="159"/>
      <c r="R63" s="706"/>
    </row>
    <row r="64" spans="2:18" ht="15" customHeight="1">
      <c r="B64" s="595"/>
      <c r="C64" s="595"/>
      <c r="G64" s="80"/>
      <c r="L64" s="139"/>
      <c r="M64" s="139"/>
      <c r="N64" s="159"/>
      <c r="R64" s="706"/>
    </row>
    <row r="65" spans="2:18" ht="15" customHeight="1">
      <c r="B65" s="595"/>
      <c r="C65" s="595"/>
      <c r="G65" s="80"/>
      <c r="L65" s="139"/>
      <c r="M65" s="139"/>
      <c r="N65" s="159"/>
      <c r="R65" s="706"/>
    </row>
    <row r="66" spans="2:18" ht="15" customHeight="1">
      <c r="B66" s="595"/>
      <c r="C66" s="595"/>
      <c r="G66" s="80"/>
      <c r="L66" s="139"/>
      <c r="M66" s="139"/>
      <c r="N66" s="159"/>
      <c r="R66" s="706"/>
    </row>
    <row r="67" spans="2:18" ht="15" customHeight="1">
      <c r="B67" s="595"/>
      <c r="C67" s="595"/>
      <c r="G67" s="80"/>
      <c r="L67" s="139"/>
      <c r="M67" s="139"/>
      <c r="N67" s="159"/>
      <c r="R67" s="706"/>
    </row>
    <row r="68" spans="2:18" ht="15" customHeight="1">
      <c r="B68" s="595"/>
      <c r="C68" s="595"/>
      <c r="G68" s="80"/>
      <c r="L68" s="139"/>
      <c r="M68" s="139"/>
      <c r="N68" s="159"/>
      <c r="R68" s="706"/>
    </row>
    <row r="69" spans="2:18" ht="15" customHeight="1">
      <c r="B69" s="595"/>
      <c r="C69" s="595"/>
      <c r="G69" s="80"/>
      <c r="L69" s="139"/>
      <c r="M69" s="139"/>
      <c r="N69" s="159"/>
      <c r="R69" s="706"/>
    </row>
    <row r="70" spans="2:18" ht="15" customHeight="1">
      <c r="B70" s="595"/>
      <c r="C70" s="595"/>
      <c r="G70" s="80"/>
      <c r="L70" s="139"/>
      <c r="M70" s="139"/>
      <c r="N70" s="159"/>
      <c r="R70" s="706"/>
    </row>
    <row r="71" spans="2:18" ht="15" customHeight="1">
      <c r="B71" s="595"/>
      <c r="C71" s="595"/>
      <c r="G71" s="80"/>
      <c r="L71" s="139"/>
      <c r="M71" s="139"/>
      <c r="N71" s="159"/>
      <c r="R71" s="706"/>
    </row>
    <row r="72" spans="2:18" ht="15" customHeight="1">
      <c r="B72" s="595"/>
      <c r="C72" s="595"/>
      <c r="G72" s="80"/>
      <c r="L72" s="139"/>
      <c r="M72" s="139"/>
      <c r="N72" s="159"/>
      <c r="R72" s="706"/>
    </row>
    <row r="73" spans="2:18" ht="15" customHeight="1">
      <c r="B73" s="595"/>
      <c r="C73" s="595"/>
      <c r="G73" s="80"/>
      <c r="L73" s="139"/>
      <c r="M73" s="139"/>
      <c r="N73" s="159"/>
      <c r="R73" s="706"/>
    </row>
    <row r="74" spans="2:18" ht="15" customHeight="1">
      <c r="B74" s="595"/>
      <c r="C74" s="595"/>
      <c r="G74" s="80"/>
      <c r="L74" s="139"/>
      <c r="M74" s="139"/>
      <c r="N74" s="159"/>
      <c r="R74" s="706"/>
    </row>
    <row r="75" spans="2:18" ht="15" customHeight="1">
      <c r="B75" s="595"/>
      <c r="C75" s="595"/>
      <c r="G75" s="80"/>
      <c r="L75" s="139"/>
      <c r="M75" s="139"/>
      <c r="N75" s="159"/>
      <c r="R75" s="706"/>
    </row>
    <row r="76" spans="2:18" ht="15" customHeight="1">
      <c r="B76" s="595"/>
      <c r="C76" s="595"/>
      <c r="G76" s="80"/>
      <c r="L76" s="139"/>
      <c r="M76" s="139"/>
      <c r="N76" s="159"/>
      <c r="R76" s="706"/>
    </row>
    <row r="77" spans="2:18" ht="15" customHeight="1">
      <c r="B77" s="595"/>
      <c r="C77" s="595"/>
      <c r="G77" s="80"/>
      <c r="L77" s="139"/>
      <c r="M77" s="139"/>
      <c r="N77" s="159"/>
      <c r="R77" s="706"/>
    </row>
    <row r="78" spans="2:18" ht="15" customHeight="1">
      <c r="B78" s="595"/>
      <c r="C78" s="595"/>
      <c r="G78" s="80"/>
      <c r="L78" s="139"/>
      <c r="M78" s="139"/>
      <c r="N78" s="159"/>
      <c r="R78" s="706"/>
    </row>
    <row r="79" spans="2:18" ht="15" customHeight="1">
      <c r="B79" s="595"/>
      <c r="C79" s="595"/>
      <c r="G79" s="80"/>
      <c r="L79" s="139"/>
      <c r="M79" s="139"/>
      <c r="N79" s="159"/>
      <c r="R79" s="706"/>
    </row>
    <row r="80" spans="2:18" ht="15" customHeight="1">
      <c r="B80" s="595"/>
      <c r="C80" s="595"/>
      <c r="G80" s="80"/>
      <c r="L80" s="139"/>
      <c r="M80" s="139"/>
      <c r="N80" s="159"/>
      <c r="R80" s="706"/>
    </row>
    <row r="81" spans="2:18" ht="15" customHeight="1">
      <c r="B81" s="595"/>
      <c r="C81" s="595"/>
      <c r="G81" s="80"/>
      <c r="L81" s="139"/>
      <c r="M81" s="139"/>
      <c r="N81" s="159"/>
      <c r="R81" s="706"/>
    </row>
    <row r="82" spans="2:18" ht="15" customHeight="1">
      <c r="B82" s="595"/>
      <c r="C82" s="595"/>
      <c r="G82" s="80"/>
      <c r="L82" s="139"/>
      <c r="M82" s="139"/>
      <c r="N82" s="159"/>
      <c r="R82" s="706"/>
    </row>
    <row r="83" spans="2:18" ht="15" customHeight="1">
      <c r="B83" s="595"/>
      <c r="C83" s="595"/>
      <c r="G83" s="80"/>
      <c r="L83" s="139"/>
      <c r="M83" s="139"/>
      <c r="N83" s="159"/>
      <c r="R83" s="706"/>
    </row>
    <row r="84" spans="2:18" ht="15" customHeight="1">
      <c r="B84" s="595"/>
      <c r="C84" s="595"/>
      <c r="G84" s="80"/>
      <c r="L84" s="139"/>
      <c r="M84" s="139"/>
      <c r="N84" s="159"/>
      <c r="R84" s="706"/>
    </row>
    <row r="85" spans="2:18" ht="15" customHeight="1">
      <c r="B85" s="595"/>
      <c r="C85" s="595"/>
      <c r="G85" s="80"/>
      <c r="L85" s="139"/>
      <c r="M85" s="139"/>
      <c r="N85" s="159"/>
      <c r="R85" s="706"/>
    </row>
    <row r="86" spans="2:18" ht="15" customHeight="1">
      <c r="B86" s="595"/>
      <c r="C86" s="595"/>
      <c r="G86" s="80"/>
      <c r="L86" s="139"/>
      <c r="M86" s="139"/>
      <c r="N86" s="159"/>
      <c r="R86" s="706"/>
    </row>
    <row r="87" spans="2:18" ht="15" customHeight="1">
      <c r="B87" s="595"/>
      <c r="C87" s="595"/>
      <c r="G87" s="80"/>
      <c r="L87" s="139"/>
      <c r="M87" s="139"/>
      <c r="N87" s="159"/>
      <c r="R87" s="706"/>
    </row>
    <row r="88" spans="2:18" ht="15" customHeight="1">
      <c r="B88" s="595"/>
      <c r="C88" s="595"/>
      <c r="G88" s="80"/>
      <c r="L88" s="139"/>
      <c r="M88" s="139"/>
      <c r="N88" s="159"/>
      <c r="R88" s="706"/>
    </row>
    <row r="89" spans="2:18" ht="15" customHeight="1">
      <c r="B89" s="595"/>
      <c r="C89" s="595"/>
      <c r="G89" s="80"/>
      <c r="L89" s="139"/>
      <c r="M89" s="139"/>
      <c r="N89" s="159"/>
      <c r="R89" s="706"/>
    </row>
    <row r="90" spans="2:18" ht="15" customHeight="1">
      <c r="B90" s="595"/>
      <c r="C90" s="595"/>
      <c r="G90" s="80"/>
      <c r="L90" s="139"/>
      <c r="M90" s="139"/>
      <c r="N90" s="159"/>
      <c r="R90" s="706"/>
    </row>
    <row r="91" spans="2:18" ht="15" customHeight="1">
      <c r="B91" s="595"/>
      <c r="C91" s="595"/>
      <c r="G91" s="80"/>
      <c r="L91" s="139"/>
      <c r="M91" s="139"/>
      <c r="N91" s="159"/>
      <c r="R91" s="706"/>
    </row>
    <row r="92" spans="2:18" ht="15" customHeight="1">
      <c r="B92" s="595"/>
      <c r="C92" s="595"/>
      <c r="G92" s="80"/>
      <c r="L92" s="139"/>
      <c r="M92" s="139"/>
      <c r="N92" s="159"/>
      <c r="R92" s="706"/>
    </row>
    <row r="93" spans="2:18" ht="15" customHeight="1">
      <c r="B93" s="595"/>
      <c r="C93" s="595"/>
      <c r="G93" s="80"/>
      <c r="L93" s="139"/>
      <c r="M93" s="139"/>
      <c r="N93" s="159"/>
      <c r="R93" s="706"/>
    </row>
    <row r="94" spans="2:18" ht="15" customHeight="1">
      <c r="B94" s="595"/>
      <c r="C94" s="595"/>
      <c r="G94" s="80"/>
      <c r="L94" s="139"/>
      <c r="M94" s="139"/>
      <c r="N94" s="159"/>
      <c r="R94" s="706"/>
    </row>
    <row r="95" spans="2:18" ht="15" customHeight="1">
      <c r="B95" s="595"/>
      <c r="C95" s="595"/>
      <c r="G95" s="80"/>
      <c r="L95" s="139"/>
      <c r="M95" s="139"/>
      <c r="N95" s="159"/>
      <c r="R95" s="706"/>
    </row>
    <row r="96" spans="2:18" ht="15" customHeight="1">
      <c r="B96" s="595"/>
      <c r="C96" s="595"/>
      <c r="G96" s="80"/>
      <c r="L96" s="139"/>
      <c r="M96" s="139"/>
      <c r="N96" s="159"/>
      <c r="R96" s="706"/>
    </row>
    <row r="97" spans="2:18" ht="15" customHeight="1">
      <c r="B97" s="595"/>
      <c r="C97" s="595"/>
      <c r="G97" s="80"/>
      <c r="L97" s="139"/>
      <c r="M97" s="139"/>
      <c r="N97" s="159"/>
      <c r="R97" s="706"/>
    </row>
    <row r="98" spans="2:18" ht="15" customHeight="1">
      <c r="B98" s="595"/>
      <c r="C98" s="595"/>
      <c r="G98" s="80"/>
      <c r="L98" s="139"/>
      <c r="M98" s="139"/>
      <c r="N98" s="159"/>
      <c r="R98" s="706"/>
    </row>
    <row r="99" spans="2:18" ht="15" customHeight="1">
      <c r="B99" s="595"/>
      <c r="C99" s="595"/>
      <c r="G99" s="80"/>
      <c r="L99" s="139"/>
      <c r="M99" s="139"/>
      <c r="N99" s="159"/>
      <c r="R99" s="706"/>
    </row>
    <row r="100" spans="2:18" ht="15" customHeight="1">
      <c r="B100" s="595"/>
      <c r="C100" s="595"/>
      <c r="G100" s="80"/>
      <c r="L100" s="139"/>
      <c r="M100" s="139"/>
      <c r="N100" s="159"/>
      <c r="R100" s="706"/>
    </row>
    <row r="101" spans="2:18" ht="15" customHeight="1">
      <c r="B101" s="595"/>
      <c r="C101" s="595"/>
      <c r="G101" s="80"/>
      <c r="L101" s="139"/>
      <c r="M101" s="139"/>
      <c r="N101" s="159"/>
      <c r="R101" s="706"/>
    </row>
    <row r="102" spans="2:18" ht="15" customHeight="1">
      <c r="B102" s="595"/>
      <c r="C102" s="595"/>
      <c r="G102" s="80"/>
      <c r="L102" s="139"/>
      <c r="M102" s="139"/>
      <c r="N102" s="159"/>
      <c r="R102" s="706"/>
    </row>
    <row r="103" spans="2:18" ht="15" customHeight="1">
      <c r="B103" s="595"/>
      <c r="C103" s="595"/>
      <c r="G103" s="80"/>
      <c r="L103" s="139"/>
      <c r="M103" s="139"/>
      <c r="N103" s="159"/>
      <c r="R103" s="706"/>
    </row>
    <row r="104" spans="2:18" ht="15" customHeight="1">
      <c r="B104" s="595"/>
      <c r="C104" s="595"/>
      <c r="G104" s="80"/>
      <c r="L104" s="139"/>
      <c r="M104" s="139"/>
      <c r="N104" s="159"/>
      <c r="R104" s="706"/>
    </row>
    <row r="105" spans="2:18" ht="15" customHeight="1">
      <c r="B105" s="595"/>
      <c r="C105" s="595"/>
      <c r="G105" s="80"/>
      <c r="L105" s="139"/>
      <c r="M105" s="139"/>
      <c r="N105" s="159"/>
      <c r="R105" s="706"/>
    </row>
    <row r="106" spans="2:18" ht="15" customHeight="1">
      <c r="B106" s="595"/>
      <c r="C106" s="595"/>
      <c r="G106" s="80"/>
      <c r="L106" s="139"/>
      <c r="M106" s="139"/>
      <c r="N106" s="159"/>
      <c r="R106" s="706"/>
    </row>
    <row r="107" spans="2:18" ht="15" customHeight="1">
      <c r="B107" s="595"/>
      <c r="C107" s="595"/>
      <c r="G107" s="80"/>
      <c r="L107" s="139"/>
      <c r="M107" s="139"/>
      <c r="N107" s="159"/>
      <c r="R107" s="706"/>
    </row>
    <row r="108" spans="2:18" ht="15" customHeight="1">
      <c r="B108" s="595"/>
      <c r="C108" s="595"/>
      <c r="G108" s="80"/>
      <c r="L108" s="139"/>
      <c r="M108" s="139"/>
      <c r="N108" s="159"/>
      <c r="R108" s="706"/>
    </row>
    <row r="109" spans="2:18" ht="15" customHeight="1">
      <c r="B109" s="595"/>
      <c r="C109" s="595"/>
      <c r="G109" s="80"/>
      <c r="L109" s="139"/>
      <c r="M109" s="139"/>
      <c r="N109" s="159"/>
      <c r="R109" s="706"/>
    </row>
    <row r="110" spans="2:18" ht="15" customHeight="1">
      <c r="B110" s="595"/>
      <c r="C110" s="595"/>
      <c r="G110" s="80"/>
      <c r="L110" s="139"/>
      <c r="M110" s="139"/>
      <c r="N110" s="159"/>
      <c r="R110" s="706"/>
    </row>
    <row r="111" spans="2:18" ht="15" customHeight="1">
      <c r="B111" s="595"/>
      <c r="C111" s="595"/>
      <c r="G111" s="80"/>
      <c r="L111" s="139"/>
      <c r="M111" s="139"/>
      <c r="N111" s="159"/>
      <c r="R111" s="706"/>
    </row>
    <row r="112" spans="2:18" ht="15" customHeight="1">
      <c r="B112" s="595"/>
      <c r="C112" s="595"/>
      <c r="G112" s="80"/>
      <c r="L112" s="139"/>
      <c r="M112" s="139"/>
      <c r="N112" s="159"/>
      <c r="R112" s="706"/>
    </row>
    <row r="113" spans="2:18" ht="15" customHeight="1">
      <c r="B113" s="595"/>
      <c r="C113" s="595"/>
      <c r="G113" s="80"/>
      <c r="L113" s="139"/>
      <c r="M113" s="139"/>
      <c r="N113" s="159"/>
      <c r="R113" s="706"/>
    </row>
    <row r="114" spans="2:18" ht="15" customHeight="1">
      <c r="B114" s="595"/>
      <c r="C114" s="595"/>
      <c r="G114" s="80"/>
      <c r="L114" s="139"/>
      <c r="M114" s="139"/>
      <c r="N114" s="159"/>
      <c r="R114" s="706"/>
    </row>
    <row r="115" spans="2:18" ht="15" customHeight="1">
      <c r="B115" s="595"/>
      <c r="C115" s="595"/>
      <c r="G115" s="80"/>
      <c r="L115" s="139"/>
      <c r="M115" s="139"/>
      <c r="N115" s="159"/>
      <c r="R115" s="706"/>
    </row>
    <row r="116" spans="2:18" ht="15" customHeight="1">
      <c r="B116" s="595"/>
      <c r="C116" s="595"/>
      <c r="G116" s="80"/>
      <c r="L116" s="139"/>
      <c r="M116" s="139"/>
      <c r="N116" s="159"/>
      <c r="R116" s="706"/>
    </row>
    <row r="117" spans="2:18" ht="15" customHeight="1">
      <c r="B117" s="595"/>
      <c r="C117" s="595"/>
      <c r="G117" s="80"/>
      <c r="L117" s="139"/>
      <c r="M117" s="139"/>
      <c r="N117" s="159"/>
      <c r="R117" s="706"/>
    </row>
    <row r="118" spans="2:18" ht="15" customHeight="1">
      <c r="B118" s="595"/>
      <c r="C118" s="595"/>
      <c r="G118" s="80"/>
      <c r="L118" s="139"/>
      <c r="M118" s="139"/>
      <c r="N118" s="159"/>
      <c r="R118" s="706"/>
    </row>
    <row r="119" spans="2:18" ht="15" customHeight="1">
      <c r="B119" s="595"/>
      <c r="C119" s="595"/>
      <c r="G119" s="80"/>
      <c r="L119" s="139"/>
      <c r="M119" s="139"/>
      <c r="N119" s="159"/>
      <c r="R119" s="706"/>
    </row>
    <row r="120" spans="2:18" ht="15" customHeight="1">
      <c r="B120" s="595"/>
      <c r="C120" s="595"/>
      <c r="G120" s="80"/>
      <c r="L120" s="139"/>
      <c r="M120" s="139"/>
      <c r="N120" s="159"/>
      <c r="R120" s="706"/>
    </row>
    <row r="121" spans="2:18" ht="15" customHeight="1">
      <c r="B121" s="595"/>
      <c r="C121" s="595"/>
      <c r="G121" s="80"/>
      <c r="L121" s="139"/>
      <c r="M121" s="139"/>
      <c r="N121" s="159"/>
      <c r="R121" s="706"/>
    </row>
    <row r="122" spans="2:18" ht="15" customHeight="1">
      <c r="B122" s="595"/>
      <c r="C122" s="595"/>
      <c r="G122" s="80"/>
      <c r="L122" s="139"/>
      <c r="M122" s="139"/>
      <c r="N122" s="159"/>
      <c r="R122" s="706"/>
    </row>
    <row r="123" spans="2:18" ht="15" customHeight="1">
      <c r="B123" s="595"/>
      <c r="C123" s="595"/>
      <c r="G123" s="80"/>
      <c r="L123" s="139"/>
      <c r="M123" s="139"/>
      <c r="N123" s="159"/>
      <c r="R123" s="706"/>
    </row>
    <row r="124" spans="2:18" ht="15" customHeight="1">
      <c r="B124" s="595"/>
      <c r="C124" s="595"/>
      <c r="G124" s="80"/>
      <c r="L124" s="139"/>
      <c r="M124" s="139"/>
      <c r="N124" s="159"/>
      <c r="R124" s="706"/>
    </row>
    <row r="125" spans="2:18" ht="15" customHeight="1">
      <c r="B125" s="595"/>
      <c r="C125" s="595"/>
      <c r="G125" s="80"/>
      <c r="L125" s="139"/>
      <c r="M125" s="139"/>
      <c r="N125" s="159"/>
      <c r="R125" s="706"/>
    </row>
    <row r="126" spans="2:18" ht="15" customHeight="1">
      <c r="B126" s="595"/>
      <c r="C126" s="595"/>
      <c r="G126" s="80"/>
      <c r="L126" s="139"/>
      <c r="M126" s="139"/>
      <c r="N126" s="159"/>
      <c r="R126" s="706"/>
    </row>
    <row r="127" spans="2:18" ht="15" customHeight="1">
      <c r="B127" s="595"/>
      <c r="C127" s="595"/>
      <c r="G127" s="80"/>
      <c r="L127" s="139"/>
      <c r="M127" s="139"/>
      <c r="N127" s="159"/>
      <c r="R127" s="706"/>
    </row>
    <row r="128" spans="2:18" ht="15" customHeight="1">
      <c r="B128" s="595"/>
      <c r="C128" s="595"/>
      <c r="G128" s="80"/>
      <c r="L128" s="139"/>
      <c r="M128" s="139"/>
      <c r="N128" s="159"/>
      <c r="R128" s="706"/>
    </row>
    <row r="129" spans="2:18" ht="15" customHeight="1">
      <c r="B129" s="595"/>
      <c r="C129" s="595"/>
      <c r="G129" s="80"/>
      <c r="L129" s="139"/>
      <c r="M129" s="139"/>
      <c r="N129" s="159"/>
      <c r="R129" s="706"/>
    </row>
    <row r="130" spans="2:18" ht="15" customHeight="1">
      <c r="B130" s="595"/>
      <c r="C130" s="595"/>
      <c r="G130" s="80"/>
      <c r="L130" s="139"/>
      <c r="M130" s="139"/>
      <c r="N130" s="159"/>
      <c r="R130" s="706"/>
    </row>
    <row r="131" spans="2:18" ht="15" customHeight="1">
      <c r="B131" s="595"/>
      <c r="C131" s="595"/>
      <c r="G131" s="80"/>
      <c r="L131" s="139"/>
      <c r="M131" s="139"/>
      <c r="N131" s="159"/>
      <c r="R131" s="706"/>
    </row>
    <row r="132" spans="2:18" ht="15" customHeight="1">
      <c r="B132" s="595"/>
      <c r="C132" s="595"/>
      <c r="G132" s="80"/>
      <c r="L132" s="139"/>
      <c r="M132" s="139"/>
      <c r="N132" s="159"/>
      <c r="R132" s="706"/>
    </row>
    <row r="133" spans="2:18" ht="15" customHeight="1">
      <c r="B133" s="595"/>
      <c r="C133" s="595"/>
      <c r="G133" s="80"/>
      <c r="L133" s="139"/>
      <c r="M133" s="139"/>
      <c r="N133" s="159"/>
      <c r="R133" s="706"/>
    </row>
    <row r="134" spans="2:18" ht="15" customHeight="1">
      <c r="B134" s="595"/>
      <c r="C134" s="595"/>
      <c r="G134" s="80"/>
      <c r="L134" s="139"/>
      <c r="M134" s="139"/>
      <c r="N134" s="159"/>
      <c r="R134" s="706"/>
    </row>
    <row r="135" spans="2:18" ht="15" customHeight="1">
      <c r="B135" s="595"/>
      <c r="C135" s="595"/>
      <c r="G135" s="80"/>
      <c r="L135" s="139"/>
      <c r="M135" s="139"/>
      <c r="N135" s="159"/>
      <c r="R135" s="706"/>
    </row>
    <row r="136" spans="2:18" ht="15" customHeight="1">
      <c r="B136" s="595"/>
      <c r="C136" s="595"/>
      <c r="G136" s="80"/>
      <c r="L136" s="139"/>
      <c r="M136" s="139"/>
      <c r="N136" s="159"/>
      <c r="R136" s="706"/>
    </row>
    <row r="137" spans="2:18" ht="15" customHeight="1">
      <c r="B137" s="595"/>
      <c r="C137" s="595"/>
      <c r="G137" s="80"/>
      <c r="L137" s="139"/>
      <c r="M137" s="139"/>
      <c r="N137" s="159"/>
      <c r="R137" s="706"/>
    </row>
    <row r="138" spans="2:18" ht="15" customHeight="1">
      <c r="B138" s="595"/>
      <c r="C138" s="595"/>
      <c r="G138" s="80"/>
      <c r="L138" s="139"/>
      <c r="M138" s="139"/>
      <c r="N138" s="159"/>
      <c r="R138" s="706"/>
    </row>
    <row r="139" spans="2:18" ht="15" customHeight="1">
      <c r="B139" s="595"/>
      <c r="C139" s="595"/>
      <c r="G139" s="80"/>
      <c r="L139" s="139"/>
      <c r="M139" s="139"/>
      <c r="N139" s="159"/>
      <c r="R139" s="706"/>
    </row>
    <row r="140" spans="2:18" ht="15" customHeight="1">
      <c r="B140" s="595"/>
      <c r="C140" s="595"/>
      <c r="G140" s="80"/>
      <c r="L140" s="139"/>
      <c r="M140" s="139"/>
      <c r="N140" s="159"/>
      <c r="R140" s="706"/>
    </row>
    <row r="141" spans="2:18" ht="15" customHeight="1">
      <c r="B141" s="595"/>
      <c r="C141" s="595"/>
      <c r="G141" s="80"/>
      <c r="L141" s="139"/>
      <c r="M141" s="139"/>
      <c r="N141" s="159"/>
      <c r="R141" s="706"/>
    </row>
    <row r="142" spans="2:18" ht="15" customHeight="1">
      <c r="B142" s="595"/>
      <c r="C142" s="595"/>
      <c r="G142" s="80"/>
      <c r="L142" s="139"/>
      <c r="M142" s="139"/>
      <c r="N142" s="159"/>
      <c r="R142" s="706"/>
    </row>
    <row r="143" spans="2:18" ht="15" customHeight="1">
      <c r="B143" s="595"/>
      <c r="C143" s="595"/>
      <c r="G143" s="80"/>
      <c r="L143" s="139"/>
      <c r="M143" s="139"/>
      <c r="N143" s="159"/>
      <c r="R143" s="706"/>
    </row>
    <row r="144" spans="2:18" ht="15" customHeight="1">
      <c r="B144" s="595"/>
      <c r="C144" s="595"/>
      <c r="G144" s="80"/>
      <c r="L144" s="139"/>
      <c r="M144" s="139"/>
      <c r="N144" s="159"/>
      <c r="R144" s="706"/>
    </row>
    <row r="145" spans="2:18" ht="15" customHeight="1">
      <c r="B145" s="595"/>
      <c r="C145" s="595"/>
      <c r="G145" s="80"/>
      <c r="L145" s="139"/>
      <c r="M145" s="139"/>
      <c r="N145" s="159"/>
      <c r="R145" s="706"/>
    </row>
    <row r="146" spans="2:18" ht="15" customHeight="1">
      <c r="B146" s="595"/>
      <c r="C146" s="595"/>
      <c r="G146" s="80"/>
      <c r="L146" s="139"/>
      <c r="M146" s="139"/>
      <c r="N146" s="159"/>
      <c r="R146" s="706"/>
    </row>
    <row r="147" spans="2:18" ht="15" customHeight="1">
      <c r="B147" s="595"/>
      <c r="C147" s="595"/>
      <c r="G147" s="80"/>
      <c r="L147" s="139"/>
      <c r="M147" s="139"/>
      <c r="N147" s="159"/>
      <c r="R147" s="706"/>
    </row>
    <row r="148" spans="2:18" ht="15" customHeight="1">
      <c r="B148" s="595"/>
      <c r="C148" s="595"/>
      <c r="G148" s="80"/>
      <c r="L148" s="139"/>
      <c r="M148" s="139"/>
      <c r="N148" s="159"/>
      <c r="R148" s="706"/>
    </row>
    <row r="149" spans="2:18" ht="15" customHeight="1">
      <c r="B149" s="595"/>
      <c r="C149" s="595"/>
      <c r="G149" s="80"/>
      <c r="L149" s="139"/>
      <c r="M149" s="139"/>
      <c r="N149" s="159"/>
      <c r="R149" s="706"/>
    </row>
    <row r="150" spans="2:18" ht="15" customHeight="1">
      <c r="B150" s="595"/>
      <c r="C150" s="595"/>
      <c r="G150" s="80"/>
      <c r="L150" s="139"/>
      <c r="M150" s="139"/>
      <c r="N150" s="159"/>
      <c r="R150" s="706"/>
    </row>
    <row r="151" spans="2:18" ht="15" customHeight="1">
      <c r="B151" s="595"/>
      <c r="C151" s="595"/>
      <c r="G151" s="80"/>
      <c r="L151" s="139"/>
      <c r="M151" s="139"/>
      <c r="N151" s="159"/>
      <c r="R151" s="706"/>
    </row>
    <row r="152" spans="2:18" ht="15" customHeight="1">
      <c r="B152" s="595"/>
      <c r="C152" s="595"/>
      <c r="G152" s="80"/>
      <c r="L152" s="139"/>
      <c r="M152" s="139"/>
      <c r="N152" s="159"/>
      <c r="R152" s="706"/>
    </row>
    <row r="153" spans="2:18" ht="15" customHeight="1">
      <c r="B153" s="595"/>
      <c r="C153" s="595"/>
      <c r="G153" s="80"/>
      <c r="L153" s="139"/>
      <c r="M153" s="139"/>
      <c r="N153" s="159"/>
      <c r="R153" s="706"/>
    </row>
    <row r="154" spans="2:18" ht="15" customHeight="1">
      <c r="B154" s="595"/>
      <c r="C154" s="595"/>
      <c r="G154" s="80"/>
      <c r="L154" s="139"/>
      <c r="M154" s="139"/>
      <c r="N154" s="159"/>
      <c r="R154" s="706"/>
    </row>
    <row r="155" spans="2:18" ht="15" customHeight="1">
      <c r="B155" s="595"/>
      <c r="C155" s="595"/>
      <c r="G155" s="80"/>
      <c r="L155" s="139"/>
      <c r="M155" s="139"/>
      <c r="N155" s="159"/>
      <c r="R155" s="706"/>
    </row>
    <row r="156" spans="2:18" ht="15" customHeight="1">
      <c r="B156" s="595"/>
      <c r="C156" s="595"/>
      <c r="G156" s="80"/>
      <c r="L156" s="139"/>
      <c r="M156" s="139"/>
      <c r="N156" s="159"/>
      <c r="R156" s="706"/>
    </row>
    <row r="157" spans="2:18" ht="15" customHeight="1">
      <c r="B157" s="595"/>
      <c r="C157" s="595"/>
      <c r="G157" s="80"/>
      <c r="L157" s="139"/>
      <c r="M157" s="139"/>
      <c r="N157" s="159"/>
      <c r="R157" s="706"/>
    </row>
    <row r="158" spans="2:18" ht="15" customHeight="1">
      <c r="B158" s="595"/>
      <c r="C158" s="595"/>
      <c r="G158" s="80"/>
      <c r="L158" s="139"/>
      <c r="M158" s="139"/>
      <c r="N158" s="159"/>
      <c r="R158" s="706"/>
    </row>
    <row r="159" spans="2:18" ht="15" customHeight="1">
      <c r="B159" s="595"/>
      <c r="C159" s="595"/>
      <c r="G159" s="80"/>
      <c r="L159" s="139"/>
      <c r="M159" s="139"/>
      <c r="N159" s="159"/>
      <c r="R159" s="706"/>
    </row>
    <row r="160" spans="2:18" ht="15" customHeight="1">
      <c r="B160" s="595"/>
      <c r="C160" s="595"/>
      <c r="G160" s="80"/>
      <c r="L160" s="139"/>
      <c r="M160" s="139"/>
      <c r="N160" s="159"/>
      <c r="R160" s="706"/>
    </row>
    <row r="161" spans="2:18" ht="15" customHeight="1">
      <c r="B161" s="595"/>
      <c r="C161" s="595"/>
      <c r="G161" s="80"/>
      <c r="L161" s="139"/>
      <c r="M161" s="139"/>
      <c r="N161" s="159"/>
      <c r="R161" s="706"/>
    </row>
    <row r="162" spans="2:18" ht="15" customHeight="1">
      <c r="B162" s="595"/>
      <c r="C162" s="595"/>
      <c r="G162" s="80"/>
      <c r="L162" s="139"/>
      <c r="M162" s="139"/>
      <c r="N162" s="159"/>
      <c r="R162" s="706"/>
    </row>
    <row r="163" spans="2:18" ht="15" customHeight="1">
      <c r="B163" s="595"/>
      <c r="C163" s="595"/>
      <c r="G163" s="80"/>
      <c r="L163" s="139"/>
      <c r="M163" s="139"/>
      <c r="N163" s="159"/>
      <c r="R163" s="706"/>
    </row>
    <row r="164" spans="2:18" ht="15" customHeight="1">
      <c r="B164" s="595"/>
      <c r="C164" s="595"/>
      <c r="G164" s="80"/>
      <c r="L164" s="139"/>
      <c r="M164" s="139"/>
      <c r="N164" s="159"/>
      <c r="R164" s="706"/>
    </row>
    <row r="165" spans="2:18" ht="15" customHeight="1">
      <c r="B165" s="595"/>
      <c r="C165" s="595"/>
      <c r="G165" s="80"/>
      <c r="L165" s="139"/>
      <c r="M165" s="139"/>
      <c r="N165" s="159"/>
      <c r="R165" s="706"/>
    </row>
    <row r="166" spans="2:18" ht="15" customHeight="1">
      <c r="B166" s="595"/>
      <c r="C166" s="595"/>
      <c r="G166" s="80"/>
      <c r="L166" s="139"/>
      <c r="M166" s="139"/>
      <c r="N166" s="159"/>
      <c r="R166" s="706"/>
    </row>
    <row r="167" spans="2:18" ht="15" customHeight="1">
      <c r="B167" s="595"/>
      <c r="C167" s="595"/>
      <c r="G167" s="80"/>
      <c r="L167" s="139"/>
      <c r="M167" s="139"/>
      <c r="N167" s="159"/>
      <c r="R167" s="706"/>
    </row>
    <row r="168" spans="2:18" ht="15" customHeight="1">
      <c r="B168" s="595"/>
      <c r="C168" s="595"/>
      <c r="G168" s="80"/>
      <c r="L168" s="139"/>
      <c r="M168" s="139"/>
      <c r="N168" s="159"/>
      <c r="R168" s="706"/>
    </row>
    <row r="169" spans="2:18" ht="15" customHeight="1">
      <c r="B169" s="595"/>
      <c r="C169" s="595"/>
      <c r="G169" s="80"/>
      <c r="L169" s="139"/>
      <c r="M169" s="139"/>
      <c r="N169" s="159"/>
      <c r="R169" s="706"/>
    </row>
    <row r="170" spans="2:18" ht="15" customHeight="1">
      <c r="B170" s="595"/>
      <c r="C170" s="595"/>
      <c r="G170" s="80"/>
      <c r="L170" s="139"/>
      <c r="M170" s="139"/>
      <c r="N170" s="159"/>
      <c r="R170" s="706"/>
    </row>
    <row r="171" spans="2:18" ht="15" customHeight="1">
      <c r="B171" s="595"/>
      <c r="C171" s="595"/>
      <c r="G171" s="80"/>
      <c r="L171" s="139"/>
      <c r="M171" s="139"/>
      <c r="N171" s="159"/>
      <c r="R171" s="706"/>
    </row>
    <row r="172" spans="2:18" ht="15" customHeight="1">
      <c r="B172" s="595"/>
      <c r="C172" s="595"/>
      <c r="G172" s="80"/>
      <c r="L172" s="139"/>
      <c r="M172" s="139"/>
      <c r="N172" s="159"/>
      <c r="R172" s="706"/>
    </row>
    <row r="173" spans="2:18" ht="15" customHeight="1">
      <c r="B173" s="595"/>
      <c r="C173" s="595"/>
      <c r="G173" s="80"/>
      <c r="L173" s="139"/>
      <c r="M173" s="139"/>
      <c r="N173" s="159"/>
      <c r="R173" s="706"/>
    </row>
    <row r="174" spans="2:18" ht="15" customHeight="1">
      <c r="B174" s="595"/>
      <c r="C174" s="595"/>
      <c r="G174" s="80"/>
      <c r="L174" s="139"/>
      <c r="M174" s="139"/>
      <c r="N174" s="159"/>
      <c r="R174" s="706"/>
    </row>
    <row r="175" spans="2:18" ht="15" customHeight="1">
      <c r="B175" s="595"/>
      <c r="C175" s="595"/>
      <c r="G175" s="80"/>
      <c r="L175" s="139"/>
      <c r="M175" s="139"/>
      <c r="N175" s="159"/>
      <c r="R175" s="706"/>
    </row>
    <row r="176" spans="2:18" ht="15" customHeight="1">
      <c r="B176" s="595"/>
      <c r="C176" s="595"/>
      <c r="G176" s="80"/>
      <c r="L176" s="139"/>
      <c r="M176" s="139"/>
      <c r="N176" s="159"/>
      <c r="R176" s="706"/>
    </row>
    <row r="177" spans="2:18" ht="15" customHeight="1">
      <c r="B177" s="595"/>
      <c r="C177" s="595"/>
      <c r="G177" s="80"/>
      <c r="L177" s="139"/>
      <c r="M177" s="139"/>
      <c r="N177" s="159"/>
      <c r="R177" s="706"/>
    </row>
    <row r="178" spans="2:18" ht="15" customHeight="1">
      <c r="B178" s="595"/>
      <c r="C178" s="595"/>
      <c r="G178" s="80"/>
      <c r="L178" s="139"/>
      <c r="M178" s="139"/>
      <c r="N178" s="159"/>
      <c r="R178" s="706"/>
    </row>
    <row r="179" spans="2:18" ht="15" customHeight="1">
      <c r="B179" s="595"/>
      <c r="C179" s="595"/>
      <c r="G179" s="80"/>
      <c r="L179" s="139"/>
      <c r="M179" s="139"/>
      <c r="N179" s="159"/>
      <c r="R179" s="706"/>
    </row>
    <row r="180" spans="2:18" ht="15" customHeight="1">
      <c r="B180" s="595"/>
      <c r="C180" s="595"/>
      <c r="G180" s="80"/>
      <c r="L180" s="139"/>
      <c r="M180" s="139"/>
      <c r="N180" s="159"/>
      <c r="R180" s="706"/>
    </row>
    <row r="181" spans="2:18" ht="15" customHeight="1">
      <c r="B181" s="595"/>
      <c r="C181" s="595"/>
      <c r="G181" s="80"/>
      <c r="L181" s="139"/>
      <c r="M181" s="139"/>
      <c r="N181" s="159"/>
      <c r="R181" s="706"/>
    </row>
    <row r="182" spans="2:18" ht="15" customHeight="1">
      <c r="B182" s="595"/>
      <c r="C182" s="595"/>
      <c r="G182" s="80"/>
      <c r="L182" s="139"/>
      <c r="M182" s="139"/>
      <c r="N182" s="159"/>
      <c r="R182" s="706"/>
    </row>
    <row r="183" spans="2:18" ht="15" customHeight="1">
      <c r="B183" s="595"/>
      <c r="C183" s="595"/>
      <c r="G183" s="80"/>
      <c r="L183" s="139"/>
      <c r="M183" s="139"/>
      <c r="N183" s="159"/>
      <c r="R183" s="706"/>
    </row>
    <row r="184" spans="2:18" ht="15" customHeight="1">
      <c r="B184" s="595"/>
      <c r="C184" s="595"/>
      <c r="G184" s="80"/>
      <c r="L184" s="139"/>
      <c r="M184" s="139"/>
      <c r="N184" s="159"/>
      <c r="R184" s="706"/>
    </row>
    <row r="185" spans="2:18" ht="15" customHeight="1">
      <c r="B185" s="595"/>
      <c r="C185" s="595"/>
      <c r="G185" s="80"/>
      <c r="L185" s="139"/>
      <c r="M185" s="139"/>
      <c r="N185" s="159"/>
      <c r="R185" s="706"/>
    </row>
    <row r="186" spans="2:18" ht="15" customHeight="1">
      <c r="B186" s="595"/>
      <c r="C186" s="595"/>
      <c r="G186" s="80"/>
      <c r="L186" s="139"/>
      <c r="M186" s="139"/>
      <c r="N186" s="159"/>
      <c r="R186" s="706"/>
    </row>
    <row r="187" spans="2:18" ht="15" customHeight="1">
      <c r="B187" s="595"/>
      <c r="C187" s="595"/>
      <c r="G187" s="80"/>
      <c r="L187" s="139"/>
      <c r="M187" s="139"/>
      <c r="N187" s="159"/>
      <c r="R187" s="706"/>
    </row>
    <row r="188" spans="2:18" ht="15" customHeight="1">
      <c r="B188" s="595"/>
      <c r="C188" s="595"/>
      <c r="G188" s="80"/>
      <c r="L188" s="139"/>
      <c r="M188" s="139"/>
      <c r="N188" s="159"/>
      <c r="R188" s="706"/>
    </row>
    <row r="189" spans="2:18" ht="15" customHeight="1">
      <c r="B189" s="595"/>
      <c r="C189" s="595"/>
      <c r="G189" s="80"/>
      <c r="L189" s="139"/>
      <c r="M189" s="139"/>
      <c r="N189" s="159"/>
      <c r="R189" s="706"/>
    </row>
    <row r="190" spans="2:18" ht="15" customHeight="1">
      <c r="B190" s="595"/>
      <c r="C190" s="595"/>
      <c r="G190" s="80"/>
      <c r="L190" s="139"/>
      <c r="M190" s="139"/>
      <c r="N190" s="159"/>
      <c r="R190" s="706"/>
    </row>
    <row r="191" spans="2:18" ht="15" customHeight="1">
      <c r="B191" s="595"/>
      <c r="C191" s="595"/>
      <c r="G191" s="80"/>
      <c r="L191" s="139"/>
      <c r="M191" s="139"/>
      <c r="N191" s="159"/>
      <c r="R191" s="706"/>
    </row>
    <row r="192" spans="2:18" ht="15" customHeight="1">
      <c r="B192" s="595"/>
      <c r="C192" s="595"/>
      <c r="G192" s="80"/>
      <c r="L192" s="139"/>
      <c r="M192" s="139"/>
      <c r="N192" s="159"/>
      <c r="R192" s="706"/>
    </row>
    <row r="193" spans="2:18" ht="15" customHeight="1">
      <c r="B193" s="595"/>
      <c r="C193" s="595"/>
      <c r="G193" s="80"/>
      <c r="L193" s="139"/>
      <c r="M193" s="139"/>
      <c r="N193" s="159"/>
      <c r="R193" s="706"/>
    </row>
    <row r="194" spans="2:18" ht="15" customHeight="1">
      <c r="B194" s="595"/>
      <c r="C194" s="595"/>
      <c r="G194" s="80"/>
      <c r="L194" s="139"/>
      <c r="M194" s="139"/>
      <c r="N194" s="159"/>
      <c r="R194" s="706"/>
    </row>
    <row r="195" spans="2:18" ht="15" customHeight="1">
      <c r="B195" s="595"/>
      <c r="C195" s="595"/>
      <c r="G195" s="80"/>
      <c r="L195" s="139"/>
      <c r="M195" s="139"/>
      <c r="N195" s="159"/>
      <c r="R195" s="706"/>
    </row>
    <row r="196" spans="2:18" ht="15" customHeight="1">
      <c r="B196" s="595"/>
      <c r="C196" s="595"/>
      <c r="G196" s="80"/>
      <c r="L196" s="139"/>
      <c r="M196" s="139"/>
      <c r="N196" s="159"/>
      <c r="R196" s="706"/>
    </row>
    <row r="197" spans="2:18" ht="15" customHeight="1">
      <c r="B197" s="595"/>
      <c r="C197" s="595"/>
      <c r="G197" s="80"/>
      <c r="L197" s="139"/>
      <c r="M197" s="139"/>
      <c r="N197" s="159"/>
      <c r="R197" s="706"/>
    </row>
    <row r="198" spans="2:18" ht="15" customHeight="1">
      <c r="B198" s="595"/>
      <c r="C198" s="595"/>
      <c r="G198" s="80"/>
      <c r="L198" s="139"/>
      <c r="M198" s="139"/>
      <c r="N198" s="159"/>
      <c r="R198" s="706"/>
    </row>
    <row r="199" spans="2:18" ht="15" customHeight="1">
      <c r="B199" s="595"/>
      <c r="C199" s="595"/>
      <c r="G199" s="80"/>
      <c r="L199" s="139"/>
      <c r="M199" s="139"/>
      <c r="N199" s="159"/>
      <c r="R199" s="706"/>
    </row>
    <row r="200" spans="2:18" ht="15" customHeight="1">
      <c r="B200" s="595"/>
      <c r="C200" s="595"/>
      <c r="G200" s="80"/>
      <c r="L200" s="139"/>
      <c r="M200" s="139"/>
      <c r="N200" s="159"/>
      <c r="R200" s="706"/>
    </row>
    <row r="201" spans="2:18" ht="15" customHeight="1">
      <c r="B201" s="595"/>
      <c r="C201" s="595"/>
      <c r="G201" s="80"/>
      <c r="L201" s="139"/>
      <c r="M201" s="139"/>
      <c r="N201" s="159"/>
      <c r="R201" s="706"/>
    </row>
    <row r="202" spans="2:18" ht="15" customHeight="1">
      <c r="B202" s="595"/>
      <c r="C202" s="595"/>
      <c r="G202" s="80"/>
      <c r="L202" s="139"/>
      <c r="M202" s="139"/>
      <c r="N202" s="159"/>
      <c r="R202" s="706"/>
    </row>
    <row r="203" spans="2:18" ht="15" customHeight="1">
      <c r="B203" s="595"/>
      <c r="C203" s="595"/>
      <c r="G203" s="80"/>
      <c r="L203" s="139"/>
      <c r="M203" s="139"/>
      <c r="N203" s="159"/>
      <c r="R203" s="706"/>
    </row>
    <row r="204" spans="2:18" ht="15" customHeight="1">
      <c r="B204" s="595"/>
      <c r="C204" s="595"/>
      <c r="G204" s="80"/>
      <c r="L204" s="139"/>
      <c r="M204" s="139"/>
      <c r="N204" s="159"/>
      <c r="R204" s="706"/>
    </row>
    <row r="205" spans="2:18" ht="15" customHeight="1">
      <c r="B205" s="595"/>
      <c r="C205" s="595"/>
      <c r="G205" s="80"/>
      <c r="L205" s="139"/>
      <c r="M205" s="139"/>
      <c r="N205" s="159"/>
      <c r="R205" s="706"/>
    </row>
    <row r="206" spans="2:18" ht="15" customHeight="1">
      <c r="B206" s="595"/>
      <c r="C206" s="595"/>
      <c r="G206" s="80"/>
      <c r="L206" s="139"/>
      <c r="M206" s="139"/>
      <c r="N206" s="159"/>
      <c r="R206" s="706"/>
    </row>
    <row r="207" spans="2:18" ht="15" customHeight="1">
      <c r="B207" s="595"/>
      <c r="C207" s="595"/>
      <c r="G207" s="80"/>
      <c r="L207" s="139"/>
      <c r="M207" s="139"/>
      <c r="N207" s="159"/>
      <c r="R207" s="706"/>
    </row>
    <row r="208" spans="2:18" ht="15" customHeight="1">
      <c r="B208" s="595"/>
      <c r="C208" s="595"/>
      <c r="G208" s="80"/>
      <c r="L208" s="139"/>
      <c r="M208" s="139"/>
      <c r="N208" s="159"/>
      <c r="R208" s="706"/>
    </row>
    <row r="209" spans="2:18" ht="15" customHeight="1">
      <c r="B209" s="595"/>
      <c r="C209" s="595"/>
      <c r="G209" s="80"/>
      <c r="L209" s="139"/>
      <c r="M209" s="139"/>
      <c r="N209" s="159"/>
      <c r="R209" s="706"/>
    </row>
    <row r="210" spans="2:18" ht="15" customHeight="1">
      <c r="B210" s="595"/>
      <c r="C210" s="595"/>
      <c r="G210" s="80"/>
      <c r="L210" s="139"/>
      <c r="M210" s="139"/>
      <c r="N210" s="159"/>
      <c r="R210" s="706"/>
    </row>
    <row r="211" spans="2:18" ht="15" customHeight="1">
      <c r="B211" s="595"/>
      <c r="C211" s="595"/>
      <c r="G211" s="80"/>
      <c r="L211" s="139"/>
      <c r="M211" s="139"/>
      <c r="N211" s="159"/>
      <c r="R211" s="706"/>
    </row>
    <row r="212" spans="2:18" ht="15" customHeight="1">
      <c r="B212" s="595"/>
      <c r="C212" s="595"/>
      <c r="G212" s="80"/>
      <c r="L212" s="139"/>
      <c r="M212" s="139"/>
      <c r="N212" s="159"/>
      <c r="R212" s="706"/>
    </row>
    <row r="213" spans="2:18" ht="15" customHeight="1">
      <c r="B213" s="595"/>
      <c r="C213" s="595"/>
      <c r="G213" s="80"/>
      <c r="L213" s="139"/>
      <c r="M213" s="139"/>
      <c r="N213" s="159"/>
      <c r="R213" s="706"/>
    </row>
    <row r="214" spans="2:18" ht="15" customHeight="1">
      <c r="B214" s="595"/>
      <c r="C214" s="595"/>
      <c r="G214" s="80"/>
      <c r="L214" s="139"/>
      <c r="M214" s="139"/>
      <c r="N214" s="159"/>
      <c r="R214" s="706"/>
    </row>
    <row r="215" spans="2:18" ht="15" customHeight="1">
      <c r="B215" s="595"/>
      <c r="C215" s="595"/>
      <c r="G215" s="80"/>
      <c r="L215" s="139"/>
      <c r="M215" s="139"/>
      <c r="N215" s="159"/>
      <c r="R215" s="706"/>
    </row>
    <row r="216" spans="2:18" ht="15" customHeight="1">
      <c r="B216" s="595"/>
      <c r="C216" s="595"/>
      <c r="G216" s="80"/>
      <c r="L216" s="139"/>
      <c r="M216" s="139"/>
      <c r="N216" s="159"/>
    </row>
    <row r="217" spans="2:18" ht="15" customHeight="1">
      <c r="B217" s="595"/>
      <c r="C217" s="595"/>
      <c r="G217" s="80"/>
      <c r="L217" s="139"/>
      <c r="M217" s="139"/>
      <c r="N217" s="159"/>
    </row>
    <row r="218" spans="2:18" ht="15" customHeight="1">
      <c r="B218" s="595"/>
      <c r="C218" s="595"/>
      <c r="G218" s="80"/>
      <c r="L218" s="139"/>
      <c r="M218" s="139"/>
      <c r="N218" s="159"/>
    </row>
    <row r="219" spans="2:18" ht="15" customHeight="1">
      <c r="B219" s="595"/>
      <c r="C219" s="595"/>
      <c r="G219" s="80"/>
      <c r="L219" s="139"/>
      <c r="M219" s="139"/>
      <c r="N219" s="159"/>
    </row>
    <row r="220" spans="2:18" ht="15" customHeight="1">
      <c r="B220" s="595"/>
      <c r="C220" s="595"/>
      <c r="G220" s="80"/>
      <c r="L220" s="139"/>
      <c r="M220" s="139"/>
      <c r="N220" s="159"/>
    </row>
    <row r="221" spans="2:18" ht="15" customHeight="1">
      <c r="B221" s="595"/>
      <c r="C221" s="595"/>
      <c r="G221" s="80"/>
      <c r="L221" s="139"/>
      <c r="M221" s="139"/>
      <c r="N221" s="159"/>
    </row>
    <row r="222" spans="2:18" ht="15" customHeight="1">
      <c r="B222" s="595"/>
      <c r="C222" s="595"/>
      <c r="G222" s="80"/>
      <c r="L222" s="139"/>
      <c r="M222" s="139"/>
      <c r="N222" s="159"/>
    </row>
    <row r="223" spans="2:18" ht="15" customHeight="1">
      <c r="B223" s="595"/>
      <c r="C223" s="595"/>
      <c r="G223" s="80"/>
      <c r="L223" s="139"/>
      <c r="M223" s="139"/>
      <c r="N223" s="159"/>
    </row>
    <row r="224" spans="2:18" ht="15" customHeight="1">
      <c r="B224" s="595"/>
      <c r="C224" s="595"/>
      <c r="G224" s="80"/>
      <c r="L224" s="139"/>
      <c r="M224" s="139"/>
      <c r="N224" s="159"/>
    </row>
    <row r="225" spans="2:14" ht="15" customHeight="1">
      <c r="B225" s="595"/>
      <c r="C225" s="595"/>
      <c r="G225" s="80"/>
      <c r="L225" s="139"/>
      <c r="M225" s="139"/>
      <c r="N225" s="159"/>
    </row>
    <row r="226" spans="2:14" ht="15" customHeight="1">
      <c r="B226" s="595"/>
      <c r="C226" s="595"/>
      <c r="G226" s="80"/>
      <c r="L226" s="139"/>
      <c r="M226" s="139"/>
      <c r="N226" s="159"/>
    </row>
    <row r="227" spans="2:14" ht="15" customHeight="1">
      <c r="B227" s="595"/>
      <c r="C227" s="595"/>
      <c r="G227" s="80"/>
      <c r="L227" s="139"/>
      <c r="M227" s="139"/>
      <c r="N227" s="159"/>
    </row>
    <row r="228" spans="2:14" ht="15" customHeight="1">
      <c r="B228" s="595"/>
      <c r="C228" s="595"/>
      <c r="G228" s="80"/>
      <c r="L228" s="139"/>
      <c r="M228" s="139"/>
      <c r="N228" s="159"/>
    </row>
    <row r="229" spans="2:14" ht="15" customHeight="1">
      <c r="B229" s="595"/>
      <c r="C229" s="595"/>
      <c r="G229" s="80"/>
      <c r="L229" s="139"/>
      <c r="M229" s="139"/>
      <c r="N229" s="159"/>
    </row>
    <row r="230" spans="2:14" ht="15" customHeight="1">
      <c r="B230" s="595"/>
      <c r="C230" s="595"/>
      <c r="G230" s="80"/>
      <c r="L230" s="139"/>
      <c r="M230" s="139"/>
      <c r="N230" s="159"/>
    </row>
    <row r="231" spans="2:14" ht="15" customHeight="1">
      <c r="B231" s="595"/>
      <c r="C231" s="595"/>
      <c r="G231" s="80"/>
      <c r="L231" s="139"/>
      <c r="M231" s="139"/>
      <c r="N231" s="159"/>
    </row>
    <row r="232" spans="2:14" ht="15" customHeight="1">
      <c r="B232" s="595"/>
      <c r="C232" s="595"/>
      <c r="G232" s="80"/>
      <c r="L232" s="139"/>
      <c r="M232" s="139"/>
      <c r="N232" s="159"/>
    </row>
    <row r="233" spans="2:14" ht="15" customHeight="1">
      <c r="B233" s="595"/>
      <c r="C233" s="595"/>
      <c r="G233" s="80"/>
      <c r="L233" s="139"/>
      <c r="M233" s="139"/>
      <c r="N233" s="159"/>
    </row>
    <row r="234" spans="2:14" ht="15" customHeight="1">
      <c r="B234" s="595"/>
      <c r="C234" s="595"/>
      <c r="G234" s="80"/>
      <c r="L234" s="139"/>
      <c r="M234" s="139"/>
      <c r="N234" s="159"/>
    </row>
    <row r="235" spans="2:14" ht="15" customHeight="1">
      <c r="B235" s="595"/>
      <c r="C235" s="595"/>
      <c r="G235" s="80"/>
      <c r="L235" s="139"/>
      <c r="M235" s="139"/>
      <c r="N235" s="159"/>
    </row>
    <row r="236" spans="2:14" ht="15" customHeight="1">
      <c r="B236" s="595"/>
      <c r="C236" s="595"/>
      <c r="G236" s="80"/>
      <c r="L236" s="139"/>
      <c r="M236" s="139"/>
      <c r="N236" s="159"/>
    </row>
    <row r="237" spans="2:14" ht="15" customHeight="1">
      <c r="B237" s="595"/>
      <c r="C237" s="595"/>
      <c r="G237" s="80"/>
      <c r="L237" s="139"/>
      <c r="M237" s="139"/>
      <c r="N237" s="159"/>
    </row>
    <row r="238" spans="2:14" ht="15" customHeight="1">
      <c r="B238" s="595"/>
      <c r="C238" s="595"/>
      <c r="G238" s="80"/>
      <c r="L238" s="139"/>
      <c r="M238" s="139"/>
      <c r="N238" s="159"/>
    </row>
    <row r="239" spans="2:14" ht="15" customHeight="1">
      <c r="B239" s="595"/>
      <c r="C239" s="595"/>
      <c r="G239" s="80"/>
      <c r="L239" s="139"/>
      <c r="M239" s="139"/>
      <c r="N239" s="159"/>
    </row>
    <row r="240" spans="2:14" ht="15" customHeight="1">
      <c r="B240" s="595"/>
      <c r="C240" s="595"/>
      <c r="G240" s="80"/>
      <c r="L240" s="139"/>
      <c r="M240" s="139"/>
      <c r="N240" s="159"/>
    </row>
    <row r="241" spans="2:14" ht="15" customHeight="1">
      <c r="B241" s="595"/>
      <c r="C241" s="595"/>
      <c r="G241" s="80"/>
      <c r="L241" s="139"/>
      <c r="M241" s="139"/>
      <c r="N241" s="159"/>
    </row>
    <row r="242" spans="2:14" ht="15" customHeight="1">
      <c r="B242" s="595"/>
      <c r="C242" s="595"/>
      <c r="G242" s="80"/>
      <c r="L242" s="139"/>
      <c r="M242" s="139"/>
      <c r="N242" s="159"/>
    </row>
    <row r="243" spans="2:14" ht="15" customHeight="1">
      <c r="B243" s="595"/>
      <c r="C243" s="595"/>
      <c r="G243" s="80"/>
      <c r="L243" s="139"/>
      <c r="M243" s="139"/>
      <c r="N243" s="159"/>
    </row>
    <row r="244" spans="2:14" ht="15" customHeight="1">
      <c r="B244" s="595"/>
      <c r="C244" s="595"/>
      <c r="G244" s="80"/>
      <c r="L244" s="139"/>
      <c r="M244" s="139"/>
      <c r="N244" s="159"/>
    </row>
    <row r="245" spans="2:14" ht="15" customHeight="1">
      <c r="B245" s="595"/>
      <c r="C245" s="595"/>
      <c r="G245" s="80"/>
      <c r="L245" s="139"/>
      <c r="M245" s="139"/>
      <c r="N245" s="159"/>
    </row>
    <row r="246" spans="2:14" ht="15" customHeight="1">
      <c r="B246" s="595"/>
      <c r="C246" s="595"/>
      <c r="G246" s="80"/>
      <c r="L246" s="139"/>
      <c r="M246" s="139"/>
      <c r="N246" s="159"/>
    </row>
    <row r="247" spans="2:14" ht="15" customHeight="1">
      <c r="B247" s="595"/>
      <c r="C247" s="595"/>
      <c r="G247" s="80"/>
      <c r="L247" s="139"/>
      <c r="M247" s="139"/>
      <c r="N247" s="159"/>
    </row>
    <row r="248" spans="2:14" ht="15" customHeight="1">
      <c r="B248" s="595"/>
      <c r="C248" s="595"/>
      <c r="M248" s="139"/>
      <c r="N248" s="159"/>
    </row>
    <row r="249" spans="2:14" ht="15" customHeight="1">
      <c r="B249" s="595"/>
      <c r="C249" s="595"/>
      <c r="M249" s="139"/>
      <c r="N249" s="159"/>
    </row>
    <row r="250" spans="2:14" ht="15" customHeight="1">
      <c r="B250" s="595"/>
      <c r="C250" s="595"/>
      <c r="M250" s="139"/>
      <c r="N250" s="159"/>
    </row>
    <row r="251" spans="2:14" ht="15" customHeight="1">
      <c r="B251" s="595"/>
      <c r="C251" s="595"/>
      <c r="M251" s="139"/>
      <c r="N251" s="159"/>
    </row>
    <row r="252" spans="2:14" ht="15" customHeight="1">
      <c r="B252" s="595"/>
      <c r="C252" s="595"/>
      <c r="M252" s="139"/>
      <c r="N252" s="159"/>
    </row>
    <row r="253" spans="2:14" ht="15" customHeight="1">
      <c r="B253" s="595"/>
      <c r="C253" s="595"/>
      <c r="M253" s="139"/>
      <c r="N253" s="159"/>
    </row>
    <row r="254" spans="2:14" ht="15" customHeight="1">
      <c r="B254" s="595"/>
      <c r="C254" s="595"/>
      <c r="M254" s="139"/>
      <c r="N254" s="159"/>
    </row>
    <row r="255" spans="2:14" ht="15" customHeight="1">
      <c r="B255" s="595"/>
      <c r="C255" s="595"/>
      <c r="M255" s="139"/>
      <c r="N255" s="159"/>
    </row>
    <row r="256" spans="2:14" ht="15" customHeight="1">
      <c r="B256" s="595"/>
      <c r="C256" s="595"/>
      <c r="M256" s="139"/>
      <c r="N256" s="159"/>
    </row>
    <row r="257" spans="2:14" ht="15" customHeight="1">
      <c r="B257" s="595"/>
      <c r="C257" s="595"/>
      <c r="M257" s="139"/>
      <c r="N257" s="159"/>
    </row>
    <row r="258" spans="2:14" ht="15" customHeight="1">
      <c r="B258" s="595"/>
      <c r="C258" s="595"/>
      <c r="M258" s="139"/>
      <c r="N258" s="159"/>
    </row>
    <row r="259" spans="2:14" ht="15" customHeight="1">
      <c r="B259" s="595"/>
      <c r="C259" s="595"/>
      <c r="M259" s="139"/>
      <c r="N259" s="159"/>
    </row>
    <row r="260" spans="2:14" ht="15" customHeight="1">
      <c r="B260" s="595"/>
      <c r="C260" s="595"/>
      <c r="M260" s="139"/>
      <c r="N260" s="159"/>
    </row>
    <row r="261" spans="2:14" ht="15" customHeight="1">
      <c r="B261" s="595"/>
      <c r="C261" s="595"/>
      <c r="M261" s="139"/>
      <c r="N261" s="159"/>
    </row>
    <row r="262" spans="2:14" ht="15" customHeight="1">
      <c r="B262" s="595"/>
      <c r="C262" s="595"/>
      <c r="M262" s="139"/>
      <c r="N262" s="159"/>
    </row>
    <row r="263" spans="2:14" ht="15" customHeight="1">
      <c r="B263" s="595"/>
      <c r="C263" s="595"/>
      <c r="M263" s="139"/>
      <c r="N263" s="159"/>
    </row>
    <row r="264" spans="2:14" ht="15" customHeight="1">
      <c r="B264" s="595"/>
      <c r="C264" s="595"/>
      <c r="M264" s="139"/>
      <c r="N264" s="159"/>
    </row>
    <row r="265" spans="2:14" ht="15" customHeight="1">
      <c r="B265" s="595"/>
      <c r="C265" s="595"/>
      <c r="M265" s="139"/>
      <c r="N265" s="159"/>
    </row>
    <row r="266" spans="2:14" ht="15" customHeight="1">
      <c r="B266" s="595"/>
      <c r="C266" s="595"/>
      <c r="M266" s="139"/>
      <c r="N266" s="159"/>
    </row>
    <row r="267" spans="2:14" ht="15" customHeight="1">
      <c r="B267" s="595"/>
      <c r="C267" s="595"/>
      <c r="M267" s="139"/>
      <c r="N267" s="159"/>
    </row>
    <row r="268" spans="2:14" ht="15" customHeight="1">
      <c r="B268" s="595"/>
      <c r="C268" s="595"/>
      <c r="M268" s="139"/>
      <c r="N268" s="159"/>
    </row>
    <row r="269" spans="2:14" ht="15" customHeight="1">
      <c r="B269" s="595"/>
      <c r="C269" s="595"/>
      <c r="M269" s="139"/>
      <c r="N269" s="159"/>
    </row>
    <row r="270" spans="2:14" ht="15" customHeight="1">
      <c r="B270" s="595"/>
      <c r="C270" s="595"/>
      <c r="M270" s="139"/>
      <c r="N270" s="159"/>
    </row>
    <row r="271" spans="2:14" ht="15" customHeight="1">
      <c r="B271" s="595"/>
      <c r="C271" s="595"/>
      <c r="M271" s="139"/>
      <c r="N271" s="159"/>
    </row>
    <row r="272" spans="2:14" ht="15" customHeight="1">
      <c r="B272" s="595"/>
      <c r="C272" s="595"/>
      <c r="M272" s="139"/>
      <c r="N272" s="159"/>
    </row>
    <row r="273" spans="2:14" ht="15" customHeight="1">
      <c r="B273" s="595"/>
      <c r="C273" s="595"/>
      <c r="M273" s="139"/>
      <c r="N273" s="159"/>
    </row>
    <row r="274" spans="2:14" ht="15" customHeight="1">
      <c r="B274" s="595"/>
      <c r="C274" s="595"/>
      <c r="M274" s="139"/>
      <c r="N274" s="159"/>
    </row>
    <row r="275" spans="2:14" ht="15" customHeight="1">
      <c r="B275" s="595"/>
      <c r="C275" s="595"/>
      <c r="M275" s="139"/>
      <c r="N275" s="159"/>
    </row>
    <row r="276" spans="2:14" ht="15" customHeight="1">
      <c r="B276" s="595"/>
      <c r="C276" s="595"/>
      <c r="M276" s="139"/>
      <c r="N276" s="159"/>
    </row>
    <row r="277" spans="2:14" ht="15" customHeight="1">
      <c r="B277" s="595"/>
      <c r="C277" s="595"/>
      <c r="M277" s="139"/>
      <c r="N277" s="159"/>
    </row>
    <row r="278" spans="2:14" ht="15" customHeight="1">
      <c r="B278" s="595"/>
      <c r="C278" s="595"/>
      <c r="M278" s="139"/>
      <c r="N278" s="159"/>
    </row>
    <row r="279" spans="2:14" ht="15" customHeight="1">
      <c r="B279" s="595"/>
      <c r="C279" s="595"/>
      <c r="M279" s="139"/>
      <c r="N279" s="159"/>
    </row>
    <row r="280" spans="2:14" ht="15" customHeight="1">
      <c r="B280" s="595"/>
      <c r="C280" s="595"/>
      <c r="M280" s="139"/>
      <c r="N280" s="159"/>
    </row>
    <row r="281" spans="2:14" ht="15" customHeight="1">
      <c r="B281" s="595"/>
      <c r="C281" s="595"/>
      <c r="M281" s="139"/>
      <c r="N281" s="159"/>
    </row>
    <row r="282" spans="2:14" ht="15" customHeight="1">
      <c r="B282" s="595"/>
      <c r="C282" s="595"/>
      <c r="M282" s="139"/>
      <c r="N282" s="159"/>
    </row>
    <row r="283" spans="2:14" ht="15" customHeight="1">
      <c r="B283" s="595"/>
      <c r="C283" s="595"/>
      <c r="M283" s="139"/>
      <c r="N283" s="159"/>
    </row>
    <row r="284" spans="2:14" ht="15" customHeight="1">
      <c r="B284" s="595"/>
      <c r="C284" s="595"/>
      <c r="M284" s="139"/>
      <c r="N284" s="159"/>
    </row>
    <row r="285" spans="2:14" ht="15" customHeight="1">
      <c r="B285" s="595"/>
      <c r="C285" s="595"/>
      <c r="M285" s="139"/>
      <c r="N285" s="159"/>
    </row>
    <row r="286" spans="2:14" ht="15" customHeight="1">
      <c r="B286" s="595"/>
      <c r="C286" s="595"/>
      <c r="M286" s="139"/>
      <c r="N286" s="159"/>
    </row>
    <row r="287" spans="2:14" ht="15" customHeight="1">
      <c r="B287" s="595"/>
      <c r="C287" s="595"/>
      <c r="M287" s="139"/>
      <c r="N287" s="159"/>
    </row>
    <row r="288" spans="2:14" ht="15" customHeight="1">
      <c r="B288" s="595"/>
      <c r="C288" s="595"/>
      <c r="M288" s="139"/>
      <c r="N288" s="159"/>
    </row>
    <row r="289" spans="2:14" ht="15" customHeight="1">
      <c r="B289" s="595"/>
      <c r="C289" s="595"/>
      <c r="M289" s="139"/>
      <c r="N289" s="159"/>
    </row>
    <row r="290" spans="2:14" ht="15" customHeight="1">
      <c r="B290" s="595"/>
      <c r="C290" s="595"/>
      <c r="M290" s="139"/>
      <c r="N290" s="159"/>
    </row>
    <row r="291" spans="2:14" ht="15" customHeight="1">
      <c r="B291" s="595"/>
      <c r="C291" s="595"/>
      <c r="M291" s="139"/>
      <c r="N291" s="159"/>
    </row>
    <row r="292" spans="2:14" ht="15" customHeight="1">
      <c r="B292" s="595"/>
      <c r="C292" s="595"/>
      <c r="M292" s="139"/>
      <c r="N292" s="159"/>
    </row>
    <row r="293" spans="2:14" ht="15" customHeight="1">
      <c r="B293" s="595"/>
      <c r="C293" s="595"/>
      <c r="M293" s="139"/>
      <c r="N293" s="159"/>
    </row>
    <row r="294" spans="2:14" ht="15" customHeight="1">
      <c r="B294" s="595"/>
      <c r="C294" s="595"/>
      <c r="M294" s="139"/>
      <c r="N294" s="159"/>
    </row>
    <row r="295" spans="2:14" ht="15" customHeight="1">
      <c r="B295" s="595"/>
      <c r="C295" s="595"/>
      <c r="M295" s="139"/>
      <c r="N295" s="159"/>
    </row>
    <row r="296" spans="2:14" ht="15" customHeight="1">
      <c r="B296" s="595"/>
      <c r="C296" s="595"/>
      <c r="M296" s="139"/>
      <c r="N296" s="159"/>
    </row>
    <row r="297" spans="2:14" ht="15" customHeight="1">
      <c r="B297" s="595"/>
      <c r="C297" s="595"/>
      <c r="M297" s="139"/>
      <c r="N297" s="159"/>
    </row>
    <row r="298" spans="2:14" ht="15" customHeight="1">
      <c r="B298" s="595"/>
      <c r="C298" s="595"/>
      <c r="M298" s="139"/>
      <c r="N298" s="159"/>
    </row>
    <row r="299" spans="2:14" ht="15" customHeight="1">
      <c r="B299" s="595"/>
      <c r="C299" s="595"/>
      <c r="M299" s="139"/>
      <c r="N299" s="159"/>
    </row>
    <row r="300" spans="2:14" ht="15" customHeight="1">
      <c r="B300" s="595"/>
      <c r="C300" s="595"/>
      <c r="M300" s="139"/>
      <c r="N300" s="159"/>
    </row>
    <row r="301" spans="2:14" ht="15" customHeight="1">
      <c r="B301" s="595"/>
      <c r="C301" s="595"/>
      <c r="M301" s="139"/>
      <c r="N301" s="159"/>
    </row>
    <row r="302" spans="2:14" ht="15" customHeight="1">
      <c r="B302" s="595"/>
      <c r="C302" s="595"/>
      <c r="M302" s="139"/>
      <c r="N302" s="159"/>
    </row>
    <row r="303" spans="2:14" ht="15" customHeight="1">
      <c r="B303" s="595"/>
      <c r="C303" s="595"/>
      <c r="M303" s="139"/>
      <c r="N303" s="159"/>
    </row>
    <row r="304" spans="2:14" ht="15" customHeight="1">
      <c r="B304" s="595"/>
      <c r="C304" s="595"/>
      <c r="M304" s="139"/>
      <c r="N304" s="159"/>
    </row>
    <row r="305" spans="2:14" ht="15" customHeight="1">
      <c r="B305" s="595"/>
      <c r="C305" s="595"/>
      <c r="M305" s="139"/>
      <c r="N305" s="159"/>
    </row>
    <row r="306" spans="2:14" ht="15" customHeight="1">
      <c r="B306" s="595"/>
      <c r="C306" s="595"/>
      <c r="M306" s="139"/>
      <c r="N306" s="159"/>
    </row>
    <row r="307" spans="2:14" ht="15" customHeight="1">
      <c r="M307" s="139"/>
      <c r="N307" s="159"/>
    </row>
    <row r="308" spans="2:14" ht="15" customHeight="1">
      <c r="M308" s="139"/>
      <c r="N308" s="159"/>
    </row>
    <row r="309" spans="2:14" ht="15" customHeight="1">
      <c r="M309" s="139"/>
      <c r="N309" s="159"/>
    </row>
    <row r="310" spans="2:14" ht="15" customHeight="1">
      <c r="M310" s="139"/>
      <c r="N310" s="159"/>
    </row>
    <row r="311" spans="2:14" ht="15" customHeight="1">
      <c r="M311" s="139"/>
      <c r="N311" s="159"/>
    </row>
    <row r="312" spans="2:14" ht="15" customHeight="1">
      <c r="M312" s="139"/>
      <c r="N312" s="159"/>
    </row>
    <row r="313" spans="2:14" ht="15" customHeight="1">
      <c r="M313" s="139"/>
      <c r="N313" s="159"/>
    </row>
    <row r="314" spans="2:14" ht="15" customHeight="1">
      <c r="M314" s="139"/>
      <c r="N314" s="159"/>
    </row>
    <row r="315" spans="2:14" ht="15" customHeight="1">
      <c r="M315" s="139"/>
      <c r="N315" s="159"/>
    </row>
    <row r="316" spans="2:14" ht="15" customHeight="1">
      <c r="M316" s="139"/>
      <c r="N316" s="159"/>
    </row>
    <row r="317" spans="2:14" ht="15" customHeight="1">
      <c r="M317" s="139"/>
      <c r="N317" s="159"/>
    </row>
    <row r="318" spans="2:14" ht="15" customHeight="1">
      <c r="M318" s="139"/>
      <c r="N318" s="159"/>
    </row>
    <row r="319" spans="2:14" ht="15" customHeight="1">
      <c r="M319" s="139"/>
      <c r="N319" s="159"/>
    </row>
    <row r="320" spans="2:14" ht="15" customHeight="1">
      <c r="M320" s="139"/>
      <c r="N320" s="159"/>
    </row>
    <row r="321" spans="13:14" ht="15" customHeight="1">
      <c r="M321" s="139"/>
      <c r="N321" s="159"/>
    </row>
    <row r="322" spans="13:14" ht="15" customHeight="1">
      <c r="M322" s="139"/>
      <c r="N322" s="159"/>
    </row>
    <row r="323" spans="13:14" ht="15" customHeight="1">
      <c r="M323" s="139"/>
      <c r="N323" s="159"/>
    </row>
    <row r="324" spans="13:14" ht="15" customHeight="1">
      <c r="M324" s="139"/>
      <c r="N324" s="159"/>
    </row>
    <row r="325" spans="13:14" ht="15" customHeight="1">
      <c r="M325" s="139"/>
      <c r="N325" s="159"/>
    </row>
    <row r="326" spans="13:14" ht="15" customHeight="1">
      <c r="M326" s="139"/>
      <c r="N326" s="159"/>
    </row>
    <row r="327" spans="13:14" ht="15" customHeight="1">
      <c r="M327" s="139"/>
      <c r="N327" s="159"/>
    </row>
    <row r="328" spans="13:14" ht="15" customHeight="1">
      <c r="M328" s="139"/>
      <c r="N328" s="159"/>
    </row>
    <row r="329" spans="13:14" ht="15" customHeight="1">
      <c r="M329" s="139"/>
      <c r="N329" s="159"/>
    </row>
    <row r="330" spans="13:14" ht="15" customHeight="1">
      <c r="M330" s="139"/>
      <c r="N330" s="159"/>
    </row>
    <row r="331" spans="13:14" ht="15" customHeight="1">
      <c r="M331" s="139"/>
      <c r="N331" s="159"/>
    </row>
    <row r="332" spans="13:14" ht="15" customHeight="1">
      <c r="M332" s="139"/>
      <c r="N332" s="159"/>
    </row>
    <row r="333" spans="13:14" ht="15" customHeight="1">
      <c r="M333" s="139"/>
      <c r="N333" s="159"/>
    </row>
    <row r="334" spans="13:14" ht="15" customHeight="1">
      <c r="M334" s="139"/>
      <c r="N334" s="159"/>
    </row>
    <row r="335" spans="13:14" ht="15" customHeight="1">
      <c r="M335" s="139"/>
      <c r="N335" s="159"/>
    </row>
    <row r="336" spans="13:14" ht="15" customHeight="1">
      <c r="M336" s="139"/>
      <c r="N336" s="159"/>
    </row>
    <row r="337" spans="13:14" ht="15" customHeight="1">
      <c r="M337" s="139"/>
      <c r="N337" s="159"/>
    </row>
    <row r="338" spans="13:14" ht="15" customHeight="1">
      <c r="M338" s="139"/>
      <c r="N338" s="159"/>
    </row>
    <row r="339" spans="13:14" ht="15" customHeight="1">
      <c r="M339" s="139"/>
      <c r="N339" s="159"/>
    </row>
    <row r="340" spans="13:14" ht="15" customHeight="1">
      <c r="M340" s="139"/>
      <c r="N340" s="159"/>
    </row>
    <row r="341" spans="13:14" ht="15" customHeight="1">
      <c r="M341" s="139"/>
      <c r="N341" s="159"/>
    </row>
    <row r="342" spans="13:14" ht="15" customHeight="1">
      <c r="M342" s="139"/>
      <c r="N342" s="159"/>
    </row>
    <row r="343" spans="13:14" ht="15" customHeight="1">
      <c r="M343" s="139"/>
      <c r="N343" s="159"/>
    </row>
    <row r="344" spans="13:14" ht="15" customHeight="1">
      <c r="M344" s="139"/>
      <c r="N344" s="159"/>
    </row>
    <row r="345" spans="13:14" ht="15" customHeight="1">
      <c r="M345" s="139"/>
      <c r="N345" s="159"/>
    </row>
    <row r="346" spans="13:14" ht="15" customHeight="1">
      <c r="M346" s="139"/>
      <c r="N346" s="159"/>
    </row>
    <row r="347" spans="13:14" ht="15" customHeight="1">
      <c r="M347" s="139"/>
      <c r="N347" s="159"/>
    </row>
    <row r="348" spans="13:14" ht="15" customHeight="1">
      <c r="M348" s="139"/>
      <c r="N348" s="159"/>
    </row>
    <row r="349" spans="13:14" ht="15" customHeight="1">
      <c r="M349" s="139"/>
      <c r="N349" s="159"/>
    </row>
    <row r="350" spans="13:14" ht="15" customHeight="1">
      <c r="M350" s="139"/>
      <c r="N350" s="159"/>
    </row>
    <row r="351" spans="13:14" ht="15" customHeight="1">
      <c r="M351" s="139"/>
      <c r="N351" s="159"/>
    </row>
    <row r="352" spans="13:14" ht="15" customHeight="1">
      <c r="M352" s="139"/>
      <c r="N352" s="159"/>
    </row>
    <row r="353" spans="13:14" ht="15" customHeight="1">
      <c r="M353" s="139"/>
      <c r="N353" s="159"/>
    </row>
    <row r="354" spans="13:14" ht="15" customHeight="1">
      <c r="M354" s="139"/>
      <c r="N354" s="159"/>
    </row>
    <row r="355" spans="13:14" ht="15" customHeight="1">
      <c r="M355" s="139"/>
      <c r="N355" s="159"/>
    </row>
    <row r="356" spans="13:14" ht="15" customHeight="1">
      <c r="M356" s="139"/>
      <c r="N356" s="159"/>
    </row>
    <row r="357" spans="13:14" ht="15" customHeight="1">
      <c r="M357" s="139"/>
      <c r="N357" s="159"/>
    </row>
    <row r="358" spans="13:14" ht="15" customHeight="1">
      <c r="M358" s="139"/>
      <c r="N358" s="159"/>
    </row>
    <row r="359" spans="13:14" ht="15" customHeight="1">
      <c r="M359" s="139"/>
      <c r="N359" s="159"/>
    </row>
    <row r="360" spans="13:14" ht="15" customHeight="1">
      <c r="M360" s="139"/>
      <c r="N360" s="159"/>
    </row>
    <row r="361" spans="13:14" ht="15" customHeight="1">
      <c r="M361" s="139"/>
      <c r="N361" s="159"/>
    </row>
    <row r="362" spans="13:14" ht="15" customHeight="1">
      <c r="M362" s="139"/>
      <c r="N362" s="159"/>
    </row>
    <row r="363" spans="13:14" ht="15" customHeight="1">
      <c r="M363" s="139"/>
      <c r="N363" s="159"/>
    </row>
    <row r="364" spans="13:14" ht="15" customHeight="1">
      <c r="M364" s="139"/>
      <c r="N364" s="159"/>
    </row>
    <row r="365" spans="13:14" ht="15" customHeight="1">
      <c r="M365" s="139"/>
      <c r="N365" s="159"/>
    </row>
    <row r="366" spans="13:14" ht="15" customHeight="1">
      <c r="M366" s="139"/>
      <c r="N366" s="159"/>
    </row>
    <row r="367" spans="13:14" ht="15" customHeight="1">
      <c r="M367" s="139"/>
      <c r="N367" s="159"/>
    </row>
    <row r="368" spans="13:14" ht="15" customHeight="1">
      <c r="M368" s="139"/>
      <c r="N368" s="159"/>
    </row>
    <row r="369" spans="13:14" ht="15" customHeight="1">
      <c r="M369" s="139"/>
      <c r="N369" s="159"/>
    </row>
    <row r="370" spans="13:14" ht="15" customHeight="1">
      <c r="M370" s="139"/>
      <c r="N370" s="159"/>
    </row>
    <row r="371" spans="13:14" ht="15" customHeight="1">
      <c r="M371" s="139"/>
      <c r="N371" s="159"/>
    </row>
    <row r="372" spans="13:14" ht="15" customHeight="1">
      <c r="M372" s="139"/>
      <c r="N372" s="159"/>
    </row>
    <row r="373" spans="13:14" ht="15" customHeight="1">
      <c r="M373" s="139"/>
      <c r="N373" s="159"/>
    </row>
    <row r="374" spans="13:14" ht="15" customHeight="1">
      <c r="M374" s="139"/>
      <c r="N374" s="159"/>
    </row>
    <row r="375" spans="13:14" ht="15" customHeight="1">
      <c r="M375" s="139"/>
      <c r="N375" s="159"/>
    </row>
    <row r="376" spans="13:14" ht="15" customHeight="1">
      <c r="M376" s="139"/>
      <c r="N376" s="159"/>
    </row>
    <row r="377" spans="13:14" ht="15" customHeight="1">
      <c r="M377" s="139"/>
      <c r="N377" s="159"/>
    </row>
    <row r="378" spans="13:14" ht="15" customHeight="1">
      <c r="M378" s="139"/>
      <c r="N378" s="159"/>
    </row>
    <row r="379" spans="13:14" ht="15" customHeight="1">
      <c r="M379" s="139"/>
      <c r="N379" s="159"/>
    </row>
    <row r="380" spans="13:14" ht="15" customHeight="1">
      <c r="M380" s="139"/>
      <c r="N380" s="159"/>
    </row>
    <row r="381" spans="13:14" ht="15" customHeight="1">
      <c r="M381" s="139"/>
      <c r="N381" s="159"/>
    </row>
    <row r="382" spans="13:14" ht="15" customHeight="1">
      <c r="M382" s="139"/>
      <c r="N382" s="159"/>
    </row>
    <row r="383" spans="13:14" ht="15" customHeight="1">
      <c r="M383" s="139"/>
      <c r="N383" s="159"/>
    </row>
    <row r="384" spans="13:14" ht="15" customHeight="1">
      <c r="M384" s="139"/>
      <c r="N384" s="159"/>
    </row>
    <row r="385" spans="13:14" ht="15" customHeight="1">
      <c r="M385" s="139"/>
      <c r="N385" s="159"/>
    </row>
    <row r="386" spans="13:14" ht="15" customHeight="1">
      <c r="M386" s="139"/>
      <c r="N386" s="159"/>
    </row>
    <row r="387" spans="13:14" ht="15" customHeight="1">
      <c r="M387" s="139"/>
      <c r="N387" s="159"/>
    </row>
    <row r="388" spans="13:14" ht="15" customHeight="1">
      <c r="M388" s="139"/>
      <c r="N388" s="159"/>
    </row>
    <row r="389" spans="13:14" ht="15" customHeight="1">
      <c r="M389" s="139"/>
      <c r="N389" s="159"/>
    </row>
    <row r="390" spans="13:14" ht="15" customHeight="1">
      <c r="M390" s="139"/>
      <c r="N390" s="159"/>
    </row>
    <row r="391" spans="13:14" ht="15" customHeight="1">
      <c r="M391" s="139"/>
      <c r="N391" s="159"/>
    </row>
    <row r="392" spans="13:14" ht="15" customHeight="1">
      <c r="M392" s="139"/>
      <c r="N392" s="159"/>
    </row>
    <row r="393" spans="13:14" ht="15" customHeight="1">
      <c r="M393" s="139"/>
      <c r="N393" s="159"/>
    </row>
    <row r="394" spans="13:14" ht="15" customHeight="1">
      <c r="M394" s="139"/>
      <c r="N394" s="159"/>
    </row>
    <row r="395" spans="13:14" ht="15" customHeight="1">
      <c r="M395" s="139"/>
      <c r="N395" s="159"/>
    </row>
    <row r="396" spans="13:14" ht="15" customHeight="1">
      <c r="M396" s="139"/>
      <c r="N396" s="159"/>
    </row>
    <row r="397" spans="13:14" ht="15" customHeight="1">
      <c r="M397" s="139"/>
      <c r="N397" s="159"/>
    </row>
    <row r="398" spans="13:14" ht="15" customHeight="1">
      <c r="M398" s="139"/>
      <c r="N398" s="159"/>
    </row>
    <row r="399" spans="13:14" ht="15" customHeight="1">
      <c r="M399" s="139"/>
      <c r="N399" s="159"/>
    </row>
    <row r="400" spans="13:14" ht="15" customHeight="1">
      <c r="M400" s="139"/>
      <c r="N400" s="159"/>
    </row>
    <row r="401" spans="13:14" ht="15" customHeight="1">
      <c r="M401" s="139"/>
      <c r="N401" s="159"/>
    </row>
    <row r="402" spans="13:14" ht="15" customHeight="1">
      <c r="M402" s="139"/>
      <c r="N402" s="159"/>
    </row>
    <row r="403" spans="13:14" ht="15" customHeight="1">
      <c r="N403" s="159"/>
    </row>
    <row r="404" spans="13:14" ht="15" customHeight="1">
      <c r="N404" s="159"/>
    </row>
    <row r="405" spans="13:14" ht="15" customHeight="1">
      <c r="N405" s="159"/>
    </row>
    <row r="406" spans="13:14" ht="15" customHeight="1">
      <c r="N406" s="159"/>
    </row>
    <row r="407" spans="13:14" ht="15" customHeight="1">
      <c r="N407" s="159"/>
    </row>
    <row r="408" spans="13:14" ht="15" customHeight="1">
      <c r="N408" s="159"/>
    </row>
  </sheetData>
  <autoFilter ref="A3:AL4" xr:uid="{00000000-0009-0000-0000-000004000000}">
    <sortState xmlns:xlrd2="http://schemas.microsoft.com/office/spreadsheetml/2017/richdata2" ref="A4:AL19">
      <sortCondition ref="A3:A4"/>
    </sortState>
  </autoFilter>
  <pageMargins left="0.7" right="0.7" top="0.75" bottom="0.75" header="0" footer="0"/>
  <pageSetup scale="17" fitToHeight="0" orientation="portrait" horizontalDpi="360" verticalDpi="360" r:id="rId1"/>
  <ignoredErrors>
    <ignoredError sqref="AI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3">
    <tabColor rgb="FF00B050"/>
    <pageSetUpPr fitToPage="1"/>
  </sheetPr>
  <dimension ref="A1:AL378"/>
  <sheetViews>
    <sheetView showGridLines="0" zoomScale="96" zoomScaleNormal="96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L2" sqref="L2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4" width="20.33203125" customWidth="1"/>
    <col min="35" max="35" width="14.44140625" customWidth="1"/>
    <col min="36" max="36" width="17.5546875" customWidth="1"/>
    <col min="37" max="37" width="5.109375" customWidth="1"/>
    <col min="38" max="38" width="14.44140625" customWidth="1"/>
  </cols>
  <sheetData>
    <row r="1" spans="1:38" ht="15" customHeight="1" thickBot="1">
      <c r="A1" s="677"/>
      <c r="D1" s="1075" t="s">
        <v>1906</v>
      </c>
      <c r="E1" s="1076">
        <f>+AL3</f>
        <v>265715.04948730406</v>
      </c>
      <c r="F1" s="79"/>
      <c r="G1" s="1194">
        <f>602+1221+3850</f>
        <v>5673</v>
      </c>
      <c r="H1" s="81"/>
      <c r="I1" s="843"/>
      <c r="K1" s="1061">
        <v>389.47800000000001</v>
      </c>
      <c r="AB1" s="83"/>
      <c r="AC1" s="758"/>
      <c r="AD1" s="83"/>
      <c r="AE1" s="83"/>
      <c r="AF1" s="83"/>
      <c r="AG1" s="768" t="s">
        <v>34</v>
      </c>
      <c r="AH1" s="701" t="s">
        <v>1001</v>
      </c>
      <c r="AI1" s="699" t="s">
        <v>36</v>
      </c>
      <c r="AJ1" s="87" t="s">
        <v>37</v>
      </c>
      <c r="AK1" s="88"/>
      <c r="AL1" s="89" t="s">
        <v>38</v>
      </c>
    </row>
    <row r="2" spans="1:38" ht="15" customHeight="1" thickBot="1">
      <c r="D2" s="1075" t="s">
        <v>1907</v>
      </c>
      <c r="E2" s="1076">
        <f>+AH3</f>
        <v>3321.3950740944051</v>
      </c>
      <c r="F2" s="1079" t="s">
        <v>1908</v>
      </c>
      <c r="G2" s="1080">
        <f>+Q2</f>
        <v>87.724818051190709</v>
      </c>
      <c r="H2" s="90"/>
      <c r="I2" s="91">
        <f>SUBTOTAL(9,I4:I8673)</f>
        <v>431.59000000000003</v>
      </c>
      <c r="J2" s="81"/>
      <c r="K2" s="91">
        <f>SUBTOTAL(9,K4:K8673)</f>
        <v>389.47778099999988</v>
      </c>
      <c r="L2" s="93">
        <f>SUMPRODUCT(L5:L8673,K5:K8673)/K2</f>
        <v>0.28643876617701086</v>
      </c>
      <c r="M2" s="6"/>
      <c r="P2" s="94">
        <f>+SUMPRODUCT(P5:P8673,AG5:AG8673)/SUM(AG5:AG8673)</f>
        <v>88.15444588458594</v>
      </c>
      <c r="Q2" s="94">
        <f>+SUMPRODUCT(Q5:Q8673,AH5:AH8673)/SUM(AH5:AH8673)</f>
        <v>87.724818051190709</v>
      </c>
      <c r="R2" s="94">
        <f>+SUMPRODUCT(R5:R8673,AH5:AH8673)/SUM(AH5:AH8673)</f>
        <v>3196.6207644943024</v>
      </c>
      <c r="S2" s="6"/>
      <c r="AB2" s="83"/>
      <c r="AC2" s="83"/>
      <c r="AD2" s="83"/>
      <c r="AE2" s="83"/>
      <c r="AF2" s="83"/>
      <c r="AG2" s="769">
        <f>SUMPRODUCT($AG5:$AG8673,$K5:$K8673)/SUM($K5:$K8673)</f>
        <v>64.55983933754203</v>
      </c>
      <c r="AH2" s="702"/>
      <c r="AI2" s="252">
        <v>3300</v>
      </c>
      <c r="AJ2" s="98"/>
      <c r="AK2" s="88"/>
      <c r="AL2" s="99"/>
    </row>
    <row r="3" spans="1:38" ht="15" customHeight="1" thickBot="1">
      <c r="A3" s="678" t="s">
        <v>11</v>
      </c>
      <c r="B3" s="678" t="s">
        <v>39</v>
      </c>
      <c r="C3" s="678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18">
        <f>SUBTOTAL(9,AH5:AH8673)</f>
        <v>3321.3950740944051</v>
      </c>
      <c r="AI3" s="700">
        <f>SUMPRODUCT(K5:K8673,AI5:AI8673)/K2</f>
        <v>53.433611964816137</v>
      </c>
      <c r="AJ3" s="118">
        <f>SUBTOTAL(9,AJ5:AJ8673)</f>
        <v>3213.792924350174</v>
      </c>
      <c r="AK3" s="88"/>
      <c r="AL3" s="118">
        <f>SUBTOTAL(9,AL5:AL8673)</f>
        <v>265715.04948730406</v>
      </c>
    </row>
    <row r="4" spans="1:38" s="677" customFormat="1" ht="15.75" customHeight="1">
      <c r="A4" s="720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4"/>
      <c r="AJ4" s="675"/>
      <c r="AK4" s="676"/>
      <c r="AL4" s="732"/>
    </row>
    <row r="5" spans="1:38" ht="15" customHeight="1">
      <c r="A5" s="857" t="s">
        <v>2041</v>
      </c>
      <c r="B5" s="595">
        <v>45755</v>
      </c>
      <c r="C5" s="595">
        <v>45751</v>
      </c>
      <c r="D5" t="s">
        <v>1993</v>
      </c>
      <c r="E5">
        <f>_xlfn.XLOOKUP(D5,RUC!$B$3:$B$123,RUC!$D$3:$D$123)</f>
        <v>20612937096</v>
      </c>
      <c r="G5" s="80">
        <v>78</v>
      </c>
      <c r="H5" t="s">
        <v>108</v>
      </c>
      <c r="I5" s="596">
        <v>4.96</v>
      </c>
      <c r="J5" s="596">
        <v>18.5</v>
      </c>
      <c r="K5" s="138">
        <f t="shared" ref="K5:K51" si="0">+I5-(I5*(J5/100))</f>
        <v>4.0423999999999998</v>
      </c>
      <c r="L5" s="139">
        <v>0.255</v>
      </c>
      <c r="M5" s="139">
        <v>0.23899999999999999</v>
      </c>
      <c r="N5" s="159">
        <v>0.23899999999999999</v>
      </c>
      <c r="O5" s="645">
        <f t="shared" ref="O5:O51" si="1">+ROUND((M5+N5)/2,3)</f>
        <v>0.23899999999999999</v>
      </c>
      <c r="P5" s="727">
        <v>90</v>
      </c>
      <c r="Q5">
        <v>90.11</v>
      </c>
      <c r="R5" s="706">
        <v>3054.6</v>
      </c>
      <c r="S5" s="765">
        <f t="shared" ref="S5:S10" si="2">IF((90+ROUNDDOWN(O5,1)*100)&lt;95,95,(90+ROUNDDOWN(O5,1)*100))</f>
        <v>110</v>
      </c>
      <c r="U5" s="1066">
        <v>120</v>
      </c>
      <c r="V5" s="715">
        <v>1.1023000000000001</v>
      </c>
      <c r="Y5">
        <v>20</v>
      </c>
      <c r="Z5" s="143">
        <f t="shared" ref="Z5:Z12" si="3"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 t="shared" ref="AA5:AA36" si="4">+Y5+Z5</f>
        <v>50</v>
      </c>
      <c r="AB5" s="145">
        <f t="shared" ref="AB5:AB36" si="5">+((O5*P5*(R5-U5)/100)-S5-AA5+T5)*V5</f>
        <v>519.43954065799994</v>
      </c>
      <c r="AC5" s="145">
        <f>+(S5-T5)*V5-'data 1'!$F$4</f>
        <v>41.253</v>
      </c>
      <c r="AD5" s="145">
        <f t="shared" ref="AD5:AD36" si="6">+(Q5-P5)*(R5-U5)*L5*V5/100</f>
        <v>0.90736408718999539</v>
      </c>
      <c r="AE5" s="145">
        <f t="shared" ref="AE5:AE36" si="7">+(Y5*V5-70)+V5*(Z5-IF(D5="UNTUCA",IF(+((W5-3)*2.5+(X5-3)*3.1)&gt;0,+((W5-3)*1.5+(X5-3)*3.1),0),IF(+((W5-3)*1.5+(X5-3)*3.1)&gt;0,+((W5-3)*1.5+(X5-3)*3.1),0)))</f>
        <v>-14.884999999999998</v>
      </c>
      <c r="AF5" s="145">
        <f t="shared" ref="AF5:AF36" si="8">(L5-O5)*(R5-U5)*Q5*V5/100</f>
        <v>46.638190600608041</v>
      </c>
      <c r="AG5" s="772">
        <f t="shared" ref="AG5:AG10" si="9">+IF(D5="RONALD WILLIAN GARIBAY ESCUDERO",AC5+AD5+AE5+AF5+70,AC5+AD5+AE5+AF5)+70-53</f>
        <v>90.91355468779804</v>
      </c>
      <c r="AH5" s="146">
        <f t="shared" ref="AH5:AH36" si="10">31.1035*L5*Q5*1.1023*K5/100</f>
        <v>31.846486452306198</v>
      </c>
      <c r="AI5" s="156">
        <f t="shared" ref="AI5:AI36" si="11">+((+$AI$2-R5+U5)*L5*Q5*V5)/100</f>
        <v>92.551086297810016</v>
      </c>
      <c r="AJ5" s="156">
        <f t="shared" ref="AJ5:AJ36" si="12">31.1035*1.1023*K5*P5*O5/100</f>
        <v>29.811838845729131</v>
      </c>
      <c r="AK5" s="88"/>
      <c r="AL5" s="716">
        <f t="shared" ref="AL5:AL36" si="13">+IF(AB5*K5&gt;0,AB5*K5,0)</f>
        <v>2099.7823991558989</v>
      </c>
    </row>
    <row r="6" spans="1:38" ht="15" customHeight="1">
      <c r="A6" s="857" t="s">
        <v>2042</v>
      </c>
      <c r="B6" s="595">
        <v>45755</v>
      </c>
      <c r="C6" s="595">
        <v>45751</v>
      </c>
      <c r="D6" t="s">
        <v>1993</v>
      </c>
      <c r="E6">
        <f>_xlfn.XLOOKUP(D6,RUC!$B$3:$B$123,RUC!$D$3:$D$123)</f>
        <v>20612937096</v>
      </c>
      <c r="G6" s="80">
        <v>72</v>
      </c>
      <c r="H6" t="s">
        <v>108</v>
      </c>
      <c r="I6" s="596">
        <v>3.56</v>
      </c>
      <c r="J6" s="596">
        <v>18.100000000000001</v>
      </c>
      <c r="K6" s="138">
        <f t="shared" si="0"/>
        <v>2.9156399999999998</v>
      </c>
      <c r="L6" s="139">
        <v>0.214</v>
      </c>
      <c r="M6" s="139">
        <v>0.20100000000000001</v>
      </c>
      <c r="N6" s="159">
        <v>0.20100000000000001</v>
      </c>
      <c r="O6" s="645">
        <f t="shared" si="1"/>
        <v>0.20100000000000001</v>
      </c>
      <c r="P6" s="727">
        <v>90</v>
      </c>
      <c r="Q6">
        <v>90.13</v>
      </c>
      <c r="R6" s="706">
        <v>3054.6</v>
      </c>
      <c r="S6" s="765">
        <f t="shared" si="2"/>
        <v>110</v>
      </c>
      <c r="U6" s="1066">
        <v>120</v>
      </c>
      <c r="V6" s="715">
        <v>1.1023000000000001</v>
      </c>
      <c r="Y6">
        <v>20</v>
      </c>
      <c r="Z6" s="143">
        <f t="shared" si="3"/>
        <v>30</v>
      </c>
      <c r="AA6" s="144">
        <f t="shared" si="4"/>
        <v>50</v>
      </c>
      <c r="AB6" s="145">
        <f t="shared" si="5"/>
        <v>408.80905302200006</v>
      </c>
      <c r="AC6" s="145">
        <f>+(S6-T6)*V6-'data 1'!$F$4</f>
        <v>41.253</v>
      </c>
      <c r="AD6" s="145">
        <f t="shared" si="6"/>
        <v>0.89992402515596848</v>
      </c>
      <c r="AE6" s="145">
        <f t="shared" si="7"/>
        <v>-14.884999999999998</v>
      </c>
      <c r="AF6" s="145">
        <f t="shared" si="8"/>
        <v>37.90194036790195</v>
      </c>
      <c r="AG6" s="772">
        <f t="shared" si="9"/>
        <v>82.169864393057935</v>
      </c>
      <c r="AH6" s="146">
        <f t="shared" si="10"/>
        <v>19.280847224336124</v>
      </c>
      <c r="AI6" s="156">
        <f t="shared" si="11"/>
        <v>77.687562404844016</v>
      </c>
      <c r="AJ6" s="156">
        <f t="shared" si="12"/>
        <v>18.083460250471049</v>
      </c>
      <c r="AK6" s="88"/>
      <c r="AL6" s="716">
        <f t="shared" si="13"/>
        <v>1191.9400273530641</v>
      </c>
    </row>
    <row r="7" spans="1:38" ht="15" customHeight="1">
      <c r="A7" s="857" t="s">
        <v>2043</v>
      </c>
      <c r="B7" s="595">
        <v>45755</v>
      </c>
      <c r="C7" s="595">
        <v>45751</v>
      </c>
      <c r="D7" t="s">
        <v>1993</v>
      </c>
      <c r="E7">
        <f>_xlfn.XLOOKUP(D7,RUC!$B$3:$B$123,RUC!$D$3:$D$123)</f>
        <v>20612937096</v>
      </c>
      <c r="G7" s="80">
        <v>75</v>
      </c>
      <c r="H7" t="s">
        <v>108</v>
      </c>
      <c r="I7" s="596">
        <v>2.85</v>
      </c>
      <c r="J7" s="596">
        <v>16.5</v>
      </c>
      <c r="K7" s="138">
        <f t="shared" si="0"/>
        <v>2.37975</v>
      </c>
      <c r="L7" s="139">
        <v>0.29399999999999998</v>
      </c>
      <c r="M7" s="139">
        <v>0.27600000000000002</v>
      </c>
      <c r="N7" s="159">
        <v>0.27600000000000002</v>
      </c>
      <c r="O7" s="645">
        <f t="shared" si="1"/>
        <v>0.27600000000000002</v>
      </c>
      <c r="P7" s="727">
        <v>90</v>
      </c>
      <c r="Q7">
        <v>90.09</v>
      </c>
      <c r="R7" s="706">
        <v>3054.6</v>
      </c>
      <c r="S7" s="765">
        <f t="shared" si="2"/>
        <v>110</v>
      </c>
      <c r="U7" s="1066">
        <v>120</v>
      </c>
      <c r="V7" s="715">
        <v>1.1023000000000001</v>
      </c>
      <c r="Y7">
        <v>20</v>
      </c>
      <c r="Z7" s="143">
        <f t="shared" si="3"/>
        <v>30</v>
      </c>
      <c r="AA7" s="144">
        <f t="shared" si="4"/>
        <v>50</v>
      </c>
      <c r="AB7" s="145">
        <f t="shared" si="5"/>
        <v>627.15869967200013</v>
      </c>
      <c r="AC7" s="145">
        <f>+(S7-T7)*V7-'data 1'!$F$4</f>
        <v>41.253</v>
      </c>
      <c r="AD7" s="145">
        <f t="shared" si="6"/>
        <v>0.85593061486803235</v>
      </c>
      <c r="AE7" s="145">
        <f t="shared" si="7"/>
        <v>-14.884999999999998</v>
      </c>
      <c r="AF7" s="145">
        <f t="shared" si="8"/>
        <v>52.456319111195882</v>
      </c>
      <c r="AG7" s="772">
        <f t="shared" si="9"/>
        <v>96.68024972606392</v>
      </c>
      <c r="AH7" s="146">
        <f>31.1035*L7*Q7*1.1023*K7/100</f>
        <v>21.610475461867182</v>
      </c>
      <c r="AI7" s="156">
        <f t="shared" si="11"/>
        <v>106.68227483113203</v>
      </c>
      <c r="AJ7" s="156">
        <f t="shared" si="12"/>
        <v>20.267118009457697</v>
      </c>
      <c r="AK7" s="88"/>
      <c r="AL7" s="716">
        <f t="shared" si="13"/>
        <v>1492.4809155444423</v>
      </c>
    </row>
    <row r="8" spans="1:38" ht="15" customHeight="1">
      <c r="A8" s="857" t="s">
        <v>2044</v>
      </c>
      <c r="B8" s="595">
        <v>45755</v>
      </c>
      <c r="C8" s="595">
        <v>45751</v>
      </c>
      <c r="D8" t="s">
        <v>1993</v>
      </c>
      <c r="E8">
        <f>_xlfn.XLOOKUP(D8,RUC!$B$3:$B$123,RUC!$D$3:$D$123)</f>
        <v>20612937096</v>
      </c>
      <c r="G8" s="80">
        <v>61</v>
      </c>
      <c r="H8" t="s">
        <v>108</v>
      </c>
      <c r="I8" s="596">
        <v>2.31</v>
      </c>
      <c r="J8" s="596">
        <v>18.25</v>
      </c>
      <c r="K8" s="138">
        <f t="shared" si="0"/>
        <v>1.888425</v>
      </c>
      <c r="L8" s="139">
        <v>0.39900000000000002</v>
      </c>
      <c r="M8" s="139">
        <v>0.375</v>
      </c>
      <c r="N8" s="159">
        <v>0.375</v>
      </c>
      <c r="O8" s="645">
        <f t="shared" si="1"/>
        <v>0.375</v>
      </c>
      <c r="P8" s="727">
        <v>90</v>
      </c>
      <c r="Q8" s="596">
        <v>90.1</v>
      </c>
      <c r="R8" s="706">
        <v>3054.6</v>
      </c>
      <c r="S8" s="765">
        <f t="shared" si="2"/>
        <v>120</v>
      </c>
      <c r="U8" s="1066">
        <v>120</v>
      </c>
      <c r="V8" s="715">
        <v>1.1023000000000001</v>
      </c>
      <c r="Y8">
        <v>20</v>
      </c>
      <c r="Z8" s="143">
        <f t="shared" si="3"/>
        <v>30</v>
      </c>
      <c r="AA8" s="144">
        <f t="shared" si="4"/>
        <v>50</v>
      </c>
      <c r="AB8" s="145">
        <f t="shared" si="5"/>
        <v>904.35723325000004</v>
      </c>
      <c r="AC8" s="145">
        <f>+(S8-T8)*V8-'data 1'!$F$4</f>
        <v>52.27600000000001</v>
      </c>
      <c r="AD8" s="145">
        <f t="shared" si="6"/>
        <v>1.2906890224199268</v>
      </c>
      <c r="AE8" s="145">
        <f t="shared" si="7"/>
        <v>-14.884999999999998</v>
      </c>
      <c r="AF8" s="145">
        <f t="shared" si="8"/>
        <v>69.94952235792006</v>
      </c>
      <c r="AG8" s="772">
        <f t="shared" si="9"/>
        <v>125.63121138034001</v>
      </c>
      <c r="AH8" s="146">
        <f t="shared" si="10"/>
        <v>23.275900776847564</v>
      </c>
      <c r="AI8" s="156">
        <f t="shared" si="11"/>
        <v>144.79915820958004</v>
      </c>
      <c r="AJ8" s="156">
        <f t="shared" si="12"/>
        <v>21.851567075808425</v>
      </c>
      <c r="AK8" s="88"/>
      <c r="AL8" s="716">
        <f t="shared" si="13"/>
        <v>1707.8108082001313</v>
      </c>
    </row>
    <row r="9" spans="1:38" ht="15" customHeight="1">
      <c r="A9" s="857" t="s">
        <v>2045</v>
      </c>
      <c r="B9" s="595">
        <v>45755</v>
      </c>
      <c r="C9" s="595">
        <v>45751</v>
      </c>
      <c r="D9" t="s">
        <v>1993</v>
      </c>
      <c r="E9">
        <f>_xlfn.XLOOKUP(D9,RUC!$B$3:$B$123,RUC!$D$3:$D$123)</f>
        <v>20612937096</v>
      </c>
      <c r="G9" s="80">
        <v>25</v>
      </c>
      <c r="H9" t="s">
        <v>108</v>
      </c>
      <c r="I9" s="596">
        <v>1.45</v>
      </c>
      <c r="J9" s="596">
        <v>17.55</v>
      </c>
      <c r="K9" s="138">
        <f t="shared" si="0"/>
        <v>1.1955249999999999</v>
      </c>
      <c r="L9" s="139">
        <v>0.27300000000000002</v>
      </c>
      <c r="M9" s="139">
        <v>0.25700000000000001</v>
      </c>
      <c r="N9" s="159">
        <v>0.25700000000000001</v>
      </c>
      <c r="O9" s="645">
        <f t="shared" si="1"/>
        <v>0.25700000000000001</v>
      </c>
      <c r="P9" s="727">
        <v>90</v>
      </c>
      <c r="Q9">
        <v>90.16</v>
      </c>
      <c r="R9" s="706">
        <v>3054.6</v>
      </c>
      <c r="S9" s="765">
        <f t="shared" si="2"/>
        <v>110</v>
      </c>
      <c r="U9" s="1066">
        <v>120</v>
      </c>
      <c r="V9" s="715">
        <v>1.1023000000000001</v>
      </c>
      <c r="Y9">
        <v>20</v>
      </c>
      <c r="Z9" s="143">
        <f t="shared" si="3"/>
        <v>30</v>
      </c>
      <c r="AA9" s="144">
        <f t="shared" si="4"/>
        <v>50</v>
      </c>
      <c r="AB9" s="145">
        <f t="shared" si="5"/>
        <v>571.84345585400001</v>
      </c>
      <c r="AC9" s="145">
        <f>+(S9-T9)*V9-'data 1'!$F$4</f>
        <v>41.253</v>
      </c>
      <c r="AD9" s="145">
        <f t="shared" si="6"/>
        <v>1.4129648245439703</v>
      </c>
      <c r="AE9" s="145">
        <f t="shared" si="7"/>
        <v>-14.884999999999998</v>
      </c>
      <c r="AF9" s="145">
        <f t="shared" si="8"/>
        <v>46.664069077248044</v>
      </c>
      <c r="AG9" s="772">
        <f t="shared" si="9"/>
        <v>91.445033901792016</v>
      </c>
      <c r="AH9" s="146">
        <f t="shared" si="10"/>
        <v>10.088910783398591</v>
      </c>
      <c r="AI9" s="156">
        <f t="shared" si="11"/>
        <v>99.139083681456029</v>
      </c>
      <c r="AJ9" s="156">
        <f t="shared" si="12"/>
        <v>9.4807646162625563</v>
      </c>
      <c r="AK9" s="88"/>
      <c r="AL9" s="716">
        <f t="shared" si="13"/>
        <v>683.65314755985332</v>
      </c>
    </row>
    <row r="10" spans="1:38" ht="15" customHeight="1">
      <c r="A10" s="857" t="s">
        <v>2075</v>
      </c>
      <c r="B10" s="595">
        <v>45704</v>
      </c>
      <c r="C10" s="595">
        <v>45755</v>
      </c>
      <c r="D10" t="s">
        <v>1689</v>
      </c>
      <c r="E10">
        <f>_xlfn.XLOOKUP(D10,RUC!$B$3:$B$123,RUC!$D$3:$D$123)</f>
        <v>10306762465</v>
      </c>
      <c r="G10" s="80">
        <v>80</v>
      </c>
      <c r="H10" t="s">
        <v>69</v>
      </c>
      <c r="I10" s="596">
        <v>8.31</v>
      </c>
      <c r="J10" s="596">
        <v>1.2</v>
      </c>
      <c r="K10" s="1138">
        <f t="shared" si="0"/>
        <v>8.2102800000000009</v>
      </c>
      <c r="L10" s="139">
        <v>0.14699999999999999</v>
      </c>
      <c r="M10" s="139">
        <v>0.13600000000000001</v>
      </c>
      <c r="N10" s="159">
        <v>0.13600000000000001</v>
      </c>
      <c r="O10" s="645">
        <f t="shared" si="1"/>
        <v>0.13600000000000001</v>
      </c>
      <c r="P10" s="727">
        <v>90</v>
      </c>
      <c r="Q10" s="596">
        <v>90.2</v>
      </c>
      <c r="R10" s="706">
        <v>3015.4</v>
      </c>
      <c r="S10" s="765">
        <f t="shared" si="2"/>
        <v>100</v>
      </c>
      <c r="U10" s="1066">
        <v>120</v>
      </c>
      <c r="V10" s="715">
        <v>1.1023000000000001</v>
      </c>
      <c r="Y10">
        <v>20</v>
      </c>
      <c r="Z10" s="143">
        <f t="shared" si="3"/>
        <v>30</v>
      </c>
      <c r="AA10" s="144">
        <f t="shared" si="4"/>
        <v>50</v>
      </c>
      <c r="AB10" s="145">
        <f t="shared" si="5"/>
        <v>225.30676900800006</v>
      </c>
      <c r="AC10" s="145">
        <f>+(S10-T10)*V10-'data 1'!$F$4</f>
        <v>30.230000000000004</v>
      </c>
      <c r="AD10" s="145">
        <f t="shared" si="6"/>
        <v>0.93833022948001332</v>
      </c>
      <c r="AE10" s="145">
        <f t="shared" si="7"/>
        <v>-14.884999999999998</v>
      </c>
      <c r="AF10" s="145">
        <f t="shared" si="8"/>
        <v>31.667049445239954</v>
      </c>
      <c r="AG10" s="772">
        <f t="shared" si="9"/>
        <v>64.950379674719969</v>
      </c>
      <c r="AH10" s="146">
        <f t="shared" si="10"/>
        <v>37.324234551153033</v>
      </c>
      <c r="AI10" s="156">
        <f t="shared" si="11"/>
        <v>59.135674964519993</v>
      </c>
      <c r="AJ10" s="156">
        <f t="shared" si="12"/>
        <v>34.454698621816462</v>
      </c>
      <c r="AK10" s="88"/>
      <c r="AL10" s="716">
        <f t="shared" si="13"/>
        <v>1849.8316594510029</v>
      </c>
    </row>
    <row r="11" spans="1:38" ht="15" customHeight="1">
      <c r="A11" s="857" t="s">
        <v>2077</v>
      </c>
      <c r="B11" s="595">
        <v>45698</v>
      </c>
      <c r="C11" s="595">
        <v>45755</v>
      </c>
      <c r="D11" t="s">
        <v>1402</v>
      </c>
      <c r="E11">
        <f>_xlfn.XLOOKUP(D11,RUC!$B$3:$B$123,RUC!$D$3:$D$123)</f>
        <v>20606526599</v>
      </c>
      <c r="G11" s="80">
        <v>246</v>
      </c>
      <c r="H11" t="s">
        <v>69</v>
      </c>
      <c r="I11" s="596">
        <v>21.08</v>
      </c>
      <c r="J11" s="596">
        <v>1.2</v>
      </c>
      <c r="K11" s="1138">
        <f t="shared" si="0"/>
        <v>20.827039999999997</v>
      </c>
      <c r="L11" s="139">
        <v>0.32200000000000001</v>
      </c>
      <c r="M11" s="139">
        <v>0.30199999999999999</v>
      </c>
      <c r="N11" s="159">
        <v>0.30199999999999999</v>
      </c>
      <c r="O11" s="645">
        <f t="shared" si="1"/>
        <v>0.30199999999999999</v>
      </c>
      <c r="P11" s="727">
        <v>90</v>
      </c>
      <c r="Q11" s="596">
        <v>90</v>
      </c>
      <c r="R11" s="706">
        <v>3015.4</v>
      </c>
      <c r="S11" s="802">
        <f>IF((80+ROUNDDOWN(O11,1)*100)&lt;95,95,(80+ROUNDDOWN(O11,1)*100))</f>
        <v>110</v>
      </c>
      <c r="U11" s="1066">
        <v>100</v>
      </c>
      <c r="V11" s="715">
        <v>1.1023000000000001</v>
      </c>
      <c r="Z11" s="143">
        <f t="shared" si="3"/>
        <v>30</v>
      </c>
      <c r="AA11" s="144">
        <f t="shared" si="4"/>
        <v>30</v>
      </c>
      <c r="AB11" s="145">
        <f t="shared" si="5"/>
        <v>719.14682515599998</v>
      </c>
      <c r="AC11" s="145">
        <f>+(S11-T11)*V11-'data 1'!$F$4</f>
        <v>41.253</v>
      </c>
      <c r="AD11" s="145">
        <f t="shared" si="6"/>
        <v>0</v>
      </c>
      <c r="AE11" s="145">
        <f t="shared" si="7"/>
        <v>-36.930999999999997</v>
      </c>
      <c r="AF11" s="145">
        <f t="shared" si="8"/>
        <v>57.845617560000058</v>
      </c>
      <c r="AG11" s="772">
        <f>+IF(D11="RONALD WILLIAN GARIBAY ESCUDERO",AC11+AD11+AE11+AF11+70,AC11+AD11+AE11+AF11)+70</f>
        <v>132.16761756000005</v>
      </c>
      <c r="AH11" s="146">
        <f t="shared" si="10"/>
        <v>206.93550038686629</v>
      </c>
      <c r="AI11" s="156">
        <f t="shared" si="11"/>
        <v>122.85913928399998</v>
      </c>
      <c r="AJ11" s="156">
        <f t="shared" si="12"/>
        <v>194.0823637168746</v>
      </c>
      <c r="AK11" s="88"/>
      <c r="AL11" s="716">
        <f t="shared" si="13"/>
        <v>14977.699693397015</v>
      </c>
    </row>
    <row r="12" spans="1:38" ht="15" customHeight="1">
      <c r="A12" s="857" t="s">
        <v>2078</v>
      </c>
      <c r="B12" s="595">
        <v>45698</v>
      </c>
      <c r="C12" s="595">
        <v>45755</v>
      </c>
      <c r="D12" t="s">
        <v>1402</v>
      </c>
      <c r="E12">
        <f>_xlfn.XLOOKUP(D12,RUC!$B$3:$B$123,RUC!$D$3:$D$123)</f>
        <v>20606526599</v>
      </c>
      <c r="G12" s="80">
        <v>147</v>
      </c>
      <c r="H12" t="s">
        <v>69</v>
      </c>
      <c r="I12" s="596">
        <v>11.17</v>
      </c>
      <c r="J12" s="596">
        <v>1.3</v>
      </c>
      <c r="K12" s="138">
        <f t="shared" si="0"/>
        <v>11.024789999999999</v>
      </c>
      <c r="L12" s="139">
        <v>0.126</v>
      </c>
      <c r="M12" s="139">
        <v>0.11</v>
      </c>
      <c r="N12" s="159">
        <v>0.11</v>
      </c>
      <c r="O12" s="645">
        <f t="shared" si="1"/>
        <v>0.11</v>
      </c>
      <c r="P12" s="727">
        <v>85</v>
      </c>
      <c r="Q12" s="596">
        <v>90</v>
      </c>
      <c r="R12" s="706">
        <v>3015.4</v>
      </c>
      <c r="S12" s="802">
        <f>IF((80+ROUNDDOWN(O12,1)*100)&lt;95,95,(80+ROUNDDOWN(O12,1)*100))</f>
        <v>95</v>
      </c>
      <c r="U12" s="1066">
        <v>100</v>
      </c>
      <c r="V12" s="715">
        <v>1.1023000000000001</v>
      </c>
      <c r="Z12" s="143">
        <f t="shared" si="3"/>
        <v>30</v>
      </c>
      <c r="AA12" s="144">
        <f t="shared" si="4"/>
        <v>30</v>
      </c>
      <c r="AB12" s="145">
        <f t="shared" si="5"/>
        <v>162.68834677000001</v>
      </c>
      <c r="AC12" s="145">
        <f>+(S12-T12)*V12-'data 1'!$F$4</f>
        <v>24.718500000000006</v>
      </c>
      <c r="AD12" s="145">
        <f t="shared" si="6"/>
        <v>20.245966146000001</v>
      </c>
      <c r="AE12" s="145">
        <f t="shared" si="7"/>
        <v>-36.930999999999997</v>
      </c>
      <c r="AF12" s="145">
        <f t="shared" si="8"/>
        <v>46.276494048000004</v>
      </c>
      <c r="AG12" s="772">
        <f>+IF(D12="RONALD WILLIAN GARIBAY ESCUDERO",AC12+AD12+AE12+AF12+70,AC12+AD12+AE12+AF12)+70</f>
        <v>124.30996019400001</v>
      </c>
      <c r="AH12" s="146">
        <f t="shared" si="10"/>
        <v>42.863975656460724</v>
      </c>
      <c r="AI12" s="156">
        <f t="shared" si="11"/>
        <v>48.075315371999984</v>
      </c>
      <c r="AJ12" s="156">
        <f t="shared" si="12"/>
        <v>35.341990510397515</v>
      </c>
      <c r="AK12" s="88"/>
      <c r="AL12" s="716">
        <f t="shared" si="13"/>
        <v>1793.6048585864282</v>
      </c>
    </row>
    <row r="13" spans="1:38" ht="15" customHeight="1">
      <c r="A13" s="857" t="s">
        <v>2082</v>
      </c>
      <c r="B13" s="595">
        <v>45732</v>
      </c>
      <c r="C13" s="595">
        <v>45756</v>
      </c>
      <c r="D13" t="s">
        <v>1586</v>
      </c>
      <c r="E13" t="e">
        <f>_xlfn.XLOOKUP(D13,RUC!$B$3:$B$123,RUC!$D$3:$D$123)</f>
        <v>#N/A</v>
      </c>
      <c r="G13" s="80">
        <v>50</v>
      </c>
      <c r="H13" t="s">
        <v>69</v>
      </c>
      <c r="I13" s="596">
        <v>6.67</v>
      </c>
      <c r="J13" s="596">
        <v>1.2</v>
      </c>
      <c r="K13" s="138">
        <f t="shared" si="0"/>
        <v>6.5899599999999996</v>
      </c>
      <c r="L13" s="139">
        <v>0.53800000000000003</v>
      </c>
      <c r="M13" s="139">
        <v>0.50600000000000001</v>
      </c>
      <c r="N13" s="879">
        <v>0.53400000000000003</v>
      </c>
      <c r="O13" s="645">
        <f t="shared" si="1"/>
        <v>0.52</v>
      </c>
      <c r="P13" s="727">
        <v>90</v>
      </c>
      <c r="Q13" s="596">
        <v>90</v>
      </c>
      <c r="R13" s="706">
        <v>3075.1</v>
      </c>
      <c r="S13" s="1070">
        <v>140</v>
      </c>
      <c r="U13" s="1091">
        <v>90</v>
      </c>
      <c r="V13" s="715">
        <v>1.1023000000000001</v>
      </c>
      <c r="Z13" s="1062">
        <v>25</v>
      </c>
      <c r="AA13" s="144">
        <f t="shared" si="4"/>
        <v>25</v>
      </c>
      <c r="AB13" s="145">
        <f t="shared" si="5"/>
        <v>1358.0631416400004</v>
      </c>
      <c r="AC13" s="145">
        <f>+(S13-T13)*V13-'data 1'!$F$4</f>
        <v>74.322000000000003</v>
      </c>
      <c r="AD13" s="145">
        <f t="shared" si="6"/>
        <v>0</v>
      </c>
      <c r="AE13" s="145">
        <f t="shared" si="7"/>
        <v>-42.442499999999995</v>
      </c>
      <c r="AF13" s="145">
        <f t="shared" si="8"/>
        <v>53.305706826000048</v>
      </c>
      <c r="AG13" s="772">
        <f t="shared" ref="AG13:AG22" si="14">+IF(D13="RONALD WILLIAN GARIBAY ESCUDERO",AC13+AD13+AE13+AF13+70,AC13+AD13+AE13+AF13)+70-53</f>
        <v>102.18520682600007</v>
      </c>
      <c r="AH13" s="146">
        <f t="shared" si="10"/>
        <v>109.39982641081217</v>
      </c>
      <c r="AI13" s="156">
        <f t="shared" si="11"/>
        <v>168.07272953400008</v>
      </c>
      <c r="AJ13" s="156">
        <f t="shared" si="12"/>
        <v>105.7396091703017</v>
      </c>
      <c r="AK13" s="88"/>
      <c r="AL13" s="716">
        <f t="shared" si="13"/>
        <v>8949.5817808819356</v>
      </c>
    </row>
    <row r="14" spans="1:38" ht="15" customHeight="1">
      <c r="A14" s="857" t="s">
        <v>2083</v>
      </c>
      <c r="B14" s="595">
        <v>45732</v>
      </c>
      <c r="C14" s="595">
        <v>45756</v>
      </c>
      <c r="D14" t="s">
        <v>1586</v>
      </c>
      <c r="E14" t="e">
        <f>_xlfn.XLOOKUP(D14,RUC!$B$3:$B$123,RUC!$D$3:$D$123)</f>
        <v>#N/A</v>
      </c>
      <c r="G14" s="80">
        <v>50</v>
      </c>
      <c r="H14" t="s">
        <v>69</v>
      </c>
      <c r="I14" s="596">
        <v>6.41</v>
      </c>
      <c r="J14" s="596">
        <v>1.3</v>
      </c>
      <c r="K14" s="138">
        <f t="shared" si="0"/>
        <v>6.32667</v>
      </c>
      <c r="L14" s="139">
        <v>0.42599999999999999</v>
      </c>
      <c r="M14" s="139">
        <v>0.4</v>
      </c>
      <c r="N14" s="879">
        <v>0.44</v>
      </c>
      <c r="O14" s="645">
        <f t="shared" si="1"/>
        <v>0.42</v>
      </c>
      <c r="P14" s="727">
        <v>90</v>
      </c>
      <c r="Q14" s="596">
        <v>90.1</v>
      </c>
      <c r="R14" s="706">
        <v>3075.1</v>
      </c>
      <c r="S14" s="1070">
        <v>115</v>
      </c>
      <c r="U14" s="1091">
        <v>90</v>
      </c>
      <c r="V14" s="715">
        <v>1.1023000000000001</v>
      </c>
      <c r="Z14" s="1062">
        <v>25</v>
      </c>
      <c r="AA14" s="144">
        <f t="shared" si="4"/>
        <v>25</v>
      </c>
      <c r="AB14" s="145">
        <f t="shared" si="5"/>
        <v>1089.4778259399998</v>
      </c>
      <c r="AC14" s="145">
        <f>+(S14-T14)*V14-'data 1'!$F$4</f>
        <v>46.764500000000012</v>
      </c>
      <c r="AD14" s="145">
        <f t="shared" si="6"/>
        <v>1.4017426609799202</v>
      </c>
      <c r="AE14" s="145">
        <f t="shared" si="7"/>
        <v>-42.442499999999995</v>
      </c>
      <c r="AF14" s="145">
        <f t="shared" si="8"/>
        <v>17.788311796380015</v>
      </c>
      <c r="AG14" s="772">
        <f t="shared" si="14"/>
        <v>40.512054457359952</v>
      </c>
      <c r="AH14" s="146">
        <f t="shared" si="10"/>
        <v>83.25659428302221</v>
      </c>
      <c r="AI14" s="156">
        <f t="shared" si="11"/>
        <v>133.23148179702002</v>
      </c>
      <c r="AJ14" s="156">
        <f t="shared" si="12"/>
        <v>81.992863013402953</v>
      </c>
      <c r="AK14" s="88"/>
      <c r="AL14" s="716">
        <f t="shared" si="13"/>
        <v>6892.7666770398182</v>
      </c>
    </row>
    <row r="15" spans="1:38" ht="15" customHeight="1">
      <c r="A15" s="857" t="s">
        <v>2084</v>
      </c>
      <c r="B15" s="595">
        <v>45732</v>
      </c>
      <c r="C15" s="595">
        <v>45756</v>
      </c>
      <c r="D15" t="s">
        <v>1586</v>
      </c>
      <c r="E15" t="e">
        <f>_xlfn.XLOOKUP(D15,RUC!$B$3:$B$123,RUC!$D$3:$D$123)</f>
        <v>#N/A</v>
      </c>
      <c r="G15" s="80">
        <v>50</v>
      </c>
      <c r="H15" t="s">
        <v>69</v>
      </c>
      <c r="I15" s="596">
        <v>6.25</v>
      </c>
      <c r="J15" s="596">
        <v>1.1000000000000001</v>
      </c>
      <c r="K15" s="138">
        <f t="shared" si="0"/>
        <v>6.1812500000000004</v>
      </c>
      <c r="L15" s="139">
        <v>0.59199999999999997</v>
      </c>
      <c r="M15" s="139">
        <v>0.55600000000000005</v>
      </c>
      <c r="N15" s="1137">
        <v>0.44400000000000001</v>
      </c>
      <c r="O15" s="645">
        <f t="shared" si="1"/>
        <v>0.5</v>
      </c>
      <c r="P15" s="727">
        <v>90</v>
      </c>
      <c r="Q15" s="596">
        <v>90</v>
      </c>
      <c r="R15" s="706">
        <v>3075.1</v>
      </c>
      <c r="S15" s="1070">
        <v>140</v>
      </c>
      <c r="U15" s="1091">
        <v>90</v>
      </c>
      <c r="V15" s="715">
        <v>1.1023000000000001</v>
      </c>
      <c r="Z15" s="1062">
        <v>25</v>
      </c>
      <c r="AA15" s="144">
        <f t="shared" si="4"/>
        <v>25</v>
      </c>
      <c r="AB15" s="145">
        <f t="shared" si="5"/>
        <v>1298.8345785000001</v>
      </c>
      <c r="AC15" s="145">
        <f>+(S15-T15)*V15-'data 1'!$F$4</f>
        <v>74.322000000000003</v>
      </c>
      <c r="AD15" s="145">
        <f t="shared" si="6"/>
        <v>0</v>
      </c>
      <c r="AE15" s="145">
        <f t="shared" si="7"/>
        <v>-42.442499999999995</v>
      </c>
      <c r="AF15" s="145">
        <f t="shared" si="8"/>
        <v>272.45139044399997</v>
      </c>
      <c r="AG15" s="772">
        <f t="shared" si="14"/>
        <v>321.33089044399998</v>
      </c>
      <c r="AH15" s="146">
        <f t="shared" si="10"/>
        <v>112.9144684422285</v>
      </c>
      <c r="AI15" s="156">
        <f t="shared" si="11"/>
        <v>184.94248305600004</v>
      </c>
      <c r="AJ15" s="156">
        <f t="shared" si="12"/>
        <v>95.366949697828133</v>
      </c>
      <c r="AK15" s="88"/>
      <c r="AL15" s="716">
        <f t="shared" si="13"/>
        <v>8028.4212383531267</v>
      </c>
    </row>
    <row r="16" spans="1:38" ht="15" customHeight="1">
      <c r="A16" s="857" t="s">
        <v>2086</v>
      </c>
      <c r="B16" s="595">
        <v>45732</v>
      </c>
      <c r="C16" s="595">
        <v>45756</v>
      </c>
      <c r="D16" t="s">
        <v>1586</v>
      </c>
      <c r="E16" t="e">
        <f>_xlfn.XLOOKUP(D16,RUC!$B$3:$B$123,RUC!$D$3:$D$123)</f>
        <v>#N/A</v>
      </c>
      <c r="G16" s="80">
        <v>50</v>
      </c>
      <c r="H16" t="s">
        <v>69</v>
      </c>
      <c r="I16" s="596">
        <v>5.44</v>
      </c>
      <c r="J16" s="596">
        <v>1.3</v>
      </c>
      <c r="K16" s="138">
        <f t="shared" si="0"/>
        <v>5.3692800000000007</v>
      </c>
      <c r="L16" s="139">
        <v>0.16800000000000001</v>
      </c>
      <c r="M16" s="139">
        <v>0.153</v>
      </c>
      <c r="N16" s="879">
        <v>0.189</v>
      </c>
      <c r="O16" s="645">
        <f t="shared" si="1"/>
        <v>0.17100000000000001</v>
      </c>
      <c r="P16" s="727">
        <v>85</v>
      </c>
      <c r="Q16" s="596">
        <v>90.1</v>
      </c>
      <c r="R16" s="706">
        <v>3075.1</v>
      </c>
      <c r="S16" s="1070">
        <v>105</v>
      </c>
      <c r="U16" s="1091">
        <v>90</v>
      </c>
      <c r="V16" s="715">
        <v>1.1023000000000001</v>
      </c>
      <c r="Z16" s="1062">
        <v>25</v>
      </c>
      <c r="AA16" s="144">
        <f t="shared" si="4"/>
        <v>25</v>
      </c>
      <c r="AB16" s="145">
        <f t="shared" si="5"/>
        <v>334.97164735550007</v>
      </c>
      <c r="AC16" s="145">
        <f>+(S16-T16)*V16-'data 1'!$F$4</f>
        <v>35.741500000000002</v>
      </c>
      <c r="AD16" s="145">
        <f t="shared" si="6"/>
        <v>28.19279605463997</v>
      </c>
      <c r="AE16" s="145">
        <f t="shared" si="7"/>
        <v>-42.442499999999995</v>
      </c>
      <c r="AF16" s="145">
        <f t="shared" si="8"/>
        <v>-8.8941558981900073</v>
      </c>
      <c r="AG16" s="772">
        <f t="shared" si="14"/>
        <v>29.59764015644997</v>
      </c>
      <c r="AH16" s="146">
        <f t="shared" si="10"/>
        <v>27.865009428907179</v>
      </c>
      <c r="AI16" s="156">
        <f t="shared" si="11"/>
        <v>52.541992821360019</v>
      </c>
      <c r="AJ16" s="156">
        <f t="shared" si="12"/>
        <v>26.757168757542278</v>
      </c>
      <c r="AK16" s="88"/>
      <c r="AL16" s="716">
        <f t="shared" si="13"/>
        <v>1798.5565667129397</v>
      </c>
    </row>
    <row r="17" spans="1:38" ht="15" customHeight="1">
      <c r="A17" s="857" t="s">
        <v>2087</v>
      </c>
      <c r="B17" s="595">
        <v>45763</v>
      </c>
      <c r="C17" s="595">
        <v>45756</v>
      </c>
      <c r="D17" t="s">
        <v>1689</v>
      </c>
      <c r="E17">
        <f>_xlfn.XLOOKUP(D17,RUC!$B$3:$B$123,RUC!$D$3:$D$123)</f>
        <v>10306762465</v>
      </c>
      <c r="G17" s="80">
        <v>80</v>
      </c>
      <c r="H17" t="s">
        <v>69</v>
      </c>
      <c r="I17" s="596">
        <v>8.26</v>
      </c>
      <c r="J17" s="596">
        <v>1.1000000000000001</v>
      </c>
      <c r="K17" s="138">
        <f t="shared" si="0"/>
        <v>8.1691400000000005</v>
      </c>
      <c r="L17" s="139">
        <v>0.17699999999999999</v>
      </c>
      <c r="M17" s="139">
        <v>0.161</v>
      </c>
      <c r="N17" s="159">
        <v>0.161</v>
      </c>
      <c r="O17" s="645">
        <f t="shared" si="1"/>
        <v>0.161</v>
      </c>
      <c r="P17" s="727">
        <v>90</v>
      </c>
      <c r="Q17" s="596">
        <v>90</v>
      </c>
      <c r="R17" s="706">
        <v>3075.1</v>
      </c>
      <c r="S17" s="765">
        <f t="shared" ref="S17:S22" si="15">IF((90+ROUNDDOWN(O17,1)*100)&lt;95,95,(90+ROUNDDOWN(O17,1)*100))</f>
        <v>100</v>
      </c>
      <c r="U17" s="1066">
        <v>120</v>
      </c>
      <c r="V17" s="715">
        <v>1.1023000000000001</v>
      </c>
      <c r="Y17">
        <v>20</v>
      </c>
      <c r="Z17" s="143">
        <f t="shared" ref="Z17:Z22" si="16">IF(IF(D17="UNTUCA",IF(+((W17-3)*1.5+(X17-3)*3.1)&gt;0,+((W17-3)*1.5+(X17-3)*3.1),0),IF(+((W17-3)*1.5+(X17-3)*3.1)&gt;0,+((W17-3)*1.5+(X17-3)*3.1),0))&lt;30,30,IF(D17="UNTUCA",IF(+((W17-3)*1.5+(X17-3)*3.1)&gt;0,+((W17-3)*1.5+(X17-3)*3.1),0),IF(+((W17-3)*1.5+(X17-3)*3.1)&gt;0,+((W17-3)*1.5+(X17-3)*3.1),0)))</f>
        <v>30</v>
      </c>
      <c r="AA17" s="144">
        <f t="shared" si="4"/>
        <v>50</v>
      </c>
      <c r="AB17" s="145">
        <f t="shared" si="5"/>
        <v>306.653235177</v>
      </c>
      <c r="AC17" s="145">
        <f>+(S17-T17)*V17-'data 1'!$F$4</f>
        <v>30.230000000000004</v>
      </c>
      <c r="AD17" s="145">
        <f t="shared" si="6"/>
        <v>0</v>
      </c>
      <c r="AE17" s="145">
        <f t="shared" si="7"/>
        <v>-14.884999999999998</v>
      </c>
      <c r="AF17" s="145">
        <f t="shared" si="8"/>
        <v>46.90665691199996</v>
      </c>
      <c r="AG17" s="772">
        <f t="shared" si="14"/>
        <v>79.251656911999959</v>
      </c>
      <c r="AH17" s="146">
        <f t="shared" si="10"/>
        <v>44.617084095109973</v>
      </c>
      <c r="AI17" s="156">
        <f t="shared" si="11"/>
        <v>60.563194911000018</v>
      </c>
      <c r="AJ17" s="156">
        <f t="shared" si="12"/>
        <v>40.583901352049196</v>
      </c>
      <c r="AK17" s="88"/>
      <c r="AL17" s="716">
        <f t="shared" si="13"/>
        <v>2505.0932096138381</v>
      </c>
    </row>
    <row r="18" spans="1:38" ht="15" customHeight="1">
      <c r="A18" s="857" t="s">
        <v>2088</v>
      </c>
      <c r="B18" s="595">
        <v>45761</v>
      </c>
      <c r="C18" s="595">
        <v>45756</v>
      </c>
      <c r="D18" t="s">
        <v>1967</v>
      </c>
      <c r="E18">
        <f>_xlfn.XLOOKUP(D18,RUC!$B$3:$B$123,RUC!$D$3:$D$123)</f>
        <v>20601769396</v>
      </c>
      <c r="G18" s="80">
        <v>40</v>
      </c>
      <c r="H18" t="s">
        <v>69</v>
      </c>
      <c r="I18" s="596">
        <v>2.5</v>
      </c>
      <c r="J18" s="596">
        <v>13.5</v>
      </c>
      <c r="K18" s="138">
        <f t="shared" si="0"/>
        <v>2.1625000000000001</v>
      </c>
      <c r="L18" s="139">
        <v>0.11799999999999999</v>
      </c>
      <c r="M18" s="139">
        <v>0.10299999999999999</v>
      </c>
      <c r="N18" s="159">
        <v>0.10299999999999999</v>
      </c>
      <c r="O18" s="645">
        <f t="shared" si="1"/>
        <v>0.10299999999999999</v>
      </c>
      <c r="P18" s="727">
        <v>85</v>
      </c>
      <c r="Q18" s="596">
        <v>89.9</v>
      </c>
      <c r="R18" s="706">
        <v>3075.1</v>
      </c>
      <c r="S18" s="765">
        <f t="shared" si="15"/>
        <v>100</v>
      </c>
      <c r="U18" s="1066">
        <v>120</v>
      </c>
      <c r="V18" s="715">
        <v>1.1023000000000001</v>
      </c>
      <c r="Y18">
        <v>20</v>
      </c>
      <c r="Z18" s="143">
        <f t="shared" si="16"/>
        <v>30</v>
      </c>
      <c r="AA18" s="144">
        <f t="shared" si="4"/>
        <v>50</v>
      </c>
      <c r="AB18" s="145">
        <f t="shared" si="5"/>
        <v>119.84095921149999</v>
      </c>
      <c r="AC18" s="145">
        <f>+(S18-T18)*V18-'data 1'!$F$4</f>
        <v>30.230000000000004</v>
      </c>
      <c r="AD18" s="145">
        <f t="shared" si="6"/>
        <v>18.834325712860021</v>
      </c>
      <c r="AE18" s="145">
        <f t="shared" si="7"/>
        <v>-14.884999999999998</v>
      </c>
      <c r="AF18" s="145">
        <f t="shared" si="8"/>
        <v>43.926129754049995</v>
      </c>
      <c r="AG18" s="772">
        <f t="shared" si="14"/>
        <v>95.10545546691003</v>
      </c>
      <c r="AH18" s="146">
        <f t="shared" si="10"/>
        <v>7.8651477321972179</v>
      </c>
      <c r="AI18" s="156">
        <f t="shared" si="11"/>
        <v>40.330601648140011</v>
      </c>
      <c r="AJ18" s="156">
        <f t="shared" si="12"/>
        <v>6.4911453776688441</v>
      </c>
      <c r="AK18" s="88"/>
      <c r="AL18" s="716">
        <f t="shared" si="13"/>
        <v>259.15607429486874</v>
      </c>
    </row>
    <row r="19" spans="1:38" ht="15" customHeight="1">
      <c r="A19" s="857" t="s">
        <v>2089</v>
      </c>
      <c r="B19" s="595">
        <v>45761</v>
      </c>
      <c r="C19" s="595">
        <v>45756</v>
      </c>
      <c r="D19" t="s">
        <v>1967</v>
      </c>
      <c r="E19">
        <f>_xlfn.XLOOKUP(D19,RUC!$B$3:$B$123,RUC!$D$3:$D$123)</f>
        <v>20601769396</v>
      </c>
      <c r="G19" s="80">
        <v>40</v>
      </c>
      <c r="H19" t="s">
        <v>69</v>
      </c>
      <c r="I19" s="596">
        <v>2.36</v>
      </c>
      <c r="J19" s="596">
        <v>17</v>
      </c>
      <c r="K19" s="138">
        <f t="shared" si="0"/>
        <v>1.9587999999999999</v>
      </c>
      <c r="L19" s="139">
        <v>0.20899999999999999</v>
      </c>
      <c r="M19" s="139">
        <v>0.19400000000000001</v>
      </c>
      <c r="N19" s="159">
        <v>0.19400000000000001</v>
      </c>
      <c r="O19" s="645">
        <f t="shared" si="1"/>
        <v>0.19400000000000001</v>
      </c>
      <c r="P19" s="727">
        <v>90</v>
      </c>
      <c r="Q19" s="596">
        <v>89.9</v>
      </c>
      <c r="R19" s="706">
        <v>3075.1</v>
      </c>
      <c r="S19" s="765">
        <f t="shared" si="15"/>
        <v>100</v>
      </c>
      <c r="U19" s="1066">
        <v>120</v>
      </c>
      <c r="V19" s="715">
        <v>1.1023000000000001</v>
      </c>
      <c r="Y19">
        <v>20</v>
      </c>
      <c r="Z19" s="143">
        <f t="shared" si="16"/>
        <v>30</v>
      </c>
      <c r="AA19" s="144">
        <f t="shared" si="4"/>
        <v>50</v>
      </c>
      <c r="AB19" s="145">
        <f t="shared" si="5"/>
        <v>403.39821505800006</v>
      </c>
      <c r="AC19" s="145">
        <f>+(S19-T19)*V19-'data 1'!$F$4</f>
        <v>30.230000000000004</v>
      </c>
      <c r="AD19" s="145">
        <f t="shared" si="6"/>
        <v>-0.68079800656996126</v>
      </c>
      <c r="AE19" s="145">
        <f t="shared" si="7"/>
        <v>-14.884999999999998</v>
      </c>
      <c r="AF19" s="145">
        <f t="shared" si="8"/>
        <v>43.92612975404996</v>
      </c>
      <c r="AG19" s="772">
        <f t="shared" si="14"/>
        <v>75.590331747480008</v>
      </c>
      <c r="AH19" s="146">
        <f t="shared" si="10"/>
        <v>12.618424759345675</v>
      </c>
      <c r="AI19" s="156">
        <f t="shared" si="11"/>
        <v>71.43301478357003</v>
      </c>
      <c r="AJ19" s="156">
        <f t="shared" si="12"/>
        <v>11.725824882414564</v>
      </c>
      <c r="AK19" s="88"/>
      <c r="AL19" s="716">
        <f t="shared" si="13"/>
        <v>790.17642365561051</v>
      </c>
    </row>
    <row r="20" spans="1:38" ht="15" customHeight="1">
      <c r="A20" s="857" t="s">
        <v>2090</v>
      </c>
      <c r="B20" s="595">
        <v>45761</v>
      </c>
      <c r="C20" s="595">
        <v>45756</v>
      </c>
      <c r="D20" t="s">
        <v>1967</v>
      </c>
      <c r="E20">
        <f>_xlfn.XLOOKUP(D20,RUC!$B$3:$B$123,RUC!$D$3:$D$123)</f>
        <v>20601769396</v>
      </c>
      <c r="G20" s="80">
        <v>40</v>
      </c>
      <c r="H20" t="s">
        <v>69</v>
      </c>
      <c r="I20" s="596">
        <v>2.3199999999999998</v>
      </c>
      <c r="J20" s="596">
        <v>17.5</v>
      </c>
      <c r="K20" s="138">
        <f t="shared" si="0"/>
        <v>1.9139999999999999</v>
      </c>
      <c r="L20" s="139">
        <v>0.29099999999999998</v>
      </c>
      <c r="M20" s="139">
        <v>0.27400000000000002</v>
      </c>
      <c r="N20" s="159">
        <v>0.27400000000000002</v>
      </c>
      <c r="O20" s="645">
        <f t="shared" si="1"/>
        <v>0.27400000000000002</v>
      </c>
      <c r="P20" s="727">
        <v>90</v>
      </c>
      <c r="Q20" s="596">
        <v>89.9</v>
      </c>
      <c r="R20" s="706">
        <v>3075.1</v>
      </c>
      <c r="S20" s="765">
        <f t="shared" si="15"/>
        <v>110</v>
      </c>
      <c r="U20" s="1066">
        <v>120</v>
      </c>
      <c r="V20" s="715">
        <v>1.1023000000000001</v>
      </c>
      <c r="Y20">
        <v>20</v>
      </c>
      <c r="Z20" s="143">
        <f t="shared" si="16"/>
        <v>30</v>
      </c>
      <c r="AA20" s="144">
        <f t="shared" si="4"/>
        <v>50</v>
      </c>
      <c r="AB20" s="145">
        <f t="shared" si="5"/>
        <v>626.90849961800006</v>
      </c>
      <c r="AC20" s="145">
        <f>+(S20-T20)*V20-'data 1'!$F$4</f>
        <v>41.253</v>
      </c>
      <c r="AD20" s="145">
        <f t="shared" si="6"/>
        <v>-0.94790535842994605</v>
      </c>
      <c r="AE20" s="145">
        <f t="shared" si="7"/>
        <v>-14.884999999999998</v>
      </c>
      <c r="AF20" s="145">
        <f t="shared" si="8"/>
        <v>49.782947054589883</v>
      </c>
      <c r="AG20" s="772">
        <f t="shared" si="14"/>
        <v>92.203041696159943</v>
      </c>
      <c r="AH20" s="146">
        <f t="shared" si="10"/>
        <v>17.167366681660869</v>
      </c>
      <c r="AI20" s="156">
        <f t="shared" si="11"/>
        <v>99.459365081430036</v>
      </c>
      <c r="AJ20" s="156">
        <f t="shared" si="12"/>
        <v>16.182442590650819</v>
      </c>
      <c r="AK20" s="88"/>
      <c r="AL20" s="716">
        <f t="shared" si="13"/>
        <v>1199.902868268852</v>
      </c>
    </row>
    <row r="21" spans="1:38" ht="15" customHeight="1">
      <c r="A21" s="857" t="s">
        <v>2091</v>
      </c>
      <c r="B21" s="595">
        <v>45761</v>
      </c>
      <c r="C21" s="595">
        <v>45756</v>
      </c>
      <c r="D21" t="s">
        <v>1967</v>
      </c>
      <c r="E21">
        <f>_xlfn.XLOOKUP(D21,RUC!$B$3:$B$123,RUC!$D$3:$D$123)</f>
        <v>20601769396</v>
      </c>
      <c r="G21" s="80">
        <v>40</v>
      </c>
      <c r="H21" t="s">
        <v>69</v>
      </c>
      <c r="I21" s="596">
        <v>2.27</v>
      </c>
      <c r="J21" s="596">
        <v>13.15</v>
      </c>
      <c r="K21" s="138">
        <f t="shared" si="0"/>
        <v>1.971495</v>
      </c>
      <c r="L21" s="139">
        <v>0.31</v>
      </c>
      <c r="M21" s="139">
        <v>0.29099999999999998</v>
      </c>
      <c r="N21" s="159">
        <v>0.29099999999999998</v>
      </c>
      <c r="O21" s="645">
        <f t="shared" si="1"/>
        <v>0.29099999999999998</v>
      </c>
      <c r="P21" s="727">
        <v>90</v>
      </c>
      <c r="Q21" s="596">
        <v>89.9</v>
      </c>
      <c r="R21" s="706">
        <v>3075.1</v>
      </c>
      <c r="S21" s="765">
        <f t="shared" si="15"/>
        <v>110</v>
      </c>
      <c r="U21" s="1066">
        <v>120</v>
      </c>
      <c r="V21" s="715">
        <v>1.1023000000000001</v>
      </c>
      <c r="Y21">
        <v>20</v>
      </c>
      <c r="Z21" s="143">
        <f t="shared" si="16"/>
        <v>30</v>
      </c>
      <c r="AA21" s="144">
        <f t="shared" si="4"/>
        <v>50</v>
      </c>
      <c r="AB21" s="145">
        <f t="shared" si="5"/>
        <v>676.74682258699988</v>
      </c>
      <c r="AC21" s="145">
        <f>+(S21-T21)*V21-'data 1'!$F$4</f>
        <v>41.253</v>
      </c>
      <c r="AD21" s="145">
        <f t="shared" si="6"/>
        <v>-1.0097960862999424</v>
      </c>
      <c r="AE21" s="145">
        <f t="shared" si="7"/>
        <v>-14.884999999999998</v>
      </c>
      <c r="AF21" s="145">
        <f t="shared" si="8"/>
        <v>55.639764355130055</v>
      </c>
      <c r="AG21" s="772">
        <f t="shared" si="14"/>
        <v>97.997968268830107</v>
      </c>
      <c r="AH21" s="146">
        <f t="shared" si="10"/>
        <v>18.83762446465887</v>
      </c>
      <c r="AI21" s="156">
        <f t="shared" si="11"/>
        <v>105.95327551630004</v>
      </c>
      <c r="AJ21" s="156">
        <f t="shared" si="12"/>
        <v>17.702730084660939</v>
      </c>
      <c r="AK21" s="88"/>
      <c r="AL21" s="716">
        <f t="shared" si="13"/>
        <v>1334.2029769961573</v>
      </c>
    </row>
    <row r="22" spans="1:38" ht="15" customHeight="1">
      <c r="A22" s="857" t="s">
        <v>2092</v>
      </c>
      <c r="B22" s="595">
        <v>45761</v>
      </c>
      <c r="C22" s="595">
        <v>45756</v>
      </c>
      <c r="D22" t="s">
        <v>1967</v>
      </c>
      <c r="E22">
        <f>_xlfn.XLOOKUP(D22,RUC!$B$3:$B$123,RUC!$D$3:$D$123)</f>
        <v>20601769396</v>
      </c>
      <c r="G22" s="80">
        <v>40</v>
      </c>
      <c r="H22" t="s">
        <v>69</v>
      </c>
      <c r="I22" s="596">
        <v>2.76</v>
      </c>
      <c r="J22" s="596">
        <v>16</v>
      </c>
      <c r="K22" s="138">
        <f t="shared" si="0"/>
        <v>2.3183999999999996</v>
      </c>
      <c r="L22" s="139">
        <v>0.20200000000000001</v>
      </c>
      <c r="M22" s="139">
        <v>0.186</v>
      </c>
      <c r="N22" s="159">
        <v>0.186</v>
      </c>
      <c r="O22" s="645">
        <f t="shared" si="1"/>
        <v>0.186</v>
      </c>
      <c r="P22" s="727">
        <v>90</v>
      </c>
      <c r="Q22" s="596">
        <v>89.9</v>
      </c>
      <c r="R22" s="706">
        <v>3075.1</v>
      </c>
      <c r="S22" s="765">
        <f t="shared" si="15"/>
        <v>100</v>
      </c>
      <c r="U22" s="1066">
        <v>120</v>
      </c>
      <c r="V22" s="715">
        <v>1.1023000000000001</v>
      </c>
      <c r="Y22">
        <v>20</v>
      </c>
      <c r="Z22" s="143">
        <f t="shared" si="16"/>
        <v>30</v>
      </c>
      <c r="AA22" s="144">
        <f t="shared" si="4"/>
        <v>50</v>
      </c>
      <c r="AB22" s="145">
        <f t="shared" si="5"/>
        <v>379.94488660199994</v>
      </c>
      <c r="AC22" s="145">
        <f>+(S22-T22)*V22-'data 1'!$F$4</f>
        <v>30.230000000000004</v>
      </c>
      <c r="AD22" s="145">
        <f t="shared" si="6"/>
        <v>-0.65799615945996248</v>
      </c>
      <c r="AE22" s="145">
        <f t="shared" si="7"/>
        <v>-14.884999999999998</v>
      </c>
      <c r="AF22" s="145">
        <f t="shared" si="8"/>
        <v>46.854538404320046</v>
      </c>
      <c r="AG22" s="772">
        <f t="shared" si="14"/>
        <v>78.541542244860096</v>
      </c>
      <c r="AH22" s="146">
        <f t="shared" si="10"/>
        <v>14.434724473282483</v>
      </c>
      <c r="AI22" s="156">
        <f t="shared" si="11"/>
        <v>69.040521465460031</v>
      </c>
      <c r="AJ22" s="156">
        <f t="shared" si="12"/>
        <v>13.306164587867086</v>
      </c>
      <c r="AK22" s="88"/>
      <c r="AL22" s="716">
        <f t="shared" si="13"/>
        <v>880.86422509807653</v>
      </c>
    </row>
    <row r="23" spans="1:38" ht="15" customHeight="1">
      <c r="A23" s="857" t="s">
        <v>2093</v>
      </c>
      <c r="B23" s="595">
        <v>45763</v>
      </c>
      <c r="C23" s="595">
        <v>45757</v>
      </c>
      <c r="D23" t="s">
        <v>154</v>
      </c>
      <c r="E23">
        <f>_xlfn.XLOOKUP(D23,RUC!$B$3:$B$123,RUC!$D$3:$D$123)</f>
        <v>10416085884</v>
      </c>
      <c r="G23" s="80" t="s">
        <v>1434</v>
      </c>
      <c r="H23" t="s">
        <v>69</v>
      </c>
      <c r="I23">
        <v>35.06</v>
      </c>
      <c r="J23" s="596">
        <v>13.95</v>
      </c>
      <c r="K23" s="138">
        <f t="shared" si="0"/>
        <v>30.169130000000003</v>
      </c>
      <c r="L23" s="139">
        <v>0.157</v>
      </c>
      <c r="M23" s="139">
        <v>0.14099999999999999</v>
      </c>
      <c r="N23" s="159">
        <v>0.159</v>
      </c>
      <c r="O23" s="645">
        <f t="shared" si="1"/>
        <v>0.15</v>
      </c>
      <c r="P23" s="727">
        <v>90</v>
      </c>
      <c r="Q23" s="596">
        <v>90</v>
      </c>
      <c r="R23" s="706">
        <v>3143.15</v>
      </c>
      <c r="S23" s="802">
        <v>85</v>
      </c>
      <c r="U23" s="1066">
        <v>90</v>
      </c>
      <c r="V23" s="715">
        <v>1.1023000000000001</v>
      </c>
      <c r="Z23" s="143">
        <v>15</v>
      </c>
      <c r="AA23" s="144">
        <f t="shared" si="4"/>
        <v>15</v>
      </c>
      <c r="AB23" s="145">
        <f t="shared" si="5"/>
        <v>344.11077807500004</v>
      </c>
      <c r="AC23" s="145">
        <f>+(S23-T23)*V23-'data 1'!$F$4</f>
        <v>13.69550000000001</v>
      </c>
      <c r="AD23" s="145">
        <f t="shared" si="6"/>
        <v>0</v>
      </c>
      <c r="AE23" s="145">
        <f t="shared" si="7"/>
        <v>-53.465499999999999</v>
      </c>
      <c r="AF23" s="145">
        <f t="shared" si="8"/>
        <v>21.202569643500023</v>
      </c>
      <c r="AG23" s="772">
        <f>+IF(D23="RONALD WILLIAN GARIBAY ESCUDERO",AC23+AD23+AE23+AF23+70,AC23+AD23+AE23+AF23)+70</f>
        <v>51.432569643500031</v>
      </c>
      <c r="AH23" s="146">
        <f t="shared" si="10"/>
        <v>146.15511451326071</v>
      </c>
      <c r="AI23" s="156">
        <f t="shared" si="11"/>
        <v>38.448119281499991</v>
      </c>
      <c r="AJ23" s="156">
        <f t="shared" si="12"/>
        <v>139.63864443942103</v>
      </c>
      <c r="AK23" s="88"/>
      <c r="AL23" s="716">
        <f t="shared" si="13"/>
        <v>10381.522798145827</v>
      </c>
    </row>
    <row r="24" spans="1:38" ht="15" customHeight="1">
      <c r="A24" s="857" t="s">
        <v>2094</v>
      </c>
      <c r="B24" s="595">
        <v>45763</v>
      </c>
      <c r="C24" s="595">
        <v>45757</v>
      </c>
      <c r="D24" t="s">
        <v>154</v>
      </c>
      <c r="E24">
        <f>_xlfn.XLOOKUP(D24,RUC!$B$3:$B$123,RUC!$D$3:$D$123)</f>
        <v>10416085884</v>
      </c>
      <c r="G24" s="80" t="s">
        <v>1434</v>
      </c>
      <c r="H24" t="s">
        <v>69</v>
      </c>
      <c r="I24">
        <v>30.29</v>
      </c>
      <c r="J24" s="596">
        <v>14.2</v>
      </c>
      <c r="K24" s="138">
        <f t="shared" si="0"/>
        <v>25.98882</v>
      </c>
      <c r="L24" s="139">
        <v>0.155</v>
      </c>
      <c r="M24" s="139">
        <v>0.14000000000000001</v>
      </c>
      <c r="N24" s="159">
        <v>0.17299999999999999</v>
      </c>
      <c r="O24" s="645">
        <f t="shared" si="1"/>
        <v>0.157</v>
      </c>
      <c r="P24" s="727">
        <v>90</v>
      </c>
      <c r="Q24" s="596">
        <v>90</v>
      </c>
      <c r="R24" s="706">
        <v>3143.15</v>
      </c>
      <c r="S24" s="802">
        <v>85</v>
      </c>
      <c r="U24" s="1066">
        <v>90</v>
      </c>
      <c r="V24" s="715">
        <v>1.1023000000000001</v>
      </c>
      <c r="Z24" s="143">
        <v>15</v>
      </c>
      <c r="AA24" s="144">
        <f t="shared" si="4"/>
        <v>15</v>
      </c>
      <c r="AB24" s="145">
        <f t="shared" si="5"/>
        <v>365.31334771850004</v>
      </c>
      <c r="AC24" s="145">
        <f>+(S24-T24)*V24-'data 1'!$F$4</f>
        <v>13.69550000000001</v>
      </c>
      <c r="AD24" s="145">
        <f t="shared" si="6"/>
        <v>0</v>
      </c>
      <c r="AE24" s="145">
        <f t="shared" si="7"/>
        <v>-53.465499999999999</v>
      </c>
      <c r="AF24" s="145">
        <f t="shared" si="8"/>
        <v>-6.0578770410000047</v>
      </c>
      <c r="AG24" s="772">
        <f>+IF(D24="RONALD WILLIAN GARIBAY ESCUDERO",AC24+AD24+AE24+AF24+70,AC24+AD24+AE24+AF24)+70</f>
        <v>24.172122959000006</v>
      </c>
      <c r="AH24" s="146">
        <f t="shared" si="10"/>
        <v>124.29963062329334</v>
      </c>
      <c r="AI24" s="156">
        <f t="shared" si="11"/>
        <v>37.958334322499987</v>
      </c>
      <c r="AJ24" s="156">
        <f t="shared" si="12"/>
        <v>125.90349682488424</v>
      </c>
      <c r="AK24" s="88"/>
      <c r="AL24" s="716">
        <f t="shared" si="13"/>
        <v>9494.0628374535081</v>
      </c>
    </row>
    <row r="25" spans="1:38" ht="15" customHeight="1">
      <c r="A25" s="857" t="s">
        <v>2095</v>
      </c>
      <c r="B25" s="1026"/>
      <c r="C25" s="595">
        <v>45758</v>
      </c>
      <c r="D25" t="s">
        <v>2004</v>
      </c>
      <c r="E25">
        <f>_xlfn.XLOOKUP(D25,RUC!$B$3:$B$123,RUC!$D$3:$D$123)</f>
        <v>20612921866</v>
      </c>
      <c r="G25" s="80">
        <v>14</v>
      </c>
      <c r="H25" t="s">
        <v>69</v>
      </c>
      <c r="I25">
        <v>1.06</v>
      </c>
      <c r="J25" s="596">
        <v>1.2</v>
      </c>
      <c r="K25" s="138">
        <f t="shared" si="0"/>
        <v>1.04728</v>
      </c>
      <c r="L25" s="139">
        <v>6.0999999999999999E-2</v>
      </c>
      <c r="M25" s="139">
        <v>4.5999999999999999E-2</v>
      </c>
      <c r="N25" s="159">
        <v>4.5999999999999999E-2</v>
      </c>
      <c r="O25" s="645">
        <f t="shared" si="1"/>
        <v>4.5999999999999999E-2</v>
      </c>
      <c r="P25" s="727">
        <v>90</v>
      </c>
      <c r="Q25" s="596">
        <v>90</v>
      </c>
      <c r="R25" s="706">
        <v>3230.5</v>
      </c>
      <c r="S25" s="765">
        <f>IF((80+ROUNDDOWN(O25,1)*100)&lt;95,95,(80+ROUNDDOWN(O25,1)*100))</f>
        <v>95</v>
      </c>
      <c r="U25" s="1066">
        <v>100</v>
      </c>
      <c r="V25" s="715">
        <v>1.1023000000000001</v>
      </c>
      <c r="Y25">
        <v>20</v>
      </c>
      <c r="Z25" s="143">
        <f>IF(IF(D25="UNTUCA",IF(+((W25-3)*1.5+(X25-3)*3.1)&gt;0,+((W25-3)*1.5+(X25-3)*3.1),0),IF(+((W25-3)*1.5+(X25-3)*3.1)&gt;0,+((W25-3)*1.5+(X25-3)*3.1),0))&lt;30,30,IF(D25="UNTUCA",IF(+((W25-3)*1.5+(X25-3)*3.1)&gt;0,+((W25-3)*1.5+(X25-3)*3.1),0),IF(+((W25-3)*1.5+(X25-3)*3.1)&gt;0,+((W25-3)*1.5+(X25-3)*3.1),0)))</f>
        <v>30</v>
      </c>
      <c r="AA25" s="144">
        <f t="shared" si="4"/>
        <v>50</v>
      </c>
      <c r="AB25" s="145">
        <f t="shared" si="5"/>
        <v>-16.972443790000003</v>
      </c>
      <c r="AC25" s="145">
        <f>+(S25-T25)*V25-'data 1'!$F$4</f>
        <v>24.718500000000006</v>
      </c>
      <c r="AD25" s="145">
        <f t="shared" si="6"/>
        <v>0</v>
      </c>
      <c r="AE25" s="145">
        <f t="shared" si="7"/>
        <v>-14.884999999999998</v>
      </c>
      <c r="AF25" s="145">
        <f t="shared" si="8"/>
        <v>46.585127024999991</v>
      </c>
      <c r="AG25" s="772">
        <f>+IF(D25="RONALD WILLIAN GARIBAY ESCUDERO",AC25+AD25+AE25+AF25+70,AC25+AD25+AE25+AF25)+70-53</f>
        <v>73.418627025000006</v>
      </c>
      <c r="AH25" s="146">
        <f t="shared" si="10"/>
        <v>1.9712614257155194</v>
      </c>
      <c r="AI25" s="156">
        <f t="shared" si="11"/>
        <v>10.257507765</v>
      </c>
      <c r="AJ25" s="156">
        <f t="shared" si="12"/>
        <v>1.4865250095559657</v>
      </c>
      <c r="AK25" s="88"/>
      <c r="AL25" s="716">
        <f t="shared" si="13"/>
        <v>0</v>
      </c>
    </row>
    <row r="26" spans="1:38" ht="15" customHeight="1">
      <c r="A26" s="857" t="s">
        <v>2096</v>
      </c>
      <c r="B26" s="595">
        <v>45763</v>
      </c>
      <c r="C26" s="595">
        <v>45760</v>
      </c>
      <c r="D26" t="s">
        <v>1718</v>
      </c>
      <c r="E26">
        <f>_xlfn.XLOOKUP(D26,RUC!$B$3:$B$123,RUC!$D$3:$D$123)</f>
        <v>20548542422</v>
      </c>
      <c r="G26" s="80" t="s">
        <v>1434</v>
      </c>
      <c r="H26" t="s">
        <v>2005</v>
      </c>
      <c r="I26">
        <v>27.63</v>
      </c>
      <c r="J26">
        <v>20.5</v>
      </c>
      <c r="K26" s="138">
        <f t="shared" si="0"/>
        <v>21.96585</v>
      </c>
      <c r="L26" s="139">
        <v>0.27400000000000002</v>
      </c>
      <c r="M26" s="139">
        <v>0.25800000000000001</v>
      </c>
      <c r="N26" s="159">
        <v>0.25800000000000001</v>
      </c>
      <c r="O26" s="645">
        <f t="shared" si="1"/>
        <v>0.25800000000000001</v>
      </c>
      <c r="P26" s="727">
        <v>90</v>
      </c>
      <c r="Q26" s="596">
        <v>90</v>
      </c>
      <c r="R26" s="706">
        <v>3204.2</v>
      </c>
      <c r="S26" s="765">
        <f>IF((80+ROUNDDOWN(O26,1)*100)&lt;95,95,(80+ROUNDDOWN(O26,1)*100))</f>
        <v>100</v>
      </c>
      <c r="U26" s="1066">
        <v>100</v>
      </c>
      <c r="V26" s="715">
        <v>1.1023000000000001</v>
      </c>
      <c r="Z26" s="1062">
        <v>25</v>
      </c>
      <c r="AA26" s="144">
        <f t="shared" si="4"/>
        <v>25</v>
      </c>
      <c r="AB26" s="145">
        <f t="shared" si="5"/>
        <v>656.7450930519999</v>
      </c>
      <c r="AC26" s="145">
        <f>+(S26-T26)*V26-'data 1'!$F$4</f>
        <v>30.230000000000004</v>
      </c>
      <c r="AD26" s="145">
        <f t="shared" si="6"/>
        <v>0</v>
      </c>
      <c r="AE26" s="145">
        <f t="shared" si="7"/>
        <v>-42.442499999999995</v>
      </c>
      <c r="AF26" s="145">
        <f t="shared" si="8"/>
        <v>49.273339104000051</v>
      </c>
      <c r="AG26" s="772">
        <f>+IF(D26="RONALD WILLIAN GARIBAY ESCUDERO",AC26+AD26+AE26+AF26+70,AC26+AD26+AE26+AF26)+70-53</f>
        <v>54.060839104000053</v>
      </c>
      <c r="AH26" s="146">
        <f t="shared" si="10"/>
        <v>185.71635662478965</v>
      </c>
      <c r="AI26" s="156">
        <f t="shared" si="11"/>
        <v>53.223761844000066</v>
      </c>
      <c r="AJ26" s="156">
        <f t="shared" si="12"/>
        <v>174.87160587297709</v>
      </c>
      <c r="AK26" s="88"/>
      <c r="AL26" s="716">
        <f t="shared" si="13"/>
        <v>14425.964202216272</v>
      </c>
    </row>
    <row r="27" spans="1:38" ht="15" customHeight="1">
      <c r="A27" s="857" t="s">
        <v>2097</v>
      </c>
      <c r="B27" s="595">
        <v>45763</v>
      </c>
      <c r="C27" s="595">
        <v>45761</v>
      </c>
      <c r="D27" t="s">
        <v>1718</v>
      </c>
      <c r="E27">
        <f>_xlfn.XLOOKUP(D27,RUC!$B$3:$B$123,RUC!$D$3:$D$123)</f>
        <v>20548542422</v>
      </c>
      <c r="G27" s="80" t="s">
        <v>1434</v>
      </c>
      <c r="H27" t="s">
        <v>2005</v>
      </c>
      <c r="I27">
        <v>31.3</v>
      </c>
      <c r="J27">
        <v>24.9</v>
      </c>
      <c r="K27" s="138">
        <f t="shared" si="0"/>
        <v>23.5063</v>
      </c>
      <c r="L27" s="139">
        <v>0.38900000000000001</v>
      </c>
      <c r="M27" s="139">
        <v>0.36599999999999999</v>
      </c>
      <c r="N27" s="598">
        <v>0.41899999999999998</v>
      </c>
      <c r="O27" s="645">
        <f t="shared" si="1"/>
        <v>0.39300000000000002</v>
      </c>
      <c r="P27" s="727">
        <v>90</v>
      </c>
      <c r="Q27" s="596">
        <v>90</v>
      </c>
      <c r="R27" s="706">
        <v>3204.2</v>
      </c>
      <c r="S27" s="765">
        <f>IF((80+ROUNDDOWN(O27,1)*100)&lt;95,95,(80+ROUNDDOWN(O27,1)*100))</f>
        <v>110</v>
      </c>
      <c r="U27" s="1066">
        <v>100</v>
      </c>
      <c r="V27" s="715">
        <v>1.1023000000000001</v>
      </c>
      <c r="Z27" s="1062">
        <v>25</v>
      </c>
      <c r="AA27" s="144">
        <f t="shared" si="4"/>
        <v>25</v>
      </c>
      <c r="AB27" s="145">
        <f t="shared" si="5"/>
        <v>1061.4658917419999</v>
      </c>
      <c r="AC27" s="145">
        <f>+(S27-T27)*V27-'data 1'!$F$4</f>
        <v>41.253</v>
      </c>
      <c r="AD27" s="145">
        <f t="shared" si="6"/>
        <v>0</v>
      </c>
      <c r="AE27" s="145">
        <f t="shared" si="7"/>
        <v>-42.442499999999995</v>
      </c>
      <c r="AF27" s="145">
        <f t="shared" si="8"/>
        <v>-12.318334776000013</v>
      </c>
      <c r="AG27" s="772">
        <f>+IF(D27="RONALD WILLIAN GARIBAY ESCUDERO",AC27+AD27+AE27+AF27+70,AC27+AD27+AE27+AF27)+70-53</f>
        <v>3.4921652239999901</v>
      </c>
      <c r="AH27" s="146">
        <f t="shared" si="10"/>
        <v>282.15350825361224</v>
      </c>
      <c r="AI27" s="156">
        <f t="shared" si="11"/>
        <v>75.56220203400008</v>
      </c>
      <c r="AJ27" s="156">
        <f t="shared" si="12"/>
        <v>285.05482967524318</v>
      </c>
      <c r="AK27" s="88"/>
      <c r="AL27" s="716">
        <f t="shared" si="13"/>
        <v>24951.135691054973</v>
      </c>
    </row>
    <row r="28" spans="1:38" ht="15" customHeight="1">
      <c r="A28" s="857" t="s">
        <v>2098</v>
      </c>
      <c r="B28" s="595">
        <v>45768</v>
      </c>
      <c r="C28" s="595">
        <v>45762</v>
      </c>
      <c r="D28" t="s">
        <v>1029</v>
      </c>
      <c r="E28">
        <f>_xlfn.XLOOKUP(D28,RUC!$B$3:$B$123,RUC!$D$3:$D$123)</f>
        <v>10421580605</v>
      </c>
      <c r="G28" s="80" t="s">
        <v>1434</v>
      </c>
      <c r="H28" t="s">
        <v>69</v>
      </c>
      <c r="I28">
        <v>31.26</v>
      </c>
      <c r="J28">
        <v>18.5</v>
      </c>
      <c r="K28" s="138">
        <f t="shared" si="0"/>
        <v>25.476900000000001</v>
      </c>
      <c r="L28" s="139">
        <v>0.159</v>
      </c>
      <c r="M28" s="139">
        <v>0.14299999999999999</v>
      </c>
      <c r="N28" s="598">
        <v>0.16300000000000001</v>
      </c>
      <c r="O28" s="645">
        <f t="shared" si="1"/>
        <v>0.153</v>
      </c>
      <c r="P28" s="727">
        <v>90</v>
      </c>
      <c r="Q28" s="596">
        <v>94.34</v>
      </c>
      <c r="R28" s="706">
        <v>3219.6</v>
      </c>
      <c r="S28" s="802">
        <v>90</v>
      </c>
      <c r="U28" s="1066">
        <v>90</v>
      </c>
      <c r="V28" s="715">
        <v>1.1023000000000001</v>
      </c>
      <c r="Z28" s="143">
        <v>30</v>
      </c>
      <c r="AA28" s="144">
        <f t="shared" si="4"/>
        <v>30</v>
      </c>
      <c r="AB28" s="145">
        <f t="shared" si="5"/>
        <v>342.75568761599993</v>
      </c>
      <c r="AC28" s="145">
        <f>+(S28-T28)*V28-'data 1'!$F$4</f>
        <v>19.207000000000008</v>
      </c>
      <c r="AD28" s="145">
        <f t="shared" si="6"/>
        <v>23.805400606848021</v>
      </c>
      <c r="AE28" s="145">
        <f t="shared" si="7"/>
        <v>-36.930999999999997</v>
      </c>
      <c r="AF28" s="145">
        <f t="shared" si="8"/>
        <v>19.527010636032021</v>
      </c>
      <c r="AG28" s="772">
        <f>+IF(D28="RONALD WILLIAN GARIBAY ESCUDERO",AC28+AD28+AE28+AF28+70,AC28+AD28+AE28+AF28)+70-20</f>
        <v>75.608411242880052</v>
      </c>
      <c r="AH28" s="146">
        <f t="shared" si="10"/>
        <v>131.02333451289846</v>
      </c>
      <c r="AI28" s="156">
        <f t="shared" si="11"/>
        <v>28.174900699152019</v>
      </c>
      <c r="AJ28" s="156">
        <f t="shared" si="12"/>
        <v>120.2789399670809</v>
      </c>
      <c r="AK28" s="88"/>
      <c r="AL28" s="716">
        <f t="shared" si="13"/>
        <v>8732.3523778240688</v>
      </c>
    </row>
    <row r="29" spans="1:38" ht="15" customHeight="1">
      <c r="A29" s="857" t="s">
        <v>2099</v>
      </c>
      <c r="B29" s="595">
        <v>45768</v>
      </c>
      <c r="C29" s="595">
        <v>45762</v>
      </c>
      <c r="D29" t="s">
        <v>1029</v>
      </c>
      <c r="E29">
        <f>_xlfn.XLOOKUP(D29,RUC!$B$3:$B$123,RUC!$D$3:$D$123)</f>
        <v>10421580605</v>
      </c>
      <c r="G29" s="80" t="s">
        <v>1434</v>
      </c>
      <c r="H29" t="s">
        <v>69</v>
      </c>
      <c r="I29">
        <v>33.1</v>
      </c>
      <c r="J29">
        <v>15.9</v>
      </c>
      <c r="K29" s="138">
        <f t="shared" si="0"/>
        <v>27.8371</v>
      </c>
      <c r="L29" s="139">
        <v>0.14199999999999999</v>
      </c>
      <c r="M29" s="139">
        <v>0.126</v>
      </c>
      <c r="N29" s="598">
        <v>0.152</v>
      </c>
      <c r="O29" s="645">
        <f t="shared" si="1"/>
        <v>0.13900000000000001</v>
      </c>
      <c r="P29" s="727">
        <v>85</v>
      </c>
      <c r="Q29" s="596">
        <v>95.07</v>
      </c>
      <c r="R29" s="706">
        <v>3219.6</v>
      </c>
      <c r="S29" s="802">
        <v>110</v>
      </c>
      <c r="U29" s="1066">
        <v>90</v>
      </c>
      <c r="V29" s="715">
        <v>1.1023000000000001</v>
      </c>
      <c r="Z29" s="143">
        <v>30</v>
      </c>
      <c r="AA29" s="144">
        <f t="shared" si="4"/>
        <v>30</v>
      </c>
      <c r="AB29" s="145">
        <f t="shared" si="5"/>
        <v>253.26691715200005</v>
      </c>
      <c r="AC29" s="145">
        <f>+(S29-T29)*V29-'data 1'!$F$4</f>
        <v>41.253</v>
      </c>
      <c r="AD29" s="145">
        <f t="shared" si="6"/>
        <v>49.329470689151961</v>
      </c>
      <c r="AE29" s="145">
        <f t="shared" si="7"/>
        <v>-36.930999999999997</v>
      </c>
      <c r="AF29" s="145">
        <f t="shared" si="8"/>
        <v>9.8390550199679172</v>
      </c>
      <c r="AG29" s="772">
        <f>+IF(D29="RONALD WILLIAN GARIBAY ESCUDERO",AC29+AD29+AE29+AF29+70,AC29+AD29+AE29+AF29)+70-53</f>
        <v>80.490525709119879</v>
      </c>
      <c r="AH29" s="146">
        <f t="shared" si="10"/>
        <v>128.84420707423303</v>
      </c>
      <c r="AI29" s="156">
        <f t="shared" si="11"/>
        <v>25.357196500848012</v>
      </c>
      <c r="AJ29" s="156">
        <f t="shared" si="12"/>
        <v>112.7630423973783</v>
      </c>
      <c r="AK29" s="88"/>
      <c r="AL29" s="716">
        <f t="shared" si="13"/>
        <v>7050.2164994519408</v>
      </c>
    </row>
    <row r="30" spans="1:38" ht="15" customHeight="1">
      <c r="A30" s="857" t="s">
        <v>2103</v>
      </c>
      <c r="B30" s="595">
        <v>45800</v>
      </c>
      <c r="C30" s="595">
        <v>45767</v>
      </c>
      <c r="D30" t="s">
        <v>119</v>
      </c>
      <c r="E30">
        <f>_xlfn.XLOOKUP(D30,RUC!$B$3:$B$123,RUC!$D$3:$D$123)</f>
        <v>10082235774</v>
      </c>
      <c r="G30" s="80">
        <v>44</v>
      </c>
      <c r="H30" t="s">
        <v>69</v>
      </c>
      <c r="I30" s="596">
        <v>4.42</v>
      </c>
      <c r="J30" s="596">
        <v>2.1</v>
      </c>
      <c r="K30" s="138">
        <f t="shared" si="0"/>
        <v>4.3271800000000002</v>
      </c>
      <c r="L30" s="139">
        <v>0.20200000000000001</v>
      </c>
      <c r="M30" s="139">
        <v>0.19900000000000001</v>
      </c>
      <c r="N30" s="159">
        <v>0.19900000000000001</v>
      </c>
      <c r="O30" s="645">
        <f t="shared" si="1"/>
        <v>0.19900000000000001</v>
      </c>
      <c r="P30" s="727">
        <v>85</v>
      </c>
      <c r="Q30" s="596">
        <v>93.56</v>
      </c>
      <c r="R30" s="706">
        <v>3305.65</v>
      </c>
      <c r="S30" s="802">
        <v>95</v>
      </c>
      <c r="U30" s="1091">
        <v>80</v>
      </c>
      <c r="V30" s="715">
        <v>1.1023000000000001</v>
      </c>
      <c r="Z30" s="1034">
        <v>10</v>
      </c>
      <c r="AA30" s="144">
        <f t="shared" si="4"/>
        <v>10</v>
      </c>
      <c r="AB30" s="145">
        <f t="shared" si="5"/>
        <v>485.69399025424997</v>
      </c>
      <c r="AC30" s="145">
        <f>+(S30-T30)*V30-'data 1'!$F$4</f>
        <v>24.718500000000006</v>
      </c>
      <c r="AD30" s="145">
        <f t="shared" si="6"/>
        <v>61.481178534344025</v>
      </c>
      <c r="AE30" s="145">
        <f t="shared" si="7"/>
        <v>-58.977000000000004</v>
      </c>
      <c r="AF30" s="145">
        <f t="shared" si="8"/>
        <v>9.9799534971660098</v>
      </c>
      <c r="AG30" s="772">
        <f>+IF(D30="RONALD WILLIAN GARIBAY ESCUDERO",AC30+AD30+AE30+AF30+70,AC30+AD30+AE30+AF30)+70</f>
        <v>107.20263203151003</v>
      </c>
      <c r="AH30" s="146">
        <f t="shared" si="10"/>
        <v>28.038554032755552</v>
      </c>
      <c r="AI30" s="156">
        <f t="shared" si="11"/>
        <v>15.488963732155982</v>
      </c>
      <c r="AJ30" s="156">
        <f t="shared" si="12"/>
        <v>25.094932539930966</v>
      </c>
      <c r="AK30" s="88"/>
      <c r="AL30" s="716">
        <f t="shared" si="13"/>
        <v>2101.6853207483855</v>
      </c>
    </row>
    <row r="31" spans="1:38" ht="15" customHeight="1">
      <c r="A31" s="857" t="s">
        <v>2104</v>
      </c>
      <c r="B31" s="595">
        <v>45800</v>
      </c>
      <c r="C31" s="595">
        <v>45767</v>
      </c>
      <c r="D31" t="s">
        <v>119</v>
      </c>
      <c r="E31">
        <f>_xlfn.XLOOKUP(D31,RUC!$B$3:$B$123,RUC!$D$3:$D$123)</f>
        <v>10082235774</v>
      </c>
      <c r="G31" s="80">
        <v>38</v>
      </c>
      <c r="H31" t="s">
        <v>69</v>
      </c>
      <c r="I31" s="596">
        <v>3.97</v>
      </c>
      <c r="J31" s="596">
        <v>3</v>
      </c>
      <c r="K31" s="138">
        <f t="shared" si="0"/>
        <v>3.8509000000000002</v>
      </c>
      <c r="L31" s="139">
        <v>0.442</v>
      </c>
      <c r="M31" s="139">
        <v>0.435</v>
      </c>
      <c r="N31" s="159">
        <v>0.435</v>
      </c>
      <c r="O31" s="645">
        <f t="shared" si="1"/>
        <v>0.435</v>
      </c>
      <c r="P31" s="727">
        <v>90</v>
      </c>
      <c r="Q31" s="596">
        <v>99.32</v>
      </c>
      <c r="R31" s="706">
        <v>3305.65</v>
      </c>
      <c r="S31" s="802">
        <v>115</v>
      </c>
      <c r="U31" s="1091">
        <v>80</v>
      </c>
      <c r="V31" s="715">
        <v>1.1023000000000001</v>
      </c>
      <c r="Z31" s="1034">
        <v>10</v>
      </c>
      <c r="AA31" s="144">
        <f t="shared" si="4"/>
        <v>10</v>
      </c>
      <c r="AB31" s="145">
        <f t="shared" si="5"/>
        <v>1254.2432090425002</v>
      </c>
      <c r="AC31" s="145">
        <f>+(S31-T31)*V31-'data 1'!$F$4</f>
        <v>46.764500000000012</v>
      </c>
      <c r="AD31" s="145">
        <f t="shared" si="6"/>
        <v>146.47220904362791</v>
      </c>
      <c r="AE31" s="145">
        <f t="shared" si="7"/>
        <v>-58.977000000000004</v>
      </c>
      <c r="AF31" s="145">
        <f t="shared" si="8"/>
        <v>24.720189786838024</v>
      </c>
      <c r="AG31" s="772">
        <f t="shared" ref="AG31:AG36" si="17">+IF(D31="RONALD WILLIAN GARIBAY ESCUDERO",AC31+AD31+AE31+AF31+70,AC31+AD31+AE31+AF31)+70</f>
        <v>228.97989883046594</v>
      </c>
      <c r="AH31" s="146">
        <f t="shared" si="10"/>
        <v>57.960255403761337</v>
      </c>
      <c r="AI31" s="156">
        <f t="shared" si="11"/>
        <v>35.978227241371961</v>
      </c>
      <c r="AJ31" s="156">
        <f t="shared" si="12"/>
        <v>51.689588729543175</v>
      </c>
      <c r="AK31" s="88"/>
      <c r="AL31" s="716">
        <f t="shared" si="13"/>
        <v>4829.9651737017639</v>
      </c>
    </row>
    <row r="32" spans="1:38" ht="15" customHeight="1">
      <c r="A32" s="857" t="s">
        <v>2105</v>
      </c>
      <c r="B32" s="595">
        <v>45800</v>
      </c>
      <c r="C32" s="595">
        <v>45767</v>
      </c>
      <c r="D32" t="s">
        <v>119</v>
      </c>
      <c r="E32">
        <f>_xlfn.XLOOKUP(D32,RUC!$B$3:$B$123,RUC!$D$3:$D$123)</f>
        <v>10082235774</v>
      </c>
      <c r="G32" s="80">
        <v>53</v>
      </c>
      <c r="H32" t="s">
        <v>69</v>
      </c>
      <c r="I32" s="596">
        <v>5.66</v>
      </c>
      <c r="J32" s="596">
        <v>3.15</v>
      </c>
      <c r="K32" s="138">
        <f t="shared" si="0"/>
        <v>5.4817100000000005</v>
      </c>
      <c r="L32" s="139">
        <v>0.308</v>
      </c>
      <c r="M32" s="139">
        <v>0.30299999999999999</v>
      </c>
      <c r="N32" s="159">
        <v>0.30299999999999999</v>
      </c>
      <c r="O32" s="645">
        <f t="shared" si="1"/>
        <v>0.30299999999999999</v>
      </c>
      <c r="P32" s="727">
        <v>90</v>
      </c>
      <c r="Q32" s="596">
        <v>88.29</v>
      </c>
      <c r="R32" s="706">
        <v>3305.65</v>
      </c>
      <c r="S32" s="802">
        <v>110</v>
      </c>
      <c r="U32" s="1091">
        <v>80</v>
      </c>
      <c r="V32" s="715">
        <v>1.1023000000000001</v>
      </c>
      <c r="Z32" s="1034">
        <v>10</v>
      </c>
      <c r="AA32" s="144">
        <f t="shared" si="4"/>
        <v>10</v>
      </c>
      <c r="AB32" s="145">
        <f t="shared" si="5"/>
        <v>837.34539043650011</v>
      </c>
      <c r="AC32" s="145">
        <f>+(S32-T32)*V32-'data 1'!$F$4</f>
        <v>41.253</v>
      </c>
      <c r="AD32" s="145">
        <f t="shared" si="6"/>
        <v>-18.726813124865934</v>
      </c>
      <c r="AE32" s="145">
        <f t="shared" si="7"/>
        <v>-58.977000000000004</v>
      </c>
      <c r="AF32" s="145">
        <f t="shared" si="8"/>
        <v>15.696346270927517</v>
      </c>
      <c r="AG32" s="772">
        <f t="shared" si="17"/>
        <v>49.245533146061575</v>
      </c>
      <c r="AH32" s="146">
        <f t="shared" si="10"/>
        <v>51.107820268855392</v>
      </c>
      <c r="AI32" s="156">
        <f t="shared" si="11"/>
        <v>22.286558698865974</v>
      </c>
      <c r="AJ32" s="156">
        <f t="shared" si="12"/>
        <v>51.251934619667118</v>
      </c>
      <c r="AK32" s="88"/>
      <c r="AL32" s="716">
        <f t="shared" si="13"/>
        <v>4590.0846002096678</v>
      </c>
    </row>
    <row r="33" spans="1:38" ht="15" customHeight="1">
      <c r="A33" s="857" t="s">
        <v>2106</v>
      </c>
      <c r="B33" s="595">
        <v>45800</v>
      </c>
      <c r="C33" s="595">
        <v>45767</v>
      </c>
      <c r="D33" t="s">
        <v>119</v>
      </c>
      <c r="E33">
        <f>_xlfn.XLOOKUP(D33,RUC!$B$3:$B$123,RUC!$D$3:$D$123)</f>
        <v>10082235774</v>
      </c>
      <c r="G33" s="80">
        <v>51</v>
      </c>
      <c r="H33" t="s">
        <v>69</v>
      </c>
      <c r="I33" s="596">
        <v>5.52</v>
      </c>
      <c r="J33" s="596">
        <v>3.17</v>
      </c>
      <c r="K33" s="138">
        <f t="shared" si="0"/>
        <v>5.3450159999999993</v>
      </c>
      <c r="L33" s="139">
        <v>0.49299999999999999</v>
      </c>
      <c r="M33" s="139">
        <v>0.48499999999999999</v>
      </c>
      <c r="N33" s="159">
        <v>0.48499999999999999</v>
      </c>
      <c r="O33" s="645">
        <f t="shared" si="1"/>
        <v>0.48499999999999999</v>
      </c>
      <c r="P33" s="727">
        <v>90</v>
      </c>
      <c r="Q33" s="596">
        <v>89.65</v>
      </c>
      <c r="R33" s="706">
        <v>3305.65</v>
      </c>
      <c r="S33" s="802">
        <v>115</v>
      </c>
      <c r="U33" s="1091">
        <v>80</v>
      </c>
      <c r="V33" s="715">
        <v>1.1023000000000001</v>
      </c>
      <c r="Z33" s="1034">
        <v>10</v>
      </c>
      <c r="AA33" s="144">
        <f t="shared" si="4"/>
        <v>10</v>
      </c>
      <c r="AB33" s="145">
        <f t="shared" si="5"/>
        <v>1414.2467388174998</v>
      </c>
      <c r="AC33" s="145">
        <f>+(S33-T33)*V33-'data 1'!$F$4</f>
        <v>46.764500000000012</v>
      </c>
      <c r="AD33" s="145">
        <f t="shared" si="6"/>
        <v>-6.1352464583724009</v>
      </c>
      <c r="AE33" s="145">
        <f t="shared" si="7"/>
        <v>-58.977000000000004</v>
      </c>
      <c r="AF33" s="145">
        <f t="shared" si="8"/>
        <v>25.501007012140025</v>
      </c>
      <c r="AG33" s="772">
        <f t="shared" si="17"/>
        <v>77.153260553767637</v>
      </c>
      <c r="AH33" s="146">
        <f t="shared" si="10"/>
        <v>80.994455853842595</v>
      </c>
      <c r="AI33" s="156">
        <f t="shared" si="11"/>
        <v>36.222464331872459</v>
      </c>
      <c r="AJ33" s="156">
        <f t="shared" si="12"/>
        <v>79.991221168194741</v>
      </c>
      <c r="AK33" s="88"/>
      <c r="AL33" s="716">
        <f t="shared" si="13"/>
        <v>7559.1714469273566</v>
      </c>
    </row>
    <row r="34" spans="1:38" ht="15" customHeight="1">
      <c r="A34" s="857" t="s">
        <v>2107</v>
      </c>
      <c r="B34" s="595">
        <v>45800</v>
      </c>
      <c r="C34" s="595">
        <v>45767</v>
      </c>
      <c r="D34" t="s">
        <v>119</v>
      </c>
      <c r="E34">
        <f>_xlfn.XLOOKUP(D34,RUC!$B$3:$B$123,RUC!$D$3:$D$123)</f>
        <v>10082235774</v>
      </c>
      <c r="G34" s="80">
        <v>35</v>
      </c>
      <c r="H34" t="s">
        <v>69</v>
      </c>
      <c r="I34" s="596">
        <v>3.43</v>
      </c>
      <c r="J34" s="596">
        <v>2.5</v>
      </c>
      <c r="K34" s="138">
        <f t="shared" si="0"/>
        <v>3.3442500000000002</v>
      </c>
      <c r="L34" s="139">
        <v>0.47099999999999997</v>
      </c>
      <c r="M34" s="139">
        <v>0.46300000000000002</v>
      </c>
      <c r="N34" s="159">
        <v>0.46300000000000002</v>
      </c>
      <c r="O34" s="645">
        <f t="shared" si="1"/>
        <v>0.46300000000000002</v>
      </c>
      <c r="P34" s="727">
        <v>90</v>
      </c>
      <c r="Q34" s="596">
        <v>86.4</v>
      </c>
      <c r="R34" s="706">
        <v>3305.65</v>
      </c>
      <c r="S34" s="802">
        <v>115</v>
      </c>
      <c r="U34" s="1091">
        <v>80</v>
      </c>
      <c r="V34" s="715">
        <v>1.1023000000000001</v>
      </c>
      <c r="Z34" s="1034">
        <v>10</v>
      </c>
      <c r="AA34" s="144">
        <f t="shared" si="4"/>
        <v>10</v>
      </c>
      <c r="AB34" s="145">
        <f t="shared" si="5"/>
        <v>1343.8451857165001</v>
      </c>
      <c r="AC34" s="145">
        <f>+(S34-T34)*V34-'data 1'!$F$4</f>
        <v>46.764500000000012</v>
      </c>
      <c r="AD34" s="145">
        <f t="shared" si="6"/>
        <v>-60.289330019219904</v>
      </c>
      <c r="AE34" s="145">
        <f t="shared" si="7"/>
        <v>-58.977000000000004</v>
      </c>
      <c r="AF34" s="145">
        <f t="shared" si="8"/>
        <v>24.576542173439851</v>
      </c>
      <c r="AG34" s="772">
        <f t="shared" si="17"/>
        <v>22.074712154219952</v>
      </c>
      <c r="AH34" s="146">
        <f t="shared" si="10"/>
        <v>46.65975505848526</v>
      </c>
      <c r="AI34" s="156">
        <f t="shared" si="11"/>
        <v>33.351504498719962</v>
      </c>
      <c r="AJ34" s="156">
        <f t="shared" si="12"/>
        <v>47.778367374554755</v>
      </c>
      <c r="AK34" s="88"/>
      <c r="AL34" s="716">
        <f t="shared" si="13"/>
        <v>4494.1542623324058</v>
      </c>
    </row>
    <row r="35" spans="1:38" ht="15" customHeight="1">
      <c r="A35" s="857" t="s">
        <v>2108</v>
      </c>
      <c r="B35" s="595">
        <v>45800</v>
      </c>
      <c r="C35" s="595">
        <v>45767</v>
      </c>
      <c r="D35" t="s">
        <v>119</v>
      </c>
      <c r="E35">
        <f>_xlfn.XLOOKUP(D35,RUC!$B$3:$B$123,RUC!$D$3:$D$123)</f>
        <v>10082235774</v>
      </c>
      <c r="G35" s="80">
        <v>34</v>
      </c>
      <c r="H35" t="s">
        <v>69</v>
      </c>
      <c r="I35" s="596">
        <v>3.75</v>
      </c>
      <c r="J35" s="596">
        <v>3</v>
      </c>
      <c r="K35" s="138">
        <f t="shared" si="0"/>
        <v>3.6375000000000002</v>
      </c>
      <c r="L35" s="139">
        <v>0.42899999999999999</v>
      </c>
      <c r="M35" s="139">
        <v>0.42299999999999999</v>
      </c>
      <c r="N35" s="159">
        <v>0.42299999999999999</v>
      </c>
      <c r="O35" s="645">
        <f t="shared" si="1"/>
        <v>0.42299999999999999</v>
      </c>
      <c r="P35" s="727">
        <v>90</v>
      </c>
      <c r="Q35" s="596">
        <v>89.04</v>
      </c>
      <c r="R35" s="706">
        <v>3305.65</v>
      </c>
      <c r="S35" s="802">
        <v>115</v>
      </c>
      <c r="U35" s="1091">
        <v>80</v>
      </c>
      <c r="V35" s="715">
        <v>1.1023000000000001</v>
      </c>
      <c r="Z35" s="1034">
        <v>10</v>
      </c>
      <c r="AA35" s="144">
        <f t="shared" si="4"/>
        <v>10</v>
      </c>
      <c r="AB35" s="145">
        <f t="shared" si="5"/>
        <v>1215.8423618965003</v>
      </c>
      <c r="AC35" s="145">
        <f>+(S35-T35)*V35-'data 1'!$F$4</f>
        <v>46.764500000000012</v>
      </c>
      <c r="AD35" s="145">
        <f t="shared" si="6"/>
        <v>-14.643523045007903</v>
      </c>
      <c r="AE35" s="145">
        <f t="shared" si="7"/>
        <v>-58.977000000000004</v>
      </c>
      <c r="AF35" s="145">
        <f t="shared" si="8"/>
        <v>18.995619054888017</v>
      </c>
      <c r="AG35" s="772">
        <f t="shared" si="17"/>
        <v>62.139596009880123</v>
      </c>
      <c r="AH35" s="146">
        <f t="shared" si="10"/>
        <v>47.638109109154072</v>
      </c>
      <c r="AI35" s="156">
        <f t="shared" si="11"/>
        <v>31.305685919507965</v>
      </c>
      <c r="AJ35" s="156">
        <f t="shared" si="12"/>
        <v>47.478276801434824</v>
      </c>
      <c r="AK35" s="88"/>
      <c r="AL35" s="716">
        <f t="shared" si="13"/>
        <v>4422.6265913985198</v>
      </c>
    </row>
    <row r="36" spans="1:38" ht="15" customHeight="1">
      <c r="A36" s="857" t="s">
        <v>2110</v>
      </c>
      <c r="B36" s="595">
        <v>45800</v>
      </c>
      <c r="C36" s="595">
        <v>45767</v>
      </c>
      <c r="D36" t="s">
        <v>119</v>
      </c>
      <c r="E36">
        <f>_xlfn.XLOOKUP(D36,RUC!$B$3:$B$123,RUC!$D$3:$D$123)</f>
        <v>10082235774</v>
      </c>
      <c r="G36" s="80">
        <v>50</v>
      </c>
      <c r="H36" t="s">
        <v>69</v>
      </c>
      <c r="I36" s="596">
        <v>4.6399999999999997</v>
      </c>
      <c r="J36" s="596">
        <v>3.55</v>
      </c>
      <c r="K36" s="138">
        <f t="shared" si="0"/>
        <v>4.4752799999999997</v>
      </c>
      <c r="L36" s="139">
        <v>0.27100000000000002</v>
      </c>
      <c r="M36" s="139">
        <v>0.26700000000000002</v>
      </c>
      <c r="N36" s="159">
        <v>0.26700000000000002</v>
      </c>
      <c r="O36" s="645">
        <f t="shared" si="1"/>
        <v>0.26700000000000002</v>
      </c>
      <c r="P36" s="727">
        <v>90</v>
      </c>
      <c r="Q36" s="596">
        <v>87.08</v>
      </c>
      <c r="R36" s="706">
        <v>3305.65</v>
      </c>
      <c r="S36" s="802">
        <v>105</v>
      </c>
      <c r="U36" s="1091">
        <v>80</v>
      </c>
      <c r="V36" s="715">
        <v>1.1023000000000001</v>
      </c>
      <c r="Z36" s="1034">
        <v>10</v>
      </c>
      <c r="AA36" s="144">
        <f t="shared" si="4"/>
        <v>10</v>
      </c>
      <c r="AB36" s="145">
        <f t="shared" si="5"/>
        <v>727.65434899850004</v>
      </c>
      <c r="AC36" s="145">
        <f>+(S36-T36)*V36-'data 1'!$F$4</f>
        <v>35.741500000000002</v>
      </c>
      <c r="AD36" s="145">
        <f t="shared" si="6"/>
        <v>-28.136442929234022</v>
      </c>
      <c r="AE36" s="145">
        <f t="shared" si="7"/>
        <v>-58.977000000000004</v>
      </c>
      <c r="AF36" s="145">
        <f t="shared" si="8"/>
        <v>12.384984331384011</v>
      </c>
      <c r="AG36" s="772">
        <f t="shared" si="17"/>
        <v>31.013041402149987</v>
      </c>
      <c r="AH36" s="146">
        <f t="shared" si="10"/>
        <v>36.209038533456436</v>
      </c>
      <c r="AI36" s="156">
        <f t="shared" si="11"/>
        <v>19.34053536073398</v>
      </c>
      <c r="AJ36" s="156">
        <f t="shared" si="12"/>
        <v>36.870841757206684</v>
      </c>
      <c r="AK36" s="88"/>
      <c r="AL36" s="716">
        <f t="shared" si="13"/>
        <v>3256.4569549860071</v>
      </c>
    </row>
    <row r="37" spans="1:38" ht="15" customHeight="1">
      <c r="A37" s="1140" t="s">
        <v>2111</v>
      </c>
      <c r="B37" s="595"/>
      <c r="C37" s="595"/>
      <c r="G37" s="80"/>
      <c r="K37" s="138"/>
      <c r="L37" s="139"/>
      <c r="M37" s="139"/>
      <c r="N37" s="598"/>
      <c r="O37" s="645"/>
      <c r="P37" s="727"/>
      <c r="Q37" s="596"/>
      <c r="R37" s="706"/>
      <c r="S37" s="765"/>
      <c r="U37" s="1066"/>
      <c r="V37" s="715"/>
      <c r="Z37" s="143"/>
      <c r="AA37" s="144"/>
      <c r="AB37" s="145"/>
      <c r="AC37" s="145"/>
      <c r="AD37" s="145"/>
      <c r="AE37" s="145"/>
      <c r="AF37" s="145"/>
      <c r="AG37" s="772"/>
      <c r="AH37" s="146"/>
      <c r="AI37" s="156"/>
      <c r="AJ37" s="156"/>
      <c r="AK37" s="88"/>
      <c r="AL37" s="716"/>
    </row>
    <row r="38" spans="1:38" ht="15" customHeight="1">
      <c r="A38" s="1140" t="s">
        <v>2112</v>
      </c>
      <c r="B38" s="595"/>
      <c r="C38" s="595"/>
      <c r="G38" s="80"/>
      <c r="K38" s="138"/>
      <c r="L38" s="139"/>
      <c r="M38" s="139"/>
      <c r="N38" s="598"/>
      <c r="O38" s="645"/>
      <c r="P38" s="727"/>
      <c r="Q38" s="596"/>
      <c r="R38" s="706"/>
      <c r="S38" s="839"/>
      <c r="U38" s="1066"/>
      <c r="V38" s="715"/>
      <c r="Z38" s="143"/>
      <c r="AA38" s="144"/>
      <c r="AB38" s="1141"/>
      <c r="AC38" s="145"/>
      <c r="AD38" s="145"/>
      <c r="AE38" s="145"/>
      <c r="AF38" s="145"/>
      <c r="AG38" s="772"/>
      <c r="AH38" s="146"/>
      <c r="AI38" s="156"/>
      <c r="AJ38" s="156"/>
      <c r="AK38" s="88"/>
      <c r="AL38" s="716"/>
    </row>
    <row r="39" spans="1:38" ht="15" customHeight="1">
      <c r="A39" s="1140" t="s">
        <v>2113</v>
      </c>
      <c r="B39" s="595"/>
      <c r="C39" s="595"/>
      <c r="G39" s="80"/>
      <c r="J39" s="596"/>
      <c r="K39" s="138"/>
      <c r="L39" s="139"/>
      <c r="M39" s="139"/>
      <c r="N39" s="598"/>
      <c r="O39" s="645"/>
      <c r="P39" s="727"/>
      <c r="Q39" s="596"/>
      <c r="R39" s="706"/>
      <c r="S39" s="765"/>
      <c r="U39" s="1066"/>
      <c r="V39" s="715"/>
      <c r="Z39" s="143"/>
      <c r="AA39" s="144"/>
      <c r="AB39" s="145"/>
      <c r="AC39" s="145"/>
      <c r="AD39" s="145"/>
      <c r="AE39" s="145"/>
      <c r="AF39" s="145"/>
      <c r="AG39" s="772"/>
      <c r="AH39" s="146"/>
      <c r="AI39" s="156"/>
      <c r="AJ39" s="156"/>
      <c r="AK39" s="88"/>
      <c r="AL39" s="716"/>
    </row>
    <row r="40" spans="1:38" ht="15" customHeight="1">
      <c r="A40" s="1140" t="s">
        <v>2114</v>
      </c>
      <c r="B40" s="595"/>
      <c r="C40" s="595"/>
      <c r="G40" s="80"/>
      <c r="J40" s="596"/>
      <c r="K40" s="138"/>
      <c r="L40" s="139"/>
      <c r="M40" s="139"/>
      <c r="N40" s="598"/>
      <c r="O40" s="645"/>
      <c r="P40" s="727"/>
      <c r="Q40" s="596"/>
      <c r="R40" s="706"/>
      <c r="S40" s="765"/>
      <c r="U40" s="1066"/>
      <c r="V40" s="715"/>
      <c r="Z40" s="143"/>
      <c r="AA40" s="144"/>
      <c r="AB40" s="145"/>
      <c r="AC40" s="145"/>
      <c r="AD40" s="145"/>
      <c r="AE40" s="145"/>
      <c r="AF40" s="145"/>
      <c r="AG40" s="772"/>
      <c r="AH40" s="146"/>
      <c r="AI40" s="156"/>
      <c r="AJ40" s="156"/>
      <c r="AK40" s="88"/>
      <c r="AL40" s="716"/>
    </row>
    <row r="41" spans="1:38" ht="15" customHeight="1">
      <c r="A41" s="857" t="s">
        <v>2119</v>
      </c>
      <c r="B41" s="595">
        <v>45804</v>
      </c>
      <c r="C41" s="595">
        <v>45781</v>
      </c>
      <c r="D41" t="s">
        <v>119</v>
      </c>
      <c r="E41">
        <f>_xlfn.XLOOKUP(D41,RUC!$B$3:$B$123,RUC!$D$3:$D$123)</f>
        <v>10082235774</v>
      </c>
      <c r="G41" s="80">
        <v>47</v>
      </c>
      <c r="H41" t="s">
        <v>69</v>
      </c>
      <c r="I41" s="596">
        <v>5</v>
      </c>
      <c r="J41" s="596">
        <v>3.5</v>
      </c>
      <c r="K41" s="138">
        <f t="shared" si="0"/>
        <v>4.8250000000000002</v>
      </c>
      <c r="L41" s="139">
        <v>0.435</v>
      </c>
      <c r="M41" s="139">
        <v>0.42799999999999999</v>
      </c>
      <c r="N41" s="159">
        <v>0.42799999999999999</v>
      </c>
      <c r="O41" s="645">
        <f t="shared" si="1"/>
        <v>0.42799999999999999</v>
      </c>
      <c r="P41" s="727">
        <v>90</v>
      </c>
      <c r="Q41" s="596">
        <v>89.29</v>
      </c>
      <c r="R41" s="706">
        <v>3391.45</v>
      </c>
      <c r="S41" s="802">
        <v>115</v>
      </c>
      <c r="U41" s="1091">
        <v>80</v>
      </c>
      <c r="V41" s="715">
        <v>1.1023000000000001</v>
      </c>
      <c r="Z41" s="1034">
        <v>10</v>
      </c>
      <c r="AA41" s="144">
        <f t="shared" ref="AA41:AA61" si="18">+Y41+Z41</f>
        <v>10</v>
      </c>
      <c r="AB41" s="145">
        <f t="shared" ref="AB41:AB61" si="19">+((O41*P41*(R41-U41)/100)-S41-AA41+T41)*V41</f>
        <v>1268.2739062419998</v>
      </c>
      <c r="AC41" s="145">
        <f>+(S41-T41)*V41-'data 1'!$F$4</f>
        <v>46.764500000000012</v>
      </c>
      <c r="AD41" s="145">
        <f t="shared" ref="AD41:AD61" si="20">+(Q41-P41)*(R41-U41)*L41*V41/100</f>
        <v>-11.2736777081474</v>
      </c>
      <c r="AE41" s="145">
        <f t="shared" ref="AE41:AE61" si="21">+(Y41*V41-70)+V41*(Z41-IF(D41="UNTUCA",IF(+((W41-3)*2.5+(X41-3)*3.1)&gt;0,+((W41-3)*1.5+(X41-3)*3.1),0),IF(+((W41-3)*1.5+(X41-3)*3.1)&gt;0,+((W41-3)*1.5+(X41-3)*3.1),0)))</f>
        <v>-58.977000000000004</v>
      </c>
      <c r="AF41" s="145">
        <f t="shared" ref="AF41:AF61" si="22">(L41-O41)*(R41-U41)*Q41*V41/100</f>
        <v>22.814915907150521</v>
      </c>
      <c r="AG41" s="772">
        <f>+IF(D41="RONALD WILLIAN GARIBAY ESCUDERO",AC41+AD41+AE41+AF41+70,AC41+AD41+AE41+AF41)+70</f>
        <v>69.328738199003126</v>
      </c>
      <c r="AH41" s="146">
        <f t="shared" ref="AH41:AH61" si="23">31.1035*L41*Q41*1.1023*K41/100</f>
        <v>64.253748177810934</v>
      </c>
      <c r="AI41" s="156">
        <f t="shared" ref="AI41:AI61" si="24">+((+$AI$2-R41+U41)*L41*Q41*V41)/100</f>
        <v>-4.9022716593524223</v>
      </c>
      <c r="AJ41" s="156">
        <f t="shared" ref="AJ41:AJ61" si="25">31.1035*1.1023*K41*P41*O41/100</f>
        <v>63.722479375849495</v>
      </c>
      <c r="AK41" s="88"/>
      <c r="AL41" s="716">
        <f t="shared" ref="AL41:AL61" si="26">+IF(AB41*K41&gt;0,AB41*K41,0)</f>
        <v>6119.4215976176492</v>
      </c>
    </row>
    <row r="42" spans="1:38" ht="15" customHeight="1">
      <c r="A42" s="857" t="s">
        <v>2120</v>
      </c>
      <c r="B42" s="595">
        <v>45804</v>
      </c>
      <c r="C42" s="595">
        <v>45781</v>
      </c>
      <c r="D42" t="s">
        <v>119</v>
      </c>
      <c r="E42">
        <f>_xlfn.XLOOKUP(D42,RUC!$B$3:$B$123,RUC!$D$3:$D$123)</f>
        <v>10082235774</v>
      </c>
      <c r="G42" s="80">
        <v>54</v>
      </c>
      <c r="H42" t="s">
        <v>69</v>
      </c>
      <c r="I42">
        <v>5.77</v>
      </c>
      <c r="J42" s="596">
        <v>2.2000000000000002</v>
      </c>
      <c r="K42" s="138">
        <f t="shared" si="0"/>
        <v>5.6430599999999993</v>
      </c>
      <c r="L42" s="139">
        <v>0.63300000000000001</v>
      </c>
      <c r="M42" s="139">
        <v>0.624</v>
      </c>
      <c r="N42" s="598">
        <v>0.66200000000000003</v>
      </c>
      <c r="O42" s="645">
        <f t="shared" si="1"/>
        <v>0.64300000000000002</v>
      </c>
      <c r="P42" s="727">
        <v>90</v>
      </c>
      <c r="Q42" s="596">
        <v>89.51</v>
      </c>
      <c r="R42" s="706">
        <v>3391.45</v>
      </c>
      <c r="S42" s="802">
        <v>125</v>
      </c>
      <c r="U42" s="1091">
        <v>80</v>
      </c>
      <c r="V42" s="715">
        <v>1.1023000000000001</v>
      </c>
      <c r="Z42" s="1034">
        <v>10</v>
      </c>
      <c r="AA42" s="144">
        <f t="shared" si="18"/>
        <v>10</v>
      </c>
      <c r="AB42" s="145">
        <f t="shared" si="19"/>
        <v>1963.5667995645001</v>
      </c>
      <c r="AC42" s="145">
        <f>+(S42-T42)*V42-'data 1'!$F$4</f>
        <v>57.787499999999994</v>
      </c>
      <c r="AD42" s="145">
        <f t="shared" si="20"/>
        <v>-11.32186049776938</v>
      </c>
      <c r="AE42" s="145">
        <f t="shared" si="21"/>
        <v>-58.977000000000004</v>
      </c>
      <c r="AF42" s="145">
        <f t="shared" si="22"/>
        <v>-32.673041659585031</v>
      </c>
      <c r="AG42" s="772">
        <f t="shared" ref="AG42:AG46" si="27">+IF(D42="RONALD WILLIAN GARIBAY ESCUDERO",AC42+AD42+AE42+AF42+70,AC42+AD42+AE42+AF42)+70</f>
        <v>24.81559784264558</v>
      </c>
      <c r="AH42" s="146">
        <f t="shared" si="23"/>
        <v>109.62232386389952</v>
      </c>
      <c r="AI42" s="156">
        <f t="shared" si="24"/>
        <v>-7.1512269547303875</v>
      </c>
      <c r="AJ42" s="156">
        <f t="shared" si="25"/>
        <v>111.96369424341486</v>
      </c>
      <c r="AK42" s="88"/>
      <c r="AL42" s="716">
        <f t="shared" si="26"/>
        <v>11080.525263950447</v>
      </c>
    </row>
    <row r="43" spans="1:38" ht="15" customHeight="1">
      <c r="A43" s="857" t="s">
        <v>2121</v>
      </c>
      <c r="B43" s="595">
        <v>45804</v>
      </c>
      <c r="C43" s="595">
        <v>45781</v>
      </c>
      <c r="D43" t="s">
        <v>119</v>
      </c>
      <c r="E43">
        <f>_xlfn.XLOOKUP(D43,RUC!$B$3:$B$123,RUC!$D$3:$D$123)</f>
        <v>10082235774</v>
      </c>
      <c r="G43" s="80">
        <v>38</v>
      </c>
      <c r="H43" t="s">
        <v>69</v>
      </c>
      <c r="I43">
        <v>3.7</v>
      </c>
      <c r="J43" s="596">
        <v>1.75</v>
      </c>
      <c r="K43" s="138">
        <f t="shared" si="0"/>
        <v>3.6352500000000001</v>
      </c>
      <c r="L43" s="139">
        <v>0.128</v>
      </c>
      <c r="M43" s="139">
        <v>0.126</v>
      </c>
      <c r="N43" s="598">
        <v>0.14699999999999999</v>
      </c>
      <c r="O43" s="645">
        <f t="shared" si="1"/>
        <v>0.13700000000000001</v>
      </c>
      <c r="P43" s="727">
        <v>85</v>
      </c>
      <c r="Q43" s="596">
        <v>91.24</v>
      </c>
      <c r="R43" s="706">
        <v>3391.45</v>
      </c>
      <c r="S43" s="802">
        <v>95</v>
      </c>
      <c r="U43" s="1091">
        <v>80</v>
      </c>
      <c r="V43" s="715">
        <v>1.1023000000000001</v>
      </c>
      <c r="Z43" s="1034">
        <v>10</v>
      </c>
      <c r="AA43" s="144">
        <f t="shared" si="18"/>
        <v>10</v>
      </c>
      <c r="AB43" s="145">
        <f t="shared" si="19"/>
        <v>309.32560996075006</v>
      </c>
      <c r="AC43" s="145">
        <f>+(S43-T43)*V43-'data 1'!$F$4</f>
        <v>24.718500000000006</v>
      </c>
      <c r="AD43" s="145">
        <f t="shared" si="20"/>
        <v>29.154967974911973</v>
      </c>
      <c r="AE43" s="145">
        <f t="shared" si="21"/>
        <v>-58.977000000000004</v>
      </c>
      <c r="AF43" s="145">
        <f t="shared" si="22"/>
        <v>-29.974075398486022</v>
      </c>
      <c r="AG43" s="772">
        <f t="shared" si="27"/>
        <v>34.922392576425949</v>
      </c>
      <c r="AH43" s="146">
        <f t="shared" si="23"/>
        <v>14.555884426695028</v>
      </c>
      <c r="AI43" s="156">
        <f t="shared" si="24"/>
        <v>-1.4740103749119766</v>
      </c>
      <c r="AJ43" s="156">
        <f t="shared" si="25"/>
        <v>14.513857182025397</v>
      </c>
      <c r="AK43" s="88"/>
      <c r="AL43" s="716">
        <f t="shared" si="26"/>
        <v>1124.4759236098166</v>
      </c>
    </row>
    <row r="44" spans="1:38" ht="15" customHeight="1">
      <c r="A44" s="857" t="s">
        <v>2122</v>
      </c>
      <c r="B44" s="595">
        <v>45804</v>
      </c>
      <c r="C44" s="595">
        <v>45781</v>
      </c>
      <c r="D44" t="s">
        <v>119</v>
      </c>
      <c r="E44">
        <f>_xlfn.XLOOKUP(D44,RUC!$B$3:$B$123,RUC!$D$3:$D$123)</f>
        <v>10082235774</v>
      </c>
      <c r="G44" s="80">
        <v>50</v>
      </c>
      <c r="H44" t="s">
        <v>69</v>
      </c>
      <c r="I44">
        <v>5.12</v>
      </c>
      <c r="J44" s="596">
        <v>1.65</v>
      </c>
      <c r="K44" s="138">
        <f t="shared" si="0"/>
        <v>5.03552</v>
      </c>
      <c r="L44" s="139">
        <v>0.29899999999999999</v>
      </c>
      <c r="M44" s="139">
        <v>0.29499999999999998</v>
      </c>
      <c r="N44" s="159">
        <v>0.29499999999999998</v>
      </c>
      <c r="O44" s="645">
        <f t="shared" si="1"/>
        <v>0.29499999999999998</v>
      </c>
      <c r="P44" s="727">
        <v>90</v>
      </c>
      <c r="Q44" s="596">
        <v>89.64</v>
      </c>
      <c r="R44" s="706">
        <v>3391.45</v>
      </c>
      <c r="S44" s="802">
        <v>105</v>
      </c>
      <c r="U44" s="1091">
        <v>80</v>
      </c>
      <c r="V44" s="715">
        <v>1.1023000000000001</v>
      </c>
      <c r="Z44" s="1034">
        <v>10</v>
      </c>
      <c r="AA44" s="144">
        <f t="shared" si="18"/>
        <v>10</v>
      </c>
      <c r="AB44" s="145">
        <f t="shared" si="19"/>
        <v>842.36660944249979</v>
      </c>
      <c r="AC44" s="145">
        <f>+(S44-T44)*V44-'data 1'!$F$4</f>
        <v>35.741500000000002</v>
      </c>
      <c r="AD44" s="145">
        <f t="shared" si="20"/>
        <v>-3.9290874809939935</v>
      </c>
      <c r="AE44" s="145">
        <f t="shared" si="21"/>
        <v>-58.977000000000004</v>
      </c>
      <c r="AF44" s="145">
        <f t="shared" si="22"/>
        <v>13.088197762776012</v>
      </c>
      <c r="AG44" s="772">
        <f t="shared" si="27"/>
        <v>55.923610281782018</v>
      </c>
      <c r="AH44" s="146">
        <f t="shared" si="23"/>
        <v>46.272869354858358</v>
      </c>
      <c r="AI44" s="156">
        <f t="shared" si="24"/>
        <v>-3.3828156435059462</v>
      </c>
      <c r="AJ44" s="156">
        <f t="shared" si="25"/>
        <v>45.837183045503807</v>
      </c>
      <c r="AK44" s="88"/>
      <c r="AL44" s="716">
        <f t="shared" si="26"/>
        <v>4241.7539091798963</v>
      </c>
    </row>
    <row r="45" spans="1:38" ht="15" customHeight="1">
      <c r="A45" s="857" t="s">
        <v>2124</v>
      </c>
      <c r="B45" s="595">
        <v>45804</v>
      </c>
      <c r="C45" s="595">
        <v>45781</v>
      </c>
      <c r="D45" t="s">
        <v>119</v>
      </c>
      <c r="E45">
        <f>_xlfn.XLOOKUP(D45,RUC!$B$3:$B$123,RUC!$D$3:$D$123)</f>
        <v>10082235774</v>
      </c>
      <c r="G45" s="80">
        <v>54</v>
      </c>
      <c r="H45" t="s">
        <v>69</v>
      </c>
      <c r="I45">
        <v>5.28</v>
      </c>
      <c r="J45" s="596">
        <v>1.75</v>
      </c>
      <c r="K45" s="138">
        <f t="shared" si="0"/>
        <v>5.1876000000000007</v>
      </c>
      <c r="L45" s="139">
        <v>0.11600000000000001</v>
      </c>
      <c r="M45" s="139">
        <v>0.114</v>
      </c>
      <c r="N45" s="598">
        <v>0.13500000000000001</v>
      </c>
      <c r="O45" s="645">
        <f t="shared" si="1"/>
        <v>0.125</v>
      </c>
      <c r="P45" s="727">
        <v>85</v>
      </c>
      <c r="Q45" s="596">
        <v>90.21</v>
      </c>
      <c r="R45" s="706">
        <v>3391.45</v>
      </c>
      <c r="S45" s="802">
        <v>95</v>
      </c>
      <c r="U45" s="1091">
        <v>80</v>
      </c>
      <c r="V45" s="715">
        <v>1.1023000000000001</v>
      </c>
      <c r="Z45" s="1034">
        <v>10</v>
      </c>
      <c r="AA45" s="144">
        <f t="shared" si="18"/>
        <v>10</v>
      </c>
      <c r="AB45" s="145">
        <f t="shared" si="19"/>
        <v>272.09345434375001</v>
      </c>
      <c r="AC45" s="145">
        <f>+(S45-T45)*V45-'data 1'!$F$4</f>
        <v>24.718500000000006</v>
      </c>
      <c r="AD45" s="145">
        <f t="shared" si="20"/>
        <v>22.060417224205978</v>
      </c>
      <c r="AE45" s="145">
        <f t="shared" si="21"/>
        <v>-58.977000000000004</v>
      </c>
      <c r="AF45" s="145">
        <f t="shared" si="22"/>
        <v>-29.635700807731478</v>
      </c>
      <c r="AG45" s="772">
        <f t="shared" si="27"/>
        <v>28.166216416474498</v>
      </c>
      <c r="AH45" s="146">
        <f t="shared" si="23"/>
        <v>18.611793395566131</v>
      </c>
      <c r="AI45" s="156">
        <f t="shared" si="24"/>
        <v>-1.3207419312059789</v>
      </c>
      <c r="AJ45" s="156">
        <f t="shared" si="25"/>
        <v>18.897505898869127</v>
      </c>
      <c r="AK45" s="88"/>
      <c r="AL45" s="716">
        <f t="shared" si="26"/>
        <v>1411.5120037536378</v>
      </c>
    </row>
    <row r="46" spans="1:38" ht="15" customHeight="1">
      <c r="A46" s="857" t="s">
        <v>2125</v>
      </c>
      <c r="B46" s="595">
        <v>45804</v>
      </c>
      <c r="C46" s="595">
        <v>45781</v>
      </c>
      <c r="D46" t="s">
        <v>119</v>
      </c>
      <c r="E46">
        <f>_xlfn.XLOOKUP(D46,RUC!$B$3:$B$123,RUC!$D$3:$D$123)</f>
        <v>10082235774</v>
      </c>
      <c r="G46" s="80">
        <v>57</v>
      </c>
      <c r="H46" t="s">
        <v>69</v>
      </c>
      <c r="I46">
        <v>5.41</v>
      </c>
      <c r="J46" s="596">
        <v>5.15</v>
      </c>
      <c r="K46" s="138">
        <f t="shared" si="0"/>
        <v>5.1313849999999999</v>
      </c>
      <c r="L46" s="139">
        <v>0.314</v>
      </c>
      <c r="M46" s="139">
        <v>0.309</v>
      </c>
      <c r="N46" s="159">
        <v>0.309</v>
      </c>
      <c r="O46" s="645">
        <f t="shared" si="1"/>
        <v>0.309</v>
      </c>
      <c r="P46" s="727">
        <v>90</v>
      </c>
      <c r="Q46" s="596">
        <v>89.61</v>
      </c>
      <c r="R46" s="706">
        <v>3391.45</v>
      </c>
      <c r="S46" s="802">
        <v>110</v>
      </c>
      <c r="U46" s="1091">
        <v>80</v>
      </c>
      <c r="V46" s="715">
        <v>1.1023000000000001</v>
      </c>
      <c r="Z46" s="1034">
        <v>10</v>
      </c>
      <c r="AA46" s="144">
        <f t="shared" si="18"/>
        <v>10</v>
      </c>
      <c r="AB46" s="145">
        <f t="shared" si="19"/>
        <v>882.84777226350002</v>
      </c>
      <c r="AC46" s="145">
        <f>+(S46-T46)*V46-'data 1'!$F$4</f>
        <v>41.253</v>
      </c>
      <c r="AD46" s="145">
        <f t="shared" si="20"/>
        <v>-4.4700488008410062</v>
      </c>
      <c r="AE46" s="145">
        <f t="shared" si="21"/>
        <v>-58.977000000000004</v>
      </c>
      <c r="AF46" s="145">
        <f t="shared" si="22"/>
        <v>16.354771886467514</v>
      </c>
      <c r="AG46" s="772">
        <f t="shared" si="27"/>
        <v>64.160723085626501</v>
      </c>
      <c r="AH46" s="146">
        <f t="shared" si="23"/>
        <v>49.502803489309727</v>
      </c>
      <c r="AI46" s="156">
        <f t="shared" si="24"/>
        <v>-3.5513331841589437</v>
      </c>
      <c r="AJ46" s="156">
        <f t="shared" si="25"/>
        <v>48.92655736918379</v>
      </c>
      <c r="AK46" s="88"/>
      <c r="AL46" s="716">
        <f t="shared" si="26"/>
        <v>4530.2318158763401</v>
      </c>
    </row>
    <row r="47" spans="1:38" ht="15" customHeight="1">
      <c r="A47" s="857" t="s">
        <v>2133</v>
      </c>
      <c r="B47" s="595">
        <v>45792</v>
      </c>
      <c r="C47" s="595">
        <v>45788</v>
      </c>
      <c r="D47" t="s">
        <v>1586</v>
      </c>
      <c r="E47" t="e">
        <f>_xlfn.XLOOKUP(D47,RUC!$B$3:$B$123,RUC!$D$3:$D$123)</f>
        <v>#N/A</v>
      </c>
      <c r="G47" s="80">
        <v>45</v>
      </c>
      <c r="H47" t="s">
        <v>69</v>
      </c>
      <c r="I47" s="596">
        <v>5.4</v>
      </c>
      <c r="J47" s="596">
        <v>1</v>
      </c>
      <c r="K47" s="138">
        <f t="shared" si="0"/>
        <v>5.3460000000000001</v>
      </c>
      <c r="L47" s="139">
        <v>0.48099999999999998</v>
      </c>
      <c r="M47" s="139">
        <v>0.45213999999999993</v>
      </c>
      <c r="N47" s="598">
        <v>0.51200000000000001</v>
      </c>
      <c r="O47" s="645">
        <f t="shared" si="1"/>
        <v>0.48199999999999998</v>
      </c>
      <c r="P47" s="596">
        <v>77.34</v>
      </c>
      <c r="Q47" s="596">
        <v>77.34</v>
      </c>
      <c r="R47" s="706">
        <v>3235.4</v>
      </c>
      <c r="S47" s="802">
        <v>115</v>
      </c>
      <c r="U47" s="1091">
        <v>90</v>
      </c>
      <c r="V47" s="715">
        <v>1.1023000000000001</v>
      </c>
      <c r="Z47" s="1034">
        <v>25</v>
      </c>
      <c r="AA47" s="144">
        <f t="shared" si="18"/>
        <v>25</v>
      </c>
      <c r="AB47" s="145">
        <f t="shared" si="19"/>
        <v>1138.1671196782961</v>
      </c>
      <c r="AC47" s="145">
        <f>+(S47-T47)*V47-'data 1'!$F$4</f>
        <v>46.764500000000012</v>
      </c>
      <c r="AD47" s="145">
        <f t="shared" si="20"/>
        <v>0</v>
      </c>
      <c r="AE47" s="145">
        <f t="shared" si="21"/>
        <v>-42.442499999999995</v>
      </c>
      <c r="AF47" s="145">
        <f t="shared" si="22"/>
        <v>-2.6815126964280029</v>
      </c>
      <c r="AG47" s="772">
        <f>+IF(D47="RONALD WILLIAN GARIBAY ESCUDERO",AC47+AD47+AE47+AF47+70,AC47+AD47+AE47+AF47)+70-26-6-5-5</f>
        <v>29.640487303572016</v>
      </c>
      <c r="AH47" s="146">
        <f t="shared" si="23"/>
        <v>68.184752403988</v>
      </c>
      <c r="AI47" s="156">
        <f t="shared" si="24"/>
        <v>63.39551600413197</v>
      </c>
      <c r="AJ47" s="156">
        <f t="shared" si="25"/>
        <v>68.326508645992121</v>
      </c>
      <c r="AK47" s="88"/>
      <c r="AL47" s="716">
        <f t="shared" si="26"/>
        <v>6084.641421800171</v>
      </c>
    </row>
    <row r="48" spans="1:38" ht="15" customHeight="1">
      <c r="A48" s="857" t="s">
        <v>2134</v>
      </c>
      <c r="B48" s="595">
        <v>45792</v>
      </c>
      <c r="C48" s="595">
        <v>45788</v>
      </c>
      <c r="D48" t="s">
        <v>1586</v>
      </c>
      <c r="E48" t="e">
        <f>_xlfn.XLOOKUP(D48,RUC!$B$3:$B$123,RUC!$D$3:$D$123)</f>
        <v>#N/A</v>
      </c>
      <c r="G48" s="80">
        <v>50</v>
      </c>
      <c r="H48" t="s">
        <v>69</v>
      </c>
      <c r="I48" s="596">
        <v>6.32</v>
      </c>
      <c r="J48" s="596">
        <v>1.1000000000000001</v>
      </c>
      <c r="K48" s="138">
        <f t="shared" si="0"/>
        <v>6.2504800000000005</v>
      </c>
      <c r="L48" s="139">
        <v>0.45700000000000002</v>
      </c>
      <c r="M48" s="139">
        <v>0.42958000000000002</v>
      </c>
      <c r="N48" s="598">
        <v>0.5</v>
      </c>
      <c r="O48" s="645">
        <f t="shared" si="1"/>
        <v>0.46500000000000002</v>
      </c>
      <c r="P48" s="596">
        <v>72.650000000000006</v>
      </c>
      <c r="Q48" s="596">
        <v>72.650000000000006</v>
      </c>
      <c r="R48" s="706">
        <v>3235.4</v>
      </c>
      <c r="S48" s="802">
        <v>115</v>
      </c>
      <c r="U48" s="1091">
        <v>90</v>
      </c>
      <c r="V48" s="715">
        <v>1.1023000000000001</v>
      </c>
      <c r="Z48" s="1034">
        <v>25</v>
      </c>
      <c r="AA48" s="144">
        <f t="shared" si="18"/>
        <v>25</v>
      </c>
      <c r="AB48" s="145">
        <f t="shared" si="19"/>
        <v>1016.9675305004502</v>
      </c>
      <c r="AC48" s="145">
        <f>+(S48-T48)*V48-'data 1'!$F$4</f>
        <v>46.764500000000012</v>
      </c>
      <c r="AD48" s="145">
        <f t="shared" si="20"/>
        <v>0</v>
      </c>
      <c r="AE48" s="145">
        <f t="shared" si="21"/>
        <v>-42.442499999999995</v>
      </c>
      <c r="AF48" s="145">
        <f t="shared" si="22"/>
        <v>-20.151217729040024</v>
      </c>
      <c r="AG48" s="772">
        <f t="shared" ref="AG48:AG53" si="28">+IF(D48="RONALD WILLIAN GARIBAY ESCUDERO",AC48+AD48+AE48+AF48+70,AC48+AD48+AE48+AF48)+70-26-6-5-5</f>
        <v>12.17078227095999</v>
      </c>
      <c r="AH48" s="146">
        <f t="shared" si="23"/>
        <v>71.14989407457881</v>
      </c>
      <c r="AI48" s="156">
        <f t="shared" si="24"/>
        <v>56.579761923589977</v>
      </c>
      <c r="AJ48" s="156">
        <f t="shared" si="25"/>
        <v>72.395406443499226</v>
      </c>
      <c r="AK48" s="88"/>
      <c r="AL48" s="716">
        <f t="shared" si="26"/>
        <v>6356.5352100424543</v>
      </c>
    </row>
    <row r="49" spans="1:38" ht="15" customHeight="1">
      <c r="A49" s="857" t="s">
        <v>2135</v>
      </c>
      <c r="B49" s="595">
        <v>45792</v>
      </c>
      <c r="C49" s="595">
        <v>45788</v>
      </c>
      <c r="D49" t="s">
        <v>1586</v>
      </c>
      <c r="E49" t="e">
        <f>_xlfn.XLOOKUP(D49,RUC!$B$3:$B$123,RUC!$D$3:$D$123)</f>
        <v>#N/A</v>
      </c>
      <c r="G49" s="80">
        <v>50</v>
      </c>
      <c r="H49" t="s">
        <v>69</v>
      </c>
      <c r="I49" s="596">
        <v>6.4</v>
      </c>
      <c r="J49" s="596">
        <v>1</v>
      </c>
      <c r="K49" s="138">
        <f t="shared" si="0"/>
        <v>6.3360000000000003</v>
      </c>
      <c r="L49" s="139">
        <v>0.41499999999999998</v>
      </c>
      <c r="M49" s="139">
        <v>0.39009999999999995</v>
      </c>
      <c r="N49" s="598">
        <v>0.46100000000000002</v>
      </c>
      <c r="O49" s="645">
        <f t="shared" si="1"/>
        <v>0.42599999999999999</v>
      </c>
      <c r="P49" s="596">
        <v>72.290000000000006</v>
      </c>
      <c r="Q49" s="596">
        <v>72.290000000000006</v>
      </c>
      <c r="R49" s="706">
        <v>3235.4</v>
      </c>
      <c r="S49" s="802">
        <v>115</v>
      </c>
      <c r="U49" s="1091">
        <v>90</v>
      </c>
      <c r="V49" s="715">
        <v>1.1023000000000001</v>
      </c>
      <c r="Z49" s="1034">
        <v>25</v>
      </c>
      <c r="AA49" s="144">
        <f t="shared" si="18"/>
        <v>25</v>
      </c>
      <c r="AB49" s="145">
        <f t="shared" si="19"/>
        <v>913.41308538086821</v>
      </c>
      <c r="AC49" s="145">
        <f>+(S49-T49)*V49-'data 1'!$F$4</f>
        <v>46.764500000000012</v>
      </c>
      <c r="AD49" s="145">
        <f t="shared" si="20"/>
        <v>0</v>
      </c>
      <c r="AE49" s="145">
        <f t="shared" si="21"/>
        <v>-42.442499999999995</v>
      </c>
      <c r="AF49" s="145">
        <f t="shared" si="22"/>
        <v>-27.570624270398024</v>
      </c>
      <c r="AG49" s="772">
        <f t="shared" si="28"/>
        <v>4.751375729601989</v>
      </c>
      <c r="AH49" s="146">
        <f t="shared" si="23"/>
        <v>65.17042591820541</v>
      </c>
      <c r="AI49" s="156">
        <f t="shared" si="24"/>
        <v>51.125270454529975</v>
      </c>
      <c r="AJ49" s="156">
        <f t="shared" si="25"/>
        <v>66.897834797965075</v>
      </c>
      <c r="AK49" s="88"/>
      <c r="AL49" s="716">
        <f t="shared" si="26"/>
        <v>5787.3853089731811</v>
      </c>
    </row>
    <row r="50" spans="1:38" ht="15" customHeight="1">
      <c r="A50" s="857" t="s">
        <v>2136</v>
      </c>
      <c r="B50" s="595">
        <v>45792</v>
      </c>
      <c r="C50" s="595">
        <v>45788</v>
      </c>
      <c r="D50" t="s">
        <v>1586</v>
      </c>
      <c r="E50" t="e">
        <f>_xlfn.XLOOKUP(D50,RUC!$B$3:$B$123,RUC!$D$3:$D$123)</f>
        <v>#N/A</v>
      </c>
      <c r="G50" s="80">
        <v>50</v>
      </c>
      <c r="H50" t="s">
        <v>69</v>
      </c>
      <c r="I50" s="596">
        <v>7.09</v>
      </c>
      <c r="J50" s="596">
        <v>1.1000000000000001</v>
      </c>
      <c r="K50" s="138">
        <f t="shared" si="0"/>
        <v>7.0120100000000001</v>
      </c>
      <c r="L50" s="139">
        <v>0.38700000000000001</v>
      </c>
      <c r="M50" s="139">
        <v>0.36377999999999999</v>
      </c>
      <c r="N50" s="598">
        <v>0.41399999999999998</v>
      </c>
      <c r="O50" s="645">
        <f t="shared" si="1"/>
        <v>0.38900000000000001</v>
      </c>
      <c r="P50" s="596">
        <v>57.11</v>
      </c>
      <c r="Q50" s="596">
        <v>57.11</v>
      </c>
      <c r="R50" s="706">
        <v>3235.4</v>
      </c>
      <c r="S50" s="802">
        <v>115</v>
      </c>
      <c r="U50" s="1091">
        <v>90</v>
      </c>
      <c r="V50" s="715">
        <v>1.1023000000000001</v>
      </c>
      <c r="Z50" s="1034">
        <v>25</v>
      </c>
      <c r="AA50" s="144">
        <f t="shared" si="18"/>
        <v>25</v>
      </c>
      <c r="AB50" s="145">
        <f t="shared" si="19"/>
        <v>615.93818808091817</v>
      </c>
      <c r="AC50" s="145">
        <f>+(S50-T50)*V50-'data 1'!$F$4</f>
        <v>46.764500000000012</v>
      </c>
      <c r="AD50" s="145">
        <f t="shared" si="20"/>
        <v>0</v>
      </c>
      <c r="AE50" s="145">
        <f t="shared" si="21"/>
        <v>-42.442499999999995</v>
      </c>
      <c r="AF50" s="145">
        <f t="shared" si="22"/>
        <v>-3.9602066225240038</v>
      </c>
      <c r="AG50" s="772">
        <f t="shared" si="28"/>
        <v>28.361793377476019</v>
      </c>
      <c r="AH50" s="146">
        <f t="shared" si="23"/>
        <v>53.134270362062807</v>
      </c>
      <c r="AI50" s="156">
        <f t="shared" si="24"/>
        <v>37.664518704605982</v>
      </c>
      <c r="AJ50" s="156">
        <f t="shared" si="25"/>
        <v>53.408866074528248</v>
      </c>
      <c r="AK50" s="88"/>
      <c r="AL50" s="716">
        <f t="shared" si="26"/>
        <v>4318.9647342052795</v>
      </c>
    </row>
    <row r="51" spans="1:38" ht="15" customHeight="1">
      <c r="A51" s="857" t="s">
        <v>2137</v>
      </c>
      <c r="B51" s="595">
        <v>45792</v>
      </c>
      <c r="C51" s="595">
        <v>45788</v>
      </c>
      <c r="D51" t="s">
        <v>1586</v>
      </c>
      <c r="E51" t="e">
        <f>_xlfn.XLOOKUP(D51,RUC!$B$3:$B$123,RUC!$D$3:$D$123)</f>
        <v>#N/A</v>
      </c>
      <c r="G51" s="80">
        <v>50</v>
      </c>
      <c r="H51" t="s">
        <v>69</v>
      </c>
      <c r="I51" s="596">
        <v>7.02</v>
      </c>
      <c r="J51" s="596">
        <v>1.2</v>
      </c>
      <c r="K51" s="138">
        <f t="shared" si="0"/>
        <v>6.9357599999999993</v>
      </c>
      <c r="L51" s="139">
        <v>0.5555000000000001</v>
      </c>
      <c r="M51" s="139">
        <v>0.52217000000000002</v>
      </c>
      <c r="N51" s="598">
        <v>0.59799999999999998</v>
      </c>
      <c r="O51" s="645">
        <f t="shared" si="1"/>
        <v>0.56000000000000005</v>
      </c>
      <c r="P51" s="596">
        <v>61.12</v>
      </c>
      <c r="Q51" s="596">
        <v>61.12</v>
      </c>
      <c r="R51" s="706">
        <v>3235.4</v>
      </c>
      <c r="S51" s="802">
        <v>140</v>
      </c>
      <c r="U51" s="1091">
        <v>90</v>
      </c>
      <c r="V51" s="715">
        <v>1.1023000000000001</v>
      </c>
      <c r="Z51" s="1034">
        <v>25</v>
      </c>
      <c r="AA51" s="144">
        <f t="shared" si="18"/>
        <v>25</v>
      </c>
      <c r="AB51" s="145">
        <f t="shared" si="19"/>
        <v>1004.8372230822401</v>
      </c>
      <c r="AC51" s="145">
        <f>+(S51-T51)*V51-'data 1'!$F$4</f>
        <v>74.322000000000003</v>
      </c>
      <c r="AD51" s="145">
        <f t="shared" si="20"/>
        <v>0</v>
      </c>
      <c r="AE51" s="145">
        <f t="shared" si="21"/>
        <v>-42.442499999999995</v>
      </c>
      <c r="AF51" s="145">
        <f t="shared" si="22"/>
        <v>-9.5361165247678894</v>
      </c>
      <c r="AG51" s="772">
        <f t="shared" si="28"/>
        <v>50.343383475232116</v>
      </c>
      <c r="AH51" s="146">
        <f t="shared" si="23"/>
        <v>80.736614592673561</v>
      </c>
      <c r="AI51" s="156">
        <f t="shared" si="24"/>
        <v>57.85977038652797</v>
      </c>
      <c r="AJ51" s="156">
        <f t="shared" si="25"/>
        <v>81.390646574072349</v>
      </c>
      <c r="AK51" s="88"/>
      <c r="AL51" s="716">
        <f t="shared" si="26"/>
        <v>6969.3098183648772</v>
      </c>
    </row>
    <row r="52" spans="1:38" ht="15" customHeight="1">
      <c r="A52" s="857" t="s">
        <v>2138</v>
      </c>
      <c r="B52" s="595">
        <v>45792</v>
      </c>
      <c r="C52" s="595">
        <v>45788</v>
      </c>
      <c r="D52" t="s">
        <v>1586</v>
      </c>
      <c r="E52" t="e">
        <f>_xlfn.XLOOKUP(D52,RUC!$B$3:$B$123,RUC!$D$3:$D$123)</f>
        <v>#N/A</v>
      </c>
      <c r="G52" s="80">
        <v>50</v>
      </c>
      <c r="H52" t="s">
        <v>69</v>
      </c>
      <c r="I52" s="596">
        <v>6.88</v>
      </c>
      <c r="J52" s="596">
        <v>1.1000000000000001</v>
      </c>
      <c r="K52" s="138">
        <f t="shared" ref="K52:K61" si="29">+I52-(I52*(J52/100))</f>
        <v>6.8043199999999997</v>
      </c>
      <c r="L52" s="139">
        <v>0.53900000000000003</v>
      </c>
      <c r="M52" s="139">
        <v>0.50666</v>
      </c>
      <c r="N52" s="598">
        <v>0.59199999999999997</v>
      </c>
      <c r="O52" s="645">
        <f t="shared" ref="O52:O61" si="30">+ROUND((M52+N52)/2,3)</f>
        <v>0.54900000000000004</v>
      </c>
      <c r="P52" s="596">
        <v>74.400000000000006</v>
      </c>
      <c r="Q52" s="596">
        <v>74.400000000000006</v>
      </c>
      <c r="R52" s="706">
        <v>3235.4</v>
      </c>
      <c r="S52" s="802">
        <v>140</v>
      </c>
      <c r="U52" s="1091">
        <v>90</v>
      </c>
      <c r="V52" s="715">
        <v>1.1023000000000001</v>
      </c>
      <c r="Z52" s="1034">
        <v>25</v>
      </c>
      <c r="AA52" s="144">
        <f t="shared" si="18"/>
        <v>25</v>
      </c>
      <c r="AB52" s="145">
        <f t="shared" si="19"/>
        <v>1234.3086948955204</v>
      </c>
      <c r="AC52" s="145">
        <f>+(S52-T52)*V52-'data 1'!$F$4</f>
        <v>74.322000000000003</v>
      </c>
      <c r="AD52" s="145">
        <f t="shared" si="20"/>
        <v>0</v>
      </c>
      <c r="AE52" s="145">
        <f t="shared" si="21"/>
        <v>-42.442499999999995</v>
      </c>
      <c r="AF52" s="145">
        <f t="shared" si="22"/>
        <v>-25.795777684800029</v>
      </c>
      <c r="AG52" s="772">
        <f t="shared" si="28"/>
        <v>34.083722315199978</v>
      </c>
      <c r="AH52" s="146">
        <f t="shared" si="23"/>
        <v>93.552522018192647</v>
      </c>
      <c r="AI52" s="156">
        <f t="shared" si="24"/>
        <v>68.339374229279969</v>
      </c>
      <c r="AJ52" s="156">
        <f t="shared" si="25"/>
        <v>95.28819033021847</v>
      </c>
      <c r="AK52" s="88"/>
      <c r="AL52" s="716">
        <f t="shared" si="26"/>
        <v>8398.6313388514864</v>
      </c>
    </row>
    <row r="53" spans="1:38" ht="15" customHeight="1">
      <c r="A53" s="857" t="s">
        <v>2139</v>
      </c>
      <c r="B53" s="595">
        <v>45792</v>
      </c>
      <c r="C53" s="595">
        <v>45788</v>
      </c>
      <c r="D53" t="s">
        <v>1586</v>
      </c>
      <c r="E53" t="e">
        <f>_xlfn.XLOOKUP(D53,RUC!$B$3:$B$123,RUC!$D$3:$D$123)</f>
        <v>#N/A</v>
      </c>
      <c r="G53" s="80">
        <v>50</v>
      </c>
      <c r="H53" t="s">
        <v>69</v>
      </c>
      <c r="I53" s="596">
        <v>5.49</v>
      </c>
      <c r="J53" s="596">
        <v>1</v>
      </c>
      <c r="K53" s="138">
        <f t="shared" si="29"/>
        <v>5.4351000000000003</v>
      </c>
      <c r="L53" s="139">
        <v>0.29799999999999999</v>
      </c>
      <c r="M53" s="139">
        <v>0.28011999999999998</v>
      </c>
      <c r="N53" s="598">
        <v>0.31900000000000001</v>
      </c>
      <c r="O53" s="1145">
        <v>0.28000000000000003</v>
      </c>
      <c r="P53" s="596">
        <v>93.29</v>
      </c>
      <c r="Q53" s="596">
        <v>93.29</v>
      </c>
      <c r="R53" s="706">
        <v>3235.4</v>
      </c>
      <c r="S53" s="802">
        <v>100</v>
      </c>
      <c r="U53" s="1091">
        <v>90</v>
      </c>
      <c r="V53" s="715">
        <v>1.1023000000000001</v>
      </c>
      <c r="Z53" s="1034">
        <v>25</v>
      </c>
      <c r="AA53" s="144">
        <f t="shared" si="18"/>
        <v>25</v>
      </c>
      <c r="AB53" s="145">
        <f t="shared" si="19"/>
        <v>767.88006459704025</v>
      </c>
      <c r="AC53" s="145">
        <f>+(S53-T53)*V53-'data 1'!$F$4</f>
        <v>30.230000000000004</v>
      </c>
      <c r="AD53" s="145">
        <f t="shared" si="20"/>
        <v>0</v>
      </c>
      <c r="AE53" s="145">
        <f t="shared" si="21"/>
        <v>-42.442499999999995</v>
      </c>
      <c r="AF53" s="145">
        <f t="shared" si="22"/>
        <v>58.221486295523881</v>
      </c>
      <c r="AG53" s="772">
        <f t="shared" si="28"/>
        <v>74.008986295523897</v>
      </c>
      <c r="AH53" s="146">
        <f t="shared" si="23"/>
        <v>51.804557147127177</v>
      </c>
      <c r="AI53" s="156">
        <f t="shared" si="24"/>
        <v>47.376246985435976</v>
      </c>
      <c r="AJ53" s="156">
        <f t="shared" si="25"/>
        <v>48.675422822804059</v>
      </c>
      <c r="AK53" s="88"/>
      <c r="AL53" s="716">
        <f t="shared" si="26"/>
        <v>4173.5049390913737</v>
      </c>
    </row>
    <row r="54" spans="1:38" ht="15" customHeight="1">
      <c r="A54" s="857" t="s">
        <v>2140</v>
      </c>
      <c r="B54" s="595">
        <v>45793</v>
      </c>
      <c r="C54" s="595">
        <v>45790</v>
      </c>
      <c r="D54" t="s">
        <v>119</v>
      </c>
      <c r="E54">
        <f>_xlfn.XLOOKUP(D54,RUC!$B$3:$B$123,RUC!$D$3:$D$123)</f>
        <v>10082235774</v>
      </c>
      <c r="G54" s="80">
        <v>39</v>
      </c>
      <c r="H54" t="s">
        <v>69</v>
      </c>
      <c r="I54" s="596">
        <v>4.16</v>
      </c>
      <c r="J54" s="596">
        <v>2.5</v>
      </c>
      <c r="K54" s="138">
        <f t="shared" si="29"/>
        <v>4.056</v>
      </c>
      <c r="L54" s="139">
        <v>0.498</v>
      </c>
      <c r="M54" s="139">
        <v>0.49099999999999999</v>
      </c>
      <c r="N54" s="159">
        <v>0.49099999999999999</v>
      </c>
      <c r="O54" s="645">
        <f t="shared" si="30"/>
        <v>0.49099999999999999</v>
      </c>
      <c r="P54" s="727">
        <v>90</v>
      </c>
      <c r="Q54" s="596">
        <v>86.35</v>
      </c>
      <c r="R54" s="706">
        <v>3227.95</v>
      </c>
      <c r="S54" s="802">
        <v>115</v>
      </c>
      <c r="U54" s="1091">
        <v>80</v>
      </c>
      <c r="V54" s="715">
        <v>1.1023000000000001</v>
      </c>
      <c r="Z54" s="1034">
        <v>10</v>
      </c>
      <c r="AA54" s="144">
        <f t="shared" si="18"/>
        <v>10</v>
      </c>
      <c r="AB54" s="145">
        <f t="shared" si="19"/>
        <v>1395.5989974415002</v>
      </c>
      <c r="AC54" s="145">
        <f>+(S54-T54)*V54-'data 1'!$F$4</f>
        <v>46.764500000000012</v>
      </c>
      <c r="AD54" s="145">
        <f t="shared" si="20"/>
        <v>-63.073922525445099</v>
      </c>
      <c r="AE54" s="145">
        <f t="shared" si="21"/>
        <v>-58.977000000000004</v>
      </c>
      <c r="AF54" s="145">
        <f t="shared" si="22"/>
        <v>20.974326055182519</v>
      </c>
      <c r="AG54" s="772">
        <f>+IF(D54="RONALD WILLIAN GARIBAY ESCUDERO",AC54+AD54+AE54+AF54+70,AC54+AD54+AE54+AF54)+70</f>
        <v>15.687903529737426</v>
      </c>
      <c r="AH54" s="146">
        <f t="shared" si="23"/>
        <v>59.799658005524407</v>
      </c>
      <c r="AI54" s="156">
        <f t="shared" si="24"/>
        <v>72.073882358445076</v>
      </c>
      <c r="AJ54" s="156">
        <f t="shared" si="25"/>
        <v>61.451291844020524</v>
      </c>
      <c r="AK54" s="88"/>
      <c r="AL54" s="716">
        <f t="shared" si="26"/>
        <v>5660.549533622725</v>
      </c>
    </row>
    <row r="55" spans="1:38" ht="15" customHeight="1">
      <c r="A55" s="857" t="s">
        <v>2141</v>
      </c>
      <c r="B55" s="595">
        <v>45793</v>
      </c>
      <c r="C55" s="595">
        <v>45790</v>
      </c>
      <c r="D55" t="s">
        <v>119</v>
      </c>
      <c r="E55">
        <f>_xlfn.XLOOKUP(D55,RUC!$B$3:$B$123,RUC!$D$3:$D$123)</f>
        <v>10082235774</v>
      </c>
      <c r="G55" s="80">
        <v>37</v>
      </c>
      <c r="H55" t="s">
        <v>69</v>
      </c>
      <c r="I55" s="596">
        <v>3.93</v>
      </c>
      <c r="J55" s="596">
        <v>1.9</v>
      </c>
      <c r="K55" s="138">
        <f t="shared" si="29"/>
        <v>3.8553300000000004</v>
      </c>
      <c r="L55" s="139">
        <v>0.61799999999999999</v>
      </c>
      <c r="M55" s="139">
        <v>0.60899999999999999</v>
      </c>
      <c r="N55" s="598">
        <v>0.64700000000000002</v>
      </c>
      <c r="O55" s="645">
        <f t="shared" si="30"/>
        <v>0.628</v>
      </c>
      <c r="P55" s="727">
        <v>90</v>
      </c>
      <c r="Q55" s="596">
        <v>83.98</v>
      </c>
      <c r="R55" s="706">
        <v>3227.95</v>
      </c>
      <c r="S55" s="802">
        <v>125</v>
      </c>
      <c r="U55" s="1091">
        <v>80</v>
      </c>
      <c r="V55" s="715">
        <v>1.1023000000000001</v>
      </c>
      <c r="Z55" s="1034">
        <v>10</v>
      </c>
      <c r="AA55" s="144">
        <f t="shared" si="18"/>
        <v>10</v>
      </c>
      <c r="AB55" s="145">
        <f t="shared" si="19"/>
        <v>1812.4251830819999</v>
      </c>
      <c r="AC55" s="145">
        <f>+(S55-T55)*V55-'data 1'!$F$4</f>
        <v>57.787499999999994</v>
      </c>
      <c r="AD55" s="145">
        <f t="shared" si="20"/>
        <v>-129.09594454902589</v>
      </c>
      <c r="AE55" s="145">
        <f t="shared" si="21"/>
        <v>-58.977000000000004</v>
      </c>
      <c r="AF55" s="145">
        <f t="shared" si="22"/>
        <v>-29.140936423430031</v>
      </c>
      <c r="AG55" s="772">
        <f t="shared" ref="AG55:AG59" si="31">+IF(D55="RONALD WILLIAN GARIBAY ESCUDERO",AC55+AD55+AE55+AF55+70,AC55+AD55+AE55+AF55)+70</f>
        <v>-89.426380972455917</v>
      </c>
      <c r="AH55" s="146">
        <f t="shared" si="23"/>
        <v>68.601714919162177</v>
      </c>
      <c r="AI55" s="156">
        <f t="shared" si="24"/>
        <v>86.986243708026109</v>
      </c>
      <c r="AJ55" s="156">
        <f t="shared" si="25"/>
        <v>74.708975384627834</v>
      </c>
      <c r="AK55" s="88"/>
      <c r="AL55" s="716">
        <f t="shared" si="26"/>
        <v>6987.4971810915276</v>
      </c>
    </row>
    <row r="56" spans="1:38" ht="15" customHeight="1">
      <c r="A56" s="857" t="s">
        <v>2142</v>
      </c>
      <c r="B56" s="595">
        <v>45793</v>
      </c>
      <c r="C56" s="595">
        <v>45790</v>
      </c>
      <c r="D56" t="s">
        <v>119</v>
      </c>
      <c r="E56">
        <f>_xlfn.XLOOKUP(D56,RUC!$B$3:$B$123,RUC!$D$3:$D$123)</f>
        <v>10082235774</v>
      </c>
      <c r="G56" s="80">
        <v>56</v>
      </c>
      <c r="H56" t="s">
        <v>69</v>
      </c>
      <c r="I56" s="596">
        <v>5.75</v>
      </c>
      <c r="J56" s="596">
        <v>1.85</v>
      </c>
      <c r="K56" s="138">
        <f t="shared" si="29"/>
        <v>5.6436250000000001</v>
      </c>
      <c r="L56" s="139">
        <v>0.315</v>
      </c>
      <c r="M56" s="139">
        <v>0.31</v>
      </c>
      <c r="N56" s="159">
        <v>0.31</v>
      </c>
      <c r="O56" s="645">
        <f t="shared" si="30"/>
        <v>0.31</v>
      </c>
      <c r="P56" s="727">
        <v>90</v>
      </c>
      <c r="Q56" s="596">
        <v>92.7</v>
      </c>
      <c r="R56" s="706">
        <v>3227.95</v>
      </c>
      <c r="S56" s="802">
        <v>110</v>
      </c>
      <c r="U56" s="1091">
        <v>80</v>
      </c>
      <c r="V56" s="715">
        <v>1.1023000000000001</v>
      </c>
      <c r="Z56" s="1034">
        <v>10</v>
      </c>
      <c r="AA56" s="144">
        <f t="shared" si="18"/>
        <v>10</v>
      </c>
      <c r="AB56" s="145">
        <f t="shared" si="19"/>
        <v>835.84989451499996</v>
      </c>
      <c r="AC56" s="145">
        <f>+(S56-T56)*V56-'data 1'!$F$4</f>
        <v>41.253</v>
      </c>
      <c r="AD56" s="145">
        <f t="shared" si="20"/>
        <v>29.512224848925033</v>
      </c>
      <c r="AE56" s="145">
        <f t="shared" si="21"/>
        <v>-58.977000000000004</v>
      </c>
      <c r="AF56" s="145">
        <f t="shared" si="22"/>
        <v>16.083381795975015</v>
      </c>
      <c r="AG56" s="772">
        <f t="shared" si="31"/>
        <v>97.871606644900041</v>
      </c>
      <c r="AH56" s="146">
        <f t="shared" si="23"/>
        <v>56.501178424400592</v>
      </c>
      <c r="AI56" s="156">
        <f t="shared" si="24"/>
        <v>48.941414803575064</v>
      </c>
      <c r="AJ56" s="156">
        <f t="shared" si="25"/>
        <v>53.984790604297068</v>
      </c>
      <c r="AK56" s="88"/>
      <c r="AL56" s="716">
        <f t="shared" si="26"/>
        <v>4717.2233609322166</v>
      </c>
    </row>
    <row r="57" spans="1:38" ht="15" customHeight="1">
      <c r="A57" s="857" t="s">
        <v>2143</v>
      </c>
      <c r="B57" s="595">
        <v>45793</v>
      </c>
      <c r="C57" s="595">
        <v>45790</v>
      </c>
      <c r="D57" t="s">
        <v>119</v>
      </c>
      <c r="E57">
        <f>_xlfn.XLOOKUP(D57,RUC!$B$3:$B$123,RUC!$D$3:$D$123)</f>
        <v>10082235774</v>
      </c>
      <c r="G57" s="80">
        <v>36</v>
      </c>
      <c r="H57" t="s">
        <v>69</v>
      </c>
      <c r="I57" s="596">
        <v>3.76</v>
      </c>
      <c r="J57" s="596">
        <v>1.8</v>
      </c>
      <c r="K57" s="138">
        <f t="shared" si="29"/>
        <v>3.6923199999999996</v>
      </c>
      <c r="L57" s="139">
        <v>0.47199999999999998</v>
      </c>
      <c r="M57" s="139">
        <v>0.46400000000000002</v>
      </c>
      <c r="N57" s="159">
        <v>0.46400000000000002</v>
      </c>
      <c r="O57" s="645">
        <f t="shared" si="30"/>
        <v>0.46400000000000002</v>
      </c>
      <c r="P57" s="727">
        <v>90</v>
      </c>
      <c r="Q57" s="596">
        <v>93.21</v>
      </c>
      <c r="R57" s="706">
        <v>3227.95</v>
      </c>
      <c r="S57" s="802">
        <v>115</v>
      </c>
      <c r="U57" s="1091">
        <v>80</v>
      </c>
      <c r="V57" s="715">
        <v>1.1023000000000001</v>
      </c>
      <c r="Z57" s="1034">
        <v>10</v>
      </c>
      <c r="AA57" s="144">
        <f t="shared" si="18"/>
        <v>10</v>
      </c>
      <c r="AB57" s="145">
        <f t="shared" si="19"/>
        <v>1311.2783550160004</v>
      </c>
      <c r="AC57" s="145">
        <f>+(S57-T57)*V57-'data 1'!$F$4</f>
        <v>46.764500000000012</v>
      </c>
      <c r="AD57" s="145">
        <f t="shared" si="20"/>
        <v>52.574441050091899</v>
      </c>
      <c r="AE57" s="145">
        <f t="shared" si="21"/>
        <v>-58.977000000000004</v>
      </c>
      <c r="AF57" s="145">
        <f t="shared" si="22"/>
        <v>25.874986273187837</v>
      </c>
      <c r="AG57" s="772">
        <f t="shared" si="31"/>
        <v>136.23692732327973</v>
      </c>
      <c r="AH57" s="146">
        <f t="shared" si="23"/>
        <v>55.69457684204999</v>
      </c>
      <c r="AI57" s="156">
        <f t="shared" si="24"/>
        <v>73.737895489908084</v>
      </c>
      <c r="AJ57" s="156">
        <f t="shared" si="25"/>
        <v>52.865079784394467</v>
      </c>
      <c r="AK57" s="88"/>
      <c r="AL57" s="716">
        <f t="shared" si="26"/>
        <v>4841.6592957926778</v>
      </c>
    </row>
    <row r="58" spans="1:38" ht="15" customHeight="1">
      <c r="A58" s="857" t="s">
        <v>2144</v>
      </c>
      <c r="B58" s="595">
        <v>45793</v>
      </c>
      <c r="C58" s="595">
        <v>45790</v>
      </c>
      <c r="D58" t="s">
        <v>119</v>
      </c>
      <c r="E58">
        <f>_xlfn.XLOOKUP(D58,RUC!$B$3:$B$123,RUC!$D$3:$D$123)</f>
        <v>10082235774</v>
      </c>
      <c r="G58" s="80">
        <v>46</v>
      </c>
      <c r="H58" t="s">
        <v>69</v>
      </c>
      <c r="I58" s="596">
        <v>4.6100000000000003</v>
      </c>
      <c r="J58" s="596">
        <v>1.9</v>
      </c>
      <c r="K58" s="138">
        <f t="shared" si="29"/>
        <v>4.5224100000000007</v>
      </c>
      <c r="L58" s="139">
        <v>0.159</v>
      </c>
      <c r="M58" s="139">
        <v>0.156</v>
      </c>
      <c r="N58" s="159">
        <v>0.156</v>
      </c>
      <c r="O58" s="645">
        <f t="shared" si="30"/>
        <v>0.156</v>
      </c>
      <c r="P58" s="727">
        <v>85</v>
      </c>
      <c r="Q58" s="596">
        <v>93.06</v>
      </c>
      <c r="R58" s="706">
        <v>3227.95</v>
      </c>
      <c r="S58" s="802">
        <v>95</v>
      </c>
      <c r="U58" s="1091">
        <v>80</v>
      </c>
      <c r="V58" s="715">
        <v>1.1023000000000001</v>
      </c>
      <c r="Z58" s="1034">
        <v>10</v>
      </c>
      <c r="AA58" s="144">
        <f t="shared" si="18"/>
        <v>10</v>
      </c>
      <c r="AB58" s="145">
        <f t="shared" si="19"/>
        <v>344.37854879100001</v>
      </c>
      <c r="AC58" s="145">
        <f>+(S58-T58)*V58-'data 1'!$F$4</f>
        <v>24.718500000000006</v>
      </c>
      <c r="AD58" s="145">
        <f t="shared" si="20"/>
        <v>44.469249421389016</v>
      </c>
      <c r="AE58" s="145">
        <f t="shared" si="21"/>
        <v>-58.977000000000004</v>
      </c>
      <c r="AF58" s="145">
        <f t="shared" si="22"/>
        <v>9.6875049186630093</v>
      </c>
      <c r="AG58" s="772">
        <f t="shared" si="31"/>
        <v>89.89825434005202</v>
      </c>
      <c r="AH58" s="146">
        <f t="shared" si="23"/>
        <v>22.942417282808396</v>
      </c>
      <c r="AI58" s="156">
        <f t="shared" si="24"/>
        <v>24.799698696861032</v>
      </c>
      <c r="AJ58" s="156">
        <f t="shared" si="25"/>
        <v>20.559972342861187</v>
      </c>
      <c r="AK58" s="88"/>
      <c r="AL58" s="716">
        <f t="shared" si="26"/>
        <v>1557.4209928379066</v>
      </c>
    </row>
    <row r="59" spans="1:38" ht="15" customHeight="1">
      <c r="A59" s="857" t="s">
        <v>2145</v>
      </c>
      <c r="B59" s="595">
        <v>45793</v>
      </c>
      <c r="C59" s="595">
        <v>45790</v>
      </c>
      <c r="D59" t="s">
        <v>119</v>
      </c>
      <c r="E59">
        <f>_xlfn.XLOOKUP(D59,RUC!$B$3:$B$123,RUC!$D$3:$D$123)</f>
        <v>10082235774</v>
      </c>
      <c r="G59" s="80">
        <v>67</v>
      </c>
      <c r="H59" t="s">
        <v>69</v>
      </c>
      <c r="I59" s="596">
        <v>6.79</v>
      </c>
      <c r="J59" s="596">
        <v>1.2</v>
      </c>
      <c r="K59" s="138">
        <f t="shared" si="29"/>
        <v>6.70852</v>
      </c>
      <c r="L59" s="139">
        <v>0.218</v>
      </c>
      <c r="M59" s="139">
        <v>0.215</v>
      </c>
      <c r="N59" s="159">
        <v>0.215</v>
      </c>
      <c r="O59" s="645">
        <f t="shared" si="30"/>
        <v>0.215</v>
      </c>
      <c r="P59" s="727">
        <v>90</v>
      </c>
      <c r="Q59" s="596">
        <v>91.74</v>
      </c>
      <c r="R59" s="706">
        <v>3227.95</v>
      </c>
      <c r="S59" s="802">
        <v>105</v>
      </c>
      <c r="U59" s="1091">
        <v>80</v>
      </c>
      <c r="V59" s="715">
        <v>1.1023000000000001</v>
      </c>
      <c r="Z59" s="1034">
        <v>10</v>
      </c>
      <c r="AA59" s="144">
        <f t="shared" si="18"/>
        <v>10</v>
      </c>
      <c r="AB59" s="145">
        <f t="shared" si="19"/>
        <v>544.67765264750005</v>
      </c>
      <c r="AC59" s="145">
        <f>+(S59-T59)*V59-'data 1'!$F$4</f>
        <v>35.741500000000002</v>
      </c>
      <c r="AD59" s="145">
        <f t="shared" si="20"/>
        <v>13.16234818306196</v>
      </c>
      <c r="AE59" s="145">
        <f t="shared" si="21"/>
        <v>-58.977000000000004</v>
      </c>
      <c r="AF59" s="145">
        <f t="shared" si="22"/>
        <v>9.5500935013770079</v>
      </c>
      <c r="AG59" s="772">
        <f t="shared" si="31"/>
        <v>69.47694168443897</v>
      </c>
      <c r="AH59" s="146">
        <f t="shared" si="23"/>
        <v>45.999278259599393</v>
      </c>
      <c r="AI59" s="156">
        <f t="shared" si="24"/>
        <v>33.519803287938039</v>
      </c>
      <c r="AJ59" s="156">
        <f t="shared" si="25"/>
        <v>44.5058149138695</v>
      </c>
      <c r="AK59" s="88"/>
      <c r="AL59" s="716">
        <f t="shared" si="26"/>
        <v>3653.980926338807</v>
      </c>
    </row>
    <row r="60" spans="1:38" ht="15" customHeight="1">
      <c r="A60" s="857" t="s">
        <v>2147</v>
      </c>
      <c r="B60" s="595">
        <v>45793</v>
      </c>
      <c r="C60" s="595">
        <v>45790</v>
      </c>
      <c r="D60" t="s">
        <v>119</v>
      </c>
      <c r="E60">
        <f>_xlfn.XLOOKUP(D60,RUC!$B$3:$B$123,RUC!$D$3:$D$123)</f>
        <v>10082235774</v>
      </c>
      <c r="G60" s="80">
        <v>20</v>
      </c>
      <c r="H60" t="s">
        <v>69</v>
      </c>
      <c r="I60" s="596">
        <v>1.99</v>
      </c>
      <c r="J60" s="596">
        <v>1.3</v>
      </c>
      <c r="K60" s="138">
        <f t="shared" si="29"/>
        <v>1.9641299999999999</v>
      </c>
      <c r="L60" s="139">
        <v>0.128</v>
      </c>
      <c r="M60" s="139">
        <v>0.126</v>
      </c>
      <c r="N60" s="159">
        <v>0.126</v>
      </c>
      <c r="O60" s="645">
        <f t="shared" si="30"/>
        <v>0.126</v>
      </c>
      <c r="P60" s="727">
        <v>85</v>
      </c>
      <c r="Q60" s="596">
        <v>95.31</v>
      </c>
      <c r="R60" s="706">
        <v>3227.95</v>
      </c>
      <c r="S60" s="802">
        <v>95</v>
      </c>
      <c r="U60" s="1091">
        <v>80</v>
      </c>
      <c r="V60" s="715">
        <v>1.1023000000000001</v>
      </c>
      <c r="Z60" s="1034">
        <v>10</v>
      </c>
      <c r="AA60" s="144">
        <f t="shared" si="18"/>
        <v>10</v>
      </c>
      <c r="AB60" s="145">
        <f t="shared" si="19"/>
        <v>255.89392402350006</v>
      </c>
      <c r="AC60" s="145">
        <f>+(S60-T60)*V60-'data 1'!$F$4</f>
        <v>24.718500000000006</v>
      </c>
      <c r="AD60" s="145">
        <f t="shared" si="20"/>
        <v>45.792701809088015</v>
      </c>
      <c r="AE60" s="145">
        <f t="shared" si="21"/>
        <v>-58.977000000000004</v>
      </c>
      <c r="AF60" s="145">
        <f t="shared" si="22"/>
        <v>6.6144859502670057</v>
      </c>
      <c r="AG60" s="772">
        <f t="shared" ref="AG60:AG61" si="32">+IF(D60="RONALD WILLIAN GARIBAY ESCUDERO",AC60+AD60+AE60+AF60+70,AC60+AD60+AE60+AF60)+70</f>
        <v>88.148687759355028</v>
      </c>
      <c r="AH60" s="146">
        <f t="shared" si="23"/>
        <v>8.2153815350693353</v>
      </c>
      <c r="AI60" s="156">
        <f t="shared" si="24"/>
        <v>20.447238894912026</v>
      </c>
      <c r="AJ60" s="156">
        <f t="shared" si="25"/>
        <v>7.21221673360224</v>
      </c>
      <c r="AK60" s="88"/>
      <c r="AL60" s="716">
        <f t="shared" si="26"/>
        <v>502.60893299227718</v>
      </c>
    </row>
    <row r="61" spans="1:38" ht="15" customHeight="1">
      <c r="A61" s="857" t="s">
        <v>2148</v>
      </c>
      <c r="B61" s="595">
        <v>45793</v>
      </c>
      <c r="C61" s="595">
        <v>45790</v>
      </c>
      <c r="D61" t="s">
        <v>119</v>
      </c>
      <c r="E61">
        <f>_xlfn.XLOOKUP(D61,RUC!$B$3:$B$123,RUC!$D$3:$D$123)</f>
        <v>10082235774</v>
      </c>
      <c r="G61" s="80">
        <v>42</v>
      </c>
      <c r="H61" t="s">
        <v>69</v>
      </c>
      <c r="I61" s="596">
        <v>3.7</v>
      </c>
      <c r="J61" s="596">
        <v>3.8</v>
      </c>
      <c r="K61" s="138">
        <f t="shared" si="29"/>
        <v>3.5594000000000001</v>
      </c>
      <c r="L61" s="139">
        <v>0.25600000000000001</v>
      </c>
      <c r="M61" s="139">
        <v>0.252</v>
      </c>
      <c r="N61" s="598">
        <v>0.27400000000000002</v>
      </c>
      <c r="O61" s="645">
        <f t="shared" si="30"/>
        <v>0.26300000000000001</v>
      </c>
      <c r="P61" s="727">
        <v>90</v>
      </c>
      <c r="Q61" s="596">
        <v>83.59</v>
      </c>
      <c r="R61" s="706">
        <v>3227.95</v>
      </c>
      <c r="S61" s="802">
        <v>105</v>
      </c>
      <c r="U61" s="1091">
        <v>80</v>
      </c>
      <c r="V61" s="715">
        <v>1.1023000000000001</v>
      </c>
      <c r="Z61" s="1034">
        <v>10</v>
      </c>
      <c r="AA61" s="144">
        <f t="shared" si="18"/>
        <v>10</v>
      </c>
      <c r="AB61" s="145">
        <f t="shared" si="19"/>
        <v>694.58101695950006</v>
      </c>
      <c r="AC61" s="145">
        <f>+(S61-T61)*V61-'data 1'!$F$4</f>
        <v>35.741500000000002</v>
      </c>
      <c r="AD61" s="145">
        <f t="shared" si="20"/>
        <v>-56.941070532735964</v>
      </c>
      <c r="AE61" s="145">
        <f t="shared" si="21"/>
        <v>-58.977000000000004</v>
      </c>
      <c r="AF61" s="145">
        <f t="shared" si="22"/>
        <v>-20.303924898120517</v>
      </c>
      <c r="AG61" s="772">
        <f t="shared" si="32"/>
        <v>-30.480495430856479</v>
      </c>
      <c r="AH61" s="146">
        <f t="shared" si="23"/>
        <v>26.11440624824823</v>
      </c>
      <c r="AI61" s="156">
        <f t="shared" si="24"/>
        <v>35.865800004736045</v>
      </c>
      <c r="AJ61" s="156">
        <f t="shared" si="25"/>
        <v>28.885781600297747</v>
      </c>
      <c r="AK61" s="88"/>
      <c r="AL61" s="716">
        <f t="shared" si="26"/>
        <v>2472.2916717656444</v>
      </c>
    </row>
    <row r="62" spans="1:38" ht="15" customHeight="1">
      <c r="A62" s="1140" t="s">
        <v>2149</v>
      </c>
      <c r="B62" s="595">
        <v>45798</v>
      </c>
      <c r="C62" s="595">
        <v>45791</v>
      </c>
      <c r="D62" t="s">
        <v>1586</v>
      </c>
      <c r="E62" t="e">
        <f>_xlfn.XLOOKUP(D62,RUC!$B$3:$B$123,RUC!$D$3:$D$123)</f>
        <v>#N/A</v>
      </c>
      <c r="G62" s="80"/>
      <c r="I62" s="596"/>
      <c r="J62" s="596"/>
      <c r="K62" s="138"/>
      <c r="L62" s="139"/>
      <c r="M62" s="139"/>
      <c r="N62" s="598"/>
      <c r="O62" s="645"/>
      <c r="P62" s="727"/>
      <c r="Q62" s="596"/>
      <c r="R62" s="706"/>
      <c r="S62" s="802"/>
      <c r="U62" s="1091"/>
      <c r="V62" s="715"/>
      <c r="Z62" s="1034"/>
      <c r="AA62" s="144"/>
      <c r="AB62" s="145"/>
      <c r="AC62" s="145"/>
      <c r="AD62" s="145"/>
      <c r="AE62" s="145"/>
      <c r="AF62" s="145"/>
      <c r="AG62" s="772"/>
      <c r="AH62" s="146"/>
      <c r="AI62" s="156"/>
      <c r="AJ62" s="156"/>
      <c r="AK62" s="88"/>
      <c r="AL62" s="716"/>
    </row>
    <row r="63" spans="1:38" ht="15" customHeight="1">
      <c r="A63" s="1140" t="s">
        <v>2150</v>
      </c>
      <c r="B63" s="595">
        <v>45798</v>
      </c>
      <c r="C63" s="595">
        <v>45791</v>
      </c>
      <c r="D63" t="s">
        <v>1586</v>
      </c>
      <c r="E63" t="e">
        <f>_xlfn.XLOOKUP(D63,RUC!$B$3:$B$123,RUC!$D$3:$D$123)</f>
        <v>#N/A</v>
      </c>
      <c r="G63" s="80"/>
      <c r="I63" s="596"/>
      <c r="J63" s="596"/>
      <c r="K63" s="138"/>
      <c r="L63" s="139"/>
      <c r="M63" s="139"/>
      <c r="N63" s="598"/>
      <c r="O63" s="645"/>
      <c r="P63" s="727"/>
      <c r="Q63" s="596"/>
      <c r="R63" s="706"/>
      <c r="S63" s="802"/>
      <c r="U63" s="1091"/>
      <c r="V63" s="715"/>
      <c r="Z63" s="1034"/>
      <c r="AA63" s="144"/>
      <c r="AB63" s="145"/>
      <c r="AC63" s="145"/>
      <c r="AD63" s="145"/>
      <c r="AE63" s="145"/>
      <c r="AF63" s="145"/>
      <c r="AG63" s="772"/>
      <c r="AH63" s="146"/>
      <c r="AI63" s="156"/>
      <c r="AJ63" s="156"/>
      <c r="AK63" s="88"/>
      <c r="AL63" s="716"/>
    </row>
    <row r="64" spans="1:38" ht="15" customHeight="1">
      <c r="A64" s="1140" t="s">
        <v>2151</v>
      </c>
      <c r="B64" s="595">
        <v>45798</v>
      </c>
      <c r="C64" s="595">
        <v>45791</v>
      </c>
      <c r="D64" t="s">
        <v>1586</v>
      </c>
      <c r="E64" t="e">
        <f>_xlfn.XLOOKUP(D64,RUC!$B$3:$B$123,RUC!$D$3:$D$123)</f>
        <v>#N/A</v>
      </c>
      <c r="G64" s="80"/>
      <c r="I64" s="596"/>
      <c r="J64" s="596"/>
      <c r="K64" s="138"/>
      <c r="L64" s="139"/>
      <c r="M64" s="139"/>
      <c r="N64" s="598"/>
      <c r="O64" s="645"/>
      <c r="P64" s="727"/>
      <c r="Q64" s="596"/>
      <c r="R64" s="706"/>
      <c r="S64" s="802"/>
      <c r="U64" s="1091"/>
      <c r="V64" s="715"/>
      <c r="Z64" s="1034"/>
      <c r="AA64" s="144"/>
      <c r="AB64" s="145"/>
      <c r="AC64" s="145"/>
      <c r="AD64" s="145"/>
      <c r="AE64" s="145"/>
      <c r="AF64" s="145"/>
      <c r="AG64" s="772"/>
      <c r="AH64" s="146"/>
      <c r="AI64" s="156"/>
      <c r="AJ64" s="156"/>
      <c r="AK64" s="88"/>
      <c r="AL64" s="716"/>
    </row>
    <row r="65" spans="1:38" ht="15" customHeight="1">
      <c r="A65" s="1140" t="s">
        <v>2152</v>
      </c>
      <c r="B65" s="595">
        <v>45798</v>
      </c>
      <c r="C65" s="595">
        <v>45791</v>
      </c>
      <c r="D65" t="s">
        <v>1586</v>
      </c>
      <c r="E65" t="e">
        <f>_xlfn.XLOOKUP(D65,RUC!$B$3:$B$123,RUC!$D$3:$D$123)</f>
        <v>#N/A</v>
      </c>
      <c r="G65" s="80"/>
      <c r="I65" s="596"/>
      <c r="J65" s="596"/>
      <c r="K65" s="138"/>
      <c r="L65" s="139"/>
      <c r="M65" s="139"/>
      <c r="N65" s="598"/>
      <c r="O65" s="645"/>
      <c r="P65" s="727"/>
      <c r="Q65" s="596"/>
      <c r="R65" s="706"/>
      <c r="S65" s="802"/>
      <c r="U65" s="1091"/>
      <c r="V65" s="715"/>
      <c r="Z65" s="1034"/>
      <c r="AA65" s="144"/>
      <c r="AB65" s="145"/>
      <c r="AC65" s="145"/>
      <c r="AD65" s="145"/>
      <c r="AE65" s="145"/>
      <c r="AF65" s="145"/>
      <c r="AG65" s="772"/>
      <c r="AH65" s="146"/>
      <c r="AI65" s="156"/>
      <c r="AJ65" s="156"/>
      <c r="AK65" s="88"/>
      <c r="AL65" s="716"/>
    </row>
    <row r="66" spans="1:38" ht="15" customHeight="1">
      <c r="A66" s="1140" t="s">
        <v>2153</v>
      </c>
      <c r="B66" s="595">
        <v>45798</v>
      </c>
      <c r="C66" s="595">
        <v>45791</v>
      </c>
      <c r="D66" t="s">
        <v>1586</v>
      </c>
      <c r="E66" t="e">
        <f>_xlfn.XLOOKUP(D66,RUC!$B$3:$B$123,RUC!$D$3:$D$123)</f>
        <v>#N/A</v>
      </c>
      <c r="G66" s="80"/>
      <c r="I66" s="596"/>
      <c r="J66" s="596"/>
      <c r="K66" s="138"/>
      <c r="L66" s="139"/>
      <c r="M66" s="139"/>
      <c r="N66" s="598"/>
      <c r="O66" s="645"/>
      <c r="P66" s="727"/>
      <c r="Q66" s="596"/>
      <c r="R66" s="706"/>
      <c r="S66" s="802"/>
      <c r="U66" s="1091"/>
      <c r="V66" s="715"/>
      <c r="Z66" s="1034"/>
      <c r="AA66" s="144"/>
      <c r="AB66" s="145"/>
      <c r="AC66" s="145"/>
      <c r="AD66" s="145"/>
      <c r="AE66" s="145"/>
      <c r="AF66" s="145"/>
      <c r="AG66" s="772"/>
      <c r="AH66" s="146"/>
      <c r="AI66" s="156"/>
      <c r="AJ66" s="156"/>
      <c r="AK66" s="88"/>
      <c r="AL66" s="716"/>
    </row>
    <row r="67" spans="1:38" ht="15" customHeight="1">
      <c r="A67" s="1140" t="s">
        <v>2154</v>
      </c>
      <c r="B67" s="595">
        <v>45798</v>
      </c>
      <c r="C67" s="595">
        <v>45791</v>
      </c>
      <c r="D67" t="s">
        <v>1586</v>
      </c>
      <c r="E67" t="e">
        <f>_xlfn.XLOOKUP(D67,RUC!$B$3:$B$123,RUC!$D$3:$D$123)</f>
        <v>#N/A</v>
      </c>
      <c r="G67" s="80"/>
      <c r="I67" s="596"/>
      <c r="J67" s="596"/>
      <c r="K67" s="138"/>
      <c r="L67" s="139"/>
      <c r="M67" s="139"/>
      <c r="N67" s="139"/>
      <c r="O67" s="645"/>
      <c r="P67" s="727"/>
      <c r="Q67" s="596"/>
      <c r="R67" s="706"/>
      <c r="S67" s="802"/>
      <c r="U67" s="1091"/>
      <c r="V67" s="715"/>
      <c r="Z67" s="1034"/>
      <c r="AA67" s="144"/>
      <c r="AB67" s="145"/>
      <c r="AC67" s="145"/>
      <c r="AD67" s="145"/>
      <c r="AE67" s="145"/>
      <c r="AF67" s="145"/>
      <c r="AG67" s="772"/>
      <c r="AH67" s="146"/>
      <c r="AI67" s="156"/>
      <c r="AJ67" s="156"/>
      <c r="AK67" s="88"/>
      <c r="AL67" s="716"/>
    </row>
    <row r="68" spans="1:38" ht="15" customHeight="1">
      <c r="A68" s="1140" t="s">
        <v>2155</v>
      </c>
      <c r="B68" s="595">
        <v>45798</v>
      </c>
      <c r="C68" s="595">
        <v>45791</v>
      </c>
      <c r="D68" t="s">
        <v>1586</v>
      </c>
      <c r="E68" t="e">
        <f>_xlfn.XLOOKUP(D68,RUC!$B$3:$B$123,RUC!$D$3:$D$123)</f>
        <v>#N/A</v>
      </c>
      <c r="G68" s="80"/>
      <c r="I68" s="596"/>
      <c r="J68" s="596"/>
      <c r="K68" s="138"/>
      <c r="L68" s="139"/>
      <c r="M68" s="139"/>
      <c r="N68" s="149"/>
      <c r="O68" s="645"/>
      <c r="P68" s="727"/>
      <c r="Q68" s="596"/>
      <c r="R68" s="706"/>
      <c r="S68" s="802"/>
      <c r="U68" s="1091"/>
      <c r="V68" s="715"/>
      <c r="Z68" s="1034"/>
      <c r="AA68" s="144"/>
      <c r="AB68" s="145"/>
      <c r="AC68" s="145"/>
      <c r="AD68" s="145"/>
      <c r="AE68" s="145"/>
      <c r="AF68" s="145"/>
      <c r="AG68" s="772"/>
      <c r="AH68" s="146"/>
      <c r="AI68" s="156"/>
      <c r="AJ68" s="156"/>
      <c r="AK68" s="88"/>
      <c r="AL68" s="716"/>
    </row>
    <row r="69" spans="1:38" ht="15" customHeight="1">
      <c r="B69" s="595"/>
      <c r="C69" s="595"/>
      <c r="G69" s="80"/>
      <c r="L69" s="139"/>
      <c r="M69" s="139"/>
      <c r="N69" s="159"/>
      <c r="P69" s="727"/>
      <c r="R69" s="706"/>
    </row>
    <row r="70" spans="1:38" ht="15" customHeight="1">
      <c r="B70" s="595"/>
      <c r="C70" s="595"/>
      <c r="G70" s="80"/>
      <c r="L70" s="139"/>
      <c r="M70" s="139"/>
      <c r="N70" s="159"/>
      <c r="P70" s="727"/>
      <c r="R70" s="706"/>
    </row>
    <row r="71" spans="1:38" ht="15" customHeight="1">
      <c r="B71" s="595"/>
      <c r="C71" s="595"/>
      <c r="G71" s="80"/>
      <c r="L71" s="139"/>
      <c r="M71" s="139"/>
      <c r="N71" s="159"/>
      <c r="P71" s="727"/>
      <c r="R71" s="706"/>
    </row>
    <row r="72" spans="1:38" ht="15" customHeight="1">
      <c r="B72" s="595"/>
      <c r="C72" s="595"/>
      <c r="G72" s="80"/>
      <c r="L72" s="139"/>
      <c r="M72" s="139"/>
      <c r="N72" s="159"/>
      <c r="P72" s="727"/>
      <c r="R72" s="706"/>
    </row>
    <row r="73" spans="1:38" ht="15" customHeight="1">
      <c r="B73" s="595"/>
      <c r="C73" s="595"/>
      <c r="G73" s="80"/>
      <c r="L73" s="139"/>
      <c r="M73" s="139"/>
      <c r="N73" s="159"/>
      <c r="P73" s="727"/>
      <c r="R73" s="706"/>
    </row>
    <row r="74" spans="1:38" ht="15" customHeight="1">
      <c r="B74" s="595"/>
      <c r="C74" s="595"/>
      <c r="G74" s="80"/>
      <c r="L74" s="139"/>
      <c r="M74" s="139"/>
      <c r="N74" s="159"/>
      <c r="P74" s="727"/>
      <c r="R74" s="706"/>
    </row>
    <row r="75" spans="1:38" ht="15" customHeight="1">
      <c r="B75" s="595"/>
      <c r="C75" s="595"/>
      <c r="G75" s="80"/>
      <c r="L75" s="139"/>
      <c r="M75" s="139"/>
      <c r="N75" s="159"/>
      <c r="P75" s="727"/>
      <c r="R75" s="706"/>
    </row>
    <row r="76" spans="1:38" ht="15" customHeight="1">
      <c r="B76" s="595"/>
      <c r="C76" s="595"/>
      <c r="G76" s="80"/>
      <c r="L76" s="139"/>
      <c r="M76" s="139"/>
      <c r="N76" s="159"/>
      <c r="P76" s="727"/>
      <c r="R76" s="706"/>
    </row>
    <row r="77" spans="1:38" ht="15" customHeight="1">
      <c r="B77" s="595"/>
      <c r="C77" s="595"/>
      <c r="G77" s="80"/>
      <c r="L77" s="139"/>
      <c r="M77" s="139"/>
      <c r="N77" s="159"/>
      <c r="P77" s="727"/>
      <c r="R77" s="706"/>
    </row>
    <row r="78" spans="1:38" ht="15" customHeight="1">
      <c r="B78" s="595"/>
      <c r="C78" s="595"/>
      <c r="G78" s="80"/>
      <c r="L78" s="139"/>
      <c r="M78" s="139"/>
      <c r="N78" s="159"/>
      <c r="P78" s="727"/>
      <c r="R78" s="706"/>
    </row>
    <row r="79" spans="1:38" ht="15" customHeight="1">
      <c r="B79" s="595"/>
      <c r="C79" s="595"/>
      <c r="G79" s="80"/>
      <c r="L79" s="139"/>
      <c r="M79" s="139"/>
      <c r="N79" s="159"/>
      <c r="P79" s="727"/>
      <c r="R79" s="706"/>
    </row>
    <row r="80" spans="1:38" ht="15" customHeight="1">
      <c r="B80" s="595"/>
      <c r="C80" s="595"/>
      <c r="G80" s="80"/>
      <c r="L80" s="139"/>
      <c r="M80" s="139"/>
      <c r="N80" s="159"/>
      <c r="P80" s="727"/>
      <c r="R80" s="706"/>
    </row>
    <row r="81" spans="2:18" ht="15" customHeight="1">
      <c r="B81" s="595"/>
      <c r="C81" s="595"/>
      <c r="G81" s="80"/>
      <c r="L81" s="139"/>
      <c r="M81" s="139"/>
      <c r="N81" s="159"/>
      <c r="P81" s="727"/>
      <c r="R81" s="706"/>
    </row>
    <row r="82" spans="2:18" ht="15" customHeight="1">
      <c r="B82" s="595"/>
      <c r="C82" s="595"/>
      <c r="G82" s="80"/>
      <c r="L82" s="139"/>
      <c r="M82" s="139"/>
      <c r="N82" s="159"/>
      <c r="P82" s="727"/>
      <c r="R82" s="706"/>
    </row>
    <row r="83" spans="2:18" ht="15" customHeight="1">
      <c r="B83" s="595"/>
      <c r="C83" s="595"/>
      <c r="G83" s="80"/>
      <c r="L83" s="139"/>
      <c r="M83" s="139"/>
      <c r="N83" s="159"/>
      <c r="P83" s="727"/>
      <c r="R83" s="706"/>
    </row>
    <row r="84" spans="2:18" ht="15" customHeight="1">
      <c r="B84" s="595"/>
      <c r="C84" s="595"/>
      <c r="G84" s="80"/>
      <c r="L84" s="139"/>
      <c r="M84" s="139"/>
      <c r="N84" s="159"/>
      <c r="P84" s="727"/>
      <c r="R84" s="706"/>
    </row>
    <row r="85" spans="2:18" ht="15" customHeight="1">
      <c r="B85" s="595"/>
      <c r="C85" s="595"/>
      <c r="G85" s="80"/>
      <c r="L85" s="139"/>
      <c r="M85" s="139"/>
      <c r="N85" s="159"/>
      <c r="P85" s="727"/>
      <c r="R85" s="706"/>
    </row>
    <row r="86" spans="2:18" ht="15" customHeight="1">
      <c r="B86" s="595"/>
      <c r="C86" s="595"/>
      <c r="G86" s="80"/>
      <c r="L86" s="139"/>
      <c r="M86" s="139"/>
      <c r="N86" s="159"/>
      <c r="P86" s="727"/>
      <c r="R86" s="706"/>
    </row>
    <row r="87" spans="2:18" ht="15" customHeight="1">
      <c r="B87" s="595"/>
      <c r="C87" s="595"/>
      <c r="G87" s="80"/>
      <c r="L87" s="139"/>
      <c r="M87" s="139"/>
      <c r="N87" s="159"/>
      <c r="P87" s="727"/>
      <c r="R87" s="706"/>
    </row>
    <row r="88" spans="2:18" ht="15" customHeight="1">
      <c r="B88" s="595"/>
      <c r="C88" s="595"/>
      <c r="G88" s="80"/>
      <c r="L88" s="139"/>
      <c r="M88" s="139"/>
      <c r="N88" s="159"/>
      <c r="P88" s="727"/>
      <c r="R88" s="706"/>
    </row>
    <row r="89" spans="2:18" ht="15" customHeight="1">
      <c r="B89" s="595"/>
      <c r="C89" s="595"/>
      <c r="G89" s="80"/>
      <c r="L89" s="139"/>
      <c r="M89" s="139"/>
      <c r="N89" s="159"/>
      <c r="P89" s="727"/>
      <c r="R89" s="706"/>
    </row>
    <row r="90" spans="2:18" ht="15" customHeight="1">
      <c r="B90" s="595"/>
      <c r="C90" s="595"/>
      <c r="G90" s="80"/>
      <c r="L90" s="139"/>
      <c r="M90" s="139"/>
      <c r="N90" s="159"/>
      <c r="P90" s="727"/>
      <c r="R90" s="706"/>
    </row>
    <row r="91" spans="2:18" ht="15" customHeight="1">
      <c r="B91" s="595"/>
      <c r="C91" s="595"/>
      <c r="G91" s="80"/>
      <c r="L91" s="139"/>
      <c r="M91" s="139"/>
      <c r="N91" s="159"/>
      <c r="P91" s="727"/>
      <c r="R91" s="706"/>
    </row>
    <row r="92" spans="2:18" ht="15" customHeight="1">
      <c r="B92" s="595"/>
      <c r="C92" s="595"/>
      <c r="G92" s="80"/>
      <c r="L92" s="139"/>
      <c r="M92" s="139"/>
      <c r="N92" s="159"/>
      <c r="P92" s="727"/>
      <c r="R92" s="706"/>
    </row>
    <row r="93" spans="2:18" ht="15" customHeight="1">
      <c r="B93" s="595"/>
      <c r="C93" s="595"/>
      <c r="G93" s="80"/>
      <c r="L93" s="139"/>
      <c r="M93" s="139"/>
      <c r="N93" s="159"/>
      <c r="P93" s="727"/>
      <c r="R93" s="706"/>
    </row>
    <row r="94" spans="2:18" ht="15" customHeight="1">
      <c r="B94" s="595"/>
      <c r="C94" s="595"/>
      <c r="G94" s="80"/>
      <c r="L94" s="139"/>
      <c r="M94" s="139"/>
      <c r="N94" s="159"/>
      <c r="P94" s="727"/>
      <c r="R94" s="706"/>
    </row>
    <row r="95" spans="2:18" ht="15" customHeight="1">
      <c r="B95" s="595"/>
      <c r="C95" s="595"/>
      <c r="G95" s="80"/>
      <c r="L95" s="139"/>
      <c r="M95" s="139"/>
      <c r="N95" s="159"/>
      <c r="P95" s="727"/>
      <c r="R95" s="706"/>
    </row>
    <row r="96" spans="2:18" ht="15" customHeight="1">
      <c r="B96" s="595"/>
      <c r="C96" s="595"/>
      <c r="G96" s="80"/>
      <c r="L96" s="139"/>
      <c r="M96" s="139"/>
      <c r="N96" s="159"/>
      <c r="P96" s="727"/>
      <c r="R96" s="706"/>
    </row>
    <row r="97" spans="2:18" ht="15" customHeight="1">
      <c r="B97" s="595"/>
      <c r="C97" s="595"/>
      <c r="G97" s="80"/>
      <c r="L97" s="139"/>
      <c r="M97" s="139"/>
      <c r="N97" s="159"/>
      <c r="P97" s="727"/>
      <c r="R97" s="706"/>
    </row>
    <row r="98" spans="2:18" ht="15" customHeight="1">
      <c r="B98" s="595"/>
      <c r="C98" s="595"/>
      <c r="G98" s="80"/>
      <c r="L98" s="139"/>
      <c r="M98" s="139"/>
      <c r="N98" s="159"/>
      <c r="P98" s="727"/>
      <c r="R98" s="706"/>
    </row>
    <row r="99" spans="2:18" ht="15" customHeight="1">
      <c r="B99" s="595"/>
      <c r="C99" s="595"/>
      <c r="G99" s="80"/>
      <c r="L99" s="139"/>
      <c r="M99" s="139"/>
      <c r="N99" s="159"/>
      <c r="P99" s="727"/>
      <c r="R99" s="706"/>
    </row>
    <row r="100" spans="2:18" ht="15" customHeight="1">
      <c r="B100" s="595"/>
      <c r="C100" s="595"/>
      <c r="G100" s="80"/>
      <c r="L100" s="139"/>
      <c r="M100" s="139"/>
      <c r="N100" s="159"/>
      <c r="P100" s="727"/>
      <c r="R100" s="706"/>
    </row>
    <row r="101" spans="2:18" ht="15" customHeight="1">
      <c r="B101" s="595"/>
      <c r="C101" s="595"/>
      <c r="G101" s="80"/>
      <c r="L101" s="139"/>
      <c r="M101" s="139"/>
      <c r="N101" s="159"/>
      <c r="P101" s="727"/>
      <c r="R101" s="706"/>
    </row>
    <row r="102" spans="2:18" ht="15" customHeight="1">
      <c r="B102" s="595"/>
      <c r="C102" s="595"/>
      <c r="G102" s="80"/>
      <c r="L102" s="139"/>
      <c r="M102" s="139"/>
      <c r="N102" s="159"/>
      <c r="P102" s="727"/>
      <c r="R102" s="706"/>
    </row>
    <row r="103" spans="2:18" ht="15" customHeight="1">
      <c r="B103" s="595"/>
      <c r="C103" s="595"/>
      <c r="G103" s="80"/>
      <c r="L103" s="139"/>
      <c r="M103" s="139"/>
      <c r="N103" s="159"/>
      <c r="P103" s="727"/>
      <c r="R103" s="706"/>
    </row>
    <row r="104" spans="2:18" ht="15" customHeight="1">
      <c r="B104" s="595"/>
      <c r="C104" s="595"/>
      <c r="G104" s="80"/>
      <c r="L104" s="139"/>
      <c r="M104" s="139"/>
      <c r="N104" s="159"/>
      <c r="P104" s="727"/>
      <c r="R104" s="706"/>
    </row>
    <row r="105" spans="2:18" ht="15" customHeight="1">
      <c r="B105" s="595"/>
      <c r="C105" s="595"/>
      <c r="G105" s="80"/>
      <c r="L105" s="139"/>
      <c r="M105" s="139"/>
      <c r="N105" s="159"/>
      <c r="P105" s="727"/>
      <c r="R105" s="706"/>
    </row>
    <row r="106" spans="2:18" ht="15" customHeight="1">
      <c r="B106" s="595"/>
      <c r="C106" s="595"/>
      <c r="G106" s="80"/>
      <c r="L106" s="139"/>
      <c r="M106" s="139"/>
      <c r="N106" s="159"/>
      <c r="P106" s="727"/>
      <c r="R106" s="706"/>
    </row>
    <row r="107" spans="2:18" ht="15" customHeight="1">
      <c r="B107" s="595"/>
      <c r="C107" s="595"/>
      <c r="G107" s="80"/>
      <c r="L107" s="139"/>
      <c r="M107" s="139"/>
      <c r="N107" s="159"/>
      <c r="P107" s="727"/>
      <c r="R107" s="706"/>
    </row>
    <row r="108" spans="2:18" ht="15" customHeight="1">
      <c r="B108" s="595"/>
      <c r="C108" s="595"/>
      <c r="G108" s="80"/>
      <c r="L108" s="139"/>
      <c r="M108" s="139"/>
      <c r="N108" s="159"/>
      <c r="P108" s="727"/>
      <c r="R108" s="706"/>
    </row>
    <row r="109" spans="2:18" ht="15" customHeight="1">
      <c r="B109" s="595"/>
      <c r="C109" s="595"/>
      <c r="G109" s="80"/>
      <c r="L109" s="139"/>
      <c r="M109" s="139"/>
      <c r="N109" s="159"/>
      <c r="P109" s="727"/>
      <c r="R109" s="706"/>
    </row>
    <row r="110" spans="2:18" ht="15" customHeight="1">
      <c r="B110" s="595"/>
      <c r="C110" s="595"/>
      <c r="G110" s="80"/>
      <c r="L110" s="139"/>
      <c r="M110" s="139"/>
      <c r="N110" s="159"/>
      <c r="P110" s="727"/>
      <c r="R110" s="706"/>
    </row>
    <row r="111" spans="2:18" ht="15" customHeight="1">
      <c r="B111" s="595"/>
      <c r="C111" s="595"/>
      <c r="G111" s="80"/>
      <c r="L111" s="139"/>
      <c r="M111" s="139"/>
      <c r="N111" s="159"/>
      <c r="P111" s="727"/>
      <c r="R111" s="706"/>
    </row>
    <row r="112" spans="2:18" ht="15" customHeight="1">
      <c r="B112" s="595"/>
      <c r="C112" s="595"/>
      <c r="G112" s="80"/>
      <c r="L112" s="139"/>
      <c r="M112" s="139"/>
      <c r="N112" s="159"/>
      <c r="P112" s="727"/>
      <c r="R112" s="706"/>
    </row>
    <row r="113" spans="2:18" ht="15" customHeight="1">
      <c r="B113" s="595"/>
      <c r="C113" s="595"/>
      <c r="G113" s="80"/>
      <c r="L113" s="139"/>
      <c r="M113" s="139"/>
      <c r="N113" s="159"/>
      <c r="P113" s="727"/>
      <c r="R113" s="706"/>
    </row>
    <row r="114" spans="2:18" ht="15" customHeight="1">
      <c r="B114" s="595"/>
      <c r="C114" s="595"/>
      <c r="G114" s="80"/>
      <c r="L114" s="139"/>
      <c r="M114" s="139"/>
      <c r="N114" s="159"/>
      <c r="P114" s="727"/>
      <c r="R114" s="706"/>
    </row>
    <row r="115" spans="2:18" ht="15" customHeight="1">
      <c r="B115" s="595"/>
      <c r="C115" s="595"/>
      <c r="G115" s="80"/>
      <c r="L115" s="139"/>
      <c r="M115" s="139"/>
      <c r="N115" s="159"/>
      <c r="P115" s="727"/>
      <c r="R115" s="706"/>
    </row>
    <row r="116" spans="2:18" ht="15" customHeight="1">
      <c r="B116" s="595"/>
      <c r="C116" s="595"/>
      <c r="G116" s="80"/>
      <c r="L116" s="139"/>
      <c r="M116" s="139"/>
      <c r="N116" s="159"/>
      <c r="P116" s="727"/>
      <c r="R116" s="706"/>
    </row>
    <row r="117" spans="2:18" ht="15" customHeight="1">
      <c r="B117" s="595"/>
      <c r="C117" s="595"/>
      <c r="G117" s="80"/>
      <c r="L117" s="139"/>
      <c r="M117" s="139"/>
      <c r="N117" s="159"/>
      <c r="P117" s="727"/>
      <c r="R117" s="706"/>
    </row>
    <row r="118" spans="2:18" ht="15" customHeight="1">
      <c r="B118" s="595"/>
      <c r="C118" s="595"/>
      <c r="G118" s="80"/>
      <c r="L118" s="139"/>
      <c r="M118" s="139"/>
      <c r="N118" s="159"/>
      <c r="P118" s="727"/>
      <c r="R118" s="706"/>
    </row>
    <row r="119" spans="2:18" ht="15" customHeight="1">
      <c r="B119" s="595"/>
      <c r="C119" s="595"/>
      <c r="G119" s="80"/>
      <c r="L119" s="139"/>
      <c r="M119" s="139"/>
      <c r="N119" s="159"/>
      <c r="P119" s="727"/>
      <c r="R119" s="706"/>
    </row>
    <row r="120" spans="2:18" ht="15" customHeight="1">
      <c r="B120" s="595"/>
      <c r="C120" s="595"/>
      <c r="G120" s="80"/>
      <c r="L120" s="139"/>
      <c r="M120" s="139"/>
      <c r="N120" s="159"/>
      <c r="P120" s="727"/>
      <c r="R120" s="706"/>
    </row>
    <row r="121" spans="2:18" ht="15" customHeight="1">
      <c r="B121" s="595"/>
      <c r="C121" s="595"/>
      <c r="G121" s="80"/>
      <c r="L121" s="139"/>
      <c r="M121" s="139"/>
      <c r="N121" s="159"/>
      <c r="P121" s="727"/>
      <c r="R121" s="706"/>
    </row>
    <row r="122" spans="2:18" ht="15" customHeight="1">
      <c r="B122" s="595"/>
      <c r="C122" s="595"/>
      <c r="G122" s="80"/>
      <c r="L122" s="139"/>
      <c r="M122" s="139"/>
      <c r="N122" s="159"/>
      <c r="P122" s="727"/>
      <c r="R122" s="706"/>
    </row>
    <row r="123" spans="2:18" ht="15" customHeight="1">
      <c r="B123" s="595"/>
      <c r="C123" s="595"/>
      <c r="G123" s="80"/>
      <c r="L123" s="139"/>
      <c r="M123" s="139"/>
      <c r="N123" s="159"/>
      <c r="P123" s="727"/>
      <c r="R123" s="706"/>
    </row>
    <row r="124" spans="2:18" ht="15" customHeight="1">
      <c r="B124" s="595"/>
      <c r="C124" s="595"/>
      <c r="G124" s="80"/>
      <c r="L124" s="139"/>
      <c r="M124" s="139"/>
      <c r="N124" s="159"/>
      <c r="P124" s="727"/>
      <c r="R124" s="706"/>
    </row>
    <row r="125" spans="2:18" ht="15" customHeight="1">
      <c r="B125" s="595"/>
      <c r="C125" s="595"/>
      <c r="G125" s="80"/>
      <c r="L125" s="139"/>
      <c r="M125" s="139"/>
      <c r="N125" s="159"/>
      <c r="P125" s="727"/>
      <c r="R125" s="706"/>
    </row>
    <row r="126" spans="2:18" ht="15" customHeight="1">
      <c r="B126" s="595"/>
      <c r="C126" s="595"/>
      <c r="G126" s="80"/>
      <c r="L126" s="139"/>
      <c r="M126" s="139"/>
      <c r="N126" s="159"/>
      <c r="P126" s="727"/>
      <c r="R126" s="706"/>
    </row>
    <row r="127" spans="2:18" ht="15" customHeight="1">
      <c r="B127" s="595"/>
      <c r="C127" s="595"/>
      <c r="G127" s="80"/>
      <c r="L127" s="139"/>
      <c r="M127" s="139"/>
      <c r="N127" s="159"/>
      <c r="P127" s="727"/>
      <c r="R127" s="706"/>
    </row>
    <row r="128" spans="2:18" ht="15" customHeight="1">
      <c r="B128" s="595"/>
      <c r="C128" s="595"/>
      <c r="G128" s="80"/>
      <c r="L128" s="139"/>
      <c r="M128" s="139"/>
      <c r="N128" s="159"/>
      <c r="P128" s="727"/>
      <c r="R128" s="706"/>
    </row>
    <row r="129" spans="2:18" ht="15" customHeight="1">
      <c r="B129" s="595"/>
      <c r="C129" s="595"/>
      <c r="G129" s="80"/>
      <c r="L129" s="139"/>
      <c r="M129" s="139"/>
      <c r="N129" s="159"/>
      <c r="P129" s="727"/>
      <c r="R129" s="706"/>
    </row>
    <row r="130" spans="2:18" ht="15" customHeight="1">
      <c r="B130" s="595"/>
      <c r="C130" s="595"/>
      <c r="G130" s="80"/>
      <c r="L130" s="139"/>
      <c r="M130" s="139"/>
      <c r="N130" s="159"/>
      <c r="P130" s="727"/>
      <c r="R130" s="706"/>
    </row>
    <row r="131" spans="2:18" ht="15" customHeight="1">
      <c r="B131" s="595"/>
      <c r="C131" s="595"/>
      <c r="G131" s="80"/>
      <c r="L131" s="139"/>
      <c r="M131" s="139"/>
      <c r="N131" s="159"/>
      <c r="P131" s="727"/>
      <c r="R131" s="706"/>
    </row>
    <row r="132" spans="2:18" ht="15" customHeight="1">
      <c r="B132" s="595"/>
      <c r="C132" s="595"/>
      <c r="G132" s="80"/>
      <c r="L132" s="139"/>
      <c r="M132" s="139"/>
      <c r="N132" s="159"/>
      <c r="P132" s="727"/>
      <c r="R132" s="706"/>
    </row>
    <row r="133" spans="2:18" ht="15" customHeight="1">
      <c r="B133" s="595"/>
      <c r="C133" s="595"/>
      <c r="G133" s="80"/>
      <c r="L133" s="139"/>
      <c r="M133" s="139"/>
      <c r="N133" s="159"/>
      <c r="P133" s="727"/>
      <c r="R133" s="706"/>
    </row>
    <row r="134" spans="2:18" ht="15" customHeight="1">
      <c r="B134" s="595"/>
      <c r="C134" s="595"/>
      <c r="G134" s="80"/>
      <c r="L134" s="139"/>
      <c r="M134" s="139"/>
      <c r="N134" s="159"/>
      <c r="R134" s="706"/>
    </row>
    <row r="135" spans="2:18" ht="15" customHeight="1">
      <c r="B135" s="595"/>
      <c r="C135" s="595"/>
      <c r="G135" s="80"/>
      <c r="L135" s="139"/>
      <c r="M135" s="139"/>
      <c r="N135" s="159"/>
      <c r="R135" s="706"/>
    </row>
    <row r="136" spans="2:18" ht="15" customHeight="1">
      <c r="B136" s="595"/>
      <c r="C136" s="595"/>
      <c r="G136" s="80"/>
      <c r="L136" s="139"/>
      <c r="M136" s="139"/>
      <c r="N136" s="159"/>
      <c r="R136" s="706"/>
    </row>
    <row r="137" spans="2:18" ht="15" customHeight="1">
      <c r="B137" s="595"/>
      <c r="C137" s="595"/>
      <c r="G137" s="80"/>
      <c r="L137" s="139"/>
      <c r="M137" s="139"/>
      <c r="N137" s="159"/>
      <c r="R137" s="706"/>
    </row>
    <row r="138" spans="2:18" ht="15" customHeight="1">
      <c r="B138" s="595"/>
      <c r="C138" s="595"/>
      <c r="G138" s="80"/>
      <c r="L138" s="139"/>
      <c r="M138" s="139"/>
      <c r="N138" s="159"/>
      <c r="R138" s="706"/>
    </row>
    <row r="139" spans="2:18" ht="15" customHeight="1">
      <c r="B139" s="595"/>
      <c r="C139" s="595"/>
      <c r="G139" s="80"/>
      <c r="L139" s="139"/>
      <c r="M139" s="139"/>
      <c r="N139" s="159"/>
      <c r="R139" s="706"/>
    </row>
    <row r="140" spans="2:18" ht="15" customHeight="1">
      <c r="B140" s="595"/>
      <c r="C140" s="595"/>
      <c r="G140" s="80"/>
      <c r="L140" s="139"/>
      <c r="M140" s="139"/>
      <c r="N140" s="159"/>
      <c r="R140" s="706"/>
    </row>
    <row r="141" spans="2:18" ht="15" customHeight="1">
      <c r="B141" s="595"/>
      <c r="C141" s="595"/>
      <c r="G141" s="80"/>
      <c r="L141" s="139"/>
      <c r="M141" s="139"/>
      <c r="N141" s="159"/>
      <c r="R141" s="706"/>
    </row>
    <row r="142" spans="2:18" ht="15" customHeight="1">
      <c r="B142" s="595"/>
      <c r="C142" s="595"/>
      <c r="G142" s="80"/>
      <c r="L142" s="139"/>
      <c r="M142" s="139"/>
      <c r="N142" s="159"/>
      <c r="R142" s="706"/>
    </row>
    <row r="143" spans="2:18" ht="15" customHeight="1">
      <c r="B143" s="595"/>
      <c r="C143" s="595"/>
      <c r="G143" s="80"/>
      <c r="L143" s="139"/>
      <c r="M143" s="139"/>
      <c r="N143" s="159"/>
      <c r="R143" s="706"/>
    </row>
    <row r="144" spans="2:18" ht="15" customHeight="1">
      <c r="B144" s="595"/>
      <c r="C144" s="595"/>
      <c r="G144" s="80"/>
      <c r="L144" s="139"/>
      <c r="M144" s="139"/>
      <c r="N144" s="159"/>
      <c r="R144" s="706"/>
    </row>
    <row r="145" spans="2:18" ht="15" customHeight="1">
      <c r="B145" s="595"/>
      <c r="C145" s="595"/>
      <c r="G145" s="80"/>
      <c r="L145" s="139"/>
      <c r="M145" s="139"/>
      <c r="N145" s="159"/>
      <c r="R145" s="706"/>
    </row>
    <row r="146" spans="2:18" ht="15" customHeight="1">
      <c r="B146" s="595"/>
      <c r="C146" s="595"/>
      <c r="G146" s="80"/>
      <c r="L146" s="139"/>
      <c r="M146" s="139"/>
      <c r="N146" s="159"/>
      <c r="R146" s="706"/>
    </row>
    <row r="147" spans="2:18" ht="15" customHeight="1">
      <c r="B147" s="595"/>
      <c r="C147" s="595"/>
      <c r="G147" s="80"/>
      <c r="L147" s="139"/>
      <c r="M147" s="139"/>
      <c r="N147" s="159"/>
      <c r="R147" s="706"/>
    </row>
    <row r="148" spans="2:18" ht="15" customHeight="1">
      <c r="B148" s="595"/>
      <c r="C148" s="595"/>
      <c r="G148" s="80"/>
      <c r="L148" s="139"/>
      <c r="M148" s="139"/>
      <c r="N148" s="159"/>
      <c r="R148" s="706"/>
    </row>
    <row r="149" spans="2:18" ht="15" customHeight="1">
      <c r="B149" s="595"/>
      <c r="C149" s="595"/>
      <c r="G149" s="80"/>
      <c r="L149" s="139"/>
      <c r="M149" s="139"/>
      <c r="N149" s="159"/>
      <c r="R149" s="706"/>
    </row>
    <row r="150" spans="2:18" ht="15" customHeight="1">
      <c r="B150" s="595"/>
      <c r="C150" s="595"/>
      <c r="G150" s="80"/>
      <c r="L150" s="139"/>
      <c r="M150" s="139"/>
      <c r="N150" s="159"/>
      <c r="R150" s="706"/>
    </row>
    <row r="151" spans="2:18" ht="15" customHeight="1">
      <c r="B151" s="595"/>
      <c r="C151" s="595"/>
      <c r="G151" s="80"/>
      <c r="L151" s="139"/>
      <c r="M151" s="139"/>
      <c r="N151" s="159"/>
      <c r="R151" s="706"/>
    </row>
    <row r="152" spans="2:18" ht="15" customHeight="1">
      <c r="B152" s="595"/>
      <c r="C152" s="595"/>
      <c r="G152" s="80"/>
      <c r="L152" s="139"/>
      <c r="M152" s="139"/>
      <c r="N152" s="159"/>
      <c r="R152" s="706"/>
    </row>
    <row r="153" spans="2:18" ht="15" customHeight="1">
      <c r="B153" s="595"/>
      <c r="C153" s="595"/>
      <c r="G153" s="80"/>
      <c r="L153" s="139"/>
      <c r="M153" s="139"/>
      <c r="N153" s="159"/>
      <c r="R153" s="706"/>
    </row>
    <row r="154" spans="2:18" ht="15" customHeight="1">
      <c r="B154" s="595"/>
      <c r="C154" s="595"/>
      <c r="G154" s="80"/>
      <c r="L154" s="139"/>
      <c r="M154" s="139"/>
      <c r="N154" s="159"/>
      <c r="R154" s="706"/>
    </row>
    <row r="155" spans="2:18" ht="15" customHeight="1">
      <c r="B155" s="595"/>
      <c r="C155" s="595"/>
      <c r="G155" s="80"/>
      <c r="L155" s="139"/>
      <c r="M155" s="139"/>
      <c r="N155" s="159"/>
      <c r="R155" s="706"/>
    </row>
    <row r="156" spans="2:18" ht="15" customHeight="1">
      <c r="B156" s="595"/>
      <c r="C156" s="595"/>
      <c r="G156" s="80"/>
      <c r="L156" s="139"/>
      <c r="M156" s="139"/>
      <c r="N156" s="159"/>
      <c r="R156" s="706"/>
    </row>
    <row r="157" spans="2:18" ht="15" customHeight="1">
      <c r="B157" s="595"/>
      <c r="C157" s="595"/>
      <c r="G157" s="80"/>
      <c r="L157" s="139"/>
      <c r="M157" s="139"/>
      <c r="N157" s="159"/>
      <c r="R157" s="706"/>
    </row>
    <row r="158" spans="2:18" ht="15" customHeight="1">
      <c r="B158" s="595"/>
      <c r="C158" s="595"/>
      <c r="G158" s="80"/>
      <c r="L158" s="139"/>
      <c r="M158" s="139"/>
      <c r="N158" s="159"/>
      <c r="R158" s="706"/>
    </row>
    <row r="159" spans="2:18" ht="15" customHeight="1">
      <c r="B159" s="595"/>
      <c r="C159" s="595"/>
      <c r="G159" s="80"/>
      <c r="L159" s="139"/>
      <c r="M159" s="139"/>
      <c r="N159" s="159"/>
      <c r="R159" s="706"/>
    </row>
    <row r="160" spans="2:18" ht="15" customHeight="1">
      <c r="B160" s="595"/>
      <c r="C160" s="595"/>
      <c r="G160" s="80"/>
      <c r="L160" s="139"/>
      <c r="M160" s="139"/>
      <c r="N160" s="159"/>
      <c r="R160" s="706"/>
    </row>
    <row r="161" spans="2:18" ht="15" customHeight="1">
      <c r="B161" s="595"/>
      <c r="C161" s="595"/>
      <c r="G161" s="80"/>
      <c r="L161" s="139"/>
      <c r="M161" s="139"/>
      <c r="N161" s="159"/>
      <c r="R161" s="706"/>
    </row>
    <row r="162" spans="2:18" ht="15" customHeight="1">
      <c r="B162" s="595"/>
      <c r="C162" s="595"/>
      <c r="G162" s="80"/>
      <c r="L162" s="139"/>
      <c r="M162" s="139"/>
      <c r="N162" s="159"/>
      <c r="R162" s="706"/>
    </row>
    <row r="163" spans="2:18" ht="15" customHeight="1">
      <c r="B163" s="595"/>
      <c r="C163" s="595"/>
      <c r="G163" s="80"/>
      <c r="L163" s="139"/>
      <c r="M163" s="139"/>
      <c r="N163" s="159"/>
      <c r="R163" s="706"/>
    </row>
    <row r="164" spans="2:18" ht="15" customHeight="1">
      <c r="B164" s="595"/>
      <c r="C164" s="595"/>
      <c r="G164" s="80"/>
      <c r="L164" s="139"/>
      <c r="M164" s="139"/>
      <c r="N164" s="159"/>
      <c r="R164" s="706"/>
    </row>
    <row r="165" spans="2:18" ht="15" customHeight="1">
      <c r="B165" s="595"/>
      <c r="C165" s="595"/>
      <c r="G165" s="80"/>
      <c r="L165" s="139"/>
      <c r="M165" s="139"/>
      <c r="N165" s="159"/>
      <c r="R165" s="706"/>
    </row>
    <row r="166" spans="2:18" ht="15" customHeight="1">
      <c r="B166" s="595"/>
      <c r="C166" s="595"/>
      <c r="G166" s="80"/>
      <c r="L166" s="139"/>
      <c r="M166" s="139"/>
      <c r="N166" s="159"/>
      <c r="R166" s="706"/>
    </row>
    <row r="167" spans="2:18" ht="15" customHeight="1">
      <c r="B167" s="595"/>
      <c r="C167" s="595"/>
      <c r="G167" s="80"/>
      <c r="L167" s="139"/>
      <c r="M167" s="139"/>
      <c r="N167" s="159"/>
      <c r="R167" s="706"/>
    </row>
    <row r="168" spans="2:18" ht="15" customHeight="1">
      <c r="B168" s="595"/>
      <c r="C168" s="595"/>
      <c r="G168" s="80"/>
      <c r="L168" s="139"/>
      <c r="M168" s="139"/>
      <c r="N168" s="159"/>
      <c r="R168" s="706"/>
    </row>
    <row r="169" spans="2:18" ht="15" customHeight="1">
      <c r="B169" s="595"/>
      <c r="C169" s="595"/>
      <c r="G169" s="80"/>
      <c r="L169" s="139"/>
      <c r="M169" s="139"/>
      <c r="N169" s="159"/>
      <c r="R169" s="706"/>
    </row>
    <row r="170" spans="2:18" ht="15" customHeight="1">
      <c r="B170" s="595"/>
      <c r="C170" s="595"/>
      <c r="G170" s="80"/>
      <c r="L170" s="139"/>
      <c r="M170" s="139"/>
      <c r="N170" s="159"/>
      <c r="R170" s="706"/>
    </row>
    <row r="171" spans="2:18" ht="15" customHeight="1">
      <c r="B171" s="595"/>
      <c r="C171" s="595"/>
      <c r="G171" s="80"/>
      <c r="L171" s="139"/>
      <c r="M171" s="139"/>
      <c r="N171" s="159"/>
      <c r="R171" s="706"/>
    </row>
    <row r="172" spans="2:18" ht="15" customHeight="1">
      <c r="B172" s="595"/>
      <c r="C172" s="595"/>
      <c r="G172" s="80"/>
      <c r="L172" s="139"/>
      <c r="M172" s="139"/>
      <c r="N172" s="159"/>
      <c r="R172" s="706"/>
    </row>
    <row r="173" spans="2:18" ht="15" customHeight="1">
      <c r="B173" s="595"/>
      <c r="C173" s="595"/>
      <c r="G173" s="80"/>
      <c r="L173" s="139"/>
      <c r="M173" s="139"/>
      <c r="N173" s="159"/>
      <c r="R173" s="706"/>
    </row>
    <row r="174" spans="2:18" ht="15" customHeight="1">
      <c r="B174" s="595"/>
      <c r="C174" s="595"/>
      <c r="G174" s="80"/>
      <c r="L174" s="139"/>
      <c r="M174" s="139"/>
      <c r="N174" s="159"/>
      <c r="R174" s="706"/>
    </row>
    <row r="175" spans="2:18" ht="15" customHeight="1">
      <c r="B175" s="595"/>
      <c r="C175" s="595"/>
      <c r="G175" s="80"/>
      <c r="L175" s="139"/>
      <c r="M175" s="139"/>
      <c r="N175" s="159"/>
      <c r="R175" s="706"/>
    </row>
    <row r="176" spans="2:18" ht="15" customHeight="1">
      <c r="B176" s="595"/>
      <c r="C176" s="595"/>
      <c r="G176" s="80"/>
      <c r="L176" s="139"/>
      <c r="M176" s="139"/>
      <c r="N176" s="159"/>
      <c r="R176" s="706"/>
    </row>
    <row r="177" spans="2:18" ht="15" customHeight="1">
      <c r="B177" s="595"/>
      <c r="C177" s="595"/>
      <c r="G177" s="80"/>
      <c r="L177" s="139"/>
      <c r="M177" s="139"/>
      <c r="N177" s="159"/>
      <c r="R177" s="706"/>
    </row>
    <row r="178" spans="2:18" ht="15" customHeight="1">
      <c r="B178" s="595"/>
      <c r="C178" s="595"/>
      <c r="G178" s="80"/>
      <c r="L178" s="139"/>
      <c r="M178" s="139"/>
      <c r="N178" s="159"/>
      <c r="R178" s="706"/>
    </row>
    <row r="179" spans="2:18" ht="15" customHeight="1">
      <c r="B179" s="595"/>
      <c r="C179" s="595"/>
      <c r="G179" s="80"/>
      <c r="L179" s="139"/>
      <c r="M179" s="139"/>
      <c r="N179" s="159"/>
      <c r="R179" s="706"/>
    </row>
    <row r="180" spans="2:18" ht="15" customHeight="1">
      <c r="B180" s="595"/>
      <c r="C180" s="595"/>
      <c r="G180" s="80"/>
      <c r="L180" s="139"/>
      <c r="M180" s="139"/>
      <c r="N180" s="159"/>
      <c r="R180" s="706"/>
    </row>
    <row r="181" spans="2:18" ht="15" customHeight="1">
      <c r="B181" s="595"/>
      <c r="C181" s="595"/>
      <c r="G181" s="80"/>
      <c r="L181" s="139"/>
      <c r="M181" s="139"/>
      <c r="N181" s="159"/>
      <c r="R181" s="706"/>
    </row>
    <row r="182" spans="2:18" ht="15" customHeight="1">
      <c r="B182" s="595"/>
      <c r="C182" s="595"/>
      <c r="G182" s="80"/>
      <c r="L182" s="139"/>
      <c r="M182" s="139"/>
      <c r="N182" s="159"/>
      <c r="R182" s="706"/>
    </row>
    <row r="183" spans="2:18" ht="15" customHeight="1">
      <c r="B183" s="595"/>
      <c r="C183" s="595"/>
      <c r="G183" s="80"/>
      <c r="L183" s="139"/>
      <c r="M183" s="139"/>
      <c r="N183" s="159"/>
      <c r="R183" s="706"/>
    </row>
    <row r="184" spans="2:18" ht="15" customHeight="1">
      <c r="B184" s="595"/>
      <c r="C184" s="595"/>
      <c r="G184" s="80"/>
      <c r="L184" s="139"/>
      <c r="M184" s="139"/>
      <c r="N184" s="159"/>
      <c r="R184" s="706"/>
    </row>
    <row r="185" spans="2:18" ht="15" customHeight="1">
      <c r="B185" s="595"/>
      <c r="C185" s="595"/>
      <c r="G185" s="80"/>
      <c r="L185" s="139"/>
      <c r="M185" s="139"/>
      <c r="N185" s="159"/>
      <c r="R185" s="706"/>
    </row>
    <row r="186" spans="2:18" ht="15" customHeight="1">
      <c r="B186" s="595"/>
      <c r="C186" s="595"/>
      <c r="G186" s="80"/>
      <c r="L186" s="139"/>
      <c r="M186" s="139"/>
      <c r="N186" s="159"/>
    </row>
    <row r="187" spans="2:18" ht="15" customHeight="1">
      <c r="B187" s="595"/>
      <c r="C187" s="595"/>
      <c r="G187" s="80"/>
      <c r="L187" s="139"/>
      <c r="M187" s="139"/>
      <c r="N187" s="159"/>
    </row>
    <row r="188" spans="2:18" ht="15" customHeight="1">
      <c r="B188" s="595"/>
      <c r="C188" s="595"/>
      <c r="G188" s="80"/>
      <c r="L188" s="139"/>
      <c r="M188" s="139"/>
      <c r="N188" s="159"/>
    </row>
    <row r="189" spans="2:18" ht="15" customHeight="1">
      <c r="B189" s="595"/>
      <c r="C189" s="595"/>
      <c r="G189" s="80"/>
      <c r="L189" s="139"/>
      <c r="M189" s="139"/>
      <c r="N189" s="159"/>
    </row>
    <row r="190" spans="2:18" ht="15" customHeight="1">
      <c r="B190" s="595"/>
      <c r="C190" s="595"/>
      <c r="G190" s="80"/>
      <c r="L190" s="139"/>
      <c r="M190" s="139"/>
      <c r="N190" s="159"/>
    </row>
    <row r="191" spans="2:18" ht="15" customHeight="1">
      <c r="B191" s="595"/>
      <c r="C191" s="595"/>
      <c r="G191" s="80"/>
      <c r="L191" s="139"/>
      <c r="M191" s="139"/>
      <c r="N191" s="159"/>
    </row>
    <row r="192" spans="2:18" ht="15" customHeight="1">
      <c r="B192" s="595"/>
      <c r="C192" s="595"/>
      <c r="G192" s="80"/>
      <c r="L192" s="139"/>
      <c r="M192" s="139"/>
      <c r="N192" s="159"/>
    </row>
    <row r="193" spans="2:14" ht="15" customHeight="1">
      <c r="B193" s="595"/>
      <c r="C193" s="595"/>
      <c r="G193" s="80"/>
      <c r="L193" s="139"/>
      <c r="M193" s="139"/>
      <c r="N193" s="159"/>
    </row>
    <row r="194" spans="2:14" ht="15" customHeight="1">
      <c r="B194" s="595"/>
      <c r="C194" s="595"/>
      <c r="G194" s="80"/>
      <c r="L194" s="139"/>
      <c r="M194" s="139"/>
      <c r="N194" s="159"/>
    </row>
    <row r="195" spans="2:14" ht="15" customHeight="1">
      <c r="B195" s="595"/>
      <c r="C195" s="595"/>
      <c r="G195" s="80"/>
      <c r="L195" s="139"/>
      <c r="M195" s="139"/>
      <c r="N195" s="159"/>
    </row>
    <row r="196" spans="2:14" ht="15" customHeight="1">
      <c r="B196" s="595"/>
      <c r="C196" s="595"/>
      <c r="G196" s="80"/>
      <c r="L196" s="139"/>
      <c r="M196" s="139"/>
      <c r="N196" s="159"/>
    </row>
    <row r="197" spans="2:14" ht="15" customHeight="1">
      <c r="B197" s="595"/>
      <c r="C197" s="595"/>
      <c r="G197" s="80"/>
      <c r="L197" s="139"/>
      <c r="M197" s="139"/>
      <c r="N197" s="159"/>
    </row>
    <row r="198" spans="2:14" ht="15" customHeight="1">
      <c r="B198" s="595"/>
      <c r="C198" s="595"/>
      <c r="G198" s="80"/>
      <c r="L198" s="139"/>
      <c r="M198" s="139"/>
      <c r="N198" s="159"/>
    </row>
    <row r="199" spans="2:14" ht="15" customHeight="1">
      <c r="B199" s="595"/>
      <c r="C199" s="595"/>
      <c r="G199" s="80"/>
      <c r="L199" s="139"/>
      <c r="M199" s="139"/>
      <c r="N199" s="159"/>
    </row>
    <row r="200" spans="2:14" ht="15" customHeight="1">
      <c r="B200" s="595"/>
      <c r="C200" s="595"/>
      <c r="G200" s="80"/>
      <c r="L200" s="139"/>
      <c r="M200" s="139"/>
      <c r="N200" s="159"/>
    </row>
    <row r="201" spans="2:14" ht="15" customHeight="1">
      <c r="B201" s="595"/>
      <c r="C201" s="595"/>
      <c r="G201" s="80"/>
      <c r="L201" s="139"/>
      <c r="M201" s="139"/>
      <c r="N201" s="159"/>
    </row>
    <row r="202" spans="2:14" ht="15" customHeight="1">
      <c r="B202" s="595"/>
      <c r="C202" s="595"/>
      <c r="G202" s="80"/>
      <c r="L202" s="139"/>
      <c r="M202" s="139"/>
      <c r="N202" s="159"/>
    </row>
    <row r="203" spans="2:14" ht="15" customHeight="1">
      <c r="B203" s="595"/>
      <c r="C203" s="595"/>
      <c r="G203" s="80"/>
      <c r="L203" s="139"/>
      <c r="M203" s="139"/>
      <c r="N203" s="159"/>
    </row>
    <row r="204" spans="2:14" ht="15" customHeight="1">
      <c r="B204" s="595"/>
      <c r="C204" s="595"/>
      <c r="G204" s="80"/>
      <c r="L204" s="139"/>
      <c r="M204" s="139"/>
      <c r="N204" s="159"/>
    </row>
    <row r="205" spans="2:14" ht="15" customHeight="1">
      <c r="B205" s="595"/>
      <c r="C205" s="595"/>
      <c r="G205" s="80"/>
      <c r="L205" s="139"/>
      <c r="M205" s="139"/>
      <c r="N205" s="159"/>
    </row>
    <row r="206" spans="2:14" ht="15" customHeight="1">
      <c r="B206" s="595"/>
      <c r="C206" s="595"/>
      <c r="G206" s="80"/>
      <c r="L206" s="139"/>
      <c r="M206" s="139"/>
      <c r="N206" s="159"/>
    </row>
    <row r="207" spans="2:14" ht="15" customHeight="1">
      <c r="B207" s="595"/>
      <c r="C207" s="595"/>
      <c r="G207" s="80"/>
      <c r="L207" s="139"/>
      <c r="M207" s="139"/>
      <c r="N207" s="159"/>
    </row>
    <row r="208" spans="2:14" ht="15" customHeight="1">
      <c r="B208" s="595"/>
      <c r="C208" s="595"/>
      <c r="G208" s="80"/>
      <c r="L208" s="139"/>
      <c r="M208" s="139"/>
      <c r="N208" s="159"/>
    </row>
    <row r="209" spans="2:14" ht="15" customHeight="1">
      <c r="B209" s="595"/>
      <c r="C209" s="595"/>
      <c r="G209" s="80"/>
      <c r="L209" s="139"/>
      <c r="M209" s="139"/>
      <c r="N209" s="159"/>
    </row>
    <row r="210" spans="2:14" ht="15" customHeight="1">
      <c r="B210" s="595"/>
      <c r="C210" s="595"/>
      <c r="G210" s="80"/>
      <c r="L210" s="139"/>
      <c r="M210" s="139"/>
      <c r="N210" s="159"/>
    </row>
    <row r="211" spans="2:14" ht="15" customHeight="1">
      <c r="B211" s="595"/>
      <c r="C211" s="595"/>
      <c r="G211" s="80"/>
      <c r="L211" s="139"/>
      <c r="M211" s="139"/>
      <c r="N211" s="159"/>
    </row>
    <row r="212" spans="2:14" ht="15" customHeight="1">
      <c r="B212" s="595"/>
      <c r="C212" s="595"/>
      <c r="G212" s="80"/>
      <c r="L212" s="139"/>
      <c r="M212" s="139"/>
      <c r="N212" s="159"/>
    </row>
    <row r="213" spans="2:14" ht="15" customHeight="1">
      <c r="B213" s="595"/>
      <c r="C213" s="595"/>
      <c r="G213" s="80"/>
      <c r="L213" s="139"/>
      <c r="M213" s="139"/>
      <c r="N213" s="159"/>
    </row>
    <row r="214" spans="2:14" ht="15" customHeight="1">
      <c r="B214" s="595"/>
      <c r="C214" s="595"/>
      <c r="G214" s="80"/>
      <c r="L214" s="139"/>
      <c r="M214" s="139"/>
      <c r="N214" s="159"/>
    </row>
    <row r="215" spans="2:14" ht="15" customHeight="1">
      <c r="B215" s="595"/>
      <c r="C215" s="595"/>
      <c r="G215" s="80"/>
      <c r="L215" s="139"/>
      <c r="M215" s="139"/>
      <c r="N215" s="159"/>
    </row>
    <row r="216" spans="2:14" ht="15" customHeight="1">
      <c r="B216" s="595"/>
      <c r="C216" s="595"/>
      <c r="G216" s="80"/>
      <c r="L216" s="139"/>
      <c r="M216" s="139"/>
      <c r="N216" s="159"/>
    </row>
    <row r="217" spans="2:14" ht="15" customHeight="1">
      <c r="B217" s="595"/>
      <c r="C217" s="595"/>
      <c r="G217" s="80"/>
      <c r="L217" s="139"/>
      <c r="M217" s="139"/>
      <c r="N217" s="159"/>
    </row>
    <row r="218" spans="2:14" ht="15" customHeight="1">
      <c r="B218" s="595"/>
      <c r="C218" s="595"/>
      <c r="M218" s="139"/>
      <c r="N218" s="159"/>
    </row>
    <row r="219" spans="2:14" ht="15" customHeight="1">
      <c r="B219" s="595"/>
      <c r="C219" s="595"/>
      <c r="M219" s="139"/>
      <c r="N219" s="159"/>
    </row>
    <row r="220" spans="2:14" ht="15" customHeight="1">
      <c r="B220" s="595"/>
      <c r="C220" s="595"/>
      <c r="M220" s="139"/>
      <c r="N220" s="159"/>
    </row>
    <row r="221" spans="2:14" ht="15" customHeight="1">
      <c r="B221" s="595"/>
      <c r="C221" s="595"/>
      <c r="M221" s="139"/>
      <c r="N221" s="159"/>
    </row>
    <row r="222" spans="2:14" ht="15" customHeight="1">
      <c r="B222" s="595"/>
      <c r="C222" s="595"/>
      <c r="M222" s="139"/>
      <c r="N222" s="159"/>
    </row>
    <row r="223" spans="2:14" ht="15" customHeight="1">
      <c r="B223" s="595"/>
      <c r="C223" s="595"/>
      <c r="M223" s="139"/>
      <c r="N223" s="159"/>
    </row>
    <row r="224" spans="2:14" ht="15" customHeight="1">
      <c r="B224" s="595"/>
      <c r="C224" s="595"/>
      <c r="M224" s="139"/>
      <c r="N224" s="159"/>
    </row>
    <row r="225" spans="2:14" ht="15" customHeight="1">
      <c r="B225" s="595"/>
      <c r="C225" s="595"/>
      <c r="M225" s="139"/>
      <c r="N225" s="159"/>
    </row>
    <row r="226" spans="2:14" ht="15" customHeight="1">
      <c r="B226" s="595"/>
      <c r="C226" s="595"/>
      <c r="M226" s="139"/>
      <c r="N226" s="159"/>
    </row>
    <row r="227" spans="2:14" ht="15" customHeight="1">
      <c r="B227" s="595"/>
      <c r="C227" s="595"/>
      <c r="M227" s="139"/>
      <c r="N227" s="159"/>
    </row>
    <row r="228" spans="2:14" ht="15" customHeight="1">
      <c r="B228" s="595"/>
      <c r="C228" s="595"/>
      <c r="M228" s="139"/>
      <c r="N228" s="159"/>
    </row>
    <row r="229" spans="2:14" ht="15" customHeight="1">
      <c r="B229" s="595"/>
      <c r="C229" s="595"/>
      <c r="M229" s="139"/>
      <c r="N229" s="159"/>
    </row>
    <row r="230" spans="2:14" ht="15" customHeight="1">
      <c r="B230" s="595"/>
      <c r="C230" s="595"/>
      <c r="M230" s="139"/>
      <c r="N230" s="159"/>
    </row>
    <row r="231" spans="2:14" ht="15" customHeight="1">
      <c r="B231" s="595"/>
      <c r="C231" s="595"/>
      <c r="M231" s="139"/>
      <c r="N231" s="159"/>
    </row>
    <row r="232" spans="2:14" ht="15" customHeight="1">
      <c r="B232" s="595"/>
      <c r="C232" s="595"/>
      <c r="M232" s="139"/>
      <c r="N232" s="159"/>
    </row>
    <row r="233" spans="2:14" ht="15" customHeight="1">
      <c r="B233" s="595"/>
      <c r="C233" s="595"/>
      <c r="M233" s="139"/>
      <c r="N233" s="159"/>
    </row>
    <row r="234" spans="2:14" ht="15" customHeight="1">
      <c r="B234" s="595"/>
      <c r="C234" s="595"/>
      <c r="M234" s="139"/>
      <c r="N234" s="159"/>
    </row>
    <row r="235" spans="2:14" ht="15" customHeight="1">
      <c r="B235" s="595"/>
      <c r="C235" s="595"/>
      <c r="M235" s="139"/>
      <c r="N235" s="159"/>
    </row>
    <row r="236" spans="2:14" ht="15" customHeight="1">
      <c r="B236" s="595"/>
      <c r="C236" s="595"/>
      <c r="M236" s="139"/>
      <c r="N236" s="159"/>
    </row>
    <row r="237" spans="2:14" ht="15" customHeight="1">
      <c r="B237" s="595"/>
      <c r="C237" s="595"/>
      <c r="M237" s="139"/>
      <c r="N237" s="159"/>
    </row>
    <row r="238" spans="2:14" ht="15" customHeight="1">
      <c r="B238" s="595"/>
      <c r="C238" s="595"/>
      <c r="M238" s="139"/>
      <c r="N238" s="159"/>
    </row>
    <row r="239" spans="2:14" ht="15" customHeight="1">
      <c r="B239" s="595"/>
      <c r="C239" s="595"/>
      <c r="M239" s="139"/>
      <c r="N239" s="159"/>
    </row>
    <row r="240" spans="2:14" ht="15" customHeight="1">
      <c r="B240" s="595"/>
      <c r="C240" s="595"/>
      <c r="M240" s="139"/>
      <c r="N240" s="159"/>
    </row>
    <row r="241" spans="2:14" ht="15" customHeight="1">
      <c r="B241" s="595"/>
      <c r="C241" s="595"/>
      <c r="M241" s="139"/>
      <c r="N241" s="159"/>
    </row>
    <row r="242" spans="2:14" ht="15" customHeight="1">
      <c r="B242" s="595"/>
      <c r="C242" s="595"/>
      <c r="M242" s="139"/>
      <c r="N242" s="159"/>
    </row>
    <row r="243" spans="2:14" ht="15" customHeight="1">
      <c r="B243" s="595"/>
      <c r="C243" s="595"/>
      <c r="M243" s="139"/>
      <c r="N243" s="159"/>
    </row>
    <row r="244" spans="2:14" ht="15" customHeight="1">
      <c r="B244" s="595"/>
      <c r="C244" s="595"/>
      <c r="M244" s="139"/>
      <c r="N244" s="159"/>
    </row>
    <row r="245" spans="2:14" ht="15" customHeight="1">
      <c r="B245" s="595"/>
      <c r="C245" s="595"/>
      <c r="M245" s="139"/>
      <c r="N245" s="159"/>
    </row>
    <row r="246" spans="2:14" ht="15" customHeight="1">
      <c r="B246" s="595"/>
      <c r="C246" s="595"/>
      <c r="M246" s="139"/>
      <c r="N246" s="159"/>
    </row>
    <row r="247" spans="2:14" ht="15" customHeight="1">
      <c r="B247" s="595"/>
      <c r="C247" s="595"/>
      <c r="M247" s="139"/>
      <c r="N247" s="159"/>
    </row>
    <row r="248" spans="2:14" ht="15" customHeight="1">
      <c r="B248" s="595"/>
      <c r="C248" s="595"/>
      <c r="M248" s="139"/>
      <c r="N248" s="159"/>
    </row>
    <row r="249" spans="2:14" ht="15" customHeight="1">
      <c r="B249" s="595"/>
      <c r="C249" s="595"/>
      <c r="M249" s="139"/>
      <c r="N249" s="159"/>
    </row>
    <row r="250" spans="2:14" ht="15" customHeight="1">
      <c r="B250" s="595"/>
      <c r="C250" s="595"/>
      <c r="M250" s="139"/>
      <c r="N250" s="159"/>
    </row>
    <row r="251" spans="2:14" ht="15" customHeight="1">
      <c r="B251" s="595"/>
      <c r="C251" s="595"/>
      <c r="M251" s="139"/>
      <c r="N251" s="159"/>
    </row>
    <row r="252" spans="2:14" ht="15" customHeight="1">
      <c r="B252" s="595"/>
      <c r="C252" s="595"/>
      <c r="M252" s="139"/>
      <c r="N252" s="159"/>
    </row>
    <row r="253" spans="2:14" ht="15" customHeight="1">
      <c r="B253" s="595"/>
      <c r="C253" s="595"/>
      <c r="M253" s="139"/>
      <c r="N253" s="159"/>
    </row>
    <row r="254" spans="2:14" ht="15" customHeight="1">
      <c r="B254" s="595"/>
      <c r="C254" s="595"/>
      <c r="M254" s="139"/>
      <c r="N254" s="159"/>
    </row>
    <row r="255" spans="2:14" ht="15" customHeight="1">
      <c r="B255" s="595"/>
      <c r="C255" s="595"/>
      <c r="M255" s="139"/>
      <c r="N255" s="159"/>
    </row>
    <row r="256" spans="2:14" ht="15" customHeight="1">
      <c r="B256" s="595"/>
      <c r="C256" s="595"/>
      <c r="M256" s="139"/>
      <c r="N256" s="159"/>
    </row>
    <row r="257" spans="2:14" ht="15" customHeight="1">
      <c r="B257" s="595"/>
      <c r="C257" s="595"/>
      <c r="M257" s="139"/>
      <c r="N257" s="159"/>
    </row>
    <row r="258" spans="2:14" ht="15" customHeight="1">
      <c r="B258" s="595"/>
      <c r="C258" s="595"/>
      <c r="M258" s="139"/>
      <c r="N258" s="159"/>
    </row>
    <row r="259" spans="2:14" ht="15" customHeight="1">
      <c r="B259" s="595"/>
      <c r="C259" s="595"/>
      <c r="M259" s="139"/>
      <c r="N259" s="159"/>
    </row>
    <row r="260" spans="2:14" ht="15" customHeight="1">
      <c r="B260" s="595"/>
      <c r="C260" s="595"/>
      <c r="M260" s="139"/>
      <c r="N260" s="159"/>
    </row>
    <row r="261" spans="2:14" ht="15" customHeight="1">
      <c r="B261" s="595"/>
      <c r="C261" s="595"/>
      <c r="M261" s="139"/>
      <c r="N261" s="159"/>
    </row>
    <row r="262" spans="2:14" ht="15" customHeight="1">
      <c r="B262" s="595"/>
      <c r="C262" s="595"/>
      <c r="M262" s="139"/>
      <c r="N262" s="159"/>
    </row>
    <row r="263" spans="2:14" ht="15" customHeight="1">
      <c r="B263" s="595"/>
      <c r="C263" s="595"/>
      <c r="M263" s="139"/>
      <c r="N263" s="159"/>
    </row>
    <row r="264" spans="2:14" ht="15" customHeight="1">
      <c r="B264" s="595"/>
      <c r="C264" s="595"/>
      <c r="M264" s="139"/>
      <c r="N264" s="159"/>
    </row>
    <row r="265" spans="2:14" ht="15" customHeight="1">
      <c r="B265" s="595"/>
      <c r="C265" s="595"/>
      <c r="M265" s="139"/>
      <c r="N265" s="159"/>
    </row>
    <row r="266" spans="2:14" ht="15" customHeight="1">
      <c r="B266" s="595"/>
      <c r="C266" s="595"/>
      <c r="M266" s="139"/>
      <c r="N266" s="159"/>
    </row>
    <row r="267" spans="2:14" ht="15" customHeight="1">
      <c r="B267" s="595"/>
      <c r="C267" s="595"/>
      <c r="M267" s="139"/>
      <c r="N267" s="159"/>
    </row>
    <row r="268" spans="2:14" ht="15" customHeight="1">
      <c r="B268" s="595"/>
      <c r="C268" s="595"/>
      <c r="M268" s="139"/>
      <c r="N268" s="159"/>
    </row>
    <row r="269" spans="2:14" ht="15" customHeight="1">
      <c r="B269" s="595"/>
      <c r="C269" s="595"/>
      <c r="M269" s="139"/>
      <c r="N269" s="159"/>
    </row>
    <row r="270" spans="2:14" ht="15" customHeight="1">
      <c r="B270" s="595"/>
      <c r="C270" s="595"/>
      <c r="M270" s="139"/>
      <c r="N270" s="159"/>
    </row>
    <row r="271" spans="2:14" ht="15" customHeight="1">
      <c r="B271" s="595"/>
      <c r="C271" s="595"/>
      <c r="M271" s="139"/>
      <c r="N271" s="159"/>
    </row>
    <row r="272" spans="2:14" ht="15" customHeight="1">
      <c r="B272" s="595"/>
      <c r="C272" s="595"/>
      <c r="M272" s="139"/>
      <c r="N272" s="159"/>
    </row>
    <row r="273" spans="2:14" ht="15" customHeight="1">
      <c r="B273" s="595"/>
      <c r="C273" s="595"/>
      <c r="M273" s="139"/>
      <c r="N273" s="159"/>
    </row>
    <row r="274" spans="2:14" ht="15" customHeight="1">
      <c r="B274" s="595"/>
      <c r="C274" s="595"/>
      <c r="M274" s="139"/>
      <c r="N274" s="159"/>
    </row>
    <row r="275" spans="2:14" ht="15" customHeight="1">
      <c r="B275" s="595"/>
      <c r="C275" s="595"/>
      <c r="M275" s="139"/>
      <c r="N275" s="159"/>
    </row>
    <row r="276" spans="2:14" ht="15" customHeight="1">
      <c r="B276" s="595"/>
      <c r="C276" s="595"/>
      <c r="M276" s="139"/>
      <c r="N276" s="159"/>
    </row>
    <row r="277" spans="2:14" ht="15" customHeight="1">
      <c r="M277" s="139"/>
      <c r="N277" s="159"/>
    </row>
    <row r="278" spans="2:14" ht="15" customHeight="1">
      <c r="M278" s="139"/>
      <c r="N278" s="159"/>
    </row>
    <row r="279" spans="2:14" ht="15" customHeight="1">
      <c r="M279" s="139"/>
      <c r="N279" s="159"/>
    </row>
    <row r="280" spans="2:14" ht="15" customHeight="1">
      <c r="M280" s="139"/>
      <c r="N280" s="159"/>
    </row>
    <row r="281" spans="2:14" ht="15" customHeight="1">
      <c r="M281" s="139"/>
      <c r="N281" s="159"/>
    </row>
    <row r="282" spans="2:14" ht="15" customHeight="1">
      <c r="M282" s="139"/>
      <c r="N282" s="159"/>
    </row>
    <row r="283" spans="2:14" ht="15" customHeight="1">
      <c r="M283" s="139"/>
      <c r="N283" s="159"/>
    </row>
    <row r="284" spans="2:14" ht="15" customHeight="1">
      <c r="M284" s="139"/>
      <c r="N284" s="159"/>
    </row>
    <row r="285" spans="2:14" ht="15" customHeight="1">
      <c r="M285" s="139"/>
      <c r="N285" s="159"/>
    </row>
    <row r="286" spans="2:14" ht="15" customHeight="1">
      <c r="M286" s="139"/>
      <c r="N286" s="159"/>
    </row>
    <row r="287" spans="2:14" ht="15" customHeight="1">
      <c r="M287" s="139"/>
      <c r="N287" s="159"/>
    </row>
    <row r="288" spans="2:14" ht="15" customHeight="1">
      <c r="M288" s="139"/>
      <c r="N288" s="159"/>
    </row>
    <row r="289" spans="13:14" ht="15" customHeight="1">
      <c r="M289" s="139"/>
      <c r="N289" s="159"/>
    </row>
    <row r="290" spans="13:14" ht="15" customHeight="1">
      <c r="M290" s="139"/>
      <c r="N290" s="159"/>
    </row>
    <row r="291" spans="13:14" ht="15" customHeight="1">
      <c r="M291" s="139"/>
      <c r="N291" s="159"/>
    </row>
    <row r="292" spans="13:14" ht="15" customHeight="1">
      <c r="M292" s="139"/>
      <c r="N292" s="159"/>
    </row>
    <row r="293" spans="13:14" ht="15" customHeight="1">
      <c r="M293" s="139"/>
      <c r="N293" s="159"/>
    </row>
    <row r="294" spans="13:14" ht="15" customHeight="1">
      <c r="M294" s="139"/>
      <c r="N294" s="159"/>
    </row>
    <row r="295" spans="13:14" ht="15" customHeight="1">
      <c r="M295" s="139"/>
      <c r="N295" s="159"/>
    </row>
    <row r="296" spans="13:14" ht="15" customHeight="1">
      <c r="M296" s="139"/>
      <c r="N296" s="159"/>
    </row>
    <row r="297" spans="13:14" ht="15" customHeight="1">
      <c r="M297" s="139"/>
      <c r="N297" s="159"/>
    </row>
    <row r="298" spans="13:14" ht="15" customHeight="1">
      <c r="M298" s="139"/>
      <c r="N298" s="159"/>
    </row>
    <row r="299" spans="13:14" ht="15" customHeight="1">
      <c r="M299" s="139"/>
      <c r="N299" s="159"/>
    </row>
    <row r="300" spans="13:14" ht="15" customHeight="1">
      <c r="M300" s="139"/>
      <c r="N300" s="159"/>
    </row>
    <row r="301" spans="13:14" ht="15" customHeight="1">
      <c r="M301" s="139"/>
      <c r="N301" s="159"/>
    </row>
    <row r="302" spans="13:14" ht="15" customHeight="1">
      <c r="M302" s="139"/>
      <c r="N302" s="159"/>
    </row>
    <row r="303" spans="13:14" ht="15" customHeight="1">
      <c r="M303" s="139"/>
      <c r="N303" s="159"/>
    </row>
    <row r="304" spans="13:14" ht="15" customHeight="1">
      <c r="M304" s="139"/>
      <c r="N304" s="159"/>
    </row>
    <row r="305" spans="13:14" ht="15" customHeight="1">
      <c r="M305" s="139"/>
      <c r="N305" s="159"/>
    </row>
    <row r="306" spans="13:14" ht="15" customHeight="1">
      <c r="M306" s="139"/>
      <c r="N306" s="159"/>
    </row>
    <row r="307" spans="13:14" ht="15" customHeight="1">
      <c r="M307" s="139"/>
      <c r="N307" s="159"/>
    </row>
    <row r="308" spans="13:14" ht="15" customHeight="1">
      <c r="M308" s="139"/>
      <c r="N308" s="159"/>
    </row>
    <row r="309" spans="13:14" ht="15" customHeight="1">
      <c r="M309" s="139"/>
      <c r="N309" s="159"/>
    </row>
    <row r="310" spans="13:14" ht="15" customHeight="1">
      <c r="M310" s="139"/>
      <c r="N310" s="159"/>
    </row>
    <row r="311" spans="13:14" ht="15" customHeight="1">
      <c r="M311" s="139"/>
      <c r="N311" s="159"/>
    </row>
    <row r="312" spans="13:14" ht="15" customHeight="1">
      <c r="M312" s="139"/>
      <c r="N312" s="159"/>
    </row>
    <row r="313" spans="13:14" ht="15" customHeight="1">
      <c r="M313" s="139"/>
      <c r="N313" s="159"/>
    </row>
    <row r="314" spans="13:14" ht="15" customHeight="1">
      <c r="M314" s="139"/>
      <c r="N314" s="159"/>
    </row>
    <row r="315" spans="13:14" ht="15" customHeight="1">
      <c r="M315" s="139"/>
      <c r="N315" s="159"/>
    </row>
    <row r="316" spans="13:14" ht="15" customHeight="1">
      <c r="M316" s="139"/>
      <c r="N316" s="159"/>
    </row>
    <row r="317" spans="13:14" ht="15" customHeight="1">
      <c r="M317" s="139"/>
      <c r="N317" s="159"/>
    </row>
    <row r="318" spans="13:14" ht="15" customHeight="1">
      <c r="M318" s="139"/>
      <c r="N318" s="159"/>
    </row>
    <row r="319" spans="13:14" ht="15" customHeight="1">
      <c r="M319" s="139"/>
      <c r="N319" s="159"/>
    </row>
    <row r="320" spans="13:14" ht="15" customHeight="1">
      <c r="M320" s="139"/>
      <c r="N320" s="159"/>
    </row>
    <row r="321" spans="13:14" ht="15" customHeight="1">
      <c r="M321" s="139"/>
      <c r="N321" s="159"/>
    </row>
    <row r="322" spans="13:14" ht="15" customHeight="1">
      <c r="M322" s="139"/>
      <c r="N322" s="159"/>
    </row>
    <row r="323" spans="13:14" ht="15" customHeight="1">
      <c r="M323" s="139"/>
      <c r="N323" s="159"/>
    </row>
    <row r="324" spans="13:14" ht="15" customHeight="1">
      <c r="M324" s="139"/>
      <c r="N324" s="159"/>
    </row>
    <row r="325" spans="13:14" ht="15" customHeight="1">
      <c r="M325" s="139"/>
      <c r="N325" s="159"/>
    </row>
    <row r="326" spans="13:14" ht="15" customHeight="1">
      <c r="M326" s="139"/>
      <c r="N326" s="159"/>
    </row>
    <row r="327" spans="13:14" ht="15" customHeight="1">
      <c r="M327" s="139"/>
      <c r="N327" s="159"/>
    </row>
    <row r="328" spans="13:14" ht="15" customHeight="1">
      <c r="M328" s="139"/>
      <c r="N328" s="159"/>
    </row>
    <row r="329" spans="13:14" ht="15" customHeight="1">
      <c r="M329" s="139"/>
      <c r="N329" s="159"/>
    </row>
    <row r="330" spans="13:14" ht="15" customHeight="1">
      <c r="M330" s="139"/>
      <c r="N330" s="159"/>
    </row>
    <row r="331" spans="13:14" ht="15" customHeight="1">
      <c r="M331" s="139"/>
      <c r="N331" s="159"/>
    </row>
    <row r="332" spans="13:14" ht="15" customHeight="1">
      <c r="M332" s="139"/>
      <c r="N332" s="159"/>
    </row>
    <row r="333" spans="13:14" ht="15" customHeight="1">
      <c r="M333" s="139"/>
      <c r="N333" s="159"/>
    </row>
    <row r="334" spans="13:14" ht="15" customHeight="1">
      <c r="M334" s="139"/>
      <c r="N334" s="159"/>
    </row>
    <row r="335" spans="13:14" ht="15" customHeight="1">
      <c r="M335" s="139"/>
      <c r="N335" s="159"/>
    </row>
    <row r="336" spans="13:14" ht="15" customHeight="1">
      <c r="M336" s="139"/>
      <c r="N336" s="159"/>
    </row>
    <row r="337" spans="13:14" ht="15" customHeight="1">
      <c r="M337" s="139"/>
      <c r="N337" s="159"/>
    </row>
    <row r="338" spans="13:14" ht="15" customHeight="1">
      <c r="M338" s="139"/>
      <c r="N338" s="159"/>
    </row>
    <row r="339" spans="13:14" ht="15" customHeight="1">
      <c r="M339" s="139"/>
      <c r="N339" s="159"/>
    </row>
    <row r="340" spans="13:14" ht="15" customHeight="1">
      <c r="M340" s="139"/>
      <c r="N340" s="159"/>
    </row>
    <row r="341" spans="13:14" ht="15" customHeight="1">
      <c r="M341" s="139"/>
      <c r="N341" s="159"/>
    </row>
    <row r="342" spans="13:14" ht="15" customHeight="1">
      <c r="M342" s="139"/>
      <c r="N342" s="159"/>
    </row>
    <row r="343" spans="13:14" ht="15" customHeight="1">
      <c r="M343" s="139"/>
      <c r="N343" s="159"/>
    </row>
    <row r="344" spans="13:14" ht="15" customHeight="1">
      <c r="M344" s="139"/>
      <c r="N344" s="159"/>
    </row>
    <row r="345" spans="13:14" ht="15" customHeight="1">
      <c r="M345" s="139"/>
      <c r="N345" s="159"/>
    </row>
    <row r="346" spans="13:14" ht="15" customHeight="1">
      <c r="M346" s="139"/>
      <c r="N346" s="159"/>
    </row>
    <row r="347" spans="13:14" ht="15" customHeight="1">
      <c r="M347" s="139"/>
      <c r="N347" s="159"/>
    </row>
    <row r="348" spans="13:14" ht="15" customHeight="1">
      <c r="M348" s="139"/>
      <c r="N348" s="159"/>
    </row>
    <row r="349" spans="13:14" ht="15" customHeight="1">
      <c r="M349" s="139"/>
      <c r="N349" s="159"/>
    </row>
    <row r="350" spans="13:14" ht="15" customHeight="1">
      <c r="M350" s="139"/>
      <c r="N350" s="159"/>
    </row>
    <row r="351" spans="13:14" ht="15" customHeight="1">
      <c r="M351" s="139"/>
      <c r="N351" s="159"/>
    </row>
    <row r="352" spans="13:14" ht="15" customHeight="1">
      <c r="M352" s="139"/>
      <c r="N352" s="159"/>
    </row>
    <row r="353" spans="13:14" ht="15" customHeight="1">
      <c r="M353" s="139"/>
      <c r="N353" s="159"/>
    </row>
    <row r="354" spans="13:14" ht="15" customHeight="1">
      <c r="M354" s="139"/>
      <c r="N354" s="159"/>
    </row>
    <row r="355" spans="13:14" ht="15" customHeight="1">
      <c r="M355" s="139"/>
      <c r="N355" s="159"/>
    </row>
    <row r="356" spans="13:14" ht="15" customHeight="1">
      <c r="M356" s="139"/>
      <c r="N356" s="159"/>
    </row>
    <row r="357" spans="13:14" ht="15" customHeight="1">
      <c r="M357" s="139"/>
      <c r="N357" s="159"/>
    </row>
    <row r="358" spans="13:14" ht="15" customHeight="1">
      <c r="M358" s="139"/>
      <c r="N358" s="159"/>
    </row>
    <row r="359" spans="13:14" ht="15" customHeight="1">
      <c r="M359" s="139"/>
      <c r="N359" s="159"/>
    </row>
    <row r="360" spans="13:14" ht="15" customHeight="1">
      <c r="M360" s="139"/>
      <c r="N360" s="159"/>
    </row>
    <row r="361" spans="13:14" ht="15" customHeight="1">
      <c r="M361" s="139"/>
      <c r="N361" s="159"/>
    </row>
    <row r="362" spans="13:14" ht="15" customHeight="1">
      <c r="M362" s="139"/>
      <c r="N362" s="159"/>
    </row>
    <row r="363" spans="13:14" ht="15" customHeight="1">
      <c r="M363" s="139"/>
      <c r="N363" s="159"/>
    </row>
    <row r="364" spans="13:14" ht="15" customHeight="1">
      <c r="M364" s="139"/>
      <c r="N364" s="159"/>
    </row>
    <row r="365" spans="13:14" ht="15" customHeight="1">
      <c r="M365" s="139"/>
      <c r="N365" s="159"/>
    </row>
    <row r="366" spans="13:14" ht="15" customHeight="1">
      <c r="M366" s="139"/>
      <c r="N366" s="159"/>
    </row>
    <row r="367" spans="13:14" ht="15" customHeight="1">
      <c r="M367" s="139"/>
      <c r="N367" s="159"/>
    </row>
    <row r="368" spans="13:14" ht="15" customHeight="1">
      <c r="M368" s="139"/>
      <c r="N368" s="159"/>
    </row>
    <row r="369" spans="13:14" ht="15" customHeight="1">
      <c r="M369" s="139"/>
      <c r="N369" s="159"/>
    </row>
    <row r="370" spans="13:14" ht="15" customHeight="1">
      <c r="M370" s="139"/>
      <c r="N370" s="159"/>
    </row>
    <row r="371" spans="13:14" ht="15" customHeight="1">
      <c r="M371" s="139"/>
      <c r="N371" s="159"/>
    </row>
    <row r="372" spans="13:14" ht="15" customHeight="1">
      <c r="M372" s="139"/>
      <c r="N372" s="159"/>
    </row>
    <row r="373" spans="13:14" ht="15" customHeight="1">
      <c r="N373" s="159"/>
    </row>
    <row r="374" spans="13:14" ht="15" customHeight="1">
      <c r="N374" s="159"/>
    </row>
    <row r="375" spans="13:14" ht="15" customHeight="1">
      <c r="N375" s="159"/>
    </row>
    <row r="376" spans="13:14" ht="15" customHeight="1">
      <c r="N376" s="159"/>
    </row>
    <row r="377" spans="13:14" ht="15" customHeight="1">
      <c r="N377" s="159"/>
    </row>
    <row r="378" spans="13:14" ht="15" customHeight="1">
      <c r="N378" s="159"/>
    </row>
  </sheetData>
  <autoFilter ref="A3:AL4" xr:uid="{00000000-0009-0000-0000-000005000000}">
    <sortState xmlns:xlrd2="http://schemas.microsoft.com/office/spreadsheetml/2017/richdata2" ref="A4:AL19">
      <sortCondition ref="A3:A4"/>
    </sortState>
  </autoFilter>
  <pageMargins left="0.7" right="0.7" top="0.75" bottom="0.75" header="0" footer="0"/>
  <pageSetup scale="17" fitToHeight="0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6">
    <tabColor rgb="FF00B050"/>
    <pageSetUpPr fitToPage="1"/>
  </sheetPr>
  <dimension ref="A1:AS1275"/>
  <sheetViews>
    <sheetView showGridLines="0" zoomScale="90" zoomScaleNormal="90" workbookViewId="0">
      <pane xSplit="4" ySplit="3" topLeftCell="AD12" activePane="bottomRight" state="frozen"/>
      <selection pane="topRight" activeCell="E1" sqref="E1"/>
      <selection pane="bottomLeft" activeCell="A4" sqref="A4"/>
      <selection pane="bottomRight" activeCell="AG23" sqref="AG23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2.88671875" customWidth="1"/>
    <col min="4" max="4" width="36.88671875" customWidth="1"/>
    <col min="5" max="5" width="13.109375" customWidth="1"/>
    <col min="6" max="6" width="22.5546875" customWidth="1"/>
    <col min="7" max="7" width="11.6640625" customWidth="1"/>
    <col min="8" max="8" width="11.44140625" customWidth="1"/>
    <col min="9" max="9" width="11.5546875" customWidth="1"/>
    <col min="10" max="10" width="10.66406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5.33203125" customWidth="1"/>
    <col min="41" max="41" width="14.44140625" customWidth="1"/>
    <col min="42" max="42" width="10.88671875" customWidth="1"/>
    <col min="43" max="43" width="12.6640625" customWidth="1"/>
  </cols>
  <sheetData>
    <row r="1" spans="1:45" ht="15" customHeight="1" thickBot="1">
      <c r="A1" s="1198"/>
      <c r="D1" s="1075" t="s">
        <v>2275</v>
      </c>
      <c r="E1" s="1076">
        <f>+AI3</f>
        <v>4634.8583926228739</v>
      </c>
      <c r="F1" s="1075" t="s">
        <v>1906</v>
      </c>
      <c r="G1" s="1076">
        <f>+$AM3</f>
        <v>331445.86444089311</v>
      </c>
      <c r="H1" s="81"/>
      <c r="I1" s="843">
        <f>+E1-E2</f>
        <v>318.53479946815332</v>
      </c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45" ht="15" customHeight="1" thickBot="1">
      <c r="B2" s="847"/>
      <c r="D2" s="1075" t="s">
        <v>1907</v>
      </c>
      <c r="E2" s="1076">
        <f>+AH3</f>
        <v>4316.3235931547206</v>
      </c>
      <c r="F2" s="1079" t="s">
        <v>1908</v>
      </c>
      <c r="G2" s="1080">
        <f>+Q2</f>
        <v>93.258731524207349</v>
      </c>
      <c r="H2" s="90"/>
      <c r="I2" s="91">
        <f>SUBTOTAL(9,I4:I203)</f>
        <v>548.82000000000005</v>
      </c>
      <c r="J2" s="81"/>
      <c r="K2" s="91">
        <f>SUBTOTAL(9,K4:K203)</f>
        <v>510.03084199999989</v>
      </c>
      <c r="L2" s="1202">
        <f>+SUMPRODUCT(L5:L203,K5:K203)/K2</f>
        <v>0.26505192424225993</v>
      </c>
      <c r="M2" s="6"/>
      <c r="P2" s="94">
        <f>+SUMPRODUCT(P4:P203,AH4:AH203)/SUM(AH4:AH203)</f>
        <v>87.924436094215679</v>
      </c>
      <c r="Q2" s="1201">
        <f>+SUMPRODUCT(Q4:Q203,AH4:AH203)/SUM(AH4:AH203)</f>
        <v>93.258731524207349</v>
      </c>
      <c r="R2" s="1151">
        <f>+SUMPRODUCT(R4:R203,AH4:AH203)/SUM(AH4:AH203)</f>
        <v>3340.134197397434</v>
      </c>
      <c r="S2" s="6"/>
      <c r="AB2" s="83"/>
      <c r="AC2" s="83"/>
      <c r="AD2" s="83"/>
      <c r="AE2" s="83"/>
      <c r="AF2" s="83"/>
      <c r="AG2" s="1209">
        <f>SUMPRODUCT($AG4:$AG203,$K4:$K203)/SUM($K4:$K203)</f>
        <v>120.37384024158446</v>
      </c>
      <c r="AH2" s="702"/>
      <c r="AI2" s="631"/>
      <c r="AJ2" s="252">
        <v>3350</v>
      </c>
      <c r="AK2" s="98"/>
      <c r="AL2" s="88"/>
      <c r="AM2" s="99"/>
      <c r="AN2" s="1181"/>
      <c r="AO2" s="99"/>
    </row>
    <row r="3" spans="1:45" ht="15" customHeight="1" thickBot="1">
      <c r="A3" s="678" t="s">
        <v>11</v>
      </c>
      <c r="B3" s="678" t="s">
        <v>39</v>
      </c>
      <c r="C3" s="678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18">
        <f>SUBTOTAL(9,AH4:AH203)</f>
        <v>4316.3235931547206</v>
      </c>
      <c r="AI3" s="118">
        <f>SUBTOTAL(9,AI4:AI203)</f>
        <v>4634.8583926228739</v>
      </c>
      <c r="AJ3" s="700">
        <f>SUMPRODUCT(K4:K203,AJ4:AJ203)/K2</f>
        <v>29.639048712422255</v>
      </c>
      <c r="AK3" s="118">
        <f>SUBTOTAL(9,AK4:AK203)</f>
        <v>3908.1960904404291</v>
      </c>
      <c r="AL3" s="88"/>
      <c r="AM3" s="118">
        <f>SUBTOTAL(9,AM4:AM203)</f>
        <v>331445.86444089311</v>
      </c>
      <c r="AN3" s="1182" t="s">
        <v>2247</v>
      </c>
      <c r="AO3" s="1168" t="s">
        <v>2283</v>
      </c>
      <c r="AP3" t="s">
        <v>2351</v>
      </c>
      <c r="AQ3" t="s">
        <v>2352</v>
      </c>
      <c r="AS3" s="1216">
        <f>SUBTOTAL(9,AS4:AS203)</f>
        <v>63284.877300757282</v>
      </c>
    </row>
    <row r="4" spans="1:45" s="677" customFormat="1" ht="15.75" customHeight="1">
      <c r="A4" s="720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45" ht="15" customHeight="1">
      <c r="A5" s="747" t="s">
        <v>2123</v>
      </c>
      <c r="B5" s="595">
        <v>45804</v>
      </c>
      <c r="C5" s="595">
        <v>45781</v>
      </c>
      <c r="D5" t="s">
        <v>119</v>
      </c>
      <c r="E5">
        <f>_xlfn.XLOOKUP(D5,RUC!$B$3:$B$123,RUC!$D$3:$D$123)</f>
        <v>10082235774</v>
      </c>
      <c r="G5" s="80">
        <v>68</v>
      </c>
      <c r="H5" t="s">
        <v>69</v>
      </c>
      <c r="I5">
        <v>6.64</v>
      </c>
      <c r="J5" s="596">
        <v>1.6</v>
      </c>
      <c r="K5" s="138">
        <f t="shared" ref="K5:K48" si="0">+I5-(I5*(J5/100))</f>
        <v>6.53376</v>
      </c>
      <c r="L5" s="708">
        <v>0.26100000000000001</v>
      </c>
      <c r="M5" s="708">
        <v>0.26100000000000001</v>
      </c>
      <c r="N5" s="1092">
        <v>0.26100000000000001</v>
      </c>
      <c r="O5" s="645">
        <f t="shared" ref="O5:O21" si="1">+ROUND((M5+N5)/2,3)</f>
        <v>0.26100000000000001</v>
      </c>
      <c r="P5" s="727">
        <v>85</v>
      </c>
      <c r="Q5" s="1148">
        <v>87.31</v>
      </c>
      <c r="R5" s="706">
        <v>3391.45</v>
      </c>
      <c r="S5" s="802">
        <v>105</v>
      </c>
      <c r="U5" s="1091">
        <v>80</v>
      </c>
      <c r="V5" s="715">
        <v>1.1023000000000001</v>
      </c>
      <c r="Z5" s="1034">
        <v>10</v>
      </c>
      <c r="AA5" s="144">
        <f t="shared" ref="AA5:AA48" si="2">+Y5+Z5</f>
        <v>10</v>
      </c>
      <c r="AB5" s="145">
        <f t="shared" ref="AB5:AB6" si="3">+((O5*P5*(R5-U5)/100)-S5-AA5+T5)*V5</f>
        <v>683.03488466975011</v>
      </c>
      <c r="AC5" s="145">
        <f>+(S5-T5)*V5-'data 1'!$F$4</f>
        <v>35.741500000000002</v>
      </c>
      <c r="AD5" s="145">
        <f t="shared" ref="AD5:AD31" si="4">+(Q5-P5)*(R5-U5)*L5*V5/100</f>
        <v>22.007489159848518</v>
      </c>
      <c r="AE5" s="145">
        <f t="shared" ref="AE5:AE48" si="5">+(Y5*V5-70)+V5*(Z5-IF(D5="UNTUCA",IF(+((W5-3)*2.5+(X5-3)*3.1)&gt;0,+((W5-3)*1.5+(X5-3)*3.1),0),IF(+((W5-3)*1.5+(X5-3)*3.1)&gt;0,+((W5-3)*1.5+(X5-3)*3.1),0)))</f>
        <v>-58.977000000000004</v>
      </c>
      <c r="AF5" s="145">
        <f t="shared" ref="AF5:AF31" si="6">(L5-O5)*(R5-U5)*Q5*V5/100</f>
        <v>0</v>
      </c>
      <c r="AG5" s="772">
        <f>+IF(D5="RONALD WILLIAN GARIBAY ESCUDERO",AC5+AD5+AE5+AF5+70,AC5+AD5+AE5+AF5)+70</f>
        <v>68.771989159848516</v>
      </c>
      <c r="AH5" s="146">
        <f t="shared" ref="AH5:AH48" si="7">31.1035*L5*Q5*1.1023*K5/100</f>
        <v>51.047766210939116</v>
      </c>
      <c r="AI5" s="146">
        <f t="shared" ref="AI5:AI12" si="8">(31.1035*L5*1.1023*K5)</f>
        <v>58.467261723673246</v>
      </c>
      <c r="AJ5" s="156">
        <f t="shared" ref="AJ5:AJ31" si="9">+((+$AJ$2-R5+U5)*L5*Q5*V5)/100</f>
        <v>9.6834181359015474</v>
      </c>
      <c r="AK5" s="141">
        <f t="shared" ref="AK5:AK48" si="10">31.1035*1.1023*K5*P5*O5/100</f>
        <v>49.697172465122264</v>
      </c>
      <c r="AL5" s="88"/>
      <c r="AM5" s="716">
        <f t="shared" ref="AM5:AM48" si="11">+IF(AB5*K5&gt;0,AB5*K5,0)</f>
        <v>4462.7860080598266</v>
      </c>
      <c r="AN5" s="716" t="str">
        <f>_xlfn.XLOOKUP(D5,RUC!$B$3:$B$578,RUC!$M$3:$M$578)</f>
        <v>Melchor Vera</v>
      </c>
      <c r="AO5" s="1167" t="s">
        <v>2280</v>
      </c>
      <c r="AS5" s="1212">
        <f t="shared" ref="AS5:AS48" si="12">+(AH5*AJ$2*0.995)/31.1035-K5*(80+53)-AM5</f>
        <v>138.82904392251749</v>
      </c>
    </row>
    <row r="6" spans="1:45" ht="15" customHeight="1">
      <c r="A6" s="747" t="s">
        <v>2131</v>
      </c>
      <c r="B6" s="595">
        <v>45795</v>
      </c>
      <c r="C6" s="595">
        <v>45787</v>
      </c>
      <c r="D6" t="s">
        <v>154</v>
      </c>
      <c r="E6">
        <f>_xlfn.XLOOKUP(D6,RUC!$B$3:$B$123,RUC!$D$3:$D$123)</f>
        <v>10416085884</v>
      </c>
      <c r="G6" s="80" t="s">
        <v>1434</v>
      </c>
      <c r="H6" t="s">
        <v>69</v>
      </c>
      <c r="I6" s="596">
        <v>28.54</v>
      </c>
      <c r="J6" s="596">
        <v>8</v>
      </c>
      <c r="K6" s="138">
        <f t="shared" si="0"/>
        <v>26.256799999999998</v>
      </c>
      <c r="L6" s="878">
        <v>0.20300000000000001</v>
      </c>
      <c r="M6" s="878">
        <v>0.20300000000000001</v>
      </c>
      <c r="N6" s="878">
        <v>0.20300000000000001</v>
      </c>
      <c r="O6" s="645">
        <f t="shared" si="1"/>
        <v>0.20300000000000001</v>
      </c>
      <c r="P6" s="727">
        <v>90</v>
      </c>
      <c r="Q6" s="596">
        <v>94.29</v>
      </c>
      <c r="R6" s="706">
        <v>3324.55</v>
      </c>
      <c r="S6" s="765">
        <v>100</v>
      </c>
      <c r="U6" s="1066">
        <v>90</v>
      </c>
      <c r="V6" s="715">
        <v>1.1023000000000001</v>
      </c>
      <c r="Z6" s="143">
        <f t="shared" ref="Z6" si="13">IF(IF(D6="UNTUCA",IF(+((W6-3)*1.5+(X6-3)*3.1)&gt;0,+((W6-3)*1.5+(X6-3)*3.1),0),IF(+((W6-3)*1.5+(X6-3)*3.1)&gt;0,+((W6-3)*1.5+(X6-3)*3.1),0))&lt;30,30,IF(D6="UNTUCA",IF(+((W6-3)*1.5+(X6-3)*3.1)&gt;0,+((W6-3)*1.5+(X6-3)*3.1),0),IF(+((W6-3)*1.5+(X6-3)*3.1)&gt;0,+((W6-3)*1.5+(X6-3)*3.1),0)))</f>
        <v>30</v>
      </c>
      <c r="AA6" s="144">
        <f t="shared" si="2"/>
        <v>30</v>
      </c>
      <c r="AB6" s="145">
        <f t="shared" si="3"/>
        <v>508.1077037555001</v>
      </c>
      <c r="AC6" s="145">
        <f>+(S6-T6)*V6-'data 1'!$F$4</f>
        <v>30.230000000000004</v>
      </c>
      <c r="AD6" s="145">
        <f t="shared" si="4"/>
        <v>31.050386212345547</v>
      </c>
      <c r="AE6" s="145">
        <f t="shared" si="5"/>
        <v>-36.930999999999997</v>
      </c>
      <c r="AF6" s="145">
        <f t="shared" si="6"/>
        <v>0</v>
      </c>
      <c r="AG6" s="772">
        <f t="shared" ref="AG6" si="14">+IF(D6="RONALD WILLIAN GARIBAY ESCUDERO",AC6+AD6+AE6+AF6+70,AC6+AD6+AE6+AF6)+70-53</f>
        <v>41.34938621234555</v>
      </c>
      <c r="AH6" s="146">
        <f t="shared" si="7"/>
        <v>172.31081598228681</v>
      </c>
      <c r="AI6" s="146">
        <f t="shared" si="8"/>
        <v>182.74558912110172</v>
      </c>
      <c r="AJ6" s="156">
        <f t="shared" si="9"/>
        <v>24.358773565654463</v>
      </c>
      <c r="AK6" s="141">
        <f t="shared" si="10"/>
        <v>164.47103020899155</v>
      </c>
      <c r="AL6" s="88"/>
      <c r="AM6" s="716">
        <f t="shared" si="11"/>
        <v>13341.282355967414</v>
      </c>
      <c r="AN6" s="716" t="str">
        <f>_xlfn.XLOOKUP(D6,RUC!$B$3:$B$578,RUC!$M$3:$M$578)</f>
        <v>Alfred Torres</v>
      </c>
      <c r="AO6" s="1167" t="s">
        <v>2279</v>
      </c>
      <c r="AS6" s="1212">
        <f t="shared" si="12"/>
        <v>1632.4923958308573</v>
      </c>
    </row>
    <row r="7" spans="1:45" ht="15" customHeight="1">
      <c r="A7" s="1149" t="s">
        <v>2146</v>
      </c>
      <c r="B7" s="595">
        <v>45793</v>
      </c>
      <c r="C7" s="595">
        <v>45790</v>
      </c>
      <c r="D7" t="s">
        <v>119</v>
      </c>
      <c r="E7">
        <f>_xlfn.XLOOKUP(D7,RUC!$B$3:$B$123,RUC!$D$3:$D$123)</f>
        <v>10082235774</v>
      </c>
      <c r="G7" s="80">
        <v>39</v>
      </c>
      <c r="H7" t="s">
        <v>69</v>
      </c>
      <c r="I7" s="596">
        <v>3.93</v>
      </c>
      <c r="J7" s="596">
        <v>1.4</v>
      </c>
      <c r="K7" s="138">
        <f t="shared" si="0"/>
        <v>3.8749800000000003</v>
      </c>
      <c r="L7" s="139">
        <v>4.9000000000000002E-2</v>
      </c>
      <c r="M7" s="139">
        <v>4.8000000000000001E-2</v>
      </c>
      <c r="N7" s="159">
        <v>4.8000000000000001E-2</v>
      </c>
      <c r="O7" s="645">
        <f t="shared" si="1"/>
        <v>4.8000000000000001E-2</v>
      </c>
      <c r="P7" s="727">
        <v>85</v>
      </c>
      <c r="Q7" s="596">
        <v>91.84</v>
      </c>
      <c r="R7" s="706">
        <v>3227.95</v>
      </c>
      <c r="S7" s="802">
        <v>95</v>
      </c>
      <c r="U7" s="1091">
        <v>80</v>
      </c>
      <c r="V7" s="715">
        <v>1.1023000000000001</v>
      </c>
      <c r="Z7" s="1034">
        <v>10</v>
      </c>
      <c r="AA7" s="144">
        <f t="shared" si="2"/>
        <v>10</v>
      </c>
      <c r="AB7" s="145">
        <v>5.0000000000000001E-3</v>
      </c>
      <c r="AC7" s="145">
        <f>+(S7-T7)*V7-'data 1'!$F$4</f>
        <v>24.718500000000006</v>
      </c>
      <c r="AD7" s="145">
        <f t="shared" si="4"/>
        <v>11.630002681206006</v>
      </c>
      <c r="AE7" s="145">
        <f t="shared" si="5"/>
        <v>-58.977000000000004</v>
      </c>
      <c r="AF7" s="145">
        <f t="shared" si="6"/>
        <v>3.186834485744003</v>
      </c>
      <c r="AG7" s="772">
        <f>+IF(D7="RONALD WILLIAN GARIBAY ESCUDERO",AC7+AD7+AE7+AF7+70,AC7+AD7+AE7+AF7)+70</f>
        <v>50.558337166950011</v>
      </c>
      <c r="AH7" s="146">
        <f t="shared" si="7"/>
        <v>5.9786962526782839</v>
      </c>
      <c r="AI7" s="146">
        <f t="shared" si="8"/>
        <v>6.5099044563134614</v>
      </c>
      <c r="AJ7" s="156">
        <f t="shared" si="9"/>
        <v>10.022743526544012</v>
      </c>
      <c r="AK7" s="156"/>
      <c r="AL7" s="88"/>
      <c r="AM7" s="716">
        <f t="shared" si="11"/>
        <v>1.93749E-2</v>
      </c>
      <c r="AN7" s="716" t="str">
        <f>_xlfn.XLOOKUP(D7,RUC!$B$3:$B$578,RUC!$M$3:$M$578)</f>
        <v>Melchor Vera</v>
      </c>
      <c r="AO7" s="1167" t="s">
        <v>2278</v>
      </c>
      <c r="AS7" s="1212">
        <f t="shared" si="12"/>
        <v>125.32361566536679</v>
      </c>
    </row>
    <row r="8" spans="1:45" ht="15" customHeight="1">
      <c r="A8" s="747" t="s">
        <v>2159</v>
      </c>
      <c r="B8" s="595">
        <v>45803</v>
      </c>
      <c r="C8" s="595">
        <v>45797</v>
      </c>
      <c r="D8" t="s">
        <v>1671</v>
      </c>
      <c r="E8">
        <f>_xlfn.XLOOKUP(D8,RUC!$B$3:$B$123,RUC!$D$3:$D$123)</f>
        <v>20517242919</v>
      </c>
      <c r="G8" s="80">
        <v>47</v>
      </c>
      <c r="H8" t="s">
        <v>69</v>
      </c>
      <c r="I8" s="596">
        <v>4.79</v>
      </c>
      <c r="J8" s="1148">
        <v>4</v>
      </c>
      <c r="K8" s="138">
        <f t="shared" si="0"/>
        <v>4.5983999999999998</v>
      </c>
      <c r="L8" s="139">
        <v>0.371</v>
      </c>
      <c r="M8" s="139">
        <v>0.36499999999999999</v>
      </c>
      <c r="N8" s="159">
        <v>0.36499999999999999</v>
      </c>
      <c r="O8" s="645">
        <f t="shared" si="1"/>
        <v>0.36499999999999999</v>
      </c>
      <c r="P8" s="727">
        <v>85</v>
      </c>
      <c r="Q8" s="596">
        <v>86.52</v>
      </c>
      <c r="R8" s="706">
        <v>3261.55</v>
      </c>
      <c r="S8" s="802">
        <v>110</v>
      </c>
      <c r="U8" s="1091">
        <v>80</v>
      </c>
      <c r="V8" s="715">
        <v>1.1023000000000001</v>
      </c>
      <c r="Z8" s="1034">
        <v>10</v>
      </c>
      <c r="AA8" s="144">
        <f t="shared" si="2"/>
        <v>10</v>
      </c>
      <c r="AB8" s="145">
        <f t="shared" ref="AB8:AB31" si="15">+((O8*P8*(R8-U8)/100)-S8-AA8+T8)*V8</f>
        <v>955.7777507912499</v>
      </c>
      <c r="AC8" s="145">
        <f>+(S8-T8)*V8-'data 1'!$F$4</f>
        <v>41.253</v>
      </c>
      <c r="AD8" s="145">
        <f t="shared" si="4"/>
        <v>19.776801648547949</v>
      </c>
      <c r="AE8" s="145">
        <f t="shared" si="5"/>
        <v>-58.977000000000004</v>
      </c>
      <c r="AF8" s="145">
        <f t="shared" si="6"/>
        <v>18.205655539428019</v>
      </c>
      <c r="AG8" s="772">
        <f t="shared" ref="AG8:AG21" si="16">+IF(D8="RONALD WILLIAN GARIBAY ESCUDERO",AC8+AD8+AE8+AF8+70,AC8+AD8+AE8+AF8)+70-53</f>
        <v>37.258457187975964</v>
      </c>
      <c r="AH8" s="146">
        <f t="shared" si="7"/>
        <v>50.606492313700699</v>
      </c>
      <c r="AI8" s="146">
        <f t="shared" si="8"/>
        <v>58.491091439783531</v>
      </c>
      <c r="AJ8" s="156">
        <f t="shared" si="9"/>
        <v>59.602056264701943</v>
      </c>
      <c r="AK8" s="141">
        <f t="shared" si="10"/>
        <v>48.91337228892948</v>
      </c>
      <c r="AL8" s="88"/>
      <c r="AM8" s="716">
        <f t="shared" si="11"/>
        <v>4395.0484092384831</v>
      </c>
      <c r="AN8" s="716" t="str">
        <f>_xlfn.XLOOKUP(D8,RUC!$B$3:$B$578,RUC!$M$3:$M$578)</f>
        <v>Melchor Vera</v>
      </c>
      <c r="AO8" s="1167" t="s">
        <v>2278</v>
      </c>
      <c r="AS8" s="1212">
        <f t="shared" si="12"/>
        <v>416.67978949937151</v>
      </c>
    </row>
    <row r="9" spans="1:45" ht="15" customHeight="1">
      <c r="A9" s="747" t="s">
        <v>2169</v>
      </c>
      <c r="B9" s="595">
        <v>45803</v>
      </c>
      <c r="C9" s="595">
        <v>45797</v>
      </c>
      <c r="D9" t="s">
        <v>1671</v>
      </c>
      <c r="E9">
        <f>_xlfn.XLOOKUP(D9,RUC!$B$3:$B$123,RUC!$D$3:$D$123)</f>
        <v>20517242919</v>
      </c>
      <c r="G9" s="80">
        <v>66</v>
      </c>
      <c r="H9" t="s">
        <v>69</v>
      </c>
      <c r="I9" s="596">
        <v>6.56</v>
      </c>
      <c r="J9" s="596">
        <v>2.8</v>
      </c>
      <c r="K9" s="138">
        <f t="shared" si="0"/>
        <v>6.3763199999999998</v>
      </c>
      <c r="L9" s="139">
        <v>0.26800000000000002</v>
      </c>
      <c r="M9" s="139">
        <v>0.26100000000000001</v>
      </c>
      <c r="N9" s="159">
        <v>0.26100000000000001</v>
      </c>
      <c r="O9" s="645">
        <f t="shared" si="1"/>
        <v>0.26100000000000001</v>
      </c>
      <c r="P9" s="727">
        <v>85</v>
      </c>
      <c r="Q9">
        <v>87.91</v>
      </c>
      <c r="R9" s="706">
        <v>3261.55</v>
      </c>
      <c r="S9" s="802">
        <v>105</v>
      </c>
      <c r="U9" s="1091">
        <v>80</v>
      </c>
      <c r="V9" s="715">
        <v>1.1023000000000001</v>
      </c>
      <c r="Z9" s="1034">
        <v>10</v>
      </c>
      <c r="AA9" s="144">
        <f t="shared" si="2"/>
        <v>10</v>
      </c>
      <c r="AB9" s="145">
        <f t="shared" si="15"/>
        <v>651.2684560452501</v>
      </c>
      <c r="AC9" s="145">
        <f>+(S9-T9)*V9-'data 1'!$F$4</f>
        <v>35.741500000000002</v>
      </c>
      <c r="AD9" s="145">
        <f t="shared" si="4"/>
        <v>27.350567579921975</v>
      </c>
      <c r="AE9" s="145">
        <f t="shared" si="5"/>
        <v>-58.977000000000004</v>
      </c>
      <c r="AF9" s="145">
        <f t="shared" si="6"/>
        <v>21.581164758240519</v>
      </c>
      <c r="AG9" s="772">
        <f t="shared" si="16"/>
        <v>42.696232338162488</v>
      </c>
      <c r="AH9" s="146">
        <f t="shared" si="7"/>
        <v>51.505338725571306</v>
      </c>
      <c r="AI9" s="146">
        <f t="shared" si="8"/>
        <v>58.588714282301581</v>
      </c>
      <c r="AJ9" s="156">
        <f t="shared" si="9"/>
        <v>43.746558867077958</v>
      </c>
      <c r="AK9" s="141">
        <f t="shared" si="10"/>
        <v>48.499650237047035</v>
      </c>
      <c r="AL9" s="88"/>
      <c r="AM9" s="716">
        <f t="shared" si="11"/>
        <v>4152.6960816504488</v>
      </c>
      <c r="AN9" s="716" t="str">
        <f>_xlfn.XLOOKUP(D9,RUC!$B$3:$B$578,RUC!$M$3:$M$578)</f>
        <v>Melchor Vera</v>
      </c>
      <c r="AO9" s="1167" t="s">
        <v>2280</v>
      </c>
      <c r="AS9" s="1212">
        <f t="shared" si="12"/>
        <v>518.89488766331215</v>
      </c>
    </row>
    <row r="10" spans="1:45" ht="15" customHeight="1">
      <c r="A10" s="747" t="s">
        <v>2194</v>
      </c>
      <c r="B10" s="595">
        <v>45814</v>
      </c>
      <c r="C10" s="595">
        <v>45810</v>
      </c>
      <c r="D10" t="s">
        <v>1967</v>
      </c>
      <c r="E10">
        <f>_xlfn.XLOOKUP(D10,RUC!$B$3:$B$123,RUC!$D$3:$D$123)</f>
        <v>20601769396</v>
      </c>
      <c r="G10" s="80">
        <v>38</v>
      </c>
      <c r="H10" t="s">
        <v>116</v>
      </c>
      <c r="I10" s="596">
        <v>3.65</v>
      </c>
      <c r="J10" s="596">
        <v>5.7</v>
      </c>
      <c r="K10" s="138">
        <f t="shared" si="0"/>
        <v>3.4419499999999998</v>
      </c>
      <c r="L10" s="139">
        <v>0.30299999999999999</v>
      </c>
      <c r="M10" s="139">
        <v>0.28399999999999997</v>
      </c>
      <c r="N10" s="598">
        <v>0.42899999999999999</v>
      </c>
      <c r="O10" s="645">
        <f t="shared" si="1"/>
        <v>0.35699999999999998</v>
      </c>
      <c r="P10" s="727">
        <v>85</v>
      </c>
      <c r="Q10" s="596">
        <v>87.11</v>
      </c>
      <c r="R10" s="706">
        <v>3370.85</v>
      </c>
      <c r="S10" s="765">
        <f t="shared" ref="S10:S11" si="17">IF((90+ROUNDDOWN(O10,1)*100)&lt;95,95,(90+ROUNDDOWN(O10,1)*100))</f>
        <v>120</v>
      </c>
      <c r="U10" s="1146">
        <v>120</v>
      </c>
      <c r="V10" s="715">
        <v>1.1023000000000001</v>
      </c>
      <c r="Y10">
        <v>20</v>
      </c>
      <c r="Z10" s="143">
        <f t="shared" ref="Z10:Z12" si="18">IF(IF(D10="UNTUCA",IF(+((W10-3)*1.5+(X10-3)*3.1)&gt;0,+((W10-3)*1.5+(X10-3)*3.1),0),IF(+((W10-3)*1.5+(X10-3)*3.1)&gt;0,+((W10-3)*1.5+(X10-3)*3.1),0))&lt;30,30,IF(D10="UNTUCA",IF(+((W10-3)*1.5+(X10-3)*3.1)&gt;0,+((W10-3)*1.5+(X10-3)*3.1),0),IF(+((W10-3)*1.5+(X10-3)*3.1)&gt;0,+((W10-3)*1.5+(X10-3)*3.1),0)))</f>
        <v>30</v>
      </c>
      <c r="AA10" s="144">
        <f t="shared" si="2"/>
        <v>50</v>
      </c>
      <c r="AB10" s="145">
        <f t="shared" si="15"/>
        <v>899.99535774474998</v>
      </c>
      <c r="AC10" s="145">
        <f>+(S10-T10)*V10-'data 1'!$F$4</f>
        <v>52.27600000000001</v>
      </c>
      <c r="AD10" s="145">
        <f t="shared" si="4"/>
        <v>22.909827651901491</v>
      </c>
      <c r="AE10" s="145">
        <f t="shared" si="5"/>
        <v>-14.884999999999998</v>
      </c>
      <c r="AF10" s="145">
        <f t="shared" si="6"/>
        <v>-168.56154831602697</v>
      </c>
      <c r="AG10" s="772">
        <f t="shared" si="16"/>
        <v>-91.260720664125472</v>
      </c>
      <c r="AH10" s="146">
        <f t="shared" si="7"/>
        <v>31.147577042123839</v>
      </c>
      <c r="AI10" s="146">
        <f t="shared" si="8"/>
        <v>35.756603193805347</v>
      </c>
      <c r="AJ10" s="156">
        <f t="shared" si="9"/>
        <v>28.847166964348524</v>
      </c>
      <c r="AK10" s="141">
        <f t="shared" si="10"/>
        <v>35.809707059934759</v>
      </c>
      <c r="AL10" s="88"/>
      <c r="AM10" s="716">
        <f t="shared" si="11"/>
        <v>3097.7390215895421</v>
      </c>
      <c r="AN10" s="716" t="str">
        <f>_xlfn.XLOOKUP(D10,RUC!$B$3:$B$578,RUC!$M$3:$M$578)</f>
        <v>Evelyn</v>
      </c>
      <c r="AO10" s="1167" t="s">
        <v>2278</v>
      </c>
      <c r="AS10" s="1212">
        <f t="shared" si="12"/>
        <v>-217.54479383593616</v>
      </c>
    </row>
    <row r="11" spans="1:45" ht="15" customHeight="1">
      <c r="A11" s="747" t="s">
        <v>2196</v>
      </c>
      <c r="B11" s="595">
        <v>45814</v>
      </c>
      <c r="C11" s="595">
        <v>45810</v>
      </c>
      <c r="D11" t="s">
        <v>1967</v>
      </c>
      <c r="E11">
        <f>_xlfn.XLOOKUP(D11,RUC!$B$3:$B$123,RUC!$D$3:$D$123)</f>
        <v>20601769396</v>
      </c>
      <c r="G11" s="80">
        <v>38</v>
      </c>
      <c r="H11" t="s">
        <v>116</v>
      </c>
      <c r="I11" s="596">
        <v>3.38</v>
      </c>
      <c r="J11" s="596">
        <v>7.3</v>
      </c>
      <c r="K11" s="138">
        <f t="shared" si="0"/>
        <v>3.1332599999999999</v>
      </c>
      <c r="L11" s="139">
        <v>0.93200000000000005</v>
      </c>
      <c r="M11" s="139">
        <v>0.876</v>
      </c>
      <c r="N11" s="598">
        <v>1.06</v>
      </c>
      <c r="O11" s="645">
        <f t="shared" si="1"/>
        <v>0.96799999999999997</v>
      </c>
      <c r="P11" s="727">
        <v>85</v>
      </c>
      <c r="Q11" s="596">
        <v>87.55</v>
      </c>
      <c r="R11" s="706">
        <v>3370.85</v>
      </c>
      <c r="S11" s="765">
        <f t="shared" si="17"/>
        <v>180</v>
      </c>
      <c r="U11" s="1146">
        <v>120</v>
      </c>
      <c r="V11" s="715">
        <v>1.1023000000000001</v>
      </c>
      <c r="Y11">
        <v>20</v>
      </c>
      <c r="Z11" s="143">
        <f t="shared" si="18"/>
        <v>30</v>
      </c>
      <c r="AA11" s="144">
        <f t="shared" si="2"/>
        <v>50</v>
      </c>
      <c r="AB11" s="145">
        <f t="shared" si="15"/>
        <v>2694.9023565740004</v>
      </c>
      <c r="AC11" s="145">
        <f>+(S11-T11)*V11-'data 1'!$F$4</f>
        <v>118.41400000000002</v>
      </c>
      <c r="AD11" s="145">
        <f t="shared" si="4"/>
        <v>85.163368522529908</v>
      </c>
      <c r="AE11" s="145">
        <f t="shared" si="5"/>
        <v>-14.884999999999998</v>
      </c>
      <c r="AF11" s="145">
        <f t="shared" si="6"/>
        <v>-112.94197799768973</v>
      </c>
      <c r="AG11" s="772">
        <f t="shared" si="16"/>
        <v>92.750390524840213</v>
      </c>
      <c r="AH11" s="146">
        <f t="shared" si="7"/>
        <v>87.655176077430411</v>
      </c>
      <c r="AI11" s="146">
        <f t="shared" si="8"/>
        <v>100.12013258415809</v>
      </c>
      <c r="AJ11" s="156">
        <f t="shared" si="9"/>
        <v>89.179408756470096</v>
      </c>
      <c r="AK11" s="141">
        <f t="shared" si="10"/>
        <v>88.389318766357576</v>
      </c>
      <c r="AL11" s="88"/>
      <c r="AM11" s="716">
        <f t="shared" si="11"/>
        <v>8443.8297577590529</v>
      </c>
      <c r="AN11" s="716" t="str">
        <f>_xlfn.XLOOKUP(D11,RUC!$B$3:$B$578,RUC!$M$3:$M$578)</f>
        <v>Evelyn</v>
      </c>
      <c r="AO11" s="1167" t="s">
        <v>2278</v>
      </c>
      <c r="AS11" s="1212">
        <f t="shared" si="12"/>
        <v>533.1359788803893</v>
      </c>
    </row>
    <row r="12" spans="1:45" ht="15" customHeight="1">
      <c r="A12" s="747" t="s">
        <v>2200</v>
      </c>
      <c r="B12" s="595">
        <v>45816</v>
      </c>
      <c r="C12" s="595">
        <v>45811</v>
      </c>
      <c r="D12" t="s">
        <v>1433</v>
      </c>
      <c r="E12">
        <f>_xlfn.XLOOKUP(D12,RUC!$B$3:$B$123,RUC!$D$3:$D$123)</f>
        <v>10473108823</v>
      </c>
      <c r="G12" s="80" t="s">
        <v>1434</v>
      </c>
      <c r="H12" t="s">
        <v>69</v>
      </c>
      <c r="I12" s="596">
        <v>33.21</v>
      </c>
      <c r="J12" s="596">
        <v>22.4</v>
      </c>
      <c r="K12" s="138">
        <f t="shared" si="0"/>
        <v>25.770960000000002</v>
      </c>
      <c r="L12" s="139">
        <v>0.15250000000000002</v>
      </c>
      <c r="M12" s="139">
        <v>0.13725000000000004</v>
      </c>
      <c r="N12" s="598">
        <v>0.184</v>
      </c>
      <c r="O12" s="645">
        <f t="shared" si="1"/>
        <v>0.161</v>
      </c>
      <c r="P12" s="727">
        <v>90</v>
      </c>
      <c r="Q12" s="596">
        <v>93.44</v>
      </c>
      <c r="R12" s="706">
        <v>3334.75</v>
      </c>
      <c r="S12" s="802">
        <v>100</v>
      </c>
      <c r="U12" s="1146">
        <v>90</v>
      </c>
      <c r="V12" s="715">
        <v>1.1023000000000001</v>
      </c>
      <c r="Z12" s="143">
        <f t="shared" si="18"/>
        <v>30</v>
      </c>
      <c r="AA12" s="144">
        <f t="shared" si="2"/>
        <v>30</v>
      </c>
      <c r="AB12" s="145">
        <f t="shared" si="15"/>
        <v>374.9630803325</v>
      </c>
      <c r="AC12" s="145">
        <f>+(S12-T12)*V12-'data 1'!$F$4</f>
        <v>30.230000000000004</v>
      </c>
      <c r="AD12" s="145">
        <f t="shared" si="4"/>
        <v>18.763304854549993</v>
      </c>
      <c r="AE12" s="145">
        <f t="shared" si="5"/>
        <v>-36.930999999999997</v>
      </c>
      <c r="AF12" s="145">
        <f t="shared" si="6"/>
        <v>-28.407486175519935</v>
      </c>
      <c r="AG12" s="772">
        <f t="shared" si="16"/>
        <v>0.65481867903006474</v>
      </c>
      <c r="AH12" s="146">
        <f t="shared" si="7"/>
        <v>125.90481510354044</v>
      </c>
      <c r="AI12" s="146">
        <f t="shared" si="8"/>
        <v>134.7440230132068</v>
      </c>
      <c r="AJ12" s="156">
        <f t="shared" si="9"/>
        <v>16.531969119200006</v>
      </c>
      <c r="AK12" s="141">
        <f t="shared" si="10"/>
        <v>128.02891104664695</v>
      </c>
      <c r="AL12" s="88"/>
      <c r="AM12" s="716">
        <f t="shared" si="11"/>
        <v>9663.1585447256457</v>
      </c>
      <c r="AN12" s="716" t="str">
        <f>_xlfn.XLOOKUP(D12,RUC!$B$3:$B$578,RUC!$M$3:$M$578)</f>
        <v>Alfred Torres</v>
      </c>
      <c r="AO12" s="1167" t="s">
        <v>2278</v>
      </c>
      <c r="AS12" s="1212">
        <f t="shared" si="12"/>
        <v>402.06905711968466</v>
      </c>
    </row>
    <row r="13" spans="1:45" ht="15" customHeight="1">
      <c r="A13" s="1149" t="s">
        <v>2213</v>
      </c>
      <c r="B13" s="595">
        <v>45821</v>
      </c>
      <c r="C13" s="595">
        <v>45815</v>
      </c>
      <c r="D13" t="s">
        <v>1671</v>
      </c>
      <c r="E13">
        <f>_xlfn.XLOOKUP(D13,RUC!$B$3:$B$123,RUC!$D$3:$D$123)</f>
        <v>20517242919</v>
      </c>
      <c r="G13" s="80">
        <v>34</v>
      </c>
      <c r="H13" t="s">
        <v>69</v>
      </c>
      <c r="I13" s="596">
        <v>3.29</v>
      </c>
      <c r="J13" s="596">
        <v>2</v>
      </c>
      <c r="K13" s="138">
        <f t="shared" si="0"/>
        <v>3.2242000000000002</v>
      </c>
      <c r="L13" s="139">
        <v>9.6000000000000002E-2</v>
      </c>
      <c r="M13" s="139">
        <v>9.5000000000000001E-2</v>
      </c>
      <c r="N13" s="159">
        <v>9.5000000000000001E-2</v>
      </c>
      <c r="O13" s="645">
        <f t="shared" si="1"/>
        <v>9.5000000000000001E-2</v>
      </c>
      <c r="P13" s="727">
        <v>85</v>
      </c>
      <c r="Q13" s="596">
        <v>95.83</v>
      </c>
      <c r="R13" s="706">
        <v>3339.9</v>
      </c>
      <c r="S13" s="802">
        <v>95</v>
      </c>
      <c r="U13" s="1091">
        <v>80</v>
      </c>
      <c r="V13" s="715">
        <v>1.1023000000000001</v>
      </c>
      <c r="Z13" s="1034">
        <v>10</v>
      </c>
      <c r="AA13" s="144">
        <f t="shared" si="2"/>
        <v>10</v>
      </c>
      <c r="AB13" s="145">
        <v>0.01</v>
      </c>
      <c r="AC13" s="145">
        <f>+(S13-T13)*V13-'data 1'!$F$4</f>
        <v>24.718500000000006</v>
      </c>
      <c r="AD13" s="145">
        <f t="shared" si="4"/>
        <v>37.359733967136002</v>
      </c>
      <c r="AE13" s="145">
        <f t="shared" si="5"/>
        <v>-58.977000000000004</v>
      </c>
      <c r="AF13" s="145">
        <f t="shared" si="6"/>
        <v>3.4435434999910033</v>
      </c>
      <c r="AG13" s="772">
        <f>+IF(D13="RONALD WILLIAN GARIBAY ESCUDERO",AC13+AD13+AE13+AF13+70,AC13+AD13+AE13+AF13)+70+174.42</f>
        <v>250.96477746712699</v>
      </c>
      <c r="AH13" s="146">
        <f t="shared" si="7"/>
        <v>10.169597492440438</v>
      </c>
      <c r="AI13" s="146">
        <f>(31.1035*L13*1.1023*K13)</f>
        <v>10.612123022477762</v>
      </c>
      <c r="AJ13" s="156">
        <f t="shared" si="9"/>
        <v>9.1368673448639903</v>
      </c>
      <c r="AK13" s="156"/>
      <c r="AL13" s="88"/>
      <c r="AM13" s="716">
        <f t="shared" si="11"/>
        <v>3.2242E-2</v>
      </c>
      <c r="AN13" s="716" t="str">
        <f>_xlfn.XLOOKUP(D13,RUC!$B$3:$B$578,RUC!$M$3:$M$578)</f>
        <v>Melchor Vera</v>
      </c>
      <c r="AO13" s="1167" t="s">
        <v>2277</v>
      </c>
      <c r="AS13" s="1212">
        <f t="shared" si="12"/>
        <v>660.98827069397635</v>
      </c>
    </row>
    <row r="14" spans="1:45" ht="15" customHeight="1">
      <c r="A14" s="747" t="s">
        <v>2217</v>
      </c>
      <c r="B14" s="595">
        <v>45821</v>
      </c>
      <c r="C14" s="595">
        <v>45815</v>
      </c>
      <c r="D14" t="s">
        <v>1671</v>
      </c>
      <c r="E14">
        <f>_xlfn.XLOOKUP(D14,RUC!$B$3:$B$123,RUC!$D$3:$D$123)</f>
        <v>20517242919</v>
      </c>
      <c r="G14" s="80">
        <v>77</v>
      </c>
      <c r="H14" t="s">
        <v>69</v>
      </c>
      <c r="I14" s="596">
        <v>7.05</v>
      </c>
      <c r="J14" s="596">
        <v>2.1</v>
      </c>
      <c r="K14" s="138">
        <f t="shared" si="0"/>
        <v>6.9019499999999994</v>
      </c>
      <c r="L14" s="139">
        <v>0.15</v>
      </c>
      <c r="M14" s="139">
        <v>0.14799999999999999</v>
      </c>
      <c r="N14" s="159">
        <v>0.14799999999999999</v>
      </c>
      <c r="O14" s="645">
        <f t="shared" si="1"/>
        <v>0.14799999999999999</v>
      </c>
      <c r="P14" s="727">
        <v>85</v>
      </c>
      <c r="Q14" s="596">
        <v>96</v>
      </c>
      <c r="R14" s="706">
        <v>3339.9</v>
      </c>
      <c r="S14" s="802">
        <v>95</v>
      </c>
      <c r="U14" s="1091">
        <v>80</v>
      </c>
      <c r="V14" s="715">
        <v>1.1023000000000001</v>
      </c>
      <c r="Z14" s="1034">
        <v>10</v>
      </c>
      <c r="AA14" s="144">
        <f t="shared" si="2"/>
        <v>10</v>
      </c>
      <c r="AB14" s="145">
        <f t="shared" si="15"/>
        <v>336.30668146599999</v>
      </c>
      <c r="AC14" s="145">
        <f>+(S14-T14)*V14-'data 1'!$F$4</f>
        <v>24.718500000000006</v>
      </c>
      <c r="AD14" s="145">
        <f t="shared" si="4"/>
        <v>59.290898205000005</v>
      </c>
      <c r="AE14" s="145">
        <f t="shared" si="5"/>
        <v>-58.977000000000004</v>
      </c>
      <c r="AF14" s="145">
        <f t="shared" si="6"/>
        <v>6.8993045184000064</v>
      </c>
      <c r="AG14" s="772">
        <f t="shared" si="16"/>
        <v>48.931702723400008</v>
      </c>
      <c r="AH14" s="146">
        <f t="shared" si="7"/>
        <v>34.075588903444441</v>
      </c>
      <c r="AI14" s="146">
        <f t="shared" ref="AI14:AI61" si="19">(31.1035*L14*1.1023*K14)</f>
        <v>35.495405107754621</v>
      </c>
      <c r="AJ14" s="156">
        <f t="shared" si="9"/>
        <v>14.301681119999987</v>
      </c>
      <c r="AK14" s="141">
        <f t="shared" si="10"/>
        <v>29.768813083703545</v>
      </c>
      <c r="AL14" s="88"/>
      <c r="AM14" s="716">
        <f t="shared" si="11"/>
        <v>2321.1719001442584</v>
      </c>
      <c r="AN14" s="716" t="str">
        <f>_xlfn.XLOOKUP(D14,RUC!$B$3:$B$578,RUC!$M$3:$M$578)</f>
        <v>Melchor Vera</v>
      </c>
      <c r="AO14" s="1167" t="s">
        <v>2277</v>
      </c>
      <c r="AS14" s="1212">
        <f t="shared" si="12"/>
        <v>412.62680642192163</v>
      </c>
    </row>
    <row r="15" spans="1:45" ht="15" customHeight="1">
      <c r="A15" s="747" t="s">
        <v>2222</v>
      </c>
      <c r="B15" s="595">
        <v>45824</v>
      </c>
      <c r="C15" s="595">
        <v>45817</v>
      </c>
      <c r="D15" t="s">
        <v>1484</v>
      </c>
      <c r="E15">
        <f>_xlfn.XLOOKUP(D15,RUC!$B$3:$B$123,RUC!$D$3:$D$123)</f>
        <v>10761932735</v>
      </c>
      <c r="G15" s="80">
        <v>109</v>
      </c>
      <c r="H15" t="s">
        <v>69</v>
      </c>
      <c r="I15" s="596">
        <v>8.9700000000000006</v>
      </c>
      <c r="J15" s="596">
        <v>14.4</v>
      </c>
      <c r="K15" s="138">
        <f t="shared" si="0"/>
        <v>7.6783200000000003</v>
      </c>
      <c r="L15" s="139">
        <v>0.14099999999999999</v>
      </c>
      <c r="M15" s="139">
        <v>0.125</v>
      </c>
      <c r="N15" s="598">
        <v>0.13100000000000001</v>
      </c>
      <c r="O15" s="645">
        <f t="shared" si="1"/>
        <v>0.128</v>
      </c>
      <c r="P15" s="727">
        <v>85</v>
      </c>
      <c r="Q15" s="596">
        <v>94.33</v>
      </c>
      <c r="R15" s="706">
        <v>3319.3</v>
      </c>
      <c r="S15" s="765">
        <f t="shared" ref="S15:S17" si="20">IF((90+ROUNDDOWN(O15,1)*100)&lt;95,95,(90+ROUNDDOWN(O15,1)*100))</f>
        <v>100</v>
      </c>
      <c r="T15" s="1146"/>
      <c r="U15" s="1146">
        <f>_xlfn.XLOOKUP(D15,RUC!$B$3:$B$123,RUC!$F$3:$F$123)</f>
        <v>120</v>
      </c>
      <c r="V15" s="715">
        <v>1.1023000000000001</v>
      </c>
      <c r="Y15">
        <f>_xlfn.XLOOKUP(D15,RUC!$B$3:$B$123,RUC!$G$3:$G$123)</f>
        <v>20</v>
      </c>
      <c r="Z15" s="143">
        <f t="shared" ref="Z15:Z17" si="21">IF(IF(D15="UNTUCA",IF(+((W15-3)*1.5+(X15-3)*3.1)&gt;0,+((W15-3)*1.5+(X15-3)*3.1),0),IF(+((W15-3)*1.5+(X15-3)*3.1)&gt;0,+((W15-3)*1.5+(X15-3)*3.1),0))&lt;30,30,IF(D15="UNTUCA",IF(+((W15-3)*1.5+(X15-3)*3.1)&gt;0,+((W15-3)*1.5+(X15-3)*3.1),0),IF(+((W15-3)*1.5+(X15-3)*3.1)&gt;0,+((W15-3)*1.5+(X15-3)*3.1),0)))</f>
        <v>30</v>
      </c>
      <c r="AA15" s="144">
        <f t="shared" si="2"/>
        <v>50</v>
      </c>
      <c r="AB15" s="145">
        <f t="shared" si="15"/>
        <v>218.34781683200009</v>
      </c>
      <c r="AC15" s="145">
        <f>+(S15-T15)*V15-'data 1'!$F$4</f>
        <v>30.230000000000004</v>
      </c>
      <c r="AD15" s="145">
        <f t="shared" si="4"/>
        <v>46.393328246967002</v>
      </c>
      <c r="AE15" s="145">
        <f t="shared" si="5"/>
        <v>-14.884999999999998</v>
      </c>
      <c r="AF15" s="145">
        <f t="shared" si="6"/>
        <v>43.24620076773094</v>
      </c>
      <c r="AG15" s="772">
        <f t="shared" si="16"/>
        <v>121.98452901469796</v>
      </c>
      <c r="AH15" s="146">
        <f t="shared" si="7"/>
        <v>35.014201289844202</v>
      </c>
      <c r="AI15" s="146">
        <f t="shared" si="19"/>
        <v>37.118839488862719</v>
      </c>
      <c r="AJ15" s="156">
        <f t="shared" si="9"/>
        <v>22.094389548032968</v>
      </c>
      <c r="AK15" s="141">
        <f t="shared" si="10"/>
        <v>28.642054868001875</v>
      </c>
      <c r="AL15" s="88"/>
      <c r="AM15" s="716">
        <f t="shared" si="11"/>
        <v>1676.544408937483</v>
      </c>
      <c r="AN15" s="716" t="str">
        <f>_xlfn.XLOOKUP(D15,RUC!$B$3:$B$578,RUC!$M$3:$M$578)</f>
        <v>Richard Sapacayo</v>
      </c>
      <c r="AO15" s="1167" t="s">
        <v>2281</v>
      </c>
      <c r="AS15" s="1212">
        <f t="shared" si="12"/>
        <v>1054.584794380896</v>
      </c>
    </row>
    <row r="16" spans="1:45" ht="15" customHeight="1">
      <c r="A16" s="747" t="s">
        <v>2223</v>
      </c>
      <c r="B16" s="595">
        <v>45824</v>
      </c>
      <c r="C16" s="595">
        <v>45817</v>
      </c>
      <c r="D16" t="s">
        <v>1484</v>
      </c>
      <c r="E16">
        <f>_xlfn.XLOOKUP(D16,RUC!$B$3:$B$123,RUC!$D$3:$D$123)</f>
        <v>10761932735</v>
      </c>
      <c r="G16" s="80">
        <v>12</v>
      </c>
      <c r="H16" t="s">
        <v>108</v>
      </c>
      <c r="I16" s="596">
        <v>1.02</v>
      </c>
      <c r="J16" s="596">
        <v>18.8</v>
      </c>
      <c r="K16" s="138">
        <f t="shared" si="0"/>
        <v>0.82823999999999998</v>
      </c>
      <c r="L16" s="139">
        <v>0.11</v>
      </c>
      <c r="M16" s="139">
        <v>9.5000000000000001E-2</v>
      </c>
      <c r="N16" s="598">
        <v>0.128</v>
      </c>
      <c r="O16" s="645">
        <f t="shared" si="1"/>
        <v>0.112</v>
      </c>
      <c r="P16" s="727">
        <v>80</v>
      </c>
      <c r="Q16" s="596">
        <v>95.45</v>
      </c>
      <c r="R16" s="706">
        <v>3319.3</v>
      </c>
      <c r="S16" s="765">
        <f t="shared" si="20"/>
        <v>100</v>
      </c>
      <c r="T16" s="1146"/>
      <c r="U16" s="1146">
        <f>_xlfn.XLOOKUP(D16,RUC!$B$3:$B$123,RUC!$F$3:$F$123)</f>
        <v>120</v>
      </c>
      <c r="V16" s="715">
        <v>1.1023000000000001</v>
      </c>
      <c r="Y16">
        <f>_xlfn.XLOOKUP(D16,RUC!$B$3:$B$123,RUC!$G$3:$G$123)</f>
        <v>20</v>
      </c>
      <c r="Z16" s="143">
        <f t="shared" si="21"/>
        <v>30</v>
      </c>
      <c r="AA16" s="144">
        <f t="shared" si="2"/>
        <v>50</v>
      </c>
      <c r="AB16" s="145">
        <f t="shared" si="15"/>
        <v>150.63731974400002</v>
      </c>
      <c r="AC16" s="145">
        <f>+(S16-T16)*V16-'data 1'!$F$4</f>
        <v>30.230000000000004</v>
      </c>
      <c r="AD16" s="145">
        <f t="shared" si="4"/>
        <v>59.934369688050019</v>
      </c>
      <c r="AE16" s="145">
        <f t="shared" si="5"/>
        <v>-14.884999999999998</v>
      </c>
      <c r="AF16" s="145">
        <f t="shared" si="6"/>
        <v>-6.7322572365100077</v>
      </c>
      <c r="AG16" s="772">
        <f t="shared" si="16"/>
        <v>85.547112451540016</v>
      </c>
      <c r="AH16" s="146">
        <f t="shared" si="7"/>
        <v>2.9814936461968675</v>
      </c>
      <c r="AI16" s="146">
        <f t="shared" si="19"/>
        <v>3.1236182778385198</v>
      </c>
      <c r="AJ16" s="156">
        <f t="shared" si="9"/>
        <v>17.441413466949982</v>
      </c>
      <c r="AK16" s="141">
        <f t="shared" si="10"/>
        <v>2.5443290699484673</v>
      </c>
      <c r="AL16" s="88"/>
      <c r="AM16" s="716">
        <f t="shared" si="11"/>
        <v>124.76385370477058</v>
      </c>
      <c r="AN16" s="716" t="str">
        <f>_xlfn.XLOOKUP(D16,RUC!$B$3:$B$578,RUC!$M$3:$M$578)</f>
        <v>Richard Sapacayo</v>
      </c>
      <c r="AO16" s="1167" t="s">
        <v>2280</v>
      </c>
      <c r="AS16" s="1212">
        <f t="shared" si="12"/>
        <v>84.596155248103202</v>
      </c>
    </row>
    <row r="17" spans="1:45" ht="15" customHeight="1">
      <c r="A17" s="747" t="s">
        <v>2231</v>
      </c>
      <c r="B17" s="595">
        <v>45731</v>
      </c>
      <c r="C17" s="595">
        <v>45818</v>
      </c>
      <c r="D17" t="s">
        <v>1967</v>
      </c>
      <c r="E17">
        <f>_xlfn.XLOOKUP(D17,RUC!$B$3:$B$123,RUC!$D$3:$D$123)</f>
        <v>20601769396</v>
      </c>
      <c r="G17" s="80">
        <v>30</v>
      </c>
      <c r="H17" t="s">
        <v>108</v>
      </c>
      <c r="I17" s="596">
        <v>1.97</v>
      </c>
      <c r="J17" s="596">
        <v>9.8000000000000007</v>
      </c>
      <c r="K17" s="138">
        <f t="shared" si="0"/>
        <v>1.77694</v>
      </c>
      <c r="L17" s="139">
        <v>0.93500000000000005</v>
      </c>
      <c r="M17" s="139">
        <v>0.878</v>
      </c>
      <c r="N17" s="159">
        <v>0.878</v>
      </c>
      <c r="O17" s="645">
        <f t="shared" si="1"/>
        <v>0.878</v>
      </c>
      <c r="P17" s="727">
        <v>90</v>
      </c>
      <c r="Q17" s="596">
        <v>93.26</v>
      </c>
      <c r="R17" s="706">
        <v>3337.7</v>
      </c>
      <c r="S17" s="765">
        <f t="shared" si="20"/>
        <v>170</v>
      </c>
      <c r="T17" s="1146"/>
      <c r="U17" s="1146">
        <f>_xlfn.XLOOKUP(D17,RUC!$B$3:$B$123,RUC!$F$3:$F$123)</f>
        <v>120</v>
      </c>
      <c r="V17" s="715">
        <v>1.1023000000000001</v>
      </c>
      <c r="Y17">
        <f>_xlfn.XLOOKUP(D17,RUC!$B$3:$B$123,RUC!$G$3:$G$123)</f>
        <v>20</v>
      </c>
      <c r="Z17" s="143">
        <f t="shared" si="21"/>
        <v>30</v>
      </c>
      <c r="AA17" s="144">
        <f t="shared" si="2"/>
        <v>50</v>
      </c>
      <c r="AB17" s="145">
        <f t="shared" si="15"/>
        <v>2560.2312350419998</v>
      </c>
      <c r="AC17" s="145">
        <f>+(S17-T17)*V17-'data 1'!$F$4</f>
        <v>107.39100000000002</v>
      </c>
      <c r="AD17" s="145">
        <f t="shared" si="4"/>
        <v>108.11216611151018</v>
      </c>
      <c r="AE17" s="145">
        <f t="shared" si="5"/>
        <v>-14.884999999999998</v>
      </c>
      <c r="AF17" s="145">
        <f t="shared" si="6"/>
        <v>188.54526257632216</v>
      </c>
      <c r="AG17" s="772">
        <f t="shared" si="16"/>
        <v>406.16342868783238</v>
      </c>
      <c r="AH17" s="146">
        <f t="shared" si="7"/>
        <v>53.123765990575038</v>
      </c>
      <c r="AI17" s="146">
        <f t="shared" si="19"/>
        <v>56.96307740786515</v>
      </c>
      <c r="AJ17" s="156">
        <f t="shared" si="9"/>
        <v>127.1647300284902</v>
      </c>
      <c r="AK17" s="141">
        <f t="shared" si="10"/>
        <v>48.14141579432625</v>
      </c>
      <c r="AL17" s="88"/>
      <c r="AM17" s="716">
        <f t="shared" si="11"/>
        <v>4549.3772907955308</v>
      </c>
      <c r="AN17" s="716" t="str">
        <f>_xlfn.XLOOKUP(D17,RUC!$B$3:$B$578,RUC!$M$3:$M$578)</f>
        <v>Evelyn</v>
      </c>
      <c r="AO17" s="1167" t="s">
        <v>2277</v>
      </c>
      <c r="AS17" s="1212">
        <f t="shared" si="12"/>
        <v>907.37223580161208</v>
      </c>
    </row>
    <row r="18" spans="1:45" ht="15" customHeight="1">
      <c r="A18" s="747" t="s">
        <v>2239</v>
      </c>
      <c r="B18" s="595">
        <v>45825</v>
      </c>
      <c r="C18" s="595">
        <v>45820</v>
      </c>
      <c r="D18" t="s">
        <v>1029</v>
      </c>
      <c r="E18">
        <f>_xlfn.XLOOKUP(D18,RUC!$B$3:$B$123,RUC!$D$3:$D$123)</f>
        <v>10421580605</v>
      </c>
      <c r="G18" s="80" t="s">
        <v>1434</v>
      </c>
      <c r="H18" t="s">
        <v>69</v>
      </c>
      <c r="I18" s="596">
        <v>30.8</v>
      </c>
      <c r="J18" s="596">
        <v>14.05</v>
      </c>
      <c r="K18" s="138">
        <f t="shared" si="0"/>
        <v>26.4726</v>
      </c>
      <c r="L18" s="139">
        <v>0.13300000000000001</v>
      </c>
      <c r="M18" s="139">
        <v>0.11700000000000001</v>
      </c>
      <c r="N18" s="159">
        <v>0.11700000000000001</v>
      </c>
      <c r="O18" s="645">
        <f t="shared" si="1"/>
        <v>0.11700000000000001</v>
      </c>
      <c r="P18" s="727">
        <v>85</v>
      </c>
      <c r="Q18" s="596">
        <v>93.14</v>
      </c>
      <c r="R18" s="706">
        <v>3391.4</v>
      </c>
      <c r="S18" s="802">
        <v>110</v>
      </c>
      <c r="T18" s="1146"/>
      <c r="U18" s="1146">
        <f>_xlfn.XLOOKUP(D18,RUC!$B$3:$B$123,RUC!$F$3:$F$123)</f>
        <v>90</v>
      </c>
      <c r="V18" s="715">
        <v>1.1023000000000001</v>
      </c>
      <c r="Y18">
        <f>_xlfn.XLOOKUP(D18,RUC!$B$3:$B$123,RUC!$G$3:$G$123)</f>
        <v>0</v>
      </c>
      <c r="Z18" s="143">
        <f>_xlfn.XLOOKUP(D18,RUC!$B$3:$B$123,RUC!$H$3:$H$123)</f>
        <v>30</v>
      </c>
      <c r="AA18" s="144">
        <f t="shared" si="2"/>
        <v>30</v>
      </c>
      <c r="AB18" s="145">
        <f t="shared" si="15"/>
        <v>207.58979872900002</v>
      </c>
      <c r="AC18" s="145">
        <f>+(S18-T18)*V18-'data 1'!$F$4</f>
        <v>41.253</v>
      </c>
      <c r="AD18" s="145">
        <f t="shared" si="4"/>
        <v>39.39798406636401</v>
      </c>
      <c r="AE18" s="145">
        <f t="shared" si="5"/>
        <v>-36.930999999999997</v>
      </c>
      <c r="AF18" s="145">
        <f t="shared" si="6"/>
        <v>54.231818897727997</v>
      </c>
      <c r="AG18" s="772">
        <f t="shared" si="16"/>
        <v>114.951802964092</v>
      </c>
      <c r="AH18" s="146">
        <f t="shared" si="7"/>
        <v>112.43293332543621</v>
      </c>
      <c r="AI18" s="146">
        <f t="shared" si="19"/>
        <v>120.7139073710932</v>
      </c>
      <c r="AJ18" s="156">
        <f t="shared" si="9"/>
        <v>6.636268533635989</v>
      </c>
      <c r="AK18" s="141">
        <f t="shared" si="10"/>
        <v>90.263143519212178</v>
      </c>
      <c r="AL18" s="88"/>
      <c r="AM18" s="716">
        <f t="shared" si="11"/>
        <v>5495.4417058333256</v>
      </c>
      <c r="AN18" s="716" t="str">
        <f>_xlfn.XLOOKUP(D18,RUC!$B$3:$B$578,RUC!$M$3:$M$578)</f>
        <v>Alfred Torres</v>
      </c>
      <c r="AO18" s="1167" t="s">
        <v>2281</v>
      </c>
      <c r="AS18" s="1212">
        <f t="shared" si="12"/>
        <v>3032.7347576421744</v>
      </c>
    </row>
    <row r="19" spans="1:45" ht="15" customHeight="1">
      <c r="A19" s="747" t="s">
        <v>2240</v>
      </c>
      <c r="B19" s="595">
        <v>45825</v>
      </c>
      <c r="C19" s="595">
        <v>45820</v>
      </c>
      <c r="D19" t="s">
        <v>1029</v>
      </c>
      <c r="E19">
        <f>_xlfn.XLOOKUP(D19,RUC!$B$3:$B$123,RUC!$D$3:$D$123)</f>
        <v>10421580605</v>
      </c>
      <c r="G19" s="80" t="s">
        <v>1434</v>
      </c>
      <c r="H19" t="s">
        <v>69</v>
      </c>
      <c r="I19" s="596">
        <v>30.21</v>
      </c>
      <c r="J19" s="596">
        <v>13.87</v>
      </c>
      <c r="K19" s="138">
        <f t="shared" si="0"/>
        <v>26.019873</v>
      </c>
      <c r="L19" s="139">
        <v>0.15</v>
      </c>
      <c r="M19" s="139">
        <v>0.13500000000000001</v>
      </c>
      <c r="N19" s="159">
        <v>0.13500000000000001</v>
      </c>
      <c r="O19" s="645">
        <f t="shared" si="1"/>
        <v>0.13500000000000001</v>
      </c>
      <c r="P19" s="727">
        <v>85</v>
      </c>
      <c r="Q19" s="596">
        <v>93.33</v>
      </c>
      <c r="R19" s="706">
        <v>3391.4</v>
      </c>
      <c r="S19" s="802">
        <v>110</v>
      </c>
      <c r="T19" s="1146"/>
      <c r="U19" s="1146">
        <f>_xlfn.XLOOKUP(D19,RUC!$B$3:$B$123,RUC!$F$3:$F$123)</f>
        <v>90</v>
      </c>
      <c r="V19" s="715">
        <v>1.1023000000000001</v>
      </c>
      <c r="Y19">
        <f>_xlfn.XLOOKUP(D19,RUC!$B$3:$B$123,RUC!$G$3:$G$123)</f>
        <v>0</v>
      </c>
      <c r="Z19" s="143">
        <f>_xlfn.XLOOKUP(D19,RUC!$B$3:$B$123,RUC!$H$3:$H$123)</f>
        <v>30</v>
      </c>
      <c r="AA19" s="144">
        <f t="shared" si="2"/>
        <v>30</v>
      </c>
      <c r="AB19" s="145">
        <f t="shared" si="15"/>
        <v>263.26853699500003</v>
      </c>
      <c r="AC19" s="145">
        <f>+(S19-T19)*V19-'data 1'!$F$4</f>
        <v>41.253</v>
      </c>
      <c r="AD19" s="145">
        <f t="shared" si="4"/>
        <v>45.470969583899986</v>
      </c>
      <c r="AE19" s="145">
        <f t="shared" si="5"/>
        <v>-36.930999999999997</v>
      </c>
      <c r="AF19" s="145">
        <f t="shared" si="6"/>
        <v>50.946045513389954</v>
      </c>
      <c r="AG19" s="772">
        <f t="shared" si="16"/>
        <v>117.73901509728995</v>
      </c>
      <c r="AH19" s="146">
        <f t="shared" si="7"/>
        <v>124.8897414871264</v>
      </c>
      <c r="AI19" s="146">
        <f t="shared" si="19"/>
        <v>133.81521642250766</v>
      </c>
      <c r="AJ19" s="156">
        <f t="shared" si="9"/>
        <v>7.4997813410999861</v>
      </c>
      <c r="AK19" s="141">
        <f t="shared" si="10"/>
        <v>102.36864056321838</v>
      </c>
      <c r="AL19" s="88"/>
      <c r="AM19" s="716">
        <f t="shared" si="11"/>
        <v>6850.2138975057023</v>
      </c>
      <c r="AN19" s="716" t="str">
        <f>_xlfn.XLOOKUP(D19,RUC!$B$3:$B$578,RUC!$M$3:$M$578)</f>
        <v>Alfred Torres</v>
      </c>
      <c r="AO19" s="1167" t="s">
        <v>2277</v>
      </c>
      <c r="AS19" s="1212">
        <f t="shared" si="12"/>
        <v>3073.1264941281188</v>
      </c>
    </row>
    <row r="20" spans="1:45" ht="15" customHeight="1">
      <c r="A20" s="747" t="s">
        <v>2244</v>
      </c>
      <c r="B20" s="595">
        <v>45847</v>
      </c>
      <c r="C20" s="595">
        <v>45823</v>
      </c>
      <c r="D20" t="s">
        <v>1484</v>
      </c>
      <c r="E20">
        <f>_xlfn.XLOOKUP(D20,RUC!$B$3:$B$123,RUC!$D$3:$D$123)</f>
        <v>10761932735</v>
      </c>
      <c r="G20" s="80">
        <v>21</v>
      </c>
      <c r="H20" t="s">
        <v>69</v>
      </c>
      <c r="I20" s="596">
        <v>1.37</v>
      </c>
      <c r="J20" s="596">
        <v>11.15</v>
      </c>
      <c r="K20" s="138">
        <f t="shared" si="0"/>
        <v>1.2172450000000001</v>
      </c>
      <c r="L20" s="139">
        <v>0.189</v>
      </c>
      <c r="M20" s="139">
        <v>0.17399999999999999</v>
      </c>
      <c r="N20" s="159">
        <v>0.17399999999999999</v>
      </c>
      <c r="O20" s="645">
        <f t="shared" si="1"/>
        <v>0.17399999999999999</v>
      </c>
      <c r="P20" s="727">
        <v>90</v>
      </c>
      <c r="Q20" s="596">
        <v>94.25</v>
      </c>
      <c r="R20" s="706">
        <v>3397.6</v>
      </c>
      <c r="S20" s="765">
        <f t="shared" ref="S20:S21" si="22">IF((90+ROUNDDOWN(O20,1)*100)&lt;95,95,(90+ROUNDDOWN(O20,1)*100))</f>
        <v>100</v>
      </c>
      <c r="T20" s="1146"/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3">
        <f>_xlfn.XLOOKUP(D20,RUC!$B$3:$B$123,RUC!$H$3:$H$123)</f>
        <v>30</v>
      </c>
      <c r="AA20" s="144">
        <f t="shared" si="2"/>
        <v>50</v>
      </c>
      <c r="AB20" s="145">
        <f t="shared" si="15"/>
        <v>400.43490196800002</v>
      </c>
      <c r="AC20" s="145">
        <f>+(S20-T20)*V20-'data 1'!$F$4</f>
        <v>30.230000000000004</v>
      </c>
      <c r="AD20" s="145">
        <f t="shared" si="4"/>
        <v>29.020607040600002</v>
      </c>
      <c r="AE20" s="145">
        <f t="shared" si="5"/>
        <v>-14.884999999999998</v>
      </c>
      <c r="AF20" s="145">
        <f t="shared" si="6"/>
        <v>51.077352261000051</v>
      </c>
      <c r="AG20" s="772">
        <f t="shared" si="16"/>
        <v>112.44295930160007</v>
      </c>
      <c r="AH20" s="146">
        <f t="shared" si="7"/>
        <v>7.4341313750181026</v>
      </c>
      <c r="AI20" s="146">
        <f t="shared" si="19"/>
        <v>7.8876725464383064</v>
      </c>
      <c r="AJ20" s="156">
        <f t="shared" si="9"/>
        <v>14.216134923900018</v>
      </c>
      <c r="AK20" s="141">
        <f t="shared" si="10"/>
        <v>6.5355001099060246</v>
      </c>
      <c r="AL20" s="88"/>
      <c r="AM20" s="716">
        <f t="shared" si="11"/>
        <v>487.42738224603823</v>
      </c>
      <c r="AN20" s="716" t="str">
        <f>_xlfn.XLOOKUP(D20,RUC!$B$3:$B$578,RUC!$M$3:$M$578)</f>
        <v>Richard Sapacayo</v>
      </c>
      <c r="AO20" s="1167" t="s">
        <v>2280</v>
      </c>
      <c r="AS20" s="1212">
        <f t="shared" si="12"/>
        <v>147.36810008654771</v>
      </c>
    </row>
    <row r="21" spans="1:45" ht="15" customHeight="1">
      <c r="A21" s="747" t="s">
        <v>2248</v>
      </c>
      <c r="B21" s="595">
        <v>45829</v>
      </c>
      <c r="C21" s="595">
        <v>45826</v>
      </c>
      <c r="D21" s="1161" t="s">
        <v>324</v>
      </c>
      <c r="E21">
        <f>_xlfn.XLOOKUP(D21,RUC!$B$3:$B$123,RUC!$D$3:$D$123)</f>
        <v>20603329059</v>
      </c>
      <c r="G21" s="80" t="s">
        <v>1434</v>
      </c>
      <c r="H21" t="s">
        <v>108</v>
      </c>
      <c r="I21" s="703">
        <v>22.32</v>
      </c>
      <c r="J21" s="703">
        <v>6.6</v>
      </c>
      <c r="K21" s="138">
        <f t="shared" si="0"/>
        <v>20.846879999999999</v>
      </c>
      <c r="L21" s="139">
        <v>0.13700000000000001</v>
      </c>
      <c r="M21" s="139">
        <v>0.121</v>
      </c>
      <c r="N21" s="159">
        <v>0.121</v>
      </c>
      <c r="O21" s="645">
        <f t="shared" si="1"/>
        <v>0.121</v>
      </c>
      <c r="P21" s="727">
        <v>80</v>
      </c>
      <c r="Q21" s="596">
        <v>94.87</v>
      </c>
      <c r="R21" s="706">
        <v>3391.5</v>
      </c>
      <c r="S21" s="765">
        <f t="shared" si="22"/>
        <v>100</v>
      </c>
      <c r="T21" s="1146"/>
      <c r="U21" s="1146">
        <f>_xlfn.XLOOKUP(D21,RUC!$B$3:$B$123,RUC!$F$3:$F$123)</f>
        <v>100</v>
      </c>
      <c r="V21" s="715">
        <v>1.1023000000000001</v>
      </c>
      <c r="Y21">
        <f>_xlfn.XLOOKUP(D21,RUC!$B$3:$B$123,RUC!$G$3:$G$123)</f>
        <v>0</v>
      </c>
      <c r="Z21" s="143">
        <f>_xlfn.XLOOKUP(D21,RUC!$B$3:$B$123,RUC!$H$3:$H$123)</f>
        <v>30</v>
      </c>
      <c r="AA21" s="144">
        <f t="shared" si="2"/>
        <v>30</v>
      </c>
      <c r="AB21" s="145">
        <f t="shared" si="15"/>
        <v>207.91273955999998</v>
      </c>
      <c r="AC21" s="145">
        <f>+(S21-T21)*V21-'data 1'!$F$4</f>
        <v>30.230000000000004</v>
      </c>
      <c r="AD21" s="145">
        <f t="shared" si="4"/>
        <v>73.913744185355029</v>
      </c>
      <c r="AE21" s="145">
        <f t="shared" si="5"/>
        <v>-36.930999999999997</v>
      </c>
      <c r="AF21" s="145">
        <f t="shared" si="6"/>
        <v>55.073483854640052</v>
      </c>
      <c r="AG21" s="772">
        <f t="shared" si="16"/>
        <v>139.28622803999508</v>
      </c>
      <c r="AH21" s="146">
        <f t="shared" si="7"/>
        <v>92.89655386742281</v>
      </c>
      <c r="AI21" s="146">
        <f t="shared" si="19"/>
        <v>97.919841749154429</v>
      </c>
      <c r="AJ21" s="156">
        <f t="shared" si="9"/>
        <v>8.3811794841450009</v>
      </c>
      <c r="AK21" s="141">
        <f t="shared" si="10"/>
        <v>69.187158257796696</v>
      </c>
      <c r="AL21" s="88"/>
      <c r="AM21" s="716">
        <f t="shared" si="11"/>
        <v>4334.3319320785722</v>
      </c>
      <c r="AN21" s="716" t="str">
        <f>_xlfn.XLOOKUP(D21,RUC!$B$3:$B$578,RUC!$M$3:$M$578)</f>
        <v>Yuri Rospigliossi</v>
      </c>
      <c r="AO21" s="1167" t="s">
        <v>2281</v>
      </c>
      <c r="AS21" s="1212">
        <f t="shared" si="12"/>
        <v>2848.4219127281885</v>
      </c>
    </row>
    <row r="22" spans="1:45" ht="15" customHeight="1">
      <c r="A22" s="747" t="s">
        <v>2284</v>
      </c>
      <c r="B22" s="595">
        <v>45839</v>
      </c>
      <c r="C22" s="595">
        <v>45835</v>
      </c>
      <c r="D22" t="s">
        <v>2004</v>
      </c>
      <c r="E22">
        <f>_xlfn.XLOOKUP(D22,RUC!$B$3:$B$123,RUC!$D$3:$D$123)</f>
        <v>20612921866</v>
      </c>
      <c r="G22" s="80">
        <v>69</v>
      </c>
      <c r="H22" t="s">
        <v>69</v>
      </c>
      <c r="I22">
        <v>6.13</v>
      </c>
      <c r="J22" s="596">
        <v>1.5</v>
      </c>
      <c r="K22" s="138">
        <f t="shared" si="0"/>
        <v>6.0380500000000001</v>
      </c>
      <c r="L22" s="139">
        <v>0.1825</v>
      </c>
      <c r="M22" s="139">
        <v>0.16800000000000001</v>
      </c>
      <c r="N22" s="149">
        <v>0.22500000000000001</v>
      </c>
      <c r="O22" s="645">
        <f>+ROUND((M22+N22)/2,3)</f>
        <v>0.19700000000000001</v>
      </c>
      <c r="P22" s="727">
        <v>90</v>
      </c>
      <c r="Q22">
        <v>90.14</v>
      </c>
      <c r="R22" s="706">
        <v>3271.75</v>
      </c>
      <c r="S22" s="765">
        <f>IF((80+ROUNDDOWN(O22,1)*100)&lt;95,95,(80+ROUNDDOWN(O22,1)*100))</f>
        <v>95</v>
      </c>
      <c r="U22" s="1146">
        <f>_xlfn.XLOOKUP(D22,RUC!$B$3:$B$123,RUC!$F$3:$F$123)</f>
        <v>100</v>
      </c>
      <c r="V22" s="715">
        <v>1.1023000000000001</v>
      </c>
      <c r="Y22">
        <f>_xlfn.XLOOKUP(D22,RUC!$B$3:$B$123,RUC!$G$3:$G$123)</f>
        <v>0</v>
      </c>
      <c r="Z22" s="143">
        <f>_xlfn.XLOOKUP(D22,RUC!$B$3:$B$123,RUC!$H$3:$H$123)</f>
        <v>30</v>
      </c>
      <c r="AA22" s="144">
        <f t="shared" si="2"/>
        <v>30</v>
      </c>
      <c r="AB22" s="145">
        <f t="shared" si="15"/>
        <v>482.09231043250003</v>
      </c>
      <c r="AC22" s="145">
        <f>+(S22-T22)*V22-'data 1'!$F$4</f>
        <v>24.718500000000006</v>
      </c>
      <c r="AD22" s="145">
        <f t="shared" si="4"/>
        <v>0.89328421638750366</v>
      </c>
      <c r="AE22" s="145">
        <f t="shared" si="5"/>
        <v>-36.930999999999997</v>
      </c>
      <c r="AF22" s="145">
        <f t="shared" si="6"/>
        <v>-45.696644592757536</v>
      </c>
      <c r="AG22" s="772">
        <f>AC22+AD22+AE22+AF22+70-10</f>
        <v>2.9841396236299715</v>
      </c>
      <c r="AH22" s="146">
        <f t="shared" si="7"/>
        <v>34.055416556247494</v>
      </c>
      <c r="AI22" s="146">
        <f t="shared" si="19"/>
        <v>37.780581935042711</v>
      </c>
      <c r="AJ22" s="156">
        <f t="shared" si="9"/>
        <v>32.322859054862505</v>
      </c>
      <c r="AK22" s="141">
        <f t="shared" si="10"/>
        <v>36.704094121003138</v>
      </c>
      <c r="AL22" s="88"/>
      <c r="AM22" s="716">
        <f t="shared" si="11"/>
        <v>2910.8974750069569</v>
      </c>
      <c r="AN22" s="716" t="str">
        <f>_xlfn.XLOOKUP(D22,RUC!$B$3:$B$578,RUC!$M$3:$M$578)</f>
        <v>Ronald Garibay</v>
      </c>
      <c r="AO22" s="1167" t="s">
        <v>2277</v>
      </c>
      <c r="AS22" s="1212">
        <f t="shared" si="12"/>
        <v>-64.361866190040473</v>
      </c>
    </row>
    <row r="23" spans="1:45" ht="15" customHeight="1">
      <c r="A23" s="747" t="s">
        <v>2285</v>
      </c>
      <c r="B23" s="595">
        <v>45839</v>
      </c>
      <c r="C23" s="595">
        <v>45835</v>
      </c>
      <c r="D23" t="s">
        <v>2004</v>
      </c>
      <c r="E23">
        <f>_xlfn.XLOOKUP(D23,RUC!$B$3:$B$123,RUC!$D$3:$D$123)</f>
        <v>20612921866</v>
      </c>
      <c r="G23" s="80">
        <v>36</v>
      </c>
      <c r="H23" t="s">
        <v>108</v>
      </c>
      <c r="I23">
        <v>3.38</v>
      </c>
      <c r="J23" s="596">
        <v>14.4</v>
      </c>
      <c r="K23" s="138">
        <f t="shared" si="0"/>
        <v>2.8932799999999999</v>
      </c>
      <c r="L23" s="139">
        <v>0.2535</v>
      </c>
      <c r="M23" s="139">
        <v>0.23799999999999999</v>
      </c>
      <c r="N23" s="159">
        <v>0.23799999999999999</v>
      </c>
      <c r="O23" s="645">
        <f>+ROUND((M23+N23)/2,3)</f>
        <v>0.23799999999999999</v>
      </c>
      <c r="P23" s="727">
        <v>90</v>
      </c>
      <c r="Q23">
        <v>96.45</v>
      </c>
      <c r="R23" s="706">
        <v>3271.75</v>
      </c>
      <c r="S23" s="765">
        <f>IF((80+ROUNDDOWN(O23,1)*100)&lt;95,95,(80+ROUNDDOWN(O23,1)*100))</f>
        <v>100</v>
      </c>
      <c r="U23" s="1146">
        <f>_xlfn.XLOOKUP(D23,RUC!$B$3:$B$123,RUC!$F$3:$F$123)</f>
        <v>100</v>
      </c>
      <c r="V23" s="715">
        <v>1.1023000000000001</v>
      </c>
      <c r="Y23">
        <f>_xlfn.XLOOKUP(D23,RUC!$B$3:$B$123,RUC!$G$3:$G$123)</f>
        <v>0</v>
      </c>
      <c r="Z23" s="143">
        <f>_xlfn.XLOOKUP(D23,RUC!$B$3:$B$123,RUC!$H$3:$H$123)</f>
        <v>30</v>
      </c>
      <c r="AA23" s="144">
        <f t="shared" si="2"/>
        <v>30</v>
      </c>
      <c r="AB23" s="145">
        <f t="shared" si="15"/>
        <v>605.59132935499997</v>
      </c>
      <c r="AC23" s="145">
        <f>+(S23-T23)*V23-'data 1'!$F$4</f>
        <v>30.230000000000004</v>
      </c>
      <c r="AD23" s="145">
        <f t="shared" si="4"/>
        <v>57.165819573768786</v>
      </c>
      <c r="AE23" s="145">
        <f t="shared" si="5"/>
        <v>-36.930999999999997</v>
      </c>
      <c r="AF23" s="145">
        <f t="shared" si="6"/>
        <v>52.2676153187438</v>
      </c>
      <c r="AG23" s="772">
        <f>AC23+AD23+AE23+AF23+70-10</f>
        <v>162.7324348925126</v>
      </c>
      <c r="AH23" s="146">
        <f t="shared" si="7"/>
        <v>24.253796530791483</v>
      </c>
      <c r="AI23" s="146">
        <f t="shared" si="19"/>
        <v>25.146497180706564</v>
      </c>
      <c r="AJ23" s="156">
        <f t="shared" si="9"/>
        <v>48.040723751231255</v>
      </c>
      <c r="AK23" s="141">
        <f t="shared" si="10"/>
        <v>21.248046138490519</v>
      </c>
      <c r="AL23" s="88"/>
      <c r="AM23" s="716">
        <f t="shared" si="11"/>
        <v>1752.1452813962342</v>
      </c>
      <c r="AN23" s="716" t="str">
        <f>_xlfn.XLOOKUP(D23,RUC!$B$3:$B$578,RUC!$M$3:$M$578)</f>
        <v>Ronald Garibay</v>
      </c>
      <c r="AO23" s="1167" t="s">
        <v>2277</v>
      </c>
      <c r="AS23" s="1212">
        <f t="shared" si="12"/>
        <v>462.24044369646299</v>
      </c>
    </row>
    <row r="24" spans="1:45" ht="15" customHeight="1">
      <c r="A24" s="747" t="s">
        <v>2286</v>
      </c>
      <c r="B24" s="595">
        <v>45840</v>
      </c>
      <c r="C24" s="595">
        <v>45837</v>
      </c>
      <c r="D24" t="s">
        <v>324</v>
      </c>
      <c r="E24">
        <f>_xlfn.XLOOKUP(D24,RUC!$B$3:$B$123,RUC!$D$3:$D$123)</f>
        <v>20603329059</v>
      </c>
      <c r="G24" s="80">
        <v>23</v>
      </c>
      <c r="H24" t="s">
        <v>2005</v>
      </c>
      <c r="I24">
        <v>1.68</v>
      </c>
      <c r="J24" s="596">
        <v>1.65</v>
      </c>
      <c r="K24" s="138">
        <f t="shared" si="0"/>
        <v>1.65228</v>
      </c>
      <c r="L24" s="139">
        <v>0.65400000000000003</v>
      </c>
      <c r="M24" s="139">
        <v>0.61399999999999999</v>
      </c>
      <c r="N24" s="159">
        <v>0.61399999999999999</v>
      </c>
      <c r="O24" s="645">
        <f t="shared" ref="O24:O71" si="23">+ROUND((M24+N24)/2,3)</f>
        <v>0.61399999999999999</v>
      </c>
      <c r="P24" s="727">
        <v>90</v>
      </c>
      <c r="Q24" s="596">
        <v>97.7</v>
      </c>
      <c r="R24" s="706">
        <v>3287.45</v>
      </c>
      <c r="S24" s="765">
        <f>IF((90+ROUNDDOWN(O24,1)*100)&lt;95,95,(90+ROUNDDOWN(O24,1)*100))</f>
        <v>150</v>
      </c>
      <c r="U24" s="1146">
        <f>_xlfn.XLOOKUP(D24,RUC!$B$3:$B$123,RUC!$F$3:$F$123)</f>
        <v>100</v>
      </c>
      <c r="V24" s="715">
        <v>1.1023000000000001</v>
      </c>
      <c r="Y24">
        <f>_xlfn.XLOOKUP(D24,RUC!$B$3:$B$123,RUC!$G$3:$G$123)</f>
        <v>0</v>
      </c>
      <c r="Z24" s="143">
        <f>_xlfn.XLOOKUP(D24,RUC!$B$3:$B$123,RUC!$H$3:$H$123)</f>
        <v>30</v>
      </c>
      <c r="AA24" s="144">
        <f t="shared" si="2"/>
        <v>30</v>
      </c>
      <c r="AB24" s="145">
        <f t="shared" si="15"/>
        <v>1743.160542201</v>
      </c>
      <c r="AC24" s="145">
        <f>+(S24-T24)*V24-'data 1'!$F$4</f>
        <v>85.344999999999999</v>
      </c>
      <c r="AD24" s="145">
        <f t="shared" si="4"/>
        <v>176.93414910633007</v>
      </c>
      <c r="AE24" s="145">
        <f t="shared" si="5"/>
        <v>-36.930999999999997</v>
      </c>
      <c r="AF24" s="145">
        <f t="shared" si="6"/>
        <v>137.30860135580014</v>
      </c>
      <c r="AG24" s="772">
        <f>AC24+AD24+AE24+AF24+70-53</f>
        <v>379.65675046213022</v>
      </c>
      <c r="AH24" s="146">
        <f t="shared" si="7"/>
        <v>36.196370697514695</v>
      </c>
      <c r="AI24" s="146">
        <f t="shared" si="19"/>
        <v>37.048485872584124</v>
      </c>
      <c r="AJ24" s="156">
        <f t="shared" si="9"/>
        <v>114.48776922267015</v>
      </c>
      <c r="AK24" s="141">
        <f t="shared" si="10"/>
        <v>31.304271090504564</v>
      </c>
      <c r="AL24" s="88"/>
      <c r="AM24" s="716">
        <f t="shared" si="11"/>
        <v>2880.1893006678683</v>
      </c>
      <c r="AN24" s="716" t="str">
        <f>_xlfn.XLOOKUP(D24,RUC!$B$3:$B$578,RUC!$M$3:$M$578)</f>
        <v>Yuri Rospigliossi</v>
      </c>
      <c r="AO24" s="1167" t="s">
        <v>2277</v>
      </c>
      <c r="AS24" s="1212">
        <f t="shared" si="12"/>
        <v>779.09205760855866</v>
      </c>
    </row>
    <row r="25" spans="1:45" ht="15" customHeight="1">
      <c r="A25" s="747" t="s">
        <v>2287</v>
      </c>
      <c r="B25" s="595">
        <v>45840</v>
      </c>
      <c r="C25" s="595">
        <v>45837</v>
      </c>
      <c r="D25" t="s">
        <v>324</v>
      </c>
      <c r="E25">
        <f>_xlfn.XLOOKUP(D25,RUC!$B$3:$B$123,RUC!$D$3:$D$123)</f>
        <v>20603329059</v>
      </c>
      <c r="G25" s="80">
        <v>18</v>
      </c>
      <c r="H25" t="s">
        <v>2005</v>
      </c>
      <c r="I25">
        <v>1.27</v>
      </c>
      <c r="J25" s="596">
        <v>1.5</v>
      </c>
      <c r="K25" s="138">
        <f t="shared" si="0"/>
        <v>1.25095</v>
      </c>
      <c r="L25" s="139">
        <v>0.28000000000000003</v>
      </c>
      <c r="M25" s="139">
        <v>0.26300000000000001</v>
      </c>
      <c r="N25" s="159">
        <v>0.26300000000000001</v>
      </c>
      <c r="O25" s="645">
        <f t="shared" si="23"/>
        <v>0.26300000000000001</v>
      </c>
      <c r="P25" s="727">
        <v>90</v>
      </c>
      <c r="Q25" s="596">
        <v>97.5</v>
      </c>
      <c r="R25" s="706">
        <v>3287.45</v>
      </c>
      <c r="S25" s="765">
        <f t="shared" ref="S25" si="24">IF((90+ROUNDDOWN(O25,1)*100)&lt;95,95,(90+ROUNDDOWN(O25,1)*100))</f>
        <v>110</v>
      </c>
      <c r="U25" s="1146">
        <f>_xlfn.XLOOKUP(D25,RUC!$B$3:$B$123,RUC!$F$3:$F$123)</f>
        <v>100</v>
      </c>
      <c r="V25" s="715">
        <v>1.1023000000000001</v>
      </c>
      <c r="Y25">
        <f>_xlfn.XLOOKUP(D25,RUC!$B$3:$B$123,RUC!$G$3:$G$123)</f>
        <v>0</v>
      </c>
      <c r="Z25" s="143">
        <f>_xlfn.XLOOKUP(D25,RUC!$B$3:$B$123,RUC!$H$3:$H$123)</f>
        <v>30</v>
      </c>
      <c r="AA25" s="144">
        <f t="shared" si="2"/>
        <v>30</v>
      </c>
      <c r="AB25" s="145">
        <f t="shared" si="15"/>
        <v>677.32963615450001</v>
      </c>
      <c r="AC25" s="145">
        <f>+(S25-T25)*V25-'data 1'!$F$4</f>
        <v>41.253</v>
      </c>
      <c r="AD25" s="145">
        <f t="shared" si="4"/>
        <v>73.784048835000007</v>
      </c>
      <c r="AE25" s="145">
        <f t="shared" si="5"/>
        <v>-36.930999999999997</v>
      </c>
      <c r="AF25" s="145">
        <f t="shared" si="6"/>
        <v>58.236695687625051</v>
      </c>
      <c r="AG25" s="772">
        <f t="shared" ref="AG25:AG34" si="25">AC25+AD25+AE25+AF25+70-53</f>
        <v>153.34274452262505</v>
      </c>
      <c r="AH25" s="146">
        <f t="shared" si="7"/>
        <v>11.708780587453271</v>
      </c>
      <c r="AI25" s="146">
        <f t="shared" si="19"/>
        <v>12.009005730721301</v>
      </c>
      <c r="AJ25" s="156">
        <f t="shared" si="9"/>
        <v>48.915830145000065</v>
      </c>
      <c r="AK25" s="141">
        <f t="shared" si="10"/>
        <v>10.151898773077614</v>
      </c>
      <c r="AL25" s="88"/>
      <c r="AM25" s="716">
        <f t="shared" si="11"/>
        <v>847.3055083474718</v>
      </c>
      <c r="AN25" s="716" t="str">
        <f>_xlfn.XLOOKUP(D25,RUC!$B$3:$B$578,RUC!$M$3:$M$578)</f>
        <v>Yuri Rospigliossi</v>
      </c>
      <c r="AO25" s="1167" t="s">
        <v>2277</v>
      </c>
      <c r="AS25" s="1212">
        <f t="shared" si="12"/>
        <v>241.10595952281972</v>
      </c>
    </row>
    <row r="26" spans="1:45" ht="15" customHeight="1">
      <c r="A26" s="747" t="s">
        <v>2288</v>
      </c>
      <c r="B26" s="595">
        <v>45842</v>
      </c>
      <c r="C26" s="595">
        <v>45838</v>
      </c>
      <c r="D26" t="s">
        <v>1671</v>
      </c>
      <c r="E26">
        <f>_xlfn.XLOOKUP(D26,RUC!$B$3:$B$123,RUC!$D$3:$D$123)</f>
        <v>20517242919</v>
      </c>
      <c r="G26" s="80">
        <v>62</v>
      </c>
      <c r="H26" t="s">
        <v>69</v>
      </c>
      <c r="I26">
        <v>5.43</v>
      </c>
      <c r="J26" s="596">
        <v>1.35</v>
      </c>
      <c r="K26" s="138">
        <f t="shared" si="0"/>
        <v>5.3566949999999993</v>
      </c>
      <c r="L26" s="139">
        <v>0.22900000000000001</v>
      </c>
      <c r="M26" s="139">
        <v>0.22600000000000001</v>
      </c>
      <c r="N26" s="159">
        <v>0.22600000000000001</v>
      </c>
      <c r="O26" s="645">
        <f t="shared" si="23"/>
        <v>0.22600000000000001</v>
      </c>
      <c r="P26" s="727">
        <v>85</v>
      </c>
      <c r="Q26" s="596">
        <v>94.32</v>
      </c>
      <c r="R26" s="706">
        <v>3287.45</v>
      </c>
      <c r="S26" s="1164">
        <v>105</v>
      </c>
      <c r="U26" s="1146">
        <f>_xlfn.XLOOKUP(D26,RUC!$B$3:$B$123,RUC!$F$3:$F$123)</f>
        <v>80</v>
      </c>
      <c r="V26" s="715">
        <v>1.1023000000000001</v>
      </c>
      <c r="Y26">
        <f>_xlfn.XLOOKUP(D26,RUC!$B$3:$B$123,RUC!$G$3:$G$123)</f>
        <v>0</v>
      </c>
      <c r="Z26" s="143">
        <f>_xlfn.XLOOKUP(D26,RUC!$B$3:$B$123,RUC!$H$3:$H$123)</f>
        <v>10</v>
      </c>
      <c r="AA26" s="144">
        <f t="shared" si="2"/>
        <v>10</v>
      </c>
      <c r="AB26" s="145">
        <f t="shared" si="15"/>
        <v>552.41890713349994</v>
      </c>
      <c r="AC26" s="145">
        <f>+(S26-T26)*V26-'data 1'!$F$4</f>
        <v>35.741500000000002</v>
      </c>
      <c r="AD26" s="145">
        <f t="shared" si="4"/>
        <v>75.459008962877945</v>
      </c>
      <c r="AE26" s="145">
        <f t="shared" si="5"/>
        <v>-58.977000000000004</v>
      </c>
      <c r="AF26" s="145">
        <f t="shared" si="6"/>
        <v>10.004254913196009</v>
      </c>
      <c r="AG26" s="772">
        <f>AC26+AD26+AE26+AF26+70</f>
        <v>132.22776387607394</v>
      </c>
      <c r="AH26" s="146">
        <f t="shared" si="7"/>
        <v>39.66845289010633</v>
      </c>
      <c r="AI26" s="146">
        <f t="shared" si="19"/>
        <v>42.057307983573295</v>
      </c>
      <c r="AJ26" s="156">
        <f t="shared" si="9"/>
        <v>33.939567483372045</v>
      </c>
      <c r="AK26" s="141">
        <f t="shared" si="10"/>
        <v>35.280388050849041</v>
      </c>
      <c r="AL26" s="88"/>
      <c r="AM26" s="716">
        <f t="shared" si="11"/>
        <v>2959.1395977474831</v>
      </c>
      <c r="AN26" s="716" t="str">
        <f>_xlfn.XLOOKUP(D26,RUC!$B$3:$B$578,RUC!$M$3:$M$578)</f>
        <v>Melchor Vera</v>
      </c>
      <c r="AO26" s="1167" t="s">
        <v>2277</v>
      </c>
      <c r="AP26" t="s">
        <v>2474</v>
      </c>
      <c r="AQ26" t="s">
        <v>2475</v>
      </c>
      <c r="AS26" s="1212">
        <f t="shared" si="12"/>
        <v>579.5451009495896</v>
      </c>
    </row>
    <row r="27" spans="1:45" ht="15" customHeight="1">
      <c r="A27" s="747" t="s">
        <v>2289</v>
      </c>
      <c r="B27" s="595">
        <v>45842</v>
      </c>
      <c r="C27" s="595">
        <v>45838</v>
      </c>
      <c r="D27" t="s">
        <v>1671</v>
      </c>
      <c r="E27">
        <f>_xlfn.XLOOKUP(D27,RUC!$B$3:$B$123,RUC!$D$3:$D$123)</f>
        <v>20517242919</v>
      </c>
      <c r="G27" s="80">
        <v>74</v>
      </c>
      <c r="H27" t="s">
        <v>69</v>
      </c>
      <c r="I27">
        <v>6.67</v>
      </c>
      <c r="J27" s="596">
        <v>3</v>
      </c>
      <c r="K27" s="138">
        <f t="shared" si="0"/>
        <v>6.4699</v>
      </c>
      <c r="L27" s="139">
        <v>0.19500000000000001</v>
      </c>
      <c r="M27" s="139">
        <v>0.192</v>
      </c>
      <c r="N27" s="159">
        <v>0.192</v>
      </c>
      <c r="O27" s="645">
        <f t="shared" si="23"/>
        <v>0.192</v>
      </c>
      <c r="P27" s="727">
        <v>85</v>
      </c>
      <c r="Q27" s="596">
        <v>93.33</v>
      </c>
      <c r="R27" s="706">
        <v>3287.45</v>
      </c>
      <c r="S27" s="1164">
        <v>95</v>
      </c>
      <c r="U27" s="1146">
        <f>_xlfn.XLOOKUP(D27,RUC!$B$3:$B$123,RUC!$F$3:$F$123)</f>
        <v>80</v>
      </c>
      <c r="V27" s="715">
        <v>1.1023000000000001</v>
      </c>
      <c r="Y27">
        <f>_xlfn.XLOOKUP(D27,RUC!$B$3:$B$123,RUC!$G$3:$G$123)</f>
        <v>0</v>
      </c>
      <c r="Z27" s="143">
        <f>_xlfn.XLOOKUP(D27,RUC!$B$3:$B$123,RUC!$H$3:$H$123)</f>
        <v>10</v>
      </c>
      <c r="AA27" s="144">
        <f t="shared" si="2"/>
        <v>10</v>
      </c>
      <c r="AB27" s="145">
        <f t="shared" si="15"/>
        <v>461.26387243199997</v>
      </c>
      <c r="AC27" s="145">
        <f>+(S27-T27)*V27-'data 1'!$F$4</f>
        <v>24.718500000000006</v>
      </c>
      <c r="AD27" s="145">
        <f t="shared" si="4"/>
        <v>57.430065974872484</v>
      </c>
      <c r="AE27" s="145">
        <f t="shared" si="5"/>
        <v>-58.977000000000004</v>
      </c>
      <c r="AF27" s="145">
        <f t="shared" si="6"/>
        <v>9.8992484207865079</v>
      </c>
      <c r="AG27" s="772">
        <f t="shared" ref="AG27:AG33" si="26">AC27+AD27+AE27+AF27+70</f>
        <v>103.070814395659</v>
      </c>
      <c r="AH27" s="146">
        <f t="shared" si="7"/>
        <v>40.370350000625557</v>
      </c>
      <c r="AI27" s="146">
        <f t="shared" si="19"/>
        <v>43.255491268215529</v>
      </c>
      <c r="AJ27" s="156">
        <f t="shared" si="9"/>
        <v>28.59716006637754</v>
      </c>
      <c r="AK27" s="141">
        <f t="shared" si="10"/>
        <v>36.201518846014231</v>
      </c>
      <c r="AL27" s="88"/>
      <c r="AM27" s="716">
        <f t="shared" si="11"/>
        <v>2984.3311282477966</v>
      </c>
      <c r="AN27" s="716" t="str">
        <f>_xlfn.XLOOKUP(D27,RUC!$B$3:$B$578,RUC!$M$3:$M$578)</f>
        <v>Melchor Vera</v>
      </c>
      <c r="AO27" s="1167" t="s">
        <v>2277</v>
      </c>
      <c r="AP27" t="s">
        <v>2474</v>
      </c>
      <c r="AQ27" t="s">
        <v>2475</v>
      </c>
      <c r="AS27" s="1212">
        <f t="shared" si="12"/>
        <v>481.51708919188422</v>
      </c>
    </row>
    <row r="28" spans="1:45" ht="15" customHeight="1">
      <c r="A28" s="747" t="s">
        <v>2290</v>
      </c>
      <c r="B28" s="595">
        <v>45842</v>
      </c>
      <c r="C28" s="595">
        <v>45838</v>
      </c>
      <c r="D28" t="s">
        <v>1671</v>
      </c>
      <c r="E28">
        <f>_xlfn.XLOOKUP(D28,RUC!$B$3:$B$123,RUC!$D$3:$D$123)</f>
        <v>20517242919</v>
      </c>
      <c r="G28" s="80">
        <v>73</v>
      </c>
      <c r="H28" t="s">
        <v>69</v>
      </c>
      <c r="I28">
        <v>6.53</v>
      </c>
      <c r="J28" s="596">
        <v>3.55</v>
      </c>
      <c r="K28" s="138">
        <f t="shared" si="0"/>
        <v>6.2981850000000001</v>
      </c>
      <c r="L28" s="139">
        <v>0.188</v>
      </c>
      <c r="M28" s="139">
        <v>0.185</v>
      </c>
      <c r="N28" s="159">
        <v>0.185</v>
      </c>
      <c r="O28" s="645">
        <f t="shared" si="23"/>
        <v>0.185</v>
      </c>
      <c r="P28" s="727">
        <v>85</v>
      </c>
      <c r="Q28" s="596">
        <v>93.6</v>
      </c>
      <c r="R28" s="706">
        <v>3287.45</v>
      </c>
      <c r="S28" s="1164">
        <v>95</v>
      </c>
      <c r="U28" s="1146">
        <f>_xlfn.XLOOKUP(D28,RUC!$B$3:$B$123,RUC!$F$3:$F$123)</f>
        <v>80</v>
      </c>
      <c r="V28" s="715">
        <v>1.1023000000000001</v>
      </c>
      <c r="Y28">
        <f>_xlfn.XLOOKUP(D28,RUC!$B$3:$B$123,RUC!$G$3:$G$123)</f>
        <v>0</v>
      </c>
      <c r="Z28" s="143">
        <f>_xlfn.XLOOKUP(D28,RUC!$B$3:$B$123,RUC!$H$3:$H$123)</f>
        <v>10</v>
      </c>
      <c r="AA28" s="144">
        <f t="shared" si="2"/>
        <v>10</v>
      </c>
      <c r="AB28" s="145">
        <f t="shared" si="15"/>
        <v>440.22721822874996</v>
      </c>
      <c r="AC28" s="145">
        <f>+(S28-T28)*V28-'data 1'!$F$4</f>
        <v>24.718500000000006</v>
      </c>
      <c r="AD28" s="145">
        <f t="shared" si="4"/>
        <v>57.163130278679965</v>
      </c>
      <c r="AE28" s="145">
        <f t="shared" si="5"/>
        <v>-58.977000000000004</v>
      </c>
      <c r="AF28" s="145">
        <f t="shared" si="6"/>
        <v>9.9278865550800077</v>
      </c>
      <c r="AG28" s="772">
        <f t="shared" si="26"/>
        <v>102.83251683375998</v>
      </c>
      <c r="AH28" s="146">
        <f t="shared" si="7"/>
        <v>37.997776202545772</v>
      </c>
      <c r="AI28" s="146">
        <f t="shared" si="19"/>
        <v>40.595914746309582</v>
      </c>
      <c r="AJ28" s="156">
        <f t="shared" si="9"/>
        <v>27.650355988320033</v>
      </c>
      <c r="AK28" s="141">
        <f t="shared" si="10"/>
        <v>33.955891456687134</v>
      </c>
      <c r="AL28" s="88"/>
      <c r="AM28" s="716">
        <f t="shared" si="11"/>
        <v>2772.6324624400395</v>
      </c>
      <c r="AN28" s="716" t="str">
        <f>_xlfn.XLOOKUP(D28,RUC!$B$3:$B$578,RUC!$M$3:$M$578)</f>
        <v>Melchor Vera</v>
      </c>
      <c r="AO28" s="1167" t="s">
        <v>2277</v>
      </c>
      <c r="AP28" t="s">
        <v>2474</v>
      </c>
      <c r="AQ28" t="s">
        <v>2475</v>
      </c>
      <c r="AS28" s="1212">
        <f t="shared" si="12"/>
        <v>461.79366666177202</v>
      </c>
    </row>
    <row r="29" spans="1:45" ht="15" customHeight="1">
      <c r="A29" s="747" t="s">
        <v>2291</v>
      </c>
      <c r="B29" s="595">
        <v>45842</v>
      </c>
      <c r="C29" s="595">
        <v>45838</v>
      </c>
      <c r="D29" t="s">
        <v>1671</v>
      </c>
      <c r="E29">
        <f>_xlfn.XLOOKUP(D29,RUC!$B$3:$B$123,RUC!$D$3:$D$123)</f>
        <v>20517242919</v>
      </c>
      <c r="G29" s="80">
        <v>61</v>
      </c>
      <c r="H29" t="s">
        <v>69</v>
      </c>
      <c r="I29">
        <v>5.47</v>
      </c>
      <c r="J29" s="596">
        <v>2.25</v>
      </c>
      <c r="K29" s="138">
        <f t="shared" si="0"/>
        <v>5.3469249999999997</v>
      </c>
      <c r="L29" s="139">
        <v>0.39900000000000002</v>
      </c>
      <c r="M29" s="139">
        <v>0.39300000000000002</v>
      </c>
      <c r="N29" s="159">
        <v>0.39300000000000002</v>
      </c>
      <c r="O29" s="645">
        <f t="shared" si="23"/>
        <v>0.39300000000000002</v>
      </c>
      <c r="P29" s="727">
        <v>90</v>
      </c>
      <c r="Q29" s="596">
        <v>96.24</v>
      </c>
      <c r="R29" s="706">
        <v>3287.45</v>
      </c>
      <c r="S29" s="1164">
        <v>110</v>
      </c>
      <c r="U29" s="1146">
        <f>_xlfn.XLOOKUP(D29,RUC!$B$3:$B$123,RUC!$F$3:$F$123)</f>
        <v>80</v>
      </c>
      <c r="V29" s="715">
        <v>1.1023000000000001</v>
      </c>
      <c r="Y29">
        <f>_xlfn.XLOOKUP(D29,RUC!$B$3:$B$123,RUC!$G$3:$G$123)</f>
        <v>0</v>
      </c>
      <c r="Z29" s="143">
        <f>_xlfn.XLOOKUP(D29,RUC!$B$3:$B$123,RUC!$H$3:$H$123)</f>
        <v>10</v>
      </c>
      <c r="AA29" s="144">
        <f t="shared" si="2"/>
        <v>10</v>
      </c>
      <c r="AB29" s="145">
        <f t="shared" si="15"/>
        <v>1118.2558641495002</v>
      </c>
      <c r="AC29" s="145">
        <f>+(S29-T29)*V29-'data 1'!$F$4</f>
        <v>41.253</v>
      </c>
      <c r="AD29" s="145">
        <f t="shared" si="4"/>
        <v>88.027260788375941</v>
      </c>
      <c r="AE29" s="145">
        <f t="shared" si="5"/>
        <v>-58.977000000000004</v>
      </c>
      <c r="AF29" s="145">
        <f t="shared" si="6"/>
        <v>20.415807736344018</v>
      </c>
      <c r="AG29" s="772">
        <f t="shared" si="26"/>
        <v>160.71906852471994</v>
      </c>
      <c r="AH29" s="146">
        <f t="shared" si="7"/>
        <v>70.394977052354164</v>
      </c>
      <c r="AI29" s="146">
        <f t="shared" si="19"/>
        <v>73.14523800119926</v>
      </c>
      <c r="AJ29" s="156">
        <f t="shared" si="9"/>
        <v>60.33864304112408</v>
      </c>
      <c r="AK29" s="141">
        <f t="shared" si="10"/>
        <v>64.840778649183406</v>
      </c>
      <c r="AL29" s="88"/>
      <c r="AM29" s="716">
        <f t="shared" si="11"/>
        <v>5979.2302364175657</v>
      </c>
      <c r="AN29" s="716" t="str">
        <f>_xlfn.XLOOKUP(D29,RUC!$B$3:$B$578,RUC!$M$3:$M$578)</f>
        <v>Melchor Vera</v>
      </c>
      <c r="AO29" s="1167" t="s">
        <v>2277</v>
      </c>
      <c r="AP29" t="s">
        <v>2474</v>
      </c>
      <c r="AQ29" t="s">
        <v>2475</v>
      </c>
      <c r="AS29" s="1212">
        <f t="shared" si="12"/>
        <v>853.60473034411734</v>
      </c>
    </row>
    <row r="30" spans="1:45" ht="15" customHeight="1">
      <c r="A30" s="747" t="s">
        <v>2292</v>
      </c>
      <c r="B30" s="595">
        <v>45842</v>
      </c>
      <c r="C30" s="595">
        <v>45838</v>
      </c>
      <c r="D30" t="s">
        <v>1671</v>
      </c>
      <c r="E30">
        <f>_xlfn.XLOOKUP(D30,RUC!$B$3:$B$123,RUC!$D$3:$D$123)</f>
        <v>20517242919</v>
      </c>
      <c r="G30" s="80">
        <v>51</v>
      </c>
      <c r="H30" t="s">
        <v>69</v>
      </c>
      <c r="I30">
        <v>4.63</v>
      </c>
      <c r="J30" s="596">
        <v>2.15</v>
      </c>
      <c r="K30" s="138">
        <f t="shared" si="0"/>
        <v>4.5304549999999999</v>
      </c>
      <c r="L30" s="139">
        <v>0.42399999999999999</v>
      </c>
      <c r="M30" s="139">
        <v>0.41799999999999998</v>
      </c>
      <c r="N30" s="598">
        <v>0.45700000000000002</v>
      </c>
      <c r="O30" s="645">
        <f t="shared" si="23"/>
        <v>0.438</v>
      </c>
      <c r="P30" s="727">
        <v>90</v>
      </c>
      <c r="Q30" s="596">
        <v>96.46</v>
      </c>
      <c r="R30" s="706">
        <v>3287.45</v>
      </c>
      <c r="S30" s="1164">
        <v>115</v>
      </c>
      <c r="U30" s="1146">
        <f>_xlfn.XLOOKUP(D30,RUC!$B$3:$B$123,RUC!$F$3:$F$123)</f>
        <v>80</v>
      </c>
      <c r="V30" s="715">
        <v>1.1023000000000001</v>
      </c>
      <c r="Y30">
        <f>_xlfn.XLOOKUP(D30,RUC!$B$3:$B$123,RUC!$G$3:$G$123)</f>
        <v>0</v>
      </c>
      <c r="Z30" s="143">
        <f>_xlfn.XLOOKUP(D30,RUC!$B$3:$B$123,RUC!$H$3:$H$123)</f>
        <v>10</v>
      </c>
      <c r="AA30" s="144">
        <f t="shared" si="2"/>
        <v>10</v>
      </c>
      <c r="AB30" s="145">
        <f t="shared" si="15"/>
        <v>1255.935035617</v>
      </c>
      <c r="AC30" s="145">
        <f>+(S30-T30)*V30-'data 1'!$F$4</f>
        <v>46.764500000000012</v>
      </c>
      <c r="AD30" s="145">
        <f t="shared" si="4"/>
        <v>96.840735006503905</v>
      </c>
      <c r="AE30" s="145">
        <f t="shared" si="5"/>
        <v>-58.977000000000004</v>
      </c>
      <c r="AF30" s="145">
        <f t="shared" si="6"/>
        <v>-47.745780339894033</v>
      </c>
      <c r="AG30" s="772">
        <f t="shared" si="26"/>
        <v>106.88245466660987</v>
      </c>
      <c r="AH30" s="146">
        <f t="shared" si="7"/>
        <v>63.527827603973577</v>
      </c>
      <c r="AI30" s="146">
        <f t="shared" si="19"/>
        <v>65.859244872458603</v>
      </c>
      <c r="AJ30" s="156">
        <f t="shared" si="9"/>
        <v>64.265833309496074</v>
      </c>
      <c r="AK30" s="141">
        <f t="shared" si="10"/>
        <v>61.230458322460336</v>
      </c>
      <c r="AL30" s="88"/>
      <c r="AM30" s="716">
        <f t="shared" si="11"/>
        <v>5689.9571617862157</v>
      </c>
      <c r="AN30" s="716" t="str">
        <f>_xlfn.XLOOKUP(D30,RUC!$B$3:$B$578,RUC!$M$3:$M$578)</f>
        <v>Melchor Vera</v>
      </c>
      <c r="AO30" s="1167" t="s">
        <v>2277</v>
      </c>
      <c r="AP30" t="s">
        <v>2474</v>
      </c>
      <c r="AQ30" t="s">
        <v>2475</v>
      </c>
      <c r="AS30" s="1212">
        <f t="shared" si="12"/>
        <v>515.5406573544733</v>
      </c>
    </row>
    <row r="31" spans="1:45" ht="15" customHeight="1">
      <c r="A31" s="747" t="s">
        <v>2293</v>
      </c>
      <c r="B31" s="595">
        <v>45842</v>
      </c>
      <c r="C31" s="595">
        <v>45838</v>
      </c>
      <c r="D31" t="s">
        <v>1671</v>
      </c>
      <c r="E31">
        <f>_xlfn.XLOOKUP(D31,RUC!$B$3:$B$123,RUC!$D$3:$D$123)</f>
        <v>20517242919</v>
      </c>
      <c r="G31" s="80">
        <v>57</v>
      </c>
      <c r="H31" t="s">
        <v>69</v>
      </c>
      <c r="I31">
        <v>5.26</v>
      </c>
      <c r="J31" s="596">
        <v>2</v>
      </c>
      <c r="K31" s="138">
        <f t="shared" si="0"/>
        <v>5.1547999999999998</v>
      </c>
      <c r="L31" s="139">
        <v>0.159</v>
      </c>
      <c r="M31" s="139">
        <v>0.156</v>
      </c>
      <c r="N31" s="159">
        <v>0.156</v>
      </c>
      <c r="O31" s="645">
        <f t="shared" si="23"/>
        <v>0.156</v>
      </c>
      <c r="P31" s="727">
        <v>85</v>
      </c>
      <c r="Q31" s="596">
        <v>93.69</v>
      </c>
      <c r="R31" s="706">
        <v>3287.45</v>
      </c>
      <c r="S31" s="1164">
        <v>95</v>
      </c>
      <c r="U31" s="1146">
        <f>_xlfn.XLOOKUP(D31,RUC!$B$3:$B$123,RUC!$F$3:$F$123)</f>
        <v>80</v>
      </c>
      <c r="V31" s="715">
        <v>1.1023000000000001</v>
      </c>
      <c r="Y31">
        <f>_xlfn.XLOOKUP(D31,RUC!$B$3:$B$123,RUC!$G$3:$G$123)</f>
        <v>0</v>
      </c>
      <c r="Z31" s="143">
        <f>_xlfn.XLOOKUP(D31,RUC!$B$3:$B$123,RUC!$H$3:$H$123)</f>
        <v>10</v>
      </c>
      <c r="AA31" s="144">
        <f t="shared" si="2"/>
        <v>10</v>
      </c>
      <c r="AB31" s="145">
        <f t="shared" si="15"/>
        <v>353.07536510099999</v>
      </c>
      <c r="AC31" s="145">
        <f>+(S31-T31)*V31-'data 1'!$F$4</f>
        <v>24.718500000000006</v>
      </c>
      <c r="AD31" s="145">
        <f t="shared" si="4"/>
        <v>48.851353746508487</v>
      </c>
      <c r="AE31" s="145">
        <f t="shared" si="5"/>
        <v>-58.977000000000004</v>
      </c>
      <c r="AF31" s="145">
        <f t="shared" si="6"/>
        <v>9.9374325998445094</v>
      </c>
      <c r="AG31" s="772">
        <f t="shared" si="26"/>
        <v>94.530286346353009</v>
      </c>
      <c r="AH31" s="146">
        <f t="shared" si="7"/>
        <v>26.327598870628126</v>
      </c>
      <c r="AI31" s="146">
        <f t="shared" si="19"/>
        <v>28.100756612902259</v>
      </c>
      <c r="AJ31" s="156">
        <f t="shared" si="9"/>
        <v>23.407627213741531</v>
      </c>
      <c r="AK31" s="141">
        <f t="shared" si="10"/>
        <v>23.434970609250563</v>
      </c>
      <c r="AL31" s="88"/>
      <c r="AM31" s="716">
        <f t="shared" si="11"/>
        <v>1820.0328920226348</v>
      </c>
      <c r="AN31" s="716" t="str">
        <f>_xlfn.XLOOKUP(D31,RUC!$B$3:$B$578,RUC!$M$3:$M$578)</f>
        <v>Melchor Vera</v>
      </c>
      <c r="AO31" s="1167" t="s">
        <v>2277</v>
      </c>
      <c r="AP31" t="s">
        <v>2474</v>
      </c>
      <c r="AQ31" t="s">
        <v>2475</v>
      </c>
      <c r="AS31" s="1212">
        <f t="shared" si="12"/>
        <v>315.81259598100405</v>
      </c>
    </row>
    <row r="32" spans="1:45" ht="15" customHeight="1">
      <c r="A32" s="747" t="s">
        <v>2294</v>
      </c>
      <c r="B32" s="595">
        <v>45842</v>
      </c>
      <c r="C32" s="595">
        <v>45838</v>
      </c>
      <c r="D32" t="s">
        <v>1671</v>
      </c>
      <c r="E32">
        <f>_xlfn.XLOOKUP(D32,RUC!$B$3:$B$123,RUC!$D$3:$D$123)</f>
        <v>20517242919</v>
      </c>
      <c r="G32" s="80">
        <v>27</v>
      </c>
      <c r="H32" t="s">
        <v>69</v>
      </c>
      <c r="I32">
        <v>2.56</v>
      </c>
      <c r="J32" s="596">
        <v>2.9</v>
      </c>
      <c r="K32" s="138">
        <f t="shared" si="0"/>
        <v>2.48576</v>
      </c>
      <c r="L32" s="139">
        <v>0.94100000000000006</v>
      </c>
      <c r="M32" s="139">
        <v>0.92688500000000007</v>
      </c>
      <c r="N32" s="159">
        <v>0.92700000000000005</v>
      </c>
      <c r="O32" s="645">
        <f t="shared" si="23"/>
        <v>0.92700000000000005</v>
      </c>
      <c r="P32" s="727">
        <v>90</v>
      </c>
      <c r="Q32" s="596">
        <v>96.811902231668441</v>
      </c>
      <c r="R32" s="706">
        <v>3287.45</v>
      </c>
      <c r="S32" s="1164">
        <v>150</v>
      </c>
      <c r="U32" s="1146">
        <f>_xlfn.XLOOKUP(D32,RUC!$B$3:$B$123,RUC!$F$3:$F$123)</f>
        <v>80</v>
      </c>
      <c r="V32" s="715">
        <v>1.1023000000000001</v>
      </c>
      <c r="Y32">
        <f>_xlfn.XLOOKUP(D32,RUC!$B$3:$B$123,RUC!$G$3:$G$123)</f>
        <v>0</v>
      </c>
      <c r="Z32" s="143">
        <f>_xlfn.XLOOKUP(D32,RUC!$B$3:$B$123,RUC!$H$3:$H$123)</f>
        <v>10</v>
      </c>
      <c r="AA32" s="144">
        <f t="shared" si="2"/>
        <v>10</v>
      </c>
      <c r="AB32" s="145">
        <f>+((O32*P32*(R32-U32)/100)-S32-AA32+T32)*V32</f>
        <v>2773.3598322304997</v>
      </c>
      <c r="AC32" s="145">
        <f>+(S32-T32)*V32-'data 1'!$F$4</f>
        <v>85.344999999999999</v>
      </c>
      <c r="AD32" s="145">
        <f>+(Q32-P32)*(R32-U32)*L32*V32/100</f>
        <v>226.63017385350014</v>
      </c>
      <c r="AE32" s="145">
        <f t="shared" si="5"/>
        <v>-58.977000000000004</v>
      </c>
      <c r="AF32" s="145">
        <f>(L32-O32)*(R32-U32)*Q32*V32/100</f>
        <v>47.919964941328416</v>
      </c>
      <c r="AG32" s="772">
        <f t="shared" si="26"/>
        <v>370.91813879482851</v>
      </c>
      <c r="AH32" s="146">
        <f t="shared" si="7"/>
        <v>77.640199287442059</v>
      </c>
      <c r="AI32" s="146">
        <f t="shared" si="19"/>
        <v>80.196956673417091</v>
      </c>
      <c r="AJ32" s="156">
        <f>+((+$AJ$2-R32+U32)*L32*Q32*V32)/100</f>
        <v>143.14804001500022</v>
      </c>
      <c r="AK32" s="141">
        <f t="shared" si="10"/>
        <v>71.103422903965864</v>
      </c>
      <c r="AL32" s="88"/>
      <c r="AM32" s="716">
        <f t="shared" si="11"/>
        <v>6893.9069365652867</v>
      </c>
      <c r="AN32" s="716" t="str">
        <f>_xlfn.XLOOKUP(D32,RUC!$B$3:$B$578,RUC!$M$3:$M$578)</f>
        <v>Melchor Vera</v>
      </c>
      <c r="AO32" s="1167" t="s">
        <v>2277</v>
      </c>
      <c r="AP32" t="s">
        <v>2474</v>
      </c>
      <c r="AQ32" t="s">
        <v>2475</v>
      </c>
      <c r="AS32" s="1212">
        <f t="shared" si="12"/>
        <v>1095.9073308189709</v>
      </c>
    </row>
    <row r="33" spans="1:45" ht="15" customHeight="1">
      <c r="A33" s="747" t="s">
        <v>2295</v>
      </c>
      <c r="B33" s="595">
        <v>45842</v>
      </c>
      <c r="C33" s="595">
        <v>45838</v>
      </c>
      <c r="D33" t="s">
        <v>1671</v>
      </c>
      <c r="E33">
        <f>_xlfn.XLOOKUP(D33,RUC!$B$3:$B$123,RUC!$D$3:$D$123)</f>
        <v>20517242919</v>
      </c>
      <c r="G33" s="80">
        <v>51</v>
      </c>
      <c r="H33" t="s">
        <v>69</v>
      </c>
      <c r="I33">
        <v>4.57</v>
      </c>
      <c r="J33" s="596">
        <v>1.95</v>
      </c>
      <c r="K33" s="138">
        <f t="shared" si="0"/>
        <v>4.4808850000000007</v>
      </c>
      <c r="L33" s="139">
        <v>0.28499999999999998</v>
      </c>
      <c r="M33" s="139">
        <v>0.28000000000000003</v>
      </c>
      <c r="N33" s="598">
        <v>0.316</v>
      </c>
      <c r="O33" s="645">
        <f t="shared" si="23"/>
        <v>0.29799999999999999</v>
      </c>
      <c r="P33" s="727">
        <v>90</v>
      </c>
      <c r="Q33" s="596">
        <v>94.727592267135336</v>
      </c>
      <c r="R33" s="706">
        <v>3287.45</v>
      </c>
      <c r="S33" s="1164">
        <v>105</v>
      </c>
      <c r="U33" s="1146">
        <f>_xlfn.XLOOKUP(D33,RUC!$B$3:$B$123,RUC!$F$3:$F$123)</f>
        <v>80</v>
      </c>
      <c r="V33" s="715">
        <v>1.1023000000000001</v>
      </c>
      <c r="Y33">
        <f>_xlfn.XLOOKUP(D33,RUC!$B$3:$B$123,RUC!$G$3:$G$123)</f>
        <v>0</v>
      </c>
      <c r="Z33" s="143">
        <f>_xlfn.XLOOKUP(D33,RUC!$B$3:$B$123,RUC!$H$3:$H$123)</f>
        <v>10</v>
      </c>
      <c r="AA33" s="144">
        <f t="shared" si="2"/>
        <v>10</v>
      </c>
      <c r="AB33" s="145">
        <f>+((O33*P33*(R33-U33)/100)-S33-AA33+T33)*V33</f>
        <v>821.47594660699997</v>
      </c>
      <c r="AC33" s="145">
        <f>+(S33-T33)*V33-'data 1'!$F$4</f>
        <v>35.741500000000002</v>
      </c>
      <c r="AD33" s="145">
        <f>+(Q33-P33)*(R33-U33)*L33*V33/100</f>
        <v>47.637018933176726</v>
      </c>
      <c r="AE33" s="145">
        <f t="shared" si="5"/>
        <v>-58.977000000000004</v>
      </c>
      <c r="AF33" s="145">
        <f>(L33-O33)*(R33-U33)*Q33*V33/100</f>
        <v>-43.539110632592312</v>
      </c>
      <c r="AG33" s="772">
        <f t="shared" si="26"/>
        <v>50.86240830058442</v>
      </c>
      <c r="AH33" s="146">
        <f t="shared" si="7"/>
        <v>41.475747908252814</v>
      </c>
      <c r="AI33" s="146">
        <f t="shared" si="19"/>
        <v>43.784231094240916</v>
      </c>
      <c r="AJ33" s="156">
        <f>+((+$AJ$2-R33+U33)*L33*Q33*V33)/100</f>
        <v>42.421731207337501</v>
      </c>
      <c r="AK33" s="141">
        <f t="shared" si="10"/>
        <v>41.203265892896198</v>
      </c>
      <c r="AL33" s="88"/>
      <c r="AM33" s="716">
        <f t="shared" si="11"/>
        <v>3680.9392470121074</v>
      </c>
      <c r="AN33" s="716" t="str">
        <f>_xlfn.XLOOKUP(D33,RUC!$B$3:$B$578,RUC!$M$3:$M$578)</f>
        <v>Melchor Vera</v>
      </c>
      <c r="AO33" s="1167" t="s">
        <v>2277</v>
      </c>
      <c r="AP33" t="s">
        <v>2474</v>
      </c>
      <c r="AQ33" t="s">
        <v>2475</v>
      </c>
      <c r="AS33" s="1212">
        <f t="shared" si="12"/>
        <v>167.90947540550405</v>
      </c>
    </row>
    <row r="34" spans="1:45" ht="15" customHeight="1">
      <c r="A34" s="747" t="s">
        <v>2296</v>
      </c>
      <c r="B34" s="595">
        <v>45845</v>
      </c>
      <c r="C34" s="595">
        <v>45838</v>
      </c>
      <c r="D34" t="s">
        <v>324</v>
      </c>
      <c r="E34">
        <f>_xlfn.XLOOKUP(D34,RUC!$B$3:$B$123,RUC!$D$3:$D$123)</f>
        <v>20603329059</v>
      </c>
      <c r="G34" s="80">
        <v>57</v>
      </c>
      <c r="H34" t="s">
        <v>108</v>
      </c>
      <c r="I34">
        <v>4.3600000000000003</v>
      </c>
      <c r="J34" s="596">
        <v>1.1499999999999999</v>
      </c>
      <c r="K34" s="138">
        <f t="shared" si="0"/>
        <v>4.3098600000000005</v>
      </c>
      <c r="L34" s="139">
        <v>0.46600000000000003</v>
      </c>
      <c r="M34" s="139">
        <v>0.438</v>
      </c>
      <c r="N34" s="159">
        <v>0.438</v>
      </c>
      <c r="O34" s="645">
        <f t="shared" si="23"/>
        <v>0.438</v>
      </c>
      <c r="P34" s="727">
        <v>85</v>
      </c>
      <c r="Q34">
        <v>85.84</v>
      </c>
      <c r="R34" s="706">
        <v>3287.45</v>
      </c>
      <c r="S34" s="765">
        <f t="shared" ref="S34:S37" si="27">IF((90+ROUNDDOWN(O34,1)*100)&lt;95,95,(90+ROUNDDOWN(O34,1)*100))</f>
        <v>130</v>
      </c>
      <c r="U34" s="1146">
        <f>_xlfn.XLOOKUP(D34,RUC!$B$3:$B$123,RUC!$F$3:$F$123)</f>
        <v>100</v>
      </c>
      <c r="V34" s="715">
        <v>1.1023000000000001</v>
      </c>
      <c r="Y34">
        <f>_xlfn.XLOOKUP(D34,RUC!$B$3:$B$123,RUC!$G$3:$G$123)</f>
        <v>0</v>
      </c>
      <c r="Z34" s="143">
        <f>_xlfn.XLOOKUP(D34,RUC!$B$3:$B$123,RUC!$H$3:$H$123)</f>
        <v>30</v>
      </c>
      <c r="AA34" s="144">
        <f t="shared" si="2"/>
        <v>30</v>
      </c>
      <c r="AB34" s="145">
        <f>+((O34*P34*(R34-U34)/100)-S34-AA34+T34)*V34</f>
        <v>1131.7177800604998</v>
      </c>
      <c r="AC34" s="145">
        <f>+(S34-T34)*V34-'data 1'!$F$4</f>
        <v>63.299000000000007</v>
      </c>
      <c r="AD34" s="145">
        <f>+(Q34-P34)*(R34-U34)*L34*V34/100</f>
        <v>13.753346702844055</v>
      </c>
      <c r="AE34" s="145">
        <f t="shared" si="5"/>
        <v>-36.930999999999997</v>
      </c>
      <c r="AF34" s="145">
        <f>(L34-O34)*(R34-U34)*Q34*V34/100</f>
        <v>84.448303359952078</v>
      </c>
      <c r="AG34" s="772">
        <f t="shared" si="25"/>
        <v>141.56965006279614</v>
      </c>
      <c r="AH34" s="146">
        <f t="shared" si="7"/>
        <v>59.108216835673808</v>
      </c>
      <c r="AI34" s="146">
        <f t="shared" si="19"/>
        <v>68.858593704186632</v>
      </c>
      <c r="AJ34" s="156">
        <f>+((+$AJ$2-R34+U34)*L34*Q34*V34)/100</f>
        <v>71.674126175656085</v>
      </c>
      <c r="AK34" s="141">
        <f t="shared" si="10"/>
        <v>55.012992352078712</v>
      </c>
      <c r="AL34" s="88"/>
      <c r="AM34" s="716">
        <f t="shared" si="11"/>
        <v>4877.5451915715457</v>
      </c>
      <c r="AN34" s="716" t="str">
        <f>_xlfn.XLOOKUP(D34,RUC!$B$3:$B$578,RUC!$M$3:$M$578)</f>
        <v>Yuri Rospigliossi</v>
      </c>
      <c r="AO34" s="1167" t="s">
        <v>2277</v>
      </c>
      <c r="AS34" s="1212">
        <f t="shared" si="12"/>
        <v>883.65800452148869</v>
      </c>
    </row>
    <row r="35" spans="1:45" ht="15" customHeight="1">
      <c r="A35" s="747" t="s">
        <v>2298</v>
      </c>
      <c r="B35" s="595">
        <v>45848</v>
      </c>
      <c r="C35" s="595">
        <v>45844</v>
      </c>
      <c r="D35" t="s">
        <v>1967</v>
      </c>
      <c r="E35">
        <f>_xlfn.XLOOKUP(D35,RUC!$B$3:$B$123,RUC!$D$3:$D$123)</f>
        <v>20601769396</v>
      </c>
      <c r="G35" s="80">
        <v>10</v>
      </c>
      <c r="H35" t="s">
        <v>69</v>
      </c>
      <c r="I35">
        <v>0.64</v>
      </c>
      <c r="J35">
        <v>5.2</v>
      </c>
      <c r="K35" s="138">
        <f t="shared" si="0"/>
        <v>0.60672000000000004</v>
      </c>
      <c r="L35" s="139">
        <v>0.249</v>
      </c>
      <c r="M35" s="139">
        <v>0.23400000000000001</v>
      </c>
      <c r="N35" s="159">
        <v>0.23400000000000001</v>
      </c>
      <c r="O35" s="645">
        <f t="shared" si="23"/>
        <v>0.23400000000000001</v>
      </c>
      <c r="P35" s="727">
        <v>90</v>
      </c>
      <c r="Q35" s="596">
        <v>95.18</v>
      </c>
      <c r="R35" s="706">
        <v>3315.35</v>
      </c>
      <c r="S35" s="765">
        <f t="shared" si="27"/>
        <v>110</v>
      </c>
      <c r="U35" s="1146">
        <f>_xlfn.XLOOKUP(D35,RUC!$B$3:$B$123,RUC!$F$3:$F$123)</f>
        <v>120</v>
      </c>
      <c r="V35" s="715">
        <v>1.1023000000000001</v>
      </c>
      <c r="Y35">
        <f>_xlfn.XLOOKUP(D35,RUC!$B$3:$B$123,RUC!$G$3:$G$123)</f>
        <v>20</v>
      </c>
      <c r="Z35" s="143">
        <f>_xlfn.XLOOKUP(D35,RUC!$B$3:$B$123,RUC!$H$3:$H$123)</f>
        <v>30</v>
      </c>
      <c r="AA35" s="144">
        <f t="shared" si="2"/>
        <v>50</v>
      </c>
      <c r="AB35" s="145">
        <f t="shared" ref="AB35:AB82" si="28">+((O35*P35*(R35-U35)/100)-S35-AA35+T35)*V35</f>
        <v>565.41454463300011</v>
      </c>
      <c r="AC35" s="145">
        <f>+(S35-T35)*V35-'data 1'!$F$4</f>
        <v>41.253</v>
      </c>
      <c r="AD35" s="145">
        <f t="shared" ref="AD35:AD80" si="29">+(Q35-P35)*(R35-U35)*L35*V35/100</f>
        <v>45.430482512751063</v>
      </c>
      <c r="AE35" s="145">
        <f t="shared" si="5"/>
        <v>-14.884999999999998</v>
      </c>
      <c r="AF35" s="145">
        <f t="shared" ref="AF35:AF82" si="30">(L35-O35)*(R35-U35)*Q35*V35/100</f>
        <v>50.286939172484956</v>
      </c>
      <c r="AG35" s="772">
        <f>AC35+AD35+AE35+AF35+70-53</f>
        <v>139.08542168523601</v>
      </c>
      <c r="AH35" s="146">
        <f t="shared" si="7"/>
        <v>4.9299490181988048</v>
      </c>
      <c r="AI35" s="146">
        <f t="shared" si="19"/>
        <v>5.1796060287863046</v>
      </c>
      <c r="AJ35" s="156">
        <f t="shared" ref="AJ35:AJ81" si="31">+((+$AJ$2-R35+U35)*L35*Q35*V35)/100</f>
        <v>40.401247867749028</v>
      </c>
      <c r="AK35" s="141">
        <f t="shared" si="10"/>
        <v>4.3808234122987786</v>
      </c>
      <c r="AL35" s="88"/>
      <c r="AM35" s="716">
        <f t="shared" si="11"/>
        <v>343.04831251973383</v>
      </c>
      <c r="AN35" s="716" t="str">
        <f>_xlfn.XLOOKUP(D35,RUC!$B$3:$B$578,RUC!$M$3:$M$578)</f>
        <v>Evelyn</v>
      </c>
      <c r="AO35" s="1167" t="s">
        <v>2277</v>
      </c>
      <c r="AS35" s="1212">
        <f t="shared" si="12"/>
        <v>104.58279654359239</v>
      </c>
    </row>
    <row r="36" spans="1:45" ht="15" customHeight="1">
      <c r="A36" s="747" t="s">
        <v>2299</v>
      </c>
      <c r="B36" s="595">
        <v>45848</v>
      </c>
      <c r="C36" s="595">
        <v>45844</v>
      </c>
      <c r="D36" t="s">
        <v>1967</v>
      </c>
      <c r="E36">
        <f>_xlfn.XLOOKUP(D36,RUC!$B$3:$B$123,RUC!$D$3:$D$123)</f>
        <v>20601769396</v>
      </c>
      <c r="G36" s="80">
        <v>70</v>
      </c>
      <c r="H36" t="s">
        <v>69</v>
      </c>
      <c r="I36">
        <v>4.37</v>
      </c>
      <c r="J36">
        <v>13.1</v>
      </c>
      <c r="K36" s="138">
        <f t="shared" si="0"/>
        <v>3.7975300000000001</v>
      </c>
      <c r="L36" s="139">
        <v>0.29699999999999999</v>
      </c>
      <c r="M36" s="139">
        <v>0.27900000000000003</v>
      </c>
      <c r="N36" s="159">
        <v>0.27900000000000003</v>
      </c>
      <c r="O36" s="645">
        <f t="shared" si="23"/>
        <v>0.27900000000000003</v>
      </c>
      <c r="P36" s="727">
        <v>90</v>
      </c>
      <c r="Q36" s="596">
        <v>93.6</v>
      </c>
      <c r="R36" s="706">
        <v>3315.35</v>
      </c>
      <c r="S36" s="765">
        <f t="shared" si="27"/>
        <v>110</v>
      </c>
      <c r="U36" s="1146">
        <f>_xlfn.XLOOKUP(D36,RUC!$B$3:$B$123,RUC!$F$3:$F$123)</f>
        <v>120</v>
      </c>
      <c r="V36" s="715">
        <v>1.1023000000000001</v>
      </c>
      <c r="Y36">
        <f>_xlfn.XLOOKUP(D36,RUC!$B$3:$B$123,RUC!$G$3:$G$123)</f>
        <v>20</v>
      </c>
      <c r="Z36" s="143">
        <f>_xlfn.XLOOKUP(D36,RUC!$B$3:$B$123,RUC!$H$3:$H$123)</f>
        <v>30</v>
      </c>
      <c r="AA36" s="144">
        <f t="shared" si="2"/>
        <v>50</v>
      </c>
      <c r="AB36" s="145">
        <f t="shared" si="28"/>
        <v>708.06503398550012</v>
      </c>
      <c r="AC36" s="145">
        <f>+(S36-T36)*V36-'data 1'!$F$4</f>
        <v>41.253</v>
      </c>
      <c r="AD36" s="145">
        <f t="shared" si="29"/>
        <v>37.659729189059938</v>
      </c>
      <c r="AE36" s="145">
        <f t="shared" si="5"/>
        <v>-14.884999999999998</v>
      </c>
      <c r="AF36" s="145">
        <f t="shared" si="30"/>
        <v>59.342603570639866</v>
      </c>
      <c r="AG36" s="772">
        <f t="shared" ref="AG36:AG37" si="32">AC36+AD36+AE36+AF36+70-53</f>
        <v>140.37033275969981</v>
      </c>
      <c r="AH36" s="146">
        <f t="shared" si="7"/>
        <v>36.194499933144137</v>
      </c>
      <c r="AI36" s="146">
        <f t="shared" si="19"/>
        <v>38.669337535410399</v>
      </c>
      <c r="AJ36" s="156">
        <f t="shared" si="31"/>
        <v>47.389489444440031</v>
      </c>
      <c r="AK36" s="141">
        <f t="shared" si="10"/>
        <v>32.693167189028799</v>
      </c>
      <c r="AL36" s="88"/>
      <c r="AM36" s="716">
        <f t="shared" si="11"/>
        <v>2688.8982085109565</v>
      </c>
      <c r="AN36" s="716" t="str">
        <f>_xlfn.XLOOKUP(D36,RUC!$B$3:$B$578,RUC!$M$3:$M$578)</f>
        <v>Evelyn</v>
      </c>
      <c r="AO36" s="1167" t="s">
        <v>2277</v>
      </c>
      <c r="AS36" s="1212">
        <f t="shared" si="12"/>
        <v>684.86441668999169</v>
      </c>
    </row>
    <row r="37" spans="1:45" ht="15" customHeight="1">
      <c r="A37" s="747" t="s">
        <v>2300</v>
      </c>
      <c r="B37" s="595">
        <v>45849</v>
      </c>
      <c r="C37" s="595">
        <v>45844</v>
      </c>
      <c r="D37" t="s">
        <v>1967</v>
      </c>
      <c r="E37">
        <f>_xlfn.XLOOKUP(D37,RUC!$B$3:$B$123,RUC!$D$3:$D$123)</f>
        <v>20601769396</v>
      </c>
      <c r="G37" s="80">
        <v>71</v>
      </c>
      <c r="H37" t="s">
        <v>69</v>
      </c>
      <c r="I37">
        <v>4.3600000000000003</v>
      </c>
      <c r="J37">
        <v>14.6</v>
      </c>
      <c r="K37" s="138">
        <f t="shared" si="0"/>
        <v>3.7234400000000001</v>
      </c>
      <c r="L37" s="139">
        <v>0.36099999999999999</v>
      </c>
      <c r="M37" s="139">
        <v>0.33900000000000002</v>
      </c>
      <c r="N37" s="159">
        <v>0.33900000000000002</v>
      </c>
      <c r="O37" s="645">
        <f t="shared" si="23"/>
        <v>0.33900000000000002</v>
      </c>
      <c r="P37" s="727">
        <v>86</v>
      </c>
      <c r="Q37">
        <v>88.37</v>
      </c>
      <c r="R37" s="706">
        <v>3315.35</v>
      </c>
      <c r="S37" s="765">
        <f t="shared" si="27"/>
        <v>120</v>
      </c>
      <c r="U37" s="1146">
        <f>_xlfn.XLOOKUP(D37,RUC!$B$3:$B$123,RUC!$F$3:$F$123)</f>
        <v>120</v>
      </c>
      <c r="V37" s="715">
        <v>1.1023000000000001</v>
      </c>
      <c r="Y37">
        <f>_xlfn.XLOOKUP(D37,RUC!$B$3:$B$123,RUC!$G$3:$G$123)</f>
        <v>20</v>
      </c>
      <c r="Z37" s="143">
        <f>_xlfn.XLOOKUP(D37,RUC!$B$3:$B$123,RUC!$H$3:$H$123)</f>
        <v>30</v>
      </c>
      <c r="AA37" s="144">
        <f t="shared" si="2"/>
        <v>50</v>
      </c>
      <c r="AB37" s="145">
        <f t="shared" si="28"/>
        <v>839.48118927970006</v>
      </c>
      <c r="AC37" s="145">
        <f>+(S37-T37)*V37-'data 1'!$F$4</f>
        <v>52.27600000000001</v>
      </c>
      <c r="AD37" s="145">
        <f t="shared" si="29"/>
        <v>30.135180043288557</v>
      </c>
      <c r="AE37" s="145">
        <f t="shared" si="5"/>
        <v>-14.884999999999998</v>
      </c>
      <c r="AF37" s="145">
        <f t="shared" si="30"/>
        <v>68.477166017226878</v>
      </c>
      <c r="AG37" s="772">
        <f t="shared" si="32"/>
        <v>153.00334606051547</v>
      </c>
      <c r="AH37" s="146">
        <f t="shared" si="7"/>
        <v>40.725411960093467</v>
      </c>
      <c r="AI37" s="146">
        <f t="shared" si="19"/>
        <v>46.085110286402013</v>
      </c>
      <c r="AJ37" s="156">
        <f t="shared" si="31"/>
        <v>54.382828094911538</v>
      </c>
      <c r="AK37" s="141">
        <f t="shared" si="10"/>
        <v>37.217875492791251</v>
      </c>
      <c r="AL37" s="88"/>
      <c r="AM37" s="716">
        <f t="shared" si="11"/>
        <v>3125.7578394116063</v>
      </c>
      <c r="AN37" s="716" t="str">
        <f>_xlfn.XLOOKUP(D37,RUC!$B$3:$B$578,RUC!$M$3:$M$578)</f>
        <v>Evelyn</v>
      </c>
      <c r="AO37" s="1167" t="s">
        <v>2277</v>
      </c>
      <c r="AS37" s="1212">
        <f t="shared" si="12"/>
        <v>743.4202686039398</v>
      </c>
    </row>
    <row r="38" spans="1:45" s="677" customFormat="1" ht="15" customHeight="1">
      <c r="A38" s="747" t="s">
        <v>2317</v>
      </c>
      <c r="B38" s="717">
        <v>45857</v>
      </c>
      <c r="C38" s="717">
        <v>45852</v>
      </c>
      <c r="D38" s="677" t="s">
        <v>119</v>
      </c>
      <c r="E38" s="677">
        <f>_xlfn.XLOOKUP(D38,RUC!$B$3:$B$123,RUC!$D$3:$D$123)</f>
        <v>10082235774</v>
      </c>
      <c r="G38" s="713">
        <v>43</v>
      </c>
      <c r="H38" s="677" t="s">
        <v>69</v>
      </c>
      <c r="I38" s="718">
        <v>3.92</v>
      </c>
      <c r="J38" s="718">
        <v>2</v>
      </c>
      <c r="K38" s="138">
        <f t="shared" si="0"/>
        <v>3.8416000000000001</v>
      </c>
      <c r="L38" s="714">
        <v>0.37</v>
      </c>
      <c r="M38" s="714">
        <v>0.36399999999999999</v>
      </c>
      <c r="N38" s="719">
        <v>0.36399999999999999</v>
      </c>
      <c r="O38" s="873">
        <f t="shared" si="23"/>
        <v>0.36399999999999999</v>
      </c>
      <c r="P38" s="884">
        <v>90</v>
      </c>
      <c r="Q38" s="718">
        <v>94.59</v>
      </c>
      <c r="R38" s="1186">
        <v>3351.15</v>
      </c>
      <c r="S38" s="802">
        <v>110</v>
      </c>
      <c r="U38" s="1146">
        <f>_xlfn.XLOOKUP(D38,RUC!$B$3:$B$123,RUC!$F$3:$F$123)</f>
        <v>80</v>
      </c>
      <c r="V38" s="715">
        <v>1.1023000000000001</v>
      </c>
      <c r="Y38" s="677">
        <f>_xlfn.XLOOKUP(D38,RUC!$B$3:$B$123,RUC!$G$3:$G$123)</f>
        <v>0</v>
      </c>
      <c r="Z38" s="143">
        <f>_xlfn.XLOOKUP(D38,RUC!$B$3:$B$123,RUC!$H$3:$H$123)</f>
        <v>10</v>
      </c>
      <c r="AA38" s="144">
        <f t="shared" si="2"/>
        <v>10</v>
      </c>
      <c r="AB38" s="145">
        <f t="shared" si="28"/>
        <v>1048.9803601019998</v>
      </c>
      <c r="AC38" s="145">
        <f>+(S38-T38)*V38-'data 1'!$F$4</f>
        <v>41.253</v>
      </c>
      <c r="AD38" s="145">
        <f t="shared" si="29"/>
        <v>61.237108558035054</v>
      </c>
      <c r="AE38" s="145">
        <f t="shared" si="5"/>
        <v>-58.977000000000004</v>
      </c>
      <c r="AF38" s="145">
        <f t="shared" si="30"/>
        <v>20.464292875833021</v>
      </c>
      <c r="AG38" s="772">
        <f t="shared" ref="AG38:AG45" si="33">AC38+AD38+AE38+AF38+70</f>
        <v>133.97740143386807</v>
      </c>
      <c r="AH38" s="146">
        <f t="shared" si="7"/>
        <v>46.096522273813555</v>
      </c>
      <c r="AI38" s="146">
        <f t="shared" si="19"/>
        <v>48.732976291165606</v>
      </c>
      <c r="AJ38" s="156">
        <f t="shared" si="31"/>
        <v>30.41924667196497</v>
      </c>
      <c r="AK38" s="141">
        <f t="shared" si="10"/>
        <v>43.148440629691493</v>
      </c>
      <c r="AL38" s="676"/>
      <c r="AM38" s="716">
        <f t="shared" si="11"/>
        <v>4029.7629513678426</v>
      </c>
      <c r="AN38" s="716" t="str">
        <f>_xlfn.XLOOKUP(D38,RUC!$B$3:$B$578,RUC!$M$3:$M$578)</f>
        <v>Melchor Vera</v>
      </c>
      <c r="AO38" s="1187" t="s">
        <v>2278</v>
      </c>
      <c r="AP38" s="1189" t="s">
        <v>2349</v>
      </c>
      <c r="AQ38" s="1189" t="s">
        <v>2350</v>
      </c>
      <c r="AS38" s="1212">
        <f t="shared" si="12"/>
        <v>399.30241183530188</v>
      </c>
    </row>
    <row r="39" spans="1:45" ht="15" customHeight="1">
      <c r="A39" s="747" t="s">
        <v>2318</v>
      </c>
      <c r="B39" s="717">
        <v>45857</v>
      </c>
      <c r="C39" s="595">
        <v>45852</v>
      </c>
      <c r="D39" t="s">
        <v>119</v>
      </c>
      <c r="E39">
        <f>_xlfn.XLOOKUP(D39,RUC!$B$3:$B$123,RUC!$D$3:$D$123)</f>
        <v>10082235774</v>
      </c>
      <c r="G39" s="80">
        <v>49</v>
      </c>
      <c r="H39" t="s">
        <v>69</v>
      </c>
      <c r="I39" s="596">
        <v>4.54</v>
      </c>
      <c r="J39" s="596">
        <v>2.8</v>
      </c>
      <c r="K39" s="138">
        <f t="shared" si="0"/>
        <v>4.4128800000000004</v>
      </c>
      <c r="L39" s="139">
        <v>0.26300000000000001</v>
      </c>
      <c r="M39" s="139">
        <v>0.25900000000000001</v>
      </c>
      <c r="N39" s="159">
        <v>0.25900000000000001</v>
      </c>
      <c r="O39" s="645">
        <f t="shared" si="23"/>
        <v>0.25900000000000001</v>
      </c>
      <c r="P39" s="727">
        <v>90</v>
      </c>
      <c r="Q39" s="596">
        <v>92.4</v>
      </c>
      <c r="R39" s="706">
        <v>3351.15</v>
      </c>
      <c r="S39" s="802">
        <v>105</v>
      </c>
      <c r="U39" s="1146">
        <f>_xlfn.XLOOKUP(D39,RUC!$B$3:$B$123,RUC!$F$3:$F$123)</f>
        <v>80</v>
      </c>
      <c r="V39" s="715">
        <v>1.1023000000000001</v>
      </c>
      <c r="Y39">
        <f>_xlfn.XLOOKUP(D39,RUC!$B$3:$B$123,RUC!$G$3:$G$123)</f>
        <v>0</v>
      </c>
      <c r="Z39" s="143">
        <f>_xlfn.XLOOKUP(D39,RUC!$B$3:$B$123,RUC!$H$3:$H$123)</f>
        <v>10</v>
      </c>
      <c r="AA39" s="144">
        <f t="shared" si="2"/>
        <v>10</v>
      </c>
      <c r="AB39" s="145">
        <f t="shared" si="28"/>
        <v>713.7448331495001</v>
      </c>
      <c r="AC39" s="145">
        <f>+(S39-T39)*V39-'data 1'!$F$4</f>
        <v>35.741500000000002</v>
      </c>
      <c r="AD39" s="145">
        <f t="shared" si="29"/>
        <v>22.759737927240053</v>
      </c>
      <c r="AE39" s="145">
        <f t="shared" si="5"/>
        <v>-58.977000000000004</v>
      </c>
      <c r="AF39" s="145">
        <f t="shared" si="30"/>
        <v>13.326994831920015</v>
      </c>
      <c r="AG39" s="772">
        <f t="shared" si="33"/>
        <v>82.851232759160069</v>
      </c>
      <c r="AH39" s="146">
        <f t="shared" si="7"/>
        <v>36.767060249633033</v>
      </c>
      <c r="AI39" s="146">
        <f t="shared" si="19"/>
        <v>39.791190746356101</v>
      </c>
      <c r="AJ39" s="156">
        <f t="shared" si="31"/>
        <v>21.121717261259978</v>
      </c>
      <c r="AK39" s="141">
        <f t="shared" si="10"/>
        <v>35.267401380135382</v>
      </c>
      <c r="AL39" s="88"/>
      <c r="AM39" s="716">
        <f t="shared" si="11"/>
        <v>3149.6702993087661</v>
      </c>
      <c r="AN39" s="716" t="str">
        <f>_xlfn.XLOOKUP(D39,RUC!$B$3:$B$578,RUC!$M$3:$M$578)</f>
        <v>Melchor Vera</v>
      </c>
      <c r="AO39" s="1167" t="s">
        <v>2280</v>
      </c>
      <c r="AP39" s="1189" t="s">
        <v>2349</v>
      </c>
      <c r="AQ39" s="1189" t="s">
        <v>2350</v>
      </c>
      <c r="AS39" s="1212">
        <f t="shared" si="12"/>
        <v>203.61000153999066</v>
      </c>
    </row>
    <row r="40" spans="1:45" ht="15" customHeight="1">
      <c r="A40" s="747" t="s">
        <v>2319</v>
      </c>
      <c r="B40" s="717">
        <v>45857</v>
      </c>
      <c r="C40" s="595">
        <v>45852</v>
      </c>
      <c r="D40" t="s">
        <v>119</v>
      </c>
      <c r="E40">
        <f>_xlfn.XLOOKUP(D40,RUC!$B$3:$B$123,RUC!$D$3:$D$123)</f>
        <v>10082235774</v>
      </c>
      <c r="G40" s="80">
        <v>47</v>
      </c>
      <c r="H40" t="s">
        <v>69</v>
      </c>
      <c r="I40" s="596">
        <v>4.41</v>
      </c>
      <c r="J40" s="596">
        <v>2.5</v>
      </c>
      <c r="K40" s="138">
        <f t="shared" si="0"/>
        <v>4.2997500000000004</v>
      </c>
      <c r="L40" s="139">
        <v>0.79900000000000004</v>
      </c>
      <c r="M40" s="139">
        <v>0.78700000000000003</v>
      </c>
      <c r="N40" s="159">
        <v>0.78700000000000003</v>
      </c>
      <c r="O40" s="645">
        <f t="shared" si="23"/>
        <v>0.78700000000000003</v>
      </c>
      <c r="P40" s="727">
        <v>90</v>
      </c>
      <c r="Q40" s="596">
        <v>97.5</v>
      </c>
      <c r="R40" s="706">
        <v>3351.15</v>
      </c>
      <c r="S40" s="802">
        <v>130</v>
      </c>
      <c r="U40" s="1146">
        <f>_xlfn.XLOOKUP(D40,RUC!$B$3:$B$123,RUC!$F$3:$F$123)</f>
        <v>80</v>
      </c>
      <c r="V40" s="715">
        <v>1.1023000000000001</v>
      </c>
      <c r="Y40">
        <f>_xlfn.XLOOKUP(D40,RUC!$B$3:$B$123,RUC!$G$3:$G$123)</f>
        <v>0</v>
      </c>
      <c r="Z40" s="143">
        <f>_xlfn.XLOOKUP(D40,RUC!$B$3:$B$123,RUC!$H$3:$H$123)</f>
        <v>10</v>
      </c>
      <c r="AA40" s="144">
        <f t="shared" si="2"/>
        <v>10</v>
      </c>
      <c r="AB40" s="145">
        <f t="shared" si="28"/>
        <v>2399.6580972534998</v>
      </c>
      <c r="AC40" s="145">
        <f>+(S40-T40)*V40-'data 1'!$F$4</f>
        <v>63.299000000000007</v>
      </c>
      <c r="AD40" s="145">
        <f t="shared" si="29"/>
        <v>216.07688455162506</v>
      </c>
      <c r="AE40" s="145">
        <f t="shared" si="5"/>
        <v>-58.977000000000004</v>
      </c>
      <c r="AF40" s="145">
        <f t="shared" si="30"/>
        <v>42.187727146500038</v>
      </c>
      <c r="AG40" s="772">
        <f t="shared" si="33"/>
        <v>332.58661169812513</v>
      </c>
      <c r="AH40" s="146">
        <f t="shared" si="7"/>
        <v>114.84277273669399</v>
      </c>
      <c r="AI40" s="146">
        <f t="shared" si="19"/>
        <v>117.78745921712205</v>
      </c>
      <c r="AJ40" s="156">
        <f t="shared" si="31"/>
        <v>67.710013453874922</v>
      </c>
      <c r="AK40" s="141">
        <f t="shared" si="10"/>
        <v>104.41659244491555</v>
      </c>
      <c r="AL40" s="88"/>
      <c r="AM40" s="716">
        <f t="shared" si="11"/>
        <v>10317.929903665738</v>
      </c>
      <c r="AN40" s="716" t="str">
        <f>_xlfn.XLOOKUP(D40,RUC!$B$3:$B$578,RUC!$M$3:$M$578)</f>
        <v>Melchor Vera</v>
      </c>
      <c r="AO40" s="1167" t="s">
        <v>2278</v>
      </c>
      <c r="AP40" s="1189" t="s">
        <v>2349</v>
      </c>
      <c r="AQ40" s="1189" t="s">
        <v>2350</v>
      </c>
      <c r="AS40" s="1212">
        <f t="shared" si="12"/>
        <v>1417.4894146090628</v>
      </c>
    </row>
    <row r="41" spans="1:45" ht="15" customHeight="1">
      <c r="A41" s="747" t="s">
        <v>2320</v>
      </c>
      <c r="B41" s="717">
        <v>45857</v>
      </c>
      <c r="C41" s="595">
        <v>45852</v>
      </c>
      <c r="D41" t="s">
        <v>119</v>
      </c>
      <c r="E41">
        <f>_xlfn.XLOOKUP(D41,RUC!$B$3:$B$123,RUC!$D$3:$D$123)</f>
        <v>10082235774</v>
      </c>
      <c r="G41" s="80">
        <v>44</v>
      </c>
      <c r="H41" t="s">
        <v>69</v>
      </c>
      <c r="I41" s="596">
        <v>4.3099999999999996</v>
      </c>
      <c r="J41" s="596">
        <v>2.6</v>
      </c>
      <c r="K41" s="138">
        <f t="shared" si="0"/>
        <v>4.19794</v>
      </c>
      <c r="L41" s="139">
        <v>0.19600000000000001</v>
      </c>
      <c r="M41" s="139">
        <v>0.193</v>
      </c>
      <c r="N41" s="159">
        <v>0.193</v>
      </c>
      <c r="O41" s="645">
        <f t="shared" si="23"/>
        <v>0.193</v>
      </c>
      <c r="P41" s="727">
        <v>85</v>
      </c>
      <c r="Q41" s="596">
        <v>93.88</v>
      </c>
      <c r="R41" s="706">
        <v>3351.15</v>
      </c>
      <c r="S41" s="802">
        <v>95</v>
      </c>
      <c r="U41" s="1146">
        <f>_xlfn.XLOOKUP(D41,RUC!$B$3:$B$123,RUC!$F$3:$F$123)</f>
        <v>80</v>
      </c>
      <c r="V41" s="715">
        <v>1.1023000000000001</v>
      </c>
      <c r="Y41">
        <f>_xlfn.XLOOKUP(D41,RUC!$B$3:$B$123,RUC!$G$3:$G$123)</f>
        <v>0</v>
      </c>
      <c r="Z41" s="143">
        <f>_xlfn.XLOOKUP(D41,RUC!$B$3:$B$123,RUC!$H$3:$H$123)</f>
        <v>10</v>
      </c>
      <c r="AA41" s="144">
        <f t="shared" si="2"/>
        <v>10</v>
      </c>
      <c r="AB41" s="145">
        <f t="shared" si="28"/>
        <v>475.78812721225012</v>
      </c>
      <c r="AC41" s="145">
        <f>+(S41-T41)*V41-'data 1'!$F$4</f>
        <v>24.718500000000006</v>
      </c>
      <c r="AD41" s="145">
        <f t="shared" si="29"/>
        <v>62.758030208495981</v>
      </c>
      <c r="AE41" s="145">
        <f t="shared" si="5"/>
        <v>-58.977000000000004</v>
      </c>
      <c r="AF41" s="145">
        <f t="shared" si="30"/>
        <v>10.155343139778008</v>
      </c>
      <c r="AG41" s="772">
        <f t="shared" si="33"/>
        <v>108.65487334827399</v>
      </c>
      <c r="AH41" s="146">
        <f t="shared" si="7"/>
        <v>26.483443205962701</v>
      </c>
      <c r="AI41" s="146">
        <f t="shared" si="19"/>
        <v>28.209888374480933</v>
      </c>
      <c r="AJ41" s="156">
        <f t="shared" si="31"/>
        <v>15.993026518503981</v>
      </c>
      <c r="AK41" s="141">
        <f t="shared" si="10"/>
        <v>23.611388713436721</v>
      </c>
      <c r="AL41" s="88"/>
      <c r="AM41" s="716">
        <f t="shared" si="11"/>
        <v>1997.3300107493933</v>
      </c>
      <c r="AN41" s="716" t="str">
        <f>_xlfn.XLOOKUP(D41,RUC!$B$3:$B$578,RUC!$M$3:$M$578)</f>
        <v>Melchor Vera</v>
      </c>
      <c r="AO41" s="1167" t="s">
        <v>2278</v>
      </c>
      <c r="AP41" s="1189" t="s">
        <v>2349</v>
      </c>
      <c r="AQ41" s="1189" t="s">
        <v>2350</v>
      </c>
      <c r="AS41" s="1212">
        <f t="shared" si="12"/>
        <v>282.47913301915924</v>
      </c>
    </row>
    <row r="42" spans="1:45" ht="15" customHeight="1">
      <c r="A42" s="747" t="s">
        <v>2321</v>
      </c>
      <c r="B42" s="717">
        <v>45857</v>
      </c>
      <c r="C42" s="595">
        <v>45852</v>
      </c>
      <c r="D42" t="s">
        <v>119</v>
      </c>
      <c r="E42">
        <f>_xlfn.XLOOKUP(D42,RUC!$B$3:$B$123,RUC!$D$3:$D$123)</f>
        <v>10082235774</v>
      </c>
      <c r="G42" s="80">
        <v>44</v>
      </c>
      <c r="H42" t="s">
        <v>69</v>
      </c>
      <c r="I42" s="596">
        <v>4.2300000000000004</v>
      </c>
      <c r="J42" s="596">
        <v>2.5499999999999998</v>
      </c>
      <c r="K42" s="138">
        <f t="shared" si="0"/>
        <v>4.1221350000000001</v>
      </c>
      <c r="L42" s="139">
        <v>0.154</v>
      </c>
      <c r="M42" s="139">
        <v>0.152</v>
      </c>
      <c r="N42" s="159">
        <v>0.152</v>
      </c>
      <c r="O42" s="645">
        <f t="shared" si="23"/>
        <v>0.152</v>
      </c>
      <c r="P42" s="727">
        <v>85</v>
      </c>
      <c r="Q42" s="596">
        <v>94.81</v>
      </c>
      <c r="R42" s="706">
        <v>3351.15</v>
      </c>
      <c r="S42" s="802">
        <v>95</v>
      </c>
      <c r="U42" s="1146">
        <f>_xlfn.XLOOKUP(D42,RUC!$B$3:$B$123,RUC!$F$3:$F$123)</f>
        <v>80</v>
      </c>
      <c r="V42" s="715">
        <v>1.1023000000000001</v>
      </c>
      <c r="Y42">
        <f>_xlfn.XLOOKUP(D42,RUC!$B$3:$B$123,RUC!$G$3:$G$123)</f>
        <v>0</v>
      </c>
      <c r="Z42" s="143">
        <f>_xlfn.XLOOKUP(D42,RUC!$B$3:$B$123,RUC!$H$3:$H$123)</f>
        <v>10</v>
      </c>
      <c r="AA42" s="144">
        <f t="shared" si="2"/>
        <v>10</v>
      </c>
      <c r="AB42" s="145">
        <f t="shared" si="28"/>
        <v>350.12639293400002</v>
      </c>
      <c r="AC42" s="145">
        <f>+(S42-T42)*V42-'data 1'!$F$4</f>
        <v>24.718500000000006</v>
      </c>
      <c r="AD42" s="145">
        <f t="shared" si="29"/>
        <v>54.474091375473016</v>
      </c>
      <c r="AE42" s="145">
        <f t="shared" si="5"/>
        <v>-58.977000000000004</v>
      </c>
      <c r="AF42" s="145">
        <f t="shared" si="30"/>
        <v>6.8372964286490072</v>
      </c>
      <c r="AG42" s="772">
        <f t="shared" si="33"/>
        <v>97.052887804122037</v>
      </c>
      <c r="AH42" s="146">
        <f t="shared" si="7"/>
        <v>20.635079552730787</v>
      </c>
      <c r="AI42" s="146">
        <f t="shared" si="19"/>
        <v>21.764665702700963</v>
      </c>
      <c r="AJ42" s="156">
        <f t="shared" si="31"/>
        <v>12.690431011026988</v>
      </c>
      <c r="AK42" s="141">
        <f t="shared" si="10"/>
        <v>18.25970655057769</v>
      </c>
      <c r="AL42" s="88"/>
      <c r="AM42" s="716">
        <f t="shared" si="11"/>
        <v>1443.2682587369943</v>
      </c>
      <c r="AN42" s="716" t="str">
        <f>_xlfn.XLOOKUP(D42,RUC!$B$3:$B$578,RUC!$M$3:$M$578)</f>
        <v>Melchor Vera</v>
      </c>
      <c r="AO42" s="1167" t="s">
        <v>2278</v>
      </c>
      <c r="AP42" s="1189" t="s">
        <v>2349</v>
      </c>
      <c r="AQ42" s="1189" t="s">
        <v>2350</v>
      </c>
      <c r="AS42" s="1212">
        <f t="shared" si="12"/>
        <v>219.87489443860954</v>
      </c>
    </row>
    <row r="43" spans="1:45" ht="15" customHeight="1">
      <c r="A43" s="747" t="s">
        <v>2322</v>
      </c>
      <c r="B43" s="717">
        <v>45857</v>
      </c>
      <c r="C43" s="595">
        <v>45852</v>
      </c>
      <c r="D43" t="s">
        <v>119</v>
      </c>
      <c r="E43">
        <f>_xlfn.XLOOKUP(D43,RUC!$B$3:$B$123,RUC!$D$3:$D$123)</f>
        <v>10082235774</v>
      </c>
      <c r="G43" s="80">
        <v>49</v>
      </c>
      <c r="H43" t="s">
        <v>69</v>
      </c>
      <c r="I43" s="596">
        <v>4.45</v>
      </c>
      <c r="J43" s="596">
        <v>2</v>
      </c>
      <c r="K43" s="138">
        <f t="shared" si="0"/>
        <v>4.3609999999999998</v>
      </c>
      <c r="L43" s="139">
        <v>0.19600000000000001</v>
      </c>
      <c r="M43" s="139">
        <v>0.193</v>
      </c>
      <c r="N43" s="159">
        <v>0.193</v>
      </c>
      <c r="O43" s="645">
        <f t="shared" si="23"/>
        <v>0.193</v>
      </c>
      <c r="P43" s="727">
        <v>85</v>
      </c>
      <c r="Q43" s="596">
        <v>95.41</v>
      </c>
      <c r="R43" s="706">
        <v>3351.15</v>
      </c>
      <c r="S43" s="802">
        <v>95</v>
      </c>
      <c r="U43" s="1146">
        <f>_xlfn.XLOOKUP(D43,RUC!$B$3:$B$123,RUC!$F$3:$F$123)</f>
        <v>80</v>
      </c>
      <c r="V43" s="715">
        <v>1.1023000000000001</v>
      </c>
      <c r="Y43">
        <f>_xlfn.XLOOKUP(D43,RUC!$B$3:$B$123,RUC!$G$3:$G$123)</f>
        <v>0</v>
      </c>
      <c r="Z43" s="143">
        <f>_xlfn.XLOOKUP(D43,RUC!$B$3:$B$123,RUC!$H$3:$H$123)</f>
        <v>10</v>
      </c>
      <c r="AA43" s="144">
        <f t="shared" si="2"/>
        <v>10</v>
      </c>
      <c r="AB43" s="145">
        <f t="shared" si="28"/>
        <v>475.78812721225012</v>
      </c>
      <c r="AC43" s="145">
        <f>+(S43-T43)*V43-'data 1'!$F$4</f>
        <v>24.718500000000006</v>
      </c>
      <c r="AD43" s="145">
        <f t="shared" si="29"/>
        <v>73.571069197121972</v>
      </c>
      <c r="AE43" s="145">
        <f t="shared" si="5"/>
        <v>-58.977000000000004</v>
      </c>
      <c r="AF43" s="145">
        <f t="shared" si="30"/>
        <v>10.320848838583508</v>
      </c>
      <c r="AG43" s="772">
        <f t="shared" si="33"/>
        <v>119.63341803570549</v>
      </c>
      <c r="AH43" s="146">
        <f t="shared" si="7"/>
        <v>27.96051221936958</v>
      </c>
      <c r="AI43" s="146">
        <f t="shared" si="19"/>
        <v>29.305641148065799</v>
      </c>
      <c r="AJ43" s="156">
        <f t="shared" si="31"/>
        <v>16.253671283877981</v>
      </c>
      <c r="AK43" s="141">
        <f t="shared" si="10"/>
        <v>24.528522603776505</v>
      </c>
      <c r="AL43" s="88"/>
      <c r="AM43" s="716">
        <f t="shared" si="11"/>
        <v>2074.9120227726225</v>
      </c>
      <c r="AN43" s="716" t="str">
        <f>_xlfn.XLOOKUP(D43,RUC!$B$3:$B$578,RUC!$M$3:$M$578)</f>
        <v>Melchor Vera</v>
      </c>
      <c r="AO43" s="1167" t="s">
        <v>2278</v>
      </c>
      <c r="AP43" s="1189" t="s">
        <v>2349</v>
      </c>
      <c r="AQ43" s="1189" t="s">
        <v>2350</v>
      </c>
      <c r="AS43" s="1212">
        <f t="shared" si="12"/>
        <v>341.50230390166371</v>
      </c>
    </row>
    <row r="44" spans="1:45" ht="15" customHeight="1">
      <c r="A44" s="747" t="s">
        <v>2323</v>
      </c>
      <c r="B44" s="717">
        <v>45857</v>
      </c>
      <c r="C44" s="595">
        <v>45852</v>
      </c>
      <c r="D44" t="s">
        <v>119</v>
      </c>
      <c r="E44">
        <f>_xlfn.XLOOKUP(D44,RUC!$B$3:$B$123,RUC!$D$3:$D$123)</f>
        <v>10082235774</v>
      </c>
      <c r="G44" s="80">
        <v>48</v>
      </c>
      <c r="H44" t="s">
        <v>69</v>
      </c>
      <c r="I44" s="596">
        <v>4.5999999999999996</v>
      </c>
      <c r="J44" s="596">
        <v>2.2000000000000002</v>
      </c>
      <c r="K44" s="138">
        <f t="shared" si="0"/>
        <v>4.4987999999999992</v>
      </c>
      <c r="L44" s="139">
        <v>0.23699999999999999</v>
      </c>
      <c r="M44" s="139">
        <v>0.23300000000000001</v>
      </c>
      <c r="N44" s="159">
        <v>0.23300000000000001</v>
      </c>
      <c r="O44" s="645">
        <f t="shared" si="23"/>
        <v>0.23300000000000001</v>
      </c>
      <c r="P44" s="727">
        <v>85</v>
      </c>
      <c r="Q44" s="596">
        <v>94.94</v>
      </c>
      <c r="R44" s="706">
        <v>3351.15</v>
      </c>
      <c r="S44" s="802">
        <v>105</v>
      </c>
      <c r="U44" s="1146">
        <f>_xlfn.XLOOKUP(D44,RUC!$B$3:$B$123,RUC!$F$3:$F$123)</f>
        <v>80</v>
      </c>
      <c r="V44" s="715">
        <v>1.1023000000000001</v>
      </c>
      <c r="Y44">
        <f>_xlfn.XLOOKUP(D44,RUC!$B$3:$B$123,RUC!$G$3:$G$123)</f>
        <v>0</v>
      </c>
      <c r="Z44" s="143">
        <f>_xlfn.XLOOKUP(D44,RUC!$B$3:$B$123,RUC!$H$3:$H$123)</f>
        <v>10</v>
      </c>
      <c r="AA44" s="144">
        <f t="shared" si="2"/>
        <v>10</v>
      </c>
      <c r="AB44" s="145">
        <f t="shared" si="28"/>
        <v>587.36194114224998</v>
      </c>
      <c r="AC44" s="145">
        <f>+(S44-T44)*V44-'data 1'!$F$4</f>
        <v>35.741500000000002</v>
      </c>
      <c r="AD44" s="145">
        <f t="shared" si="29"/>
        <v>84.94444774118098</v>
      </c>
      <c r="AE44" s="145">
        <f t="shared" si="5"/>
        <v>-58.977000000000004</v>
      </c>
      <c r="AF44" s="145">
        <f t="shared" si="30"/>
        <v>13.69334295825192</v>
      </c>
      <c r="AG44" s="772">
        <f t="shared" si="33"/>
        <v>145.40229069943291</v>
      </c>
      <c r="AH44" s="146">
        <f t="shared" si="7"/>
        <v>34.705901442060821</v>
      </c>
      <c r="AI44" s="146">
        <f t="shared" si="19"/>
        <v>36.555615590963569</v>
      </c>
      <c r="AJ44" s="156">
        <f t="shared" si="31"/>
        <v>19.556857822568976</v>
      </c>
      <c r="AK44" s="141">
        <f t="shared" si="10"/>
        <v>30.547846699537285</v>
      </c>
      <c r="AL44" s="88"/>
      <c r="AM44" s="716">
        <f t="shared" si="11"/>
        <v>2642.4239008107538</v>
      </c>
      <c r="AN44" s="716" t="str">
        <f>_xlfn.XLOOKUP(D44,RUC!$B$3:$B$578,RUC!$M$3:$M$578)</f>
        <v>Melchor Vera</v>
      </c>
      <c r="AO44" s="1167" t="s">
        <v>2278</v>
      </c>
      <c r="AP44" s="1189" t="s">
        <v>2349</v>
      </c>
      <c r="AQ44" s="1189" t="s">
        <v>2350</v>
      </c>
      <c r="AS44" s="1212">
        <f t="shared" si="12"/>
        <v>478.54207891336819</v>
      </c>
    </row>
    <row r="45" spans="1:45" ht="15" customHeight="1">
      <c r="A45" s="747" t="s">
        <v>2324</v>
      </c>
      <c r="B45" s="717">
        <v>45857</v>
      </c>
      <c r="C45" s="595">
        <v>45852</v>
      </c>
      <c r="D45" t="s">
        <v>119</v>
      </c>
      <c r="E45">
        <f>_xlfn.XLOOKUP(D45,RUC!$B$3:$B$123,RUC!$D$3:$D$123)</f>
        <v>10082235774</v>
      </c>
      <c r="G45" s="80">
        <v>50</v>
      </c>
      <c r="H45" t="s">
        <v>69</v>
      </c>
      <c r="I45" s="596">
        <v>4.8099999999999996</v>
      </c>
      <c r="J45" s="596">
        <v>2.6</v>
      </c>
      <c r="K45" s="138">
        <f t="shared" si="0"/>
        <v>4.6849399999999992</v>
      </c>
      <c r="L45" s="139">
        <v>0.248</v>
      </c>
      <c r="M45" s="139">
        <v>0.24399999999999999</v>
      </c>
      <c r="N45" s="159">
        <v>0.24399999999999999</v>
      </c>
      <c r="O45" s="645">
        <f t="shared" si="23"/>
        <v>0.24399999999999999</v>
      </c>
      <c r="P45" s="727">
        <v>85</v>
      </c>
      <c r="Q45" s="596">
        <v>95.56</v>
      </c>
      <c r="R45" s="706">
        <v>3351.15</v>
      </c>
      <c r="S45" s="802">
        <v>105</v>
      </c>
      <c r="U45" s="1146">
        <f>_xlfn.XLOOKUP(D45,RUC!$B$3:$B$123,RUC!$F$3:$F$123)</f>
        <v>80</v>
      </c>
      <c r="V45" s="715">
        <v>1.1023000000000001</v>
      </c>
      <c r="Y45">
        <f>_xlfn.XLOOKUP(D45,RUC!$B$3:$B$123,RUC!$G$3:$G$123)</f>
        <v>0</v>
      </c>
      <c r="Z45" s="143">
        <f>_xlfn.XLOOKUP(D45,RUC!$B$3:$B$123,RUC!$H$3:$H$123)</f>
        <v>10</v>
      </c>
      <c r="AA45" s="144">
        <f t="shared" si="2"/>
        <v>10</v>
      </c>
      <c r="AB45" s="145">
        <f t="shared" si="28"/>
        <v>621.07606497300003</v>
      </c>
      <c r="AC45" s="145">
        <f>+(S45-T45)*V45-'data 1'!$F$4</f>
        <v>35.741500000000002</v>
      </c>
      <c r="AD45" s="145">
        <f t="shared" si="29"/>
        <v>94.431277666176044</v>
      </c>
      <c r="AE45" s="145">
        <f t="shared" si="5"/>
        <v>-58.977000000000004</v>
      </c>
      <c r="AF45" s="145">
        <f t="shared" si="30"/>
        <v>13.782766516648014</v>
      </c>
      <c r="AG45" s="772">
        <f t="shared" si="33"/>
        <v>154.97854418282407</v>
      </c>
      <c r="AH45" s="146">
        <f t="shared" si="7"/>
        <v>38.066322656317197</v>
      </c>
      <c r="AI45" s="146">
        <f t="shared" si="19"/>
        <v>39.834996500959811</v>
      </c>
      <c r="AJ45" s="156">
        <f t="shared" si="31"/>
        <v>20.59820267182398</v>
      </c>
      <c r="AK45" s="141">
        <f t="shared" si="10"/>
        <v>33.313622073786547</v>
      </c>
      <c r="AL45" s="88"/>
      <c r="AM45" s="716">
        <f t="shared" si="11"/>
        <v>2909.7040998346065</v>
      </c>
      <c r="AN45" s="716" t="str">
        <f>_xlfn.XLOOKUP(D45,RUC!$B$3:$B$578,RUC!$M$3:$M$578)</f>
        <v>Melchor Vera</v>
      </c>
      <c r="AO45" s="1167" t="s">
        <v>2278</v>
      </c>
      <c r="AP45" s="1189" t="s">
        <v>2349</v>
      </c>
      <c r="AQ45" s="1189" t="s">
        <v>2350</v>
      </c>
      <c r="AS45" s="1212">
        <f t="shared" si="12"/>
        <v>546.62949068090802</v>
      </c>
    </row>
    <row r="46" spans="1:45" ht="15" customHeight="1">
      <c r="A46" s="747" t="s">
        <v>2325</v>
      </c>
      <c r="B46" s="717">
        <v>45857</v>
      </c>
      <c r="C46" s="595">
        <v>45852</v>
      </c>
      <c r="D46" t="s">
        <v>119</v>
      </c>
      <c r="E46">
        <f>_xlfn.XLOOKUP(D46,RUC!$B$3:$B$123,RUC!$D$3:$D$123)</f>
        <v>10082235774</v>
      </c>
      <c r="G46" s="80">
        <v>76</v>
      </c>
      <c r="H46" t="s">
        <v>69</v>
      </c>
      <c r="I46" s="596">
        <v>7.27</v>
      </c>
      <c r="J46" s="596">
        <v>2.2000000000000002</v>
      </c>
      <c r="K46" s="138">
        <f t="shared" si="0"/>
        <v>7.1100599999999998</v>
      </c>
      <c r="L46" s="139">
        <v>0.29599999999999999</v>
      </c>
      <c r="M46" s="139">
        <v>0.29199999999999998</v>
      </c>
      <c r="N46" s="159">
        <v>0.29199999999999998</v>
      </c>
      <c r="O46" s="645">
        <f t="shared" si="23"/>
        <v>0.29199999999999998</v>
      </c>
      <c r="P46" s="727">
        <v>90</v>
      </c>
      <c r="Q46" s="596">
        <v>94.59</v>
      </c>
      <c r="R46" s="706">
        <v>3351.15</v>
      </c>
      <c r="S46" s="802">
        <v>105</v>
      </c>
      <c r="U46" s="1146">
        <f>_xlfn.XLOOKUP(D46,RUC!$B$3:$B$123,RUC!$F$3:$F$123)</f>
        <v>80</v>
      </c>
      <c r="V46" s="715">
        <v>1.1023000000000001</v>
      </c>
      <c r="Y46">
        <f>_xlfn.XLOOKUP(D46,RUC!$B$3:$B$123,RUC!$G$3:$G$123)</f>
        <v>0</v>
      </c>
      <c r="Z46" s="143">
        <f>_xlfn.XLOOKUP(D46,RUC!$B$3:$B$123,RUC!$H$3:$H$123)</f>
        <v>10</v>
      </c>
      <c r="AA46" s="144">
        <f t="shared" si="2"/>
        <v>10</v>
      </c>
      <c r="AB46" s="145">
        <f t="shared" si="28"/>
        <v>820.83675590600012</v>
      </c>
      <c r="AC46" s="145">
        <f>+(S46-T46)*V46-'data 1'!$F$4</f>
        <v>35.741500000000002</v>
      </c>
      <c r="AD46" s="145">
        <f t="shared" si="29"/>
        <v>48.989686846428043</v>
      </c>
      <c r="AE46" s="145">
        <f t="shared" si="5"/>
        <v>-58.977000000000004</v>
      </c>
      <c r="AF46" s="145">
        <f t="shared" si="30"/>
        <v>13.642861917222014</v>
      </c>
      <c r="AG46" s="772">
        <f>AC46+AD46+AE46+AF46+70</f>
        <v>109.39704876365005</v>
      </c>
      <c r="AH46" s="146">
        <f t="shared" si="7"/>
        <v>68.252611236599492</v>
      </c>
      <c r="AI46" s="146">
        <f t="shared" si="19"/>
        <v>72.156265182999775</v>
      </c>
      <c r="AJ46" s="156">
        <f t="shared" si="31"/>
        <v>24.335397337571976</v>
      </c>
      <c r="AK46" s="141">
        <f t="shared" si="10"/>
        <v>64.063062466528166</v>
      </c>
      <c r="AL46" s="88"/>
      <c r="AM46" s="716">
        <f t="shared" si="11"/>
        <v>5836.1985846970147</v>
      </c>
      <c r="AN46" s="716" t="str">
        <f>_xlfn.XLOOKUP(D46,RUC!$B$3:$B$578,RUC!$M$3:$M$578)</f>
        <v>Melchor Vera</v>
      </c>
      <c r="AO46" s="1167" t="s">
        <v>2278</v>
      </c>
      <c r="AP46" s="1189" t="s">
        <v>2349</v>
      </c>
      <c r="AQ46" s="1189" t="s">
        <v>2350</v>
      </c>
      <c r="AS46" s="1212">
        <f t="shared" si="12"/>
        <v>532.54980353791871</v>
      </c>
    </row>
    <row r="47" spans="1:45" ht="15" customHeight="1">
      <c r="A47" s="747" t="s">
        <v>2327</v>
      </c>
      <c r="B47" s="595">
        <v>45857</v>
      </c>
      <c r="C47" s="595">
        <v>45853</v>
      </c>
      <c r="D47" t="s">
        <v>1484</v>
      </c>
      <c r="E47">
        <f>_xlfn.XLOOKUP(D47,RUC!$B$3:$B$123,RUC!$D$3:$D$123)</f>
        <v>10761932735</v>
      </c>
      <c r="G47" s="80">
        <v>43</v>
      </c>
      <c r="H47" t="s">
        <v>69</v>
      </c>
      <c r="I47" s="596">
        <v>4.17</v>
      </c>
      <c r="J47" s="596">
        <v>7.8</v>
      </c>
      <c r="K47" s="138">
        <f t="shared" si="0"/>
        <v>3.8447399999999998</v>
      </c>
      <c r="L47" s="139">
        <v>0.55700000000000005</v>
      </c>
      <c r="M47" s="139">
        <v>0.52400000000000002</v>
      </c>
      <c r="N47" s="598">
        <v>0.53400000000000003</v>
      </c>
      <c r="O47" s="645">
        <f t="shared" si="23"/>
        <v>0.52900000000000003</v>
      </c>
      <c r="P47" s="727">
        <v>90</v>
      </c>
      <c r="Q47" s="596">
        <v>97.31</v>
      </c>
      <c r="R47" s="706">
        <v>3345.1</v>
      </c>
      <c r="S47" s="765">
        <f t="shared" ref="S47" si="34">IF((90+ROUNDDOWN(O47,1)*100)&lt;95,95,(90+ROUNDDOWN(O47,1)*100))</f>
        <v>140</v>
      </c>
      <c r="U47" s="1146">
        <f>_xlfn.XLOOKUP(D47,RUC!$B$3:$B$123,RUC!$F$3:$F$123)</f>
        <v>120</v>
      </c>
      <c r="V47" s="715">
        <v>1.1023000000000001</v>
      </c>
      <c r="Y47">
        <f>_xlfn.XLOOKUP(D47,RUC!$B$3:$B$123,RUC!$G$3:$G$123)</f>
        <v>20</v>
      </c>
      <c r="Z47" s="143">
        <f>_xlfn.XLOOKUP(D47,RUC!$B$3:$B$123,RUC!$H$3:$H$123)</f>
        <v>30</v>
      </c>
      <c r="AA47" s="144">
        <f t="shared" si="2"/>
        <v>50</v>
      </c>
      <c r="AB47" s="145">
        <f t="shared" si="28"/>
        <v>1483.111702253</v>
      </c>
      <c r="AC47" s="145">
        <f>+(S47-T47)*V47-'data 1'!$F$4</f>
        <v>74.322000000000003</v>
      </c>
      <c r="AD47" s="145">
        <f t="shared" si="29"/>
        <v>144.74899757409105</v>
      </c>
      <c r="AE47" s="145">
        <f t="shared" si="5"/>
        <v>-14.884999999999998</v>
      </c>
      <c r="AF47" s="145">
        <f t="shared" si="30"/>
        <v>96.863129553764082</v>
      </c>
      <c r="AG47" s="772">
        <f t="shared" ref="AG47:AG49" si="35">AC47+AD47+AE47+AF47+70-53</f>
        <v>318.04912712785517</v>
      </c>
      <c r="AH47" s="146">
        <f t="shared" si="7"/>
        <v>71.447775712763118</v>
      </c>
      <c r="AI47" s="146">
        <f t="shared" si="19"/>
        <v>73.422850388205873</v>
      </c>
      <c r="AJ47" s="156">
        <f t="shared" si="31"/>
        <v>74.623379550409069</v>
      </c>
      <c r="AK47" s="141">
        <f t="shared" si="10"/>
        <v>62.758741597531078</v>
      </c>
      <c r="AL47" s="88"/>
      <c r="AM47" s="716">
        <f t="shared" si="11"/>
        <v>5702.1788861201985</v>
      </c>
      <c r="AN47" s="716" t="str">
        <f>_xlfn.XLOOKUP(D47,RUC!$B$3:$B$578,RUC!$M$3:$M$578)</f>
        <v>Richard Sapacayo</v>
      </c>
      <c r="AO47" s="1167" t="s">
        <v>2280</v>
      </c>
      <c r="AP47" s="1190" t="s">
        <v>2372</v>
      </c>
      <c r="AQ47" s="1190" t="s">
        <v>2375</v>
      </c>
      <c r="AS47" s="1212">
        <f t="shared" si="12"/>
        <v>1443.2713238593105</v>
      </c>
    </row>
    <row r="48" spans="1:45" ht="15" customHeight="1">
      <c r="A48" s="747" t="s">
        <v>2328</v>
      </c>
      <c r="B48" s="595">
        <v>45857</v>
      </c>
      <c r="C48" s="595">
        <v>45853</v>
      </c>
      <c r="D48" t="s">
        <v>1484</v>
      </c>
      <c r="E48">
        <f>_xlfn.XLOOKUP(D48,RUC!$B$3:$B$123,RUC!$D$3:$D$123)</f>
        <v>10761932735</v>
      </c>
      <c r="G48" s="80" t="s">
        <v>1434</v>
      </c>
      <c r="H48" t="s">
        <v>69</v>
      </c>
      <c r="I48" s="596">
        <v>27.56</v>
      </c>
      <c r="J48" s="596">
        <v>5.2</v>
      </c>
      <c r="K48" s="138">
        <f t="shared" si="0"/>
        <v>26.12688</v>
      </c>
      <c r="L48" s="139">
        <v>0.25800000000000001</v>
      </c>
      <c r="M48" s="139">
        <v>0.24</v>
      </c>
      <c r="N48" s="159">
        <v>0.24</v>
      </c>
      <c r="O48" s="645">
        <f t="shared" si="23"/>
        <v>0.24</v>
      </c>
      <c r="P48" s="727">
        <v>90</v>
      </c>
      <c r="Q48" s="596">
        <v>96.51</v>
      </c>
      <c r="R48" s="706">
        <v>3345.1</v>
      </c>
      <c r="S48" s="802">
        <v>100</v>
      </c>
      <c r="U48" s="1146">
        <f>_xlfn.XLOOKUP(D48,RUC!$B$3:$B$123,RUC!$F$3:$F$123)</f>
        <v>120</v>
      </c>
      <c r="V48" s="715">
        <v>1.1023000000000001</v>
      </c>
      <c r="Y48">
        <f>_xlfn.XLOOKUP(D48,RUC!$B$3:$B$123,RUC!$G$3:$G$123)</f>
        <v>20</v>
      </c>
      <c r="Z48" s="143">
        <f>_xlfn.XLOOKUP(D48,RUC!$B$3:$B$123,RUC!$H$3:$H$123)</f>
        <v>30</v>
      </c>
      <c r="AA48" s="144">
        <f t="shared" si="2"/>
        <v>50</v>
      </c>
      <c r="AB48" s="145">
        <f t="shared" si="28"/>
        <v>602.54098967999994</v>
      </c>
      <c r="AC48" s="145">
        <f>+(S48-T48)*V48-'data 1'!$F$4</f>
        <v>30.230000000000004</v>
      </c>
      <c r="AD48" s="145">
        <f t="shared" si="29"/>
        <v>59.70953474753405</v>
      </c>
      <c r="AE48" s="145">
        <f t="shared" si="5"/>
        <v>-14.884999999999998</v>
      </c>
      <c r="AF48" s="145">
        <f t="shared" si="30"/>
        <v>61.757230720014057</v>
      </c>
      <c r="AG48" s="772">
        <f t="shared" si="35"/>
        <v>153.81176546754813</v>
      </c>
      <c r="AH48" s="146">
        <f t="shared" si="7"/>
        <v>223.04302237968906</v>
      </c>
      <c r="AI48" s="146">
        <f t="shared" si="19"/>
        <v>231.10871658863229</v>
      </c>
      <c r="AJ48" s="156">
        <f t="shared" si="31"/>
        <v>34.281061985466025</v>
      </c>
      <c r="AK48" s="141">
        <f t="shared" si="10"/>
        <v>193.48636737652933</v>
      </c>
      <c r="AL48" s="88"/>
      <c r="AM48" s="716">
        <f t="shared" si="11"/>
        <v>15742.516132450597</v>
      </c>
      <c r="AN48" s="716" t="str">
        <f>_xlfn.XLOOKUP(D48,RUC!$B$3:$B$578,RUC!$M$3:$M$578)</f>
        <v>Richard Sapacayo</v>
      </c>
      <c r="AO48" s="1167" t="s">
        <v>2280</v>
      </c>
      <c r="AP48" s="1190" t="s">
        <v>2372</v>
      </c>
      <c r="AQ48" s="1190" t="s">
        <v>2375</v>
      </c>
      <c r="AS48" s="1212">
        <f t="shared" si="12"/>
        <v>4685.3257033704067</v>
      </c>
    </row>
    <row r="49" spans="1:45" ht="15" customHeight="1">
      <c r="A49" s="747" t="s">
        <v>2331</v>
      </c>
      <c r="B49" s="595">
        <v>45864</v>
      </c>
      <c r="C49" s="595">
        <v>45854</v>
      </c>
      <c r="D49" t="s">
        <v>93</v>
      </c>
      <c r="E49">
        <f>_xlfn.XLOOKUP(D49,RUC!$B$3:$B$123,RUC!$D$3:$D$123)</f>
        <v>20169040231</v>
      </c>
      <c r="G49" s="80">
        <v>100</v>
      </c>
      <c r="H49" t="s">
        <v>69</v>
      </c>
      <c r="I49" s="596">
        <v>10</v>
      </c>
      <c r="J49" s="596">
        <v>1.1000000000000001</v>
      </c>
      <c r="K49" s="138">
        <f t="shared" ref="K49:K94" si="36">+I49-(I49*(J49/100))</f>
        <v>9.89</v>
      </c>
      <c r="L49" s="139">
        <v>0.46500000000000002</v>
      </c>
      <c r="M49" s="139">
        <v>0.437</v>
      </c>
      <c r="N49" s="159">
        <v>0.437</v>
      </c>
      <c r="O49" s="645">
        <f t="shared" si="23"/>
        <v>0.437</v>
      </c>
      <c r="P49" s="727">
        <v>87</v>
      </c>
      <c r="Q49" s="596">
        <v>87.74</v>
      </c>
      <c r="R49" s="1185">
        <v>3323.8</v>
      </c>
      <c r="S49" s="765">
        <f t="shared" ref="S49" si="37">IF((90+ROUNDDOWN(O49,1)*100)&lt;95,95,(85+ROUNDDOWN(O49,1)*100))</f>
        <v>125</v>
      </c>
      <c r="U49" s="1146">
        <f>_xlfn.XLOOKUP(D49,RUC!$B$3:$B$123,RUC!$F$3:$F$123)</f>
        <v>120</v>
      </c>
      <c r="V49" s="715">
        <v>1.1023000000000001</v>
      </c>
      <c r="Y49">
        <f>_xlfn.XLOOKUP(D49,RUC!$B$3:$B$123,RUC!$G$3:$G$123)</f>
        <v>20</v>
      </c>
      <c r="Z49" s="143">
        <f>_xlfn.XLOOKUP(D49,RUC!$B$3:$B$123,RUC!$H$3:$H$123)</f>
        <v>30</v>
      </c>
      <c r="AA49" s="144">
        <f t="shared" ref="AA49:AA94" si="38">+Y49+Z49</f>
        <v>50</v>
      </c>
      <c r="AB49" s="145">
        <f t="shared" si="28"/>
        <v>1149.7570154606003</v>
      </c>
      <c r="AC49" s="145">
        <f>+(S49-T49)*V49-'data 1'!$F$4</f>
        <v>57.787499999999994</v>
      </c>
      <c r="AD49" s="145">
        <f t="shared" si="29"/>
        <v>12.152059214339916</v>
      </c>
      <c r="AE49" s="145">
        <f t="shared" ref="AE49:AE94" si="39">+(Y49*V49-70)+V49*(Z49-IF(D49="UNTUCA",IF(+((W49-3)*2.5+(X49-3)*3.1)&gt;0,+((W49-3)*1.5+(X49-3)*3.1),0),IF(+((W49-3)*1.5+(X49-3)*3.1)&gt;0,+((W49-3)*1.5+(X49-3)*3.1),0)))</f>
        <v>-14.884999999999998</v>
      </c>
      <c r="AF49" s="145">
        <f t="shared" si="30"/>
        <v>86.76026420532807</v>
      </c>
      <c r="AG49" s="772">
        <f t="shared" si="35"/>
        <v>158.81482341966799</v>
      </c>
      <c r="AH49" s="146">
        <f t="shared" ref="AH49:AH94" si="40">31.1035*L49*Q49*1.1023*K49/100</f>
        <v>138.34260328592569</v>
      </c>
      <c r="AI49" s="146">
        <f t="shared" si="19"/>
        <v>157.67335683374253</v>
      </c>
      <c r="AJ49" s="156">
        <f t="shared" si="31"/>
        <v>65.750303673659914</v>
      </c>
      <c r="AK49" s="141">
        <f t="shared" ref="AK49:AK94" si="41">31.1035*1.1023*K49*P49*O49/100</f>
        <v>128.91577104219476</v>
      </c>
      <c r="AL49" s="88"/>
      <c r="AM49" s="716">
        <f t="shared" ref="AM49:AM94" si="42">+IF(AB49*K49&gt;0,AB49*K49,0)</f>
        <v>11371.096882905338</v>
      </c>
      <c r="AN49" s="716" t="str">
        <f>_xlfn.XLOOKUP(D49,RUC!$B$3:$B$578,RUC!$M$3:$M$578)</f>
        <v>Ronald Miranda</v>
      </c>
      <c r="AO49" s="1167" t="s">
        <v>2281</v>
      </c>
      <c r="AP49" t="s">
        <v>2369</v>
      </c>
      <c r="AQ49" s="1190" t="s">
        <v>2376</v>
      </c>
      <c r="AS49" s="1212">
        <f t="shared" ref="AS49:AS94" si="43">+(AH49*AJ$2*0.995)/31.1035-K49*(80+53)-AM49</f>
        <v>2139.2113334629739</v>
      </c>
    </row>
    <row r="50" spans="1:45" ht="15" customHeight="1">
      <c r="A50" s="747" t="s">
        <v>2332</v>
      </c>
      <c r="B50" s="595">
        <v>45859</v>
      </c>
      <c r="C50" s="595">
        <v>45854</v>
      </c>
      <c r="D50" t="s">
        <v>1671</v>
      </c>
      <c r="E50">
        <f>_xlfn.XLOOKUP(D50,RUC!$B$3:$B$123,RUC!$D$3:$D$123)</f>
        <v>20517242919</v>
      </c>
      <c r="G50" s="80">
        <v>56</v>
      </c>
      <c r="H50" t="s">
        <v>69</v>
      </c>
      <c r="I50" s="596">
        <v>5.18</v>
      </c>
      <c r="J50" s="596">
        <v>1.75</v>
      </c>
      <c r="K50" s="138">
        <f t="shared" si="36"/>
        <v>5.0893499999999996</v>
      </c>
      <c r="L50" s="139">
        <v>0.36599999999999999</v>
      </c>
      <c r="M50" s="139">
        <v>0.34399999999999997</v>
      </c>
      <c r="N50" s="598">
        <v>0.374</v>
      </c>
      <c r="O50" s="645">
        <f t="shared" si="23"/>
        <v>0.35899999999999999</v>
      </c>
      <c r="P50" s="727">
        <v>90</v>
      </c>
      <c r="Q50" s="596">
        <v>95.9</v>
      </c>
      <c r="R50" s="1185">
        <v>3323.8</v>
      </c>
      <c r="S50" s="1164">
        <v>110</v>
      </c>
      <c r="U50" s="1146">
        <f>_xlfn.XLOOKUP(D50,RUC!$B$3:$B$123,RUC!$F$3:$F$123)</f>
        <v>80</v>
      </c>
      <c r="V50" s="715">
        <v>1.1023000000000001</v>
      </c>
      <c r="Y50">
        <f>_xlfn.XLOOKUP(D50,RUC!$B$3:$B$123,RUC!$G$3:$G$123)</f>
        <v>0</v>
      </c>
      <c r="Z50" s="143">
        <f>_xlfn.XLOOKUP(D50,RUC!$B$3:$B$123,RUC!$H$3:$H$123)</f>
        <v>10</v>
      </c>
      <c r="AA50" s="144">
        <f t="shared" si="38"/>
        <v>10</v>
      </c>
      <c r="AB50" s="145">
        <f t="shared" si="28"/>
        <v>1023.0135230940003</v>
      </c>
      <c r="AC50" s="145">
        <f>+(S50-T50)*V50-'data 1'!$F$4</f>
        <v>41.253</v>
      </c>
      <c r="AD50" s="145">
        <f t="shared" si="29"/>
        <v>77.212386139560081</v>
      </c>
      <c r="AE50" s="145">
        <f t="shared" si="39"/>
        <v>-58.977000000000004</v>
      </c>
      <c r="AF50" s="145">
        <f t="shared" si="30"/>
        <v>24.003276287620029</v>
      </c>
      <c r="AG50" s="772">
        <f>AC50+AD50+AE50+AF50+70</f>
        <v>153.4916624271801</v>
      </c>
      <c r="AH50" s="146">
        <f t="shared" si="40"/>
        <v>61.245062282927854</v>
      </c>
      <c r="AI50" s="146">
        <f t="shared" si="19"/>
        <v>63.863464320049907</v>
      </c>
      <c r="AJ50" s="156">
        <f t="shared" si="31"/>
        <v>41.088852874439937</v>
      </c>
      <c r="AK50" s="141">
        <f t="shared" si="41"/>
        <v>56.377828748109621</v>
      </c>
      <c r="AL50" s="88"/>
      <c r="AM50" s="716">
        <f t="shared" si="42"/>
        <v>5206.4738737584503</v>
      </c>
      <c r="AN50" s="716" t="str">
        <f>_xlfn.XLOOKUP(D50,RUC!$B$3:$B$578,RUC!$M$3:$M$578)</f>
        <v>Melchor Vera</v>
      </c>
      <c r="AO50" s="1167" t="s">
        <v>2278</v>
      </c>
      <c r="AP50" s="1190" t="s">
        <v>2373</v>
      </c>
      <c r="AQ50" s="1190" t="s">
        <v>2377</v>
      </c>
      <c r="AS50" s="1212">
        <f t="shared" si="43"/>
        <v>680.05517786417386</v>
      </c>
    </row>
    <row r="51" spans="1:45" ht="15" customHeight="1">
      <c r="A51" s="747" t="s">
        <v>2333</v>
      </c>
      <c r="B51" s="595">
        <v>45859</v>
      </c>
      <c r="C51" s="595">
        <v>45854</v>
      </c>
      <c r="D51" t="s">
        <v>1671</v>
      </c>
      <c r="E51">
        <f>_xlfn.XLOOKUP(D51,RUC!$B$3:$B$123,RUC!$D$3:$D$123)</f>
        <v>20517242919</v>
      </c>
      <c r="G51" s="80">
        <v>43</v>
      </c>
      <c r="H51" t="s">
        <v>69</v>
      </c>
      <c r="I51" s="596">
        <v>4.07</v>
      </c>
      <c r="J51" s="596">
        <v>2.4500000000000002</v>
      </c>
      <c r="K51" s="138">
        <f t="shared" si="36"/>
        <v>3.9702850000000001</v>
      </c>
      <c r="L51" s="139">
        <v>0.34499999999999997</v>
      </c>
      <c r="M51" s="139">
        <v>0.32400000000000001</v>
      </c>
      <c r="N51" s="159">
        <v>0.32400000000000001</v>
      </c>
      <c r="O51" s="645">
        <f t="shared" si="23"/>
        <v>0.32400000000000001</v>
      </c>
      <c r="P51" s="727">
        <v>90</v>
      </c>
      <c r="Q51" s="596">
        <v>97.97</v>
      </c>
      <c r="R51" s="1185">
        <v>3323.8</v>
      </c>
      <c r="S51" s="1164">
        <v>110</v>
      </c>
      <c r="U51" s="1146">
        <f>_xlfn.XLOOKUP(D51,RUC!$B$3:$B$123,RUC!$F$3:$F$123)</f>
        <v>80</v>
      </c>
      <c r="V51" s="715">
        <v>1.1023000000000001</v>
      </c>
      <c r="Y51">
        <f>_xlfn.XLOOKUP(D51,RUC!$B$3:$B$123,RUC!$G$3:$G$123)</f>
        <v>0</v>
      </c>
      <c r="Z51" s="143">
        <f>_xlfn.XLOOKUP(D51,RUC!$B$3:$B$123,RUC!$H$3:$H$123)</f>
        <v>10</v>
      </c>
      <c r="AA51" s="144">
        <f t="shared" si="38"/>
        <v>10</v>
      </c>
      <c r="AB51" s="145">
        <f t="shared" si="28"/>
        <v>910.38083978400005</v>
      </c>
      <c r="AC51" s="145">
        <f>+(S51-T51)*V51-'data 1'!$F$4</f>
        <v>41.253</v>
      </c>
      <c r="AD51" s="145">
        <f t="shared" si="29"/>
        <v>98.317605607410002</v>
      </c>
      <c r="AE51" s="145">
        <f t="shared" si="39"/>
        <v>-58.977000000000004</v>
      </c>
      <c r="AF51" s="145">
        <f t="shared" si="30"/>
        <v>73.564159892537887</v>
      </c>
      <c r="AG51" s="772">
        <f t="shared" ref="AG51:AG58" si="44">AC51+AD51+AE51+AF51+70</f>
        <v>224.15776549994791</v>
      </c>
      <c r="AH51" s="146">
        <f t="shared" si="40"/>
        <v>46.009017090537228</v>
      </c>
      <c r="AI51" s="146">
        <f t="shared" si="19"/>
        <v>46.962352853462519</v>
      </c>
      <c r="AJ51" s="156">
        <f t="shared" si="31"/>
        <v>39.567310155089928</v>
      </c>
      <c r="AK51" s="141">
        <f t="shared" si="41"/>
        <v>39.693397368317889</v>
      </c>
      <c r="AL51" s="88"/>
      <c r="AM51" s="716">
        <f t="shared" si="42"/>
        <v>3614.4713924818188</v>
      </c>
      <c r="AN51" s="716" t="str">
        <f>_xlfn.XLOOKUP(D51,RUC!$B$3:$B$578,RUC!$M$3:$M$578)</f>
        <v>Melchor Vera</v>
      </c>
      <c r="AO51" s="1167" t="s">
        <v>2278</v>
      </c>
      <c r="AP51" s="1190" t="s">
        <v>2373</v>
      </c>
      <c r="AQ51" s="1190" t="s">
        <v>2377</v>
      </c>
      <c r="AS51" s="1212">
        <f t="shared" si="43"/>
        <v>788.10125059261645</v>
      </c>
    </row>
    <row r="52" spans="1:45" ht="15" customHeight="1">
      <c r="A52" s="747" t="s">
        <v>2334</v>
      </c>
      <c r="B52" s="595">
        <v>45859</v>
      </c>
      <c r="C52" s="595">
        <v>45854</v>
      </c>
      <c r="D52" t="s">
        <v>1671</v>
      </c>
      <c r="E52">
        <f>_xlfn.XLOOKUP(D52,RUC!$B$3:$B$123,RUC!$D$3:$D$123)</f>
        <v>20517242919</v>
      </c>
      <c r="G52" s="80">
        <v>43</v>
      </c>
      <c r="H52" t="s">
        <v>69</v>
      </c>
      <c r="I52" s="596">
        <v>4.12</v>
      </c>
      <c r="J52" s="596">
        <v>2.2999999999999998</v>
      </c>
      <c r="K52" s="138">
        <f t="shared" si="36"/>
        <v>4.0252400000000002</v>
      </c>
      <c r="L52" s="139">
        <v>0.28299999999999997</v>
      </c>
      <c r="M52" s="139">
        <v>0.26600000000000001</v>
      </c>
      <c r="N52" s="598">
        <v>0.28899999999999998</v>
      </c>
      <c r="O52" s="645">
        <f t="shared" si="23"/>
        <v>0.27800000000000002</v>
      </c>
      <c r="P52" s="727">
        <v>90</v>
      </c>
      <c r="Q52" s="596">
        <v>97.53</v>
      </c>
      <c r="R52" s="1185">
        <v>3323.8</v>
      </c>
      <c r="S52" s="1164">
        <v>105</v>
      </c>
      <c r="U52" s="1146">
        <f>_xlfn.XLOOKUP(D52,RUC!$B$3:$B$123,RUC!$F$3:$F$123)</f>
        <v>80</v>
      </c>
      <c r="V52" s="715">
        <v>1.1023000000000001</v>
      </c>
      <c r="Y52">
        <f>_xlfn.XLOOKUP(D52,RUC!$B$3:$B$123,RUC!$G$3:$G$123)</f>
        <v>0</v>
      </c>
      <c r="Z52" s="143">
        <f>_xlfn.XLOOKUP(D52,RUC!$B$3:$B$123,RUC!$H$3:$H$123)</f>
        <v>10</v>
      </c>
      <c r="AA52" s="144">
        <f t="shared" si="38"/>
        <v>10</v>
      </c>
      <c r="AB52" s="145">
        <f t="shared" si="28"/>
        <v>767.86081314800026</v>
      </c>
      <c r="AC52" s="145">
        <f>+(S52-T52)*V52-'data 1'!$F$4</f>
        <v>35.741500000000002</v>
      </c>
      <c r="AD52" s="145">
        <f t="shared" si="29"/>
        <v>76.196546605326006</v>
      </c>
      <c r="AE52" s="145">
        <f t="shared" si="39"/>
        <v>-58.977000000000004</v>
      </c>
      <c r="AF52" s="145">
        <f t="shared" si="30"/>
        <v>17.436612068609822</v>
      </c>
      <c r="AG52" s="772">
        <f t="shared" si="44"/>
        <v>140.39765867393584</v>
      </c>
      <c r="AH52" s="146">
        <f t="shared" si="40"/>
        <v>38.091274917311836</v>
      </c>
      <c r="AI52" s="146">
        <f t="shared" si="19"/>
        <v>39.055957056610104</v>
      </c>
      <c r="AJ52" s="156">
        <f t="shared" si="31"/>
        <v>32.310894696173946</v>
      </c>
      <c r="AK52" s="141">
        <f t="shared" si="41"/>
        <v>34.529330231674386</v>
      </c>
      <c r="AL52" s="88"/>
      <c r="AM52" s="716">
        <f t="shared" si="42"/>
        <v>3090.8240595158568</v>
      </c>
      <c r="AN52" s="716" t="str">
        <f>_xlfn.XLOOKUP(D52,RUC!$B$3:$B$578,RUC!$M$3:$M$578)</f>
        <v>Melchor Vera</v>
      </c>
      <c r="AO52" s="1167" t="s">
        <v>2279</v>
      </c>
      <c r="AP52" s="1190" t="s">
        <v>2373</v>
      </c>
      <c r="AQ52" s="1190" t="s">
        <v>2377</v>
      </c>
      <c r="AS52" s="1212">
        <f t="shared" si="43"/>
        <v>455.92367488411992</v>
      </c>
    </row>
    <row r="53" spans="1:45" ht="15" customHeight="1">
      <c r="A53" s="747" t="s">
        <v>2335</v>
      </c>
      <c r="B53" s="595">
        <v>45859</v>
      </c>
      <c r="C53" s="595">
        <v>45854</v>
      </c>
      <c r="D53" t="s">
        <v>1671</v>
      </c>
      <c r="E53">
        <f>_xlfn.XLOOKUP(D53,RUC!$B$3:$B$123,RUC!$D$3:$D$123)</f>
        <v>20517242919</v>
      </c>
      <c r="G53" s="80">
        <v>66</v>
      </c>
      <c r="H53" t="s">
        <v>69</v>
      </c>
      <c r="I53" s="596">
        <v>6.33</v>
      </c>
      <c r="J53" s="596">
        <v>2.4</v>
      </c>
      <c r="K53" s="138">
        <f t="shared" si="36"/>
        <v>6.1780800000000005</v>
      </c>
      <c r="L53" s="139">
        <v>0.26400000000000001</v>
      </c>
      <c r="M53" s="139">
        <v>0.25700000000000001</v>
      </c>
      <c r="N53" s="159">
        <v>0.25700000000000001</v>
      </c>
      <c r="O53" s="645">
        <f t="shared" si="23"/>
        <v>0.25700000000000001</v>
      </c>
      <c r="P53" s="727">
        <v>90</v>
      </c>
      <c r="Q53" s="596">
        <v>96.59</v>
      </c>
      <c r="R53" s="1185">
        <v>3323.8</v>
      </c>
      <c r="S53" s="1164">
        <v>105</v>
      </c>
      <c r="U53" s="1146">
        <f>_xlfn.XLOOKUP(D53,RUC!$B$3:$B$123,RUC!$F$3:$F$123)</f>
        <v>80</v>
      </c>
      <c r="V53" s="715">
        <v>1.1023000000000001</v>
      </c>
      <c r="Y53">
        <f>_xlfn.XLOOKUP(D53,RUC!$B$3:$B$123,RUC!$G$3:$G$123)</f>
        <v>0</v>
      </c>
      <c r="Z53" s="143">
        <f>_xlfn.XLOOKUP(D53,RUC!$B$3:$B$123,RUC!$H$3:$H$123)</f>
        <v>10</v>
      </c>
      <c r="AA53" s="144">
        <f t="shared" si="38"/>
        <v>10</v>
      </c>
      <c r="AB53" s="145">
        <f t="shared" si="28"/>
        <v>700.281203162</v>
      </c>
      <c r="AC53" s="145">
        <f>+(S53-T53)*V53-'data 1'!$F$4</f>
        <v>35.741500000000002</v>
      </c>
      <c r="AD53" s="145">
        <f t="shared" si="29"/>
        <v>62.207567338224045</v>
      </c>
      <c r="AE53" s="145">
        <f t="shared" si="39"/>
        <v>-58.977000000000004</v>
      </c>
      <c r="AF53" s="145">
        <f t="shared" si="30"/>
        <v>24.175979735362024</v>
      </c>
      <c r="AG53" s="772">
        <f t="shared" si="44"/>
        <v>133.14804707358604</v>
      </c>
      <c r="AH53" s="146">
        <f t="shared" si="40"/>
        <v>54.013048539117243</v>
      </c>
      <c r="AI53" s="146">
        <f t="shared" si="19"/>
        <v>55.919917733841231</v>
      </c>
      <c r="AJ53" s="156">
        <f t="shared" si="31"/>
        <v>29.851105345775956</v>
      </c>
      <c r="AK53" s="141">
        <f t="shared" si="41"/>
        <v>48.993473378172254</v>
      </c>
      <c r="AL53" s="88"/>
      <c r="AM53" s="716">
        <f t="shared" si="42"/>
        <v>4326.3932956310891</v>
      </c>
      <c r="AN53" s="716" t="str">
        <f>_xlfn.XLOOKUP(D53,RUC!$B$3:$B$578,RUC!$M$3:$M$578)</f>
        <v>Melchor Vera</v>
      </c>
      <c r="AO53" s="1167" t="s">
        <v>2278</v>
      </c>
      <c r="AP53" s="1190" t="s">
        <v>2373</v>
      </c>
      <c r="AQ53" s="1190" t="s">
        <v>2377</v>
      </c>
      <c r="AS53" s="1212">
        <f t="shared" si="43"/>
        <v>640.30581677659939</v>
      </c>
    </row>
    <row r="54" spans="1:45" ht="15" customHeight="1">
      <c r="A54" s="747" t="s">
        <v>2336</v>
      </c>
      <c r="B54" s="595">
        <v>45859</v>
      </c>
      <c r="C54" s="595">
        <v>45854</v>
      </c>
      <c r="D54" t="s">
        <v>1671</v>
      </c>
      <c r="E54">
        <f>_xlfn.XLOOKUP(D54,RUC!$B$3:$B$123,RUC!$D$3:$D$123)</f>
        <v>20517242919</v>
      </c>
      <c r="G54" s="80">
        <v>48</v>
      </c>
      <c r="H54" t="s">
        <v>69</v>
      </c>
      <c r="I54" s="596">
        <v>4.5199999999999996</v>
      </c>
      <c r="J54" s="596">
        <v>2.2000000000000002</v>
      </c>
      <c r="K54" s="138">
        <f t="shared" si="36"/>
        <v>4.4205599999999992</v>
      </c>
      <c r="L54" s="139">
        <v>0.29799999999999999</v>
      </c>
      <c r="M54" s="139">
        <v>0.29099999999999998</v>
      </c>
      <c r="N54" s="159">
        <v>0.29099999999999998</v>
      </c>
      <c r="O54" s="645">
        <f t="shared" si="23"/>
        <v>0.29099999999999998</v>
      </c>
      <c r="P54" s="727">
        <v>90</v>
      </c>
      <c r="Q54" s="596">
        <v>94.63</v>
      </c>
      <c r="R54" s="1185">
        <v>3323.8</v>
      </c>
      <c r="S54" s="1164">
        <v>105</v>
      </c>
      <c r="U54" s="1146">
        <f>_xlfn.XLOOKUP(D54,RUC!$B$3:$B$123,RUC!$F$3:$F$123)</f>
        <v>80</v>
      </c>
      <c r="V54" s="715">
        <v>1.1023000000000001</v>
      </c>
      <c r="Y54">
        <f>_xlfn.XLOOKUP(D54,RUC!$B$3:$B$123,RUC!$G$3:$G$123)</f>
        <v>0</v>
      </c>
      <c r="Z54" s="143">
        <f>_xlfn.XLOOKUP(D54,RUC!$B$3:$B$123,RUC!$H$3:$H$123)</f>
        <v>10</v>
      </c>
      <c r="AA54" s="144">
        <f t="shared" si="38"/>
        <v>10</v>
      </c>
      <c r="AB54" s="145">
        <f t="shared" si="28"/>
        <v>809.69580980600006</v>
      </c>
      <c r="AC54" s="145">
        <f>+(S54-T54)*V54-'data 1'!$F$4</f>
        <v>35.741500000000002</v>
      </c>
      <c r="AD54" s="145">
        <f t="shared" si="29"/>
        <v>49.334545546075951</v>
      </c>
      <c r="AE54" s="145">
        <f t="shared" si="39"/>
        <v>-58.977000000000004</v>
      </c>
      <c r="AF54" s="145">
        <f t="shared" si="30"/>
        <v>23.685401825834024</v>
      </c>
      <c r="AG54" s="772">
        <f t="shared" si="44"/>
        <v>119.78444737190998</v>
      </c>
      <c r="AH54" s="146">
        <f t="shared" si="40"/>
        <v>42.739699371923855</v>
      </c>
      <c r="AI54" s="146">
        <f t="shared" si="19"/>
        <v>45.165063269495775</v>
      </c>
      <c r="AJ54" s="156">
        <f t="shared" si="31"/>
        <v>33.011816952923944</v>
      </c>
      <c r="AK54" s="141">
        <f t="shared" si="41"/>
        <v>39.693725068056857</v>
      </c>
      <c r="AL54" s="88"/>
      <c r="AM54" s="716">
        <f t="shared" si="42"/>
        <v>3579.3089089960108</v>
      </c>
      <c r="AN54" s="716" t="str">
        <f>_xlfn.XLOOKUP(D54,RUC!$B$3:$B$578,RUC!$M$3:$M$578)</f>
        <v>Melchor Vera</v>
      </c>
      <c r="AO54" s="1167" t="s">
        <v>2278</v>
      </c>
      <c r="AP54" s="1190" t="s">
        <v>2373</v>
      </c>
      <c r="AQ54" s="1190" t="s">
        <v>2377</v>
      </c>
      <c r="AS54" s="1212">
        <f t="shared" si="43"/>
        <v>413.01616158399474</v>
      </c>
    </row>
    <row r="55" spans="1:45" ht="15" customHeight="1">
      <c r="A55" s="747" t="s">
        <v>2337</v>
      </c>
      <c r="B55" s="595">
        <v>45859</v>
      </c>
      <c r="C55" s="595">
        <v>45854</v>
      </c>
      <c r="D55" t="s">
        <v>1671</v>
      </c>
      <c r="E55">
        <f>_xlfn.XLOOKUP(D55,RUC!$B$3:$B$123,RUC!$D$3:$D$123)</f>
        <v>20517242919</v>
      </c>
      <c r="G55" s="80">
        <v>40</v>
      </c>
      <c r="H55" t="s">
        <v>69</v>
      </c>
      <c r="I55" s="596">
        <v>3.71</v>
      </c>
      <c r="J55" s="596">
        <v>2.25</v>
      </c>
      <c r="K55" s="138">
        <f t="shared" si="36"/>
        <v>3.626525</v>
      </c>
      <c r="L55" s="139">
        <v>0.33800000000000002</v>
      </c>
      <c r="M55" s="139">
        <v>0.33</v>
      </c>
      <c r="N55" s="598">
        <v>0.37</v>
      </c>
      <c r="O55" s="645">
        <f t="shared" si="23"/>
        <v>0.35</v>
      </c>
      <c r="P55" s="727">
        <v>90</v>
      </c>
      <c r="Q55" s="596">
        <v>98.82</v>
      </c>
      <c r="R55" s="1185">
        <v>3323.8</v>
      </c>
      <c r="S55" s="1164">
        <v>110</v>
      </c>
      <c r="U55" s="1146">
        <f>_xlfn.XLOOKUP(D55,RUC!$B$3:$B$123,RUC!$F$3:$F$123)</f>
        <v>80</v>
      </c>
      <c r="V55" s="715">
        <v>1.1023000000000001</v>
      </c>
      <c r="Y55">
        <f>_xlfn.XLOOKUP(D55,RUC!$B$3:$B$123,RUC!$G$3:$G$123)</f>
        <v>0</v>
      </c>
      <c r="Z55" s="143">
        <f>_xlfn.XLOOKUP(D55,RUC!$B$3:$B$123,RUC!$H$3:$H$123)</f>
        <v>10</v>
      </c>
      <c r="AA55" s="144">
        <f t="shared" si="38"/>
        <v>10</v>
      </c>
      <c r="AB55" s="145">
        <f t="shared" si="28"/>
        <v>994.05083310000009</v>
      </c>
      <c r="AC55" s="145">
        <f>+(S55-T55)*V55-'data 1'!$F$4</f>
        <v>41.253</v>
      </c>
      <c r="AD55" s="145">
        <f t="shared" si="29"/>
        <v>106.59557148458393</v>
      </c>
      <c r="AE55" s="145">
        <f t="shared" si="39"/>
        <v>-58.977000000000004</v>
      </c>
      <c r="AF55" s="145">
        <f t="shared" si="30"/>
        <v>-42.401378151215837</v>
      </c>
      <c r="AG55" s="772">
        <f t="shared" si="44"/>
        <v>116.4701933333681</v>
      </c>
      <c r="AH55" s="146">
        <f t="shared" si="40"/>
        <v>41.529939151016791</v>
      </c>
      <c r="AI55" s="146">
        <f t="shared" si="19"/>
        <v>42.025844111532876</v>
      </c>
      <c r="AJ55" s="156">
        <f t="shared" si="31"/>
        <v>39.100820785415934</v>
      </c>
      <c r="AK55" s="141">
        <f t="shared" si="41"/>
        <v>39.166097322878265</v>
      </c>
      <c r="AL55" s="88"/>
      <c r="AM55" s="716">
        <f t="shared" si="42"/>
        <v>3604.9501975079779</v>
      </c>
      <c r="AN55" s="716" t="str">
        <f>_xlfn.XLOOKUP(D55,RUC!$B$3:$B$578,RUC!$M$3:$M$578)</f>
        <v>Melchor Vera</v>
      </c>
      <c r="AO55" s="1167" t="s">
        <v>2278</v>
      </c>
      <c r="AP55" s="1190" t="s">
        <v>2373</v>
      </c>
      <c r="AQ55" s="1190" t="s">
        <v>2377</v>
      </c>
      <c r="AS55" s="1212">
        <f t="shared" si="43"/>
        <v>363.33588509491983</v>
      </c>
    </row>
    <row r="56" spans="1:45" ht="15" customHeight="1">
      <c r="A56" s="747" t="s">
        <v>2338</v>
      </c>
      <c r="B56" s="595">
        <v>45859</v>
      </c>
      <c r="C56" s="595">
        <v>45854</v>
      </c>
      <c r="D56" t="s">
        <v>1671</v>
      </c>
      <c r="E56">
        <f>_xlfn.XLOOKUP(D56,RUC!$B$3:$B$123,RUC!$D$3:$D$123)</f>
        <v>20517242919</v>
      </c>
      <c r="G56" s="80">
        <v>39</v>
      </c>
      <c r="H56" t="s">
        <v>69</v>
      </c>
      <c r="I56" s="596">
        <v>3.61</v>
      </c>
      <c r="J56" s="596">
        <v>2.35</v>
      </c>
      <c r="K56" s="138">
        <f t="shared" si="36"/>
        <v>3.5251649999999999</v>
      </c>
      <c r="L56" s="139">
        <v>0.32700000000000001</v>
      </c>
      <c r="M56" s="139">
        <v>0.31900000000000001</v>
      </c>
      <c r="N56" s="159">
        <v>0.31900000000000001</v>
      </c>
      <c r="O56" s="645">
        <f t="shared" si="23"/>
        <v>0.31900000000000001</v>
      </c>
      <c r="P56" s="727">
        <v>90</v>
      </c>
      <c r="Q56" s="596">
        <v>98.17</v>
      </c>
      <c r="R56" s="1185">
        <v>3323.8</v>
      </c>
      <c r="S56" s="1164">
        <v>110</v>
      </c>
      <c r="U56" s="1146">
        <f>_xlfn.XLOOKUP(D56,RUC!$B$3:$B$123,RUC!$F$3:$F$123)</f>
        <v>80</v>
      </c>
      <c r="V56" s="715">
        <v>1.1023000000000001</v>
      </c>
      <c r="Y56">
        <f>_xlfn.XLOOKUP(D56,RUC!$B$3:$B$123,RUC!$G$3:$G$123)</f>
        <v>0</v>
      </c>
      <c r="Z56" s="143">
        <f>_xlfn.XLOOKUP(D56,RUC!$B$3:$B$123,RUC!$H$3:$H$123)</f>
        <v>10</v>
      </c>
      <c r="AA56" s="144">
        <f t="shared" si="38"/>
        <v>10</v>
      </c>
      <c r="AB56" s="145">
        <f t="shared" si="28"/>
        <v>894.29045645400015</v>
      </c>
      <c r="AC56" s="145">
        <f>+(S56-T56)*V56-'data 1'!$F$4</f>
        <v>41.253</v>
      </c>
      <c r="AD56" s="145">
        <f t="shared" si="29"/>
        <v>95.526460445766048</v>
      </c>
      <c r="AE56" s="145">
        <f t="shared" si="39"/>
        <v>-58.977000000000004</v>
      </c>
      <c r="AF56" s="145">
        <f t="shared" si="30"/>
        <v>28.081652115664028</v>
      </c>
      <c r="AG56" s="772">
        <f t="shared" si="44"/>
        <v>175.88411256143007</v>
      </c>
      <c r="AH56" s="146">
        <f t="shared" si="40"/>
        <v>38.798511339088776</v>
      </c>
      <c r="AI56" s="146">
        <f t="shared" si="19"/>
        <v>39.521759538645995</v>
      </c>
      <c r="AJ56" s="156">
        <f t="shared" si="31"/>
        <v>37.579488781733936</v>
      </c>
      <c r="AK56" s="141">
        <f t="shared" si="41"/>
        <v>34.69937970503139</v>
      </c>
      <c r="AL56" s="88"/>
      <c r="AM56" s="716">
        <f t="shared" si="42"/>
        <v>3152.5214169256651</v>
      </c>
      <c r="AN56" s="716" t="str">
        <f>_xlfn.XLOOKUP(D56,RUC!$B$3:$B$578,RUC!$M$3:$M$578)</f>
        <v>Melchor Vera</v>
      </c>
      <c r="AO56" s="1167" t="s">
        <v>2280</v>
      </c>
      <c r="AP56" s="1190" t="s">
        <v>2373</v>
      </c>
      <c r="AQ56" s="1190" t="s">
        <v>2377</v>
      </c>
      <c r="AS56" s="1212">
        <f t="shared" si="43"/>
        <v>536.52827096187593</v>
      </c>
    </row>
    <row r="57" spans="1:45" ht="15" customHeight="1">
      <c r="A57" s="747" t="s">
        <v>2339</v>
      </c>
      <c r="B57" s="595">
        <v>45859</v>
      </c>
      <c r="C57" s="595">
        <v>45854</v>
      </c>
      <c r="D57" t="s">
        <v>1671</v>
      </c>
      <c r="E57">
        <f>_xlfn.XLOOKUP(D57,RUC!$B$3:$B$123,RUC!$D$3:$D$123)</f>
        <v>20517242919</v>
      </c>
      <c r="G57" s="80">
        <v>61</v>
      </c>
      <c r="H57" t="s">
        <v>69</v>
      </c>
      <c r="I57" s="596">
        <v>5.81</v>
      </c>
      <c r="J57" s="596">
        <v>2.4</v>
      </c>
      <c r="K57" s="138">
        <f t="shared" si="36"/>
        <v>5.67056</v>
      </c>
      <c r="L57" s="139">
        <v>0.219</v>
      </c>
      <c r="M57" s="139">
        <v>0.21199999999999999</v>
      </c>
      <c r="N57" s="159">
        <v>0.21199999999999999</v>
      </c>
      <c r="O57" s="645">
        <f t="shared" si="23"/>
        <v>0.21199999999999999</v>
      </c>
      <c r="P57" s="727">
        <v>85</v>
      </c>
      <c r="Q57" s="596">
        <v>89.5</v>
      </c>
      <c r="R57" s="1185">
        <v>3323.8</v>
      </c>
      <c r="S57" s="1164">
        <v>105</v>
      </c>
      <c r="U57" s="1146">
        <f>_xlfn.XLOOKUP(D57,RUC!$B$3:$B$123,RUC!$F$3:$F$123)</f>
        <v>80</v>
      </c>
      <c r="V57" s="715">
        <v>1.1023000000000001</v>
      </c>
      <c r="Y57">
        <f>_xlfn.XLOOKUP(D57,RUC!$B$3:$B$123,RUC!$G$3:$G$123)</f>
        <v>0</v>
      </c>
      <c r="Z57" s="143">
        <f>_xlfn.XLOOKUP(D57,RUC!$B$3:$B$123,RUC!$H$3:$H$123)</f>
        <v>10</v>
      </c>
      <c r="AA57" s="144">
        <f t="shared" si="38"/>
        <v>10</v>
      </c>
      <c r="AB57" s="145">
        <f t="shared" si="28"/>
        <v>517.56596134800009</v>
      </c>
      <c r="AC57" s="145">
        <f>+(S57-T57)*V57-'data 1'!$F$4</f>
        <v>35.741500000000002</v>
      </c>
      <c r="AD57" s="145">
        <f t="shared" si="29"/>
        <v>35.237939492700001</v>
      </c>
      <c r="AE57" s="145">
        <f t="shared" si="39"/>
        <v>-58.977000000000004</v>
      </c>
      <c r="AF57" s="145">
        <f t="shared" si="30"/>
        <v>22.401389236100027</v>
      </c>
      <c r="AG57" s="772">
        <f t="shared" si="44"/>
        <v>104.40382872880004</v>
      </c>
      <c r="AH57" s="146">
        <f t="shared" si="40"/>
        <v>38.106772698668671</v>
      </c>
      <c r="AI57" s="146">
        <f t="shared" si="19"/>
        <v>42.57739966331696</v>
      </c>
      <c r="AJ57" s="156">
        <f t="shared" si="31"/>
        <v>22.945180281299962</v>
      </c>
      <c r="AK57" s="141">
        <f t="shared" si="41"/>
        <v>35.034006480957608</v>
      </c>
      <c r="AL57" s="88"/>
      <c r="AM57" s="716">
        <f t="shared" si="42"/>
        <v>2934.8888377815156</v>
      </c>
      <c r="AN57" s="716" t="str">
        <f>_xlfn.XLOOKUP(D57,RUC!$B$3:$B$578,RUC!$M$3:$M$578)</f>
        <v>Melchor Vera</v>
      </c>
      <c r="AO57" s="1167" t="s">
        <v>2280</v>
      </c>
      <c r="AP57" s="1190" t="s">
        <v>2373</v>
      </c>
      <c r="AQ57" s="1190" t="s">
        <v>2377</v>
      </c>
      <c r="AS57" s="1212">
        <f t="shared" si="43"/>
        <v>394.6921779934728</v>
      </c>
    </row>
    <row r="58" spans="1:45" ht="15" customHeight="1">
      <c r="A58" s="747" t="s">
        <v>2340</v>
      </c>
      <c r="B58" s="595">
        <v>45859</v>
      </c>
      <c r="C58" s="595">
        <v>45854</v>
      </c>
      <c r="D58" t="s">
        <v>1671</v>
      </c>
      <c r="E58">
        <f>_xlfn.XLOOKUP(D58,RUC!$B$3:$B$123,RUC!$D$3:$D$123)</f>
        <v>20517242919</v>
      </c>
      <c r="G58" s="80">
        <v>64</v>
      </c>
      <c r="H58" t="s">
        <v>69</v>
      </c>
      <c r="I58" s="596">
        <v>6.27</v>
      </c>
      <c r="J58" s="596">
        <v>2.25</v>
      </c>
      <c r="K58" s="138">
        <f t="shared" si="36"/>
        <v>6.1289249999999997</v>
      </c>
      <c r="L58" s="139">
        <v>0.20200000000000001</v>
      </c>
      <c r="M58" s="139">
        <v>0.19400000000000001</v>
      </c>
      <c r="N58" s="159">
        <v>0.19400000000000001</v>
      </c>
      <c r="O58" s="645">
        <f t="shared" si="23"/>
        <v>0.19400000000000001</v>
      </c>
      <c r="P58" s="727">
        <v>85</v>
      </c>
      <c r="Q58" s="596">
        <v>96.53</v>
      </c>
      <c r="R58" s="1185">
        <v>3323.8</v>
      </c>
      <c r="S58" s="1164">
        <v>95</v>
      </c>
      <c r="U58" s="1146">
        <f>_xlfn.XLOOKUP(D58,RUC!$B$3:$B$123,RUC!$F$3:$F$123)</f>
        <v>80</v>
      </c>
      <c r="V58" s="715">
        <v>1.1023000000000001</v>
      </c>
      <c r="Y58">
        <f>_xlfn.XLOOKUP(D58,RUC!$B$3:$B$123,RUC!$G$3:$G$123)</f>
        <v>0</v>
      </c>
      <c r="Z58" s="143">
        <f>_xlfn.XLOOKUP(D58,RUC!$B$3:$B$123,RUC!$H$3:$H$123)</f>
        <v>10</v>
      </c>
      <c r="AA58" s="144">
        <f t="shared" si="38"/>
        <v>10</v>
      </c>
      <c r="AB58" s="145">
        <f t="shared" si="28"/>
        <v>473.88165802600008</v>
      </c>
      <c r="AC58" s="145">
        <f>+(S58-T58)*V58-'data 1'!$F$4</f>
        <v>24.718500000000006</v>
      </c>
      <c r="AD58" s="145">
        <f t="shared" si="29"/>
        <v>83.278818219044027</v>
      </c>
      <c r="AE58" s="145">
        <f t="shared" si="39"/>
        <v>-58.977000000000004</v>
      </c>
      <c r="AF58" s="145">
        <f t="shared" si="30"/>
        <v>27.612528050576024</v>
      </c>
      <c r="AG58" s="772">
        <f t="shared" si="44"/>
        <v>146.63284626962005</v>
      </c>
      <c r="AH58" s="146">
        <f t="shared" si="40"/>
        <v>40.973876284921154</v>
      </c>
      <c r="AI58" s="146">
        <f t="shared" si="19"/>
        <v>42.446779534777953</v>
      </c>
      <c r="AJ58" s="156">
        <f t="shared" si="31"/>
        <v>22.826430295955966</v>
      </c>
      <c r="AK58" s="141">
        <f t="shared" si="41"/>
        <v>34.650861115271702</v>
      </c>
      <c r="AL58" s="88"/>
      <c r="AM58" s="716">
        <f t="shared" si="42"/>
        <v>2904.3851409170024</v>
      </c>
      <c r="AN58" s="716" t="str">
        <f>_xlfn.XLOOKUP(D58,RUC!$B$3:$B$578,RUC!$M$3:$M$578)</f>
        <v>Melchor Vera</v>
      </c>
      <c r="AO58" s="1167" t="s">
        <v>2280</v>
      </c>
      <c r="AP58" s="1190" t="s">
        <v>2373</v>
      </c>
      <c r="AQ58" s="1190" t="s">
        <v>2377</v>
      </c>
      <c r="AS58" s="1212">
        <f t="shared" si="43"/>
        <v>671.49048834098858</v>
      </c>
    </row>
    <row r="59" spans="1:45" ht="15" customHeight="1">
      <c r="A59" s="747" t="s">
        <v>2342</v>
      </c>
      <c r="B59" s="595">
        <v>45863</v>
      </c>
      <c r="C59" s="595">
        <v>45855</v>
      </c>
      <c r="D59" t="s">
        <v>93</v>
      </c>
      <c r="E59">
        <f>_xlfn.XLOOKUP(D59,RUC!$B$3:$B$123,RUC!$D$3:$D$123)</f>
        <v>20169040231</v>
      </c>
      <c r="G59" s="80">
        <v>117</v>
      </c>
      <c r="H59" t="s">
        <v>69</v>
      </c>
      <c r="I59" s="596">
        <v>11.49</v>
      </c>
      <c r="J59" s="596">
        <v>1</v>
      </c>
      <c r="K59" s="138">
        <f t="shared" si="36"/>
        <v>11.3751</v>
      </c>
      <c r="L59" s="139">
        <v>0.51500000000000001</v>
      </c>
      <c r="M59" s="139">
        <v>0.47899999999999998</v>
      </c>
      <c r="N59" s="159">
        <v>0.47899999999999998</v>
      </c>
      <c r="O59" s="645">
        <f t="shared" si="23"/>
        <v>0.47899999999999998</v>
      </c>
      <c r="P59" s="727">
        <v>88</v>
      </c>
      <c r="Q59" s="596">
        <v>88.74</v>
      </c>
      <c r="R59" s="1185">
        <v>3318.5</v>
      </c>
      <c r="S59" s="765">
        <f t="shared" ref="S59:S60" si="45">IF((90+ROUNDDOWN(O59,1)*100)&lt;95,95,(85+ROUNDDOWN(O59,1)*100))</f>
        <v>125</v>
      </c>
      <c r="U59" s="1146">
        <f>_xlfn.XLOOKUP(D59,RUC!$B$3:$B$123,RUC!$F$3:$F$123)</f>
        <v>120</v>
      </c>
      <c r="V59" s="715">
        <v>1.1023000000000001</v>
      </c>
      <c r="Y59">
        <f>_xlfn.XLOOKUP(D59,RUC!$B$3:$B$123,RUC!$G$3:$G$123)</f>
        <v>20</v>
      </c>
      <c r="Z59" s="143">
        <f>_xlfn.XLOOKUP(D59,RUC!$B$3:$B$123,RUC!$H$3:$H$123)</f>
        <v>30</v>
      </c>
      <c r="AA59" s="144">
        <f t="shared" si="38"/>
        <v>50</v>
      </c>
      <c r="AB59" s="145">
        <f t="shared" si="28"/>
        <v>1293.2533249560001</v>
      </c>
      <c r="AC59" s="145">
        <f>+(S59-T59)*V59-'data 1'!$F$4</f>
        <v>57.787499999999994</v>
      </c>
      <c r="AD59" s="145">
        <f t="shared" si="29"/>
        <v>13.436467662049907</v>
      </c>
      <c r="AE59" s="145">
        <f t="shared" si="39"/>
        <v>-14.884999999999998</v>
      </c>
      <c r="AF59" s="145">
        <f t="shared" si="30"/>
        <v>112.63363172892009</v>
      </c>
      <c r="AG59" s="772">
        <f t="shared" ref="AG59:AG83" si="46">AC59+AD59+AE59+AF59+70-53</f>
        <v>185.97259939097</v>
      </c>
      <c r="AH59" s="146">
        <f t="shared" si="40"/>
        <v>178.23416094354633</v>
      </c>
      <c r="AI59" s="146">
        <f t="shared" si="19"/>
        <v>200.84985456789087</v>
      </c>
      <c r="AJ59" s="156">
        <f t="shared" si="31"/>
        <v>76.320128632950002</v>
      </c>
      <c r="AK59" s="141">
        <f t="shared" si="41"/>
        <v>164.39268096593656</v>
      </c>
      <c r="AL59" s="88"/>
      <c r="AM59" s="716">
        <f t="shared" si="42"/>
        <v>14710.885896706997</v>
      </c>
      <c r="AN59" s="716" t="str">
        <f>_xlfn.XLOOKUP(D59,RUC!$B$3:$B$578,RUC!$M$3:$M$578)</f>
        <v>Ronald Miranda</v>
      </c>
      <c r="AO59" s="1167" t="s">
        <v>2279</v>
      </c>
      <c r="AP59" t="s">
        <v>2370</v>
      </c>
      <c r="AQ59" s="1190" t="s">
        <v>2378</v>
      </c>
      <c r="AS59" s="1212">
        <f t="shared" si="43"/>
        <v>2876.9384872377595</v>
      </c>
    </row>
    <row r="60" spans="1:45" ht="15" customHeight="1">
      <c r="A60" s="747" t="s">
        <v>2343</v>
      </c>
      <c r="B60" s="595">
        <v>45863</v>
      </c>
      <c r="C60" s="595">
        <v>45855</v>
      </c>
      <c r="D60" t="s">
        <v>93</v>
      </c>
      <c r="E60">
        <f>_xlfn.XLOOKUP(D60,RUC!$B$3:$B$123,RUC!$D$3:$D$123)</f>
        <v>20169040231</v>
      </c>
      <c r="G60" s="80">
        <v>100</v>
      </c>
      <c r="H60" t="s">
        <v>69</v>
      </c>
      <c r="I60" s="596">
        <v>9.66</v>
      </c>
      <c r="J60" s="596">
        <v>1.05</v>
      </c>
      <c r="K60" s="138">
        <f t="shared" si="36"/>
        <v>9.5585699999999996</v>
      </c>
      <c r="L60" s="139">
        <v>0.44600000000000001</v>
      </c>
      <c r="M60" s="139">
        <v>0.41899999999999998</v>
      </c>
      <c r="N60" s="159">
        <v>0.41899999999999998</v>
      </c>
      <c r="O60" s="645">
        <f t="shared" si="23"/>
        <v>0.41899999999999998</v>
      </c>
      <c r="P60" s="727">
        <v>88</v>
      </c>
      <c r="Q60" s="596">
        <v>88.01</v>
      </c>
      <c r="R60" s="1185">
        <v>3318.5</v>
      </c>
      <c r="S60" s="765">
        <f t="shared" si="45"/>
        <v>125</v>
      </c>
      <c r="U60" s="1146">
        <f>_xlfn.XLOOKUP(D60,RUC!$B$3:$B$123,RUC!$F$3:$F$123)</f>
        <v>120</v>
      </c>
      <c r="V60" s="715">
        <v>1.1023000000000001</v>
      </c>
      <c r="Y60">
        <f>_xlfn.XLOOKUP(D60,RUC!$B$3:$B$123,RUC!$G$3:$G$123)</f>
        <v>20</v>
      </c>
      <c r="Z60" s="143">
        <f>_xlfn.XLOOKUP(D60,RUC!$B$3:$B$123,RUC!$H$3:$H$123)</f>
        <v>30</v>
      </c>
      <c r="AA60" s="144">
        <f t="shared" si="38"/>
        <v>50</v>
      </c>
      <c r="AB60" s="145">
        <f t="shared" si="28"/>
        <v>1107.0960191160002</v>
      </c>
      <c r="AC60" s="145">
        <f>+(S60-T60)*V60-'data 1'!$F$4</f>
        <v>57.787499999999994</v>
      </c>
      <c r="AD60" s="145">
        <f t="shared" si="29"/>
        <v>0.15724651213008045</v>
      </c>
      <c r="AE60" s="145">
        <f t="shared" si="39"/>
        <v>-14.884999999999998</v>
      </c>
      <c r="AF60" s="145">
        <f t="shared" si="30"/>
        <v>83.780307035685098</v>
      </c>
      <c r="AG60" s="772">
        <f>AC60+AD60+AE60+AF60+70-53</f>
        <v>143.84005354781516</v>
      </c>
      <c r="AH60" s="146">
        <f t="shared" si="40"/>
        <v>128.6378799431659</v>
      </c>
      <c r="AI60" s="146">
        <f t="shared" si="19"/>
        <v>146.16279961727747</v>
      </c>
      <c r="AJ60" s="156">
        <f t="shared" si="31"/>
        <v>65.550999786870008</v>
      </c>
      <c r="AK60" s="141">
        <f t="shared" si="41"/>
        <v>120.83665353112677</v>
      </c>
      <c r="AL60" s="88"/>
      <c r="AM60" s="716">
        <f t="shared" si="42"/>
        <v>10582.254795441626</v>
      </c>
      <c r="AN60" s="716" t="str">
        <f>_xlfn.XLOOKUP(D60,RUC!$B$3:$B$578,RUC!$M$3:$M$578)</f>
        <v>Ronald Miranda</v>
      </c>
      <c r="AO60" s="1167" t="s">
        <v>2281</v>
      </c>
      <c r="AP60" t="s">
        <v>2370</v>
      </c>
      <c r="AQ60" s="1190" t="s">
        <v>2378</v>
      </c>
      <c r="AS60" s="1212">
        <f t="shared" si="43"/>
        <v>1932.1133854776508</v>
      </c>
    </row>
    <row r="61" spans="1:45" ht="15" customHeight="1">
      <c r="A61" s="747" t="s">
        <v>2346</v>
      </c>
      <c r="B61" s="595">
        <v>45863</v>
      </c>
      <c r="C61" s="595">
        <v>45855</v>
      </c>
      <c r="D61" t="s">
        <v>93</v>
      </c>
      <c r="E61">
        <f>_xlfn.XLOOKUP(D61,RUC!$B$3:$B$123,RUC!$D$3:$D$123)</f>
        <v>20169040231</v>
      </c>
      <c r="G61" s="80">
        <v>25</v>
      </c>
      <c r="H61" t="s">
        <v>69</v>
      </c>
      <c r="I61" s="596">
        <v>2.42</v>
      </c>
      <c r="J61" s="596">
        <v>1.1000000000000001</v>
      </c>
      <c r="K61" s="138">
        <f t="shared" si="36"/>
        <v>2.3933800000000001</v>
      </c>
      <c r="L61" s="139">
        <v>0.255</v>
      </c>
      <c r="M61" s="139">
        <v>0.23699999999999999</v>
      </c>
      <c r="N61" s="598">
        <v>0.27900000000000003</v>
      </c>
      <c r="O61" s="645">
        <f t="shared" si="23"/>
        <v>0.25800000000000001</v>
      </c>
      <c r="P61" s="727">
        <v>89</v>
      </c>
      <c r="Q61" s="596">
        <v>89.019607843137251</v>
      </c>
      <c r="R61" s="1185">
        <v>3318.5</v>
      </c>
      <c r="S61" s="765">
        <f t="shared" ref="S61" si="47">IF((90+ROUNDDOWN(O61,1)*100)&lt;95,95,(85+ROUNDDOWN(O61,1)*100))</f>
        <v>105</v>
      </c>
      <c r="U61" s="1146">
        <f>_xlfn.XLOOKUP(D61,RUC!$B$3:$B$123,RUC!$F$3:$F$123)</f>
        <v>120</v>
      </c>
      <c r="V61" s="715">
        <v>1.1023000000000001</v>
      </c>
      <c r="Y61">
        <f>_xlfn.XLOOKUP(D61,RUC!$B$3:$B$123,RUC!$G$3:$G$123)</f>
        <v>20</v>
      </c>
      <c r="Z61" s="143">
        <f>_xlfn.XLOOKUP(D61,RUC!$B$3:$B$123,RUC!$H$3:$H$123)</f>
        <v>30</v>
      </c>
      <c r="AA61" s="144">
        <f t="shared" si="38"/>
        <v>50</v>
      </c>
      <c r="AB61" s="145">
        <f t="shared" si="28"/>
        <v>638.71623801100009</v>
      </c>
      <c r="AC61" s="145">
        <f>+(S61-T61)*V61-'data 1'!$F$4</f>
        <v>35.741500000000002</v>
      </c>
      <c r="AD61" s="145">
        <f t="shared" si="29"/>
        <v>0.17628532749996745</v>
      </c>
      <c r="AE61" s="145">
        <f t="shared" si="39"/>
        <v>-14.884999999999998</v>
      </c>
      <c r="AF61" s="145">
        <f t="shared" si="30"/>
        <v>-9.4157104335294211</v>
      </c>
      <c r="AG61" s="772">
        <f t="shared" si="46"/>
        <v>28.617074893970553</v>
      </c>
      <c r="AH61" s="146">
        <f t="shared" si="40"/>
        <v>18.627157385601741</v>
      </c>
      <c r="AI61" s="146">
        <f t="shared" si="19"/>
        <v>20.924780323032799</v>
      </c>
      <c r="AJ61" s="156">
        <f t="shared" si="31"/>
        <v>37.908648149999998</v>
      </c>
      <c r="AK61" s="141">
        <f t="shared" si="41"/>
        <v>18.842149246175648</v>
      </c>
      <c r="AL61" s="88"/>
      <c r="AM61" s="716">
        <f t="shared" si="42"/>
        <v>1528.6906697307675</v>
      </c>
      <c r="AN61" s="716" t="str">
        <f>_xlfn.XLOOKUP(D61,RUC!$B$3:$B$578,RUC!$M$3:$M$578)</f>
        <v>Ronald Miranda</v>
      </c>
      <c r="AO61" s="1167" t="s">
        <v>2279</v>
      </c>
      <c r="AP61" t="s">
        <v>2370</v>
      </c>
      <c r="AQ61" s="1190" t="s">
        <v>2378</v>
      </c>
      <c r="AS61" s="1212">
        <f t="shared" si="43"/>
        <v>149.19511621509082</v>
      </c>
    </row>
    <row r="62" spans="1:45" ht="15" customHeight="1">
      <c r="A62" s="747" t="s">
        <v>2356</v>
      </c>
      <c r="B62" s="595">
        <v>45862</v>
      </c>
      <c r="C62" s="595">
        <v>45856</v>
      </c>
      <c r="D62" t="s">
        <v>2368</v>
      </c>
      <c r="E62">
        <f>_xlfn.XLOOKUP(D62,RUC!$B$3:$B$123,RUC!$D$3:$D$123)</f>
        <v>20612719757</v>
      </c>
      <c r="G62" s="80">
        <v>36</v>
      </c>
      <c r="H62" s="1191" t="s">
        <v>2005</v>
      </c>
      <c r="I62">
        <v>2.6</v>
      </c>
      <c r="J62" s="596">
        <v>12.45</v>
      </c>
      <c r="K62" s="138">
        <f t="shared" si="36"/>
        <v>2.2763</v>
      </c>
      <c r="L62" s="1192">
        <v>0.52400000000000002</v>
      </c>
      <c r="M62" s="139">
        <v>0.49299999999999999</v>
      </c>
      <c r="N62" s="159">
        <v>0.49299999999999999</v>
      </c>
      <c r="O62" s="645">
        <f t="shared" si="23"/>
        <v>0.49299999999999999</v>
      </c>
      <c r="P62" s="727">
        <v>85</v>
      </c>
      <c r="Q62" s="596">
        <v>86.641221374045799</v>
      </c>
      <c r="R62" s="1185">
        <v>3355.1</v>
      </c>
      <c r="S62" s="765">
        <f t="shared" ref="S62:S83" si="48">IF((90+ROUNDDOWN(O62,1)*100)&lt;95,95,(90+ROUNDDOWN(O62,1)*100))</f>
        <v>130</v>
      </c>
      <c r="U62" s="1146">
        <f>_xlfn.XLOOKUP(D62,RUC!$B$3:$B$123,RUC!$F$3:$F$123)</f>
        <v>120</v>
      </c>
      <c r="V62" s="715">
        <v>1.1023000000000001</v>
      </c>
      <c r="Y62">
        <f>_xlfn.XLOOKUP(D62,RUC!$B$3:$B$123,RUC!$G$3:$G$123)</f>
        <v>20</v>
      </c>
      <c r="Z62" s="143">
        <f>_xlfn.XLOOKUP(D62,RUC!$B$3:$B$123,RUC!$H$3:$H$123)</f>
        <v>30</v>
      </c>
      <c r="AA62" s="144">
        <f t="shared" si="38"/>
        <v>50</v>
      </c>
      <c r="AB62" s="145">
        <f t="shared" si="28"/>
        <v>1295.9395584065001</v>
      </c>
      <c r="AC62" s="145">
        <f>+(S62-T62)*V62-'data 1'!$F$4</f>
        <v>63.299000000000007</v>
      </c>
      <c r="AD62" s="145">
        <f t="shared" si="29"/>
        <v>30.668036277999949</v>
      </c>
      <c r="AE62" s="145">
        <f t="shared" si="39"/>
        <v>-14.884999999999998</v>
      </c>
      <c r="AF62" s="145">
        <f t="shared" si="30"/>
        <v>95.779767125992436</v>
      </c>
      <c r="AG62" s="772">
        <f t="shared" si="46"/>
        <v>191.86180340399238</v>
      </c>
      <c r="AH62" s="146">
        <f t="shared" si="40"/>
        <v>35.431898283469607</v>
      </c>
      <c r="AI62" s="146">
        <f t="shared" ref="AI62:AI97" si="49">(31.1035*L62*1.1023*K62)</f>
        <v>40.89496630074467</v>
      </c>
      <c r="AJ62" s="156">
        <f t="shared" si="31"/>
        <v>57.501038580000042</v>
      </c>
      <c r="AK62" s="141">
        <f t="shared" si="41"/>
        <v>32.704266466272998</v>
      </c>
      <c r="AL62" s="88"/>
      <c r="AM62" s="716">
        <f t="shared" si="42"/>
        <v>2949.947216800716</v>
      </c>
      <c r="AN62" s="716" t="str">
        <f>_xlfn.XLOOKUP(D62,RUC!$B$3:$B$578,RUC!$M$3:$M$578)</f>
        <v>SIN ACOPIADOR</v>
      </c>
      <c r="AO62" s="1167" t="s">
        <v>2281</v>
      </c>
      <c r="AP62" s="1190" t="s">
        <v>2380</v>
      </c>
      <c r="AQ62" s="1190" t="s">
        <v>2388</v>
      </c>
      <c r="AS62" s="1212">
        <f t="shared" si="43"/>
        <v>544.41372797157874</v>
      </c>
    </row>
    <row r="63" spans="1:45" ht="15" customHeight="1">
      <c r="A63" s="747" t="s">
        <v>2358</v>
      </c>
      <c r="B63" s="595">
        <v>45862</v>
      </c>
      <c r="C63" s="595">
        <v>45856</v>
      </c>
      <c r="D63" s="1190" t="s">
        <v>2368</v>
      </c>
      <c r="E63">
        <f>_xlfn.XLOOKUP(D63,RUC!$B$3:$B$123,RUC!$D$3:$D$123)</f>
        <v>20612719757</v>
      </c>
      <c r="G63" s="80">
        <v>40</v>
      </c>
      <c r="H63" s="1191" t="s">
        <v>116</v>
      </c>
      <c r="I63">
        <v>3</v>
      </c>
      <c r="J63" s="596">
        <v>16.95</v>
      </c>
      <c r="K63" s="138">
        <f t="shared" si="36"/>
        <v>2.4915000000000003</v>
      </c>
      <c r="L63" s="1192">
        <v>0.45900000000000002</v>
      </c>
      <c r="M63" s="139">
        <v>0.43099999999999999</v>
      </c>
      <c r="N63" s="159">
        <v>0.43099999999999999</v>
      </c>
      <c r="O63" s="645">
        <f t="shared" si="23"/>
        <v>0.43099999999999999</v>
      </c>
      <c r="P63" s="727">
        <v>85</v>
      </c>
      <c r="Q63" s="596">
        <v>87.36</v>
      </c>
      <c r="R63" s="1185">
        <v>3355.1</v>
      </c>
      <c r="S63" s="765">
        <f t="shared" si="48"/>
        <v>130</v>
      </c>
      <c r="U63" s="1146">
        <f>_xlfn.XLOOKUP(D63,RUC!$B$3:$B$123,RUC!$F$3:$F$123)</f>
        <v>120</v>
      </c>
      <c r="V63" s="715">
        <v>1.1023000000000001</v>
      </c>
      <c r="Y63">
        <f>_xlfn.XLOOKUP(D63,RUC!$B$3:$B$123,RUC!$G$3:$G$123)</f>
        <v>20</v>
      </c>
      <c r="Z63" s="143">
        <f>_xlfn.XLOOKUP(D63,RUC!$B$3:$B$123,RUC!$H$3:$H$123)</f>
        <v>30</v>
      </c>
      <c r="AA63" s="144">
        <f t="shared" si="38"/>
        <v>50</v>
      </c>
      <c r="AB63" s="145">
        <f t="shared" si="28"/>
        <v>1108.0086849354998</v>
      </c>
      <c r="AC63" s="145">
        <f>+(S63-T63)*V63-'data 1'!$F$4</f>
        <v>63.299000000000007</v>
      </c>
      <c r="AD63" s="145">
        <f t="shared" si="29"/>
        <v>38.628887927651995</v>
      </c>
      <c r="AE63" s="145">
        <f t="shared" si="39"/>
        <v>-14.884999999999998</v>
      </c>
      <c r="AF63" s="145">
        <f t="shared" si="30"/>
        <v>87.228453696384079</v>
      </c>
      <c r="AG63" s="772">
        <f t="shared" si="46"/>
        <v>191.2713416240361</v>
      </c>
      <c r="AH63" s="146">
        <f t="shared" si="40"/>
        <v>34.252736346976434</v>
      </c>
      <c r="AI63" s="146">
        <f t="shared" si="49"/>
        <v>39.208718345897935</v>
      </c>
      <c r="AJ63" s="156">
        <f t="shared" si="31"/>
        <v>50.786133154848045</v>
      </c>
      <c r="AK63" s="141">
        <f t="shared" si="41"/>
        <v>31.294365939040759</v>
      </c>
      <c r="AL63" s="88"/>
      <c r="AM63" s="716">
        <f t="shared" si="42"/>
        <v>2760.6036385167981</v>
      </c>
      <c r="AN63" s="716" t="str">
        <f>_xlfn.XLOOKUP(D63,RUC!$B$3:$B$578,RUC!$M$3:$M$578)</f>
        <v>SIN ACOPIADOR</v>
      </c>
      <c r="AO63" s="1167" t="s">
        <v>2281</v>
      </c>
      <c r="AP63" s="1190" t="s">
        <v>2380</v>
      </c>
      <c r="AQ63" s="1190" t="s">
        <v>2388</v>
      </c>
      <c r="AS63" s="1212">
        <f t="shared" si="43"/>
        <v>578.76917114478965</v>
      </c>
    </row>
    <row r="64" spans="1:45" ht="15" customHeight="1">
      <c r="A64" s="747" t="s">
        <v>2361</v>
      </c>
      <c r="B64" s="595">
        <v>45862</v>
      </c>
      <c r="C64" s="595">
        <v>45856</v>
      </c>
      <c r="D64" t="s">
        <v>1967</v>
      </c>
      <c r="E64">
        <f>_xlfn.XLOOKUP(D64,RUC!$B$3:$B$123,RUC!$D$3:$D$123)</f>
        <v>20601769396</v>
      </c>
      <c r="G64" s="80">
        <v>34</v>
      </c>
      <c r="H64" s="1191" t="s">
        <v>116</v>
      </c>
      <c r="I64">
        <v>3.42</v>
      </c>
      <c r="J64" s="596">
        <v>6.65</v>
      </c>
      <c r="K64" s="138">
        <f t="shared" si="36"/>
        <v>3.1925699999999999</v>
      </c>
      <c r="L64" s="1193">
        <v>0.46200000000000002</v>
      </c>
      <c r="M64" s="139">
        <v>0.434</v>
      </c>
      <c r="N64" s="159">
        <v>0.434</v>
      </c>
      <c r="O64" s="645">
        <f t="shared" si="23"/>
        <v>0.434</v>
      </c>
      <c r="P64" s="727">
        <v>90</v>
      </c>
      <c r="Q64" s="596">
        <v>91.774891774891771</v>
      </c>
      <c r="R64" s="1185">
        <v>3355.1</v>
      </c>
      <c r="S64" s="765">
        <f t="shared" si="48"/>
        <v>130</v>
      </c>
      <c r="U64" s="1146">
        <f>_xlfn.XLOOKUP(D64,RUC!$B$3:$B$123,RUC!$F$3:$F$123)</f>
        <v>120</v>
      </c>
      <c r="V64" s="715">
        <v>1.1023000000000001</v>
      </c>
      <c r="Y64">
        <f>_xlfn.XLOOKUP(D64,RUC!$B$3:$B$123,RUC!$G$3:$G$123)</f>
        <v>20</v>
      </c>
      <c r="Z64" s="143">
        <f>_xlfn.XLOOKUP(D64,RUC!$B$3:$B$123,RUC!$H$3:$H$123)</f>
        <v>30</v>
      </c>
      <c r="AA64" s="144">
        <f t="shared" si="38"/>
        <v>50</v>
      </c>
      <c r="AB64" s="145">
        <f t="shared" si="28"/>
        <v>1194.4854151380002</v>
      </c>
      <c r="AC64" s="145">
        <f>+(S64-T64)*V64-'data 1'!$F$4</f>
        <v>63.299000000000007</v>
      </c>
      <c r="AD64" s="145">
        <f t="shared" si="29"/>
        <v>29.241615985999932</v>
      </c>
      <c r="AE64" s="145">
        <f t="shared" si="39"/>
        <v>-14.884999999999998</v>
      </c>
      <c r="AF64" s="145">
        <f t="shared" si="30"/>
        <v>91.636697546666753</v>
      </c>
      <c r="AG64" s="772">
        <f t="shared" si="46"/>
        <v>186.2923135326667</v>
      </c>
      <c r="AH64" s="146">
        <f t="shared" si="40"/>
        <v>46.410404562558327</v>
      </c>
      <c r="AI64" s="146">
        <f t="shared" si="49"/>
        <v>50.569827612976297</v>
      </c>
      <c r="AJ64" s="156">
        <f t="shared" si="31"/>
        <v>53.70141048000005</v>
      </c>
      <c r="AK64" s="141">
        <f t="shared" si="41"/>
        <v>42.754490618243587</v>
      </c>
      <c r="AL64" s="88"/>
      <c r="AM64" s="716">
        <f t="shared" si="42"/>
        <v>3813.4783018071253</v>
      </c>
      <c r="AN64" s="716" t="str">
        <f>_xlfn.XLOOKUP(D64,RUC!$B$3:$B$578,RUC!$M$3:$M$578)</f>
        <v>Evelyn</v>
      </c>
      <c r="AO64" s="1167" t="s">
        <v>2281</v>
      </c>
      <c r="AP64" s="1190" t="s">
        <v>2383</v>
      </c>
      <c r="AQ64" s="1190" t="s">
        <v>2384</v>
      </c>
      <c r="AS64" s="1212">
        <f t="shared" si="43"/>
        <v>735.5456850693522</v>
      </c>
    </row>
    <row r="65" spans="1:45" ht="15" customHeight="1">
      <c r="A65" s="747" t="s">
        <v>2363</v>
      </c>
      <c r="B65" s="595">
        <v>45862</v>
      </c>
      <c r="C65" s="595">
        <v>45856</v>
      </c>
      <c r="D65" t="s">
        <v>1967</v>
      </c>
      <c r="E65">
        <f>_xlfn.XLOOKUP(D65,RUC!$B$3:$B$123,RUC!$D$3:$D$123)</f>
        <v>20601769396</v>
      </c>
      <c r="G65" s="80">
        <v>34</v>
      </c>
      <c r="H65" s="1191" t="s">
        <v>2005</v>
      </c>
      <c r="I65">
        <v>3.31</v>
      </c>
      <c r="J65" s="596">
        <v>6.4</v>
      </c>
      <c r="K65" s="138">
        <f t="shared" si="36"/>
        <v>3.09816</v>
      </c>
      <c r="L65" s="1192">
        <v>0.46</v>
      </c>
      <c r="M65" s="139">
        <v>0.432</v>
      </c>
      <c r="N65" s="598">
        <v>0.48799999999999999</v>
      </c>
      <c r="O65" s="645">
        <f t="shared" si="23"/>
        <v>0.46</v>
      </c>
      <c r="P65" s="727">
        <v>90</v>
      </c>
      <c r="Q65" s="596">
        <v>95</v>
      </c>
      <c r="R65" s="1185">
        <v>3355.1</v>
      </c>
      <c r="S65" s="765">
        <f t="shared" si="48"/>
        <v>130</v>
      </c>
      <c r="U65" s="1146">
        <f>_xlfn.XLOOKUP(D65,RUC!$B$3:$B$123,RUC!$F$3:$F$123)</f>
        <v>120</v>
      </c>
      <c r="V65" s="715">
        <v>1.1023000000000001</v>
      </c>
      <c r="Y65">
        <f>_xlfn.XLOOKUP(D65,RUC!$B$3:$B$123,RUC!$G$3:$G$123)</f>
        <v>20</v>
      </c>
      <c r="Z65" s="143">
        <f>_xlfn.XLOOKUP(D65,RUC!$B$3:$B$123,RUC!$H$3:$H$123)</f>
        <v>30</v>
      </c>
      <c r="AA65" s="144">
        <f t="shared" si="38"/>
        <v>50</v>
      </c>
      <c r="AB65" s="145">
        <f t="shared" si="28"/>
        <v>1277.9310022199998</v>
      </c>
      <c r="AC65" s="145">
        <f>+(S65-T65)*V65-'data 1'!$F$4</f>
        <v>63.299000000000007</v>
      </c>
      <c r="AD65" s="145">
        <f t="shared" si="29"/>
        <v>82.019166790000014</v>
      </c>
      <c r="AE65" s="145">
        <f t="shared" si="39"/>
        <v>-14.884999999999998</v>
      </c>
      <c r="AF65" s="145">
        <f t="shared" si="30"/>
        <v>0</v>
      </c>
      <c r="AG65" s="772">
        <f t="shared" si="46"/>
        <v>147.43316679000003</v>
      </c>
      <c r="AH65" s="146">
        <f t="shared" si="40"/>
        <v>46.418846996511768</v>
      </c>
      <c r="AI65" s="146">
        <f t="shared" si="49"/>
        <v>48.861944206854481</v>
      </c>
      <c r="AJ65" s="156">
        <f t="shared" si="31"/>
        <v>55.347915990000047</v>
      </c>
      <c r="AK65" s="141">
        <f t="shared" si="41"/>
        <v>43.975749786169033</v>
      </c>
      <c r="AL65" s="88"/>
      <c r="AM65" s="716">
        <f t="shared" si="42"/>
        <v>3959.2347138379146</v>
      </c>
      <c r="AN65" s="716" t="str">
        <f>_xlfn.XLOOKUP(D65,RUC!$B$3:$B$578,RUC!$M$3:$M$578)</f>
        <v>Evelyn</v>
      </c>
      <c r="AO65" s="1167" t="s">
        <v>2281</v>
      </c>
      <c r="AP65" s="1190" t="s">
        <v>2383</v>
      </c>
      <c r="AQ65" s="1190" t="s">
        <v>2384</v>
      </c>
      <c r="AS65" s="1212">
        <f t="shared" si="43"/>
        <v>603.25054825936877</v>
      </c>
    </row>
    <row r="66" spans="1:45" ht="15" customHeight="1">
      <c r="A66" s="747" t="s">
        <v>2365</v>
      </c>
      <c r="B66" s="595">
        <v>45884</v>
      </c>
      <c r="C66" s="595">
        <v>45856</v>
      </c>
      <c r="D66" t="s">
        <v>1967</v>
      </c>
      <c r="E66">
        <f>_xlfn.XLOOKUP(D66,RUC!$B$3:$B$123,RUC!$D$3:$D$123)</f>
        <v>20601769396</v>
      </c>
      <c r="G66" s="80">
        <v>41</v>
      </c>
      <c r="H66" s="1191" t="s">
        <v>2005</v>
      </c>
      <c r="I66">
        <v>3.29</v>
      </c>
      <c r="J66" s="596">
        <v>12.15</v>
      </c>
      <c r="K66" s="138">
        <f t="shared" si="36"/>
        <v>2.8902649999999999</v>
      </c>
      <c r="L66" s="1192">
        <v>0.159</v>
      </c>
      <c r="M66" s="139">
        <v>0.14299999999999999</v>
      </c>
      <c r="N66" s="598">
        <v>0.22500000000000001</v>
      </c>
      <c r="O66" s="645">
        <v>0.14299999999999999</v>
      </c>
      <c r="P66" s="727">
        <v>85</v>
      </c>
      <c r="Q66" s="596">
        <v>94.230769230769226</v>
      </c>
      <c r="R66" s="1185">
        <v>3355.1</v>
      </c>
      <c r="S66" s="765">
        <f t="shared" si="48"/>
        <v>100</v>
      </c>
      <c r="U66" s="1146">
        <f>_xlfn.XLOOKUP(D66,RUC!$B$3:$B$123,RUC!$F$3:$F$123)</f>
        <v>120</v>
      </c>
      <c r="V66" s="715">
        <v>1.1023000000000001</v>
      </c>
      <c r="Y66">
        <f>_xlfn.XLOOKUP(D66,RUC!$B$3:$B$123,RUC!$G$3:$G$123)</f>
        <v>20</v>
      </c>
      <c r="Z66" s="143">
        <f>_xlfn.XLOOKUP(D66,RUC!$B$3:$B$123,RUC!$H$3:$H$123)</f>
        <v>30</v>
      </c>
      <c r="AA66" s="144">
        <f t="shared" si="38"/>
        <v>50</v>
      </c>
      <c r="AB66" s="145">
        <f t="shared" si="28"/>
        <v>268.10846623149996</v>
      </c>
      <c r="AC66" s="145">
        <f>+(S66-T66)*V66-'data 1'!$F$4</f>
        <v>30.230000000000004</v>
      </c>
      <c r="AD66" s="145">
        <f>+(Q66-P66)*(R66-U66)*L66*V66/100</f>
        <v>52.338652252615368</v>
      </c>
      <c r="AE66" s="145">
        <f t="shared" si="39"/>
        <v>-14.884999999999998</v>
      </c>
      <c r="AF66" s="145">
        <f>(L66-O66)*(R66-U66)*Q66*V66/100</f>
        <v>53.765072544615435</v>
      </c>
      <c r="AG66" s="772">
        <f t="shared" si="46"/>
        <v>138.44872479723082</v>
      </c>
      <c r="AH66" s="146">
        <f>31.1035*L66*Q66*1.1023*K66/100</f>
        <v>14.846927703968619</v>
      </c>
      <c r="AI66" s="146">
        <f t="shared" si="49"/>
        <v>15.755923277680985</v>
      </c>
      <c r="AJ66" s="156">
        <f>+((+$AJ$2-R66+U66)*L66*Q66*V66)/100</f>
        <v>18.976219568653864</v>
      </c>
      <c r="AK66" s="141">
        <f t="shared" si="41"/>
        <v>12.044858329573106</v>
      </c>
      <c r="AL66" s="88"/>
      <c r="AM66" s="716">
        <f t="shared" si="42"/>
        <v>774.90451615258621</v>
      </c>
      <c r="AN66" s="716" t="str">
        <f>_xlfn.XLOOKUP(D66,RUC!$B$3:$B$578,RUC!$M$3:$M$578)</f>
        <v>Evelyn</v>
      </c>
      <c r="AO66" s="1167" t="s">
        <v>2281</v>
      </c>
      <c r="AP66" s="1190" t="s">
        <v>2383</v>
      </c>
      <c r="AQ66" s="1190" t="s">
        <v>2384</v>
      </c>
      <c r="AS66" s="1212">
        <f t="shared" si="43"/>
        <v>431.78197351564722</v>
      </c>
    </row>
    <row r="67" spans="1:45" ht="15" customHeight="1">
      <c r="A67" s="747" t="s">
        <v>2366</v>
      </c>
      <c r="B67" s="595">
        <v>45869</v>
      </c>
      <c r="C67" s="595">
        <v>45856</v>
      </c>
      <c r="D67" t="s">
        <v>1967</v>
      </c>
      <c r="E67">
        <f>_xlfn.XLOOKUP(D67,RUC!$B$3:$B$123,RUC!$D$3:$D$123)</f>
        <v>20601769396</v>
      </c>
      <c r="G67" s="80">
        <v>41</v>
      </c>
      <c r="H67" s="1191" t="s">
        <v>2005</v>
      </c>
      <c r="I67">
        <v>3.28</v>
      </c>
      <c r="J67" s="596">
        <v>10.5</v>
      </c>
      <c r="K67" s="138">
        <f t="shared" si="36"/>
        <v>2.9356</v>
      </c>
      <c r="L67" s="1192">
        <v>0.17799999999999999</v>
      </c>
      <c r="M67" s="139">
        <v>0.16</v>
      </c>
      <c r="N67" s="598">
        <v>0.33800000000000002</v>
      </c>
      <c r="O67" s="1147">
        <v>0.19700000000000001</v>
      </c>
      <c r="P67" s="727">
        <v>90</v>
      </c>
      <c r="Q67" s="596">
        <v>94.382022471910105</v>
      </c>
      <c r="R67" s="1185">
        <v>3355.1</v>
      </c>
      <c r="S67" s="765">
        <f t="shared" si="48"/>
        <v>100</v>
      </c>
      <c r="U67" s="1146">
        <f>_xlfn.XLOOKUP(D67,RUC!$B$3:$B$123,RUC!$F$3:$F$123)</f>
        <v>120</v>
      </c>
      <c r="V67" s="715">
        <v>1.1023000000000001</v>
      </c>
      <c r="Y67">
        <f>_xlfn.XLOOKUP(D67,RUC!$B$3:$B$123,RUC!$G$3:$G$123)</f>
        <v>20</v>
      </c>
      <c r="Z67" s="143">
        <f>_xlfn.XLOOKUP(D67,RUC!$B$3:$B$123,RUC!$H$3:$H$123)</f>
        <v>30</v>
      </c>
      <c r="AA67" s="144">
        <f t="shared" si="38"/>
        <v>50</v>
      </c>
      <c r="AB67" s="145">
        <f t="shared" si="28"/>
        <v>466.91579442899996</v>
      </c>
      <c r="AC67" s="145">
        <f>+(S67-T67)*V67-'data 1'!$F$4</f>
        <v>30.230000000000004</v>
      </c>
      <c r="AD67" s="145">
        <f t="shared" si="29"/>
        <v>27.81519569399995</v>
      </c>
      <c r="AE67" s="145">
        <f t="shared" si="39"/>
        <v>-14.884999999999998</v>
      </c>
      <c r="AF67" s="145">
        <f t="shared" si="30"/>
        <v>-63.948505225618028</v>
      </c>
      <c r="AG67" s="772">
        <f t="shared" si="46"/>
        <v>-3.7883095316180686</v>
      </c>
      <c r="AH67" s="146">
        <f t="shared" si="40"/>
        <v>16.908895106809439</v>
      </c>
      <c r="AI67" s="146">
        <f t="shared" si="49"/>
        <v>17.915376958405243</v>
      </c>
      <c r="AJ67" s="156">
        <f t="shared" si="31"/>
        <v>21.277917360000014</v>
      </c>
      <c r="AK67" s="141">
        <f t="shared" si="41"/>
        <v>17.844923228793537</v>
      </c>
      <c r="AL67" s="88"/>
      <c r="AM67" s="716">
        <f t="shared" si="42"/>
        <v>1370.6780061257723</v>
      </c>
      <c r="AN67" s="716" t="str">
        <f>_xlfn.XLOOKUP(D67,RUC!$B$3:$B$578,RUC!$M$3:$M$578)</f>
        <v>Evelyn</v>
      </c>
      <c r="AO67" s="1167" t="s">
        <v>2281</v>
      </c>
      <c r="AP67" s="1190" t="s">
        <v>2383</v>
      </c>
      <c r="AQ67" s="1190" t="s">
        <v>2384</v>
      </c>
      <c r="AS67" s="1212">
        <f t="shared" si="43"/>
        <v>50.952543907907739</v>
      </c>
    </row>
    <row r="68" spans="1:45" ht="15" customHeight="1">
      <c r="A68" s="747" t="s">
        <v>2367</v>
      </c>
      <c r="B68" s="595">
        <v>45869</v>
      </c>
      <c r="C68" s="595">
        <v>45856</v>
      </c>
      <c r="D68" t="s">
        <v>1967</v>
      </c>
      <c r="E68">
        <f>_xlfn.XLOOKUP(D68,RUC!$B$3:$B$123,RUC!$D$3:$D$123)</f>
        <v>20601769396</v>
      </c>
      <c r="G68" s="80">
        <v>41</v>
      </c>
      <c r="H68" s="1191" t="s">
        <v>116</v>
      </c>
      <c r="I68">
        <v>3.2</v>
      </c>
      <c r="J68" s="596">
        <v>12.05</v>
      </c>
      <c r="K68" s="138">
        <f t="shared" si="36"/>
        <v>2.8144</v>
      </c>
      <c r="L68" s="1192">
        <v>0.19800000000000001</v>
      </c>
      <c r="M68" s="139">
        <v>0.18</v>
      </c>
      <c r="N68" s="159">
        <v>0.18</v>
      </c>
      <c r="O68" s="645">
        <f t="shared" si="23"/>
        <v>0.18</v>
      </c>
      <c r="P68" s="727">
        <v>90</v>
      </c>
      <c r="Q68" s="596">
        <v>96.55</v>
      </c>
      <c r="R68" s="1185">
        <v>3355.1</v>
      </c>
      <c r="S68" s="765">
        <f t="shared" si="48"/>
        <v>100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3">
        <f>_xlfn.XLOOKUP(D68,RUC!$B$3:$B$123,RUC!$H$3:$H$123)</f>
        <v>30</v>
      </c>
      <c r="AA68" s="144">
        <f t="shared" si="38"/>
        <v>50</v>
      </c>
      <c r="AB68" s="145">
        <f t="shared" si="28"/>
        <v>412.35521825999996</v>
      </c>
      <c r="AC68" s="145">
        <f>+(S68-T68)*V68-'data 1'!$F$4</f>
        <v>30.230000000000004</v>
      </c>
      <c r="AD68" s="145">
        <f t="shared" si="29"/>
        <v>46.248111917369989</v>
      </c>
      <c r="AE68" s="145">
        <f t="shared" si="39"/>
        <v>-14.884999999999998</v>
      </c>
      <c r="AF68" s="145">
        <f t="shared" si="30"/>
        <v>61.974395636670053</v>
      </c>
      <c r="AG68" s="772">
        <f t="shared" si="46"/>
        <v>140.56750755404005</v>
      </c>
      <c r="AH68" s="146">
        <f t="shared" si="40"/>
        <v>18.446431342978336</v>
      </c>
      <c r="AI68" s="146">
        <f t="shared" si="49"/>
        <v>19.105573633328163</v>
      </c>
      <c r="AJ68" s="156">
        <f t="shared" si="31"/>
        <v>24.212370141630021</v>
      </c>
      <c r="AK68" s="141">
        <f t="shared" si="41"/>
        <v>15.631832972723039</v>
      </c>
      <c r="AL68" s="88"/>
      <c r="AM68" s="716">
        <f t="shared" si="42"/>
        <v>1160.5325262709439</v>
      </c>
      <c r="AN68" s="716" t="str">
        <f>_xlfn.XLOOKUP(D68,RUC!$B$3:$B$578,RUC!$M$3:$M$578)</f>
        <v>Evelyn</v>
      </c>
      <c r="AO68" s="1167" t="s">
        <v>2281</v>
      </c>
      <c r="AP68" s="1190" t="s">
        <v>2383</v>
      </c>
      <c r="AQ68" s="1190" t="s">
        <v>2384</v>
      </c>
      <c r="AS68" s="1212">
        <f t="shared" si="43"/>
        <v>441.98984101191945</v>
      </c>
    </row>
    <row r="69" spans="1:45" ht="15" customHeight="1">
      <c r="A69" s="747" t="s">
        <v>2389</v>
      </c>
      <c r="B69" s="595">
        <v>45866</v>
      </c>
      <c r="C69" s="595">
        <v>45857</v>
      </c>
      <c r="D69" t="s">
        <v>1967</v>
      </c>
      <c r="E69">
        <f>_xlfn.XLOOKUP(D69,RUC!$B$3:$B$123,RUC!$D$3:$D$123)</f>
        <v>20601769396</v>
      </c>
      <c r="G69" s="762">
        <v>24</v>
      </c>
      <c r="H69" t="s">
        <v>69</v>
      </c>
      <c r="I69">
        <v>1.86</v>
      </c>
      <c r="J69" s="596">
        <v>2.2999999999999998</v>
      </c>
      <c r="K69" s="138">
        <f t="shared" si="36"/>
        <v>1.8172200000000001</v>
      </c>
      <c r="L69" s="1192">
        <v>0.32300000000000001</v>
      </c>
      <c r="M69" s="139">
        <v>0.25800000000000001</v>
      </c>
      <c r="N69" s="159">
        <v>0.25800000000000001</v>
      </c>
      <c r="O69" s="645">
        <f t="shared" si="23"/>
        <v>0.25800000000000001</v>
      </c>
      <c r="P69" s="727">
        <v>90</v>
      </c>
      <c r="Q69" s="596">
        <v>95.26</v>
      </c>
      <c r="R69" s="1185">
        <v>3355.1</v>
      </c>
      <c r="S69" s="765">
        <f t="shared" si="48"/>
        <v>110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3">
        <f>_xlfn.XLOOKUP(D69,RUC!$B$3:$B$123,RUC!$H$3:$H$123)</f>
        <v>30</v>
      </c>
      <c r="AA69" s="144">
        <f t="shared" si="38"/>
        <v>50</v>
      </c>
      <c r="AB69" s="145">
        <f t="shared" si="28"/>
        <v>651.66897950600003</v>
      </c>
      <c r="AC69" s="145">
        <f>+(S69-T69)*V69-'data 1'!$F$4</f>
        <v>41.253</v>
      </c>
      <c r="AD69" s="145">
        <f t="shared" si="29"/>
        <v>60.586488692554056</v>
      </c>
      <c r="AE69" s="145">
        <f t="shared" si="39"/>
        <v>-14.884999999999998</v>
      </c>
      <c r="AF69" s="145">
        <f t="shared" si="30"/>
        <v>220.80629515087003</v>
      </c>
      <c r="AG69" s="772">
        <f t="shared" si="46"/>
        <v>324.76078384342406</v>
      </c>
      <c r="AH69" s="146">
        <f t="shared" si="40"/>
        <v>19.170333875035105</v>
      </c>
      <c r="AI69" s="146">
        <f t="shared" si="49"/>
        <v>20.124221997727386</v>
      </c>
      <c r="AJ69" s="156">
        <f t="shared" si="31"/>
        <v>38.970227005446034</v>
      </c>
      <c r="AK69" s="141">
        <f t="shared" si="41"/>
        <v>14.467010364929717</v>
      </c>
      <c r="AL69" s="88"/>
      <c r="AM69" s="716">
        <f t="shared" si="42"/>
        <v>1184.2259029378934</v>
      </c>
      <c r="AN69" s="716" t="str">
        <f>_xlfn.XLOOKUP(D69,RUC!$B$3:$B$578,RUC!$M$3:$M$578)</f>
        <v>Evelyn</v>
      </c>
      <c r="AO69" s="1167" t="s">
        <v>2279</v>
      </c>
      <c r="AP69" t="s">
        <v>2451</v>
      </c>
      <c r="AQ69" t="s">
        <v>2452</v>
      </c>
      <c r="AS69" s="1212">
        <f t="shared" si="43"/>
        <v>628.49942980764195</v>
      </c>
    </row>
    <row r="70" spans="1:45" ht="15" customHeight="1">
      <c r="A70" s="747" t="s">
        <v>2390</v>
      </c>
      <c r="B70" s="595">
        <v>45866</v>
      </c>
      <c r="C70" s="595">
        <v>45857</v>
      </c>
      <c r="D70" t="s">
        <v>1967</v>
      </c>
      <c r="E70">
        <f>_xlfn.XLOOKUP(D70,RUC!$B$3:$B$123,RUC!$D$3:$D$123)</f>
        <v>20601769396</v>
      </c>
      <c r="G70" s="762">
        <v>40</v>
      </c>
      <c r="H70" t="s">
        <v>108</v>
      </c>
      <c r="I70" s="596">
        <v>3.08</v>
      </c>
      <c r="J70" s="596">
        <v>8.5</v>
      </c>
      <c r="K70" s="138">
        <f t="shared" si="36"/>
        <v>2.8182</v>
      </c>
      <c r="L70" s="1192">
        <v>0.46</v>
      </c>
      <c r="M70" s="139">
        <v>0.42299999999999999</v>
      </c>
      <c r="N70" s="159">
        <v>0.42299999999999999</v>
      </c>
      <c r="O70" s="645">
        <f t="shared" si="23"/>
        <v>0.42299999999999999</v>
      </c>
      <c r="P70" s="727">
        <v>90</v>
      </c>
      <c r="Q70" s="596">
        <v>94.35</v>
      </c>
      <c r="R70" s="1185">
        <v>3355.1</v>
      </c>
      <c r="S70" s="765">
        <f t="shared" si="48"/>
        <v>130</v>
      </c>
      <c r="U70" s="1146">
        <f>_xlfn.XLOOKUP(D70,RUC!$B$3:$B$123,RUC!$F$3:$F$123)</f>
        <v>120</v>
      </c>
      <c r="V70" s="715">
        <v>1.1023000000000001</v>
      </c>
      <c r="Y70">
        <f>_xlfn.XLOOKUP(D70,RUC!$B$3:$B$123,RUC!$G$3:$G$123)</f>
        <v>20</v>
      </c>
      <c r="Z70" s="143">
        <f>_xlfn.XLOOKUP(D70,RUC!$B$3:$B$123,RUC!$H$3:$H$123)</f>
        <v>30</v>
      </c>
      <c r="AA70" s="144">
        <f t="shared" si="38"/>
        <v>50</v>
      </c>
      <c r="AB70" s="145">
        <f t="shared" si="28"/>
        <v>1159.181512911</v>
      </c>
      <c r="AC70" s="145">
        <f>+(S70-T70)*V70-'data 1'!$F$4</f>
        <v>63.299000000000007</v>
      </c>
      <c r="AD70" s="145">
        <f t="shared" si="29"/>
        <v>71.356675107299907</v>
      </c>
      <c r="AE70" s="145">
        <f t="shared" si="39"/>
        <v>-14.884999999999998</v>
      </c>
      <c r="AF70" s="145">
        <f t="shared" si="30"/>
        <v>124.48904795893512</v>
      </c>
      <c r="AG70" s="772">
        <f t="shared" si="46"/>
        <v>261.25972306623504</v>
      </c>
      <c r="AH70" s="146">
        <f t="shared" si="40"/>
        <v>41.935383212295363</v>
      </c>
      <c r="AI70" s="146">
        <f t="shared" si="49"/>
        <v>44.446617077154606</v>
      </c>
      <c r="AJ70" s="156">
        <f t="shared" si="31"/>
        <v>54.969219722700046</v>
      </c>
      <c r="AK70" s="141">
        <f t="shared" si="41"/>
        <v>36.784406785375552</v>
      </c>
      <c r="AL70" s="88"/>
      <c r="AM70" s="716">
        <f t="shared" si="42"/>
        <v>3266.8053396857804</v>
      </c>
      <c r="AN70" s="716" t="str">
        <f>_xlfn.XLOOKUP(D70,RUC!$B$3:$B$578,RUC!$M$3:$M$578)</f>
        <v>Evelyn</v>
      </c>
      <c r="AO70" s="1167" t="s">
        <v>2279</v>
      </c>
      <c r="AP70" t="s">
        <v>2451</v>
      </c>
      <c r="AQ70" t="s">
        <v>2452</v>
      </c>
      <c r="AS70" s="1212">
        <f t="shared" si="43"/>
        <v>852.43794677019741</v>
      </c>
    </row>
    <row r="71" spans="1:45" ht="15" customHeight="1">
      <c r="A71" s="747" t="s">
        <v>2391</v>
      </c>
      <c r="B71" s="595">
        <v>45866</v>
      </c>
      <c r="C71" s="595">
        <v>45857</v>
      </c>
      <c r="D71" t="s">
        <v>1967</v>
      </c>
      <c r="E71">
        <f>_xlfn.XLOOKUP(D71,RUC!$B$3:$B$123,RUC!$D$3:$D$123)</f>
        <v>20601769396</v>
      </c>
      <c r="G71" s="762">
        <v>41</v>
      </c>
      <c r="H71" t="s">
        <v>108</v>
      </c>
      <c r="I71" s="596">
        <v>3.23</v>
      </c>
      <c r="J71" s="596">
        <v>7.5</v>
      </c>
      <c r="K71" s="138">
        <f t="shared" si="36"/>
        <v>2.9877500000000001</v>
      </c>
      <c r="L71" s="1192">
        <v>0.34699999999999998</v>
      </c>
      <c r="M71" s="139">
        <v>0.32600000000000001</v>
      </c>
      <c r="N71" s="159">
        <v>0.32600000000000001</v>
      </c>
      <c r="O71" s="645">
        <f t="shared" si="23"/>
        <v>0.32600000000000001</v>
      </c>
      <c r="P71" s="727">
        <v>90</v>
      </c>
      <c r="Q71" s="596">
        <v>94.27</v>
      </c>
      <c r="R71" s="1185">
        <v>3355.1</v>
      </c>
      <c r="S71" s="765">
        <f t="shared" si="48"/>
        <v>120</v>
      </c>
      <c r="U71" s="1146">
        <f>_xlfn.XLOOKUP(D71,RUC!$B$3:$B$123,RUC!$F$3:$F$123)</f>
        <v>120</v>
      </c>
      <c r="V71" s="715">
        <v>1.1023000000000001</v>
      </c>
      <c r="Y71">
        <f>_xlfn.XLOOKUP(D71,RUC!$B$3:$B$123,RUC!$G$3:$G$123)</f>
        <v>20</v>
      </c>
      <c r="Z71" s="143">
        <f>_xlfn.XLOOKUP(D71,RUC!$B$3:$B$123,RUC!$H$3:$H$123)</f>
        <v>30</v>
      </c>
      <c r="AA71" s="144">
        <f t="shared" si="38"/>
        <v>50</v>
      </c>
      <c r="AB71" s="145">
        <f t="shared" si="28"/>
        <v>858.88828418200012</v>
      </c>
      <c r="AC71" s="145">
        <f>+(S71-T71)*V71-'data 1'!$F$4</f>
        <v>52.27600000000001</v>
      </c>
      <c r="AD71" s="145">
        <f t="shared" si="29"/>
        <v>52.837817061336949</v>
      </c>
      <c r="AE71" s="145">
        <f t="shared" si="39"/>
        <v>-14.884999999999998</v>
      </c>
      <c r="AF71" s="145">
        <f t="shared" si="30"/>
        <v>70.596036486590862</v>
      </c>
      <c r="AG71" s="772">
        <f t="shared" si="46"/>
        <v>177.82485354792783</v>
      </c>
      <c r="AH71" s="146">
        <f t="shared" si="40"/>
        <v>33.508601771925029</v>
      </c>
      <c r="AI71" s="146">
        <f t="shared" si="49"/>
        <v>35.545350346796468</v>
      </c>
      <c r="AJ71" s="156">
        <f t="shared" si="31"/>
        <v>41.430752174163025</v>
      </c>
      <c r="AK71" s="141">
        <f t="shared" si="41"/>
        <v>30.054771734150098</v>
      </c>
      <c r="AL71" s="88"/>
      <c r="AM71" s="716">
        <f t="shared" si="42"/>
        <v>2566.1434710647709</v>
      </c>
      <c r="AN71" s="716" t="str">
        <f>_xlfn.XLOOKUP(D71,RUC!$B$3:$B$578,RUC!$M$3:$M$578)</f>
        <v>Evelyn</v>
      </c>
      <c r="AO71" s="1167" t="s">
        <v>2279</v>
      </c>
      <c r="AP71" t="s">
        <v>2451</v>
      </c>
      <c r="AQ71" t="s">
        <v>2452</v>
      </c>
      <c r="AS71" s="1212">
        <f t="shared" si="43"/>
        <v>627.48186800138274</v>
      </c>
    </row>
    <row r="72" spans="1:45" ht="15" customHeight="1">
      <c r="A72" s="747" t="s">
        <v>2392</v>
      </c>
      <c r="B72" s="595">
        <v>45869</v>
      </c>
      <c r="C72" s="595">
        <v>45857</v>
      </c>
      <c r="D72" t="s">
        <v>1967</v>
      </c>
      <c r="E72">
        <f>_xlfn.XLOOKUP(D72,RUC!$B$3:$B$123,RUC!$D$3:$D$123)</f>
        <v>20601769396</v>
      </c>
      <c r="G72" s="762">
        <v>30</v>
      </c>
      <c r="H72" t="s">
        <v>108</v>
      </c>
      <c r="I72" s="596">
        <v>3.02</v>
      </c>
      <c r="J72" s="596">
        <v>5.9</v>
      </c>
      <c r="K72" s="138">
        <f t="shared" si="36"/>
        <v>2.8418200000000002</v>
      </c>
      <c r="L72" s="1192">
        <v>0.35099999999999998</v>
      </c>
      <c r="M72" s="139">
        <v>0.33</v>
      </c>
      <c r="N72" s="159">
        <v>0.33</v>
      </c>
      <c r="O72" s="645">
        <f t="shared" ref="O72:O101" si="50">+ROUND((M72+N72)/2,3)</f>
        <v>0.33</v>
      </c>
      <c r="P72" s="727">
        <v>90</v>
      </c>
      <c r="Q72" s="596">
        <v>91.74</v>
      </c>
      <c r="R72" s="1185">
        <v>3355.1</v>
      </c>
      <c r="S72" s="765">
        <f t="shared" si="48"/>
        <v>120</v>
      </c>
      <c r="U72" s="1146">
        <f>_xlfn.XLOOKUP(D72,RUC!$B$3:$B$123,RUC!$F$3:$F$123)</f>
        <v>120</v>
      </c>
      <c r="V72" s="715">
        <v>1.1023000000000001</v>
      </c>
      <c r="Y72">
        <f>_xlfn.XLOOKUP(D72,RUC!$B$3:$B$123,RUC!$G$3:$G$123)</f>
        <v>20</v>
      </c>
      <c r="Z72" s="143">
        <f>_xlfn.XLOOKUP(D72,RUC!$B$3:$B$123,RUC!$H$3:$H$123)</f>
        <v>30</v>
      </c>
      <c r="AA72" s="144">
        <f t="shared" si="38"/>
        <v>50</v>
      </c>
      <c r="AB72" s="145">
        <f t="shared" si="28"/>
        <v>871.72606681000002</v>
      </c>
      <c r="AC72" s="145">
        <f>+(S72-T72)*V72-'data 1'!$F$4</f>
        <v>52.27600000000001</v>
      </c>
      <c r="AD72" s="145">
        <f t="shared" si="29"/>
        <v>21.779298228401935</v>
      </c>
      <c r="AE72" s="145">
        <f t="shared" si="39"/>
        <v>-14.884999999999998</v>
      </c>
      <c r="AF72" s="145">
        <f t="shared" si="30"/>
        <v>68.701393733741881</v>
      </c>
      <c r="AG72" s="772">
        <f t="shared" si="46"/>
        <v>144.87169196214381</v>
      </c>
      <c r="AH72" s="146">
        <f t="shared" si="40"/>
        <v>31.374115276247689</v>
      </c>
      <c r="AI72" s="146">
        <f t="shared" si="49"/>
        <v>34.198948415356107</v>
      </c>
      <c r="AJ72" s="156">
        <f t="shared" si="31"/>
        <v>40.783612181598031</v>
      </c>
      <c r="AK72" s="141">
        <f t="shared" si="41"/>
        <v>28.937571736070549</v>
      </c>
      <c r="AL72" s="88"/>
      <c r="AM72" s="716">
        <f t="shared" si="42"/>
        <v>2477.2885711819945</v>
      </c>
      <c r="AN72" s="716" t="str">
        <f>_xlfn.XLOOKUP(D72,RUC!$B$3:$B$578,RUC!$M$3:$M$578)</f>
        <v>Evelyn</v>
      </c>
      <c r="AO72" s="1167" t="s">
        <v>2279</v>
      </c>
      <c r="AP72" t="s">
        <v>2451</v>
      </c>
      <c r="AQ72" t="s">
        <v>2452</v>
      </c>
      <c r="AS72" s="1212">
        <f t="shared" si="43"/>
        <v>507.00023269353778</v>
      </c>
    </row>
    <row r="73" spans="1:45" ht="15" customHeight="1">
      <c r="A73" s="747" t="s">
        <v>2393</v>
      </c>
      <c r="B73" s="595">
        <v>45869</v>
      </c>
      <c r="C73" s="595">
        <v>45857</v>
      </c>
      <c r="D73" t="s">
        <v>1967</v>
      </c>
      <c r="E73">
        <f>_xlfn.XLOOKUP(D73,RUC!$B$3:$B$123,RUC!$D$3:$D$123)</f>
        <v>20601769396</v>
      </c>
      <c r="G73" s="762">
        <v>30</v>
      </c>
      <c r="H73" t="s">
        <v>108</v>
      </c>
      <c r="I73" s="596">
        <v>2.98</v>
      </c>
      <c r="J73" s="596">
        <v>6.8</v>
      </c>
      <c r="K73" s="138">
        <f t="shared" si="36"/>
        <v>2.7773599999999998</v>
      </c>
      <c r="L73" s="1192">
        <v>0.31</v>
      </c>
      <c r="M73" s="139">
        <v>0.25600000000000001</v>
      </c>
      <c r="N73" s="159">
        <v>0.25600000000000001</v>
      </c>
      <c r="O73" s="645">
        <f t="shared" si="50"/>
        <v>0.25600000000000001</v>
      </c>
      <c r="P73" s="727">
        <v>89</v>
      </c>
      <c r="Q73" s="1143">
        <v>89.64</v>
      </c>
      <c r="R73" s="1185">
        <v>3355.1</v>
      </c>
      <c r="S73" s="765">
        <f t="shared" si="48"/>
        <v>110</v>
      </c>
      <c r="U73" s="1146">
        <f>_xlfn.XLOOKUP(D73,RUC!$B$3:$B$123,RUC!$F$3:$F$123)</f>
        <v>120</v>
      </c>
      <c r="V73" s="715">
        <v>1.1023000000000001</v>
      </c>
      <c r="Y73">
        <f>_xlfn.XLOOKUP(D73,RUC!$B$3:$B$123,RUC!$G$3:$G$123)</f>
        <v>20</v>
      </c>
      <c r="Z73" s="143">
        <f>_xlfn.XLOOKUP(D73,RUC!$B$3:$B$123,RUC!$H$3:$H$123)</f>
        <v>30</v>
      </c>
      <c r="AA73" s="144">
        <f t="shared" si="38"/>
        <v>50</v>
      </c>
      <c r="AB73" s="145">
        <f t="shared" si="28"/>
        <v>636.12099832320007</v>
      </c>
      <c r="AC73" s="145">
        <f>+(S73-T73)*V73-'data 1'!$F$4</f>
        <v>41.253</v>
      </c>
      <c r="AD73" s="145">
        <f t="shared" si="29"/>
        <v>7.0750446483200058</v>
      </c>
      <c r="AE73" s="145">
        <f t="shared" si="39"/>
        <v>-14.884999999999998</v>
      </c>
      <c r="AF73" s="145">
        <f t="shared" si="30"/>
        <v>172.61682521608799</v>
      </c>
      <c r="AG73" s="772">
        <f t="shared" si="46"/>
        <v>223.05986986440803</v>
      </c>
      <c r="AH73" s="146">
        <f t="shared" si="40"/>
        <v>26.460910716183218</v>
      </c>
      <c r="AI73" s="146">
        <f t="shared" si="49"/>
        <v>29.519088259909879</v>
      </c>
      <c r="AJ73" s="156">
        <f t="shared" si="31"/>
        <v>35.19519516468003</v>
      </c>
      <c r="AK73" s="141">
        <f t="shared" si="41"/>
        <v>21.695577642380218</v>
      </c>
      <c r="AL73" s="88"/>
      <c r="AM73" s="716">
        <f t="shared" si="42"/>
        <v>1766.7370159029228</v>
      </c>
      <c r="AN73" s="716" t="str">
        <f>_xlfn.XLOOKUP(D73,RUC!$B$3:$B$578,RUC!$M$3:$M$578)</f>
        <v>Evelyn</v>
      </c>
      <c r="AO73" s="1167" t="s">
        <v>2279</v>
      </c>
      <c r="AP73" t="s">
        <v>2451</v>
      </c>
      <c r="AQ73" t="s">
        <v>2452</v>
      </c>
      <c r="AS73" s="1212">
        <f t="shared" si="43"/>
        <v>699.59454214159632</v>
      </c>
    </row>
    <row r="74" spans="1:45" ht="15" customHeight="1">
      <c r="A74" s="747" t="s">
        <v>2394</v>
      </c>
      <c r="B74" s="595">
        <v>45869</v>
      </c>
      <c r="C74" s="595">
        <v>45857</v>
      </c>
      <c r="D74" t="s">
        <v>1967</v>
      </c>
      <c r="E74">
        <f>_xlfn.XLOOKUP(D74,RUC!$B$3:$B$123,RUC!$D$3:$D$123)</f>
        <v>20601769396</v>
      </c>
      <c r="G74" s="762">
        <v>30</v>
      </c>
      <c r="H74" t="s">
        <v>108</v>
      </c>
      <c r="I74" s="596">
        <v>2.94</v>
      </c>
      <c r="J74" s="596">
        <v>7.55</v>
      </c>
      <c r="K74" s="138">
        <f t="shared" si="36"/>
        <v>2.7180299999999997</v>
      </c>
      <c r="L74" s="1192">
        <v>0.20399999999999999</v>
      </c>
      <c r="M74" s="139">
        <v>0.184</v>
      </c>
      <c r="N74" s="159">
        <v>0.184</v>
      </c>
      <c r="O74" s="645">
        <f t="shared" si="50"/>
        <v>0.184</v>
      </c>
      <c r="P74" s="727">
        <v>89</v>
      </c>
      <c r="Q74" s="1143">
        <v>89.47</v>
      </c>
      <c r="R74" s="1185">
        <v>3355.1</v>
      </c>
      <c r="S74" s="765">
        <f t="shared" si="48"/>
        <v>100</v>
      </c>
      <c r="U74" s="1146">
        <f>_xlfn.XLOOKUP(D74,RUC!$B$3:$B$123,RUC!$F$3:$F$123)</f>
        <v>120</v>
      </c>
      <c r="V74" s="715">
        <v>1.1023000000000001</v>
      </c>
      <c r="Y74">
        <f>_xlfn.XLOOKUP(D74,RUC!$B$3:$B$123,RUC!$G$3:$G$123)</f>
        <v>20</v>
      </c>
      <c r="Z74" s="143">
        <f>_xlfn.XLOOKUP(D74,RUC!$B$3:$B$123,RUC!$H$3:$H$123)</f>
        <v>30</v>
      </c>
      <c r="AA74" s="144">
        <f t="shared" si="38"/>
        <v>50</v>
      </c>
      <c r="AB74" s="145">
        <f t="shared" si="28"/>
        <v>418.63146754480005</v>
      </c>
      <c r="AC74" s="145">
        <f>+(S74-T74)*V74-'data 1'!$F$4</f>
        <v>30.230000000000004</v>
      </c>
      <c r="AD74" s="145">
        <f t="shared" si="29"/>
        <v>3.4191294399239918</v>
      </c>
      <c r="AE74" s="145">
        <f t="shared" si="39"/>
        <v>-14.884999999999998</v>
      </c>
      <c r="AF74" s="145">
        <f t="shared" si="30"/>
        <v>63.810911762619973</v>
      </c>
      <c r="AG74" s="772">
        <f t="shared" si="46"/>
        <v>99.575041202543957</v>
      </c>
      <c r="AH74" s="146">
        <f t="shared" si="40"/>
        <v>17.008692121691016</v>
      </c>
      <c r="AI74" s="146">
        <f t="shared" si="49"/>
        <v>19.010497509434465</v>
      </c>
      <c r="AJ74" s="156">
        <f t="shared" si="31"/>
        <v>23.116785375276017</v>
      </c>
      <c r="AK74" s="141">
        <f t="shared" si="41"/>
        <v>15.260583686985237</v>
      </c>
      <c r="AL74" s="88"/>
      <c r="AM74" s="716">
        <f t="shared" si="42"/>
        <v>1137.8528877307926</v>
      </c>
      <c r="AN74" s="716" t="str">
        <f>_xlfn.XLOOKUP(D74,RUC!$B$3:$B$578,RUC!$M$3:$M$578)</f>
        <v>Evelyn</v>
      </c>
      <c r="AO74" s="1167" t="s">
        <v>2279</v>
      </c>
      <c r="AP74" t="s">
        <v>2451</v>
      </c>
      <c r="AQ74" t="s">
        <v>2452</v>
      </c>
      <c r="AS74" s="1212">
        <f t="shared" si="43"/>
        <v>323.4093587257662</v>
      </c>
    </row>
    <row r="75" spans="1:45" ht="15" customHeight="1">
      <c r="A75" s="747" t="s">
        <v>2395</v>
      </c>
      <c r="B75" s="595">
        <v>45869</v>
      </c>
      <c r="C75" s="595">
        <v>45857</v>
      </c>
      <c r="D75" t="s">
        <v>1967</v>
      </c>
      <c r="E75">
        <f>_xlfn.XLOOKUP(D75,RUC!$B$3:$B$123,RUC!$D$3:$D$123)</f>
        <v>20601769396</v>
      </c>
      <c r="G75" s="762">
        <v>30</v>
      </c>
      <c r="H75" t="s">
        <v>108</v>
      </c>
      <c r="I75" s="596">
        <v>2.94</v>
      </c>
      <c r="J75" s="596">
        <v>7.55</v>
      </c>
      <c r="K75" s="138">
        <f t="shared" si="36"/>
        <v>2.7180299999999997</v>
      </c>
      <c r="L75" s="1192">
        <v>0.193</v>
      </c>
      <c r="M75" s="139">
        <v>0.17799999999999999</v>
      </c>
      <c r="N75" s="159">
        <v>0.17799999999999999</v>
      </c>
      <c r="O75" s="645">
        <f>+ROUND((M75+N75)/2,3)</f>
        <v>0.17799999999999999</v>
      </c>
      <c r="P75" s="727">
        <v>90</v>
      </c>
      <c r="Q75" s="596">
        <v>90.27</v>
      </c>
      <c r="R75" s="1185">
        <v>3355.1</v>
      </c>
      <c r="S75" s="765">
        <f t="shared" si="48"/>
        <v>100</v>
      </c>
      <c r="U75" s="1146">
        <f>_xlfn.XLOOKUP(D75,RUC!$B$3:$B$123,RUC!$F$3:$F$123)</f>
        <v>120</v>
      </c>
      <c r="V75" s="715">
        <v>1.1023000000000001</v>
      </c>
      <c r="Y75">
        <f>_xlfn.XLOOKUP(D75,RUC!$B$3:$B$123,RUC!$G$3:$G$123)</f>
        <v>20</v>
      </c>
      <c r="Z75" s="143">
        <f>_xlfn.XLOOKUP(D75,RUC!$B$3:$B$123,RUC!$H$3:$H$123)</f>
        <v>30</v>
      </c>
      <c r="AA75" s="144">
        <f t="shared" si="38"/>
        <v>50</v>
      </c>
      <c r="AB75" s="145">
        <f t="shared" si="28"/>
        <v>405.93632694600001</v>
      </c>
      <c r="AC75" s="145">
        <f>+(S75-T75)*V75-'data 1'!$F$4</f>
        <v>30.230000000000004</v>
      </c>
      <c r="AD75" s="145">
        <f t="shared" si="29"/>
        <v>1.8582690354029727</v>
      </c>
      <c r="AE75" s="145">
        <f t="shared" si="39"/>
        <v>-14.884999999999998</v>
      </c>
      <c r="AF75" s="145">
        <f t="shared" si="30"/>
        <v>48.286109909565042</v>
      </c>
      <c r="AG75" s="772">
        <f t="shared" si="46"/>
        <v>82.489378944968024</v>
      </c>
      <c r="AH75" s="146">
        <f t="shared" si="40"/>
        <v>16.23544013549477</v>
      </c>
      <c r="AI75" s="146">
        <f t="shared" si="49"/>
        <v>17.985421663337508</v>
      </c>
      <c r="AJ75" s="156">
        <f t="shared" si="31"/>
        <v>22.065846239097016</v>
      </c>
      <c r="AK75" s="141">
        <f t="shared" si="41"/>
        <v>14.928831867702947</v>
      </c>
      <c r="AL75" s="88"/>
      <c r="AM75" s="716">
        <f t="shared" si="42"/>
        <v>1103.3471147290363</v>
      </c>
      <c r="AN75" s="716" t="str">
        <f>_xlfn.XLOOKUP(D75,RUC!$B$3:$B$578,RUC!$M$3:$M$578)</f>
        <v>Evelyn</v>
      </c>
      <c r="AO75" s="1167" t="s">
        <v>2279</v>
      </c>
      <c r="AP75" t="s">
        <v>2451</v>
      </c>
      <c r="AQ75" t="s">
        <v>2452</v>
      </c>
      <c r="AS75" s="1212">
        <f t="shared" si="43"/>
        <v>275.04850311695986</v>
      </c>
    </row>
    <row r="76" spans="1:45" ht="15" customHeight="1">
      <c r="A76" s="747" t="s">
        <v>2396</v>
      </c>
      <c r="B76" s="595">
        <v>45869</v>
      </c>
      <c r="C76" s="595">
        <v>45857</v>
      </c>
      <c r="D76" t="s">
        <v>1967</v>
      </c>
      <c r="E76">
        <f>_xlfn.XLOOKUP(D76,RUC!$B$3:$B$123,RUC!$D$3:$D$123)</f>
        <v>20601769396</v>
      </c>
      <c r="G76" s="762">
        <v>30</v>
      </c>
      <c r="H76" t="s">
        <v>108</v>
      </c>
      <c r="I76" s="596">
        <v>2.27</v>
      </c>
      <c r="J76" s="596">
        <v>12.45</v>
      </c>
      <c r="K76" s="138">
        <f t="shared" si="36"/>
        <v>1.987385</v>
      </c>
      <c r="L76" s="1192">
        <v>0.25600000000000001</v>
      </c>
      <c r="M76" s="139">
        <v>0.23</v>
      </c>
      <c r="N76" s="159">
        <v>0.23</v>
      </c>
      <c r="O76" s="645">
        <f t="shared" si="50"/>
        <v>0.23</v>
      </c>
      <c r="P76" s="727">
        <v>90</v>
      </c>
      <c r="Q76" s="596">
        <v>92.19</v>
      </c>
      <c r="R76" s="1185">
        <v>3355.1</v>
      </c>
      <c r="S76" s="765">
        <f t="shared" si="48"/>
        <v>110</v>
      </c>
      <c r="U76" s="1146">
        <f>_xlfn.XLOOKUP(D76,RUC!$B$3:$B$123,RUC!$F$3:$F$123)</f>
        <v>120</v>
      </c>
      <c r="V76" s="715">
        <v>1.1023000000000001</v>
      </c>
      <c r="Y76">
        <f>_xlfn.XLOOKUP(D76,RUC!$B$3:$B$123,RUC!$G$3:$G$123)</f>
        <v>20</v>
      </c>
      <c r="Z76" s="143">
        <f>_xlfn.XLOOKUP(D76,RUC!$B$3:$B$123,RUC!$H$3:$H$123)</f>
        <v>30</v>
      </c>
      <c r="AA76" s="144">
        <f t="shared" si="38"/>
        <v>50</v>
      </c>
      <c r="AB76" s="145">
        <f t="shared" si="28"/>
        <v>561.80450110999993</v>
      </c>
      <c r="AC76" s="145">
        <f>+(S76-T76)*V76-'data 1'!$F$4</f>
        <v>41.253</v>
      </c>
      <c r="AD76" s="145">
        <f t="shared" si="29"/>
        <v>19.99270681267198</v>
      </c>
      <c r="AE76" s="145">
        <f t="shared" si="39"/>
        <v>-14.884999999999998</v>
      </c>
      <c r="AF76" s="145">
        <f t="shared" si="30"/>
        <v>85.476096367661995</v>
      </c>
      <c r="AG76" s="772">
        <f t="shared" si="46"/>
        <v>148.83680318033399</v>
      </c>
      <c r="AH76" s="146">
        <f t="shared" si="40"/>
        <v>16.081066844322773</v>
      </c>
      <c r="AI76" s="146">
        <f t="shared" si="49"/>
        <v>17.443396078015809</v>
      </c>
      <c r="AJ76" s="156">
        <f t="shared" si="31"/>
        <v>29.891218307328028</v>
      </c>
      <c r="AK76" s="141">
        <f t="shared" si="41"/>
        <v>14.104621047458098</v>
      </c>
      <c r="AL76" s="88"/>
      <c r="AM76" s="716">
        <f t="shared" si="42"/>
        <v>1116.5218384384973</v>
      </c>
      <c r="AN76" s="716" t="str">
        <f>_xlfn.XLOOKUP(D76,RUC!$B$3:$B$578,RUC!$M$3:$M$578)</f>
        <v>Evelyn</v>
      </c>
      <c r="AO76" s="1167" t="s">
        <v>2279</v>
      </c>
      <c r="AP76" t="s">
        <v>2451</v>
      </c>
      <c r="AQ76" t="s">
        <v>2452</v>
      </c>
      <c r="AS76" s="1212">
        <f t="shared" si="43"/>
        <v>342.50593514394131</v>
      </c>
    </row>
    <row r="77" spans="1:45" ht="15" customHeight="1">
      <c r="A77" s="747" t="s">
        <v>2397</v>
      </c>
      <c r="B77" s="595">
        <v>45869</v>
      </c>
      <c r="C77" s="595">
        <v>45857</v>
      </c>
      <c r="D77" t="s">
        <v>1967</v>
      </c>
      <c r="E77">
        <f>_xlfn.XLOOKUP(D77,RUC!$B$3:$B$123,RUC!$D$3:$D$123)</f>
        <v>20601769396</v>
      </c>
      <c r="G77" s="762">
        <v>30</v>
      </c>
      <c r="H77" t="s">
        <v>108</v>
      </c>
      <c r="I77" s="596">
        <v>2.2799999999999998</v>
      </c>
      <c r="J77" s="596">
        <v>13.05</v>
      </c>
      <c r="K77" s="138">
        <f t="shared" si="36"/>
        <v>1.9824599999999999</v>
      </c>
      <c r="L77" s="1192">
        <v>0.221</v>
      </c>
      <c r="M77" s="139">
        <v>0.20300000000000001</v>
      </c>
      <c r="N77" s="159">
        <v>0.20300000000000001</v>
      </c>
      <c r="O77" s="645">
        <f t="shared" si="50"/>
        <v>0.20300000000000001</v>
      </c>
      <c r="P77" s="727">
        <v>90</v>
      </c>
      <c r="Q77" s="596">
        <v>90.05</v>
      </c>
      <c r="R77" s="1185">
        <v>3355.1</v>
      </c>
      <c r="S77" s="765">
        <f t="shared" si="48"/>
        <v>110</v>
      </c>
      <c r="U77" s="1146">
        <f>_xlfn.XLOOKUP(D77,RUC!$B$3:$B$123,RUC!$F$3:$F$123)</f>
        <v>120</v>
      </c>
      <c r="V77" s="715">
        <v>1.1023000000000001</v>
      </c>
      <c r="Y77">
        <f>_xlfn.XLOOKUP(D77,RUC!$B$3:$B$123,RUC!$G$3:$G$123)</f>
        <v>20</v>
      </c>
      <c r="Z77" s="143">
        <f>_xlfn.XLOOKUP(D77,RUC!$B$3:$B$123,RUC!$H$3:$H$123)</f>
        <v>30</v>
      </c>
      <c r="AA77" s="144">
        <f t="shared" si="38"/>
        <v>50</v>
      </c>
      <c r="AB77" s="145">
        <f t="shared" si="28"/>
        <v>475.1494683709999</v>
      </c>
      <c r="AC77" s="145">
        <f>+(S77-T77)*V77-'data 1'!$F$4</f>
        <v>41.253</v>
      </c>
      <c r="AD77" s="145">
        <f t="shared" si="29"/>
        <v>0.39404860566497751</v>
      </c>
      <c r="AE77" s="145">
        <f t="shared" si="39"/>
        <v>-14.884999999999998</v>
      </c>
      <c r="AF77" s="145">
        <f t="shared" si="30"/>
        <v>57.802116282569962</v>
      </c>
      <c r="AG77" s="772">
        <f t="shared" si="46"/>
        <v>101.56416488823493</v>
      </c>
      <c r="AH77" s="146">
        <f t="shared" si="40"/>
        <v>13.52662634713613</v>
      </c>
      <c r="AI77" s="146">
        <f t="shared" si="49"/>
        <v>15.021239696986264</v>
      </c>
      <c r="AJ77" s="156">
        <f t="shared" si="31"/>
        <v>25.205529599835018</v>
      </c>
      <c r="AK77" s="141">
        <f t="shared" si="41"/>
        <v>12.418011278911269</v>
      </c>
      <c r="AL77" s="88"/>
      <c r="AM77" s="716">
        <f t="shared" si="42"/>
        <v>941.96481506677242</v>
      </c>
      <c r="AN77" s="716" t="str">
        <f>_xlfn.XLOOKUP(D77,RUC!$B$3:$B$578,RUC!$M$3:$M$578)</f>
        <v>Evelyn</v>
      </c>
      <c r="AO77" s="1167" t="s">
        <v>2279</v>
      </c>
      <c r="AP77" t="s">
        <v>2451</v>
      </c>
      <c r="AQ77" t="s">
        <v>2452</v>
      </c>
      <c r="AS77" s="1212">
        <f t="shared" si="43"/>
        <v>243.96780147032177</v>
      </c>
    </row>
    <row r="78" spans="1:45" ht="15" customHeight="1">
      <c r="A78" s="747" t="s">
        <v>2398</v>
      </c>
      <c r="B78" s="595">
        <v>45869</v>
      </c>
      <c r="C78" s="595">
        <v>45857</v>
      </c>
      <c r="D78" t="s">
        <v>1967</v>
      </c>
      <c r="E78">
        <f>_xlfn.XLOOKUP(D78,RUC!$B$3:$B$123,RUC!$D$3:$D$123)</f>
        <v>20601769396</v>
      </c>
      <c r="G78" s="762">
        <v>30</v>
      </c>
      <c r="H78" t="s">
        <v>108</v>
      </c>
      <c r="I78" s="596">
        <v>2.2999999999999998</v>
      </c>
      <c r="J78" s="596">
        <v>13.5</v>
      </c>
      <c r="K78" s="138">
        <f t="shared" si="36"/>
        <v>1.9894999999999998</v>
      </c>
      <c r="L78" s="1192">
        <v>0.33700000000000002</v>
      </c>
      <c r="M78" s="139">
        <v>0.317</v>
      </c>
      <c r="N78" s="159">
        <v>0.317</v>
      </c>
      <c r="O78" s="645">
        <f t="shared" si="50"/>
        <v>0.317</v>
      </c>
      <c r="P78" s="727">
        <v>90</v>
      </c>
      <c r="Q78" s="596">
        <v>92.75</v>
      </c>
      <c r="R78" s="1185">
        <v>3355.1</v>
      </c>
      <c r="S78" s="765">
        <f t="shared" si="48"/>
        <v>120</v>
      </c>
      <c r="U78" s="1146">
        <f>_xlfn.XLOOKUP(D78,RUC!$B$3:$B$123,RUC!$F$3:$F$123)</f>
        <v>120</v>
      </c>
      <c r="V78" s="715">
        <v>1.1023000000000001</v>
      </c>
      <c r="Y78">
        <f>_xlfn.XLOOKUP(D78,RUC!$B$3:$B$123,RUC!$G$3:$G$123)</f>
        <v>20</v>
      </c>
      <c r="Z78" s="143">
        <f>_xlfn.XLOOKUP(D78,RUC!$B$3:$B$123,RUC!$H$3:$H$123)</f>
        <v>30</v>
      </c>
      <c r="AA78" s="144">
        <f t="shared" si="38"/>
        <v>50</v>
      </c>
      <c r="AB78" s="145">
        <f t="shared" si="28"/>
        <v>830.00327326900015</v>
      </c>
      <c r="AC78" s="145">
        <f>+(S78-T78)*V78-'data 1'!$F$4</f>
        <v>52.27600000000001</v>
      </c>
      <c r="AD78" s="145">
        <f t="shared" si="29"/>
        <v>33.048375140274999</v>
      </c>
      <c r="AE78" s="145">
        <f t="shared" si="39"/>
        <v>-14.884999999999998</v>
      </c>
      <c r="AF78" s="145">
        <f t="shared" si="30"/>
        <v>66.150241041500053</v>
      </c>
      <c r="AG78" s="772">
        <f t="shared" si="46"/>
        <v>153.58961618177506</v>
      </c>
      <c r="AH78" s="146">
        <f t="shared" si="40"/>
        <v>21.32047282932891</v>
      </c>
      <c r="AI78" s="146">
        <f t="shared" si="49"/>
        <v>22.987032700085077</v>
      </c>
      <c r="AJ78" s="156">
        <f t="shared" si="31"/>
        <v>39.58800853822504</v>
      </c>
      <c r="AK78" s="141">
        <f t="shared" si="41"/>
        <v>19.460535398618013</v>
      </c>
      <c r="AL78" s="88"/>
      <c r="AM78" s="716">
        <f t="shared" si="42"/>
        <v>1651.2915121686756</v>
      </c>
      <c r="AN78" s="716" t="str">
        <f>_xlfn.XLOOKUP(D78,RUC!$B$3:$B$578,RUC!$M$3:$M$578)</f>
        <v>Evelyn</v>
      </c>
      <c r="AO78" s="1167" t="s">
        <v>2279</v>
      </c>
      <c r="AP78" t="s">
        <v>2451</v>
      </c>
      <c r="AQ78" t="s">
        <v>2452</v>
      </c>
      <c r="AS78" s="1212">
        <f t="shared" si="43"/>
        <v>368.94322334696039</v>
      </c>
    </row>
    <row r="79" spans="1:45" ht="15" customHeight="1">
      <c r="A79" s="747" t="s">
        <v>2399</v>
      </c>
      <c r="B79" s="595">
        <v>45869</v>
      </c>
      <c r="C79" s="595">
        <v>45857</v>
      </c>
      <c r="D79" t="s">
        <v>1967</v>
      </c>
      <c r="E79">
        <f>_xlfn.XLOOKUP(D79,RUC!$B$3:$B$123,RUC!$D$3:$D$123)</f>
        <v>20601769396</v>
      </c>
      <c r="G79" s="762">
        <v>30</v>
      </c>
      <c r="H79" t="s">
        <v>108</v>
      </c>
      <c r="I79" s="596">
        <v>2.4</v>
      </c>
      <c r="J79" s="596">
        <v>12.35</v>
      </c>
      <c r="K79" s="138">
        <f t="shared" si="36"/>
        <v>2.1036000000000001</v>
      </c>
      <c r="L79" s="1192">
        <v>0.23899999999999999</v>
      </c>
      <c r="M79" s="139">
        <v>0.215</v>
      </c>
      <c r="N79" s="159">
        <v>0.215</v>
      </c>
      <c r="O79" s="645">
        <f t="shared" si="50"/>
        <v>0.215</v>
      </c>
      <c r="P79" s="727">
        <v>90</v>
      </c>
      <c r="Q79" s="596">
        <v>93.72</v>
      </c>
      <c r="R79" s="1185">
        <v>3355.1</v>
      </c>
      <c r="S79" s="765">
        <f t="shared" si="48"/>
        <v>110</v>
      </c>
      <c r="U79" s="1146">
        <f>_xlfn.XLOOKUP(D79,RUC!$B$3:$B$123,RUC!$F$3:$F$123)</f>
        <v>120</v>
      </c>
      <c r="V79" s="715">
        <v>1.1023000000000001</v>
      </c>
      <c r="Y79">
        <f>_xlfn.XLOOKUP(D79,RUC!$B$3:$B$123,RUC!$G$3:$G$123)</f>
        <v>20</v>
      </c>
      <c r="Z79" s="143">
        <f>_xlfn.XLOOKUP(D79,RUC!$B$3:$B$123,RUC!$H$3:$H$123)</f>
        <v>30</v>
      </c>
      <c r="AA79" s="144">
        <f t="shared" si="38"/>
        <v>50</v>
      </c>
      <c r="AB79" s="145">
        <f t="shared" si="28"/>
        <v>513.66281625500005</v>
      </c>
      <c r="AC79" s="145">
        <f>+(S79-T79)*V79-'data 1'!$F$4</f>
        <v>41.253</v>
      </c>
      <c r="AD79" s="145">
        <f t="shared" si="29"/>
        <v>31.705043830283991</v>
      </c>
      <c r="AE79" s="145">
        <f t="shared" si="39"/>
        <v>-14.884999999999998</v>
      </c>
      <c r="AF79" s="145">
        <f t="shared" si="30"/>
        <v>80.210465859743977</v>
      </c>
      <c r="AG79" s="772">
        <f t="shared" si="46"/>
        <v>155.28350969002798</v>
      </c>
      <c r="AH79" s="146">
        <f t="shared" si="40"/>
        <v>16.154830746414341</v>
      </c>
      <c r="AI79" s="146">
        <f t="shared" si="49"/>
        <v>17.237335410173223</v>
      </c>
      <c r="AJ79" s="156">
        <f t="shared" si="31"/>
        <v>28.369391260716025</v>
      </c>
      <c r="AK79" s="141">
        <f t="shared" si="41"/>
        <v>13.95575063543313</v>
      </c>
      <c r="AL79" s="88"/>
      <c r="AM79" s="716">
        <f t="shared" si="42"/>
        <v>1080.5411002740182</v>
      </c>
      <c r="AN79" s="716" t="str">
        <f>_xlfn.XLOOKUP(D79,RUC!$B$3:$B$578,RUC!$M$3:$M$578)</f>
        <v>Evelyn</v>
      </c>
      <c r="AO79" s="1167" t="s">
        <v>2279</v>
      </c>
      <c r="AP79" t="s">
        <v>2451</v>
      </c>
      <c r="AQ79" t="s">
        <v>2452</v>
      </c>
      <c r="AS79" s="1212">
        <f t="shared" si="43"/>
        <v>370.93508985524704</v>
      </c>
    </row>
    <row r="80" spans="1:45" ht="15" customHeight="1">
      <c r="A80" s="747" t="s">
        <v>2400</v>
      </c>
      <c r="B80" s="595">
        <v>45869</v>
      </c>
      <c r="C80" s="595">
        <v>45857</v>
      </c>
      <c r="D80" t="s">
        <v>1967</v>
      </c>
      <c r="E80">
        <f>_xlfn.XLOOKUP(D80,RUC!$B$3:$B$123,RUC!$D$3:$D$123)</f>
        <v>20601769396</v>
      </c>
      <c r="G80" s="762">
        <v>30</v>
      </c>
      <c r="H80" t="s">
        <v>108</v>
      </c>
      <c r="I80" s="596">
        <v>2.4900000000000002</v>
      </c>
      <c r="J80" s="596">
        <v>6.25</v>
      </c>
      <c r="K80" s="138">
        <f t="shared" si="36"/>
        <v>2.3343750000000001</v>
      </c>
      <c r="L80" s="1192">
        <v>0.16500000000000001</v>
      </c>
      <c r="M80" s="139">
        <v>0.14899999999999999</v>
      </c>
      <c r="N80" s="159">
        <v>0.14899999999999999</v>
      </c>
      <c r="O80" s="645">
        <f t="shared" si="50"/>
        <v>0.14899999999999999</v>
      </c>
      <c r="P80" s="727">
        <v>85</v>
      </c>
      <c r="Q80" s="596">
        <v>94.55</v>
      </c>
      <c r="R80" s="706">
        <v>3355.1</v>
      </c>
      <c r="S80" s="765">
        <f t="shared" si="48"/>
        <v>100</v>
      </c>
      <c r="U80" s="1146">
        <f>_xlfn.XLOOKUP(D80,RUC!$B$3:$B$123,RUC!$F$3:$F$123)</f>
        <v>120</v>
      </c>
      <c r="V80" s="715">
        <v>1.1023000000000001</v>
      </c>
      <c r="Y80">
        <f>_xlfn.XLOOKUP(D80,RUC!$B$3:$B$123,RUC!$G$3:$G$123)</f>
        <v>20</v>
      </c>
      <c r="Z80" s="143">
        <f>_xlfn.XLOOKUP(D80,RUC!$B$3:$B$123,RUC!$H$3:$H$123)</f>
        <v>30</v>
      </c>
      <c r="AA80" s="144">
        <f t="shared" si="38"/>
        <v>50</v>
      </c>
      <c r="AB80" s="145">
        <f t="shared" si="28"/>
        <v>286.29532495450002</v>
      </c>
      <c r="AC80" s="145">
        <f>+(S80-T80)*V80-'data 1'!$F$4</f>
        <v>30.230000000000004</v>
      </c>
      <c r="AD80" s="145">
        <f t="shared" si="29"/>
        <v>56.192044377974987</v>
      </c>
      <c r="AE80" s="145">
        <f t="shared" si="39"/>
        <v>-14.884999999999998</v>
      </c>
      <c r="AF80" s="145">
        <f t="shared" si="30"/>
        <v>53.947215443440044</v>
      </c>
      <c r="AG80" s="772">
        <f t="shared" si="46"/>
        <v>142.48425982141504</v>
      </c>
      <c r="AH80" s="146">
        <f t="shared" si="40"/>
        <v>12.486052887903595</v>
      </c>
      <c r="AI80" s="146">
        <f t="shared" si="49"/>
        <v>13.205767200321096</v>
      </c>
      <c r="AJ80" s="156">
        <f t="shared" si="31"/>
        <v>19.759016027025016</v>
      </c>
      <c r="AK80" s="141">
        <f t="shared" si="41"/>
        <v>10.136426763155555</v>
      </c>
      <c r="AL80" s="88"/>
      <c r="AM80" s="716">
        <f t="shared" si="42"/>
        <v>668.32064919066102</v>
      </c>
      <c r="AN80" s="716" t="str">
        <f>_xlfn.XLOOKUP(D80,RUC!$B$3:$B$578,RUC!$M$3:$M$578)</f>
        <v>Evelyn</v>
      </c>
      <c r="AO80" s="1167" t="s">
        <v>2279</v>
      </c>
      <c r="AP80" t="s">
        <v>2451</v>
      </c>
      <c r="AQ80" t="s">
        <v>2452</v>
      </c>
      <c r="AS80" s="1212">
        <f t="shared" si="43"/>
        <v>359.29276487985067</v>
      </c>
    </row>
    <row r="81" spans="1:45" ht="15" customHeight="1">
      <c r="A81" s="747" t="s">
        <v>2401</v>
      </c>
      <c r="B81" s="595">
        <v>45867</v>
      </c>
      <c r="C81" s="595">
        <v>45858</v>
      </c>
      <c r="D81" t="s">
        <v>1484</v>
      </c>
      <c r="E81">
        <f>_xlfn.XLOOKUP(D81,RUC!$B$3:$B$123,RUC!$D$3:$D$123)</f>
        <v>10761932735</v>
      </c>
      <c r="G81" s="762">
        <v>50</v>
      </c>
      <c r="H81" t="s">
        <v>69</v>
      </c>
      <c r="I81" s="596">
        <v>4.45</v>
      </c>
      <c r="J81" s="596">
        <v>6.1</v>
      </c>
      <c r="K81" s="138">
        <f t="shared" si="36"/>
        <v>4.1785500000000004</v>
      </c>
      <c r="L81" s="762">
        <v>0.29399999999999998</v>
      </c>
      <c r="M81" s="139">
        <v>0.27600000000000002</v>
      </c>
      <c r="N81" s="598">
        <v>0.30299999999999999</v>
      </c>
      <c r="O81" s="645">
        <f t="shared" si="50"/>
        <v>0.28999999999999998</v>
      </c>
      <c r="P81" s="727">
        <v>90</v>
      </c>
      <c r="Q81" s="596">
        <v>94.9</v>
      </c>
      <c r="R81" s="706">
        <v>3386.2</v>
      </c>
      <c r="S81" s="765">
        <f t="shared" si="48"/>
        <v>110</v>
      </c>
      <c r="U81" s="1146">
        <f>_xlfn.XLOOKUP(D81,RUC!$B$3:$B$123,RUC!$F$3:$F$123)</f>
        <v>120</v>
      </c>
      <c r="V81" s="715">
        <v>1.1023000000000001</v>
      </c>
      <c r="Y81">
        <f>_xlfn.XLOOKUP(D81,RUC!$B$3:$B$123,RUC!$G$3:$G$123)</f>
        <v>20</v>
      </c>
      <c r="Z81" s="143">
        <f>_xlfn.XLOOKUP(D81,RUC!$B$3:$B$123,RUC!$H$3:$H$123)</f>
        <v>30</v>
      </c>
      <c r="AA81" s="144">
        <f t="shared" si="38"/>
        <v>50</v>
      </c>
      <c r="AB81" s="145">
        <f t="shared" si="28"/>
        <v>763.31871985999999</v>
      </c>
      <c r="AC81" s="145">
        <f>+(S81-T81)*V81-'data 1'!$F$4</f>
        <v>41.253</v>
      </c>
      <c r="AD81" s="145">
        <f>+(Q81-P81)*(R81-U81)*L81*V81/100</f>
        <v>51.866386537560054</v>
      </c>
      <c r="AE81" s="145">
        <f t="shared" si="39"/>
        <v>-14.884999999999998</v>
      </c>
      <c r="AF81" s="145">
        <f t="shared" si="30"/>
        <v>13.666861258960013</v>
      </c>
      <c r="AG81" s="772">
        <f t="shared" si="46"/>
        <v>108.90124779652007</v>
      </c>
      <c r="AH81" s="146">
        <f t="shared" si="40"/>
        <v>39.971294677184794</v>
      </c>
      <c r="AI81" s="146">
        <f t="shared" si="49"/>
        <v>42.119383221480284</v>
      </c>
      <c r="AJ81" s="156">
        <f t="shared" si="31"/>
        <v>25.772548696440062</v>
      </c>
      <c r="AK81" s="141">
        <f t="shared" si="41"/>
        <v>37.391697349681479</v>
      </c>
      <c r="AL81" s="88"/>
      <c r="AM81" s="716">
        <f t="shared" si="42"/>
        <v>3189.5654368710034</v>
      </c>
      <c r="AN81" s="716" t="str">
        <f>_xlfn.XLOOKUP(D81,RUC!$B$3:$B$578,RUC!$M$3:$M$578)</f>
        <v>Richard Sapacayo</v>
      </c>
      <c r="AO81" s="1167" t="s">
        <v>2279</v>
      </c>
      <c r="AP81" t="s">
        <v>2447</v>
      </c>
      <c r="AQ81" t="s">
        <v>2448</v>
      </c>
      <c r="AS81" s="1212">
        <f t="shared" si="43"/>
        <v>538.26700972507706</v>
      </c>
    </row>
    <row r="82" spans="1:45" ht="15" customHeight="1">
      <c r="A82" s="747" t="s">
        <v>2402</v>
      </c>
      <c r="B82" s="595">
        <v>45867</v>
      </c>
      <c r="C82" s="595">
        <v>45858</v>
      </c>
      <c r="D82" t="s">
        <v>1484</v>
      </c>
      <c r="E82">
        <f>_xlfn.XLOOKUP(D82,RUC!$B$3:$B$123,RUC!$D$3:$D$123)</f>
        <v>10761932735</v>
      </c>
      <c r="G82" s="762">
        <v>64</v>
      </c>
      <c r="H82" t="s">
        <v>69</v>
      </c>
      <c r="I82" s="596">
        <v>4.8499999999999996</v>
      </c>
      <c r="J82" s="596">
        <v>15.15</v>
      </c>
      <c r="K82" s="138">
        <f t="shared" si="36"/>
        <v>4.1152249999999997</v>
      </c>
      <c r="L82" s="994">
        <v>0.18</v>
      </c>
      <c r="M82" s="762">
        <v>0.16200000000000001</v>
      </c>
      <c r="N82" s="1197">
        <v>0.214</v>
      </c>
      <c r="O82" s="645">
        <f t="shared" si="50"/>
        <v>0.188</v>
      </c>
      <c r="P82" s="727">
        <v>90</v>
      </c>
      <c r="Q82" s="596">
        <v>95</v>
      </c>
      <c r="R82" s="706">
        <v>3386.2</v>
      </c>
      <c r="S82" s="765">
        <f t="shared" si="48"/>
        <v>100</v>
      </c>
      <c r="U82" s="1146">
        <f>_xlfn.XLOOKUP(D82,RUC!$B$3:$B$123,RUC!$F$3:$F$123)</f>
        <v>120</v>
      </c>
      <c r="V82" s="715">
        <v>1.1023000000000001</v>
      </c>
      <c r="Y82">
        <f>_xlfn.XLOOKUP(D82,RUC!$B$3:$B$123,RUC!$G$3:$G$123)</f>
        <v>20</v>
      </c>
      <c r="Z82" s="143">
        <f>_xlfn.XLOOKUP(D82,RUC!$B$3:$B$123,RUC!$H$3:$H$123)</f>
        <v>30</v>
      </c>
      <c r="AA82" s="144">
        <f t="shared" si="38"/>
        <v>50</v>
      </c>
      <c r="AB82" s="145">
        <f t="shared" si="28"/>
        <v>443.83121839199998</v>
      </c>
      <c r="AC82" s="145">
        <f>+(S82-T82)*V82-'data 1'!$F$4</f>
        <v>30.230000000000004</v>
      </c>
      <c r="AD82" s="145">
        <f t="shared" ref="AD82:AD101" si="51">+(Q82-P82)*(R82-U82)*L82*V82/100</f>
        <v>32.402990340000002</v>
      </c>
      <c r="AE82" s="145">
        <f t="shared" si="39"/>
        <v>-14.884999999999998</v>
      </c>
      <c r="AF82" s="145">
        <f t="shared" si="30"/>
        <v>-27.362525176000027</v>
      </c>
      <c r="AG82" s="772">
        <f t="shared" si="46"/>
        <v>37.385465163999982</v>
      </c>
      <c r="AH82" s="146">
        <f>31.1035*L82*Q82*1.1023*K82/100</f>
        <v>24.126746712508474</v>
      </c>
      <c r="AI82" s="146">
        <f t="shared" si="49"/>
        <v>25.396575486851024</v>
      </c>
      <c r="AJ82" s="156">
        <f>+((+$AJ$2-R82+U82)*L82*Q82*V82)/100</f>
        <v>15.795738540000034</v>
      </c>
      <c r="AK82" s="141">
        <f t="shared" si="41"/>
        <v>23.872780957639961</v>
      </c>
      <c r="AL82" s="88"/>
      <c r="AM82" s="716">
        <f t="shared" si="42"/>
        <v>1826.465325707218</v>
      </c>
      <c r="AN82" s="716" t="str">
        <f>_xlfn.XLOOKUP(D82,RUC!$B$3:$B$578,RUC!$M$3:$M$578)</f>
        <v>Richard Sapacayo</v>
      </c>
      <c r="AO82" s="1167" t="s">
        <v>2279</v>
      </c>
      <c r="AP82" t="s">
        <v>2447</v>
      </c>
      <c r="AQ82" t="s">
        <v>2448</v>
      </c>
      <c r="AS82" s="1212">
        <f t="shared" si="43"/>
        <v>211.78624323940744</v>
      </c>
    </row>
    <row r="83" spans="1:45" ht="15" customHeight="1">
      <c r="A83" s="747" t="s">
        <v>2403</v>
      </c>
      <c r="B83" s="595">
        <v>45806</v>
      </c>
      <c r="C83" s="595">
        <v>45858</v>
      </c>
      <c r="D83" t="s">
        <v>1484</v>
      </c>
      <c r="E83">
        <f>_xlfn.XLOOKUP(D83,RUC!$B$3:$B$123,RUC!$D$3:$D$123)</f>
        <v>10761932735</v>
      </c>
      <c r="G83" s="762">
        <v>30</v>
      </c>
      <c r="H83" t="s">
        <v>69</v>
      </c>
      <c r="I83" s="596">
        <v>2.4300000000000002</v>
      </c>
      <c r="J83" s="596">
        <v>9.4499999999999993</v>
      </c>
      <c r="K83" s="138">
        <f t="shared" si="36"/>
        <v>2.2003650000000001</v>
      </c>
      <c r="L83" s="762">
        <v>0.29499999999999998</v>
      </c>
      <c r="M83" s="139">
        <v>0.27700000000000002</v>
      </c>
      <c r="N83" s="598">
        <v>0.30099999999999999</v>
      </c>
      <c r="O83" s="645">
        <f t="shared" si="50"/>
        <v>0.28899999999999998</v>
      </c>
      <c r="P83" s="727">
        <v>90</v>
      </c>
      <c r="Q83" s="596">
        <v>95.93</v>
      </c>
      <c r="R83" s="706">
        <v>3386.2</v>
      </c>
      <c r="S83" s="765">
        <f t="shared" si="48"/>
        <v>110</v>
      </c>
      <c r="U83" s="1146">
        <f>_xlfn.XLOOKUP(D83,RUC!$B$3:$B$123,RUC!$F$3:$F$123)</f>
        <v>120</v>
      </c>
      <c r="V83" s="715">
        <v>1.1023000000000001</v>
      </c>
      <c r="Y83">
        <f>_xlfn.XLOOKUP(D83,RUC!$B$3:$B$123,RUC!$G$3:$G$123)</f>
        <v>20</v>
      </c>
      <c r="Z83" s="143">
        <f>_xlfn.XLOOKUP(D83,RUC!$B$3:$B$123,RUC!$H$3:$H$123)</f>
        <v>30</v>
      </c>
      <c r="AA83" s="144">
        <f t="shared" si="38"/>
        <v>50</v>
      </c>
      <c r="AB83" s="145">
        <f t="shared" ref="AB83:AB101" si="52">+((O83*P83*(R83-U83)/100)-S83-AA83+T83)*V83</f>
        <v>760.07842082599996</v>
      </c>
      <c r="AC83" s="145">
        <f>+(S83-T83)*V83-'data 1'!$F$4</f>
        <v>41.253</v>
      </c>
      <c r="AD83" s="145">
        <f t="shared" si="51"/>
        <v>62.982412390310074</v>
      </c>
      <c r="AE83" s="145">
        <f t="shared" si="39"/>
        <v>-14.884999999999998</v>
      </c>
      <c r="AF83" s="145">
        <f t="shared" ref="AF83:AF101" si="53">(L83-O83)*(R83-U83)*Q83*V83/100</f>
        <v>20.722792422108018</v>
      </c>
      <c r="AG83" s="772">
        <f t="shared" si="46"/>
        <v>127.07320481241811</v>
      </c>
      <c r="AH83" s="146">
        <f t="shared" si="40"/>
        <v>21.349133746697426</v>
      </c>
      <c r="AI83" s="146">
        <f t="shared" si="49"/>
        <v>22.254908523608282</v>
      </c>
      <c r="AJ83" s="156">
        <f t="shared" ref="AJ83:AJ101" si="54">+((+$AJ$2-R83+U83)*L83*Q83*V83)/100</f>
        <v>26.14088499719006</v>
      </c>
      <c r="AK83" s="141">
        <f t="shared" si="41"/>
        <v>19.622039684713613</v>
      </c>
      <c r="AL83" s="88"/>
      <c r="AM83" s="716">
        <f t="shared" si="42"/>
        <v>1672.4499544408015</v>
      </c>
      <c r="AN83" s="716" t="str">
        <f>_xlfn.XLOOKUP(D83,RUC!$B$3:$B$578,RUC!$M$3:$M$578)</f>
        <v>Richard Sapacayo</v>
      </c>
      <c r="AO83" s="1167" t="s">
        <v>2279</v>
      </c>
      <c r="AP83" t="s">
        <v>2447</v>
      </c>
      <c r="AQ83" t="s">
        <v>2448</v>
      </c>
      <c r="AS83" s="1212">
        <f t="shared" si="43"/>
        <v>322.81122329712775</v>
      </c>
    </row>
    <row r="84" spans="1:45" ht="15" customHeight="1">
      <c r="A84" s="747" t="s">
        <v>2406</v>
      </c>
      <c r="B84" s="595">
        <v>45865</v>
      </c>
      <c r="C84" s="595">
        <v>45858</v>
      </c>
      <c r="D84" t="s">
        <v>119</v>
      </c>
      <c r="E84">
        <f>_xlfn.XLOOKUP(D84,RUC!$B$3:$B$123,RUC!$D$3:$D$123)</f>
        <v>10082235774</v>
      </c>
      <c r="G84" s="762">
        <v>45</v>
      </c>
      <c r="H84" t="s">
        <v>69</v>
      </c>
      <c r="I84" s="596">
        <v>4.25</v>
      </c>
      <c r="J84" s="596">
        <v>2.9</v>
      </c>
      <c r="K84" s="138">
        <f t="shared" si="36"/>
        <v>4.1267500000000004</v>
      </c>
      <c r="L84" s="762">
        <v>0.17399999999999999</v>
      </c>
      <c r="M84" s="139">
        <v>0.16600000000000001</v>
      </c>
      <c r="N84" s="598">
        <v>0.19400000000000001</v>
      </c>
      <c r="O84" s="645">
        <f t="shared" si="50"/>
        <v>0.18</v>
      </c>
      <c r="P84" s="727">
        <v>85</v>
      </c>
      <c r="Q84" s="596">
        <v>93.1</v>
      </c>
      <c r="R84" s="706">
        <v>3386.2</v>
      </c>
      <c r="S84" s="1164">
        <v>95</v>
      </c>
      <c r="U84" s="1146">
        <f>_xlfn.XLOOKUP(D84,RUC!$B$3:$B$123,RUC!$F$3:$F$123)</f>
        <v>80</v>
      </c>
      <c r="V84" s="715">
        <v>1.1023000000000001</v>
      </c>
      <c r="Y84">
        <f>_xlfn.XLOOKUP(D84,RUC!$B$3:$B$123,RUC!$G$3:$G$123)</f>
        <v>0</v>
      </c>
      <c r="Z84" s="143">
        <f>_xlfn.XLOOKUP(D84,RUC!$B$3:$B$123,RUC!$H$3:$H$123)</f>
        <v>10</v>
      </c>
      <c r="AA84" s="144">
        <f t="shared" si="38"/>
        <v>10</v>
      </c>
      <c r="AB84" s="145">
        <f t="shared" si="52"/>
        <v>441.85541177999994</v>
      </c>
      <c r="AC84" s="145">
        <f>+(S84-T84)*V84-'data 1'!$F$4</f>
        <v>24.718500000000006</v>
      </c>
      <c r="AD84" s="145">
        <f t="shared" si="51"/>
        <v>51.364515520439966</v>
      </c>
      <c r="AE84" s="145">
        <f t="shared" si="39"/>
        <v>-58.977000000000004</v>
      </c>
      <c r="AF84" s="145">
        <f t="shared" si="53"/>
        <v>-20.357753916360018</v>
      </c>
      <c r="AG84" s="772">
        <f>AC84+AD84+AE84+AF84+70</f>
        <v>66.748261604079943</v>
      </c>
      <c r="AH84" s="146">
        <f t="shared" si="40"/>
        <v>22.920081548573858</v>
      </c>
      <c r="AI84" s="146">
        <f t="shared" si="49"/>
        <v>24.618777173548725</v>
      </c>
      <c r="AJ84" s="156">
        <f t="shared" si="54"/>
        <v>7.8211901955600318</v>
      </c>
      <c r="AK84" s="141">
        <f t="shared" si="41"/>
        <v>21.647545445706641</v>
      </c>
      <c r="AL84" s="88"/>
      <c r="AM84" s="716">
        <f t="shared" si="42"/>
        <v>1823.4268205631149</v>
      </c>
      <c r="AN84" s="716" t="str">
        <f>_xlfn.XLOOKUP(D84,RUC!$B$3:$B$578,RUC!$M$3:$M$578)</f>
        <v>Melchor Vera</v>
      </c>
      <c r="AO84" s="1167" t="s">
        <v>2280</v>
      </c>
      <c r="AP84" t="s">
        <v>2449</v>
      </c>
      <c r="AQ84" t="s">
        <v>2450</v>
      </c>
      <c r="AS84" s="1212">
        <f t="shared" si="43"/>
        <v>83.977966507755582</v>
      </c>
    </row>
    <row r="85" spans="1:45" ht="15" customHeight="1">
      <c r="A85" s="747" t="s">
        <v>2407</v>
      </c>
      <c r="B85" s="595">
        <v>45865</v>
      </c>
      <c r="C85" s="595">
        <v>45858</v>
      </c>
      <c r="D85" t="s">
        <v>119</v>
      </c>
      <c r="E85">
        <f>_xlfn.XLOOKUP(D85,RUC!$B$3:$B$123,RUC!$D$3:$D$123)</f>
        <v>10082235774</v>
      </c>
      <c r="G85" s="762">
        <v>39</v>
      </c>
      <c r="H85" t="s">
        <v>69</v>
      </c>
      <c r="I85" s="596">
        <v>3.71</v>
      </c>
      <c r="J85" s="596">
        <v>2.15</v>
      </c>
      <c r="K85" s="138">
        <f t="shared" si="36"/>
        <v>3.6302349999999999</v>
      </c>
      <c r="L85" s="762">
        <v>0.191</v>
      </c>
      <c r="M85" s="139">
        <v>0.182</v>
      </c>
      <c r="N85" s="598">
        <v>0.20499999999999999</v>
      </c>
      <c r="O85" s="645">
        <f t="shared" si="50"/>
        <v>0.19400000000000001</v>
      </c>
      <c r="P85" s="727">
        <v>85</v>
      </c>
      <c r="Q85" s="596">
        <v>92.15</v>
      </c>
      <c r="R85" s="706">
        <v>3386.2</v>
      </c>
      <c r="S85" s="1164">
        <v>95</v>
      </c>
      <c r="U85" s="1146">
        <f>_xlfn.XLOOKUP(D85,RUC!$B$3:$B$123,RUC!$F$3:$F$123)</f>
        <v>80</v>
      </c>
      <c r="V85" s="715">
        <v>1.1023000000000001</v>
      </c>
      <c r="Y85">
        <f>_xlfn.XLOOKUP(D85,RUC!$B$3:$B$123,RUC!$G$3:$G$123)</f>
        <v>0</v>
      </c>
      <c r="Z85" s="143">
        <f>_xlfn.XLOOKUP(D85,RUC!$B$3:$B$123,RUC!$H$3:$H$123)</f>
        <v>10</v>
      </c>
      <c r="AA85" s="144">
        <f t="shared" si="38"/>
        <v>10</v>
      </c>
      <c r="AB85" s="145">
        <f t="shared" si="52"/>
        <v>485.22406047400011</v>
      </c>
      <c r="AC85" s="145">
        <f>+(S85-T85)*V85-'data 1'!$F$4</f>
        <v>24.718500000000006</v>
      </c>
      <c r="AD85" s="145">
        <f t="shared" si="51"/>
        <v>49.770079906690036</v>
      </c>
      <c r="AE85" s="145">
        <f t="shared" si="39"/>
        <v>-58.977000000000004</v>
      </c>
      <c r="AF85" s="145">
        <f t="shared" si="53"/>
        <v>-10.075010866770009</v>
      </c>
      <c r="AG85" s="772">
        <f t="shared" ref="AG85:AG93" si="55">AC85+AD85+AE85+AF85+70</f>
        <v>75.436569039920016</v>
      </c>
      <c r="AH85" s="146">
        <f t="shared" si="40"/>
        <v>21.906475777135721</v>
      </c>
      <c r="AI85" s="146">
        <f t="shared" si="49"/>
        <v>23.772626996349125</v>
      </c>
      <c r="AJ85" s="156">
        <f t="shared" si="54"/>
        <v>8.4977240648100363</v>
      </c>
      <c r="AK85" s="141">
        <f t="shared" si="41"/>
        <v>20.524116186900368</v>
      </c>
      <c r="AL85" s="88"/>
      <c r="AM85" s="716">
        <f t="shared" si="42"/>
        <v>1761.4773671748317</v>
      </c>
      <c r="AN85" s="716" t="str">
        <f>_xlfn.XLOOKUP(D85,RUC!$B$3:$B$578,RUC!$M$3:$M$578)</f>
        <v>Melchor Vera</v>
      </c>
      <c r="AO85" s="1167" t="s">
        <v>2280</v>
      </c>
      <c r="AP85" t="s">
        <v>2449</v>
      </c>
      <c r="AQ85" t="s">
        <v>2450</v>
      </c>
      <c r="AS85" s="1212">
        <f t="shared" si="43"/>
        <v>103.33943734058107</v>
      </c>
    </row>
    <row r="86" spans="1:45" ht="15" customHeight="1">
      <c r="A86" s="747" t="s">
        <v>2408</v>
      </c>
      <c r="B86" s="595">
        <v>45865</v>
      </c>
      <c r="C86" s="595">
        <v>45858</v>
      </c>
      <c r="D86" t="s">
        <v>119</v>
      </c>
      <c r="E86">
        <f>_xlfn.XLOOKUP(D86,RUC!$B$3:$B$123,RUC!$D$3:$D$123)</f>
        <v>10082235774</v>
      </c>
      <c r="G86" s="762">
        <v>42</v>
      </c>
      <c r="H86" t="s">
        <v>69</v>
      </c>
      <c r="I86" s="596">
        <v>4.2699999999999996</v>
      </c>
      <c r="J86" s="596">
        <v>3.6</v>
      </c>
      <c r="K86" s="138">
        <f t="shared" si="36"/>
        <v>4.1162799999999997</v>
      </c>
      <c r="L86" s="762">
        <v>0.26800000000000002</v>
      </c>
      <c r="M86" s="139">
        <v>0.26</v>
      </c>
      <c r="N86" s="159">
        <v>0.26</v>
      </c>
      <c r="O86" s="645">
        <f t="shared" si="50"/>
        <v>0.26</v>
      </c>
      <c r="P86" s="727">
        <v>88</v>
      </c>
      <c r="Q86" s="1143">
        <v>88.43</v>
      </c>
      <c r="R86" s="706">
        <v>3386.2</v>
      </c>
      <c r="S86" s="1164">
        <v>105</v>
      </c>
      <c r="U86" s="1146">
        <f>_xlfn.XLOOKUP(D86,RUC!$B$3:$B$123,RUC!$F$3:$F$123)</f>
        <v>80</v>
      </c>
      <c r="V86" s="715">
        <v>1.1023000000000001</v>
      </c>
      <c r="Y86">
        <f>_xlfn.XLOOKUP(D86,RUC!$B$3:$B$123,RUC!$G$3:$G$123)</f>
        <v>0</v>
      </c>
      <c r="Z86" s="143">
        <f>_xlfn.XLOOKUP(D86,RUC!$B$3:$B$123,RUC!$H$3:$H$123)</f>
        <v>10</v>
      </c>
      <c r="AA86" s="144">
        <f t="shared" si="38"/>
        <v>10</v>
      </c>
      <c r="AB86" s="145">
        <f t="shared" si="52"/>
        <v>707.07977068800005</v>
      </c>
      <c r="AC86" s="145">
        <f>+(S86-T86)*V86-'data 1'!$F$4</f>
        <v>35.741500000000002</v>
      </c>
      <c r="AD86" s="145">
        <f t="shared" si="51"/>
        <v>4.1998345172240663</v>
      </c>
      <c r="AE86" s="145">
        <f t="shared" si="39"/>
        <v>-58.977000000000004</v>
      </c>
      <c r="AF86" s="145">
        <f t="shared" si="53"/>
        <v>25.782114984944023</v>
      </c>
      <c r="AG86" s="772">
        <f t="shared" si="55"/>
        <v>76.74644950216809</v>
      </c>
      <c r="AH86" s="146">
        <f t="shared" si="40"/>
        <v>33.446324363267479</v>
      </c>
      <c r="AI86" s="146">
        <f t="shared" si="49"/>
        <v>37.822372908817677</v>
      </c>
      <c r="AJ86" s="156">
        <f t="shared" si="54"/>
        <v>11.44216844637605</v>
      </c>
      <c r="AK86" s="141">
        <f t="shared" si="41"/>
        <v>32.290145229617472</v>
      </c>
      <c r="AL86" s="88"/>
      <c r="AM86" s="716">
        <f t="shared" si="42"/>
        <v>2910.5383184876005</v>
      </c>
      <c r="AN86" s="716" t="str">
        <f>_xlfn.XLOOKUP(D86,RUC!$B$3:$B$578,RUC!$M$3:$M$578)</f>
        <v>Melchor Vera</v>
      </c>
      <c r="AO86" s="1167" t="s">
        <v>2280</v>
      </c>
      <c r="AP86" t="s">
        <v>2449</v>
      </c>
      <c r="AQ86" t="s">
        <v>2450</v>
      </c>
      <c r="AS86" s="1212">
        <f t="shared" si="43"/>
        <v>126.31848513647174</v>
      </c>
    </row>
    <row r="87" spans="1:45" ht="15" customHeight="1">
      <c r="A87" s="747" t="s">
        <v>2409</v>
      </c>
      <c r="B87" s="595">
        <v>45865</v>
      </c>
      <c r="C87" s="595">
        <v>45858</v>
      </c>
      <c r="D87" t="s">
        <v>119</v>
      </c>
      <c r="E87">
        <f>_xlfn.XLOOKUP(D87,RUC!$B$3:$B$123,RUC!$D$3:$D$123)</f>
        <v>10082235774</v>
      </c>
      <c r="G87" s="762">
        <v>50</v>
      </c>
      <c r="H87" t="s">
        <v>69</v>
      </c>
      <c r="I87" s="596">
        <v>4.74</v>
      </c>
      <c r="J87" s="596">
        <v>2.4500000000000002</v>
      </c>
      <c r="K87" s="138">
        <f t="shared" si="36"/>
        <v>4.6238700000000001</v>
      </c>
      <c r="L87" s="762">
        <v>0.25900000000000001</v>
      </c>
      <c r="M87" s="139">
        <v>0.24299999999999999</v>
      </c>
      <c r="N87" s="159">
        <v>0.24299999999999999</v>
      </c>
      <c r="O87" s="645">
        <f t="shared" si="50"/>
        <v>0.24299999999999999</v>
      </c>
      <c r="P87" s="727">
        <v>90</v>
      </c>
      <c r="Q87" s="596">
        <v>95.37</v>
      </c>
      <c r="R87" s="706">
        <v>3386.2</v>
      </c>
      <c r="S87" s="1164">
        <v>105</v>
      </c>
      <c r="U87" s="1146">
        <f>_xlfn.XLOOKUP(D87,RUC!$B$3:$B$123,RUC!$F$3:$F$123)</f>
        <v>80</v>
      </c>
      <c r="V87" s="715">
        <v>1.1023000000000001</v>
      </c>
      <c r="Y87">
        <f>_xlfn.XLOOKUP(D87,RUC!$B$3:$B$123,RUC!$G$3:$G$123)</f>
        <v>0</v>
      </c>
      <c r="Z87" s="143">
        <f>_xlfn.XLOOKUP(D87,RUC!$B$3:$B$123,RUC!$H$3:$H$123)</f>
        <v>10</v>
      </c>
      <c r="AA87" s="144">
        <f t="shared" si="38"/>
        <v>10</v>
      </c>
      <c r="AB87" s="145">
        <f t="shared" si="52"/>
        <v>670.27108566200002</v>
      </c>
      <c r="AC87" s="145">
        <f>+(S87-T87)*V87-'data 1'!$F$4</f>
        <v>35.741500000000002</v>
      </c>
      <c r="AD87" s="145">
        <f t="shared" si="51"/>
        <v>50.687745935358038</v>
      </c>
      <c r="AE87" s="145">
        <f t="shared" si="39"/>
        <v>-58.977000000000004</v>
      </c>
      <c r="AF87" s="145">
        <f t="shared" si="53"/>
        <v>55.610998668192053</v>
      </c>
      <c r="AG87" s="772">
        <f t="shared" si="55"/>
        <v>153.06324460355009</v>
      </c>
      <c r="AH87" s="146">
        <f t="shared" si="40"/>
        <v>39.158516587731242</v>
      </c>
      <c r="AI87" s="146">
        <f t="shared" si="49"/>
        <v>41.05957490587317</v>
      </c>
      <c r="AJ87" s="156">
        <f t="shared" si="54"/>
        <v>11.925743510142052</v>
      </c>
      <c r="AK87" s="141">
        <f t="shared" si="41"/>
        <v>34.670768462990189</v>
      </c>
      <c r="AL87" s="88"/>
      <c r="AM87" s="716">
        <f t="shared" si="42"/>
        <v>3099.2463648599523</v>
      </c>
      <c r="AN87" s="716" t="str">
        <f>_xlfn.XLOOKUP(D87,RUC!$B$3:$B$578,RUC!$M$3:$M$578)</f>
        <v>Melchor Vera</v>
      </c>
      <c r="AO87" s="1167" t="s">
        <v>2280</v>
      </c>
      <c r="AP87" t="s">
        <v>2449</v>
      </c>
      <c r="AQ87" t="s">
        <v>2450</v>
      </c>
      <c r="AS87" s="1212">
        <f t="shared" si="43"/>
        <v>482.25602308899806</v>
      </c>
    </row>
    <row r="88" spans="1:45" ht="15" customHeight="1">
      <c r="A88" s="747" t="s">
        <v>2410</v>
      </c>
      <c r="B88" s="595">
        <v>45865</v>
      </c>
      <c r="C88" s="595">
        <v>45858</v>
      </c>
      <c r="D88" t="s">
        <v>119</v>
      </c>
      <c r="E88">
        <f>_xlfn.XLOOKUP(D88,RUC!$B$3:$B$123,RUC!$D$3:$D$123)</f>
        <v>10082235774</v>
      </c>
      <c r="G88" s="762">
        <v>62</v>
      </c>
      <c r="H88" t="s">
        <v>69</v>
      </c>
      <c r="I88" s="596">
        <v>5.79</v>
      </c>
      <c r="J88" s="596">
        <v>2.1</v>
      </c>
      <c r="K88" s="138">
        <f t="shared" si="36"/>
        <v>5.6684099999999997</v>
      </c>
      <c r="L88" s="762">
        <v>0.252</v>
      </c>
      <c r="M88" s="139">
        <v>0.24399999999999999</v>
      </c>
      <c r="N88" s="159">
        <v>0.24399999999999999</v>
      </c>
      <c r="O88" s="645">
        <f t="shared" si="50"/>
        <v>0.24399999999999999</v>
      </c>
      <c r="P88" s="727">
        <v>90</v>
      </c>
      <c r="Q88" s="596">
        <v>97.22</v>
      </c>
      <c r="R88" s="706">
        <v>3386.2</v>
      </c>
      <c r="S88" s="1164">
        <v>105</v>
      </c>
      <c r="U88" s="1146">
        <f>_xlfn.XLOOKUP(D88,RUC!$B$3:$B$123,RUC!$F$3:$F$123)</f>
        <v>80</v>
      </c>
      <c r="V88" s="715">
        <v>1.1023000000000001</v>
      </c>
      <c r="Y88">
        <f>_xlfn.XLOOKUP(D88,RUC!$B$3:$B$123,RUC!$G$3:$G$123)</f>
        <v>0</v>
      </c>
      <c r="Z88" s="143">
        <f>_xlfn.XLOOKUP(D88,RUC!$B$3:$B$123,RUC!$H$3:$H$123)</f>
        <v>10</v>
      </c>
      <c r="AA88" s="144">
        <f t="shared" si="38"/>
        <v>10</v>
      </c>
      <c r="AB88" s="145">
        <f t="shared" si="52"/>
        <v>673.55106749599997</v>
      </c>
      <c r="AC88" s="145">
        <f>+(S88-T88)*V88-'data 1'!$F$4</f>
        <v>35.741500000000002</v>
      </c>
      <c r="AD88" s="145">
        <f t="shared" si="51"/>
        <v>66.308112756143998</v>
      </c>
      <c r="AE88" s="145">
        <f t="shared" si="39"/>
        <v>-58.977000000000004</v>
      </c>
      <c r="AF88" s="145">
        <f t="shared" si="53"/>
        <v>28.344874124576027</v>
      </c>
      <c r="AG88" s="772">
        <f t="shared" si="55"/>
        <v>141.41748688072002</v>
      </c>
      <c r="AH88" s="146">
        <f t="shared" si="40"/>
        <v>47.613102612378356</v>
      </c>
      <c r="AI88" s="146">
        <f t="shared" si="49"/>
        <v>48.974596392078126</v>
      </c>
      <c r="AJ88" s="156">
        <f t="shared" si="54"/>
        <v>11.828510927856048</v>
      </c>
      <c r="AK88" s="141">
        <f t="shared" si="41"/>
        <v>42.677862570239505</v>
      </c>
      <c r="AL88" s="88"/>
      <c r="AM88" s="716">
        <f t="shared" si="42"/>
        <v>3817.9636065050008</v>
      </c>
      <c r="AN88" s="716" t="str">
        <f>_xlfn.XLOOKUP(D88,RUC!$B$3:$B$578,RUC!$M$3:$M$578)</f>
        <v>Melchor Vera</v>
      </c>
      <c r="AO88" s="1167" t="s">
        <v>2280</v>
      </c>
      <c r="AP88" t="s">
        <v>2449</v>
      </c>
      <c r="AQ88" t="s">
        <v>2450</v>
      </c>
      <c r="AS88" s="1212">
        <f t="shared" si="43"/>
        <v>530.66247592479613</v>
      </c>
    </row>
    <row r="89" spans="1:45" ht="15" customHeight="1">
      <c r="A89" s="747" t="s">
        <v>2411</v>
      </c>
      <c r="B89" s="595">
        <v>45865</v>
      </c>
      <c r="C89" s="595">
        <v>45858</v>
      </c>
      <c r="D89" t="s">
        <v>119</v>
      </c>
      <c r="E89">
        <f>_xlfn.XLOOKUP(D89,RUC!$B$3:$B$123,RUC!$D$3:$D$123)</f>
        <v>10082235774</v>
      </c>
      <c r="G89" s="762">
        <v>40</v>
      </c>
      <c r="H89" t="s">
        <v>69</v>
      </c>
      <c r="I89" s="596">
        <v>3.8</v>
      </c>
      <c r="J89" s="596">
        <v>2.1</v>
      </c>
      <c r="K89" s="138">
        <f t="shared" si="36"/>
        <v>3.7201999999999997</v>
      </c>
      <c r="L89" s="762">
        <v>0.193</v>
      </c>
      <c r="M89" s="139">
        <v>0.185</v>
      </c>
      <c r="N89" s="159">
        <v>0.185</v>
      </c>
      <c r="O89" s="645">
        <f t="shared" si="50"/>
        <v>0.185</v>
      </c>
      <c r="P89" s="727">
        <v>85</v>
      </c>
      <c r="Q89" s="596">
        <v>95.85</v>
      </c>
      <c r="R89" s="706">
        <v>3386.2</v>
      </c>
      <c r="S89" s="1164">
        <v>95</v>
      </c>
      <c r="U89" s="1146">
        <f>_xlfn.XLOOKUP(D89,RUC!$B$3:$B$123,RUC!$F$3:$F$123)</f>
        <v>80</v>
      </c>
      <c r="V89" s="715">
        <v>1.1023000000000001</v>
      </c>
      <c r="Y89">
        <f>_xlfn.XLOOKUP(D89,RUC!$B$3:$B$123,RUC!$G$3:$G$123)</f>
        <v>0</v>
      </c>
      <c r="Z89" s="143">
        <f>_xlfn.XLOOKUP(D89,RUC!$B$3:$B$123,RUC!$H$3:$H$123)</f>
        <v>10</v>
      </c>
      <c r="AA89" s="144">
        <f t="shared" si="38"/>
        <v>10</v>
      </c>
      <c r="AB89" s="145">
        <f t="shared" si="52"/>
        <v>457.34421488499999</v>
      </c>
      <c r="AC89" s="145">
        <f>+(S89-T89)*V89-'data 1'!$F$4</f>
        <v>24.718500000000006</v>
      </c>
      <c r="AD89" s="145">
        <f t="shared" si="51"/>
        <v>76.316066216529975</v>
      </c>
      <c r="AE89" s="145">
        <f t="shared" si="39"/>
        <v>-58.977000000000004</v>
      </c>
      <c r="AF89" s="145">
        <f t="shared" si="53"/>
        <v>27.945445225680022</v>
      </c>
      <c r="AG89" s="772">
        <f t="shared" si="55"/>
        <v>140.00301144220998</v>
      </c>
      <c r="AH89" s="146">
        <f t="shared" si="40"/>
        <v>23.595260904611923</v>
      </c>
      <c r="AI89" s="146">
        <f t="shared" si="49"/>
        <v>24.616860620356729</v>
      </c>
      <c r="AJ89" s="156">
        <f t="shared" si="54"/>
        <v>8.9314782329700382</v>
      </c>
      <c r="AK89" s="141">
        <f t="shared" si="41"/>
        <v>20.057001723062672</v>
      </c>
      <c r="AL89" s="88"/>
      <c r="AM89" s="716">
        <f t="shared" si="42"/>
        <v>1701.4119482151768</v>
      </c>
      <c r="AN89" s="716" t="str">
        <f>_xlfn.XLOOKUP(D89,RUC!$B$3:$B$578,RUC!$M$3:$M$578)</f>
        <v>Melchor Vera</v>
      </c>
      <c r="AO89" s="1167" t="s">
        <v>2280</v>
      </c>
      <c r="AP89" t="s">
        <v>2449</v>
      </c>
      <c r="AQ89" t="s">
        <v>2450</v>
      </c>
      <c r="AS89" s="1212">
        <f t="shared" si="43"/>
        <v>332.42052713961266</v>
      </c>
    </row>
    <row r="90" spans="1:45" ht="15" customHeight="1">
      <c r="A90" s="747" t="s">
        <v>2412</v>
      </c>
      <c r="B90" s="595">
        <v>45865</v>
      </c>
      <c r="C90" s="595">
        <v>45858</v>
      </c>
      <c r="D90" t="s">
        <v>119</v>
      </c>
      <c r="E90">
        <f>_xlfn.XLOOKUP(D90,RUC!$B$3:$B$123,RUC!$D$3:$D$123)</f>
        <v>10082235774</v>
      </c>
      <c r="G90" s="762">
        <v>36</v>
      </c>
      <c r="H90" t="s">
        <v>69</v>
      </c>
      <c r="I90" s="596">
        <v>3.45</v>
      </c>
      <c r="J90" s="596">
        <v>2.0499999999999998</v>
      </c>
      <c r="K90" s="138">
        <f t="shared" si="36"/>
        <v>3.3792750000000003</v>
      </c>
      <c r="L90" s="762">
        <v>0.17499999999999999</v>
      </c>
      <c r="M90" s="139">
        <v>0.16800000000000001</v>
      </c>
      <c r="N90" s="159">
        <v>0.16800000000000001</v>
      </c>
      <c r="O90" s="645">
        <f t="shared" si="50"/>
        <v>0.16800000000000001</v>
      </c>
      <c r="P90" s="727">
        <v>85</v>
      </c>
      <c r="Q90" s="596">
        <v>95.43</v>
      </c>
      <c r="R90" s="706">
        <v>3386.2</v>
      </c>
      <c r="S90" s="1164">
        <v>95</v>
      </c>
      <c r="U90" s="1146">
        <f>_xlfn.XLOOKUP(D90,RUC!$B$3:$B$123,RUC!$F$3:$F$123)</f>
        <v>80</v>
      </c>
      <c r="V90" s="715">
        <v>1.1023000000000001</v>
      </c>
      <c r="Y90">
        <f>_xlfn.XLOOKUP(D90,RUC!$B$3:$B$123,RUC!$G$3:$G$123)</f>
        <v>0</v>
      </c>
      <c r="Z90" s="143">
        <f>_xlfn.XLOOKUP(D90,RUC!$B$3:$B$123,RUC!$H$3:$H$123)</f>
        <v>10</v>
      </c>
      <c r="AA90" s="144">
        <f t="shared" si="38"/>
        <v>10</v>
      </c>
      <c r="AB90" s="145">
        <f t="shared" si="52"/>
        <v>404.68228432800004</v>
      </c>
      <c r="AC90" s="145">
        <f>+(S90-T90)*V90-'data 1'!$F$4</f>
        <v>24.718500000000006</v>
      </c>
      <c r="AD90" s="145">
        <f t="shared" si="51"/>
        <v>66.51985380565003</v>
      </c>
      <c r="AE90" s="145">
        <f t="shared" si="39"/>
        <v>-58.977000000000004</v>
      </c>
      <c r="AF90" s="145">
        <f t="shared" si="53"/>
        <v>24.345118499225929</v>
      </c>
      <c r="AG90" s="772">
        <f t="shared" si="55"/>
        <v>126.60647230487596</v>
      </c>
      <c r="AH90" s="146">
        <f t="shared" si="40"/>
        <v>19.348868684731602</v>
      </c>
      <c r="AI90" s="146">
        <f t="shared" si="49"/>
        <v>20.275457072966159</v>
      </c>
      <c r="AJ90" s="156">
        <f t="shared" si="54"/>
        <v>8.0630042818500325</v>
      </c>
      <c r="AK90" s="141">
        <f t="shared" si="41"/>
        <v>16.544772971540386</v>
      </c>
      <c r="AL90" s="88"/>
      <c r="AM90" s="716">
        <f t="shared" si="42"/>
        <v>1367.5327263725023</v>
      </c>
      <c r="AN90" s="716" t="str">
        <f>_xlfn.XLOOKUP(D90,RUC!$B$3:$B$578,RUC!$M$3:$M$578)</f>
        <v>Melchor Vera</v>
      </c>
      <c r="AO90" s="1167" t="s">
        <v>2279</v>
      </c>
      <c r="AP90" t="s">
        <v>2449</v>
      </c>
      <c r="AQ90" t="s">
        <v>2450</v>
      </c>
      <c r="AS90" s="1212">
        <f t="shared" si="43"/>
        <v>256.57222350031316</v>
      </c>
    </row>
    <row r="91" spans="1:45" ht="15" customHeight="1">
      <c r="A91" s="747" t="s">
        <v>2413</v>
      </c>
      <c r="B91" s="595">
        <v>45865</v>
      </c>
      <c r="C91" s="595">
        <v>45858</v>
      </c>
      <c r="D91" t="s">
        <v>119</v>
      </c>
      <c r="E91">
        <f>_xlfn.XLOOKUP(D91,RUC!$B$3:$B$123,RUC!$D$3:$D$123)</f>
        <v>10082235774</v>
      </c>
      <c r="G91" s="762">
        <v>65</v>
      </c>
      <c r="H91" t="s">
        <v>69</v>
      </c>
      <c r="I91" s="596">
        <v>6.42</v>
      </c>
      <c r="J91" s="596">
        <v>1.75</v>
      </c>
      <c r="K91" s="138">
        <f t="shared" si="36"/>
        <v>6.3076499999999998</v>
      </c>
      <c r="L91" s="762">
        <v>0.17899999999999999</v>
      </c>
      <c r="M91" s="139">
        <v>0.17199999999999999</v>
      </c>
      <c r="N91" s="159">
        <v>0.17199999999999999</v>
      </c>
      <c r="O91" s="645">
        <f t="shared" si="50"/>
        <v>0.17199999999999999</v>
      </c>
      <c r="P91" s="727">
        <v>85</v>
      </c>
      <c r="Q91" s="596">
        <v>89.94</v>
      </c>
      <c r="R91" s="706">
        <v>3386.2</v>
      </c>
      <c r="S91" s="1164">
        <v>95</v>
      </c>
      <c r="U91" s="1146">
        <f>_xlfn.XLOOKUP(D91,RUC!$B$3:$B$123,RUC!$F$3:$F$123)</f>
        <v>80</v>
      </c>
      <c r="V91" s="715">
        <v>1.1023000000000001</v>
      </c>
      <c r="Y91">
        <f>_xlfn.XLOOKUP(D91,RUC!$B$3:$B$123,RUC!$G$3:$G$123)</f>
        <v>0</v>
      </c>
      <c r="Z91" s="143">
        <f>_xlfn.XLOOKUP(D91,RUC!$B$3:$B$123,RUC!$H$3:$H$123)</f>
        <v>10</v>
      </c>
      <c r="AA91" s="144">
        <f t="shared" si="38"/>
        <v>10</v>
      </c>
      <c r="AB91" s="145">
        <f t="shared" si="52"/>
        <v>417.07332681199995</v>
      </c>
      <c r="AC91" s="145">
        <f>+(S91-T91)*V91-'data 1'!$F$4</f>
        <v>24.718500000000006</v>
      </c>
      <c r="AD91" s="145">
        <f t="shared" si="51"/>
        <v>32.226185961475984</v>
      </c>
      <c r="AE91" s="145">
        <f t="shared" si="39"/>
        <v>-58.977000000000004</v>
      </c>
      <c r="AF91" s="145">
        <f t="shared" si="53"/>
        <v>22.944566256108018</v>
      </c>
      <c r="AG91" s="772">
        <f t="shared" si="55"/>
        <v>90.912252217584012</v>
      </c>
      <c r="AH91" s="146">
        <f t="shared" si="40"/>
        <v>34.816296371620062</v>
      </c>
      <c r="AI91" s="146">
        <f t="shared" si="49"/>
        <v>38.710580800111266</v>
      </c>
      <c r="AJ91" s="156">
        <f t="shared" si="54"/>
        <v>7.7728418625240314</v>
      </c>
      <c r="AK91" s="141">
        <f t="shared" si="41"/>
        <v>31.617245323889755</v>
      </c>
      <c r="AL91" s="88"/>
      <c r="AM91" s="716">
        <f t="shared" si="42"/>
        <v>2630.7525698657114</v>
      </c>
      <c r="AN91" s="716" t="str">
        <f>_xlfn.XLOOKUP(D91,RUC!$B$3:$B$578,RUC!$M$3:$M$578)</f>
        <v>Melchor Vera</v>
      </c>
      <c r="AO91" s="1167" t="s">
        <v>2280</v>
      </c>
      <c r="AP91" t="s">
        <v>2449</v>
      </c>
      <c r="AQ91" t="s">
        <v>2450</v>
      </c>
      <c r="AS91" s="1212">
        <f t="shared" si="43"/>
        <v>261.46698660309676</v>
      </c>
    </row>
    <row r="92" spans="1:45" ht="15" customHeight="1">
      <c r="A92" s="747" t="s">
        <v>2414</v>
      </c>
      <c r="B92" s="595">
        <v>45865</v>
      </c>
      <c r="C92" s="595">
        <v>45858</v>
      </c>
      <c r="D92" t="s">
        <v>119</v>
      </c>
      <c r="E92">
        <f>_xlfn.XLOOKUP(D92,RUC!$B$3:$B$123,RUC!$D$3:$D$123)</f>
        <v>10082235774</v>
      </c>
      <c r="G92" s="762">
        <v>42</v>
      </c>
      <c r="H92" t="s">
        <v>69</v>
      </c>
      <c r="I92" s="596">
        <v>3.99</v>
      </c>
      <c r="J92" s="596">
        <v>1.25</v>
      </c>
      <c r="K92" s="138">
        <f t="shared" si="36"/>
        <v>3.9401250000000001</v>
      </c>
      <c r="L92" s="762">
        <v>0.29199999999999998</v>
      </c>
      <c r="M92" s="139">
        <v>0.28299999999999997</v>
      </c>
      <c r="N92" s="159">
        <v>0.28299999999999997</v>
      </c>
      <c r="O92" s="645">
        <f t="shared" si="50"/>
        <v>0.28299999999999997</v>
      </c>
      <c r="P92" s="727">
        <v>90</v>
      </c>
      <c r="Q92" s="596">
        <v>96.58</v>
      </c>
      <c r="R92" s="706">
        <v>3386.2</v>
      </c>
      <c r="S92" s="1164">
        <v>105</v>
      </c>
      <c r="U92" s="1146">
        <f>_xlfn.XLOOKUP(D92,RUC!$B$3:$B$123,RUC!$F$3:$F$123)</f>
        <v>80</v>
      </c>
      <c r="V92" s="715">
        <v>1.1023000000000001</v>
      </c>
      <c r="Y92">
        <f>_xlfn.XLOOKUP(D92,RUC!$B$3:$B$123,RUC!$G$3:$G$123)</f>
        <v>0</v>
      </c>
      <c r="Z92" s="143">
        <f>_xlfn.XLOOKUP(D92,RUC!$B$3:$B$123,RUC!$H$3:$H$123)</f>
        <v>10</v>
      </c>
      <c r="AA92" s="144">
        <f t="shared" si="38"/>
        <v>10</v>
      </c>
      <c r="AB92" s="145">
        <f t="shared" si="52"/>
        <v>801.47035902199991</v>
      </c>
      <c r="AC92" s="145">
        <f>+(S92-T92)*V92-'data 1'!$F$4</f>
        <v>35.741500000000002</v>
      </c>
      <c r="AD92" s="145">
        <f t="shared" si="51"/>
        <v>70.022509961935981</v>
      </c>
      <c r="AE92" s="145">
        <f t="shared" si="39"/>
        <v>-58.977000000000004</v>
      </c>
      <c r="AF92" s="145">
        <f t="shared" si="53"/>
        <v>31.678064552772028</v>
      </c>
      <c r="AG92" s="772">
        <f t="shared" si="55"/>
        <v>148.46507451470802</v>
      </c>
      <c r="AH92" s="146">
        <f t="shared" si="40"/>
        <v>38.096854721041197</v>
      </c>
      <c r="AI92" s="146">
        <f t="shared" si="49"/>
        <v>39.445904660427821</v>
      </c>
      <c r="AJ92" s="156">
        <f t="shared" si="54"/>
        <v>13.615825298064056</v>
      </c>
      <c r="AK92" s="141">
        <f t="shared" si="41"/>
        <v>34.407095606201942</v>
      </c>
      <c r="AL92" s="88"/>
      <c r="AM92" s="716">
        <f t="shared" si="42"/>
        <v>3157.8933983415573</v>
      </c>
      <c r="AN92" s="716" t="str">
        <f>_xlfn.XLOOKUP(D92,RUC!$B$3:$B$578,RUC!$M$3:$M$578)</f>
        <v>Melchor Vera</v>
      </c>
      <c r="AO92" s="1167" t="s">
        <v>2280</v>
      </c>
      <c r="AP92" t="s">
        <v>2449</v>
      </c>
      <c r="AQ92" t="s">
        <v>2450</v>
      </c>
      <c r="AS92" s="1212">
        <f t="shared" si="43"/>
        <v>400.77259851484359</v>
      </c>
    </row>
    <row r="93" spans="1:45" ht="15" customHeight="1">
      <c r="A93" s="747" t="s">
        <v>2415</v>
      </c>
      <c r="B93" s="595">
        <v>45865</v>
      </c>
      <c r="C93" s="595">
        <v>45858</v>
      </c>
      <c r="D93" t="s">
        <v>119</v>
      </c>
      <c r="E93">
        <f>_xlfn.XLOOKUP(D93,RUC!$B$3:$B$123,RUC!$D$3:$D$123)</f>
        <v>10082235774</v>
      </c>
      <c r="G93" s="762">
        <v>30</v>
      </c>
      <c r="H93" t="s">
        <v>69</v>
      </c>
      <c r="I93" s="596">
        <v>2.97</v>
      </c>
      <c r="J93" s="596">
        <v>1.01</v>
      </c>
      <c r="K93" s="138">
        <f t="shared" si="36"/>
        <v>2.9400030000000004</v>
      </c>
      <c r="L93" s="762">
        <v>0.14599999999999999</v>
      </c>
      <c r="M93" s="139">
        <v>0.13700000000000001</v>
      </c>
      <c r="N93" s="159">
        <v>0.13700000000000001</v>
      </c>
      <c r="O93" s="645">
        <f t="shared" si="50"/>
        <v>0.13700000000000001</v>
      </c>
      <c r="P93" s="727">
        <v>85</v>
      </c>
      <c r="Q93" s="596">
        <v>93.84</v>
      </c>
      <c r="R93" s="706">
        <v>3386.2</v>
      </c>
      <c r="S93" s="1164">
        <v>95</v>
      </c>
      <c r="U93" s="1146">
        <f>_xlfn.XLOOKUP(D93,RUC!$B$3:$B$123,RUC!$F$3:$F$123)</f>
        <v>80</v>
      </c>
      <c r="V93" s="715">
        <v>1.1023000000000001</v>
      </c>
      <c r="Y93">
        <f>_xlfn.XLOOKUP(D93,RUC!$B$3:$B$123,RUC!$G$3:$G$123)</f>
        <v>0</v>
      </c>
      <c r="Z93" s="143">
        <f>_xlfn.XLOOKUP(D93,RUC!$B$3:$B$123,RUC!$H$3:$H$123)</f>
        <v>10</v>
      </c>
      <c r="AA93" s="144">
        <f t="shared" si="38"/>
        <v>10</v>
      </c>
      <c r="AB93" s="145">
        <f t="shared" si="52"/>
        <v>308.65170507700003</v>
      </c>
      <c r="AC93" s="145">
        <f>+(S93-T93)*V93-'data 1'!$F$4</f>
        <v>24.718500000000006</v>
      </c>
      <c r="AD93" s="145">
        <f t="shared" si="51"/>
        <v>47.036397269264008</v>
      </c>
      <c r="AE93" s="145">
        <f t="shared" si="39"/>
        <v>-58.977000000000004</v>
      </c>
      <c r="AF93" s="145">
        <f t="shared" si="53"/>
        <v>30.779349530255935</v>
      </c>
      <c r="AG93" s="772">
        <f t="shared" si="55"/>
        <v>113.55724679951993</v>
      </c>
      <c r="AH93" s="146">
        <f t="shared" si="40"/>
        <v>13.810127804593321</v>
      </c>
      <c r="AI93" s="146">
        <f t="shared" si="49"/>
        <v>14.716674983581967</v>
      </c>
      <c r="AJ93" s="156">
        <f t="shared" si="54"/>
        <v>6.6147703767360273</v>
      </c>
      <c r="AK93" s="141">
        <f t="shared" si="41"/>
        <v>11.738060286562467</v>
      </c>
      <c r="AL93" s="88"/>
      <c r="AM93" s="716">
        <f t="shared" si="42"/>
        <v>907.43693888149539</v>
      </c>
      <c r="AN93" s="716" t="str">
        <f>_xlfn.XLOOKUP(D93,RUC!$B$3:$B$578,RUC!$M$3:$M$578)</f>
        <v>Melchor Vera</v>
      </c>
      <c r="AO93" s="1167" t="s">
        <v>2279</v>
      </c>
      <c r="AP93" t="s">
        <v>2449</v>
      </c>
      <c r="AQ93" t="s">
        <v>2450</v>
      </c>
      <c r="AS93" s="1212">
        <f t="shared" si="43"/>
        <v>181.52428813039035</v>
      </c>
    </row>
    <row r="94" spans="1:45" ht="15" customHeight="1">
      <c r="A94" s="747" t="s">
        <v>2420</v>
      </c>
      <c r="B94" s="595">
        <v>45867</v>
      </c>
      <c r="C94" s="595">
        <v>45860</v>
      </c>
      <c r="D94" t="s">
        <v>2444</v>
      </c>
      <c r="E94">
        <f>_xlfn.XLOOKUP(D94,RUC!$B$3:$B$123,RUC!$D$3:$D$123)</f>
        <v>20608774000</v>
      </c>
      <c r="G94" s="1082">
        <v>11</v>
      </c>
      <c r="H94" t="s">
        <v>69</v>
      </c>
      <c r="I94" s="596">
        <v>0.98</v>
      </c>
      <c r="J94" s="596">
        <v>4</v>
      </c>
      <c r="K94" s="138">
        <f t="shared" si="36"/>
        <v>0.94079999999999997</v>
      </c>
      <c r="L94" s="762">
        <v>0.56599999999999995</v>
      </c>
      <c r="M94" s="762">
        <v>0.53200000000000003</v>
      </c>
      <c r="N94" s="159">
        <v>0.53200000000000003</v>
      </c>
      <c r="O94" s="645">
        <f t="shared" si="50"/>
        <v>0.53200000000000003</v>
      </c>
      <c r="P94" s="727">
        <v>90</v>
      </c>
      <c r="Q94" s="1143">
        <v>87.99</v>
      </c>
      <c r="R94" s="706">
        <v>3409.85</v>
      </c>
      <c r="S94" s="765">
        <f>IF((90+ROUNDDOWN(O94,1)*100)&lt;95,95,(85+ROUNDDOWN(O94,1)*100))</f>
        <v>135</v>
      </c>
      <c r="U94" s="1146">
        <f>_xlfn.XLOOKUP(D94,RUC!$B$3:$B$123,RUC!$F$3:$F$123)</f>
        <v>120</v>
      </c>
      <c r="V94" s="715">
        <v>1.1023000000000001</v>
      </c>
      <c r="Y94">
        <f>_xlfn.XLOOKUP(D94,RUC!$B$3:$B$123,RUC!$G$3:$G$123)</f>
        <v>20</v>
      </c>
      <c r="Z94" s="143">
        <f>_xlfn.XLOOKUP(D94,RUC!$B$3:$B$123,RUC!$H$3:$H$123)</f>
        <v>30</v>
      </c>
      <c r="AA94" s="144">
        <f t="shared" si="38"/>
        <v>50</v>
      </c>
      <c r="AB94" s="145">
        <f t="shared" si="52"/>
        <v>1532.3956124140002</v>
      </c>
      <c r="AC94" s="145">
        <f>+(S94-T94)*V94-'data 1'!$F$4</f>
        <v>68.810500000000019</v>
      </c>
      <c r="AD94" s="145">
        <f t="shared" si="51"/>
        <v>-41.256121068273103</v>
      </c>
      <c r="AE94" s="145">
        <f t="shared" si="39"/>
        <v>-14.884999999999998</v>
      </c>
      <c r="AF94" s="145">
        <f t="shared" si="53"/>
        <v>108.48960775197274</v>
      </c>
      <c r="AG94" s="772">
        <f t="shared" ref="AG94:AG101" si="56">AC94+AD94+AE94+AF94+70-53</f>
        <v>138.15898668369965</v>
      </c>
      <c r="AH94" s="146">
        <f t="shared" si="40"/>
        <v>16.06408993578313</v>
      </c>
      <c r="AI94" s="146">
        <f t="shared" si="49"/>
        <v>18.256722281831038</v>
      </c>
      <c r="AJ94" s="156">
        <f t="shared" si="54"/>
        <v>33.020617308273046</v>
      </c>
      <c r="AK94" s="141">
        <f t="shared" si="41"/>
        <v>15.444025845478274</v>
      </c>
      <c r="AL94" s="88"/>
      <c r="AM94" s="716">
        <f t="shared" si="42"/>
        <v>1441.6777921590913</v>
      </c>
      <c r="AN94" s="716" t="str">
        <f>_xlfn.XLOOKUP(D94,RUC!$B$3:$B$578,RUC!$M$3:$M$578)</f>
        <v>Ronald Miranda</v>
      </c>
      <c r="AO94" s="1167" t="s">
        <v>2281</v>
      </c>
      <c r="AP94" t="s">
        <v>2453</v>
      </c>
      <c r="AQ94" t="s">
        <v>2454</v>
      </c>
      <c r="AS94" s="1212">
        <f t="shared" si="43"/>
        <v>154.72643231883308</v>
      </c>
    </row>
    <row r="95" spans="1:45" ht="15" customHeight="1">
      <c r="A95" s="747" t="s">
        <v>2424</v>
      </c>
      <c r="B95" s="595">
        <v>45867</v>
      </c>
      <c r="C95" s="595">
        <v>45860</v>
      </c>
      <c r="D95" t="s">
        <v>2444</v>
      </c>
      <c r="E95">
        <f>_xlfn.XLOOKUP(D95,RUC!$B$3:$B$123,RUC!$D$3:$D$123)</f>
        <v>20608774000</v>
      </c>
      <c r="G95" s="1082">
        <v>37</v>
      </c>
      <c r="H95" t="s">
        <v>69</v>
      </c>
      <c r="I95" s="596">
        <v>2.77</v>
      </c>
      <c r="J95" s="596">
        <v>11.15</v>
      </c>
      <c r="K95" s="138">
        <f t="shared" ref="K95:K101" si="57">+I95-(I95*(J95/100))</f>
        <v>2.4611450000000001</v>
      </c>
      <c r="L95" s="994">
        <v>0.35</v>
      </c>
      <c r="M95" s="762">
        <v>0.32900000000000001</v>
      </c>
      <c r="N95" s="159">
        <v>0.32900000000000001</v>
      </c>
      <c r="O95" s="645">
        <f t="shared" si="50"/>
        <v>0.32900000000000001</v>
      </c>
      <c r="P95" s="727">
        <v>90</v>
      </c>
      <c r="Q95" s="596">
        <v>95.71</v>
      </c>
      <c r="R95" s="706">
        <v>3409.85</v>
      </c>
      <c r="S95" s="765">
        <f t="shared" ref="S95:S97" si="58">IF((90+ROUNDDOWN(O95,1)*100)&lt;95,95,(85+ROUNDDOWN(O95,1)*100))</f>
        <v>115</v>
      </c>
      <c r="U95" s="1146">
        <f>_xlfn.XLOOKUP(D95,RUC!$B$3:$B$123,RUC!$F$3:$F$123)</f>
        <v>120</v>
      </c>
      <c r="V95" s="715">
        <v>1.1023000000000001</v>
      </c>
      <c r="Y95">
        <f>_xlfn.XLOOKUP(D95,RUC!$B$3:$B$123,RUC!$G$3:$G$123)</f>
        <v>20</v>
      </c>
      <c r="Z95" s="143">
        <f>_xlfn.XLOOKUP(D95,RUC!$B$3:$B$123,RUC!$H$3:$H$123)</f>
        <v>30</v>
      </c>
      <c r="AA95" s="144">
        <f t="shared" ref="AA95:AA101" si="59">+Y95+Z95</f>
        <v>50</v>
      </c>
      <c r="AB95" s="145">
        <f t="shared" si="52"/>
        <v>891.89803004550004</v>
      </c>
      <c r="AC95" s="145">
        <f>+(S95-T95)*V95-'data 1'!$F$4</f>
        <v>46.764500000000012</v>
      </c>
      <c r="AD95" s="145">
        <f t="shared" si="51"/>
        <v>72.473637075174906</v>
      </c>
      <c r="AE95" s="145">
        <f t="shared" ref="AE95:AE101" si="60">+(Y95*V95-70)+V95*(Z95-IF(D95="UNTUCA",IF(+((W95-3)*2.5+(X95-3)*3.1)&gt;0,+((W95-3)*1.5+(X95-3)*3.1),0),IF(+((W95-3)*1.5+(X95-3)*3.1)&gt;0,+((W95-3)*1.5+(X95-3)*3.1),0)))</f>
        <v>-14.884999999999998</v>
      </c>
      <c r="AF95" s="145">
        <f t="shared" si="53"/>
        <v>72.88740950401035</v>
      </c>
      <c r="AG95" s="772">
        <f t="shared" si="56"/>
        <v>194.24054657918526</v>
      </c>
      <c r="AH95" s="146">
        <f t="shared" ref="AH95:AH101" si="61">31.1035*L95*Q95*1.1023*K95/100</f>
        <v>28.266473590055696</v>
      </c>
      <c r="AI95" s="146">
        <f t="shared" si="49"/>
        <v>29.533458980311043</v>
      </c>
      <c r="AJ95" s="156">
        <f t="shared" si="54"/>
        <v>22.210626024825032</v>
      </c>
      <c r="AK95" s="141">
        <f t="shared" ref="AK95:AK101" si="62">31.1035*1.1023*K95*P95*O95/100</f>
        <v>24.98530629734314</v>
      </c>
      <c r="AL95" s="88"/>
      <c r="AM95" s="716">
        <f t="shared" ref="AM95:AM101" si="63">+IF(AB95*K95&gt;0,AB95*K95,0)</f>
        <v>2195.0903771563321</v>
      </c>
      <c r="AN95" s="716" t="str">
        <f>_xlfn.XLOOKUP(D95,RUC!$B$3:$B$578,RUC!$M$3:$M$578)</f>
        <v>Ronald Miranda</v>
      </c>
      <c r="AO95" s="1167" t="s">
        <v>2279</v>
      </c>
      <c r="AP95" t="s">
        <v>2453</v>
      </c>
      <c r="AQ95" t="s">
        <v>2454</v>
      </c>
      <c r="AS95" s="1212">
        <f t="shared" ref="AS95:AS101" si="64">+(AH95*AJ$2*0.995)/31.1035-K95*(80+53)-AM95</f>
        <v>506.79344194941632</v>
      </c>
    </row>
    <row r="96" spans="1:45" ht="15" customHeight="1">
      <c r="A96" s="747" t="s">
        <v>2431</v>
      </c>
      <c r="B96" s="595">
        <v>45869</v>
      </c>
      <c r="C96" s="595">
        <v>45861</v>
      </c>
      <c r="D96" t="s">
        <v>2444</v>
      </c>
      <c r="E96">
        <f>_xlfn.XLOOKUP(D96,RUC!$B$3:$B$123,RUC!$D$3:$D$123)</f>
        <v>20608774000</v>
      </c>
      <c r="G96" s="1082">
        <v>15</v>
      </c>
      <c r="H96" t="s">
        <v>69</v>
      </c>
      <c r="I96" s="596">
        <v>1.24</v>
      </c>
      <c r="J96" s="596">
        <v>1.2</v>
      </c>
      <c r="K96" s="138">
        <f t="shared" si="57"/>
        <v>1.22512</v>
      </c>
      <c r="L96" s="994">
        <v>0.58299999999999996</v>
      </c>
      <c r="M96" s="762">
        <v>0.54800000000000004</v>
      </c>
      <c r="N96" s="159">
        <v>0.54800000000000004</v>
      </c>
      <c r="O96" s="645">
        <f t="shared" si="50"/>
        <v>0.54800000000000004</v>
      </c>
      <c r="P96" s="727">
        <v>85</v>
      </c>
      <c r="Q96" s="596">
        <v>90.05</v>
      </c>
      <c r="R96" s="706">
        <v>3413.55</v>
      </c>
      <c r="S96" s="765">
        <f t="shared" si="58"/>
        <v>135</v>
      </c>
      <c r="U96" s="1146">
        <f>_xlfn.XLOOKUP(D96,RUC!$B$3:$B$123,RUC!$F$3:$F$123)</f>
        <v>120</v>
      </c>
      <c r="V96" s="715">
        <v>1.1023000000000001</v>
      </c>
      <c r="Y96">
        <f>_xlfn.XLOOKUP(D96,RUC!$B$3:$B$123,RUC!$G$3:$G$123)</f>
        <v>20</v>
      </c>
      <c r="Z96" s="143">
        <f>_xlfn.XLOOKUP(D96,RUC!$B$3:$B$123,RUC!$H$3:$H$123)</f>
        <v>30</v>
      </c>
      <c r="AA96" s="144">
        <f t="shared" si="59"/>
        <v>50</v>
      </c>
      <c r="AB96" s="145">
        <f t="shared" si="52"/>
        <v>1487.1521608570004</v>
      </c>
      <c r="AC96" s="145">
        <f>+(S96-T96)*V96-'data 1'!$F$4</f>
        <v>68.810500000000019</v>
      </c>
      <c r="AD96" s="145">
        <f t="shared" si="51"/>
        <v>106.88678177784743</v>
      </c>
      <c r="AE96" s="145">
        <f t="shared" si="60"/>
        <v>-14.884999999999998</v>
      </c>
      <c r="AF96" s="145">
        <f t="shared" si="53"/>
        <v>114.42365860038724</v>
      </c>
      <c r="AG96" s="772">
        <f t="shared" si="56"/>
        <v>292.23594037823472</v>
      </c>
      <c r="AH96" s="146">
        <f t="shared" si="61"/>
        <v>22.051593137529231</v>
      </c>
      <c r="AI96" s="146">
        <f t="shared" si="49"/>
        <v>24.488165616356728</v>
      </c>
      <c r="AJ96" s="156">
        <f t="shared" si="54"/>
        <v>32.667509463902391</v>
      </c>
      <c r="AK96" s="141">
        <f t="shared" si="62"/>
        <v>19.565330264320693</v>
      </c>
      <c r="AL96" s="88"/>
      <c r="AM96" s="716">
        <f t="shared" si="63"/>
        <v>1821.9398553091282</v>
      </c>
      <c r="AN96" s="716" t="str">
        <f>_xlfn.XLOOKUP(D96,RUC!$B$3:$B$578,RUC!$M$3:$M$578)</f>
        <v>Ronald Miranda</v>
      </c>
      <c r="AO96" s="1167" t="s">
        <v>2279</v>
      </c>
      <c r="AP96" t="s">
        <v>2457</v>
      </c>
      <c r="AQ96" t="s">
        <v>2458</v>
      </c>
      <c r="AS96" s="1212">
        <f t="shared" si="64"/>
        <v>378.30894872608724</v>
      </c>
    </row>
    <row r="97" spans="1:45" ht="15" customHeight="1">
      <c r="A97" s="747" t="s">
        <v>2436</v>
      </c>
      <c r="B97" s="595">
        <v>45869</v>
      </c>
      <c r="C97" s="595">
        <v>45861</v>
      </c>
      <c r="D97" t="s">
        <v>2444</v>
      </c>
      <c r="E97">
        <f>_xlfn.XLOOKUP(D97,RUC!$B$3:$B$123,RUC!$D$3:$D$123)</f>
        <v>20608774000</v>
      </c>
      <c r="G97" s="1082">
        <v>60</v>
      </c>
      <c r="H97" t="s">
        <v>69</v>
      </c>
      <c r="I97" s="596">
        <v>5.64</v>
      </c>
      <c r="J97" s="596">
        <v>1.1000000000000001</v>
      </c>
      <c r="K97" s="138">
        <f t="shared" si="57"/>
        <v>5.57796</v>
      </c>
      <c r="L97" s="994">
        <v>0.154</v>
      </c>
      <c r="M97" s="762">
        <v>0.13900000000000001</v>
      </c>
      <c r="N97" s="159">
        <v>0.13900000000000001</v>
      </c>
      <c r="O97" s="645">
        <f t="shared" si="50"/>
        <v>0.13900000000000001</v>
      </c>
      <c r="P97" s="727">
        <v>85</v>
      </c>
      <c r="Q97" s="596">
        <v>96.53</v>
      </c>
      <c r="R97" s="706">
        <v>3413.55</v>
      </c>
      <c r="S97" s="765">
        <f t="shared" si="58"/>
        <v>95</v>
      </c>
      <c r="U97" s="1146">
        <f>_xlfn.XLOOKUP(D97,RUC!$B$3:$B$123,RUC!$F$3:$F$123)</f>
        <v>120</v>
      </c>
      <c r="V97" s="715">
        <v>1.1023000000000001</v>
      </c>
      <c r="Y97">
        <f>_xlfn.XLOOKUP(D97,RUC!$B$3:$B$123,RUC!$G$3:$G$123)</f>
        <v>20</v>
      </c>
      <c r="Z97" s="143">
        <f>_xlfn.XLOOKUP(D97,RUC!$B$3:$B$123,RUC!$H$3:$H$123)</f>
        <v>30</v>
      </c>
      <c r="AA97" s="144">
        <f t="shared" si="59"/>
        <v>50</v>
      </c>
      <c r="AB97" s="145">
        <f t="shared" si="52"/>
        <v>269.10773149475011</v>
      </c>
      <c r="AC97" s="145">
        <f>+(S97-T97)*V97-'data 1'!$F$4</f>
        <v>24.718500000000006</v>
      </c>
      <c r="AD97" s="145">
        <f t="shared" si="51"/>
        <v>64.46353190577301</v>
      </c>
      <c r="AE97" s="145">
        <f t="shared" si="60"/>
        <v>-14.884999999999998</v>
      </c>
      <c r="AF97" s="145">
        <f t="shared" si="53"/>
        <v>52.567537549117461</v>
      </c>
      <c r="AG97" s="772">
        <f t="shared" si="56"/>
        <v>143.8645694548905</v>
      </c>
      <c r="AH97" s="146">
        <f t="shared" si="61"/>
        <v>28.429386766528133</v>
      </c>
      <c r="AI97" s="146">
        <f t="shared" si="49"/>
        <v>29.451348561616218</v>
      </c>
      <c r="AJ97" s="156">
        <f t="shared" si="54"/>
        <v>9.2501075167269704</v>
      </c>
      <c r="AK97" s="141">
        <f t="shared" si="62"/>
        <v>22.595304107499715</v>
      </c>
      <c r="AL97" s="88"/>
      <c r="AM97" s="716">
        <f t="shared" si="63"/>
        <v>1501.0721619684564</v>
      </c>
      <c r="AN97" s="716" t="str">
        <f>_xlfn.XLOOKUP(D97,RUC!$B$3:$B$578,RUC!$M$3:$M$578)</f>
        <v>Ronald Miranda</v>
      </c>
      <c r="AO97" s="1167" t="s">
        <v>2281</v>
      </c>
      <c r="AP97" t="s">
        <v>2457</v>
      </c>
      <c r="AQ97" t="s">
        <v>2458</v>
      </c>
      <c r="AS97" s="1212">
        <f t="shared" si="64"/>
        <v>803.73408013130393</v>
      </c>
    </row>
    <row r="98" spans="1:45" ht="15" customHeight="1">
      <c r="A98" s="1200" t="s">
        <v>2446</v>
      </c>
      <c r="B98" s="595">
        <v>45868</v>
      </c>
      <c r="C98" s="595">
        <v>45863</v>
      </c>
      <c r="D98" t="s">
        <v>324</v>
      </c>
      <c r="E98">
        <f>_xlfn.XLOOKUP(D98,RUC!$B$3:$B$123,RUC!$D$3:$D$123)</f>
        <v>20603329059</v>
      </c>
      <c r="G98" s="1082" t="s">
        <v>1434</v>
      </c>
      <c r="H98" t="s">
        <v>116</v>
      </c>
      <c r="I98">
        <v>5.18</v>
      </c>
      <c r="J98" s="596">
        <v>1.1000000000000001</v>
      </c>
      <c r="K98" s="138">
        <f t="shared" si="57"/>
        <v>5.1230199999999995</v>
      </c>
      <c r="L98" s="994">
        <v>0.16</v>
      </c>
      <c r="M98" s="762">
        <v>0.14399999999999999</v>
      </c>
      <c r="N98" s="159">
        <v>0.14399999999999999</v>
      </c>
      <c r="O98" s="645">
        <f t="shared" si="50"/>
        <v>0.14399999999999999</v>
      </c>
      <c r="P98" s="727">
        <v>85</v>
      </c>
      <c r="Q98" s="596">
        <v>96.25</v>
      </c>
      <c r="R98" s="706">
        <v>3343.5</v>
      </c>
      <c r="S98" s="765">
        <f t="shared" ref="S98:S101" si="65">IF((90+ROUNDDOWN(O98,1)*100)&lt;95,95,(90+ROUNDDOWN(O98,1)*100))</f>
        <v>100</v>
      </c>
      <c r="U98" s="1146">
        <f>_xlfn.XLOOKUP(D98,RUC!$B$3:$B$123,RUC!$F$3:$F$123)</f>
        <v>100</v>
      </c>
      <c r="V98" s="715">
        <v>1.1023000000000001</v>
      </c>
      <c r="Y98">
        <f>_xlfn.XLOOKUP(D98,RUC!$B$3:$B$123,RUC!$G$3:$G$123)</f>
        <v>0</v>
      </c>
      <c r="Z98" s="143">
        <f>_xlfn.XLOOKUP(D98,RUC!$B$3:$B$123,RUC!$H$3:$H$123)</f>
        <v>30</v>
      </c>
      <c r="AA98" s="144">
        <f t="shared" si="59"/>
        <v>30</v>
      </c>
      <c r="AB98" s="145">
        <f t="shared" si="52"/>
        <v>294.31895012000001</v>
      </c>
      <c r="AC98" s="145">
        <f>+(S98-T98)*V98-'data 1'!$F$4</f>
        <v>30.230000000000004</v>
      </c>
      <c r="AD98" s="145">
        <f t="shared" si="51"/>
        <v>64.355580900000007</v>
      </c>
      <c r="AE98" s="145">
        <f t="shared" si="60"/>
        <v>-36.930999999999997</v>
      </c>
      <c r="AF98" s="145">
        <f t="shared" si="53"/>
        <v>55.059774770000047</v>
      </c>
      <c r="AG98" s="772">
        <f t="shared" si="56"/>
        <v>129.71435567000006</v>
      </c>
      <c r="AH98" s="146">
        <f t="shared" si="61"/>
        <v>27.049288217938294</v>
      </c>
      <c r="AI98" s="146">
        <f t="shared" ref="AI98:AI101" si="66">(31.1035*L98*1.1023*K98)</f>
        <v>28.103156590065762</v>
      </c>
      <c r="AJ98" s="156">
        <f t="shared" si="54"/>
        <v>18.078822299999999</v>
      </c>
      <c r="AK98" s="141">
        <f t="shared" si="62"/>
        <v>21.498914791400306</v>
      </c>
      <c r="AL98" s="88"/>
      <c r="AM98" s="716">
        <f t="shared" si="63"/>
        <v>1507.8018678437622</v>
      </c>
      <c r="AN98" s="716" t="str">
        <f>_xlfn.XLOOKUP(D98,RUC!$B$3:$B$578,RUC!$M$3:$M$578)</f>
        <v>Yuri Rospigliossi</v>
      </c>
      <c r="AO98" s="1167" t="s">
        <v>2279</v>
      </c>
      <c r="AP98" t="s">
        <v>2463</v>
      </c>
      <c r="AQ98" t="s">
        <v>2464</v>
      </c>
      <c r="AS98" s="1212">
        <f t="shared" si="64"/>
        <v>709.61120658943059</v>
      </c>
    </row>
    <row r="99" spans="1:45" ht="15" customHeight="1">
      <c r="A99" s="747" t="s">
        <v>2465</v>
      </c>
      <c r="B99" s="595">
        <v>45869</v>
      </c>
      <c r="C99" s="595">
        <v>45863</v>
      </c>
      <c r="D99" t="s">
        <v>1967</v>
      </c>
      <c r="E99">
        <f>_xlfn.XLOOKUP(D99,RUC!$B$3:$B$123,RUC!$D$3:$D$123)</f>
        <v>20601769396</v>
      </c>
      <c r="G99" s="1082">
        <v>50</v>
      </c>
      <c r="H99" t="s">
        <v>116</v>
      </c>
      <c r="I99">
        <v>3.39</v>
      </c>
      <c r="J99">
        <v>15.06</v>
      </c>
      <c r="K99" s="138">
        <f t="shared" si="57"/>
        <v>2.8794659999999999</v>
      </c>
      <c r="L99" s="762">
        <v>0.307</v>
      </c>
      <c r="M99" s="762">
        <v>0.28899999999999998</v>
      </c>
      <c r="N99" s="159">
        <v>0.28899999999999998</v>
      </c>
      <c r="O99" s="645">
        <f t="shared" si="50"/>
        <v>0.28899999999999998</v>
      </c>
      <c r="P99" s="727">
        <v>90</v>
      </c>
      <c r="Q99" s="596">
        <v>93.16</v>
      </c>
      <c r="R99" s="706">
        <v>3343.5</v>
      </c>
      <c r="S99" s="765">
        <f t="shared" si="65"/>
        <v>110</v>
      </c>
      <c r="U99" s="1146">
        <f>_xlfn.XLOOKUP(D99,RUC!$B$3:$B$123,RUC!$F$3:$F$123)</f>
        <v>120</v>
      </c>
      <c r="V99" s="715">
        <v>1.1023000000000001</v>
      </c>
      <c r="Y99">
        <f>_xlfn.XLOOKUP(D99,RUC!$B$3:$B$123,RUC!$G$3:$G$123)</f>
        <v>20</v>
      </c>
      <c r="Z99" s="143">
        <f>_xlfn.XLOOKUP(D99,RUC!$B$3:$B$123,RUC!$H$3:$H$123)</f>
        <v>30</v>
      </c>
      <c r="AA99" s="144">
        <f t="shared" si="59"/>
        <v>50</v>
      </c>
      <c r="AB99" s="145">
        <f t="shared" si="52"/>
        <v>747.8359794050001</v>
      </c>
      <c r="AC99" s="145">
        <f>+(S99-T99)*V99-'data 1'!$F$4</f>
        <v>41.253</v>
      </c>
      <c r="AD99" s="145">
        <f t="shared" si="51"/>
        <v>34.470925201859963</v>
      </c>
      <c r="AE99" s="145">
        <f t="shared" si="60"/>
        <v>-14.884999999999998</v>
      </c>
      <c r="AF99" s="145">
        <f t="shared" si="53"/>
        <v>59.583974201640061</v>
      </c>
      <c r="AG99" s="772">
        <f t="shared" si="56"/>
        <v>137.42289940350003</v>
      </c>
      <c r="AH99" s="146">
        <f t="shared" si="61"/>
        <v>28.23507069575048</v>
      </c>
      <c r="AI99" s="146">
        <f t="shared" si="66"/>
        <v>30.308148020341857</v>
      </c>
      <c r="AJ99" s="156">
        <f t="shared" si="54"/>
        <v>39.880279029139999</v>
      </c>
      <c r="AK99" s="141">
        <f t="shared" si="62"/>
        <v>25.678010749481814</v>
      </c>
      <c r="AL99" s="88"/>
      <c r="AM99" s="716">
        <f t="shared" si="63"/>
        <v>2153.3682762733979</v>
      </c>
      <c r="AN99" s="716" t="str">
        <f>_xlfn.XLOOKUP(D99,RUC!$B$3:$B$578,RUC!$M$3:$M$578)</f>
        <v>Evelyn</v>
      </c>
      <c r="AO99" s="1167" t="s">
        <v>2279</v>
      </c>
      <c r="AP99" t="s">
        <v>2485</v>
      </c>
      <c r="AQ99" t="s">
        <v>2486</v>
      </c>
      <c r="AS99" s="1212">
        <f t="shared" si="64"/>
        <v>489.51351482365817</v>
      </c>
    </row>
    <row r="100" spans="1:45" ht="15" customHeight="1">
      <c r="A100" s="747" t="s">
        <v>2467</v>
      </c>
      <c r="B100" s="595">
        <v>45869</v>
      </c>
      <c r="C100" s="595">
        <v>45863</v>
      </c>
      <c r="D100" t="s">
        <v>1967</v>
      </c>
      <c r="E100">
        <f>_xlfn.XLOOKUP(D100,RUC!$B$3:$B$123,RUC!$D$3:$D$123)</f>
        <v>20601769396</v>
      </c>
      <c r="G100" s="1082">
        <v>50</v>
      </c>
      <c r="H100" t="s">
        <v>116</v>
      </c>
      <c r="I100">
        <v>2.99</v>
      </c>
      <c r="J100">
        <v>20.350000000000001</v>
      </c>
      <c r="K100" s="138">
        <f t="shared" si="57"/>
        <v>2.3815350000000004</v>
      </c>
      <c r="L100" s="762">
        <v>0.42799999999999999</v>
      </c>
      <c r="M100" s="762">
        <v>0.40200000000000002</v>
      </c>
      <c r="N100" s="159">
        <v>0.40200000000000002</v>
      </c>
      <c r="O100" s="645">
        <f t="shared" si="50"/>
        <v>0.40200000000000002</v>
      </c>
      <c r="P100" s="727">
        <v>90</v>
      </c>
      <c r="Q100" s="596">
        <v>94.63</v>
      </c>
      <c r="R100" s="706">
        <v>3343.5</v>
      </c>
      <c r="S100" s="765">
        <f t="shared" si="65"/>
        <v>130</v>
      </c>
      <c r="U100" s="1146">
        <f>_xlfn.XLOOKUP(D100,RUC!$B$3:$B$123,RUC!$F$3:$F$123)</f>
        <v>120</v>
      </c>
      <c r="V100" s="715">
        <v>1.1023000000000001</v>
      </c>
      <c r="Y100">
        <f>_xlfn.XLOOKUP(D100,RUC!$B$3:$B$123,RUC!$G$3:$G$123)</f>
        <v>20</v>
      </c>
      <c r="Z100" s="143">
        <f>_xlfn.XLOOKUP(D100,RUC!$B$3:$B$123,RUC!$H$3:$H$123)</f>
        <v>30</v>
      </c>
      <c r="AA100" s="144">
        <f t="shared" si="59"/>
        <v>50</v>
      </c>
      <c r="AB100" s="145">
        <f t="shared" si="52"/>
        <v>1087.1569332899999</v>
      </c>
      <c r="AC100" s="145">
        <f>+(S100-T100)*V100-'data 1'!$F$4</f>
        <v>63.299000000000007</v>
      </c>
      <c r="AD100" s="145">
        <f t="shared" si="51"/>
        <v>70.412901720419939</v>
      </c>
      <c r="AE100" s="145">
        <f t="shared" si="60"/>
        <v>-14.884999999999998</v>
      </c>
      <c r="AF100" s="145">
        <f t="shared" si="53"/>
        <v>87.423798033389886</v>
      </c>
      <c r="AG100" s="772">
        <f t="shared" si="56"/>
        <v>223.25069975380984</v>
      </c>
      <c r="AH100" s="146">
        <f t="shared" si="61"/>
        <v>33.070339000377714</v>
      </c>
      <c r="AI100" s="146">
        <f t="shared" si="66"/>
        <v>34.946992497493099</v>
      </c>
      <c r="AJ100" s="156">
        <f t="shared" si="54"/>
        <v>56.475871581579995</v>
      </c>
      <c r="AK100" s="141">
        <f t="shared" si="62"/>
        <v>29.541639919609821</v>
      </c>
      <c r="AL100" s="88"/>
      <c r="AM100" s="716">
        <f t="shared" si="63"/>
        <v>2589.1022871228001</v>
      </c>
      <c r="AN100" s="716" t="str">
        <f>_xlfn.XLOOKUP(D100,RUC!$B$3:$B$578,RUC!$M$3:$M$578)</f>
        <v>Evelyn</v>
      </c>
      <c r="AO100" s="1167" t="s">
        <v>2279</v>
      </c>
      <c r="AP100" t="s">
        <v>2485</v>
      </c>
      <c r="AQ100" t="s">
        <v>2486</v>
      </c>
      <c r="AS100" s="1212">
        <f t="shared" si="64"/>
        <v>638.18260518727811</v>
      </c>
    </row>
    <row r="101" spans="1:45" ht="15" customHeight="1">
      <c r="A101" s="1200" t="s">
        <v>2471</v>
      </c>
      <c r="B101" s="595">
        <v>45870</v>
      </c>
      <c r="C101" s="595">
        <v>45863</v>
      </c>
      <c r="D101" t="s">
        <v>324</v>
      </c>
      <c r="E101">
        <f>_xlfn.XLOOKUP(D101,RUC!$B$3:$B$123,RUC!$D$3:$D$123)</f>
        <v>20603329059</v>
      </c>
      <c r="G101" s="1082" t="s">
        <v>1434</v>
      </c>
      <c r="H101" t="s">
        <v>108</v>
      </c>
      <c r="I101">
        <v>1.1499999999999999</v>
      </c>
      <c r="J101">
        <v>11.35</v>
      </c>
      <c r="K101" s="138">
        <f t="shared" si="57"/>
        <v>1.0194749999999999</v>
      </c>
      <c r="L101" s="762">
        <v>0.23699999999999999</v>
      </c>
      <c r="M101" s="994">
        <v>0.22</v>
      </c>
      <c r="N101" s="159">
        <v>0.22</v>
      </c>
      <c r="O101" s="645">
        <f t="shared" si="50"/>
        <v>0.22</v>
      </c>
      <c r="P101" s="727">
        <v>90</v>
      </c>
      <c r="Q101" s="596">
        <v>91.98</v>
      </c>
      <c r="R101" s="706">
        <v>3343.5</v>
      </c>
      <c r="S101" s="765">
        <f t="shared" si="65"/>
        <v>110</v>
      </c>
      <c r="U101" s="1146">
        <f>_xlfn.XLOOKUP(D101,RUC!$B$3:$B$123,RUC!$F$3:$F$123)</f>
        <v>100</v>
      </c>
      <c r="V101" s="715">
        <v>1.1023000000000001</v>
      </c>
      <c r="Y101">
        <f>_xlfn.XLOOKUP(D101,RUC!$B$3:$B$123,RUC!$G$3:$G$123)</f>
        <v>0</v>
      </c>
      <c r="Z101" s="143">
        <f>_xlfn.XLOOKUP(D101,RUC!$B$3:$B$123,RUC!$H$3:$H$123)</f>
        <v>30</v>
      </c>
      <c r="AA101" s="144">
        <f t="shared" si="59"/>
        <v>30</v>
      </c>
      <c r="AB101" s="145">
        <f t="shared" si="52"/>
        <v>553.58938990000013</v>
      </c>
      <c r="AC101" s="145">
        <f>+(S101-T101)*V101-'data 1'!$F$4</f>
        <v>41.253</v>
      </c>
      <c r="AD101" s="145">
        <f t="shared" si="51"/>
        <v>16.777499940630033</v>
      </c>
      <c r="AE101" s="145">
        <f t="shared" si="60"/>
        <v>-36.930999999999997</v>
      </c>
      <c r="AF101" s="145">
        <f t="shared" si="53"/>
        <v>55.905693127829963</v>
      </c>
      <c r="AG101" s="772">
        <f t="shared" si="56"/>
        <v>94.005193068460017</v>
      </c>
      <c r="AH101" s="146">
        <f t="shared" si="61"/>
        <v>7.6195162712254083</v>
      </c>
      <c r="AI101" s="146">
        <f t="shared" si="66"/>
        <v>8.2838837477988765</v>
      </c>
      <c r="AJ101" s="156">
        <f t="shared" si="54"/>
        <v>25.591230377369996</v>
      </c>
      <c r="AK101" s="141">
        <f t="shared" si="62"/>
        <v>6.920713004490203</v>
      </c>
      <c r="AL101" s="88"/>
      <c r="AM101" s="716">
        <f t="shared" si="63"/>
        <v>564.37054326830253</v>
      </c>
      <c r="AN101" s="716" t="str">
        <f>_xlfn.XLOOKUP(D101,RUC!$B$3:$B$578,RUC!$M$3:$M$578)</f>
        <v>Yuri Rospigliossi</v>
      </c>
      <c r="AO101" s="1167" t="s">
        <v>2279</v>
      </c>
      <c r="AP101" t="s">
        <v>2473</v>
      </c>
      <c r="AQ101" t="s">
        <v>2472</v>
      </c>
      <c r="AS101" s="1212">
        <f t="shared" si="64"/>
        <v>116.5953802756585</v>
      </c>
    </row>
    <row r="102" spans="1:45" ht="15" customHeight="1">
      <c r="B102" s="595"/>
      <c r="G102" s="1082"/>
      <c r="L102" s="762"/>
      <c r="M102" s="762"/>
      <c r="N102" s="159"/>
      <c r="R102" s="706"/>
    </row>
    <row r="103" spans="1:45" ht="15" customHeight="1">
      <c r="B103" s="595"/>
      <c r="G103" s="1082"/>
      <c r="L103" s="762"/>
      <c r="M103" s="762"/>
      <c r="N103" s="159"/>
      <c r="R103" s="706"/>
    </row>
    <row r="104" spans="1:45" ht="15" hidden="1" customHeight="1">
      <c r="B104" s="595"/>
      <c r="G104" s="1082"/>
      <c r="L104" s="762"/>
      <c r="M104" s="762"/>
      <c r="N104" s="159"/>
      <c r="R104" s="706"/>
    </row>
    <row r="105" spans="1:45" ht="15" hidden="1" customHeight="1">
      <c r="B105" s="595"/>
      <c r="G105" s="1082"/>
      <c r="L105" s="762"/>
      <c r="M105" s="762"/>
      <c r="N105" s="159"/>
      <c r="R105" s="706"/>
    </row>
    <row r="106" spans="1:45" ht="15" hidden="1" customHeight="1">
      <c r="B106" s="595"/>
      <c r="G106" s="1082"/>
      <c r="L106" s="762"/>
      <c r="M106" s="762"/>
      <c r="N106" s="159"/>
      <c r="R106" s="706"/>
    </row>
    <row r="107" spans="1:45" ht="15" hidden="1" customHeight="1">
      <c r="B107" s="595"/>
      <c r="G107" s="1082"/>
      <c r="L107" s="762"/>
      <c r="M107" s="762"/>
      <c r="N107" s="159"/>
      <c r="R107" s="706"/>
    </row>
    <row r="108" spans="1:45" ht="15" hidden="1" customHeight="1">
      <c r="B108" s="595"/>
      <c r="G108" s="1082"/>
      <c r="L108" s="762"/>
      <c r="M108" s="762"/>
      <c r="N108" s="159"/>
      <c r="R108" s="706"/>
    </row>
    <row r="109" spans="1:45" ht="15" hidden="1" customHeight="1">
      <c r="B109" s="595"/>
      <c r="G109" s="1082"/>
      <c r="L109" s="762"/>
      <c r="M109" s="762"/>
      <c r="N109" s="159"/>
      <c r="R109" s="706"/>
    </row>
    <row r="110" spans="1:45" ht="15" hidden="1" customHeight="1">
      <c r="B110" s="595"/>
      <c r="G110" s="1082"/>
      <c r="L110" s="762"/>
      <c r="M110" s="762"/>
      <c r="N110" s="159"/>
      <c r="R110" s="706"/>
    </row>
    <row r="111" spans="1:45" ht="15" hidden="1" customHeight="1">
      <c r="B111" s="595"/>
      <c r="G111" s="1082"/>
      <c r="L111" s="762"/>
      <c r="M111" s="762"/>
      <c r="N111" s="159"/>
      <c r="R111" s="706"/>
    </row>
    <row r="112" spans="1:45" ht="15" hidden="1" customHeight="1">
      <c r="B112" s="595"/>
      <c r="G112" s="1082"/>
      <c r="L112" s="762"/>
      <c r="M112" s="762"/>
      <c r="N112" s="159"/>
      <c r="R112" s="706"/>
    </row>
    <row r="113" spans="2:18" ht="15" hidden="1" customHeight="1">
      <c r="B113" s="595"/>
      <c r="G113" s="1082"/>
      <c r="L113" s="762"/>
      <c r="M113" s="762"/>
      <c r="N113" s="159"/>
      <c r="R113" s="706"/>
    </row>
    <row r="114" spans="2:18" ht="15" hidden="1" customHeight="1">
      <c r="B114" s="595"/>
      <c r="G114" s="1082"/>
      <c r="L114" s="762"/>
      <c r="M114" s="762"/>
      <c r="N114" s="159"/>
      <c r="R114" s="706"/>
    </row>
    <row r="115" spans="2:18" ht="15" hidden="1" customHeight="1">
      <c r="B115" s="595"/>
      <c r="G115" s="1082"/>
      <c r="L115" s="762"/>
      <c r="M115" s="762"/>
      <c r="N115" s="159"/>
      <c r="R115" s="706"/>
    </row>
    <row r="116" spans="2:18" ht="15" hidden="1" customHeight="1">
      <c r="B116" s="595"/>
      <c r="G116" s="1082"/>
      <c r="L116" s="762"/>
      <c r="M116" s="762"/>
      <c r="N116" s="159"/>
      <c r="R116" s="706"/>
    </row>
    <row r="117" spans="2:18" ht="15" hidden="1" customHeight="1">
      <c r="B117" s="595"/>
      <c r="G117" s="1082"/>
      <c r="L117" s="762"/>
      <c r="M117" s="762"/>
      <c r="N117" s="159"/>
      <c r="R117" s="706"/>
    </row>
    <row r="118" spans="2:18" ht="15" hidden="1" customHeight="1">
      <c r="B118" s="595"/>
      <c r="G118" s="1082"/>
      <c r="L118" s="762"/>
      <c r="M118" s="762"/>
      <c r="N118" s="159"/>
      <c r="R118" s="706"/>
    </row>
    <row r="119" spans="2:18" ht="15" hidden="1" customHeight="1">
      <c r="B119" s="595"/>
      <c r="G119" s="1082"/>
      <c r="L119" s="762"/>
      <c r="M119" s="762"/>
      <c r="N119" s="159"/>
      <c r="R119" s="706"/>
    </row>
    <row r="120" spans="2:18" ht="15" hidden="1" customHeight="1">
      <c r="B120" s="595"/>
      <c r="G120" s="1082"/>
      <c r="L120" s="762"/>
      <c r="M120" s="762"/>
      <c r="N120" s="159"/>
      <c r="R120" s="706"/>
    </row>
    <row r="121" spans="2:18" ht="15" hidden="1" customHeight="1">
      <c r="B121" s="595"/>
      <c r="G121" s="1082"/>
      <c r="L121" s="762"/>
      <c r="M121" s="762"/>
      <c r="N121" s="159"/>
      <c r="R121" s="706"/>
    </row>
    <row r="122" spans="2:18" ht="15" hidden="1" customHeight="1">
      <c r="B122" s="595"/>
      <c r="G122" s="1082"/>
      <c r="L122" s="762"/>
      <c r="M122" s="762"/>
      <c r="N122" s="159"/>
      <c r="R122" s="706"/>
    </row>
    <row r="123" spans="2:18" ht="15" hidden="1" customHeight="1">
      <c r="B123" s="595"/>
      <c r="G123" s="1082"/>
      <c r="L123" s="762"/>
      <c r="M123" s="762"/>
      <c r="N123" s="159"/>
      <c r="R123" s="706"/>
    </row>
    <row r="124" spans="2:18" ht="15" hidden="1" customHeight="1">
      <c r="B124" s="595"/>
      <c r="G124" s="1082"/>
      <c r="L124" s="762"/>
      <c r="M124" s="762"/>
      <c r="N124" s="159"/>
      <c r="R124" s="706"/>
    </row>
    <row r="125" spans="2:18" ht="15" hidden="1" customHeight="1">
      <c r="B125" s="595"/>
      <c r="G125" s="1082"/>
      <c r="L125" s="762"/>
      <c r="M125" s="762"/>
      <c r="N125" s="159"/>
      <c r="R125" s="706"/>
    </row>
    <row r="126" spans="2:18" ht="15" hidden="1" customHeight="1">
      <c r="B126" s="595"/>
      <c r="G126" s="1082"/>
      <c r="L126" s="762"/>
      <c r="M126" s="762"/>
      <c r="N126" s="159"/>
      <c r="R126" s="706"/>
    </row>
    <row r="127" spans="2:18" ht="15" hidden="1" customHeight="1">
      <c r="B127" s="595"/>
      <c r="G127" s="1082"/>
      <c r="L127" s="762"/>
      <c r="M127" s="762"/>
      <c r="N127" s="159"/>
      <c r="R127" s="706"/>
    </row>
    <row r="128" spans="2:18" ht="15" hidden="1" customHeight="1">
      <c r="B128" s="595"/>
      <c r="G128" s="1082"/>
      <c r="L128" s="762"/>
      <c r="M128" s="762"/>
      <c r="N128" s="159"/>
      <c r="R128" s="706"/>
    </row>
    <row r="129" spans="2:18" ht="15" hidden="1" customHeight="1">
      <c r="B129" s="595"/>
      <c r="G129" s="1082"/>
      <c r="L129" s="762"/>
      <c r="M129" s="762"/>
      <c r="N129" s="159"/>
      <c r="R129" s="706"/>
    </row>
    <row r="130" spans="2:18" ht="15" hidden="1" customHeight="1">
      <c r="B130" s="595"/>
      <c r="G130" s="1082"/>
      <c r="L130" s="762"/>
      <c r="M130" s="762"/>
      <c r="N130" s="159"/>
      <c r="R130" s="706"/>
    </row>
    <row r="131" spans="2:18" ht="15" hidden="1" customHeight="1">
      <c r="B131" s="595"/>
      <c r="G131" s="1082"/>
      <c r="L131" s="762"/>
      <c r="M131" s="762"/>
      <c r="N131" s="159"/>
      <c r="R131" s="706"/>
    </row>
    <row r="132" spans="2:18" ht="15" hidden="1" customHeight="1">
      <c r="B132" s="595"/>
      <c r="G132" s="1082"/>
      <c r="L132" s="762"/>
      <c r="M132" s="762"/>
      <c r="N132" s="159"/>
      <c r="R132" s="706"/>
    </row>
    <row r="133" spans="2:18" ht="15" hidden="1" customHeight="1">
      <c r="B133" s="595"/>
      <c r="G133" s="1082"/>
      <c r="L133" s="762"/>
      <c r="M133" s="762"/>
      <c r="N133" s="159"/>
      <c r="R133" s="706"/>
    </row>
    <row r="134" spans="2:18" ht="15" hidden="1" customHeight="1">
      <c r="B134" s="595"/>
      <c r="G134" s="1082"/>
      <c r="L134" s="762"/>
      <c r="M134" s="762"/>
      <c r="N134" s="159"/>
      <c r="R134" s="706"/>
    </row>
    <row r="135" spans="2:18" ht="15" hidden="1" customHeight="1">
      <c r="B135" s="595"/>
      <c r="G135" s="1082"/>
      <c r="L135" s="762"/>
      <c r="M135" s="762"/>
      <c r="N135" s="159"/>
      <c r="R135" s="706"/>
    </row>
    <row r="136" spans="2:18" ht="15" hidden="1" customHeight="1">
      <c r="B136" s="595"/>
      <c r="G136" s="1082"/>
      <c r="L136" s="762"/>
      <c r="M136" s="762"/>
      <c r="N136" s="159"/>
      <c r="R136" s="706"/>
    </row>
    <row r="137" spans="2:18" ht="15" hidden="1" customHeight="1">
      <c r="B137" s="595"/>
      <c r="G137" s="1082"/>
      <c r="L137" s="762"/>
      <c r="M137" s="762"/>
      <c r="N137" s="159"/>
      <c r="R137" s="706"/>
    </row>
    <row r="138" spans="2:18" ht="15" hidden="1" customHeight="1">
      <c r="B138" s="595"/>
      <c r="G138" s="1082"/>
      <c r="L138" s="762"/>
      <c r="M138" s="762"/>
      <c r="N138" s="159"/>
      <c r="R138" s="706"/>
    </row>
    <row r="139" spans="2:18" ht="15" hidden="1" customHeight="1">
      <c r="B139" s="595"/>
      <c r="G139" s="1082"/>
      <c r="L139" s="762"/>
      <c r="M139" s="762"/>
      <c r="N139" s="159"/>
      <c r="R139" s="706"/>
    </row>
    <row r="140" spans="2:18" ht="15" hidden="1" customHeight="1">
      <c r="B140" s="595"/>
      <c r="G140" s="1082"/>
      <c r="L140" s="762"/>
      <c r="M140" s="762"/>
      <c r="N140" s="159"/>
      <c r="R140" s="706"/>
    </row>
    <row r="141" spans="2:18" ht="15" hidden="1" customHeight="1">
      <c r="B141" s="595"/>
      <c r="G141" s="1082"/>
      <c r="L141" s="762"/>
      <c r="M141" s="762"/>
      <c r="N141" s="159"/>
      <c r="R141" s="706"/>
    </row>
    <row r="142" spans="2:18" ht="15" hidden="1" customHeight="1">
      <c r="B142" s="595"/>
      <c r="G142" s="1082"/>
      <c r="L142" s="762"/>
      <c r="M142" s="762"/>
      <c r="N142" s="159"/>
      <c r="R142" s="706"/>
    </row>
    <row r="143" spans="2:18" ht="15" hidden="1" customHeight="1">
      <c r="B143" s="595"/>
      <c r="G143" s="1082"/>
      <c r="L143" s="762"/>
      <c r="M143" s="762"/>
      <c r="N143" s="159"/>
      <c r="R143" s="706"/>
    </row>
    <row r="144" spans="2:18" ht="15" hidden="1" customHeight="1">
      <c r="B144" s="595"/>
      <c r="G144" s="1082"/>
      <c r="L144" s="762"/>
      <c r="M144" s="762"/>
      <c r="N144" s="159"/>
      <c r="R144" s="706"/>
    </row>
    <row r="145" spans="2:18" ht="15" hidden="1" customHeight="1">
      <c r="B145" s="595"/>
      <c r="G145" s="1082"/>
      <c r="L145" s="762"/>
      <c r="M145" s="762"/>
      <c r="N145" s="159"/>
      <c r="R145" s="706"/>
    </row>
    <row r="146" spans="2:18" ht="15" hidden="1" customHeight="1">
      <c r="B146" s="595"/>
      <c r="G146" s="1082"/>
      <c r="L146" s="762"/>
      <c r="M146" s="762"/>
      <c r="N146" s="159"/>
      <c r="R146" s="706"/>
    </row>
    <row r="147" spans="2:18" ht="15" hidden="1" customHeight="1">
      <c r="B147" s="595"/>
      <c r="G147" s="1082"/>
      <c r="L147" s="762"/>
      <c r="M147" s="762"/>
      <c r="N147" s="159"/>
      <c r="R147" s="706"/>
    </row>
    <row r="148" spans="2:18" ht="15" hidden="1" customHeight="1">
      <c r="B148" s="595"/>
      <c r="G148" s="1082"/>
      <c r="L148" s="762"/>
      <c r="M148" s="762"/>
      <c r="N148" s="159"/>
      <c r="R148" s="706"/>
    </row>
    <row r="149" spans="2:18" ht="15" hidden="1" customHeight="1">
      <c r="B149" s="595"/>
      <c r="G149" s="1082"/>
      <c r="L149" s="762"/>
      <c r="M149" s="762"/>
      <c r="N149" s="159"/>
      <c r="R149" s="706"/>
    </row>
    <row r="150" spans="2:18" ht="15" hidden="1" customHeight="1">
      <c r="B150" s="595"/>
      <c r="G150" s="1082"/>
      <c r="L150" s="762"/>
      <c r="M150" s="762"/>
      <c r="N150" s="159"/>
      <c r="R150" s="706"/>
    </row>
    <row r="151" spans="2:18" ht="15" hidden="1" customHeight="1">
      <c r="B151" s="595"/>
      <c r="G151" s="1082"/>
      <c r="L151" s="762"/>
      <c r="M151" s="762"/>
      <c r="N151" s="159"/>
      <c r="R151" s="706"/>
    </row>
    <row r="152" spans="2:18" ht="15" hidden="1" customHeight="1">
      <c r="B152" s="595"/>
      <c r="G152" s="1082"/>
      <c r="L152" s="762"/>
      <c r="M152" s="762"/>
      <c r="N152" s="159"/>
      <c r="R152" s="706"/>
    </row>
    <row r="153" spans="2:18" ht="15" hidden="1" customHeight="1">
      <c r="B153" s="595"/>
      <c r="G153" s="1082"/>
      <c r="L153" s="762"/>
      <c r="M153" s="762"/>
      <c r="N153" s="159"/>
      <c r="R153" s="706"/>
    </row>
    <row r="154" spans="2:18" ht="15" hidden="1" customHeight="1">
      <c r="B154" s="595"/>
      <c r="G154" s="1082"/>
      <c r="L154" s="762"/>
      <c r="M154" s="762"/>
      <c r="N154" s="159"/>
      <c r="R154" s="706"/>
    </row>
    <row r="155" spans="2:18" ht="15" hidden="1" customHeight="1">
      <c r="B155" s="595"/>
      <c r="G155" s="1082"/>
      <c r="L155" s="762"/>
      <c r="M155" s="762"/>
      <c r="N155" s="159"/>
      <c r="R155" s="706"/>
    </row>
    <row r="156" spans="2:18" ht="15" hidden="1" customHeight="1">
      <c r="B156" s="595"/>
      <c r="G156" s="1082"/>
      <c r="L156" s="762"/>
      <c r="M156" s="762"/>
      <c r="R156" s="706"/>
    </row>
    <row r="157" spans="2:18" ht="15" hidden="1" customHeight="1">
      <c r="B157" s="595"/>
      <c r="G157" s="1082"/>
      <c r="L157" s="762"/>
      <c r="M157" s="762"/>
      <c r="R157" s="706"/>
    </row>
    <row r="158" spans="2:18" ht="15" hidden="1" customHeight="1">
      <c r="B158" s="595"/>
      <c r="G158" s="1082"/>
      <c r="L158" s="762"/>
      <c r="M158" s="762"/>
      <c r="R158" s="706"/>
    </row>
    <row r="159" spans="2:18" ht="15" hidden="1" customHeight="1">
      <c r="B159" s="595"/>
      <c r="G159" s="1082"/>
      <c r="L159" s="762"/>
      <c r="M159" s="762"/>
      <c r="R159" s="706"/>
    </row>
    <row r="160" spans="2:18" ht="15" hidden="1" customHeight="1">
      <c r="B160" s="595"/>
      <c r="G160" s="1082"/>
      <c r="L160" s="762"/>
      <c r="M160" s="762"/>
      <c r="R160" s="706"/>
    </row>
    <row r="161" spans="2:18" ht="15" hidden="1" customHeight="1">
      <c r="B161" s="595"/>
      <c r="G161" s="1082"/>
      <c r="L161" s="762"/>
      <c r="M161" s="762"/>
      <c r="R161" s="706"/>
    </row>
    <row r="162" spans="2:18" ht="15" hidden="1" customHeight="1">
      <c r="B162" s="595"/>
      <c r="G162" s="1082"/>
      <c r="L162" s="762"/>
      <c r="M162" s="762"/>
      <c r="R162" s="706"/>
    </row>
    <row r="163" spans="2:18" ht="15" hidden="1" customHeight="1">
      <c r="B163" s="595"/>
      <c r="G163" s="1082"/>
      <c r="L163" s="762"/>
      <c r="M163" s="762"/>
      <c r="R163" s="706"/>
    </row>
    <row r="164" spans="2:18" ht="15" hidden="1" customHeight="1">
      <c r="B164" s="595"/>
      <c r="G164" s="1082"/>
      <c r="L164" s="762"/>
      <c r="M164" s="762"/>
      <c r="R164" s="706"/>
    </row>
    <row r="165" spans="2:18" ht="15" hidden="1" customHeight="1">
      <c r="B165" s="595"/>
      <c r="G165" s="1082"/>
      <c r="L165" s="762"/>
      <c r="M165" s="762"/>
      <c r="R165" s="706"/>
    </row>
    <row r="166" spans="2:18" ht="15" hidden="1" customHeight="1">
      <c r="B166" s="595"/>
      <c r="G166" s="1082"/>
      <c r="L166" s="762"/>
      <c r="M166" s="762"/>
      <c r="R166" s="706"/>
    </row>
    <row r="167" spans="2:18" ht="15" hidden="1" customHeight="1">
      <c r="B167" s="595"/>
      <c r="G167" s="1082"/>
      <c r="L167" s="762"/>
      <c r="M167" s="762"/>
      <c r="R167" s="706"/>
    </row>
    <row r="168" spans="2:18" ht="15" hidden="1" customHeight="1">
      <c r="B168" s="595"/>
      <c r="G168" s="1082"/>
      <c r="L168" s="762"/>
      <c r="M168" s="762"/>
      <c r="R168" s="706"/>
    </row>
    <row r="169" spans="2:18" ht="15" hidden="1" customHeight="1">
      <c r="B169" s="595"/>
      <c r="G169" s="1082"/>
      <c r="L169" s="762"/>
      <c r="M169" s="762"/>
      <c r="R169" s="706"/>
    </row>
    <row r="170" spans="2:18" ht="15" hidden="1" customHeight="1">
      <c r="B170" s="595"/>
      <c r="G170" s="1082"/>
      <c r="L170" s="762"/>
      <c r="M170" s="762"/>
      <c r="R170" s="706"/>
    </row>
    <row r="171" spans="2:18" ht="15" hidden="1" customHeight="1">
      <c r="B171" s="595"/>
      <c r="G171" s="1082"/>
      <c r="L171" s="762"/>
      <c r="M171" s="762"/>
      <c r="R171" s="706"/>
    </row>
    <row r="172" spans="2:18" ht="15" hidden="1" customHeight="1">
      <c r="B172" s="595"/>
      <c r="G172" s="1082"/>
      <c r="L172" s="762"/>
      <c r="M172" s="762"/>
      <c r="R172" s="706"/>
    </row>
    <row r="173" spans="2:18" ht="15" hidden="1" customHeight="1">
      <c r="B173" s="595"/>
      <c r="G173" s="1082"/>
      <c r="L173" s="762"/>
      <c r="M173" s="762"/>
      <c r="R173" s="706"/>
    </row>
    <row r="174" spans="2:18" ht="15" hidden="1" customHeight="1">
      <c r="B174" s="595"/>
      <c r="G174" s="1082"/>
      <c r="L174" s="762"/>
      <c r="M174" s="762"/>
      <c r="R174" s="706"/>
    </row>
    <row r="175" spans="2:18" ht="15" hidden="1" customHeight="1">
      <c r="B175" s="595"/>
      <c r="G175" s="1082"/>
      <c r="L175" s="762"/>
      <c r="M175" s="762"/>
      <c r="R175" s="706"/>
    </row>
    <row r="176" spans="2:18" ht="15" hidden="1" customHeight="1">
      <c r="B176" s="595"/>
      <c r="G176" s="1082"/>
      <c r="L176" s="762"/>
      <c r="M176" s="762"/>
      <c r="R176" s="706"/>
    </row>
    <row r="177" spans="2:18" ht="15" hidden="1" customHeight="1">
      <c r="B177" s="595"/>
      <c r="G177" s="1082"/>
      <c r="L177" s="762"/>
      <c r="M177" s="762"/>
      <c r="R177" s="706"/>
    </row>
    <row r="178" spans="2:18" ht="15" hidden="1" customHeight="1">
      <c r="B178" s="595"/>
      <c r="G178" s="1082"/>
      <c r="L178" s="762"/>
      <c r="M178" s="762"/>
      <c r="R178" s="706"/>
    </row>
    <row r="179" spans="2:18" ht="15" hidden="1" customHeight="1">
      <c r="B179" s="595"/>
      <c r="G179" s="1082"/>
      <c r="L179" s="762"/>
      <c r="M179" s="762"/>
      <c r="R179" s="706"/>
    </row>
    <row r="180" spans="2:18" ht="15" hidden="1" customHeight="1">
      <c r="B180" s="595"/>
      <c r="G180" s="1082"/>
      <c r="L180" s="762"/>
      <c r="M180" s="762"/>
      <c r="R180" s="706"/>
    </row>
    <row r="181" spans="2:18" ht="15" hidden="1" customHeight="1">
      <c r="B181" s="595"/>
      <c r="G181" s="1082"/>
      <c r="L181" s="762"/>
      <c r="M181" s="762"/>
      <c r="R181" s="706"/>
    </row>
    <row r="182" spans="2:18" ht="15" hidden="1" customHeight="1">
      <c r="B182" s="595"/>
      <c r="G182" s="1082"/>
      <c r="L182" s="762"/>
      <c r="M182" s="762"/>
      <c r="R182" s="706"/>
    </row>
    <row r="183" spans="2:18" ht="15" hidden="1" customHeight="1">
      <c r="B183" s="595"/>
      <c r="G183" s="1082"/>
      <c r="L183" s="762"/>
      <c r="M183" s="762"/>
      <c r="R183" s="706"/>
    </row>
    <row r="184" spans="2:18" ht="15" hidden="1" customHeight="1">
      <c r="B184" s="595"/>
      <c r="G184" s="1082"/>
      <c r="L184" s="762"/>
      <c r="M184" s="762"/>
      <c r="R184" s="706"/>
    </row>
    <row r="185" spans="2:18" ht="15" hidden="1" customHeight="1">
      <c r="B185" s="595"/>
      <c r="G185" s="1082"/>
      <c r="L185" s="762"/>
      <c r="M185" s="762"/>
      <c r="R185" s="706"/>
    </row>
    <row r="186" spans="2:18" ht="15" hidden="1" customHeight="1">
      <c r="B186" s="595"/>
      <c r="G186" s="1082"/>
      <c r="L186" s="762"/>
      <c r="M186" s="762"/>
      <c r="R186" s="706"/>
    </row>
    <row r="187" spans="2:18" ht="15" hidden="1" customHeight="1">
      <c r="B187" s="595"/>
      <c r="G187" s="1082"/>
      <c r="L187" s="762"/>
      <c r="M187" s="762"/>
      <c r="R187" s="706"/>
    </row>
    <row r="188" spans="2:18" ht="15" hidden="1" customHeight="1">
      <c r="B188" s="595"/>
      <c r="G188" s="1082"/>
      <c r="L188" s="762"/>
      <c r="M188" s="762"/>
      <c r="R188" s="706"/>
    </row>
    <row r="189" spans="2:18" ht="15" hidden="1" customHeight="1">
      <c r="B189" s="595"/>
      <c r="G189" s="1082"/>
      <c r="L189" s="762"/>
      <c r="M189" s="762"/>
      <c r="R189" s="706"/>
    </row>
    <row r="190" spans="2:18" ht="15" hidden="1" customHeight="1">
      <c r="B190" s="595"/>
      <c r="G190" s="1082"/>
      <c r="L190" s="762"/>
      <c r="M190" s="762"/>
      <c r="R190" s="706"/>
    </row>
    <row r="191" spans="2:18" ht="15" hidden="1" customHeight="1">
      <c r="B191" s="595"/>
      <c r="G191" s="1082"/>
      <c r="L191" s="762"/>
      <c r="M191" s="762"/>
      <c r="R191" s="706"/>
    </row>
    <row r="192" spans="2:18" ht="15" hidden="1" customHeight="1">
      <c r="B192" s="595"/>
      <c r="G192" s="1082"/>
      <c r="L192" s="762"/>
      <c r="M192" s="762"/>
      <c r="R192" s="706"/>
    </row>
    <row r="193" spans="1:34" ht="15" hidden="1" customHeight="1">
      <c r="B193" s="595"/>
      <c r="G193" s="1082"/>
      <c r="L193" s="762"/>
      <c r="M193" s="762"/>
      <c r="R193" s="706"/>
    </row>
    <row r="194" spans="1:34" ht="15" hidden="1" customHeight="1">
      <c r="B194" s="595"/>
      <c r="G194" s="1082"/>
      <c r="L194" s="762"/>
      <c r="M194" s="762"/>
      <c r="R194" s="706"/>
    </row>
    <row r="195" spans="1:34" ht="15" hidden="1" customHeight="1">
      <c r="B195" s="595"/>
      <c r="G195" s="1082"/>
      <c r="L195" s="762"/>
      <c r="M195" s="762"/>
      <c r="R195" s="706"/>
    </row>
    <row r="196" spans="1:34" ht="15" hidden="1" customHeight="1">
      <c r="B196" s="595"/>
      <c r="G196" s="1082"/>
      <c r="L196" s="762"/>
      <c r="M196" s="762"/>
      <c r="R196" s="706"/>
    </row>
    <row r="197" spans="1:34" ht="15" hidden="1" customHeight="1">
      <c r="B197" s="595"/>
      <c r="G197" s="1082"/>
      <c r="L197" s="762"/>
      <c r="M197" s="762"/>
      <c r="R197" s="706"/>
    </row>
    <row r="198" spans="1:34" ht="15" hidden="1" customHeight="1">
      <c r="B198" s="595"/>
      <c r="G198" s="1082"/>
      <c r="L198" s="762"/>
      <c r="M198" s="762"/>
      <c r="R198" s="706"/>
    </row>
    <row r="199" spans="1:34" ht="15" hidden="1" customHeight="1">
      <c r="B199" s="595"/>
      <c r="G199" s="1082"/>
      <c r="L199" s="762"/>
      <c r="M199" s="762"/>
      <c r="R199" s="706"/>
    </row>
    <row r="200" spans="1:34" ht="15" hidden="1" customHeight="1">
      <c r="B200" s="595"/>
      <c r="G200" s="1082"/>
      <c r="L200" s="762"/>
      <c r="M200" s="762"/>
      <c r="R200" s="706"/>
    </row>
    <row r="201" spans="1:34" ht="15" hidden="1" customHeight="1">
      <c r="B201" s="595"/>
      <c r="G201" s="1082"/>
      <c r="L201" s="762"/>
      <c r="M201" s="762"/>
      <c r="R201" s="706"/>
    </row>
    <row r="202" spans="1:34" ht="15" hidden="1" customHeight="1">
      <c r="B202" s="595"/>
      <c r="G202" s="1082"/>
      <c r="L202" s="762"/>
      <c r="M202" s="762"/>
      <c r="R202" s="706"/>
    </row>
    <row r="203" spans="1:34" ht="15" customHeight="1">
      <c r="B203" s="595"/>
      <c r="G203" s="1082"/>
      <c r="I203" s="762" t="s">
        <v>13</v>
      </c>
      <c r="K203" s="762" t="s">
        <v>15</v>
      </c>
      <c r="L203" s="762" t="s">
        <v>2522</v>
      </c>
      <c r="M203" s="1214" t="s">
        <v>2557</v>
      </c>
      <c r="N203" s="762" t="s">
        <v>2523</v>
      </c>
      <c r="O203" s="762" t="s">
        <v>2558</v>
      </c>
      <c r="P203" s="762" t="s">
        <v>2559</v>
      </c>
      <c r="Q203" s="762" t="s">
        <v>2560</v>
      </c>
      <c r="R203" s="706"/>
    </row>
    <row r="204" spans="1:34" ht="15" customHeight="1">
      <c r="A204" s="1208" t="s">
        <v>2277</v>
      </c>
      <c r="G204" s="1082"/>
      <c r="H204" s="596"/>
      <c r="I204">
        <f t="shared" ref="I204:I209" si="67">SUMIF($AO$4:$AO$203,$A204,$I$4:$I$203)</f>
        <v>109.83000000000003</v>
      </c>
      <c r="J204" s="1206"/>
      <c r="K204" s="703">
        <f t="shared" ref="K204:K209" si="68">SUMIF($AO$4:$AO$203,$A204,$K$4:$K$203)</f>
        <v>102.31867799999998</v>
      </c>
      <c r="L204" s="703" cm="1">
        <f t="array" ref="L204">+SUMPRODUCT(IF($AO$4:$AO$203=A204,$L$4:$L$203*$K$4:$K$203/K204))</f>
        <v>0.26358289715197464</v>
      </c>
      <c r="M204" s="1215">
        <f t="shared" ref="M204:M214" si="69">31.1035*1.1023*L204*(100-N204)/100</f>
        <v>0.55565829586513893</v>
      </c>
      <c r="N204" s="596" cm="1">
        <f t="array" ref="N204">+SUMPRODUCT(IF($AO$4:$AO$203=A204,($Q$4:$Q$203*$AH$4:$AH$203)/SUMIF($AO$4:$AO$203,A204,$AH$4:$AH$203)))</f>
        <v>93.851325452910856</v>
      </c>
      <c r="O204" s="1212">
        <f>+L204*31.1035*1.1023*K204</f>
        <v>924.65818148676203</v>
      </c>
      <c r="P204" s="1212">
        <f>+O204*N204/100</f>
        <v>867.80395923410822</v>
      </c>
      <c r="Q204" s="596">
        <f>+O204-P204</f>
        <v>56.854222252653813</v>
      </c>
      <c r="R204" s="706"/>
      <c r="AH204" s="703"/>
    </row>
    <row r="205" spans="1:34" ht="15" customHeight="1">
      <c r="A205" s="1205" t="s">
        <v>2278</v>
      </c>
      <c r="G205" s="1082"/>
      <c r="H205" s="596"/>
      <c r="I205">
        <f t="shared" si="67"/>
        <v>110.77</v>
      </c>
      <c r="J205" s="1207"/>
      <c r="K205" s="703">
        <f t="shared" si="68"/>
        <v>101.220575</v>
      </c>
      <c r="L205" s="703" cm="1">
        <f t="array" ref="L205">+SUMPRODUCT(IF($AO$4:$AO$203=A205,$L$4:$L$203*$K$4:$K$203/K205))</f>
        <v>0.28351477577557721</v>
      </c>
      <c r="M205" s="1215">
        <f t="shared" si="69"/>
        <v>0.57917842706978317</v>
      </c>
      <c r="N205" s="596" cm="1">
        <f t="array" ref="N205">+SUMPRODUCT(IF($AO$4:$AO$203=A205,($Q$4:$Q$203*$AH$4:$AH$203)/SUMIF($AO$4:$AO$203,A205,$AH$4:$AH$203)))</f>
        <v>94.041628054204438</v>
      </c>
      <c r="O205" s="1212">
        <f t="shared" ref="O205:O214" si="70">+L205*31.1035*1.1023*K205</f>
        <v>983.90590498410791</v>
      </c>
      <c r="P205" s="1212">
        <f t="shared" ref="P205:P213" si="71">+O205*N205/100</f>
        <v>925.28113156850884</v>
      </c>
      <c r="Q205" s="596">
        <f>+Q204+O205-P205</f>
        <v>115.47899566825288</v>
      </c>
      <c r="R205" s="706"/>
      <c r="AH205" s="703"/>
    </row>
    <row r="206" spans="1:34" ht="15" customHeight="1">
      <c r="A206" s="1205" t="s">
        <v>2280</v>
      </c>
      <c r="G206" s="1082"/>
      <c r="H206" s="596"/>
      <c r="I206">
        <f t="shared" si="67"/>
        <v>104.51999999999998</v>
      </c>
      <c r="J206" s="1207"/>
      <c r="K206" s="703">
        <f t="shared" si="68"/>
        <v>100.79823499999999</v>
      </c>
      <c r="L206" s="703" cm="1">
        <f t="array" ref="L206">+SUMPRODUCT(IF($AO$4:$AO$203=A206,$L$4:$L$203*$K$4:$K$203/K206))</f>
        <v>0.253466704600532</v>
      </c>
      <c r="M206" s="1215">
        <f t="shared" si="69"/>
        <v>0.50636924175771691</v>
      </c>
      <c r="N206" s="596" cm="1">
        <f t="array" ref="N206">+SUMPRODUCT(IF($AO$4:$AO$203=A206,($Q$4:$Q$203*$AH$4:$AH$203)/SUMIF($AO$4:$AO$203,A206,$AH$4:$AH$203)))</f>
        <v>94.173103153605638</v>
      </c>
      <c r="O206" s="1212">
        <f t="shared" si="70"/>
        <v>875.95725774774962</v>
      </c>
      <c r="P206" s="1212">
        <f t="shared" si="71"/>
        <v>824.91613192028353</v>
      </c>
      <c r="Q206" s="596">
        <f t="shared" ref="Q206:Q214" si="72">+Q205+O206-P206</f>
        <v>166.52012149571897</v>
      </c>
      <c r="R206" s="706"/>
      <c r="AH206" s="703"/>
    </row>
    <row r="207" spans="1:34" ht="15" customHeight="1">
      <c r="A207" s="1205" t="s">
        <v>2279</v>
      </c>
      <c r="G207" s="1082"/>
      <c r="H207" s="596"/>
      <c r="I207">
        <f t="shared" si="67"/>
        <v>113.22999999999999</v>
      </c>
      <c r="J207" s="596"/>
      <c r="K207" s="703">
        <f t="shared" si="68"/>
        <v>105.02942900000001</v>
      </c>
      <c r="L207" s="703" cm="1">
        <f t="array" ref="L207">+SUMPRODUCT(IF($AO$4:$AO$203=A207,$L$4:$L$203*$K$4:$K$203/K207))</f>
        <v>0.28068175368257969</v>
      </c>
      <c r="M207" s="1215">
        <f t="shared" si="69"/>
        <v>0.69012570639450543</v>
      </c>
      <c r="N207" s="596" cm="1">
        <f t="array" ref="N207">+SUMPRODUCT(IF($AO$4:$AO$203=A207,($Q$4:$Q$203*$AH$4:$AH$203)/SUMIF($AO$4:$AO$203,A207,$AH$4:$AH$203)))</f>
        <v>92.828583367928147</v>
      </c>
      <c r="O207" s="1212">
        <f t="shared" si="70"/>
        <v>1010.7279021647882</v>
      </c>
      <c r="P207" s="1212">
        <f t="shared" si="71"/>
        <v>938.24439328395169</v>
      </c>
      <c r="Q207" s="596">
        <f t="shared" si="72"/>
        <v>239.00363037655552</v>
      </c>
      <c r="R207" s="706"/>
    </row>
    <row r="208" spans="1:34" ht="15" customHeight="1">
      <c r="A208" s="1205" t="s">
        <v>2281</v>
      </c>
      <c r="G208" s="1082"/>
      <c r="H208" s="596"/>
      <c r="I208">
        <f t="shared" si="67"/>
        <v>110.47000000000001</v>
      </c>
      <c r="J208" s="596"/>
      <c r="K208" s="703">
        <f t="shared" si="68"/>
        <v>100.66392500000002</v>
      </c>
      <c r="L208" s="703" cm="1">
        <f t="array" ref="L208">+SUMPRODUCT(IF($AO$4:$AO$203=A208,$L$4:$L$203*$K$4:$K$203/K208))</f>
        <v>0.24327317969173159</v>
      </c>
      <c r="M208" s="1215">
        <f t="shared" si="69"/>
        <v>0.73539096593665321</v>
      </c>
      <c r="N208" s="596" cm="1">
        <f t="array" ref="N208">+SUMPRODUCT(IF($AO$4:$AO$203=A208,($Q$4:$Q$203*$AH$4:$AH$203)/SUMIF($AO$4:$AO$203,A208,$AH$4:$AH$203)))</f>
        <v>91.183118791370163</v>
      </c>
      <c r="O208" s="1212">
        <f t="shared" si="70"/>
        <v>839.60914623946508</v>
      </c>
      <c r="P208" s="1212">
        <f t="shared" si="71"/>
        <v>765.58180519874031</v>
      </c>
      <c r="Q208" s="596">
        <f t="shared" si="72"/>
        <v>313.0309714172804</v>
      </c>
      <c r="R208" s="706"/>
    </row>
    <row r="209" spans="1:18" ht="15" customHeight="1">
      <c r="A209" s="1205" t="s">
        <v>2297</v>
      </c>
      <c r="G209" s="1082"/>
      <c r="H209" s="596"/>
      <c r="I209">
        <f t="shared" si="67"/>
        <v>0</v>
      </c>
      <c r="J209" s="596"/>
      <c r="K209" s="703">
        <f t="shared" si="68"/>
        <v>0</v>
      </c>
      <c r="L209" s="703" cm="1">
        <f t="array" ref="L209">+SUMPRODUCT(IF($AO$4:$AO$203=A209,$L$4:$L$203*$K$4:$K$203/K209))</f>
        <v>0</v>
      </c>
      <c r="M209" s="1215">
        <f t="shared" si="69"/>
        <v>0</v>
      </c>
      <c r="N209" s="596" cm="1">
        <f t="array" ref="N209">+SUMPRODUCT(IF($AO$4:$AO$203=A209,($Q$4:$Q$203*$AH$4:$AH$203)/SUMIF($AO$4:$AO$203,A209,$AH$4:$AH$203)))</f>
        <v>0</v>
      </c>
      <c r="O209" s="1212">
        <f t="shared" si="70"/>
        <v>0</v>
      </c>
      <c r="P209" s="1212">
        <f t="shared" si="71"/>
        <v>0</v>
      </c>
      <c r="Q209" s="596">
        <f t="shared" si="72"/>
        <v>313.0309714172804</v>
      </c>
      <c r="R209" s="706"/>
    </row>
    <row r="210" spans="1:18" ht="15" customHeight="1">
      <c r="A210" s="1205" t="s">
        <v>2518</v>
      </c>
      <c r="G210" s="1082"/>
      <c r="H210" s="596"/>
      <c r="I210">
        <f>SUMIF($AO7:$AO209,$A210,I7:I209)</f>
        <v>0</v>
      </c>
      <c r="J210" s="1207"/>
      <c r="K210" s="703">
        <f ca="1">SUMIF($AO7:$AO209,$A210,$K$4:$K$203)</f>
        <v>0</v>
      </c>
      <c r="L210" s="703" cm="1">
        <f t="array" aca="1" ref="L210" ca="1">+SUMPRODUCT(IF($AO$4:$AO$203=A210,$L$4:$L$203*$K$4:$K$203/K210))</f>
        <v>0</v>
      </c>
      <c r="M210" s="1215">
        <f t="shared" ca="1" si="69"/>
        <v>0</v>
      </c>
      <c r="N210" s="596" cm="1">
        <f t="array" ref="N210">+SUMPRODUCT(IF($AO$4:$AO$203=A210,($Q$4:$Q$203*$AH$4:$AH$203)/SUMIF($AO$4:$AO$203,A210,$AH$4:$AH$203)))</f>
        <v>0</v>
      </c>
      <c r="O210" s="1212">
        <f t="shared" ca="1" si="70"/>
        <v>0</v>
      </c>
      <c r="P210" s="1212">
        <f t="shared" ca="1" si="71"/>
        <v>0</v>
      </c>
      <c r="Q210" s="596">
        <f t="shared" ca="1" si="72"/>
        <v>313.0309714172804</v>
      </c>
      <c r="R210" s="706"/>
    </row>
    <row r="211" spans="1:18" ht="15" customHeight="1">
      <c r="A211" s="1205" t="s">
        <v>2519</v>
      </c>
      <c r="G211" s="1082"/>
      <c r="I211">
        <f>SUMIF($AO8:$AO210,$A211,I8:I210)</f>
        <v>0</v>
      </c>
      <c r="J211" s="1207"/>
      <c r="K211" s="703">
        <f ca="1">SUMIF($AO8:$AO210,$A211,$K$4:$K$203)</f>
        <v>0</v>
      </c>
      <c r="L211" s="703" cm="1">
        <f t="array" aca="1" ref="L211" ca="1">+SUMPRODUCT(IF($AO$4:$AO$203=A211,$L$4:$L$203*$K$4:$K$203/K211))</f>
        <v>0</v>
      </c>
      <c r="M211" s="1215">
        <f t="shared" ca="1" si="69"/>
        <v>0</v>
      </c>
      <c r="N211" s="596" cm="1">
        <f t="array" ref="N211">+SUMPRODUCT(IF($AO$4:$AO$203=A211,($Q$4:$Q$203*$AH$4:$AH$203)/SUMIF($AO$4:$AO$203,A211,$AH$4:$AH$203)))</f>
        <v>0</v>
      </c>
      <c r="O211" s="1212">
        <f t="shared" ca="1" si="70"/>
        <v>0</v>
      </c>
      <c r="P211" s="1212">
        <f t="shared" ca="1" si="71"/>
        <v>0</v>
      </c>
      <c r="Q211" s="596">
        <f t="shared" ca="1" si="72"/>
        <v>313.0309714172804</v>
      </c>
      <c r="R211" s="706"/>
    </row>
    <row r="212" spans="1:18" ht="15" customHeight="1">
      <c r="A212" s="1205" t="s">
        <v>2520</v>
      </c>
      <c r="G212" s="1082"/>
      <c r="I212">
        <f>SUMIF($AO8:$AO211,$A212,I8:I211)</f>
        <v>0</v>
      </c>
      <c r="J212" s="1207"/>
      <c r="K212" s="703">
        <f ca="1">SUMIF($AO8:$AO211,$A212,$K$4:$K$203)</f>
        <v>0</v>
      </c>
      <c r="L212" s="703" cm="1">
        <f t="array" aca="1" ref="L212" ca="1">+SUMPRODUCT(IF($AO$4:$AO$203=A212,$L$4:$L$203*$K$4:$K$203/K212))</f>
        <v>0</v>
      </c>
      <c r="M212" s="1215">
        <f t="shared" ca="1" si="69"/>
        <v>0</v>
      </c>
      <c r="N212" s="596" cm="1">
        <f t="array" ref="N212">+SUMPRODUCT(IF($AO$4:$AO$203=A212,($Q$4:$Q$203*$AH$4:$AH$203)/SUMIF($AO$4:$AO$203,A212,$AH$4:$AH$203)))</f>
        <v>0</v>
      </c>
      <c r="O212" s="1212">
        <f t="shared" ca="1" si="70"/>
        <v>0</v>
      </c>
      <c r="P212" s="1212">
        <f t="shared" ca="1" si="71"/>
        <v>0</v>
      </c>
      <c r="Q212" s="596">
        <f t="shared" ca="1" si="72"/>
        <v>313.0309714172804</v>
      </c>
      <c r="R212" s="706"/>
    </row>
    <row r="213" spans="1:18" ht="15" customHeight="1">
      <c r="A213" s="1205" t="s">
        <v>2521</v>
      </c>
      <c r="G213" s="1082"/>
      <c r="I213">
        <f>SUMIF($AO8:$AO212,$A213,I8:I212)</f>
        <v>0</v>
      </c>
      <c r="J213" s="1207"/>
      <c r="K213" s="703">
        <f ca="1">SUMIF($AO8:$AO212,$A213,$K$4:$K$203)</f>
        <v>0</v>
      </c>
      <c r="L213" s="703" cm="1">
        <f t="array" aca="1" ref="L213" ca="1">+SUMPRODUCT(IF($AO$4:$AO$203=A213,$L$4:$L$203*$K$4:$K$203/K213))</f>
        <v>0</v>
      </c>
      <c r="M213" s="1215">
        <f t="shared" ca="1" si="69"/>
        <v>0</v>
      </c>
      <c r="N213" s="596" cm="1">
        <f t="array" ref="N213">+SUMPRODUCT(IF($AO$4:$AO$203=A213,($Q$4:$Q$203*$AH$4:$AH$203)/SUMIF($AO$4:$AO$203,A213,$AH$4:$AH$203)))</f>
        <v>0</v>
      </c>
      <c r="O213" s="1212">
        <f t="shared" ca="1" si="70"/>
        <v>0</v>
      </c>
      <c r="P213" s="1212">
        <f t="shared" ca="1" si="71"/>
        <v>0</v>
      </c>
      <c r="Q213" s="596">
        <f t="shared" ca="1" si="72"/>
        <v>313.0309714172804</v>
      </c>
      <c r="R213" s="706"/>
    </row>
    <row r="214" spans="1:18" ht="15" customHeight="1" thickBot="1">
      <c r="A214" s="1204" t="s">
        <v>1255</v>
      </c>
      <c r="G214" s="1082"/>
      <c r="I214">
        <f>SUMIF($AO9:$AO213,$A214,I9:I213)</f>
        <v>0</v>
      </c>
      <c r="J214" s="1207"/>
      <c r="K214" s="703">
        <f>SUMIF($AO9:$AO213,$A214,K9:K213)</f>
        <v>0</v>
      </c>
      <c r="L214" s="703" cm="1">
        <f t="array" ref="L214">+SUMPRODUCT(IF($AO$4:$AO$203=A214,$L$4:$L$203*$K$4:$K$203/K214))</f>
        <v>0</v>
      </c>
      <c r="M214" s="1215">
        <f t="shared" si="69"/>
        <v>0</v>
      </c>
      <c r="N214" s="596" cm="1">
        <f t="array" ref="N214">+SUMPRODUCT(IF($AO$4:$AO$203=A214,($Q$4:$Q$203*$AH$4:$AH$203)/SUMIF($AO$4:$AO$203,A214,$AH$4:$AH$203)))</f>
        <v>0</v>
      </c>
      <c r="O214" s="1212">
        <f t="shared" si="70"/>
        <v>0</v>
      </c>
      <c r="P214" s="1212">
        <f>+O214*N214/100</f>
        <v>0</v>
      </c>
      <c r="Q214" s="596">
        <f t="shared" ca="1" si="72"/>
        <v>313.0309714172804</v>
      </c>
      <c r="R214" s="706"/>
    </row>
    <row r="215" spans="1:18" ht="15" customHeight="1" thickBot="1">
      <c r="G215" s="1082"/>
      <c r="L215" s="762"/>
      <c r="M215" s="762"/>
      <c r="O215" s="1213">
        <f ca="1">SUM(O204:O214)</f>
        <v>4634.858392622873</v>
      </c>
      <c r="P215" s="1213">
        <f ca="1">SUM(P204:P214)</f>
        <v>4321.8274212055931</v>
      </c>
      <c r="R215" s="706"/>
    </row>
    <row r="216" spans="1:18" ht="15" customHeight="1">
      <c r="G216" s="1082"/>
      <c r="L216" s="762"/>
      <c r="M216" s="762"/>
      <c r="R216" s="706"/>
    </row>
    <row r="217" spans="1:18" ht="15" customHeight="1">
      <c r="G217" s="1082"/>
      <c r="L217" s="762"/>
      <c r="M217" s="762"/>
      <c r="R217" s="706"/>
    </row>
    <row r="218" spans="1:18" ht="15" customHeight="1">
      <c r="G218" s="1082"/>
      <c r="L218" s="762"/>
      <c r="M218" s="762"/>
      <c r="R218" s="706"/>
    </row>
    <row r="219" spans="1:18" ht="15" customHeight="1">
      <c r="G219" s="1082"/>
      <c r="L219" s="762"/>
      <c r="M219" s="762"/>
      <c r="R219" s="706"/>
    </row>
    <row r="220" spans="1:18" ht="15" customHeight="1">
      <c r="G220" s="1082"/>
      <c r="L220" s="762"/>
      <c r="M220" s="762"/>
      <c r="R220" s="706"/>
    </row>
    <row r="221" spans="1:18" ht="15" customHeight="1">
      <c r="G221" s="1082"/>
      <c r="L221" s="762"/>
      <c r="M221" s="762"/>
      <c r="R221" s="706"/>
    </row>
    <row r="222" spans="1:18" ht="15" customHeight="1">
      <c r="G222" s="1082"/>
      <c r="L222" s="762"/>
      <c r="M222" s="762"/>
      <c r="R222" s="706"/>
    </row>
    <row r="223" spans="1:18" ht="15" customHeight="1">
      <c r="G223" s="1082"/>
      <c r="L223" s="762"/>
      <c r="M223" s="762"/>
      <c r="R223" s="706"/>
    </row>
    <row r="224" spans="1:18" ht="15" customHeight="1">
      <c r="G224" s="1082"/>
      <c r="L224" s="762"/>
      <c r="M224" s="762"/>
      <c r="R224" s="706"/>
    </row>
    <row r="225" spans="7:18" ht="15" customHeight="1">
      <c r="G225" s="1082"/>
      <c r="L225" s="762"/>
      <c r="M225" s="762"/>
      <c r="R225" s="706"/>
    </row>
    <row r="226" spans="7:18" ht="15" customHeight="1">
      <c r="G226" s="1082"/>
      <c r="L226" s="762"/>
      <c r="M226" s="762"/>
      <c r="R226" s="706"/>
    </row>
    <row r="227" spans="7:18" ht="15" customHeight="1">
      <c r="G227" s="1082"/>
      <c r="L227" s="762"/>
      <c r="M227" s="762"/>
      <c r="R227" s="706"/>
    </row>
    <row r="228" spans="7:18" ht="15" customHeight="1">
      <c r="G228" s="1082"/>
      <c r="L228" s="762"/>
      <c r="M228" s="762"/>
      <c r="R228" s="706"/>
    </row>
    <row r="229" spans="7:18" ht="15" customHeight="1">
      <c r="G229" s="1082"/>
      <c r="L229" s="762"/>
      <c r="M229" s="762"/>
      <c r="R229" s="706"/>
    </row>
    <row r="230" spans="7:18" ht="15" customHeight="1">
      <c r="G230" s="1082"/>
      <c r="L230" s="762"/>
      <c r="M230" s="762"/>
      <c r="R230" s="706"/>
    </row>
    <row r="231" spans="7:18" ht="15" customHeight="1">
      <c r="G231" s="1082"/>
      <c r="L231" s="762"/>
      <c r="M231" s="762"/>
      <c r="R231" s="706"/>
    </row>
    <row r="232" spans="7:18" ht="15" customHeight="1">
      <c r="G232" s="1082"/>
      <c r="L232" s="762"/>
      <c r="M232" s="762"/>
      <c r="R232" s="706"/>
    </row>
    <row r="233" spans="7:18" ht="15" customHeight="1">
      <c r="G233" s="1082"/>
      <c r="L233" s="762"/>
      <c r="M233" s="762"/>
      <c r="R233" s="706"/>
    </row>
    <row r="234" spans="7:18" ht="15" customHeight="1">
      <c r="G234" s="1082"/>
      <c r="L234" s="762"/>
      <c r="M234" s="762"/>
      <c r="R234" s="706"/>
    </row>
    <row r="235" spans="7:18" ht="15" customHeight="1">
      <c r="G235" s="1082"/>
      <c r="L235" s="762"/>
      <c r="M235" s="762"/>
      <c r="R235" s="706"/>
    </row>
    <row r="236" spans="7:18" ht="15" customHeight="1">
      <c r="G236" s="1082"/>
      <c r="L236" s="762"/>
      <c r="M236" s="762"/>
      <c r="R236" s="706"/>
    </row>
    <row r="237" spans="7:18" ht="15" customHeight="1">
      <c r="G237" s="1082"/>
      <c r="L237" s="762"/>
      <c r="M237" s="762"/>
      <c r="R237" s="706"/>
    </row>
    <row r="238" spans="7:18" ht="15" customHeight="1">
      <c r="G238" s="1082"/>
      <c r="L238" s="762"/>
      <c r="M238" s="762"/>
      <c r="R238" s="706"/>
    </row>
    <row r="239" spans="7:18" ht="15" customHeight="1">
      <c r="G239" s="1082"/>
      <c r="L239" s="762"/>
      <c r="M239" s="762"/>
      <c r="R239" s="706"/>
    </row>
    <row r="240" spans="7:18" ht="15" customHeight="1">
      <c r="G240" s="1082"/>
      <c r="L240" s="762"/>
      <c r="M240" s="762"/>
      <c r="R240" s="706"/>
    </row>
    <row r="241" spans="7:18" ht="15" customHeight="1">
      <c r="G241" s="1082"/>
      <c r="L241" s="762"/>
      <c r="M241" s="762"/>
      <c r="R241" s="706"/>
    </row>
    <row r="242" spans="7:18" ht="15" customHeight="1">
      <c r="G242" s="1082"/>
      <c r="L242" s="762"/>
      <c r="M242" s="762"/>
      <c r="R242" s="706"/>
    </row>
    <row r="243" spans="7:18" ht="15" customHeight="1">
      <c r="G243" s="1082"/>
      <c r="L243" s="762"/>
      <c r="M243" s="762"/>
      <c r="R243" s="706"/>
    </row>
    <row r="244" spans="7:18" ht="15" customHeight="1">
      <c r="G244" s="1082"/>
      <c r="L244" s="762"/>
      <c r="M244" s="762"/>
      <c r="R244" s="706"/>
    </row>
    <row r="245" spans="7:18" ht="15" customHeight="1">
      <c r="G245" s="1082"/>
      <c r="L245" s="762"/>
      <c r="M245" s="762"/>
      <c r="R245" s="706"/>
    </row>
    <row r="246" spans="7:18" ht="15" customHeight="1">
      <c r="G246" s="1082"/>
      <c r="L246" s="762"/>
      <c r="M246" s="762"/>
      <c r="R246" s="706"/>
    </row>
    <row r="247" spans="7:18" ht="15" customHeight="1">
      <c r="G247" s="1082"/>
      <c r="L247" s="762"/>
      <c r="M247" s="762"/>
      <c r="R247" s="706"/>
    </row>
    <row r="248" spans="7:18" ht="15" customHeight="1">
      <c r="G248" s="1082"/>
      <c r="L248" s="762"/>
      <c r="M248" s="762"/>
      <c r="R248" s="706"/>
    </row>
    <row r="249" spans="7:18" ht="15" customHeight="1">
      <c r="G249" s="1082"/>
      <c r="L249" s="762"/>
      <c r="M249" s="762"/>
      <c r="R249" s="706"/>
    </row>
    <row r="250" spans="7:18" ht="15" customHeight="1">
      <c r="G250" s="1082"/>
      <c r="L250" s="762"/>
      <c r="M250" s="762"/>
      <c r="R250" s="706"/>
    </row>
    <row r="251" spans="7:18" ht="15" customHeight="1">
      <c r="G251" s="1082"/>
      <c r="L251" s="762"/>
      <c r="M251" s="762"/>
      <c r="R251" s="706"/>
    </row>
    <row r="252" spans="7:18" ht="15" customHeight="1">
      <c r="G252" s="1082"/>
      <c r="L252" s="762"/>
      <c r="M252" s="762"/>
      <c r="R252" s="706"/>
    </row>
    <row r="253" spans="7:18" ht="15" customHeight="1">
      <c r="G253" s="1082"/>
      <c r="L253" s="762"/>
      <c r="M253" s="762"/>
      <c r="R253" s="706"/>
    </row>
    <row r="254" spans="7:18" ht="15" customHeight="1">
      <c r="G254" s="1082"/>
      <c r="L254" s="762"/>
      <c r="M254" s="762"/>
      <c r="R254" s="706"/>
    </row>
    <row r="255" spans="7:18" ht="15" customHeight="1">
      <c r="G255" s="1082"/>
      <c r="L255" s="762"/>
      <c r="M255" s="762"/>
      <c r="R255" s="706"/>
    </row>
    <row r="256" spans="7:18" ht="15" customHeight="1">
      <c r="G256" s="1082"/>
      <c r="L256" s="762"/>
      <c r="M256" s="762"/>
      <c r="R256" s="706"/>
    </row>
    <row r="257" spans="7:18" ht="15" customHeight="1">
      <c r="G257" s="1082"/>
      <c r="L257" s="762"/>
      <c r="M257" s="762"/>
      <c r="R257" s="706"/>
    </row>
    <row r="258" spans="7:18" ht="15" customHeight="1">
      <c r="G258" s="1082"/>
      <c r="L258" s="762"/>
      <c r="M258" s="762"/>
      <c r="R258" s="706"/>
    </row>
    <row r="259" spans="7:18" ht="15" customHeight="1">
      <c r="G259" s="1082"/>
      <c r="L259" s="762"/>
      <c r="M259" s="762"/>
      <c r="R259" s="706"/>
    </row>
    <row r="260" spans="7:18" ht="15" customHeight="1">
      <c r="G260" s="1082"/>
      <c r="L260" s="762"/>
      <c r="M260" s="762"/>
      <c r="R260" s="706"/>
    </row>
    <row r="261" spans="7:18" ht="15" customHeight="1">
      <c r="G261" s="1082"/>
      <c r="L261" s="762"/>
      <c r="M261" s="762"/>
      <c r="R261" s="706"/>
    </row>
    <row r="262" spans="7:18" ht="15" customHeight="1">
      <c r="G262" s="1082"/>
      <c r="L262" s="762"/>
      <c r="M262" s="762"/>
      <c r="R262" s="706"/>
    </row>
    <row r="263" spans="7:18" ht="15" customHeight="1">
      <c r="G263" s="1082"/>
      <c r="L263" s="762"/>
      <c r="M263" s="762"/>
      <c r="R263" s="706"/>
    </row>
    <row r="264" spans="7:18" ht="15" customHeight="1">
      <c r="G264" s="1082"/>
      <c r="L264" s="762"/>
      <c r="M264" s="762"/>
      <c r="R264" s="706"/>
    </row>
    <row r="265" spans="7:18" ht="15" customHeight="1">
      <c r="G265" s="1082"/>
      <c r="L265" s="762"/>
      <c r="M265" s="762"/>
      <c r="R265" s="706"/>
    </row>
    <row r="266" spans="7:18" ht="15" customHeight="1">
      <c r="G266" s="1082"/>
      <c r="L266" s="762"/>
      <c r="M266" s="762"/>
      <c r="R266" s="706"/>
    </row>
    <row r="267" spans="7:18" ht="15" customHeight="1">
      <c r="G267" s="1082"/>
      <c r="L267" s="762"/>
      <c r="M267" s="762"/>
      <c r="R267" s="706"/>
    </row>
    <row r="268" spans="7:18" ht="15" customHeight="1">
      <c r="G268" s="1082"/>
      <c r="L268" s="762"/>
      <c r="M268" s="762"/>
      <c r="R268" s="706"/>
    </row>
    <row r="269" spans="7:18" ht="15" customHeight="1">
      <c r="G269" s="1082"/>
      <c r="L269" s="762"/>
      <c r="M269" s="762"/>
      <c r="R269" s="706"/>
    </row>
    <row r="270" spans="7:18" ht="15" customHeight="1">
      <c r="G270" s="1082"/>
      <c r="L270" s="762"/>
      <c r="M270" s="762"/>
      <c r="R270" s="706"/>
    </row>
    <row r="271" spans="7:18" ht="15" customHeight="1">
      <c r="G271" s="1082"/>
      <c r="L271" s="762"/>
      <c r="M271" s="762"/>
      <c r="R271" s="706"/>
    </row>
    <row r="272" spans="7:18" ht="15" customHeight="1">
      <c r="G272" s="1082"/>
      <c r="L272" s="762"/>
      <c r="M272" s="762"/>
      <c r="R272" s="706"/>
    </row>
    <row r="273" spans="7:18" ht="15" customHeight="1">
      <c r="G273" s="1082"/>
      <c r="L273" s="762"/>
      <c r="M273" s="762"/>
      <c r="R273" s="706"/>
    </row>
    <row r="274" spans="7:18" ht="15" customHeight="1">
      <c r="G274" s="1082"/>
      <c r="L274" s="762"/>
      <c r="M274" s="762"/>
      <c r="R274" s="706"/>
    </row>
    <row r="275" spans="7:18" ht="15" customHeight="1">
      <c r="G275" s="1082"/>
      <c r="L275" s="762"/>
      <c r="M275" s="762"/>
      <c r="R275" s="706"/>
    </row>
    <row r="276" spans="7:18" ht="15" customHeight="1">
      <c r="G276" s="1082"/>
      <c r="L276" s="762"/>
      <c r="M276" s="762"/>
      <c r="R276" s="706"/>
    </row>
    <row r="277" spans="7:18" ht="15" customHeight="1">
      <c r="G277" s="1082"/>
      <c r="L277" s="762"/>
      <c r="M277" s="762"/>
      <c r="R277" s="706"/>
    </row>
    <row r="278" spans="7:18" ht="15" customHeight="1">
      <c r="G278" s="1082"/>
      <c r="L278" s="762"/>
      <c r="M278" s="762"/>
      <c r="R278" s="706"/>
    </row>
    <row r="279" spans="7:18" ht="15" customHeight="1">
      <c r="G279" s="1082"/>
      <c r="L279" s="762"/>
      <c r="M279" s="762"/>
      <c r="R279" s="706"/>
    </row>
    <row r="280" spans="7:18" ht="15" customHeight="1">
      <c r="G280" s="1082"/>
      <c r="L280" s="762"/>
      <c r="M280" s="762"/>
      <c r="R280" s="706"/>
    </row>
    <row r="281" spans="7:18" ht="15" customHeight="1">
      <c r="G281" s="1082"/>
      <c r="L281" s="762"/>
      <c r="M281" s="762"/>
      <c r="R281" s="706"/>
    </row>
    <row r="282" spans="7:18" ht="15" customHeight="1">
      <c r="G282" s="1082"/>
      <c r="L282" s="762"/>
      <c r="M282" s="762"/>
      <c r="R282" s="706"/>
    </row>
    <row r="283" spans="7:18" ht="15" customHeight="1">
      <c r="G283" s="1082"/>
      <c r="L283" s="762"/>
      <c r="M283" s="762"/>
      <c r="R283" s="706"/>
    </row>
    <row r="284" spans="7:18" ht="15" customHeight="1">
      <c r="G284" s="1082"/>
      <c r="L284" s="762"/>
      <c r="M284" s="762"/>
      <c r="R284" s="706"/>
    </row>
    <row r="285" spans="7:18" ht="15" customHeight="1">
      <c r="G285" s="1082"/>
      <c r="L285" s="762"/>
      <c r="M285" s="762"/>
      <c r="R285" s="706"/>
    </row>
    <row r="286" spans="7:18" ht="15" customHeight="1">
      <c r="G286" s="1082"/>
      <c r="L286" s="762"/>
      <c r="M286" s="762"/>
      <c r="R286" s="706"/>
    </row>
    <row r="287" spans="7:18" ht="15" customHeight="1">
      <c r="G287" s="1082"/>
      <c r="L287" s="762"/>
      <c r="M287" s="762"/>
      <c r="R287" s="706"/>
    </row>
    <row r="288" spans="7:18" ht="15" customHeight="1">
      <c r="G288" s="1082"/>
      <c r="L288" s="762"/>
      <c r="M288" s="762"/>
      <c r="R288" s="706"/>
    </row>
    <row r="289" spans="7:18" ht="15" customHeight="1">
      <c r="G289" s="1082"/>
      <c r="L289" s="762"/>
      <c r="M289" s="762"/>
      <c r="R289" s="706"/>
    </row>
    <row r="290" spans="7:18" ht="15" customHeight="1">
      <c r="G290" s="1082"/>
      <c r="L290" s="762"/>
      <c r="M290" s="762"/>
      <c r="R290" s="706"/>
    </row>
    <row r="291" spans="7:18" ht="15" customHeight="1">
      <c r="G291" s="1082"/>
      <c r="L291" s="762"/>
      <c r="M291" s="762"/>
      <c r="R291" s="706"/>
    </row>
    <row r="292" spans="7:18" ht="15" customHeight="1">
      <c r="G292" s="1082"/>
      <c r="L292" s="762"/>
      <c r="M292" s="762"/>
      <c r="R292" s="706"/>
    </row>
    <row r="293" spans="7:18" ht="15" customHeight="1">
      <c r="G293" s="1082"/>
      <c r="L293" s="762"/>
      <c r="M293" s="762"/>
      <c r="R293" s="706"/>
    </row>
    <row r="294" spans="7:18" ht="15" customHeight="1">
      <c r="G294" s="1082"/>
      <c r="L294" s="762"/>
      <c r="M294" s="762"/>
      <c r="R294" s="706"/>
    </row>
    <row r="295" spans="7:18" ht="15" customHeight="1">
      <c r="G295" s="1082"/>
      <c r="L295" s="762"/>
      <c r="M295" s="762"/>
      <c r="R295" s="706"/>
    </row>
    <row r="296" spans="7:18" ht="15" customHeight="1">
      <c r="G296" s="1082"/>
      <c r="L296" s="762"/>
      <c r="M296" s="762"/>
      <c r="R296" s="706"/>
    </row>
    <row r="297" spans="7:18" ht="15" customHeight="1">
      <c r="G297" s="1082"/>
      <c r="L297" s="762"/>
      <c r="M297" s="762"/>
      <c r="R297" s="706"/>
    </row>
    <row r="298" spans="7:18" ht="15" customHeight="1">
      <c r="G298" s="1082"/>
      <c r="L298" s="762"/>
      <c r="M298" s="762"/>
      <c r="R298" s="706"/>
    </row>
    <row r="299" spans="7:18" ht="15" customHeight="1">
      <c r="G299" s="1082"/>
      <c r="L299" s="762"/>
      <c r="M299" s="762"/>
      <c r="R299" s="706"/>
    </row>
    <row r="300" spans="7:18" ht="15" customHeight="1">
      <c r="G300" s="1082"/>
      <c r="L300" s="762"/>
      <c r="M300" s="762"/>
      <c r="R300" s="706"/>
    </row>
    <row r="301" spans="7:18" ht="15" customHeight="1">
      <c r="G301" s="1082"/>
      <c r="L301" s="762"/>
      <c r="M301" s="762"/>
      <c r="R301" s="706"/>
    </row>
    <row r="302" spans="7:18" ht="15" customHeight="1">
      <c r="G302" s="1082"/>
      <c r="L302" s="762"/>
      <c r="M302" s="762"/>
      <c r="R302" s="706"/>
    </row>
    <row r="303" spans="7:18" ht="15" customHeight="1">
      <c r="G303" s="1082"/>
      <c r="L303" s="762"/>
      <c r="M303" s="762"/>
      <c r="R303" s="706"/>
    </row>
    <row r="304" spans="7:18" ht="15" customHeight="1">
      <c r="G304" s="1082"/>
      <c r="L304" s="762"/>
      <c r="M304" s="762"/>
      <c r="R304" s="706"/>
    </row>
    <row r="305" spans="7:18" ht="15" customHeight="1">
      <c r="G305" s="1082"/>
      <c r="L305" s="762"/>
      <c r="M305" s="762"/>
      <c r="R305" s="706"/>
    </row>
    <row r="306" spans="7:18" ht="15" customHeight="1">
      <c r="G306" s="1082"/>
      <c r="L306" s="762"/>
      <c r="M306" s="762"/>
      <c r="R306" s="706"/>
    </row>
    <row r="307" spans="7:18" ht="15" customHeight="1">
      <c r="G307" s="1082"/>
      <c r="L307" s="762"/>
      <c r="M307" s="762"/>
      <c r="R307" s="706"/>
    </row>
    <row r="308" spans="7:18" ht="15" customHeight="1">
      <c r="G308" s="1082"/>
      <c r="L308" s="762"/>
      <c r="M308" s="762"/>
      <c r="R308" s="706"/>
    </row>
    <row r="309" spans="7:18" ht="15" customHeight="1">
      <c r="G309" s="1082"/>
      <c r="L309" s="762"/>
      <c r="M309" s="762"/>
      <c r="R309" s="706"/>
    </row>
    <row r="310" spans="7:18" ht="15" customHeight="1">
      <c r="G310" s="1082"/>
      <c r="L310" s="762"/>
      <c r="M310" s="762"/>
      <c r="R310" s="706"/>
    </row>
    <row r="311" spans="7:18" ht="15" customHeight="1">
      <c r="G311" s="1082"/>
      <c r="L311" s="762"/>
      <c r="M311" s="762"/>
      <c r="R311" s="706"/>
    </row>
    <row r="312" spans="7:18" ht="15" customHeight="1">
      <c r="G312" s="1082"/>
      <c r="L312" s="762"/>
      <c r="M312" s="762"/>
      <c r="R312" s="706"/>
    </row>
    <row r="313" spans="7:18" ht="15" customHeight="1">
      <c r="G313" s="1082"/>
      <c r="L313" s="762"/>
      <c r="M313" s="762"/>
      <c r="R313" s="706"/>
    </row>
    <row r="314" spans="7:18" ht="15" customHeight="1">
      <c r="G314" s="1082"/>
      <c r="L314" s="762"/>
      <c r="M314" s="762"/>
      <c r="R314" s="706"/>
    </row>
    <row r="315" spans="7:18" ht="15" customHeight="1">
      <c r="G315" s="1082"/>
      <c r="L315" s="762"/>
      <c r="M315" s="762"/>
      <c r="R315" s="706"/>
    </row>
    <row r="316" spans="7:18" ht="15" customHeight="1">
      <c r="G316" s="1082"/>
      <c r="L316" s="762"/>
      <c r="M316" s="762"/>
      <c r="R316" s="706"/>
    </row>
    <row r="317" spans="7:18" ht="15" customHeight="1">
      <c r="G317" s="1082"/>
      <c r="L317" s="762"/>
      <c r="M317" s="762"/>
      <c r="R317" s="706"/>
    </row>
    <row r="318" spans="7:18" ht="15" customHeight="1">
      <c r="G318" s="1082"/>
      <c r="L318" s="762"/>
      <c r="M318" s="762"/>
      <c r="R318" s="706"/>
    </row>
    <row r="319" spans="7:18" ht="15" customHeight="1">
      <c r="G319" s="1082"/>
      <c r="L319" s="762"/>
      <c r="M319" s="762"/>
      <c r="R319" s="706"/>
    </row>
    <row r="320" spans="7:18" ht="15" customHeight="1">
      <c r="G320" s="1082"/>
      <c r="L320" s="762"/>
      <c r="M320" s="762"/>
      <c r="R320" s="706"/>
    </row>
    <row r="321" spans="7:18" ht="15" customHeight="1">
      <c r="G321" s="1082"/>
      <c r="L321" s="762"/>
      <c r="M321" s="762"/>
      <c r="R321" s="706"/>
    </row>
    <row r="322" spans="7:18" ht="15" customHeight="1">
      <c r="G322" s="1082"/>
      <c r="L322" s="762"/>
      <c r="M322" s="762"/>
      <c r="R322" s="706"/>
    </row>
    <row r="323" spans="7:18" ht="15" customHeight="1">
      <c r="G323" s="1082"/>
      <c r="L323" s="762"/>
      <c r="M323" s="762"/>
      <c r="R323" s="706"/>
    </row>
    <row r="324" spans="7:18" ht="15" customHeight="1">
      <c r="G324" s="1082"/>
      <c r="L324" s="762"/>
      <c r="M324" s="762"/>
      <c r="R324" s="706"/>
    </row>
    <row r="325" spans="7:18" ht="15" customHeight="1">
      <c r="G325" s="1082"/>
      <c r="L325" s="762"/>
      <c r="M325" s="762"/>
      <c r="R325" s="706"/>
    </row>
    <row r="326" spans="7:18" ht="15" customHeight="1">
      <c r="G326" s="1082"/>
      <c r="L326" s="762"/>
      <c r="M326" s="762"/>
      <c r="R326" s="706"/>
    </row>
    <row r="327" spans="7:18" ht="15" customHeight="1">
      <c r="G327" s="1082"/>
      <c r="L327" s="762"/>
      <c r="M327" s="762"/>
      <c r="R327" s="706"/>
    </row>
    <row r="328" spans="7:18" ht="15" customHeight="1">
      <c r="G328" s="1082"/>
      <c r="L328" s="762"/>
      <c r="M328" s="762"/>
      <c r="R328" s="706"/>
    </row>
    <row r="329" spans="7:18" ht="15" customHeight="1">
      <c r="G329" s="1082"/>
      <c r="L329" s="762"/>
      <c r="M329" s="762"/>
      <c r="R329" s="706"/>
    </row>
    <row r="330" spans="7:18" ht="15" customHeight="1">
      <c r="G330" s="1082"/>
      <c r="L330" s="762"/>
      <c r="M330" s="762"/>
      <c r="R330" s="706"/>
    </row>
    <row r="331" spans="7:18" ht="15" customHeight="1">
      <c r="G331" s="1082"/>
      <c r="L331" s="762"/>
      <c r="M331" s="762"/>
      <c r="R331" s="706"/>
    </row>
    <row r="332" spans="7:18" ht="15" customHeight="1">
      <c r="G332" s="1082"/>
      <c r="L332" s="762"/>
      <c r="M332" s="762"/>
      <c r="R332" s="706"/>
    </row>
    <row r="333" spans="7:18" ht="15" customHeight="1">
      <c r="G333" s="1082"/>
      <c r="L333" s="762"/>
      <c r="M333" s="762"/>
      <c r="R333" s="706"/>
    </row>
    <row r="334" spans="7:18" ht="15" customHeight="1">
      <c r="G334" s="1082"/>
      <c r="L334" s="762"/>
      <c r="M334" s="762"/>
      <c r="R334" s="706"/>
    </row>
    <row r="335" spans="7:18" ht="15" customHeight="1">
      <c r="G335" s="1082"/>
      <c r="L335" s="762"/>
      <c r="M335" s="762"/>
      <c r="R335" s="706"/>
    </row>
    <row r="336" spans="7:18" ht="15" customHeight="1">
      <c r="G336" s="1082"/>
      <c r="L336" s="762"/>
      <c r="M336" s="762"/>
      <c r="R336" s="706"/>
    </row>
    <row r="337" spans="7:18" ht="15" customHeight="1">
      <c r="G337" s="1082"/>
      <c r="L337" s="762"/>
      <c r="M337" s="762"/>
      <c r="R337" s="706"/>
    </row>
    <row r="338" spans="7:18" ht="15" customHeight="1">
      <c r="G338" s="1082"/>
      <c r="L338" s="762"/>
      <c r="M338" s="762"/>
      <c r="R338" s="706"/>
    </row>
    <row r="339" spans="7:18" ht="15" customHeight="1">
      <c r="G339" s="1082"/>
      <c r="L339" s="762"/>
      <c r="M339" s="762"/>
      <c r="R339" s="706"/>
    </row>
    <row r="340" spans="7:18" ht="15" customHeight="1">
      <c r="G340" s="1082"/>
      <c r="L340" s="762"/>
      <c r="M340" s="762"/>
      <c r="R340" s="706"/>
    </row>
    <row r="341" spans="7:18" ht="15" customHeight="1">
      <c r="G341" s="1082"/>
      <c r="L341" s="762"/>
      <c r="M341" s="762"/>
      <c r="R341" s="706"/>
    </row>
    <row r="342" spans="7:18" ht="15" customHeight="1">
      <c r="G342" s="1082"/>
      <c r="L342" s="762"/>
      <c r="M342" s="762"/>
      <c r="R342" s="706"/>
    </row>
    <row r="343" spans="7:18" ht="15" customHeight="1">
      <c r="G343" s="1082"/>
      <c r="L343" s="762"/>
      <c r="M343" s="762"/>
      <c r="R343" s="706"/>
    </row>
    <row r="344" spans="7:18" ht="15" customHeight="1">
      <c r="G344" s="1082"/>
      <c r="L344" s="762"/>
      <c r="M344" s="762"/>
      <c r="R344" s="706"/>
    </row>
    <row r="345" spans="7:18" ht="15" customHeight="1">
      <c r="G345" s="1082"/>
      <c r="L345" s="762"/>
      <c r="M345" s="762"/>
      <c r="R345" s="706"/>
    </row>
    <row r="346" spans="7:18" ht="15" customHeight="1">
      <c r="G346" s="1082"/>
      <c r="L346" s="762"/>
      <c r="M346" s="762"/>
      <c r="R346" s="706"/>
    </row>
    <row r="347" spans="7:18" ht="15" customHeight="1">
      <c r="G347" s="1082"/>
      <c r="L347" s="762"/>
      <c r="M347" s="762"/>
      <c r="R347" s="706"/>
    </row>
    <row r="348" spans="7:18" ht="15" customHeight="1">
      <c r="G348" s="1082"/>
      <c r="L348" s="762"/>
      <c r="M348" s="762"/>
      <c r="R348" s="706"/>
    </row>
    <row r="349" spans="7:18" ht="15" customHeight="1">
      <c r="G349" s="1082"/>
      <c r="L349" s="762"/>
      <c r="M349" s="762"/>
      <c r="R349" s="706"/>
    </row>
    <row r="350" spans="7:18" ht="15" customHeight="1">
      <c r="G350" s="1082"/>
      <c r="L350" s="762"/>
      <c r="M350" s="762"/>
      <c r="R350" s="706"/>
    </row>
    <row r="351" spans="7:18" ht="15" customHeight="1">
      <c r="G351" s="1082"/>
      <c r="L351" s="762"/>
      <c r="M351" s="762"/>
      <c r="R351" s="706"/>
    </row>
    <row r="352" spans="7:18" ht="15" customHeight="1">
      <c r="G352" s="1082"/>
      <c r="L352" s="762"/>
      <c r="M352" s="762"/>
      <c r="R352" s="706"/>
    </row>
    <row r="353" spans="7:18" ht="15" customHeight="1">
      <c r="G353" s="1082"/>
      <c r="L353" s="762"/>
      <c r="M353" s="762"/>
      <c r="R353" s="706"/>
    </row>
    <row r="354" spans="7:18" ht="15" customHeight="1">
      <c r="G354" s="1082"/>
      <c r="L354" s="762"/>
      <c r="M354" s="762"/>
      <c r="R354" s="706"/>
    </row>
    <row r="355" spans="7:18" ht="15" customHeight="1">
      <c r="G355" s="1082"/>
      <c r="L355" s="762"/>
      <c r="M355" s="762"/>
      <c r="R355" s="706"/>
    </row>
    <row r="356" spans="7:18" ht="15" customHeight="1">
      <c r="G356" s="1082"/>
      <c r="L356" s="762"/>
      <c r="M356" s="762"/>
      <c r="R356" s="706"/>
    </row>
    <row r="357" spans="7:18" ht="15" customHeight="1">
      <c r="G357" s="1082"/>
      <c r="L357" s="762"/>
      <c r="M357" s="762"/>
      <c r="R357" s="706"/>
    </row>
    <row r="358" spans="7:18" ht="15" customHeight="1">
      <c r="G358" s="1082"/>
      <c r="L358" s="762"/>
      <c r="M358" s="762"/>
      <c r="R358" s="706"/>
    </row>
    <row r="359" spans="7:18" ht="15" customHeight="1">
      <c r="G359" s="1082"/>
      <c r="L359" s="762"/>
      <c r="M359" s="762"/>
      <c r="R359" s="706"/>
    </row>
    <row r="360" spans="7:18" ht="15" customHeight="1">
      <c r="G360" s="1082"/>
      <c r="L360" s="762"/>
      <c r="M360" s="762"/>
      <c r="R360" s="706"/>
    </row>
    <row r="361" spans="7:18" ht="15" customHeight="1">
      <c r="G361" s="1082"/>
      <c r="L361" s="762"/>
      <c r="M361" s="762"/>
      <c r="R361" s="706"/>
    </row>
    <row r="362" spans="7:18" ht="15" customHeight="1">
      <c r="G362" s="1082"/>
      <c r="L362" s="762"/>
      <c r="M362" s="762"/>
      <c r="R362" s="706"/>
    </row>
    <row r="363" spans="7:18" ht="15" customHeight="1">
      <c r="G363" s="1082"/>
      <c r="L363" s="762"/>
      <c r="M363" s="762"/>
      <c r="R363" s="706"/>
    </row>
    <row r="364" spans="7:18" ht="15" customHeight="1">
      <c r="G364" s="1082"/>
      <c r="L364" s="762"/>
      <c r="M364" s="762"/>
      <c r="R364" s="706"/>
    </row>
    <row r="365" spans="7:18" ht="15" customHeight="1">
      <c r="G365" s="1082"/>
      <c r="L365" s="762"/>
      <c r="M365" s="762"/>
      <c r="R365" s="706"/>
    </row>
    <row r="366" spans="7:18" ht="15" customHeight="1">
      <c r="G366" s="1082"/>
      <c r="L366" s="762"/>
      <c r="M366" s="762"/>
      <c r="R366" s="706"/>
    </row>
    <row r="367" spans="7:18" ht="15" customHeight="1">
      <c r="G367" s="1082"/>
      <c r="L367" s="762"/>
      <c r="M367" s="762"/>
      <c r="R367" s="706"/>
    </row>
    <row r="368" spans="7:18" ht="15" customHeight="1">
      <c r="G368" s="1082"/>
      <c r="L368" s="762"/>
      <c r="M368" s="762"/>
      <c r="R368" s="706"/>
    </row>
    <row r="369" spans="7:18" ht="15" customHeight="1">
      <c r="G369" s="1082"/>
      <c r="L369" s="762"/>
      <c r="M369" s="762"/>
      <c r="R369" s="706"/>
    </row>
    <row r="370" spans="7:18" ht="15" customHeight="1">
      <c r="G370" s="1082"/>
      <c r="L370" s="762"/>
      <c r="M370" s="762"/>
      <c r="R370" s="706"/>
    </row>
    <row r="371" spans="7:18" ht="15" customHeight="1">
      <c r="G371" s="1082"/>
      <c r="L371" s="762"/>
      <c r="M371" s="762"/>
      <c r="R371" s="706"/>
    </row>
    <row r="372" spans="7:18" ht="15" customHeight="1">
      <c r="G372" s="1082"/>
      <c r="L372" s="762"/>
      <c r="M372" s="762"/>
      <c r="R372" s="706"/>
    </row>
    <row r="373" spans="7:18" ht="15" customHeight="1">
      <c r="G373" s="1082"/>
      <c r="L373" s="762"/>
      <c r="M373" s="762"/>
      <c r="R373" s="706"/>
    </row>
    <row r="374" spans="7:18" ht="15" customHeight="1">
      <c r="G374" s="1082"/>
      <c r="L374" s="762"/>
      <c r="M374" s="762"/>
      <c r="R374" s="706"/>
    </row>
    <row r="375" spans="7:18" ht="15" customHeight="1">
      <c r="G375" s="1082"/>
      <c r="L375" s="762"/>
      <c r="M375" s="762"/>
      <c r="R375" s="706"/>
    </row>
    <row r="376" spans="7:18" ht="15" customHeight="1">
      <c r="G376" s="1082"/>
      <c r="L376" s="762"/>
      <c r="M376" s="762"/>
      <c r="R376" s="706"/>
    </row>
    <row r="377" spans="7:18" ht="15" customHeight="1">
      <c r="G377" s="1082"/>
      <c r="L377" s="762"/>
      <c r="M377" s="762"/>
      <c r="R377" s="706"/>
    </row>
    <row r="378" spans="7:18" ht="15" customHeight="1">
      <c r="G378" s="1082"/>
      <c r="L378" s="762"/>
      <c r="M378" s="762"/>
      <c r="R378" s="706"/>
    </row>
    <row r="379" spans="7:18" ht="15" customHeight="1">
      <c r="G379" s="1082"/>
      <c r="L379" s="762"/>
      <c r="M379" s="762"/>
      <c r="R379" s="706"/>
    </row>
    <row r="380" spans="7:18" ht="15" customHeight="1">
      <c r="G380" s="1082"/>
      <c r="L380" s="762"/>
      <c r="M380" s="762"/>
      <c r="R380" s="706"/>
    </row>
    <row r="381" spans="7:18" ht="15" customHeight="1">
      <c r="G381" s="1082"/>
      <c r="L381" s="762"/>
      <c r="M381" s="762"/>
      <c r="R381" s="706"/>
    </row>
    <row r="382" spans="7:18" ht="15" customHeight="1">
      <c r="G382" s="1082"/>
      <c r="L382" s="762"/>
      <c r="M382" s="762"/>
      <c r="R382" s="706"/>
    </row>
    <row r="383" spans="7:18" ht="15" customHeight="1">
      <c r="G383" s="1082"/>
      <c r="L383" s="762"/>
      <c r="M383" s="762"/>
      <c r="R383" s="706"/>
    </row>
    <row r="384" spans="7:18" ht="15" customHeight="1">
      <c r="G384" s="1082"/>
      <c r="L384" s="762"/>
      <c r="M384" s="762"/>
      <c r="R384" s="706"/>
    </row>
    <row r="385" spans="7:18" ht="15" customHeight="1">
      <c r="G385" s="1082"/>
      <c r="L385" s="762"/>
      <c r="M385" s="762"/>
      <c r="R385" s="706"/>
    </row>
    <row r="386" spans="7:18" ht="15" customHeight="1">
      <c r="G386" s="1082"/>
      <c r="L386" s="762"/>
      <c r="M386" s="762"/>
      <c r="R386" s="706"/>
    </row>
    <row r="387" spans="7:18" ht="15" customHeight="1">
      <c r="G387" s="1082"/>
      <c r="L387" s="762"/>
      <c r="M387" s="762"/>
      <c r="R387" s="706"/>
    </row>
    <row r="388" spans="7:18" ht="15" customHeight="1">
      <c r="G388" s="1082"/>
      <c r="L388" s="762"/>
      <c r="M388" s="762"/>
      <c r="R388" s="706"/>
    </row>
    <row r="389" spans="7:18" ht="15" customHeight="1">
      <c r="G389" s="1082"/>
      <c r="L389" s="762"/>
      <c r="M389" s="762"/>
      <c r="R389" s="706"/>
    </row>
    <row r="390" spans="7:18" ht="15" customHeight="1">
      <c r="G390" s="1082"/>
      <c r="L390" s="762"/>
      <c r="M390" s="762"/>
      <c r="R390" s="706"/>
    </row>
    <row r="391" spans="7:18" ht="15" customHeight="1">
      <c r="G391" s="1082"/>
      <c r="L391" s="762"/>
      <c r="M391" s="762"/>
      <c r="R391" s="706"/>
    </row>
    <row r="392" spans="7:18" ht="15" customHeight="1">
      <c r="G392" s="1082"/>
      <c r="L392" s="762"/>
      <c r="M392" s="762"/>
      <c r="R392" s="706"/>
    </row>
    <row r="393" spans="7:18" ht="15" customHeight="1">
      <c r="G393" s="1082"/>
      <c r="L393" s="762"/>
      <c r="M393" s="762"/>
      <c r="R393" s="706"/>
    </row>
    <row r="394" spans="7:18" ht="15" customHeight="1">
      <c r="G394" s="1082"/>
      <c r="L394" s="762"/>
      <c r="M394" s="762"/>
      <c r="R394" s="706"/>
    </row>
    <row r="395" spans="7:18" ht="15" customHeight="1">
      <c r="G395" s="1082"/>
      <c r="L395" s="762"/>
      <c r="M395" s="762"/>
      <c r="R395" s="706"/>
    </row>
    <row r="396" spans="7:18" ht="15" customHeight="1">
      <c r="G396" s="1082"/>
      <c r="L396" s="762"/>
      <c r="M396" s="762"/>
      <c r="R396" s="706"/>
    </row>
    <row r="397" spans="7:18" ht="15" customHeight="1">
      <c r="G397" s="1082"/>
      <c r="L397" s="762"/>
      <c r="M397" s="762"/>
      <c r="R397" s="706"/>
    </row>
    <row r="398" spans="7:18" ht="15" customHeight="1">
      <c r="G398" s="1082"/>
      <c r="L398" s="762"/>
      <c r="M398" s="762"/>
      <c r="R398" s="706"/>
    </row>
    <row r="399" spans="7:18" ht="15" customHeight="1">
      <c r="G399" s="1082"/>
      <c r="L399" s="762"/>
      <c r="M399" s="762"/>
      <c r="R399" s="706"/>
    </row>
    <row r="400" spans="7:18" ht="15" customHeight="1">
      <c r="G400" s="1082"/>
      <c r="L400" s="762"/>
      <c r="M400" s="762"/>
      <c r="R400" s="706"/>
    </row>
    <row r="401" spans="7:18" ht="15" customHeight="1">
      <c r="G401" s="1082"/>
      <c r="L401" s="762"/>
      <c r="M401" s="762"/>
      <c r="R401" s="706"/>
    </row>
    <row r="402" spans="7:18" ht="15" customHeight="1">
      <c r="G402" s="1082"/>
      <c r="L402" s="762"/>
      <c r="M402" s="762"/>
      <c r="R402" s="706"/>
    </row>
    <row r="403" spans="7:18" ht="15" customHeight="1">
      <c r="G403" s="1082"/>
      <c r="L403" s="762"/>
      <c r="M403" s="762"/>
      <c r="R403" s="706"/>
    </row>
    <row r="404" spans="7:18" ht="15" customHeight="1">
      <c r="G404" s="1082"/>
      <c r="L404" s="762"/>
      <c r="M404" s="762"/>
      <c r="R404" s="706"/>
    </row>
    <row r="405" spans="7:18" ht="15" customHeight="1">
      <c r="G405" s="1082"/>
      <c r="L405" s="762"/>
      <c r="M405" s="762"/>
      <c r="R405" s="706"/>
    </row>
    <row r="406" spans="7:18" ht="15" customHeight="1">
      <c r="G406" s="1082"/>
      <c r="L406" s="762"/>
      <c r="M406" s="762"/>
      <c r="R406" s="706"/>
    </row>
    <row r="407" spans="7:18" ht="15" customHeight="1">
      <c r="G407" s="1082"/>
      <c r="L407" s="762"/>
      <c r="M407" s="762"/>
      <c r="R407" s="706"/>
    </row>
    <row r="408" spans="7:18" ht="15" customHeight="1">
      <c r="G408" s="1082"/>
      <c r="L408" s="762"/>
      <c r="M408" s="762"/>
      <c r="R408" s="706"/>
    </row>
    <row r="409" spans="7:18" ht="15" customHeight="1">
      <c r="G409" s="1082"/>
      <c r="L409" s="762"/>
      <c r="M409" s="762"/>
      <c r="R409" s="706"/>
    </row>
    <row r="410" spans="7:18" ht="15" customHeight="1">
      <c r="G410" s="1082"/>
      <c r="L410" s="762"/>
      <c r="M410" s="762"/>
      <c r="R410" s="706"/>
    </row>
    <row r="411" spans="7:18" ht="15" customHeight="1">
      <c r="G411" s="1082"/>
      <c r="L411" s="762"/>
      <c r="M411" s="762"/>
      <c r="R411" s="706"/>
    </row>
    <row r="412" spans="7:18" ht="15" customHeight="1">
      <c r="G412" s="1082"/>
      <c r="L412" s="762"/>
      <c r="M412" s="762"/>
      <c r="R412" s="706"/>
    </row>
    <row r="413" spans="7:18" ht="15" customHeight="1">
      <c r="G413" s="1082"/>
      <c r="L413" s="762"/>
      <c r="M413" s="762"/>
      <c r="R413" s="706"/>
    </row>
    <row r="414" spans="7:18" ht="15" customHeight="1">
      <c r="G414" s="1082"/>
      <c r="L414" s="762"/>
      <c r="M414" s="762"/>
      <c r="R414" s="706"/>
    </row>
    <row r="415" spans="7:18" ht="15" customHeight="1">
      <c r="G415" s="1082"/>
      <c r="L415" s="762"/>
      <c r="M415" s="762"/>
      <c r="R415" s="706"/>
    </row>
    <row r="416" spans="7:18" ht="15" customHeight="1">
      <c r="G416" s="1082"/>
      <c r="L416" s="762"/>
      <c r="M416" s="762"/>
      <c r="R416" s="706"/>
    </row>
    <row r="417" spans="7:18" ht="15" customHeight="1">
      <c r="G417" s="1082"/>
      <c r="L417" s="762"/>
      <c r="M417" s="762"/>
      <c r="R417" s="706"/>
    </row>
    <row r="418" spans="7:18" ht="15" customHeight="1">
      <c r="G418" s="1082"/>
      <c r="L418" s="762"/>
      <c r="M418" s="762"/>
      <c r="R418" s="706"/>
    </row>
    <row r="419" spans="7:18" ht="15" customHeight="1">
      <c r="G419" s="1082"/>
      <c r="L419" s="762"/>
      <c r="M419" s="762"/>
      <c r="R419" s="706"/>
    </row>
    <row r="420" spans="7:18" ht="15" customHeight="1">
      <c r="G420" s="1082"/>
      <c r="L420" s="762"/>
      <c r="M420" s="762"/>
      <c r="R420" s="706"/>
    </row>
    <row r="421" spans="7:18" ht="15" customHeight="1">
      <c r="G421" s="1082"/>
      <c r="L421" s="762"/>
      <c r="M421" s="762"/>
      <c r="R421" s="706"/>
    </row>
    <row r="422" spans="7:18" ht="15" customHeight="1">
      <c r="G422" s="1082"/>
      <c r="L422" s="762"/>
      <c r="M422" s="762"/>
      <c r="R422" s="706"/>
    </row>
    <row r="423" spans="7:18" ht="15" customHeight="1">
      <c r="G423" s="1082"/>
      <c r="L423" s="762"/>
      <c r="M423" s="762"/>
      <c r="R423" s="706"/>
    </row>
    <row r="424" spans="7:18" ht="15" customHeight="1">
      <c r="G424" s="1082"/>
      <c r="L424" s="762"/>
      <c r="M424" s="762"/>
      <c r="R424" s="706"/>
    </row>
    <row r="425" spans="7:18" ht="15" customHeight="1">
      <c r="G425" s="1082"/>
      <c r="L425" s="762"/>
      <c r="M425" s="762"/>
      <c r="R425" s="706"/>
    </row>
    <row r="426" spans="7:18" ht="15" customHeight="1">
      <c r="G426" s="1082"/>
      <c r="L426" s="762"/>
      <c r="M426" s="762"/>
      <c r="R426" s="706"/>
    </row>
    <row r="427" spans="7:18" ht="15" customHeight="1">
      <c r="G427" s="1082"/>
      <c r="L427" s="762"/>
      <c r="M427" s="762"/>
      <c r="R427" s="706"/>
    </row>
    <row r="428" spans="7:18" ht="15" customHeight="1">
      <c r="G428" s="1082"/>
      <c r="L428" s="762"/>
      <c r="M428" s="762"/>
      <c r="R428" s="706"/>
    </row>
    <row r="429" spans="7:18" ht="15" customHeight="1">
      <c r="G429" s="1082"/>
      <c r="L429" s="762"/>
      <c r="M429" s="762"/>
      <c r="R429" s="706"/>
    </row>
    <row r="430" spans="7:18" ht="15" customHeight="1">
      <c r="G430" s="1082"/>
      <c r="L430" s="762"/>
      <c r="M430" s="762"/>
      <c r="R430" s="706"/>
    </row>
    <row r="431" spans="7:18" ht="15" customHeight="1">
      <c r="G431" s="1082"/>
      <c r="L431" s="762"/>
      <c r="M431" s="762"/>
      <c r="R431" s="706"/>
    </row>
    <row r="432" spans="7:18" ht="15" customHeight="1">
      <c r="G432" s="1082"/>
      <c r="L432" s="762"/>
      <c r="M432" s="762"/>
      <c r="R432" s="706"/>
    </row>
    <row r="433" spans="7:18" ht="15" customHeight="1">
      <c r="G433" s="1082"/>
      <c r="L433" s="762"/>
      <c r="M433" s="762"/>
      <c r="R433" s="706"/>
    </row>
    <row r="434" spans="7:18" ht="15" customHeight="1">
      <c r="G434" s="1082"/>
      <c r="L434" s="762"/>
      <c r="M434" s="762"/>
      <c r="R434" s="706"/>
    </row>
    <row r="435" spans="7:18" ht="15" customHeight="1">
      <c r="G435" s="1082"/>
      <c r="L435" s="762"/>
      <c r="M435" s="762"/>
      <c r="R435" s="706"/>
    </row>
    <row r="436" spans="7:18" ht="15" customHeight="1">
      <c r="G436" s="1082"/>
      <c r="L436" s="762"/>
      <c r="M436" s="762"/>
      <c r="R436" s="706"/>
    </row>
    <row r="437" spans="7:18" ht="15" customHeight="1">
      <c r="G437" s="1082"/>
      <c r="L437" s="762"/>
      <c r="M437" s="762"/>
      <c r="R437" s="706"/>
    </row>
    <row r="438" spans="7:18" ht="15" customHeight="1">
      <c r="G438" s="1082"/>
      <c r="L438" s="762"/>
      <c r="M438" s="762"/>
      <c r="R438" s="706"/>
    </row>
    <row r="439" spans="7:18" ht="15" customHeight="1">
      <c r="G439" s="1082"/>
      <c r="L439" s="762"/>
      <c r="M439" s="762"/>
      <c r="R439" s="706"/>
    </row>
    <row r="440" spans="7:18" ht="15" customHeight="1">
      <c r="G440" s="1082"/>
      <c r="L440" s="762"/>
      <c r="M440" s="762"/>
      <c r="R440" s="706"/>
    </row>
    <row r="441" spans="7:18" ht="15" customHeight="1">
      <c r="G441" s="1082"/>
      <c r="L441" s="762"/>
      <c r="M441" s="762"/>
      <c r="R441" s="706"/>
    </row>
    <row r="442" spans="7:18" ht="15" customHeight="1">
      <c r="G442" s="1082"/>
      <c r="L442" s="762"/>
      <c r="M442" s="762"/>
      <c r="R442" s="706"/>
    </row>
    <row r="443" spans="7:18" ht="15" customHeight="1">
      <c r="G443" s="1082"/>
      <c r="L443" s="762"/>
      <c r="M443" s="762"/>
      <c r="R443" s="706"/>
    </row>
    <row r="444" spans="7:18" ht="15" customHeight="1">
      <c r="G444" s="1082"/>
      <c r="L444" s="762"/>
      <c r="M444" s="762"/>
      <c r="R444" s="706"/>
    </row>
    <row r="445" spans="7:18" ht="15" customHeight="1">
      <c r="G445" s="1082"/>
      <c r="L445" s="762"/>
      <c r="M445" s="762"/>
      <c r="R445" s="706"/>
    </row>
    <row r="446" spans="7:18" ht="15" customHeight="1">
      <c r="G446" s="1082"/>
      <c r="L446" s="762"/>
      <c r="M446" s="762"/>
      <c r="R446" s="706"/>
    </row>
    <row r="447" spans="7:18" ht="15" customHeight="1">
      <c r="G447" s="1082"/>
      <c r="L447" s="762"/>
      <c r="M447" s="762"/>
      <c r="R447" s="706"/>
    </row>
    <row r="448" spans="7:18" ht="15" customHeight="1">
      <c r="G448" s="1082"/>
      <c r="L448" s="762"/>
      <c r="M448" s="762"/>
      <c r="R448" s="706"/>
    </row>
    <row r="449" spans="7:18" ht="15" customHeight="1">
      <c r="G449" s="1082"/>
      <c r="L449" s="762"/>
      <c r="M449" s="762"/>
      <c r="R449" s="706"/>
    </row>
    <row r="450" spans="7:18" ht="15" customHeight="1">
      <c r="G450" s="1082"/>
      <c r="L450" s="762"/>
      <c r="M450" s="762"/>
      <c r="R450" s="706"/>
    </row>
    <row r="451" spans="7:18" ht="15" customHeight="1">
      <c r="G451" s="1082"/>
      <c r="L451" s="762"/>
      <c r="M451" s="762"/>
      <c r="R451" s="706"/>
    </row>
    <row r="452" spans="7:18" ht="15" customHeight="1">
      <c r="G452" s="1082"/>
      <c r="L452" s="762"/>
      <c r="M452" s="762"/>
      <c r="R452" s="706"/>
    </row>
    <row r="453" spans="7:18" ht="15" customHeight="1">
      <c r="G453" s="1082"/>
      <c r="L453" s="762"/>
      <c r="M453" s="762"/>
      <c r="R453" s="706"/>
    </row>
    <row r="454" spans="7:18" ht="15" customHeight="1">
      <c r="G454" s="1082"/>
      <c r="L454" s="762"/>
      <c r="M454" s="762"/>
      <c r="R454" s="706"/>
    </row>
    <row r="455" spans="7:18" ht="15" customHeight="1">
      <c r="G455" s="1082"/>
      <c r="L455" s="762"/>
      <c r="M455" s="762"/>
      <c r="R455" s="706"/>
    </row>
    <row r="456" spans="7:18" ht="15" customHeight="1">
      <c r="G456" s="1082"/>
      <c r="L456" s="762"/>
      <c r="M456" s="762"/>
      <c r="R456" s="706"/>
    </row>
    <row r="457" spans="7:18" ht="15" customHeight="1">
      <c r="G457" s="1082"/>
      <c r="L457" s="762"/>
      <c r="M457" s="762"/>
      <c r="R457" s="706"/>
    </row>
    <row r="458" spans="7:18" ht="15" customHeight="1">
      <c r="G458" s="1082"/>
      <c r="L458" s="762"/>
      <c r="M458" s="762"/>
      <c r="R458" s="706"/>
    </row>
    <row r="459" spans="7:18" ht="15" customHeight="1">
      <c r="G459" s="1082"/>
      <c r="L459" s="762"/>
      <c r="M459" s="762"/>
      <c r="R459" s="706"/>
    </row>
    <row r="460" spans="7:18" ht="15" customHeight="1">
      <c r="G460" s="1082"/>
      <c r="L460" s="762"/>
      <c r="M460" s="762"/>
      <c r="R460" s="706"/>
    </row>
    <row r="461" spans="7:18" ht="15" customHeight="1">
      <c r="G461" s="1082"/>
      <c r="L461" s="762"/>
      <c r="M461" s="762"/>
      <c r="R461" s="706"/>
    </row>
    <row r="462" spans="7:18" ht="15" customHeight="1">
      <c r="G462" s="1082"/>
      <c r="L462" s="762"/>
      <c r="M462" s="762"/>
      <c r="R462" s="706"/>
    </row>
    <row r="463" spans="7:18" ht="15" customHeight="1">
      <c r="G463" s="1082"/>
      <c r="L463" s="762"/>
      <c r="M463" s="762"/>
      <c r="R463" s="706"/>
    </row>
    <row r="464" spans="7:18" ht="15" customHeight="1">
      <c r="G464" s="1082"/>
      <c r="L464" s="762"/>
      <c r="M464" s="762"/>
      <c r="R464" s="706"/>
    </row>
    <row r="465" spans="7:18" ht="15" customHeight="1">
      <c r="G465" s="1082"/>
      <c r="L465" s="762"/>
      <c r="M465" s="762"/>
      <c r="R465" s="706"/>
    </row>
    <row r="466" spans="7:18" ht="15" customHeight="1">
      <c r="G466" s="1082"/>
      <c r="L466" s="762"/>
      <c r="M466" s="762"/>
      <c r="R466" s="706"/>
    </row>
    <row r="467" spans="7:18" ht="15" customHeight="1">
      <c r="G467" s="1082"/>
      <c r="L467" s="762"/>
      <c r="M467" s="762"/>
      <c r="R467" s="706"/>
    </row>
    <row r="468" spans="7:18" ht="15" customHeight="1">
      <c r="G468" s="1082"/>
      <c r="L468" s="762"/>
      <c r="M468" s="762"/>
      <c r="R468" s="706"/>
    </row>
    <row r="469" spans="7:18" ht="15" customHeight="1">
      <c r="G469" s="1082"/>
      <c r="L469" s="762"/>
      <c r="M469" s="762"/>
      <c r="R469" s="706"/>
    </row>
    <row r="470" spans="7:18" ht="15" customHeight="1">
      <c r="G470" s="1082"/>
      <c r="L470" s="762"/>
      <c r="M470" s="762"/>
      <c r="R470" s="706"/>
    </row>
    <row r="471" spans="7:18" ht="15" customHeight="1">
      <c r="G471" s="1082"/>
      <c r="L471" s="762"/>
      <c r="M471" s="762"/>
      <c r="R471" s="706"/>
    </row>
    <row r="472" spans="7:18" ht="15" customHeight="1">
      <c r="G472" s="1082"/>
      <c r="L472" s="762"/>
      <c r="M472" s="762"/>
      <c r="R472" s="706"/>
    </row>
    <row r="473" spans="7:18" ht="15" customHeight="1">
      <c r="G473" s="1082"/>
      <c r="L473" s="762"/>
      <c r="M473" s="762"/>
      <c r="R473" s="706"/>
    </row>
    <row r="474" spans="7:18" ht="15" customHeight="1">
      <c r="G474" s="1082"/>
      <c r="L474" s="762"/>
      <c r="M474" s="762"/>
      <c r="R474" s="706"/>
    </row>
    <row r="475" spans="7:18" ht="15" customHeight="1">
      <c r="G475" s="1082"/>
      <c r="L475" s="762"/>
      <c r="M475" s="762"/>
      <c r="R475" s="706"/>
    </row>
    <row r="476" spans="7:18" ht="15" customHeight="1">
      <c r="G476" s="1082"/>
      <c r="L476" s="762"/>
      <c r="M476" s="762"/>
      <c r="R476" s="706"/>
    </row>
    <row r="477" spans="7:18" ht="15" customHeight="1">
      <c r="G477" s="1082"/>
      <c r="L477" s="762"/>
      <c r="M477" s="762"/>
      <c r="R477" s="706"/>
    </row>
    <row r="478" spans="7:18" ht="15" customHeight="1">
      <c r="G478" s="1082"/>
      <c r="L478" s="762"/>
      <c r="M478" s="762"/>
      <c r="R478" s="706"/>
    </row>
    <row r="479" spans="7:18" ht="15" customHeight="1">
      <c r="G479" s="1082"/>
      <c r="L479" s="762"/>
      <c r="M479" s="762"/>
      <c r="R479" s="706"/>
    </row>
    <row r="480" spans="7:18" ht="15" customHeight="1">
      <c r="G480" s="1082"/>
      <c r="L480" s="762"/>
      <c r="M480" s="762"/>
      <c r="R480" s="706"/>
    </row>
    <row r="481" spans="7:18" ht="15" customHeight="1">
      <c r="G481" s="1082"/>
      <c r="L481" s="762"/>
      <c r="M481" s="762"/>
      <c r="R481" s="706"/>
    </row>
    <row r="482" spans="7:18" ht="15" customHeight="1">
      <c r="G482" s="1082"/>
      <c r="L482" s="762"/>
      <c r="M482" s="762"/>
      <c r="R482" s="706"/>
    </row>
    <row r="483" spans="7:18" ht="15" customHeight="1">
      <c r="G483" s="1082"/>
      <c r="L483" s="762"/>
      <c r="M483" s="762"/>
      <c r="R483" s="706"/>
    </row>
    <row r="484" spans="7:18" ht="15" customHeight="1">
      <c r="G484" s="1082"/>
      <c r="L484" s="762"/>
      <c r="M484" s="762"/>
      <c r="R484" s="706"/>
    </row>
    <row r="485" spans="7:18" ht="15" customHeight="1">
      <c r="G485" s="1082"/>
      <c r="L485" s="762"/>
      <c r="M485" s="762"/>
      <c r="R485" s="706"/>
    </row>
    <row r="486" spans="7:18" ht="15" customHeight="1">
      <c r="G486" s="1082"/>
      <c r="L486" s="762"/>
      <c r="M486" s="762"/>
      <c r="R486" s="706"/>
    </row>
    <row r="487" spans="7:18" ht="15" customHeight="1">
      <c r="G487" s="1082"/>
      <c r="L487" s="762"/>
      <c r="M487" s="762"/>
      <c r="R487" s="706"/>
    </row>
    <row r="488" spans="7:18" ht="15" customHeight="1">
      <c r="G488" s="1082"/>
      <c r="L488" s="762"/>
      <c r="M488" s="762"/>
      <c r="R488" s="706"/>
    </row>
    <row r="489" spans="7:18" ht="15" customHeight="1">
      <c r="G489" s="1082"/>
      <c r="L489" s="762"/>
      <c r="M489" s="762"/>
      <c r="R489" s="706"/>
    </row>
    <row r="490" spans="7:18" ht="15" customHeight="1">
      <c r="G490" s="1082"/>
      <c r="L490" s="762"/>
      <c r="M490" s="762"/>
      <c r="R490" s="706"/>
    </row>
    <row r="491" spans="7:18" ht="15" customHeight="1">
      <c r="G491" s="1082"/>
      <c r="L491" s="762"/>
      <c r="M491" s="762"/>
      <c r="R491" s="706"/>
    </row>
    <row r="492" spans="7:18" ht="15" customHeight="1">
      <c r="G492" s="1082"/>
      <c r="L492" s="762"/>
      <c r="M492" s="762"/>
      <c r="R492" s="706"/>
    </row>
    <row r="493" spans="7:18" ht="15" customHeight="1">
      <c r="G493" s="1082"/>
      <c r="L493" s="762"/>
      <c r="M493" s="762"/>
      <c r="R493" s="706"/>
    </row>
    <row r="494" spans="7:18" ht="15" customHeight="1">
      <c r="G494" s="1082"/>
      <c r="L494" s="762"/>
      <c r="M494" s="762"/>
      <c r="R494" s="706"/>
    </row>
    <row r="495" spans="7:18" ht="15" customHeight="1">
      <c r="G495" s="1082"/>
      <c r="L495" s="762"/>
      <c r="M495" s="762"/>
      <c r="R495" s="706"/>
    </row>
    <row r="496" spans="7:18" ht="15" customHeight="1">
      <c r="G496" s="1082"/>
      <c r="L496" s="762"/>
      <c r="M496" s="762"/>
      <c r="R496" s="706"/>
    </row>
    <row r="497" spans="7:18" ht="15" customHeight="1">
      <c r="G497" s="1082"/>
      <c r="L497" s="762"/>
      <c r="M497" s="762"/>
      <c r="R497" s="706"/>
    </row>
    <row r="498" spans="7:18" ht="15" customHeight="1">
      <c r="G498" s="1082"/>
      <c r="L498" s="762"/>
      <c r="M498" s="762"/>
      <c r="R498" s="706"/>
    </row>
    <row r="499" spans="7:18" ht="15" customHeight="1">
      <c r="G499" s="1082"/>
      <c r="L499" s="762"/>
      <c r="M499" s="762"/>
      <c r="R499" s="706"/>
    </row>
    <row r="500" spans="7:18" ht="15" customHeight="1">
      <c r="G500" s="1082"/>
      <c r="L500" s="762"/>
      <c r="M500" s="762"/>
      <c r="R500" s="706"/>
    </row>
    <row r="501" spans="7:18" ht="15" customHeight="1">
      <c r="G501" s="1082"/>
      <c r="L501" s="762"/>
      <c r="M501" s="762"/>
      <c r="R501" s="706"/>
    </row>
    <row r="502" spans="7:18" ht="15" customHeight="1">
      <c r="G502" s="1082"/>
      <c r="L502" s="762"/>
      <c r="M502" s="762"/>
      <c r="R502" s="706"/>
    </row>
    <row r="503" spans="7:18" ht="15" customHeight="1">
      <c r="G503" s="1082"/>
      <c r="L503" s="762"/>
      <c r="M503" s="762"/>
      <c r="R503" s="706"/>
    </row>
    <row r="504" spans="7:18" ht="15" customHeight="1">
      <c r="G504" s="1082"/>
      <c r="L504" s="762"/>
      <c r="M504" s="762"/>
      <c r="R504" s="706"/>
    </row>
    <row r="505" spans="7:18" ht="15" customHeight="1">
      <c r="G505" s="1082"/>
      <c r="L505" s="762"/>
      <c r="M505" s="762"/>
      <c r="R505" s="706"/>
    </row>
    <row r="506" spans="7:18" ht="15" customHeight="1">
      <c r="G506" s="1082"/>
      <c r="L506" s="762"/>
      <c r="M506" s="762"/>
      <c r="R506" s="706"/>
    </row>
    <row r="507" spans="7:18" ht="15" customHeight="1">
      <c r="G507" s="1082"/>
      <c r="L507" s="762"/>
      <c r="M507" s="762"/>
      <c r="R507" s="706"/>
    </row>
    <row r="508" spans="7:18" ht="15" customHeight="1">
      <c r="G508" s="1082"/>
      <c r="L508" s="762"/>
      <c r="M508" s="762"/>
      <c r="R508" s="706"/>
    </row>
    <row r="509" spans="7:18" ht="15" customHeight="1">
      <c r="G509" s="1082"/>
      <c r="L509" s="762"/>
      <c r="M509" s="762"/>
      <c r="R509" s="706"/>
    </row>
    <row r="510" spans="7:18" ht="15" customHeight="1">
      <c r="G510" s="1082"/>
      <c r="L510" s="762"/>
      <c r="M510" s="762"/>
      <c r="R510" s="706"/>
    </row>
    <row r="511" spans="7:18" ht="15" customHeight="1">
      <c r="G511" s="1082"/>
      <c r="L511" s="762"/>
      <c r="M511" s="762"/>
      <c r="R511" s="706"/>
    </row>
    <row r="512" spans="7:18" ht="15" customHeight="1">
      <c r="G512" s="1082"/>
      <c r="L512" s="762"/>
      <c r="M512" s="762"/>
      <c r="R512" s="706"/>
    </row>
    <row r="513" spans="7:18" ht="15" customHeight="1">
      <c r="G513" s="1082"/>
      <c r="L513" s="762"/>
      <c r="M513" s="762"/>
      <c r="R513" s="706"/>
    </row>
    <row r="514" spans="7:18" ht="15" customHeight="1">
      <c r="G514" s="1082"/>
      <c r="L514" s="762"/>
      <c r="M514" s="762"/>
      <c r="R514" s="706"/>
    </row>
    <row r="515" spans="7:18" ht="15" customHeight="1">
      <c r="G515" s="1082"/>
      <c r="L515" s="762"/>
      <c r="M515" s="762"/>
      <c r="R515" s="706"/>
    </row>
    <row r="516" spans="7:18" ht="15" customHeight="1">
      <c r="G516" s="1082"/>
      <c r="L516" s="762"/>
      <c r="M516" s="762"/>
      <c r="R516" s="706"/>
    </row>
    <row r="517" spans="7:18" ht="15" customHeight="1">
      <c r="G517" s="1082"/>
      <c r="L517" s="762"/>
      <c r="M517" s="762"/>
      <c r="R517" s="706"/>
    </row>
    <row r="518" spans="7:18" ht="15" customHeight="1">
      <c r="G518" s="1082"/>
      <c r="L518" s="762"/>
      <c r="M518" s="762"/>
      <c r="R518" s="706"/>
    </row>
    <row r="519" spans="7:18" ht="15" customHeight="1">
      <c r="G519" s="1082"/>
      <c r="L519" s="762"/>
      <c r="M519" s="762"/>
      <c r="R519" s="706"/>
    </row>
    <row r="520" spans="7:18" ht="15" customHeight="1">
      <c r="G520" s="1082"/>
      <c r="L520" s="762"/>
      <c r="M520" s="762"/>
      <c r="R520" s="706"/>
    </row>
    <row r="521" spans="7:18" ht="15" customHeight="1">
      <c r="G521" s="1082"/>
      <c r="L521" s="762"/>
      <c r="M521" s="762"/>
      <c r="R521" s="706"/>
    </row>
    <row r="522" spans="7:18" ht="15" customHeight="1">
      <c r="G522" s="1082"/>
      <c r="L522" s="762"/>
      <c r="M522" s="762"/>
      <c r="R522" s="706"/>
    </row>
    <row r="523" spans="7:18" ht="15" customHeight="1">
      <c r="G523" s="1082"/>
      <c r="L523" s="762"/>
      <c r="M523" s="762"/>
      <c r="R523" s="706"/>
    </row>
    <row r="524" spans="7:18" ht="15" customHeight="1">
      <c r="G524" s="1082"/>
      <c r="L524" s="762"/>
      <c r="M524" s="762"/>
      <c r="R524" s="706"/>
    </row>
    <row r="525" spans="7:18" ht="15" customHeight="1">
      <c r="G525" s="1082"/>
      <c r="L525" s="762"/>
      <c r="M525" s="762"/>
      <c r="R525" s="706"/>
    </row>
    <row r="526" spans="7:18" ht="15" customHeight="1">
      <c r="G526" s="1082"/>
      <c r="L526" s="762"/>
      <c r="M526" s="762"/>
      <c r="R526" s="706"/>
    </row>
    <row r="527" spans="7:18" ht="15" customHeight="1">
      <c r="G527" s="1082"/>
      <c r="L527" s="762"/>
      <c r="M527" s="762"/>
      <c r="R527" s="706"/>
    </row>
    <row r="528" spans="7:18" ht="15" customHeight="1">
      <c r="G528" s="1082"/>
      <c r="L528" s="762"/>
      <c r="M528" s="762"/>
      <c r="R528" s="706"/>
    </row>
    <row r="529" spans="7:18" ht="15" customHeight="1">
      <c r="G529" s="1082"/>
      <c r="L529" s="762"/>
      <c r="M529" s="762"/>
      <c r="R529" s="706"/>
    </row>
    <row r="530" spans="7:18" ht="15" customHeight="1">
      <c r="G530" s="1082"/>
      <c r="L530" s="762"/>
      <c r="M530" s="762"/>
      <c r="R530" s="706"/>
    </row>
    <row r="531" spans="7:18" ht="15" customHeight="1">
      <c r="G531" s="1082"/>
      <c r="L531" s="762"/>
      <c r="M531" s="762"/>
      <c r="R531" s="706"/>
    </row>
    <row r="532" spans="7:18" ht="15" customHeight="1">
      <c r="G532" s="1082"/>
      <c r="L532" s="762"/>
      <c r="M532" s="762"/>
      <c r="R532" s="706"/>
    </row>
    <row r="533" spans="7:18" ht="15" customHeight="1">
      <c r="G533" s="1082"/>
      <c r="L533" s="762"/>
      <c r="M533" s="762"/>
      <c r="R533" s="706"/>
    </row>
    <row r="534" spans="7:18" ht="15" customHeight="1">
      <c r="G534" s="1082"/>
      <c r="L534" s="762"/>
      <c r="M534" s="762"/>
      <c r="R534" s="706"/>
    </row>
    <row r="535" spans="7:18" ht="15" customHeight="1">
      <c r="G535" s="1082"/>
      <c r="L535" s="762"/>
      <c r="M535" s="762"/>
      <c r="R535" s="706"/>
    </row>
    <row r="536" spans="7:18" ht="15" customHeight="1">
      <c r="G536" s="1082"/>
      <c r="L536" s="762"/>
      <c r="M536" s="762"/>
      <c r="R536" s="706"/>
    </row>
    <row r="537" spans="7:18" ht="15" customHeight="1">
      <c r="G537" s="1082"/>
      <c r="L537" s="762"/>
      <c r="M537" s="762"/>
      <c r="R537" s="706"/>
    </row>
    <row r="538" spans="7:18" ht="15" customHeight="1">
      <c r="G538" s="1082"/>
      <c r="L538" s="762"/>
      <c r="M538" s="762"/>
      <c r="R538" s="706"/>
    </row>
    <row r="539" spans="7:18" ht="15" customHeight="1">
      <c r="G539" s="1082"/>
      <c r="L539" s="762"/>
      <c r="M539" s="762"/>
      <c r="R539" s="706"/>
    </row>
    <row r="540" spans="7:18" ht="15" customHeight="1">
      <c r="G540" s="1082"/>
      <c r="L540" s="762"/>
      <c r="M540" s="762"/>
      <c r="R540" s="706"/>
    </row>
    <row r="541" spans="7:18" ht="15" customHeight="1">
      <c r="G541" s="1082"/>
      <c r="L541" s="762"/>
      <c r="M541" s="762"/>
      <c r="R541" s="706"/>
    </row>
    <row r="542" spans="7:18" ht="15" customHeight="1">
      <c r="G542" s="1082"/>
      <c r="L542" s="762"/>
      <c r="M542" s="762"/>
      <c r="R542" s="706"/>
    </row>
    <row r="543" spans="7:18" ht="15" customHeight="1">
      <c r="G543" s="1082"/>
      <c r="L543" s="762"/>
      <c r="M543" s="762"/>
      <c r="R543" s="706"/>
    </row>
    <row r="544" spans="7:18" ht="15" customHeight="1">
      <c r="G544" s="1082"/>
      <c r="L544" s="762"/>
      <c r="M544" s="762"/>
      <c r="R544" s="706"/>
    </row>
    <row r="545" spans="7:18" ht="15" customHeight="1">
      <c r="G545" s="1082"/>
      <c r="L545" s="762"/>
      <c r="M545" s="762"/>
      <c r="R545" s="706"/>
    </row>
    <row r="546" spans="7:18" ht="15" customHeight="1">
      <c r="G546" s="1082"/>
      <c r="L546" s="762"/>
      <c r="M546" s="762"/>
      <c r="R546" s="706"/>
    </row>
    <row r="547" spans="7:18" ht="15" customHeight="1">
      <c r="G547" s="1082"/>
      <c r="L547" s="762"/>
      <c r="M547" s="762"/>
      <c r="R547" s="706"/>
    </row>
    <row r="548" spans="7:18" ht="15" customHeight="1">
      <c r="G548" s="1082"/>
      <c r="L548" s="762"/>
      <c r="M548" s="762"/>
      <c r="R548" s="706"/>
    </row>
    <row r="549" spans="7:18" ht="15" customHeight="1">
      <c r="G549" s="1082"/>
      <c r="L549" s="762"/>
      <c r="M549" s="762"/>
      <c r="R549" s="706"/>
    </row>
    <row r="550" spans="7:18" ht="15" customHeight="1">
      <c r="G550" s="1082"/>
      <c r="L550" s="762"/>
      <c r="M550" s="762"/>
      <c r="R550" s="706"/>
    </row>
    <row r="551" spans="7:18" ht="15" customHeight="1">
      <c r="G551" s="1082"/>
      <c r="L551" s="762"/>
      <c r="M551" s="762"/>
      <c r="R551" s="706"/>
    </row>
    <row r="552" spans="7:18" ht="15" customHeight="1">
      <c r="G552" s="1082"/>
      <c r="L552" s="762"/>
      <c r="M552" s="762"/>
      <c r="R552" s="706"/>
    </row>
    <row r="553" spans="7:18" ht="15" customHeight="1">
      <c r="G553" s="1082"/>
      <c r="L553" s="762"/>
      <c r="M553" s="762"/>
      <c r="R553" s="706"/>
    </row>
    <row r="554" spans="7:18" ht="15" customHeight="1">
      <c r="G554" s="1082"/>
      <c r="L554" s="762"/>
      <c r="M554" s="762"/>
      <c r="R554" s="706"/>
    </row>
    <row r="555" spans="7:18" ht="15" customHeight="1">
      <c r="G555" s="1082"/>
      <c r="L555" s="762"/>
      <c r="M555" s="762"/>
      <c r="R555" s="706"/>
    </row>
    <row r="556" spans="7:18" ht="15" customHeight="1">
      <c r="G556" s="1082"/>
      <c r="L556" s="762"/>
      <c r="M556" s="762"/>
      <c r="R556" s="706"/>
    </row>
    <row r="557" spans="7:18" ht="15" customHeight="1">
      <c r="G557" s="1082"/>
      <c r="L557" s="762"/>
      <c r="M557" s="762"/>
      <c r="R557" s="706"/>
    </row>
    <row r="558" spans="7:18" ht="15" customHeight="1">
      <c r="G558" s="1082"/>
      <c r="L558" s="762"/>
      <c r="M558" s="762"/>
      <c r="R558" s="706"/>
    </row>
    <row r="559" spans="7:18" ht="15" customHeight="1">
      <c r="G559" s="1082"/>
      <c r="L559" s="762"/>
      <c r="M559" s="762"/>
      <c r="R559" s="706"/>
    </row>
    <row r="560" spans="7:18" ht="15" customHeight="1">
      <c r="G560" s="1082"/>
      <c r="L560" s="762"/>
      <c r="M560" s="762"/>
      <c r="R560" s="706"/>
    </row>
    <row r="561" spans="7:18" ht="15" customHeight="1">
      <c r="G561" s="1082"/>
      <c r="L561" s="762"/>
      <c r="M561" s="762"/>
      <c r="R561" s="706"/>
    </row>
    <row r="562" spans="7:18" ht="15" customHeight="1">
      <c r="G562" s="1082"/>
      <c r="L562" s="762"/>
      <c r="M562" s="762"/>
      <c r="R562" s="706"/>
    </row>
    <row r="563" spans="7:18" ht="15" customHeight="1">
      <c r="G563" s="1082"/>
      <c r="L563" s="762"/>
      <c r="M563" s="762"/>
      <c r="R563" s="706"/>
    </row>
    <row r="564" spans="7:18" ht="15" customHeight="1">
      <c r="G564" s="1082"/>
      <c r="L564" s="762"/>
      <c r="M564" s="762"/>
      <c r="R564" s="706"/>
    </row>
    <row r="565" spans="7:18" ht="15" customHeight="1">
      <c r="G565" s="1082"/>
      <c r="L565" s="762"/>
      <c r="M565" s="762"/>
      <c r="R565" s="706"/>
    </row>
    <row r="566" spans="7:18" ht="15" customHeight="1">
      <c r="G566" s="1082"/>
      <c r="L566" s="762"/>
      <c r="M566" s="762"/>
      <c r="R566" s="706"/>
    </row>
    <row r="567" spans="7:18" ht="15" customHeight="1">
      <c r="G567" s="1082"/>
      <c r="L567" s="762"/>
      <c r="M567" s="762"/>
      <c r="R567" s="706"/>
    </row>
    <row r="568" spans="7:18" ht="15" customHeight="1">
      <c r="G568" s="1082"/>
      <c r="L568" s="762"/>
      <c r="M568" s="762"/>
      <c r="R568" s="706"/>
    </row>
    <row r="569" spans="7:18" ht="15" customHeight="1">
      <c r="G569" s="1082"/>
      <c r="L569" s="762"/>
      <c r="M569" s="762"/>
      <c r="R569" s="706"/>
    </row>
    <row r="570" spans="7:18" ht="15" customHeight="1">
      <c r="G570" s="1082"/>
      <c r="L570" s="762"/>
      <c r="M570" s="762"/>
      <c r="R570" s="706"/>
    </row>
    <row r="571" spans="7:18" ht="15" customHeight="1">
      <c r="G571" s="1082"/>
      <c r="L571" s="762"/>
      <c r="M571" s="762"/>
      <c r="R571" s="706"/>
    </row>
    <row r="572" spans="7:18" ht="15" customHeight="1">
      <c r="G572" s="1082"/>
      <c r="L572" s="762"/>
      <c r="M572" s="762"/>
      <c r="R572" s="706"/>
    </row>
    <row r="573" spans="7:18" ht="15" customHeight="1">
      <c r="G573" s="1082"/>
      <c r="L573" s="762"/>
      <c r="M573" s="762"/>
      <c r="R573" s="706"/>
    </row>
    <row r="574" spans="7:18" ht="15" customHeight="1">
      <c r="G574" s="1082"/>
      <c r="L574" s="762"/>
      <c r="M574" s="762"/>
      <c r="R574" s="706"/>
    </row>
    <row r="575" spans="7:18" ht="15" customHeight="1">
      <c r="G575" s="1082"/>
      <c r="L575" s="762"/>
      <c r="M575" s="762"/>
      <c r="R575" s="706"/>
    </row>
    <row r="576" spans="7:18" ht="15" customHeight="1">
      <c r="G576" s="1082"/>
      <c r="L576" s="762"/>
      <c r="M576" s="762"/>
      <c r="R576" s="706"/>
    </row>
    <row r="577" spans="7:18" ht="15" customHeight="1">
      <c r="G577" s="1082"/>
      <c r="L577" s="762"/>
      <c r="M577" s="762"/>
      <c r="R577" s="706"/>
    </row>
    <row r="578" spans="7:18" ht="15" customHeight="1">
      <c r="G578" s="1082"/>
      <c r="L578" s="762"/>
      <c r="M578" s="762"/>
      <c r="R578" s="706"/>
    </row>
    <row r="579" spans="7:18" ht="15" customHeight="1">
      <c r="G579" s="1082"/>
      <c r="L579" s="762"/>
      <c r="M579" s="762"/>
      <c r="R579" s="706"/>
    </row>
    <row r="580" spans="7:18" ht="15" customHeight="1">
      <c r="G580" s="1082"/>
      <c r="R580" s="706"/>
    </row>
    <row r="581" spans="7:18" ht="15" customHeight="1">
      <c r="G581" s="1082"/>
      <c r="R581" s="706"/>
    </row>
    <row r="582" spans="7:18" ht="15" customHeight="1">
      <c r="G582" s="1082"/>
      <c r="R582" s="706"/>
    </row>
    <row r="583" spans="7:18" ht="15" customHeight="1">
      <c r="G583" s="1082"/>
      <c r="R583" s="706"/>
    </row>
    <row r="584" spans="7:18" ht="15" customHeight="1">
      <c r="G584" s="1082"/>
      <c r="R584" s="706"/>
    </row>
    <row r="585" spans="7:18" ht="15" customHeight="1">
      <c r="G585" s="1082"/>
      <c r="R585" s="706"/>
    </row>
    <row r="586" spans="7:18" ht="15" customHeight="1">
      <c r="G586" s="1082"/>
      <c r="R586" s="706"/>
    </row>
    <row r="587" spans="7:18" ht="15" customHeight="1">
      <c r="G587" s="1082"/>
      <c r="R587" s="706"/>
    </row>
    <row r="588" spans="7:18" ht="15" customHeight="1">
      <c r="G588" s="1082"/>
      <c r="R588" s="706"/>
    </row>
    <row r="589" spans="7:18" ht="15" customHeight="1">
      <c r="G589" s="1082"/>
      <c r="R589" s="706"/>
    </row>
    <row r="590" spans="7:18" ht="15" customHeight="1">
      <c r="G590" s="1082"/>
      <c r="R590" s="706"/>
    </row>
    <row r="591" spans="7:18" ht="15" customHeight="1">
      <c r="G591" s="1082"/>
      <c r="R591" s="706"/>
    </row>
    <row r="592" spans="7:18" ht="15" customHeight="1">
      <c r="G592" s="1082"/>
      <c r="R592" s="706"/>
    </row>
    <row r="593" spans="7:18" ht="15" customHeight="1">
      <c r="G593" s="1082"/>
      <c r="R593" s="706"/>
    </row>
    <row r="594" spans="7:18" ht="15" customHeight="1">
      <c r="G594" s="1082"/>
      <c r="R594" s="706"/>
    </row>
    <row r="595" spans="7:18" ht="15" customHeight="1">
      <c r="G595" s="1082"/>
      <c r="R595" s="706"/>
    </row>
    <row r="596" spans="7:18" ht="15" customHeight="1">
      <c r="G596" s="1082"/>
      <c r="R596" s="706"/>
    </row>
    <row r="597" spans="7:18" ht="15" customHeight="1">
      <c r="G597" s="1082"/>
      <c r="R597" s="706"/>
    </row>
    <row r="598" spans="7:18" ht="15" customHeight="1">
      <c r="G598" s="1082"/>
      <c r="R598" s="706"/>
    </row>
    <row r="599" spans="7:18" ht="15" customHeight="1">
      <c r="G599" s="1082"/>
      <c r="R599" s="706"/>
    </row>
    <row r="600" spans="7:18" ht="15" customHeight="1">
      <c r="G600" s="1082"/>
      <c r="R600" s="706"/>
    </row>
    <row r="601" spans="7:18" ht="15" customHeight="1">
      <c r="G601" s="1082"/>
      <c r="R601" s="706"/>
    </row>
    <row r="602" spans="7:18" ht="15" customHeight="1">
      <c r="G602" s="1082"/>
      <c r="R602" s="706"/>
    </row>
    <row r="603" spans="7:18" ht="15" customHeight="1">
      <c r="G603" s="1082"/>
      <c r="R603" s="706"/>
    </row>
    <row r="604" spans="7:18" ht="15" customHeight="1">
      <c r="G604" s="1082"/>
      <c r="R604" s="706"/>
    </row>
    <row r="605" spans="7:18" ht="15" customHeight="1">
      <c r="G605" s="1082"/>
      <c r="R605" s="706"/>
    </row>
    <row r="606" spans="7:18" ht="15" customHeight="1">
      <c r="G606" s="1082"/>
      <c r="R606" s="706"/>
    </row>
    <row r="607" spans="7:18" ht="15" customHeight="1">
      <c r="G607" s="1082"/>
      <c r="R607" s="706"/>
    </row>
    <row r="608" spans="7:18" ht="15" customHeight="1">
      <c r="G608" s="1082"/>
      <c r="R608" s="706"/>
    </row>
    <row r="609" spans="7:18" ht="15" customHeight="1">
      <c r="G609" s="1082"/>
      <c r="R609" s="706"/>
    </row>
    <row r="610" spans="7:18" ht="15" customHeight="1">
      <c r="G610" s="1082"/>
      <c r="R610" s="706"/>
    </row>
    <row r="611" spans="7:18" ht="15" customHeight="1">
      <c r="G611" s="1082"/>
      <c r="R611" s="706"/>
    </row>
    <row r="612" spans="7:18" ht="15" customHeight="1">
      <c r="G612" s="1082"/>
      <c r="R612" s="706"/>
    </row>
    <row r="613" spans="7:18" ht="15" customHeight="1">
      <c r="G613" s="1082"/>
      <c r="R613" s="706"/>
    </row>
    <row r="614" spans="7:18" ht="15" customHeight="1">
      <c r="G614" s="1082"/>
      <c r="R614" s="706"/>
    </row>
    <row r="615" spans="7:18" ht="15" customHeight="1">
      <c r="G615" s="1082"/>
      <c r="R615" s="706"/>
    </row>
    <row r="616" spans="7:18" ht="15" customHeight="1">
      <c r="G616" s="1082"/>
      <c r="R616" s="706"/>
    </row>
    <row r="617" spans="7:18" ht="15" customHeight="1">
      <c r="G617" s="1082"/>
      <c r="R617" s="706"/>
    </row>
    <row r="618" spans="7:18" ht="15" customHeight="1">
      <c r="G618" s="1082"/>
      <c r="R618" s="706"/>
    </row>
    <row r="619" spans="7:18" ht="15" customHeight="1">
      <c r="G619" s="1082"/>
      <c r="R619" s="706"/>
    </row>
    <row r="620" spans="7:18" ht="15" customHeight="1">
      <c r="G620" s="1082"/>
      <c r="R620" s="706"/>
    </row>
    <row r="621" spans="7:18" ht="15" customHeight="1">
      <c r="G621" s="1082"/>
      <c r="R621" s="706"/>
    </row>
    <row r="622" spans="7:18" ht="15" customHeight="1">
      <c r="G622" s="1082"/>
      <c r="R622" s="706"/>
    </row>
    <row r="623" spans="7:18" ht="15" customHeight="1">
      <c r="G623" s="1082"/>
      <c r="R623" s="706"/>
    </row>
    <row r="624" spans="7:18" ht="15" customHeight="1">
      <c r="G624" s="1082"/>
      <c r="R624" s="706"/>
    </row>
    <row r="625" spans="7:18" ht="15" customHeight="1">
      <c r="G625" s="1082"/>
      <c r="R625" s="706"/>
    </row>
    <row r="626" spans="7:18" ht="15" customHeight="1">
      <c r="G626" s="1082"/>
      <c r="R626" s="706"/>
    </row>
    <row r="627" spans="7:18" ht="15" customHeight="1">
      <c r="G627" s="1082"/>
      <c r="R627" s="706"/>
    </row>
    <row r="628" spans="7:18" ht="15" customHeight="1">
      <c r="G628" s="1082"/>
      <c r="R628" s="706"/>
    </row>
    <row r="629" spans="7:18" ht="15" customHeight="1">
      <c r="G629" s="1082"/>
      <c r="R629" s="706"/>
    </row>
    <row r="630" spans="7:18" ht="15" customHeight="1">
      <c r="G630" s="1082"/>
      <c r="R630" s="706"/>
    </row>
    <row r="631" spans="7:18" ht="15" customHeight="1">
      <c r="G631" s="1082"/>
      <c r="R631" s="706"/>
    </row>
    <row r="632" spans="7:18" ht="15" customHeight="1">
      <c r="G632" s="1082"/>
      <c r="R632" s="706"/>
    </row>
    <row r="633" spans="7:18" ht="15" customHeight="1">
      <c r="G633" s="1082"/>
      <c r="R633" s="706"/>
    </row>
    <row r="634" spans="7:18" ht="15" customHeight="1">
      <c r="G634" s="1082"/>
      <c r="R634" s="706"/>
    </row>
    <row r="635" spans="7:18" ht="15" customHeight="1">
      <c r="G635" s="1082"/>
      <c r="R635" s="706"/>
    </row>
    <row r="636" spans="7:18" ht="15" customHeight="1">
      <c r="G636" s="1082"/>
      <c r="R636" s="706"/>
    </row>
    <row r="637" spans="7:18" ht="15" customHeight="1">
      <c r="G637" s="1082"/>
      <c r="R637" s="706"/>
    </row>
    <row r="638" spans="7:18" ht="15" customHeight="1">
      <c r="G638" s="1082"/>
      <c r="R638" s="706"/>
    </row>
    <row r="639" spans="7:18" ht="15" customHeight="1">
      <c r="G639" s="1082"/>
      <c r="R639" s="706"/>
    </row>
    <row r="640" spans="7:18" ht="15" customHeight="1">
      <c r="G640" s="1082"/>
      <c r="R640" s="706"/>
    </row>
    <row r="641" spans="7:18" ht="15" customHeight="1">
      <c r="G641" s="1082"/>
      <c r="R641" s="706"/>
    </row>
    <row r="642" spans="7:18" ht="15" customHeight="1">
      <c r="G642" s="1082"/>
      <c r="R642" s="706"/>
    </row>
    <row r="643" spans="7:18" ht="15" customHeight="1">
      <c r="G643" s="1082"/>
      <c r="R643" s="706"/>
    </row>
    <row r="644" spans="7:18" ht="15" customHeight="1">
      <c r="G644" s="1082"/>
      <c r="R644" s="706"/>
    </row>
    <row r="645" spans="7:18" ht="15" customHeight="1">
      <c r="G645" s="1082"/>
      <c r="R645" s="706"/>
    </row>
    <row r="646" spans="7:18" ht="15" customHeight="1">
      <c r="G646" s="1082"/>
      <c r="R646" s="706"/>
    </row>
    <row r="647" spans="7:18" ht="15" customHeight="1">
      <c r="G647" s="1082"/>
      <c r="R647" s="706"/>
    </row>
    <row r="648" spans="7:18" ht="15" customHeight="1">
      <c r="G648" s="1082"/>
      <c r="R648" s="706"/>
    </row>
    <row r="649" spans="7:18" ht="15" customHeight="1">
      <c r="G649" s="1082"/>
      <c r="R649" s="706"/>
    </row>
    <row r="650" spans="7:18" ht="15" customHeight="1">
      <c r="G650" s="1082"/>
      <c r="R650" s="706"/>
    </row>
    <row r="651" spans="7:18" ht="15" customHeight="1">
      <c r="G651" s="1082"/>
      <c r="R651" s="706"/>
    </row>
    <row r="652" spans="7:18" ht="15" customHeight="1">
      <c r="G652" s="1082"/>
      <c r="R652" s="706"/>
    </row>
    <row r="653" spans="7:18" ht="15" customHeight="1">
      <c r="G653" s="1082"/>
      <c r="R653" s="706"/>
    </row>
    <row r="654" spans="7:18" ht="15" customHeight="1">
      <c r="G654" s="1082"/>
      <c r="R654" s="706"/>
    </row>
    <row r="655" spans="7:18" ht="15" customHeight="1">
      <c r="G655" s="1082"/>
      <c r="R655" s="706"/>
    </row>
    <row r="656" spans="7:18" ht="15" customHeight="1">
      <c r="G656" s="1082"/>
      <c r="R656" s="706"/>
    </row>
    <row r="657" spans="7:18" ht="15" customHeight="1">
      <c r="G657" s="1082"/>
      <c r="R657" s="706"/>
    </row>
    <row r="658" spans="7:18" ht="15" customHeight="1">
      <c r="G658" s="1082"/>
      <c r="R658" s="706"/>
    </row>
    <row r="659" spans="7:18" ht="15" customHeight="1">
      <c r="G659" s="1082"/>
      <c r="R659" s="706"/>
    </row>
    <row r="660" spans="7:18" ht="15" customHeight="1">
      <c r="G660" s="1082"/>
      <c r="R660" s="706"/>
    </row>
    <row r="661" spans="7:18" ht="15" customHeight="1">
      <c r="G661" s="1082"/>
      <c r="R661" s="706"/>
    </row>
    <row r="662" spans="7:18" ht="15" customHeight="1">
      <c r="G662" s="1082"/>
      <c r="R662" s="706"/>
    </row>
    <row r="663" spans="7:18" ht="15" customHeight="1">
      <c r="G663" s="1082"/>
      <c r="R663" s="706"/>
    </row>
    <row r="664" spans="7:18" ht="15" customHeight="1">
      <c r="G664" s="1082"/>
      <c r="R664" s="706"/>
    </row>
    <row r="665" spans="7:18" ht="15" customHeight="1">
      <c r="G665" s="1082"/>
      <c r="R665" s="706"/>
    </row>
    <row r="666" spans="7:18" ht="15" customHeight="1">
      <c r="G666" s="1082"/>
      <c r="R666" s="706"/>
    </row>
    <row r="667" spans="7:18" ht="15" customHeight="1">
      <c r="G667" s="1082"/>
      <c r="R667" s="706"/>
    </row>
    <row r="668" spans="7:18" ht="15" customHeight="1">
      <c r="G668" s="1082"/>
      <c r="R668" s="706"/>
    </row>
    <row r="669" spans="7:18" ht="15" customHeight="1">
      <c r="G669" s="1082"/>
      <c r="R669" s="706"/>
    </row>
    <row r="670" spans="7:18" ht="15" customHeight="1">
      <c r="G670" s="1082"/>
      <c r="R670" s="706"/>
    </row>
    <row r="671" spans="7:18" ht="15" customHeight="1">
      <c r="G671" s="1082"/>
      <c r="R671" s="706"/>
    </row>
    <row r="672" spans="7:18" ht="15" customHeight="1">
      <c r="G672" s="1082"/>
      <c r="R672" s="706"/>
    </row>
    <row r="673" spans="7:18" ht="15" customHeight="1">
      <c r="G673" s="1082"/>
      <c r="R673" s="706"/>
    </row>
    <row r="674" spans="7:18" ht="15" customHeight="1">
      <c r="G674" s="1082"/>
      <c r="R674" s="706"/>
    </row>
    <row r="675" spans="7:18" ht="15" customHeight="1">
      <c r="G675" s="1082"/>
      <c r="R675" s="706"/>
    </row>
    <row r="676" spans="7:18" ht="15" customHeight="1">
      <c r="G676" s="1082"/>
      <c r="R676" s="706"/>
    </row>
    <row r="677" spans="7:18" ht="15" customHeight="1">
      <c r="G677" s="1082"/>
      <c r="R677" s="706"/>
    </row>
    <row r="678" spans="7:18" ht="15" customHeight="1">
      <c r="G678" s="1082"/>
      <c r="R678" s="706"/>
    </row>
    <row r="679" spans="7:18" ht="15" customHeight="1">
      <c r="G679" s="1082"/>
      <c r="R679" s="706"/>
    </row>
    <row r="680" spans="7:18" ht="15" customHeight="1">
      <c r="G680" s="1082"/>
      <c r="R680" s="706"/>
    </row>
    <row r="681" spans="7:18" ht="15" customHeight="1">
      <c r="G681" s="1082"/>
      <c r="R681" s="706"/>
    </row>
    <row r="682" spans="7:18" ht="15" customHeight="1">
      <c r="G682" s="1082"/>
      <c r="R682" s="706"/>
    </row>
    <row r="683" spans="7:18" ht="15" customHeight="1">
      <c r="G683" s="1082"/>
      <c r="R683" s="706"/>
    </row>
    <row r="684" spans="7:18" ht="15" customHeight="1">
      <c r="G684" s="1082"/>
      <c r="R684" s="706"/>
    </row>
    <row r="685" spans="7:18" ht="15" customHeight="1">
      <c r="G685" s="1082"/>
      <c r="R685" s="706"/>
    </row>
    <row r="686" spans="7:18" ht="15" customHeight="1">
      <c r="G686" s="1082"/>
      <c r="R686" s="706"/>
    </row>
    <row r="687" spans="7:18" ht="15" customHeight="1">
      <c r="G687" s="1082"/>
      <c r="R687" s="706"/>
    </row>
    <row r="688" spans="7:18" ht="15" customHeight="1">
      <c r="G688" s="1082"/>
      <c r="R688" s="706"/>
    </row>
    <row r="689" spans="7:18" ht="15" customHeight="1">
      <c r="G689" s="1082"/>
      <c r="R689" s="706"/>
    </row>
    <row r="690" spans="7:18" ht="15" customHeight="1">
      <c r="G690" s="1082"/>
      <c r="R690" s="706"/>
    </row>
    <row r="691" spans="7:18" ht="15" customHeight="1">
      <c r="G691" s="1082"/>
      <c r="R691" s="706"/>
    </row>
    <row r="692" spans="7:18" ht="15" customHeight="1">
      <c r="G692" s="1082"/>
      <c r="R692" s="706"/>
    </row>
    <row r="693" spans="7:18" ht="15" customHeight="1">
      <c r="G693" s="1082"/>
      <c r="R693" s="706"/>
    </row>
    <row r="694" spans="7:18" ht="15" customHeight="1">
      <c r="G694" s="1082"/>
      <c r="R694" s="706"/>
    </row>
    <row r="695" spans="7:18" ht="15" customHeight="1">
      <c r="G695" s="1082"/>
      <c r="R695" s="706"/>
    </row>
    <row r="696" spans="7:18" ht="15" customHeight="1">
      <c r="G696" s="1082"/>
      <c r="R696" s="706"/>
    </row>
    <row r="697" spans="7:18" ht="15" customHeight="1">
      <c r="G697" s="1082"/>
      <c r="R697" s="706"/>
    </row>
    <row r="698" spans="7:18" ht="15" customHeight="1">
      <c r="G698" s="1082"/>
      <c r="R698" s="706"/>
    </row>
    <row r="699" spans="7:18" ht="15" customHeight="1">
      <c r="G699" s="1082"/>
      <c r="R699" s="706"/>
    </row>
    <row r="700" spans="7:18" ht="15" customHeight="1">
      <c r="G700" s="1082"/>
      <c r="R700" s="706"/>
    </row>
    <row r="701" spans="7:18" ht="15" customHeight="1">
      <c r="G701" s="1082"/>
      <c r="R701" s="706"/>
    </row>
    <row r="702" spans="7:18" ht="15" customHeight="1">
      <c r="G702" s="1082"/>
      <c r="R702" s="706"/>
    </row>
    <row r="703" spans="7:18" ht="15" customHeight="1">
      <c r="G703" s="1082"/>
      <c r="R703" s="706"/>
    </row>
    <row r="704" spans="7:18" ht="15" customHeight="1">
      <c r="G704" s="1082"/>
      <c r="R704" s="706"/>
    </row>
    <row r="705" spans="7:18" ht="15" customHeight="1">
      <c r="G705" s="1082"/>
      <c r="R705" s="706"/>
    </row>
    <row r="706" spans="7:18" ht="15" customHeight="1">
      <c r="G706" s="1082"/>
      <c r="R706" s="706"/>
    </row>
    <row r="707" spans="7:18" ht="15" customHeight="1">
      <c r="G707" s="1082"/>
      <c r="R707" s="706"/>
    </row>
    <row r="708" spans="7:18" ht="15" customHeight="1">
      <c r="G708" s="1082"/>
      <c r="R708" s="706"/>
    </row>
    <row r="709" spans="7:18" ht="15" customHeight="1">
      <c r="G709" s="1082"/>
      <c r="R709" s="706"/>
    </row>
    <row r="710" spans="7:18" ht="15" customHeight="1">
      <c r="G710" s="1082"/>
      <c r="R710" s="706"/>
    </row>
    <row r="711" spans="7:18" ht="15" customHeight="1">
      <c r="G711" s="1082"/>
      <c r="R711" s="706"/>
    </row>
    <row r="712" spans="7:18" ht="15" customHeight="1">
      <c r="G712" s="1082"/>
      <c r="R712" s="706"/>
    </row>
    <row r="713" spans="7:18" ht="15" customHeight="1">
      <c r="G713" s="1082"/>
      <c r="R713" s="706"/>
    </row>
    <row r="714" spans="7:18" ht="15" customHeight="1">
      <c r="G714" s="1082"/>
      <c r="R714" s="706"/>
    </row>
    <row r="715" spans="7:18" ht="15" customHeight="1">
      <c r="G715" s="1082"/>
      <c r="R715" s="706"/>
    </row>
    <row r="716" spans="7:18" ht="15" customHeight="1">
      <c r="G716" s="1082"/>
      <c r="R716" s="706"/>
    </row>
    <row r="717" spans="7:18" ht="15" customHeight="1">
      <c r="G717" s="1082"/>
      <c r="R717" s="706"/>
    </row>
    <row r="718" spans="7:18" ht="15" customHeight="1">
      <c r="G718" s="1082"/>
      <c r="R718" s="706"/>
    </row>
    <row r="719" spans="7:18" ht="15" customHeight="1">
      <c r="G719" s="1082"/>
      <c r="R719" s="706"/>
    </row>
    <row r="720" spans="7:18" ht="15" customHeight="1">
      <c r="G720" s="1082"/>
      <c r="R720" s="706"/>
    </row>
    <row r="721" spans="7:18" ht="15" customHeight="1">
      <c r="G721" s="1082"/>
      <c r="R721" s="706"/>
    </row>
    <row r="722" spans="7:18" ht="15" customHeight="1">
      <c r="G722" s="1082"/>
      <c r="R722" s="706"/>
    </row>
    <row r="723" spans="7:18" ht="15" customHeight="1">
      <c r="G723" s="1082"/>
      <c r="R723" s="706"/>
    </row>
    <row r="724" spans="7:18" ht="15" customHeight="1">
      <c r="G724" s="1082"/>
      <c r="R724" s="706"/>
    </row>
    <row r="725" spans="7:18" ht="15" customHeight="1">
      <c r="G725" s="1082"/>
      <c r="R725" s="706"/>
    </row>
    <row r="726" spans="7:18" ht="15" customHeight="1">
      <c r="G726" s="1082"/>
      <c r="R726" s="706"/>
    </row>
    <row r="727" spans="7:18" ht="15" customHeight="1">
      <c r="G727" s="1082"/>
      <c r="R727" s="706"/>
    </row>
    <row r="728" spans="7:18" ht="15" customHeight="1">
      <c r="G728" s="1082"/>
      <c r="R728" s="706"/>
    </row>
    <row r="729" spans="7:18" ht="15" customHeight="1">
      <c r="G729" s="1082"/>
      <c r="R729" s="706"/>
    </row>
    <row r="730" spans="7:18" ht="15" customHeight="1">
      <c r="G730" s="1082"/>
      <c r="R730" s="706"/>
    </row>
    <row r="731" spans="7:18" ht="15" customHeight="1">
      <c r="G731" s="1082"/>
      <c r="R731" s="706"/>
    </row>
    <row r="732" spans="7:18" ht="15" customHeight="1">
      <c r="G732" s="1082"/>
      <c r="R732" s="706"/>
    </row>
    <row r="733" spans="7:18" ht="15" customHeight="1">
      <c r="G733" s="1082"/>
      <c r="R733" s="706"/>
    </row>
    <row r="734" spans="7:18" ht="15" customHeight="1">
      <c r="G734" s="1082"/>
      <c r="R734" s="706"/>
    </row>
    <row r="735" spans="7:18" ht="15" customHeight="1">
      <c r="G735" s="1082"/>
      <c r="R735" s="706"/>
    </row>
    <row r="736" spans="7:18" ht="15" customHeight="1">
      <c r="G736" s="1082"/>
      <c r="R736" s="706"/>
    </row>
    <row r="737" spans="7:18" ht="15" customHeight="1">
      <c r="G737" s="1082"/>
      <c r="R737" s="706"/>
    </row>
    <row r="738" spans="7:18" ht="15" customHeight="1">
      <c r="G738" s="1082"/>
      <c r="R738" s="706"/>
    </row>
    <row r="739" spans="7:18" ht="15" customHeight="1">
      <c r="G739" s="1082"/>
      <c r="R739" s="706"/>
    </row>
    <row r="740" spans="7:18" ht="15" customHeight="1">
      <c r="G740" s="1082"/>
      <c r="R740" s="706"/>
    </row>
    <row r="741" spans="7:18" ht="15" customHeight="1">
      <c r="G741" s="1082"/>
      <c r="R741" s="706"/>
    </row>
    <row r="742" spans="7:18" ht="15" customHeight="1">
      <c r="G742" s="1082"/>
      <c r="R742" s="706"/>
    </row>
    <row r="743" spans="7:18" ht="15" customHeight="1">
      <c r="G743" s="1082"/>
      <c r="R743" s="706"/>
    </row>
    <row r="744" spans="7:18" ht="15" customHeight="1">
      <c r="G744" s="1082"/>
      <c r="R744" s="706"/>
    </row>
    <row r="745" spans="7:18" ht="15" customHeight="1">
      <c r="G745" s="1082"/>
      <c r="R745" s="706"/>
    </row>
    <row r="746" spans="7:18" ht="15" customHeight="1">
      <c r="G746" s="1082"/>
      <c r="R746" s="706"/>
    </row>
    <row r="747" spans="7:18" ht="15" customHeight="1">
      <c r="G747" s="1082"/>
      <c r="R747" s="706"/>
    </row>
    <row r="748" spans="7:18" ht="15" customHeight="1">
      <c r="G748" s="1082"/>
      <c r="R748" s="706"/>
    </row>
    <row r="749" spans="7:18" ht="15" customHeight="1">
      <c r="G749" s="1082"/>
      <c r="R749" s="706"/>
    </row>
    <row r="750" spans="7:18" ht="15" customHeight="1">
      <c r="G750" s="1082"/>
      <c r="R750" s="706"/>
    </row>
    <row r="751" spans="7:18" ht="15" customHeight="1">
      <c r="G751" s="1082"/>
      <c r="R751" s="706"/>
    </row>
    <row r="752" spans="7:18" ht="15" customHeight="1">
      <c r="G752" s="1082"/>
      <c r="R752" s="706"/>
    </row>
    <row r="753" spans="7:18" ht="15" customHeight="1">
      <c r="G753" s="1082"/>
      <c r="R753" s="706"/>
    </row>
    <row r="754" spans="7:18" ht="15" customHeight="1">
      <c r="G754" s="1082"/>
      <c r="R754" s="706"/>
    </row>
    <row r="755" spans="7:18" ht="15" customHeight="1">
      <c r="G755" s="1082"/>
      <c r="R755" s="706"/>
    </row>
    <row r="756" spans="7:18" ht="15" customHeight="1">
      <c r="G756" s="1082"/>
      <c r="R756" s="706"/>
    </row>
    <row r="757" spans="7:18" ht="15" customHeight="1">
      <c r="G757" s="1082"/>
      <c r="R757" s="706"/>
    </row>
    <row r="758" spans="7:18" ht="15" customHeight="1">
      <c r="G758" s="1082"/>
      <c r="R758" s="706"/>
    </row>
    <row r="759" spans="7:18" ht="15" customHeight="1">
      <c r="G759" s="1082"/>
      <c r="R759" s="706"/>
    </row>
    <row r="760" spans="7:18" ht="15" customHeight="1">
      <c r="G760" s="1082"/>
      <c r="R760" s="706"/>
    </row>
    <row r="761" spans="7:18" ht="15" customHeight="1">
      <c r="G761" s="1082"/>
      <c r="R761" s="706"/>
    </row>
    <row r="762" spans="7:18" ht="15" customHeight="1">
      <c r="G762" s="1082"/>
      <c r="R762" s="706"/>
    </row>
    <row r="763" spans="7:18" ht="15" customHeight="1">
      <c r="G763" s="1082"/>
      <c r="R763" s="706"/>
    </row>
    <row r="764" spans="7:18" ht="15" customHeight="1">
      <c r="G764" s="1082"/>
      <c r="R764" s="706"/>
    </row>
    <row r="765" spans="7:18" ht="15" customHeight="1">
      <c r="G765" s="1082"/>
      <c r="R765" s="706"/>
    </row>
    <row r="766" spans="7:18" ht="15" customHeight="1">
      <c r="G766" s="1082"/>
      <c r="R766" s="706"/>
    </row>
    <row r="767" spans="7:18" ht="15" customHeight="1">
      <c r="G767" s="1082"/>
      <c r="R767" s="706"/>
    </row>
    <row r="768" spans="7:18" ht="15" customHeight="1">
      <c r="G768" s="1082"/>
      <c r="R768" s="706"/>
    </row>
    <row r="769" spans="7:18" ht="15" customHeight="1">
      <c r="G769" s="1082"/>
      <c r="R769" s="706"/>
    </row>
    <row r="770" spans="7:18" ht="15" customHeight="1">
      <c r="G770" s="1082"/>
      <c r="R770" s="706"/>
    </row>
    <row r="771" spans="7:18" ht="15" customHeight="1">
      <c r="G771" s="1082"/>
      <c r="R771" s="706"/>
    </row>
    <row r="772" spans="7:18" ht="15" customHeight="1">
      <c r="G772" s="1082"/>
      <c r="R772" s="706"/>
    </row>
    <row r="773" spans="7:18" ht="15" customHeight="1">
      <c r="G773" s="1082"/>
      <c r="R773" s="706"/>
    </row>
    <row r="774" spans="7:18" ht="15" customHeight="1">
      <c r="G774" s="1082"/>
      <c r="R774" s="706"/>
    </row>
    <row r="775" spans="7:18" ht="15" customHeight="1">
      <c r="G775" s="1082"/>
      <c r="R775" s="706"/>
    </row>
    <row r="776" spans="7:18" ht="15" customHeight="1">
      <c r="G776" s="1082"/>
      <c r="R776" s="706"/>
    </row>
    <row r="777" spans="7:18" ht="15" customHeight="1">
      <c r="G777" s="1082"/>
      <c r="R777" s="706"/>
    </row>
    <row r="778" spans="7:18" ht="15" customHeight="1">
      <c r="G778" s="1082"/>
      <c r="R778" s="706"/>
    </row>
    <row r="779" spans="7:18" ht="15" customHeight="1">
      <c r="G779" s="1082"/>
      <c r="R779" s="706"/>
    </row>
    <row r="780" spans="7:18" ht="15" customHeight="1">
      <c r="G780" s="1082"/>
      <c r="R780" s="706"/>
    </row>
    <row r="781" spans="7:18" ht="15" customHeight="1">
      <c r="G781" s="1082"/>
      <c r="R781" s="706"/>
    </row>
    <row r="782" spans="7:18" ht="15" customHeight="1">
      <c r="G782" s="1082"/>
      <c r="R782" s="706"/>
    </row>
    <row r="783" spans="7:18" ht="15" customHeight="1">
      <c r="G783" s="1082"/>
      <c r="R783" s="706"/>
    </row>
    <row r="784" spans="7:18" ht="15" customHeight="1">
      <c r="G784" s="1082"/>
      <c r="R784" s="706"/>
    </row>
    <row r="785" spans="7:18" ht="15" customHeight="1">
      <c r="G785" s="1082"/>
      <c r="R785" s="706"/>
    </row>
    <row r="786" spans="7:18" ht="15" customHeight="1">
      <c r="G786" s="1082"/>
      <c r="R786" s="706"/>
    </row>
    <row r="787" spans="7:18" ht="15" customHeight="1">
      <c r="G787" s="1082"/>
      <c r="R787" s="706"/>
    </row>
    <row r="788" spans="7:18" ht="15" customHeight="1">
      <c r="G788" s="1082"/>
      <c r="R788" s="706"/>
    </row>
    <row r="789" spans="7:18" ht="15" customHeight="1">
      <c r="G789" s="1082"/>
      <c r="R789" s="706"/>
    </row>
    <row r="790" spans="7:18" ht="15" customHeight="1">
      <c r="G790" s="1082"/>
      <c r="R790" s="706"/>
    </row>
    <row r="791" spans="7:18" ht="15" customHeight="1">
      <c r="G791" s="1082"/>
      <c r="R791" s="706"/>
    </row>
    <row r="792" spans="7:18" ht="15" customHeight="1">
      <c r="G792" s="1082"/>
      <c r="R792" s="706"/>
    </row>
    <row r="793" spans="7:18" ht="15" customHeight="1">
      <c r="G793" s="1082"/>
      <c r="R793" s="706"/>
    </row>
    <row r="794" spans="7:18" ht="15" customHeight="1">
      <c r="G794" s="1082"/>
      <c r="R794" s="706"/>
    </row>
    <row r="795" spans="7:18" ht="15" customHeight="1">
      <c r="G795" s="1082"/>
      <c r="R795" s="706"/>
    </row>
    <row r="796" spans="7:18" ht="15" customHeight="1">
      <c r="G796" s="1082"/>
      <c r="R796" s="706"/>
    </row>
    <row r="797" spans="7:18" ht="15" customHeight="1">
      <c r="G797" s="1082"/>
      <c r="R797" s="706"/>
    </row>
    <row r="798" spans="7:18" ht="15" customHeight="1">
      <c r="G798" s="1082"/>
      <c r="R798" s="706"/>
    </row>
    <row r="799" spans="7:18" ht="15" customHeight="1">
      <c r="G799" s="1082"/>
      <c r="R799" s="706"/>
    </row>
    <row r="800" spans="7:18" ht="15" customHeight="1">
      <c r="G800" s="1082"/>
      <c r="R800" s="706"/>
    </row>
    <row r="801" spans="7:18" ht="15" customHeight="1">
      <c r="G801" s="1082"/>
      <c r="R801" s="706"/>
    </row>
    <row r="802" spans="7:18" ht="15" customHeight="1">
      <c r="G802" s="1082"/>
      <c r="R802" s="706"/>
    </row>
    <row r="803" spans="7:18" ht="15" customHeight="1">
      <c r="G803" s="1082"/>
      <c r="R803" s="706"/>
    </row>
    <row r="804" spans="7:18" ht="15" customHeight="1">
      <c r="G804" s="1082"/>
      <c r="R804" s="706"/>
    </row>
    <row r="805" spans="7:18" ht="15" customHeight="1">
      <c r="G805" s="1082"/>
      <c r="R805" s="706"/>
    </row>
    <row r="806" spans="7:18" ht="15" customHeight="1">
      <c r="G806" s="1082"/>
      <c r="R806" s="706"/>
    </row>
    <row r="807" spans="7:18" ht="15" customHeight="1">
      <c r="G807" s="1082"/>
      <c r="R807" s="706"/>
    </row>
    <row r="808" spans="7:18" ht="15" customHeight="1">
      <c r="G808" s="1082"/>
      <c r="R808" s="706"/>
    </row>
    <row r="809" spans="7:18" ht="15" customHeight="1">
      <c r="G809" s="1082"/>
      <c r="R809" s="706"/>
    </row>
    <row r="810" spans="7:18" ht="15" customHeight="1">
      <c r="G810" s="1082"/>
      <c r="R810" s="706"/>
    </row>
    <row r="811" spans="7:18" ht="15" customHeight="1">
      <c r="G811" s="1082"/>
      <c r="R811" s="706"/>
    </row>
    <row r="812" spans="7:18" ht="15" customHeight="1">
      <c r="G812" s="1082"/>
      <c r="R812" s="706"/>
    </row>
    <row r="813" spans="7:18" ht="15" customHeight="1">
      <c r="G813" s="1082"/>
      <c r="R813" s="706"/>
    </row>
    <row r="814" spans="7:18" ht="15" customHeight="1">
      <c r="G814" s="1082"/>
      <c r="R814" s="706"/>
    </row>
    <row r="815" spans="7:18" ht="15" customHeight="1">
      <c r="G815" s="1082"/>
      <c r="R815" s="706"/>
    </row>
    <row r="816" spans="7:18" ht="15" customHeight="1">
      <c r="G816" s="1082"/>
      <c r="R816" s="706"/>
    </row>
    <row r="817" spans="7:18" ht="15" customHeight="1">
      <c r="G817" s="1082"/>
      <c r="R817" s="706"/>
    </row>
    <row r="818" spans="7:18" ht="15" customHeight="1">
      <c r="G818" s="1082"/>
      <c r="R818" s="706"/>
    </row>
    <row r="819" spans="7:18" ht="15" customHeight="1">
      <c r="G819" s="1082"/>
      <c r="R819" s="706"/>
    </row>
    <row r="820" spans="7:18" ht="15" customHeight="1">
      <c r="G820" s="1082"/>
      <c r="R820" s="706"/>
    </row>
    <row r="821" spans="7:18" ht="15" customHeight="1">
      <c r="G821" s="1082"/>
      <c r="R821" s="706"/>
    </row>
    <row r="822" spans="7:18" ht="15" customHeight="1">
      <c r="G822" s="1082"/>
      <c r="R822" s="706"/>
    </row>
    <row r="823" spans="7:18" ht="15" customHeight="1">
      <c r="G823" s="1082"/>
      <c r="R823" s="706"/>
    </row>
    <row r="824" spans="7:18" ht="15" customHeight="1">
      <c r="G824" s="1082"/>
      <c r="R824" s="706"/>
    </row>
    <row r="825" spans="7:18" ht="15" customHeight="1">
      <c r="G825" s="1082"/>
      <c r="R825" s="706"/>
    </row>
    <row r="826" spans="7:18" ht="15" customHeight="1">
      <c r="G826" s="1082"/>
      <c r="R826" s="706"/>
    </row>
    <row r="827" spans="7:18" ht="15" customHeight="1">
      <c r="G827" s="1082"/>
      <c r="R827" s="706"/>
    </row>
    <row r="828" spans="7:18" ht="15" customHeight="1">
      <c r="G828" s="1082"/>
      <c r="R828" s="706"/>
    </row>
    <row r="829" spans="7:18" ht="15" customHeight="1">
      <c r="G829" s="1082"/>
      <c r="R829" s="706"/>
    </row>
    <row r="830" spans="7:18" ht="15" customHeight="1">
      <c r="G830" s="1082"/>
      <c r="R830" s="706"/>
    </row>
    <row r="831" spans="7:18" ht="15" customHeight="1">
      <c r="G831" s="1082"/>
      <c r="R831" s="706"/>
    </row>
    <row r="832" spans="7:18" ht="15" customHeight="1">
      <c r="G832" s="1082"/>
      <c r="R832" s="706"/>
    </row>
    <row r="833" spans="7:18" ht="15" customHeight="1">
      <c r="G833" s="1082"/>
      <c r="R833" s="706"/>
    </row>
    <row r="834" spans="7:18" ht="15" customHeight="1">
      <c r="G834" s="1082"/>
      <c r="R834" s="706"/>
    </row>
    <row r="835" spans="7:18" ht="15" customHeight="1">
      <c r="G835" s="1082"/>
      <c r="R835" s="706"/>
    </row>
    <row r="836" spans="7:18" ht="15" customHeight="1">
      <c r="G836" s="1082"/>
      <c r="R836" s="706"/>
    </row>
    <row r="837" spans="7:18" ht="15" customHeight="1">
      <c r="G837" s="1082"/>
      <c r="R837" s="706"/>
    </row>
    <row r="838" spans="7:18" ht="15" customHeight="1">
      <c r="G838" s="1082"/>
      <c r="R838" s="706"/>
    </row>
    <row r="839" spans="7:18" ht="15" customHeight="1">
      <c r="G839" s="1082"/>
      <c r="R839" s="706"/>
    </row>
    <row r="840" spans="7:18" ht="15" customHeight="1">
      <c r="G840" s="1082"/>
      <c r="R840" s="706"/>
    </row>
    <row r="841" spans="7:18" ht="15" customHeight="1">
      <c r="G841" s="1082"/>
      <c r="R841" s="706"/>
    </row>
    <row r="842" spans="7:18" ht="15" customHeight="1">
      <c r="G842" s="1082"/>
      <c r="R842" s="706"/>
    </row>
    <row r="843" spans="7:18" ht="15" customHeight="1">
      <c r="G843" s="1082"/>
      <c r="R843" s="706"/>
    </row>
    <row r="844" spans="7:18" ht="15" customHeight="1">
      <c r="G844" s="1082"/>
      <c r="R844" s="706"/>
    </row>
    <row r="845" spans="7:18" ht="15" customHeight="1">
      <c r="G845" s="1082"/>
      <c r="R845" s="706"/>
    </row>
    <row r="846" spans="7:18" ht="15" customHeight="1">
      <c r="G846" s="1082"/>
      <c r="R846" s="706"/>
    </row>
    <row r="847" spans="7:18" ht="15" customHeight="1">
      <c r="G847" s="1082"/>
      <c r="R847" s="706"/>
    </row>
    <row r="848" spans="7:18" ht="15" customHeight="1">
      <c r="G848" s="1082"/>
      <c r="R848" s="706"/>
    </row>
    <row r="849" spans="7:18" ht="15" customHeight="1">
      <c r="G849" s="1082"/>
      <c r="R849" s="706"/>
    </row>
    <row r="850" spans="7:18" ht="15" customHeight="1">
      <c r="G850" s="1082"/>
      <c r="R850" s="706"/>
    </row>
    <row r="851" spans="7:18" ht="15" customHeight="1">
      <c r="G851" s="1082"/>
      <c r="R851" s="706"/>
    </row>
    <row r="852" spans="7:18" ht="15" customHeight="1">
      <c r="G852" s="1082"/>
      <c r="R852" s="706"/>
    </row>
    <row r="853" spans="7:18" ht="15" customHeight="1">
      <c r="G853" s="1082"/>
      <c r="R853" s="706"/>
    </row>
    <row r="854" spans="7:18" ht="15" customHeight="1">
      <c r="G854" s="1082"/>
      <c r="R854" s="706"/>
    </row>
    <row r="855" spans="7:18" ht="15" customHeight="1">
      <c r="G855" s="1082"/>
      <c r="R855" s="706"/>
    </row>
    <row r="856" spans="7:18" ht="15" customHeight="1">
      <c r="G856" s="1082"/>
      <c r="R856" s="706"/>
    </row>
    <row r="857" spans="7:18" ht="15" customHeight="1">
      <c r="G857" s="1082"/>
      <c r="R857" s="706"/>
    </row>
    <row r="858" spans="7:18" ht="15" customHeight="1">
      <c r="G858" s="1082"/>
      <c r="R858" s="706"/>
    </row>
    <row r="859" spans="7:18" ht="15" customHeight="1">
      <c r="G859" s="1082"/>
      <c r="R859" s="706"/>
    </row>
    <row r="860" spans="7:18" ht="15" customHeight="1">
      <c r="G860" s="1082"/>
      <c r="R860" s="706"/>
    </row>
    <row r="861" spans="7:18" ht="15" customHeight="1">
      <c r="G861" s="1082"/>
      <c r="R861" s="706"/>
    </row>
    <row r="862" spans="7:18" ht="15" customHeight="1">
      <c r="G862" s="1082"/>
      <c r="R862" s="706"/>
    </row>
    <row r="863" spans="7:18" ht="15" customHeight="1">
      <c r="G863" s="1082"/>
      <c r="R863" s="706"/>
    </row>
    <row r="864" spans="7:18" ht="15" customHeight="1">
      <c r="G864" s="1082"/>
      <c r="R864" s="706"/>
    </row>
    <row r="865" spans="7:18" ht="15" customHeight="1">
      <c r="G865" s="1082"/>
      <c r="R865" s="706"/>
    </row>
    <row r="866" spans="7:18" ht="15" customHeight="1">
      <c r="G866" s="1082"/>
      <c r="R866" s="706"/>
    </row>
    <row r="867" spans="7:18" ht="15" customHeight="1">
      <c r="G867" s="1082"/>
      <c r="R867" s="706"/>
    </row>
    <row r="868" spans="7:18" ht="15" customHeight="1">
      <c r="G868" s="1082"/>
      <c r="R868" s="706"/>
    </row>
    <row r="869" spans="7:18" ht="15" customHeight="1">
      <c r="G869" s="1082"/>
      <c r="R869" s="706"/>
    </row>
    <row r="870" spans="7:18" ht="15" customHeight="1">
      <c r="G870" s="1082"/>
      <c r="R870" s="706"/>
    </row>
    <row r="871" spans="7:18" ht="15" customHeight="1">
      <c r="G871" s="1082"/>
      <c r="R871" s="706"/>
    </row>
    <row r="872" spans="7:18" ht="15" customHeight="1">
      <c r="G872" s="1082"/>
      <c r="R872" s="706"/>
    </row>
    <row r="873" spans="7:18" ht="15" customHeight="1">
      <c r="G873" s="1082"/>
      <c r="R873" s="706"/>
    </row>
    <row r="874" spans="7:18" ht="15" customHeight="1">
      <c r="G874" s="1082"/>
      <c r="R874" s="706"/>
    </row>
    <row r="875" spans="7:18" ht="15" customHeight="1">
      <c r="G875" s="1082"/>
      <c r="R875" s="706"/>
    </row>
    <row r="876" spans="7:18" ht="15" customHeight="1">
      <c r="G876" s="1082"/>
      <c r="R876" s="706"/>
    </row>
    <row r="877" spans="7:18" ht="15" customHeight="1">
      <c r="G877" s="1082"/>
      <c r="R877" s="706"/>
    </row>
    <row r="878" spans="7:18" ht="15" customHeight="1">
      <c r="G878" s="1082"/>
      <c r="R878" s="706"/>
    </row>
    <row r="879" spans="7:18" ht="15" customHeight="1">
      <c r="G879" s="1082"/>
      <c r="R879" s="706"/>
    </row>
    <row r="880" spans="7:18" ht="15" customHeight="1">
      <c r="G880" s="1082"/>
      <c r="R880" s="706"/>
    </row>
    <row r="881" spans="7:18" ht="15" customHeight="1">
      <c r="G881" s="1082"/>
      <c r="R881" s="706"/>
    </row>
    <row r="882" spans="7:18" ht="15" customHeight="1">
      <c r="G882" s="1082"/>
      <c r="R882" s="706"/>
    </row>
    <row r="883" spans="7:18" ht="15" customHeight="1">
      <c r="G883" s="1082"/>
      <c r="R883" s="706"/>
    </row>
    <row r="884" spans="7:18" ht="15" customHeight="1">
      <c r="G884" s="1082"/>
      <c r="R884" s="706"/>
    </row>
    <row r="885" spans="7:18" ht="15" customHeight="1">
      <c r="G885" s="1082"/>
      <c r="R885" s="706"/>
    </row>
    <row r="886" spans="7:18" ht="15" customHeight="1">
      <c r="G886" s="1082"/>
      <c r="R886" s="706"/>
    </row>
    <row r="887" spans="7:18" ht="15" customHeight="1">
      <c r="G887" s="1082"/>
      <c r="R887" s="706"/>
    </row>
    <row r="888" spans="7:18" ht="15" customHeight="1">
      <c r="G888" s="1082"/>
      <c r="R888" s="706"/>
    </row>
    <row r="889" spans="7:18" ht="15" customHeight="1">
      <c r="G889" s="1082"/>
      <c r="R889" s="706"/>
    </row>
    <row r="890" spans="7:18" ht="15" customHeight="1">
      <c r="G890" s="1082"/>
      <c r="R890" s="706"/>
    </row>
    <row r="891" spans="7:18" ht="15" customHeight="1">
      <c r="G891" s="1082"/>
      <c r="R891" s="706"/>
    </row>
    <row r="892" spans="7:18" ht="15" customHeight="1">
      <c r="G892" s="1082"/>
      <c r="R892" s="706"/>
    </row>
    <row r="893" spans="7:18" ht="15" customHeight="1">
      <c r="G893" s="1082"/>
      <c r="R893" s="706"/>
    </row>
    <row r="894" spans="7:18" ht="15" customHeight="1">
      <c r="G894" s="1082"/>
      <c r="R894" s="706"/>
    </row>
    <row r="895" spans="7:18" ht="15" customHeight="1">
      <c r="G895" s="1082"/>
      <c r="R895" s="706"/>
    </row>
    <row r="896" spans="7:18" ht="15" customHeight="1">
      <c r="G896" s="1082"/>
      <c r="R896" s="706"/>
    </row>
    <row r="897" spans="7:18" ht="15" customHeight="1">
      <c r="G897" s="1082"/>
      <c r="R897" s="706"/>
    </row>
    <row r="898" spans="7:18" ht="15" customHeight="1">
      <c r="G898" s="1082"/>
      <c r="R898" s="706"/>
    </row>
    <row r="899" spans="7:18" ht="15" customHeight="1">
      <c r="G899" s="1082"/>
      <c r="R899" s="706"/>
    </row>
    <row r="900" spans="7:18" ht="15" customHeight="1">
      <c r="G900" s="1082"/>
      <c r="R900" s="706"/>
    </row>
    <row r="901" spans="7:18" ht="15" customHeight="1">
      <c r="G901" s="1082"/>
      <c r="R901" s="706"/>
    </row>
    <row r="902" spans="7:18" ht="15" customHeight="1">
      <c r="G902" s="1082"/>
      <c r="R902" s="706"/>
    </row>
    <row r="903" spans="7:18" ht="15" customHeight="1">
      <c r="G903" s="1082"/>
      <c r="R903" s="706"/>
    </row>
    <row r="904" spans="7:18" ht="15" customHeight="1">
      <c r="G904" s="1082"/>
      <c r="R904" s="706"/>
    </row>
    <row r="905" spans="7:18" ht="15" customHeight="1">
      <c r="G905" s="1082"/>
      <c r="R905" s="706"/>
    </row>
    <row r="906" spans="7:18" ht="15" customHeight="1">
      <c r="G906" s="1082"/>
      <c r="R906" s="706"/>
    </row>
    <row r="907" spans="7:18" ht="15" customHeight="1">
      <c r="G907" s="1082"/>
      <c r="R907" s="706"/>
    </row>
    <row r="908" spans="7:18" ht="15" customHeight="1">
      <c r="G908" s="1082"/>
      <c r="R908" s="706"/>
    </row>
    <row r="909" spans="7:18" ht="15" customHeight="1">
      <c r="G909" s="1082"/>
      <c r="R909" s="706"/>
    </row>
    <row r="910" spans="7:18" ht="15" customHeight="1">
      <c r="G910" s="1082"/>
      <c r="R910" s="706"/>
    </row>
    <row r="911" spans="7:18" ht="15" customHeight="1">
      <c r="G911" s="1082"/>
      <c r="R911" s="706"/>
    </row>
    <row r="912" spans="7:18" ht="15" customHeight="1">
      <c r="G912" s="1082"/>
      <c r="R912" s="706"/>
    </row>
    <row r="913" spans="7:18" ht="15" customHeight="1">
      <c r="G913" s="1082"/>
      <c r="R913" s="706"/>
    </row>
    <row r="914" spans="7:18" ht="15" customHeight="1">
      <c r="G914" s="1082"/>
      <c r="R914" s="706"/>
    </row>
    <row r="915" spans="7:18" ht="15" customHeight="1">
      <c r="G915" s="1082"/>
      <c r="R915" s="706"/>
    </row>
    <row r="916" spans="7:18" ht="15" customHeight="1">
      <c r="G916" s="1082"/>
      <c r="R916" s="706"/>
    </row>
    <row r="917" spans="7:18" ht="15" customHeight="1">
      <c r="G917" s="1082"/>
      <c r="R917" s="706"/>
    </row>
    <row r="918" spans="7:18" ht="15" customHeight="1">
      <c r="G918" s="1082"/>
      <c r="R918" s="706"/>
    </row>
    <row r="919" spans="7:18" ht="15" customHeight="1">
      <c r="G919" s="1082"/>
      <c r="R919" s="706"/>
    </row>
    <row r="920" spans="7:18" ht="15" customHeight="1">
      <c r="G920" s="1082"/>
      <c r="R920" s="706"/>
    </row>
    <row r="921" spans="7:18" ht="15" customHeight="1">
      <c r="G921" s="1082"/>
      <c r="R921" s="706"/>
    </row>
    <row r="922" spans="7:18" ht="15" customHeight="1">
      <c r="G922" s="1082"/>
      <c r="R922" s="706"/>
    </row>
    <row r="923" spans="7:18" ht="15" customHeight="1">
      <c r="G923" s="1082"/>
      <c r="R923" s="706"/>
    </row>
    <row r="924" spans="7:18" ht="15" customHeight="1">
      <c r="G924" s="1082"/>
      <c r="R924" s="706"/>
    </row>
    <row r="925" spans="7:18" ht="15" customHeight="1">
      <c r="G925" s="1082"/>
      <c r="R925" s="706"/>
    </row>
    <row r="926" spans="7:18" ht="15" customHeight="1">
      <c r="G926" s="1082"/>
      <c r="R926" s="706"/>
    </row>
    <row r="927" spans="7:18" ht="15" customHeight="1">
      <c r="G927" s="1082"/>
      <c r="R927" s="706"/>
    </row>
    <row r="928" spans="7:18" ht="15" customHeight="1">
      <c r="G928" s="1082"/>
      <c r="R928" s="706"/>
    </row>
    <row r="929" spans="7:18" ht="15" customHeight="1">
      <c r="G929" s="1082"/>
      <c r="R929" s="706"/>
    </row>
    <row r="930" spans="7:18" ht="15" customHeight="1">
      <c r="G930" s="1082"/>
      <c r="R930" s="706"/>
    </row>
    <row r="931" spans="7:18" ht="15" customHeight="1">
      <c r="G931" s="1082"/>
      <c r="R931" s="706"/>
    </row>
    <row r="932" spans="7:18" ht="15" customHeight="1">
      <c r="G932" s="1082"/>
      <c r="R932" s="706"/>
    </row>
    <row r="933" spans="7:18" ht="15" customHeight="1">
      <c r="G933" s="1082"/>
      <c r="R933" s="706"/>
    </row>
    <row r="934" spans="7:18" ht="15" customHeight="1">
      <c r="G934" s="1082"/>
      <c r="R934" s="706"/>
    </row>
    <row r="935" spans="7:18" ht="15" customHeight="1">
      <c r="G935" s="1082"/>
      <c r="R935" s="706"/>
    </row>
    <row r="936" spans="7:18" ht="15" customHeight="1">
      <c r="G936" s="1082"/>
      <c r="R936" s="706"/>
    </row>
    <row r="937" spans="7:18" ht="15" customHeight="1">
      <c r="G937" s="1082"/>
      <c r="R937" s="706"/>
    </row>
    <row r="938" spans="7:18" ht="15" customHeight="1">
      <c r="G938" s="1082"/>
      <c r="R938" s="706"/>
    </row>
    <row r="939" spans="7:18" ht="15" customHeight="1">
      <c r="G939" s="1082"/>
      <c r="R939" s="706"/>
    </row>
    <row r="940" spans="7:18" ht="15" customHeight="1">
      <c r="G940" s="1082"/>
      <c r="R940" s="706"/>
    </row>
    <row r="941" spans="7:18" ht="15" customHeight="1">
      <c r="G941" s="1082"/>
      <c r="R941" s="706"/>
    </row>
    <row r="942" spans="7:18" ht="15" customHeight="1">
      <c r="G942" s="1082"/>
      <c r="R942" s="706"/>
    </row>
    <row r="943" spans="7:18" ht="15" customHeight="1">
      <c r="G943" s="1082"/>
      <c r="R943" s="706"/>
    </row>
    <row r="944" spans="7:18" ht="15" customHeight="1">
      <c r="G944" s="1082"/>
      <c r="R944" s="706"/>
    </row>
    <row r="945" spans="7:18" ht="15" customHeight="1">
      <c r="G945" s="1082"/>
      <c r="R945" s="706"/>
    </row>
    <row r="946" spans="7:18" ht="15" customHeight="1">
      <c r="G946" s="1082"/>
      <c r="R946" s="706"/>
    </row>
    <row r="947" spans="7:18" ht="15" customHeight="1">
      <c r="G947" s="1082"/>
      <c r="R947" s="706"/>
    </row>
    <row r="948" spans="7:18" ht="15" customHeight="1">
      <c r="G948" s="1082"/>
      <c r="R948" s="706"/>
    </row>
    <row r="949" spans="7:18" ht="15" customHeight="1">
      <c r="G949" s="1082"/>
      <c r="R949" s="706"/>
    </row>
    <row r="950" spans="7:18" ht="15" customHeight="1">
      <c r="G950" s="1082"/>
      <c r="R950" s="706"/>
    </row>
    <row r="951" spans="7:18" ht="15" customHeight="1">
      <c r="G951" s="1082"/>
      <c r="R951" s="706"/>
    </row>
    <row r="952" spans="7:18" ht="15" customHeight="1">
      <c r="G952" s="1082"/>
      <c r="R952" s="706"/>
    </row>
    <row r="953" spans="7:18" ht="15" customHeight="1">
      <c r="G953" s="1082"/>
      <c r="R953" s="706"/>
    </row>
    <row r="954" spans="7:18" ht="15" customHeight="1">
      <c r="G954" s="1082"/>
      <c r="R954" s="706"/>
    </row>
    <row r="955" spans="7:18" ht="15" customHeight="1">
      <c r="G955" s="1082"/>
      <c r="R955" s="706"/>
    </row>
    <row r="956" spans="7:18" ht="15" customHeight="1">
      <c r="G956" s="1082"/>
      <c r="R956" s="706"/>
    </row>
    <row r="957" spans="7:18" ht="15" customHeight="1">
      <c r="G957" s="1082"/>
      <c r="R957" s="706"/>
    </row>
    <row r="958" spans="7:18" ht="15" customHeight="1">
      <c r="G958" s="1082"/>
      <c r="R958" s="706"/>
    </row>
    <row r="959" spans="7:18" ht="15" customHeight="1">
      <c r="G959" s="1082"/>
      <c r="R959" s="706"/>
    </row>
    <row r="960" spans="7:18" ht="15" customHeight="1">
      <c r="G960" s="1082"/>
      <c r="R960" s="706"/>
    </row>
    <row r="961" spans="7:18" ht="15" customHeight="1">
      <c r="G961" s="1082"/>
      <c r="R961" s="706"/>
    </row>
    <row r="962" spans="7:18" ht="15" customHeight="1">
      <c r="G962" s="1082"/>
      <c r="R962" s="706"/>
    </row>
    <row r="963" spans="7:18" ht="15" customHeight="1">
      <c r="G963" s="1082"/>
      <c r="R963" s="706"/>
    </row>
    <row r="964" spans="7:18" ht="15" customHeight="1">
      <c r="G964" s="1082"/>
      <c r="R964" s="706"/>
    </row>
    <row r="965" spans="7:18" ht="15" customHeight="1">
      <c r="G965" s="1082"/>
      <c r="R965" s="706"/>
    </row>
    <row r="966" spans="7:18" ht="15" customHeight="1">
      <c r="G966" s="1082"/>
      <c r="R966" s="706"/>
    </row>
    <row r="967" spans="7:18" ht="15" customHeight="1">
      <c r="G967" s="1082"/>
      <c r="R967" s="706"/>
    </row>
    <row r="968" spans="7:18" ht="15" customHeight="1">
      <c r="G968" s="1082"/>
      <c r="R968" s="706"/>
    </row>
    <row r="969" spans="7:18" ht="15" customHeight="1">
      <c r="G969" s="1082"/>
      <c r="R969" s="706"/>
    </row>
    <row r="970" spans="7:18" ht="15" customHeight="1">
      <c r="G970" s="1082"/>
      <c r="R970" s="706"/>
    </row>
    <row r="971" spans="7:18" ht="15" customHeight="1">
      <c r="G971" s="1082"/>
      <c r="R971" s="706"/>
    </row>
    <row r="972" spans="7:18" ht="15" customHeight="1">
      <c r="G972" s="1082"/>
      <c r="R972" s="706"/>
    </row>
    <row r="973" spans="7:18" ht="15" customHeight="1">
      <c r="G973" s="1082"/>
      <c r="R973" s="706"/>
    </row>
    <row r="974" spans="7:18" ht="15" customHeight="1">
      <c r="G974" s="1082"/>
      <c r="R974" s="706"/>
    </row>
    <row r="975" spans="7:18" ht="15" customHeight="1">
      <c r="G975" s="1082"/>
      <c r="R975" s="706"/>
    </row>
    <row r="976" spans="7:18" ht="15" customHeight="1">
      <c r="G976" s="1082"/>
      <c r="R976" s="706"/>
    </row>
    <row r="977" spans="7:18" ht="15" customHeight="1">
      <c r="G977" s="1082"/>
      <c r="R977" s="706"/>
    </row>
    <row r="978" spans="7:18" ht="15" customHeight="1">
      <c r="G978" s="1082"/>
      <c r="R978" s="706"/>
    </row>
    <row r="979" spans="7:18" ht="15" customHeight="1">
      <c r="G979" s="1082"/>
      <c r="R979" s="706"/>
    </row>
    <row r="980" spans="7:18" ht="15" customHeight="1">
      <c r="G980" s="1082"/>
      <c r="R980" s="706"/>
    </row>
    <row r="981" spans="7:18" ht="15" customHeight="1">
      <c r="G981" s="1082"/>
      <c r="R981" s="706"/>
    </row>
    <row r="982" spans="7:18" ht="15" customHeight="1">
      <c r="G982" s="1082"/>
      <c r="R982" s="706"/>
    </row>
    <row r="983" spans="7:18" ht="15" customHeight="1">
      <c r="G983" s="1082"/>
      <c r="R983" s="706"/>
    </row>
    <row r="984" spans="7:18" ht="15" customHeight="1">
      <c r="G984" s="1082"/>
      <c r="R984" s="706"/>
    </row>
    <row r="985" spans="7:18" ht="15" customHeight="1">
      <c r="G985" s="1082"/>
      <c r="R985" s="706"/>
    </row>
    <row r="986" spans="7:18" ht="15" customHeight="1">
      <c r="G986" s="1082"/>
      <c r="R986" s="706"/>
    </row>
    <row r="987" spans="7:18" ht="15" customHeight="1">
      <c r="G987" s="1082"/>
      <c r="R987" s="706"/>
    </row>
    <row r="988" spans="7:18" ht="15" customHeight="1">
      <c r="G988" s="1082"/>
      <c r="R988" s="706"/>
    </row>
    <row r="989" spans="7:18" ht="15" customHeight="1">
      <c r="G989" s="1082"/>
      <c r="R989" s="706"/>
    </row>
    <row r="990" spans="7:18" ht="15" customHeight="1">
      <c r="G990" s="1082"/>
      <c r="R990" s="706"/>
    </row>
    <row r="991" spans="7:18" ht="15" customHeight="1">
      <c r="G991" s="1082"/>
      <c r="R991" s="706"/>
    </row>
    <row r="992" spans="7:18" ht="15" customHeight="1">
      <c r="G992" s="1082"/>
      <c r="R992" s="706"/>
    </row>
    <row r="993" spans="7:18" ht="15" customHeight="1">
      <c r="G993" s="1082"/>
      <c r="R993" s="706"/>
    </row>
    <row r="994" spans="7:18" ht="15" customHeight="1">
      <c r="G994" s="1082"/>
      <c r="R994" s="706"/>
    </row>
    <row r="995" spans="7:18" ht="15" customHeight="1">
      <c r="G995" s="1082"/>
      <c r="R995" s="706"/>
    </row>
    <row r="996" spans="7:18" ht="15" customHeight="1">
      <c r="G996" s="1082"/>
      <c r="R996" s="706"/>
    </row>
    <row r="997" spans="7:18" ht="15" customHeight="1">
      <c r="G997" s="1082"/>
      <c r="R997" s="706"/>
    </row>
    <row r="998" spans="7:18" ht="15" customHeight="1">
      <c r="G998" s="1082"/>
      <c r="R998" s="706"/>
    </row>
    <row r="999" spans="7:18" ht="15" customHeight="1">
      <c r="G999" s="1082"/>
      <c r="R999" s="706"/>
    </row>
    <row r="1000" spans="7:18" ht="15" customHeight="1">
      <c r="G1000" s="1082"/>
      <c r="R1000" s="706"/>
    </row>
    <row r="1001" spans="7:18" ht="15" customHeight="1">
      <c r="G1001" s="1082"/>
      <c r="R1001" s="706"/>
    </row>
    <row r="1002" spans="7:18" ht="15" customHeight="1">
      <c r="G1002" s="1082"/>
      <c r="R1002" s="706"/>
    </row>
    <row r="1003" spans="7:18" ht="15" customHeight="1">
      <c r="G1003" s="1082"/>
      <c r="R1003" s="706"/>
    </row>
    <row r="1004" spans="7:18" ht="15" customHeight="1">
      <c r="G1004" s="1082"/>
      <c r="R1004" s="706"/>
    </row>
    <row r="1005" spans="7:18" ht="15" customHeight="1">
      <c r="G1005" s="1082"/>
      <c r="R1005" s="706"/>
    </row>
    <row r="1006" spans="7:18" ht="15" customHeight="1">
      <c r="G1006" s="1082"/>
      <c r="R1006" s="706"/>
    </row>
    <row r="1007" spans="7:18" ht="15" customHeight="1">
      <c r="G1007" s="1082"/>
      <c r="R1007" s="706"/>
    </row>
    <row r="1008" spans="7:18" ht="15" customHeight="1">
      <c r="G1008" s="1082"/>
      <c r="R1008" s="706"/>
    </row>
    <row r="1009" spans="7:18" ht="15" customHeight="1">
      <c r="G1009" s="1082"/>
      <c r="R1009" s="706"/>
    </row>
    <row r="1010" spans="7:18" ht="15" customHeight="1">
      <c r="G1010" s="1082"/>
      <c r="R1010" s="706"/>
    </row>
    <row r="1011" spans="7:18" ht="15" customHeight="1">
      <c r="G1011" s="1082"/>
      <c r="R1011" s="706"/>
    </row>
    <row r="1012" spans="7:18" ht="15" customHeight="1">
      <c r="G1012" s="1082"/>
      <c r="R1012" s="706"/>
    </row>
    <row r="1013" spans="7:18" ht="15" customHeight="1">
      <c r="G1013" s="1082"/>
      <c r="R1013" s="706"/>
    </row>
    <row r="1014" spans="7:18" ht="15" customHeight="1">
      <c r="G1014" s="1082"/>
      <c r="R1014" s="706"/>
    </row>
    <row r="1015" spans="7:18" ht="15" customHeight="1">
      <c r="G1015" s="1082"/>
      <c r="R1015" s="706"/>
    </row>
    <row r="1016" spans="7:18" ht="15" customHeight="1">
      <c r="G1016" s="1082"/>
      <c r="R1016" s="706"/>
    </row>
    <row r="1017" spans="7:18" ht="15" customHeight="1">
      <c r="G1017" s="1082"/>
      <c r="R1017" s="706"/>
    </row>
    <row r="1018" spans="7:18" ht="15" customHeight="1">
      <c r="G1018" s="1082"/>
      <c r="R1018" s="706"/>
    </row>
    <row r="1019" spans="7:18" ht="15" customHeight="1">
      <c r="G1019" s="1082"/>
      <c r="R1019" s="706"/>
    </row>
    <row r="1020" spans="7:18" ht="15" customHeight="1">
      <c r="G1020" s="1082"/>
      <c r="R1020" s="706"/>
    </row>
    <row r="1021" spans="7:18" ht="15" customHeight="1">
      <c r="G1021" s="1082"/>
      <c r="R1021" s="706"/>
    </row>
    <row r="1022" spans="7:18" ht="15" customHeight="1">
      <c r="G1022" s="1082"/>
      <c r="R1022" s="706"/>
    </row>
    <row r="1023" spans="7:18" ht="15" customHeight="1">
      <c r="G1023" s="1082"/>
      <c r="R1023" s="706"/>
    </row>
    <row r="1024" spans="7:18" ht="15" customHeight="1">
      <c r="G1024" s="1082"/>
      <c r="R1024" s="706"/>
    </row>
    <row r="1025" spans="7:18" ht="15" customHeight="1">
      <c r="G1025" s="1082"/>
      <c r="R1025" s="706"/>
    </row>
    <row r="1026" spans="7:18" ht="15" customHeight="1">
      <c r="G1026" s="1082"/>
      <c r="R1026" s="706"/>
    </row>
    <row r="1027" spans="7:18" ht="15" customHeight="1">
      <c r="G1027" s="1082"/>
      <c r="R1027" s="706"/>
    </row>
    <row r="1028" spans="7:18" ht="15" customHeight="1">
      <c r="G1028" s="1082"/>
      <c r="R1028" s="706"/>
    </row>
    <row r="1029" spans="7:18" ht="15" customHeight="1">
      <c r="G1029" s="1082"/>
      <c r="R1029" s="706"/>
    </row>
    <row r="1030" spans="7:18" ht="15" customHeight="1">
      <c r="G1030" s="1082"/>
      <c r="R1030" s="706"/>
    </row>
    <row r="1031" spans="7:18" ht="15" customHeight="1">
      <c r="G1031" s="1082"/>
      <c r="R1031" s="706"/>
    </row>
    <row r="1032" spans="7:18" ht="15" customHeight="1">
      <c r="G1032" s="1082"/>
      <c r="R1032" s="706"/>
    </row>
    <row r="1033" spans="7:18" ht="15" customHeight="1">
      <c r="G1033" s="1082"/>
      <c r="R1033" s="706"/>
    </row>
    <row r="1034" spans="7:18" ht="15" customHeight="1">
      <c r="G1034" s="1082"/>
      <c r="R1034" s="706"/>
    </row>
    <row r="1035" spans="7:18" ht="15" customHeight="1">
      <c r="G1035" s="1082"/>
      <c r="R1035" s="706"/>
    </row>
    <row r="1036" spans="7:18" ht="15" customHeight="1">
      <c r="G1036" s="1082"/>
      <c r="R1036" s="706"/>
    </row>
    <row r="1037" spans="7:18" ht="15" customHeight="1">
      <c r="G1037" s="1082"/>
      <c r="R1037" s="706"/>
    </row>
    <row r="1038" spans="7:18" ht="15" customHeight="1">
      <c r="G1038" s="1082"/>
      <c r="R1038" s="706"/>
    </row>
    <row r="1039" spans="7:18" ht="15" customHeight="1">
      <c r="G1039" s="1082"/>
      <c r="R1039" s="706"/>
    </row>
    <row r="1040" spans="7:18" ht="15" customHeight="1">
      <c r="G1040" s="1082"/>
      <c r="R1040" s="706"/>
    </row>
    <row r="1041" spans="7:18" ht="15" customHeight="1">
      <c r="G1041" s="1082"/>
      <c r="R1041" s="706"/>
    </row>
    <row r="1042" spans="7:18" ht="15" customHeight="1">
      <c r="G1042" s="1082"/>
      <c r="R1042" s="706"/>
    </row>
    <row r="1043" spans="7:18" ht="15" customHeight="1">
      <c r="G1043" s="1082"/>
      <c r="R1043" s="706"/>
    </row>
    <row r="1044" spans="7:18" ht="15" customHeight="1">
      <c r="G1044" s="1082"/>
      <c r="R1044" s="706"/>
    </row>
    <row r="1045" spans="7:18" ht="15" customHeight="1">
      <c r="G1045" s="1082"/>
      <c r="R1045" s="706"/>
    </row>
    <row r="1046" spans="7:18" ht="15" customHeight="1">
      <c r="G1046" s="1082"/>
      <c r="R1046" s="706"/>
    </row>
    <row r="1047" spans="7:18" ht="15" customHeight="1">
      <c r="G1047" s="1082"/>
      <c r="R1047" s="706"/>
    </row>
    <row r="1048" spans="7:18" ht="15" customHeight="1">
      <c r="G1048" s="1082"/>
      <c r="R1048" s="706"/>
    </row>
    <row r="1049" spans="7:18" ht="15" customHeight="1">
      <c r="G1049" s="1082"/>
      <c r="R1049" s="706"/>
    </row>
    <row r="1050" spans="7:18" ht="15" customHeight="1">
      <c r="G1050" s="1082"/>
      <c r="R1050" s="706"/>
    </row>
    <row r="1051" spans="7:18" ht="15" customHeight="1">
      <c r="G1051" s="1082"/>
      <c r="R1051" s="706"/>
    </row>
    <row r="1052" spans="7:18" ht="15" customHeight="1">
      <c r="G1052" s="1082"/>
      <c r="R1052" s="706"/>
    </row>
    <row r="1053" spans="7:18" ht="15" customHeight="1">
      <c r="G1053" s="1082"/>
      <c r="R1053" s="706"/>
    </row>
    <row r="1054" spans="7:18" ht="15" customHeight="1">
      <c r="G1054" s="1082"/>
      <c r="R1054" s="706"/>
    </row>
    <row r="1055" spans="7:18" ht="15" customHeight="1">
      <c r="G1055" s="1082"/>
      <c r="R1055" s="706"/>
    </row>
    <row r="1056" spans="7:18" ht="15" customHeight="1">
      <c r="G1056" s="1082"/>
      <c r="R1056" s="706"/>
    </row>
    <row r="1057" spans="7:18" ht="15" customHeight="1">
      <c r="G1057" s="1082"/>
      <c r="R1057" s="706"/>
    </row>
    <row r="1058" spans="7:18" ht="15" customHeight="1">
      <c r="G1058" s="1082"/>
      <c r="R1058" s="706"/>
    </row>
    <row r="1059" spans="7:18" ht="15" customHeight="1">
      <c r="G1059" s="1082"/>
      <c r="R1059" s="706"/>
    </row>
    <row r="1060" spans="7:18" ht="15" customHeight="1">
      <c r="G1060" s="1082"/>
      <c r="R1060" s="706"/>
    </row>
    <row r="1061" spans="7:18" ht="15" customHeight="1">
      <c r="G1061" s="1082"/>
      <c r="R1061" s="706"/>
    </row>
    <row r="1062" spans="7:18" ht="15" customHeight="1">
      <c r="G1062" s="1082"/>
      <c r="R1062" s="706"/>
    </row>
    <row r="1063" spans="7:18" ht="15" customHeight="1">
      <c r="G1063" s="1082"/>
      <c r="R1063" s="706"/>
    </row>
    <row r="1064" spans="7:18" ht="15" customHeight="1">
      <c r="G1064" s="1082"/>
      <c r="R1064" s="706"/>
    </row>
    <row r="1065" spans="7:18" ht="15" customHeight="1">
      <c r="G1065" s="1082"/>
      <c r="R1065" s="706"/>
    </row>
    <row r="1066" spans="7:18" ht="15" customHeight="1">
      <c r="G1066" s="1082"/>
      <c r="R1066" s="706"/>
    </row>
    <row r="1067" spans="7:18" ht="15" customHeight="1">
      <c r="G1067" s="1082"/>
      <c r="R1067" s="706"/>
    </row>
    <row r="1068" spans="7:18" ht="15" customHeight="1">
      <c r="G1068" s="1082"/>
      <c r="R1068" s="706"/>
    </row>
    <row r="1069" spans="7:18" ht="15" customHeight="1">
      <c r="G1069" s="1082"/>
      <c r="R1069" s="706"/>
    </row>
    <row r="1070" spans="7:18" ht="15" customHeight="1">
      <c r="G1070" s="1082"/>
      <c r="R1070" s="706"/>
    </row>
    <row r="1071" spans="7:18" ht="15" customHeight="1">
      <c r="G1071" s="1082"/>
      <c r="R1071" s="706"/>
    </row>
    <row r="1072" spans="7:18" ht="15" customHeight="1">
      <c r="G1072" s="1082"/>
      <c r="R1072" s="706"/>
    </row>
    <row r="1073" spans="7:18" ht="15" customHeight="1">
      <c r="G1073" s="1082"/>
      <c r="R1073" s="706"/>
    </row>
    <row r="1074" spans="7:18" ht="15" customHeight="1">
      <c r="G1074" s="1082"/>
      <c r="R1074" s="706"/>
    </row>
    <row r="1075" spans="7:18" ht="15" customHeight="1">
      <c r="G1075" s="1082"/>
      <c r="R1075" s="706"/>
    </row>
    <row r="1076" spans="7:18" ht="15" customHeight="1">
      <c r="G1076" s="1082"/>
      <c r="R1076" s="706"/>
    </row>
    <row r="1077" spans="7:18" ht="15" customHeight="1">
      <c r="G1077" s="1082"/>
      <c r="R1077" s="706"/>
    </row>
    <row r="1078" spans="7:18" ht="15" customHeight="1">
      <c r="G1078" s="1082"/>
      <c r="R1078" s="706"/>
    </row>
    <row r="1079" spans="7:18" ht="15" customHeight="1">
      <c r="G1079" s="1082"/>
      <c r="R1079" s="706"/>
    </row>
    <row r="1080" spans="7:18" ht="15" customHeight="1">
      <c r="G1080" s="1082"/>
      <c r="R1080" s="706"/>
    </row>
    <row r="1081" spans="7:18" ht="15" customHeight="1">
      <c r="G1081" s="1082"/>
      <c r="R1081" s="706"/>
    </row>
    <row r="1082" spans="7:18" ht="15" customHeight="1">
      <c r="G1082" s="1082"/>
      <c r="R1082" s="706"/>
    </row>
    <row r="1083" spans="7:18" ht="15" customHeight="1">
      <c r="G1083" s="1082"/>
      <c r="R1083" s="706"/>
    </row>
    <row r="1084" spans="7:18" ht="15" customHeight="1">
      <c r="G1084" s="1082"/>
      <c r="R1084" s="706"/>
    </row>
    <row r="1085" spans="7:18" ht="15" customHeight="1">
      <c r="G1085" s="1082"/>
      <c r="R1085" s="706"/>
    </row>
    <row r="1086" spans="7:18" ht="15" customHeight="1">
      <c r="G1086" s="1082"/>
      <c r="R1086" s="706"/>
    </row>
    <row r="1087" spans="7:18" ht="15" customHeight="1">
      <c r="G1087" s="1082"/>
      <c r="R1087" s="706"/>
    </row>
    <row r="1088" spans="7:18" ht="15" customHeight="1">
      <c r="G1088" s="1082"/>
      <c r="R1088" s="706"/>
    </row>
    <row r="1089" spans="7:18" ht="15" customHeight="1">
      <c r="G1089" s="1082"/>
      <c r="R1089" s="706"/>
    </row>
    <row r="1090" spans="7:18" ht="15" customHeight="1">
      <c r="G1090" s="1082"/>
      <c r="R1090" s="706"/>
    </row>
    <row r="1091" spans="7:18" ht="15" customHeight="1">
      <c r="G1091" s="1082"/>
      <c r="R1091" s="706"/>
    </row>
    <row r="1092" spans="7:18" ht="15" customHeight="1">
      <c r="G1092" s="1082"/>
      <c r="R1092" s="706"/>
    </row>
    <row r="1093" spans="7:18" ht="15" customHeight="1">
      <c r="G1093" s="1082"/>
      <c r="R1093" s="706"/>
    </row>
    <row r="1094" spans="7:18" ht="15" customHeight="1">
      <c r="G1094" s="1082"/>
      <c r="R1094" s="706"/>
    </row>
    <row r="1095" spans="7:18" ht="15" customHeight="1">
      <c r="G1095" s="1082"/>
      <c r="R1095" s="706"/>
    </row>
    <row r="1096" spans="7:18" ht="15" customHeight="1">
      <c r="G1096" s="1082"/>
      <c r="R1096" s="706"/>
    </row>
    <row r="1097" spans="7:18" ht="15" customHeight="1">
      <c r="G1097" s="1082"/>
      <c r="R1097" s="706"/>
    </row>
    <row r="1098" spans="7:18" ht="15" customHeight="1">
      <c r="G1098" s="1082"/>
      <c r="R1098" s="706"/>
    </row>
    <row r="1099" spans="7:18" ht="15" customHeight="1">
      <c r="G1099" s="1082"/>
      <c r="R1099" s="706"/>
    </row>
    <row r="1100" spans="7:18" ht="15" customHeight="1">
      <c r="G1100" s="1082"/>
      <c r="R1100" s="706"/>
    </row>
    <row r="1101" spans="7:18" ht="15" customHeight="1">
      <c r="G1101" s="1082"/>
      <c r="R1101" s="706"/>
    </row>
    <row r="1102" spans="7:18" ht="15" customHeight="1">
      <c r="G1102" s="1082"/>
      <c r="R1102" s="706"/>
    </row>
    <row r="1103" spans="7:18" ht="15" customHeight="1">
      <c r="G1103" s="1082"/>
      <c r="R1103" s="706"/>
    </row>
    <row r="1104" spans="7:18" ht="15" customHeight="1">
      <c r="G1104" s="1082"/>
      <c r="R1104" s="706"/>
    </row>
    <row r="1105" spans="7:18" ht="15" customHeight="1">
      <c r="G1105" s="1082"/>
      <c r="R1105" s="706"/>
    </row>
    <row r="1106" spans="7:18" ht="15" customHeight="1">
      <c r="G1106" s="1082"/>
      <c r="R1106" s="706"/>
    </row>
    <row r="1107" spans="7:18" ht="15" customHeight="1">
      <c r="G1107" s="1082"/>
      <c r="R1107" s="706"/>
    </row>
    <row r="1108" spans="7:18" ht="15" customHeight="1">
      <c r="G1108" s="1082"/>
      <c r="R1108" s="706"/>
    </row>
    <row r="1109" spans="7:18" ht="15" customHeight="1">
      <c r="G1109" s="1082"/>
      <c r="R1109" s="706"/>
    </row>
    <row r="1110" spans="7:18" ht="15" customHeight="1">
      <c r="G1110" s="1082"/>
      <c r="R1110" s="706"/>
    </row>
    <row r="1111" spans="7:18" ht="15" customHeight="1">
      <c r="G1111" s="1082"/>
      <c r="R1111" s="706"/>
    </row>
    <row r="1112" spans="7:18" ht="15" customHeight="1">
      <c r="G1112" s="1082"/>
      <c r="R1112" s="706"/>
    </row>
    <row r="1113" spans="7:18" ht="15" customHeight="1">
      <c r="G1113" s="1082"/>
      <c r="R1113" s="706"/>
    </row>
    <row r="1114" spans="7:18" ht="15" customHeight="1">
      <c r="G1114" s="1082"/>
      <c r="R1114" s="706"/>
    </row>
    <row r="1115" spans="7:18" ht="15" customHeight="1">
      <c r="G1115" s="1082"/>
      <c r="R1115" s="706"/>
    </row>
    <row r="1116" spans="7:18" ht="15" customHeight="1">
      <c r="G1116" s="1082"/>
      <c r="R1116" s="706"/>
    </row>
    <row r="1117" spans="7:18" ht="15" customHeight="1">
      <c r="G1117" s="1082"/>
      <c r="R1117" s="706"/>
    </row>
    <row r="1118" spans="7:18" ht="15" customHeight="1">
      <c r="G1118" s="1082"/>
      <c r="R1118" s="706"/>
    </row>
    <row r="1119" spans="7:18" ht="15" customHeight="1">
      <c r="G1119" s="1082"/>
      <c r="R1119" s="706"/>
    </row>
    <row r="1120" spans="7:18" ht="15" customHeight="1">
      <c r="G1120" s="1082"/>
      <c r="R1120" s="706"/>
    </row>
    <row r="1121" spans="7:18" ht="15" customHeight="1">
      <c r="G1121" s="1082"/>
      <c r="R1121" s="706"/>
    </row>
    <row r="1122" spans="7:18" ht="15" customHeight="1">
      <c r="G1122" s="1082"/>
      <c r="R1122" s="706"/>
    </row>
    <row r="1123" spans="7:18" ht="15" customHeight="1">
      <c r="G1123" s="1082"/>
      <c r="R1123" s="706"/>
    </row>
    <row r="1124" spans="7:18" ht="15" customHeight="1">
      <c r="G1124" s="1082"/>
      <c r="R1124" s="706"/>
    </row>
    <row r="1125" spans="7:18" ht="15" customHeight="1">
      <c r="G1125" s="1082"/>
      <c r="R1125" s="706"/>
    </row>
    <row r="1126" spans="7:18" ht="15" customHeight="1">
      <c r="G1126" s="1082"/>
      <c r="R1126" s="706"/>
    </row>
    <row r="1127" spans="7:18" ht="15" customHeight="1">
      <c r="G1127" s="1082"/>
      <c r="R1127" s="706"/>
    </row>
    <row r="1128" spans="7:18" ht="15" customHeight="1">
      <c r="G1128" s="1082"/>
      <c r="R1128" s="706"/>
    </row>
    <row r="1129" spans="7:18" ht="15" customHeight="1">
      <c r="G1129" s="1082"/>
      <c r="R1129" s="706"/>
    </row>
    <row r="1130" spans="7:18" ht="15" customHeight="1">
      <c r="G1130" s="1082"/>
      <c r="R1130" s="706"/>
    </row>
    <row r="1131" spans="7:18" ht="15" customHeight="1">
      <c r="G1131" s="1082"/>
      <c r="R1131" s="706"/>
    </row>
    <row r="1132" spans="7:18" ht="15" customHeight="1">
      <c r="G1132" s="1082"/>
      <c r="R1132" s="706"/>
    </row>
    <row r="1133" spans="7:18" ht="15" customHeight="1">
      <c r="G1133" s="1082"/>
      <c r="R1133" s="706"/>
    </row>
    <row r="1134" spans="7:18" ht="15" customHeight="1">
      <c r="G1134" s="1082"/>
      <c r="R1134" s="706"/>
    </row>
    <row r="1135" spans="7:18" ht="15" customHeight="1">
      <c r="G1135" s="1082"/>
      <c r="R1135" s="706"/>
    </row>
    <row r="1136" spans="7:18" ht="15" customHeight="1">
      <c r="G1136" s="1082"/>
      <c r="R1136" s="706"/>
    </row>
    <row r="1137" spans="7:18" ht="15" customHeight="1">
      <c r="G1137" s="1082"/>
      <c r="R1137" s="706"/>
    </row>
    <row r="1138" spans="7:18" ht="15" customHeight="1">
      <c r="G1138" s="1082"/>
      <c r="R1138" s="706"/>
    </row>
    <row r="1139" spans="7:18" ht="15" customHeight="1">
      <c r="G1139" s="1082"/>
      <c r="R1139" s="706"/>
    </row>
    <row r="1140" spans="7:18" ht="15" customHeight="1">
      <c r="G1140" s="1082"/>
      <c r="R1140" s="706"/>
    </row>
    <row r="1141" spans="7:18" ht="15" customHeight="1">
      <c r="G1141" s="1082"/>
      <c r="R1141" s="706"/>
    </row>
    <row r="1142" spans="7:18" ht="15" customHeight="1">
      <c r="G1142" s="1082"/>
      <c r="R1142" s="706"/>
    </row>
    <row r="1143" spans="7:18" ht="15" customHeight="1">
      <c r="G1143" s="1082"/>
      <c r="R1143" s="706"/>
    </row>
    <row r="1144" spans="7:18" ht="15" customHeight="1">
      <c r="G1144" s="1082"/>
      <c r="R1144" s="706"/>
    </row>
    <row r="1145" spans="7:18" ht="15" customHeight="1">
      <c r="G1145" s="1082"/>
      <c r="R1145" s="706"/>
    </row>
    <row r="1146" spans="7:18" ht="15" customHeight="1">
      <c r="G1146" s="1082"/>
      <c r="R1146" s="706"/>
    </row>
    <row r="1147" spans="7:18" ht="15" customHeight="1">
      <c r="G1147" s="1082"/>
      <c r="R1147" s="706"/>
    </row>
    <row r="1148" spans="7:18" ht="15" customHeight="1">
      <c r="G1148" s="1082"/>
      <c r="R1148" s="706"/>
    </row>
    <row r="1149" spans="7:18" ht="15" customHeight="1">
      <c r="G1149" s="1082"/>
      <c r="R1149" s="706"/>
    </row>
    <row r="1150" spans="7:18" ht="15" customHeight="1">
      <c r="G1150" s="1082"/>
      <c r="R1150" s="706"/>
    </row>
    <row r="1151" spans="7:18" ht="15" customHeight="1">
      <c r="G1151" s="1082"/>
      <c r="R1151" s="706"/>
    </row>
    <row r="1152" spans="7:18" ht="15" customHeight="1">
      <c r="G1152" s="1082"/>
      <c r="R1152" s="706"/>
    </row>
    <row r="1153" spans="7:18" ht="15" customHeight="1">
      <c r="G1153" s="1082"/>
      <c r="R1153" s="706"/>
    </row>
    <row r="1154" spans="7:18" ht="15" customHeight="1">
      <c r="G1154" s="1082"/>
      <c r="R1154" s="706"/>
    </row>
    <row r="1155" spans="7:18" ht="15" customHeight="1">
      <c r="G1155" s="1082"/>
      <c r="R1155" s="706"/>
    </row>
    <row r="1156" spans="7:18" ht="15" customHeight="1">
      <c r="G1156" s="1082"/>
      <c r="R1156" s="706"/>
    </row>
    <row r="1157" spans="7:18" ht="15" customHeight="1">
      <c r="G1157" s="1082"/>
      <c r="R1157" s="706"/>
    </row>
    <row r="1158" spans="7:18" ht="15" customHeight="1">
      <c r="G1158" s="1082"/>
      <c r="R1158" s="706"/>
    </row>
    <row r="1159" spans="7:18" ht="15" customHeight="1">
      <c r="G1159" s="1082"/>
      <c r="R1159" s="706"/>
    </row>
    <row r="1160" spans="7:18" ht="15" customHeight="1">
      <c r="G1160" s="1082"/>
      <c r="R1160" s="706"/>
    </row>
    <row r="1161" spans="7:18" ht="15" customHeight="1">
      <c r="G1161" s="1082"/>
      <c r="R1161" s="706"/>
    </row>
    <row r="1162" spans="7:18" ht="15" customHeight="1">
      <c r="G1162" s="1082"/>
      <c r="R1162" s="706"/>
    </row>
    <row r="1163" spans="7:18" ht="15" customHeight="1">
      <c r="G1163" s="1082"/>
      <c r="R1163" s="706"/>
    </row>
    <row r="1164" spans="7:18" ht="15" customHeight="1">
      <c r="G1164" s="1082"/>
      <c r="R1164" s="706"/>
    </row>
    <row r="1165" spans="7:18" ht="15" customHeight="1">
      <c r="G1165" s="1082"/>
      <c r="R1165" s="706"/>
    </row>
    <row r="1166" spans="7:18" ht="15" customHeight="1">
      <c r="G1166" s="1082"/>
      <c r="R1166" s="706"/>
    </row>
    <row r="1167" spans="7:18" ht="15" customHeight="1">
      <c r="G1167" s="1082"/>
      <c r="R1167" s="706"/>
    </row>
    <row r="1168" spans="7:18" ht="15" customHeight="1">
      <c r="G1168" s="1082"/>
      <c r="R1168" s="706"/>
    </row>
    <row r="1169" spans="7:18" ht="15" customHeight="1">
      <c r="G1169" s="1082"/>
      <c r="R1169" s="706"/>
    </row>
    <row r="1170" spans="7:18" ht="15" customHeight="1">
      <c r="G1170" s="1082"/>
      <c r="R1170" s="706"/>
    </row>
    <row r="1171" spans="7:18" ht="15" customHeight="1">
      <c r="G1171" s="1082"/>
      <c r="R1171" s="706"/>
    </row>
    <row r="1172" spans="7:18" ht="15" customHeight="1">
      <c r="G1172" s="1082"/>
      <c r="R1172" s="706"/>
    </row>
    <row r="1173" spans="7:18" ht="15" customHeight="1">
      <c r="G1173" s="1082"/>
      <c r="R1173" s="706"/>
    </row>
    <row r="1174" spans="7:18" ht="15" customHeight="1">
      <c r="G1174" s="1082"/>
      <c r="R1174" s="706"/>
    </row>
    <row r="1175" spans="7:18" ht="15" customHeight="1">
      <c r="G1175" s="1082"/>
      <c r="R1175" s="706"/>
    </row>
    <row r="1176" spans="7:18" ht="15" customHeight="1">
      <c r="G1176" s="1082"/>
      <c r="R1176" s="706"/>
    </row>
    <row r="1177" spans="7:18" ht="15" customHeight="1">
      <c r="G1177" s="1082"/>
      <c r="R1177" s="706"/>
    </row>
    <row r="1178" spans="7:18" ht="15" customHeight="1">
      <c r="G1178" s="1082"/>
      <c r="R1178" s="706"/>
    </row>
    <row r="1179" spans="7:18" ht="15" customHeight="1">
      <c r="G1179" s="1082"/>
      <c r="R1179" s="706"/>
    </row>
    <row r="1180" spans="7:18" ht="15" customHeight="1">
      <c r="G1180" s="1082"/>
      <c r="R1180" s="706"/>
    </row>
    <row r="1181" spans="7:18" ht="15" customHeight="1">
      <c r="G1181" s="1082"/>
      <c r="R1181" s="706"/>
    </row>
    <row r="1182" spans="7:18" ht="15" customHeight="1">
      <c r="G1182" s="1082"/>
      <c r="R1182" s="706"/>
    </row>
    <row r="1183" spans="7:18" ht="15" customHeight="1">
      <c r="G1183" s="1082"/>
      <c r="R1183" s="706"/>
    </row>
    <row r="1184" spans="7:18" ht="15" customHeight="1">
      <c r="G1184" s="1082"/>
      <c r="R1184" s="706"/>
    </row>
    <row r="1185" spans="7:18" ht="15" customHeight="1">
      <c r="G1185" s="1082"/>
      <c r="R1185" s="706"/>
    </row>
    <row r="1186" spans="7:18" ht="15" customHeight="1">
      <c r="G1186" s="1082"/>
      <c r="R1186" s="706"/>
    </row>
    <row r="1187" spans="7:18" ht="15" customHeight="1">
      <c r="G1187" s="1082"/>
      <c r="R1187" s="706"/>
    </row>
    <row r="1188" spans="7:18" ht="15" customHeight="1">
      <c r="G1188" s="1082"/>
      <c r="R1188" s="706"/>
    </row>
    <row r="1189" spans="7:18" ht="15" customHeight="1">
      <c r="G1189" s="1082"/>
      <c r="R1189" s="706"/>
    </row>
    <row r="1190" spans="7:18" ht="15" customHeight="1">
      <c r="G1190" s="1082"/>
      <c r="R1190" s="706"/>
    </row>
    <row r="1191" spans="7:18" ht="15" customHeight="1">
      <c r="G1191" s="1082"/>
      <c r="R1191" s="706"/>
    </row>
    <row r="1192" spans="7:18" ht="15" customHeight="1">
      <c r="G1192" s="1082"/>
      <c r="R1192" s="706"/>
    </row>
    <row r="1193" spans="7:18" ht="15" customHeight="1">
      <c r="G1193" s="1082"/>
      <c r="R1193" s="706"/>
    </row>
    <row r="1194" spans="7:18" ht="15" customHeight="1">
      <c r="G1194" s="1082"/>
      <c r="R1194" s="706"/>
    </row>
    <row r="1195" spans="7:18" ht="15" customHeight="1">
      <c r="G1195" s="1082"/>
      <c r="R1195" s="706"/>
    </row>
    <row r="1196" spans="7:18" ht="15" customHeight="1">
      <c r="G1196" s="1082"/>
      <c r="R1196" s="706"/>
    </row>
    <row r="1197" spans="7:18" ht="15" customHeight="1">
      <c r="G1197" s="1082"/>
      <c r="R1197" s="706"/>
    </row>
    <row r="1198" spans="7:18" ht="15" customHeight="1">
      <c r="G1198" s="1082"/>
      <c r="R1198" s="706"/>
    </row>
    <row r="1199" spans="7:18" ht="15" customHeight="1">
      <c r="G1199" s="1082"/>
      <c r="R1199" s="706"/>
    </row>
    <row r="1200" spans="7:18" ht="15" customHeight="1">
      <c r="G1200" s="1082"/>
      <c r="R1200" s="706"/>
    </row>
    <row r="1201" spans="7:18" ht="15" customHeight="1">
      <c r="G1201" s="1082"/>
      <c r="R1201" s="706"/>
    </row>
    <row r="1202" spans="7:18" ht="15" customHeight="1">
      <c r="G1202" s="1082"/>
      <c r="R1202" s="706"/>
    </row>
    <row r="1203" spans="7:18" ht="15" customHeight="1">
      <c r="G1203" s="1082"/>
      <c r="R1203" s="706"/>
    </row>
    <row r="1204" spans="7:18" ht="15" customHeight="1">
      <c r="G1204" s="1082"/>
      <c r="R1204" s="706"/>
    </row>
    <row r="1205" spans="7:18" ht="15" customHeight="1">
      <c r="R1205" s="706"/>
    </row>
    <row r="1206" spans="7:18" ht="15" customHeight="1">
      <c r="R1206" s="706"/>
    </row>
    <row r="1207" spans="7:18" ht="15" customHeight="1">
      <c r="R1207" s="706"/>
    </row>
    <row r="1208" spans="7:18" ht="15" customHeight="1">
      <c r="R1208" s="706"/>
    </row>
    <row r="1209" spans="7:18" ht="15" customHeight="1">
      <c r="R1209" s="706"/>
    </row>
    <row r="1210" spans="7:18" ht="15" customHeight="1">
      <c r="R1210" s="706"/>
    </row>
    <row r="1211" spans="7:18" ht="15" customHeight="1">
      <c r="R1211" s="706"/>
    </row>
    <row r="1212" spans="7:18" ht="15" customHeight="1">
      <c r="R1212" s="706"/>
    </row>
    <row r="1213" spans="7:18" ht="15" customHeight="1">
      <c r="R1213" s="706"/>
    </row>
    <row r="1214" spans="7:18" ht="15" customHeight="1">
      <c r="R1214" s="706"/>
    </row>
    <row r="1215" spans="7:18" ht="15" customHeight="1">
      <c r="R1215" s="706"/>
    </row>
    <row r="1216" spans="7:18" ht="15" customHeight="1">
      <c r="R1216" s="706"/>
    </row>
    <row r="1217" spans="18:18" ht="15" customHeight="1">
      <c r="R1217" s="706"/>
    </row>
    <row r="1218" spans="18:18" ht="15" customHeight="1">
      <c r="R1218" s="706"/>
    </row>
    <row r="1219" spans="18:18" ht="15" customHeight="1">
      <c r="R1219" s="706"/>
    </row>
    <row r="1220" spans="18:18" ht="15" customHeight="1">
      <c r="R1220" s="706"/>
    </row>
    <row r="1221" spans="18:18" ht="15" customHeight="1">
      <c r="R1221" s="706"/>
    </row>
    <row r="1222" spans="18:18" ht="15" customHeight="1">
      <c r="R1222" s="706"/>
    </row>
    <row r="1223" spans="18:18" ht="15" customHeight="1">
      <c r="R1223" s="706"/>
    </row>
    <row r="1224" spans="18:18" ht="15" customHeight="1">
      <c r="R1224" s="706"/>
    </row>
    <row r="1225" spans="18:18" ht="15" customHeight="1">
      <c r="R1225" s="706"/>
    </row>
    <row r="1226" spans="18:18" ht="15" customHeight="1">
      <c r="R1226" s="706"/>
    </row>
    <row r="1227" spans="18:18" ht="15" customHeight="1">
      <c r="R1227" s="706"/>
    </row>
    <row r="1228" spans="18:18" ht="15" customHeight="1">
      <c r="R1228" s="706"/>
    </row>
    <row r="1229" spans="18:18" ht="15" customHeight="1">
      <c r="R1229" s="706"/>
    </row>
    <row r="1230" spans="18:18" ht="15" customHeight="1">
      <c r="R1230" s="706"/>
    </row>
    <row r="1231" spans="18:18" ht="15" customHeight="1">
      <c r="R1231" s="706"/>
    </row>
    <row r="1232" spans="18:18" ht="15" customHeight="1">
      <c r="R1232" s="706"/>
    </row>
    <row r="1233" spans="18:18" ht="15" customHeight="1">
      <c r="R1233" s="706"/>
    </row>
    <row r="1234" spans="18:18" ht="15" customHeight="1">
      <c r="R1234" s="706"/>
    </row>
    <row r="1235" spans="18:18" ht="15" customHeight="1">
      <c r="R1235" s="706"/>
    </row>
    <row r="1236" spans="18:18" ht="15" customHeight="1">
      <c r="R1236" s="706"/>
    </row>
    <row r="1237" spans="18:18" ht="15" customHeight="1">
      <c r="R1237" s="706"/>
    </row>
    <row r="1238" spans="18:18" ht="15" customHeight="1">
      <c r="R1238" s="706"/>
    </row>
    <row r="1239" spans="18:18" ht="15" customHeight="1">
      <c r="R1239" s="706"/>
    </row>
    <row r="1240" spans="18:18" ht="15" customHeight="1">
      <c r="R1240" s="706"/>
    </row>
    <row r="1241" spans="18:18" ht="15" customHeight="1">
      <c r="R1241" s="706"/>
    </row>
    <row r="1242" spans="18:18" ht="15" customHeight="1">
      <c r="R1242" s="706"/>
    </row>
    <row r="1243" spans="18:18" ht="15" customHeight="1">
      <c r="R1243" s="706"/>
    </row>
    <row r="1244" spans="18:18" ht="15" customHeight="1">
      <c r="R1244" s="706"/>
    </row>
    <row r="1245" spans="18:18" ht="15" customHeight="1">
      <c r="R1245" s="706"/>
    </row>
    <row r="1246" spans="18:18" ht="15" customHeight="1">
      <c r="R1246" s="706"/>
    </row>
    <row r="1247" spans="18:18" ht="15" customHeight="1">
      <c r="R1247" s="706"/>
    </row>
    <row r="1248" spans="18:18" ht="15" customHeight="1">
      <c r="R1248" s="706"/>
    </row>
    <row r="1249" spans="18:18" ht="15" customHeight="1">
      <c r="R1249" s="706"/>
    </row>
    <row r="1250" spans="18:18" ht="15" customHeight="1">
      <c r="R1250" s="706"/>
    </row>
    <row r="1251" spans="18:18" ht="15" customHeight="1">
      <c r="R1251" s="706"/>
    </row>
    <row r="1252" spans="18:18" ht="15" customHeight="1">
      <c r="R1252" s="706"/>
    </row>
    <row r="1253" spans="18:18" ht="15" customHeight="1">
      <c r="R1253" s="706"/>
    </row>
    <row r="1254" spans="18:18" ht="15" customHeight="1">
      <c r="R1254" s="706"/>
    </row>
    <row r="1255" spans="18:18" ht="15" customHeight="1">
      <c r="R1255" s="706"/>
    </row>
    <row r="1256" spans="18:18" ht="15" customHeight="1">
      <c r="R1256" s="706"/>
    </row>
    <row r="1257" spans="18:18" ht="15" customHeight="1">
      <c r="R1257" s="706"/>
    </row>
    <row r="1258" spans="18:18" ht="15" customHeight="1">
      <c r="R1258" s="706"/>
    </row>
    <row r="1259" spans="18:18" ht="15" customHeight="1">
      <c r="R1259" s="706"/>
    </row>
    <row r="1260" spans="18:18" ht="15" customHeight="1">
      <c r="R1260" s="706"/>
    </row>
    <row r="1261" spans="18:18" ht="15" customHeight="1">
      <c r="R1261" s="706"/>
    </row>
    <row r="1262" spans="18:18" ht="15" customHeight="1">
      <c r="R1262" s="706"/>
    </row>
    <row r="1263" spans="18:18" ht="15" customHeight="1">
      <c r="R1263" s="706"/>
    </row>
    <row r="1264" spans="18:18" ht="15" customHeight="1">
      <c r="R1264" s="706"/>
    </row>
    <row r="1265" spans="18:18" ht="15" customHeight="1">
      <c r="R1265" s="706"/>
    </row>
    <row r="1266" spans="18:18" ht="15" customHeight="1">
      <c r="R1266" s="706"/>
    </row>
    <row r="1267" spans="18:18" ht="15" customHeight="1">
      <c r="R1267" s="706"/>
    </row>
    <row r="1268" spans="18:18" ht="15" customHeight="1">
      <c r="R1268" s="706"/>
    </row>
    <row r="1269" spans="18:18" ht="15" customHeight="1">
      <c r="R1269" s="706"/>
    </row>
    <row r="1270" spans="18:18" ht="15" customHeight="1">
      <c r="R1270" s="706"/>
    </row>
    <row r="1271" spans="18:18" ht="15" customHeight="1">
      <c r="R1271" s="706"/>
    </row>
    <row r="1272" spans="18:18" ht="15" customHeight="1">
      <c r="R1272" s="706"/>
    </row>
    <row r="1273" spans="18:18" ht="15" customHeight="1">
      <c r="R1273" s="706"/>
    </row>
    <row r="1274" spans="18:18" ht="15" customHeight="1">
      <c r="R1274" s="706"/>
    </row>
    <row r="1275" spans="18:18" ht="15" customHeight="1">
      <c r="R1275" s="706"/>
    </row>
  </sheetData>
  <autoFilter ref="A3:AO101" xr:uid="{00000000-0009-0000-0000-000007000000}"/>
  <pageMargins left="0.7" right="0.7" top="0.75" bottom="0.75" header="0" footer="0"/>
  <pageSetup scale="19" fitToHeight="0" orientation="landscape" horizontalDpi="360" verticalDpi="360" r:id="rId1"/>
  <ignoredErrors>
    <ignoredError sqref="AJ3 AG6:AG7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37"/>
  <dimension ref="A1:R17"/>
  <sheetViews>
    <sheetView showGridLines="0" workbookViewId="0">
      <selection activeCell="F2" sqref="F2"/>
    </sheetView>
  </sheetViews>
  <sheetFormatPr baseColWidth="10" defaultRowHeight="14.4"/>
  <cols>
    <col min="2" max="2" width="3.109375" customWidth="1"/>
    <col min="11" max="11" width="7" bestFit="1" customWidth="1"/>
    <col min="13" max="13" width="3.6640625" customWidth="1"/>
    <col min="16" max="16" width="10.88671875" customWidth="1"/>
  </cols>
  <sheetData>
    <row r="1" spans="1:18" ht="15" thickBot="1">
      <c r="A1" s="1982" t="s">
        <v>2600</v>
      </c>
      <c r="B1" s="1983"/>
      <c r="C1" s="1983"/>
      <c r="D1" s="1983"/>
      <c r="E1" s="1983"/>
      <c r="F1" s="1983"/>
      <c r="G1" s="1983"/>
      <c r="H1" s="1983"/>
      <c r="I1" s="1983"/>
      <c r="J1" s="1984"/>
      <c r="L1" s="1982" t="s">
        <v>2599</v>
      </c>
      <c r="M1" s="1983"/>
      <c r="N1" s="1983"/>
      <c r="O1" s="1983"/>
      <c r="P1" s="1983"/>
      <c r="Q1" s="1983"/>
      <c r="R1" s="1984"/>
    </row>
    <row r="2" spans="1:18">
      <c r="D2" s="1244">
        <f>SUMPRODUCT('RUMAS C- 26'!C4:C13,'RUMAS C- 26'!D4:D13)/SUM('RUMAS C- 26'!C4:C13)</f>
        <v>0.25985985463590078</v>
      </c>
      <c r="F2" s="1207">
        <f>SUMPRODUCT('RUMAS C- 26'!F4:F13,'RUMAS C- 26'!$C4:$C13)/SUM('RUMAS C- 26'!$C4:$C13)/100</f>
        <v>0.89888441489973436</v>
      </c>
      <c r="G2" s="847">
        <f>SUM(G4:G13)</f>
        <v>5107.9259794148256</v>
      </c>
      <c r="H2" s="847">
        <f>SUM(H4:H13)</f>
        <v>4599.3461119248377</v>
      </c>
    </row>
    <row r="3" spans="1:18" ht="15" thickBot="1">
      <c r="A3" s="633"/>
      <c r="B3" s="631"/>
      <c r="C3" s="633" t="s">
        <v>15</v>
      </c>
      <c r="D3" s="633" t="s">
        <v>2522</v>
      </c>
      <c r="E3" s="633"/>
      <c r="F3" s="633" t="s">
        <v>2797</v>
      </c>
      <c r="G3" s="633" t="s">
        <v>2558</v>
      </c>
      <c r="H3" s="633" t="s">
        <v>2559</v>
      </c>
      <c r="I3" s="1435" t="s">
        <v>2565</v>
      </c>
      <c r="J3" s="729" t="s">
        <v>2579</v>
      </c>
      <c r="L3" s="633"/>
      <c r="M3" s="631"/>
      <c r="N3" s="633" t="s">
        <v>15</v>
      </c>
      <c r="O3" s="633" t="s">
        <v>2522</v>
      </c>
      <c r="P3" s="633" t="s">
        <v>2558</v>
      </c>
      <c r="Q3" s="633" t="s">
        <v>2598</v>
      </c>
      <c r="R3" s="633" t="s">
        <v>2559</v>
      </c>
    </row>
    <row r="4" spans="1:18">
      <c r="A4" s="1225" t="s">
        <v>2277</v>
      </c>
      <c r="B4" s="1226"/>
      <c r="C4" s="1227">
        <f>SUMIF('26'!$AO$4:$AO$200,$A4,'26'!$K$4:$K$200)</f>
        <v>102.75100000000002</v>
      </c>
      <c r="D4" s="1227" cm="1">
        <f t="array" ref="D4">+SUMPRODUCT(IF('26'!$AO$4:$AO$200=A4,'26'!$L$4:$L$200*'26'!$K$4:$K$200/C4))</f>
        <v>0.27772714620782268</v>
      </c>
      <c r="E4" s="1228">
        <f>31.1035*1.1023*D4*(100-F4)/100</f>
        <v>0.63314301673972617</v>
      </c>
      <c r="F4" s="1230" cm="1">
        <f t="array" ref="F4">+SUMPRODUCT(IF('26'!$AO$4:$AO$200=A4,('26'!$Q$4:$Q$200*'26'!$AH$4:$AH$200)/SUMIF('26'!$AO$4:$AO$200,$A4,'26'!$AH$4:$AH$200)))</f>
        <v>93.350723078523458</v>
      </c>
      <c r="G4" s="1230">
        <f>+D4*31.1035*1.1023*C4</f>
        <v>978.39327315273283</v>
      </c>
      <c r="H4" s="1230">
        <f>SUMIF('26'!$AO$4:$AO$200,$A4,'26'!$AH$4:$AH$200)</f>
        <v>912.22562549596205</v>
      </c>
      <c r="I4" s="1229">
        <f>+G4-H4</f>
        <v>66.167647656770782</v>
      </c>
      <c r="J4" s="1231">
        <f>+C4</f>
        <v>102.75100000000002</v>
      </c>
      <c r="L4" s="1225" t="s">
        <v>2277</v>
      </c>
      <c r="M4" s="1226"/>
      <c r="N4" s="1227">
        <f>SUMIF('26'!$AO$4:$AO$200,$A4,'26'!$K$4:$K$200)</f>
        <v>102.75100000000002</v>
      </c>
      <c r="O4" s="1227">
        <v>0.11700000000000001</v>
      </c>
      <c r="P4" s="1229">
        <f>N4*O4*31.1035*1.1023</f>
        <v>412.17437518048945</v>
      </c>
      <c r="Q4" s="1229">
        <v>90</v>
      </c>
      <c r="R4" s="1255">
        <f>P4*Q4/100</f>
        <v>370.95693766244045</v>
      </c>
    </row>
    <row r="5" spans="1:18">
      <c r="A5" s="1232" t="s">
        <v>2278</v>
      </c>
      <c r="B5" s="1233"/>
      <c r="C5" s="1234">
        <f>SUMIF('26'!$AO$4:$AO$200,$A5,'26'!$K$4:$K$200)</f>
        <v>79.583999999999975</v>
      </c>
      <c r="D5" s="1234" cm="1">
        <f t="array" ref="D5">+SUMPRODUCT(IF('26'!$AO$4:$AO$200=A5,'26'!$L$4:$L$200*'26'!$K$4:$K$200/C5))</f>
        <v>0.20735102533172509</v>
      </c>
      <c r="E5" s="1235">
        <f t="shared" ref="E5:E13" si="0">31.1035*1.1023*D5*(100-F5)/100</f>
        <v>1.5863367333967735</v>
      </c>
      <c r="F5" s="1237" cm="1">
        <f t="array" ref="F5">+SUMPRODUCT(IF('26'!$AO$4:$AO$200=A5,('26'!$Q$4:$Q$200*'26'!$AH$4:$AH$200)/SUMIF('26'!$AO$4:$AO$200,$A5,'26'!$AH$4:$AH$200)))</f>
        <v>77.685861497250144</v>
      </c>
      <c r="G5" s="1237">
        <f t="shared" ref="G5:G13" si="1">+D5*31.1035*1.1023*C5</f>
        <v>565.77143937280334</v>
      </c>
      <c r="H5" s="1237">
        <f>SUMIF('26'!$AO$4:$AO$200,$A5,'26'!$AH$4:$AH$200)</f>
        <v>436.84464412464985</v>
      </c>
      <c r="I5" s="1236">
        <f t="shared" ref="I5:I13" si="2">+I4+G5-H5</f>
        <v>195.09444290492428</v>
      </c>
      <c r="J5" s="1238">
        <f>+J4+C5</f>
        <v>182.33499999999998</v>
      </c>
      <c r="L5" s="1232" t="s">
        <v>2278</v>
      </c>
      <c r="M5" s="1233"/>
      <c r="N5" s="1234">
        <f>SUMIF('26'!$AO$4:$AO$200,$A5,'26'!$K$4:$K$200)</f>
        <v>79.583999999999975</v>
      </c>
      <c r="O5" s="1234">
        <v>0.23400000000000001</v>
      </c>
      <c r="P5" s="1236">
        <f t="shared" ref="P5:P15" si="3">N5*O5*31.1035*1.1023</f>
        <v>638.48498748166071</v>
      </c>
      <c r="Q5" s="1236">
        <v>90</v>
      </c>
      <c r="R5" s="1256">
        <f t="shared" ref="R5:R14" si="4">P5*Q5/100</f>
        <v>574.63648873349462</v>
      </c>
    </row>
    <row r="6" spans="1:18">
      <c r="A6" s="1232" t="s">
        <v>2280</v>
      </c>
      <c r="B6" s="1233"/>
      <c r="C6" s="1234">
        <f>SUMIF('26'!$AO$4:$AO$200,$A6,'26'!$K$4:$K$200)</f>
        <v>100.84600000000002</v>
      </c>
      <c r="D6" s="1234" cm="1">
        <f t="array" ref="D6">+SUMPRODUCT(IF('26'!$AO$4:$AO$200=A6,'26'!$L$4:$L$200*'26'!$K$4:$K$200/C6))</f>
        <v>0.30537992582749929</v>
      </c>
      <c r="E6" s="1235">
        <f t="shared" si="0"/>
        <v>1.6308652459214921</v>
      </c>
      <c r="F6" s="1237" cm="1">
        <f t="array" ref="F6">+SUMPRODUCT(IF('26'!$AO$4:$AO$200=A6,('26'!$Q$4:$Q$200*'26'!$AH$4:$AH$200)/SUMIF('26'!$AO$4:$AO$200,$A6,'26'!$AH$4:$AH$200)))</f>
        <v>84.423548636850612</v>
      </c>
      <c r="G6" s="1237">
        <f t="shared" si="1"/>
        <v>1055.8646045612891</v>
      </c>
      <c r="H6" s="1237">
        <f>SUMIF('26'!$AO$4:$AO$200,$A6,'26'!$AH$4:$AH$200)</f>
        <v>891.05889735513506</v>
      </c>
      <c r="I6" s="1236">
        <f t="shared" si="2"/>
        <v>359.90015011107835</v>
      </c>
      <c r="J6" s="1238">
        <f t="shared" ref="J6:J13" si="5">+J5+C6</f>
        <v>283.18099999999998</v>
      </c>
      <c r="L6" s="1232" t="s">
        <v>2280</v>
      </c>
      <c r="M6" s="1233"/>
      <c r="N6" s="1234">
        <f>SUMIF('26'!$AO$4:$AO$200,$A6,'26'!$K$4:$K$200)</f>
        <v>100.84600000000002</v>
      </c>
      <c r="O6" s="1234">
        <v>0.12</v>
      </c>
      <c r="P6" s="1236">
        <f t="shared" si="3"/>
        <v>414.90530919483615</v>
      </c>
      <c r="Q6" s="1236">
        <v>90</v>
      </c>
      <c r="R6" s="1256">
        <f t="shared" si="4"/>
        <v>373.41477827535249</v>
      </c>
    </row>
    <row r="7" spans="1:18">
      <c r="A7" s="1232" t="s">
        <v>2279</v>
      </c>
      <c r="B7" s="1236"/>
      <c r="C7" s="1234">
        <f>SUMIF('26'!$AO$4:$AO$200,$A7,'26'!$K$4:$K$200)</f>
        <v>104.40899999999999</v>
      </c>
      <c r="D7" s="1234" cm="1">
        <f t="array" ref="D7">+SUMPRODUCT(IF('26'!$AO$4:$AO$200=A7,'26'!$L$4:$L$200*'26'!$K$4:$K$200/C7))</f>
        <v>0.23445658899137051</v>
      </c>
      <c r="E7" s="1235">
        <f t="shared" si="0"/>
        <v>0.78882464695651577</v>
      </c>
      <c r="F7" s="1237" cm="1">
        <f t="array" ref="F7">+SUMPRODUCT(IF('26'!$AO$4:$AO$200=A7,('26'!$Q$4:$Q$200*'26'!$AH$4:$AH$200)/SUMIF('26'!$AO$4:$AO$200,$A7,'26'!$AH$4:$AH$200)))</f>
        <v>90.186838187248298</v>
      </c>
      <c r="G7" s="1237">
        <f t="shared" si="1"/>
        <v>839.28497395263298</v>
      </c>
      <c r="H7" s="1237">
        <f>SUMIF('26'!$AO$4:$AO$200,$A7,'26'!$AH$4:$AH$200)</f>
        <v>756.6343127663763</v>
      </c>
      <c r="I7" s="1236">
        <f t="shared" si="2"/>
        <v>442.55081129733503</v>
      </c>
      <c r="J7" s="1238">
        <f t="shared" si="5"/>
        <v>387.59</v>
      </c>
      <c r="L7" s="1232" t="s">
        <v>2279</v>
      </c>
      <c r="M7" s="1236"/>
      <c r="N7" s="1234">
        <f>SUMIF('26'!$AO$4:$AO$200,$A7,'26'!$K$4:$K$200)</f>
        <v>104.40899999999999</v>
      </c>
      <c r="O7" s="1234">
        <v>1.123</v>
      </c>
      <c r="P7" s="1236">
        <f t="shared" si="3"/>
        <v>4020.0065598646815</v>
      </c>
      <c r="Q7" s="1236">
        <v>90</v>
      </c>
      <c r="R7" s="1256">
        <f t="shared" si="4"/>
        <v>3618.0059038782133</v>
      </c>
    </row>
    <row r="8" spans="1:18">
      <c r="A8" s="1232" t="s">
        <v>2281</v>
      </c>
      <c r="B8" s="1236"/>
      <c r="C8" s="1234">
        <f>SUMIF('26'!$AO$4:$AO$200,$A8,'26'!$K$4:$K$200)</f>
        <v>103.61199999999997</v>
      </c>
      <c r="D8" s="1234" cm="1">
        <f t="array" ref="D8">+SUMPRODUCT(IF('26'!$AO$4:$AO$200=A8,'26'!$L$4:$L$200*'26'!$K$4:$K$200/C8))</f>
        <v>0.2521791780874803</v>
      </c>
      <c r="E8" s="1235">
        <f t="shared" si="0"/>
        <v>0.43276537881578714</v>
      </c>
      <c r="F8" s="1237" cm="1">
        <f t="array" ref="F8">+SUMPRODUCT(IF('26'!$AO$4:$AO$200=A8,('26'!$Q$4:$Q$200*'26'!$AH$4:$AH$200)/SUMIF('26'!$AO$4:$AO$200,$A8,'26'!$AH$4:$AH$200)))</f>
        <v>94.994652710940258</v>
      </c>
      <c r="G8" s="1237">
        <f t="shared" si="1"/>
        <v>895.83567014157154</v>
      </c>
      <c r="H8" s="1237">
        <f>SUMIF('26'!$AO$4:$AO$200,$A8,'26'!$AH$4:$AH$200)</f>
        <v>850.90068222226864</v>
      </c>
      <c r="I8" s="1236">
        <f t="shared" si="2"/>
        <v>487.48579921663804</v>
      </c>
      <c r="J8" s="1238">
        <f t="shared" si="5"/>
        <v>491.20199999999994</v>
      </c>
      <c r="L8" s="1232" t="s">
        <v>2281</v>
      </c>
      <c r="M8" s="1236"/>
      <c r="N8" s="1234">
        <f>SUMIF('26'!$AO$4:$AO$200,$A8,'26'!$K$4:$K$200)</f>
        <v>103.61199999999997</v>
      </c>
      <c r="O8" s="1234">
        <v>0.57699999999999996</v>
      </c>
      <c r="P8" s="1236">
        <f t="shared" si="3"/>
        <v>2049.7218905693176</v>
      </c>
      <c r="Q8" s="1236">
        <v>90</v>
      </c>
      <c r="R8" s="1256">
        <f t="shared" si="4"/>
        <v>1844.7497015123859</v>
      </c>
    </row>
    <row r="9" spans="1:18">
      <c r="A9" s="1232" t="s">
        <v>2297</v>
      </c>
      <c r="B9" s="1236"/>
      <c r="C9" s="1234">
        <f>SUMIF('26'!$AO$4:$AO$200,$A9,'26'!$K$4:$K$200)</f>
        <v>82.117000000000004</v>
      </c>
      <c r="D9" s="1234" cm="1">
        <f t="array" ref="D9">+SUMPRODUCT(IF('26'!$AO$4:$AO$200=A9,'26'!$L$4:$L$200*'26'!$K$4:$K$200/C9))</f>
        <v>0.27448049733916247</v>
      </c>
      <c r="E9" s="1235">
        <f t="shared" si="0"/>
        <v>0.25677570835274471</v>
      </c>
      <c r="F9" s="1237" cm="1">
        <f t="array" ref="F9">+SUMPRODUCT(IF('26'!$AO$4:$AO$200=A9,('26'!$Q$4:$Q$200*'26'!$AH$4:$AH$200)/SUMIF('26'!$AO$4:$AO$200,$A9,'26'!$AH$4:$AH$200)))</f>
        <v>97.271440838576453</v>
      </c>
      <c r="G9" s="1237">
        <f t="shared" si="1"/>
        <v>772.77601823379598</v>
      </c>
      <c r="H9" s="1237">
        <f>SUMIF('26'!$AO$4:$AO$200,$A9,'26'!$AH$4:$AH$200)</f>
        <v>751.68194996044554</v>
      </c>
      <c r="I9" s="1236">
        <f t="shared" si="2"/>
        <v>508.5798674899886</v>
      </c>
      <c r="J9" s="1238">
        <f t="shared" si="5"/>
        <v>573.31899999999996</v>
      </c>
      <c r="L9" s="1232" t="s">
        <v>2297</v>
      </c>
      <c r="M9" s="1236"/>
      <c r="N9" s="1234">
        <f>SUMIF('26'!$AO$4:$AO$200,$A9,'26'!$K$4:$K$200)</f>
        <v>82.117000000000004</v>
      </c>
      <c r="O9" s="631"/>
      <c r="P9" s="1236">
        <f t="shared" si="3"/>
        <v>0</v>
      </c>
      <c r="Q9" s="631"/>
      <c r="R9" s="1256">
        <f t="shared" si="4"/>
        <v>0</v>
      </c>
    </row>
    <row r="10" spans="1:18">
      <c r="A10" s="1232" t="s">
        <v>2518</v>
      </c>
      <c r="B10" s="1233"/>
      <c r="C10" s="1234">
        <f>SUMIF('26'!$AO$4:$AO$200,$A10,'26'!$K$4:$K$200)</f>
        <v>0</v>
      </c>
      <c r="D10" s="1234" cm="1">
        <f t="array" ref="D10">+SUMPRODUCT(IF('26'!$AO$4:$AO$200=A10,'26'!$L$4:$L$200*'26'!$K$4:$K$200/C10))</f>
        <v>0</v>
      </c>
      <c r="E10" s="1235">
        <f t="shared" si="0"/>
        <v>0</v>
      </c>
      <c r="F10" s="1237" cm="1">
        <f t="array" ref="F10">+SUMPRODUCT(IF('26'!$AO$4:$AO$200=A10,('26'!$Q$4:$Q$200*'26'!$AH$4:$AH$200)/SUMIF('26'!$AO$4:$AO$200,$A10,'26'!$AH$4:$AH$200)))</f>
        <v>0</v>
      </c>
      <c r="G10" s="1237">
        <f t="shared" si="1"/>
        <v>0</v>
      </c>
      <c r="H10" s="1237">
        <f>SUMIF('26'!$AO$4:$AO$200,$A10,'26'!$AH$4:$AH$200)</f>
        <v>0</v>
      </c>
      <c r="I10" s="1236">
        <f t="shared" si="2"/>
        <v>508.5798674899886</v>
      </c>
      <c r="J10" s="1238">
        <f t="shared" si="5"/>
        <v>573.31899999999996</v>
      </c>
      <c r="L10" s="1232" t="s">
        <v>2518</v>
      </c>
      <c r="M10" s="1233"/>
      <c r="N10" s="1234">
        <f>SUMIF('26'!$AO$4:$AO$200,$A10,'26'!$K$4:$K$200)</f>
        <v>0</v>
      </c>
      <c r="O10" s="631"/>
      <c r="P10" s="1236">
        <f t="shared" si="3"/>
        <v>0</v>
      </c>
      <c r="Q10" s="631"/>
      <c r="R10" s="1256">
        <f t="shared" si="4"/>
        <v>0</v>
      </c>
    </row>
    <row r="11" spans="1:18">
      <c r="A11" s="1232" t="s">
        <v>2519</v>
      </c>
      <c r="B11" s="1233"/>
      <c r="C11" s="1234">
        <f>SUMIF('26'!$AO$4:$AO$200,$A11,'26'!$K$4:$K$200)</f>
        <v>0</v>
      </c>
      <c r="D11" s="1234" cm="1">
        <f t="array" ref="D11">+SUMPRODUCT(IF('26'!$AO$4:$AO$200=A11,'26'!$L$4:$L$200*'26'!$K$4:$K$200/C11))</f>
        <v>0</v>
      </c>
      <c r="E11" s="1235">
        <f t="shared" si="0"/>
        <v>0</v>
      </c>
      <c r="F11" s="1237" cm="1">
        <f t="array" ref="F11">+SUMPRODUCT(IF('26'!$AO$4:$AO$200=A11,('26'!$Q$4:$Q$200*'26'!$AH$4:$AH$200)/SUMIF('26'!$AO$4:$AO$200,$A11,'26'!$AH$4:$AH$200)))</f>
        <v>0</v>
      </c>
      <c r="G11" s="1237">
        <f t="shared" si="1"/>
        <v>0</v>
      </c>
      <c r="H11" s="1237">
        <f>SUMIF('26'!$AO$4:$AO$200,$A11,'26'!$AH$4:$AH$200)</f>
        <v>0</v>
      </c>
      <c r="I11" s="1236">
        <f t="shared" si="2"/>
        <v>508.5798674899886</v>
      </c>
      <c r="J11" s="1238">
        <f t="shared" si="5"/>
        <v>573.31899999999996</v>
      </c>
      <c r="L11" s="1232" t="s">
        <v>2519</v>
      </c>
      <c r="M11" s="1233"/>
      <c r="N11" s="1234">
        <f>SUMIF('26'!$AO$4:$AO$200,$A11,'26'!$K$4:$K$200)</f>
        <v>0</v>
      </c>
      <c r="O11" s="631"/>
      <c r="P11" s="1236">
        <f t="shared" si="3"/>
        <v>0</v>
      </c>
      <c r="Q11" s="631"/>
      <c r="R11" s="1256">
        <f t="shared" si="4"/>
        <v>0</v>
      </c>
    </row>
    <row r="12" spans="1:18">
      <c r="A12" s="1232" t="s">
        <v>2520</v>
      </c>
      <c r="B12" s="1233"/>
      <c r="C12" s="1234">
        <f>SUMIF('26'!$AO$4:$AO$200,$A12,'26'!$K$4:$K$200)</f>
        <v>0</v>
      </c>
      <c r="D12" s="1234" cm="1">
        <f t="array" ref="D12">+SUMPRODUCT(IF('26'!$AO$4:$AO$200=A12,'26'!$L$4:$L$200*'26'!$K$4:$K$200/C12))</f>
        <v>0</v>
      </c>
      <c r="E12" s="1235">
        <f t="shared" si="0"/>
        <v>0</v>
      </c>
      <c r="F12" s="1237" cm="1">
        <f t="array" ref="F12">+SUMPRODUCT(IF('26'!$AO$4:$AO$200=A12,('26'!$Q$4:$Q$200*'26'!$AH$4:$AH$200)/SUMIF('26'!$AO$4:$AO$200,$A12,'26'!$AH$4:$AH$200)))</f>
        <v>0</v>
      </c>
      <c r="G12" s="1237">
        <f t="shared" si="1"/>
        <v>0</v>
      </c>
      <c r="H12" s="1237">
        <f>SUMIF('26'!$AO$4:$AO$200,$A12,'26'!$AH$4:$AH$200)</f>
        <v>0</v>
      </c>
      <c r="I12" s="1236">
        <f t="shared" si="2"/>
        <v>508.5798674899886</v>
      </c>
      <c r="J12" s="1238">
        <f t="shared" si="5"/>
        <v>573.31899999999996</v>
      </c>
      <c r="L12" s="1232" t="s">
        <v>2520</v>
      </c>
      <c r="M12" s="1233"/>
      <c r="N12" s="1234">
        <f>SUMIF('26'!$AO$4:$AO$200,$A12,'26'!$K$4:$K$200)</f>
        <v>0</v>
      </c>
      <c r="O12" s="631"/>
      <c r="P12" s="1236">
        <f t="shared" si="3"/>
        <v>0</v>
      </c>
      <c r="Q12" s="631"/>
      <c r="R12" s="1256">
        <f t="shared" si="4"/>
        <v>0</v>
      </c>
    </row>
    <row r="13" spans="1:18" ht="15" thickBot="1">
      <c r="A13" s="1239" t="s">
        <v>2521</v>
      </c>
      <c r="B13" s="1240"/>
      <c r="C13" s="1254">
        <f>SUMIF('26'!$AO$4:$AO$200,$A13,'26'!$K$4:$K$200)</f>
        <v>0</v>
      </c>
      <c r="D13" s="1254" cm="1">
        <f t="array" ref="D13">+SUMPRODUCT(IF('26'!$AO$4:$AO$200=A13,'26'!$L$4:$L$200*'26'!$K$4:$K$200/C13))</f>
        <v>0</v>
      </c>
      <c r="E13" s="1241">
        <f t="shared" si="0"/>
        <v>0</v>
      </c>
      <c r="F13" s="1243" cm="1">
        <f t="array" ref="F13">+SUMPRODUCT(IF('26'!$AO$4:$AO$200=A13,('26'!$Q$4:$Q$200*'26'!$AH$4:$AH$200)/SUMIF('26'!$AO$4:$AO$200,$A13,'26'!$AH$4:$AH$200)))</f>
        <v>0</v>
      </c>
      <c r="G13" s="1243">
        <f t="shared" si="1"/>
        <v>0</v>
      </c>
      <c r="H13" s="1243">
        <f>SUMIF('26'!$AO$4:$AO$200,$A13,'26'!$AH$4:$AH$200)</f>
        <v>0</v>
      </c>
      <c r="I13" s="1242">
        <f t="shared" si="2"/>
        <v>508.5798674899886</v>
      </c>
      <c r="J13" s="1436">
        <f t="shared" si="5"/>
        <v>573.31899999999996</v>
      </c>
      <c r="L13" s="1239" t="s">
        <v>2521</v>
      </c>
      <c r="M13" s="1240"/>
      <c r="N13" s="1254">
        <f>SUMIF('26'!$AO$4:$AO$200,$A13,'26'!$K$4:$K$200)</f>
        <v>0</v>
      </c>
      <c r="O13" s="1257"/>
      <c r="P13" s="1242">
        <f t="shared" si="3"/>
        <v>0</v>
      </c>
      <c r="Q13" s="1257"/>
      <c r="R13" s="1258">
        <f t="shared" si="4"/>
        <v>0</v>
      </c>
    </row>
    <row r="14" spans="1:18" ht="15" thickBot="1">
      <c r="A14" s="1437" t="s">
        <v>2276</v>
      </c>
      <c r="B14" s="1240"/>
      <c r="C14" s="1254">
        <f>SUMIF('26'!$AO$4:$AO$200,$A14,'26'!$K$4:$K$200)</f>
        <v>0</v>
      </c>
      <c r="D14" s="1234" cm="1">
        <f t="array" ref="D14">+SUMPRODUCT(IF('26'!$AO$4:$AO$200=A14,'26'!$L$4:$L$200*'26'!$K$4:$K$200/C14))</f>
        <v>0</v>
      </c>
      <c r="E14" s="1241">
        <f>31.1035*1.1023*D14*(100-F14)/100</f>
        <v>0</v>
      </c>
      <c r="F14" s="1236" cm="1">
        <f t="array" ref="F14">+SUMPRODUCT(IF('26'!$AO$4:$AO$200=A14,('26'!$Q$4:$Q$200*'26'!$AH$4:$AH$200)/SUMIF('26'!$AO$4:$AO$200,$A14,'26'!$AH$4:$AH$200)))</f>
        <v>0</v>
      </c>
      <c r="G14" s="1243">
        <f>+D14*31.1035*1.1023*C14</f>
        <v>0</v>
      </c>
      <c r="H14" s="1243">
        <f>+G14*F14/100</f>
        <v>0</v>
      </c>
      <c r="I14" s="1242">
        <f>+I12+G14-H14</f>
        <v>508.5798674899886</v>
      </c>
      <c r="J14" s="1436">
        <f>+C14</f>
        <v>0</v>
      </c>
      <c r="L14" s="1218" t="s">
        <v>2276</v>
      </c>
      <c r="M14" s="1219"/>
      <c r="N14" s="1220">
        <f>SUMIF('26'!$AO$4:$AO$200,$A14,'26'!$K$4:$K$200)</f>
        <v>0</v>
      </c>
      <c r="O14" s="1259"/>
      <c r="P14" s="1222">
        <f t="shared" si="3"/>
        <v>0</v>
      </c>
      <c r="Q14" s="1259"/>
      <c r="R14" s="1260">
        <f t="shared" si="4"/>
        <v>0</v>
      </c>
    </row>
    <row r="15" spans="1:18" ht="15" thickBot="1">
      <c r="A15" s="1218" t="s">
        <v>2669</v>
      </c>
      <c r="B15" s="1219"/>
      <c r="C15" s="1220">
        <f>SUMIF('Analisis comercial'!$AO$4:$AO$9,"",'Analisis comercial'!$K$4:$K$9)</f>
        <v>0</v>
      </c>
      <c r="D15" s="1220" cm="1">
        <f t="array" ref="D15">+SUMPRODUCT(IF('Analisis comercial'!$AO$4:$AO$4=A15,'Analisis comercial'!$L$4:$L$4*'Analisis comercial'!$K$4:$K$4/C15))</f>
        <v>0</v>
      </c>
      <c r="E15" s="1221">
        <f>31.1035*1.1023*D15*(100-F15)/100</f>
        <v>0</v>
      </c>
      <c r="F15" s="1222"/>
      <c r="G15" s="1223">
        <f>+D15*31.1035*1.1023*C15</f>
        <v>0</v>
      </c>
      <c r="H15" s="1223">
        <f>+G15*F15/100</f>
        <v>0</v>
      </c>
      <c r="I15" s="1222"/>
      <c r="J15" s="1224">
        <f>+C15</f>
        <v>0</v>
      </c>
      <c r="L15" s="1437" t="s">
        <v>2765</v>
      </c>
      <c r="M15" s="1240"/>
      <c r="N15" s="1254">
        <f>SUM(N4:N14)</f>
        <v>573.31899999999996</v>
      </c>
      <c r="O15" s="1257"/>
      <c r="P15" s="1242">
        <f t="shared" si="3"/>
        <v>0</v>
      </c>
      <c r="Q15" s="1257"/>
      <c r="R15" s="1258">
        <f>SUM(R4:R14)</f>
        <v>6781.763810061886</v>
      </c>
    </row>
    <row r="16" spans="1:18">
      <c r="A16" s="1389"/>
      <c r="F16" s="1236"/>
    </row>
    <row r="17" spans="8:18">
      <c r="H17" s="847"/>
      <c r="R17" s="847"/>
    </row>
  </sheetData>
  <mergeCells count="2">
    <mergeCell ref="A1:J1"/>
    <mergeCell ref="L1:R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>
    <tabColor rgb="FF00B050"/>
    <pageSetUpPr fitToPage="1"/>
  </sheetPr>
  <dimension ref="A1:BD165"/>
  <sheetViews>
    <sheetView showGridLines="0" tabSelected="1" zoomScale="70" zoomScaleNormal="70" workbookViewId="0">
      <pane xSplit="4" ySplit="3" topLeftCell="E136" activePane="bottomRight" state="frozen"/>
      <selection pane="topRight" activeCell="E1" sqref="E1"/>
      <selection pane="bottomLeft" activeCell="A4" sqref="A4"/>
      <selection pane="bottomRight" activeCell="L166" sqref="L166"/>
    </sheetView>
  </sheetViews>
  <sheetFormatPr baseColWidth="10" defaultColWidth="14.44140625" defaultRowHeight="15" customHeight="1"/>
  <cols>
    <col min="1" max="1" width="14.5546875" customWidth="1"/>
    <col min="2" max="2" width="12.33203125" style="1447" customWidth="1"/>
    <col min="3" max="3" width="11.6640625" style="762" customWidth="1"/>
    <col min="4" max="4" width="42.5546875" customWidth="1"/>
    <col min="5" max="5" width="15.88671875" style="762" customWidth="1"/>
    <col min="6" max="6" width="16.6640625" customWidth="1"/>
    <col min="7" max="7" width="12.109375" style="762" customWidth="1"/>
    <col min="8" max="8" width="11.44140625" style="1082" customWidth="1"/>
    <col min="9" max="10" width="10.332031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7.66406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1.33203125" style="1082" customWidth="1"/>
    <col min="43" max="43" width="12.6640625" style="1082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6194.6159999999973</v>
      </c>
      <c r="F1" s="1075" t="s">
        <v>1906</v>
      </c>
      <c r="G1" s="1861">
        <f>+$AM3</f>
        <v>480219.63266669121</v>
      </c>
      <c r="H1" s="1862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D2" s="1075" t="s">
        <v>1907</v>
      </c>
      <c r="E2" s="1076">
        <f>+AH3</f>
        <v>5676.2659999999969</v>
      </c>
      <c r="F2" s="1079" t="s">
        <v>1908</v>
      </c>
      <c r="G2" s="1080">
        <f>+Q2</f>
        <v>93.121842941292769</v>
      </c>
      <c r="H2" s="1863"/>
      <c r="I2" s="1251">
        <f>SUBTOTAL(9,I4:I306)</f>
        <v>1014.4200000000003</v>
      </c>
      <c r="J2" s="81"/>
      <c r="K2" s="91">
        <f>SUBTOTAL(9,K4:K306)</f>
        <v>919.98800000000028</v>
      </c>
      <c r="L2" s="1887">
        <f>+SUMPRODUCT(L5:L306,K5:K306)/K2</f>
        <v>0.19989903998747804</v>
      </c>
      <c r="M2" s="6"/>
      <c r="O2" s="703"/>
      <c r="P2" s="94">
        <f>+SUMPRODUCT(P4:P306,AH4:AH306)/SUM(AH4:AH306)</f>
        <v>86.353846172818621</v>
      </c>
      <c r="Q2" s="1201">
        <f>+SUMPRODUCT(Q4:Q306,AH4:AH306)/SUM(AH4:AH306)</f>
        <v>93.121842941292769</v>
      </c>
      <c r="R2" s="1151">
        <f>+SUMPRODUCT(R4:R306,AH4:AH306)/SUM(AH4:AH306)</f>
        <v>4197.3781606605507</v>
      </c>
      <c r="S2" s="6"/>
      <c r="AB2" s="83"/>
      <c r="AC2" s="83"/>
      <c r="AD2" s="83"/>
      <c r="AE2" s="83"/>
      <c r="AF2" s="83"/>
      <c r="AG2" s="1209">
        <f>SUMPRODUCT($AG4:$AG19,$K4:$K19)/SUM($K4:$K19)</f>
        <v>185.80319300167656</v>
      </c>
      <c r="AH2" s="702"/>
      <c r="AI2" s="631"/>
      <c r="AJ2" s="252">
        <v>4300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1692" t="s">
        <v>39</v>
      </c>
      <c r="C3" s="679" t="s">
        <v>40</v>
      </c>
      <c r="D3" s="1077" t="s">
        <v>41</v>
      </c>
      <c r="E3" s="1078" t="s">
        <v>1025</v>
      </c>
      <c r="F3" s="1077" t="s">
        <v>43</v>
      </c>
      <c r="G3" s="1078" t="s">
        <v>16</v>
      </c>
      <c r="H3" s="1864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SUBTOTAL(9,AH4:AH306)</f>
        <v>5676.2659999999969</v>
      </c>
      <c r="AI3" s="1252">
        <f>SUBTOTAL(9,AI4:AI306)</f>
        <v>6194.6159999999973</v>
      </c>
      <c r="AJ3" s="1388">
        <f>SUMPRODUCT(K4:K306,AJ4:AJ306)/K2</f>
        <v>30.983702108042866</v>
      </c>
      <c r="AK3" s="118">
        <f>SUBTOTAL(9,AK4:AK306)</f>
        <v>4836.2862160340765</v>
      </c>
      <c r="AL3" s="88"/>
      <c r="AM3" s="118">
        <f>SUBTOTAL(9,AM4:AM306)</f>
        <v>480219.63266669121</v>
      </c>
      <c r="AN3" s="1182" t="s">
        <v>2247</v>
      </c>
      <c r="AO3" s="1806" t="s">
        <v>2283</v>
      </c>
      <c r="AP3" s="1844" t="s">
        <v>2351</v>
      </c>
      <c r="AQ3" s="1844" t="s">
        <v>2352</v>
      </c>
      <c r="AS3" s="1216"/>
    </row>
    <row r="4" spans="1:56" s="677" customFormat="1" ht="15.75" customHeight="1" thickBot="1">
      <c r="A4" s="720"/>
      <c r="B4" s="1693"/>
      <c r="C4" s="1694"/>
      <c r="D4" s="721"/>
      <c r="E4" s="1764"/>
      <c r="F4" s="721"/>
      <c r="G4" s="723"/>
      <c r="H4" s="1865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  <c r="AP4" s="1845"/>
      <c r="AQ4" s="1845"/>
    </row>
    <row r="5" spans="1:56" ht="15" customHeight="1" thickBot="1">
      <c r="A5" s="1491" t="s">
        <v>5321</v>
      </c>
      <c r="C5" s="1447">
        <v>46124</v>
      </c>
      <c r="D5" s="1824" t="s">
        <v>1484</v>
      </c>
      <c r="E5" s="762">
        <f>_xlfn.XLOOKUP(D5,RUC!$B$3:$B$123,RUC!$D$3:$D$123)</f>
        <v>10761932735</v>
      </c>
      <c r="G5" s="1082">
        <v>113</v>
      </c>
      <c r="H5" s="1082" t="s">
        <v>69</v>
      </c>
      <c r="I5" s="703">
        <v>9.99</v>
      </c>
      <c r="J5" s="596">
        <v>6.2</v>
      </c>
      <c r="K5" s="703">
        <f t="shared" ref="K5:K41" si="0">ROUND(+I5-(I5*(J5/100)),3)</f>
        <v>9.3710000000000004</v>
      </c>
      <c r="L5" s="1823">
        <v>1.7999999999999999E-2</v>
      </c>
      <c r="M5" s="1443">
        <f>+L5</f>
        <v>1.7999999999999999E-2</v>
      </c>
      <c r="N5" s="1590">
        <f>+M5</f>
        <v>1.7999999999999999E-2</v>
      </c>
      <c r="O5" s="1147">
        <f t="shared" ref="O5:O17" si="1">+ROUND((M5+N5)/2,3)</f>
        <v>1.7999999999999999E-2</v>
      </c>
      <c r="P5" s="727">
        <v>90</v>
      </c>
      <c r="Q5" s="1476">
        <v>94.44</v>
      </c>
      <c r="R5" s="706">
        <v>4722.6499999999996</v>
      </c>
      <c r="S5" s="765">
        <f>IF((_xlfn.XLOOKUP(D5,RUC!$B$3:$B$119,RUC!$E$3:$E$119)+ROUNDDOWN(O5,1)*100)&lt;95,95,((_xlfn.XLOOKUP(D5,RUC!$B$3:$B$119,RUC!$E$3:$E$119)+ROUNDDOWN(O5,1)*100)))</f>
        <v>95</v>
      </c>
      <c r="U5" s="1146">
        <f>_xlfn.XLOOKUP(D5,RUC!$B$3:$B$123,RUC!$F$3:$F$123)</f>
        <v>120</v>
      </c>
      <c r="V5" s="715">
        <v>1.1023000000000001</v>
      </c>
      <c r="Y5">
        <f>_xlfn.XLOOKUP(D5,RUC!$B$3:$B$123,RUC!$G$3:$G$123)</f>
        <v>20</v>
      </c>
      <c r="Z5" s="143">
        <f>_xlfn.XLOOKUP(D5,RUC!$B$3:$B$123,RUC!$H$3:$H$123)</f>
        <v>30</v>
      </c>
      <c r="AA5" s="144">
        <f t="shared" ref="AA5:AA41" si="2">+Y5+Z5</f>
        <v>50</v>
      </c>
      <c r="AB5" s="145">
        <f t="shared" ref="AB5:AB24" si="3">+((O5*P5*(R5-U5)/100)-S5-AA5+T5)*V5</f>
        <v>-77.642782261000008</v>
      </c>
      <c r="AC5" s="145">
        <f>+(S5-T5)*V5-'data 1'!$F$4</f>
        <v>24.718500000000006</v>
      </c>
      <c r="AD5" s="145">
        <f t="shared" ref="AD5:AD41" si="4">+(Q5-P5)*(R5-U5)*L5*V5/100</f>
        <v>4.0547420751239978</v>
      </c>
      <c r="AE5" s="145">
        <f t="shared" ref="AE5:AE41" si="5">+(Y5*V5-70)+V5*(Z5-IF(D5="UNTUCA",IF(+((W5-3)*2.5+(X5-3)*3.1)&gt;0,+((W5-3)*1.5+(X5-3)*3.1),0),IF(+((W5-3)*1.5+(X5-3)*3.1)&gt;0,+((W5-3)*1.5+(X5-3)*3.1),0)))</f>
        <v>-14.884999999999998</v>
      </c>
      <c r="AF5" s="145">
        <f t="shared" ref="AF5:AF41" si="6">(L5-O5)*(R5-U5)*Q5*V5/100</f>
        <v>0</v>
      </c>
      <c r="AG5" s="772">
        <f>AC5+AD5+AE5+AF5+70-53</f>
        <v>30.888242075123998</v>
      </c>
      <c r="AH5" s="1253">
        <f t="shared" ref="AH5:AH41" si="7">ROUND((31.1035*L5*Q5*1.1023*K5/100),3)</f>
        <v>5.4619999999999997</v>
      </c>
      <c r="AI5" s="1253">
        <f t="shared" ref="AI5:AI41" si="8">ROUND((31.1035*L5*1.1023*K5),3)</f>
        <v>5.7830000000000004</v>
      </c>
      <c r="AJ5" s="156">
        <f t="shared" ref="AJ5:AJ41" si="9">+((+$AJ$2-R5+U5)*L5*Q5*V5)/100</f>
        <v>-5.6711217261239941</v>
      </c>
      <c r="AK5" s="156">
        <f t="shared" ref="AK5:AK41" si="10">31.1035*1.1023*K5*P5*O5/100</f>
        <v>5.2048716169481111</v>
      </c>
      <c r="AM5" s="716">
        <f t="shared" ref="AM5:AM41" si="11">+IF(AB5*K5&gt;0,AB5*K5,0)</f>
        <v>0</v>
      </c>
      <c r="AN5" s="716" t="str">
        <f>_xlfn.XLOOKUP(D5,RUC!$B$3:$B$578,RUC!$M$3:$M$578)</f>
        <v>Richard Sapacayo</v>
      </c>
      <c r="AO5" s="1167" t="s">
        <v>2276</v>
      </c>
      <c r="AP5" s="1082" t="s">
        <v>4439</v>
      </c>
      <c r="AQ5" s="1082" t="s">
        <v>3562</v>
      </c>
      <c r="AV5" s="1982" t="s">
        <v>6091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1491" t="s">
        <v>5566</v>
      </c>
      <c r="C6" s="1447">
        <v>46150</v>
      </c>
      <c r="D6" t="s">
        <v>4067</v>
      </c>
      <c r="E6" s="762">
        <f>_xlfn.XLOOKUP(D6,RUC!$B$3:$B$123,RUC!$D$3:$D$123)</f>
        <v>10239291240</v>
      </c>
      <c r="F6" s="629" t="s">
        <v>2614</v>
      </c>
      <c r="G6" s="762" t="s">
        <v>2985</v>
      </c>
      <c r="H6" s="1082" t="s">
        <v>69</v>
      </c>
      <c r="I6" s="703">
        <v>34.68</v>
      </c>
      <c r="J6" s="596">
        <v>13</v>
      </c>
      <c r="K6" s="703">
        <f t="shared" si="0"/>
        <v>30.172000000000001</v>
      </c>
      <c r="L6" s="1193">
        <v>3.7999999999999999E-2</v>
      </c>
      <c r="M6" s="994">
        <f>+L6-0.005</f>
        <v>3.3000000000000002E-2</v>
      </c>
      <c r="N6" s="1196">
        <f>+M6</f>
        <v>3.3000000000000002E-2</v>
      </c>
      <c r="O6" s="645">
        <f t="shared" si="1"/>
        <v>3.3000000000000002E-2</v>
      </c>
      <c r="P6" s="727">
        <v>90</v>
      </c>
      <c r="Q6" s="1476">
        <v>92.86</v>
      </c>
      <c r="R6" s="706">
        <v>4741.3999999999996</v>
      </c>
      <c r="S6" s="765">
        <f>IF((_xlfn.XLOOKUP(D6,RUC!$B$3:$B$119,RUC!$E$3:$E$119)+ROUNDDOWN(O6,1)*100)&lt;95,95,((_xlfn.XLOOKUP(D6,RUC!$B$3:$B$119,RUC!$E$3:$E$119)+ROUNDDOWN(O6,1)*100)))</f>
        <v>95</v>
      </c>
      <c r="U6" s="1146">
        <f>_xlfn.XLOOKUP(D6,RUC!$B$3:$B$123,RUC!$F$3:$F$123)</f>
        <v>100</v>
      </c>
      <c r="V6" s="715">
        <v>1.1023000000000001</v>
      </c>
      <c r="Y6">
        <f>_xlfn.XLOOKUP(D6,RUC!$B$3:$B$123,RUC!$G$3:$G$123)</f>
        <v>0</v>
      </c>
      <c r="Z6" s="143">
        <f>_xlfn.XLOOKUP(D6,RUC!$B$3:$B$123,RUC!$H$3:$H$123)</f>
        <v>30</v>
      </c>
      <c r="AA6" s="144">
        <f t="shared" si="2"/>
        <v>30</v>
      </c>
      <c r="AB6" s="145">
        <f t="shared" si="3"/>
        <v>14.164092034000005</v>
      </c>
      <c r="AC6" s="145">
        <f>+(S6-T6)*V6-'data 1'!$F$4</f>
        <v>24.718500000000006</v>
      </c>
      <c r="AD6" s="145">
        <f t="shared" si="4"/>
        <v>5.5603027010959991</v>
      </c>
      <c r="AE6" s="145">
        <f t="shared" si="5"/>
        <v>-36.930999999999997</v>
      </c>
      <c r="AF6" s="145">
        <f t="shared" si="6"/>
        <v>23.754587266459986</v>
      </c>
      <c r="AG6" s="772">
        <f>AC6+AD6+AE6+AF6+70-53</f>
        <v>34.102389967555993</v>
      </c>
      <c r="AH6" s="1253">
        <f t="shared" si="7"/>
        <v>36.503</v>
      </c>
      <c r="AI6" s="1253">
        <f t="shared" si="8"/>
        <v>39.308999999999997</v>
      </c>
      <c r="AJ6" s="156">
        <f t="shared" si="9"/>
        <v>-13.279312773095988</v>
      </c>
      <c r="AK6" s="156">
        <f t="shared" si="10"/>
        <v>30.723424228864619</v>
      </c>
      <c r="AM6" s="716">
        <f t="shared" si="11"/>
        <v>427.35898484984813</v>
      </c>
      <c r="AN6" s="716" t="str">
        <f>_xlfn.XLOOKUP(D6,RUC!$B$3:$B$578,RUC!$M$3:$M$578)</f>
        <v>Alfred Torres  *</v>
      </c>
      <c r="AO6" s="1167" t="s">
        <v>2276</v>
      </c>
      <c r="AP6" s="1843">
        <v>21</v>
      </c>
      <c r="AQ6" s="1082" t="s">
        <v>3566</v>
      </c>
      <c r="AV6" s="1636"/>
      <c r="AW6" s="1636"/>
      <c r="AX6" s="1636"/>
      <c r="AY6" s="1636"/>
      <c r="AZ6" s="1636"/>
      <c r="BA6" s="1636"/>
      <c r="BB6" s="1636"/>
      <c r="BC6" s="1636"/>
      <c r="BD6" s="1636"/>
    </row>
    <row r="7" spans="1:56" ht="15" customHeight="1">
      <c r="A7" s="1491" t="s">
        <v>5608</v>
      </c>
      <c r="C7" s="1447">
        <v>46155</v>
      </c>
      <c r="D7" t="s">
        <v>1484</v>
      </c>
      <c r="E7" s="762">
        <f>_xlfn.XLOOKUP(D7,RUC!$B$3:$B$123,RUC!$D$3:$D$123)</f>
        <v>10761932735</v>
      </c>
      <c r="F7" s="629" t="s">
        <v>5621</v>
      </c>
      <c r="G7" s="762">
        <v>34</v>
      </c>
      <c r="H7" s="1082" t="s">
        <v>69</v>
      </c>
      <c r="I7" s="703">
        <v>2.96</v>
      </c>
      <c r="J7" s="596">
        <v>16.3</v>
      </c>
      <c r="K7" s="703">
        <f t="shared" si="0"/>
        <v>2.4780000000000002</v>
      </c>
      <c r="L7" s="1193">
        <v>8.1000000000000003E-2</v>
      </c>
      <c r="M7" s="994">
        <f>ROUND(+IF(L7&gt;_xlfn.XLOOKUP(AN7,RUC!M:M,RUC!K:K),L7*_xlfn.XLOOKUP(AN7,RUC!M:M,RUC!I:I),L7-_xlfn.XLOOKUP(AN7,RUC!M:M,RUC!J:J)),3)</f>
        <v>4.5999999999999999E-2</v>
      </c>
      <c r="N7" s="1196">
        <f>+M7</f>
        <v>4.5999999999999999E-2</v>
      </c>
      <c r="O7" s="645">
        <f t="shared" si="1"/>
        <v>4.5999999999999999E-2</v>
      </c>
      <c r="P7" s="727">
        <v>90</v>
      </c>
      <c r="Q7" s="1476">
        <v>96.3</v>
      </c>
      <c r="R7" s="706">
        <v>4675.7</v>
      </c>
      <c r="S7" s="765">
        <f>IF((_xlfn.XLOOKUP(D7,RUC!$B$3:$B$119,RUC!$E$3:$E$119)+ROUNDDOWN(O7,1)*100)&lt;95,95,((_xlfn.XLOOKUP(D7,RUC!$B$3:$B$119,RUC!$E$3:$E$119)+ROUNDDOWN(O7,1)*100)))</f>
        <v>95</v>
      </c>
      <c r="U7" s="1146">
        <f>_xlfn.XLOOKUP(D7,RUC!$B$3:$B$123,RUC!$F$3:$F$123)</f>
        <v>120</v>
      </c>
      <c r="V7" s="715">
        <v>1.1023000000000001</v>
      </c>
      <c r="Y7">
        <f>_xlfn.XLOOKUP(D7,RUC!$B$3:$B$123,RUC!$G$3:$G$123)</f>
        <v>20</v>
      </c>
      <c r="Z7" s="143">
        <f>_xlfn.XLOOKUP(D7,RUC!$B$3:$B$123,RUC!$H$3:$H$123)</f>
        <v>30</v>
      </c>
      <c r="AA7" s="144">
        <f t="shared" si="2"/>
        <v>50</v>
      </c>
      <c r="AB7" s="145">
        <f t="shared" si="3"/>
        <v>48.06687175399999</v>
      </c>
      <c r="AC7" s="145">
        <f>+(S7-T7)*V7-'data 1'!$F$4</f>
        <v>24.718500000000006</v>
      </c>
      <c r="AD7" s="145">
        <f t="shared" si="4"/>
        <v>25.625980605329993</v>
      </c>
      <c r="AE7" s="145">
        <f t="shared" si="5"/>
        <v>-14.884999999999998</v>
      </c>
      <c r="AF7" s="145">
        <f t="shared" si="6"/>
        <v>169.25802004755002</v>
      </c>
      <c r="AG7" s="772">
        <f>AC7+AD7+AE7+AF7+70-53</f>
        <v>221.71750065288001</v>
      </c>
      <c r="AH7" s="1253">
        <f t="shared" si="7"/>
        <v>6.6269999999999998</v>
      </c>
      <c r="AI7" s="1253">
        <f t="shared" si="8"/>
        <v>6.8819999999999997</v>
      </c>
      <c r="AJ7" s="156">
        <f t="shared" si="9"/>
        <v>-21.985778154329989</v>
      </c>
      <c r="AK7" s="156">
        <f t="shared" si="10"/>
        <v>3.5173105317390605</v>
      </c>
      <c r="AM7" s="716">
        <f t="shared" si="11"/>
        <v>119.10970820641198</v>
      </c>
      <c r="AN7" s="716" t="str">
        <f>_xlfn.XLOOKUP(D7,RUC!$B$3:$B$578,RUC!$M$3:$M$578)</f>
        <v>Richard Sapacayo</v>
      </c>
      <c r="AO7" s="1167" t="s">
        <v>2276</v>
      </c>
      <c r="AP7" s="1843">
        <v>176</v>
      </c>
      <c r="AQ7" s="1082" t="s">
        <v>3787</v>
      </c>
      <c r="AW7" s="1469">
        <f>SUM(AW9:AW18)</f>
        <v>239.036</v>
      </c>
      <c r="AX7" s="1470">
        <f>SUMPRODUCT(AW9:AW18,AX9:AX18)/SUM(AW9:AW18)</f>
        <v>0.28268695928646731</v>
      </c>
      <c r="AY7" s="704"/>
      <c r="AZ7" s="1471">
        <f ca="1">SUMPRODUCT(AZ9:AZ18,$BB9:$BB18)/SUM($BB9:$BB18)/100</f>
        <v>0.95165785013101967</v>
      </c>
      <c r="BA7" s="707">
        <f>SUM(BA9:BA18)</f>
        <v>2316.7445840542987</v>
      </c>
      <c r="BB7" s="707">
        <f ca="1">SUM(BB9:BB18)</f>
        <v>2168.3709999999996</v>
      </c>
    </row>
    <row r="8" spans="1:56" ht="15" customHeight="1" thickBot="1">
      <c r="A8" s="1491" t="s">
        <v>5609</v>
      </c>
      <c r="C8" s="1447">
        <v>46155</v>
      </c>
      <c r="D8" t="s">
        <v>1484</v>
      </c>
      <c r="E8" s="762">
        <f>_xlfn.XLOOKUP(D8,RUC!$B$3:$B$123,RUC!$D$3:$D$123)</f>
        <v>10761932735</v>
      </c>
      <c r="F8" s="629" t="s">
        <v>5621</v>
      </c>
      <c r="G8" s="762">
        <v>120</v>
      </c>
      <c r="H8" s="1082" t="s">
        <v>69</v>
      </c>
      <c r="I8" s="703">
        <v>11.67</v>
      </c>
      <c r="J8" s="596">
        <v>13.6</v>
      </c>
      <c r="K8" s="703">
        <f t="shared" si="0"/>
        <v>10.083</v>
      </c>
      <c r="L8" s="1193">
        <v>5.3999999999999999E-2</v>
      </c>
      <c r="M8" s="994">
        <f>+L8-0.02</f>
        <v>3.4000000000000002E-2</v>
      </c>
      <c r="N8" s="1196">
        <f>+M8</f>
        <v>3.4000000000000002E-2</v>
      </c>
      <c r="O8" s="645">
        <f t="shared" si="1"/>
        <v>3.4000000000000002E-2</v>
      </c>
      <c r="P8" s="727">
        <v>90</v>
      </c>
      <c r="Q8" s="1476">
        <v>96.3</v>
      </c>
      <c r="R8" s="706">
        <v>4675.7</v>
      </c>
      <c r="S8" s="765">
        <f>IF((_xlfn.XLOOKUP(D8,RUC!$B$3:$B$119,RUC!$E$3:$E$119)+ROUNDDOWN(O8,1)*100)&lt;95,95,((_xlfn.XLOOKUP(D8,RUC!$B$3:$B$119,RUC!$E$3:$E$119)+ROUNDDOWN(O8,1)*100)))</f>
        <v>95</v>
      </c>
      <c r="U8" s="1146">
        <f>_xlfn.XLOOKUP(D8,RUC!$B$3:$B$123,RUC!$F$3:$F$123)</f>
        <v>120</v>
      </c>
      <c r="V8" s="715">
        <v>1.1023000000000001</v>
      </c>
      <c r="Y8">
        <f>_xlfn.XLOOKUP(D8,RUC!$B$3:$B$123,RUC!$G$3:$G$123)</f>
        <v>20</v>
      </c>
      <c r="Z8" s="143">
        <f>_xlfn.XLOOKUP(D8,RUC!$B$3:$B$123,RUC!$H$3:$H$123)</f>
        <v>30</v>
      </c>
      <c r="AA8" s="144">
        <f t="shared" si="2"/>
        <v>50</v>
      </c>
      <c r="AB8" s="145">
        <f t="shared" si="3"/>
        <v>-6.1680078340000142</v>
      </c>
      <c r="AC8" s="145">
        <f>+(S8-T8)*V8-'data 1'!$F$4</f>
        <v>24.718500000000006</v>
      </c>
      <c r="AD8" s="145">
        <f t="shared" si="4"/>
        <v>17.08398707021999</v>
      </c>
      <c r="AE8" s="145">
        <f t="shared" si="5"/>
        <v>-14.884999999999998</v>
      </c>
      <c r="AF8" s="145">
        <f t="shared" si="6"/>
        <v>96.718868598599968</v>
      </c>
      <c r="AG8" s="772">
        <f>AC8+AD8+AE8+AF8+70-53</f>
        <v>140.63635566881996</v>
      </c>
      <c r="AH8" s="1253">
        <f t="shared" si="7"/>
        <v>17.977</v>
      </c>
      <c r="AI8" s="1253">
        <f t="shared" si="8"/>
        <v>18.667999999999999</v>
      </c>
      <c r="AJ8" s="156">
        <f t="shared" si="9"/>
        <v>-14.65718543621999</v>
      </c>
      <c r="AK8" s="156">
        <f t="shared" si="10"/>
        <v>10.578406771869391</v>
      </c>
      <c r="AM8" s="716">
        <f t="shared" si="11"/>
        <v>0</v>
      </c>
      <c r="AN8" s="716" t="str">
        <f>_xlfn.XLOOKUP(D8,RUC!$B$3:$B$578,RUC!$M$3:$M$578)</f>
        <v>Richard Sapacayo</v>
      </c>
      <c r="AO8" s="1167" t="s">
        <v>2276</v>
      </c>
      <c r="AP8" s="1843">
        <v>176</v>
      </c>
      <c r="AQ8" s="1082" t="s">
        <v>3787</v>
      </c>
      <c r="AV8" s="762"/>
      <c r="AW8" s="762" t="s">
        <v>15</v>
      </c>
      <c r="AX8" s="762" t="s">
        <v>2522</v>
      </c>
      <c r="AY8" s="1214" t="s">
        <v>2522</v>
      </c>
      <c r="AZ8" s="762" t="s">
        <v>2523</v>
      </c>
      <c r="BA8" s="762" t="s">
        <v>2558</v>
      </c>
      <c r="BB8" s="762" t="s">
        <v>2559</v>
      </c>
      <c r="BC8" s="1555" t="s">
        <v>2565</v>
      </c>
      <c r="BD8" s="729" t="s">
        <v>2579</v>
      </c>
    </row>
    <row r="9" spans="1:56" ht="15" customHeight="1">
      <c r="A9" s="1491" t="s">
        <v>5610</v>
      </c>
      <c r="C9" s="1447">
        <v>46155</v>
      </c>
      <c r="D9" t="s">
        <v>1484</v>
      </c>
      <c r="E9" s="762">
        <f>_xlfn.XLOOKUP(D9,RUC!$B$3:$B$123,RUC!$D$3:$D$123)</f>
        <v>10761932735</v>
      </c>
      <c r="F9" s="629" t="s">
        <v>5621</v>
      </c>
      <c r="G9" s="762">
        <v>121</v>
      </c>
      <c r="H9" s="1082" t="s">
        <v>69</v>
      </c>
      <c r="I9" s="703">
        <v>11.87</v>
      </c>
      <c r="J9" s="596">
        <v>11.95</v>
      </c>
      <c r="K9" s="703">
        <f t="shared" si="0"/>
        <v>10.452</v>
      </c>
      <c r="L9" s="1193">
        <v>9.8000000000000004E-2</v>
      </c>
      <c r="M9" s="994">
        <f>ROUND(+IF(L9&gt;_xlfn.XLOOKUP(AN9,RUC!M:M,RUC!K:K),L9*_xlfn.XLOOKUP(AN9,RUC!M:M,RUC!I:I),L9-_xlfn.XLOOKUP(AN9,RUC!M:M,RUC!J:J)),3)</f>
        <v>6.3E-2</v>
      </c>
      <c r="N9" s="1196">
        <f>+M9</f>
        <v>6.3E-2</v>
      </c>
      <c r="O9" s="645">
        <f t="shared" si="1"/>
        <v>6.3E-2</v>
      </c>
      <c r="P9" s="727">
        <v>90</v>
      </c>
      <c r="Q9" s="1476">
        <v>92.86</v>
      </c>
      <c r="R9" s="706">
        <v>4675.7</v>
      </c>
      <c r="S9" s="765">
        <f>IF((_xlfn.XLOOKUP(D9,RUC!$B$3:$B$119,RUC!$E$3:$E$119)+ROUNDDOWN(O9,1)*100)&lt;95,95,((_xlfn.XLOOKUP(D9,RUC!$B$3:$B$119,RUC!$E$3:$E$119)+ROUNDDOWN(O9,1)*100)))</f>
        <v>95</v>
      </c>
      <c r="U9" s="1146">
        <f>_xlfn.XLOOKUP(D9,RUC!$B$3:$B$123,RUC!$F$3:$F$123)</f>
        <v>120</v>
      </c>
      <c r="V9" s="715">
        <v>1.1023000000000001</v>
      </c>
      <c r="Y9">
        <f>_xlfn.XLOOKUP(D9,RUC!$B$3:$B$123,RUC!$G$3:$G$123)</f>
        <v>20</v>
      </c>
      <c r="Z9" s="143">
        <f>_xlfn.XLOOKUP(D9,RUC!$B$3:$B$123,RUC!$H$3:$H$123)</f>
        <v>30</v>
      </c>
      <c r="AA9" s="144">
        <f t="shared" si="2"/>
        <v>50</v>
      </c>
      <c r="AB9" s="145">
        <f t="shared" si="3"/>
        <v>124.89961783699997</v>
      </c>
      <c r="AC9" s="145">
        <f>+(S9-T9)*V9-'data 1'!$F$4</f>
        <v>24.718500000000006</v>
      </c>
      <c r="AD9" s="145">
        <f t="shared" si="4"/>
        <v>14.074955602707998</v>
      </c>
      <c r="AE9" s="145">
        <f t="shared" si="5"/>
        <v>-14.884999999999998</v>
      </c>
      <c r="AF9" s="145">
        <f t="shared" si="6"/>
        <v>163.21183532310999</v>
      </c>
      <c r="AG9" s="772">
        <f>AC9+AD9+AE9+AF9+70-53</f>
        <v>204.12029092581804</v>
      </c>
      <c r="AH9" s="1253">
        <f t="shared" si="7"/>
        <v>32.610999999999997</v>
      </c>
      <c r="AI9" s="1253">
        <f t="shared" si="8"/>
        <v>35.118000000000002</v>
      </c>
      <c r="AJ9" s="156">
        <f t="shared" si="9"/>
        <v>-25.649877212707985</v>
      </c>
      <c r="AK9" s="156">
        <f t="shared" si="10"/>
        <v>20.318494663450622</v>
      </c>
      <c r="AM9" s="716">
        <f t="shared" si="11"/>
        <v>1305.4508056323236</v>
      </c>
      <c r="AN9" s="716" t="str">
        <f>_xlfn.XLOOKUP(D9,RUC!$B$3:$B$578,RUC!$M$3:$M$578)</f>
        <v>Richard Sapacayo</v>
      </c>
      <c r="AO9" s="1167" t="s">
        <v>2276</v>
      </c>
      <c r="AP9" s="1843">
        <v>176</v>
      </c>
      <c r="AQ9" s="1082" t="s">
        <v>3787</v>
      </c>
      <c r="AV9" s="1556" t="s">
        <v>2277</v>
      </c>
      <c r="AW9" s="1227">
        <f t="shared" ref="AW9:AW17" si="12">SUMIF($AO$4:$AO$137,AV9,$K$4:$K$137)</f>
        <v>130.16899999999998</v>
      </c>
      <c r="AX9" s="1227" cm="1">
        <f t="array" ref="AX9">+SUMPRODUCT(IF($AO$4:$AO$137=AV9,$L$4:$L$137*$K$4:$K$137/AW9))</f>
        <v>0.28049796034386071</v>
      </c>
      <c r="AY9" s="1228">
        <f t="shared" ref="AY9:AY18" si="13">31.1035*1.1023*AX9*(100-AZ9)/100</f>
        <v>0.27104027409794251</v>
      </c>
      <c r="AZ9" s="1229" cm="1">
        <f t="array" ref="AZ9">+SUMPRODUCT(IF($AO$4:$AO$43=AV9,($Q$4:$Q$43*$AH$4:$AH$43)/SUMIF($AO$4:$AO$43,$AV9,$AH$4:$AH$43)))</f>
        <v>97.181649185665776</v>
      </c>
      <c r="BA9" s="1441">
        <f t="shared" ref="BA9:BA18" si="14">+AX9*31.1035*1.1023*AW9</f>
        <v>1251.8328541505391</v>
      </c>
      <c r="BB9" s="1230">
        <f ca="1">SUMIF($AO$4:$AO$260,$AV9,$AH$4:$AH$4)</f>
        <v>1162.0409999999997</v>
      </c>
      <c r="BC9" s="1229">
        <f ca="1">+BA9-BB9</f>
        <v>89.791854150539393</v>
      </c>
      <c r="BD9" s="1231">
        <f>+AW9</f>
        <v>130.16899999999998</v>
      </c>
    </row>
    <row r="10" spans="1:56" ht="15" customHeight="1">
      <c r="A10" s="747" t="s">
        <v>5692</v>
      </c>
      <c r="B10" s="1447">
        <v>46165</v>
      </c>
      <c r="C10" s="1447">
        <v>46158</v>
      </c>
      <c r="D10" t="s">
        <v>2004</v>
      </c>
      <c r="E10" s="762">
        <f>_xlfn.XLOOKUP(D10,RUC!$B$3:$B$123,RUC!$D$3:$D$123)</f>
        <v>20612921866</v>
      </c>
      <c r="G10" s="762">
        <v>35</v>
      </c>
      <c r="H10" s="1082" t="s">
        <v>69</v>
      </c>
      <c r="I10" s="703">
        <v>4.01</v>
      </c>
      <c r="J10" s="596">
        <v>2.2000000000000002</v>
      </c>
      <c r="K10" s="703">
        <f t="shared" si="0"/>
        <v>3.9220000000000002</v>
      </c>
      <c r="L10" s="1082">
        <v>0.11899999999999999</v>
      </c>
      <c r="M10" s="994">
        <f>ROUND(+IF(L10&gt;_xlfn.XLOOKUP(AN10,RUC!M:M,RUC!K:K),L10*_xlfn.XLOOKUP(AN10,RUC!M:M,RUC!I:I),L10-_xlfn.XLOOKUP(AN10,RUC!M:M,RUC!J:J)),3)-0.008</f>
        <v>9.1999999999999998E-2</v>
      </c>
      <c r="N10" s="1444">
        <v>0.155</v>
      </c>
      <c r="O10" s="645">
        <f t="shared" si="1"/>
        <v>0.124</v>
      </c>
      <c r="P10" s="727">
        <v>90</v>
      </c>
      <c r="Q10" s="1476">
        <v>99.16</v>
      </c>
      <c r="R10" s="706">
        <v>4528</v>
      </c>
      <c r="S10" s="765">
        <f>IF((_xlfn.XLOOKUP(D10,RUC!$B$3:$B$119,RUC!$E$3:$E$119)+ROUNDDOWN(O10,1)*100)&lt;95,95,((_xlfn.XLOOKUP(D10,RUC!$B$3:$B$119,RUC!$E$3:$E$119)+ROUNDDOWN(O10,1)*100)))</f>
        <v>95</v>
      </c>
      <c r="U10" s="1146">
        <f>_xlfn.XLOOKUP(D10,RUC!$B$3:$B$123,RUC!$F$3:$F$123)</f>
        <v>100</v>
      </c>
      <c r="V10" s="715">
        <v>1.1023000000000001</v>
      </c>
      <c r="Y10">
        <f>_xlfn.XLOOKUP(D10,RUC!$B$3:$B$123,RUC!$G$3:$G$123)</f>
        <v>0</v>
      </c>
      <c r="Z10" s="143">
        <f>_xlfn.XLOOKUP(D10,RUC!$B$3:$B$123,RUC!$H$3:$H$123)</f>
        <v>30</v>
      </c>
      <c r="AA10" s="144">
        <f t="shared" si="2"/>
        <v>30</v>
      </c>
      <c r="AB10" s="145">
        <f t="shared" si="3"/>
        <v>406.93035904000004</v>
      </c>
      <c r="AC10" s="145">
        <f>+(S10-T10)*V10-'data 1'!$F$4</f>
        <v>24.718500000000006</v>
      </c>
      <c r="AD10" s="145">
        <f t="shared" si="4"/>
        <v>53.204682353759978</v>
      </c>
      <c r="AE10" s="145">
        <f t="shared" si="5"/>
        <v>-36.930999999999997</v>
      </c>
      <c r="AF10" s="145">
        <f t="shared" si="6"/>
        <v>-24.199920655200021</v>
      </c>
      <c r="AG10" s="772">
        <f>AC10+AD10+AE10+AF10+70-10</f>
        <v>76.792261698559969</v>
      </c>
      <c r="AH10" s="1253">
        <f t="shared" si="7"/>
        <v>15.867000000000001</v>
      </c>
      <c r="AI10" s="1253">
        <f t="shared" si="8"/>
        <v>16.001999999999999</v>
      </c>
      <c r="AJ10" s="156">
        <f t="shared" si="9"/>
        <v>-16.649195637759998</v>
      </c>
      <c r="AK10" s="156">
        <f t="shared" si="10"/>
        <v>15.006549779622359</v>
      </c>
      <c r="AM10" s="716">
        <f t="shared" si="11"/>
        <v>1595.9808681548802</v>
      </c>
      <c r="AN10" s="716" t="str">
        <f>_xlfn.XLOOKUP(D10,RUC!$B$3:$B$578,RUC!$M$3:$M$578)</f>
        <v>Ronald Garibay</v>
      </c>
      <c r="AO10" s="1167" t="s">
        <v>2278</v>
      </c>
      <c r="AP10" s="1843">
        <v>473</v>
      </c>
      <c r="AQ10" s="1082" t="s">
        <v>5708</v>
      </c>
      <c r="AV10" s="1557" t="s">
        <v>2278</v>
      </c>
      <c r="AW10" s="703">
        <f t="shared" ref="AW10:AW15" si="15">SUMIF($AO$4:$AO$259,AV10,$K$4:$K$259)</f>
        <v>108.867</v>
      </c>
      <c r="AX10" s="703" cm="1">
        <f t="array" ref="AX10">+SUMPRODUCT(IF($AO$4:$AO$259=AV10,$L$4:$L$137*$K$4:$K$137/AW10))</f>
        <v>0.28530427953374304</v>
      </c>
      <c r="AY10" s="1215">
        <f t="shared" si="13"/>
        <v>0.70056992085573844</v>
      </c>
      <c r="AZ10" s="596" cm="1">
        <f t="array" ref="AZ10">+SUMPRODUCT(IF($AO$4:$AO$43=AV10,($Q$4:$Q$43*$AH$4:$AH$43)/SUMIF($AO$4:$AO$43,$AV10,$AH$4:$AH$43)))</f>
        <v>92.838003053953173</v>
      </c>
      <c r="BA10" s="1481">
        <f t="shared" si="14"/>
        <v>1064.9117299037594</v>
      </c>
      <c r="BB10" s="1237">
        <f t="shared" ref="BB10:BB16" ca="1" si="16">SUMIF($AO$4:$AO$2160,$AV10,$AH$4:$AH$4)</f>
        <v>1006.3299999999998</v>
      </c>
      <c r="BC10" s="596">
        <f t="shared" ref="BC10:BC18" ca="1" si="17">+BC9+BA10-BB10</f>
        <v>148.37358405429893</v>
      </c>
      <c r="BD10" s="1238">
        <f t="shared" ref="BD10:BD18" si="18">+BD9+AW10</f>
        <v>239.036</v>
      </c>
    </row>
    <row r="11" spans="1:56" ht="15" customHeight="1">
      <c r="A11" s="877" t="s">
        <v>5719</v>
      </c>
      <c r="C11" s="1447">
        <v>46161</v>
      </c>
      <c r="D11" t="s">
        <v>4171</v>
      </c>
      <c r="E11" s="762">
        <f>_xlfn.XLOOKUP(D11,RUC!$B$3:$B$123,RUC!$D$3:$D$123)</f>
        <v>20614284740</v>
      </c>
      <c r="G11" s="762">
        <v>124</v>
      </c>
      <c r="H11" s="1082" t="s">
        <v>69</v>
      </c>
      <c r="I11" s="703"/>
      <c r="J11" s="596"/>
      <c r="K11" s="703"/>
      <c r="L11" s="1082"/>
      <c r="M11" s="994"/>
      <c r="N11" s="1196"/>
      <c r="O11" s="645"/>
      <c r="P11" s="727"/>
      <c r="Q11" s="1476"/>
      <c r="R11" s="706"/>
      <c r="S11" s="765"/>
      <c r="U11" s="1146"/>
      <c r="V11" s="715"/>
      <c r="Z11" s="143"/>
      <c r="AA11" s="144"/>
      <c r="AB11" s="145"/>
      <c r="AC11" s="145"/>
      <c r="AD11" s="145"/>
      <c r="AE11" s="145"/>
      <c r="AF11" s="145"/>
      <c r="AG11" s="772"/>
      <c r="AH11" s="1253"/>
      <c r="AI11" s="1253"/>
      <c r="AJ11" s="156"/>
      <c r="AK11" s="156"/>
      <c r="AM11" s="716"/>
      <c r="AN11" s="716"/>
      <c r="AO11" s="1167"/>
      <c r="AP11" s="1843"/>
      <c r="AV11" s="1557" t="s">
        <v>2280</v>
      </c>
      <c r="AW11" s="703">
        <f t="shared" si="15"/>
        <v>0</v>
      </c>
      <c r="AX11" s="703" cm="1">
        <f t="array" ref="AX11">+SUMPRODUCT(IF($AO$4:$AO$259=AV11,$L$4:$L$137*$K$4:$K$137/AW11))</f>
        <v>0</v>
      </c>
      <c r="AY11" s="1215">
        <f t="shared" si="13"/>
        <v>0</v>
      </c>
      <c r="AZ11" s="596" cm="1">
        <f t="array" ref="AZ11">+SUMPRODUCT(IF($AO$4:$AO$43=AV11,($Q$4:$Q$43*$AH$4:$AH$43)/SUMIF($AO$4:$AO$43,$AV11,$AH$4:$AH$43)))</f>
        <v>0</v>
      </c>
      <c r="BA11" s="1237">
        <f t="shared" si="14"/>
        <v>0</v>
      </c>
      <c r="BB11" s="1237">
        <f t="shared" ca="1" si="16"/>
        <v>0</v>
      </c>
      <c r="BC11" s="596">
        <f t="shared" ca="1" si="17"/>
        <v>148.37358405429893</v>
      </c>
      <c r="BD11" s="1238">
        <f t="shared" si="18"/>
        <v>239.036</v>
      </c>
    </row>
    <row r="12" spans="1:56" ht="15" customHeight="1">
      <c r="A12" s="877" t="s">
        <v>5720</v>
      </c>
      <c r="C12" s="1447">
        <v>46161</v>
      </c>
      <c r="D12" t="s">
        <v>4171</v>
      </c>
      <c r="E12" s="762">
        <f>_xlfn.XLOOKUP(D12,RUC!$B$3:$B$123,RUC!$D$3:$D$123)</f>
        <v>20614284740</v>
      </c>
      <c r="G12" s="762">
        <v>125</v>
      </c>
      <c r="H12" s="1082" t="s">
        <v>69</v>
      </c>
      <c r="I12" s="703"/>
      <c r="J12" s="596"/>
      <c r="K12" s="703"/>
      <c r="L12" s="1082"/>
      <c r="M12" s="994"/>
      <c r="N12" s="1196"/>
      <c r="O12" s="645"/>
      <c r="P12" s="727"/>
      <c r="Q12" s="1476"/>
      <c r="R12" s="706"/>
      <c r="S12" s="765"/>
      <c r="U12" s="1146"/>
      <c r="V12" s="715"/>
      <c r="Z12" s="143"/>
      <c r="AA12" s="144"/>
      <c r="AB12" s="145"/>
      <c r="AC12" s="145"/>
      <c r="AD12" s="145"/>
      <c r="AE12" s="145"/>
      <c r="AF12" s="145"/>
      <c r="AG12" s="772"/>
      <c r="AH12" s="1253"/>
      <c r="AI12" s="1253"/>
      <c r="AJ12" s="156"/>
      <c r="AK12" s="156"/>
      <c r="AM12" s="716"/>
      <c r="AN12" s="716"/>
      <c r="AO12" s="1167"/>
      <c r="AP12" s="1843"/>
      <c r="AV12" s="1557" t="s">
        <v>2279</v>
      </c>
      <c r="AW12" s="703">
        <f t="shared" si="15"/>
        <v>0</v>
      </c>
      <c r="AX12" s="703" cm="1">
        <f t="array" ref="AX12">+SUMPRODUCT(IF($AO$4:$AO$259=AV12,$L$4:$L$137*$K$4:$K$137/AW12))</f>
        <v>0</v>
      </c>
      <c r="AY12" s="1215">
        <f t="shared" si="13"/>
        <v>0</v>
      </c>
      <c r="AZ12" s="596" cm="1">
        <f t="array" ref="AZ12">+SUMPRODUCT(IF($AO$4:$AO$43=AV12,($Q$4:$Q$43*$AH$4:$AH$43)/SUMIF($AO$4:$AO$43,$AV12,$AH$4:$AH$43)))</f>
        <v>0</v>
      </c>
      <c r="BA12" s="1237">
        <f t="shared" si="14"/>
        <v>0</v>
      </c>
      <c r="BB12" s="1237">
        <f t="shared" ca="1" si="16"/>
        <v>0</v>
      </c>
      <c r="BC12" s="596">
        <f t="shared" ca="1" si="17"/>
        <v>148.37358405429893</v>
      </c>
      <c r="BD12" s="1238">
        <f t="shared" si="18"/>
        <v>239.036</v>
      </c>
    </row>
    <row r="13" spans="1:56" ht="15" customHeight="1">
      <c r="A13" s="747" t="s">
        <v>5726</v>
      </c>
      <c r="B13" s="1447">
        <v>46169</v>
      </c>
      <c r="C13" s="1447">
        <v>46285</v>
      </c>
      <c r="D13" t="s">
        <v>3510</v>
      </c>
      <c r="E13" s="762">
        <f>_xlfn.XLOOKUP(D13,RUC!$B$3:$B$123,RUC!$D$3:$D$123)</f>
        <v>10408856049</v>
      </c>
      <c r="G13" s="762" t="s">
        <v>2985</v>
      </c>
      <c r="H13" s="1082" t="s">
        <v>69</v>
      </c>
      <c r="I13" s="703">
        <v>39.18</v>
      </c>
      <c r="J13" s="596">
        <v>10</v>
      </c>
      <c r="K13" s="703">
        <f t="shared" si="0"/>
        <v>35.262</v>
      </c>
      <c r="L13" s="1082">
        <v>0.14499999999999999</v>
      </c>
      <c r="M13" s="994">
        <f>ROUND(+IF(L13&gt;_xlfn.XLOOKUP(AN13,RUC!M:M,RUC!K:K),L13*_xlfn.XLOOKUP(AN13,RUC!M:M,RUC!I:I),L13-_xlfn.XLOOKUP(AN13,RUC!M:M,RUC!J:J)),3)</f>
        <v>0.11</v>
      </c>
      <c r="N13" s="1196">
        <f t="shared" ref="N13:N16" si="19">+M13</f>
        <v>0.11</v>
      </c>
      <c r="O13" s="645">
        <f t="shared" si="1"/>
        <v>0.11</v>
      </c>
      <c r="P13" s="727">
        <v>80</v>
      </c>
      <c r="Q13" s="1476">
        <v>97.24</v>
      </c>
      <c r="R13" s="706">
        <v>4482.8500000000004</v>
      </c>
      <c r="S13" s="765">
        <f>IF((_xlfn.XLOOKUP(D13,RUC!$B$3:$B$119,RUC!$E$3:$E$119)+ROUNDDOWN(O13,1)*100)&lt;95,95,((_xlfn.XLOOKUP(D13,RUC!$B$3:$B$119,RUC!$E$3:$E$119)+ROUNDDOWN(O13,1)*100)))</f>
        <v>100</v>
      </c>
      <c r="U13" s="1146">
        <f>_xlfn.XLOOKUP(D13,RUC!$B$3:$B$123,RUC!$F$3:$F$123)</f>
        <v>120</v>
      </c>
      <c r="V13" s="715">
        <v>1.1023000000000001</v>
      </c>
      <c r="Y13">
        <f>_xlfn.XLOOKUP(D13,RUC!$B$3:$B$123,RUC!$G$3:$G$123)</f>
        <v>20</v>
      </c>
      <c r="Z13" s="143">
        <f>_xlfn.XLOOKUP(D13,RUC!$B$3:$B$123,RUC!$H$3:$H$123)</f>
        <v>30</v>
      </c>
      <c r="AA13" s="144">
        <f t="shared" si="2"/>
        <v>50</v>
      </c>
      <c r="AB13" s="145">
        <f t="shared" si="3"/>
        <v>257.8619208400001</v>
      </c>
      <c r="AC13" s="145">
        <f>+(S13-T13)*V13-'data 1'!$F$4</f>
        <v>30.230000000000004</v>
      </c>
      <c r="AD13" s="145">
        <f t="shared" si="4"/>
        <v>120.21962053588997</v>
      </c>
      <c r="AE13" s="145">
        <f t="shared" si="5"/>
        <v>-14.884999999999998</v>
      </c>
      <c r="AF13" s="145">
        <f t="shared" si="6"/>
        <v>163.67527663486996</v>
      </c>
      <c r="AG13" s="772">
        <f t="shared" ref="AG13:AG24" si="20">AC13+AD13+AE13+AF13+70-53</f>
        <v>316.23989717075995</v>
      </c>
      <c r="AH13" s="1253">
        <f t="shared" si="7"/>
        <v>170.46299999999999</v>
      </c>
      <c r="AI13" s="1253">
        <f t="shared" si="8"/>
        <v>175.30099999999999</v>
      </c>
      <c r="AJ13" s="156">
        <f t="shared" si="9"/>
        <v>-9.7682786958900572</v>
      </c>
      <c r="AK13" s="156">
        <f t="shared" si="10"/>
        <v>106.38947910088081</v>
      </c>
      <c r="AM13" s="716">
        <f t="shared" si="11"/>
        <v>9092.7270526600842</v>
      </c>
      <c r="AN13" s="716" t="str">
        <f>_xlfn.XLOOKUP(D13,RUC!$B$3:$B$578,RUC!$M$3:$M$578)</f>
        <v>Richard Sapacayo</v>
      </c>
      <c r="AO13" s="1167" t="s">
        <v>2276</v>
      </c>
      <c r="AP13" s="1843">
        <v>75</v>
      </c>
      <c r="AQ13" s="1082" t="s">
        <v>5733</v>
      </c>
      <c r="AV13" s="1557" t="s">
        <v>2281</v>
      </c>
      <c r="AW13" s="703">
        <f t="shared" si="15"/>
        <v>0</v>
      </c>
      <c r="AX13" s="703" cm="1">
        <f t="array" ref="AX13">+SUMPRODUCT(IF($AO$4:$AO$259=AV13,$L$4:$L$137*$K$4:$K$137/AW13))</f>
        <v>0</v>
      </c>
      <c r="AY13" s="1215">
        <f t="shared" si="13"/>
        <v>0</v>
      </c>
      <c r="AZ13" s="596" cm="1">
        <f t="array" ref="AZ13">+SUMPRODUCT(IF($AO$4:$AO$43=AV13,($Q$4:$Q$43*$AH$4:$AH$43)/SUMIF($AO$4:$AO$43,$AV13,$AH$4:$AH$43)))</f>
        <v>0</v>
      </c>
      <c r="BA13" s="1237">
        <f>+AX13*31.1035*1.1023*AW13</f>
        <v>0</v>
      </c>
      <c r="BB13" s="1237">
        <f t="shared" ca="1" si="16"/>
        <v>0</v>
      </c>
      <c r="BC13" s="596">
        <f t="shared" ca="1" si="17"/>
        <v>148.37358405429893</v>
      </c>
      <c r="BD13" s="1238">
        <f t="shared" si="18"/>
        <v>239.036</v>
      </c>
    </row>
    <row r="14" spans="1:56" ht="15" customHeight="1">
      <c r="A14" s="747" t="s">
        <v>5727</v>
      </c>
      <c r="B14" s="1447">
        <v>46169</v>
      </c>
      <c r="C14" s="1447">
        <v>46285</v>
      </c>
      <c r="D14" t="s">
        <v>3510</v>
      </c>
      <c r="E14" s="762">
        <f>_xlfn.XLOOKUP(D14,RUC!$B$3:$B$123,RUC!$D$3:$D$123)</f>
        <v>10408856049</v>
      </c>
      <c r="G14" s="762" t="s">
        <v>2985</v>
      </c>
      <c r="H14" s="1082" t="s">
        <v>69</v>
      </c>
      <c r="I14" s="703">
        <v>40.9</v>
      </c>
      <c r="J14" s="596">
        <v>8.6</v>
      </c>
      <c r="K14" s="703">
        <f t="shared" si="0"/>
        <v>37.383000000000003</v>
      </c>
      <c r="L14" s="1082">
        <v>0.157</v>
      </c>
      <c r="M14" s="994">
        <f>ROUND(+IF(L14&gt;_xlfn.XLOOKUP(AN14,RUC!M:M,RUC!K:K),L14*_xlfn.XLOOKUP(AN14,RUC!M:M,RUC!I:I),L14-_xlfn.XLOOKUP(AN14,RUC!M:M,RUC!J:J)),3)</f>
        <v>0.122</v>
      </c>
      <c r="N14" s="1196">
        <f t="shared" si="19"/>
        <v>0.122</v>
      </c>
      <c r="O14" s="645">
        <f t="shared" si="1"/>
        <v>0.122</v>
      </c>
      <c r="P14" s="727">
        <v>80</v>
      </c>
      <c r="Q14" s="1476">
        <v>97.45</v>
      </c>
      <c r="R14" s="706">
        <v>4482.8500000000004</v>
      </c>
      <c r="S14" s="765">
        <f>IF((_xlfn.XLOOKUP(D14,RUC!$B$3:$B$119,RUC!$E$3:$E$119)+ROUNDDOWN(O14,1)*100)&lt;95,95,((_xlfn.XLOOKUP(D14,RUC!$B$3:$B$119,RUC!$E$3:$E$119)+ROUNDDOWN(O14,1)*100)))</f>
        <v>100</v>
      </c>
      <c r="U14" s="1146">
        <f>_xlfn.XLOOKUP(D14,RUC!$B$3:$B$123,RUC!$F$3:$F$123)</f>
        <v>120</v>
      </c>
      <c r="V14" s="715">
        <v>1.1023000000000001</v>
      </c>
      <c r="Y14">
        <f>_xlfn.XLOOKUP(D14,RUC!$B$3:$B$123,RUC!$G$3:$G$123)</f>
        <v>20</v>
      </c>
      <c r="Z14" s="143">
        <f>_xlfn.XLOOKUP(D14,RUC!$B$3:$B$123,RUC!$H$3:$H$123)</f>
        <v>30</v>
      </c>
      <c r="AA14" s="144">
        <f t="shared" si="2"/>
        <v>50</v>
      </c>
      <c r="AB14" s="145">
        <f t="shared" si="3"/>
        <v>304.02994856800012</v>
      </c>
      <c r="AC14" s="145">
        <f>+(S14-T14)*V14-'data 1'!$F$4</f>
        <v>30.230000000000004</v>
      </c>
      <c r="AD14" s="145">
        <f t="shared" si="4"/>
        <v>131.75441371355754</v>
      </c>
      <c r="AE14" s="145">
        <f t="shared" si="5"/>
        <v>-14.884999999999998</v>
      </c>
      <c r="AF14" s="145">
        <f t="shared" si="6"/>
        <v>164.02875059716254</v>
      </c>
      <c r="AG14" s="772">
        <f t="shared" si="20"/>
        <v>328.12816431072008</v>
      </c>
      <c r="AH14" s="1253">
        <f t="shared" si="7"/>
        <v>196.09399999999999</v>
      </c>
      <c r="AI14" s="1253">
        <f t="shared" si="8"/>
        <v>201.22499999999999</v>
      </c>
      <c r="AJ14" s="156">
        <f t="shared" si="9"/>
        <v>-10.599529436557562</v>
      </c>
      <c r="AK14" s="156">
        <f t="shared" si="10"/>
        <v>125.09300855977946</v>
      </c>
      <c r="AM14" s="716">
        <f t="shared" si="11"/>
        <v>11365.551567317549</v>
      </c>
      <c r="AN14" s="716" t="str">
        <f>_xlfn.XLOOKUP(D14,RUC!$B$3:$B$578,RUC!$M$3:$M$578)</f>
        <v>Richard Sapacayo</v>
      </c>
      <c r="AO14" s="1167" t="s">
        <v>2277</v>
      </c>
      <c r="AP14" s="1843">
        <v>76</v>
      </c>
      <c r="AQ14" s="1082" t="s">
        <v>4360</v>
      </c>
      <c r="AV14" s="1557" t="s">
        <v>2297</v>
      </c>
      <c r="AW14" s="703">
        <f t="shared" si="15"/>
        <v>0</v>
      </c>
      <c r="AX14" s="703" cm="1">
        <f t="array" ref="AX14">+SUMPRODUCT(IF($AO$4:$AO$259=AV14,$L$4:$L$137*$K$4:$K$137/AW14))</f>
        <v>0</v>
      </c>
      <c r="AY14" s="1215">
        <f t="shared" si="13"/>
        <v>0</v>
      </c>
      <c r="AZ14" s="596" cm="1">
        <f t="array" ref="AZ14">+SUMPRODUCT(IF('44'!$AO$4:$AO$145=AV14,('44'!$Q$4:$Q$145*'44'!$AH$4:$AH$145)/SUMIF('44'!$AO$4:$AO$145,#REF!,'44'!$AH$4:$AH$145)))</f>
        <v>0</v>
      </c>
      <c r="BA14" s="1237">
        <f t="shared" si="14"/>
        <v>0</v>
      </c>
      <c r="BB14" s="1237">
        <f t="shared" ca="1" si="16"/>
        <v>0</v>
      </c>
      <c r="BC14" s="596">
        <f t="shared" ca="1" si="17"/>
        <v>148.37358405429893</v>
      </c>
      <c r="BD14" s="1238">
        <f t="shared" si="18"/>
        <v>239.036</v>
      </c>
    </row>
    <row r="15" spans="1:56" ht="15" customHeight="1">
      <c r="A15" s="1491" t="s">
        <v>5735</v>
      </c>
      <c r="C15" s="1484">
        <v>46163</v>
      </c>
      <c r="D15" t="s">
        <v>1484</v>
      </c>
      <c r="E15" s="762">
        <f>_xlfn.XLOOKUP(D15,RUC!$B$3:$B$123,RUC!$D$3:$D$123)</f>
        <v>10761932735</v>
      </c>
      <c r="F15" s="629" t="s">
        <v>5772</v>
      </c>
      <c r="G15" s="762">
        <v>85</v>
      </c>
      <c r="H15" s="1082" t="s">
        <v>69</v>
      </c>
      <c r="I15" s="703">
        <v>6.98</v>
      </c>
      <c r="J15" s="596">
        <v>11.75</v>
      </c>
      <c r="K15" s="703">
        <f t="shared" si="0"/>
        <v>6.16</v>
      </c>
      <c r="L15" s="1082">
        <v>6.0999999999999999E-2</v>
      </c>
      <c r="M15" s="1443">
        <v>4.4999999999999998E-2</v>
      </c>
      <c r="N15" s="1196">
        <f t="shared" si="19"/>
        <v>4.4999999999999998E-2</v>
      </c>
      <c r="O15" s="645">
        <f t="shared" si="1"/>
        <v>4.4999999999999998E-2</v>
      </c>
      <c r="P15" s="727">
        <v>80</v>
      </c>
      <c r="Q15" s="875">
        <v>95.31</v>
      </c>
      <c r="R15" s="706">
        <v>4505.25</v>
      </c>
      <c r="S15" s="765">
        <f>IF((_xlfn.XLOOKUP(D15,RUC!$B$3:$B$119,RUC!$E$3:$E$119)+ROUNDDOWN(O15,1)*100)&lt;95,95,((_xlfn.XLOOKUP(D15,RUC!$B$3:$B$119,RUC!$E$3:$E$119)+ROUNDDOWN(O15,1)*100)))</f>
        <v>95</v>
      </c>
      <c r="U15" s="1146">
        <f>_xlfn.XLOOKUP(D15,RUC!$B$3:$B$123,RUC!$F$3:$F$123)</f>
        <v>120</v>
      </c>
      <c r="V15" s="715">
        <v>1.1023000000000001</v>
      </c>
      <c r="Y15">
        <f>_xlfn.XLOOKUP(D15,RUC!$B$3:$B$123,RUC!$G$3:$G$123)</f>
        <v>20</v>
      </c>
      <c r="Z15" s="143">
        <f>_xlfn.XLOOKUP(D15,RUC!$B$3:$B$123,RUC!$H$3:$H$123)</f>
        <v>30</v>
      </c>
      <c r="AA15" s="144">
        <f t="shared" si="2"/>
        <v>50</v>
      </c>
      <c r="AB15" s="145">
        <f t="shared" si="3"/>
        <v>14.18549869999997</v>
      </c>
      <c r="AC15" s="145">
        <f>+(S15-T15)*V15-'data 1'!$F$4</f>
        <v>24.718500000000006</v>
      </c>
      <c r="AD15" s="145">
        <f t="shared" si="4"/>
        <v>45.14391196553251</v>
      </c>
      <c r="AE15" s="145">
        <f t="shared" si="5"/>
        <v>-14.884999999999998</v>
      </c>
      <c r="AF15" s="145">
        <f t="shared" si="6"/>
        <v>73.71444784932001</v>
      </c>
      <c r="AG15" s="772">
        <f t="shared" si="20"/>
        <v>145.69185981485253</v>
      </c>
      <c r="AH15" s="1253">
        <f t="shared" si="7"/>
        <v>12.279</v>
      </c>
      <c r="AI15" s="1253">
        <f t="shared" si="8"/>
        <v>12.882999999999999</v>
      </c>
      <c r="AJ15" s="156">
        <f t="shared" si="9"/>
        <v>-5.463393726532499</v>
      </c>
      <c r="AK15" s="156">
        <f t="shared" si="10"/>
        <v>7.6031276539680004</v>
      </c>
      <c r="AM15" s="716">
        <f t="shared" si="11"/>
        <v>87.382671991999814</v>
      </c>
      <c r="AN15" s="716" t="str">
        <f>_xlfn.XLOOKUP(D15,RUC!$B$3:$B$578,RUC!$M$3:$M$578)</f>
        <v>Richard Sapacayo</v>
      </c>
      <c r="AO15" s="1167" t="s">
        <v>2276</v>
      </c>
      <c r="AP15" s="1843">
        <v>178</v>
      </c>
      <c r="AQ15" s="1082" t="s">
        <v>5760</v>
      </c>
      <c r="AV15" s="1557" t="s">
        <v>2518</v>
      </c>
      <c r="AW15" s="703">
        <f t="shared" si="15"/>
        <v>0</v>
      </c>
      <c r="AX15" s="703" cm="1">
        <f t="array" ref="AX15">+SUMPRODUCT(IF($AO$4:$AO$259=AV15,$L$4:$L$137*$K$4:$K$137/AW15))</f>
        <v>0</v>
      </c>
      <c r="AY15" s="1215">
        <f t="shared" si="13"/>
        <v>0</v>
      </c>
      <c r="AZ15" s="596" cm="1">
        <f t="array" ref="AZ15">+SUMPRODUCT(IF('44'!$AO$4:$AO$145=AV15,('44'!$Q$4:$Q$145*'44'!$AH$4:$AH$145)/SUMIF('44'!$AO$4:$AO$145,#REF!,'44'!$AH$4:$AH$145)))</f>
        <v>0</v>
      </c>
      <c r="BA15" s="1237">
        <f t="shared" si="14"/>
        <v>0</v>
      </c>
      <c r="BB15" s="1237">
        <f t="shared" ca="1" si="16"/>
        <v>0</v>
      </c>
      <c r="BC15" s="596">
        <f t="shared" ca="1" si="17"/>
        <v>148.37358405429893</v>
      </c>
      <c r="BD15" s="1238">
        <f t="shared" si="18"/>
        <v>239.036</v>
      </c>
    </row>
    <row r="16" spans="1:56" ht="15" customHeight="1">
      <c r="A16" s="1491" t="s">
        <v>5736</v>
      </c>
      <c r="B16" s="1447">
        <v>46190</v>
      </c>
      <c r="C16" s="1447">
        <v>46163</v>
      </c>
      <c r="D16" t="s">
        <v>1484</v>
      </c>
      <c r="E16" s="762">
        <f>_xlfn.XLOOKUP(D16,RUC!$B$3:$B$123,RUC!$D$3:$D$123)</f>
        <v>10761932735</v>
      </c>
      <c r="F16" s="629" t="s">
        <v>5772</v>
      </c>
      <c r="G16" s="762" t="s">
        <v>2985</v>
      </c>
      <c r="H16" s="1082" t="s">
        <v>69</v>
      </c>
      <c r="I16" s="703">
        <v>10.98</v>
      </c>
      <c r="J16" s="596">
        <v>9.6</v>
      </c>
      <c r="K16" s="703">
        <f t="shared" si="0"/>
        <v>9.9260000000000002</v>
      </c>
      <c r="L16" s="1192">
        <v>0.09</v>
      </c>
      <c r="M16" s="994">
        <f>ROUND(+IF(L16&gt;_xlfn.XLOOKUP(AN16,RUC!M:M,RUC!K:K),L16*_xlfn.XLOOKUP(AN16,RUC!M:M,RUC!I:I),L16-_xlfn.XLOOKUP(AN16,RUC!M:M,RUC!J:J)),3)</f>
        <v>5.5E-2</v>
      </c>
      <c r="N16" s="1196">
        <f t="shared" si="19"/>
        <v>5.5E-2</v>
      </c>
      <c r="O16" s="645">
        <f t="shared" si="1"/>
        <v>5.5E-2</v>
      </c>
      <c r="P16" s="727">
        <v>80</v>
      </c>
      <c r="Q16" s="875">
        <v>97.78</v>
      </c>
      <c r="R16" s="706">
        <v>4505.25</v>
      </c>
      <c r="S16" s="765">
        <f>IF((_xlfn.XLOOKUP(D16,RUC!$B$3:$B$119,RUC!$E$3:$E$119)+ROUNDDOWN(O16,1)*100)&lt;95,95,((_xlfn.XLOOKUP(D16,RUC!$B$3:$B$119,RUC!$E$3:$E$119)+ROUNDDOWN(O16,1)*100)))</f>
        <v>95</v>
      </c>
      <c r="U16" s="1146">
        <f>_xlfn.XLOOKUP(D16,RUC!$B$3:$B$123,RUC!$F$3:$F$123)</f>
        <v>120</v>
      </c>
      <c r="V16" s="715">
        <v>1.1023000000000001</v>
      </c>
      <c r="Y16">
        <f>_xlfn.XLOOKUP(D16,RUC!$B$3:$B$123,RUC!$G$3:$G$123)</f>
        <v>20</v>
      </c>
      <c r="Z16" s="143">
        <f>_xlfn.XLOOKUP(D16,RUC!$B$3:$B$123,RUC!$H$3:$H$123)</f>
        <v>30</v>
      </c>
      <c r="AA16" s="144">
        <f t="shared" si="2"/>
        <v>50</v>
      </c>
      <c r="AB16" s="145">
        <f t="shared" si="3"/>
        <v>52.85638730000003</v>
      </c>
      <c r="AC16" s="145">
        <f>+(S16-T16)*V16-'data 1'!$F$4</f>
        <v>24.718500000000006</v>
      </c>
      <c r="AD16" s="145">
        <f t="shared" si="4"/>
        <v>77.351444922150009</v>
      </c>
      <c r="AE16" s="145">
        <f t="shared" si="5"/>
        <v>-14.884999999999998</v>
      </c>
      <c r="AF16" s="145">
        <f t="shared" si="6"/>
        <v>165.42922756972501</v>
      </c>
      <c r="AG16" s="772">
        <f t="shared" si="20"/>
        <v>269.61417249187502</v>
      </c>
      <c r="AH16" s="1253">
        <f t="shared" si="7"/>
        <v>29.949000000000002</v>
      </c>
      <c r="AI16" s="1253">
        <f t="shared" si="8"/>
        <v>30.629000000000001</v>
      </c>
      <c r="AJ16" s="156">
        <f t="shared" si="9"/>
        <v>-8.2696425421500006</v>
      </c>
      <c r="AK16" s="156">
        <f t="shared" si="10"/>
        <v>14.973937518509201</v>
      </c>
      <c r="AM16" s="716">
        <f t="shared" si="11"/>
        <v>524.65250033980033</v>
      </c>
      <c r="AN16" s="716" t="str">
        <f>_xlfn.XLOOKUP(D16,RUC!$B$3:$B$578,RUC!$M$3:$M$578)</f>
        <v>Richard Sapacayo</v>
      </c>
      <c r="AO16" s="1167" t="s">
        <v>2276</v>
      </c>
      <c r="AP16" s="1843">
        <v>178</v>
      </c>
      <c r="AQ16" s="1082" t="s">
        <v>5760</v>
      </c>
      <c r="AV16" s="1557" t="s">
        <v>2519</v>
      </c>
      <c r="AW16" s="703">
        <f t="shared" si="12"/>
        <v>0</v>
      </c>
      <c r="AX16" s="703" cm="1">
        <f t="array" ref="AX16">+SUMPRODUCT(IF($AO$4:$AO$43=AV16,$L$4:$L$43*$K$4:$K$43/AW16))</f>
        <v>0</v>
      </c>
      <c r="AY16" s="1215">
        <f t="shared" si="13"/>
        <v>0</v>
      </c>
      <c r="AZ16" s="596" cm="1">
        <f t="array" ref="AZ16">+SUMPRODUCT(IF('44'!$AO$4:$AO$145=AV16,('44'!$Q$4:$Q$145*'44'!$AH$4:$AH$145)/SUMIF('44'!$AO$4:$AO$145,#REF!,'44'!$AH$4:$AH$145)))</f>
        <v>0</v>
      </c>
      <c r="BA16" s="1237">
        <f t="shared" si="14"/>
        <v>0</v>
      </c>
      <c r="BB16" s="1237">
        <f t="shared" ca="1" si="16"/>
        <v>0</v>
      </c>
      <c r="BC16" s="596">
        <f t="shared" ca="1" si="17"/>
        <v>148.37358405429893</v>
      </c>
      <c r="BD16" s="1238">
        <f t="shared" si="18"/>
        <v>239.036</v>
      </c>
    </row>
    <row r="17" spans="1:56" ht="15" customHeight="1">
      <c r="A17" s="1491" t="s">
        <v>5737</v>
      </c>
      <c r="B17" s="1447">
        <v>46190</v>
      </c>
      <c r="C17" s="1484">
        <v>46163</v>
      </c>
      <c r="D17" t="s">
        <v>1484</v>
      </c>
      <c r="E17" s="762">
        <f>_xlfn.XLOOKUP(D17,RUC!$B$3:$B$123,RUC!$D$3:$D$123)</f>
        <v>10761932735</v>
      </c>
      <c r="F17" s="629" t="s">
        <v>5772</v>
      </c>
      <c r="G17" s="762" t="s">
        <v>2985</v>
      </c>
      <c r="H17" s="1082" t="s">
        <v>69</v>
      </c>
      <c r="I17" s="703">
        <v>20.34</v>
      </c>
      <c r="J17" s="596">
        <v>6.5</v>
      </c>
      <c r="K17" s="703">
        <f t="shared" si="0"/>
        <v>19.018000000000001</v>
      </c>
      <c r="L17" s="1082">
        <v>9.0999999999999998E-2</v>
      </c>
      <c r="M17" s="1443">
        <v>6.6000000000000003E-2</v>
      </c>
      <c r="N17" s="1444">
        <v>0.13200000000000001</v>
      </c>
      <c r="O17" s="645">
        <f t="shared" si="1"/>
        <v>9.9000000000000005E-2</v>
      </c>
      <c r="P17" s="727">
        <v>70</v>
      </c>
      <c r="Q17" s="875">
        <v>96.77</v>
      </c>
      <c r="R17" s="706">
        <v>4505.25</v>
      </c>
      <c r="S17" s="765">
        <f>IF((_xlfn.XLOOKUP(D17,RUC!$B$3:$B$119,RUC!$E$3:$E$119)+ROUNDDOWN(O17,1)*100)&lt;95,95,((_xlfn.XLOOKUP(D17,RUC!$B$3:$B$119,RUC!$E$3:$E$119)+ROUNDDOWN(O17,1)*100)))</f>
        <v>95</v>
      </c>
      <c r="U17" s="1146">
        <f>_xlfn.XLOOKUP(D17,RUC!$B$3:$B$123,RUC!$F$3:$F$123)</f>
        <v>120</v>
      </c>
      <c r="V17" s="715">
        <v>1.1023000000000001</v>
      </c>
      <c r="Y17">
        <f>_xlfn.XLOOKUP(D17,RUC!$B$3:$B$123,RUC!$G$3:$G$123)</f>
        <v>20</v>
      </c>
      <c r="Z17" s="143">
        <f>_xlfn.XLOOKUP(D17,RUC!$B$3:$B$123,RUC!$H$3:$H$123)</f>
        <v>30</v>
      </c>
      <c r="AA17" s="144">
        <f t="shared" si="2"/>
        <v>50</v>
      </c>
      <c r="AB17" s="145">
        <f t="shared" si="3"/>
        <v>175.15307249750003</v>
      </c>
      <c r="AC17" s="145">
        <f>+(S17-T17)*V17-'data 1'!$F$4</f>
        <v>24.718500000000006</v>
      </c>
      <c r="AD17" s="145">
        <f t="shared" si="4"/>
        <v>117.75623948975247</v>
      </c>
      <c r="AE17" s="145">
        <f t="shared" si="5"/>
        <v>-14.884999999999998</v>
      </c>
      <c r="AF17" s="145">
        <f t="shared" si="6"/>
        <v>-37.421818898220032</v>
      </c>
      <c r="AG17" s="772">
        <f t="shared" si="20"/>
        <v>107.16792059153246</v>
      </c>
      <c r="AH17" s="1253">
        <f t="shared" si="7"/>
        <v>57.418999999999997</v>
      </c>
      <c r="AI17" s="1253">
        <f t="shared" si="8"/>
        <v>59.335999999999999</v>
      </c>
      <c r="AJ17" s="156">
        <f t="shared" si="9"/>
        <v>-8.2751586442524996</v>
      </c>
      <c r="AK17" s="156">
        <f t="shared" si="10"/>
        <v>45.186338038488572</v>
      </c>
      <c r="AM17" s="716">
        <f t="shared" si="11"/>
        <v>3331.0611327574557</v>
      </c>
      <c r="AN17" s="716" t="str">
        <f>_xlfn.XLOOKUP(D17,RUC!$B$3:$B$578,RUC!$M$3:$M$578)</f>
        <v>Richard Sapacayo</v>
      </c>
      <c r="AO17" s="1167" t="s">
        <v>2276</v>
      </c>
      <c r="AP17" s="1843">
        <v>178</v>
      </c>
      <c r="AQ17" s="1082" t="s">
        <v>5760</v>
      </c>
      <c r="AV17" s="1557" t="s">
        <v>2520</v>
      </c>
      <c r="AW17" s="703">
        <f t="shared" si="12"/>
        <v>0</v>
      </c>
      <c r="AX17" s="703" cm="1">
        <f t="array" ref="AX17">+SUMPRODUCT(IF($AO$4:$AO$43=AV17,$L$4:$L$43*$K$4:$K$43/AW17))</f>
        <v>0</v>
      </c>
      <c r="AY17" s="1215">
        <f t="shared" si="13"/>
        <v>0</v>
      </c>
      <c r="AZ17" s="596" cm="1">
        <f t="array" ref="AZ17">+SUMPRODUCT(IF('44'!$AO$4:$AO$145=AV17,('44'!$Q$4:$Q$145*'44'!$AH$4:$AH$145)/SUMIF('44'!$AO$4:$AO$145,#REF!,'44'!$AH$4:$AH$145)))</f>
        <v>0</v>
      </c>
      <c r="BA17" s="1237">
        <f t="shared" si="14"/>
        <v>0</v>
      </c>
      <c r="BB17" s="1237">
        <f ca="1">SUMIF($AO$4:$AO$38,$AV17,$AH$4:$AH$4)</f>
        <v>0</v>
      </c>
      <c r="BC17" s="596">
        <f t="shared" ca="1" si="17"/>
        <v>148.37358405429893</v>
      </c>
      <c r="BD17" s="1238">
        <f t="shared" si="18"/>
        <v>239.036</v>
      </c>
    </row>
    <row r="18" spans="1:56" ht="15" customHeight="1" thickBot="1">
      <c r="A18" s="747" t="s">
        <v>5738</v>
      </c>
      <c r="B18" s="1447">
        <v>46190</v>
      </c>
      <c r="C18" s="1447">
        <v>46163</v>
      </c>
      <c r="D18" t="s">
        <v>1484</v>
      </c>
      <c r="E18" s="762">
        <f>_xlfn.XLOOKUP(D18,RUC!$B$3:$B$123,RUC!$D$3:$D$123)</f>
        <v>10761932735</v>
      </c>
      <c r="F18" s="629" t="s">
        <v>5772</v>
      </c>
      <c r="G18" s="762">
        <v>65</v>
      </c>
      <c r="H18" s="1082" t="s">
        <v>69</v>
      </c>
      <c r="I18" s="703">
        <v>5.79</v>
      </c>
      <c r="J18" s="596">
        <v>12.02</v>
      </c>
      <c r="K18" s="703">
        <f t="shared" si="0"/>
        <v>5.0940000000000003</v>
      </c>
      <c r="L18" s="1192">
        <v>0.14000000000000001</v>
      </c>
      <c r="M18" s="1443">
        <v>0.1</v>
      </c>
      <c r="N18" s="1196">
        <f>+M18</f>
        <v>0.1</v>
      </c>
      <c r="O18" s="1950">
        <v>0.105</v>
      </c>
      <c r="P18" s="727">
        <v>80</v>
      </c>
      <c r="Q18" s="875">
        <v>95.71</v>
      </c>
      <c r="R18" s="706">
        <v>4505.25</v>
      </c>
      <c r="S18" s="765">
        <f>IF((_xlfn.XLOOKUP(D18,RUC!$B$3:$B$119,RUC!$E$3:$E$119)+ROUNDDOWN(O18,1)*100)&lt;95,95,((_xlfn.XLOOKUP(D18,RUC!$B$3:$B$119,RUC!$E$3:$E$119)+ROUNDDOWN(O18,1)*100)))</f>
        <v>100</v>
      </c>
      <c r="U18" s="1146">
        <f>_xlfn.XLOOKUP(D18,RUC!$B$3:$B$123,RUC!$F$3:$F$123)</f>
        <v>120</v>
      </c>
      <c r="V18" s="715">
        <v>1.1023000000000001</v>
      </c>
      <c r="Y18">
        <f>_xlfn.XLOOKUP(D18,RUC!$B$3:$B$123,RUC!$G$3:$G$123)</f>
        <v>20</v>
      </c>
      <c r="Z18" s="143">
        <f>_xlfn.XLOOKUP(D18,RUC!$B$3:$B$123,RUC!$H$3:$H$123)</f>
        <v>30</v>
      </c>
      <c r="AA18" s="144">
        <f t="shared" si="2"/>
        <v>50</v>
      </c>
      <c r="AB18" s="145">
        <f t="shared" si="3"/>
        <v>240.69933030000001</v>
      </c>
      <c r="AC18" s="145">
        <f>+(S18-T18)*V18-'data 1'!$F$4</f>
        <v>30.230000000000004</v>
      </c>
      <c r="AD18" s="145">
        <f t="shared" si="4"/>
        <v>106.31594048354997</v>
      </c>
      <c r="AE18" s="145">
        <f t="shared" si="5"/>
        <v>-14.884999999999998</v>
      </c>
      <c r="AF18" s="145">
        <f t="shared" si="6"/>
        <v>161.92709522088759</v>
      </c>
      <c r="AG18" s="772">
        <f t="shared" si="20"/>
        <v>300.58803570443757</v>
      </c>
      <c r="AH18" s="1253">
        <f t="shared" si="7"/>
        <v>23.402000000000001</v>
      </c>
      <c r="AI18" s="1253">
        <f t="shared" si="8"/>
        <v>24.451000000000001</v>
      </c>
      <c r="AJ18" s="156">
        <f t="shared" si="9"/>
        <v>-12.591560223549999</v>
      </c>
      <c r="AK18" s="156">
        <f t="shared" si="10"/>
        <v>14.670580405042802</v>
      </c>
      <c r="AM18" s="716">
        <f t="shared" si="11"/>
        <v>1226.1223885482002</v>
      </c>
      <c r="AN18" s="716" t="str">
        <f>_xlfn.XLOOKUP(D18,RUC!$B$3:$B$578,RUC!$M$3:$M$578)</f>
        <v>Richard Sapacayo</v>
      </c>
      <c r="AO18" s="1167" t="s">
        <v>2276</v>
      </c>
      <c r="AP18" s="1843">
        <v>179</v>
      </c>
      <c r="AQ18" s="1082" t="s">
        <v>5761</v>
      </c>
      <c r="AV18" s="1558" t="s">
        <v>2521</v>
      </c>
      <c r="AW18" s="1254">
        <f>SUMIF($AO$4:$AO$43,AV18,$K$4:$K$43)</f>
        <v>0</v>
      </c>
      <c r="AX18" s="1254" cm="1">
        <f t="array" ref="AX18">+SUMPRODUCT(IF('44'!$AO$4:$AO$145=AV18,'44'!$L$4:$L$145*'44'!$K$4:$K$145/AW18))</f>
        <v>0</v>
      </c>
      <c r="AY18" s="1241">
        <f t="shared" si="13"/>
        <v>0</v>
      </c>
      <c r="AZ18" s="1242" cm="1">
        <f t="array" ref="AZ18">+SUMPRODUCT(IF('44'!$AO$4:$AO$145=AV18,('44'!$Q$4:$Q$145*'44'!$AH$4:$AH$145)/SUMIF('44'!$AO$4:$AO$145,#REF!,'44'!$AH$4:$AH$145)))</f>
        <v>0</v>
      </c>
      <c r="BA18" s="1243">
        <f t="shared" si="14"/>
        <v>0</v>
      </c>
      <c r="BB18" s="1243">
        <f>SUMIF($AO$4:$AO$4,$AV18,$AH$4:$AH$4)</f>
        <v>0</v>
      </c>
      <c r="BC18" s="1242">
        <f t="shared" ca="1" si="17"/>
        <v>148.37358405429893</v>
      </c>
      <c r="BD18" s="1436">
        <f t="shared" si="18"/>
        <v>239.036</v>
      </c>
    </row>
    <row r="19" spans="1:56" ht="15" customHeight="1">
      <c r="A19" s="747" t="s">
        <v>5739</v>
      </c>
      <c r="B19" s="1447">
        <v>46190</v>
      </c>
      <c r="C19" s="1484">
        <v>46163</v>
      </c>
      <c r="D19" t="s">
        <v>1484</v>
      </c>
      <c r="E19" s="762">
        <f>_xlfn.XLOOKUP(D19,RUC!$B$3:$B$123,RUC!$D$3:$D$123)</f>
        <v>10761932735</v>
      </c>
      <c r="F19" s="629" t="s">
        <v>5772</v>
      </c>
      <c r="G19" s="762" t="s">
        <v>2985</v>
      </c>
      <c r="H19" s="1082" t="s">
        <v>69</v>
      </c>
      <c r="I19" s="703">
        <v>23.53</v>
      </c>
      <c r="J19" s="596">
        <v>10</v>
      </c>
      <c r="K19" s="703">
        <f t="shared" si="0"/>
        <v>21.177</v>
      </c>
      <c r="L19" s="1082">
        <v>9.2999999999999999E-2</v>
      </c>
      <c r="M19" s="1443">
        <v>6.6000000000000003E-2</v>
      </c>
      <c r="N19" s="1444">
        <v>0.14899999999999999</v>
      </c>
      <c r="O19" s="645">
        <f t="shared" ref="O19:O30" si="21">+ROUND((M19+N19)/2,3)</f>
        <v>0.108</v>
      </c>
      <c r="P19" s="727">
        <v>80</v>
      </c>
      <c r="Q19" s="875">
        <v>98.98</v>
      </c>
      <c r="R19" s="706">
        <v>4505.25</v>
      </c>
      <c r="S19" s="765">
        <f>IF((_xlfn.XLOOKUP(D19,RUC!$B$3:$B$119,RUC!$E$3:$E$119)+ROUNDDOWN(O19,1)*100)&lt;95,95,((_xlfn.XLOOKUP(D19,RUC!$B$3:$B$119,RUC!$E$3:$E$119)+ROUNDDOWN(O19,1)*100)))</f>
        <v>100</v>
      </c>
      <c r="U19" s="1146">
        <f>_xlfn.XLOOKUP(D19,RUC!$B$3:$B$123,RUC!$F$3:$F$123)</f>
        <v>120</v>
      </c>
      <c r="V19" s="715">
        <v>1.1023000000000001</v>
      </c>
      <c r="Y19">
        <f>_xlfn.XLOOKUP(D19,RUC!$B$3:$B$123,RUC!$G$3:$G$123)</f>
        <v>20</v>
      </c>
      <c r="Z19" s="143">
        <f>_xlfn.XLOOKUP(D19,RUC!$B$3:$B$123,RUC!$H$3:$H$123)</f>
        <v>30</v>
      </c>
      <c r="AA19" s="144">
        <f t="shared" si="2"/>
        <v>50</v>
      </c>
      <c r="AB19" s="145">
        <f t="shared" si="3"/>
        <v>252.30059688000009</v>
      </c>
      <c r="AC19" s="145">
        <f>+(S19-T19)*V19-'data 1'!$F$4</f>
        <v>30.230000000000004</v>
      </c>
      <c r="AD19" s="145">
        <f t="shared" si="4"/>
        <v>85.324415379255001</v>
      </c>
      <c r="AE19" s="145">
        <f t="shared" si="5"/>
        <v>-14.884999999999998</v>
      </c>
      <c r="AF19" s="145">
        <f t="shared" si="6"/>
        <v>-71.768335380525016</v>
      </c>
      <c r="AG19" s="772">
        <f t="shared" si="20"/>
        <v>45.901079998729998</v>
      </c>
      <c r="AH19" s="1253">
        <f t="shared" si="7"/>
        <v>66.834999999999994</v>
      </c>
      <c r="AI19" s="1253">
        <f t="shared" si="8"/>
        <v>67.524000000000001</v>
      </c>
      <c r="AJ19" s="156">
        <f t="shared" si="9"/>
        <v>-8.6501690132550006</v>
      </c>
      <c r="AK19" s="156">
        <f t="shared" si="10"/>
        <v>62.731727660291043</v>
      </c>
      <c r="AM19" s="716">
        <f t="shared" si="11"/>
        <v>5342.9697401277617</v>
      </c>
      <c r="AN19" s="716" t="str">
        <f>_xlfn.XLOOKUP(D19,RUC!$B$3:$B$578,RUC!$M$3:$M$578)</f>
        <v>Richard Sapacayo</v>
      </c>
      <c r="AO19" s="1167" t="s">
        <v>2276</v>
      </c>
      <c r="AP19" s="1843">
        <v>179</v>
      </c>
      <c r="AQ19" s="1082" t="s">
        <v>5761</v>
      </c>
      <c r="AV19" s="1637"/>
      <c r="AW19" s="1234"/>
      <c r="AX19" s="1234"/>
      <c r="AY19" s="1235"/>
      <c r="AZ19" s="1236"/>
      <c r="BA19" s="1237"/>
      <c r="BB19" s="1237"/>
      <c r="BC19" s="1236"/>
      <c r="BD19" s="729"/>
    </row>
    <row r="20" spans="1:56" ht="15" customHeight="1">
      <c r="A20" s="1491" t="s">
        <v>5786</v>
      </c>
      <c r="C20" s="1447">
        <v>46169</v>
      </c>
      <c r="D20" t="s">
        <v>93</v>
      </c>
      <c r="E20" s="762">
        <f>_xlfn.XLOOKUP(D20,RUC!$B$3:$B$123,RUC!$D$3:$D$123)</f>
        <v>20169040231</v>
      </c>
      <c r="F20" s="629" t="s">
        <v>5807</v>
      </c>
      <c r="G20" s="762">
        <v>40</v>
      </c>
      <c r="H20" s="1082" t="s">
        <v>69</v>
      </c>
      <c r="I20" s="703">
        <v>4.04</v>
      </c>
      <c r="J20" s="596">
        <v>2.1</v>
      </c>
      <c r="K20" s="703">
        <f t="shared" si="0"/>
        <v>3.9550000000000001</v>
      </c>
      <c r="L20" s="1192">
        <v>0.08</v>
      </c>
      <c r="M20" s="994">
        <f>ROUND(+IF(L20&gt;_xlfn.XLOOKUP(AN20,RUC!M:M,RUC!K:K),L20*_xlfn.XLOOKUP(AN20,RUC!M:M,RUC!I:I),L20-_xlfn.XLOOKUP(AN20,RUC!M:M,RUC!J:J)),3)</f>
        <v>6.0999999999999999E-2</v>
      </c>
      <c r="N20" s="1196">
        <f t="shared" ref="N20:N25" si="22">+M20</f>
        <v>6.0999999999999999E-2</v>
      </c>
      <c r="O20" s="645">
        <f t="shared" si="21"/>
        <v>6.0999999999999999E-2</v>
      </c>
      <c r="P20" s="727">
        <v>90</v>
      </c>
      <c r="Q20" s="875">
        <v>93.24</v>
      </c>
      <c r="R20" s="706">
        <v>4426</v>
      </c>
      <c r="S20" s="765">
        <f>IF((_xlfn.XLOOKUP(D20,RUC!$B$3:$B$119,RUC!$E$3:$E$119)+ROUNDDOWN(O20,1)*100)&lt;95,95,((_xlfn.XLOOKUP(D20,RUC!$B$3:$B$119,RUC!$E$3:$E$119)+ROUNDDOWN(O20,1)*100)))</f>
        <v>95</v>
      </c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54">
        <v>35</v>
      </c>
      <c r="AA20" s="144">
        <f t="shared" si="2"/>
        <v>55</v>
      </c>
      <c r="AB20" s="145">
        <f t="shared" si="3"/>
        <v>95.238058620000018</v>
      </c>
      <c r="AC20" s="145">
        <f>+(S20-T20)*V20-'data 1'!$F$4</f>
        <v>24.718500000000006</v>
      </c>
      <c r="AD20" s="145">
        <f t="shared" si="4"/>
        <v>12.302937849599981</v>
      </c>
      <c r="AE20" s="145">
        <f t="shared" si="5"/>
        <v>-9.3734999999999999</v>
      </c>
      <c r="AF20" s="145">
        <f t="shared" si="6"/>
        <v>84.087162719280002</v>
      </c>
      <c r="AG20" s="772">
        <f t="shared" si="20"/>
        <v>128.73510056888</v>
      </c>
      <c r="AH20" s="1253">
        <f t="shared" si="7"/>
        <v>10.115</v>
      </c>
      <c r="AI20" s="1253">
        <f t="shared" si="8"/>
        <v>10.848000000000001</v>
      </c>
      <c r="AJ20" s="156">
        <f t="shared" si="9"/>
        <v>-0.4933365696</v>
      </c>
      <c r="AK20" s="156">
        <f t="shared" si="10"/>
        <v>7.4443691646024748</v>
      </c>
      <c r="AM20" s="716">
        <f t="shared" si="11"/>
        <v>376.66652184210005</v>
      </c>
      <c r="AN20" s="716" t="str">
        <f>_xlfn.XLOOKUP(D20,RUC!$B$3:$B$578,RUC!$M$3:$M$578)</f>
        <v>Ronald Miranda</v>
      </c>
      <c r="AO20" s="1167" t="s">
        <v>2276</v>
      </c>
      <c r="AP20" s="1843">
        <v>6779</v>
      </c>
      <c r="AQ20" s="1894" t="s">
        <v>5799</v>
      </c>
    </row>
    <row r="21" spans="1:56" ht="15" customHeight="1">
      <c r="A21" s="747" t="s">
        <v>5797</v>
      </c>
      <c r="B21" s="1447">
        <v>46175</v>
      </c>
      <c r="C21" s="1447">
        <v>46170</v>
      </c>
      <c r="D21" t="s">
        <v>2004</v>
      </c>
      <c r="E21" s="762">
        <f>_xlfn.XLOOKUP(D21,RUC!$B$3:$B$123,RUC!$D$3:$D$123)</f>
        <v>20612921866</v>
      </c>
      <c r="F21" s="629"/>
      <c r="G21" s="762" t="s">
        <v>2985</v>
      </c>
      <c r="H21" s="1082" t="s">
        <v>69</v>
      </c>
      <c r="I21" s="703">
        <v>24</v>
      </c>
      <c r="J21" s="596">
        <v>2.4</v>
      </c>
      <c r="K21" s="703">
        <f t="shared" si="0"/>
        <v>23.423999999999999</v>
      </c>
      <c r="L21" s="1192">
        <v>0.13500000000000001</v>
      </c>
      <c r="M21" s="994">
        <f>ROUND(+IF(L21&gt;_xlfn.XLOOKUP(AN21,RUC!M:M,RUC!K:K),L21*_xlfn.XLOOKUP(AN21,RUC!M:M,RUC!I:I),L21-_xlfn.XLOOKUP(AN21,RUC!M:M,RUC!J:J)),3)</f>
        <v>0.11600000000000001</v>
      </c>
      <c r="N21" s="1196">
        <f t="shared" si="22"/>
        <v>0.11600000000000001</v>
      </c>
      <c r="O21" s="645">
        <f t="shared" si="21"/>
        <v>0.11600000000000001</v>
      </c>
      <c r="P21" s="727">
        <v>90</v>
      </c>
      <c r="Q21" s="875">
        <v>94.81</v>
      </c>
      <c r="R21" s="706">
        <v>4419.45</v>
      </c>
      <c r="S21" s="765">
        <f>IF((_xlfn.XLOOKUP(D21,RUC!$B$3:$B$119,RUC!$E$3:$E$119)+ROUNDDOWN(O21,1)*100)&lt;95,95,((_xlfn.XLOOKUP(D21,RUC!$B$3:$B$119,RUC!$E$3:$E$119)+ROUNDDOWN(O21,1)*100)))</f>
        <v>95</v>
      </c>
      <c r="U21" s="1146">
        <f>_xlfn.XLOOKUP(D21,RUC!$B$3:$B$123,RUC!$F$3:$F$123)</f>
        <v>100</v>
      </c>
      <c r="V21" s="715">
        <v>1.1023000000000001</v>
      </c>
      <c r="Y21">
        <f>_xlfn.XLOOKUP(D21,RUC!$B$3:$B$123,RUC!$G$3:$G$123)</f>
        <v>0</v>
      </c>
      <c r="Z21" s="143">
        <f>_xlfn.XLOOKUP(D21,RUC!$B$3:$B$123,RUC!$H$3:$H$123)</f>
        <v>30</v>
      </c>
      <c r="AA21" s="144">
        <f t="shared" si="2"/>
        <v>30</v>
      </c>
      <c r="AB21" s="145">
        <f t="shared" si="3"/>
        <v>359.2953243340001</v>
      </c>
      <c r="AC21" s="145">
        <f>+(S21-T21)*V21-'data 1'!$F$4</f>
        <v>24.718500000000006</v>
      </c>
      <c r="AD21" s="145">
        <f t="shared" si="4"/>
        <v>30.917694634222517</v>
      </c>
      <c r="AE21" s="145">
        <f t="shared" si="5"/>
        <v>-36.930999999999997</v>
      </c>
      <c r="AF21" s="145">
        <f t="shared" si="6"/>
        <v>85.770117713316523</v>
      </c>
      <c r="AG21" s="772">
        <f t="shared" si="20"/>
        <v>121.47531234753905</v>
      </c>
      <c r="AH21" s="1253">
        <f t="shared" si="7"/>
        <v>102.792</v>
      </c>
      <c r="AI21" s="1253">
        <f t="shared" si="8"/>
        <v>108.419</v>
      </c>
      <c r="AJ21" s="156">
        <f t="shared" si="9"/>
        <v>-2.7441467217224744</v>
      </c>
      <c r="AK21" s="156">
        <f t="shared" si="10"/>
        <v>83.843737058926095</v>
      </c>
      <c r="AM21" s="716">
        <f t="shared" si="11"/>
        <v>8416.1336771996175</v>
      </c>
      <c r="AN21" s="716" t="str">
        <f>_xlfn.XLOOKUP(D21,RUC!$B$3:$B$578,RUC!$M$3:$M$578)</f>
        <v>Ronald Garibay</v>
      </c>
      <c r="AO21" s="1167" t="s">
        <v>2276</v>
      </c>
      <c r="AP21" s="1843">
        <v>482</v>
      </c>
      <c r="AQ21" s="1894" t="s">
        <v>2385</v>
      </c>
    </row>
    <row r="22" spans="1:56" ht="15" customHeight="1">
      <c r="A22" s="1819" t="s">
        <v>5821</v>
      </c>
      <c r="B22" s="1447">
        <v>46179</v>
      </c>
      <c r="C22" s="1447">
        <v>46172</v>
      </c>
      <c r="D22" t="s">
        <v>1484</v>
      </c>
      <c r="E22" s="762">
        <f>_xlfn.XLOOKUP(D22,RUC!$B$3:$B$123,RUC!$D$3:$D$123)</f>
        <v>10761932735</v>
      </c>
      <c r="F22" s="629" t="s">
        <v>5831</v>
      </c>
      <c r="G22" s="762">
        <v>33</v>
      </c>
      <c r="H22" s="1082" t="s">
        <v>69</v>
      </c>
      <c r="I22" s="703">
        <v>3.72</v>
      </c>
      <c r="J22" s="596">
        <v>5.8</v>
      </c>
      <c r="K22" s="703">
        <f t="shared" si="0"/>
        <v>3.504</v>
      </c>
      <c r="L22" s="1192">
        <v>0.153</v>
      </c>
      <c r="M22" s="994">
        <f>ROUND(+IF(L22&gt;_xlfn.XLOOKUP(AN22,RUC!M:M,RUC!K:K),L22*_xlfn.XLOOKUP(AN22,RUC!M:M,RUC!I:I),L22-_xlfn.XLOOKUP(AN22,RUC!M:M,RUC!J:J)),3)</f>
        <v>0.11799999999999999</v>
      </c>
      <c r="N22" s="1196">
        <f t="shared" si="22"/>
        <v>0.11799999999999999</v>
      </c>
      <c r="O22" s="645">
        <f t="shared" si="21"/>
        <v>0.11799999999999999</v>
      </c>
      <c r="P22" s="727">
        <v>33</v>
      </c>
      <c r="Q22" s="1897">
        <v>34.64</v>
      </c>
      <c r="R22" s="706">
        <v>4545.95</v>
      </c>
      <c r="S22" s="765">
        <f>IF((_xlfn.XLOOKUP(D22,RUC!$B$3:$B$119,RUC!$E$3:$E$119)+ROUNDDOWN(O22,1)*100)&lt;95,95,((_xlfn.XLOOKUP(D22,RUC!$B$3:$B$119,RUC!$E$3:$E$119)+ROUNDDOWN(O22,1)*100)))</f>
        <v>100</v>
      </c>
      <c r="U22" s="1146">
        <f>_xlfn.XLOOKUP(D22,RUC!$B$3:$B$123,RUC!$F$3:$F$123)</f>
        <v>120</v>
      </c>
      <c r="V22" s="715">
        <v>1.1023000000000001</v>
      </c>
      <c r="Y22">
        <f>_xlfn.XLOOKUP(D22,RUC!$B$3:$B$123,RUC!$G$3:$G$123)</f>
        <v>20</v>
      </c>
      <c r="Z22" s="143">
        <f>_xlfn.XLOOKUP(D22,RUC!$B$3:$B$123,RUC!$H$3:$H$123)</f>
        <v>30</v>
      </c>
      <c r="AA22" s="144">
        <f t="shared" si="2"/>
        <v>50</v>
      </c>
      <c r="AB22" s="145">
        <f t="shared" si="3"/>
        <v>24.63253923389998</v>
      </c>
      <c r="AC22" s="145">
        <f>+(S22-T22)*V22-'data 1'!$F$4</f>
        <v>30.230000000000004</v>
      </c>
      <c r="AD22" s="145">
        <f t="shared" si="4"/>
        <v>12.241695979602003</v>
      </c>
      <c r="AE22" s="145">
        <f t="shared" si="5"/>
        <v>-14.884999999999998</v>
      </c>
      <c r="AF22" s="145">
        <f t="shared" si="6"/>
        <v>59.149658080940007</v>
      </c>
      <c r="AG22" s="772">
        <f t="shared" si="20"/>
        <v>103.736354060542</v>
      </c>
      <c r="AH22" s="1253">
        <f t="shared" si="7"/>
        <v>6.367</v>
      </c>
      <c r="AI22" s="1253">
        <f t="shared" si="8"/>
        <v>18.381</v>
      </c>
      <c r="AJ22" s="156">
        <f t="shared" si="9"/>
        <v>-7.3581272372519901</v>
      </c>
      <c r="AK22" s="156">
        <f t="shared" si="10"/>
        <v>4.6780958293771677</v>
      </c>
      <c r="AM22" s="716">
        <f t="shared" si="11"/>
        <v>86.312417475585534</v>
      </c>
      <c r="AN22" s="716" t="str">
        <f>_xlfn.XLOOKUP(D22,RUC!$B$3:$B$578,RUC!$M$3:$M$578)</f>
        <v>Richard Sapacayo</v>
      </c>
      <c r="AO22" s="1167" t="s">
        <v>2276</v>
      </c>
      <c r="AP22" s="1843" t="s">
        <v>3601</v>
      </c>
      <c r="AQ22" s="1082" t="s">
        <v>5859</v>
      </c>
    </row>
    <row r="23" spans="1:56" ht="15" customHeight="1">
      <c r="A23" s="1819" t="s">
        <v>5822</v>
      </c>
      <c r="B23" s="1447">
        <v>46179</v>
      </c>
      <c r="C23" s="1447">
        <v>46172</v>
      </c>
      <c r="D23" t="s">
        <v>1484</v>
      </c>
      <c r="E23" s="762">
        <f>_xlfn.XLOOKUP(D23,RUC!$B$3:$B$123,RUC!$D$3:$D$123)</f>
        <v>10761932735</v>
      </c>
      <c r="F23" s="629" t="s">
        <v>5831</v>
      </c>
      <c r="G23" s="762">
        <v>38</v>
      </c>
      <c r="H23" s="1082" t="s">
        <v>69</v>
      </c>
      <c r="I23" s="703">
        <v>3.87</v>
      </c>
      <c r="J23" s="596">
        <v>3.5</v>
      </c>
      <c r="K23" s="703">
        <f t="shared" si="0"/>
        <v>3.7349999999999999</v>
      </c>
      <c r="L23" s="1192">
        <v>0.161</v>
      </c>
      <c r="M23" s="994">
        <f>ROUND(+IF(L23&gt;_xlfn.XLOOKUP(AN23,RUC!M:M,RUC!K:K),L23*_xlfn.XLOOKUP(AN23,RUC!M:M,RUC!I:I),L23-_xlfn.XLOOKUP(AN23,RUC!M:M,RUC!J:J)),3)</f>
        <v>0.126</v>
      </c>
      <c r="N23" s="1196">
        <f t="shared" si="22"/>
        <v>0.126</v>
      </c>
      <c r="O23" s="645">
        <f t="shared" si="21"/>
        <v>0.126</v>
      </c>
      <c r="P23" s="727">
        <v>30</v>
      </c>
      <c r="Q23" s="1897">
        <v>31.68</v>
      </c>
      <c r="R23" s="706">
        <v>4545.95</v>
      </c>
      <c r="S23" s="765">
        <f>IF((_xlfn.XLOOKUP(D23,RUC!$B$3:$B$119,RUC!$E$3:$E$119)+ROUNDDOWN(O23,1)*100)&lt;95,95,((_xlfn.XLOOKUP(D23,RUC!$B$3:$B$119,RUC!$E$3:$E$119)+ROUNDDOWN(O23,1)*100)))</f>
        <v>100</v>
      </c>
      <c r="U23" s="1146">
        <f>_xlfn.XLOOKUP(D23,RUC!$B$3:$B$123,RUC!$F$3:$F$123)</f>
        <v>120</v>
      </c>
      <c r="V23" s="715">
        <v>1.1023000000000001</v>
      </c>
      <c r="Y23">
        <f>_xlfn.XLOOKUP(D23,RUC!$B$3:$B$123,RUC!$G$3:$G$123)</f>
        <v>20</v>
      </c>
      <c r="Z23" s="143">
        <f>_xlfn.XLOOKUP(D23,RUC!$B$3:$B$123,RUC!$H$3:$H$123)</f>
        <v>30</v>
      </c>
      <c r="AA23" s="144">
        <f t="shared" si="2"/>
        <v>50</v>
      </c>
      <c r="AB23" s="145">
        <f t="shared" si="3"/>
        <v>19.07079309300002</v>
      </c>
      <c r="AC23" s="145">
        <f>+(S23-T23)*V23-'data 1'!$F$4</f>
        <v>30.230000000000004</v>
      </c>
      <c r="AD23" s="145">
        <f t="shared" si="4"/>
        <v>13.195974527987998</v>
      </c>
      <c r="AE23" s="145">
        <f t="shared" si="5"/>
        <v>-14.884999999999998</v>
      </c>
      <c r="AF23" s="145">
        <f t="shared" si="6"/>
        <v>54.095299307280008</v>
      </c>
      <c r="AG23" s="772">
        <f t="shared" si="20"/>
        <v>99.636273835268014</v>
      </c>
      <c r="AH23" s="1253">
        <f t="shared" si="7"/>
        <v>6.5309999999999997</v>
      </c>
      <c r="AI23" s="1253">
        <f t="shared" si="8"/>
        <v>20.617000000000001</v>
      </c>
      <c r="AJ23" s="156">
        <f t="shared" si="9"/>
        <v>-7.0812353414879912</v>
      </c>
      <c r="AK23" s="156">
        <f t="shared" si="10"/>
        <v>4.8405139410631497</v>
      </c>
      <c r="AM23" s="716">
        <f t="shared" si="11"/>
        <v>71.229412202355078</v>
      </c>
      <c r="AN23" s="716" t="str">
        <f>_xlfn.XLOOKUP(D23,RUC!$B$3:$B$578,RUC!$M$3:$M$578)</f>
        <v>Richard Sapacayo</v>
      </c>
      <c r="AO23" s="1167" t="s">
        <v>2276</v>
      </c>
      <c r="AP23" s="1843" t="s">
        <v>3601</v>
      </c>
      <c r="AQ23" s="1082" t="s">
        <v>5859</v>
      </c>
    </row>
    <row r="24" spans="1:56" ht="15" customHeight="1">
      <c r="A24" s="1819" t="s">
        <v>5823</v>
      </c>
      <c r="B24" s="1447">
        <v>46179</v>
      </c>
      <c r="C24" s="1447">
        <v>46172</v>
      </c>
      <c r="D24" t="s">
        <v>1484</v>
      </c>
      <c r="E24" s="762">
        <f>_xlfn.XLOOKUP(D24,RUC!$B$3:$B$123,RUC!$D$3:$D$123)</f>
        <v>10761932735</v>
      </c>
      <c r="F24" s="629" t="s">
        <v>5832</v>
      </c>
      <c r="G24" s="762">
        <v>15</v>
      </c>
      <c r="H24" s="1082" t="s">
        <v>69</v>
      </c>
      <c r="I24" s="703">
        <v>1.49</v>
      </c>
      <c r="J24" s="596">
        <v>3.1</v>
      </c>
      <c r="K24" s="703">
        <f t="shared" si="0"/>
        <v>1.444</v>
      </c>
      <c r="L24" s="1192">
        <v>0.158</v>
      </c>
      <c r="M24" s="994">
        <f>ROUND(+IF(L24&gt;_xlfn.XLOOKUP(AN24,RUC!M:M,RUC!K:K),L24*_xlfn.XLOOKUP(AN24,RUC!M:M,RUC!I:I),L24-_xlfn.XLOOKUP(AN24,RUC!M:M,RUC!J:J)),3)</f>
        <v>0.123</v>
      </c>
      <c r="N24" s="1196">
        <f t="shared" si="22"/>
        <v>0.123</v>
      </c>
      <c r="O24" s="645">
        <f t="shared" si="21"/>
        <v>0.123</v>
      </c>
      <c r="P24" s="727">
        <v>28</v>
      </c>
      <c r="Q24" s="1897">
        <v>28.48</v>
      </c>
      <c r="R24" s="706">
        <v>4545.95</v>
      </c>
      <c r="S24" s="765">
        <f>IF((_xlfn.XLOOKUP(D24,RUC!$B$3:$B$119,RUC!$E$3:$E$119)+ROUNDDOWN(O24,1)*100)&lt;95,95,((_xlfn.XLOOKUP(D24,RUC!$B$3:$B$119,RUC!$E$3:$E$119)+ROUNDDOWN(O24,1)*100)))</f>
        <v>100</v>
      </c>
      <c r="U24" s="1146">
        <f>_xlfn.XLOOKUP(D24,RUC!$B$3:$B$123,RUC!$F$3:$F$123)</f>
        <v>120</v>
      </c>
      <c r="V24" s="715">
        <v>1.1023000000000001</v>
      </c>
      <c r="Y24">
        <f>_xlfn.XLOOKUP(D24,RUC!$B$3:$B$123,RUC!$G$3:$G$123)</f>
        <v>20</v>
      </c>
      <c r="Z24" s="143">
        <f>_xlfn.XLOOKUP(D24,RUC!$B$3:$B$123,RUC!$H$3:$H$123)</f>
        <v>30</v>
      </c>
      <c r="AA24" s="144">
        <f t="shared" si="2"/>
        <v>50</v>
      </c>
      <c r="AB24" s="145">
        <f t="shared" si="3"/>
        <v>2.678278151399978</v>
      </c>
      <c r="AC24" s="145">
        <f>+(S24-T24)*V24-'data 1'!$F$4</f>
        <v>30.230000000000004</v>
      </c>
      <c r="AD24" s="145">
        <f t="shared" si="4"/>
        <v>3.7000248011040036</v>
      </c>
      <c r="AE24" s="145">
        <f t="shared" si="5"/>
        <v>-14.884999999999998</v>
      </c>
      <c r="AF24" s="145">
        <f t="shared" si="6"/>
        <v>48.631127660080011</v>
      </c>
      <c r="AG24" s="772">
        <f t="shared" si="20"/>
        <v>84.676152461184017</v>
      </c>
      <c r="AH24" s="1253">
        <f t="shared" si="7"/>
        <v>2.2280000000000002</v>
      </c>
      <c r="AI24" s="1253">
        <f t="shared" si="8"/>
        <v>7.8220000000000001</v>
      </c>
      <c r="AJ24" s="156">
        <f t="shared" si="9"/>
        <v>-6.24733868950399</v>
      </c>
      <c r="AK24" s="156">
        <f t="shared" si="10"/>
        <v>1.705058975854248</v>
      </c>
      <c r="AM24" s="716">
        <f t="shared" si="11"/>
        <v>3.8674336506215683</v>
      </c>
      <c r="AN24" s="716" t="str">
        <f>_xlfn.XLOOKUP(D24,RUC!$B$3:$B$578,RUC!$M$3:$M$578)</f>
        <v>Richard Sapacayo</v>
      </c>
      <c r="AO24" s="1167" t="s">
        <v>2276</v>
      </c>
      <c r="AP24" s="1843" t="s">
        <v>3601</v>
      </c>
      <c r="AQ24" s="1082" t="s">
        <v>5859</v>
      </c>
      <c r="BA24" s="1482"/>
    </row>
    <row r="25" spans="1:56" ht="15" customHeight="1" thickBot="1">
      <c r="A25" s="1819" t="s">
        <v>5824</v>
      </c>
      <c r="B25" s="1447">
        <v>46179</v>
      </c>
      <c r="C25" s="1447">
        <v>46172</v>
      </c>
      <c r="D25" t="s">
        <v>1484</v>
      </c>
      <c r="E25" s="762">
        <f>_xlfn.XLOOKUP(D25,RUC!$B$3:$B$123,RUC!$D$3:$D$123)</f>
        <v>10761932735</v>
      </c>
      <c r="F25" s="629" t="s">
        <v>5832</v>
      </c>
      <c r="G25" s="762">
        <v>19</v>
      </c>
      <c r="H25" s="1082" t="s">
        <v>69</v>
      </c>
      <c r="I25" s="703">
        <v>2.08</v>
      </c>
      <c r="J25" s="596">
        <v>4.75</v>
      </c>
      <c r="K25" s="703">
        <f t="shared" si="0"/>
        <v>1.9810000000000001</v>
      </c>
      <c r="L25" s="1192">
        <v>0.17399999999999999</v>
      </c>
      <c r="M25" s="994">
        <f>ROUND(+IF(L25&gt;_xlfn.XLOOKUP(AN25,RUC!M:M,RUC!K:K),L25*_xlfn.XLOOKUP(AN25,RUC!M:M,RUC!I:I),L25-_xlfn.XLOOKUP(AN25,RUC!M:M,RUC!J:J)),3)</f>
        <v>0.13900000000000001</v>
      </c>
      <c r="N25" s="1196">
        <f t="shared" si="22"/>
        <v>0.13900000000000001</v>
      </c>
      <c r="O25" s="645">
        <f t="shared" si="21"/>
        <v>0.13900000000000001</v>
      </c>
      <c r="P25" s="727">
        <v>23</v>
      </c>
      <c r="Q25" s="1897">
        <v>24.14</v>
      </c>
      <c r="R25" s="706">
        <v>4545.95</v>
      </c>
      <c r="S25" s="765">
        <f>IF((_xlfn.XLOOKUP(D25,RUC!$B$3:$B$119,RUC!$E$3:$E$119)+ROUNDDOWN(O25,1)*100)&lt;95,95,((_xlfn.XLOOKUP(D25,RUC!$B$3:$B$119,RUC!$E$3:$E$119)+ROUNDDOWN(O25,1)*100)))</f>
        <v>100</v>
      </c>
      <c r="U25" s="1146">
        <f>_xlfn.XLOOKUP(D25,RUC!$B$3:$B$123,RUC!$F$3:$F$123)</f>
        <v>120</v>
      </c>
      <c r="V25" s="715">
        <v>1.1023000000000001</v>
      </c>
      <c r="Y25">
        <f>_xlfn.XLOOKUP(D25,RUC!$B$3:$B$123,RUC!$G$3:$G$123)</f>
        <v>20</v>
      </c>
      <c r="Z25" s="143">
        <f>_xlfn.XLOOKUP(D25,RUC!$B$3:$B$123,RUC!$H$3:$H$123)</f>
        <v>30</v>
      </c>
      <c r="AA25" s="144">
        <f t="shared" si="2"/>
        <v>50</v>
      </c>
      <c r="AB25" s="145">
        <v>1E-3</v>
      </c>
      <c r="AC25" s="145">
        <f>+(S25-T25)*V25-'data 1'!$F$4</f>
        <v>30.230000000000004</v>
      </c>
      <c r="AD25" s="145">
        <f t="shared" si="4"/>
        <v>9.677438285166005</v>
      </c>
      <c r="AE25" s="145">
        <f t="shared" si="5"/>
        <v>-14.884999999999998</v>
      </c>
      <c r="AF25" s="145">
        <f t="shared" si="6"/>
        <v>41.220344863564975</v>
      </c>
      <c r="AG25" s="772">
        <f>AC25+AD25+AE25+AF25+70-53-0.37</f>
        <v>82.872783148730974</v>
      </c>
      <c r="AH25" s="1253">
        <f t="shared" si="7"/>
        <v>2.8530000000000002</v>
      </c>
      <c r="AI25" s="1253">
        <f t="shared" si="8"/>
        <v>11.818</v>
      </c>
      <c r="AJ25" s="156">
        <f t="shared" si="9"/>
        <v>-5.8315565748659912</v>
      </c>
      <c r="AK25" s="156">
        <f t="shared" si="10"/>
        <v>2.171381738653789</v>
      </c>
      <c r="AM25" s="716">
        <f t="shared" si="11"/>
        <v>1.9810000000000001E-3</v>
      </c>
      <c r="AN25" s="716" t="str">
        <f>_xlfn.XLOOKUP(D25,RUC!$B$3:$B$578,RUC!$M$3:$M$578)</f>
        <v>Richard Sapacayo</v>
      </c>
      <c r="AO25" s="1167" t="s">
        <v>2276</v>
      </c>
      <c r="AP25" s="1843" t="s">
        <v>3601</v>
      </c>
      <c r="AQ25" s="1082" t="s">
        <v>5859</v>
      </c>
      <c r="BA25" s="1482"/>
    </row>
    <row r="26" spans="1:56" ht="15" customHeight="1" thickBot="1">
      <c r="A26" s="747" t="s">
        <v>5834</v>
      </c>
      <c r="B26" s="1447">
        <v>46176</v>
      </c>
      <c r="C26" s="1447">
        <v>46172</v>
      </c>
      <c r="D26" t="s">
        <v>2004</v>
      </c>
      <c r="E26" s="762">
        <f>_xlfn.XLOOKUP(D26,RUC!$B$3:$B$123,RUC!$D$3:$D$123)</f>
        <v>20612921866</v>
      </c>
      <c r="G26" s="762" t="s">
        <v>2985</v>
      </c>
      <c r="H26" s="1082" t="s">
        <v>69</v>
      </c>
      <c r="I26" s="703">
        <v>22.65</v>
      </c>
      <c r="J26" s="596">
        <v>2</v>
      </c>
      <c r="K26" s="703">
        <f t="shared" si="0"/>
        <v>22.196999999999999</v>
      </c>
      <c r="L26" s="1192">
        <v>0.13200000000000001</v>
      </c>
      <c r="M26" s="994">
        <f>ROUND(+IF(L26&gt;_xlfn.XLOOKUP(AN26,RUC!M:M,RUC!K:K),L26*_xlfn.XLOOKUP(AN26,RUC!M:M,RUC!I:I),L26-_xlfn.XLOOKUP(AN26,RUC!M:M,RUC!J:J)),3)</f>
        <v>0.113</v>
      </c>
      <c r="N26" s="1444">
        <v>0.16600000000000001</v>
      </c>
      <c r="O26" s="645">
        <f t="shared" si="21"/>
        <v>0.14000000000000001</v>
      </c>
      <c r="P26" s="727">
        <v>90</v>
      </c>
      <c r="Q26" s="875">
        <v>90.91</v>
      </c>
      <c r="R26" s="706">
        <v>4545.95</v>
      </c>
      <c r="S26" s="765">
        <f>IF((_xlfn.XLOOKUP(D26,RUC!$B$3:$B$119,RUC!$E$3:$E$119)+ROUNDDOWN(O26,1)*100)&lt;95,95,((_xlfn.XLOOKUP(D26,RUC!$B$3:$B$119,RUC!$E$3:$E$119)+ROUNDDOWN(O26,1)*100)))</f>
        <v>95</v>
      </c>
      <c r="U26" s="1146">
        <f>_xlfn.XLOOKUP(D26,RUC!$B$3:$B$123,RUC!$F$3:$F$123)</f>
        <v>100</v>
      </c>
      <c r="V26" s="715">
        <v>1.1023000000000001</v>
      </c>
      <c r="Y26">
        <f>_xlfn.XLOOKUP(D26,RUC!$B$3:$B$123,RUC!$G$3:$G$123)</f>
        <v>0</v>
      </c>
      <c r="Z26" s="143">
        <f>_xlfn.XLOOKUP(D26,RUC!$B$3:$B$123,RUC!$H$3:$H$123)</f>
        <v>30</v>
      </c>
      <c r="AA26" s="144">
        <f t="shared" si="2"/>
        <v>30</v>
      </c>
      <c r="AB26" s="145">
        <f>+((O26*P26*(R26-U26)/100)-S26-AA26+T26)*V26</f>
        <v>479.70960631000003</v>
      </c>
      <c r="AC26" s="145">
        <f>+(S26-T26)*V26-'data 1'!$F$4</f>
        <v>24.718500000000006</v>
      </c>
      <c r="AD26" s="145">
        <f t="shared" si="4"/>
        <v>5.8868057468219774</v>
      </c>
      <c r="AE26" s="145">
        <f t="shared" si="5"/>
        <v>-36.930999999999997</v>
      </c>
      <c r="AF26" s="145">
        <f t="shared" si="6"/>
        <v>-35.642325037868027</v>
      </c>
      <c r="AG26" s="772">
        <f>AC26+AD26+AE26+AF26+70-10</f>
        <v>18.031980708953959</v>
      </c>
      <c r="AH26" s="1253">
        <f t="shared" si="7"/>
        <v>91.325000000000003</v>
      </c>
      <c r="AI26" s="1253">
        <f t="shared" si="8"/>
        <v>100.456</v>
      </c>
      <c r="AJ26" s="156">
        <f t="shared" si="9"/>
        <v>-19.305875256821977</v>
      </c>
      <c r="AK26" s="156">
        <f t="shared" si="10"/>
        <v>95.890127576777104</v>
      </c>
      <c r="AM26" s="716">
        <f t="shared" si="11"/>
        <v>10648.11413126307</v>
      </c>
      <c r="AN26" s="716" t="str">
        <f>_xlfn.XLOOKUP(D26,RUC!$B$3:$B$578,RUC!$M$3:$M$578)</f>
        <v>Ronald Garibay</v>
      </c>
      <c r="AO26" s="1167" t="s">
        <v>2276</v>
      </c>
      <c r="AP26" s="1082" t="s">
        <v>4100</v>
      </c>
      <c r="AQ26" s="1082" t="s">
        <v>5860</v>
      </c>
      <c r="AV26" s="1982" t="s">
        <v>6092</v>
      </c>
      <c r="AW26" s="1983"/>
      <c r="AX26" s="1983"/>
      <c r="AY26" s="1983"/>
      <c r="AZ26" s="1983"/>
      <c r="BA26" s="1984"/>
    </row>
    <row r="27" spans="1:56" ht="15" customHeight="1">
      <c r="A27" s="747" t="s">
        <v>5843</v>
      </c>
      <c r="B27" s="1447">
        <v>46181</v>
      </c>
      <c r="C27" s="1447">
        <v>46173</v>
      </c>
      <c r="D27" t="s">
        <v>5442</v>
      </c>
      <c r="E27" s="762">
        <f>_xlfn.XLOOKUP(D27,RUC!$B$3:$B$123,RUC!$D$3:$D$123)</f>
        <v>20606562480</v>
      </c>
      <c r="F27" s="629" t="s">
        <v>5882</v>
      </c>
      <c r="G27" s="762">
        <v>26</v>
      </c>
      <c r="H27" s="1082" t="s">
        <v>116</v>
      </c>
      <c r="I27" s="703">
        <v>1.65</v>
      </c>
      <c r="J27" s="596">
        <v>10.5</v>
      </c>
      <c r="K27" s="703">
        <f t="shared" si="0"/>
        <v>1.4770000000000001</v>
      </c>
      <c r="L27" s="1192">
        <v>0.13200000000000001</v>
      </c>
      <c r="M27" s="994">
        <f>ROUND(+IF(L27&gt;_xlfn.XLOOKUP(AN27,RUC!M:M,RUC!K:K),L27*_xlfn.XLOOKUP(AN27,RUC!M:M,RUC!I:I),L27-_xlfn.XLOOKUP(AN27,RUC!M:M,RUC!J:J)),3)</f>
        <v>0.113</v>
      </c>
      <c r="N27" s="1196">
        <f>+M27</f>
        <v>0.113</v>
      </c>
      <c r="O27" s="645">
        <f t="shared" si="21"/>
        <v>0.113</v>
      </c>
      <c r="P27" s="727">
        <v>80</v>
      </c>
      <c r="Q27" s="1899">
        <v>83.97</v>
      </c>
      <c r="R27" s="706">
        <v>4449.3</v>
      </c>
      <c r="S27" s="765">
        <f>IF((_xlfn.XLOOKUP(D27,RUC!$B$3:$B$119,RUC!$E$3:$E$119)+ROUNDDOWN(O27,1)*100)&lt;95,95,((_xlfn.XLOOKUP(D27,RUC!$B$3:$B$119,RUC!$E$3:$E$119)+ROUNDDOWN(O27,1)*100)))</f>
        <v>95</v>
      </c>
      <c r="U27" s="1146">
        <f>_xlfn.XLOOKUP(D27,RUC!$B$3:$B$123,RUC!$F$3:$F$123)</f>
        <v>120</v>
      </c>
      <c r="V27" s="715">
        <v>1.1023000000000001</v>
      </c>
      <c r="Y27">
        <f>_xlfn.XLOOKUP(D27,RUC!$B$3:$B$123,RUC!$G$3:$G$123)</f>
        <v>20</v>
      </c>
      <c r="Z27" s="143">
        <f>_xlfn.XLOOKUP(D27,RUC!$B$3:$B$123,RUC!$H$3:$H$123)</f>
        <v>35</v>
      </c>
      <c r="AA27" s="144">
        <f t="shared" si="2"/>
        <v>55</v>
      </c>
      <c r="AB27" s="145">
        <f>+((O27*P27*(R27-U27)/100)-S27-AA27+T27)*V27</f>
        <v>266.0607400560001</v>
      </c>
      <c r="AC27" s="145">
        <f>+(S27-T27)*V27-'data 1'!$F$4</f>
        <v>24.718500000000006</v>
      </c>
      <c r="AD27" s="145">
        <f t="shared" si="4"/>
        <v>25.008170798555998</v>
      </c>
      <c r="AE27" s="145">
        <f t="shared" si="5"/>
        <v>-9.3734999999999999</v>
      </c>
      <c r="AF27" s="145">
        <f t="shared" si="6"/>
        <v>76.136909276277024</v>
      </c>
      <c r="AG27" s="772">
        <f>AC27+AD27+AE27+AF27+70-53</f>
        <v>133.49008007483303</v>
      </c>
      <c r="AH27" s="1253">
        <f t="shared" si="7"/>
        <v>5.6130000000000004</v>
      </c>
      <c r="AI27" s="1253">
        <f t="shared" si="8"/>
        <v>6.6840000000000002</v>
      </c>
      <c r="AJ27" s="156">
        <f t="shared" si="9"/>
        <v>-3.5798556265560224</v>
      </c>
      <c r="AK27" s="156">
        <f t="shared" si="10"/>
        <v>4.5778124407464409</v>
      </c>
      <c r="AM27" s="716">
        <f t="shared" si="11"/>
        <v>392.97171306271218</v>
      </c>
      <c r="AN27" s="716" t="str">
        <f>_xlfn.XLOOKUP(D27,RUC!$B$3:$B$578,RUC!$M$3:$M$578)</f>
        <v>Ronald Miranda</v>
      </c>
      <c r="AO27" s="1167" t="s">
        <v>2276</v>
      </c>
      <c r="AP27" s="1082" t="s">
        <v>4944</v>
      </c>
      <c r="AQ27" s="1082" t="s">
        <v>5862</v>
      </c>
      <c r="BA27" s="1482">
        <f>SUM(BA29:BA38)</f>
        <v>0</v>
      </c>
    </row>
    <row r="28" spans="1:56" ht="15" customHeight="1" thickBot="1">
      <c r="A28" s="1819" t="s">
        <v>5852</v>
      </c>
      <c r="B28" s="1939">
        <v>46188</v>
      </c>
      <c r="C28" s="1447">
        <v>46173</v>
      </c>
      <c r="D28" t="s">
        <v>5845</v>
      </c>
      <c r="E28" s="762">
        <f>_xlfn.XLOOKUP(D28,RUC!$B$3:$B$123,RUC!$D$3:$D$123)</f>
        <v>10473594281</v>
      </c>
      <c r="F28" s="629" t="s">
        <v>5885</v>
      </c>
      <c r="G28" s="762">
        <v>46</v>
      </c>
      <c r="H28" s="1082" t="s">
        <v>69</v>
      </c>
      <c r="I28" s="703">
        <v>3.83</v>
      </c>
      <c r="J28" s="596">
        <v>7.75</v>
      </c>
      <c r="K28" s="703">
        <f t="shared" si="0"/>
        <v>3.5329999999999999</v>
      </c>
      <c r="L28" s="1192">
        <v>0.129</v>
      </c>
      <c r="M28" s="994">
        <f>ROUND(+IF(L28&gt;_xlfn.XLOOKUP(AN28,RUC!M:M,RUC!K:K),L28*_xlfn.XLOOKUP(AN28,RUC!M:M,RUC!I:I),L28-_xlfn.XLOOKUP(AN28,RUC!M:M,RUC!J:J)),3)</f>
        <v>9.4E-2</v>
      </c>
      <c r="N28" s="1444">
        <v>0.14099999999999999</v>
      </c>
      <c r="O28" s="645">
        <f t="shared" si="21"/>
        <v>0.11799999999999999</v>
      </c>
      <c r="P28" s="727">
        <v>80</v>
      </c>
      <c r="Q28" s="875">
        <v>96.9</v>
      </c>
      <c r="R28" s="706">
        <v>4449.3</v>
      </c>
      <c r="S28" s="765">
        <f>IF((_xlfn.XLOOKUP(D28,RUC!$B$3:$B$119,RUC!$E$3:$E$119)+ROUNDDOWN(O28,1)*100)&lt;95,95,((_xlfn.XLOOKUP(D28,RUC!$B$3:$B$119,RUC!$E$3:$E$119)+ROUNDDOWN(O28,1)*100)))</f>
        <v>100</v>
      </c>
      <c r="U28" s="1146">
        <f>_xlfn.XLOOKUP(D28,RUC!$B$3:$B$123,RUC!$F$3:$F$123)</f>
        <v>120</v>
      </c>
      <c r="V28" s="715">
        <v>1.1023000000000001</v>
      </c>
      <c r="Y28">
        <f>_xlfn.XLOOKUP(D28,RUC!$B$3:$B$123,RUC!$G$3:$G$123)</f>
        <v>20</v>
      </c>
      <c r="Z28" s="143">
        <f>_xlfn.XLOOKUP(D28,RUC!$B$3:$B$123,RUC!$H$3:$H$123)</f>
        <v>30</v>
      </c>
      <c r="AA28" s="144">
        <f t="shared" si="2"/>
        <v>50</v>
      </c>
      <c r="AB28" s="145">
        <f>+((O28*P28*(R28-U28)/100)-S28-AA28+T28)*V28</f>
        <v>285.14948961599998</v>
      </c>
      <c r="AC28" s="145">
        <f>+(S28-T28)*V28-'data 1'!$F$4</f>
        <v>30.230000000000004</v>
      </c>
      <c r="AD28" s="145">
        <f t="shared" si="4"/>
        <v>104.03845728939004</v>
      </c>
      <c r="AE28" s="145">
        <f t="shared" si="5"/>
        <v>-14.884999999999998</v>
      </c>
      <c r="AF28" s="145">
        <f t="shared" si="6"/>
        <v>50.866745390010053</v>
      </c>
      <c r="AG28" s="772">
        <f>AC28+AD28+AE28+AF28+70-53</f>
        <v>187.2502026794001</v>
      </c>
      <c r="AH28" s="1253">
        <f t="shared" si="7"/>
        <v>15.141</v>
      </c>
      <c r="AI28" s="1253">
        <f t="shared" si="8"/>
        <v>15.625999999999999</v>
      </c>
      <c r="AJ28" s="156">
        <f t="shared" si="9"/>
        <v>-4.0372060473900255</v>
      </c>
      <c r="AK28" s="156">
        <f t="shared" si="10"/>
        <v>11.43469805257336</v>
      </c>
      <c r="AM28" s="716">
        <f t="shared" si="11"/>
        <v>1007.4331468133279</v>
      </c>
      <c r="AN28" s="716" t="str">
        <f>_xlfn.XLOOKUP(D28,RUC!$B$3:$B$578,RUC!$M$3:$M$578)</f>
        <v>Richard Sapacayo</v>
      </c>
      <c r="AO28" s="1167" t="s">
        <v>2276</v>
      </c>
      <c r="AP28" s="1082" t="s">
        <v>4988</v>
      </c>
      <c r="AQ28" s="1082" t="s">
        <v>2870</v>
      </c>
      <c r="AV28" s="762"/>
      <c r="AW28" s="762" t="s">
        <v>15</v>
      </c>
      <c r="AX28" s="762" t="s">
        <v>2522</v>
      </c>
      <c r="AY28" s="762" t="s">
        <v>2558</v>
      </c>
      <c r="AZ28" s="1483" t="s">
        <v>2598</v>
      </c>
      <c r="BA28" s="762" t="s">
        <v>2559</v>
      </c>
    </row>
    <row r="29" spans="1:56" ht="15" customHeight="1">
      <c r="A29" s="1491" t="s">
        <v>5854</v>
      </c>
      <c r="B29" s="1939">
        <v>46188</v>
      </c>
      <c r="C29" s="1447">
        <v>46173</v>
      </c>
      <c r="D29" t="s">
        <v>5845</v>
      </c>
      <c r="E29" s="762">
        <f>_xlfn.XLOOKUP(D29,RUC!$B$3:$B$123,RUC!$D$3:$D$123)</f>
        <v>10473594281</v>
      </c>
      <c r="F29" s="629" t="s">
        <v>5886</v>
      </c>
      <c r="G29" s="762">
        <v>91</v>
      </c>
      <c r="H29" s="1082" t="s">
        <v>69</v>
      </c>
      <c r="I29" s="703">
        <v>9.67</v>
      </c>
      <c r="J29" s="596">
        <v>10.45</v>
      </c>
      <c r="K29" s="703">
        <f t="shared" si="0"/>
        <v>8.6590000000000007</v>
      </c>
      <c r="L29" s="1192">
        <v>8.4000000000000005E-2</v>
      </c>
      <c r="M29" s="994">
        <f>ROUND(+IF(L29&gt;_xlfn.XLOOKUP(AN29,RUC!M:M,RUC!K:K),L29*_xlfn.XLOOKUP(AN29,RUC!M:M,RUC!I:I),L29-_xlfn.XLOOKUP(AN29,RUC!M:M,RUC!J:J)),3)</f>
        <v>4.9000000000000002E-2</v>
      </c>
      <c r="N29" s="1196">
        <f>+M29</f>
        <v>4.9000000000000002E-2</v>
      </c>
      <c r="O29" s="645">
        <f t="shared" si="21"/>
        <v>4.9000000000000002E-2</v>
      </c>
      <c r="P29" s="727">
        <v>80</v>
      </c>
      <c r="Q29" s="875">
        <v>96.43</v>
      </c>
      <c r="R29" s="706">
        <v>4449.3</v>
      </c>
      <c r="S29" s="765">
        <f>IF((_xlfn.XLOOKUP(D29,RUC!$B$3:$B$119,RUC!$E$3:$E$119)+ROUNDDOWN(O29,1)*100)&lt;95,95,((_xlfn.XLOOKUP(D29,RUC!$B$3:$B$119,RUC!$E$3:$E$119)+ROUNDDOWN(O29,1)*100)))</f>
        <v>95</v>
      </c>
      <c r="U29" s="1146">
        <f>_xlfn.XLOOKUP(D29,RUC!$B$3:$B$123,RUC!$F$3:$F$123)</f>
        <v>120</v>
      </c>
      <c r="V29" s="715">
        <v>1.1023000000000001</v>
      </c>
      <c r="Y29">
        <f>_xlfn.XLOOKUP(D29,RUC!$B$3:$B$123,RUC!$G$3:$G$123)</f>
        <v>20</v>
      </c>
      <c r="Z29" s="143">
        <f>_xlfn.XLOOKUP(D29,RUC!$B$3:$B$123,RUC!$H$3:$H$123)</f>
        <v>30</v>
      </c>
      <c r="AA29" s="144">
        <f t="shared" si="2"/>
        <v>50</v>
      </c>
      <c r="AB29" s="145">
        <v>1E-3</v>
      </c>
      <c r="AC29" s="145">
        <f>+(S29-T29)*V29-'data 1'!$F$4</f>
        <v>24.718500000000006</v>
      </c>
      <c r="AD29" s="145">
        <f t="shared" si="4"/>
        <v>65.861912606868032</v>
      </c>
      <c r="AE29" s="145">
        <f t="shared" si="5"/>
        <v>-14.884999999999998</v>
      </c>
      <c r="AF29" s="145">
        <f t="shared" si="6"/>
        <v>161.06371050619506</v>
      </c>
      <c r="AG29" s="772">
        <f>AC29+AD29+AE29+AF29+70-53+27.24</f>
        <v>280.99912311306309</v>
      </c>
      <c r="AH29" s="1253">
        <f t="shared" si="7"/>
        <v>24.047000000000001</v>
      </c>
      <c r="AI29" s="1253">
        <f t="shared" si="8"/>
        <v>24.937999999999999</v>
      </c>
      <c r="AJ29" s="156">
        <f t="shared" si="9"/>
        <v>-2.6161273468680166</v>
      </c>
      <c r="AK29" s="156">
        <f t="shared" si="10"/>
        <v>11.637585264898043</v>
      </c>
      <c r="AM29" s="716">
        <f t="shared" si="11"/>
        <v>8.659E-3</v>
      </c>
      <c r="AN29" s="716" t="str">
        <f>_xlfn.XLOOKUP(D29,RUC!$B$3:$B$578,RUC!$M$3:$M$578)</f>
        <v>Richard Sapacayo</v>
      </c>
      <c r="AO29" s="1167" t="s">
        <v>2276</v>
      </c>
      <c r="AP29" s="1082" t="s">
        <v>4988</v>
      </c>
      <c r="AQ29" s="1082" t="s">
        <v>2870</v>
      </c>
      <c r="AV29" s="1556" t="s">
        <v>2277</v>
      </c>
      <c r="AW29" s="1227">
        <f t="shared" ref="AW29:AW38" si="23">SUMIF($AO$4:$AO$43,AV29,$K$4:$K$43)</f>
        <v>63.337000000000003</v>
      </c>
      <c r="AX29" s="1227"/>
      <c r="AY29" s="1229">
        <f t="shared" ref="AY29:AY38" si="24">AW29*AX29*31.1035*1.1023</f>
        <v>0</v>
      </c>
      <c r="AZ29" s="596"/>
      <c r="BA29" s="1255">
        <f t="shared" ref="BA29:BA38" si="25">AY29*AZ29/100</f>
        <v>0</v>
      </c>
    </row>
    <row r="30" spans="1:56" ht="15" customHeight="1">
      <c r="A30" s="747" t="s">
        <v>5893</v>
      </c>
      <c r="B30" s="1447">
        <v>46182</v>
      </c>
      <c r="C30" s="1447">
        <v>46176</v>
      </c>
      <c r="D30" t="s">
        <v>5907</v>
      </c>
      <c r="E30" s="762">
        <f>_xlfn.XLOOKUP(D30,RUC!$B$3:$B$123,RUC!$D$3:$D$123)</f>
        <v>20614329646</v>
      </c>
      <c r="F30" s="629"/>
      <c r="G30" s="762">
        <v>100</v>
      </c>
      <c r="H30" s="1082" t="s">
        <v>69</v>
      </c>
      <c r="I30" s="703">
        <v>9.7899999999999991</v>
      </c>
      <c r="J30" s="596">
        <v>2</v>
      </c>
      <c r="K30" s="703">
        <f t="shared" si="0"/>
        <v>9.5939999999999994</v>
      </c>
      <c r="L30" s="1192">
        <v>0.127</v>
      </c>
      <c r="M30" s="994">
        <v>0.108</v>
      </c>
      <c r="N30" s="1444">
        <v>0.16500000000000001</v>
      </c>
      <c r="O30" s="645">
        <f t="shared" si="21"/>
        <v>0.13700000000000001</v>
      </c>
      <c r="P30" s="727">
        <v>80</v>
      </c>
      <c r="Q30" s="875">
        <v>85.83</v>
      </c>
      <c r="R30" s="706">
        <v>4444.6000000000004</v>
      </c>
      <c r="S30" s="765">
        <f>IF((_xlfn.XLOOKUP(D30,RUC!$B$3:$B$119,RUC!$E$3:$E$119)+ROUNDDOWN(O30,1)*100)&lt;95,95,((_xlfn.XLOOKUP(D30,RUC!$B$3:$B$119,RUC!$E$3:$E$119)+ROUNDDOWN(O30,1)*100)))</f>
        <v>95</v>
      </c>
      <c r="U30" s="1146">
        <f>_xlfn.XLOOKUP(D30,RUC!$B$3:$B$123,RUC!$F$3:$F$123)</f>
        <v>110</v>
      </c>
      <c r="V30" s="715">
        <v>1.1023000000000001</v>
      </c>
      <c r="Y30">
        <f>_xlfn.XLOOKUP(D30,RUC!$B$3:$B$123,RUC!$G$3:$G$123)</f>
        <v>0</v>
      </c>
      <c r="Z30" s="143">
        <v>35</v>
      </c>
      <c r="AA30" s="144">
        <f t="shared" si="2"/>
        <v>35</v>
      </c>
      <c r="AB30" s="145">
        <f>+((O30*P30*(R30-U30)/100)-S30-AA30+T30)*V30</f>
        <v>380.37304196800005</v>
      </c>
      <c r="AC30" s="145">
        <f>+(S30-T30)*V30-'data 1'!$F$4</f>
        <v>24.718500000000006</v>
      </c>
      <c r="AD30" s="145">
        <f t="shared" si="4"/>
        <v>35.377008813277996</v>
      </c>
      <c r="AE30" s="145">
        <f t="shared" si="5"/>
        <v>-31.419499999999999</v>
      </c>
      <c r="AF30" s="145">
        <f t="shared" si="6"/>
        <v>-41.009827885140041</v>
      </c>
      <c r="AG30" s="772">
        <f>AC30+AD30+AE30+AF30+70-53</f>
        <v>4.6661809281379618</v>
      </c>
      <c r="AH30" s="1253">
        <f t="shared" si="7"/>
        <v>35.854999999999997</v>
      </c>
      <c r="AI30" s="1253">
        <f t="shared" si="8"/>
        <v>41.774999999999999</v>
      </c>
      <c r="AJ30" s="156">
        <f t="shared" si="9"/>
        <v>-4.1573705922780428</v>
      </c>
      <c r="AK30" s="156">
        <f t="shared" si="10"/>
        <v>36.051167819506318</v>
      </c>
      <c r="AM30" s="716">
        <f t="shared" si="11"/>
        <v>3649.2989646409924</v>
      </c>
      <c r="AN30" s="716" t="str">
        <f>_xlfn.XLOOKUP(D30,RUC!$B$3:$B$578,RUC!$M$3:$M$578)</f>
        <v>Robinson Tuya</v>
      </c>
      <c r="AO30" s="1167" t="s">
        <v>2276</v>
      </c>
      <c r="AP30" s="1082" t="s">
        <v>3063</v>
      </c>
      <c r="AQ30" s="1082" t="s">
        <v>2996</v>
      </c>
      <c r="AV30" s="1557" t="s">
        <v>2278</v>
      </c>
      <c r="AW30" s="703">
        <f t="shared" si="23"/>
        <v>25.328000000000003</v>
      </c>
      <c r="AX30" s="703"/>
      <c r="AY30" s="596">
        <f t="shared" si="24"/>
        <v>0</v>
      </c>
      <c r="AZ30" s="596"/>
      <c r="BA30" s="1256">
        <f t="shared" si="25"/>
        <v>0</v>
      </c>
    </row>
    <row r="31" spans="1:56" ht="15" customHeight="1">
      <c r="A31" s="1491" t="s">
        <v>5903</v>
      </c>
      <c r="C31" s="1447">
        <v>46177</v>
      </c>
      <c r="D31" t="s">
        <v>5095</v>
      </c>
      <c r="E31" s="762">
        <f>_xlfn.XLOOKUP(D31,RUC!$B$3:$B$123,RUC!$D$3:$D$123)</f>
        <v>10770876970</v>
      </c>
      <c r="G31" s="762" t="s">
        <v>2985</v>
      </c>
      <c r="H31" s="1082" t="s">
        <v>69</v>
      </c>
      <c r="I31" s="703">
        <v>16.77</v>
      </c>
      <c r="J31" s="596">
        <v>10</v>
      </c>
      <c r="K31" s="703">
        <f t="shared" si="0"/>
        <v>15.093</v>
      </c>
      <c r="L31" s="1192">
        <v>8.5000000000000006E-2</v>
      </c>
      <c r="M31" s="994">
        <f>ROUND(+IF(L31&gt;_xlfn.XLOOKUP(AN31,RUC!M:M,RUC!K:K),L31*_xlfn.XLOOKUP(AN31,RUC!M:M,RUC!I:I),L31-_xlfn.XLOOKUP(AN31,RUC!M:M,RUC!J:J)),3)</f>
        <v>6.6000000000000003E-2</v>
      </c>
      <c r="N31" s="1196">
        <f t="shared" ref="N31:N41" si="26">+M31</f>
        <v>6.6000000000000003E-2</v>
      </c>
      <c r="O31" s="645">
        <f t="shared" ref="O31:O41" si="27">+ROUNDDOWN((M31+N31)/2,3)</f>
        <v>6.6000000000000003E-2</v>
      </c>
      <c r="P31" s="727">
        <v>90</v>
      </c>
      <c r="Q31" s="875">
        <v>88.4</v>
      </c>
      <c r="R31" s="706">
        <v>4496.95</v>
      </c>
      <c r="S31" s="765">
        <f>IF((_xlfn.XLOOKUP(D31,RUC!$B$3:$B$119,RUC!$E$3:$E$119)+ROUNDDOWN(O31,1)*100)&lt;95,95,((_xlfn.XLOOKUP(D31,RUC!$B$3:$B$119,RUC!$E$3:$E$119)+ROUNDDOWN(O31,1)*100)))</f>
        <v>95</v>
      </c>
      <c r="U31" s="1146">
        <f>_xlfn.XLOOKUP(D31,RUC!$B$3:$B$123,RUC!$F$3:$F$123)</f>
        <v>100</v>
      </c>
      <c r="V31" s="715">
        <v>1.1023000000000001</v>
      </c>
      <c r="Y31">
        <f>_xlfn.XLOOKUP(D31,RUC!$B$3:$B$123,RUC!$G$3:$G$123)</f>
        <v>0</v>
      </c>
      <c r="Z31" s="143">
        <f>_xlfn.XLOOKUP(D31,RUC!$B$3:$B$123,RUC!$H$3:$H$123)</f>
        <v>30</v>
      </c>
      <c r="AA31" s="144">
        <f t="shared" si="2"/>
        <v>30</v>
      </c>
      <c r="AB31" s="145">
        <f>+((O31*P31*(R31-U31)/100)-S31-AA31+T31)*V31</f>
        <v>150.10992430900001</v>
      </c>
      <c r="AC31" s="145">
        <f>+(S31-T31)*V31-'data 1'!$F$4</f>
        <v>24.718500000000006</v>
      </c>
      <c r="AD31" s="145">
        <f t="shared" si="4"/>
        <v>-6.591590859599977</v>
      </c>
      <c r="AE31" s="145">
        <f t="shared" si="5"/>
        <v>-36.930999999999997</v>
      </c>
      <c r="AF31" s="145">
        <f t="shared" si="6"/>
        <v>81.406147116060026</v>
      </c>
      <c r="AG31" s="772">
        <f>AC31+AD31+AE31+AF31+70-53</f>
        <v>79.60205625646006</v>
      </c>
      <c r="AH31" s="1253">
        <f t="shared" si="7"/>
        <v>38.883000000000003</v>
      </c>
      <c r="AI31" s="1253">
        <f t="shared" si="8"/>
        <v>43.984999999999999</v>
      </c>
      <c r="AJ31" s="156">
        <f t="shared" si="9"/>
        <v>-8.0300603928999852</v>
      </c>
      <c r="AK31" s="156">
        <f t="shared" si="10"/>
        <v>30.737680093215815</v>
      </c>
      <c r="AM31" s="716">
        <f t="shared" si="11"/>
        <v>2265.609087595737</v>
      </c>
      <c r="AN31" s="716" t="str">
        <f>_xlfn.XLOOKUP(D31,RUC!$B$3:$B$578,RUC!$M$3:$M$578)</f>
        <v>Alfred Torres  *</v>
      </c>
      <c r="AO31" s="1167" t="s">
        <v>2276</v>
      </c>
      <c r="AP31" s="1082" t="s">
        <v>5957</v>
      </c>
      <c r="AQ31" s="1082" t="s">
        <v>3417</v>
      </c>
      <c r="AV31" s="1557" t="s">
        <v>2280</v>
      </c>
      <c r="AW31" s="703">
        <f t="shared" si="23"/>
        <v>0</v>
      </c>
      <c r="AX31" s="703"/>
      <c r="AY31" s="596">
        <f t="shared" si="24"/>
        <v>0</v>
      </c>
      <c r="AZ31" s="596"/>
      <c r="BA31" s="1256">
        <f t="shared" si="25"/>
        <v>0</v>
      </c>
    </row>
    <row r="32" spans="1:56" ht="15" customHeight="1">
      <c r="A32" s="1491" t="s">
        <v>5906</v>
      </c>
      <c r="C32" s="1447">
        <v>46178</v>
      </c>
      <c r="D32" t="s">
        <v>5095</v>
      </c>
      <c r="E32" s="762">
        <f>_xlfn.XLOOKUP(D32,RUC!$B$3:$B$123,RUC!$D$3:$D$123)</f>
        <v>10770876970</v>
      </c>
      <c r="F32" s="629"/>
      <c r="G32" s="762" t="s">
        <v>2985</v>
      </c>
      <c r="H32" s="1082" t="s">
        <v>69</v>
      </c>
      <c r="I32" s="703">
        <v>21.14</v>
      </c>
      <c r="J32" s="596">
        <v>10.3</v>
      </c>
      <c r="K32" s="703">
        <f t="shared" si="0"/>
        <v>18.963000000000001</v>
      </c>
      <c r="L32" s="1192">
        <v>0.08</v>
      </c>
      <c r="M32" s="994">
        <f>ROUND(+IF(L32&gt;_xlfn.XLOOKUP(AN32,RUC!M:M,RUC!K:K),L32*_xlfn.XLOOKUP(AN32,RUC!M:M,RUC!I:I),L32-_xlfn.XLOOKUP(AN32,RUC!M:M,RUC!J:J)),3)</f>
        <v>6.0999999999999999E-2</v>
      </c>
      <c r="N32" s="1196">
        <f t="shared" si="26"/>
        <v>6.0999999999999999E-2</v>
      </c>
      <c r="O32" s="645">
        <f t="shared" si="27"/>
        <v>6.0999999999999999E-2</v>
      </c>
      <c r="P32" s="727">
        <v>90</v>
      </c>
      <c r="Q32" s="875">
        <v>88.75</v>
      </c>
      <c r="R32" s="706">
        <v>4365.1499999999996</v>
      </c>
      <c r="S32" s="765">
        <f>IF((_xlfn.XLOOKUP(D32,RUC!$B$3:$B$119,RUC!$E$3:$E$119)+ROUNDDOWN(O32,1)*100)&lt;95,95,((_xlfn.XLOOKUP(D32,RUC!$B$3:$B$119,RUC!$E$3:$E$119)+ROUNDDOWN(O32,1)*100)))</f>
        <v>95</v>
      </c>
      <c r="U32" s="1146">
        <f>_xlfn.XLOOKUP(D32,RUC!$B$3:$B$123,RUC!$F$3:$F$123)</f>
        <v>100</v>
      </c>
      <c r="V32" s="715">
        <v>1.1023000000000001</v>
      </c>
      <c r="Y32">
        <f>_xlfn.XLOOKUP(D32,RUC!$B$3:$B$123,RUC!$G$3:$G$123)</f>
        <v>0</v>
      </c>
      <c r="Z32" s="143">
        <f>_xlfn.XLOOKUP(D32,RUC!$B$3:$B$123,RUC!$H$3:$H$123)</f>
        <v>30</v>
      </c>
      <c r="AA32" s="144">
        <f t="shared" si="2"/>
        <v>30</v>
      </c>
      <c r="AB32" s="145">
        <f>+((O32*P32*(R32-U32)/100)-S32-AA32+T32)*V32</f>
        <v>120.32346899049998</v>
      </c>
      <c r="AC32" s="145">
        <f>+(S32-T32)*V32-'data 1'!$F$4</f>
        <v>24.718500000000006</v>
      </c>
      <c r="AD32" s="145">
        <f t="shared" si="4"/>
        <v>-4.7014748449999999</v>
      </c>
      <c r="AE32" s="145">
        <f t="shared" si="5"/>
        <v>-36.930999999999997</v>
      </c>
      <c r="AF32" s="145">
        <f t="shared" si="6"/>
        <v>79.278619573812506</v>
      </c>
      <c r="AG32" s="772">
        <f>AC32+AD32+AE32+AF32+70-53</f>
        <v>79.364644728812522</v>
      </c>
      <c r="AH32" s="1253">
        <f t="shared" si="7"/>
        <v>46.161000000000001</v>
      </c>
      <c r="AI32" s="1253">
        <f t="shared" si="8"/>
        <v>52.012</v>
      </c>
      <c r="AJ32" s="156">
        <f t="shared" si="9"/>
        <v>2.7274760050000286</v>
      </c>
      <c r="AK32" s="156">
        <f t="shared" si="10"/>
        <v>35.693444366209036</v>
      </c>
      <c r="AM32" s="716">
        <f t="shared" si="11"/>
        <v>2281.6939424668512</v>
      </c>
      <c r="AN32" s="716" t="str">
        <f>_xlfn.XLOOKUP(D32,RUC!$B$3:$B$578,RUC!$M$3:$M$578)</f>
        <v>Alfred Torres  *</v>
      </c>
      <c r="AO32" s="1167" t="s">
        <v>2276</v>
      </c>
      <c r="AP32" s="1082" t="s">
        <v>3331</v>
      </c>
      <c r="AQ32" s="1082" t="s">
        <v>2462</v>
      </c>
      <c r="AV32" s="1557" t="s">
        <v>2279</v>
      </c>
      <c r="AW32" s="703">
        <f t="shared" si="23"/>
        <v>0</v>
      </c>
      <c r="AX32" s="703"/>
      <c r="AY32" s="596">
        <f t="shared" si="24"/>
        <v>0</v>
      </c>
      <c r="AZ32" s="596"/>
      <c r="BA32" s="1256">
        <f t="shared" si="25"/>
        <v>0</v>
      </c>
    </row>
    <row r="33" spans="1:53" ht="15" customHeight="1">
      <c r="A33" s="747" t="s">
        <v>5923</v>
      </c>
      <c r="B33" s="1447">
        <v>46197</v>
      </c>
      <c r="C33" s="1447">
        <v>46180</v>
      </c>
      <c r="D33" t="s">
        <v>93</v>
      </c>
      <c r="E33" s="762">
        <f>_xlfn.XLOOKUP(D33,RUC!$B$3:$B$123,RUC!$D$3:$D$123)</f>
        <v>20169040231</v>
      </c>
      <c r="F33" s="629" t="s">
        <v>5666</v>
      </c>
      <c r="G33" s="762">
        <v>60</v>
      </c>
      <c r="H33" s="1082" t="s">
        <v>69</v>
      </c>
      <c r="I33" s="703">
        <v>5.32</v>
      </c>
      <c r="J33" s="596">
        <v>4.3499999999999996</v>
      </c>
      <c r="K33" s="703">
        <f t="shared" si="0"/>
        <v>5.0890000000000004</v>
      </c>
      <c r="L33" s="1192">
        <v>0.1</v>
      </c>
      <c r="M33" s="994">
        <f>ROUND(+IF(L33&gt;_xlfn.XLOOKUP(AN33,RUC!M:M,RUC!K:K),L33*_xlfn.XLOOKUP(AN33,RUC!M:M,RUC!I:I),L33-_xlfn.XLOOKUP(AN33,RUC!M:M,RUC!J:J)),3)</f>
        <v>8.1000000000000003E-2</v>
      </c>
      <c r="N33" s="1196">
        <f t="shared" si="26"/>
        <v>8.1000000000000003E-2</v>
      </c>
      <c r="O33" s="1147">
        <v>0.1</v>
      </c>
      <c r="P33" s="727">
        <v>70</v>
      </c>
      <c r="Q33" s="875">
        <v>95.96</v>
      </c>
      <c r="R33" s="706">
        <v>4320.6000000000004</v>
      </c>
      <c r="S33" s="765">
        <f>IF((_xlfn.XLOOKUP(D33,RUC!$B$3:$B$119,RUC!$E$3:$E$119)+ROUNDDOWN(O33,1)*100)&lt;95,95,((_xlfn.XLOOKUP(D33,RUC!$B$3:$B$119,RUC!$E$3:$E$119)+ROUNDDOWN(O33,1)*100)))</f>
        <v>95</v>
      </c>
      <c r="U33" s="1146">
        <f>_xlfn.XLOOKUP(D33,RUC!$B$3:$B$123,RUC!$F$3:$F$123)</f>
        <v>120</v>
      </c>
      <c r="V33" s="715">
        <v>1.1023000000000001</v>
      </c>
      <c r="Y33">
        <v>50</v>
      </c>
      <c r="Z33" s="1454">
        <v>45</v>
      </c>
      <c r="AA33" s="144">
        <f t="shared" si="2"/>
        <v>95</v>
      </c>
      <c r="AB33" s="145">
        <f>+((O33*P33*(R33-U33)/100)-S33-AA33+T33)*V33</f>
        <v>114.68549660000004</v>
      </c>
      <c r="AC33" s="145">
        <f>+(S33-T33)*V33-'data 1'!$F$4</f>
        <v>24.718500000000006</v>
      </c>
      <c r="AD33" s="145">
        <f t="shared" si="4"/>
        <v>120.2031430248</v>
      </c>
      <c r="AE33" s="145">
        <f t="shared" si="5"/>
        <v>34.718500000000006</v>
      </c>
      <c r="AF33" s="145">
        <f t="shared" si="6"/>
        <v>0</v>
      </c>
      <c r="AG33" s="772">
        <f>AC33+AD33+AE33+AF33+70-53</f>
        <v>196.64014302480001</v>
      </c>
      <c r="AH33" s="1253">
        <f t="shared" si="7"/>
        <v>16.742999999999999</v>
      </c>
      <c r="AI33" s="1253">
        <f t="shared" si="8"/>
        <v>17.448</v>
      </c>
      <c r="AJ33" s="156">
        <f t="shared" si="9"/>
        <v>10.514204775199962</v>
      </c>
      <c r="AK33" s="156">
        <f t="shared" si="10"/>
        <v>12.213483785051501</v>
      </c>
      <c r="AM33" s="716">
        <f t="shared" si="11"/>
        <v>583.63449219740028</v>
      </c>
      <c r="AN33" s="716" t="str">
        <f>_xlfn.XLOOKUP(D33,RUC!$B$3:$B$578,RUC!$M$3:$M$578)</f>
        <v>Ronald Miranda</v>
      </c>
      <c r="AO33" s="1167" t="s">
        <v>2276</v>
      </c>
      <c r="AP33" s="1082" t="s">
        <v>5958</v>
      </c>
      <c r="AQ33" s="1082" t="s">
        <v>3122</v>
      </c>
      <c r="AV33" s="1557" t="s">
        <v>2281</v>
      </c>
      <c r="AW33" s="703">
        <f t="shared" si="23"/>
        <v>0</v>
      </c>
      <c r="AX33" s="703"/>
      <c r="AY33" s="596">
        <f t="shared" si="24"/>
        <v>0</v>
      </c>
      <c r="AZ33" s="596"/>
      <c r="BA33" s="1256">
        <f t="shared" si="25"/>
        <v>0</v>
      </c>
    </row>
    <row r="34" spans="1:53" ht="15" customHeight="1">
      <c r="A34" s="747" t="s">
        <v>5925</v>
      </c>
      <c r="B34" s="1447">
        <v>46188</v>
      </c>
      <c r="C34" s="1447">
        <v>46181</v>
      </c>
      <c r="D34" t="s">
        <v>93</v>
      </c>
      <c r="E34" s="762">
        <f>_xlfn.XLOOKUP(D34,RUC!$B$3:$B$123,RUC!$D$3:$D$123)</f>
        <v>20169040231</v>
      </c>
      <c r="F34" s="629" t="s">
        <v>5666</v>
      </c>
      <c r="G34" s="762">
        <v>39</v>
      </c>
      <c r="H34" s="1082" t="s">
        <v>69</v>
      </c>
      <c r="I34" s="703">
        <v>3.41</v>
      </c>
      <c r="J34" s="596">
        <v>2</v>
      </c>
      <c r="K34" s="703">
        <f t="shared" si="0"/>
        <v>3.3420000000000001</v>
      </c>
      <c r="L34" s="1192">
        <v>0.13500000000000001</v>
      </c>
      <c r="M34" s="994">
        <f>ROUND(+IF(L34&gt;_xlfn.XLOOKUP(AN34,RUC!M:M,RUC!K:K),L34*_xlfn.XLOOKUP(AN34,RUC!M:M,RUC!I:I),L34-_xlfn.XLOOKUP(AN34,RUC!M:M,RUC!J:J)),3)</f>
        <v>0.11600000000000001</v>
      </c>
      <c r="N34" s="1196">
        <f t="shared" si="26"/>
        <v>0.11600000000000001</v>
      </c>
      <c r="O34" s="645">
        <f t="shared" si="27"/>
        <v>0.11600000000000001</v>
      </c>
      <c r="P34" s="727">
        <v>80</v>
      </c>
      <c r="Q34" s="875">
        <v>95.52</v>
      </c>
      <c r="R34" s="706">
        <v>4320.6000000000004</v>
      </c>
      <c r="S34" s="765">
        <f>IF((_xlfn.XLOOKUP(D34,RUC!$B$3:$B$119,RUC!$E$3:$E$119)+ROUNDDOWN(O34,1)*100)&lt;95,95,((_xlfn.XLOOKUP(D34,RUC!$B$3:$B$119,RUC!$E$3:$E$119)+ROUNDDOWN(O34,1)*100)))</f>
        <v>95</v>
      </c>
      <c r="U34" s="1146">
        <f>_xlfn.XLOOKUP(D34,RUC!$B$3:$B$123,RUC!$F$3:$F$123)</f>
        <v>120</v>
      </c>
      <c r="V34" s="715">
        <v>1.1023000000000001</v>
      </c>
      <c r="Y34">
        <f>_xlfn.XLOOKUP(D34,RUC!$B$3:$B$123,RUC!$G$3:$G$123)</f>
        <v>20</v>
      </c>
      <c r="Z34" s="1454">
        <v>35</v>
      </c>
      <c r="AA34" s="144">
        <f t="shared" si="2"/>
        <v>55</v>
      </c>
      <c r="AB34" s="145">
        <f>+((O34*P34*(R34-U34)/100)-S34-AA34+T34)*V34</f>
        <v>264.34882406400004</v>
      </c>
      <c r="AC34" s="145">
        <f>+(S34-T34)*V34-'data 1'!$F$4</f>
        <v>24.718500000000006</v>
      </c>
      <c r="AD34" s="145">
        <f t="shared" si="4"/>
        <v>97.014493553759991</v>
      </c>
      <c r="AE34" s="145">
        <f t="shared" si="5"/>
        <v>-9.3734999999999999</v>
      </c>
      <c r="AF34" s="145">
        <f t="shared" si="6"/>
        <v>84.034776661344026</v>
      </c>
      <c r="AG34" s="772">
        <f>AC34+AD34+AE34+AF34+70-53</f>
        <v>213.39427021510403</v>
      </c>
      <c r="AH34" s="1253">
        <f t="shared" si="7"/>
        <v>14.776</v>
      </c>
      <c r="AI34" s="1253">
        <f t="shared" si="8"/>
        <v>15.468999999999999</v>
      </c>
      <c r="AJ34" s="156">
        <f t="shared" si="9"/>
        <v>14.12909268623995</v>
      </c>
      <c r="AK34" s="156">
        <f t="shared" si="10"/>
        <v>10.633187964895681</v>
      </c>
      <c r="AM34" s="716">
        <f t="shared" si="11"/>
        <v>883.4537700218882</v>
      </c>
      <c r="AN34" s="716" t="str">
        <f>_xlfn.XLOOKUP(D34,RUC!$B$3:$B$578,RUC!$M$3:$M$578)</f>
        <v>Ronald Miranda</v>
      </c>
      <c r="AO34" s="1167" t="s">
        <v>2276</v>
      </c>
      <c r="AP34" s="1082" t="s">
        <v>5959</v>
      </c>
      <c r="AQ34" s="1082" t="s">
        <v>5960</v>
      </c>
      <c r="AV34" s="1557" t="s">
        <v>2297</v>
      </c>
      <c r="AW34" s="703">
        <f t="shared" si="23"/>
        <v>0</v>
      </c>
      <c r="AY34" s="596">
        <f t="shared" si="24"/>
        <v>0</v>
      </c>
      <c r="BA34" s="1256">
        <f t="shared" si="25"/>
        <v>0</v>
      </c>
    </row>
    <row r="35" spans="1:53" ht="15" customHeight="1">
      <c r="A35" s="1491" t="s">
        <v>5932</v>
      </c>
      <c r="B35" s="1447">
        <v>46189</v>
      </c>
      <c r="C35" s="1447">
        <v>46181</v>
      </c>
      <c r="D35" t="s">
        <v>5934</v>
      </c>
      <c r="E35" s="762">
        <f>_xlfn.XLOOKUP(D35,RUC!$B$3:$B$123,RUC!$D$3:$D$123)</f>
        <v>10414969564</v>
      </c>
      <c r="F35" s="629"/>
      <c r="G35" s="762">
        <v>103</v>
      </c>
      <c r="H35" s="1082" t="s">
        <v>116</v>
      </c>
      <c r="I35" s="703">
        <v>8.31</v>
      </c>
      <c r="J35" s="596">
        <v>10.6</v>
      </c>
      <c r="K35" s="703">
        <f t="shared" si="0"/>
        <v>7.4290000000000003</v>
      </c>
      <c r="L35" s="1192">
        <v>5.2999999999999999E-2</v>
      </c>
      <c r="M35" s="994">
        <f>ROUND(+IF(L35&gt;_xlfn.XLOOKUP(AN35,RUC!M:M,RUC!K:K),L35*_xlfn.XLOOKUP(AN35,RUC!M:M,RUC!I:I),L35-_xlfn.XLOOKUP(AN35,RUC!M:M,RUC!J:J)),3)</f>
        <v>1.7999999999999999E-2</v>
      </c>
      <c r="N35" s="1196">
        <f t="shared" si="26"/>
        <v>1.7999999999999999E-2</v>
      </c>
      <c r="O35" s="645">
        <f t="shared" si="27"/>
        <v>1.7999999999999999E-2</v>
      </c>
      <c r="P35" s="727">
        <v>90</v>
      </c>
      <c r="Q35" s="875">
        <v>96.23</v>
      </c>
      <c r="R35" s="706">
        <v>4320.6000000000004</v>
      </c>
      <c r="S35" s="765">
        <f>IF((_xlfn.XLOOKUP(D35,RUC!$B$3:$B$119,RUC!$E$3:$E$119)+ROUNDDOWN(O35,1)*100)&lt;95,95,((_xlfn.XLOOKUP(D35,RUC!$B$3:$B$119,RUC!$E$3:$E$119)+ROUNDDOWN(O35,1)*100)))</f>
        <v>95</v>
      </c>
      <c r="U35" s="1146">
        <f>_xlfn.XLOOKUP(D35,RUC!$B$3:$B$123,RUC!$F$3:$F$123)</f>
        <v>120</v>
      </c>
      <c r="V35" s="715">
        <v>1.1023000000000001</v>
      </c>
      <c r="Y35">
        <f>_xlfn.XLOOKUP(D35,RUC!$B$3:$B$123,RUC!$G$3:$G$123)</f>
        <v>20</v>
      </c>
      <c r="Z35" s="143">
        <f>_xlfn.XLOOKUP(D35,RUC!$B$3:$B$123,RUC!$H$3:$H$123)</f>
        <v>30</v>
      </c>
      <c r="AA35" s="144">
        <f t="shared" si="2"/>
        <v>50</v>
      </c>
      <c r="AB35" s="1510">
        <v>0</v>
      </c>
      <c r="AC35" s="145">
        <f>+(S35-T35)*V35-'data 1'!$F$4</f>
        <v>24.718500000000006</v>
      </c>
      <c r="AD35" s="145">
        <f t="shared" si="4"/>
        <v>15.288858164622011</v>
      </c>
      <c r="AE35" s="145">
        <f t="shared" si="5"/>
        <v>-14.884999999999998</v>
      </c>
      <c r="AF35" s="145">
        <f t="shared" si="6"/>
        <v>155.95153923909004</v>
      </c>
      <c r="AG35" s="772">
        <f>AC35+AD35+AE35+AF35+70-53-84.82</f>
        <v>113.25389740371207</v>
      </c>
      <c r="AH35" s="1253">
        <f t="shared" si="7"/>
        <v>12.99</v>
      </c>
      <c r="AI35" s="1253">
        <f t="shared" si="8"/>
        <v>13.499000000000001</v>
      </c>
      <c r="AJ35" s="156">
        <f t="shared" si="9"/>
        <v>5.5882078003779805</v>
      </c>
      <c r="AK35" s="156">
        <f t="shared" si="10"/>
        <v>4.1262395947398893</v>
      </c>
      <c r="AM35" s="716">
        <f t="shared" si="11"/>
        <v>0</v>
      </c>
      <c r="AN35" s="716" t="str">
        <f>_xlfn.XLOOKUP(D35,RUC!$B$3:$B$578,RUC!$M$3:$M$578)</f>
        <v>Richard Sapacayo</v>
      </c>
      <c r="AO35" s="1167" t="s">
        <v>2276</v>
      </c>
      <c r="AP35" s="1940" t="s">
        <v>4381</v>
      </c>
      <c r="AQ35" s="1940" t="s">
        <v>5999</v>
      </c>
      <c r="AV35" s="1557" t="s">
        <v>2518</v>
      </c>
      <c r="AW35" s="703">
        <f t="shared" si="23"/>
        <v>0</v>
      </c>
      <c r="AY35" s="596">
        <f t="shared" si="24"/>
        <v>0</v>
      </c>
      <c r="BA35" s="1256">
        <f t="shared" si="25"/>
        <v>0</v>
      </c>
    </row>
    <row r="36" spans="1:53" ht="15" customHeight="1">
      <c r="A36" s="747" t="s">
        <v>5967</v>
      </c>
      <c r="B36" s="1447">
        <v>46190</v>
      </c>
      <c r="C36" s="1447">
        <v>46182</v>
      </c>
      <c r="D36" s="1904" t="s">
        <v>1967</v>
      </c>
      <c r="E36" s="762">
        <f>_xlfn.XLOOKUP(D36,RUC!$B$3:$B$123,RUC!$D$3:$D$123)</f>
        <v>20601769396</v>
      </c>
      <c r="F36" s="629" t="s">
        <v>5975</v>
      </c>
      <c r="G36" s="762">
        <v>10</v>
      </c>
      <c r="H36" s="1082" t="s">
        <v>116</v>
      </c>
      <c r="I36" s="703">
        <v>0.63</v>
      </c>
      <c r="J36" s="596">
        <v>8.9499999999999993</v>
      </c>
      <c r="K36" s="703">
        <f t="shared" si="0"/>
        <v>0.57399999999999995</v>
      </c>
      <c r="L36" s="1192">
        <v>0.125</v>
      </c>
      <c r="M36" s="994">
        <f>ROUND(+IF(L36&gt;_xlfn.XLOOKUP(AN36,RUC!M:M,RUC!K:K),L36*_xlfn.XLOOKUP(AN36,RUC!M:M,RUC!I:I),L36-_xlfn.XLOOKUP(AN36,RUC!M:M,RUC!J:J)),3)</f>
        <v>0.106</v>
      </c>
      <c r="N36" s="1196">
        <f t="shared" si="26"/>
        <v>0.106</v>
      </c>
      <c r="O36" s="645">
        <f t="shared" si="27"/>
        <v>0.106</v>
      </c>
      <c r="P36" s="727">
        <v>80</v>
      </c>
      <c r="Q36" s="875">
        <v>92</v>
      </c>
      <c r="R36" s="706">
        <v>4327.6499999999996</v>
      </c>
      <c r="S36" s="765">
        <f>IF((_xlfn.XLOOKUP(D36,RUC!$B$3:$B$119,RUC!$E$3:$E$119)+ROUNDDOWN(O36,1)*100)&lt;95,95,((_xlfn.XLOOKUP(D36,RUC!$B$3:$B$119,RUC!$E$3:$E$119)+ROUNDDOWN(O36,1)*100)))</f>
        <v>100</v>
      </c>
      <c r="U36" s="1146">
        <f>_xlfn.XLOOKUP(D36,RUC!$B$3:$B$123,RUC!$F$3:$F$123)</f>
        <v>120</v>
      </c>
      <c r="V36" s="715">
        <v>1.1023000000000001</v>
      </c>
      <c r="Y36">
        <f>_xlfn.XLOOKUP(D36,RUC!$B$3:$B$123,RUC!$G$3:$G$123)</f>
        <v>20</v>
      </c>
      <c r="Z36" s="143">
        <f>_xlfn.XLOOKUP(D36,RUC!$B$3:$B$123,RUC!$H$3:$H$123)</f>
        <v>30</v>
      </c>
      <c r="AA36" s="144">
        <f t="shared" si="2"/>
        <v>50</v>
      </c>
      <c r="AB36" s="145">
        <f t="shared" ref="AB36:AB41" si="28">+((O36*P36*(R36-U36)/100)-S36-AA36+T36)*V36</f>
        <v>227.96525205599994</v>
      </c>
      <c r="AC36" s="145">
        <f>+(S36-T36)*V36-'data 1'!$F$4</f>
        <v>30.230000000000004</v>
      </c>
      <c r="AD36" s="145">
        <f t="shared" si="4"/>
        <v>69.571388925000008</v>
      </c>
      <c r="AE36" s="145">
        <f t="shared" si="5"/>
        <v>-14.884999999999998</v>
      </c>
      <c r="AF36" s="145">
        <f t="shared" si="6"/>
        <v>81.073858560600002</v>
      </c>
      <c r="AG36" s="772">
        <f t="shared" ref="AG36:AG41" si="29">AC36+AD36+AE36+AF36+70-53</f>
        <v>182.99024748560001</v>
      </c>
      <c r="AH36" s="1253">
        <f t="shared" si="7"/>
        <v>2.2629999999999999</v>
      </c>
      <c r="AI36" s="1253">
        <f t="shared" si="8"/>
        <v>2.46</v>
      </c>
      <c r="AJ36" s="156">
        <f t="shared" si="9"/>
        <v>11.706701575000046</v>
      </c>
      <c r="AK36" s="156">
        <f t="shared" si="10"/>
        <v>1.6688481204113601</v>
      </c>
      <c r="AM36" s="716">
        <f t="shared" si="11"/>
        <v>130.85205468014397</v>
      </c>
      <c r="AN36" s="716" t="str">
        <f>_xlfn.XLOOKUP(D36,RUC!$B$3:$B$578,RUC!$M$3:$M$578)</f>
        <v>Evelyn</v>
      </c>
      <c r="AO36" s="1167" t="s">
        <v>2278</v>
      </c>
      <c r="AP36" s="1082" t="s">
        <v>5965</v>
      </c>
      <c r="AQ36" s="1082" t="s">
        <v>5966</v>
      </c>
      <c r="AV36" s="1557" t="s">
        <v>2519</v>
      </c>
      <c r="AW36" s="703">
        <f t="shared" si="23"/>
        <v>0</v>
      </c>
      <c r="AY36" s="596">
        <f t="shared" si="24"/>
        <v>0</v>
      </c>
      <c r="BA36" s="1256">
        <f t="shared" si="25"/>
        <v>0</v>
      </c>
    </row>
    <row r="37" spans="1:53" ht="15" customHeight="1">
      <c r="A37" s="747" t="s">
        <v>5971</v>
      </c>
      <c r="B37" s="1447">
        <v>46190</v>
      </c>
      <c r="C37" s="1447">
        <v>46183</v>
      </c>
      <c r="D37" s="1904" t="s">
        <v>5095</v>
      </c>
      <c r="E37" s="762">
        <f>_xlfn.XLOOKUP(D37,RUC!$B$3:$B$123,RUC!$D$3:$D$123)</f>
        <v>10770876970</v>
      </c>
      <c r="F37" s="629"/>
      <c r="G37" s="762" t="s">
        <v>2985</v>
      </c>
      <c r="H37" s="1082" t="s">
        <v>69</v>
      </c>
      <c r="I37" s="703">
        <v>29.08</v>
      </c>
      <c r="J37" s="596">
        <v>10.75</v>
      </c>
      <c r="K37" s="703">
        <f t="shared" si="0"/>
        <v>25.954000000000001</v>
      </c>
      <c r="L37" s="1192">
        <v>0.156</v>
      </c>
      <c r="M37" s="994">
        <f>ROUND(+IF(L37&gt;_xlfn.XLOOKUP(AN37,RUC!M:M,RUC!K:K),L37*_xlfn.XLOOKUP(AN37,RUC!M:M,RUC!I:I),L37-_xlfn.XLOOKUP(AN37,RUC!M:M,RUC!J:J)),3)</f>
        <v>0.13700000000000001</v>
      </c>
      <c r="N37" s="1196">
        <f t="shared" si="26"/>
        <v>0.13700000000000001</v>
      </c>
      <c r="O37" s="645">
        <f t="shared" si="27"/>
        <v>0.13700000000000001</v>
      </c>
      <c r="P37" s="1458">
        <v>80</v>
      </c>
      <c r="Q37" s="875">
        <v>96.79</v>
      </c>
      <c r="R37" s="706">
        <v>4170.95</v>
      </c>
      <c r="S37" s="1551">
        <v>110</v>
      </c>
      <c r="U37" s="1146">
        <f>_xlfn.XLOOKUP(D37,RUC!$B$3:$B$123,RUC!$F$3:$F$123)</f>
        <v>100</v>
      </c>
      <c r="V37" s="715">
        <v>1.1023000000000001</v>
      </c>
      <c r="Y37">
        <f>_xlfn.XLOOKUP(D37,RUC!$B$3:$B$123,RUC!$G$3:$G$123)</f>
        <v>0</v>
      </c>
      <c r="Z37" s="1454">
        <v>130</v>
      </c>
      <c r="AA37" s="144">
        <f t="shared" si="2"/>
        <v>130</v>
      </c>
      <c r="AB37" s="145">
        <f t="shared" si="28"/>
        <v>227.26793707600004</v>
      </c>
      <c r="AC37" s="145">
        <f>+(S37-T37)*V37-'data 1'!$F$4</f>
        <v>41.253</v>
      </c>
      <c r="AD37" s="145">
        <f t="shared" si="4"/>
        <v>117.53599014479403</v>
      </c>
      <c r="AE37" s="145">
        <f t="shared" si="5"/>
        <v>73.299000000000007</v>
      </c>
      <c r="AF37" s="145">
        <f t="shared" si="6"/>
        <v>82.523885262968463</v>
      </c>
      <c r="AG37" s="772">
        <f t="shared" si="29"/>
        <v>331.61187540776245</v>
      </c>
      <c r="AH37" s="1253">
        <f t="shared" si="7"/>
        <v>134.36000000000001</v>
      </c>
      <c r="AI37" s="1253">
        <f t="shared" si="8"/>
        <v>138.816</v>
      </c>
      <c r="AJ37" s="156">
        <f t="shared" si="9"/>
        <v>38.12283520320603</v>
      </c>
      <c r="AK37" s="156">
        <f t="shared" si="10"/>
        <v>97.526788574887135</v>
      </c>
      <c r="AM37" s="716">
        <f t="shared" si="11"/>
        <v>5898.5120388705054</v>
      </c>
      <c r="AN37" s="716" t="str">
        <f>_xlfn.XLOOKUP(D37,RUC!$B$3:$B$578,RUC!$M$3:$M$578)</f>
        <v>Alfred Torres  *</v>
      </c>
      <c r="AO37" s="1167" t="s">
        <v>2277</v>
      </c>
      <c r="AP37" s="1082" t="s">
        <v>2349</v>
      </c>
      <c r="AQ37" s="1082" t="s">
        <v>5991</v>
      </c>
      <c r="AV37" s="1557" t="s">
        <v>2520</v>
      </c>
      <c r="AW37" s="703">
        <f t="shared" si="23"/>
        <v>0</v>
      </c>
      <c r="AY37" s="596">
        <f t="shared" si="24"/>
        <v>0</v>
      </c>
      <c r="BA37" s="1256">
        <f t="shared" si="25"/>
        <v>0</v>
      </c>
    </row>
    <row r="38" spans="1:53" ht="15" customHeight="1" thickBot="1">
      <c r="A38" s="747" t="s">
        <v>5978</v>
      </c>
      <c r="B38" s="1447">
        <v>46190</v>
      </c>
      <c r="C38" s="1447">
        <v>46185</v>
      </c>
      <c r="D38" t="s">
        <v>1967</v>
      </c>
      <c r="E38" s="762">
        <f>_xlfn.XLOOKUP(D38,RUC!$B$3:$B$123,RUC!$D$3:$D$123)</f>
        <v>20601769396</v>
      </c>
      <c r="F38" s="629" t="s">
        <v>5998</v>
      </c>
      <c r="G38" s="762">
        <v>23</v>
      </c>
      <c r="H38" s="1082" t="s">
        <v>108</v>
      </c>
      <c r="I38" s="703">
        <v>1.93</v>
      </c>
      <c r="J38" s="596">
        <v>12.75</v>
      </c>
      <c r="K38" s="703">
        <f t="shared" si="0"/>
        <v>1.6839999999999999</v>
      </c>
      <c r="L38" s="1192">
        <v>0.11899999999999999</v>
      </c>
      <c r="M38" s="994">
        <f>ROUND(+IF(L38&gt;_xlfn.XLOOKUP(AN38,RUC!M:M,RUC!K:K),L38*_xlfn.XLOOKUP(AN38,RUC!M:M,RUC!I:I),L38-_xlfn.XLOOKUP(AN38,RUC!M:M,RUC!J:J)),3)</f>
        <v>0.1</v>
      </c>
      <c r="N38" s="1196">
        <f t="shared" si="26"/>
        <v>0.1</v>
      </c>
      <c r="O38" s="645">
        <f t="shared" si="27"/>
        <v>0.1</v>
      </c>
      <c r="P38" s="727">
        <v>80</v>
      </c>
      <c r="Q38" s="1899">
        <v>82.35</v>
      </c>
      <c r="R38" s="706">
        <v>4185.95</v>
      </c>
      <c r="S38" s="765">
        <f>IF((_xlfn.XLOOKUP(D38,RUC!$B$3:$B$119,RUC!$E$3:$E$119)+ROUNDDOWN(O38,1)*100)&lt;95,95,((_xlfn.XLOOKUP(D38,RUC!$B$3:$B$119,RUC!$E$3:$E$119)+ROUNDDOWN(O38,1)*100)))</f>
        <v>100</v>
      </c>
      <c r="U38" s="1146">
        <f>_xlfn.XLOOKUP(D38,RUC!$B$3:$B$123,RUC!$F$3:$F$123)</f>
        <v>120</v>
      </c>
      <c r="V38" s="715">
        <v>1.1023000000000001</v>
      </c>
      <c r="Y38">
        <f>_xlfn.XLOOKUP(D38,RUC!$B$3:$B$123,RUC!$G$3:$G$123)</f>
        <v>20</v>
      </c>
      <c r="Z38" s="709">
        <v>70</v>
      </c>
      <c r="AA38" s="144">
        <f t="shared" si="2"/>
        <v>90</v>
      </c>
      <c r="AB38" s="145">
        <f t="shared" si="28"/>
        <v>149.11473480000001</v>
      </c>
      <c r="AC38" s="145">
        <f>+(S38-T38)*V38-'data 1'!$F$4</f>
        <v>30.230000000000004</v>
      </c>
      <c r="AD38" s="145">
        <f t="shared" si="4"/>
        <v>12.53362407960247</v>
      </c>
      <c r="AE38" s="145">
        <f t="shared" si="5"/>
        <v>29.207000000000001</v>
      </c>
      <c r="AF38" s="145">
        <f t="shared" si="6"/>
        <v>70.125996481852468</v>
      </c>
      <c r="AG38" s="772">
        <f t="shared" si="29"/>
        <v>159.09662056145493</v>
      </c>
      <c r="AH38" s="1253">
        <f t="shared" si="7"/>
        <v>5.6580000000000004</v>
      </c>
      <c r="AI38" s="1253">
        <f t="shared" si="8"/>
        <v>6.8710000000000004</v>
      </c>
      <c r="AJ38" s="156">
        <f t="shared" si="9"/>
        <v>25.282441893397518</v>
      </c>
      <c r="AK38" s="156">
        <f t="shared" si="10"/>
        <v>4.6189274780960003</v>
      </c>
      <c r="AM38" s="716">
        <f t="shared" si="11"/>
        <v>251.10921340320002</v>
      </c>
      <c r="AN38" s="716" t="str">
        <f>_xlfn.XLOOKUP(D38,RUC!$B$3:$B$578,RUC!$M$3:$M$578)</f>
        <v>Evelyn</v>
      </c>
      <c r="AO38" s="1167" t="s">
        <v>2278</v>
      </c>
      <c r="AP38" s="1082" t="s">
        <v>5994</v>
      </c>
      <c r="AQ38" s="1082" t="s">
        <v>4150</v>
      </c>
      <c r="AV38" s="1558" t="s">
        <v>2521</v>
      </c>
      <c r="AW38" s="1254">
        <f t="shared" si="23"/>
        <v>0</v>
      </c>
      <c r="AX38" s="1257"/>
      <c r="AY38" s="1242">
        <f t="shared" si="24"/>
        <v>0</v>
      </c>
      <c r="AZ38" s="1257"/>
      <c r="BA38" s="1258">
        <f t="shared" si="25"/>
        <v>0</v>
      </c>
    </row>
    <row r="39" spans="1:53" ht="15" customHeight="1">
      <c r="A39" s="747" t="s">
        <v>5985</v>
      </c>
      <c r="B39" s="1447">
        <v>46191</v>
      </c>
      <c r="C39" s="1447">
        <v>46186</v>
      </c>
      <c r="D39" t="s">
        <v>93</v>
      </c>
      <c r="E39" s="762">
        <f>_xlfn.XLOOKUP(D39,RUC!$B$3:$B$123,RUC!$D$3:$D$123)</f>
        <v>20169040231</v>
      </c>
      <c r="F39" s="629" t="s">
        <v>6057</v>
      </c>
      <c r="G39" s="762">
        <v>79</v>
      </c>
      <c r="H39" s="1082" t="s">
        <v>69</v>
      </c>
      <c r="I39" s="703">
        <v>7.69</v>
      </c>
      <c r="J39" s="596">
        <v>4.4000000000000004</v>
      </c>
      <c r="K39" s="703">
        <f t="shared" si="0"/>
        <v>7.3520000000000003</v>
      </c>
      <c r="L39" s="1192">
        <v>0.14000000000000001</v>
      </c>
      <c r="M39" s="994">
        <f>ROUND(+IF(L39&gt;_xlfn.XLOOKUP(AN39,RUC!M:M,RUC!K:K),L39*_xlfn.XLOOKUP(AN39,RUC!M:M,RUC!I:I),L39-_xlfn.XLOOKUP(AN39,RUC!M:M,RUC!J:J)),3)</f>
        <v>0.121</v>
      </c>
      <c r="N39" s="1196">
        <f t="shared" si="26"/>
        <v>0.121</v>
      </c>
      <c r="O39" s="645">
        <f t="shared" si="27"/>
        <v>0.121</v>
      </c>
      <c r="P39" s="727">
        <v>80</v>
      </c>
      <c r="Q39" s="875">
        <v>97.14</v>
      </c>
      <c r="R39" s="1942">
        <v>4185.95</v>
      </c>
      <c r="S39" s="765">
        <f>IF((_xlfn.XLOOKUP(D39,RUC!$B$3:$B$119,RUC!$E$3:$E$119)+ROUNDDOWN(O39,1)*100)&lt;95,95,((_xlfn.XLOOKUP(D39,RUC!$B$3:$B$119,RUC!$E$3:$E$119)+ROUNDDOWN(O39,1)*100)))</f>
        <v>95</v>
      </c>
      <c r="U39" s="1146">
        <f>_xlfn.XLOOKUP(D39,RUC!$B$3:$B$123,RUC!$F$3:$F$123)</f>
        <v>120</v>
      </c>
      <c r="V39" s="715">
        <v>1.1023000000000001</v>
      </c>
      <c r="Y39">
        <f>_xlfn.XLOOKUP(D39,RUC!$B$3:$B$123,RUC!$G$3:$G$123)</f>
        <v>20</v>
      </c>
      <c r="Z39" s="1454">
        <v>35</v>
      </c>
      <c r="AA39" s="144">
        <f t="shared" si="2"/>
        <v>55</v>
      </c>
      <c r="AB39" s="145">
        <f t="shared" si="28"/>
        <v>268.50259910800003</v>
      </c>
      <c r="AC39" s="145">
        <f>+(S39-T39)*V39-'data 1'!$F$4</f>
        <v>24.718500000000006</v>
      </c>
      <c r="AD39" s="145">
        <f t="shared" si="4"/>
        <v>107.54759285326001</v>
      </c>
      <c r="AE39" s="145">
        <f t="shared" si="5"/>
        <v>-9.3734999999999999</v>
      </c>
      <c r="AF39" s="145">
        <f t="shared" si="6"/>
        <v>82.720574356371074</v>
      </c>
      <c r="AG39" s="772">
        <f t="shared" si="29"/>
        <v>222.61316720963111</v>
      </c>
      <c r="AH39" s="1253">
        <f t="shared" si="7"/>
        <v>34.28</v>
      </c>
      <c r="AI39" s="1253">
        <f t="shared" si="8"/>
        <v>35.289000000000001</v>
      </c>
      <c r="AJ39" s="156">
        <f t="shared" si="9"/>
        <v>35.086058866740039</v>
      </c>
      <c r="AK39" s="156">
        <f t="shared" si="10"/>
        <v>24.400005540940484</v>
      </c>
      <c r="AM39" s="716">
        <f t="shared" si="11"/>
        <v>1974.0311086420163</v>
      </c>
      <c r="AN39" s="716" t="str">
        <f>_xlfn.XLOOKUP(D39,RUC!$B$3:$B$578,RUC!$M$3:$M$578)</f>
        <v>Ronald Miranda</v>
      </c>
      <c r="AO39" s="1167" t="s">
        <v>2278</v>
      </c>
      <c r="AP39" s="1082" t="s">
        <v>5996</v>
      </c>
      <c r="AQ39" s="1082" t="s">
        <v>5997</v>
      </c>
    </row>
    <row r="40" spans="1:53" ht="15" customHeight="1">
      <c r="A40" s="747" t="s">
        <v>5986</v>
      </c>
      <c r="B40" s="1447">
        <v>46192</v>
      </c>
      <c r="C40" s="1447">
        <v>46187</v>
      </c>
      <c r="D40" t="s">
        <v>5728</v>
      </c>
      <c r="E40" s="762">
        <f>_xlfn.XLOOKUP(D40,RUC!$B$3:$B$123,RUC!$D$3:$D$123)</f>
        <v>20603169094</v>
      </c>
      <c r="F40" s="629"/>
      <c r="G40" s="762">
        <v>45</v>
      </c>
      <c r="H40" s="1082" t="s">
        <v>69</v>
      </c>
      <c r="I40" s="703">
        <v>4.13</v>
      </c>
      <c r="J40" s="596">
        <v>2.65</v>
      </c>
      <c r="K40" s="703">
        <f t="shared" si="0"/>
        <v>4.0209999999999999</v>
      </c>
      <c r="L40" s="1192">
        <v>0.314</v>
      </c>
      <c r="M40" s="994">
        <f>ROUND(+IF(L40&gt;_xlfn.XLOOKUP(AN40,RUC!M:M,RUC!K:K),L40*_xlfn.XLOOKUP(AN40,RUC!M:M,RUC!I:I),L40-_xlfn.XLOOKUP(AN40,RUC!M:M,RUC!J:J)),3)</f>
        <v>0.29199999999999998</v>
      </c>
      <c r="N40" s="1196">
        <f t="shared" si="26"/>
        <v>0.29199999999999998</v>
      </c>
      <c r="O40" s="645">
        <f t="shared" si="27"/>
        <v>0.29199999999999998</v>
      </c>
      <c r="P40" s="727">
        <v>85</v>
      </c>
      <c r="Q40" s="875">
        <v>85.67</v>
      </c>
      <c r="R40" s="706">
        <v>4355.2</v>
      </c>
      <c r="S40" s="765">
        <f>IF((_xlfn.XLOOKUP(D40,RUC!$B$3:$B$119,RUC!$E$3:$E$119)+ROUNDDOWN(O40,1)*100)&lt;95,95,((_xlfn.XLOOKUP(D40,RUC!$B$3:$B$119,RUC!$E$3:$E$119)+ROUNDDOWN(O40,1)*100)))</f>
        <v>110</v>
      </c>
      <c r="U40" s="1146">
        <f>_xlfn.XLOOKUP(D40,RUC!$B$3:$B$123,RUC!$F$3:$F$123)</f>
        <v>100</v>
      </c>
      <c r="V40" s="715">
        <v>1.1023000000000001</v>
      </c>
      <c r="Y40">
        <f>_xlfn.XLOOKUP(D40,RUC!$B$3:$B$123,RUC!$G$3:$G$123)</f>
        <v>0</v>
      </c>
      <c r="Z40" s="143">
        <f>_xlfn.XLOOKUP(D40,RUC!$B$3:$B$123,RUC!$H$3:$H$123)</f>
        <v>28</v>
      </c>
      <c r="AA40" s="144">
        <f t="shared" si="2"/>
        <v>28</v>
      </c>
      <c r="AB40" s="145">
        <f t="shared" si="28"/>
        <v>1012.0664274719999</v>
      </c>
      <c r="AC40" s="145">
        <f>+(S40-T40)*V40-'data 1'!$F$4</f>
        <v>41.253</v>
      </c>
      <c r="AD40" s="145">
        <f t="shared" si="4"/>
        <v>9.8678885424480249</v>
      </c>
      <c r="AE40" s="145">
        <f t="shared" si="5"/>
        <v>-39.135599999999997</v>
      </c>
      <c r="AF40" s="145">
        <f t="shared" si="6"/>
        <v>88.40386087790408</v>
      </c>
      <c r="AG40" s="772">
        <f t="shared" si="29"/>
        <v>117.38914942035211</v>
      </c>
      <c r="AH40" s="1253">
        <f t="shared" si="7"/>
        <v>37.085000000000001</v>
      </c>
      <c r="AI40" s="1253">
        <f t="shared" si="8"/>
        <v>43.289000000000001</v>
      </c>
      <c r="AJ40" s="156">
        <f t="shared" si="9"/>
        <v>13.284225415552054</v>
      </c>
      <c r="AK40" s="156">
        <f t="shared" si="10"/>
        <v>34.217235555634211</v>
      </c>
      <c r="AM40" s="716">
        <f t="shared" si="11"/>
        <v>4069.5191048649112</v>
      </c>
      <c r="AN40" s="716" t="str">
        <f>_xlfn.XLOOKUP(D40,RUC!$B$3:$B$578,RUC!$M$3:$M$578)</f>
        <v>YEREMY</v>
      </c>
      <c r="AO40" s="1167" t="s">
        <v>2278</v>
      </c>
      <c r="AP40" s="1082" t="s">
        <v>6019</v>
      </c>
      <c r="AQ40" s="1082" t="s">
        <v>6020</v>
      </c>
    </row>
    <row r="41" spans="1:53" ht="15" customHeight="1">
      <c r="A41" s="747" t="s">
        <v>6000</v>
      </c>
      <c r="B41" s="1447">
        <v>46192</v>
      </c>
      <c r="C41" s="1447">
        <v>46187</v>
      </c>
      <c r="D41" t="s">
        <v>5728</v>
      </c>
      <c r="E41" s="762">
        <f>_xlfn.XLOOKUP(D41,RUC!$B$3:$B$123,RUC!$D$3:$D$123)</f>
        <v>20603169094</v>
      </c>
      <c r="F41" s="629"/>
      <c r="G41" s="762">
        <v>43</v>
      </c>
      <c r="H41" s="1082" t="s">
        <v>69</v>
      </c>
      <c r="I41" s="703">
        <v>3.55</v>
      </c>
      <c r="J41" s="596">
        <v>5</v>
      </c>
      <c r="K41" s="703">
        <f t="shared" si="0"/>
        <v>3.3730000000000002</v>
      </c>
      <c r="L41" s="1192">
        <v>0.27</v>
      </c>
      <c r="M41" s="994">
        <f>ROUND(+IF(L41&gt;_xlfn.XLOOKUP(AN41,RUC!M:M,RUC!K:K),L41*_xlfn.XLOOKUP(AN41,RUC!M:M,RUC!I:I),L41-_xlfn.XLOOKUP(AN41,RUC!M:M,RUC!J:J)),3)</f>
        <v>0.248</v>
      </c>
      <c r="N41" s="1196">
        <f t="shared" si="26"/>
        <v>0.248</v>
      </c>
      <c r="O41" s="645">
        <f t="shared" si="27"/>
        <v>0.248</v>
      </c>
      <c r="P41" s="727">
        <v>90</v>
      </c>
      <c r="Q41" s="875">
        <v>91.85</v>
      </c>
      <c r="R41" s="706">
        <v>4355.2</v>
      </c>
      <c r="S41" s="765">
        <f>IF((_xlfn.XLOOKUP(D41,RUC!$B$3:$B$119,RUC!$E$3:$E$119)+ROUNDDOWN(O41,1)*100)&lt;95,95,((_xlfn.XLOOKUP(D41,RUC!$B$3:$B$119,RUC!$E$3:$E$119)+ROUNDDOWN(O41,1)*100)))</f>
        <v>110</v>
      </c>
      <c r="U41" s="1146">
        <f>_xlfn.XLOOKUP(D41,RUC!$B$3:$B$123,RUC!$F$3:$F$123)</f>
        <v>100</v>
      </c>
      <c r="V41" s="715">
        <v>1.1023000000000001</v>
      </c>
      <c r="Y41">
        <f>_xlfn.XLOOKUP(D41,RUC!$B$3:$B$123,RUC!$G$3:$G$123)</f>
        <v>0</v>
      </c>
      <c r="Z41" s="143">
        <f>_xlfn.XLOOKUP(D41,RUC!$B$3:$B$123,RUC!$H$3:$H$123)</f>
        <v>28</v>
      </c>
      <c r="AA41" s="144">
        <f t="shared" si="2"/>
        <v>28</v>
      </c>
      <c r="AB41" s="145">
        <f t="shared" si="28"/>
        <v>894.80375347200004</v>
      </c>
      <c r="AC41" s="145">
        <f>+(S41-T41)*V41-'data 1'!$F$4</f>
        <v>41.253</v>
      </c>
      <c r="AD41" s="145">
        <f t="shared" si="4"/>
        <v>23.429082265199927</v>
      </c>
      <c r="AE41" s="145">
        <f t="shared" si="5"/>
        <v>-39.135599999999997</v>
      </c>
      <c r="AF41" s="145">
        <f t="shared" si="6"/>
        <v>94.781074140720065</v>
      </c>
      <c r="AG41" s="772">
        <f t="shared" si="29"/>
        <v>137.32755640592001</v>
      </c>
      <c r="AH41" s="1253">
        <f t="shared" si="7"/>
        <v>28.678999999999998</v>
      </c>
      <c r="AI41" s="1253">
        <f t="shared" si="8"/>
        <v>31.224</v>
      </c>
      <c r="AJ41" s="156">
        <f t="shared" si="9"/>
        <v>12.246747004800049</v>
      </c>
      <c r="AK41" s="156">
        <f t="shared" si="10"/>
        <v>25.811877820839481</v>
      </c>
      <c r="AM41" s="716">
        <f t="shared" si="11"/>
        <v>3018.1730604610561</v>
      </c>
      <c r="AN41" s="716" t="str">
        <f>_xlfn.XLOOKUP(D41,RUC!$B$3:$B$578,RUC!$M$3:$M$578)</f>
        <v>YEREMY</v>
      </c>
      <c r="AO41" s="1167" t="s">
        <v>2278</v>
      </c>
      <c r="AP41" s="1082" t="s">
        <v>6019</v>
      </c>
      <c r="AQ41" s="1082" t="s">
        <v>6020</v>
      </c>
    </row>
    <row r="42" spans="1:53" ht="15" customHeight="1">
      <c r="A42" s="877" t="s">
        <v>6001</v>
      </c>
      <c r="B42" s="1447">
        <v>46192</v>
      </c>
      <c r="C42" s="1447">
        <v>46187</v>
      </c>
      <c r="D42" t="s">
        <v>5728</v>
      </c>
      <c r="E42" s="762">
        <f>_xlfn.XLOOKUP(D42,RUC!$B$3:$B$123,RUC!$D$3:$D$123)</f>
        <v>20603169094</v>
      </c>
      <c r="F42" s="629"/>
      <c r="G42" s="762">
        <v>66</v>
      </c>
      <c r="H42" s="1082" t="s">
        <v>69</v>
      </c>
      <c r="I42" s="703"/>
      <c r="J42" s="596"/>
      <c r="K42" s="703"/>
      <c r="L42" s="1192"/>
      <c r="M42" s="994"/>
      <c r="N42" s="1196"/>
      <c r="O42" s="645"/>
      <c r="P42" s="727"/>
      <c r="Q42" s="1899"/>
      <c r="R42" s="706"/>
      <c r="S42" s="765"/>
      <c r="U42" s="1146"/>
      <c r="V42" s="715"/>
      <c r="Z42" s="143"/>
      <c r="AA42" s="144"/>
      <c r="AB42" s="145"/>
      <c r="AC42" s="145"/>
      <c r="AD42" s="145"/>
      <c r="AE42" s="145"/>
      <c r="AF42" s="145"/>
      <c r="AG42" s="772"/>
      <c r="AH42" s="1253"/>
      <c r="AI42" s="1253"/>
      <c r="AJ42" s="156"/>
      <c r="AK42" s="156"/>
      <c r="AM42" s="716"/>
      <c r="AN42" s="716"/>
      <c r="AO42" s="1167" t="s">
        <v>2282</v>
      </c>
    </row>
    <row r="43" spans="1:53" ht="15" customHeight="1">
      <c r="A43" s="747" t="s">
        <v>6002</v>
      </c>
      <c r="B43" s="1447">
        <v>46195</v>
      </c>
      <c r="C43" s="1447">
        <v>46187</v>
      </c>
      <c r="D43" t="s">
        <v>5265</v>
      </c>
      <c r="E43" s="762">
        <f>_xlfn.XLOOKUP(D43,RUC!$B$3:$B$123,RUC!$D$3:$D$123)</f>
        <v>20609653036</v>
      </c>
      <c r="F43" s="629"/>
      <c r="G43" s="762">
        <v>51</v>
      </c>
      <c r="H43" s="1082" t="s">
        <v>69</v>
      </c>
      <c r="I43" s="703">
        <v>4.9400000000000004</v>
      </c>
      <c r="J43" s="596">
        <v>10.9</v>
      </c>
      <c r="K43" s="703">
        <f t="shared" ref="K43:K74" si="30">ROUND(+I43-(I43*(J43/100)),3)</f>
        <v>4.4020000000000001</v>
      </c>
      <c r="L43" s="1192">
        <v>0.28599999999999998</v>
      </c>
      <c r="M43" s="994">
        <f>ROUND(+IF(L43&gt;_xlfn.XLOOKUP(AN43,RUC!M:M,RUC!K:K),L43*_xlfn.XLOOKUP(AN43,RUC!M:M,RUC!I:I),L43-_xlfn.XLOOKUP(AN43,RUC!M:M,RUC!J:J)),3)</f>
        <v>0.26700000000000002</v>
      </c>
      <c r="N43" s="1196">
        <f t="shared" ref="N43:N55" si="31">+M43</f>
        <v>0.26700000000000002</v>
      </c>
      <c r="O43" s="645">
        <f t="shared" ref="O43:O74" si="32">+ROUNDDOWN((M43+N43)/2,3)</f>
        <v>0.26700000000000002</v>
      </c>
      <c r="P43" s="727">
        <v>90</v>
      </c>
      <c r="Q43" s="875">
        <v>95.45</v>
      </c>
      <c r="R43" s="706">
        <v>4355.2</v>
      </c>
      <c r="S43" s="765">
        <f>IF((_xlfn.XLOOKUP(D43,RUC!$B$3:$B$119,RUC!$E$3:$E$119)+ROUNDDOWN(O43,1)*100)&lt;95,95,((_xlfn.XLOOKUP(D43,RUC!$B$3:$B$119,RUC!$E$3:$E$119)+ROUNDDOWN(O43,1)*100)))</f>
        <v>100</v>
      </c>
      <c r="U43" s="1146">
        <f>_xlfn.XLOOKUP(D43,RUC!$B$3:$B$123,RUC!$F$3:$F$123)</f>
        <v>110</v>
      </c>
      <c r="V43" s="715">
        <v>1.1023000000000001</v>
      </c>
      <c r="Y43">
        <f>_xlfn.XLOOKUP(D43,RUC!$B$3:$B$123,RUC!$G$3:$G$123)</f>
        <v>0</v>
      </c>
      <c r="Z43" s="143">
        <f>_xlfn.XLOOKUP(D43,RUC!$B$3:$B$123,RUC!$H$3:$H$123)</f>
        <v>35</v>
      </c>
      <c r="AA43" s="144">
        <f t="shared" ref="AA43:AA74" si="33">+Y43+Z43</f>
        <v>35</v>
      </c>
      <c r="AB43" s="145">
        <f t="shared" ref="AB43:AB74" si="34">+((O43*P43*(R43-U43)/100)-S43-AA43+T43)*V43</f>
        <v>975.66949558800013</v>
      </c>
      <c r="AC43" s="145">
        <f>+(S43-T43)*V43-'data 1'!$F$4</f>
        <v>30.230000000000004</v>
      </c>
      <c r="AD43" s="145">
        <f t="shared" ref="AD43:AD74" si="35">+(Q43-P43)*(R43-U43)*L43*V43/100</f>
        <v>72.939116484520028</v>
      </c>
      <c r="AE43" s="145">
        <f t="shared" ref="AE43:AE74" si="36">+(Y43*V43-70)+V43*(Z43-IF(D43="UNTUCA",IF(+((W43-3)*2.5+(X43-3)*3.1)&gt;0,+((W43-3)*1.5+(X43-3)*3.1),0),IF(+((W43-3)*1.5+(X43-3)*3.1)&gt;0,+((W43-3)*1.5+(X43-3)*3.1),0)))</f>
        <v>-31.419499999999999</v>
      </c>
      <c r="AF43" s="145">
        <f t="shared" ref="AF43:AF74" si="37">(L43-O43)*(R43-U43)*Q43*V43/100</f>
        <v>84.864781356579826</v>
      </c>
      <c r="AG43" s="772">
        <f t="shared" ref="AG43:AG56" si="38">AC43+AD43+AE43+AF43+70-53</f>
        <v>173.61439784109984</v>
      </c>
      <c r="AH43" s="1253">
        <f t="shared" ref="AH43:AH74" si="39">ROUND((31.1035*L43*Q43*1.1023*K43/100),3)</f>
        <v>41.2</v>
      </c>
      <c r="AI43" s="1253">
        <f t="shared" ref="AI43:AI74" si="40">ROUND((31.1035*L43*1.1023*K43),3)</f>
        <v>43.164000000000001</v>
      </c>
      <c r="AJ43" s="156">
        <f t="shared" ref="AJ43:AJ74" si="41">+((+$AJ$2-R43+U43)*L43*Q43*V43)/100</f>
        <v>16.490063641480052</v>
      </c>
      <c r="AK43" s="156">
        <f t="shared" ref="AK43:AK74" si="42">31.1035*1.1023*K43*P43*O43/100</f>
        <v>36.267104050522832</v>
      </c>
      <c r="AM43" s="716">
        <f t="shared" ref="AM43:AM74" si="43">+IF(AB43*K43&gt;0,AB43*K43,0)</f>
        <v>4294.897119578377</v>
      </c>
      <c r="AN43" s="716" t="str">
        <f>_xlfn.XLOOKUP(D43,RUC!$B$3:$B$578,RUC!$M$3:$M$578)</f>
        <v>Robinson Tuya</v>
      </c>
      <c r="AO43" s="1167" t="s">
        <v>2278</v>
      </c>
      <c r="AP43" s="1082" t="s">
        <v>3561</v>
      </c>
      <c r="AQ43" s="1082" t="s">
        <v>6044</v>
      </c>
    </row>
    <row r="44" spans="1:53" ht="15" customHeight="1">
      <c r="A44" s="747" t="s">
        <v>6003</v>
      </c>
      <c r="B44" s="1447">
        <v>46195</v>
      </c>
      <c r="C44" s="1447">
        <v>46187</v>
      </c>
      <c r="D44" t="s">
        <v>5265</v>
      </c>
      <c r="E44" s="762">
        <f>_xlfn.XLOOKUP(D44,RUC!$B$3:$B$123,RUC!$D$3:$D$123)</f>
        <v>20609653036</v>
      </c>
      <c r="F44" s="629"/>
      <c r="G44" s="762">
        <v>266</v>
      </c>
      <c r="H44" s="1082" t="s">
        <v>116</v>
      </c>
      <c r="I44" s="703">
        <v>27.07</v>
      </c>
      <c r="J44" s="596">
        <v>13.63</v>
      </c>
      <c r="K44" s="703">
        <f t="shared" si="30"/>
        <v>23.38</v>
      </c>
      <c r="L44" s="1192">
        <v>0.193</v>
      </c>
      <c r="M44" s="994">
        <f>ROUND(+IF(L44&gt;_xlfn.XLOOKUP(AN44,RUC!M:M,RUC!K:K),L44*_xlfn.XLOOKUP(AN44,RUC!M:M,RUC!I:I),L44-_xlfn.XLOOKUP(AN44,RUC!M:M,RUC!J:J)),3)</f>
        <v>0.17399999999999999</v>
      </c>
      <c r="N44" s="1196">
        <f t="shared" si="31"/>
        <v>0.17399999999999999</v>
      </c>
      <c r="O44" s="645">
        <f t="shared" si="32"/>
        <v>0.17399999999999999</v>
      </c>
      <c r="P44" s="727">
        <v>85</v>
      </c>
      <c r="Q44" s="875">
        <v>95.85</v>
      </c>
      <c r="R44" s="706">
        <v>4355.2</v>
      </c>
      <c r="S44" s="765">
        <f>IF((_xlfn.XLOOKUP(D44,RUC!$B$3:$B$119,RUC!$E$3:$E$119)+ROUNDDOWN(O44,1)*100)&lt;95,95,((_xlfn.XLOOKUP(D44,RUC!$B$3:$B$119,RUC!$E$3:$E$119)+ROUNDDOWN(O44,1)*100)))</f>
        <v>95</v>
      </c>
      <c r="U44" s="1146">
        <f>_xlfn.XLOOKUP(D44,RUC!$B$3:$B$123,RUC!$F$3:$F$123)</f>
        <v>110</v>
      </c>
      <c r="V44" s="715">
        <v>1.1023000000000001</v>
      </c>
      <c r="Y44">
        <f>_xlfn.XLOOKUP(D44,RUC!$B$3:$B$123,RUC!$G$3:$G$123)</f>
        <v>0</v>
      </c>
      <c r="Z44" s="143">
        <f>_xlfn.XLOOKUP(D44,RUC!$B$3:$B$123,RUC!$H$3:$H$123)</f>
        <v>35</v>
      </c>
      <c r="AA44" s="144">
        <f t="shared" si="33"/>
        <v>35</v>
      </c>
      <c r="AB44" s="145">
        <f t="shared" si="34"/>
        <v>548.79667768399997</v>
      </c>
      <c r="AC44" s="145">
        <f>+(S44-T44)*V44-'data 1'!$F$4</f>
        <v>24.718500000000006</v>
      </c>
      <c r="AD44" s="145">
        <f t="shared" si="35"/>
        <v>97.990733864379948</v>
      </c>
      <c r="AE44" s="145">
        <f t="shared" si="36"/>
        <v>-31.419499999999999</v>
      </c>
      <c r="AF44" s="145">
        <f t="shared" si="37"/>
        <v>85.220422137540083</v>
      </c>
      <c r="AG44" s="772">
        <f t="shared" si="38"/>
        <v>193.51015600192005</v>
      </c>
      <c r="AH44" s="1253">
        <f t="shared" si="39"/>
        <v>148.28700000000001</v>
      </c>
      <c r="AI44" s="1253">
        <f t="shared" si="40"/>
        <v>154.70699999999999</v>
      </c>
      <c r="AJ44" s="156">
        <f t="shared" si="41"/>
        <v>11.174543542620036</v>
      </c>
      <c r="AK44" s="156">
        <f t="shared" si="42"/>
        <v>118.5555119088711</v>
      </c>
      <c r="AM44" s="716">
        <f t="shared" si="43"/>
        <v>12830.86632425192</v>
      </c>
      <c r="AN44" s="716" t="str">
        <f>_xlfn.XLOOKUP(D44,RUC!$B$3:$B$578,RUC!$M$3:$M$578)</f>
        <v>Robinson Tuya</v>
      </c>
      <c r="AO44" s="1167" t="s">
        <v>2276</v>
      </c>
      <c r="AP44" s="1082" t="s">
        <v>3561</v>
      </c>
      <c r="AQ44" s="1082" t="s">
        <v>6044</v>
      </c>
    </row>
    <row r="45" spans="1:53" ht="15" customHeight="1">
      <c r="A45" s="747" t="s">
        <v>6018</v>
      </c>
      <c r="B45" s="1447">
        <v>46195</v>
      </c>
      <c r="C45" s="1447">
        <v>46188</v>
      </c>
      <c r="D45" t="s">
        <v>3316</v>
      </c>
      <c r="E45" s="762">
        <f>_xlfn.XLOOKUP(D45,RUC!$B$3:$B$123,RUC!$D$3:$D$123)</f>
        <v>20613935151</v>
      </c>
      <c r="F45" s="629"/>
      <c r="G45" s="762">
        <v>94</v>
      </c>
      <c r="H45" s="1082" t="s">
        <v>69</v>
      </c>
      <c r="I45" s="703">
        <v>7.28</v>
      </c>
      <c r="J45" s="596">
        <v>2.1</v>
      </c>
      <c r="K45" s="703">
        <f t="shared" si="30"/>
        <v>7.1269999999999998</v>
      </c>
      <c r="L45" s="1192">
        <v>0.26500000000000001</v>
      </c>
      <c r="M45" s="994">
        <f>ROUND(+IF(L45&gt;_xlfn.XLOOKUP(AN45,RUC!M:M,RUC!K:K),L45*_xlfn.XLOOKUP(AN45,RUC!M:M,RUC!I:I),L45-_xlfn.XLOOKUP(AN45,RUC!M:M,RUC!J:J)),3)</f>
        <v>0.246</v>
      </c>
      <c r="N45" s="1196">
        <f t="shared" si="31"/>
        <v>0.246</v>
      </c>
      <c r="O45" s="645">
        <f t="shared" si="32"/>
        <v>0.246</v>
      </c>
      <c r="P45" s="727">
        <v>90</v>
      </c>
      <c r="Q45" s="875">
        <v>97.74</v>
      </c>
      <c r="R45" s="706">
        <v>4355.2</v>
      </c>
      <c r="S45" s="765">
        <f>IF((_xlfn.XLOOKUP(D45,RUC!$B$3:$B$119,RUC!$E$3:$E$119)+ROUNDDOWN(O45,1)*100)&lt;95,95,((_xlfn.XLOOKUP(D45,RUC!$B$3:$B$119,RUC!$E$3:$E$119)+ROUNDDOWN(O45,1)*100)))</f>
        <v>110</v>
      </c>
      <c r="U45" s="1146">
        <f>_xlfn.XLOOKUP(D45,RUC!$B$3:$B$123,RUC!$F$3:$F$123)</f>
        <v>120</v>
      </c>
      <c r="V45" s="715">
        <v>1.1023000000000001</v>
      </c>
      <c r="Y45">
        <f>_xlfn.XLOOKUP(D45,RUC!$B$3:$B$123,RUC!$G$3:$G$123)</f>
        <v>20</v>
      </c>
      <c r="Z45" s="143">
        <f>_xlfn.XLOOKUP(D45,RUC!$B$3:$B$123,RUC!$H$3:$H$123)</f>
        <v>30</v>
      </c>
      <c r="AA45" s="144">
        <f t="shared" si="33"/>
        <v>50</v>
      </c>
      <c r="AB45" s="145">
        <f t="shared" si="34"/>
        <v>857.22925654400001</v>
      </c>
      <c r="AC45" s="145">
        <f>+(S45-T45)*V45-'data 1'!$F$4</f>
        <v>41.253</v>
      </c>
      <c r="AD45" s="145">
        <f t="shared" si="35"/>
        <v>95.754802750559932</v>
      </c>
      <c r="AE45" s="145">
        <f t="shared" si="36"/>
        <v>-14.884999999999998</v>
      </c>
      <c r="AF45" s="145">
        <f t="shared" si="37"/>
        <v>86.696121103776079</v>
      </c>
      <c r="AG45" s="772">
        <f t="shared" si="38"/>
        <v>225.81892385433605</v>
      </c>
      <c r="AH45" s="1253">
        <f t="shared" si="39"/>
        <v>63.29</v>
      </c>
      <c r="AI45" s="1253">
        <f t="shared" si="40"/>
        <v>64.753</v>
      </c>
      <c r="AJ45" s="156">
        <f t="shared" si="41"/>
        <v>18.500907079440054</v>
      </c>
      <c r="AK45" s="156">
        <f t="shared" si="42"/>
        <v>54.09952408400229</v>
      </c>
      <c r="AM45" s="716">
        <f t="shared" si="43"/>
        <v>6109.472911389088</v>
      </c>
      <c r="AN45" s="716" t="str">
        <f>_xlfn.XLOOKUP(D45,RUC!$B$3:$B$578,RUC!$M$3:$M$578)</f>
        <v xml:space="preserve">Dante </v>
      </c>
      <c r="AO45" s="1167" t="s">
        <v>2278</v>
      </c>
      <c r="AP45" s="1082" t="s">
        <v>6049</v>
      </c>
      <c r="AQ45" s="1082" t="s">
        <v>3189</v>
      </c>
    </row>
    <row r="46" spans="1:53" ht="15" customHeight="1">
      <c r="A46" s="1819" t="s">
        <v>6021</v>
      </c>
      <c r="B46" s="1447">
        <v>46196</v>
      </c>
      <c r="C46" s="1447">
        <v>46188</v>
      </c>
      <c r="D46" t="s">
        <v>6040</v>
      </c>
      <c r="E46" s="762">
        <f>_xlfn.XLOOKUP(D46,RUC!$B$3:$B$123,RUC!$D$3:$D$123)</f>
        <v>10422176905</v>
      </c>
      <c r="F46" s="629" t="s">
        <v>6059</v>
      </c>
      <c r="G46" s="762">
        <v>52</v>
      </c>
      <c r="H46" s="1082" t="s">
        <v>69</v>
      </c>
      <c r="I46" s="703">
        <v>5.53</v>
      </c>
      <c r="J46" s="596">
        <v>7.7</v>
      </c>
      <c r="K46" s="703">
        <f t="shared" si="30"/>
        <v>5.1040000000000001</v>
      </c>
      <c r="L46" s="1192">
        <v>0.67300000000000004</v>
      </c>
      <c r="M46" s="994">
        <f>ROUND(+IF(L46&gt;_xlfn.XLOOKUP(AN46,RUC!M:M,RUC!K:K),L46*_xlfn.XLOOKUP(AN46,RUC!M:M,RUC!I:I),L46-_xlfn.XLOOKUP(AN46,RUC!M:M,RUC!J:J)),3)</f>
        <v>0.63300000000000001</v>
      </c>
      <c r="N46" s="1196">
        <f t="shared" si="31"/>
        <v>0.63300000000000001</v>
      </c>
      <c r="O46" s="645">
        <f t="shared" si="32"/>
        <v>0.63300000000000001</v>
      </c>
      <c r="P46" s="727">
        <v>90</v>
      </c>
      <c r="Q46" s="875">
        <v>95.84</v>
      </c>
      <c r="R46" s="706">
        <v>4355.2</v>
      </c>
      <c r="S46" s="765">
        <f>IF((_xlfn.XLOOKUP(D46,RUC!$B$3:$B$119,RUC!$E$3:$E$119)+ROUNDDOWN(O46,1)*100)&lt;95,95,((_xlfn.XLOOKUP(D46,RUC!$B$3:$B$119,RUC!$E$3:$E$119)+ROUNDDOWN(O46,1)*100)))</f>
        <v>150</v>
      </c>
      <c r="U46" s="1146">
        <f>_xlfn.XLOOKUP(D46,RUC!$B$3:$B$123,RUC!$F$3:$F$123)</f>
        <v>120</v>
      </c>
      <c r="V46" s="715">
        <v>1.1023000000000001</v>
      </c>
      <c r="Y46">
        <f>_xlfn.XLOOKUP(D46,RUC!$B$3:$B$123,RUC!$G$3:$G$123)</f>
        <v>20</v>
      </c>
      <c r="Z46" s="143">
        <f>_xlfn.XLOOKUP(D46,RUC!$B$3:$B$123,RUC!$H$3:$H$123)</f>
        <v>30</v>
      </c>
      <c r="AA46" s="144">
        <f t="shared" si="33"/>
        <v>50</v>
      </c>
      <c r="AB46" s="145">
        <f t="shared" si="34"/>
        <v>2439.1622089120001</v>
      </c>
      <c r="AC46" s="145">
        <f>+(S46-T46)*V46-'data 1'!$F$4</f>
        <v>85.344999999999999</v>
      </c>
      <c r="AD46" s="145">
        <f t="shared" si="35"/>
        <v>183.48545480307214</v>
      </c>
      <c r="AE46" s="145">
        <f t="shared" si="36"/>
        <v>-14.884999999999998</v>
      </c>
      <c r="AF46" s="145">
        <f t="shared" si="37"/>
        <v>178.97011936256015</v>
      </c>
      <c r="AG46" s="772">
        <f t="shared" si="38"/>
        <v>449.91557416563228</v>
      </c>
      <c r="AH46" s="1253">
        <f t="shared" si="39"/>
        <v>112.871</v>
      </c>
      <c r="AI46" s="1253">
        <f t="shared" si="40"/>
        <v>117.77</v>
      </c>
      <c r="AJ46" s="156">
        <f t="shared" si="41"/>
        <v>46.071959372928141</v>
      </c>
      <c r="AK46" s="156">
        <f t="shared" si="42"/>
        <v>99.693295959921855</v>
      </c>
      <c r="AM46" s="716">
        <f t="shared" si="43"/>
        <v>12449.48391428685</v>
      </c>
      <c r="AN46" s="716" t="str">
        <f>_xlfn.XLOOKUP(D46,RUC!$B$3:$B$578,RUC!$M$3:$M$578)</f>
        <v>Richard Sapacayo</v>
      </c>
      <c r="AO46" s="1167" t="s">
        <v>2278</v>
      </c>
      <c r="AP46" s="1082" t="s">
        <v>2905</v>
      </c>
      <c r="AQ46" s="1082" t="s">
        <v>5398</v>
      </c>
    </row>
    <row r="47" spans="1:53" ht="15" customHeight="1">
      <c r="A47" s="1819" t="s">
        <v>6022</v>
      </c>
      <c r="B47" s="1447">
        <v>46196</v>
      </c>
      <c r="C47" s="1447">
        <v>46188</v>
      </c>
      <c r="D47" t="s">
        <v>6040</v>
      </c>
      <c r="E47" s="762">
        <f>_xlfn.XLOOKUP(D47,RUC!$B$3:$B$123,RUC!$D$3:$D$123)</f>
        <v>10422176905</v>
      </c>
      <c r="F47" s="629" t="s">
        <v>6059</v>
      </c>
      <c r="G47" s="762">
        <v>50</v>
      </c>
      <c r="H47" s="1082" t="s">
        <v>69</v>
      </c>
      <c r="I47" s="703">
        <v>5.77</v>
      </c>
      <c r="J47" s="596">
        <v>6.55</v>
      </c>
      <c r="K47" s="703">
        <f t="shared" si="30"/>
        <v>5.3920000000000003</v>
      </c>
      <c r="L47" s="1192">
        <v>0.35199999999999998</v>
      </c>
      <c r="M47" s="994">
        <f>ROUND(+IF(L47&gt;_xlfn.XLOOKUP(AN47,RUC!M:M,RUC!K:K),L47*_xlfn.XLOOKUP(AN47,RUC!M:M,RUC!I:I),L47-_xlfn.XLOOKUP(AN47,RUC!M:M,RUC!J:J)),3)</f>
        <v>0.317</v>
      </c>
      <c r="N47" s="1196">
        <f t="shared" si="31"/>
        <v>0.317</v>
      </c>
      <c r="O47" s="645">
        <f t="shared" si="32"/>
        <v>0.317</v>
      </c>
      <c r="P47" s="727">
        <v>90</v>
      </c>
      <c r="Q47" s="875">
        <v>92.9</v>
      </c>
      <c r="R47" s="706">
        <v>4355.2</v>
      </c>
      <c r="S47" s="765">
        <f>IF((_xlfn.XLOOKUP(D47,RUC!$B$3:$B$119,RUC!$E$3:$E$119)+ROUNDDOWN(O47,1)*100)&lt;95,95,((_xlfn.XLOOKUP(D47,RUC!$B$3:$B$119,RUC!$E$3:$E$119)+ROUNDDOWN(O47,1)*100)))</f>
        <v>120</v>
      </c>
      <c r="U47" s="1146">
        <f>_xlfn.XLOOKUP(D47,RUC!$B$3:$B$123,RUC!$F$3:$F$123)</f>
        <v>120</v>
      </c>
      <c r="V47" s="715">
        <v>1.1023000000000001</v>
      </c>
      <c r="Y47">
        <f>_xlfn.XLOOKUP(D47,RUC!$B$3:$B$123,RUC!$G$3:$G$123)</f>
        <v>20</v>
      </c>
      <c r="Z47" s="143">
        <f>_xlfn.XLOOKUP(D47,RUC!$B$3:$B$123,RUC!$H$3:$H$123)</f>
        <v>30</v>
      </c>
      <c r="AA47" s="144">
        <f t="shared" si="33"/>
        <v>50</v>
      </c>
      <c r="AB47" s="145">
        <f t="shared" si="34"/>
        <v>1144.520911888</v>
      </c>
      <c r="AC47" s="145">
        <f>+(S47-T47)*V47-'data 1'!$F$4</f>
        <v>52.27600000000001</v>
      </c>
      <c r="AD47" s="145">
        <f t="shared" si="35"/>
        <v>47.655649479680093</v>
      </c>
      <c r="AE47" s="145">
        <f t="shared" si="36"/>
        <v>-14.884999999999998</v>
      </c>
      <c r="AF47" s="145">
        <f t="shared" si="37"/>
        <v>151.79500811439991</v>
      </c>
      <c r="AG47" s="772">
        <f t="shared" si="38"/>
        <v>253.84165759408</v>
      </c>
      <c r="AH47" s="1253">
        <f t="shared" si="39"/>
        <v>60.453000000000003</v>
      </c>
      <c r="AI47" s="1253">
        <f t="shared" si="40"/>
        <v>65.072999999999993</v>
      </c>
      <c r="AJ47" s="156">
        <f t="shared" si="41"/>
        <v>23.357867512320066</v>
      </c>
      <c r="AK47" s="156">
        <f t="shared" si="42"/>
        <v>52.742501567905684</v>
      </c>
      <c r="AM47" s="716">
        <f t="shared" si="43"/>
        <v>6171.2567569000967</v>
      </c>
      <c r="AN47" s="716" t="str">
        <f>_xlfn.XLOOKUP(D47,RUC!$B$3:$B$578,RUC!$M$3:$M$578)</f>
        <v>Richard Sapacayo</v>
      </c>
      <c r="AO47" s="1167" t="s">
        <v>2278</v>
      </c>
      <c r="AP47" s="1082" t="s">
        <v>2905</v>
      </c>
      <c r="AQ47" s="1082" t="s">
        <v>5398</v>
      </c>
    </row>
    <row r="48" spans="1:53" ht="15" customHeight="1">
      <c r="A48" s="1819" t="s">
        <v>6023</v>
      </c>
      <c r="B48" s="1447">
        <v>46196</v>
      </c>
      <c r="C48" s="1447">
        <v>46188</v>
      </c>
      <c r="D48" t="s">
        <v>6040</v>
      </c>
      <c r="E48" s="762">
        <f>_xlfn.XLOOKUP(D48,RUC!$B$3:$B$123,RUC!$D$3:$D$123)</f>
        <v>10422176905</v>
      </c>
      <c r="F48" s="629" t="s">
        <v>6059</v>
      </c>
      <c r="G48" s="762">
        <v>37</v>
      </c>
      <c r="H48" s="1082" t="s">
        <v>69</v>
      </c>
      <c r="I48" s="703">
        <v>4.29</v>
      </c>
      <c r="J48" s="596">
        <v>7.25</v>
      </c>
      <c r="K48" s="703">
        <f t="shared" si="30"/>
        <v>3.9790000000000001</v>
      </c>
      <c r="L48" s="1192">
        <v>0.29099999999999998</v>
      </c>
      <c r="M48" s="994">
        <f>ROUND(+IF(L48&gt;_xlfn.XLOOKUP(AN48,RUC!M:M,RUC!K:K),L48*_xlfn.XLOOKUP(AN48,RUC!M:M,RUC!I:I),L48-_xlfn.XLOOKUP(AN48,RUC!M:M,RUC!J:J)),3)</f>
        <v>0.25600000000000001</v>
      </c>
      <c r="N48" s="1196">
        <f t="shared" si="31"/>
        <v>0.25600000000000001</v>
      </c>
      <c r="O48" s="645">
        <f t="shared" si="32"/>
        <v>0.25600000000000001</v>
      </c>
      <c r="P48" s="727">
        <v>90</v>
      </c>
      <c r="Q48" s="875">
        <v>92.1</v>
      </c>
      <c r="R48" s="706">
        <v>4355.2</v>
      </c>
      <c r="S48" s="765">
        <f>IF((_xlfn.XLOOKUP(D48,RUC!$B$3:$B$119,RUC!$E$3:$E$119)+ROUNDDOWN(O48,1)*100)&lt;95,95,((_xlfn.XLOOKUP(D48,RUC!$B$3:$B$119,RUC!$E$3:$E$119)+ROUNDDOWN(O48,1)*100)))</f>
        <v>110</v>
      </c>
      <c r="U48" s="1146">
        <f>_xlfn.XLOOKUP(D48,RUC!$B$3:$B$123,RUC!$F$3:$F$123)</f>
        <v>120</v>
      </c>
      <c r="V48" s="715">
        <v>1.1023000000000001</v>
      </c>
      <c r="Y48">
        <f>_xlfn.XLOOKUP(D48,RUC!$B$3:$B$123,RUC!$G$3:$G$123)</f>
        <v>20</v>
      </c>
      <c r="Z48" s="143">
        <f>_xlfn.XLOOKUP(D48,RUC!$B$3:$B$123,RUC!$H$3:$H$123)</f>
        <v>30</v>
      </c>
      <c r="AA48" s="144">
        <f t="shared" si="33"/>
        <v>50</v>
      </c>
      <c r="AB48" s="145">
        <f t="shared" si="34"/>
        <v>899.24540518399988</v>
      </c>
      <c r="AC48" s="145">
        <f>+(S48-T48)*V48-'data 1'!$F$4</f>
        <v>41.253</v>
      </c>
      <c r="AD48" s="145">
        <f t="shared" si="35"/>
        <v>28.528964926559926</v>
      </c>
      <c r="AE48" s="145">
        <f t="shared" si="36"/>
        <v>-14.884999999999998</v>
      </c>
      <c r="AF48" s="145">
        <f t="shared" si="37"/>
        <v>150.48783904559988</v>
      </c>
      <c r="AG48" s="772">
        <f t="shared" si="38"/>
        <v>222.38480397215983</v>
      </c>
      <c r="AH48" s="1253">
        <f t="shared" si="39"/>
        <v>36.561999999999998</v>
      </c>
      <c r="AI48" s="1253">
        <f t="shared" si="40"/>
        <v>39.698999999999998</v>
      </c>
      <c r="AJ48" s="156">
        <f t="shared" si="41"/>
        <v>19.143768439440052</v>
      </c>
      <c r="AK48" s="156">
        <f t="shared" si="42"/>
        <v>31.431527205338885</v>
      </c>
      <c r="AM48" s="716">
        <f t="shared" si="43"/>
        <v>3578.0974672271354</v>
      </c>
      <c r="AN48" s="716" t="str">
        <f>_xlfn.XLOOKUP(D48,RUC!$B$3:$B$578,RUC!$M$3:$M$578)</f>
        <v>Richard Sapacayo</v>
      </c>
      <c r="AO48" s="1167" t="s">
        <v>2278</v>
      </c>
      <c r="AP48" s="1082" t="s">
        <v>2905</v>
      </c>
      <c r="AQ48" s="1082" t="s">
        <v>5398</v>
      </c>
    </row>
    <row r="49" spans="1:43" ht="15" customHeight="1">
      <c r="A49" s="1819" t="s">
        <v>6024</v>
      </c>
      <c r="B49" s="1447">
        <v>46196</v>
      </c>
      <c r="C49" s="1447">
        <v>46188</v>
      </c>
      <c r="D49" t="s">
        <v>6040</v>
      </c>
      <c r="E49" s="762">
        <f>_xlfn.XLOOKUP(D49,RUC!$B$3:$B$123,RUC!$D$3:$D$123)</f>
        <v>10422176905</v>
      </c>
      <c r="F49" s="629" t="s">
        <v>6059</v>
      </c>
      <c r="G49" s="762">
        <v>31</v>
      </c>
      <c r="H49" s="1082" t="s">
        <v>69</v>
      </c>
      <c r="I49" s="703">
        <v>3.24</v>
      </c>
      <c r="J49" s="596">
        <v>7.65</v>
      </c>
      <c r="K49" s="703">
        <f t="shared" si="30"/>
        <v>2.992</v>
      </c>
      <c r="L49" s="1192">
        <v>0.57199999999999995</v>
      </c>
      <c r="M49" s="994">
        <f>ROUND(+IF(L49&gt;_xlfn.XLOOKUP(AN49,RUC!M:M,RUC!K:K),L49*_xlfn.XLOOKUP(AN49,RUC!M:M,RUC!I:I),L49-_xlfn.XLOOKUP(AN49,RUC!M:M,RUC!J:J)),3)</f>
        <v>0.53800000000000003</v>
      </c>
      <c r="N49" s="1196">
        <f t="shared" si="31"/>
        <v>0.53800000000000003</v>
      </c>
      <c r="O49" s="645">
        <f t="shared" si="32"/>
        <v>0.53800000000000003</v>
      </c>
      <c r="P49" s="727">
        <v>90</v>
      </c>
      <c r="Q49" s="875">
        <v>90.38</v>
      </c>
      <c r="R49" s="706">
        <v>4355.2</v>
      </c>
      <c r="S49" s="765">
        <f>IF((_xlfn.XLOOKUP(D49,RUC!$B$3:$B$119,RUC!$E$3:$E$119)+ROUNDDOWN(O49,1)*100)&lt;95,95,((_xlfn.XLOOKUP(D49,RUC!$B$3:$B$119,RUC!$E$3:$E$119)+ROUNDDOWN(O49,1)*100)))</f>
        <v>140</v>
      </c>
      <c r="U49" s="1146">
        <f>_xlfn.XLOOKUP(D49,RUC!$B$3:$B$123,RUC!$F$3:$F$123)</f>
        <v>120</v>
      </c>
      <c r="V49" s="715">
        <v>1.1023000000000001</v>
      </c>
      <c r="Y49">
        <f>_xlfn.XLOOKUP(D49,RUC!$B$3:$B$123,RUC!$G$3:$G$123)</f>
        <v>20</v>
      </c>
      <c r="Z49" s="143">
        <f>_xlfn.XLOOKUP(D49,RUC!$B$3:$B$123,RUC!$H$3:$H$123)</f>
        <v>30</v>
      </c>
      <c r="AA49" s="144">
        <f t="shared" si="33"/>
        <v>50</v>
      </c>
      <c r="AB49" s="145">
        <f t="shared" si="34"/>
        <v>2051.0317968319996</v>
      </c>
      <c r="AC49" s="145">
        <f>+(S49-T49)*V49-'data 1'!$F$4</f>
        <v>74.322000000000003</v>
      </c>
      <c r="AD49" s="145">
        <f t="shared" si="35"/>
        <v>10.147366742655878</v>
      </c>
      <c r="AE49" s="145">
        <f t="shared" si="36"/>
        <v>-14.884999999999998</v>
      </c>
      <c r="AF49" s="145">
        <f t="shared" si="37"/>
        <v>143.45807053203166</v>
      </c>
      <c r="AG49" s="772">
        <f t="shared" si="38"/>
        <v>230.04243727468753</v>
      </c>
      <c r="AH49" s="1253">
        <f t="shared" si="39"/>
        <v>53.031999999999996</v>
      </c>
      <c r="AI49" s="1253">
        <f t="shared" si="40"/>
        <v>58.677</v>
      </c>
      <c r="AJ49" s="156">
        <f t="shared" si="41"/>
        <v>36.926927953344105</v>
      </c>
      <c r="AK49" s="156">
        <f t="shared" si="42"/>
        <v>49.670146802279525</v>
      </c>
      <c r="AM49" s="716">
        <f t="shared" si="43"/>
        <v>6136.6871361213425</v>
      </c>
      <c r="AN49" s="716" t="str">
        <f>_xlfn.XLOOKUP(D49,RUC!$B$3:$B$578,RUC!$M$3:$M$578)</f>
        <v>Richard Sapacayo</v>
      </c>
      <c r="AO49" s="1167" t="s">
        <v>2278</v>
      </c>
      <c r="AP49" s="1082" t="s">
        <v>2905</v>
      </c>
      <c r="AQ49" s="1082" t="s">
        <v>5398</v>
      </c>
    </row>
    <row r="50" spans="1:43" ht="15" customHeight="1">
      <c r="A50" s="1819" t="s">
        <v>6025</v>
      </c>
      <c r="B50" s="1447">
        <v>46197</v>
      </c>
      <c r="C50" s="1447">
        <v>46188</v>
      </c>
      <c r="D50" t="s">
        <v>1484</v>
      </c>
      <c r="E50" s="762">
        <f>_xlfn.XLOOKUP(D50,RUC!$B$3:$B$123,RUC!$D$3:$D$123)</f>
        <v>10761932735</v>
      </c>
      <c r="F50" s="629"/>
      <c r="G50" s="762" t="s">
        <v>2985</v>
      </c>
      <c r="H50" s="1082" t="s">
        <v>69</v>
      </c>
      <c r="I50" s="703">
        <v>36.380000000000003</v>
      </c>
      <c r="J50" s="596">
        <v>6.3</v>
      </c>
      <c r="K50" s="703">
        <f t="shared" si="30"/>
        <v>34.088000000000001</v>
      </c>
      <c r="L50" s="1192">
        <v>0.151</v>
      </c>
      <c r="M50" s="994">
        <f>ROUND(+IF(L50&gt;_xlfn.XLOOKUP(AN50,RUC!M:M,RUC!K:K),L50*_xlfn.XLOOKUP(AN50,RUC!M:M,RUC!I:I),L50-_xlfn.XLOOKUP(AN50,RUC!M:M,RUC!J:J)),3)</f>
        <v>0.11600000000000001</v>
      </c>
      <c r="N50" s="1196">
        <f t="shared" si="31"/>
        <v>0.11600000000000001</v>
      </c>
      <c r="O50" s="645">
        <f t="shared" si="32"/>
        <v>0.11600000000000001</v>
      </c>
      <c r="P50" s="727">
        <v>38</v>
      </c>
      <c r="Q50" s="1899">
        <v>39.47</v>
      </c>
      <c r="R50" s="706">
        <v>4355.2</v>
      </c>
      <c r="S50" s="765">
        <f>IF((_xlfn.XLOOKUP(D50,RUC!$B$3:$B$119,RUC!$E$3:$E$119)+ROUNDDOWN(O50,1)*100)&lt;95,95,((_xlfn.XLOOKUP(D50,RUC!$B$3:$B$119,RUC!$E$3:$E$119)+ROUNDDOWN(O50,1)*100)))</f>
        <v>100</v>
      </c>
      <c r="U50" s="1146">
        <f>_xlfn.XLOOKUP(D50,RUC!$B$3:$B$123,RUC!$F$3:$F$123)</f>
        <v>120</v>
      </c>
      <c r="V50" s="715">
        <v>1.1023000000000001</v>
      </c>
      <c r="Y50">
        <f>_xlfn.XLOOKUP(D50,RUC!$B$3:$B$123,RUC!$G$3:$G$123)</f>
        <v>20</v>
      </c>
      <c r="Z50" s="143">
        <f>_xlfn.XLOOKUP(D50,RUC!$B$3:$B$123,RUC!$H$3:$H$123)</f>
        <v>30</v>
      </c>
      <c r="AA50" s="144">
        <f t="shared" si="33"/>
        <v>50</v>
      </c>
      <c r="AB50" s="145">
        <f t="shared" si="34"/>
        <v>40.440759116800024</v>
      </c>
      <c r="AC50" s="145">
        <f>+(S50-T50)*V50-'data 1'!$F$4</f>
        <v>30.230000000000004</v>
      </c>
      <c r="AD50" s="145">
        <f t="shared" si="35"/>
        <v>10.362582792911992</v>
      </c>
      <c r="AE50" s="145">
        <f t="shared" si="36"/>
        <v>-14.884999999999998</v>
      </c>
      <c r="AF50" s="145">
        <f t="shared" si="37"/>
        <v>64.492453931919982</v>
      </c>
      <c r="AG50" s="772">
        <f t="shared" si="38"/>
        <v>107.20003672483199</v>
      </c>
      <c r="AH50" s="1253">
        <f t="shared" si="39"/>
        <v>69.655000000000001</v>
      </c>
      <c r="AI50" s="1253">
        <f t="shared" si="40"/>
        <v>176.477</v>
      </c>
      <c r="AJ50" s="156">
        <f t="shared" si="41"/>
        <v>4.2571493552880124</v>
      </c>
      <c r="AK50" s="156">
        <f t="shared" si="42"/>
        <v>51.517191169957485</v>
      </c>
      <c r="AM50" s="716">
        <f t="shared" si="43"/>
        <v>1378.5445967734793</v>
      </c>
      <c r="AN50" s="716" t="str">
        <f>_xlfn.XLOOKUP(D50,RUC!$B$3:$B$578,RUC!$M$3:$M$578)</f>
        <v>Richard Sapacayo</v>
      </c>
      <c r="AO50" s="1167" t="s">
        <v>2276</v>
      </c>
      <c r="AP50" s="1082" t="s">
        <v>3327</v>
      </c>
      <c r="AQ50" s="1082" t="s">
        <v>5233</v>
      </c>
    </row>
    <row r="51" spans="1:43" ht="15" customHeight="1">
      <c r="A51" s="1819" t="s">
        <v>6026</v>
      </c>
      <c r="B51" s="1447">
        <v>46197</v>
      </c>
      <c r="C51" s="1447">
        <v>46189</v>
      </c>
      <c r="D51" t="s">
        <v>1967</v>
      </c>
      <c r="E51" s="762">
        <f>_xlfn.XLOOKUP(D51,RUC!$B$3:$B$123,RUC!$D$3:$D$123)</f>
        <v>20601769396</v>
      </c>
      <c r="F51" s="629" t="s">
        <v>6060</v>
      </c>
      <c r="G51" s="762">
        <v>23</v>
      </c>
      <c r="H51" s="1082" t="s">
        <v>116</v>
      </c>
      <c r="I51" s="703">
        <v>1.95</v>
      </c>
      <c r="J51" s="596">
        <v>17.8</v>
      </c>
      <c r="K51" s="703">
        <f t="shared" si="30"/>
        <v>1.603</v>
      </c>
      <c r="L51" s="1192">
        <v>0.56399999999999995</v>
      </c>
      <c r="M51" s="994">
        <f>ROUND(+IF(L51&gt;_xlfn.XLOOKUP(AN51,RUC!M:M,RUC!K:K),L51*_xlfn.XLOOKUP(AN51,RUC!M:M,RUC!I:I),L51-_xlfn.XLOOKUP(AN51,RUC!M:M,RUC!J:J)),3)</f>
        <v>0.53</v>
      </c>
      <c r="N51" s="1196">
        <f t="shared" si="31"/>
        <v>0.53</v>
      </c>
      <c r="O51" s="645">
        <f t="shared" si="32"/>
        <v>0.53</v>
      </c>
      <c r="P51" s="727">
        <v>73</v>
      </c>
      <c r="Q51" s="875">
        <v>74.47</v>
      </c>
      <c r="R51" s="706">
        <v>4335.8</v>
      </c>
      <c r="S51" s="765">
        <f>IF((_xlfn.XLOOKUP(D51,RUC!$B$3:$B$119,RUC!$E$3:$E$119)+ROUNDDOWN(O51,1)*100)&lt;95,95,((_xlfn.XLOOKUP(D51,RUC!$B$3:$B$119,RUC!$E$3:$E$119)+ROUNDDOWN(O51,1)*100)))</f>
        <v>140</v>
      </c>
      <c r="U51" s="1146">
        <f>_xlfn.XLOOKUP(D51,RUC!$B$3:$B$123,RUC!$F$3:$F$123)</f>
        <v>120</v>
      </c>
      <c r="V51" s="715">
        <v>1.1023000000000001</v>
      </c>
      <c r="Y51">
        <f>_xlfn.XLOOKUP(D51,RUC!$B$3:$B$123,RUC!$G$3:$G$123)</f>
        <v>20</v>
      </c>
      <c r="Z51" s="143">
        <f>_xlfn.XLOOKUP(D51,RUC!$B$3:$B$123,RUC!$H$3:$H$123)</f>
        <v>30</v>
      </c>
      <c r="AA51" s="144">
        <f t="shared" si="33"/>
        <v>50</v>
      </c>
      <c r="AB51" s="145">
        <f t="shared" si="34"/>
        <v>1588.5168359460004</v>
      </c>
      <c r="AC51" s="145">
        <f>+(S51-T51)*V51-'data 1'!$F$4</f>
        <v>74.322000000000003</v>
      </c>
      <c r="AD51" s="145">
        <f t="shared" si="35"/>
        <v>38.527980519671964</v>
      </c>
      <c r="AE51" s="145">
        <f t="shared" si="36"/>
        <v>-14.884999999999998</v>
      </c>
      <c r="AF51" s="145">
        <f t="shared" si="37"/>
        <v>117.66304351353172</v>
      </c>
      <c r="AG51" s="772">
        <f t="shared" si="38"/>
        <v>232.6280240332037</v>
      </c>
      <c r="AH51" s="1253">
        <f t="shared" si="39"/>
        <v>23.084</v>
      </c>
      <c r="AI51" s="1253">
        <f t="shared" si="40"/>
        <v>30.997</v>
      </c>
      <c r="AJ51" s="156">
        <f t="shared" si="41"/>
        <v>38.982739587527909</v>
      </c>
      <c r="AK51" s="156">
        <f t="shared" si="42"/>
        <v>21.263821668381635</v>
      </c>
      <c r="AM51" s="716">
        <f t="shared" si="43"/>
        <v>2546.3924880214386</v>
      </c>
      <c r="AN51" s="716" t="str">
        <f>_xlfn.XLOOKUP(D51,RUC!$B$3:$B$578,RUC!$M$3:$M$578)</f>
        <v>Evelyn</v>
      </c>
      <c r="AO51" s="1167" t="s">
        <v>2277</v>
      </c>
      <c r="AP51" s="1082" t="s">
        <v>2489</v>
      </c>
      <c r="AQ51" s="1082" t="s">
        <v>5860</v>
      </c>
    </row>
    <row r="52" spans="1:43" ht="15" customHeight="1">
      <c r="A52" s="1819" t="s">
        <v>6027</v>
      </c>
      <c r="B52" s="1447">
        <v>46197</v>
      </c>
      <c r="C52" s="1447">
        <v>46189</v>
      </c>
      <c r="D52" t="s">
        <v>1967</v>
      </c>
      <c r="E52" s="762">
        <f>_xlfn.XLOOKUP(D52,RUC!$B$3:$B$123,RUC!$D$3:$D$123)</f>
        <v>20601769396</v>
      </c>
      <c r="F52" s="629" t="s">
        <v>6060</v>
      </c>
      <c r="G52" s="762">
        <v>23</v>
      </c>
      <c r="H52" s="1082" t="s">
        <v>108</v>
      </c>
      <c r="I52" s="703">
        <v>1.91</v>
      </c>
      <c r="J52" s="596">
        <v>10.7</v>
      </c>
      <c r="K52" s="703">
        <f t="shared" si="30"/>
        <v>1.706</v>
      </c>
      <c r="L52" s="1192">
        <v>0.38300000000000001</v>
      </c>
      <c r="M52" s="994">
        <f>ROUND(+IF(L52&gt;_xlfn.XLOOKUP(AN52,RUC!M:M,RUC!K:K),L52*_xlfn.XLOOKUP(AN52,RUC!M:M,RUC!I:I),L52-_xlfn.XLOOKUP(AN52,RUC!M:M,RUC!J:J)),3)</f>
        <v>0.36</v>
      </c>
      <c r="N52" s="1196">
        <f t="shared" si="31"/>
        <v>0.36</v>
      </c>
      <c r="O52" s="645">
        <f t="shared" si="32"/>
        <v>0.36</v>
      </c>
      <c r="P52" s="727">
        <v>82</v>
      </c>
      <c r="Q52" s="875">
        <v>83.81</v>
      </c>
      <c r="R52" s="706">
        <v>4335.8</v>
      </c>
      <c r="S52" s="765">
        <f>IF((_xlfn.XLOOKUP(D52,RUC!$B$3:$B$119,RUC!$E$3:$E$119)+ROUNDDOWN(O52,1)*100)&lt;95,95,((_xlfn.XLOOKUP(D52,RUC!$B$3:$B$119,RUC!$E$3:$E$119)+ROUNDDOWN(O52,1)*100)))</f>
        <v>120</v>
      </c>
      <c r="U52" s="1146">
        <f>_xlfn.XLOOKUP(D52,RUC!$B$3:$B$123,RUC!$F$3:$F$123)</f>
        <v>120</v>
      </c>
      <c r="V52" s="715">
        <v>1.1023000000000001</v>
      </c>
      <c r="Y52" s="1445">
        <v>30</v>
      </c>
      <c r="Z52" s="709">
        <v>70</v>
      </c>
      <c r="AA52" s="144">
        <f t="shared" si="33"/>
        <v>100</v>
      </c>
      <c r="AB52" s="145">
        <f t="shared" si="34"/>
        <v>1129.3109355680001</v>
      </c>
      <c r="AC52" s="145">
        <f>+(S52-T52)*V52-'data 1'!$F$4</f>
        <v>52.27600000000001</v>
      </c>
      <c r="AD52" s="145">
        <f t="shared" si="35"/>
        <v>32.214927311782041</v>
      </c>
      <c r="AE52" s="145">
        <f t="shared" si="36"/>
        <v>40.230000000000004</v>
      </c>
      <c r="AF52" s="145">
        <f t="shared" si="37"/>
        <v>89.578437652742082</v>
      </c>
      <c r="AG52" s="772">
        <f t="shared" si="38"/>
        <v>231.29936496452416</v>
      </c>
      <c r="AH52" s="1253">
        <f t="shared" si="39"/>
        <v>18.774999999999999</v>
      </c>
      <c r="AI52" s="1253">
        <f t="shared" si="40"/>
        <v>22.402000000000001</v>
      </c>
      <c r="AJ52" s="156">
        <f t="shared" si="41"/>
        <v>29.792470194817941</v>
      </c>
      <c r="AK52" s="156">
        <f t="shared" si="42"/>
        <v>17.266505418326158</v>
      </c>
      <c r="AM52" s="716">
        <f t="shared" si="43"/>
        <v>1926.6044560790081</v>
      </c>
      <c r="AN52" s="716" t="str">
        <f>_xlfn.XLOOKUP(D52,RUC!$B$3:$B$578,RUC!$M$3:$M$578)</f>
        <v>Evelyn</v>
      </c>
      <c r="AO52" s="1167" t="s">
        <v>2277</v>
      </c>
      <c r="AP52" s="1082" t="s">
        <v>2489</v>
      </c>
      <c r="AQ52" s="1082" t="s">
        <v>5860</v>
      </c>
    </row>
    <row r="53" spans="1:43" ht="15" customHeight="1">
      <c r="A53" s="1819" t="s">
        <v>6028</v>
      </c>
      <c r="B53" s="1447">
        <v>46197</v>
      </c>
      <c r="C53" s="1447">
        <v>46189</v>
      </c>
      <c r="D53" t="s">
        <v>1967</v>
      </c>
      <c r="E53" s="762">
        <f>_xlfn.XLOOKUP(D53,RUC!$B$3:$B$123,RUC!$D$3:$D$123)</f>
        <v>20601769396</v>
      </c>
      <c r="F53" s="629" t="s">
        <v>6060</v>
      </c>
      <c r="G53" s="762">
        <v>24</v>
      </c>
      <c r="H53" s="1082" t="s">
        <v>116</v>
      </c>
      <c r="I53" s="703">
        <v>1.81</v>
      </c>
      <c r="J53" s="596">
        <v>14.75</v>
      </c>
      <c r="K53" s="703">
        <f t="shared" si="30"/>
        <v>1.5429999999999999</v>
      </c>
      <c r="L53" s="1192">
        <v>0.45</v>
      </c>
      <c r="M53" s="994">
        <f>ROUND(+IF(L53&gt;_xlfn.XLOOKUP(AN53,RUC!M:M,RUC!K:K),L53*_xlfn.XLOOKUP(AN53,RUC!M:M,RUC!I:I),L53-_xlfn.XLOOKUP(AN53,RUC!M:M,RUC!J:J)),3)</f>
        <v>0.42299999999999999</v>
      </c>
      <c r="N53" s="1196">
        <f t="shared" si="31"/>
        <v>0.42299999999999999</v>
      </c>
      <c r="O53" s="645">
        <f t="shared" si="32"/>
        <v>0.42299999999999999</v>
      </c>
      <c r="P53" s="727">
        <v>73</v>
      </c>
      <c r="Q53" s="875">
        <v>75.56</v>
      </c>
      <c r="R53" s="706">
        <v>4335.8</v>
      </c>
      <c r="S53" s="765">
        <f>IF((_xlfn.XLOOKUP(D53,RUC!$B$3:$B$119,RUC!$E$3:$E$119)+ROUNDDOWN(O53,1)*100)&lt;95,95,((_xlfn.XLOOKUP(D53,RUC!$B$3:$B$119,RUC!$E$3:$E$119)+ROUNDDOWN(O53,1)*100)))</f>
        <v>130</v>
      </c>
      <c r="U53" s="1146">
        <f>_xlfn.XLOOKUP(D53,RUC!$B$3:$B$123,RUC!$F$3:$F$123)</f>
        <v>120</v>
      </c>
      <c r="V53" s="715">
        <v>1.1023000000000001</v>
      </c>
      <c r="Y53">
        <f>_xlfn.XLOOKUP(D53,RUC!$B$3:$B$123,RUC!$G$3:$G$123)</f>
        <v>20</v>
      </c>
      <c r="Z53" s="143">
        <f>_xlfn.XLOOKUP(D53,RUC!$B$3:$B$123,RUC!$H$3:$H$123)</f>
        <v>30</v>
      </c>
      <c r="AA53" s="144">
        <f t="shared" si="33"/>
        <v>50</v>
      </c>
      <c r="AB53" s="145">
        <f t="shared" si="34"/>
        <v>1236.5567030285999</v>
      </c>
      <c r="AC53" s="145">
        <f>+(S53-T53)*V53-'data 1'!$F$4</f>
        <v>63.299000000000007</v>
      </c>
      <c r="AD53" s="145">
        <f t="shared" si="35"/>
        <v>53.534319436800054</v>
      </c>
      <c r="AE53" s="145">
        <f t="shared" si="36"/>
        <v>-14.884999999999998</v>
      </c>
      <c r="AF53" s="145">
        <f t="shared" si="37"/>
        <v>94.805933827608115</v>
      </c>
      <c r="AG53" s="772">
        <f t="shared" si="38"/>
        <v>213.75425326440819</v>
      </c>
      <c r="AH53" s="1253">
        <f t="shared" si="39"/>
        <v>17.988</v>
      </c>
      <c r="AI53" s="1253">
        <f t="shared" si="40"/>
        <v>23.806000000000001</v>
      </c>
      <c r="AJ53" s="156">
        <f t="shared" si="41"/>
        <v>31.558500673199937</v>
      </c>
      <c r="AK53" s="156">
        <f t="shared" si="42"/>
        <v>16.335717817905508</v>
      </c>
      <c r="AM53" s="716">
        <f t="shared" si="43"/>
        <v>1908.0069927731297</v>
      </c>
      <c r="AN53" s="716" t="str">
        <f>_xlfn.XLOOKUP(D53,RUC!$B$3:$B$578,RUC!$M$3:$M$578)</f>
        <v>Evelyn</v>
      </c>
      <c r="AO53" s="1167" t="s">
        <v>2277</v>
      </c>
      <c r="AP53" s="1082" t="s">
        <v>2489</v>
      </c>
      <c r="AQ53" s="1082" t="s">
        <v>5860</v>
      </c>
    </row>
    <row r="54" spans="1:43" ht="15" customHeight="1">
      <c r="A54" s="1819" t="s">
        <v>6029</v>
      </c>
      <c r="B54" s="1447">
        <v>46198</v>
      </c>
      <c r="C54" s="1447">
        <v>46189</v>
      </c>
      <c r="D54" t="s">
        <v>1967</v>
      </c>
      <c r="E54" s="762">
        <f>_xlfn.XLOOKUP(D54,RUC!$B$3:$B$123,RUC!$D$3:$D$123)</f>
        <v>20601769396</v>
      </c>
      <c r="F54" s="629" t="s">
        <v>6061</v>
      </c>
      <c r="G54" s="762">
        <v>39</v>
      </c>
      <c r="H54" s="1082" t="s">
        <v>108</v>
      </c>
      <c r="I54" s="703">
        <v>1.57</v>
      </c>
      <c r="J54" s="596">
        <v>15.65</v>
      </c>
      <c r="K54" s="703">
        <f t="shared" si="30"/>
        <v>1.3240000000000001</v>
      </c>
      <c r="L54" s="1192">
        <v>0.29199999999999998</v>
      </c>
      <c r="M54" s="994">
        <f>ROUND(+IF(L54&gt;_xlfn.XLOOKUP(AN54,RUC!M:M,RUC!K:K),L54*_xlfn.XLOOKUP(AN54,RUC!M:M,RUC!I:I),L54-_xlfn.XLOOKUP(AN54,RUC!M:M,RUC!J:J)),3)</f>
        <v>0.27300000000000002</v>
      </c>
      <c r="N54" s="1196">
        <f t="shared" si="31"/>
        <v>0.27300000000000002</v>
      </c>
      <c r="O54" s="645">
        <f t="shared" si="32"/>
        <v>0.27300000000000002</v>
      </c>
      <c r="P54" s="727">
        <v>90</v>
      </c>
      <c r="Q54" s="875">
        <v>94.18</v>
      </c>
      <c r="R54" s="706">
        <v>4335.8</v>
      </c>
      <c r="S54" s="765">
        <f>IF((_xlfn.XLOOKUP(D54,RUC!$B$3:$B$119,RUC!$E$3:$E$119)+ROUNDDOWN(O54,1)*100)&lt;95,95,((_xlfn.XLOOKUP(D54,RUC!$B$3:$B$119,RUC!$E$3:$E$119)+ROUNDDOWN(O54,1)*100)))</f>
        <v>110</v>
      </c>
      <c r="U54" s="1146">
        <f>_xlfn.XLOOKUP(D54,RUC!$B$3:$B$123,RUC!$F$3:$F$123)</f>
        <v>120</v>
      </c>
      <c r="V54" s="715">
        <v>1.1023000000000001</v>
      </c>
      <c r="Y54" s="1445">
        <v>30</v>
      </c>
      <c r="Z54" s="709">
        <v>70</v>
      </c>
      <c r="AA54" s="144">
        <f t="shared" si="33"/>
        <v>100</v>
      </c>
      <c r="AB54" s="145">
        <f t="shared" si="34"/>
        <v>910.30365673799997</v>
      </c>
      <c r="AC54" s="145">
        <f>+(S54-T54)*V54-'data 1'!$F$4</f>
        <v>41.253</v>
      </c>
      <c r="AD54" s="145">
        <f t="shared" si="35"/>
        <v>56.720354975504094</v>
      </c>
      <c r="AE54" s="145">
        <f t="shared" si="36"/>
        <v>40.230000000000004</v>
      </c>
      <c r="AF54" s="145">
        <f t="shared" si="37"/>
        <v>83.155713443227853</v>
      </c>
      <c r="AG54" s="772">
        <f t="shared" si="38"/>
        <v>238.35906841873197</v>
      </c>
      <c r="AH54" s="1253">
        <f t="shared" si="39"/>
        <v>12.484</v>
      </c>
      <c r="AI54" s="1253">
        <f t="shared" si="40"/>
        <v>13.255000000000001</v>
      </c>
      <c r="AJ54" s="156">
        <f t="shared" si="41"/>
        <v>25.524276256495945</v>
      </c>
      <c r="AK54" s="156">
        <f t="shared" si="42"/>
        <v>11.153269873303744</v>
      </c>
      <c r="AM54" s="716">
        <f t="shared" si="43"/>
        <v>1205.242041521112</v>
      </c>
      <c r="AN54" s="716" t="str">
        <f>_xlfn.XLOOKUP(D54,RUC!$B$3:$B$578,RUC!$M$3:$M$578)</f>
        <v>Evelyn</v>
      </c>
      <c r="AO54" s="1167" t="s">
        <v>2277</v>
      </c>
      <c r="AP54" s="1082" t="s">
        <v>2489</v>
      </c>
      <c r="AQ54" s="1082" t="s">
        <v>5860</v>
      </c>
    </row>
    <row r="55" spans="1:43" ht="15" customHeight="1">
      <c r="A55" s="747" t="s">
        <v>6030</v>
      </c>
      <c r="B55" s="1447">
        <v>46195</v>
      </c>
      <c r="C55" s="1447">
        <v>46189</v>
      </c>
      <c r="D55" t="s">
        <v>3316</v>
      </c>
      <c r="E55" s="762">
        <f>_xlfn.XLOOKUP(D55,RUC!$B$3:$B$123,RUC!$D$3:$D$123)</f>
        <v>20613935151</v>
      </c>
      <c r="F55" s="629"/>
      <c r="G55" s="762">
        <v>100</v>
      </c>
      <c r="H55" s="1082" t="s">
        <v>69</v>
      </c>
      <c r="I55" s="703">
        <v>7.74</v>
      </c>
      <c r="J55" s="596">
        <v>2.1</v>
      </c>
      <c r="K55" s="703">
        <f t="shared" si="30"/>
        <v>7.577</v>
      </c>
      <c r="L55" s="1192">
        <v>0.27800000000000002</v>
      </c>
      <c r="M55" s="994">
        <f>ROUND(+IF(L55&gt;_xlfn.XLOOKUP(AN55,RUC!M:M,RUC!K:K),L55*_xlfn.XLOOKUP(AN55,RUC!M:M,RUC!I:I),L55-_xlfn.XLOOKUP(AN55,RUC!M:M,RUC!J:J)),3)</f>
        <v>0.25900000000000001</v>
      </c>
      <c r="N55" s="1196">
        <f t="shared" si="31"/>
        <v>0.25900000000000001</v>
      </c>
      <c r="O55" s="645">
        <f t="shared" si="32"/>
        <v>0.25900000000000001</v>
      </c>
      <c r="P55" s="727">
        <v>90</v>
      </c>
      <c r="Q55" s="875">
        <v>97.84</v>
      </c>
      <c r="R55" s="706">
        <v>4335.8</v>
      </c>
      <c r="S55" s="765">
        <f>IF((_xlfn.XLOOKUP(D55,RUC!$B$3:$B$119,RUC!$E$3:$E$119)+ROUNDDOWN(O55,1)*100)&lt;95,95,((_xlfn.XLOOKUP(D55,RUC!$B$3:$B$119,RUC!$E$3:$E$119)+ROUNDDOWN(O55,1)*100)))</f>
        <v>110</v>
      </c>
      <c r="U55" s="1146">
        <f>_xlfn.XLOOKUP(D55,RUC!$B$3:$B$123,RUC!$F$3:$F$123)</f>
        <v>120</v>
      </c>
      <c r="V55" s="715">
        <v>1.1023000000000001</v>
      </c>
      <c r="Y55">
        <f>_xlfn.XLOOKUP(D55,RUC!$B$3:$B$123,RUC!$G$3:$G$123)</f>
        <v>20</v>
      </c>
      <c r="Z55" s="143">
        <f>_xlfn.XLOOKUP(D55,RUC!$B$3:$B$123,RUC!$H$3:$H$123)</f>
        <v>30</v>
      </c>
      <c r="AA55" s="144">
        <f t="shared" si="33"/>
        <v>50</v>
      </c>
      <c r="AB55" s="145">
        <f t="shared" si="34"/>
        <v>906.86549485400019</v>
      </c>
      <c r="AC55" s="145">
        <f>+(S55-T55)*V55-'data 1'!$F$4</f>
        <v>41.253</v>
      </c>
      <c r="AD55" s="145">
        <f t="shared" si="35"/>
        <v>101.28395824556809</v>
      </c>
      <c r="AE55" s="145">
        <f t="shared" si="36"/>
        <v>-14.884999999999998</v>
      </c>
      <c r="AF55" s="145">
        <f t="shared" si="37"/>
        <v>86.387290330064076</v>
      </c>
      <c r="AG55" s="772">
        <f t="shared" si="38"/>
        <v>231.0392485756322</v>
      </c>
      <c r="AH55" s="1253">
        <f t="shared" si="39"/>
        <v>70.659000000000006</v>
      </c>
      <c r="AI55" s="1253">
        <f t="shared" si="40"/>
        <v>72.218999999999994</v>
      </c>
      <c r="AJ55" s="156">
        <f t="shared" si="41"/>
        <v>25.24487001443195</v>
      </c>
      <c r="AK55" s="156">
        <f t="shared" si="42"/>
        <v>60.554807802905536</v>
      </c>
      <c r="AM55" s="716">
        <f t="shared" si="43"/>
        <v>6871.3198545087598</v>
      </c>
      <c r="AN55" s="716" t="str">
        <f>_xlfn.XLOOKUP(D55,RUC!$B$3:$B$578,RUC!$M$3:$M$578)</f>
        <v xml:space="preserve">Dante </v>
      </c>
      <c r="AO55" s="1167" t="s">
        <v>2278</v>
      </c>
      <c r="AP55" s="1082" t="s">
        <v>4245</v>
      </c>
      <c r="AQ55" s="1082" t="s">
        <v>4076</v>
      </c>
    </row>
    <row r="56" spans="1:43" ht="15" customHeight="1">
      <c r="A56" s="1819" t="s">
        <v>6032</v>
      </c>
      <c r="B56" s="1447">
        <v>46193</v>
      </c>
      <c r="C56" s="1447">
        <v>46189</v>
      </c>
      <c r="D56" s="1943" t="s">
        <v>3358</v>
      </c>
      <c r="E56" s="762">
        <f>_xlfn.XLOOKUP(D56,RUC!$B$3:$B$123,RUC!$D$3:$D$123)</f>
        <v>20535021563</v>
      </c>
      <c r="F56" s="629"/>
      <c r="G56" s="762" t="s">
        <v>2985</v>
      </c>
      <c r="H56" s="1082" t="s">
        <v>69</v>
      </c>
      <c r="I56" s="703">
        <v>7.26</v>
      </c>
      <c r="J56" s="596">
        <v>2.15</v>
      </c>
      <c r="K56" s="703">
        <f t="shared" si="30"/>
        <v>7.1040000000000001</v>
      </c>
      <c r="L56" s="1192">
        <v>0.499</v>
      </c>
      <c r="M56" s="994">
        <f>ROUND(+IF(L56&gt;_xlfn.XLOOKUP(AN56,RUC!M:M,RUC!K:K),L56*_xlfn.XLOOKUP(AN56,RUC!M:M,RUC!I:I),L56-_xlfn.XLOOKUP(AN56,RUC!M:M,RUC!J:J)),3)</f>
        <v>0.46899999999999997</v>
      </c>
      <c r="N56" s="1444">
        <v>0.52800000000000002</v>
      </c>
      <c r="O56" s="645">
        <f t="shared" si="32"/>
        <v>0.498</v>
      </c>
      <c r="P56" s="727">
        <v>90</v>
      </c>
      <c r="Q56" s="875">
        <v>96.39</v>
      </c>
      <c r="R56" s="706">
        <v>4335.8</v>
      </c>
      <c r="S56" s="765">
        <f>IF((_xlfn.XLOOKUP(D56,RUC!$B$3:$B$119,RUC!$E$3:$E$119)+ROUNDDOWN(O56,1)*100)&lt;95,95,((_xlfn.XLOOKUP(D56,RUC!$B$3:$B$119,RUC!$E$3:$E$119)+ROUNDDOWN(O56,1)*100)))</f>
        <v>125</v>
      </c>
      <c r="U56" s="1146">
        <f>_xlfn.XLOOKUP(D56,RUC!$B$3:$B$123,RUC!$F$3:$F$123)</f>
        <v>100</v>
      </c>
      <c r="V56" s="715">
        <v>1.1023000000000001</v>
      </c>
      <c r="Y56">
        <f>_xlfn.XLOOKUP(D56,RUC!$B$3:$B$123,RUC!$G$3:$G$123)</f>
        <v>0</v>
      </c>
      <c r="Z56" s="143">
        <f>_xlfn.XLOOKUP(D56,RUC!$B$3:$B$123,RUC!$H$3:$H$123)</f>
        <v>30</v>
      </c>
      <c r="AA56" s="144">
        <f t="shared" si="33"/>
        <v>30</v>
      </c>
      <c r="AB56" s="145">
        <f t="shared" si="34"/>
        <v>1921.8441327880003</v>
      </c>
      <c r="AC56" s="145">
        <f>+(S56-T56)*V56-'data 1'!$F$4</f>
        <v>57.787499999999994</v>
      </c>
      <c r="AD56" s="145">
        <f t="shared" si="35"/>
        <v>148.88010184547403</v>
      </c>
      <c r="AE56" s="145">
        <f t="shared" si="36"/>
        <v>-36.930999999999997</v>
      </c>
      <c r="AF56" s="145">
        <f t="shared" si="37"/>
        <v>4.5005670235260045</v>
      </c>
      <c r="AG56" s="772">
        <f t="shared" si="38"/>
        <v>191.23716886900002</v>
      </c>
      <c r="AH56" s="1253">
        <f t="shared" si="39"/>
        <v>117.151</v>
      </c>
      <c r="AI56" s="1253">
        <f t="shared" si="40"/>
        <v>121.538</v>
      </c>
      <c r="AJ56" s="156">
        <f t="shared" si="41"/>
        <v>34.038260789525907</v>
      </c>
      <c r="AK56" s="156">
        <f t="shared" si="42"/>
        <v>109.16511440416703</v>
      </c>
      <c r="AM56" s="716">
        <f t="shared" si="43"/>
        <v>13652.780719325954</v>
      </c>
      <c r="AN56" s="716" t="str">
        <f>_xlfn.XLOOKUP(D56,RUC!$B$3:$B$578,RUC!$M$3:$M$578)</f>
        <v>Alfred Torres  *</v>
      </c>
      <c r="AO56" s="1167" t="s">
        <v>2277</v>
      </c>
      <c r="AP56" s="1082" t="s">
        <v>6050</v>
      </c>
      <c r="AQ56" s="1082" t="s">
        <v>6051</v>
      </c>
    </row>
    <row r="57" spans="1:43" ht="15" customHeight="1">
      <c r="A57" s="1819" t="s">
        <v>6033</v>
      </c>
      <c r="B57" s="1447">
        <v>46196</v>
      </c>
      <c r="C57" s="1447">
        <v>46189</v>
      </c>
      <c r="D57" t="s">
        <v>2368</v>
      </c>
      <c r="E57" s="762">
        <f>_xlfn.XLOOKUP(D57,RUC!$B$3:$B$123,RUC!$D$3:$D$123)</f>
        <v>20612719757</v>
      </c>
      <c r="F57" s="629" t="s">
        <v>6062</v>
      </c>
      <c r="G57" s="762">
        <v>40</v>
      </c>
      <c r="H57" s="1082" t="s">
        <v>116</v>
      </c>
      <c r="I57" s="703">
        <v>3.5</v>
      </c>
      <c r="J57" s="596">
        <v>11.78</v>
      </c>
      <c r="K57" s="703">
        <f t="shared" si="30"/>
        <v>3.0880000000000001</v>
      </c>
      <c r="L57" s="1192">
        <v>0.24099999999999999</v>
      </c>
      <c r="M57" s="994">
        <f>ROUND(+IF(L57&gt;_xlfn.XLOOKUP(AN57,RUC!M:M,RUC!K:K),L57*_xlfn.XLOOKUP(AN57,RUC!M:M,RUC!I:I),L57-_xlfn.XLOOKUP(AN57,RUC!M:M,RUC!J:J)),3)</f>
        <v>0.222</v>
      </c>
      <c r="N57" s="1196">
        <f t="shared" ref="N57:N63" si="44">+M57</f>
        <v>0.222</v>
      </c>
      <c r="O57" s="645">
        <f t="shared" si="32"/>
        <v>0.222</v>
      </c>
      <c r="P57" s="727">
        <v>82</v>
      </c>
      <c r="Q57" s="875">
        <v>82.99</v>
      </c>
      <c r="R57" s="706">
        <v>4335.8</v>
      </c>
      <c r="S57" s="765">
        <f>IF((_xlfn.XLOOKUP(D57,RUC!$B$3:$B$119,RUC!$E$3:$E$119)+ROUNDDOWN(O57,1)*100)&lt;95,95,((_xlfn.XLOOKUP(D57,RUC!$B$3:$B$119,RUC!$E$3:$E$119)+ROUNDDOWN(O57,1)*100)))</f>
        <v>110</v>
      </c>
      <c r="U57" s="1146">
        <f>_xlfn.XLOOKUP(D57,RUC!$B$3:$B$123,RUC!$F$3:$F$123)</f>
        <v>120</v>
      </c>
      <c r="V57" s="715">
        <v>1.1023000000000001</v>
      </c>
      <c r="Y57">
        <f>_xlfn.XLOOKUP(D57,RUC!$B$3:$B$123,RUC!$G$3:$G$123)</f>
        <v>20</v>
      </c>
      <c r="Z57" s="143">
        <f>_xlfn.XLOOKUP(D57,RUC!$B$3:$B$123,RUC!$H$3:$H$123)</f>
        <v>30</v>
      </c>
      <c r="AA57" s="144">
        <f t="shared" si="33"/>
        <v>50</v>
      </c>
      <c r="AB57" s="145">
        <f t="shared" si="34"/>
        <v>669.58577693360007</v>
      </c>
      <c r="AC57" s="145">
        <f>+(S57-T57)*V57-'data 1'!$F$4</f>
        <v>41.253</v>
      </c>
      <c r="AD57" s="145">
        <f t="shared" si="35"/>
        <v>11.087459439605944</v>
      </c>
      <c r="AE57" s="145">
        <f t="shared" si="36"/>
        <v>-14.884999999999998</v>
      </c>
      <c r="AF57" s="145">
        <f t="shared" si="37"/>
        <v>73.275564436753967</v>
      </c>
      <c r="AG57" s="772">
        <f>AC57+AD57+AE57+AF57+70</f>
        <v>180.73102387635993</v>
      </c>
      <c r="AH57" s="1253">
        <f t="shared" si="39"/>
        <v>21.175000000000001</v>
      </c>
      <c r="AI57" s="1253">
        <f t="shared" si="40"/>
        <v>25.515000000000001</v>
      </c>
      <c r="AJ57" s="156">
        <f t="shared" si="41"/>
        <v>18.563279600593958</v>
      </c>
      <c r="AK57" s="156">
        <f t="shared" si="42"/>
        <v>19.273171581440739</v>
      </c>
      <c r="AM57" s="716">
        <f t="shared" si="43"/>
        <v>2067.6808791709573</v>
      </c>
      <c r="AN57" s="716" t="str">
        <f>_xlfn.XLOOKUP(D57,RUC!$B$3:$B$578,RUC!$M$3:$M$578)</f>
        <v>SIN ACOPIADOR</v>
      </c>
      <c r="AO57" s="1167" t="s">
        <v>2276</v>
      </c>
      <c r="AP57" s="1082" t="s">
        <v>3074</v>
      </c>
      <c r="AQ57" s="1082" t="s">
        <v>4763</v>
      </c>
    </row>
    <row r="58" spans="1:43" ht="15" customHeight="1">
      <c r="A58" s="1819" t="s">
        <v>6034</v>
      </c>
      <c r="B58" s="1447">
        <v>46196</v>
      </c>
      <c r="C58" s="1447">
        <v>46189</v>
      </c>
      <c r="D58" t="s">
        <v>2368</v>
      </c>
      <c r="E58" s="762">
        <f>_xlfn.XLOOKUP(D58,RUC!$B$3:$B$123,RUC!$D$3:$D$123)</f>
        <v>20612719757</v>
      </c>
      <c r="F58" s="629" t="s">
        <v>6062</v>
      </c>
      <c r="G58" s="762">
        <v>46</v>
      </c>
      <c r="H58" s="1082" t="s">
        <v>116</v>
      </c>
      <c r="I58" s="703">
        <v>4.01</v>
      </c>
      <c r="J58" s="596">
        <v>11.33</v>
      </c>
      <c r="K58" s="703">
        <f t="shared" si="30"/>
        <v>3.556</v>
      </c>
      <c r="L58" s="1192">
        <v>0.221</v>
      </c>
      <c r="M58" s="994">
        <f>ROUND(+IF(L58&gt;_xlfn.XLOOKUP(AN58,RUC!M:M,RUC!K:K),L58*_xlfn.XLOOKUP(AN58,RUC!M:M,RUC!I:I),L58-_xlfn.XLOOKUP(AN58,RUC!M:M,RUC!J:J)),3)</f>
        <v>0.20200000000000001</v>
      </c>
      <c r="N58" s="1196">
        <f t="shared" si="44"/>
        <v>0.20200000000000001</v>
      </c>
      <c r="O58" s="645">
        <f t="shared" si="32"/>
        <v>0.20200000000000001</v>
      </c>
      <c r="P58" s="727">
        <v>84</v>
      </c>
      <c r="Q58" s="875">
        <v>86.43</v>
      </c>
      <c r="R58" s="706">
        <v>4335.8</v>
      </c>
      <c r="S58" s="765">
        <f>IF((_xlfn.XLOOKUP(D58,RUC!$B$3:$B$119,RUC!$E$3:$E$119)+ROUNDDOWN(O58,1)*100)&lt;95,95,((_xlfn.XLOOKUP(D58,RUC!$B$3:$B$119,RUC!$E$3:$E$119)+ROUNDDOWN(O58,1)*100)))</f>
        <v>110</v>
      </c>
      <c r="U58" s="1146">
        <f>_xlfn.XLOOKUP(D58,RUC!$B$3:$B$123,RUC!$F$3:$F$123)</f>
        <v>120</v>
      </c>
      <c r="V58" s="715">
        <v>1.1023000000000001</v>
      </c>
      <c r="Y58">
        <f>_xlfn.XLOOKUP(D58,RUC!$B$3:$B$123,RUC!$G$3:$G$123)</f>
        <v>20</v>
      </c>
      <c r="Z58" s="143">
        <f>_xlfn.XLOOKUP(D58,RUC!$B$3:$B$123,RUC!$H$3:$H$123)</f>
        <v>30</v>
      </c>
      <c r="AA58" s="144">
        <f t="shared" si="33"/>
        <v>50</v>
      </c>
      <c r="AB58" s="145">
        <f t="shared" si="34"/>
        <v>612.14791337120016</v>
      </c>
      <c r="AC58" s="145">
        <f>+(S58-T58)*V58-'data 1'!$F$4</f>
        <v>41.253</v>
      </c>
      <c r="AD58" s="145">
        <f t="shared" si="35"/>
        <v>24.956194068702072</v>
      </c>
      <c r="AE58" s="145">
        <f t="shared" si="36"/>
        <v>-14.884999999999998</v>
      </c>
      <c r="AF58" s="145">
        <f t="shared" si="37"/>
        <v>76.312893532577974</v>
      </c>
      <c r="AG58" s="772">
        <f>AC58+AD58+AE58+AF58+70</f>
        <v>197.63708760128006</v>
      </c>
      <c r="AH58" s="1253">
        <f t="shared" si="39"/>
        <v>23.288</v>
      </c>
      <c r="AI58" s="1253">
        <f t="shared" si="40"/>
        <v>26.943999999999999</v>
      </c>
      <c r="AJ58" s="156">
        <f t="shared" si="41"/>
        <v>17.728365040697966</v>
      </c>
      <c r="AK58" s="156">
        <f t="shared" si="42"/>
        <v>20.687188755216148</v>
      </c>
      <c r="AM58" s="716">
        <f t="shared" si="43"/>
        <v>2176.7979799479876</v>
      </c>
      <c r="AN58" s="716" t="str">
        <f>_xlfn.XLOOKUP(D58,RUC!$B$3:$B$578,RUC!$M$3:$M$578)</f>
        <v>SIN ACOPIADOR</v>
      </c>
      <c r="AO58" s="1167" t="s">
        <v>2276</v>
      </c>
      <c r="AP58" s="1082" t="s">
        <v>3074</v>
      </c>
      <c r="AQ58" s="1082" t="s">
        <v>4763</v>
      </c>
    </row>
    <row r="59" spans="1:43" ht="15" customHeight="1">
      <c r="A59" s="1819" t="s">
        <v>6035</v>
      </c>
      <c r="B59" s="1447">
        <v>46196</v>
      </c>
      <c r="C59" s="1447">
        <v>46189</v>
      </c>
      <c r="D59" t="s">
        <v>2368</v>
      </c>
      <c r="E59" s="762">
        <f>_xlfn.XLOOKUP(D59,RUC!$B$3:$B$123,RUC!$D$3:$D$123)</f>
        <v>20612719757</v>
      </c>
      <c r="F59" s="629" t="s">
        <v>6062</v>
      </c>
      <c r="G59" s="762">
        <v>40</v>
      </c>
      <c r="H59" s="1082" t="s">
        <v>116</v>
      </c>
      <c r="I59" s="703">
        <v>3.48</v>
      </c>
      <c r="J59" s="596">
        <v>11.75</v>
      </c>
      <c r="K59" s="703">
        <f t="shared" si="30"/>
        <v>3.0710000000000002</v>
      </c>
      <c r="L59" s="1192">
        <v>0.23200000000000001</v>
      </c>
      <c r="M59" s="994">
        <f>ROUND(+IF(L59&gt;_xlfn.XLOOKUP(AN59,RUC!M:M,RUC!K:K),L59*_xlfn.XLOOKUP(AN59,RUC!M:M,RUC!I:I),L59-_xlfn.XLOOKUP(AN59,RUC!M:M,RUC!J:J)),3)</f>
        <v>0.21299999999999999</v>
      </c>
      <c r="N59" s="1196">
        <f t="shared" si="44"/>
        <v>0.21299999999999999</v>
      </c>
      <c r="O59" s="645">
        <f t="shared" si="32"/>
        <v>0.21299999999999999</v>
      </c>
      <c r="P59" s="727">
        <v>80</v>
      </c>
      <c r="Q59" s="875">
        <v>80.17</v>
      </c>
      <c r="R59" s="706">
        <v>4335.8</v>
      </c>
      <c r="S59" s="765">
        <f>IF((_xlfn.XLOOKUP(D59,RUC!$B$3:$B$119,RUC!$E$3:$E$119)+ROUNDDOWN(O59,1)*100)&lt;95,95,((_xlfn.XLOOKUP(D59,RUC!$B$3:$B$119,RUC!$E$3:$E$119)+ROUNDDOWN(O59,1)*100)))</f>
        <v>110</v>
      </c>
      <c r="U59" s="1146">
        <f>_xlfn.XLOOKUP(D59,RUC!$B$3:$B$123,RUC!$F$3:$F$123)</f>
        <v>120</v>
      </c>
      <c r="V59" s="715">
        <v>1.1023000000000001</v>
      </c>
      <c r="Y59">
        <f>_xlfn.XLOOKUP(D59,RUC!$B$3:$B$123,RUC!$G$3:$G$123)</f>
        <v>20</v>
      </c>
      <c r="Z59" s="143">
        <f>_xlfn.XLOOKUP(D59,RUC!$B$3:$B$123,RUC!$H$3:$H$123)</f>
        <v>30</v>
      </c>
      <c r="AA59" s="144">
        <f t="shared" si="33"/>
        <v>50</v>
      </c>
      <c r="AB59" s="145">
        <f t="shared" si="34"/>
        <v>615.49380833600014</v>
      </c>
      <c r="AC59" s="145">
        <f>+(S59-T59)*V59-'data 1'!$F$4</f>
        <v>41.253</v>
      </c>
      <c r="AD59" s="145">
        <f t="shared" si="35"/>
        <v>1.8328069084960186</v>
      </c>
      <c r="AE59" s="145">
        <f t="shared" si="36"/>
        <v>-14.884999999999998</v>
      </c>
      <c r="AF59" s="145">
        <f t="shared" si="37"/>
        <v>70.785660933782069</v>
      </c>
      <c r="AG59" s="772">
        <f>AC59+AD59+AE59+AF59+70</f>
        <v>168.9864678422781</v>
      </c>
      <c r="AH59" s="1253">
        <f t="shared" si="39"/>
        <v>19.582999999999998</v>
      </c>
      <c r="AI59" s="1253">
        <f t="shared" si="40"/>
        <v>24.427</v>
      </c>
      <c r="AJ59" s="156">
        <f t="shared" si="41"/>
        <v>17.262821003503966</v>
      </c>
      <c r="AK59" s="156">
        <f t="shared" si="42"/>
        <v>17.941488709944121</v>
      </c>
      <c r="AM59" s="716">
        <f t="shared" si="43"/>
        <v>1890.1814853998565</v>
      </c>
      <c r="AN59" s="716" t="str">
        <f>_xlfn.XLOOKUP(D59,RUC!$B$3:$B$578,RUC!$M$3:$M$578)</f>
        <v>SIN ACOPIADOR</v>
      </c>
      <c r="AO59" s="1167" t="s">
        <v>2276</v>
      </c>
      <c r="AP59" s="1082" t="s">
        <v>3074</v>
      </c>
      <c r="AQ59" s="1082" t="s">
        <v>4763</v>
      </c>
    </row>
    <row r="60" spans="1:43" ht="15" customHeight="1">
      <c r="A60" s="1819" t="s">
        <v>6036</v>
      </c>
      <c r="B60" s="1447">
        <v>46197</v>
      </c>
      <c r="C60" s="1447">
        <v>46189</v>
      </c>
      <c r="D60" t="s">
        <v>1967</v>
      </c>
      <c r="E60" s="762">
        <f>_xlfn.XLOOKUP(D60,RUC!$B$3:$B$123,RUC!$D$3:$D$123)</f>
        <v>20601769396</v>
      </c>
      <c r="F60" s="629" t="s">
        <v>6063</v>
      </c>
      <c r="G60" s="762">
        <v>25</v>
      </c>
      <c r="H60" s="1082" t="s">
        <v>108</v>
      </c>
      <c r="I60" s="703">
        <v>2</v>
      </c>
      <c r="J60" s="596">
        <v>9.98</v>
      </c>
      <c r="K60" s="703">
        <f t="shared" si="30"/>
        <v>1.8</v>
      </c>
      <c r="L60" s="1192">
        <v>0.16200000000000001</v>
      </c>
      <c r="M60" s="994">
        <f>ROUND(+IF(L60&gt;_xlfn.XLOOKUP(AN60,RUC!M:M,RUC!K:K),L60*_xlfn.XLOOKUP(AN60,RUC!M:M,RUC!I:I),L60-_xlfn.XLOOKUP(AN60,RUC!M:M,RUC!J:J)),3)</f>
        <v>0.14299999999999999</v>
      </c>
      <c r="N60" s="1196">
        <f t="shared" si="44"/>
        <v>0.14299999999999999</v>
      </c>
      <c r="O60" s="645">
        <f t="shared" si="32"/>
        <v>0.14299999999999999</v>
      </c>
      <c r="P60" s="727">
        <v>80</v>
      </c>
      <c r="Q60" s="875">
        <v>90.12</v>
      </c>
      <c r="R60" s="706">
        <v>4335.8</v>
      </c>
      <c r="S60" s="765">
        <f>IF((_xlfn.XLOOKUP(D60,RUC!$B$3:$B$119,RUC!$E$3:$E$119)+ROUNDDOWN(O60,1)*100)&lt;95,95,((_xlfn.XLOOKUP(D60,RUC!$B$3:$B$119,RUC!$E$3:$E$119)+ROUNDDOWN(O60,1)*100)))</f>
        <v>100</v>
      </c>
      <c r="U60" s="1146">
        <f>_xlfn.XLOOKUP(D60,RUC!$B$3:$B$123,RUC!$F$3:$F$123)</f>
        <v>120</v>
      </c>
      <c r="V60" s="715">
        <v>1.1023000000000001</v>
      </c>
      <c r="Y60" s="1445">
        <v>30</v>
      </c>
      <c r="Z60" s="709">
        <v>70</v>
      </c>
      <c r="AA60" s="144">
        <f t="shared" si="33"/>
        <v>100</v>
      </c>
      <c r="AB60" s="145">
        <f t="shared" si="34"/>
        <v>311.16553329600004</v>
      </c>
      <c r="AC60" s="145">
        <f>+(S60-T60)*V60-'data 1'!$F$4</f>
        <v>30.230000000000004</v>
      </c>
      <c r="AD60" s="145">
        <f t="shared" si="35"/>
        <v>76.186028348496052</v>
      </c>
      <c r="AE60" s="145">
        <f t="shared" si="36"/>
        <v>40.230000000000004</v>
      </c>
      <c r="AF60" s="145">
        <f t="shared" si="37"/>
        <v>79.57095875455208</v>
      </c>
      <c r="AG60" s="772">
        <f t="shared" ref="AG60:AG91" si="45">AC60+AD60+AE60+AF60+70-53</f>
        <v>243.21698710304815</v>
      </c>
      <c r="AH60" s="1253">
        <f t="shared" si="39"/>
        <v>9.01</v>
      </c>
      <c r="AI60" s="1253">
        <f t="shared" si="40"/>
        <v>9.9979999999999993</v>
      </c>
      <c r="AJ60" s="156">
        <f t="shared" si="41"/>
        <v>13.550274603503974</v>
      </c>
      <c r="AK60" s="156">
        <f t="shared" si="42"/>
        <v>7.0600471072559996</v>
      </c>
      <c r="AM60" s="716">
        <f t="shared" si="43"/>
        <v>560.09795993280011</v>
      </c>
      <c r="AN60" s="716" t="str">
        <f>_xlfn.XLOOKUP(D60,RUC!$B$3:$B$578,RUC!$M$3:$M$578)</f>
        <v>Evelyn</v>
      </c>
      <c r="AO60" s="1167" t="s">
        <v>2277</v>
      </c>
      <c r="AP60" s="1082" t="s">
        <v>6052</v>
      </c>
      <c r="AQ60" s="1082" t="s">
        <v>6053</v>
      </c>
    </row>
    <row r="61" spans="1:43" ht="15" customHeight="1">
      <c r="A61" s="1819" t="s">
        <v>6037</v>
      </c>
      <c r="B61" s="1447">
        <v>46197</v>
      </c>
      <c r="C61" s="1447">
        <v>46189</v>
      </c>
      <c r="D61" t="s">
        <v>1967</v>
      </c>
      <c r="E61" s="762">
        <f>_xlfn.XLOOKUP(D61,RUC!$B$3:$B$123,RUC!$D$3:$D$123)</f>
        <v>20601769396</v>
      </c>
      <c r="F61" s="629" t="s">
        <v>6063</v>
      </c>
      <c r="G61" s="762">
        <v>25</v>
      </c>
      <c r="H61" s="1082" t="s">
        <v>108</v>
      </c>
      <c r="I61" s="703">
        <v>1.98</v>
      </c>
      <c r="J61" s="596">
        <v>8.9499999999999993</v>
      </c>
      <c r="K61" s="703">
        <f t="shared" si="30"/>
        <v>1.8029999999999999</v>
      </c>
      <c r="L61" s="1192">
        <v>0.16700000000000001</v>
      </c>
      <c r="M61" s="994">
        <f>ROUND(+IF(L61&gt;_xlfn.XLOOKUP(AN61,RUC!M:M,RUC!K:K),L61*_xlfn.XLOOKUP(AN61,RUC!M:M,RUC!I:I),L61-_xlfn.XLOOKUP(AN61,RUC!M:M,RUC!J:J)),3)</f>
        <v>0.14799999999999999</v>
      </c>
      <c r="N61" s="1196">
        <f t="shared" si="44"/>
        <v>0.14799999999999999</v>
      </c>
      <c r="O61" s="645">
        <f t="shared" si="32"/>
        <v>0.14799999999999999</v>
      </c>
      <c r="P61" s="727">
        <v>80</v>
      </c>
      <c r="Q61" s="875">
        <v>93.41</v>
      </c>
      <c r="R61" s="706">
        <v>4335.8</v>
      </c>
      <c r="S61" s="765">
        <f>IF((_xlfn.XLOOKUP(D61,RUC!$B$3:$B$119,RUC!$E$3:$E$119)+ROUNDDOWN(O61,1)*100)&lt;95,95,((_xlfn.XLOOKUP(D61,RUC!$B$3:$B$119,RUC!$E$3:$E$119)+ROUNDDOWN(O61,1)*100)))</f>
        <v>100</v>
      </c>
      <c r="U61" s="1146">
        <f>_xlfn.XLOOKUP(D61,RUC!$B$3:$B$123,RUC!$F$3:$F$123)</f>
        <v>120</v>
      </c>
      <c r="V61" s="715">
        <v>1.1023000000000001</v>
      </c>
      <c r="Y61" s="1445">
        <v>30</v>
      </c>
      <c r="Z61" s="709">
        <v>70</v>
      </c>
      <c r="AA61" s="144">
        <f t="shared" si="33"/>
        <v>100</v>
      </c>
      <c r="AB61" s="145">
        <f t="shared" si="34"/>
        <v>329.75383865599997</v>
      </c>
      <c r="AC61" s="145">
        <f>+(S61-T61)*V61-'data 1'!$F$4</f>
        <v>30.230000000000004</v>
      </c>
      <c r="AD61" s="145">
        <f t="shared" si="35"/>
        <v>104.06988051139798</v>
      </c>
      <c r="AE61" s="145">
        <f t="shared" si="36"/>
        <v>40.230000000000004</v>
      </c>
      <c r="AF61" s="145">
        <f t="shared" si="37"/>
        <v>82.475846174686083</v>
      </c>
      <c r="AG61" s="772">
        <f t="shared" si="45"/>
        <v>274.00572668608407</v>
      </c>
      <c r="AH61" s="1253">
        <f t="shared" si="39"/>
        <v>9.6430000000000007</v>
      </c>
      <c r="AI61" s="1253">
        <f t="shared" si="40"/>
        <v>10.323</v>
      </c>
      <c r="AJ61" s="156">
        <f t="shared" si="41"/>
        <v>14.478439047601968</v>
      </c>
      <c r="AK61" s="156">
        <f t="shared" si="42"/>
        <v>7.3190800710513599</v>
      </c>
      <c r="AM61" s="716">
        <f t="shared" si="43"/>
        <v>594.54617109676792</v>
      </c>
      <c r="AN61" s="716" t="str">
        <f>_xlfn.XLOOKUP(D61,RUC!$B$3:$B$578,RUC!$M$3:$M$578)</f>
        <v>Evelyn</v>
      </c>
      <c r="AO61" s="1167" t="s">
        <v>2277</v>
      </c>
      <c r="AP61" s="1082" t="s">
        <v>6052</v>
      </c>
      <c r="AQ61" s="1082" t="s">
        <v>6053</v>
      </c>
    </row>
    <row r="62" spans="1:43" ht="15" customHeight="1">
      <c r="A62" s="1819" t="s">
        <v>6038</v>
      </c>
      <c r="B62" s="1447">
        <v>46196</v>
      </c>
      <c r="C62" s="1447">
        <v>46189</v>
      </c>
      <c r="D62" s="1943" t="s">
        <v>6040</v>
      </c>
      <c r="E62" s="762">
        <f>_xlfn.XLOOKUP(D62,RUC!$B$3:$B$123,RUC!$D$3:$D$123)</f>
        <v>10422176905</v>
      </c>
      <c r="G62" s="762" t="s">
        <v>2985</v>
      </c>
      <c r="H62" s="1082" t="s">
        <v>69</v>
      </c>
      <c r="I62" s="703">
        <v>4.9000000000000004</v>
      </c>
      <c r="J62" s="596">
        <v>8.6999999999999993</v>
      </c>
      <c r="K62" s="703">
        <f t="shared" si="30"/>
        <v>4.4740000000000002</v>
      </c>
      <c r="L62" s="1192">
        <v>0.32200000000000001</v>
      </c>
      <c r="M62" s="994">
        <f>ROUND(+IF(L62&gt;_xlfn.XLOOKUP(AN62,RUC!M:M,RUC!K:K),L62*_xlfn.XLOOKUP(AN62,RUC!M:M,RUC!I:I),L62-_xlfn.XLOOKUP(AN62,RUC!M:M,RUC!J:J)),3)</f>
        <v>0.28699999999999998</v>
      </c>
      <c r="N62" s="1196">
        <f t="shared" si="44"/>
        <v>0.28699999999999998</v>
      </c>
      <c r="O62" s="645">
        <f t="shared" si="32"/>
        <v>0.28699999999999998</v>
      </c>
      <c r="P62" s="727">
        <v>90</v>
      </c>
      <c r="Q62" s="875">
        <v>93.79</v>
      </c>
      <c r="R62" s="706">
        <v>4335.8</v>
      </c>
      <c r="S62" s="765">
        <f>IF((_xlfn.XLOOKUP(D62,RUC!$B$3:$B$119,RUC!$E$3:$E$119)+ROUNDDOWN(O62,1)*100)&lt;95,95,((_xlfn.XLOOKUP(D62,RUC!$B$3:$B$119,RUC!$E$3:$E$119)+ROUNDDOWN(O62,1)*100)))</f>
        <v>110</v>
      </c>
      <c r="U62" s="1146">
        <f>_xlfn.XLOOKUP(D62,RUC!$B$3:$B$123,RUC!$F$3:$F$123)</f>
        <v>120</v>
      </c>
      <c r="V62" s="715">
        <v>1.1023000000000001</v>
      </c>
      <c r="Y62">
        <f>_xlfn.XLOOKUP(D62,RUC!$B$3:$B$123,RUC!$G$3:$G$123)</f>
        <v>20</v>
      </c>
      <c r="Z62" s="143">
        <f>_xlfn.XLOOKUP(D62,RUC!$B$3:$B$123,RUC!$H$3:$H$123)</f>
        <v>30</v>
      </c>
      <c r="AA62" s="144">
        <f t="shared" si="33"/>
        <v>50</v>
      </c>
      <c r="AB62" s="145">
        <f t="shared" si="34"/>
        <v>1023.971818622</v>
      </c>
      <c r="AC62" s="145">
        <f>+(S62-T62)*V62-'data 1'!$F$4</f>
        <v>41.253</v>
      </c>
      <c r="AD62" s="145">
        <f t="shared" si="35"/>
        <v>56.711990238092106</v>
      </c>
      <c r="AE62" s="145">
        <f t="shared" si="36"/>
        <v>-14.884999999999998</v>
      </c>
      <c r="AF62" s="145">
        <f t="shared" si="37"/>
        <v>152.54725147501017</v>
      </c>
      <c r="AG62" s="772">
        <f t="shared" si="45"/>
        <v>252.62724171310231</v>
      </c>
      <c r="AH62" s="1253">
        <f t="shared" si="39"/>
        <v>46.325000000000003</v>
      </c>
      <c r="AI62" s="1253">
        <f t="shared" si="40"/>
        <v>49.392000000000003</v>
      </c>
      <c r="AJ62" s="156">
        <f t="shared" si="41"/>
        <v>28.030078011907939</v>
      </c>
      <c r="AK62" s="156">
        <f t="shared" si="42"/>
        <v>39.621366990851307</v>
      </c>
      <c r="AM62" s="716">
        <f t="shared" si="43"/>
        <v>4581.2499165148283</v>
      </c>
      <c r="AN62" s="716" t="str">
        <f>_xlfn.XLOOKUP(D62,RUC!$B$3:$B$578,RUC!$M$3:$M$578)</f>
        <v>Richard Sapacayo</v>
      </c>
      <c r="AO62" s="1167" t="s">
        <v>2278</v>
      </c>
      <c r="AP62" s="1082" t="s">
        <v>4702</v>
      </c>
      <c r="AQ62" s="1082" t="s">
        <v>3566</v>
      </c>
    </row>
    <row r="63" spans="1:43" ht="15" customHeight="1">
      <c r="A63" s="1819" t="s">
        <v>6039</v>
      </c>
      <c r="B63" s="1447">
        <v>46195</v>
      </c>
      <c r="C63" s="1447">
        <v>46189</v>
      </c>
      <c r="D63" s="1943" t="s">
        <v>4171</v>
      </c>
      <c r="E63" s="762">
        <f>_xlfn.XLOOKUP(D63,RUC!$B$3:$B$123,RUC!$D$3:$D$123)</f>
        <v>20614284740</v>
      </c>
      <c r="G63" s="762">
        <v>70</v>
      </c>
      <c r="H63" s="1082" t="s">
        <v>69</v>
      </c>
      <c r="I63" s="703">
        <v>5.43</v>
      </c>
      <c r="J63" s="596">
        <v>2.5</v>
      </c>
      <c r="K63" s="703">
        <f t="shared" si="30"/>
        <v>5.2939999999999996</v>
      </c>
      <c r="L63" s="1192">
        <v>0.25600000000000001</v>
      </c>
      <c r="M63" s="994">
        <f>ROUND(+IF(L63&gt;_xlfn.XLOOKUP(AN63,RUC!M:M,RUC!K:K),L63*_xlfn.XLOOKUP(AN63,RUC!M:M,RUC!I:I),L63-_xlfn.XLOOKUP(AN63,RUC!M:M,RUC!J:J)),3)</f>
        <v>0.23699999999999999</v>
      </c>
      <c r="N63" s="1196">
        <f t="shared" si="44"/>
        <v>0.23699999999999999</v>
      </c>
      <c r="O63" s="645">
        <f t="shared" si="32"/>
        <v>0.23699999999999999</v>
      </c>
      <c r="P63" s="727">
        <v>90</v>
      </c>
      <c r="Q63" s="875">
        <v>95.7</v>
      </c>
      <c r="R63" s="706">
        <v>4335.8</v>
      </c>
      <c r="S63" s="765">
        <f>IF((_xlfn.XLOOKUP(D63,RUC!$B$3:$B$119,RUC!$E$3:$E$119)+ROUNDDOWN(O63,1)*100)&lt;95,95,((_xlfn.XLOOKUP(D63,RUC!$B$3:$B$119,RUC!$E$3:$E$119)+ROUNDDOWN(O63,1)*100)))</f>
        <v>110</v>
      </c>
      <c r="U63" s="1146">
        <f>_xlfn.XLOOKUP(D63,RUC!$B$3:$B$123,RUC!$F$3:$F$123)</f>
        <v>120</v>
      </c>
      <c r="V63" s="715">
        <v>1.1023000000000001</v>
      </c>
      <c r="Y63">
        <f>_xlfn.XLOOKUP(D63,RUC!$B$3:$B$123,RUC!$G$3:$G$123)</f>
        <v>20</v>
      </c>
      <c r="Z63" s="143">
        <f>_xlfn.XLOOKUP(D63,RUC!$B$3:$B$123,RUC!$H$3:$H$123)</f>
        <v>30</v>
      </c>
      <c r="AA63" s="144">
        <f t="shared" si="33"/>
        <v>50</v>
      </c>
      <c r="AB63" s="145">
        <f t="shared" si="34"/>
        <v>814.85338332200001</v>
      </c>
      <c r="AC63" s="145">
        <f>+(S63-T63)*V63-'data 1'!$F$4</f>
        <v>41.253</v>
      </c>
      <c r="AD63" s="145">
        <f t="shared" si="35"/>
        <v>67.810137953280034</v>
      </c>
      <c r="AE63" s="145">
        <f t="shared" si="36"/>
        <v>-14.884999999999998</v>
      </c>
      <c r="AF63" s="145">
        <f t="shared" si="37"/>
        <v>84.497789090220081</v>
      </c>
      <c r="AG63" s="772">
        <f t="shared" si="45"/>
        <v>195.67592704350011</v>
      </c>
      <c r="AH63" s="1253">
        <f t="shared" si="39"/>
        <v>44.468000000000004</v>
      </c>
      <c r="AI63" s="1253">
        <f t="shared" si="40"/>
        <v>46.466000000000001</v>
      </c>
      <c r="AJ63" s="156">
        <f t="shared" si="41"/>
        <v>22.738604190719954</v>
      </c>
      <c r="AK63" s="156">
        <f t="shared" si="42"/>
        <v>38.715409897018105</v>
      </c>
      <c r="AM63" s="716">
        <f t="shared" si="43"/>
        <v>4313.8338113066675</v>
      </c>
      <c r="AN63" s="716" t="str">
        <f>_xlfn.XLOOKUP(D63,RUC!$B$3:$B$578,RUC!$M$3:$M$578)</f>
        <v xml:space="preserve">Dante </v>
      </c>
      <c r="AO63" s="1167" t="s">
        <v>2276</v>
      </c>
      <c r="AP63" s="1082" t="s">
        <v>5367</v>
      </c>
      <c r="AQ63" s="1082" t="s">
        <v>4078</v>
      </c>
    </row>
    <row r="64" spans="1:43" ht="15" customHeight="1">
      <c r="A64" s="1819" t="s">
        <v>6041</v>
      </c>
      <c r="B64" s="1447">
        <v>46197</v>
      </c>
      <c r="C64" s="1447">
        <v>46190</v>
      </c>
      <c r="D64" t="s">
        <v>5907</v>
      </c>
      <c r="E64" s="762">
        <f>_xlfn.XLOOKUP(D64,RUC!$B$3:$B$123,RUC!$D$3:$D$123)</f>
        <v>20614329646</v>
      </c>
      <c r="G64" s="762">
        <v>18</v>
      </c>
      <c r="H64" s="1082" t="s">
        <v>69</v>
      </c>
      <c r="I64" s="703">
        <v>1.78</v>
      </c>
      <c r="J64" s="596">
        <v>2.1</v>
      </c>
      <c r="K64" s="703">
        <f t="shared" si="30"/>
        <v>1.7430000000000001</v>
      </c>
      <c r="L64" s="1192">
        <v>0.14799999999999999</v>
      </c>
      <c r="M64" s="994">
        <v>0.129</v>
      </c>
      <c r="N64" s="1444">
        <v>0.186</v>
      </c>
      <c r="O64" s="645">
        <f t="shared" si="32"/>
        <v>0.157</v>
      </c>
      <c r="P64" s="727">
        <v>50</v>
      </c>
      <c r="Q64" s="1897">
        <v>52.364999999999995</v>
      </c>
      <c r="R64" s="706">
        <v>4341.8500000000004</v>
      </c>
      <c r="S64" s="765">
        <f>IF((_xlfn.XLOOKUP(D64,RUC!$B$3:$B$119,RUC!$E$3:$E$119)+ROUNDDOWN(O64,1)*100)&lt;95,95,((_xlfn.XLOOKUP(D64,RUC!$B$3:$B$119,RUC!$E$3:$E$119)+ROUNDDOWN(O64,1)*100)))</f>
        <v>95</v>
      </c>
      <c r="U64" s="1146">
        <f>_xlfn.XLOOKUP(D64,RUC!$B$3:$B$123,RUC!$F$3:$F$123)</f>
        <v>110</v>
      </c>
      <c r="V64" s="715">
        <v>1.1023000000000001</v>
      </c>
      <c r="Y64">
        <f>_xlfn.XLOOKUP(D64,RUC!$B$3:$B$123,RUC!$G$3:$G$123)</f>
        <v>0</v>
      </c>
      <c r="Z64" s="143">
        <v>35</v>
      </c>
      <c r="AA64" s="144">
        <f t="shared" si="33"/>
        <v>35</v>
      </c>
      <c r="AB64" s="145">
        <f t="shared" si="34"/>
        <v>222.88530801749999</v>
      </c>
      <c r="AC64" s="145">
        <f>+(S64-T64)*V64-'data 1'!$F$4</f>
        <v>24.718500000000006</v>
      </c>
      <c r="AD64" s="145">
        <f t="shared" si="35"/>
        <v>16.327621846150969</v>
      </c>
      <c r="AE64" s="145">
        <f t="shared" si="36"/>
        <v>-31.419499999999999</v>
      </c>
      <c r="AF64" s="145">
        <f t="shared" si="37"/>
        <v>-21.984353070576766</v>
      </c>
      <c r="AG64" s="772">
        <f t="shared" si="45"/>
        <v>4.6422687755742089</v>
      </c>
      <c r="AH64" s="1253">
        <f t="shared" si="39"/>
        <v>4.6310000000000002</v>
      </c>
      <c r="AI64" s="1253">
        <f t="shared" si="40"/>
        <v>8.8439999999999994</v>
      </c>
      <c r="AJ64" s="156">
        <f t="shared" si="41"/>
        <v>5.8219502618489685</v>
      </c>
      <c r="AK64" s="156">
        <f t="shared" si="42"/>
        <v>4.6911153626352755</v>
      </c>
      <c r="AM64" s="716">
        <f t="shared" si="43"/>
        <v>388.48909187450249</v>
      </c>
      <c r="AN64" s="716" t="str">
        <f>_xlfn.XLOOKUP(D64,RUC!$B$3:$B$578,RUC!$M$3:$M$578)</f>
        <v>Robinson Tuya</v>
      </c>
      <c r="AO64" s="1167" t="s">
        <v>2276</v>
      </c>
      <c r="AP64" s="1082" t="s">
        <v>3741</v>
      </c>
      <c r="AQ64" s="1082" t="s">
        <v>5761</v>
      </c>
    </row>
    <row r="65" spans="1:43" ht="15" customHeight="1">
      <c r="A65" s="1819" t="s">
        <v>6042</v>
      </c>
      <c r="B65" s="1447">
        <v>46197</v>
      </c>
      <c r="C65" s="1447">
        <v>46190</v>
      </c>
      <c r="D65" s="1943" t="s">
        <v>5907</v>
      </c>
      <c r="E65" s="762">
        <f>_xlfn.XLOOKUP(D65,RUC!$B$3:$B$123,RUC!$D$3:$D$123)</f>
        <v>20614329646</v>
      </c>
      <c r="G65" s="762">
        <v>99</v>
      </c>
      <c r="H65" s="1082" t="s">
        <v>69</v>
      </c>
      <c r="I65" s="703">
        <v>10.11</v>
      </c>
      <c r="J65" s="596">
        <v>2.2000000000000002</v>
      </c>
      <c r="K65" s="703">
        <f t="shared" si="30"/>
        <v>9.8879999999999999</v>
      </c>
      <c r="L65" s="1192">
        <v>0.16300000000000001</v>
      </c>
      <c r="M65" s="994">
        <v>0.14399999999999999</v>
      </c>
      <c r="N65" s="1444">
        <v>0.215</v>
      </c>
      <c r="O65" s="645">
        <f t="shared" si="32"/>
        <v>0.17899999999999999</v>
      </c>
      <c r="P65" s="727">
        <v>85</v>
      </c>
      <c r="Q65" s="875">
        <v>95.09</v>
      </c>
      <c r="R65" s="706">
        <v>4341.8500000000004</v>
      </c>
      <c r="S65" s="765">
        <f>IF((_xlfn.XLOOKUP(D65,RUC!$B$3:$B$119,RUC!$E$3:$E$119)+ROUNDDOWN(O65,1)*100)&lt;95,95,((_xlfn.XLOOKUP(D65,RUC!$B$3:$B$119,RUC!$E$3:$E$119)+ROUNDDOWN(O65,1)*100)))</f>
        <v>95</v>
      </c>
      <c r="U65" s="1146">
        <f>_xlfn.XLOOKUP(D65,RUC!$B$3:$B$123,RUC!$F$3:$F$123)</f>
        <v>110</v>
      </c>
      <c r="V65" s="715">
        <v>1.1023000000000001</v>
      </c>
      <c r="Y65">
        <f>_xlfn.XLOOKUP(D65,RUC!$B$3:$B$123,RUC!$G$3:$G$123)</f>
        <v>0</v>
      </c>
      <c r="Z65" s="143">
        <v>35</v>
      </c>
      <c r="AA65" s="144">
        <f t="shared" si="33"/>
        <v>35</v>
      </c>
      <c r="AB65" s="145">
        <f t="shared" si="34"/>
        <v>566.44548999825008</v>
      </c>
      <c r="AC65" s="145">
        <f>+(S65-T65)*V65-'data 1'!$F$4</f>
        <v>24.718500000000006</v>
      </c>
      <c r="AD65" s="145">
        <f t="shared" si="35"/>
        <v>76.720044059508538</v>
      </c>
      <c r="AE65" s="145">
        <f t="shared" si="36"/>
        <v>-31.419499999999999</v>
      </c>
      <c r="AF65" s="145">
        <f t="shared" si="37"/>
        <v>-70.971650138871965</v>
      </c>
      <c r="AG65" s="772">
        <f t="shared" si="45"/>
        <v>16.04739392063658</v>
      </c>
      <c r="AH65" s="1253">
        <f t="shared" si="39"/>
        <v>52.545999999999999</v>
      </c>
      <c r="AI65" s="1253">
        <f t="shared" si="40"/>
        <v>55.259</v>
      </c>
      <c r="AJ65" s="156">
        <f t="shared" si="41"/>
        <v>11.643622573241439</v>
      </c>
      <c r="AK65" s="156">
        <f t="shared" si="42"/>
        <v>51.580967477392562</v>
      </c>
      <c r="AM65" s="716">
        <f t="shared" si="43"/>
        <v>5601.0130051026972</v>
      </c>
      <c r="AN65" s="716" t="str">
        <f>_xlfn.XLOOKUP(D65,RUC!$B$3:$B$578,RUC!$M$3:$M$578)</f>
        <v>Robinson Tuya</v>
      </c>
      <c r="AO65" s="1167" t="s">
        <v>2276</v>
      </c>
      <c r="AP65" s="1082" t="s">
        <v>3741</v>
      </c>
      <c r="AQ65" s="1082" t="s">
        <v>5761</v>
      </c>
    </row>
    <row r="66" spans="1:43" ht="15" customHeight="1">
      <c r="A66" s="747" t="s">
        <v>6043</v>
      </c>
      <c r="B66" s="1447">
        <v>46195</v>
      </c>
      <c r="C66" s="1447">
        <v>46190</v>
      </c>
      <c r="D66" s="1943" t="s">
        <v>5442</v>
      </c>
      <c r="E66" s="762">
        <f>_xlfn.XLOOKUP(D66,RUC!$B$3:$B$123,RUC!$D$3:$D$123)</f>
        <v>20606562480</v>
      </c>
      <c r="F66" s="629" t="s">
        <v>5639</v>
      </c>
      <c r="G66" s="762">
        <v>114</v>
      </c>
      <c r="H66" s="1082" t="s">
        <v>108</v>
      </c>
      <c r="I66" s="703">
        <v>8.4499999999999993</v>
      </c>
      <c r="J66" s="596">
        <v>15.13</v>
      </c>
      <c r="K66" s="703">
        <f t="shared" si="30"/>
        <v>7.1719999999999997</v>
      </c>
      <c r="L66" s="1192">
        <v>0.40899999999999997</v>
      </c>
      <c r="M66" s="994">
        <f>ROUND(+IF(L66&gt;_xlfn.XLOOKUP(AN66,RUC!M:M,RUC!K:K),L66*_xlfn.XLOOKUP(AN66,RUC!M:M,RUC!I:I),L66-_xlfn.XLOOKUP(AN66,RUC!M:M,RUC!J:J)),3)</f>
        <v>0.38400000000000001</v>
      </c>
      <c r="N66" s="1196">
        <f t="shared" ref="N66:N105" si="46">+M66</f>
        <v>0.38400000000000001</v>
      </c>
      <c r="O66" s="645">
        <f t="shared" si="32"/>
        <v>0.38400000000000001</v>
      </c>
      <c r="P66" s="727">
        <v>90</v>
      </c>
      <c r="Q66" s="875">
        <v>91.93</v>
      </c>
      <c r="R66" s="706">
        <v>4341.8500000000004</v>
      </c>
      <c r="S66" s="765">
        <f>IF((_xlfn.XLOOKUP(D66,RUC!$B$3:$B$119,RUC!$E$3:$E$119)+ROUNDDOWN(O66,1)*100)&lt;95,95,((_xlfn.XLOOKUP(D66,RUC!$B$3:$B$119,RUC!$E$3:$E$119)+ROUNDDOWN(O66,1)*100)))</f>
        <v>115</v>
      </c>
      <c r="U66" s="1146">
        <f>_xlfn.XLOOKUP(D66,RUC!$B$3:$B$123,RUC!$F$3:$F$123)</f>
        <v>120</v>
      </c>
      <c r="V66" s="715">
        <v>1.1023000000000001</v>
      </c>
      <c r="Y66">
        <f>_xlfn.XLOOKUP(D66,RUC!$B$3:$B$123,RUC!$G$3:$G$123)</f>
        <v>20</v>
      </c>
      <c r="Z66" s="143">
        <f>_xlfn.XLOOKUP(D66,RUC!$B$3:$B$123,RUC!$H$3:$H$123)</f>
        <v>35</v>
      </c>
      <c r="AA66" s="144">
        <f t="shared" si="33"/>
        <v>55</v>
      </c>
      <c r="AB66" s="145">
        <f t="shared" si="34"/>
        <v>1420.9433601280004</v>
      </c>
      <c r="AC66" s="145">
        <f>+(S66-T66)*V66-'data 1'!$F$4</f>
        <v>46.764500000000012</v>
      </c>
      <c r="AD66" s="145">
        <f t="shared" si="35"/>
        <v>36.735268919393633</v>
      </c>
      <c r="AE66" s="145">
        <f t="shared" si="36"/>
        <v>-9.3734999999999999</v>
      </c>
      <c r="AF66" s="145">
        <f t="shared" si="37"/>
        <v>106.95470032303737</v>
      </c>
      <c r="AG66" s="772">
        <f t="shared" si="45"/>
        <v>198.08096924243102</v>
      </c>
      <c r="AH66" s="1253">
        <f t="shared" si="39"/>
        <v>92.454999999999998</v>
      </c>
      <c r="AI66" s="1253">
        <f t="shared" si="40"/>
        <v>100.571</v>
      </c>
      <c r="AJ66" s="156">
        <f t="shared" si="41"/>
        <v>32.389881408106348</v>
      </c>
      <c r="AK66" s="156">
        <f t="shared" si="42"/>
        <v>84.981243949493759</v>
      </c>
      <c r="AM66" s="716">
        <f t="shared" si="43"/>
        <v>10191.005778838018</v>
      </c>
      <c r="AN66" s="716" t="str">
        <f>_xlfn.XLOOKUP(D66,RUC!$B$3:$B$578,RUC!$M$3:$M$578)</f>
        <v>Ronald Miranda</v>
      </c>
      <c r="AO66" s="1167" t="s">
        <v>2277</v>
      </c>
      <c r="AP66" s="1082" t="s">
        <v>4189</v>
      </c>
      <c r="AQ66" s="1082" t="s">
        <v>6094</v>
      </c>
    </row>
    <row r="67" spans="1:43" ht="15" customHeight="1">
      <c r="A67" s="747" t="s">
        <v>6064</v>
      </c>
      <c r="B67" s="1447">
        <v>46195</v>
      </c>
      <c r="C67" s="1447">
        <v>46190</v>
      </c>
      <c r="D67" s="1943" t="s">
        <v>5442</v>
      </c>
      <c r="E67" s="762">
        <f>_xlfn.XLOOKUP(D67,RUC!$B$3:$B$123,RUC!$D$3:$D$123)</f>
        <v>20606562480</v>
      </c>
      <c r="F67" s="629" t="s">
        <v>5639</v>
      </c>
      <c r="G67" s="762">
        <v>60</v>
      </c>
      <c r="H67" s="1082" t="s">
        <v>108</v>
      </c>
      <c r="I67" s="703">
        <v>4.46</v>
      </c>
      <c r="J67" s="596">
        <v>14</v>
      </c>
      <c r="K67" s="703">
        <f t="shared" si="30"/>
        <v>3.8359999999999999</v>
      </c>
      <c r="L67" s="1192">
        <v>0.47199999999999998</v>
      </c>
      <c r="M67" s="994">
        <f>ROUND(+IF(L67&gt;_xlfn.XLOOKUP(AN67,RUC!M:M,RUC!K:K),L67*_xlfn.XLOOKUP(AN67,RUC!M:M,RUC!I:I),L67-_xlfn.XLOOKUP(AN67,RUC!M:M,RUC!J:J)),3)</f>
        <v>0.44400000000000001</v>
      </c>
      <c r="N67" s="1196">
        <f t="shared" si="46"/>
        <v>0.44400000000000001</v>
      </c>
      <c r="O67" s="645">
        <f t="shared" si="32"/>
        <v>0.44400000000000001</v>
      </c>
      <c r="P67" s="727">
        <v>90</v>
      </c>
      <c r="Q67" s="875">
        <v>90.95</v>
      </c>
      <c r="R67" s="706">
        <v>4341.8500000000004</v>
      </c>
      <c r="S67" s="765">
        <f>IF((_xlfn.XLOOKUP(D67,RUC!$B$3:$B$119,RUC!$E$3:$E$119)+ROUNDDOWN(O67,1)*100)&lt;95,95,((_xlfn.XLOOKUP(D67,RUC!$B$3:$B$119,RUC!$E$3:$E$119)+ROUNDDOWN(O67,1)*100)))</f>
        <v>125</v>
      </c>
      <c r="U67" s="1146">
        <f>_xlfn.XLOOKUP(D67,RUC!$B$3:$B$123,RUC!$F$3:$F$123)</f>
        <v>120</v>
      </c>
      <c r="V67" s="715">
        <v>1.1023000000000001</v>
      </c>
      <c r="Y67">
        <f>_xlfn.XLOOKUP(D67,RUC!$B$3:$B$123,RUC!$G$3:$G$123)</f>
        <v>20</v>
      </c>
      <c r="Z67" s="143">
        <f>_xlfn.XLOOKUP(D67,RUC!$B$3:$B$123,RUC!$H$3:$H$123)</f>
        <v>35</v>
      </c>
      <c r="AA67" s="144">
        <f t="shared" si="33"/>
        <v>55</v>
      </c>
      <c r="AB67" s="145">
        <f t="shared" si="34"/>
        <v>1661.2226038980002</v>
      </c>
      <c r="AC67" s="145">
        <f>+(S67-T67)*V67-'data 1'!$F$4</f>
        <v>57.787499999999994</v>
      </c>
      <c r="AD67" s="145">
        <f t="shared" si="35"/>
        <v>20.867393723420065</v>
      </c>
      <c r="AE67" s="145">
        <f t="shared" si="36"/>
        <v>-9.3734999999999999</v>
      </c>
      <c r="AF67" s="145">
        <f t="shared" si="37"/>
        <v>118.51227666382991</v>
      </c>
      <c r="AG67" s="772">
        <f t="shared" si="45"/>
        <v>204.79367038724996</v>
      </c>
      <c r="AH67" s="1253">
        <f t="shared" si="39"/>
        <v>56.459000000000003</v>
      </c>
      <c r="AI67" s="1253">
        <f t="shared" si="40"/>
        <v>62.076999999999998</v>
      </c>
      <c r="AJ67" s="156">
        <f t="shared" si="41"/>
        <v>36.98056071257983</v>
      </c>
      <c r="AK67" s="156">
        <f t="shared" si="42"/>
        <v>52.554891924496076</v>
      </c>
      <c r="AM67" s="716">
        <f t="shared" si="43"/>
        <v>6372.4499085527286</v>
      </c>
      <c r="AN67" s="716" t="str">
        <f>_xlfn.XLOOKUP(D67,RUC!$B$3:$B$578,RUC!$M$3:$M$578)</f>
        <v>Ronald Miranda</v>
      </c>
      <c r="AO67" s="1167" t="s">
        <v>2277</v>
      </c>
      <c r="AP67" s="1082" t="s">
        <v>4189</v>
      </c>
      <c r="AQ67" s="1082" t="s">
        <v>6094</v>
      </c>
    </row>
    <row r="68" spans="1:43" ht="15" customHeight="1">
      <c r="A68" s="747" t="s">
        <v>6065</v>
      </c>
      <c r="B68" s="1447">
        <v>46195</v>
      </c>
      <c r="C68" s="1447">
        <v>46190</v>
      </c>
      <c r="D68" s="1943" t="s">
        <v>5442</v>
      </c>
      <c r="E68" s="762">
        <f>_xlfn.XLOOKUP(D68,RUC!$B$3:$B$123,RUC!$D$3:$D$123)</f>
        <v>20606562480</v>
      </c>
      <c r="F68" s="629" t="s">
        <v>5639</v>
      </c>
      <c r="G68" s="762">
        <v>18</v>
      </c>
      <c r="H68" s="1082" t="s">
        <v>108</v>
      </c>
      <c r="I68" s="703">
        <v>1.08</v>
      </c>
      <c r="J68" s="596">
        <v>9.85</v>
      </c>
      <c r="K68" s="703">
        <f t="shared" si="30"/>
        <v>0.97399999999999998</v>
      </c>
      <c r="L68" s="1192">
        <v>1.2709999999999999</v>
      </c>
      <c r="M68" s="994">
        <f>ROUND(+IF(L68&gt;_xlfn.XLOOKUP(AN68,RUC!M:M,RUC!K:K),L68*_xlfn.XLOOKUP(AN68,RUC!M:M,RUC!I:I),L68-_xlfn.XLOOKUP(AN68,RUC!M:M,RUC!J:J)),3)</f>
        <v>1.1950000000000001</v>
      </c>
      <c r="N68" s="1196">
        <f t="shared" si="46"/>
        <v>1.1950000000000001</v>
      </c>
      <c r="O68" s="645">
        <f t="shared" si="32"/>
        <v>1.1950000000000001</v>
      </c>
      <c r="P68" s="727">
        <v>83</v>
      </c>
      <c r="Q68" s="875">
        <v>84.5</v>
      </c>
      <c r="R68" s="706">
        <v>4341.8500000000004</v>
      </c>
      <c r="S68" s="765">
        <f>IF((_xlfn.XLOOKUP(D68,RUC!$B$3:$B$119,RUC!$E$3:$E$119)+ROUNDDOWN(O68,1)*100)&lt;95,95,((_xlfn.XLOOKUP(D68,RUC!$B$3:$B$119,RUC!$E$3:$E$119)+ROUNDDOWN(O68,1)*100)))</f>
        <v>195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3">
        <f>_xlfn.XLOOKUP(D68,RUC!$B$3:$B$123,RUC!$H$3:$H$123)</f>
        <v>35</v>
      </c>
      <c r="AA68" s="144">
        <f t="shared" si="33"/>
        <v>55</v>
      </c>
      <c r="AB68" s="145">
        <f t="shared" si="34"/>
        <v>4340.2422311717501</v>
      </c>
      <c r="AC68" s="145">
        <f>+(S68-T68)*V68-'data 1'!$F$4</f>
        <v>134.94850000000002</v>
      </c>
      <c r="AD68" s="145">
        <f t="shared" si="35"/>
        <v>88.723653286575015</v>
      </c>
      <c r="AE68" s="145">
        <f t="shared" si="36"/>
        <v>-9.3734999999999999</v>
      </c>
      <c r="AF68" s="145">
        <f t="shared" si="37"/>
        <v>298.86352027609939</v>
      </c>
      <c r="AG68" s="772">
        <f t="shared" si="45"/>
        <v>530.16217356267441</v>
      </c>
      <c r="AH68" s="1253">
        <f t="shared" si="39"/>
        <v>35.865000000000002</v>
      </c>
      <c r="AI68" s="1253">
        <f t="shared" si="40"/>
        <v>42.444000000000003</v>
      </c>
      <c r="AJ68" s="156">
        <f t="shared" si="41"/>
        <v>92.519025406274579</v>
      </c>
      <c r="AK68" s="156">
        <f t="shared" si="42"/>
        <v>33.121807121820297</v>
      </c>
      <c r="AM68" s="716">
        <f t="shared" si="43"/>
        <v>4227.3959331612841</v>
      </c>
      <c r="AN68" s="716" t="str">
        <f>_xlfn.XLOOKUP(D68,RUC!$B$3:$B$578,RUC!$M$3:$M$578)</f>
        <v>Ronald Miranda</v>
      </c>
      <c r="AO68" s="1167" t="s">
        <v>2277</v>
      </c>
      <c r="AP68" s="1082" t="s">
        <v>4189</v>
      </c>
      <c r="AQ68" s="1082" t="s">
        <v>6094</v>
      </c>
    </row>
    <row r="69" spans="1:43" ht="15" customHeight="1">
      <c r="A69" s="747" t="s">
        <v>6066</v>
      </c>
      <c r="B69" s="1447">
        <v>46197</v>
      </c>
      <c r="C69" s="1447">
        <v>46190</v>
      </c>
      <c r="D69" s="1943" t="s">
        <v>5442</v>
      </c>
      <c r="E69" s="762">
        <f>_xlfn.XLOOKUP(D69,RUC!$B$3:$B$123,RUC!$D$3:$D$123)</f>
        <v>20606562480</v>
      </c>
      <c r="F69" s="629" t="s">
        <v>6125</v>
      </c>
      <c r="G69" s="762">
        <v>26</v>
      </c>
      <c r="H69" s="1082" t="s">
        <v>108</v>
      </c>
      <c r="I69" s="703">
        <v>2.09</v>
      </c>
      <c r="J69" s="596">
        <v>16.45</v>
      </c>
      <c r="K69" s="703">
        <f t="shared" si="30"/>
        <v>1.746</v>
      </c>
      <c r="L69" s="1192">
        <v>0.35899999999999999</v>
      </c>
      <c r="M69" s="994">
        <f>ROUND(+IF(L69&gt;_xlfn.XLOOKUP(AN69,RUC!M:M,RUC!K:K),L69*_xlfn.XLOOKUP(AN69,RUC!M:M,RUC!I:I),L69-_xlfn.XLOOKUP(AN69,RUC!M:M,RUC!J:J)),3)</f>
        <v>0.33700000000000002</v>
      </c>
      <c r="N69" s="1196">
        <f t="shared" si="46"/>
        <v>0.33700000000000002</v>
      </c>
      <c r="O69" s="645">
        <f t="shared" si="32"/>
        <v>0.33700000000000002</v>
      </c>
      <c r="P69" s="727">
        <v>90</v>
      </c>
      <c r="Q69" s="875">
        <v>90.81</v>
      </c>
      <c r="R69" s="706">
        <v>4341.8500000000004</v>
      </c>
      <c r="S69" s="765">
        <f>IF((_xlfn.XLOOKUP(D69,RUC!$B$3:$B$119,RUC!$E$3:$E$119)+ROUNDDOWN(O69,1)*100)&lt;95,95,((_xlfn.XLOOKUP(D69,RUC!$B$3:$B$119,RUC!$E$3:$E$119)+ROUNDDOWN(O69,1)*100)))</f>
        <v>115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3">
        <f>_xlfn.XLOOKUP(D69,RUC!$B$3:$B$123,RUC!$H$3:$H$123)</f>
        <v>35</v>
      </c>
      <c r="AA69" s="144">
        <f t="shared" si="33"/>
        <v>55</v>
      </c>
      <c r="AB69" s="145">
        <f t="shared" si="34"/>
        <v>1224.0899358415002</v>
      </c>
      <c r="AC69" s="145">
        <f>+(S69-T69)*V69-'data 1'!$F$4</f>
        <v>46.764500000000012</v>
      </c>
      <c r="AD69" s="145">
        <f t="shared" si="35"/>
        <v>13.53262582701454</v>
      </c>
      <c r="AE69" s="145">
        <f t="shared" si="36"/>
        <v>-9.3734999999999999</v>
      </c>
      <c r="AF69" s="145">
        <f t="shared" si="37"/>
        <v>92.973453453440868</v>
      </c>
      <c r="AG69" s="772">
        <f t="shared" si="45"/>
        <v>160.89707928045542</v>
      </c>
      <c r="AH69" s="1253">
        <f t="shared" si="39"/>
        <v>19.515999999999998</v>
      </c>
      <c r="AI69" s="1253">
        <f t="shared" si="40"/>
        <v>21.491</v>
      </c>
      <c r="AJ69" s="156">
        <f t="shared" si="41"/>
        <v>28.083867413485372</v>
      </c>
      <c r="AK69" s="156">
        <f t="shared" si="42"/>
        <v>18.156231809456493</v>
      </c>
      <c r="AM69" s="716">
        <f t="shared" si="43"/>
        <v>2137.2610279792593</v>
      </c>
      <c r="AN69" s="716" t="str">
        <f>_xlfn.XLOOKUP(D69,RUC!$B$3:$B$578,RUC!$M$3:$M$578)</f>
        <v>Ronald Miranda</v>
      </c>
      <c r="AO69" s="1167" t="s">
        <v>2277</v>
      </c>
      <c r="AP69" s="1082" t="s">
        <v>4189</v>
      </c>
      <c r="AQ69" s="1082" t="s">
        <v>6094</v>
      </c>
    </row>
    <row r="70" spans="1:43" ht="15" customHeight="1">
      <c r="A70" s="747" t="s">
        <v>6067</v>
      </c>
      <c r="B70" s="1447">
        <v>46197</v>
      </c>
      <c r="C70" s="1447">
        <v>46190</v>
      </c>
      <c r="D70" s="1943" t="s">
        <v>5442</v>
      </c>
      <c r="E70" s="762">
        <f>_xlfn.XLOOKUP(D70,RUC!$B$3:$B$123,RUC!$D$3:$D$123)</f>
        <v>20606562480</v>
      </c>
      <c r="F70" s="629" t="s">
        <v>6125</v>
      </c>
      <c r="G70" s="762">
        <v>40</v>
      </c>
      <c r="H70" s="1082" t="s">
        <v>108</v>
      </c>
      <c r="I70" s="703">
        <v>3.23</v>
      </c>
      <c r="J70" s="596">
        <v>15.65</v>
      </c>
      <c r="K70" s="703">
        <f t="shared" si="30"/>
        <v>2.7250000000000001</v>
      </c>
      <c r="L70" s="1192">
        <v>0.38300000000000001</v>
      </c>
      <c r="M70" s="994">
        <f>ROUND(+IF(L70&gt;_xlfn.XLOOKUP(AN70,RUC!M:M,RUC!K:K),L70*_xlfn.XLOOKUP(AN70,RUC!M:M,RUC!I:I),L70-_xlfn.XLOOKUP(AN70,RUC!M:M,RUC!J:J)),3)</f>
        <v>0.36</v>
      </c>
      <c r="N70" s="1196">
        <f t="shared" si="46"/>
        <v>0.36</v>
      </c>
      <c r="O70" s="645">
        <f t="shared" si="32"/>
        <v>0.36</v>
      </c>
      <c r="P70" s="727">
        <v>89</v>
      </c>
      <c r="Q70" s="875">
        <v>89.56</v>
      </c>
      <c r="R70" s="706">
        <v>4341.8500000000004</v>
      </c>
      <c r="S70" s="765">
        <f>IF((_xlfn.XLOOKUP(D70,RUC!$B$3:$B$119,RUC!$E$3:$E$119)+ROUNDDOWN(O70,1)*100)&lt;95,95,((_xlfn.XLOOKUP(D70,RUC!$B$3:$B$119,RUC!$E$3:$E$119)+ROUNDDOWN(O70,1)*100)))</f>
        <v>115</v>
      </c>
      <c r="U70" s="1146">
        <f>_xlfn.XLOOKUP(D70,RUC!$B$3:$B$123,RUC!$F$3:$F$123)</f>
        <v>120</v>
      </c>
      <c r="V70" s="715">
        <v>1.1023000000000001</v>
      </c>
      <c r="Y70">
        <f>_xlfn.XLOOKUP(D70,RUC!$B$3:$B$123,RUC!$G$3:$G$123)</f>
        <v>20</v>
      </c>
      <c r="Z70" s="143">
        <f>_xlfn.XLOOKUP(D70,RUC!$B$3:$B$123,RUC!$H$3:$H$123)</f>
        <v>35</v>
      </c>
      <c r="AA70" s="144">
        <f t="shared" si="33"/>
        <v>55</v>
      </c>
      <c r="AB70" s="145">
        <f t="shared" si="34"/>
        <v>1303.6689797020003</v>
      </c>
      <c r="AC70" s="145">
        <f>+(S70-T70)*V70-'data 1'!$F$4</f>
        <v>46.764500000000012</v>
      </c>
      <c r="AD70" s="145">
        <f t="shared" si="35"/>
        <v>9.9813528229240429</v>
      </c>
      <c r="AE70" s="145">
        <f t="shared" si="36"/>
        <v>-9.3734999999999999</v>
      </c>
      <c r="AF70" s="145">
        <f t="shared" si="37"/>
        <v>95.861567758694108</v>
      </c>
      <c r="AG70" s="772">
        <f t="shared" si="45"/>
        <v>160.23392058161818</v>
      </c>
      <c r="AH70" s="1253">
        <f t="shared" si="39"/>
        <v>32.046999999999997</v>
      </c>
      <c r="AI70" s="1253">
        <f t="shared" si="40"/>
        <v>35.783000000000001</v>
      </c>
      <c r="AJ70" s="156">
        <f t="shared" si="41"/>
        <v>29.548922477225865</v>
      </c>
      <c r="AK70" s="156">
        <f t="shared" si="42"/>
        <v>29.934229452574499</v>
      </c>
      <c r="AM70" s="716">
        <f t="shared" si="43"/>
        <v>3552.4979696879509</v>
      </c>
      <c r="AN70" s="716" t="str">
        <f>_xlfn.XLOOKUP(D70,RUC!$B$3:$B$578,RUC!$M$3:$M$578)</f>
        <v>Ronald Miranda</v>
      </c>
      <c r="AO70" s="1167" t="s">
        <v>2277</v>
      </c>
      <c r="AP70" s="1082" t="s">
        <v>4189</v>
      </c>
      <c r="AQ70" s="1082" t="s">
        <v>6094</v>
      </c>
    </row>
    <row r="71" spans="1:43" ht="15" customHeight="1">
      <c r="A71" s="747" t="s">
        <v>6068</v>
      </c>
      <c r="B71" s="1447">
        <v>46197</v>
      </c>
      <c r="C71" s="1447">
        <v>46190</v>
      </c>
      <c r="D71" s="1943" t="s">
        <v>5442</v>
      </c>
      <c r="E71" s="762">
        <f>_xlfn.XLOOKUP(D71,RUC!$B$3:$B$123,RUC!$D$3:$D$123)</f>
        <v>20606562480</v>
      </c>
      <c r="F71" s="629" t="s">
        <v>6125</v>
      </c>
      <c r="G71" s="762">
        <v>15</v>
      </c>
      <c r="H71" s="1082" t="s">
        <v>108</v>
      </c>
      <c r="I71" s="703">
        <v>1.25</v>
      </c>
      <c r="J71" s="596">
        <v>15.8</v>
      </c>
      <c r="K71" s="703">
        <f t="shared" si="30"/>
        <v>1.0529999999999999</v>
      </c>
      <c r="L71" s="1192">
        <v>0.32500000000000001</v>
      </c>
      <c r="M71" s="994">
        <f>ROUND(+IF(L71&gt;_xlfn.XLOOKUP(AN71,RUC!M:M,RUC!K:K),L71*_xlfn.XLOOKUP(AN71,RUC!M:M,RUC!I:I),L71-_xlfn.XLOOKUP(AN71,RUC!M:M,RUC!J:J)),3)</f>
        <v>0.30599999999999999</v>
      </c>
      <c r="N71" s="1196">
        <f t="shared" si="46"/>
        <v>0.30599999999999999</v>
      </c>
      <c r="O71" s="645">
        <f t="shared" si="32"/>
        <v>0.30599999999999999</v>
      </c>
      <c r="P71" s="727">
        <v>90</v>
      </c>
      <c r="Q71" s="875">
        <v>92.31</v>
      </c>
      <c r="R71" s="706">
        <v>4341.8500000000004</v>
      </c>
      <c r="S71" s="765">
        <f>IF((_xlfn.XLOOKUP(D71,RUC!$B$3:$B$119,RUC!$E$3:$E$119)+ROUNDDOWN(O71,1)*100)&lt;95,95,((_xlfn.XLOOKUP(D71,RUC!$B$3:$B$119,RUC!$E$3:$E$119)+ROUNDDOWN(O71,1)*100)))</f>
        <v>115</v>
      </c>
      <c r="U71" s="1146">
        <f>_xlfn.XLOOKUP(D71,RUC!$B$3:$B$123,RUC!$F$3:$F$123)</f>
        <v>120</v>
      </c>
      <c r="V71" s="715">
        <v>1.1023000000000001</v>
      </c>
      <c r="Y71">
        <f>_xlfn.XLOOKUP(D71,RUC!$B$3:$B$123,RUC!$G$3:$G$123)</f>
        <v>20</v>
      </c>
      <c r="Z71" s="143">
        <f>_xlfn.XLOOKUP(D71,RUC!$B$3:$B$123,RUC!$H$3:$H$123)</f>
        <v>35</v>
      </c>
      <c r="AA71" s="144">
        <f t="shared" si="33"/>
        <v>55</v>
      </c>
      <c r="AB71" s="145">
        <f t="shared" si="34"/>
        <v>1094.250443227</v>
      </c>
      <c r="AC71" s="145">
        <f>+(S71-T71)*V71-'data 1'!$F$4</f>
        <v>46.764500000000012</v>
      </c>
      <c r="AD71" s="145">
        <f t="shared" si="35"/>
        <v>34.937992501912547</v>
      </c>
      <c r="AE71" s="145">
        <f t="shared" si="36"/>
        <v>-9.3734999999999999</v>
      </c>
      <c r="AF71" s="145">
        <f t="shared" si="37"/>
        <v>81.621572652919596</v>
      </c>
      <c r="AG71" s="772">
        <f t="shared" si="45"/>
        <v>170.95056515483213</v>
      </c>
      <c r="AH71" s="1253">
        <f t="shared" si="39"/>
        <v>10.831</v>
      </c>
      <c r="AI71" s="1253">
        <f t="shared" si="40"/>
        <v>11.733000000000001</v>
      </c>
      <c r="AJ71" s="156">
        <f t="shared" si="41"/>
        <v>25.844069585587381</v>
      </c>
      <c r="AK71" s="156">
        <f t="shared" si="42"/>
        <v>9.9426322500254098</v>
      </c>
      <c r="AM71" s="716">
        <f t="shared" si="43"/>
        <v>1152.245716718031</v>
      </c>
      <c r="AN71" s="716" t="str">
        <f>_xlfn.XLOOKUP(D71,RUC!$B$3:$B$578,RUC!$M$3:$M$578)</f>
        <v>Ronald Miranda</v>
      </c>
      <c r="AO71" s="1167" t="s">
        <v>2277</v>
      </c>
      <c r="AP71" s="1082" t="s">
        <v>4189</v>
      </c>
      <c r="AQ71" s="1082" t="s">
        <v>6094</v>
      </c>
    </row>
    <row r="72" spans="1:43" ht="15" customHeight="1">
      <c r="A72" s="747" t="s">
        <v>6069</v>
      </c>
      <c r="B72" s="1447">
        <v>46197</v>
      </c>
      <c r="C72" s="1447">
        <v>46190</v>
      </c>
      <c r="D72" s="1943" t="s">
        <v>5442</v>
      </c>
      <c r="E72" s="762">
        <f>_xlfn.XLOOKUP(D72,RUC!$B$3:$B$123,RUC!$D$3:$D$123)</f>
        <v>20606562480</v>
      </c>
      <c r="F72" s="629" t="s">
        <v>6125</v>
      </c>
      <c r="G72" s="762">
        <v>46</v>
      </c>
      <c r="H72" s="1082" t="s">
        <v>108</v>
      </c>
      <c r="I72" s="703">
        <v>3.89</v>
      </c>
      <c r="J72" s="596">
        <v>14.4</v>
      </c>
      <c r="K72" s="703">
        <f t="shared" si="30"/>
        <v>3.33</v>
      </c>
      <c r="L72" s="1192">
        <v>0.49299999999999999</v>
      </c>
      <c r="M72" s="994">
        <f>ROUND(+IF(L72&gt;_xlfn.XLOOKUP(AN72,RUC!M:M,RUC!K:K),L72*_xlfn.XLOOKUP(AN72,RUC!M:M,RUC!I:I),L72-_xlfn.XLOOKUP(AN72,RUC!M:M,RUC!J:J)),3)</f>
        <v>0.46300000000000002</v>
      </c>
      <c r="N72" s="1196">
        <f t="shared" si="46"/>
        <v>0.46300000000000002</v>
      </c>
      <c r="O72" s="645">
        <f t="shared" si="32"/>
        <v>0.46300000000000002</v>
      </c>
      <c r="P72" s="727">
        <v>90</v>
      </c>
      <c r="Q72" s="875">
        <v>93.51</v>
      </c>
      <c r="R72" s="706">
        <v>4341.8500000000004</v>
      </c>
      <c r="S72" s="765">
        <f>IF((_xlfn.XLOOKUP(D72,RUC!$B$3:$B$119,RUC!$E$3:$E$119)+ROUNDDOWN(O72,1)*100)&lt;95,95,((_xlfn.XLOOKUP(D72,RUC!$B$3:$B$119,RUC!$E$3:$E$119)+ROUNDDOWN(O72,1)*100)))</f>
        <v>125</v>
      </c>
      <c r="U72" s="1146">
        <f>_xlfn.XLOOKUP(D72,RUC!$B$3:$B$123,RUC!$F$3:$F$123)</f>
        <v>120</v>
      </c>
      <c r="V72" s="715">
        <v>1.1023000000000001</v>
      </c>
      <c r="Y72">
        <f>_xlfn.XLOOKUP(D72,RUC!$B$3:$B$123,RUC!$G$3:$G$123)</f>
        <v>20</v>
      </c>
      <c r="Z72" s="143">
        <f>_xlfn.XLOOKUP(D72,RUC!$B$3:$B$123,RUC!$H$3:$H$123)</f>
        <v>35</v>
      </c>
      <c r="AA72" s="144">
        <f t="shared" si="33"/>
        <v>55</v>
      </c>
      <c r="AB72" s="145">
        <f t="shared" si="34"/>
        <v>1740.8016477585004</v>
      </c>
      <c r="AC72" s="145">
        <f>+(S72-T72)*V72-'data 1'!$F$4</f>
        <v>57.787499999999994</v>
      </c>
      <c r="AD72" s="145">
        <f t="shared" si="35"/>
        <v>80.52980401609662</v>
      </c>
      <c r="AE72" s="145">
        <f t="shared" si="36"/>
        <v>-9.3734999999999999</v>
      </c>
      <c r="AF72" s="145">
        <f t="shared" si="37"/>
        <v>130.5515156385149</v>
      </c>
      <c r="AG72" s="772">
        <f t="shared" si="45"/>
        <v>276.49531965461154</v>
      </c>
      <c r="AH72" s="1253">
        <f t="shared" si="39"/>
        <v>52.633000000000003</v>
      </c>
      <c r="AI72" s="1253">
        <f t="shared" si="40"/>
        <v>56.286000000000001</v>
      </c>
      <c r="AJ72" s="156">
        <f t="shared" si="41"/>
        <v>39.71309786740332</v>
      </c>
      <c r="AK72" s="156">
        <f t="shared" si="42"/>
        <v>47.574781597448556</v>
      </c>
      <c r="AM72" s="716">
        <f t="shared" si="43"/>
        <v>5796.8694870358067</v>
      </c>
      <c r="AN72" s="716" t="str">
        <f>_xlfn.XLOOKUP(D72,RUC!$B$3:$B$578,RUC!$M$3:$M$578)</f>
        <v>Ronald Miranda</v>
      </c>
      <c r="AO72" s="1167" t="s">
        <v>2277</v>
      </c>
      <c r="AP72" s="1082" t="s">
        <v>4189</v>
      </c>
      <c r="AQ72" s="1082" t="s">
        <v>6094</v>
      </c>
    </row>
    <row r="73" spans="1:43" ht="15" customHeight="1">
      <c r="A73" s="747" t="s">
        <v>6070</v>
      </c>
      <c r="B73" s="1447">
        <v>46197</v>
      </c>
      <c r="C73" s="1447">
        <v>46190</v>
      </c>
      <c r="D73" s="1943" t="s">
        <v>5442</v>
      </c>
      <c r="E73" s="762">
        <f>_xlfn.XLOOKUP(D73,RUC!$B$3:$B$123,RUC!$D$3:$D$123)</f>
        <v>20606562480</v>
      </c>
      <c r="F73" s="629" t="s">
        <v>6125</v>
      </c>
      <c r="G73" s="762">
        <v>30</v>
      </c>
      <c r="H73" s="1082" t="s">
        <v>108</v>
      </c>
      <c r="I73" s="703">
        <v>2.57</v>
      </c>
      <c r="J73" s="596">
        <v>14.3</v>
      </c>
      <c r="K73" s="703">
        <f t="shared" si="30"/>
        <v>2.202</v>
      </c>
      <c r="L73" s="1192">
        <v>0.54300000000000004</v>
      </c>
      <c r="M73" s="994">
        <f>ROUND(+IF(L73&gt;_xlfn.XLOOKUP(AN73,RUC!M:M,RUC!K:K),L73*_xlfn.XLOOKUP(AN73,RUC!M:M,RUC!I:I),L73-_xlfn.XLOOKUP(AN73,RUC!M:M,RUC!J:J)),3)</f>
        <v>0.51</v>
      </c>
      <c r="N73" s="1196">
        <f t="shared" si="46"/>
        <v>0.51</v>
      </c>
      <c r="O73" s="645">
        <f t="shared" si="32"/>
        <v>0.51</v>
      </c>
      <c r="P73" s="727">
        <v>90</v>
      </c>
      <c r="Q73" s="875">
        <v>93.19</v>
      </c>
      <c r="R73" s="706">
        <v>4341.8500000000004</v>
      </c>
      <c r="S73" s="765">
        <f>IF((_xlfn.XLOOKUP(D73,RUC!$B$3:$B$119,RUC!$E$3:$E$119)+ROUNDDOWN(O73,1)*100)&lt;95,95,((_xlfn.XLOOKUP(D73,RUC!$B$3:$B$119,RUC!$E$3:$E$119)+ROUNDDOWN(O73,1)*100)))</f>
        <v>135</v>
      </c>
      <c r="U73" s="1146">
        <f>_xlfn.XLOOKUP(D73,RUC!$B$3:$B$123,RUC!$F$3:$F$123)</f>
        <v>120</v>
      </c>
      <c r="V73" s="715">
        <v>1.1023000000000001</v>
      </c>
      <c r="Y73">
        <f>_xlfn.XLOOKUP(D73,RUC!$B$3:$B$123,RUC!$G$3:$G$123)</f>
        <v>20</v>
      </c>
      <c r="Z73" s="143">
        <f>_xlfn.XLOOKUP(D73,RUC!$B$3:$B$123,RUC!$H$3:$H$123)</f>
        <v>35</v>
      </c>
      <c r="AA73" s="144">
        <f t="shared" si="33"/>
        <v>55</v>
      </c>
      <c r="AB73" s="145">
        <f t="shared" si="34"/>
        <v>1926.6320720450001</v>
      </c>
      <c r="AC73" s="145">
        <f>+(S73-T73)*V73-'data 1'!$F$4</f>
        <v>68.810500000000019</v>
      </c>
      <c r="AD73" s="145">
        <f t="shared" si="35"/>
        <v>80.610779183533452</v>
      </c>
      <c r="AE73" s="145">
        <f t="shared" si="36"/>
        <v>-9.3734999999999999</v>
      </c>
      <c r="AF73" s="145">
        <f t="shared" si="37"/>
        <v>143.11523170343864</v>
      </c>
      <c r="AG73" s="772">
        <f t="shared" si="45"/>
        <v>300.16301088697207</v>
      </c>
      <c r="AH73" s="1253">
        <f t="shared" si="39"/>
        <v>38.203000000000003</v>
      </c>
      <c r="AI73" s="1253">
        <f t="shared" si="40"/>
        <v>40.994999999999997</v>
      </c>
      <c r="AJ73" s="156">
        <f t="shared" si="41"/>
        <v>43.591110310966293</v>
      </c>
      <c r="AK73" s="156">
        <f t="shared" si="42"/>
        <v>34.652858839119901</v>
      </c>
      <c r="AM73" s="716">
        <f t="shared" si="43"/>
        <v>4242.4438226430902</v>
      </c>
      <c r="AN73" s="716" t="str">
        <f>_xlfn.XLOOKUP(D73,RUC!$B$3:$B$578,RUC!$M$3:$M$578)</f>
        <v>Ronald Miranda</v>
      </c>
      <c r="AO73" s="1167" t="s">
        <v>2277</v>
      </c>
      <c r="AP73" s="1082" t="s">
        <v>4189</v>
      </c>
      <c r="AQ73" s="1082" t="s">
        <v>6094</v>
      </c>
    </row>
    <row r="74" spans="1:43" ht="15" customHeight="1">
      <c r="A74" s="747" t="s">
        <v>6071</v>
      </c>
      <c r="B74" s="1447">
        <v>46197</v>
      </c>
      <c r="C74" s="1447">
        <v>46190</v>
      </c>
      <c r="D74" s="1943" t="s">
        <v>5442</v>
      </c>
      <c r="E74" s="762">
        <f>_xlfn.XLOOKUP(D74,RUC!$B$3:$B$123,RUC!$D$3:$D$123)</f>
        <v>20606562480</v>
      </c>
      <c r="F74" s="629" t="s">
        <v>6125</v>
      </c>
      <c r="G74" s="762">
        <v>33</v>
      </c>
      <c r="H74" s="1082" t="s">
        <v>108</v>
      </c>
      <c r="I74" s="703">
        <v>2.5299999999999998</v>
      </c>
      <c r="J74" s="596">
        <v>10.3</v>
      </c>
      <c r="K74" s="703">
        <f t="shared" si="30"/>
        <v>2.2690000000000001</v>
      </c>
      <c r="L74" s="1192">
        <v>0.40799999999999997</v>
      </c>
      <c r="M74" s="994">
        <f>ROUND(+IF(L74&gt;_xlfn.XLOOKUP(AN74,RUC!M:M,RUC!K:K),L74*_xlfn.XLOOKUP(AN74,RUC!M:M,RUC!I:I),L74-_xlfn.XLOOKUP(AN74,RUC!M:M,RUC!J:J)),3)</f>
        <v>0.38400000000000001</v>
      </c>
      <c r="N74" s="1196">
        <f t="shared" si="46"/>
        <v>0.38400000000000001</v>
      </c>
      <c r="O74" s="645">
        <f t="shared" si="32"/>
        <v>0.38400000000000001</v>
      </c>
      <c r="P74" s="727">
        <v>90</v>
      </c>
      <c r="Q74" s="875">
        <v>91.42</v>
      </c>
      <c r="R74" s="706">
        <v>4341.8500000000004</v>
      </c>
      <c r="S74" s="765">
        <f>IF((_xlfn.XLOOKUP(D74,RUC!$B$3:$B$119,RUC!$E$3:$E$119)+ROUNDDOWN(O74,1)*100)&lt;95,95,((_xlfn.XLOOKUP(D74,RUC!$B$3:$B$119,RUC!$E$3:$E$119)+ROUNDDOWN(O74,1)*100)))</f>
        <v>115</v>
      </c>
      <c r="U74" s="1146">
        <f>_xlfn.XLOOKUP(D74,RUC!$B$3:$B$123,RUC!$F$3:$F$123)</f>
        <v>120</v>
      </c>
      <c r="V74" s="715">
        <v>1.1023000000000001</v>
      </c>
      <c r="Y74">
        <f>_xlfn.XLOOKUP(D74,RUC!$B$3:$B$123,RUC!$G$3:$G$123)</f>
        <v>20</v>
      </c>
      <c r="Z74" s="143">
        <f>_xlfn.XLOOKUP(D74,RUC!$B$3:$B$123,RUC!$H$3:$H$123)</f>
        <v>35</v>
      </c>
      <c r="AA74" s="144">
        <f t="shared" si="33"/>
        <v>55</v>
      </c>
      <c r="AB74" s="145">
        <f t="shared" si="34"/>
        <v>1420.9433601280004</v>
      </c>
      <c r="AC74" s="145">
        <f>+(S74-T74)*V74-'data 1'!$F$4</f>
        <v>46.764500000000012</v>
      </c>
      <c r="AD74" s="145">
        <f t="shared" si="35"/>
        <v>26.961938509368032</v>
      </c>
      <c r="AE74" s="145">
        <f t="shared" si="36"/>
        <v>-9.3734999999999999</v>
      </c>
      <c r="AF74" s="145">
        <f t="shared" si="37"/>
        <v>102.10689389090386</v>
      </c>
      <c r="AG74" s="772">
        <f t="shared" si="45"/>
        <v>183.45983240027192</v>
      </c>
      <c r="AH74" s="1253">
        <f t="shared" si="39"/>
        <v>29.015999999999998</v>
      </c>
      <c r="AI74" s="1253">
        <f t="shared" si="40"/>
        <v>31.74</v>
      </c>
      <c r="AJ74" s="156">
        <f t="shared" si="41"/>
        <v>32.131438558631849</v>
      </c>
      <c r="AK74" s="156">
        <f t="shared" si="42"/>
        <v>26.885449319771524</v>
      </c>
      <c r="AM74" s="716">
        <f t="shared" si="43"/>
        <v>3224.1204841304334</v>
      </c>
      <c r="AN74" s="716" t="str">
        <f>_xlfn.XLOOKUP(D74,RUC!$B$3:$B$578,RUC!$M$3:$M$578)</f>
        <v>Ronald Miranda</v>
      </c>
      <c r="AO74" s="1167" t="s">
        <v>2277</v>
      </c>
      <c r="AP74" s="1082" t="s">
        <v>4189</v>
      </c>
      <c r="AQ74" s="1082" t="s">
        <v>6094</v>
      </c>
    </row>
    <row r="75" spans="1:43" ht="15" customHeight="1">
      <c r="A75" s="1819" t="s">
        <v>6073</v>
      </c>
      <c r="B75" s="1447">
        <v>46196</v>
      </c>
      <c r="C75" s="1447">
        <v>46191</v>
      </c>
      <c r="D75" s="1943" t="s">
        <v>66</v>
      </c>
      <c r="E75" s="762">
        <f>_xlfn.XLOOKUP(D75,RUC!$B$3:$B$123,RUC!$D$3:$D$123)</f>
        <v>10457401928</v>
      </c>
      <c r="G75" s="762" t="s">
        <v>2985</v>
      </c>
      <c r="H75" s="1082" t="s">
        <v>69</v>
      </c>
      <c r="I75" s="703">
        <v>41.72</v>
      </c>
      <c r="J75" s="596">
        <v>3.5</v>
      </c>
      <c r="K75" s="703">
        <f t="shared" ref="K75:K106" si="47">ROUND(+I75-(I75*(J75/100)),3)</f>
        <v>40.26</v>
      </c>
      <c r="L75" s="1192">
        <v>0.20499999999999999</v>
      </c>
      <c r="M75" s="994">
        <f>ROUND(+IF(L75&gt;_xlfn.XLOOKUP(AN75,RUC!M:M,RUC!K:K),L75*_xlfn.XLOOKUP(AN75,RUC!M:M,RUC!I:I),L75-_xlfn.XLOOKUP(AN75,RUC!M:M,RUC!J:J)),3)</f>
        <v>0.17</v>
      </c>
      <c r="N75" s="1444">
        <v>0.23200000000000001</v>
      </c>
      <c r="O75" s="645">
        <f t="shared" ref="O75:O106" si="48">+ROUNDDOWN((M75+N75)/2,3)</f>
        <v>0.20100000000000001</v>
      </c>
      <c r="P75" s="727">
        <v>90</v>
      </c>
      <c r="Q75" s="875">
        <v>98.05</v>
      </c>
      <c r="R75" s="706">
        <v>4236.1499999999996</v>
      </c>
      <c r="S75" s="765">
        <f>IF((_xlfn.XLOOKUP(D75,RUC!$B$3:$B$119,RUC!$E$3:$E$119)+ROUNDDOWN(O75,1)*100)&lt;95,95,((_xlfn.XLOOKUP(D75,RUC!$B$3:$B$119,RUC!$E$3:$E$119)+ROUNDDOWN(O75,1)*100)))</f>
        <v>110</v>
      </c>
      <c r="U75" s="1146">
        <f>_xlfn.XLOOKUP(D75,RUC!$B$3:$B$123,RUC!$F$3:$F$123)</f>
        <v>120</v>
      </c>
      <c r="V75" s="715">
        <v>1.1023000000000001</v>
      </c>
      <c r="Y75">
        <f>_xlfn.XLOOKUP(D75,RUC!$B$3:$B$123,RUC!$G$3:$G$123)</f>
        <v>20</v>
      </c>
      <c r="Z75" s="143">
        <f>_xlfn.XLOOKUP(D75,RUC!$B$3:$B$123,RUC!$H$3:$H$123)</f>
        <v>30</v>
      </c>
      <c r="AA75" s="144">
        <f t="shared" ref="AA75:AA106" si="49">+Y75+Z75</f>
        <v>50</v>
      </c>
      <c r="AB75" s="145">
        <f t="shared" ref="AB75:AB106" si="50">+((O75*P75*(R75-U75)/100)-S75-AA75+T75)*V75</f>
        <v>644.41729503049987</v>
      </c>
      <c r="AC75" s="145">
        <f>+(S75-T75)*V75-'data 1'!$F$4</f>
        <v>41.253</v>
      </c>
      <c r="AD75" s="145">
        <f t="shared" ref="AD75:AD110" si="51">+(Q75-P75)*(R75-U75)*L75*V75/100</f>
        <v>74.875673472862474</v>
      </c>
      <c r="AE75" s="145">
        <f t="shared" ref="AE75:AE110" si="52">+(Y75*V75-70)+V75*(Z75-IF(D75="UNTUCA",IF(+((W75-3)*2.5+(X75-3)*3.1)&gt;0,+((W75-3)*1.5+(X75-3)*3.1),0),IF(+((W75-3)*1.5+(X75-3)*3.1)&gt;0,+((W75-3)*1.5+(X75-3)*3.1),0)))</f>
        <v>-14.884999999999998</v>
      </c>
      <c r="AF75" s="145">
        <f t="shared" ref="AF75:AF110" si="53">(L75-O75)*(R75-U75)*Q75*V75/100</f>
        <v>17.795024472689889</v>
      </c>
      <c r="AG75" s="772">
        <f t="shared" si="45"/>
        <v>136.03869794555237</v>
      </c>
      <c r="AH75" s="1253">
        <f t="shared" ref="AH75:AH110" si="54">ROUND((31.1035*L75*Q75*1.1023*K75/100),3)</f>
        <v>277.45</v>
      </c>
      <c r="AI75" s="1253">
        <f t="shared" ref="AI75:AI110" si="55">ROUND((31.1035*L75*1.1023*K75),3)</f>
        <v>282.96800000000002</v>
      </c>
      <c r="AJ75" s="156">
        <f t="shared" ref="AJ75:AJ110" si="56">+((+$AJ$2-R75+U75)*L75*Q75*V75)/100</f>
        <v>40.73473549963758</v>
      </c>
      <c r="AK75" s="156">
        <f t="shared" ref="AK75:AK110" si="57">31.1035*1.1023*K75*P75*O75/100</f>
        <v>249.70164687134374</v>
      </c>
      <c r="AM75" s="716">
        <f t="shared" ref="AM75:AM110" si="58">+IF(AB75*K75&gt;0,AB75*K75,0)</f>
        <v>25944.240297927925</v>
      </c>
      <c r="AN75" s="716" t="str">
        <f>_xlfn.XLOOKUP(D75,RUC!$B$3:$B$578,RUC!$M$3:$M$578)</f>
        <v>Richard Sapacayo</v>
      </c>
      <c r="AO75" s="1167" t="s">
        <v>2276</v>
      </c>
      <c r="AP75" s="1082" t="s">
        <v>3484</v>
      </c>
      <c r="AQ75" s="1082" t="s">
        <v>3671</v>
      </c>
    </row>
    <row r="76" spans="1:43" ht="15" customHeight="1">
      <c r="A76" s="1819" t="s">
        <v>6074</v>
      </c>
      <c r="B76" s="1447">
        <v>46197</v>
      </c>
      <c r="C76" s="1447">
        <v>46192</v>
      </c>
      <c r="D76" s="1943" t="s">
        <v>1967</v>
      </c>
      <c r="E76" s="762">
        <f>_xlfn.XLOOKUP(D76,RUC!$B$3:$B$123,RUC!$D$3:$D$123)</f>
        <v>20601769396</v>
      </c>
      <c r="F76" s="629" t="s">
        <v>5639</v>
      </c>
      <c r="G76" s="762">
        <v>36</v>
      </c>
      <c r="H76" s="1082" t="s">
        <v>108</v>
      </c>
      <c r="I76" s="703">
        <v>2.86</v>
      </c>
      <c r="J76" s="596">
        <v>15.13</v>
      </c>
      <c r="K76" s="703">
        <f t="shared" si="47"/>
        <v>2.427</v>
      </c>
      <c r="L76" s="1192">
        <v>0.45500000000000002</v>
      </c>
      <c r="M76" s="994">
        <f>ROUND(+IF(L76&gt;_xlfn.XLOOKUP(AN76,RUC!M:M,RUC!K:K),L76*_xlfn.XLOOKUP(AN76,RUC!M:M,RUC!I:I),L76-_xlfn.XLOOKUP(AN76,RUC!M:M,RUC!J:J)),3)</f>
        <v>0.42799999999999999</v>
      </c>
      <c r="N76" s="1196">
        <f t="shared" si="46"/>
        <v>0.42799999999999999</v>
      </c>
      <c r="O76" s="645">
        <f t="shared" si="48"/>
        <v>0.42799999999999999</v>
      </c>
      <c r="P76" s="727">
        <v>90</v>
      </c>
      <c r="Q76" s="875">
        <v>93.19</v>
      </c>
      <c r="R76" s="706">
        <v>4150.8999999999996</v>
      </c>
      <c r="S76" s="765">
        <f>IF((_xlfn.XLOOKUP(D76,RUC!$B$3:$B$119,RUC!$E$3:$E$119)+ROUNDDOWN(O76,1)*100)&lt;95,95,((_xlfn.XLOOKUP(D76,RUC!$B$3:$B$119,RUC!$E$3:$E$119)+ROUNDDOWN(O76,1)*100)))</f>
        <v>130</v>
      </c>
      <c r="U76" s="1146">
        <f>_xlfn.XLOOKUP(D76,RUC!$B$3:$B$123,RUC!$F$3:$F$123)</f>
        <v>120</v>
      </c>
      <c r="V76" s="715">
        <v>1.1023000000000001</v>
      </c>
      <c r="Y76" s="1445">
        <v>30</v>
      </c>
      <c r="Z76" s="709">
        <v>70</v>
      </c>
      <c r="AA76" s="144">
        <f t="shared" si="49"/>
        <v>100</v>
      </c>
      <c r="AB76" s="145">
        <f t="shared" si="50"/>
        <v>1458.015164164</v>
      </c>
      <c r="AC76" s="145">
        <f>+(S76-T76)*V76-'data 1'!$F$4</f>
        <v>63.299000000000007</v>
      </c>
      <c r="AD76" s="145">
        <f t="shared" si="51"/>
        <v>64.491712800514946</v>
      </c>
      <c r="AE76" s="145">
        <f t="shared" si="52"/>
        <v>40.230000000000004</v>
      </c>
      <c r="AF76" s="145">
        <f t="shared" si="53"/>
        <v>111.7982247605911</v>
      </c>
      <c r="AG76" s="772">
        <f t="shared" si="45"/>
        <v>296.81893756110605</v>
      </c>
      <c r="AH76" s="1253">
        <f t="shared" si="54"/>
        <v>35.283000000000001</v>
      </c>
      <c r="AI76" s="1253">
        <f t="shared" si="55"/>
        <v>37.860999999999997</v>
      </c>
      <c r="AJ76" s="156">
        <f t="shared" si="56"/>
        <v>125.7749674394852</v>
      </c>
      <c r="AK76" s="156">
        <f t="shared" si="57"/>
        <v>32.052737294339224</v>
      </c>
      <c r="AM76" s="716">
        <f t="shared" si="58"/>
        <v>3538.602803426028</v>
      </c>
      <c r="AN76" s="716" t="str">
        <f>_xlfn.XLOOKUP(D76,RUC!$B$3:$B$578,RUC!$M$3:$M$578)</f>
        <v>Evelyn</v>
      </c>
      <c r="AO76" s="1167" t="s">
        <v>2277</v>
      </c>
      <c r="AP76" s="1082" t="s">
        <v>6095</v>
      </c>
      <c r="AQ76" s="1082" t="s">
        <v>6096</v>
      </c>
    </row>
    <row r="77" spans="1:43" ht="15" customHeight="1">
      <c r="A77" s="1819" t="s">
        <v>6075</v>
      </c>
      <c r="B77" s="1447">
        <v>46197</v>
      </c>
      <c r="C77" s="1447">
        <v>46192</v>
      </c>
      <c r="D77" s="1943" t="s">
        <v>1967</v>
      </c>
      <c r="E77" s="762">
        <f>_xlfn.XLOOKUP(D77,RUC!$B$3:$B$123,RUC!$D$3:$D$123)</f>
        <v>20601769396</v>
      </c>
      <c r="F77" s="629" t="s">
        <v>5639</v>
      </c>
      <c r="G77" s="762">
        <v>20</v>
      </c>
      <c r="H77" s="1082" t="s">
        <v>108</v>
      </c>
      <c r="I77" s="703">
        <v>1.65</v>
      </c>
      <c r="J77" s="596">
        <v>19.28</v>
      </c>
      <c r="K77" s="703">
        <f t="shared" si="47"/>
        <v>1.3320000000000001</v>
      </c>
      <c r="L77" s="1192">
        <v>0.60399999999999998</v>
      </c>
      <c r="M77" s="994">
        <f>ROUND(+IF(L77&gt;_xlfn.XLOOKUP(AN77,RUC!M:M,RUC!K:K),L77*_xlfn.XLOOKUP(AN77,RUC!M:M,RUC!I:I),L77-_xlfn.XLOOKUP(AN77,RUC!M:M,RUC!J:J)),3)</f>
        <v>0.56799999999999995</v>
      </c>
      <c r="N77" s="1196">
        <f t="shared" si="46"/>
        <v>0.56799999999999995</v>
      </c>
      <c r="O77" s="645">
        <f t="shared" si="48"/>
        <v>0.56799999999999995</v>
      </c>
      <c r="P77" s="727">
        <v>90</v>
      </c>
      <c r="Q77" s="875">
        <v>95.53</v>
      </c>
      <c r="R77" s="706">
        <v>4150.8999999999996</v>
      </c>
      <c r="S77" s="765">
        <f>IF((_xlfn.XLOOKUP(D77,RUC!$B$3:$B$119,RUC!$E$3:$E$119)+ROUNDDOWN(O77,1)*100)&lt;95,95,((_xlfn.XLOOKUP(D77,RUC!$B$3:$B$119,RUC!$E$3:$E$119)+ROUNDDOWN(O77,1)*100)))</f>
        <v>140</v>
      </c>
      <c r="U77" s="1146">
        <f>_xlfn.XLOOKUP(D77,RUC!$B$3:$B$123,RUC!$F$3:$F$123)</f>
        <v>120</v>
      </c>
      <c r="V77" s="715">
        <v>1.1023000000000001</v>
      </c>
      <c r="Y77" s="1445">
        <v>30</v>
      </c>
      <c r="Z77" s="709">
        <v>70</v>
      </c>
      <c r="AA77" s="144">
        <f t="shared" si="49"/>
        <v>100</v>
      </c>
      <c r="AB77" s="145">
        <f t="shared" si="50"/>
        <v>2006.843058984</v>
      </c>
      <c r="AC77" s="145">
        <f>+(S77-T77)*V77-'data 1'!$F$4</f>
        <v>74.322000000000003</v>
      </c>
      <c r="AD77" s="145">
        <f t="shared" si="51"/>
        <v>148.41025165128403</v>
      </c>
      <c r="AE77" s="145">
        <f t="shared" si="52"/>
        <v>40.230000000000004</v>
      </c>
      <c r="AF77" s="145">
        <f t="shared" si="53"/>
        <v>152.80730280615614</v>
      </c>
      <c r="AG77" s="772">
        <f t="shared" si="45"/>
        <v>432.76955445744017</v>
      </c>
      <c r="AH77" s="1253">
        <f t="shared" si="54"/>
        <v>26.350999999999999</v>
      </c>
      <c r="AI77" s="1253">
        <f t="shared" si="55"/>
        <v>27.584</v>
      </c>
      <c r="AJ77" s="156">
        <f t="shared" si="56"/>
        <v>171.15524856471623</v>
      </c>
      <c r="AK77" s="156">
        <f t="shared" si="57"/>
        <v>23.345551574385116</v>
      </c>
      <c r="AM77" s="716">
        <f t="shared" si="58"/>
        <v>2673.1149545666881</v>
      </c>
      <c r="AN77" s="716" t="str">
        <f>_xlfn.XLOOKUP(D77,RUC!$B$3:$B$578,RUC!$M$3:$M$578)</f>
        <v>Evelyn</v>
      </c>
      <c r="AO77" s="1167" t="s">
        <v>2277</v>
      </c>
      <c r="AP77" s="1082" t="s">
        <v>6095</v>
      </c>
      <c r="AQ77" s="1082" t="s">
        <v>6096</v>
      </c>
    </row>
    <row r="78" spans="1:43" ht="15" customHeight="1">
      <c r="A78" s="1819" t="s">
        <v>6076</v>
      </c>
      <c r="B78" s="1447">
        <v>46197</v>
      </c>
      <c r="C78" s="1447">
        <v>46192</v>
      </c>
      <c r="D78" s="1943" t="s">
        <v>1967</v>
      </c>
      <c r="E78" s="762">
        <f>_xlfn.XLOOKUP(D78,RUC!$B$3:$B$123,RUC!$D$3:$D$123)</f>
        <v>20601769396</v>
      </c>
      <c r="F78" s="629" t="s">
        <v>5639</v>
      </c>
      <c r="G78" s="762">
        <v>31</v>
      </c>
      <c r="H78" s="1082" t="s">
        <v>108</v>
      </c>
      <c r="I78" s="703">
        <v>2.23</v>
      </c>
      <c r="J78" s="596">
        <v>22.98</v>
      </c>
      <c r="K78" s="703">
        <f t="shared" si="47"/>
        <v>1.718</v>
      </c>
      <c r="L78" s="1192">
        <v>0.39300000000000002</v>
      </c>
      <c r="M78" s="994">
        <f>ROUND(+IF(L78&gt;_xlfn.XLOOKUP(AN78,RUC!M:M,RUC!K:K),L78*_xlfn.XLOOKUP(AN78,RUC!M:M,RUC!I:I),L78-_xlfn.XLOOKUP(AN78,RUC!M:M,RUC!J:J)),3)</f>
        <v>0.36899999999999999</v>
      </c>
      <c r="N78" s="1196">
        <f t="shared" si="46"/>
        <v>0.36899999999999999</v>
      </c>
      <c r="O78" s="645">
        <f t="shared" si="48"/>
        <v>0.36899999999999999</v>
      </c>
      <c r="P78" s="727">
        <v>89</v>
      </c>
      <c r="Q78" s="875">
        <v>96.69</v>
      </c>
      <c r="R78" s="706">
        <v>4150.8999999999996</v>
      </c>
      <c r="S78" s="765">
        <f>IF((_xlfn.XLOOKUP(D78,RUC!$B$3:$B$119,RUC!$E$3:$E$119)+ROUNDDOWN(O78,1)*100)&lt;95,95,((_xlfn.XLOOKUP(D78,RUC!$B$3:$B$119,RUC!$E$3:$E$119)+ROUNDDOWN(O78,1)*100)))</f>
        <v>120</v>
      </c>
      <c r="U78" s="1146">
        <f>_xlfn.XLOOKUP(D78,RUC!$B$3:$B$123,RUC!$F$3:$F$123)</f>
        <v>120</v>
      </c>
      <c r="V78" s="715">
        <v>1.1023000000000001</v>
      </c>
      <c r="Y78" s="1445">
        <v>30</v>
      </c>
      <c r="Z78" s="709">
        <v>70</v>
      </c>
      <c r="AA78" s="144">
        <f t="shared" si="49"/>
        <v>100</v>
      </c>
      <c r="AB78" s="145">
        <f t="shared" si="50"/>
        <v>1216.7053679987</v>
      </c>
      <c r="AC78" s="145">
        <f>+(S78-T78)*V78-'data 1'!$F$4</f>
        <v>52.27600000000001</v>
      </c>
      <c r="AD78" s="145">
        <f t="shared" si="51"/>
        <v>134.28290307921898</v>
      </c>
      <c r="AE78" s="145">
        <f t="shared" si="52"/>
        <v>40.230000000000004</v>
      </c>
      <c r="AF78" s="145">
        <f t="shared" si="53"/>
        <v>103.10853908599209</v>
      </c>
      <c r="AG78" s="772">
        <f t="shared" si="45"/>
        <v>346.89744216521109</v>
      </c>
      <c r="AH78" s="1253">
        <f t="shared" si="54"/>
        <v>22.382000000000001</v>
      </c>
      <c r="AI78" s="1253">
        <f t="shared" si="55"/>
        <v>23.149000000000001</v>
      </c>
      <c r="AJ78" s="156">
        <f t="shared" si="56"/>
        <v>112.71653137988116</v>
      </c>
      <c r="AK78" s="156">
        <f t="shared" si="57"/>
        <v>19.344103249361861</v>
      </c>
      <c r="AM78" s="716">
        <f t="shared" si="58"/>
        <v>2090.2998222217666</v>
      </c>
      <c r="AN78" s="716" t="str">
        <f>_xlfn.XLOOKUP(D78,RUC!$B$3:$B$578,RUC!$M$3:$M$578)</f>
        <v>Evelyn</v>
      </c>
      <c r="AO78" s="1167" t="s">
        <v>2277</v>
      </c>
      <c r="AP78" s="1082" t="s">
        <v>6095</v>
      </c>
      <c r="AQ78" s="1082" t="s">
        <v>6096</v>
      </c>
    </row>
    <row r="79" spans="1:43" ht="15" customHeight="1">
      <c r="A79" s="1819" t="s">
        <v>6077</v>
      </c>
      <c r="B79" s="1447">
        <v>46197</v>
      </c>
      <c r="C79" s="1447">
        <v>46192</v>
      </c>
      <c r="D79" s="1943" t="s">
        <v>1967</v>
      </c>
      <c r="E79" s="762">
        <f>_xlfn.XLOOKUP(D79,RUC!$B$3:$B$123,RUC!$D$3:$D$123)</f>
        <v>20601769396</v>
      </c>
      <c r="F79" s="629" t="s">
        <v>5639</v>
      </c>
      <c r="G79" s="762">
        <v>15</v>
      </c>
      <c r="H79" s="1082" t="s">
        <v>108</v>
      </c>
      <c r="I79" s="703">
        <v>0.96</v>
      </c>
      <c r="J79" s="596">
        <v>22.8</v>
      </c>
      <c r="K79" s="703">
        <f t="shared" si="47"/>
        <v>0.74099999999999999</v>
      </c>
      <c r="L79" s="1192">
        <v>0.20399999999999999</v>
      </c>
      <c r="M79" s="994">
        <f>ROUND(+IF(L79&gt;_xlfn.XLOOKUP(AN79,RUC!M:M,RUC!K:K),L79*_xlfn.XLOOKUP(AN79,RUC!M:M,RUC!I:I),L79-_xlfn.XLOOKUP(AN79,RUC!M:M,RUC!J:J)),3)</f>
        <v>0.185</v>
      </c>
      <c r="N79" s="1196">
        <f t="shared" si="46"/>
        <v>0.185</v>
      </c>
      <c r="O79" s="645">
        <f t="shared" si="48"/>
        <v>0.185</v>
      </c>
      <c r="P79" s="727">
        <v>85</v>
      </c>
      <c r="Q79" s="875">
        <v>96.08</v>
      </c>
      <c r="R79" s="706">
        <v>4150.8999999999996</v>
      </c>
      <c r="S79" s="765">
        <f>IF((_xlfn.XLOOKUP(D79,RUC!$B$3:$B$119,RUC!$E$3:$E$119)+ROUNDDOWN(O79,1)*100)&lt;95,95,((_xlfn.XLOOKUP(D79,RUC!$B$3:$B$119,RUC!$E$3:$E$119)+ROUNDDOWN(O79,1)*100)))</f>
        <v>100</v>
      </c>
      <c r="U79" s="1146">
        <f>_xlfn.XLOOKUP(D79,RUC!$B$3:$B$123,RUC!$F$3:$F$123)</f>
        <v>120</v>
      </c>
      <c r="V79" s="715">
        <v>1.1023000000000001</v>
      </c>
      <c r="Y79" s="1445">
        <v>30</v>
      </c>
      <c r="Z79" s="709">
        <v>70</v>
      </c>
      <c r="AA79" s="144">
        <f t="shared" si="49"/>
        <v>100</v>
      </c>
      <c r="AB79" s="145">
        <f t="shared" si="50"/>
        <v>478.24280325749987</v>
      </c>
      <c r="AC79" s="145">
        <f>+(S79-T79)*V79-'data 1'!$F$4</f>
        <v>30.230000000000004</v>
      </c>
      <c r="AD79" s="145">
        <f t="shared" si="51"/>
        <v>100.43191861742396</v>
      </c>
      <c r="AE79" s="145">
        <f t="shared" si="52"/>
        <v>40.230000000000004</v>
      </c>
      <c r="AF79" s="145">
        <f t="shared" si="53"/>
        <v>81.112619485063945</v>
      </c>
      <c r="AG79" s="772">
        <f t="shared" si="45"/>
        <v>269.00453810248791</v>
      </c>
      <c r="AH79" s="1253">
        <f t="shared" si="54"/>
        <v>4.9800000000000004</v>
      </c>
      <c r="AI79" s="1253">
        <f t="shared" si="55"/>
        <v>5.1829999999999998</v>
      </c>
      <c r="AJ79" s="156">
        <f t="shared" si="56"/>
        <v>58.14021949257608</v>
      </c>
      <c r="AK79" s="156">
        <f t="shared" si="57"/>
        <v>3.995010557709112</v>
      </c>
      <c r="AM79" s="716">
        <f t="shared" si="58"/>
        <v>354.37791721380739</v>
      </c>
      <c r="AN79" s="716" t="str">
        <f>_xlfn.XLOOKUP(D79,RUC!$B$3:$B$578,RUC!$M$3:$M$578)</f>
        <v>Evelyn</v>
      </c>
      <c r="AO79" s="1167" t="s">
        <v>2277</v>
      </c>
      <c r="AP79" s="1082" t="s">
        <v>6095</v>
      </c>
      <c r="AQ79" s="1082" t="s">
        <v>6096</v>
      </c>
    </row>
    <row r="80" spans="1:43" ht="15" customHeight="1">
      <c r="A80" s="1819" t="s">
        <v>6078</v>
      </c>
      <c r="B80" s="1447">
        <v>46197</v>
      </c>
      <c r="C80" s="1447">
        <v>46192</v>
      </c>
      <c r="D80" s="1943" t="s">
        <v>1967</v>
      </c>
      <c r="E80" s="762">
        <f>_xlfn.XLOOKUP(D80,RUC!$B$3:$B$123,RUC!$D$3:$D$123)</f>
        <v>20601769396</v>
      </c>
      <c r="F80" s="629" t="s">
        <v>5639</v>
      </c>
      <c r="G80" s="762">
        <v>79</v>
      </c>
      <c r="H80" s="1082" t="s">
        <v>108</v>
      </c>
      <c r="I80" s="703">
        <v>2.86</v>
      </c>
      <c r="J80" s="596">
        <v>18.95</v>
      </c>
      <c r="K80" s="703">
        <f t="shared" si="47"/>
        <v>2.3180000000000001</v>
      </c>
      <c r="L80" s="1192">
        <v>0.32500000000000001</v>
      </c>
      <c r="M80" s="994">
        <f>ROUND(+IF(L80&gt;_xlfn.XLOOKUP(AN80,RUC!M:M,RUC!K:K),L80*_xlfn.XLOOKUP(AN80,RUC!M:M,RUC!I:I),L80-_xlfn.XLOOKUP(AN80,RUC!M:M,RUC!J:J)),3)</f>
        <v>0.30599999999999999</v>
      </c>
      <c r="N80" s="1196">
        <f t="shared" si="46"/>
        <v>0.30599999999999999</v>
      </c>
      <c r="O80" s="645">
        <f t="shared" si="48"/>
        <v>0.30599999999999999</v>
      </c>
      <c r="P80" s="727">
        <v>90</v>
      </c>
      <c r="Q80" s="875">
        <v>90.46</v>
      </c>
      <c r="R80" s="706">
        <v>4150.8999999999996</v>
      </c>
      <c r="S80" s="765">
        <f>IF((_xlfn.XLOOKUP(D80,RUC!$B$3:$B$119,RUC!$E$3:$E$119)+ROUNDDOWN(O80,1)*100)&lt;95,95,((_xlfn.XLOOKUP(D80,RUC!$B$3:$B$119,RUC!$E$3:$E$119)+ROUNDDOWN(O80,1)*100)))</f>
        <v>120</v>
      </c>
      <c r="U80" s="1146">
        <f>_xlfn.XLOOKUP(D80,RUC!$B$3:$B$123,RUC!$F$3:$F$123)</f>
        <v>120</v>
      </c>
      <c r="V80" s="715">
        <v>1.1023000000000001</v>
      </c>
      <c r="Y80" s="1445">
        <v>30</v>
      </c>
      <c r="Z80" s="709">
        <v>70</v>
      </c>
      <c r="AA80" s="144">
        <f t="shared" si="49"/>
        <v>100</v>
      </c>
      <c r="AB80" s="145">
        <f t="shared" si="50"/>
        <v>981.16809867799986</v>
      </c>
      <c r="AC80" s="145">
        <f>+(S80-T80)*V80-'data 1'!$F$4</f>
        <v>52.27600000000001</v>
      </c>
      <c r="AD80" s="145">
        <f t="shared" si="51"/>
        <v>6.6426752996499099</v>
      </c>
      <c r="AE80" s="145">
        <f t="shared" si="52"/>
        <v>40.230000000000004</v>
      </c>
      <c r="AF80" s="145">
        <f t="shared" si="53"/>
        <v>76.368105314518061</v>
      </c>
      <c r="AG80" s="772">
        <f t="shared" si="45"/>
        <v>192.516780614168</v>
      </c>
      <c r="AH80" s="1253">
        <f t="shared" si="54"/>
        <v>23.364999999999998</v>
      </c>
      <c r="AI80" s="1253">
        <f t="shared" si="55"/>
        <v>25.829000000000001</v>
      </c>
      <c r="AJ80" s="156">
        <f t="shared" si="56"/>
        <v>87.207422275350126</v>
      </c>
      <c r="AK80" s="156">
        <f t="shared" si="57"/>
        <v>21.887010024272463</v>
      </c>
      <c r="AM80" s="716">
        <f t="shared" si="58"/>
        <v>2274.3476527356038</v>
      </c>
      <c r="AN80" s="716" t="str">
        <f>_xlfn.XLOOKUP(D80,RUC!$B$3:$B$578,RUC!$M$3:$M$578)</f>
        <v>Evelyn</v>
      </c>
      <c r="AO80" s="1167" t="s">
        <v>2277</v>
      </c>
      <c r="AP80" s="1082" t="s">
        <v>6095</v>
      </c>
      <c r="AQ80" s="1082" t="s">
        <v>6096</v>
      </c>
    </row>
    <row r="81" spans="1:43" ht="15" customHeight="1">
      <c r="A81" s="1819" t="s">
        <v>6079</v>
      </c>
      <c r="B81" s="1447">
        <v>46197</v>
      </c>
      <c r="C81" s="1447">
        <v>46192</v>
      </c>
      <c r="D81" s="1943" t="s">
        <v>1967</v>
      </c>
      <c r="E81" s="762">
        <f>_xlfn.XLOOKUP(D81,RUC!$B$3:$B$123,RUC!$D$3:$D$123)</f>
        <v>20601769396</v>
      </c>
      <c r="F81" s="629" t="s">
        <v>5639</v>
      </c>
      <c r="G81" s="762">
        <v>62</v>
      </c>
      <c r="H81" s="1082" t="s">
        <v>108</v>
      </c>
      <c r="I81" s="703">
        <v>2.86</v>
      </c>
      <c r="J81" s="596">
        <v>18.350000000000001</v>
      </c>
      <c r="K81" s="703">
        <f t="shared" si="47"/>
        <v>2.335</v>
      </c>
      <c r="L81" s="1192">
        <v>0.39400000000000002</v>
      </c>
      <c r="M81" s="994">
        <f>ROUND(+IF(L81&gt;_xlfn.XLOOKUP(AN81,RUC!M:M,RUC!K:K),L81*_xlfn.XLOOKUP(AN81,RUC!M:M,RUC!I:I),L81-_xlfn.XLOOKUP(AN81,RUC!M:M,RUC!J:J)),3)</f>
        <v>0.37</v>
      </c>
      <c r="N81" s="1196">
        <f t="shared" si="46"/>
        <v>0.37</v>
      </c>
      <c r="O81" s="645">
        <f t="shared" si="48"/>
        <v>0.37</v>
      </c>
      <c r="P81" s="727">
        <v>89</v>
      </c>
      <c r="Q81" s="875">
        <v>89.85</v>
      </c>
      <c r="R81" s="706">
        <v>4150.8999999999996</v>
      </c>
      <c r="S81" s="765">
        <f>IF((_xlfn.XLOOKUP(D81,RUC!$B$3:$B$119,RUC!$E$3:$E$119)+ROUNDDOWN(O81,1)*100)&lt;95,95,((_xlfn.XLOOKUP(D81,RUC!$B$3:$B$119,RUC!$E$3:$E$119)+ROUNDDOWN(O81,1)*100)))</f>
        <v>120</v>
      </c>
      <c r="U81" s="1146">
        <f>_xlfn.XLOOKUP(D81,RUC!$B$3:$B$123,RUC!$F$3:$F$123)</f>
        <v>120</v>
      </c>
      <c r="V81" s="715">
        <v>1.1023000000000001</v>
      </c>
      <c r="Y81" s="1445">
        <v>30</v>
      </c>
      <c r="Z81" s="709">
        <v>70</v>
      </c>
      <c r="AA81" s="144">
        <f t="shared" si="49"/>
        <v>100</v>
      </c>
      <c r="AB81" s="145">
        <f t="shared" si="50"/>
        <v>1220.6598703509999</v>
      </c>
      <c r="AC81" s="145">
        <f>+(S81-T81)*V81-'data 1'!$F$4</f>
        <v>52.27600000000001</v>
      </c>
      <c r="AD81" s="145">
        <f t="shared" si="51"/>
        <v>14.880481323429901</v>
      </c>
      <c r="AE81" s="145">
        <f t="shared" si="52"/>
        <v>40.230000000000004</v>
      </c>
      <c r="AF81" s="145">
        <f t="shared" si="53"/>
        <v>95.814481713480077</v>
      </c>
      <c r="AG81" s="772">
        <f t="shared" si="45"/>
        <v>220.20096303691003</v>
      </c>
      <c r="AH81" s="1253">
        <f t="shared" si="54"/>
        <v>28.341000000000001</v>
      </c>
      <c r="AI81" s="1253">
        <f t="shared" si="55"/>
        <v>31.542000000000002</v>
      </c>
      <c r="AJ81" s="156">
        <f t="shared" si="56"/>
        <v>105.00931088037014</v>
      </c>
      <c r="AK81" s="156">
        <f t="shared" si="57"/>
        <v>26.362566295159777</v>
      </c>
      <c r="AM81" s="716">
        <f t="shared" si="58"/>
        <v>2850.2407972695846</v>
      </c>
      <c r="AN81" s="716" t="str">
        <f>_xlfn.XLOOKUP(D81,RUC!$B$3:$B$578,RUC!$M$3:$M$578)</f>
        <v>Evelyn</v>
      </c>
      <c r="AO81" s="1167" t="s">
        <v>2277</v>
      </c>
      <c r="AP81" s="1082" t="s">
        <v>6095</v>
      </c>
      <c r="AQ81" s="1082" t="s">
        <v>6096</v>
      </c>
    </row>
    <row r="82" spans="1:43" ht="15" customHeight="1">
      <c r="A82" s="1819" t="s">
        <v>6080</v>
      </c>
      <c r="B82" s="1447">
        <v>46197</v>
      </c>
      <c r="C82" s="1447">
        <v>46192</v>
      </c>
      <c r="D82" s="1943" t="s">
        <v>1967</v>
      </c>
      <c r="E82" s="762">
        <f>_xlfn.XLOOKUP(D82,RUC!$B$3:$B$123,RUC!$D$3:$D$123)</f>
        <v>20601769396</v>
      </c>
      <c r="F82" s="629" t="s">
        <v>5619</v>
      </c>
      <c r="G82" s="762">
        <v>20</v>
      </c>
      <c r="H82" s="1082" t="s">
        <v>116</v>
      </c>
      <c r="I82" s="703">
        <v>1.52</v>
      </c>
      <c r="J82" s="596">
        <v>15.9</v>
      </c>
      <c r="K82" s="703">
        <f t="shared" si="47"/>
        <v>1.278</v>
      </c>
      <c r="L82" s="1192">
        <v>0.34100000000000003</v>
      </c>
      <c r="M82" s="994">
        <f>ROUND(+IF(L82&gt;_xlfn.XLOOKUP(AN82,RUC!M:M,RUC!K:K),L82*_xlfn.XLOOKUP(AN82,RUC!M:M,RUC!I:I),L82-_xlfn.XLOOKUP(AN82,RUC!M:M,RUC!J:J)),3)</f>
        <v>0.32100000000000001</v>
      </c>
      <c r="N82" s="1196">
        <f t="shared" si="46"/>
        <v>0.32100000000000001</v>
      </c>
      <c r="O82" s="645">
        <f t="shared" si="48"/>
        <v>0.32100000000000001</v>
      </c>
      <c r="P82" s="727">
        <v>90</v>
      </c>
      <c r="Q82" s="875">
        <v>94.57</v>
      </c>
      <c r="R82" s="706">
        <v>4150.8999999999996</v>
      </c>
      <c r="S82" s="765">
        <f>IF((_xlfn.XLOOKUP(D82,RUC!$B$3:$B$119,RUC!$E$3:$E$119)+ROUNDDOWN(O82,1)*100)&lt;95,95,((_xlfn.XLOOKUP(D82,RUC!$B$3:$B$119,RUC!$E$3:$E$119)+ROUNDDOWN(O82,1)*100)))</f>
        <v>120</v>
      </c>
      <c r="U82" s="1146">
        <f>_xlfn.XLOOKUP(D82,RUC!$B$3:$B$123,RUC!$F$3:$F$123)</f>
        <v>120</v>
      </c>
      <c r="V82" s="715">
        <v>1.1023000000000001</v>
      </c>
      <c r="Y82">
        <f>_xlfn.XLOOKUP(D82,RUC!$B$3:$B$123,RUC!$G$3:$G$123)</f>
        <v>20</v>
      </c>
      <c r="Z82" s="143">
        <f>_xlfn.XLOOKUP(D82,RUC!$B$3:$B$123,RUC!$H$3:$H$123)</f>
        <v>30</v>
      </c>
      <c r="AA82" s="144">
        <f t="shared" si="49"/>
        <v>50</v>
      </c>
      <c r="AB82" s="145">
        <f t="shared" si="50"/>
        <v>1096.2671231229999</v>
      </c>
      <c r="AC82" s="145">
        <f>+(S82-T82)*V82-'data 1'!$F$4</f>
        <v>52.27600000000001</v>
      </c>
      <c r="AD82" s="145">
        <f t="shared" si="51"/>
        <v>69.242447536558899</v>
      </c>
      <c r="AE82" s="145">
        <f t="shared" si="52"/>
        <v>-14.884999999999998</v>
      </c>
      <c r="AF82" s="145">
        <f t="shared" si="53"/>
        <v>84.039839877980071</v>
      </c>
      <c r="AG82" s="772">
        <f t="shared" si="45"/>
        <v>207.673287414539</v>
      </c>
      <c r="AH82" s="1253">
        <f t="shared" si="54"/>
        <v>14.13</v>
      </c>
      <c r="AI82" s="1253">
        <f t="shared" si="55"/>
        <v>14.942</v>
      </c>
      <c r="AJ82" s="156">
        <f t="shared" si="56"/>
        <v>95.657994873441126</v>
      </c>
      <c r="AK82" s="156">
        <f t="shared" si="57"/>
        <v>12.658652120570311</v>
      </c>
      <c r="AM82" s="716">
        <f t="shared" si="58"/>
        <v>1401.0293833511939</v>
      </c>
      <c r="AN82" s="716" t="str">
        <f>_xlfn.XLOOKUP(D82,RUC!$B$3:$B$578,RUC!$M$3:$M$578)</f>
        <v>Evelyn</v>
      </c>
      <c r="AO82" s="1167" t="s">
        <v>2278</v>
      </c>
      <c r="AP82" s="1082" t="s">
        <v>5114</v>
      </c>
      <c r="AQ82" s="1082" t="s">
        <v>2491</v>
      </c>
    </row>
    <row r="83" spans="1:43" ht="15" customHeight="1">
      <c r="A83" s="1819" t="s">
        <v>6081</v>
      </c>
      <c r="B83" s="1447">
        <v>46197</v>
      </c>
      <c r="C83" s="1447">
        <v>46192</v>
      </c>
      <c r="D83" s="1943" t="s">
        <v>1967</v>
      </c>
      <c r="E83" s="762">
        <f>_xlfn.XLOOKUP(D83,RUC!$B$3:$B$123,RUC!$D$3:$D$123)</f>
        <v>20601769396</v>
      </c>
      <c r="F83" s="629" t="s">
        <v>5619</v>
      </c>
      <c r="G83" s="762">
        <v>13</v>
      </c>
      <c r="H83" s="1082" t="s">
        <v>116</v>
      </c>
      <c r="I83" s="703">
        <v>0.95</v>
      </c>
      <c r="J83" s="596">
        <v>14.25</v>
      </c>
      <c r="K83" s="703">
        <f t="shared" si="47"/>
        <v>0.81499999999999995</v>
      </c>
      <c r="L83" s="1192">
        <v>0.503</v>
      </c>
      <c r="M83" s="994">
        <f>ROUND(+IF(L83&gt;_xlfn.XLOOKUP(AN83,RUC!M:M,RUC!K:K),L83*_xlfn.XLOOKUP(AN83,RUC!M:M,RUC!I:I),L83-_xlfn.XLOOKUP(AN83,RUC!M:M,RUC!J:J)),3)</f>
        <v>0.47299999999999998</v>
      </c>
      <c r="N83" s="1196">
        <f t="shared" si="46"/>
        <v>0.47299999999999998</v>
      </c>
      <c r="O83" s="645">
        <f t="shared" si="48"/>
        <v>0.47299999999999998</v>
      </c>
      <c r="P83" s="727">
        <v>90</v>
      </c>
      <c r="Q83" s="875">
        <v>92.05</v>
      </c>
      <c r="R83" s="706">
        <v>4150.8999999999996</v>
      </c>
      <c r="S83" s="765">
        <f>IF((_xlfn.XLOOKUP(D83,RUC!$B$3:$B$119,RUC!$E$3:$E$119)+ROUNDDOWN(O83,1)*100)&lt;95,95,((_xlfn.XLOOKUP(D83,RUC!$B$3:$B$119,RUC!$E$3:$E$119)+ROUNDDOWN(O83,1)*100)))</f>
        <v>130</v>
      </c>
      <c r="U83" s="1146">
        <f>_xlfn.XLOOKUP(D83,RUC!$B$3:$B$123,RUC!$F$3:$F$123)</f>
        <v>120</v>
      </c>
      <c r="V83" s="715">
        <v>1.1023000000000001</v>
      </c>
      <c r="Y83">
        <f>_xlfn.XLOOKUP(D83,RUC!$B$3:$B$123,RUC!$G$3:$G$123)</f>
        <v>20</v>
      </c>
      <c r="Z83" s="143">
        <f>_xlfn.XLOOKUP(D83,RUC!$B$3:$B$123,RUC!$H$3:$H$123)</f>
        <v>30</v>
      </c>
      <c r="AA83" s="144">
        <f t="shared" si="49"/>
        <v>50</v>
      </c>
      <c r="AB83" s="145">
        <f t="shared" si="50"/>
        <v>1693.0822374989996</v>
      </c>
      <c r="AC83" s="145">
        <f>+(S83-T83)*V83-'data 1'!$F$4</f>
        <v>63.299000000000007</v>
      </c>
      <c r="AD83" s="145">
        <f t="shared" si="51"/>
        <v>45.816686523304945</v>
      </c>
      <c r="AE83" s="145">
        <f t="shared" si="52"/>
        <v>-14.884999999999998</v>
      </c>
      <c r="AF83" s="145">
        <f t="shared" si="53"/>
        <v>122.70065444805009</v>
      </c>
      <c r="AG83" s="772">
        <f t="shared" si="45"/>
        <v>233.93134097135504</v>
      </c>
      <c r="AH83" s="1253">
        <f t="shared" si="54"/>
        <v>12.938000000000001</v>
      </c>
      <c r="AI83" s="1253">
        <f t="shared" si="55"/>
        <v>14.055</v>
      </c>
      <c r="AJ83" s="156">
        <f t="shared" si="56"/>
        <v>137.34260582269519</v>
      </c>
      <c r="AK83" s="156">
        <f t="shared" si="57"/>
        <v>11.895161099701275</v>
      </c>
      <c r="AM83" s="716">
        <f t="shared" si="58"/>
        <v>1379.8620235616845</v>
      </c>
      <c r="AN83" s="716" t="str">
        <f>_xlfn.XLOOKUP(D83,RUC!$B$3:$B$578,RUC!$M$3:$M$578)</f>
        <v>Evelyn</v>
      </c>
      <c r="AO83" s="1167" t="s">
        <v>2278</v>
      </c>
      <c r="AP83" s="1082" t="s">
        <v>5114</v>
      </c>
      <c r="AQ83" s="1082" t="s">
        <v>2491</v>
      </c>
    </row>
    <row r="84" spans="1:43" ht="15" customHeight="1">
      <c r="A84" s="1819" t="s">
        <v>6082</v>
      </c>
      <c r="B84" s="1447">
        <v>46198</v>
      </c>
      <c r="C84" s="1447">
        <v>46192</v>
      </c>
      <c r="D84" s="1943" t="s">
        <v>1967</v>
      </c>
      <c r="E84" s="762">
        <f>_xlfn.XLOOKUP(D84,RUC!$B$3:$B$123,RUC!$D$3:$D$123)</f>
        <v>20601769396</v>
      </c>
      <c r="F84" s="629" t="s">
        <v>5619</v>
      </c>
      <c r="G84" s="762">
        <v>35</v>
      </c>
      <c r="H84" s="1082" t="s">
        <v>116</v>
      </c>
      <c r="I84" s="703">
        <v>2.68</v>
      </c>
      <c r="J84" s="596">
        <v>14.93</v>
      </c>
      <c r="K84" s="703">
        <f t="shared" si="47"/>
        <v>2.2799999999999998</v>
      </c>
      <c r="L84" s="1192">
        <v>0.46600000000000003</v>
      </c>
      <c r="M84" s="994">
        <f>ROUND(+IF(L84&gt;_xlfn.XLOOKUP(AN84,RUC!M:M,RUC!K:K),L84*_xlfn.XLOOKUP(AN84,RUC!M:M,RUC!I:I),L84-_xlfn.XLOOKUP(AN84,RUC!M:M,RUC!J:J)),3)</f>
        <v>0.438</v>
      </c>
      <c r="N84" s="1196">
        <f t="shared" si="46"/>
        <v>0.438</v>
      </c>
      <c r="O84" s="645">
        <f t="shared" si="48"/>
        <v>0.438</v>
      </c>
      <c r="P84" s="727">
        <v>87</v>
      </c>
      <c r="Q84" s="875">
        <v>87.77</v>
      </c>
      <c r="R84" s="706">
        <v>4150.8999999999996</v>
      </c>
      <c r="S84" s="765">
        <f>IF((_xlfn.XLOOKUP(D84,RUC!$B$3:$B$119,RUC!$E$3:$E$119)+ROUNDDOWN(O84,1)*100)&lt;95,95,((_xlfn.XLOOKUP(D84,RUC!$B$3:$B$119,RUC!$E$3:$E$119)+ROUNDDOWN(O84,1)*100)))</f>
        <v>130</v>
      </c>
      <c r="U84" s="1146">
        <f>_xlfn.XLOOKUP(D84,RUC!$B$3:$B$123,RUC!$F$3:$F$123)</f>
        <v>120</v>
      </c>
      <c r="V84" s="715">
        <v>1.1023000000000001</v>
      </c>
      <c r="Y84">
        <f>_xlfn.XLOOKUP(D84,RUC!$B$3:$B$123,RUC!$G$3:$G$123)</f>
        <v>20</v>
      </c>
      <c r="Z84" s="143">
        <f>_xlfn.XLOOKUP(D84,RUC!$B$3:$B$123,RUC!$H$3:$H$123)</f>
        <v>30</v>
      </c>
      <c r="AA84" s="144">
        <f t="shared" si="49"/>
        <v>50</v>
      </c>
      <c r="AB84" s="145">
        <f t="shared" si="50"/>
        <v>1494.7350633342</v>
      </c>
      <c r="AC84" s="145">
        <f>+(S84-T84)*V84-'data 1'!$F$4</f>
        <v>63.299000000000007</v>
      </c>
      <c r="AD84" s="145">
        <f t="shared" si="51"/>
        <v>15.943309371373919</v>
      </c>
      <c r="AE84" s="145">
        <f t="shared" si="52"/>
        <v>-14.884999999999998</v>
      </c>
      <c r="AF84" s="145">
        <f t="shared" si="53"/>
        <v>109.19580675189209</v>
      </c>
      <c r="AG84" s="772">
        <f t="shared" si="45"/>
        <v>190.55311612326602</v>
      </c>
      <c r="AH84" s="1253">
        <f t="shared" si="54"/>
        <v>31.972000000000001</v>
      </c>
      <c r="AI84" s="1253">
        <f t="shared" si="55"/>
        <v>36.427999999999997</v>
      </c>
      <c r="AJ84" s="156">
        <f t="shared" si="56"/>
        <v>121.32366472722617</v>
      </c>
      <c r="AK84" s="156">
        <f t="shared" si="57"/>
        <v>29.787721132359238</v>
      </c>
      <c r="AM84" s="716">
        <f t="shared" si="58"/>
        <v>3407.995944401976</v>
      </c>
      <c r="AN84" s="716" t="str">
        <f>_xlfn.XLOOKUP(D84,RUC!$B$3:$B$578,RUC!$M$3:$M$578)</f>
        <v>Evelyn</v>
      </c>
      <c r="AO84" s="1167" t="s">
        <v>2278</v>
      </c>
      <c r="AP84" s="1082" t="s">
        <v>5114</v>
      </c>
      <c r="AQ84" s="1082" t="s">
        <v>2491</v>
      </c>
    </row>
    <row r="85" spans="1:43" ht="15" customHeight="1">
      <c r="A85" s="1491" t="s">
        <v>6083</v>
      </c>
      <c r="B85" s="1447">
        <v>46197</v>
      </c>
      <c r="C85" s="1447">
        <v>46192</v>
      </c>
      <c r="D85" s="1943" t="s">
        <v>1967</v>
      </c>
      <c r="E85" s="762">
        <f>_xlfn.XLOOKUP(D85,RUC!$B$3:$B$123,RUC!$D$3:$D$123)</f>
        <v>20601769396</v>
      </c>
      <c r="F85" s="629" t="s">
        <v>5711</v>
      </c>
      <c r="G85" s="762">
        <v>35</v>
      </c>
      <c r="H85" s="1082" t="s">
        <v>108</v>
      </c>
      <c r="I85" s="703">
        <v>2.39</v>
      </c>
      <c r="J85" s="596">
        <v>21.5</v>
      </c>
      <c r="K85" s="703">
        <f t="shared" si="47"/>
        <v>1.8759999999999999</v>
      </c>
      <c r="L85" s="1192">
        <v>4.8000000000000001E-2</v>
      </c>
      <c r="M85" s="994">
        <f>ROUND(+IF(L85&gt;_xlfn.XLOOKUP(AN85,RUC!M:M,RUC!K:K),L85*_xlfn.XLOOKUP(AN85,RUC!M:M,RUC!I:I),L85-_xlfn.XLOOKUP(AN85,RUC!M:M,RUC!J:J)),3)</f>
        <v>2.9000000000000001E-2</v>
      </c>
      <c r="N85" s="1196">
        <f t="shared" si="46"/>
        <v>2.9000000000000001E-2</v>
      </c>
      <c r="O85" s="645">
        <f t="shared" si="48"/>
        <v>2.9000000000000001E-2</v>
      </c>
      <c r="P85" s="727">
        <v>80</v>
      </c>
      <c r="Q85" s="875">
        <v>89.58</v>
      </c>
      <c r="R85" s="706">
        <v>4150.8999999999996</v>
      </c>
      <c r="S85" s="765">
        <f>IF((_xlfn.XLOOKUP(D85,RUC!$B$3:$B$119,RUC!$E$3:$E$119)+ROUNDDOWN(O85,1)*100)&lt;95,95,((_xlfn.XLOOKUP(D85,RUC!$B$3:$B$119,RUC!$E$3:$E$119)+ROUNDDOWN(O85,1)*100)))</f>
        <v>95</v>
      </c>
      <c r="U85" s="1146">
        <f>_xlfn.XLOOKUP(D85,RUC!$B$3:$B$123,RUC!$F$3:$F$123)</f>
        <v>120</v>
      </c>
      <c r="V85" s="715">
        <v>1.1023000000000001</v>
      </c>
      <c r="Y85" s="1445">
        <v>30</v>
      </c>
      <c r="Z85" s="709">
        <v>70</v>
      </c>
      <c r="AA85" s="144">
        <f t="shared" si="49"/>
        <v>100</v>
      </c>
      <c r="AB85" s="145">
        <v>1E-3</v>
      </c>
      <c r="AC85" s="145">
        <f>+(S85-T85)*V85-'data 1'!$F$4</f>
        <v>24.718500000000006</v>
      </c>
      <c r="AD85" s="145">
        <f t="shared" si="51"/>
        <v>20.431891704287995</v>
      </c>
      <c r="AE85" s="145">
        <f t="shared" si="52"/>
        <v>40.230000000000004</v>
      </c>
      <c r="AF85" s="145">
        <f t="shared" si="53"/>
        <v>75.625192063613994</v>
      </c>
      <c r="AG85" s="772">
        <f>AC85+AD85+AE85+AF85+70-53-111.86</f>
        <v>66.145583767902011</v>
      </c>
      <c r="AH85" s="1253">
        <f t="shared" si="54"/>
        <v>2.766</v>
      </c>
      <c r="AI85" s="1253">
        <f t="shared" si="55"/>
        <v>3.0870000000000002</v>
      </c>
      <c r="AJ85" s="156">
        <f t="shared" si="56"/>
        <v>12.754569383712017</v>
      </c>
      <c r="AK85" s="156">
        <f t="shared" si="57"/>
        <v>1.49220980117776</v>
      </c>
      <c r="AM85" s="716">
        <f t="shared" si="58"/>
        <v>1.8759999999999998E-3</v>
      </c>
      <c r="AN85" s="716" t="str">
        <f>_xlfn.XLOOKUP(D85,RUC!$B$3:$B$578,RUC!$M$3:$M$578)</f>
        <v>Evelyn</v>
      </c>
      <c r="AO85" s="1167" t="s">
        <v>2277</v>
      </c>
      <c r="AP85" s="1082" t="s">
        <v>5114</v>
      </c>
      <c r="AQ85" s="1082" t="s">
        <v>2491</v>
      </c>
    </row>
    <row r="86" spans="1:43" ht="15" customHeight="1">
      <c r="A86" s="1491" t="s">
        <v>6084</v>
      </c>
      <c r="B86" s="1447">
        <v>46197</v>
      </c>
      <c r="C86" s="1447">
        <v>46192</v>
      </c>
      <c r="D86" s="1943" t="s">
        <v>1967</v>
      </c>
      <c r="E86" s="762">
        <f>_xlfn.XLOOKUP(D86,RUC!$B$3:$B$123,RUC!$D$3:$D$123)</f>
        <v>20601769396</v>
      </c>
      <c r="F86" s="629" t="s">
        <v>5711</v>
      </c>
      <c r="G86" s="762">
        <v>35</v>
      </c>
      <c r="H86" s="1082" t="s">
        <v>108</v>
      </c>
      <c r="I86" s="703">
        <v>2.63</v>
      </c>
      <c r="J86" s="596">
        <v>20.8</v>
      </c>
      <c r="K86" s="703">
        <f t="shared" si="47"/>
        <v>2.0830000000000002</v>
      </c>
      <c r="L86" s="1192">
        <v>5.0999999999999997E-2</v>
      </c>
      <c r="M86" s="994">
        <f>ROUND(+IF(L86&gt;_xlfn.XLOOKUP(AN86,RUC!M:M,RUC!K:K),L86*_xlfn.XLOOKUP(AN86,RUC!M:M,RUC!I:I),L86-_xlfn.XLOOKUP(AN86,RUC!M:M,RUC!J:J)),3)</f>
        <v>3.2000000000000001E-2</v>
      </c>
      <c r="N86" s="1196">
        <f t="shared" si="46"/>
        <v>3.2000000000000001E-2</v>
      </c>
      <c r="O86" s="645">
        <f t="shared" si="48"/>
        <v>3.2000000000000001E-2</v>
      </c>
      <c r="P86" s="727">
        <v>80</v>
      </c>
      <c r="Q86" s="875">
        <v>92.16</v>
      </c>
      <c r="R86" s="706">
        <v>4150.8999999999996</v>
      </c>
      <c r="S86" s="765">
        <f>IF((_xlfn.XLOOKUP(D86,RUC!$B$3:$B$119,RUC!$E$3:$E$119)+ROUNDDOWN(O86,1)*100)&lt;95,95,((_xlfn.XLOOKUP(D86,RUC!$B$3:$B$119,RUC!$E$3:$E$119)+ROUNDDOWN(O86,1)*100)))</f>
        <v>95</v>
      </c>
      <c r="U86" s="1146">
        <f>_xlfn.XLOOKUP(D86,RUC!$B$3:$B$123,RUC!$F$3:$F$123)</f>
        <v>120</v>
      </c>
      <c r="V86" s="715">
        <v>1.1023000000000001</v>
      </c>
      <c r="Y86" s="1445">
        <v>30</v>
      </c>
      <c r="Z86" s="709">
        <v>70</v>
      </c>
      <c r="AA86" s="144">
        <f t="shared" si="49"/>
        <v>100</v>
      </c>
      <c r="AB86" s="145">
        <v>1E-3</v>
      </c>
      <c r="AC86" s="145">
        <f>+(S86-T86)*V86-'data 1'!$F$4</f>
        <v>24.718500000000006</v>
      </c>
      <c r="AD86" s="145">
        <f t="shared" si="51"/>
        <v>27.55532785171199</v>
      </c>
      <c r="AE86" s="145">
        <f t="shared" si="52"/>
        <v>40.230000000000004</v>
      </c>
      <c r="AF86" s="145">
        <f t="shared" si="53"/>
        <v>77.803278640127985</v>
      </c>
      <c r="AG86" s="772">
        <f>AC86+AD86+AE86+AF86+70-53-101.2</f>
        <v>86.107106491839986</v>
      </c>
      <c r="AH86" s="1253">
        <f t="shared" si="54"/>
        <v>3.3570000000000002</v>
      </c>
      <c r="AI86" s="1253">
        <f t="shared" si="55"/>
        <v>3.6419999999999999</v>
      </c>
      <c r="AJ86" s="156">
        <f t="shared" si="56"/>
        <v>13.942034316288018</v>
      </c>
      <c r="AK86" s="156">
        <f t="shared" si="57"/>
        <v>1.8282614606886403</v>
      </c>
      <c r="AM86" s="716">
        <f t="shared" si="58"/>
        <v>2.0830000000000002E-3</v>
      </c>
      <c r="AN86" s="716" t="str">
        <f>_xlfn.XLOOKUP(D86,RUC!$B$3:$B$578,RUC!$M$3:$M$578)</f>
        <v>Evelyn</v>
      </c>
      <c r="AO86" s="1167" t="s">
        <v>2277</v>
      </c>
      <c r="AP86" s="1082" t="s">
        <v>5114</v>
      </c>
      <c r="AQ86" s="1082" t="s">
        <v>2491</v>
      </c>
    </row>
    <row r="87" spans="1:43" ht="15" customHeight="1">
      <c r="A87" s="1819" t="s">
        <v>6085</v>
      </c>
      <c r="B87" s="1447">
        <v>46197</v>
      </c>
      <c r="C87" s="1447">
        <v>46192</v>
      </c>
      <c r="D87" s="1943" t="s">
        <v>1967</v>
      </c>
      <c r="E87" s="762">
        <f>_xlfn.XLOOKUP(D87,RUC!$B$3:$B$123,RUC!$D$3:$D$123)</f>
        <v>20601769396</v>
      </c>
      <c r="F87" s="629" t="s">
        <v>5711</v>
      </c>
      <c r="G87" s="762">
        <v>19</v>
      </c>
      <c r="H87" s="1082" t="s">
        <v>108</v>
      </c>
      <c r="I87" s="703">
        <v>1.25</v>
      </c>
      <c r="J87" s="596">
        <v>19.53</v>
      </c>
      <c r="K87" s="703">
        <f t="shared" si="47"/>
        <v>1.006</v>
      </c>
      <c r="L87" s="1192">
        <v>0.16300000000000001</v>
      </c>
      <c r="M87" s="994">
        <f>ROUND(+IF(L87&gt;_xlfn.XLOOKUP(AN87,RUC!M:M,RUC!K:K),L87*_xlfn.XLOOKUP(AN87,RUC!M:M,RUC!I:I),L87-_xlfn.XLOOKUP(AN87,RUC!M:M,RUC!J:J)),3)</f>
        <v>0.14399999999999999</v>
      </c>
      <c r="N87" s="1196">
        <f t="shared" si="46"/>
        <v>0.14399999999999999</v>
      </c>
      <c r="O87" s="645">
        <f t="shared" si="48"/>
        <v>0.14399999999999999</v>
      </c>
      <c r="P87" s="727">
        <v>80</v>
      </c>
      <c r="Q87" s="875">
        <v>92.02</v>
      </c>
      <c r="R87" s="706">
        <v>4150.8999999999996</v>
      </c>
      <c r="S87" s="765">
        <f>IF((_xlfn.XLOOKUP(D87,RUC!$B$3:$B$119,RUC!$E$3:$E$119)+ROUNDDOWN(O87,1)*100)&lt;95,95,((_xlfn.XLOOKUP(D87,RUC!$B$3:$B$119,RUC!$E$3:$E$119)+ROUNDDOWN(O87,1)*100)))</f>
        <v>100</v>
      </c>
      <c r="U87" s="1146">
        <f>_xlfn.XLOOKUP(D87,RUC!$B$3:$B$123,RUC!$F$3:$F$123)</f>
        <v>120</v>
      </c>
      <c r="V87" s="715">
        <v>1.1023000000000001</v>
      </c>
      <c r="Y87" s="1445">
        <v>30</v>
      </c>
      <c r="Z87" s="709">
        <v>70</v>
      </c>
      <c r="AA87" s="144">
        <f t="shared" si="49"/>
        <v>100</v>
      </c>
      <c r="AB87" s="145">
        <f t="shared" si="50"/>
        <v>291.4036752639999</v>
      </c>
      <c r="AC87" s="145">
        <f>+(S87-T87)*V87-'data 1'!$F$4</f>
        <v>30.230000000000004</v>
      </c>
      <c r="AD87" s="145">
        <f t="shared" si="51"/>
        <v>87.055036840081954</v>
      </c>
      <c r="AE87" s="145">
        <f t="shared" si="52"/>
        <v>40.230000000000004</v>
      </c>
      <c r="AF87" s="145">
        <f t="shared" si="53"/>
        <v>77.685087895666072</v>
      </c>
      <c r="AG87" s="772">
        <f t="shared" si="45"/>
        <v>252.20012473574803</v>
      </c>
      <c r="AH87" s="1253">
        <f t="shared" si="54"/>
        <v>5.173</v>
      </c>
      <c r="AI87" s="1253">
        <f t="shared" si="55"/>
        <v>5.6219999999999999</v>
      </c>
      <c r="AJ87" s="156">
        <f t="shared" si="56"/>
        <v>44.492144445918065</v>
      </c>
      <c r="AK87" s="156">
        <f t="shared" si="57"/>
        <v>3.9733747635801602</v>
      </c>
      <c r="AM87" s="716">
        <f t="shared" si="58"/>
        <v>293.15209731558389</v>
      </c>
      <c r="AN87" s="716" t="str">
        <f>_xlfn.XLOOKUP(D87,RUC!$B$3:$B$578,RUC!$M$3:$M$578)</f>
        <v>Evelyn</v>
      </c>
      <c r="AO87" s="1167" t="s">
        <v>2277</v>
      </c>
      <c r="AP87" s="1082" t="s">
        <v>5114</v>
      </c>
      <c r="AQ87" s="1082" t="s">
        <v>2491</v>
      </c>
    </row>
    <row r="88" spans="1:43" ht="15" customHeight="1">
      <c r="A88" s="1819" t="s">
        <v>6086</v>
      </c>
      <c r="B88" s="1447">
        <v>46197</v>
      </c>
      <c r="C88" s="1447">
        <v>46192</v>
      </c>
      <c r="D88" s="1943" t="s">
        <v>1967</v>
      </c>
      <c r="E88" s="762">
        <f>_xlfn.XLOOKUP(D88,RUC!$B$3:$B$123,RUC!$D$3:$D$123)</f>
        <v>20601769396</v>
      </c>
      <c r="F88" s="629" t="s">
        <v>5711</v>
      </c>
      <c r="G88" s="762">
        <v>19</v>
      </c>
      <c r="H88" s="1082" t="s">
        <v>108</v>
      </c>
      <c r="I88" s="703">
        <v>1.38</v>
      </c>
      <c r="J88" s="596">
        <v>24.98</v>
      </c>
      <c r="K88" s="703">
        <f t="shared" si="47"/>
        <v>1.0349999999999999</v>
      </c>
      <c r="L88" s="1192">
        <v>0.23599999999999999</v>
      </c>
      <c r="M88" s="994">
        <f>ROUND(+IF(L88&gt;_xlfn.XLOOKUP(AN88,RUC!M:M,RUC!K:K),L88*_xlfn.XLOOKUP(AN88,RUC!M:M,RUC!I:I),L88-_xlfn.XLOOKUP(AN88,RUC!M:M,RUC!J:J)),3)</f>
        <v>0.217</v>
      </c>
      <c r="N88" s="1196">
        <f t="shared" si="46"/>
        <v>0.217</v>
      </c>
      <c r="O88" s="645">
        <f t="shared" si="48"/>
        <v>0.217</v>
      </c>
      <c r="P88" s="727">
        <v>90</v>
      </c>
      <c r="Q88" s="875">
        <v>94.07</v>
      </c>
      <c r="R88" s="706">
        <v>4150.8999999999996</v>
      </c>
      <c r="S88" s="765">
        <f>IF((_xlfn.XLOOKUP(D88,RUC!$B$3:$B$119,RUC!$E$3:$E$119)+ROUNDDOWN(O88,1)*100)&lt;95,95,((_xlfn.XLOOKUP(D88,RUC!$B$3:$B$119,RUC!$E$3:$E$119)+ROUNDDOWN(O88,1)*100)))</f>
        <v>110</v>
      </c>
      <c r="U88" s="1146">
        <f>_xlfn.XLOOKUP(D88,RUC!$B$3:$B$123,RUC!$F$3:$F$123)</f>
        <v>120</v>
      </c>
      <c r="V88" s="715">
        <v>1.1023000000000001</v>
      </c>
      <c r="Y88" s="1445">
        <v>30</v>
      </c>
      <c r="Z88" s="709">
        <v>70</v>
      </c>
      <c r="AA88" s="144">
        <f t="shared" si="49"/>
        <v>100</v>
      </c>
      <c r="AB88" s="145">
        <f t="shared" si="50"/>
        <v>636.28588697100008</v>
      </c>
      <c r="AC88" s="145">
        <f>+(S88-T88)*V88-'data 1'!$F$4</f>
        <v>41.253</v>
      </c>
      <c r="AD88" s="145">
        <f t="shared" si="51"/>
        <v>42.678411229563928</v>
      </c>
      <c r="AE88" s="145">
        <f t="shared" si="52"/>
        <v>40.230000000000004</v>
      </c>
      <c r="AF88" s="145">
        <f t="shared" si="53"/>
        <v>79.415738082430948</v>
      </c>
      <c r="AG88" s="772">
        <f t="shared" si="45"/>
        <v>220.5771493119949</v>
      </c>
      <c r="AH88" s="1253">
        <f t="shared" si="54"/>
        <v>7.8780000000000001</v>
      </c>
      <c r="AI88" s="1253">
        <f t="shared" si="55"/>
        <v>8.375</v>
      </c>
      <c r="AJ88" s="156">
        <f t="shared" si="56"/>
        <v>65.85316493043608</v>
      </c>
      <c r="AK88" s="156">
        <f t="shared" si="57"/>
        <v>6.9302940561807755</v>
      </c>
      <c r="AM88" s="716">
        <f t="shared" si="58"/>
        <v>658.55589301498503</v>
      </c>
      <c r="AN88" s="716" t="str">
        <f>_xlfn.XLOOKUP(D88,RUC!$B$3:$B$578,RUC!$M$3:$M$578)</f>
        <v>Evelyn</v>
      </c>
      <c r="AO88" s="1167" t="s">
        <v>2277</v>
      </c>
      <c r="AP88" s="1082" t="s">
        <v>5114</v>
      </c>
      <c r="AQ88" s="1082" t="s">
        <v>2491</v>
      </c>
    </row>
    <row r="89" spans="1:43" ht="15" customHeight="1">
      <c r="A89" s="1819" t="s">
        <v>6087</v>
      </c>
      <c r="B89" s="1447">
        <v>46197</v>
      </c>
      <c r="C89" s="1447">
        <v>46192</v>
      </c>
      <c r="D89" s="1943" t="s">
        <v>1967</v>
      </c>
      <c r="E89" s="762">
        <f>_xlfn.XLOOKUP(D89,RUC!$B$3:$B$123,RUC!$D$3:$D$123)</f>
        <v>20601769396</v>
      </c>
      <c r="F89" s="629" t="s">
        <v>6093</v>
      </c>
      <c r="G89" s="762">
        <v>108</v>
      </c>
      <c r="H89" s="1082" t="s">
        <v>108</v>
      </c>
      <c r="I89" s="703">
        <v>3.82</v>
      </c>
      <c r="J89" s="596">
        <v>15.75</v>
      </c>
      <c r="K89" s="703">
        <f t="shared" si="47"/>
        <v>3.218</v>
      </c>
      <c r="L89" s="1192">
        <v>0.41899999999999998</v>
      </c>
      <c r="M89" s="994">
        <f>ROUND(+IF(L89&gt;_xlfn.XLOOKUP(AN89,RUC!M:M,RUC!K:K),L89*_xlfn.XLOOKUP(AN89,RUC!M:M,RUC!I:I),L89-_xlfn.XLOOKUP(AN89,RUC!M:M,RUC!J:J)),3)</f>
        <v>0.39400000000000002</v>
      </c>
      <c r="N89" s="1196">
        <f t="shared" si="46"/>
        <v>0.39400000000000002</v>
      </c>
      <c r="O89" s="645">
        <f t="shared" si="48"/>
        <v>0.39400000000000002</v>
      </c>
      <c r="P89" s="727">
        <v>90</v>
      </c>
      <c r="Q89" s="875">
        <v>93.08</v>
      </c>
      <c r="R89" s="706">
        <v>4150.8999999999996</v>
      </c>
      <c r="S89" s="765">
        <f>IF((_xlfn.XLOOKUP(D89,RUC!$B$3:$B$119,RUC!$E$3:$E$119)+ROUNDDOWN(O89,1)*100)&lt;95,95,((_xlfn.XLOOKUP(D89,RUC!$B$3:$B$119,RUC!$E$3:$E$119)+ROUNDDOWN(O89,1)*100)))</f>
        <v>120</v>
      </c>
      <c r="U89" s="1146">
        <f>_xlfn.XLOOKUP(D89,RUC!$B$3:$B$123,RUC!$F$3:$F$123)</f>
        <v>120</v>
      </c>
      <c r="V89" s="715">
        <v>1.1023000000000001</v>
      </c>
      <c r="Y89" s="1445">
        <v>30</v>
      </c>
      <c r="Z89" s="709">
        <v>70</v>
      </c>
      <c r="AA89" s="144">
        <f t="shared" si="49"/>
        <v>100</v>
      </c>
      <c r="AB89" s="145">
        <f t="shared" si="50"/>
        <v>1333.074375422</v>
      </c>
      <c r="AC89" s="145">
        <f>+(S89-T89)*V89-'data 1'!$F$4</f>
        <v>52.27600000000001</v>
      </c>
      <c r="AD89" s="145">
        <f t="shared" si="51"/>
        <v>57.341172760563957</v>
      </c>
      <c r="AE89" s="145">
        <f t="shared" si="52"/>
        <v>40.230000000000004</v>
      </c>
      <c r="AF89" s="145">
        <f t="shared" si="53"/>
        <v>103.39468509889984</v>
      </c>
      <c r="AG89" s="772">
        <f t="shared" si="45"/>
        <v>270.24185785946383</v>
      </c>
      <c r="AH89" s="1253">
        <f t="shared" si="54"/>
        <v>43.029000000000003</v>
      </c>
      <c r="AI89" s="1253">
        <f t="shared" si="55"/>
        <v>46.228000000000002</v>
      </c>
      <c r="AJ89" s="156">
        <f t="shared" si="56"/>
        <v>115.68682517043617</v>
      </c>
      <c r="AK89" s="156">
        <f t="shared" si="57"/>
        <v>39.123152302941541</v>
      </c>
      <c r="AM89" s="716">
        <f t="shared" si="58"/>
        <v>4289.8333401079963</v>
      </c>
      <c r="AN89" s="716" t="str">
        <f>_xlfn.XLOOKUP(D89,RUC!$B$3:$B$578,RUC!$M$3:$M$578)</f>
        <v>Evelyn</v>
      </c>
      <c r="AO89" s="1167" t="s">
        <v>2277</v>
      </c>
      <c r="AP89" s="1082" t="s">
        <v>5114</v>
      </c>
      <c r="AQ89" s="1082" t="s">
        <v>2491</v>
      </c>
    </row>
    <row r="90" spans="1:43" ht="15" customHeight="1">
      <c r="A90" s="1819" t="s">
        <v>6088</v>
      </c>
      <c r="B90" s="1447">
        <v>46197</v>
      </c>
      <c r="C90" s="1447">
        <v>46192</v>
      </c>
      <c r="D90" s="1943" t="s">
        <v>1967</v>
      </c>
      <c r="E90" s="762">
        <f>_xlfn.XLOOKUP(D90,RUC!$B$3:$B$123,RUC!$D$3:$D$123)</f>
        <v>20601769396</v>
      </c>
      <c r="F90" s="629" t="s">
        <v>6093</v>
      </c>
      <c r="G90" s="762">
        <v>56</v>
      </c>
      <c r="H90" s="1082" t="s">
        <v>108</v>
      </c>
      <c r="I90" s="703">
        <v>2.54</v>
      </c>
      <c r="J90" s="596">
        <v>15</v>
      </c>
      <c r="K90" s="703">
        <f t="shared" si="47"/>
        <v>2.1589999999999998</v>
      </c>
      <c r="L90" s="1192">
        <v>0.58799999999999997</v>
      </c>
      <c r="M90" s="994">
        <f>ROUND(+IF(L90&gt;_xlfn.XLOOKUP(AN90,RUC!M:M,RUC!K:K),L90*_xlfn.XLOOKUP(AN90,RUC!M:M,RUC!I:I),L90-_xlfn.XLOOKUP(AN90,RUC!M:M,RUC!J:J)),3)</f>
        <v>0.55300000000000005</v>
      </c>
      <c r="N90" s="1196">
        <f t="shared" si="46"/>
        <v>0.55300000000000005</v>
      </c>
      <c r="O90" s="645">
        <f t="shared" si="48"/>
        <v>0.55300000000000005</v>
      </c>
      <c r="P90" s="727">
        <v>90</v>
      </c>
      <c r="Q90" s="875">
        <v>94.56</v>
      </c>
      <c r="R90" s="706">
        <v>4150.8999999999996</v>
      </c>
      <c r="S90" s="765">
        <f>IF((_xlfn.XLOOKUP(D90,RUC!$B$3:$B$119,RUC!$E$3:$E$119)+ROUNDDOWN(O90,1)*100)&lt;95,95,((_xlfn.XLOOKUP(D90,RUC!$B$3:$B$119,RUC!$E$3:$E$119)+ROUNDDOWN(O90,1)*100)))</f>
        <v>140</v>
      </c>
      <c r="U90" s="1146">
        <f>_xlfn.XLOOKUP(D90,RUC!$B$3:$B$123,RUC!$F$3:$F$123)</f>
        <v>120</v>
      </c>
      <c r="V90" s="715">
        <v>1.1023000000000001</v>
      </c>
      <c r="Y90" s="1445">
        <v>30</v>
      </c>
      <c r="Z90" s="709">
        <v>70</v>
      </c>
      <c r="AA90" s="144">
        <f t="shared" si="49"/>
        <v>100</v>
      </c>
      <c r="AB90" s="145">
        <f t="shared" si="50"/>
        <v>1946.8590345389998</v>
      </c>
      <c r="AC90" s="145">
        <f>+(S90-T90)*V90-'data 1'!$F$4</f>
        <v>74.322000000000003</v>
      </c>
      <c r="AD90" s="145">
        <f t="shared" si="51"/>
        <v>119.13627041769604</v>
      </c>
      <c r="AE90" s="145">
        <f t="shared" si="52"/>
        <v>40.230000000000004</v>
      </c>
      <c r="AF90" s="145">
        <f t="shared" si="53"/>
        <v>147.05416837271966</v>
      </c>
      <c r="AG90" s="772">
        <f t="shared" si="45"/>
        <v>397.74243879041569</v>
      </c>
      <c r="AH90" s="1253">
        <f t="shared" si="54"/>
        <v>41.156999999999996</v>
      </c>
      <c r="AI90" s="1253">
        <f t="shared" si="55"/>
        <v>43.524999999999999</v>
      </c>
      <c r="AJ90" s="156">
        <f t="shared" si="56"/>
        <v>164.92948193030423</v>
      </c>
      <c r="AK90" s="156">
        <f t="shared" si="57"/>
        <v>36.840825448535114</v>
      </c>
      <c r="AM90" s="716">
        <f t="shared" si="58"/>
        <v>4203.2686555697001</v>
      </c>
      <c r="AN90" s="716" t="str">
        <f>_xlfn.XLOOKUP(D90,RUC!$B$3:$B$578,RUC!$M$3:$M$578)</f>
        <v>Evelyn</v>
      </c>
      <c r="AO90" s="1167" t="s">
        <v>2277</v>
      </c>
      <c r="AP90" s="1082" t="s">
        <v>5114</v>
      </c>
      <c r="AQ90" s="1082" t="s">
        <v>2491</v>
      </c>
    </row>
    <row r="91" spans="1:43" ht="15" customHeight="1">
      <c r="A91" s="1819" t="s">
        <v>6089</v>
      </c>
      <c r="B91" s="1447">
        <v>46197</v>
      </c>
      <c r="C91" s="1447">
        <v>46192</v>
      </c>
      <c r="D91" s="1943" t="s">
        <v>1967</v>
      </c>
      <c r="E91" s="762">
        <f>_xlfn.XLOOKUP(D91,RUC!$B$3:$B$123,RUC!$D$3:$D$123)</f>
        <v>20601769396</v>
      </c>
      <c r="F91" s="629" t="s">
        <v>6093</v>
      </c>
      <c r="G91" s="762">
        <v>12</v>
      </c>
      <c r="H91" s="1082" t="s">
        <v>108</v>
      </c>
      <c r="I91" s="703">
        <v>0.53</v>
      </c>
      <c r="J91" s="596">
        <v>16.38</v>
      </c>
      <c r="K91" s="703">
        <f t="shared" si="47"/>
        <v>0.443</v>
      </c>
      <c r="L91" s="1192">
        <v>0.47199999999999998</v>
      </c>
      <c r="M91" s="994">
        <f>ROUND(+IF(L91&gt;_xlfn.XLOOKUP(AN91,RUC!M:M,RUC!K:K),L91*_xlfn.XLOOKUP(AN91,RUC!M:M,RUC!I:I),L91-_xlfn.XLOOKUP(AN91,RUC!M:M,RUC!J:J)),3)</f>
        <v>0.44400000000000001</v>
      </c>
      <c r="N91" s="1196">
        <f t="shared" si="46"/>
        <v>0.44400000000000001</v>
      </c>
      <c r="O91" s="645">
        <f t="shared" si="48"/>
        <v>0.44400000000000001</v>
      </c>
      <c r="P91" s="727">
        <v>90</v>
      </c>
      <c r="Q91" s="875">
        <v>93.64</v>
      </c>
      <c r="R91" s="706">
        <v>4150.8999999999996</v>
      </c>
      <c r="S91" s="765">
        <f>IF((_xlfn.XLOOKUP(D91,RUC!$B$3:$B$119,RUC!$E$3:$E$119)+ROUNDDOWN(O91,1)*100)&lt;95,95,((_xlfn.XLOOKUP(D91,RUC!$B$3:$B$119,RUC!$E$3:$E$119)+ROUNDDOWN(O91,1)*100)))</f>
        <v>130</v>
      </c>
      <c r="U91" s="1146">
        <f>_xlfn.XLOOKUP(D91,RUC!$B$3:$B$123,RUC!$F$3:$F$123)</f>
        <v>120</v>
      </c>
      <c r="V91" s="715">
        <v>1.1023000000000001</v>
      </c>
      <c r="Y91" s="1445">
        <v>30</v>
      </c>
      <c r="Z91" s="709">
        <v>70</v>
      </c>
      <c r="AA91" s="144">
        <f t="shared" si="49"/>
        <v>100</v>
      </c>
      <c r="AB91" s="145">
        <f t="shared" si="50"/>
        <v>1521.9981235720002</v>
      </c>
      <c r="AC91" s="145">
        <f>+(S91-T91)*V91-'data 1'!$F$4</f>
        <v>63.299000000000007</v>
      </c>
      <c r="AD91" s="145">
        <f t="shared" si="51"/>
        <v>76.338779791456005</v>
      </c>
      <c r="AE91" s="145">
        <f t="shared" si="52"/>
        <v>40.230000000000004</v>
      </c>
      <c r="AF91" s="145">
        <f t="shared" si="53"/>
        <v>116.49875064654387</v>
      </c>
      <c r="AG91" s="772">
        <f t="shared" si="45"/>
        <v>313.36653043799993</v>
      </c>
      <c r="AH91" s="1253">
        <f t="shared" si="54"/>
        <v>6.7130000000000001</v>
      </c>
      <c r="AI91" s="1253">
        <f t="shared" si="55"/>
        <v>7.1689999999999996</v>
      </c>
      <c r="AJ91" s="156">
        <f t="shared" si="56"/>
        <v>131.10429178454419</v>
      </c>
      <c r="AK91" s="156">
        <f t="shared" si="57"/>
        <v>6.0692953916975405</v>
      </c>
      <c r="AM91" s="716">
        <f t="shared" si="58"/>
        <v>674.24516874239612</v>
      </c>
      <c r="AN91" s="716" t="str">
        <f>_xlfn.XLOOKUP(D91,RUC!$B$3:$B$578,RUC!$M$3:$M$578)</f>
        <v>Evelyn</v>
      </c>
      <c r="AO91" s="1167" t="s">
        <v>2277</v>
      </c>
      <c r="AP91" s="1082" t="s">
        <v>5114</v>
      </c>
      <c r="AQ91" s="1082" t="s">
        <v>2491</v>
      </c>
    </row>
    <row r="92" spans="1:43" ht="15" customHeight="1">
      <c r="A92" s="1491" t="s">
        <v>6090</v>
      </c>
      <c r="B92" s="1447">
        <v>46197</v>
      </c>
      <c r="C92" s="1447">
        <v>46192</v>
      </c>
      <c r="D92" s="1943" t="s">
        <v>1967</v>
      </c>
      <c r="E92" s="762">
        <f>_xlfn.XLOOKUP(D92,RUC!$B$3:$B$123,RUC!$D$3:$D$123)</f>
        <v>20601769396</v>
      </c>
      <c r="F92" s="629" t="s">
        <v>6093</v>
      </c>
      <c r="G92" s="762">
        <v>61</v>
      </c>
      <c r="H92" s="1082" t="s">
        <v>108</v>
      </c>
      <c r="I92" s="703">
        <v>2.2200000000000002</v>
      </c>
      <c r="J92" s="596">
        <v>12.1</v>
      </c>
      <c r="K92" s="703">
        <f t="shared" si="47"/>
        <v>1.9510000000000001</v>
      </c>
      <c r="L92" s="1192">
        <v>0.113</v>
      </c>
      <c r="M92" s="994">
        <f>ROUND(+IF(L92&gt;_xlfn.XLOOKUP(AN92,RUC!M:M,RUC!K:K),L92*_xlfn.XLOOKUP(AN92,RUC!M:M,RUC!I:I),L92-_xlfn.XLOOKUP(AN92,RUC!M:M,RUC!J:J)),3)</f>
        <v>9.4E-2</v>
      </c>
      <c r="N92" s="1196">
        <f t="shared" si="46"/>
        <v>9.4E-2</v>
      </c>
      <c r="O92" s="645">
        <f t="shared" si="48"/>
        <v>9.4E-2</v>
      </c>
      <c r="P92" s="727">
        <v>70</v>
      </c>
      <c r="Q92" s="875">
        <v>74.78</v>
      </c>
      <c r="R92" s="706">
        <v>4150.8999999999996</v>
      </c>
      <c r="S92" s="765">
        <f>IF((_xlfn.XLOOKUP(D92,RUC!$B$3:$B$119,RUC!$E$3:$E$119)+ROUNDDOWN(O92,1)*100)&lt;95,95,((_xlfn.XLOOKUP(D92,RUC!$B$3:$B$119,RUC!$E$3:$E$119)+ROUNDDOWN(O92,1)*100)))</f>
        <v>95</v>
      </c>
      <c r="U92" s="1146">
        <f>_xlfn.XLOOKUP(D92,RUC!$B$3:$B$123,RUC!$F$3:$F$123)</f>
        <v>120</v>
      </c>
      <c r="V92" s="715">
        <v>1.1023000000000001</v>
      </c>
      <c r="Y92" s="1445">
        <v>30</v>
      </c>
      <c r="Z92" s="709">
        <v>70</v>
      </c>
      <c r="AA92" s="144">
        <f t="shared" si="49"/>
        <v>100</v>
      </c>
      <c r="AB92" s="145">
        <v>1E-3</v>
      </c>
      <c r="AC92" s="145">
        <f>+(S92-T92)*V92-'data 1'!$F$4</f>
        <v>24.718500000000006</v>
      </c>
      <c r="AD92" s="145">
        <f t="shared" si="51"/>
        <v>23.999830343498004</v>
      </c>
      <c r="AE92" s="145">
        <f t="shared" si="52"/>
        <v>40.230000000000004</v>
      </c>
      <c r="AF92" s="145">
        <f t="shared" si="53"/>
        <v>63.130741934774015</v>
      </c>
      <c r="AG92" s="772">
        <f>AC92+AD92+AE92+AF92+70-53+77.42</f>
        <v>246.49907227827202</v>
      </c>
      <c r="AH92" s="1253">
        <f t="shared" si="54"/>
        <v>5.6520000000000001</v>
      </c>
      <c r="AI92" s="1253">
        <f t="shared" si="55"/>
        <v>7.5590000000000002</v>
      </c>
      <c r="AJ92" s="156">
        <f t="shared" si="56"/>
        <v>25.065559865502038</v>
      </c>
      <c r="AK92" s="156">
        <f t="shared" si="57"/>
        <v>4.40141411922919</v>
      </c>
      <c r="AM92" s="716">
        <f t="shared" si="58"/>
        <v>1.951E-3</v>
      </c>
      <c r="AN92" s="716" t="str">
        <f>_xlfn.XLOOKUP(D92,RUC!$B$3:$B$578,RUC!$M$3:$M$578)</f>
        <v>Evelyn</v>
      </c>
      <c r="AO92" s="1167" t="s">
        <v>2277</v>
      </c>
      <c r="AP92" s="1082" t="s">
        <v>5114</v>
      </c>
      <c r="AQ92" s="1082" t="s">
        <v>2491</v>
      </c>
    </row>
    <row r="93" spans="1:43" ht="15" customHeight="1">
      <c r="A93" s="1819" t="s">
        <v>6104</v>
      </c>
      <c r="B93" s="1447">
        <v>46197</v>
      </c>
      <c r="C93" s="1447">
        <v>46193</v>
      </c>
      <c r="D93" s="1959" t="s">
        <v>6122</v>
      </c>
      <c r="E93" s="762">
        <f>_xlfn.XLOOKUP(D93,RUC!$B$3:$B$123,RUC!$D$3:$D$123)</f>
        <v>20612223395</v>
      </c>
      <c r="G93" s="762">
        <v>22</v>
      </c>
      <c r="H93" s="1082" t="s">
        <v>69</v>
      </c>
      <c r="I93" s="703">
        <v>2.9</v>
      </c>
      <c r="J93" s="596">
        <v>2</v>
      </c>
      <c r="K93" s="703">
        <f t="shared" si="47"/>
        <v>2.8420000000000001</v>
      </c>
      <c r="L93" s="1192">
        <v>0.24</v>
      </c>
      <c r="M93" s="994">
        <v>0.221</v>
      </c>
      <c r="N93" s="1196">
        <f t="shared" si="46"/>
        <v>0.221</v>
      </c>
      <c r="O93" s="645">
        <f t="shared" si="48"/>
        <v>0.221</v>
      </c>
      <c r="P93" s="727">
        <v>90</v>
      </c>
      <c r="Q93" s="875">
        <v>95</v>
      </c>
      <c r="R93" s="706">
        <v>4150.8999999999996</v>
      </c>
      <c r="S93" s="765">
        <f>IF((_xlfn.XLOOKUP(D93,RUC!$B$3:$B$119,RUC!$E$3:$E$119)+ROUNDDOWN(O93,1)*100)&lt;95,95,((_xlfn.XLOOKUP(D93,RUC!$B$3:$B$119,RUC!$E$3:$E$119)+ROUNDDOWN(O93,1)*100)))</f>
        <v>100</v>
      </c>
      <c r="U93" s="1146">
        <f>_xlfn.XLOOKUP(D93,RUC!$B$3:$B$123,RUC!$F$3:$F$123)</f>
        <v>110</v>
      </c>
      <c r="V93" s="715">
        <v>1.1023000000000001</v>
      </c>
      <c r="Y93">
        <f>_xlfn.XLOOKUP(D93,RUC!$B$3:$B$123,RUC!$G$3:$G$123)</f>
        <v>0</v>
      </c>
      <c r="Z93" s="143">
        <f>_xlfn.XLOOKUP(D93,RUC!$B$3:$B$123,RUC!$H$3:$H$123)</f>
        <v>35</v>
      </c>
      <c r="AA93" s="144">
        <f t="shared" si="49"/>
        <v>35</v>
      </c>
      <c r="AB93" s="145">
        <f t="shared" si="50"/>
        <v>737.14660152299984</v>
      </c>
      <c r="AC93" s="145">
        <f>+(S93-T93)*V93-'data 1'!$F$4</f>
        <v>30.230000000000004</v>
      </c>
      <c r="AD93" s="145">
        <f t="shared" si="51"/>
        <v>53.451408840000006</v>
      </c>
      <c r="AE93" s="145">
        <f t="shared" si="52"/>
        <v>-31.419499999999999</v>
      </c>
      <c r="AF93" s="145">
        <f t="shared" si="53"/>
        <v>80.399827463499946</v>
      </c>
      <c r="AG93" s="772">
        <f t="shared" ref="AG93:AG110" si="59">AC93+AD93+AE93+AF93+70-53</f>
        <v>149.66173630349996</v>
      </c>
      <c r="AH93" s="1253">
        <f t="shared" si="54"/>
        <v>22.216000000000001</v>
      </c>
      <c r="AI93" s="1253">
        <f t="shared" si="55"/>
        <v>23.385000000000002</v>
      </c>
      <c r="AJ93" s="156">
        <f t="shared" si="56"/>
        <v>65.118152040000084</v>
      </c>
      <c r="AK93" s="156">
        <f t="shared" si="57"/>
        <v>19.38063158749809</v>
      </c>
      <c r="AM93" s="716">
        <f t="shared" si="58"/>
        <v>2094.9706415283658</v>
      </c>
      <c r="AN93" s="716" t="str">
        <f>_xlfn.XLOOKUP(D93,RUC!$B$3:$B$578,RUC!$M$3:$M$578)</f>
        <v>Robinson Tuya</v>
      </c>
      <c r="AO93" s="1167" t="s">
        <v>2276</v>
      </c>
      <c r="AP93" s="1082" t="s">
        <v>4249</v>
      </c>
      <c r="AQ93" s="1082" t="s">
        <v>6097</v>
      </c>
    </row>
    <row r="94" spans="1:43" ht="15" customHeight="1">
      <c r="A94" s="1819" t="s">
        <v>6105</v>
      </c>
      <c r="B94" s="1447">
        <v>46197</v>
      </c>
      <c r="C94" s="1447">
        <v>46193</v>
      </c>
      <c r="D94" s="1945" t="s">
        <v>6122</v>
      </c>
      <c r="E94" s="762">
        <f>_xlfn.XLOOKUP(D94,RUC!$B$3:$B$123,RUC!$D$3:$D$123)</f>
        <v>20612223395</v>
      </c>
      <c r="G94" s="762">
        <v>15</v>
      </c>
      <c r="H94" s="1082" t="s">
        <v>69</v>
      </c>
      <c r="I94" s="703">
        <v>1.84</v>
      </c>
      <c r="J94" s="596">
        <v>2.15</v>
      </c>
      <c r="K94" s="703">
        <f t="shared" si="47"/>
        <v>1.8</v>
      </c>
      <c r="L94" s="1192">
        <v>0.23799999999999999</v>
      </c>
      <c r="M94" s="994">
        <v>0.219</v>
      </c>
      <c r="N94" s="1196">
        <f t="shared" si="46"/>
        <v>0.219</v>
      </c>
      <c r="O94" s="645">
        <f t="shared" si="48"/>
        <v>0.219</v>
      </c>
      <c r="P94" s="727">
        <v>90</v>
      </c>
      <c r="Q94" s="875">
        <v>92.86</v>
      </c>
      <c r="R94" s="706">
        <v>4150.8999999999996</v>
      </c>
      <c r="S94" s="765">
        <f>IF((_xlfn.XLOOKUP(D94,RUC!$B$3:$B$119,RUC!$E$3:$E$119)+ROUNDDOWN(O94,1)*100)&lt;95,95,((_xlfn.XLOOKUP(D94,RUC!$B$3:$B$119,RUC!$E$3:$E$119)+ROUNDDOWN(O94,1)*100)))</f>
        <v>100</v>
      </c>
      <c r="U94" s="1146">
        <f>_xlfn.XLOOKUP(D94,RUC!$B$3:$B$123,RUC!$F$3:$F$123)</f>
        <v>110</v>
      </c>
      <c r="V94" s="715">
        <v>1.1023000000000001</v>
      </c>
      <c r="Y94">
        <f>_xlfn.XLOOKUP(D94,RUC!$B$3:$B$123,RUC!$G$3:$G$123)</f>
        <v>0</v>
      </c>
      <c r="Z94" s="143">
        <f>_xlfn.XLOOKUP(D94,RUC!$B$3:$B$123,RUC!$H$3:$H$123)</f>
        <v>35</v>
      </c>
      <c r="AA94" s="144">
        <f t="shared" si="49"/>
        <v>35</v>
      </c>
      <c r="AB94" s="145">
        <f t="shared" si="50"/>
        <v>729.12889019699992</v>
      </c>
      <c r="AC94" s="145">
        <f>+(S94-T94)*V94-'data 1'!$F$4</f>
        <v>30.230000000000004</v>
      </c>
      <c r="AD94" s="145">
        <f t="shared" si="51"/>
        <v>30.319420807675993</v>
      </c>
      <c r="AE94" s="145">
        <f t="shared" si="52"/>
        <v>-31.419499999999999</v>
      </c>
      <c r="AF94" s="145">
        <f t="shared" si="53"/>
        <v>78.588715560637951</v>
      </c>
      <c r="AG94" s="772">
        <f t="shared" si="59"/>
        <v>124.71863636831395</v>
      </c>
      <c r="AH94" s="1253">
        <f t="shared" si="54"/>
        <v>13.638999999999999</v>
      </c>
      <c r="AI94" s="1253">
        <f t="shared" si="55"/>
        <v>14.688000000000001</v>
      </c>
      <c r="AJ94" s="156">
        <f t="shared" si="56"/>
        <v>63.120852650324089</v>
      </c>
      <c r="AK94" s="156">
        <f t="shared" si="57"/>
        <v>12.163769972379001</v>
      </c>
      <c r="AM94" s="716">
        <f t="shared" si="58"/>
        <v>1312.4320023545999</v>
      </c>
      <c r="AN94" s="716" t="str">
        <f>_xlfn.XLOOKUP(D94,RUC!$B$3:$B$578,RUC!$M$3:$M$578)</f>
        <v>Robinson Tuya</v>
      </c>
      <c r="AO94" s="1167" t="s">
        <v>2276</v>
      </c>
      <c r="AP94" s="1082" t="s">
        <v>4249</v>
      </c>
      <c r="AQ94" s="1082" t="s">
        <v>6097</v>
      </c>
    </row>
    <row r="95" spans="1:43" ht="15" customHeight="1">
      <c r="A95" s="1819" t="s">
        <v>6106</v>
      </c>
      <c r="B95" s="1447">
        <v>46197</v>
      </c>
      <c r="C95" s="1447">
        <v>46193</v>
      </c>
      <c r="D95" s="1943" t="s">
        <v>6122</v>
      </c>
      <c r="E95" s="762">
        <f>_xlfn.XLOOKUP(D95,RUC!$B$3:$B$123,RUC!$D$3:$D$123)</f>
        <v>20612223395</v>
      </c>
      <c r="G95" s="762">
        <v>13</v>
      </c>
      <c r="H95" s="1082" t="s">
        <v>69</v>
      </c>
      <c r="I95" s="703">
        <v>1.61</v>
      </c>
      <c r="J95" s="596">
        <v>2.2000000000000002</v>
      </c>
      <c r="K95" s="703">
        <f t="shared" si="47"/>
        <v>1.575</v>
      </c>
      <c r="L95" s="1192">
        <v>0.17</v>
      </c>
      <c r="M95" s="994">
        <v>0.151</v>
      </c>
      <c r="N95" s="1196">
        <f t="shared" si="46"/>
        <v>0.151</v>
      </c>
      <c r="O95" s="645">
        <f t="shared" si="48"/>
        <v>0.151</v>
      </c>
      <c r="P95" s="727">
        <v>85</v>
      </c>
      <c r="Q95" s="875">
        <v>92.94</v>
      </c>
      <c r="R95" s="706">
        <v>4150.8999999999996</v>
      </c>
      <c r="S95" s="765">
        <f>IF((_xlfn.XLOOKUP(D95,RUC!$B$3:$B$119,RUC!$E$3:$E$119)+ROUNDDOWN(O95,1)*100)&lt;95,95,((_xlfn.XLOOKUP(D95,RUC!$B$3:$B$119,RUC!$E$3:$E$119)+ROUNDDOWN(O95,1)*100)))</f>
        <v>95</v>
      </c>
      <c r="U95" s="1146">
        <f>_xlfn.XLOOKUP(D95,RUC!$B$3:$B$123,RUC!$F$3:$F$123)</f>
        <v>110</v>
      </c>
      <c r="V95" s="715">
        <v>1.1023000000000001</v>
      </c>
      <c r="Y95">
        <f>_xlfn.XLOOKUP(D95,RUC!$B$3:$B$123,RUC!$G$3:$G$123)</f>
        <v>0</v>
      </c>
      <c r="Z95" s="143">
        <f>_xlfn.XLOOKUP(D95,RUC!$B$3:$B$123,RUC!$H$3:$H$123)</f>
        <v>35</v>
      </c>
      <c r="AA95" s="144">
        <f t="shared" si="49"/>
        <v>35</v>
      </c>
      <c r="AB95" s="145">
        <f t="shared" si="50"/>
        <v>428.40836038449982</v>
      </c>
      <c r="AC95" s="145">
        <f>+(S95-T95)*V95-'data 1'!$F$4</f>
        <v>24.718500000000006</v>
      </c>
      <c r="AD95" s="145">
        <f t="shared" si="51"/>
        <v>60.123926376859984</v>
      </c>
      <c r="AE95" s="145">
        <f t="shared" si="52"/>
        <v>-31.419499999999999</v>
      </c>
      <c r="AF95" s="145">
        <f t="shared" si="53"/>
        <v>78.656420678502073</v>
      </c>
      <c r="AG95" s="772">
        <f t="shared" si="59"/>
        <v>149.07934705536206</v>
      </c>
      <c r="AH95" s="1253">
        <f t="shared" si="54"/>
        <v>8.532</v>
      </c>
      <c r="AI95" s="1253">
        <f t="shared" si="55"/>
        <v>9.18</v>
      </c>
      <c r="AJ95" s="156">
        <f t="shared" si="56"/>
        <v>45.125165728140075</v>
      </c>
      <c r="AK95" s="156">
        <f t="shared" si="57"/>
        <v>6.9308340510425639</v>
      </c>
      <c r="AM95" s="716">
        <f t="shared" si="58"/>
        <v>674.74316760558725</v>
      </c>
      <c r="AN95" s="716" t="str">
        <f>_xlfn.XLOOKUP(D95,RUC!$B$3:$B$578,RUC!$M$3:$M$578)</f>
        <v>Robinson Tuya</v>
      </c>
      <c r="AO95" s="1167" t="s">
        <v>2276</v>
      </c>
      <c r="AP95" s="1082" t="s">
        <v>4249</v>
      </c>
      <c r="AQ95" s="1082" t="s">
        <v>6097</v>
      </c>
    </row>
    <row r="96" spans="1:43" ht="15" customHeight="1">
      <c r="A96" s="1819" t="s">
        <v>6107</v>
      </c>
      <c r="B96" s="1447">
        <v>46197</v>
      </c>
      <c r="C96" s="1447">
        <v>46193</v>
      </c>
      <c r="D96" s="1943" t="s">
        <v>6122</v>
      </c>
      <c r="E96" s="762">
        <f>_xlfn.XLOOKUP(D96,RUC!$B$3:$B$123,RUC!$D$3:$D$123)</f>
        <v>20612223395</v>
      </c>
      <c r="G96" s="762">
        <v>53</v>
      </c>
      <c r="H96" s="1082" t="s">
        <v>69</v>
      </c>
      <c r="I96" s="703">
        <v>7.04</v>
      </c>
      <c r="J96" s="596">
        <v>2</v>
      </c>
      <c r="K96" s="703">
        <f t="shared" si="47"/>
        <v>6.899</v>
      </c>
      <c r="L96" s="1192">
        <v>0.188</v>
      </c>
      <c r="M96" s="994">
        <v>0.16900000000000001</v>
      </c>
      <c r="N96" s="1196">
        <f t="shared" si="46"/>
        <v>0.16900000000000001</v>
      </c>
      <c r="O96" s="645">
        <f t="shared" si="48"/>
        <v>0.16900000000000001</v>
      </c>
      <c r="P96" s="727">
        <v>85</v>
      </c>
      <c r="Q96" s="875">
        <v>93.62</v>
      </c>
      <c r="R96" s="706">
        <v>4150.8999999999996</v>
      </c>
      <c r="S96" s="765">
        <f>IF((_xlfn.XLOOKUP(D96,RUC!$B$3:$B$119,RUC!$E$3:$E$119)+ROUNDDOWN(O96,1)*100)&lt;95,95,((_xlfn.XLOOKUP(D96,RUC!$B$3:$B$119,RUC!$E$3:$E$119)+ROUNDDOWN(O96,1)*100)))</f>
        <v>95</v>
      </c>
      <c r="U96" s="1146">
        <f>_xlfn.XLOOKUP(D96,RUC!$B$3:$B$123,RUC!$F$3:$F$123)</f>
        <v>110</v>
      </c>
      <c r="V96" s="715">
        <v>1.1023000000000001</v>
      </c>
      <c r="Y96">
        <f>_xlfn.XLOOKUP(D96,RUC!$B$3:$B$123,RUC!$G$3:$G$123)</f>
        <v>0</v>
      </c>
      <c r="Z96" s="143">
        <f>_xlfn.XLOOKUP(D96,RUC!$B$3:$B$123,RUC!$H$3:$H$123)</f>
        <v>35</v>
      </c>
      <c r="AA96" s="144">
        <f t="shared" si="49"/>
        <v>35</v>
      </c>
      <c r="AB96" s="145">
        <f t="shared" si="50"/>
        <v>496.55890665549998</v>
      </c>
      <c r="AC96" s="145">
        <f>+(S96-T96)*V96-'data 1'!$F$4</f>
        <v>24.718500000000006</v>
      </c>
      <c r="AD96" s="145">
        <f t="shared" si="51"/>
        <v>72.184345924792026</v>
      </c>
      <c r="AE96" s="145">
        <f t="shared" si="52"/>
        <v>-31.419499999999999</v>
      </c>
      <c r="AF96" s="145">
        <f t="shared" si="53"/>
        <v>79.231914180345953</v>
      </c>
      <c r="AG96" s="772">
        <f t="shared" si="59"/>
        <v>161.71526010513799</v>
      </c>
      <c r="AH96" s="1253">
        <f t="shared" si="54"/>
        <v>41.631</v>
      </c>
      <c r="AI96" s="1253">
        <f t="shared" si="55"/>
        <v>44.469000000000001</v>
      </c>
      <c r="AJ96" s="156">
        <f t="shared" si="56"/>
        <v>50.268243073208076</v>
      </c>
      <c r="AK96" s="156">
        <f t="shared" si="57"/>
        <v>33.978237258345871</v>
      </c>
      <c r="AM96" s="716">
        <f t="shared" si="58"/>
        <v>3425.7598970162944</v>
      </c>
      <c r="AN96" s="716" t="str">
        <f>_xlfn.XLOOKUP(D96,RUC!$B$3:$B$578,RUC!$M$3:$M$578)</f>
        <v>Robinson Tuya</v>
      </c>
      <c r="AO96" s="1167" t="s">
        <v>2276</v>
      </c>
      <c r="AP96" s="1082" t="s">
        <v>6098</v>
      </c>
      <c r="AQ96" s="1082" t="s">
        <v>6099</v>
      </c>
    </row>
    <row r="97" spans="1:43" ht="15" customHeight="1">
      <c r="A97" s="1491" t="s">
        <v>6108</v>
      </c>
      <c r="B97" s="1447">
        <v>46197</v>
      </c>
      <c r="C97" s="1447">
        <v>46193</v>
      </c>
      <c r="D97" s="1943" t="s">
        <v>6122</v>
      </c>
      <c r="E97" s="762">
        <f>_xlfn.XLOOKUP(D97,RUC!$B$3:$B$123,RUC!$D$3:$D$123)</f>
        <v>20612223395</v>
      </c>
      <c r="G97" s="762">
        <v>12</v>
      </c>
      <c r="H97" s="1082" t="s">
        <v>69</v>
      </c>
      <c r="I97" s="703">
        <v>1.59</v>
      </c>
      <c r="J97" s="596">
        <v>2</v>
      </c>
      <c r="K97" s="703">
        <f t="shared" si="47"/>
        <v>1.5580000000000001</v>
      </c>
      <c r="L97" s="1192">
        <v>5.2999999999999999E-2</v>
      </c>
      <c r="M97" s="994">
        <v>3.4000000000000002E-2</v>
      </c>
      <c r="N97" s="1196">
        <f t="shared" si="46"/>
        <v>3.4000000000000002E-2</v>
      </c>
      <c r="O97" s="645">
        <f t="shared" si="48"/>
        <v>3.4000000000000002E-2</v>
      </c>
      <c r="P97" s="727">
        <v>80</v>
      </c>
      <c r="Q97" s="875">
        <v>83.02</v>
      </c>
      <c r="R97" s="706">
        <v>4150.8999999999996</v>
      </c>
      <c r="S97" s="765">
        <f>IF((_xlfn.XLOOKUP(D97,RUC!$B$3:$B$119,RUC!$E$3:$E$119)+ROUNDDOWN(O97,1)*100)&lt;95,95,((_xlfn.XLOOKUP(D97,RUC!$B$3:$B$119,RUC!$E$3:$E$119)+ROUNDDOWN(O97,1)*100)))</f>
        <v>95</v>
      </c>
      <c r="U97" s="1146">
        <f>_xlfn.XLOOKUP(D97,RUC!$B$3:$B$123,RUC!$F$3:$F$123)</f>
        <v>110</v>
      </c>
      <c r="V97" s="715">
        <v>1.1023000000000001</v>
      </c>
      <c r="Y97">
        <f>_xlfn.XLOOKUP(D97,RUC!$B$3:$B$123,RUC!$G$3:$G$123)</f>
        <v>0</v>
      </c>
      <c r="Z97" s="143">
        <f>_xlfn.XLOOKUP(D97,RUC!$B$3:$B$123,RUC!$H$3:$H$123)</f>
        <v>35</v>
      </c>
      <c r="AA97" s="144">
        <f t="shared" si="49"/>
        <v>35</v>
      </c>
      <c r="AB97" s="145">
        <v>1E-3</v>
      </c>
      <c r="AC97" s="145">
        <f>+(S97-T97)*V97-'data 1'!$F$4</f>
        <v>24.718500000000006</v>
      </c>
      <c r="AD97" s="145">
        <f t="shared" si="51"/>
        <v>7.1295270824419914</v>
      </c>
      <c r="AE97" s="145">
        <f t="shared" si="52"/>
        <v>-31.419499999999999</v>
      </c>
      <c r="AF97" s="145">
        <f t="shared" si="53"/>
        <v>70.260986063365976</v>
      </c>
      <c r="AG97" s="772">
        <f>AC97+AD97+AE97+AF97+70-53-22.14</f>
        <v>65.549513145807978</v>
      </c>
      <c r="AH97" s="1253">
        <f t="shared" si="54"/>
        <v>2.35</v>
      </c>
      <c r="AI97" s="1253">
        <f t="shared" si="55"/>
        <v>2.831</v>
      </c>
      <c r="AJ97" s="156">
        <f t="shared" si="56"/>
        <v>12.566832283558018</v>
      </c>
      <c r="AK97" s="156">
        <f t="shared" si="57"/>
        <v>1.4529324606276801</v>
      </c>
      <c r="AM97" s="716">
        <f t="shared" si="58"/>
        <v>1.5580000000000001E-3</v>
      </c>
      <c r="AN97" s="716" t="str">
        <f>_xlfn.XLOOKUP(D97,RUC!$B$3:$B$578,RUC!$M$3:$M$578)</f>
        <v>Robinson Tuya</v>
      </c>
      <c r="AO97" s="1167" t="s">
        <v>2276</v>
      </c>
      <c r="AP97" s="1082" t="s">
        <v>6098</v>
      </c>
      <c r="AQ97" s="1082" t="s">
        <v>6099</v>
      </c>
    </row>
    <row r="98" spans="1:43" ht="15" customHeight="1">
      <c r="A98" s="1819" t="s">
        <v>6109</v>
      </c>
      <c r="B98" s="1447">
        <v>46197</v>
      </c>
      <c r="C98" s="1447">
        <v>46193</v>
      </c>
      <c r="D98" s="1943" t="s">
        <v>1671</v>
      </c>
      <c r="E98" s="762">
        <f>_xlfn.XLOOKUP(D98,RUC!$B$3:$B$123,RUC!$D$3:$D$123)</f>
        <v>20517242919</v>
      </c>
      <c r="G98" s="762">
        <v>40</v>
      </c>
      <c r="H98" s="1082" t="s">
        <v>69</v>
      </c>
      <c r="I98" s="703">
        <v>3.33</v>
      </c>
      <c r="J98" s="596">
        <v>1.75</v>
      </c>
      <c r="K98" s="703">
        <f t="shared" si="47"/>
        <v>3.2719999999999998</v>
      </c>
      <c r="L98" s="1192">
        <v>0.253</v>
      </c>
      <c r="M98" s="994">
        <f>ROUND(+IF(L98&gt;_xlfn.XLOOKUP(AN98,RUC!M:M,RUC!K:K),L98*_xlfn.XLOOKUP(AN98,RUC!M:M,RUC!I:I),L98-_xlfn.XLOOKUP(AN98,RUC!M:M,RUC!J:J)),3)</f>
        <v>0.246</v>
      </c>
      <c r="N98" s="1196">
        <f t="shared" si="46"/>
        <v>0.246</v>
      </c>
      <c r="O98" s="645">
        <f t="shared" si="48"/>
        <v>0.246</v>
      </c>
      <c r="P98" s="727">
        <v>85</v>
      </c>
      <c r="Q98" s="875">
        <v>97.63</v>
      </c>
      <c r="R98" s="706">
        <v>4150.8999999999996</v>
      </c>
      <c r="S98" s="1164">
        <v>105</v>
      </c>
      <c r="U98" s="1146">
        <f>_xlfn.XLOOKUP(D98,RUC!$B$3:$B$123,RUC!$F$3:$F$123)</f>
        <v>80</v>
      </c>
      <c r="V98" s="715">
        <v>1.1023000000000001</v>
      </c>
      <c r="Y98">
        <f>_xlfn.XLOOKUP(D98,RUC!$B$3:$B$123,RUC!$G$3:$G$123)</f>
        <v>0</v>
      </c>
      <c r="Z98" s="143">
        <f>_xlfn.XLOOKUP(D98,RUC!$B$3:$B$123,RUC!$H$3:$H$123)</f>
        <v>10</v>
      </c>
      <c r="AA98" s="144">
        <f t="shared" si="49"/>
        <v>10</v>
      </c>
      <c r="AB98" s="145">
        <f t="shared" si="50"/>
        <v>811.54102693700008</v>
      </c>
      <c r="AC98" s="145">
        <f>+(S98-T98)*V98-'data 1'!$F$4</f>
        <v>35.741500000000002</v>
      </c>
      <c r="AD98" s="145">
        <f t="shared" si="51"/>
        <v>143.38843126347294</v>
      </c>
      <c r="AE98" s="145">
        <f t="shared" si="52"/>
        <v>-58.977000000000004</v>
      </c>
      <c r="AF98" s="145">
        <f t="shared" si="53"/>
        <v>30.667019615687021</v>
      </c>
      <c r="AG98" s="772">
        <f t="shared" si="59"/>
        <v>167.81995087915996</v>
      </c>
      <c r="AH98" s="1253">
        <f t="shared" si="54"/>
        <v>27.709</v>
      </c>
      <c r="AI98" s="1253">
        <f t="shared" si="55"/>
        <v>28.382000000000001</v>
      </c>
      <c r="AJ98" s="156">
        <f t="shared" si="56"/>
        <v>62.377606604027093</v>
      </c>
      <c r="AK98" s="156">
        <f t="shared" si="57"/>
        <v>23.45721222618636</v>
      </c>
      <c r="AM98" s="716">
        <f t="shared" si="58"/>
        <v>2655.3622401378643</v>
      </c>
      <c r="AN98" s="716" t="str">
        <f>_xlfn.XLOOKUP(D98,RUC!$B$3:$B$578,RUC!$M$3:$M$578)</f>
        <v>Melchor Vera</v>
      </c>
      <c r="AO98" s="1167" t="s">
        <v>2278</v>
      </c>
      <c r="AP98" s="1082" t="s">
        <v>6100</v>
      </c>
      <c r="AQ98" s="1082" t="s">
        <v>5990</v>
      </c>
    </row>
    <row r="99" spans="1:43" ht="15" customHeight="1">
      <c r="A99" s="1819" t="s">
        <v>6110</v>
      </c>
      <c r="B99" s="1447">
        <v>46197</v>
      </c>
      <c r="C99" s="1447">
        <v>46193</v>
      </c>
      <c r="D99" s="1943" t="s">
        <v>1671</v>
      </c>
      <c r="E99" s="762">
        <f>_xlfn.XLOOKUP(D99,RUC!$B$3:$B$123,RUC!$D$3:$D$123)</f>
        <v>20517242919</v>
      </c>
      <c r="G99" s="762">
        <v>43</v>
      </c>
      <c r="H99" s="1082" t="s">
        <v>69</v>
      </c>
      <c r="I99" s="703">
        <v>3.62</v>
      </c>
      <c r="J99" s="596">
        <v>1.5</v>
      </c>
      <c r="K99" s="703">
        <f t="shared" si="47"/>
        <v>3.5659999999999998</v>
      </c>
      <c r="L99" s="1192">
        <v>0.27</v>
      </c>
      <c r="M99" s="994">
        <f>ROUND(+IF(L99&gt;_xlfn.XLOOKUP(AN99,RUC!M:M,RUC!K:K),L99*_xlfn.XLOOKUP(AN99,RUC!M:M,RUC!I:I),L99-_xlfn.XLOOKUP(AN99,RUC!M:M,RUC!J:J)),3)</f>
        <v>0.26300000000000001</v>
      </c>
      <c r="N99" s="1196">
        <f t="shared" si="46"/>
        <v>0.26300000000000001</v>
      </c>
      <c r="O99" s="645">
        <f t="shared" si="48"/>
        <v>0.26300000000000001</v>
      </c>
      <c r="P99" s="727">
        <v>90</v>
      </c>
      <c r="Q99" s="875">
        <v>95.56</v>
      </c>
      <c r="R99" s="706">
        <v>4150.8999999999996</v>
      </c>
      <c r="S99" s="1164">
        <v>105</v>
      </c>
      <c r="U99" s="1146">
        <f>_xlfn.XLOOKUP(D99,RUC!$B$3:$B$123,RUC!$F$3:$F$123)</f>
        <v>80</v>
      </c>
      <c r="V99" s="715">
        <v>1.1023000000000001</v>
      </c>
      <c r="Y99">
        <f>_xlfn.XLOOKUP(D99,RUC!$B$3:$B$123,RUC!$G$3:$G$123)</f>
        <v>0</v>
      </c>
      <c r="Z99" s="143">
        <f>_xlfn.XLOOKUP(D99,RUC!$B$3:$B$123,RUC!$H$3:$H$123)</f>
        <v>10</v>
      </c>
      <c r="AA99" s="144">
        <f t="shared" si="49"/>
        <v>10</v>
      </c>
      <c r="AB99" s="145">
        <f t="shared" si="50"/>
        <v>935.39197166899999</v>
      </c>
      <c r="AC99" s="145">
        <f>+(S99-T99)*V99-'data 1'!$F$4</f>
        <v>35.741500000000002</v>
      </c>
      <c r="AD99" s="145">
        <f t="shared" si="51"/>
        <v>67.36414428684003</v>
      </c>
      <c r="AE99" s="145">
        <f t="shared" si="52"/>
        <v>-58.977000000000004</v>
      </c>
      <c r="AF99" s="145">
        <f t="shared" si="53"/>
        <v>30.016802155844026</v>
      </c>
      <c r="AG99" s="772">
        <f t="shared" si="59"/>
        <v>91.145446442684062</v>
      </c>
      <c r="AH99" s="1253">
        <f t="shared" si="54"/>
        <v>31.545000000000002</v>
      </c>
      <c r="AI99" s="1253">
        <f t="shared" si="55"/>
        <v>33.011000000000003</v>
      </c>
      <c r="AJ99" s="156">
        <f t="shared" si="56"/>
        <v>65.157558383160108</v>
      </c>
      <c r="AK99" s="156">
        <f t="shared" si="57"/>
        <v>28.939342919217211</v>
      </c>
      <c r="AM99" s="716">
        <f t="shared" si="58"/>
        <v>3335.6077709716537</v>
      </c>
      <c r="AN99" s="716" t="str">
        <f>_xlfn.XLOOKUP(D99,RUC!$B$3:$B$578,RUC!$M$3:$M$578)</f>
        <v>Melchor Vera</v>
      </c>
      <c r="AO99" s="1167" t="s">
        <v>2278</v>
      </c>
      <c r="AP99" s="1082" t="s">
        <v>6100</v>
      </c>
      <c r="AQ99" s="1082" t="s">
        <v>5990</v>
      </c>
    </row>
    <row r="100" spans="1:43" ht="15" customHeight="1">
      <c r="A100" s="1819" t="s">
        <v>6111</v>
      </c>
      <c r="B100" s="1447">
        <v>46197</v>
      </c>
      <c r="C100" s="1447">
        <v>46193</v>
      </c>
      <c r="D100" s="1943" t="s">
        <v>1671</v>
      </c>
      <c r="E100" s="762">
        <f>_xlfn.XLOOKUP(D100,RUC!$B$3:$B$123,RUC!$D$3:$D$123)</f>
        <v>20517242919</v>
      </c>
      <c r="G100" s="762">
        <v>57</v>
      </c>
      <c r="H100" s="1082" t="s">
        <v>69</v>
      </c>
      <c r="I100" s="703">
        <v>4.6500000000000004</v>
      </c>
      <c r="J100" s="596">
        <v>1.05</v>
      </c>
      <c r="K100" s="703">
        <f t="shared" si="47"/>
        <v>4.601</v>
      </c>
      <c r="L100" s="1192">
        <v>0.45100000000000001</v>
      </c>
      <c r="M100" s="994">
        <f>ROUND(+IF(L100&gt;_xlfn.XLOOKUP(AN100,RUC!M:M,RUC!K:K),L100*_xlfn.XLOOKUP(AN100,RUC!M:M,RUC!I:I),L100-_xlfn.XLOOKUP(AN100,RUC!M:M,RUC!J:J)),3)</f>
        <v>0.44400000000000001</v>
      </c>
      <c r="N100" s="1196">
        <f t="shared" si="46"/>
        <v>0.44400000000000001</v>
      </c>
      <c r="O100" s="645">
        <f t="shared" si="48"/>
        <v>0.44400000000000001</v>
      </c>
      <c r="P100" s="727">
        <v>90</v>
      </c>
      <c r="Q100" s="875">
        <v>97.34</v>
      </c>
      <c r="R100" s="706">
        <v>4150.8999999999996</v>
      </c>
      <c r="S100" s="1164">
        <v>115</v>
      </c>
      <c r="U100" s="1146">
        <f>_xlfn.XLOOKUP(D100,RUC!$B$3:$B$123,RUC!$F$3:$F$123)</f>
        <v>80</v>
      </c>
      <c r="V100" s="715">
        <v>1.1023000000000001</v>
      </c>
      <c r="Y100">
        <f>_xlfn.XLOOKUP(D100,RUC!$B$3:$B$123,RUC!$G$3:$G$123)</f>
        <v>0</v>
      </c>
      <c r="Z100" s="143">
        <f>_xlfn.XLOOKUP(D100,RUC!$B$3:$B$123,RUC!$H$3:$H$123)</f>
        <v>10</v>
      </c>
      <c r="AA100" s="144">
        <f t="shared" si="49"/>
        <v>10</v>
      </c>
      <c r="AB100" s="145">
        <f t="shared" si="50"/>
        <v>1655.358786772</v>
      </c>
      <c r="AC100" s="145">
        <f>+(S100-T100)*V100-'data 1'!$F$4</f>
        <v>46.764500000000012</v>
      </c>
      <c r="AD100" s="145">
        <f t="shared" si="51"/>
        <v>148.54664361743806</v>
      </c>
      <c r="AE100" s="145">
        <f t="shared" si="52"/>
        <v>-58.977000000000004</v>
      </c>
      <c r="AF100" s="145">
        <f t="shared" si="53"/>
        <v>30.575926348366028</v>
      </c>
      <c r="AG100" s="772">
        <f t="shared" si="59"/>
        <v>183.9100699658041</v>
      </c>
      <c r="AH100" s="1253">
        <f t="shared" si="54"/>
        <v>69.251999999999995</v>
      </c>
      <c r="AI100" s="1253">
        <f t="shared" si="55"/>
        <v>71.144000000000005</v>
      </c>
      <c r="AJ100" s="156">
        <f t="shared" si="56"/>
        <v>110.86457089556221</v>
      </c>
      <c r="AK100" s="156">
        <f t="shared" si="57"/>
        <v>63.035729339052786</v>
      </c>
      <c r="AM100" s="716">
        <f t="shared" si="58"/>
        <v>7616.3057779379724</v>
      </c>
      <c r="AN100" s="716" t="str">
        <f>_xlfn.XLOOKUP(D100,RUC!$B$3:$B$578,RUC!$M$3:$M$578)</f>
        <v>Melchor Vera</v>
      </c>
      <c r="AO100" s="1167" t="s">
        <v>2278</v>
      </c>
      <c r="AP100" s="1082" t="s">
        <v>6100</v>
      </c>
      <c r="AQ100" s="1082" t="s">
        <v>5990</v>
      </c>
    </row>
    <row r="101" spans="1:43" ht="15" customHeight="1">
      <c r="A101" s="1819" t="s">
        <v>6112</v>
      </c>
      <c r="B101" s="1447">
        <v>46197</v>
      </c>
      <c r="C101" s="1447">
        <v>46193</v>
      </c>
      <c r="D101" s="1943" t="s">
        <v>1671</v>
      </c>
      <c r="E101" s="762">
        <f>_xlfn.XLOOKUP(D101,RUC!$B$3:$B$123,RUC!$D$3:$D$123)</f>
        <v>20517242919</v>
      </c>
      <c r="G101" s="762">
        <v>89</v>
      </c>
      <c r="H101" s="1082" t="s">
        <v>69</v>
      </c>
      <c r="I101" s="703">
        <v>7.52</v>
      </c>
      <c r="J101" s="596">
        <v>1.3</v>
      </c>
      <c r="K101" s="703">
        <f t="shared" si="47"/>
        <v>7.4219999999999997</v>
      </c>
      <c r="L101" s="1192">
        <v>0.16500000000000001</v>
      </c>
      <c r="M101" s="994">
        <f>ROUND(+IF(L101&gt;_xlfn.XLOOKUP(AN101,RUC!M:M,RUC!K:K),L101*_xlfn.XLOOKUP(AN101,RUC!M:M,RUC!I:I),L101-_xlfn.XLOOKUP(AN101,RUC!M:M,RUC!J:J)),3)</f>
        <v>0.158</v>
      </c>
      <c r="N101" s="1196">
        <f t="shared" si="46"/>
        <v>0.158</v>
      </c>
      <c r="O101" s="645">
        <f t="shared" si="48"/>
        <v>0.158</v>
      </c>
      <c r="P101" s="727">
        <v>85</v>
      </c>
      <c r="Q101" s="875">
        <v>98.18</v>
      </c>
      <c r="R101" s="706">
        <v>4150.8999999999996</v>
      </c>
      <c r="S101" s="1164">
        <v>95</v>
      </c>
      <c r="U101" s="1146">
        <f>_xlfn.XLOOKUP(D101,RUC!$B$3:$B$123,RUC!$F$3:$F$123)</f>
        <v>80</v>
      </c>
      <c r="V101" s="715">
        <v>1.1023000000000001</v>
      </c>
      <c r="Y101">
        <f>_xlfn.XLOOKUP(D101,RUC!$B$3:$B$123,RUC!$G$3:$G$123)</f>
        <v>0</v>
      </c>
      <c r="Z101" s="143">
        <f>_xlfn.XLOOKUP(D101,RUC!$B$3:$B$123,RUC!$H$3:$H$123)</f>
        <v>10</v>
      </c>
      <c r="AA101" s="144">
        <f t="shared" si="49"/>
        <v>10</v>
      </c>
      <c r="AB101" s="145">
        <f t="shared" si="50"/>
        <v>486.91001730099987</v>
      </c>
      <c r="AC101" s="145">
        <f>+(S101-T101)*V101-'data 1'!$F$4</f>
        <v>24.718500000000006</v>
      </c>
      <c r="AD101" s="145">
        <f t="shared" si="51"/>
        <v>97.586467213290049</v>
      </c>
      <c r="AE101" s="145">
        <f t="shared" si="52"/>
        <v>-58.977000000000004</v>
      </c>
      <c r="AF101" s="145">
        <f t="shared" si="53"/>
        <v>30.83978270888203</v>
      </c>
      <c r="AG101" s="772">
        <f t="shared" si="59"/>
        <v>111.16774992217208</v>
      </c>
      <c r="AH101" s="1253">
        <f t="shared" si="54"/>
        <v>41.222999999999999</v>
      </c>
      <c r="AI101" s="1253">
        <f t="shared" si="55"/>
        <v>41.987000000000002</v>
      </c>
      <c r="AJ101" s="156">
        <f t="shared" si="56"/>
        <v>40.910225049210077</v>
      </c>
      <c r="AK101" s="156">
        <f t="shared" si="57"/>
        <v>34.174803959383532</v>
      </c>
      <c r="AM101" s="716">
        <f t="shared" si="58"/>
        <v>3613.8461484080208</v>
      </c>
      <c r="AN101" s="716" t="str">
        <f>_xlfn.XLOOKUP(D101,RUC!$B$3:$B$578,RUC!$M$3:$M$578)</f>
        <v>Melchor Vera</v>
      </c>
      <c r="AO101" s="1167" t="s">
        <v>2278</v>
      </c>
      <c r="AP101" s="1082" t="s">
        <v>6100</v>
      </c>
      <c r="AQ101" s="1082" t="s">
        <v>5990</v>
      </c>
    </row>
    <row r="102" spans="1:43" ht="15" customHeight="1">
      <c r="A102" s="1819" t="s">
        <v>6113</v>
      </c>
      <c r="B102" s="1447">
        <v>46197</v>
      </c>
      <c r="C102" s="1447">
        <v>46193</v>
      </c>
      <c r="D102" s="1943" t="s">
        <v>1671</v>
      </c>
      <c r="E102" s="762">
        <f>_xlfn.XLOOKUP(D102,RUC!$B$3:$B$123,RUC!$D$3:$D$123)</f>
        <v>20517242919</v>
      </c>
      <c r="G102" s="762">
        <v>22</v>
      </c>
      <c r="H102" s="1082" t="s">
        <v>69</v>
      </c>
      <c r="I102" s="703">
        <v>1.76</v>
      </c>
      <c r="J102" s="596">
        <v>1.45</v>
      </c>
      <c r="K102" s="703">
        <f t="shared" si="47"/>
        <v>1.734</v>
      </c>
      <c r="L102" s="1192">
        <v>0.69899999999999995</v>
      </c>
      <c r="M102" s="994">
        <f>ROUND(+IF(L102&gt;_xlfn.XLOOKUP(AN102,RUC!M:M,RUC!K:K),L102*_xlfn.XLOOKUP(AN102,RUC!M:M,RUC!I:I),L102-_xlfn.XLOOKUP(AN102,RUC!M:M,RUC!J:J)),3)</f>
        <v>0.68899999999999995</v>
      </c>
      <c r="N102" s="1196">
        <f t="shared" si="46"/>
        <v>0.68899999999999995</v>
      </c>
      <c r="O102" s="645">
        <f t="shared" si="48"/>
        <v>0.68899999999999995</v>
      </c>
      <c r="P102" s="727">
        <v>90</v>
      </c>
      <c r="Q102" s="875">
        <v>98.28</v>
      </c>
      <c r="R102" s="706">
        <v>4150.8999999999996</v>
      </c>
      <c r="S102" s="1164">
        <v>125</v>
      </c>
      <c r="U102" s="1146">
        <f>_xlfn.XLOOKUP(D102,RUC!$B$3:$B$123,RUC!$F$3:$F$123)</f>
        <v>80</v>
      </c>
      <c r="V102" s="715">
        <v>1.1023000000000001</v>
      </c>
      <c r="Y102">
        <f>_xlfn.XLOOKUP(D102,RUC!$B$3:$B$123,RUC!$G$3:$G$123)</f>
        <v>0</v>
      </c>
      <c r="Z102" s="143">
        <f>_xlfn.XLOOKUP(D102,RUC!$B$3:$B$123,RUC!$H$3:$H$123)</f>
        <v>10</v>
      </c>
      <c r="AA102" s="144">
        <f t="shared" si="49"/>
        <v>10</v>
      </c>
      <c r="AB102" s="145">
        <f t="shared" si="50"/>
        <v>2633.7971387069997</v>
      </c>
      <c r="AC102" s="145">
        <f>+(S102-T102)*V102-'data 1'!$F$4</f>
        <v>57.787499999999994</v>
      </c>
      <c r="AD102" s="145">
        <f t="shared" si="51"/>
        <v>259.71543110300399</v>
      </c>
      <c r="AE102" s="145">
        <f t="shared" si="52"/>
        <v>-58.977000000000004</v>
      </c>
      <c r="AF102" s="145">
        <f t="shared" si="53"/>
        <v>44.101705971960037</v>
      </c>
      <c r="AG102" s="772">
        <f t="shared" si="59"/>
        <v>319.62763707496407</v>
      </c>
      <c r="AH102" s="1253">
        <f t="shared" si="54"/>
        <v>40.841000000000001</v>
      </c>
      <c r="AI102" s="1253">
        <f t="shared" si="55"/>
        <v>41.555999999999997</v>
      </c>
      <c r="AJ102" s="156">
        <f t="shared" si="56"/>
        <v>173.48711306799626</v>
      </c>
      <c r="AK102" s="156">
        <f t="shared" si="57"/>
        <v>36.865480071081862</v>
      </c>
      <c r="AM102" s="716">
        <f t="shared" si="58"/>
        <v>4567.0042385179377</v>
      </c>
      <c r="AN102" s="716" t="str">
        <f>_xlfn.XLOOKUP(D102,RUC!$B$3:$B$578,RUC!$M$3:$M$578)</f>
        <v>Melchor Vera</v>
      </c>
      <c r="AO102" s="1167" t="s">
        <v>2278</v>
      </c>
      <c r="AP102" s="1082" t="s">
        <v>6100</v>
      </c>
      <c r="AQ102" s="1082" t="s">
        <v>5990</v>
      </c>
    </row>
    <row r="103" spans="1:43" ht="15" customHeight="1">
      <c r="A103" s="1819" t="s">
        <v>6114</v>
      </c>
      <c r="B103" s="1447">
        <v>46197</v>
      </c>
      <c r="C103" s="1447">
        <v>46193</v>
      </c>
      <c r="D103" s="1943" t="s">
        <v>1671</v>
      </c>
      <c r="E103" s="762">
        <f>_xlfn.XLOOKUP(D103,RUC!$B$3:$B$123,RUC!$D$3:$D$123)</f>
        <v>20517242919</v>
      </c>
      <c r="G103" s="762">
        <v>63</v>
      </c>
      <c r="H103" s="1082" t="s">
        <v>69</v>
      </c>
      <c r="I103" s="703">
        <v>5.48</v>
      </c>
      <c r="J103" s="596">
        <v>0.8</v>
      </c>
      <c r="K103" s="703">
        <f t="shared" si="47"/>
        <v>5.4359999999999999</v>
      </c>
      <c r="L103" s="1192">
        <v>0.125</v>
      </c>
      <c r="M103" s="994">
        <f>ROUND(+IF(L103&gt;_xlfn.XLOOKUP(AN103,RUC!M:M,RUC!K:K),L103*_xlfn.XLOOKUP(AN103,RUC!M:M,RUC!I:I),L103-_xlfn.XLOOKUP(AN103,RUC!M:M,RUC!J:J)),3)</f>
        <v>0.11799999999999999</v>
      </c>
      <c r="N103" s="1196">
        <f t="shared" si="46"/>
        <v>0.11799999999999999</v>
      </c>
      <c r="O103" s="645">
        <f t="shared" si="48"/>
        <v>0.11799999999999999</v>
      </c>
      <c r="P103" s="727">
        <v>85</v>
      </c>
      <c r="Q103" s="875">
        <v>97.6</v>
      </c>
      <c r="R103" s="706">
        <v>4150.8999999999996</v>
      </c>
      <c r="S103" s="1164">
        <v>95</v>
      </c>
      <c r="U103" s="1146">
        <f>_xlfn.XLOOKUP(D103,RUC!$B$3:$B$123,RUC!$F$3:$F$123)</f>
        <v>80</v>
      </c>
      <c r="V103" s="715">
        <v>1.1023000000000001</v>
      </c>
      <c r="Y103">
        <f>_xlfn.XLOOKUP(D103,RUC!$B$3:$B$123,RUC!$G$3:$G$123)</f>
        <v>0</v>
      </c>
      <c r="Z103" s="143">
        <f>_xlfn.XLOOKUP(D103,RUC!$B$3:$B$123,RUC!$H$3:$H$123)</f>
        <v>10</v>
      </c>
      <c r="AA103" s="144">
        <f t="shared" si="49"/>
        <v>10</v>
      </c>
      <c r="AB103" s="145">
        <f t="shared" si="50"/>
        <v>334.34001292099992</v>
      </c>
      <c r="AC103" s="145">
        <f>+(S103-T103)*V103-'data 1'!$F$4</f>
        <v>24.718500000000006</v>
      </c>
      <c r="AD103" s="145">
        <f t="shared" si="51"/>
        <v>70.675810852499978</v>
      </c>
      <c r="AE103" s="145">
        <f t="shared" si="52"/>
        <v>-58.977000000000004</v>
      </c>
      <c r="AF103" s="145">
        <f t="shared" si="53"/>
        <v>30.657596174240027</v>
      </c>
      <c r="AG103" s="772">
        <f t="shared" si="59"/>
        <v>84.074907026739993</v>
      </c>
      <c r="AH103" s="1253">
        <f t="shared" si="54"/>
        <v>22.738</v>
      </c>
      <c r="AI103" s="1253">
        <f t="shared" si="55"/>
        <v>23.297000000000001</v>
      </c>
      <c r="AJ103" s="156">
        <f t="shared" si="56"/>
        <v>30.809505460000047</v>
      </c>
      <c r="AK103" s="156">
        <f t="shared" si="57"/>
        <v>18.693449554811941</v>
      </c>
      <c r="AM103" s="716">
        <f t="shared" si="58"/>
        <v>1817.4723102385556</v>
      </c>
      <c r="AN103" s="716" t="str">
        <f>_xlfn.XLOOKUP(D103,RUC!$B$3:$B$578,RUC!$M$3:$M$578)</f>
        <v>Melchor Vera</v>
      </c>
      <c r="AO103" s="1167" t="s">
        <v>2278</v>
      </c>
      <c r="AP103" s="1082" t="s">
        <v>6100</v>
      </c>
      <c r="AQ103" s="1082" t="s">
        <v>5990</v>
      </c>
    </row>
    <row r="104" spans="1:43" ht="15" customHeight="1">
      <c r="A104" s="1819" t="s">
        <v>6115</v>
      </c>
      <c r="B104" s="1447">
        <v>46197</v>
      </c>
      <c r="C104" s="1447">
        <v>46193</v>
      </c>
      <c r="D104" s="1943" t="s">
        <v>1671</v>
      </c>
      <c r="E104" s="762">
        <f>_xlfn.XLOOKUP(D104,RUC!$B$3:$B$123,RUC!$D$3:$D$123)</f>
        <v>20517242919</v>
      </c>
      <c r="G104" s="762">
        <v>64</v>
      </c>
      <c r="H104" s="1082" t="s">
        <v>69</v>
      </c>
      <c r="I104" s="703">
        <v>5.21</v>
      </c>
      <c r="J104" s="596">
        <v>2.1</v>
      </c>
      <c r="K104" s="703">
        <f t="shared" si="47"/>
        <v>5.101</v>
      </c>
      <c r="L104" s="1192">
        <v>0.124</v>
      </c>
      <c r="M104" s="994">
        <f>ROUND(+IF(L104&gt;_xlfn.XLOOKUP(AN104,RUC!M:M,RUC!K:K),L104*_xlfn.XLOOKUP(AN104,RUC!M:M,RUC!I:I),L104-_xlfn.XLOOKUP(AN104,RUC!M:M,RUC!J:J)),3)</f>
        <v>0.11700000000000001</v>
      </c>
      <c r="N104" s="1196">
        <f t="shared" si="46"/>
        <v>0.11700000000000001</v>
      </c>
      <c r="O104" s="645">
        <f t="shared" si="48"/>
        <v>0.11700000000000001</v>
      </c>
      <c r="P104" s="727">
        <v>85</v>
      </c>
      <c r="Q104" s="875">
        <v>95.16</v>
      </c>
      <c r="R104" s="706">
        <v>4150.8999999999996</v>
      </c>
      <c r="S104" s="1164">
        <v>95</v>
      </c>
      <c r="U104" s="1146">
        <f>_xlfn.XLOOKUP(D104,RUC!$B$3:$B$123,RUC!$F$3:$F$123)</f>
        <v>80</v>
      </c>
      <c r="V104" s="715">
        <v>1.1023000000000001</v>
      </c>
      <c r="Y104">
        <f>_xlfn.XLOOKUP(D104,RUC!$B$3:$B$123,RUC!$G$3:$G$123)</f>
        <v>0</v>
      </c>
      <c r="Z104" s="143">
        <f>_xlfn.XLOOKUP(D104,RUC!$B$3:$B$123,RUC!$H$3:$H$123)</f>
        <v>10</v>
      </c>
      <c r="AA104" s="144">
        <f t="shared" si="49"/>
        <v>10</v>
      </c>
      <c r="AB104" s="145">
        <f t="shared" si="50"/>
        <v>330.52576281149999</v>
      </c>
      <c r="AC104" s="145">
        <f>+(S104-T104)*V104-'data 1'!$F$4</f>
        <v>24.718500000000006</v>
      </c>
      <c r="AD104" s="145">
        <f t="shared" si="51"/>
        <v>56.533468917087987</v>
      </c>
      <c r="AE104" s="145">
        <f t="shared" si="52"/>
        <v>-58.977000000000004</v>
      </c>
      <c r="AF104" s="145">
        <f t="shared" si="53"/>
        <v>29.891156269883965</v>
      </c>
      <c r="AG104" s="772">
        <f t="shared" si="59"/>
        <v>69.166125186971954</v>
      </c>
      <c r="AH104" s="1253">
        <f t="shared" si="54"/>
        <v>20.637</v>
      </c>
      <c r="AI104" s="1253">
        <f t="shared" si="55"/>
        <v>21.686</v>
      </c>
      <c r="AJ104" s="156">
        <f t="shared" si="56"/>
        <v>29.798953680912049</v>
      </c>
      <c r="AK104" s="156">
        <f t="shared" si="57"/>
        <v>17.392787073861324</v>
      </c>
      <c r="AM104" s="716">
        <f t="shared" si="58"/>
        <v>1686.0119161014613</v>
      </c>
      <c r="AN104" s="716" t="str">
        <f>_xlfn.XLOOKUP(D104,RUC!$B$3:$B$578,RUC!$M$3:$M$578)</f>
        <v>Melchor Vera</v>
      </c>
      <c r="AO104" s="1167" t="s">
        <v>2278</v>
      </c>
      <c r="AP104" s="1082" t="s">
        <v>6100</v>
      </c>
      <c r="AQ104" s="1082" t="s">
        <v>5990</v>
      </c>
    </row>
    <row r="105" spans="1:43" ht="15" customHeight="1">
      <c r="A105" s="1819" t="s">
        <v>6116</v>
      </c>
      <c r="B105" s="1447">
        <v>46199</v>
      </c>
      <c r="C105" s="1447">
        <v>46194</v>
      </c>
      <c r="D105" s="1943" t="s">
        <v>1967</v>
      </c>
      <c r="E105" s="762">
        <f>_xlfn.XLOOKUP(D105,RUC!$B$3:$B$123,RUC!$D$3:$D$123)</f>
        <v>20601769396</v>
      </c>
      <c r="F105" s="629" t="s">
        <v>6150</v>
      </c>
      <c r="G105" s="762">
        <v>451</v>
      </c>
      <c r="H105" s="1082" t="s">
        <v>108</v>
      </c>
      <c r="I105" s="703">
        <v>13.88</v>
      </c>
      <c r="J105" s="596">
        <v>17.95</v>
      </c>
      <c r="K105" s="703">
        <f t="shared" si="47"/>
        <v>11.388999999999999</v>
      </c>
      <c r="L105" s="1192">
        <v>0.23699999999999999</v>
      </c>
      <c r="M105" s="994">
        <f>ROUND(+IF(L105&gt;_xlfn.XLOOKUP(AN105,RUC!M:M,RUC!K:K),L105*_xlfn.XLOOKUP(AN105,RUC!M:M,RUC!I:I),L105-_xlfn.XLOOKUP(AN105,RUC!M:M,RUC!J:J)),3)</f>
        <v>0.218</v>
      </c>
      <c r="N105" s="1196">
        <f t="shared" si="46"/>
        <v>0.218</v>
      </c>
      <c r="O105" s="645">
        <f t="shared" si="48"/>
        <v>0.218</v>
      </c>
      <c r="P105" s="727">
        <v>90</v>
      </c>
      <c r="Q105" s="875">
        <v>91.98</v>
      </c>
      <c r="R105" s="706">
        <v>4196.95</v>
      </c>
      <c r="S105" s="765">
        <f>IF((_xlfn.XLOOKUP(D105,RUC!$B$3:$B$119,RUC!$E$3:$E$119)+ROUNDDOWN(O105,1)*100)&lt;95,95,((_xlfn.XLOOKUP(D105,RUC!$B$3:$B$119,RUC!$E$3:$E$119)+ROUNDDOWN(O105,1)*100)))</f>
        <v>110</v>
      </c>
      <c r="U105" s="1146">
        <f>_xlfn.XLOOKUP(D105,RUC!$B$3:$B$123,RUC!$F$3:$F$123)</f>
        <v>120</v>
      </c>
      <c r="V105" s="715">
        <v>1.1023000000000001</v>
      </c>
      <c r="Y105" s="1445">
        <v>30</v>
      </c>
      <c r="Z105" s="709">
        <v>70</v>
      </c>
      <c r="AA105" s="144">
        <f t="shared" si="49"/>
        <v>100</v>
      </c>
      <c r="AB105" s="145">
        <f t="shared" si="50"/>
        <v>650.24411345700003</v>
      </c>
      <c r="AC105" s="145">
        <f>+(S105-T105)*V105-'data 1'!$F$4</f>
        <v>41.253</v>
      </c>
      <c r="AD105" s="145">
        <f t="shared" si="51"/>
        <v>21.088647566811041</v>
      </c>
      <c r="AE105" s="145">
        <f t="shared" si="52"/>
        <v>40.230000000000004</v>
      </c>
      <c r="AF105" s="145">
        <f t="shared" si="53"/>
        <v>78.538427014256953</v>
      </c>
      <c r="AG105" s="772">
        <f t="shared" si="59"/>
        <v>198.11007458106798</v>
      </c>
      <c r="AH105" s="1253">
        <f t="shared" si="54"/>
        <v>85.120999999999995</v>
      </c>
      <c r="AI105" s="1253">
        <f t="shared" si="55"/>
        <v>92.543000000000006</v>
      </c>
      <c r="AJ105" s="156">
        <f t="shared" si="56"/>
        <v>53.597407846689038</v>
      </c>
      <c r="AK105" s="156">
        <f t="shared" si="57"/>
        <v>76.611447019184482</v>
      </c>
      <c r="AM105" s="716">
        <f t="shared" si="58"/>
        <v>7405.6302081617732</v>
      </c>
      <c r="AN105" s="716" t="str">
        <f>_xlfn.XLOOKUP(D105,RUC!$B$3:$B$578,RUC!$M$3:$M$578)</f>
        <v>Evelyn</v>
      </c>
      <c r="AO105" s="1167" t="s">
        <v>2278</v>
      </c>
      <c r="AP105" s="1082" t="s">
        <v>6101</v>
      </c>
      <c r="AQ105" s="1082" t="s">
        <v>6020</v>
      </c>
    </row>
    <row r="106" spans="1:43" ht="15" customHeight="1">
      <c r="A106" s="1819" t="s">
        <v>6117</v>
      </c>
      <c r="B106" s="1447">
        <v>46201</v>
      </c>
      <c r="C106" s="1447">
        <v>46194</v>
      </c>
      <c r="D106" s="1943" t="s">
        <v>93</v>
      </c>
      <c r="E106" s="762">
        <f>_xlfn.XLOOKUP(D106,RUC!$B$3:$B$123,RUC!$D$3:$D$123)</f>
        <v>20169040231</v>
      </c>
      <c r="F106" s="629" t="s">
        <v>5533</v>
      </c>
      <c r="G106" s="762">
        <v>50</v>
      </c>
      <c r="H106" s="1082" t="s">
        <v>69</v>
      </c>
      <c r="I106" s="703">
        <v>4.99</v>
      </c>
      <c r="J106" s="596">
        <v>2.1</v>
      </c>
      <c r="K106" s="703">
        <f t="shared" si="47"/>
        <v>4.8849999999999998</v>
      </c>
      <c r="L106" s="1192">
        <v>0.22900000000000001</v>
      </c>
      <c r="M106" s="994">
        <f>ROUND(+IF(L106&gt;_xlfn.XLOOKUP(AN106,RUC!M:M,RUC!K:K),L106*_xlfn.XLOOKUP(AN106,RUC!M:M,RUC!I:I),L106-_xlfn.XLOOKUP(AN106,RUC!M:M,RUC!J:J)),3)</f>
        <v>0.21</v>
      </c>
      <c r="N106" s="1444">
        <v>0.28499999999999998</v>
      </c>
      <c r="O106" s="645">
        <f t="shared" si="48"/>
        <v>0.247</v>
      </c>
      <c r="P106" s="727">
        <v>90</v>
      </c>
      <c r="Q106" s="875">
        <v>94.32</v>
      </c>
      <c r="R106" s="706">
        <v>4196.95</v>
      </c>
      <c r="S106" s="765">
        <f>IF((_xlfn.XLOOKUP(D106,RUC!$B$3:$B$119,RUC!$E$3:$E$119)+ROUNDDOWN(O106,1)*100)&lt;95,95,((_xlfn.XLOOKUP(D106,RUC!$B$3:$B$119,RUC!$E$3:$E$119)+ROUNDDOWN(O106,1)*100)))</f>
        <v>105</v>
      </c>
      <c r="U106" s="1146">
        <f>_xlfn.XLOOKUP(D106,RUC!$B$3:$B$123,RUC!$F$3:$F$123)</f>
        <v>120</v>
      </c>
      <c r="V106" s="715">
        <v>1.1023000000000001</v>
      </c>
      <c r="Y106" s="1445">
        <v>30</v>
      </c>
      <c r="Z106" s="1454">
        <v>35</v>
      </c>
      <c r="AA106" s="144">
        <f t="shared" si="49"/>
        <v>65</v>
      </c>
      <c r="AB106" s="145">
        <f t="shared" si="50"/>
        <v>811.63008726550004</v>
      </c>
      <c r="AC106" s="145">
        <f>+(S106-T106)*V106-'data 1'!$F$4</f>
        <v>35.741500000000002</v>
      </c>
      <c r="AD106" s="145">
        <f t="shared" si="51"/>
        <v>44.458460693207925</v>
      </c>
      <c r="AE106" s="145">
        <f t="shared" si="52"/>
        <v>1.6495000000000033</v>
      </c>
      <c r="AF106" s="145">
        <f t="shared" si="53"/>
        <v>-76.297707652535948</v>
      </c>
      <c r="AG106" s="772">
        <f t="shared" si="59"/>
        <v>22.551753040671983</v>
      </c>
      <c r="AH106" s="1253">
        <f t="shared" si="54"/>
        <v>36.174999999999997</v>
      </c>
      <c r="AI106" s="1253">
        <f t="shared" si="55"/>
        <v>38.353999999999999</v>
      </c>
      <c r="AJ106" s="156">
        <f t="shared" si="56"/>
        <v>53.105720990292049</v>
      </c>
      <c r="AK106" s="156">
        <f t="shared" si="57"/>
        <v>37.231720014770779</v>
      </c>
      <c r="AM106" s="716">
        <f t="shared" si="58"/>
        <v>3964.8129762919675</v>
      </c>
      <c r="AN106" s="716" t="str">
        <f>_xlfn.XLOOKUP(D106,RUC!$B$3:$B$578,RUC!$M$3:$M$578)</f>
        <v>Ronald Miranda</v>
      </c>
      <c r="AO106" s="1167" t="s">
        <v>2276</v>
      </c>
      <c r="AP106" s="1082" t="s">
        <v>6102</v>
      </c>
      <c r="AQ106" s="1082" t="s">
        <v>6103</v>
      </c>
    </row>
    <row r="107" spans="1:43" ht="15" customHeight="1">
      <c r="A107" s="1819" t="s">
        <v>6118</v>
      </c>
      <c r="B107" s="1447">
        <v>46201</v>
      </c>
      <c r="C107" s="1447">
        <v>46194</v>
      </c>
      <c r="D107" s="1943" t="s">
        <v>93</v>
      </c>
      <c r="E107" s="762">
        <f>_xlfn.XLOOKUP(D107,RUC!$B$3:$B$123,RUC!$D$3:$D$123)</f>
        <v>20169040231</v>
      </c>
      <c r="F107" s="629" t="s">
        <v>5533</v>
      </c>
      <c r="G107" s="762">
        <v>50</v>
      </c>
      <c r="H107" s="1082" t="s">
        <v>69</v>
      </c>
      <c r="I107" s="703">
        <v>5.01</v>
      </c>
      <c r="J107" s="596">
        <v>2</v>
      </c>
      <c r="K107" s="703">
        <f t="shared" ref="K107:K159" si="60">ROUND(+I107-(I107*(J107/100)),3)</f>
        <v>4.91</v>
      </c>
      <c r="L107" s="1192">
        <v>0.23899999999999999</v>
      </c>
      <c r="M107" s="994">
        <f>ROUND(+IF(L107&gt;_xlfn.XLOOKUP(AN107,RUC!M:M,RUC!K:K),L107*_xlfn.XLOOKUP(AN107,RUC!M:M,RUC!I:I),L107-_xlfn.XLOOKUP(AN107,RUC!M:M,RUC!J:J)),3)</f>
        <v>0.22</v>
      </c>
      <c r="N107" s="1444">
        <v>0.29799999999999999</v>
      </c>
      <c r="O107" s="645">
        <f t="shared" ref="O107:O113" si="61">+ROUNDDOWN((M107+N107)/2,3)</f>
        <v>0.25900000000000001</v>
      </c>
      <c r="P107" s="727">
        <v>90</v>
      </c>
      <c r="Q107" s="875">
        <v>94.98</v>
      </c>
      <c r="R107" s="706">
        <v>4196.95</v>
      </c>
      <c r="S107" s="765">
        <f>IF((_xlfn.XLOOKUP(D107,RUC!$B$3:$B$119,RUC!$E$3:$E$119)+ROUNDDOWN(O107,1)*100)&lt;95,95,((_xlfn.XLOOKUP(D107,RUC!$B$3:$B$119,RUC!$E$3:$E$119)+ROUNDDOWN(O107,1)*100)))</f>
        <v>105</v>
      </c>
      <c r="U107" s="1146">
        <f>_xlfn.XLOOKUP(D107,RUC!$B$3:$B$123,RUC!$F$3:$F$123)</f>
        <v>120</v>
      </c>
      <c r="V107" s="715">
        <v>1.1023000000000001</v>
      </c>
      <c r="Y107" s="1445">
        <v>30</v>
      </c>
      <c r="Z107" s="1454">
        <v>35</v>
      </c>
      <c r="AA107" s="144">
        <f t="shared" ref="AA107:AA110" si="62">+Y107+Z107</f>
        <v>65</v>
      </c>
      <c r="AB107" s="145">
        <f t="shared" ref="AB107:AB110" si="63">+((O107*P107*(R107-U107)/100)-S107-AA107+T107)*V107</f>
        <v>860.16552470350018</v>
      </c>
      <c r="AC107" s="145">
        <f>+(S107-T107)*V107-'data 1'!$F$4</f>
        <v>35.741500000000002</v>
      </c>
      <c r="AD107" s="145">
        <f t="shared" si="51"/>
        <v>53.488748469867033</v>
      </c>
      <c r="AE107" s="145">
        <f t="shared" si="52"/>
        <v>1.6495000000000033</v>
      </c>
      <c r="AF107" s="145">
        <f t="shared" si="53"/>
        <v>-85.368441627060079</v>
      </c>
      <c r="AG107" s="772">
        <f t="shared" si="59"/>
        <v>22.51130684280696</v>
      </c>
      <c r="AH107" s="1253">
        <f t="shared" si="54"/>
        <v>38.213999999999999</v>
      </c>
      <c r="AI107" s="1253">
        <f t="shared" si="55"/>
        <v>40.234000000000002</v>
      </c>
      <c r="AJ107" s="156">
        <f t="shared" si="56"/>
        <v>55.812580314633038</v>
      </c>
      <c r="AK107" s="156">
        <f t="shared" si="57"/>
        <v>39.240346616374055</v>
      </c>
      <c r="AM107" s="716">
        <f t="shared" si="58"/>
        <v>4223.4127262941856</v>
      </c>
      <c r="AN107" s="716" t="str">
        <f>_xlfn.XLOOKUP(D107,RUC!$B$3:$B$578,RUC!$M$3:$M$578)</f>
        <v>Ronald Miranda</v>
      </c>
      <c r="AO107" s="1167" t="s">
        <v>2276</v>
      </c>
      <c r="AP107" s="1082" t="s">
        <v>6102</v>
      </c>
      <c r="AQ107" s="1082" t="s">
        <v>6103</v>
      </c>
    </row>
    <row r="108" spans="1:43" ht="15" customHeight="1">
      <c r="A108" s="1819" t="s">
        <v>6119</v>
      </c>
      <c r="B108" s="1447">
        <v>46201</v>
      </c>
      <c r="C108" s="1447">
        <v>46194</v>
      </c>
      <c r="D108" s="1943" t="s">
        <v>93</v>
      </c>
      <c r="E108" s="762">
        <f>_xlfn.XLOOKUP(D108,RUC!$B$3:$B$123,RUC!$D$3:$D$123)</f>
        <v>20169040231</v>
      </c>
      <c r="F108" s="629" t="s">
        <v>5533</v>
      </c>
      <c r="G108" s="762">
        <v>60</v>
      </c>
      <c r="H108" s="1082" t="s">
        <v>69</v>
      </c>
      <c r="I108" s="703">
        <v>6.07</v>
      </c>
      <c r="J108" s="596">
        <v>2.1</v>
      </c>
      <c r="K108" s="703">
        <f t="shared" si="60"/>
        <v>5.9429999999999996</v>
      </c>
      <c r="L108" s="1192">
        <v>0.25800000000000001</v>
      </c>
      <c r="M108" s="994">
        <f>ROUND(+IF(L108&gt;_xlfn.XLOOKUP(AN108,RUC!M:M,RUC!K:K),L108*_xlfn.XLOOKUP(AN108,RUC!M:M,RUC!I:I),L108-_xlfn.XLOOKUP(AN108,RUC!M:M,RUC!J:J)),3)</f>
        <v>0.23899999999999999</v>
      </c>
      <c r="N108" s="1444">
        <v>0.24099999999999999</v>
      </c>
      <c r="O108" s="645">
        <f t="shared" si="61"/>
        <v>0.24</v>
      </c>
      <c r="P108" s="727">
        <v>90</v>
      </c>
      <c r="Q108" s="875">
        <v>94.19</v>
      </c>
      <c r="R108" s="706">
        <v>4196.95</v>
      </c>
      <c r="S108" s="765">
        <f>IF((_xlfn.XLOOKUP(D108,RUC!$B$3:$B$119,RUC!$E$3:$E$119)+ROUNDDOWN(O108,1)*100)&lt;95,95,((_xlfn.XLOOKUP(D108,RUC!$B$3:$B$119,RUC!$E$3:$E$119)+ROUNDDOWN(O108,1)*100)))</f>
        <v>105</v>
      </c>
      <c r="U108" s="1146">
        <f>_xlfn.XLOOKUP(D108,RUC!$B$3:$B$123,RUC!$F$3:$F$123)</f>
        <v>120</v>
      </c>
      <c r="V108" s="715">
        <v>1.1023000000000001</v>
      </c>
      <c r="Y108" s="1445">
        <v>30</v>
      </c>
      <c r="Z108" s="1454">
        <v>35</v>
      </c>
      <c r="AA108" s="144">
        <f t="shared" si="62"/>
        <v>65</v>
      </c>
      <c r="AB108" s="145">
        <f t="shared" si="63"/>
        <v>783.31774875999986</v>
      </c>
      <c r="AC108" s="145">
        <f>+(S108-T108)*V108-'data 1'!$F$4</f>
        <v>35.741500000000002</v>
      </c>
      <c r="AD108" s="145">
        <f t="shared" si="51"/>
        <v>48.581276462246969</v>
      </c>
      <c r="AE108" s="145">
        <f t="shared" si="52"/>
        <v>1.6495000000000033</v>
      </c>
      <c r="AF108" s="145">
        <f t="shared" si="53"/>
        <v>76.192547538087069</v>
      </c>
      <c r="AG108" s="772">
        <f t="shared" si="59"/>
        <v>179.16482400033402</v>
      </c>
      <c r="AH108" s="1253">
        <f t="shared" si="54"/>
        <v>49.515000000000001</v>
      </c>
      <c r="AI108" s="1253">
        <f t="shared" si="55"/>
        <v>52.57</v>
      </c>
      <c r="AJ108" s="156">
        <f t="shared" si="56"/>
        <v>59.748435498753054</v>
      </c>
      <c r="AK108" s="156">
        <f t="shared" si="57"/>
        <v>44.011741215128403</v>
      </c>
      <c r="AM108" s="716">
        <f t="shared" si="58"/>
        <v>4655.2573808806792</v>
      </c>
      <c r="AN108" s="716" t="str">
        <f>_xlfn.XLOOKUP(D108,RUC!$B$3:$B$578,RUC!$M$3:$M$578)</f>
        <v>Ronald Miranda</v>
      </c>
      <c r="AO108" s="1167" t="s">
        <v>2276</v>
      </c>
      <c r="AP108" s="1082" t="s">
        <v>6102</v>
      </c>
      <c r="AQ108" s="1082" t="s">
        <v>6103</v>
      </c>
    </row>
    <row r="109" spans="1:43" ht="15" customHeight="1">
      <c r="A109" s="1819" t="s">
        <v>6120</v>
      </c>
      <c r="B109" s="1447">
        <v>46201</v>
      </c>
      <c r="C109" s="1447">
        <v>46194</v>
      </c>
      <c r="D109" s="1943" t="s">
        <v>93</v>
      </c>
      <c r="E109" s="762">
        <f>_xlfn.XLOOKUP(D109,RUC!$B$3:$B$123,RUC!$D$3:$D$123)</f>
        <v>20169040231</v>
      </c>
      <c r="F109" s="629" t="s">
        <v>5533</v>
      </c>
      <c r="G109" s="762">
        <v>50</v>
      </c>
      <c r="H109" s="1082" t="s">
        <v>69</v>
      </c>
      <c r="I109" s="703">
        <v>5</v>
      </c>
      <c r="J109" s="596">
        <v>2.1</v>
      </c>
      <c r="K109" s="703">
        <f t="shared" si="60"/>
        <v>4.8949999999999996</v>
      </c>
      <c r="L109" s="1192">
        <v>0.28000000000000003</v>
      </c>
      <c r="M109" s="994">
        <f>ROUND(+IF(L109&gt;_xlfn.XLOOKUP(AN109,RUC!M:M,RUC!K:K),L109*_xlfn.XLOOKUP(AN109,RUC!M:M,RUC!I:I),L109-_xlfn.XLOOKUP(AN109,RUC!M:M,RUC!J:J)),3)</f>
        <v>0.26100000000000001</v>
      </c>
      <c r="N109" s="1196">
        <f t="shared" ref="N109" si="64">+M109</f>
        <v>0.26100000000000001</v>
      </c>
      <c r="O109" s="1147">
        <f t="shared" si="61"/>
        <v>0.26100000000000001</v>
      </c>
      <c r="P109" s="727">
        <v>90</v>
      </c>
      <c r="Q109" s="875">
        <v>95</v>
      </c>
      <c r="R109" s="706">
        <v>4196.95</v>
      </c>
      <c r="S109" s="765">
        <f>IF((_xlfn.XLOOKUP(D109,RUC!$B$3:$B$119,RUC!$E$3:$E$119)+ROUNDDOWN(O109,1)*100)&lt;95,95,((_xlfn.XLOOKUP(D109,RUC!$B$3:$B$119,RUC!$E$3:$E$119)+ROUNDDOWN(O109,1)*100)))</f>
        <v>105</v>
      </c>
      <c r="U109" s="1146">
        <f>_xlfn.XLOOKUP(D109,RUC!$B$3:$B$123,RUC!$F$3:$F$123)</f>
        <v>120</v>
      </c>
      <c r="V109" s="715">
        <v>1.1023000000000001</v>
      </c>
      <c r="Y109" s="1445">
        <v>30</v>
      </c>
      <c r="Z109" s="1454">
        <v>35</v>
      </c>
      <c r="AA109" s="144">
        <f t="shared" si="62"/>
        <v>65</v>
      </c>
      <c r="AB109" s="145">
        <f t="shared" si="63"/>
        <v>868.25476427650005</v>
      </c>
      <c r="AC109" s="145">
        <f>+(S109-T109)*V109-'data 1'!$F$4</f>
        <v>35.741500000000002</v>
      </c>
      <c r="AD109" s="145">
        <f t="shared" si="51"/>
        <v>62.916307790000012</v>
      </c>
      <c r="AE109" s="145">
        <f t="shared" si="52"/>
        <v>1.6495000000000033</v>
      </c>
      <c r="AF109" s="145">
        <f t="shared" si="53"/>
        <v>81.117096829250073</v>
      </c>
      <c r="AG109" s="772">
        <f t="shared" si="59"/>
        <v>198.42440461925008</v>
      </c>
      <c r="AH109" s="1253">
        <f t="shared" si="54"/>
        <v>44.642000000000003</v>
      </c>
      <c r="AI109" s="1253">
        <f t="shared" si="55"/>
        <v>46.991999999999997</v>
      </c>
      <c r="AJ109" s="156">
        <f t="shared" si="56"/>
        <v>65.400891990000062</v>
      </c>
      <c r="AK109" s="156">
        <f t="shared" si="57"/>
        <v>39.422556311165771</v>
      </c>
      <c r="AM109" s="716">
        <f t="shared" si="58"/>
        <v>4250.1070711334678</v>
      </c>
      <c r="AN109" s="716" t="str">
        <f>_xlfn.XLOOKUP(D109,RUC!$B$3:$B$578,RUC!$M$3:$M$578)</f>
        <v>Ronald Miranda</v>
      </c>
      <c r="AO109" s="1167" t="s">
        <v>2276</v>
      </c>
      <c r="AP109" s="1082" t="s">
        <v>6102</v>
      </c>
      <c r="AQ109" s="1082" t="s">
        <v>6103</v>
      </c>
    </row>
    <row r="110" spans="1:43" ht="15" customHeight="1">
      <c r="A110" s="1819" t="s">
        <v>6121</v>
      </c>
      <c r="B110" s="1447">
        <v>46201</v>
      </c>
      <c r="C110" s="1447">
        <v>46194</v>
      </c>
      <c r="D110" s="1943" t="s">
        <v>93</v>
      </c>
      <c r="E110" s="762">
        <f>_xlfn.XLOOKUP(D110,RUC!$B$3:$B$123,RUC!$D$3:$D$123)</f>
        <v>20169040231</v>
      </c>
      <c r="F110" s="629" t="s">
        <v>5533</v>
      </c>
      <c r="G110" s="762">
        <v>50</v>
      </c>
      <c r="H110" s="1082" t="s">
        <v>69</v>
      </c>
      <c r="I110" s="703">
        <v>5</v>
      </c>
      <c r="J110" s="596">
        <v>2.15</v>
      </c>
      <c r="K110" s="703">
        <f t="shared" si="60"/>
        <v>4.8929999999999998</v>
      </c>
      <c r="L110" s="1192">
        <v>0.252</v>
      </c>
      <c r="M110" s="994">
        <f>ROUND(+IF(L110&gt;_xlfn.XLOOKUP(AN110,RUC!M:M,RUC!K:K),L110*_xlfn.XLOOKUP(AN110,RUC!M:M,RUC!I:I),L110-_xlfn.XLOOKUP(AN110,RUC!M:M,RUC!J:J)),3)</f>
        <v>0.23300000000000001</v>
      </c>
      <c r="N110" s="1444">
        <v>0.307</v>
      </c>
      <c r="O110" s="645">
        <f t="shared" si="61"/>
        <v>0.27</v>
      </c>
      <c r="P110" s="727">
        <v>90</v>
      </c>
      <c r="Q110" s="875">
        <v>93.25</v>
      </c>
      <c r="R110" s="706">
        <v>4196.95</v>
      </c>
      <c r="S110" s="765">
        <f>IF((_xlfn.XLOOKUP(D110,RUC!$B$3:$B$119,RUC!$E$3:$E$119)+ROUNDDOWN(O110,1)*100)&lt;95,95,((_xlfn.XLOOKUP(D110,RUC!$B$3:$B$119,RUC!$E$3:$E$119)+ROUNDDOWN(O110,1)*100)))</f>
        <v>105</v>
      </c>
      <c r="U110" s="1146">
        <f>_xlfn.XLOOKUP(D110,RUC!$B$3:$B$123,RUC!$F$3:$F$123)</f>
        <v>120</v>
      </c>
      <c r="V110" s="715">
        <v>1.1023000000000001</v>
      </c>
      <c r="Y110" s="1445">
        <v>35</v>
      </c>
      <c r="Z110" s="1454">
        <v>35</v>
      </c>
      <c r="AA110" s="144">
        <f t="shared" si="62"/>
        <v>70</v>
      </c>
      <c r="AB110" s="145">
        <f t="shared" si="63"/>
        <v>899.14484235500004</v>
      </c>
      <c r="AC110" s="145">
        <f>+(S110-T110)*V110-'data 1'!$F$4</f>
        <v>35.741500000000002</v>
      </c>
      <c r="AD110" s="145">
        <f t="shared" si="51"/>
        <v>36.80604005715</v>
      </c>
      <c r="AE110" s="145">
        <f t="shared" si="52"/>
        <v>7.1610000000000014</v>
      </c>
      <c r="AF110" s="145">
        <f t="shared" si="53"/>
        <v>-75.432159018225079</v>
      </c>
      <c r="AG110" s="772">
        <f t="shared" si="59"/>
        <v>21.276381038924924</v>
      </c>
      <c r="AH110" s="1253">
        <f t="shared" si="54"/>
        <v>39.421999999999997</v>
      </c>
      <c r="AI110" s="1253">
        <f t="shared" si="55"/>
        <v>42.274999999999999</v>
      </c>
      <c r="AJ110" s="156">
        <f t="shared" si="56"/>
        <v>57.776524844850044</v>
      </c>
      <c r="AK110" s="156">
        <f t="shared" si="57"/>
        <v>40.765292106061949</v>
      </c>
      <c r="AM110" s="716">
        <f t="shared" si="58"/>
        <v>4399.5157136430153</v>
      </c>
      <c r="AN110" s="716" t="str">
        <f>_xlfn.XLOOKUP(D110,RUC!$B$3:$B$578,RUC!$M$3:$M$578)</f>
        <v>Ronald Miranda</v>
      </c>
      <c r="AO110" s="1167" t="s">
        <v>2276</v>
      </c>
      <c r="AP110" s="1082" t="s">
        <v>6102</v>
      </c>
      <c r="AQ110" s="1082" t="s">
        <v>6103</v>
      </c>
    </row>
    <row r="111" spans="1:43" ht="15" customHeight="1">
      <c r="A111" s="1819" t="s">
        <v>6127</v>
      </c>
      <c r="B111" s="1447">
        <v>46201</v>
      </c>
      <c r="C111" s="1447">
        <v>46195</v>
      </c>
      <c r="D111" s="1943" t="s">
        <v>1484</v>
      </c>
      <c r="E111" s="762">
        <f>_xlfn.XLOOKUP(D111,RUC!$B$3:$B$123,RUC!$D$3:$D$123)</f>
        <v>10761932735</v>
      </c>
      <c r="G111" s="762">
        <v>95</v>
      </c>
      <c r="H111" s="1082" t="s">
        <v>69</v>
      </c>
      <c r="I111" s="703">
        <v>8.94</v>
      </c>
      <c r="J111" s="596">
        <v>10.58</v>
      </c>
      <c r="K111" s="703">
        <f t="shared" si="60"/>
        <v>7.9939999999999998</v>
      </c>
      <c r="L111" s="1192">
        <v>0.248</v>
      </c>
      <c r="M111" s="994">
        <f>ROUND(+IF(L111&gt;_xlfn.XLOOKUP(AN111,RUC!M:M,RUC!K:K),L111*_xlfn.XLOOKUP(AN111,RUC!M:M,RUC!I:I),L111-_xlfn.XLOOKUP(AN111,RUC!M:M,RUC!J:J)),3)</f>
        <v>0.21299999999999999</v>
      </c>
      <c r="N111" s="1196">
        <f t="shared" ref="N111" si="65">+M111</f>
        <v>0.21299999999999999</v>
      </c>
      <c r="O111" s="645">
        <f t="shared" si="61"/>
        <v>0.21299999999999999</v>
      </c>
      <c r="P111" s="727">
        <v>90</v>
      </c>
      <c r="Q111" s="875">
        <v>94.76</v>
      </c>
      <c r="R111" s="706">
        <v>4196.95</v>
      </c>
      <c r="S111" s="765">
        <f>IF((_xlfn.XLOOKUP(D111,RUC!$B$3:$B$119,RUC!$E$3:$E$119)+ROUNDDOWN(O111,1)*100)&lt;95,95,((_xlfn.XLOOKUP(D111,RUC!$B$3:$B$119,RUC!$E$3:$E$119)+ROUNDDOWN(O111,1)*100)))</f>
        <v>110</v>
      </c>
      <c r="U111" s="1146">
        <f>_xlfn.XLOOKUP(D111,RUC!$B$3:$B$123,RUC!$F$3:$F$123)</f>
        <v>120</v>
      </c>
      <c r="V111" s="715">
        <v>1.1023000000000001</v>
      </c>
      <c r="Y111">
        <f>_xlfn.XLOOKUP(D111,RUC!$B$3:$B$123,RUC!$G$3:$G$123)</f>
        <v>20</v>
      </c>
      <c r="Z111" s="143">
        <f>_xlfn.XLOOKUP(D111,RUC!$B$3:$B$123,RUC!$H$3:$H$123)</f>
        <v>30</v>
      </c>
      <c r="AA111" s="144">
        <f t="shared" ref="AA111:AA125" si="66">+Y111+Z111</f>
        <v>50</v>
      </c>
      <c r="AB111" s="145">
        <f t="shared" ref="AB111:AB125" si="67">+((O111*P111*(R111-U111)/100)-S111-AA111+T111)*V111</f>
        <v>685.13601452449996</v>
      </c>
      <c r="AC111" s="145">
        <f>+(S111-T111)*V111-'data 1'!$F$4</f>
        <v>41.253</v>
      </c>
      <c r="AD111" s="145">
        <f t="shared" ref="AD111:AD125" si="68">+(Q111-P111)*(R111-U111)*L111*V111/100</f>
        <v>53.051030728528069</v>
      </c>
      <c r="AE111" s="145">
        <f t="shared" ref="AE111:AE125" si="69">+(Y111*V111-70)+V111*(Z111-IF(D111="UNTUCA",IF(+((W111-3)*2.5+(X111-3)*3.1)&gt;0,+((W111-3)*1.5+(X111-3)*3.1),0),IF(+((W111-3)*1.5+(X111-3)*3.1)&gt;0,+((W111-3)*1.5+(X111-3)*3.1),0)))</f>
        <v>-14.884999999999998</v>
      </c>
      <c r="AF111" s="145">
        <f t="shared" ref="AF111:AF125" si="70">(L111-O111)*(R111-U111)*Q111*V111/100</f>
        <v>149.04873315451002</v>
      </c>
      <c r="AG111" s="772">
        <f t="shared" ref="AG111:AG125" si="71">AC111+AD111+AE111+AF111+70-53</f>
        <v>245.46776388303806</v>
      </c>
      <c r="AH111" s="1253">
        <f t="shared" ref="AH111:AH120" si="72">ROUND((31.1035*L111*Q111*1.1023*K111/100),3)</f>
        <v>64.41</v>
      </c>
      <c r="AI111" s="1253">
        <f t="shared" ref="AI111:AI120" si="73">ROUND((31.1035*L111*1.1023*K111),3)</f>
        <v>67.971000000000004</v>
      </c>
      <c r="AJ111" s="156">
        <f t="shared" ref="AJ111:AJ120" si="74">+((+$AJ$2-R111+U111)*L111*Q111*V111)/100</f>
        <v>57.780163691472055</v>
      </c>
      <c r="AK111" s="156">
        <f t="shared" ref="AK111:AK120" si="75">31.1035*1.1023*K111*P111*O111/100</f>
        <v>52.540636060144891</v>
      </c>
      <c r="AM111" s="716">
        <f t="shared" ref="AM111:AM120" si="76">+IF(AB111*K111&gt;0,AB111*K111,0)</f>
        <v>5476.9773001088524</v>
      </c>
      <c r="AN111" s="716" t="str">
        <f>_xlfn.XLOOKUP(D111,RUC!$B$3:$B$578,RUC!$M$3:$M$578)</f>
        <v>Richard Sapacayo</v>
      </c>
      <c r="AO111" s="1167" t="s">
        <v>2276</v>
      </c>
      <c r="AP111" s="1082" t="s">
        <v>4357</v>
      </c>
      <c r="AQ111" s="1082" t="s">
        <v>2448</v>
      </c>
    </row>
    <row r="112" spans="1:43" ht="15" customHeight="1">
      <c r="A112" s="1819" t="s">
        <v>6128</v>
      </c>
      <c r="B112" s="1447">
        <v>46201</v>
      </c>
      <c r="C112" s="1447">
        <v>46195</v>
      </c>
      <c r="D112" s="1943" t="s">
        <v>1484</v>
      </c>
      <c r="E112" s="762">
        <f>_xlfn.XLOOKUP(D112,RUC!$B$3:$B$123,RUC!$D$3:$D$123)</f>
        <v>10761932735</v>
      </c>
      <c r="G112" s="762">
        <v>28</v>
      </c>
      <c r="H112" s="1082" t="s">
        <v>69</v>
      </c>
      <c r="I112" s="703">
        <v>2.29</v>
      </c>
      <c r="J112" s="596">
        <v>16.75</v>
      </c>
      <c r="K112" s="703">
        <f t="shared" si="60"/>
        <v>1.9059999999999999</v>
      </c>
      <c r="L112" s="1192">
        <v>4.1399999999999997</v>
      </c>
      <c r="M112" s="994">
        <f>ROUND(+IF(L112&gt;_xlfn.XLOOKUP(AN112,RUC!M:M,RUC!K:K),L112*_xlfn.XLOOKUP(AN112,RUC!M:M,RUC!I:I),L112-_xlfn.XLOOKUP(AN112,RUC!M:M,RUC!J:J)),3)</f>
        <v>3.8919999999999999</v>
      </c>
      <c r="N112" s="1444">
        <v>4.1849999999999996</v>
      </c>
      <c r="O112" s="645">
        <f t="shared" si="61"/>
        <v>4.0380000000000003</v>
      </c>
      <c r="P112" s="727">
        <v>90</v>
      </c>
      <c r="Q112" s="875">
        <v>98.5</v>
      </c>
      <c r="R112" s="706">
        <v>4196.95</v>
      </c>
      <c r="S112" s="765">
        <f>IF((_xlfn.XLOOKUP(D112,RUC!$B$3:$B$119,RUC!$E$3:$E$119)+ROUNDDOWN(O112,1)*100)&lt;95,95,((_xlfn.XLOOKUP(D112,RUC!$B$3:$B$119,RUC!$E$3:$E$119)+ROUNDDOWN(O112,1)*100)))</f>
        <v>490</v>
      </c>
      <c r="U112" s="1146">
        <f>_xlfn.XLOOKUP(D112,RUC!$B$3:$B$123,RUC!$F$3:$F$123)</f>
        <v>120</v>
      </c>
      <c r="V112" s="715">
        <v>1.1023000000000001</v>
      </c>
      <c r="Y112">
        <f>_xlfn.XLOOKUP(D112,RUC!$B$3:$B$123,RUC!$G$3:$G$123)</f>
        <v>20</v>
      </c>
      <c r="Z112" s="143">
        <f>_xlfn.XLOOKUP(D112,RUC!$B$3:$B$123,RUC!$H$3:$H$123)</f>
        <v>30</v>
      </c>
      <c r="AA112" s="144">
        <f t="shared" si="66"/>
        <v>50</v>
      </c>
      <c r="AB112" s="145">
        <f t="shared" si="67"/>
        <v>15736.932697887001</v>
      </c>
      <c r="AC112" s="145">
        <f>+(S112-T112)*V112-'data 1'!$F$4</f>
        <v>460.12700000000007</v>
      </c>
      <c r="AD112" s="145">
        <f t="shared" si="68"/>
        <v>1581.4463365214999</v>
      </c>
      <c r="AE112" s="145">
        <f t="shared" si="69"/>
        <v>-14.884999999999998</v>
      </c>
      <c r="AF112" s="145">
        <f t="shared" si="70"/>
        <v>451.51438883294742</v>
      </c>
      <c r="AG112" s="772">
        <f t="shared" si="71"/>
        <v>2495.2027253544475</v>
      </c>
      <c r="AH112" s="1253">
        <f t="shared" si="72"/>
        <v>266.48200000000003</v>
      </c>
      <c r="AI112" s="1253">
        <f t="shared" si="73"/>
        <v>270.541</v>
      </c>
      <c r="AJ112" s="156">
        <f t="shared" si="74"/>
        <v>1002.6251783685009</v>
      </c>
      <c r="AK112" s="156">
        <f t="shared" si="75"/>
        <v>237.48751852099684</v>
      </c>
      <c r="AM112" s="716">
        <f t="shared" si="76"/>
        <v>29994.593722172624</v>
      </c>
      <c r="AN112" s="716" t="str">
        <f>_xlfn.XLOOKUP(D112,RUC!$B$3:$B$578,RUC!$M$3:$M$578)</f>
        <v>Richard Sapacayo</v>
      </c>
      <c r="AO112" s="1167" t="s">
        <v>2276</v>
      </c>
      <c r="AP112" s="1082" t="s">
        <v>4357</v>
      </c>
      <c r="AQ112" s="1082" t="s">
        <v>2448</v>
      </c>
    </row>
    <row r="113" spans="1:43" ht="15" customHeight="1">
      <c r="A113" s="1819" t="s">
        <v>6129</v>
      </c>
      <c r="B113" s="1447">
        <v>46201</v>
      </c>
      <c r="C113" s="1447">
        <v>46196</v>
      </c>
      <c r="D113" s="1943" t="s">
        <v>1484</v>
      </c>
      <c r="E113" s="762">
        <f>_xlfn.XLOOKUP(D113,RUC!$B$3:$B$123,RUC!$D$3:$D$123)</f>
        <v>10761932735</v>
      </c>
      <c r="G113" s="762" t="s">
        <v>2985</v>
      </c>
      <c r="H113" s="1082" t="s">
        <v>69</v>
      </c>
      <c r="I113" s="703">
        <v>20.98</v>
      </c>
      <c r="J113" s="596">
        <v>18.55</v>
      </c>
      <c r="K113" s="703">
        <f t="shared" si="60"/>
        <v>17.088000000000001</v>
      </c>
      <c r="L113" s="1192">
        <v>0.214</v>
      </c>
      <c r="M113" s="994">
        <f>ROUND(+IF(L113&gt;_xlfn.XLOOKUP(AN113,RUC!M:M,RUC!K:K),L113*_xlfn.XLOOKUP(AN113,RUC!M:M,RUC!I:I),L113-_xlfn.XLOOKUP(AN113,RUC!M:M,RUC!J:J)),3)</f>
        <v>0.17899999999999999</v>
      </c>
      <c r="N113" s="1444">
        <v>0.218</v>
      </c>
      <c r="O113" s="645">
        <f t="shared" si="61"/>
        <v>0.19800000000000001</v>
      </c>
      <c r="P113" s="727">
        <v>90</v>
      </c>
      <c r="Q113" s="875">
        <v>93.93</v>
      </c>
      <c r="R113" s="706">
        <v>4135.5</v>
      </c>
      <c r="S113" s="765">
        <f>IF((_xlfn.XLOOKUP(D113,RUC!$B$3:$B$119,RUC!$E$3:$E$119)+ROUNDDOWN(O113,1)*100)&lt;95,95,((_xlfn.XLOOKUP(D113,RUC!$B$3:$B$119,RUC!$E$3:$E$119)+ROUNDDOWN(O113,1)*100)))</f>
        <v>100</v>
      </c>
      <c r="U113" s="1146">
        <f>_xlfn.XLOOKUP(D113,RUC!$B$3:$B$123,RUC!$F$3:$F$123)</f>
        <v>120</v>
      </c>
      <c r="V113" s="715">
        <v>1.1023000000000001</v>
      </c>
      <c r="Y113">
        <f>_xlfn.XLOOKUP(D113,RUC!$B$3:$B$123,RUC!$G$3:$G$123)</f>
        <v>20</v>
      </c>
      <c r="Z113" s="143">
        <f>_xlfn.XLOOKUP(D113,RUC!$B$3:$B$123,RUC!$H$3:$H$123)</f>
        <v>30</v>
      </c>
      <c r="AA113" s="144">
        <f t="shared" si="66"/>
        <v>50</v>
      </c>
      <c r="AB113" s="145">
        <f t="shared" si="67"/>
        <v>623.41910283000016</v>
      </c>
      <c r="AC113" s="145">
        <f>+(S113-T113)*V113-'data 1'!$F$4</f>
        <v>30.230000000000004</v>
      </c>
      <c r="AD113" s="145">
        <f t="shared" si="68"/>
        <v>37.225947573630066</v>
      </c>
      <c r="AE113" s="145">
        <f t="shared" si="69"/>
        <v>-14.884999999999998</v>
      </c>
      <c r="AF113" s="145">
        <f t="shared" si="70"/>
        <v>66.521761776719956</v>
      </c>
      <c r="AG113" s="772">
        <f t="shared" si="71"/>
        <v>136.09270935035002</v>
      </c>
      <c r="AH113" s="1253">
        <f t="shared" si="72"/>
        <v>117.76600000000001</v>
      </c>
      <c r="AI113" s="1253">
        <f t="shared" si="73"/>
        <v>125.376</v>
      </c>
      <c r="AJ113" s="156">
        <f t="shared" si="74"/>
        <v>63.037673114370008</v>
      </c>
      <c r="AK113" s="156">
        <f t="shared" si="75"/>
        <v>104.40180429991489</v>
      </c>
      <c r="AM113" s="716">
        <f t="shared" si="76"/>
        <v>10652.985629159044</v>
      </c>
      <c r="AN113" s="716" t="str">
        <f>_xlfn.XLOOKUP(D113,RUC!$B$3:$B$578,RUC!$M$3:$M$578)</f>
        <v>Richard Sapacayo</v>
      </c>
      <c r="AO113" s="1167" t="s">
        <v>2276</v>
      </c>
      <c r="AP113" s="1082" t="s">
        <v>4361</v>
      </c>
      <c r="AQ113" s="1082" t="s">
        <v>4700</v>
      </c>
    </row>
    <row r="114" spans="1:43" ht="15" customHeight="1">
      <c r="A114" s="1819" t="s">
        <v>6130</v>
      </c>
      <c r="B114" s="1447">
        <v>46201</v>
      </c>
      <c r="C114" s="1447">
        <v>46196</v>
      </c>
      <c r="D114" s="1943" t="s">
        <v>6140</v>
      </c>
      <c r="E114" s="762">
        <f>_xlfn.XLOOKUP(D114,RUC!$B$3:$B$123,RUC!$D$3:$D$123)</f>
        <v>20612554863</v>
      </c>
      <c r="G114" s="762" t="s">
        <v>2985</v>
      </c>
      <c r="H114" s="1082" t="s">
        <v>2005</v>
      </c>
      <c r="I114" s="703">
        <v>4.84</v>
      </c>
      <c r="J114" s="596">
        <v>2.1</v>
      </c>
      <c r="K114" s="703">
        <f t="shared" si="60"/>
        <v>4.7380000000000004</v>
      </c>
      <c r="L114" s="1192">
        <v>0.13900000000000001</v>
      </c>
      <c r="M114" s="994">
        <v>0.12</v>
      </c>
      <c r="N114" s="1196">
        <f t="shared" ref="N114:N120" si="77">+M114</f>
        <v>0.12</v>
      </c>
      <c r="O114" s="645">
        <f t="shared" ref="O114:O120" si="78">+ROUNDDOWN((M114+N114)/2,3)</f>
        <v>0.12</v>
      </c>
      <c r="P114" s="727">
        <v>80</v>
      </c>
      <c r="Q114" s="875">
        <v>86.33</v>
      </c>
      <c r="R114" s="706">
        <v>4135.5</v>
      </c>
      <c r="S114" s="765">
        <f>IF((_xlfn.XLOOKUP(D114,RUC!$B$3:$B$119,RUC!$E$3:$E$119)+ROUNDDOWN(O114,1)*100)&lt;95,95,((_xlfn.XLOOKUP(D114,RUC!$B$3:$B$119,RUC!$E$3:$E$119)+ROUNDDOWN(O114,1)*100)))</f>
        <v>95</v>
      </c>
      <c r="U114" s="1146">
        <f>_xlfn.XLOOKUP(D114,RUC!$B$3:$B$123,RUC!$F$3:$F$123)</f>
        <v>110</v>
      </c>
      <c r="V114" s="715">
        <v>1.1023000000000001</v>
      </c>
      <c r="Y114">
        <f>_xlfn.XLOOKUP(D114,RUC!$B$3:$B$123,RUC!$G$3:$G$123)</f>
        <v>0</v>
      </c>
      <c r="Z114" s="143">
        <f>_xlfn.XLOOKUP(D114,RUC!$B$3:$B$123,RUC!$H$3:$H$123)</f>
        <v>35</v>
      </c>
      <c r="AA114" s="144">
        <f t="shared" si="66"/>
        <v>35</v>
      </c>
      <c r="AB114" s="145">
        <f t="shared" si="67"/>
        <v>282.68263039999999</v>
      </c>
      <c r="AC114" s="145">
        <f>+(S114-T114)*V114-'data 1'!$F$4</f>
        <v>24.718500000000006</v>
      </c>
      <c r="AD114" s="145">
        <f t="shared" si="68"/>
        <v>39.042547618754995</v>
      </c>
      <c r="AE114" s="145">
        <f t="shared" si="69"/>
        <v>-31.419499999999999</v>
      </c>
      <c r="AF114" s="145">
        <f t="shared" si="70"/>
        <v>72.783842593355061</v>
      </c>
      <c r="AG114" s="772">
        <f t="shared" si="71"/>
        <v>122.12539021211006</v>
      </c>
      <c r="AH114" s="1253">
        <f t="shared" si="72"/>
        <v>19.492999999999999</v>
      </c>
      <c r="AI114" s="1253">
        <f t="shared" si="73"/>
        <v>22.58</v>
      </c>
      <c r="AJ114" s="156">
        <f t="shared" si="74"/>
        <v>36.309368644245005</v>
      </c>
      <c r="AK114" s="156">
        <f t="shared" si="75"/>
        <v>15.594640183766403</v>
      </c>
      <c r="AM114" s="716">
        <f t="shared" si="76"/>
        <v>1339.3503028352002</v>
      </c>
      <c r="AN114" s="716" t="str">
        <f>_xlfn.XLOOKUP(D114,RUC!$B$3:$B$578,RUC!$M$3:$M$578)</f>
        <v>Robinson Tuya</v>
      </c>
      <c r="AO114" s="1167" t="s">
        <v>2276</v>
      </c>
      <c r="AP114" s="1082" t="s">
        <v>4643</v>
      </c>
      <c r="AQ114" s="1082" t="s">
        <v>4378</v>
      </c>
    </row>
    <row r="115" spans="1:43" ht="15" customHeight="1">
      <c r="A115" s="1819" t="s">
        <v>6132</v>
      </c>
      <c r="B115" s="1447">
        <v>46201</v>
      </c>
      <c r="C115" s="1447">
        <v>46197</v>
      </c>
      <c r="D115" s="1943" t="s">
        <v>93</v>
      </c>
      <c r="E115" s="762">
        <f>_xlfn.XLOOKUP(D115,RUC!$B$3:$B$123,RUC!$D$3:$D$123)</f>
        <v>20169040231</v>
      </c>
      <c r="F115" s="629" t="s">
        <v>6175</v>
      </c>
      <c r="G115" s="762">
        <v>70</v>
      </c>
      <c r="H115" s="1082" t="s">
        <v>69</v>
      </c>
      <c r="I115" s="703">
        <v>6.65</v>
      </c>
      <c r="J115" s="596">
        <v>4.05</v>
      </c>
      <c r="K115" s="703">
        <f t="shared" si="60"/>
        <v>6.3810000000000002</v>
      </c>
      <c r="L115" s="1192">
        <v>0.22600000000000001</v>
      </c>
      <c r="M115" s="994">
        <f>ROUND(+IF(L115&gt;_xlfn.XLOOKUP(AN115,RUC!M:M,RUC!K:K),L115*_xlfn.XLOOKUP(AN115,RUC!M:M,RUC!I:I),L115-_xlfn.XLOOKUP(AN115,RUC!M:M,RUC!J:J)),3)</f>
        <v>0.20699999999999999</v>
      </c>
      <c r="N115" s="1196">
        <f t="shared" si="77"/>
        <v>0.20699999999999999</v>
      </c>
      <c r="O115" s="645">
        <f t="shared" si="78"/>
        <v>0.20699999999999999</v>
      </c>
      <c r="P115" s="727">
        <v>90</v>
      </c>
      <c r="Q115" s="875">
        <v>94.69</v>
      </c>
      <c r="R115" s="706">
        <v>4024.45</v>
      </c>
      <c r="S115" s="765">
        <f>IF((_xlfn.XLOOKUP(D115,RUC!$B$3:$B$119,RUC!$E$3:$E$119)+ROUNDDOWN(O115,1)*100)&lt;95,95,((_xlfn.XLOOKUP(D115,RUC!$B$3:$B$119,RUC!$E$3:$E$119)+ROUNDDOWN(O115,1)*100)))</f>
        <v>105</v>
      </c>
      <c r="U115" s="1146">
        <f>_xlfn.XLOOKUP(D115,RUC!$B$3:$B$123,RUC!$F$3:$F$123)</f>
        <v>120</v>
      </c>
      <c r="V115" s="715">
        <v>1.1023000000000001</v>
      </c>
      <c r="Y115">
        <f>_xlfn.XLOOKUP(D115,RUC!$B$3:$B$123,RUC!$G$3:$G$123)</f>
        <v>20</v>
      </c>
      <c r="Z115" s="1454">
        <v>35</v>
      </c>
      <c r="AA115" s="144">
        <f t="shared" si="66"/>
        <v>55</v>
      </c>
      <c r="AB115" s="145">
        <f t="shared" si="67"/>
        <v>625.44395628049995</v>
      </c>
      <c r="AC115" s="145">
        <f>+(S115-T115)*V115-'data 1'!$F$4</f>
        <v>35.741500000000002</v>
      </c>
      <c r="AD115" s="145">
        <f t="shared" si="68"/>
        <v>45.618495165858974</v>
      </c>
      <c r="AE115" s="145">
        <f t="shared" si="69"/>
        <v>-9.3734999999999999</v>
      </c>
      <c r="AF115" s="145">
        <f t="shared" si="70"/>
        <v>77.431449740408567</v>
      </c>
      <c r="AG115" s="772">
        <f t="shared" si="71"/>
        <v>166.41794490626754</v>
      </c>
      <c r="AH115" s="1253">
        <f t="shared" si="72"/>
        <v>46.817999999999998</v>
      </c>
      <c r="AI115" s="1253">
        <f t="shared" si="73"/>
        <v>49.442999999999998</v>
      </c>
      <c r="AJ115" s="156">
        <f t="shared" si="74"/>
        <v>93.306898101141044</v>
      </c>
      <c r="AK115" s="156">
        <f t="shared" si="75"/>
        <v>40.757793891695414</v>
      </c>
      <c r="AM115" s="716">
        <f t="shared" si="76"/>
        <v>3990.9578850258704</v>
      </c>
      <c r="AN115" s="716" t="str">
        <f>_xlfn.XLOOKUP(D115,RUC!$B$3:$B$578,RUC!$M$3:$M$578)</f>
        <v>Ronald Miranda</v>
      </c>
      <c r="AO115" s="1167" t="s">
        <v>2276</v>
      </c>
      <c r="AP115" s="1082" t="s">
        <v>6162</v>
      </c>
      <c r="AQ115" s="1082" t="s">
        <v>3908</v>
      </c>
    </row>
    <row r="116" spans="1:43" ht="15" customHeight="1">
      <c r="A116" s="1819" t="s">
        <v>6133</v>
      </c>
      <c r="B116" s="1447">
        <v>46201</v>
      </c>
      <c r="C116" s="1447">
        <v>46197</v>
      </c>
      <c r="D116" s="1943" t="s">
        <v>93</v>
      </c>
      <c r="E116" s="762">
        <f>_xlfn.XLOOKUP(D116,RUC!$B$3:$B$123,RUC!$D$3:$D$123)</f>
        <v>20169040231</v>
      </c>
      <c r="F116" s="629" t="s">
        <v>6175</v>
      </c>
      <c r="G116" s="762">
        <v>90</v>
      </c>
      <c r="H116" s="1082" t="s">
        <v>69</v>
      </c>
      <c r="I116" s="703">
        <v>8.5299999999999994</v>
      </c>
      <c r="J116" s="596">
        <v>3.45</v>
      </c>
      <c r="K116" s="703">
        <f t="shared" si="60"/>
        <v>8.2360000000000007</v>
      </c>
      <c r="L116" s="1192">
        <v>0.24199999999999999</v>
      </c>
      <c r="M116" s="994">
        <f>ROUND(+IF(L116&gt;_xlfn.XLOOKUP(AN116,RUC!M:M,RUC!K:K),L116*_xlfn.XLOOKUP(AN116,RUC!M:M,RUC!I:I),L116-_xlfn.XLOOKUP(AN116,RUC!M:M,RUC!J:J)),3)</f>
        <v>0.223</v>
      </c>
      <c r="N116" s="1196">
        <f t="shared" si="77"/>
        <v>0.223</v>
      </c>
      <c r="O116" s="645">
        <f t="shared" si="78"/>
        <v>0.223</v>
      </c>
      <c r="P116" s="727">
        <v>90</v>
      </c>
      <c r="Q116" s="875">
        <v>93.8</v>
      </c>
      <c r="R116" s="706">
        <v>4024.45</v>
      </c>
      <c r="S116" s="765">
        <f>IF((_xlfn.XLOOKUP(D116,RUC!$B$3:$B$119,RUC!$E$3:$E$119)+ROUNDDOWN(O116,1)*100)&lt;95,95,((_xlfn.XLOOKUP(D116,RUC!$B$3:$B$119,RUC!$E$3:$E$119)+ROUNDDOWN(O116,1)*100)))</f>
        <v>105</v>
      </c>
      <c r="U116" s="1146">
        <f>_xlfn.XLOOKUP(D116,RUC!$B$3:$B$123,RUC!$F$3:$F$123)</f>
        <v>120</v>
      </c>
      <c r="V116" s="715">
        <v>1.1023000000000001</v>
      </c>
      <c r="Y116">
        <f>_xlfn.XLOOKUP(D116,RUC!$B$3:$B$123,RUC!$G$3:$G$123)</f>
        <v>20</v>
      </c>
      <c r="Z116" s="1454">
        <v>35</v>
      </c>
      <c r="AA116" s="144">
        <f t="shared" si="66"/>
        <v>55</v>
      </c>
      <c r="AB116" s="145">
        <f t="shared" si="67"/>
        <v>687.41975966450002</v>
      </c>
      <c r="AC116" s="145">
        <f>+(S116-T116)*V116-'data 1'!$F$4</f>
        <v>35.741500000000002</v>
      </c>
      <c r="AD116" s="145">
        <f t="shared" si="68"/>
        <v>39.578436661059975</v>
      </c>
      <c r="AE116" s="145">
        <f t="shared" si="69"/>
        <v>-9.3734999999999999</v>
      </c>
      <c r="AF116" s="145">
        <f t="shared" si="70"/>
        <v>76.703664438169952</v>
      </c>
      <c r="AG116" s="772">
        <f t="shared" si="71"/>
        <v>159.65010109922991</v>
      </c>
      <c r="AH116" s="1253">
        <f t="shared" si="72"/>
        <v>64.097999999999999</v>
      </c>
      <c r="AI116" s="1253">
        <f t="shared" si="73"/>
        <v>68.334999999999994</v>
      </c>
      <c r="AJ116" s="156">
        <f t="shared" si="74"/>
        <v>98.973607595940052</v>
      </c>
      <c r="AK116" s="156">
        <f t="shared" si="75"/>
        <v>56.672553315145862</v>
      </c>
      <c r="AM116" s="716">
        <f t="shared" si="76"/>
        <v>5661.5891405968223</v>
      </c>
      <c r="AN116" s="716" t="str">
        <f>_xlfn.XLOOKUP(D116,RUC!$B$3:$B$578,RUC!$M$3:$M$578)</f>
        <v>Ronald Miranda</v>
      </c>
      <c r="AO116" s="1167" t="s">
        <v>2276</v>
      </c>
      <c r="AP116" s="1082" t="s">
        <v>6162</v>
      </c>
      <c r="AQ116" s="1082" t="s">
        <v>3908</v>
      </c>
    </row>
    <row r="117" spans="1:43" ht="15" customHeight="1">
      <c r="A117" s="1819" t="s">
        <v>6134</v>
      </c>
      <c r="B117" s="1447">
        <v>46201</v>
      </c>
      <c r="C117" s="1447">
        <v>46197</v>
      </c>
      <c r="D117" s="1943" t="s">
        <v>93</v>
      </c>
      <c r="E117" s="762">
        <f>_xlfn.XLOOKUP(D117,RUC!$B$3:$B$123,RUC!$D$3:$D$123)</f>
        <v>20169040231</v>
      </c>
      <c r="F117" s="629" t="s">
        <v>6175</v>
      </c>
      <c r="G117" s="762">
        <v>100</v>
      </c>
      <c r="H117" s="1082" t="s">
        <v>69</v>
      </c>
      <c r="I117" s="703">
        <v>9.48</v>
      </c>
      <c r="J117" s="596">
        <v>3.85</v>
      </c>
      <c r="K117" s="703">
        <f t="shared" si="60"/>
        <v>9.1150000000000002</v>
      </c>
      <c r="L117" s="1192">
        <v>0.28399999999999997</v>
      </c>
      <c r="M117" s="994">
        <f>ROUND(+IF(L117&gt;_xlfn.XLOOKUP(AN117,RUC!M:M,RUC!K:K),L117*_xlfn.XLOOKUP(AN117,RUC!M:M,RUC!I:I),L117-_xlfn.XLOOKUP(AN117,RUC!M:M,RUC!J:J)),3)</f>
        <v>0.26500000000000001</v>
      </c>
      <c r="N117" s="1196">
        <f t="shared" si="77"/>
        <v>0.26500000000000001</v>
      </c>
      <c r="O117" s="645">
        <f t="shared" si="78"/>
        <v>0.26500000000000001</v>
      </c>
      <c r="P117" s="727">
        <v>90</v>
      </c>
      <c r="Q117" s="875">
        <v>90.85</v>
      </c>
      <c r="R117" s="706">
        <v>4024.45</v>
      </c>
      <c r="S117" s="765">
        <f>IF((_xlfn.XLOOKUP(D117,RUC!$B$3:$B$119,RUC!$E$3:$E$119)+ROUNDDOWN(O117,1)*100)&lt;95,95,((_xlfn.XLOOKUP(D117,RUC!$B$3:$B$119,RUC!$E$3:$E$119)+ROUNDDOWN(O117,1)*100)))</f>
        <v>105</v>
      </c>
      <c r="U117" s="1146">
        <f>_xlfn.XLOOKUP(D117,RUC!$B$3:$B$123,RUC!$F$3:$F$123)</f>
        <v>120</v>
      </c>
      <c r="V117" s="715">
        <v>1.1023000000000001</v>
      </c>
      <c r="Y117">
        <f>_xlfn.XLOOKUP(D117,RUC!$B$3:$B$123,RUC!$G$3:$G$123)</f>
        <v>20</v>
      </c>
      <c r="Z117" s="1454">
        <v>35</v>
      </c>
      <c r="AA117" s="144">
        <f t="shared" si="66"/>
        <v>55</v>
      </c>
      <c r="AB117" s="145">
        <f t="shared" si="67"/>
        <v>850.10624354750018</v>
      </c>
      <c r="AC117" s="145">
        <f>+(S117-T117)*V117-'data 1'!$F$4</f>
        <v>35.741500000000002</v>
      </c>
      <c r="AD117" s="145">
        <f t="shared" si="68"/>
        <v>10.389554817289929</v>
      </c>
      <c r="AE117" s="145">
        <f t="shared" si="69"/>
        <v>-9.3734999999999999</v>
      </c>
      <c r="AF117" s="145">
        <f t="shared" si="70"/>
        <v>74.291342368952343</v>
      </c>
      <c r="AG117" s="772">
        <f t="shared" si="71"/>
        <v>128.04889718624227</v>
      </c>
      <c r="AH117" s="1253">
        <f t="shared" si="72"/>
        <v>80.632000000000005</v>
      </c>
      <c r="AI117" s="1253">
        <f t="shared" si="73"/>
        <v>88.753</v>
      </c>
      <c r="AJ117" s="156">
        <f t="shared" si="74"/>
        <v>112.49791357671005</v>
      </c>
      <c r="AK117" s="156">
        <f t="shared" si="75"/>
        <v>74.533947930066375</v>
      </c>
      <c r="AM117" s="716">
        <f t="shared" si="76"/>
        <v>7748.7184099354645</v>
      </c>
      <c r="AN117" s="716" t="str">
        <f>_xlfn.XLOOKUP(D117,RUC!$B$3:$B$578,RUC!$M$3:$M$578)</f>
        <v>Ronald Miranda</v>
      </c>
      <c r="AO117" s="1167" t="s">
        <v>2276</v>
      </c>
      <c r="AP117" s="1082" t="s">
        <v>6162</v>
      </c>
      <c r="AQ117" s="1082" t="s">
        <v>3908</v>
      </c>
    </row>
    <row r="118" spans="1:43" ht="15" customHeight="1">
      <c r="A118" s="1819" t="s">
        <v>6135</v>
      </c>
      <c r="B118" s="1447">
        <v>46203</v>
      </c>
      <c r="C118" s="1447">
        <v>46197</v>
      </c>
      <c r="D118" s="1943" t="s">
        <v>5442</v>
      </c>
      <c r="E118" s="762">
        <f>_xlfn.XLOOKUP(D118,RUC!$B$3:$B$123,RUC!$D$3:$D$123)</f>
        <v>20606562480</v>
      </c>
      <c r="G118" s="762">
        <v>50</v>
      </c>
      <c r="H118" s="1082" t="s">
        <v>2005</v>
      </c>
      <c r="I118" s="703">
        <v>3.37</v>
      </c>
      <c r="J118" s="596">
        <v>19.45</v>
      </c>
      <c r="K118" s="703">
        <f t="shared" si="60"/>
        <v>2.7149999999999999</v>
      </c>
      <c r="L118" s="1192">
        <v>0.17399999999999999</v>
      </c>
      <c r="M118" s="994">
        <f>ROUND(+IF(L118&gt;_xlfn.XLOOKUP(AN118,RUC!M:M,RUC!K:K),L118*_xlfn.XLOOKUP(AN118,RUC!M:M,RUC!I:I),L118-_xlfn.XLOOKUP(AN118,RUC!M:M,RUC!J:J)),3)-0.005</f>
        <v>0.15</v>
      </c>
      <c r="N118" s="1196">
        <f t="shared" si="77"/>
        <v>0.15</v>
      </c>
      <c r="O118" s="645">
        <f t="shared" si="78"/>
        <v>0.15</v>
      </c>
      <c r="P118" s="727">
        <v>80</v>
      </c>
      <c r="Q118" s="875">
        <v>94.51</v>
      </c>
      <c r="R118" s="706">
        <v>4024.45</v>
      </c>
      <c r="S118" s="765">
        <f>IF((_xlfn.XLOOKUP(D118,RUC!$B$3:$B$119,RUC!$E$3:$E$119)+ROUNDDOWN(O118,1)*100)&lt;95,95,((_xlfn.XLOOKUP(D118,RUC!$B$3:$B$119,RUC!$E$3:$E$119)+ROUNDDOWN(O118,1)*100)))</f>
        <v>95</v>
      </c>
      <c r="U118" s="1146">
        <f>_xlfn.XLOOKUP(D118,RUC!$B$3:$B$123,RUC!$F$3:$F$123)</f>
        <v>120</v>
      </c>
      <c r="V118" s="715">
        <v>1.1023000000000001</v>
      </c>
      <c r="Y118">
        <f>_xlfn.XLOOKUP(D118,RUC!$B$3:$B$123,RUC!$G$3:$G$123)</f>
        <v>20</v>
      </c>
      <c r="Z118" s="143">
        <f>_xlfn.XLOOKUP(D118,RUC!$B$3:$B$123,RUC!$H$3:$H$123)</f>
        <v>35</v>
      </c>
      <c r="AA118" s="144">
        <f t="shared" si="66"/>
        <v>55</v>
      </c>
      <c r="AB118" s="145">
        <f t="shared" si="67"/>
        <v>351.12002819999992</v>
      </c>
      <c r="AC118" s="145">
        <f>+(S118-T118)*V118-'data 1'!$F$4</f>
        <v>24.718500000000006</v>
      </c>
      <c r="AD118" s="145">
        <f t="shared" si="68"/>
        <v>108.66165960813903</v>
      </c>
      <c r="AE118" s="145">
        <f t="shared" si="69"/>
        <v>-9.3734999999999999</v>
      </c>
      <c r="AF118" s="145">
        <f t="shared" si="70"/>
        <v>97.622219630363986</v>
      </c>
      <c r="AG118" s="772">
        <f t="shared" si="71"/>
        <v>238.62887923850303</v>
      </c>
      <c r="AH118" s="1253">
        <f t="shared" si="72"/>
        <v>15.308</v>
      </c>
      <c r="AI118" s="1253">
        <f t="shared" si="73"/>
        <v>16.196999999999999</v>
      </c>
      <c r="AJ118" s="156">
        <f t="shared" si="74"/>
        <v>71.701494465861032</v>
      </c>
      <c r="AK118" s="156">
        <f t="shared" si="75"/>
        <v>11.17017942669</v>
      </c>
      <c r="AM118" s="716">
        <f t="shared" si="76"/>
        <v>953.29087656299976</v>
      </c>
      <c r="AN118" s="716" t="str">
        <f>_xlfn.XLOOKUP(D118,RUC!$B$3:$B$578,RUC!$M$3:$M$578)</f>
        <v>Ronald Miranda</v>
      </c>
      <c r="AO118" s="1167" t="s">
        <v>2276</v>
      </c>
      <c r="AP118" s="1082" t="s">
        <v>6049</v>
      </c>
      <c r="AQ118" s="1082" t="s">
        <v>3910</v>
      </c>
    </row>
    <row r="119" spans="1:43" ht="15" customHeight="1">
      <c r="A119" s="1819" t="s">
        <v>6136</v>
      </c>
      <c r="B119" s="1447">
        <v>46203</v>
      </c>
      <c r="C119" s="1447">
        <v>46197</v>
      </c>
      <c r="D119" s="1943" t="s">
        <v>5442</v>
      </c>
      <c r="E119" s="762">
        <f>_xlfn.XLOOKUP(D119,RUC!$B$3:$B$123,RUC!$D$3:$D$123)</f>
        <v>20606562480</v>
      </c>
      <c r="G119" s="762">
        <v>50</v>
      </c>
      <c r="H119" s="1082" t="s">
        <v>2005</v>
      </c>
      <c r="I119" s="703">
        <v>3.33</v>
      </c>
      <c r="J119" s="596">
        <v>19.43</v>
      </c>
      <c r="K119" s="703">
        <f t="shared" si="60"/>
        <v>2.6829999999999998</v>
      </c>
      <c r="L119" s="1192">
        <v>0.28199999999999997</v>
      </c>
      <c r="M119" s="994">
        <f>ROUND(+IF(L119&gt;_xlfn.XLOOKUP(AN119,RUC!M:M,RUC!K:K),L119*_xlfn.XLOOKUP(AN119,RUC!M:M,RUC!I:I),L119-_xlfn.XLOOKUP(AN119,RUC!M:M,RUC!J:J)),3)</f>
        <v>0.26300000000000001</v>
      </c>
      <c r="N119" s="1196">
        <f t="shared" si="77"/>
        <v>0.26300000000000001</v>
      </c>
      <c r="O119" s="645">
        <f t="shared" si="78"/>
        <v>0.26300000000000001</v>
      </c>
      <c r="P119" s="727">
        <v>90</v>
      </c>
      <c r="Q119" s="875">
        <v>93.26</v>
      </c>
      <c r="R119" s="706">
        <v>4024.45</v>
      </c>
      <c r="S119" s="765">
        <f>IF((_xlfn.XLOOKUP(D119,RUC!$B$3:$B$119,RUC!$E$3:$E$119)+ROUNDDOWN(O119,1)*100)&lt;95,95,((_xlfn.XLOOKUP(D119,RUC!$B$3:$B$119,RUC!$E$3:$E$119)+ROUNDDOWN(O119,1)*100)))</f>
        <v>105</v>
      </c>
      <c r="U119" s="1146">
        <f>_xlfn.XLOOKUP(D119,RUC!$B$3:$B$123,RUC!$F$3:$F$123)</f>
        <v>120</v>
      </c>
      <c r="V119" s="715">
        <v>1.1023000000000001</v>
      </c>
      <c r="Y119">
        <f>_xlfn.XLOOKUP(D119,RUC!$B$3:$B$123,RUC!$G$3:$G$123)</f>
        <v>20</v>
      </c>
      <c r="Z119" s="143">
        <f>_xlfn.XLOOKUP(D119,RUC!$B$3:$B$123,RUC!$H$3:$H$123)</f>
        <v>35</v>
      </c>
      <c r="AA119" s="144">
        <f t="shared" si="66"/>
        <v>55</v>
      </c>
      <c r="AB119" s="145">
        <f t="shared" si="67"/>
        <v>842.35926812450009</v>
      </c>
      <c r="AC119" s="145">
        <f>+(S119-T119)*V119-'data 1'!$F$4</f>
        <v>35.741500000000002</v>
      </c>
      <c r="AD119" s="145">
        <f t="shared" si="68"/>
        <v>39.56638581040206</v>
      </c>
      <c r="AE119" s="145">
        <f t="shared" si="69"/>
        <v>-9.3734999999999999</v>
      </c>
      <c r="AF119" s="145">
        <f t="shared" si="70"/>
        <v>76.262086839058853</v>
      </c>
      <c r="AG119" s="772">
        <f t="shared" si="71"/>
        <v>159.19647264946093</v>
      </c>
      <c r="AH119" s="1253">
        <f t="shared" si="72"/>
        <v>24.192</v>
      </c>
      <c r="AI119" s="1253">
        <f t="shared" si="73"/>
        <v>25.940999999999999</v>
      </c>
      <c r="AJ119" s="156">
        <f t="shared" si="74"/>
        <v>114.66891829459806</v>
      </c>
      <c r="AK119" s="156">
        <f t="shared" si="75"/>
        <v>21.773487675900107</v>
      </c>
      <c r="AM119" s="716">
        <f t="shared" si="76"/>
        <v>2260.0499163780337</v>
      </c>
      <c r="AN119" s="716" t="str">
        <f>_xlfn.XLOOKUP(D119,RUC!$B$3:$B$578,RUC!$M$3:$M$578)</f>
        <v>Ronald Miranda</v>
      </c>
      <c r="AO119" s="1167" t="s">
        <v>2276</v>
      </c>
      <c r="AP119" s="1082" t="s">
        <v>6049</v>
      </c>
      <c r="AQ119" s="1082" t="s">
        <v>3910</v>
      </c>
    </row>
    <row r="120" spans="1:43" ht="15" customHeight="1">
      <c r="A120" s="1819" t="s">
        <v>6137</v>
      </c>
      <c r="B120" s="1447">
        <v>46203</v>
      </c>
      <c r="C120" s="1447">
        <v>46197</v>
      </c>
      <c r="D120" s="1943" t="s">
        <v>5442</v>
      </c>
      <c r="E120" s="762">
        <f>_xlfn.XLOOKUP(D120,RUC!$B$3:$B$123,RUC!$D$3:$D$123)</f>
        <v>20606562480</v>
      </c>
      <c r="G120" s="762">
        <v>50</v>
      </c>
      <c r="H120" s="1082" t="s">
        <v>2005</v>
      </c>
      <c r="I120" s="703">
        <v>3.24</v>
      </c>
      <c r="J120" s="596">
        <v>19.600000000000001</v>
      </c>
      <c r="K120" s="703">
        <f t="shared" si="60"/>
        <v>2.605</v>
      </c>
      <c r="L120" s="1192">
        <v>0.28399999999999997</v>
      </c>
      <c r="M120" s="994">
        <f>ROUND(+IF(L120&gt;_xlfn.XLOOKUP(AN120,RUC!M:M,RUC!K:K),L120*_xlfn.XLOOKUP(AN120,RUC!M:M,RUC!I:I),L120-_xlfn.XLOOKUP(AN120,RUC!M:M,RUC!J:J)),3)</f>
        <v>0.26500000000000001</v>
      </c>
      <c r="N120" s="1196">
        <f t="shared" si="77"/>
        <v>0.26500000000000001</v>
      </c>
      <c r="O120" s="645">
        <f t="shared" si="78"/>
        <v>0.26500000000000001</v>
      </c>
      <c r="P120" s="727">
        <v>90</v>
      </c>
      <c r="Q120" s="875">
        <v>94.37</v>
      </c>
      <c r="R120" s="706">
        <v>4024.45</v>
      </c>
      <c r="S120" s="765">
        <f>IF((_xlfn.XLOOKUP(D120,RUC!$B$3:$B$119,RUC!$E$3:$E$119)+ROUNDDOWN(O120,1)*100)&lt;95,95,((_xlfn.XLOOKUP(D120,RUC!$B$3:$B$119,RUC!$E$3:$E$119)+ROUNDDOWN(O120,1)*100)))</f>
        <v>105</v>
      </c>
      <c r="U120" s="1146">
        <f>_xlfn.XLOOKUP(D120,RUC!$B$3:$B$123,RUC!$F$3:$F$123)</f>
        <v>120</v>
      </c>
      <c r="V120" s="715">
        <v>1.1023000000000001</v>
      </c>
      <c r="Y120">
        <f>_xlfn.XLOOKUP(D120,RUC!$B$3:$B$123,RUC!$G$3:$G$123)</f>
        <v>20</v>
      </c>
      <c r="Z120" s="143">
        <f>_xlfn.XLOOKUP(D120,RUC!$B$3:$B$123,RUC!$H$3:$H$123)</f>
        <v>35</v>
      </c>
      <c r="AA120" s="144">
        <f t="shared" si="66"/>
        <v>55</v>
      </c>
      <c r="AB120" s="145">
        <f t="shared" si="67"/>
        <v>850.10624354750018</v>
      </c>
      <c r="AC120" s="145">
        <f>+(S120-T120)*V120-'data 1'!$F$4</f>
        <v>35.741500000000002</v>
      </c>
      <c r="AD120" s="145">
        <f t="shared" si="68"/>
        <v>53.414534766538047</v>
      </c>
      <c r="AE120" s="145">
        <f t="shared" si="69"/>
        <v>-9.3734999999999999</v>
      </c>
      <c r="AF120" s="145">
        <f t="shared" si="70"/>
        <v>77.169774126120345</v>
      </c>
      <c r="AG120" s="772">
        <f t="shared" si="71"/>
        <v>173.95230889265838</v>
      </c>
      <c r="AH120" s="1253">
        <f t="shared" si="72"/>
        <v>23.937000000000001</v>
      </c>
      <c r="AI120" s="1253">
        <f t="shared" si="73"/>
        <v>25.364999999999998</v>
      </c>
      <c r="AJ120" s="156">
        <f t="shared" si="74"/>
        <v>116.85666597946206</v>
      </c>
      <c r="AK120" s="156">
        <f t="shared" si="75"/>
        <v>21.301254455054629</v>
      </c>
      <c r="AM120" s="716">
        <f t="shared" si="76"/>
        <v>2214.5267644412379</v>
      </c>
      <c r="AN120" s="716" t="str">
        <f>_xlfn.XLOOKUP(D120,RUC!$B$3:$B$578,RUC!$M$3:$M$578)</f>
        <v>Ronald Miranda</v>
      </c>
      <c r="AO120" s="1167" t="s">
        <v>2276</v>
      </c>
      <c r="AP120" s="1082" t="s">
        <v>6049</v>
      </c>
      <c r="AQ120" s="1082" t="s">
        <v>3910</v>
      </c>
    </row>
    <row r="121" spans="1:43" ht="15" customHeight="1">
      <c r="A121" s="1819" t="s">
        <v>6138</v>
      </c>
      <c r="B121" s="1447">
        <v>46203</v>
      </c>
      <c r="C121" s="1447">
        <v>46197</v>
      </c>
      <c r="D121" s="1943" t="s">
        <v>5907</v>
      </c>
      <c r="E121" s="762">
        <f>_xlfn.XLOOKUP(D121,RUC!$B$3:$B$123,RUC!$D$3:$D$123)</f>
        <v>20614329646</v>
      </c>
      <c r="G121" s="762">
        <v>73</v>
      </c>
      <c r="H121" s="1082" t="s">
        <v>69</v>
      </c>
      <c r="I121" s="703">
        <v>7.67</v>
      </c>
      <c r="J121" s="596">
        <v>2</v>
      </c>
      <c r="K121" s="703">
        <f t="shared" si="60"/>
        <v>7.5170000000000003</v>
      </c>
      <c r="L121" s="1192">
        <v>9.4E-2</v>
      </c>
      <c r="M121" s="994">
        <v>7.4999999999999997E-2</v>
      </c>
      <c r="N121" s="1444">
        <v>0.14499999999999999</v>
      </c>
      <c r="O121" s="645">
        <f t="shared" ref="O121:O125" si="79">+ROUNDDOWN((M121+N121)/2,3)</f>
        <v>0.11</v>
      </c>
      <c r="P121" s="727">
        <v>80</v>
      </c>
      <c r="Q121" s="875">
        <v>93.62</v>
      </c>
      <c r="R121" s="706">
        <v>4024.45</v>
      </c>
      <c r="S121" s="765">
        <f>IF((_xlfn.XLOOKUP(D121,RUC!$B$3:$B$119,RUC!$E$3:$E$119)+ROUNDDOWN(O121,1)*100)&lt;95,95,((_xlfn.XLOOKUP(D121,RUC!$B$3:$B$119,RUC!$E$3:$E$119)+ROUNDDOWN(O121,1)*100)))</f>
        <v>95</v>
      </c>
      <c r="U121" s="1146">
        <f>_xlfn.XLOOKUP(D121,RUC!$B$3:$B$123,RUC!$F$3:$F$123)</f>
        <v>110</v>
      </c>
      <c r="V121" s="715">
        <v>1.1023000000000001</v>
      </c>
      <c r="Y121">
        <f>_xlfn.XLOOKUP(D121,RUC!$B$3:$B$123,RUC!$G$3:$G$123)</f>
        <v>0</v>
      </c>
      <c r="Z121" s="143">
        <f>_xlfn.XLOOKUP(D121,RUC!$B$3:$B$123,RUC!$H$3:$H$123)</f>
        <v>70</v>
      </c>
      <c r="AA121" s="144">
        <f t="shared" si="66"/>
        <v>70</v>
      </c>
      <c r="AB121" s="145">
        <f t="shared" si="67"/>
        <v>197.83154468000004</v>
      </c>
      <c r="AC121" s="145">
        <f>+(S121-T121)*V121-'data 1'!$F$4</f>
        <v>24.718500000000006</v>
      </c>
      <c r="AD121" s="145">
        <f t="shared" si="68"/>
        <v>55.242779123058014</v>
      </c>
      <c r="AE121" s="145">
        <f t="shared" si="69"/>
        <v>7.1610000000000014</v>
      </c>
      <c r="AF121" s="145">
        <f t="shared" si="70"/>
        <v>-64.63372364171201</v>
      </c>
      <c r="AG121" s="772">
        <f t="shared" si="71"/>
        <v>39.488555481346012</v>
      </c>
      <c r="AH121" s="1253">
        <f t="shared" ref="AH121:AH125" si="80">ROUND((31.1035*L121*Q121*1.1023*K121/100),3)</f>
        <v>22.68</v>
      </c>
      <c r="AI121" s="1253">
        <f t="shared" ref="AI121:AI125" si="81">ROUND((31.1035*L121*1.1023*K121),3)</f>
        <v>24.225999999999999</v>
      </c>
      <c r="AJ121" s="156">
        <f t="shared" ref="AJ121:AJ125" si="82">+((+$AJ$2-R121+U121)*L121*Q121*V121)/100</f>
        <v>37.400465296942023</v>
      </c>
      <c r="AK121" s="156">
        <f t="shared" ref="AK121:AK125" si="83">31.1035*1.1023*K121*P121*O121/100</f>
        <v>22.679647053522803</v>
      </c>
      <c r="AM121" s="716">
        <f t="shared" ref="AM121:AM125" si="84">+IF(AB121*K121&gt;0,AB121*K121,0)</f>
        <v>1487.0997213595604</v>
      </c>
      <c r="AN121" s="716" t="str">
        <f>_xlfn.XLOOKUP(D121,RUC!$B$3:$B$578,RUC!$M$3:$M$578)</f>
        <v>Robinson Tuya</v>
      </c>
      <c r="AO121" s="1167" t="s">
        <v>2276</v>
      </c>
      <c r="AP121" s="1082" t="s">
        <v>3760</v>
      </c>
      <c r="AQ121" s="1082" t="s">
        <v>5135</v>
      </c>
    </row>
    <row r="122" spans="1:43" ht="15" customHeight="1">
      <c r="A122" s="1819" t="s">
        <v>6139</v>
      </c>
      <c r="B122" s="1447">
        <v>46203</v>
      </c>
      <c r="C122" s="1447">
        <v>46197</v>
      </c>
      <c r="D122" s="1943" t="s">
        <v>4171</v>
      </c>
      <c r="E122" s="762">
        <f>_xlfn.XLOOKUP(D122,RUC!$B$3:$B$123,RUC!$D$3:$D$123)</f>
        <v>20614284740</v>
      </c>
      <c r="G122" s="762">
        <v>136</v>
      </c>
      <c r="H122" s="1082" t="s">
        <v>69</v>
      </c>
      <c r="I122" s="703">
        <v>13.75</v>
      </c>
      <c r="J122" s="596">
        <v>2.0499999999999998</v>
      </c>
      <c r="K122" s="703">
        <f t="shared" si="60"/>
        <v>13.468</v>
      </c>
      <c r="L122" s="1192">
        <v>0.188</v>
      </c>
      <c r="M122" s="994">
        <f>ROUND(+IF(L122&gt;_xlfn.XLOOKUP(AN122,RUC!M:M,RUC!K:K),L122*_xlfn.XLOOKUP(AN122,RUC!M:M,RUC!I:I),L122-_xlfn.XLOOKUP(AN122,RUC!M:M,RUC!J:J)),3)</f>
        <v>0.16900000000000001</v>
      </c>
      <c r="N122" s="1196">
        <f t="shared" ref="N122:N125" si="85">+M122</f>
        <v>0.16900000000000001</v>
      </c>
      <c r="O122" s="645">
        <f t="shared" si="79"/>
        <v>0.16900000000000001</v>
      </c>
      <c r="P122" s="727">
        <v>85</v>
      </c>
      <c r="Q122" s="875">
        <v>97.87</v>
      </c>
      <c r="R122" s="706">
        <v>4024.45</v>
      </c>
      <c r="S122" s="765">
        <f>IF((_xlfn.XLOOKUP(D122,RUC!$B$3:$B$119,RUC!$E$3:$E$119)+ROUNDDOWN(O122,1)*100)&lt;95,95,((_xlfn.XLOOKUP(D122,RUC!$B$3:$B$119,RUC!$E$3:$E$119)+ROUNDDOWN(O122,1)*100)))</f>
        <v>100</v>
      </c>
      <c r="U122" s="1146">
        <f>_xlfn.XLOOKUP(D122,RUC!$B$3:$B$123,RUC!$F$3:$F$123)</f>
        <v>120</v>
      </c>
      <c r="V122" s="715">
        <v>1.1023000000000001</v>
      </c>
      <c r="Y122">
        <f>_xlfn.XLOOKUP(D122,RUC!$B$3:$B$123,RUC!$G$3:$G$123)</f>
        <v>20</v>
      </c>
      <c r="Z122" s="143">
        <f>_xlfn.XLOOKUP(D122,RUC!$B$3:$B$123,RUC!$H$3:$H$123)</f>
        <v>30</v>
      </c>
      <c r="AA122" s="144">
        <f t="shared" si="66"/>
        <v>50</v>
      </c>
      <c r="AB122" s="145">
        <f t="shared" si="67"/>
        <v>452.90667750774992</v>
      </c>
      <c r="AC122" s="145">
        <f>+(S122-T122)*V122-'data 1'!$F$4</f>
        <v>30.230000000000004</v>
      </c>
      <c r="AD122" s="145">
        <f t="shared" si="68"/>
        <v>104.13484363596605</v>
      </c>
      <c r="AE122" s="145">
        <f t="shared" si="69"/>
        <v>-14.884999999999998</v>
      </c>
      <c r="AF122" s="145">
        <f t="shared" si="70"/>
        <v>80.031851157395465</v>
      </c>
      <c r="AG122" s="772">
        <f t="shared" si="71"/>
        <v>216.51169479336153</v>
      </c>
      <c r="AH122" s="1253">
        <f t="shared" si="80"/>
        <v>84.960999999999999</v>
      </c>
      <c r="AI122" s="1253">
        <f t="shared" si="81"/>
        <v>86.81</v>
      </c>
      <c r="AJ122" s="156">
        <f t="shared" si="82"/>
        <v>80.224798295034063</v>
      </c>
      <c r="AK122" s="156">
        <f t="shared" si="83"/>
        <v>66.331192838875509</v>
      </c>
      <c r="AM122" s="716">
        <f t="shared" si="84"/>
        <v>6099.7471326743762</v>
      </c>
      <c r="AN122" s="716" t="str">
        <f>_xlfn.XLOOKUP(D122,RUC!$B$3:$B$578,RUC!$M$3:$M$578)</f>
        <v xml:space="preserve">Dante </v>
      </c>
      <c r="AO122" s="1167" t="s">
        <v>2276</v>
      </c>
      <c r="AP122" s="1082" t="s">
        <v>2869</v>
      </c>
      <c r="AQ122" s="1082" t="s">
        <v>2375</v>
      </c>
    </row>
    <row r="123" spans="1:43" ht="15" customHeight="1">
      <c r="A123" s="1819" t="s">
        <v>6141</v>
      </c>
      <c r="B123" s="1447">
        <v>46203</v>
      </c>
      <c r="C123" s="1447">
        <v>46198</v>
      </c>
      <c r="D123" s="1943" t="s">
        <v>5907</v>
      </c>
      <c r="E123" s="762">
        <f>_xlfn.XLOOKUP(D123,RUC!$B$3:$B$123,RUC!$D$3:$D$123)</f>
        <v>20614329646</v>
      </c>
      <c r="G123" s="762">
        <v>47</v>
      </c>
      <c r="H123" s="1082" t="s">
        <v>69</v>
      </c>
      <c r="I123" s="703">
        <v>5.46</v>
      </c>
      <c r="J123" s="596">
        <v>2</v>
      </c>
      <c r="K123" s="703">
        <f t="shared" si="60"/>
        <v>5.351</v>
      </c>
      <c r="L123" s="1192">
        <v>0.11899999999999999</v>
      </c>
      <c r="M123" s="994">
        <v>0.1</v>
      </c>
      <c r="N123" s="1444">
        <v>0.187</v>
      </c>
      <c r="O123" s="645">
        <f t="shared" si="79"/>
        <v>0.14299999999999999</v>
      </c>
      <c r="P123" s="727">
        <v>80</v>
      </c>
      <c r="Q123" s="875">
        <v>94.96</v>
      </c>
      <c r="R123" s="706">
        <v>4001.8</v>
      </c>
      <c r="S123" s="765">
        <f>IF((_xlfn.XLOOKUP(D123,RUC!$B$3:$B$119,RUC!$E$3:$E$119)+ROUNDDOWN(O123,1)*100)&lt;95,95,((_xlfn.XLOOKUP(D123,RUC!$B$3:$B$119,RUC!$E$3:$E$119)+ROUNDDOWN(O123,1)*100)))</f>
        <v>95</v>
      </c>
      <c r="U123" s="1146">
        <f>_xlfn.XLOOKUP(D123,RUC!$B$3:$B$123,RUC!$F$3:$F$123)</f>
        <v>110</v>
      </c>
      <c r="V123" s="715">
        <v>1.1023000000000001</v>
      </c>
      <c r="Y123">
        <f>_xlfn.XLOOKUP(D123,RUC!$B$3:$B$123,RUC!$G$3:$G$123)</f>
        <v>0</v>
      </c>
      <c r="Z123" s="143">
        <f>_xlfn.XLOOKUP(D123,RUC!$B$3:$B$123,RUC!$H$3:$H$123)</f>
        <v>70</v>
      </c>
      <c r="AA123" s="144">
        <f t="shared" si="66"/>
        <v>70</v>
      </c>
      <c r="AB123" s="145">
        <f t="shared" si="67"/>
        <v>308.88862241600003</v>
      </c>
      <c r="AC123" s="145">
        <f>+(S123-T123)*V123-'data 1'!$F$4</f>
        <v>24.718500000000006</v>
      </c>
      <c r="AD123" s="145">
        <f t="shared" si="68"/>
        <v>76.371070126735972</v>
      </c>
      <c r="AE123" s="145">
        <f t="shared" si="69"/>
        <v>7.1610000000000014</v>
      </c>
      <c r="AF123" s="145">
        <f t="shared" si="70"/>
        <v>-97.769246653055973</v>
      </c>
      <c r="AG123" s="772">
        <f t="shared" si="71"/>
        <v>27.481323473680007</v>
      </c>
      <c r="AH123" s="1253">
        <f t="shared" si="80"/>
        <v>20.731999999999999</v>
      </c>
      <c r="AI123" s="1253">
        <f t="shared" si="81"/>
        <v>21.832000000000001</v>
      </c>
      <c r="AJ123" s="156">
        <f t="shared" si="82"/>
        <v>50.846431081263979</v>
      </c>
      <c r="AK123" s="156">
        <f t="shared" si="83"/>
        <v>20.987951150514917</v>
      </c>
      <c r="AM123" s="716">
        <f t="shared" si="84"/>
        <v>1652.8630185480163</v>
      </c>
      <c r="AN123" s="716" t="str">
        <f>_xlfn.XLOOKUP(D123,RUC!$B$3:$B$578,RUC!$M$3:$M$578)</f>
        <v>Robinson Tuya</v>
      </c>
      <c r="AO123" s="1167" t="s">
        <v>2276</v>
      </c>
      <c r="AP123" s="1082" t="s">
        <v>3784</v>
      </c>
      <c r="AQ123" s="1082" t="s">
        <v>5136</v>
      </c>
    </row>
    <row r="124" spans="1:43" ht="15" customHeight="1">
      <c r="A124" s="1140" t="s">
        <v>6142</v>
      </c>
      <c r="C124" s="1447">
        <v>46198</v>
      </c>
      <c r="D124" s="1943" t="s">
        <v>5914</v>
      </c>
      <c r="E124" s="762">
        <f>_xlfn.XLOOKUP(D124,RUC!$B$3:$B$123,RUC!$D$3:$D$123)</f>
        <v>20606333219</v>
      </c>
      <c r="F124" s="629" t="s">
        <v>6168</v>
      </c>
      <c r="G124" s="762">
        <v>200</v>
      </c>
      <c r="H124" s="1082" t="s">
        <v>69</v>
      </c>
      <c r="I124" s="703">
        <v>6.53</v>
      </c>
      <c r="J124" s="596">
        <v>14.83</v>
      </c>
      <c r="K124" s="703">
        <f t="shared" si="60"/>
        <v>5.5620000000000003</v>
      </c>
      <c r="L124" s="1192">
        <v>0.219</v>
      </c>
      <c r="M124" s="994">
        <f>ROUND(+IF(L124&gt;_xlfn.XLOOKUP(AN124,RUC!M:M,RUC!K:K),L124*_xlfn.XLOOKUP(AN124,RUC!M:M,RUC!I:I),L124-_xlfn.XLOOKUP(AN124,RUC!M:M,RUC!J:J)),3)</f>
        <v>0.184</v>
      </c>
      <c r="N124" s="1196">
        <f t="shared" si="85"/>
        <v>0.184</v>
      </c>
      <c r="O124" s="645">
        <f t="shared" si="79"/>
        <v>0.184</v>
      </c>
      <c r="P124" s="727">
        <v>90</v>
      </c>
      <c r="Q124" s="875">
        <v>94.52</v>
      </c>
      <c r="R124" s="706">
        <v>4001.8</v>
      </c>
      <c r="S124" s="765">
        <f>IF((_xlfn.XLOOKUP(D124,RUC!$B$3:$B$119,RUC!$E$3:$E$119)+ROUNDDOWN(O124,1)*100)&lt;95,95,((_xlfn.XLOOKUP(D124,RUC!$B$3:$B$119,RUC!$E$3:$E$119)+ROUNDDOWN(O124,1)*100)))</f>
        <v>100</v>
      </c>
      <c r="U124" s="1146">
        <f>_xlfn.XLOOKUP(D124,RUC!$B$3:$B$123,RUC!$F$3:$F$123)</f>
        <v>120</v>
      </c>
      <c r="V124" s="715">
        <v>1.1023000000000001</v>
      </c>
      <c r="Y124">
        <f>_xlfn.XLOOKUP(D124,RUC!$B$3:$B$123,RUC!$G$3:$G$123)</f>
        <v>20</v>
      </c>
      <c r="Z124" s="143">
        <f>_xlfn.XLOOKUP(D124,RUC!$B$3:$B$123,RUC!$H$3:$H$123)</f>
        <v>30</v>
      </c>
      <c r="AA124" s="144">
        <f t="shared" si="66"/>
        <v>50</v>
      </c>
      <c r="AB124" s="145">
        <f t="shared" si="67"/>
        <v>543.24218798400011</v>
      </c>
      <c r="AC124" s="145">
        <f>+(S124-T124)*V124-'data 1'!$F$4</f>
        <v>30.230000000000004</v>
      </c>
      <c r="AD124" s="145">
        <f t="shared" si="68"/>
        <v>42.356055896231965</v>
      </c>
      <c r="AE124" s="145">
        <f t="shared" si="69"/>
        <v>-14.884999999999998</v>
      </c>
      <c r="AF124" s="145">
        <f t="shared" si="70"/>
        <v>141.55483908748002</v>
      </c>
      <c r="AG124" s="772">
        <f t="shared" si="71"/>
        <v>216.25589498371198</v>
      </c>
      <c r="AH124" s="1253">
        <f t="shared" si="80"/>
        <v>39.473999999999997</v>
      </c>
      <c r="AI124" s="1253">
        <f t="shared" si="81"/>
        <v>41.762</v>
      </c>
      <c r="AJ124" s="156">
        <f t="shared" si="82"/>
        <v>95.422691841767971</v>
      </c>
      <c r="AK124" s="156">
        <f t="shared" si="83"/>
        <v>31.579146372126967</v>
      </c>
      <c r="AM124" s="716">
        <f t="shared" si="84"/>
        <v>3021.5130495670087</v>
      </c>
      <c r="AN124" s="716" t="str">
        <f>_xlfn.XLOOKUP(D124,RUC!$B$3:$B$578,RUC!$M$3:$M$578)</f>
        <v>Richard Sapacayo</v>
      </c>
      <c r="AO124" s="1167" t="s">
        <v>2276</v>
      </c>
      <c r="AP124" s="1082" t="s">
        <v>6163</v>
      </c>
      <c r="AQ124" s="1082" t="s">
        <v>4701</v>
      </c>
    </row>
    <row r="125" spans="1:43" ht="15" customHeight="1">
      <c r="A125" s="1491" t="s">
        <v>6143</v>
      </c>
      <c r="C125" s="1447">
        <v>46198</v>
      </c>
      <c r="D125" s="1943" t="s">
        <v>5914</v>
      </c>
      <c r="E125" s="762">
        <f>_xlfn.XLOOKUP(D125,RUC!$B$3:$B$123,RUC!$D$3:$D$123)</f>
        <v>20606333219</v>
      </c>
      <c r="F125" s="629" t="s">
        <v>6168</v>
      </c>
      <c r="G125" s="762" t="s">
        <v>2985</v>
      </c>
      <c r="H125" s="1082" t="s">
        <v>69</v>
      </c>
      <c r="I125" s="703">
        <v>16.11</v>
      </c>
      <c r="J125" s="596">
        <v>10.33</v>
      </c>
      <c r="K125" s="703">
        <f t="shared" si="60"/>
        <v>14.446</v>
      </c>
      <c r="L125" s="1192">
        <v>0.09</v>
      </c>
      <c r="M125" s="994">
        <f>ROUND(+IF(L125&gt;_xlfn.XLOOKUP(AN125,RUC!M:M,RUC!K:K),L125*_xlfn.XLOOKUP(AN125,RUC!M:M,RUC!I:I),L125-_xlfn.XLOOKUP(AN125,RUC!M:M,RUC!J:J)),3)</f>
        <v>5.5E-2</v>
      </c>
      <c r="N125" s="1196">
        <f t="shared" si="85"/>
        <v>5.5E-2</v>
      </c>
      <c r="O125" s="645">
        <f t="shared" si="79"/>
        <v>5.5E-2</v>
      </c>
      <c r="P125" s="727">
        <v>90</v>
      </c>
      <c r="Q125" s="875">
        <v>94.44</v>
      </c>
      <c r="R125" s="706">
        <v>4001.8</v>
      </c>
      <c r="S125" s="765">
        <f>IF((_xlfn.XLOOKUP(D125,RUC!$B$3:$B$119,RUC!$E$3:$E$119)+ROUNDDOWN(O125,1)*100)&lt;95,95,((_xlfn.XLOOKUP(D125,RUC!$B$3:$B$119,RUC!$E$3:$E$119)+ROUNDDOWN(O125,1)*100)))</f>
        <v>95</v>
      </c>
      <c r="U125" s="1146">
        <f>_xlfn.XLOOKUP(D125,RUC!$B$3:$B$123,RUC!$F$3:$F$123)</f>
        <v>120</v>
      </c>
      <c r="V125" s="715">
        <v>1.1023000000000001</v>
      </c>
      <c r="Y125">
        <f>_xlfn.XLOOKUP(D125,RUC!$B$3:$B$123,RUC!$G$3:$G$123)</f>
        <v>20</v>
      </c>
      <c r="Z125" s="143">
        <f>_xlfn.XLOOKUP(D125,RUC!$B$3:$B$123,RUC!$H$3:$H$123)</f>
        <v>30</v>
      </c>
      <c r="AA125" s="144">
        <f t="shared" si="66"/>
        <v>50</v>
      </c>
      <c r="AB125" s="145">
        <f t="shared" si="67"/>
        <v>51.97245293000001</v>
      </c>
      <c r="AC125" s="145">
        <f>+(S125-T125)*V125-'data 1'!$F$4</f>
        <v>24.718500000000006</v>
      </c>
      <c r="AD125" s="145">
        <f t="shared" si="68"/>
        <v>17.098516927439992</v>
      </c>
      <c r="AE125" s="145">
        <f t="shared" si="69"/>
        <v>-14.884999999999998</v>
      </c>
      <c r="AF125" s="145">
        <f t="shared" si="70"/>
        <v>141.43502965956</v>
      </c>
      <c r="AG125" s="772">
        <f t="shared" si="71"/>
        <v>185.367046587</v>
      </c>
      <c r="AH125" s="1253">
        <f t="shared" si="80"/>
        <v>42.097000000000001</v>
      </c>
      <c r="AI125" s="1253">
        <f t="shared" si="81"/>
        <v>44.576000000000001</v>
      </c>
      <c r="AJ125" s="156">
        <f t="shared" si="82"/>
        <v>39.181614172559982</v>
      </c>
      <c r="AK125" s="156">
        <f t="shared" si="83"/>
        <v>24.516692430629849</v>
      </c>
      <c r="AM125" s="716">
        <f t="shared" si="84"/>
        <v>750.79405502678014</v>
      </c>
      <c r="AN125" s="716" t="str">
        <f>_xlfn.XLOOKUP(D125,RUC!$B$3:$B$578,RUC!$M$3:$M$578)</f>
        <v>Richard Sapacayo</v>
      </c>
      <c r="AO125" s="1167" t="s">
        <v>2276</v>
      </c>
      <c r="AP125" s="1082" t="s">
        <v>6163</v>
      </c>
      <c r="AQ125" s="1082" t="s">
        <v>4701</v>
      </c>
    </row>
    <row r="126" spans="1:43" ht="15" customHeight="1">
      <c r="A126" s="1140" t="s">
        <v>6144</v>
      </c>
      <c r="C126" s="1958">
        <v>46198</v>
      </c>
      <c r="D126" s="1943" t="s">
        <v>4198</v>
      </c>
      <c r="E126" s="762" t="str">
        <f>_xlfn.XLOOKUP(D126,RUC!$B$3:$B$123,RUC!$D$3:$D$123)</f>
        <v>20614284740*</v>
      </c>
      <c r="F126" s="629" t="s">
        <v>6169</v>
      </c>
      <c r="G126" s="762">
        <v>90</v>
      </c>
      <c r="H126" s="1082" t="s">
        <v>69</v>
      </c>
      <c r="I126" s="703">
        <v>7.74</v>
      </c>
      <c r="J126" s="596">
        <v>2.1</v>
      </c>
      <c r="K126" s="703">
        <f t="shared" si="60"/>
        <v>7.577</v>
      </c>
      <c r="L126" s="1192">
        <v>0.17599999999999999</v>
      </c>
      <c r="M126" s="994">
        <f>ROUND(+IF(L126&gt;_xlfn.XLOOKUP(AN126,RUC!M:M,RUC!K:K),L126*_xlfn.XLOOKUP(AN126,RUC!M:M,RUC!I:I),L126-_xlfn.XLOOKUP(AN126,RUC!M:M,RUC!J:J)),3)</f>
        <v>0.157</v>
      </c>
      <c r="N126" s="1196">
        <f t="shared" ref="N126:N139" si="86">+M126</f>
        <v>0.157</v>
      </c>
      <c r="O126" s="645">
        <f t="shared" ref="O126:O139" si="87">+ROUNDDOWN((M126+N126)/2,3)</f>
        <v>0.157</v>
      </c>
      <c r="P126" s="727">
        <v>90</v>
      </c>
      <c r="Q126" s="875">
        <v>96.59</v>
      </c>
      <c r="R126" s="706">
        <v>4001.8</v>
      </c>
      <c r="S126" s="765">
        <f>IF((_xlfn.XLOOKUP(D126,RUC!$B$3:$B$119,RUC!$E$3:$E$119)+ROUNDDOWN(O126,1)*100)&lt;95,95,((_xlfn.XLOOKUP(D126,RUC!$B$3:$B$119,RUC!$E$3:$E$119)+ROUNDDOWN(O126,1)*100)))</f>
        <v>95</v>
      </c>
      <c r="U126" s="1146">
        <f>_xlfn.XLOOKUP(D126,RUC!$B$3:$B$123,RUC!$F$3:$F$123)</f>
        <v>110</v>
      </c>
      <c r="V126" s="715">
        <v>1.1023000000000001</v>
      </c>
      <c r="Y126" s="1972">
        <f>_xlfn.XLOOKUP(D126,RUC!$B$3:$B$123,RUC!$G$3:$G$123)</f>
        <v>0</v>
      </c>
      <c r="Z126" s="143">
        <f>_xlfn.XLOOKUP(D126,RUC!$B$3:$B$123,RUC!$H$3:$H$123)</f>
        <v>35</v>
      </c>
      <c r="AA126" s="144">
        <f t="shared" ref="AA126:AA140" si="88">+Y126+Z126</f>
        <v>35</v>
      </c>
      <c r="AB126" s="145">
        <f t="shared" ref="AB126:AB140" si="89">+((O126*P126*(R126-U126)/100)-S126-AA126+T126)*V126</f>
        <v>462.86827008200015</v>
      </c>
      <c r="AC126" s="145">
        <f>+(S126-T126)*V126-'data 1'!$F$4</f>
        <v>24.718500000000006</v>
      </c>
      <c r="AD126" s="145">
        <f t="shared" ref="AD126:AD140" si="90">+(Q126-P126)*(R126-U126)*L126*V126/100</f>
        <v>49.756337334176031</v>
      </c>
      <c r="AE126" s="145">
        <f t="shared" ref="AE126:AE140" si="91">+(Y126*V126-70)+V126*(Z126-IF(D126="UNTUCA",IF(+((W126-3)*2.5+(X126-3)*3.1)&gt;0,+((W126-3)*1.5+(X126-3)*3.1),0),IF(+((W126-3)*1.5+(X126-3)*3.1)&gt;0,+((W126-3)*1.5+(X126-3)*3.1),0)))</f>
        <v>-31.419499999999999</v>
      </c>
      <c r="AF126" s="145">
        <f t="shared" ref="AF126:AF140" si="92">(L126-O126)*(R126-U126)*Q126*V126/100</f>
        <v>78.729245274393975</v>
      </c>
      <c r="AG126" s="772">
        <f t="shared" ref="AG126:AG140" si="93">AC126+AD126+AE126+AF126+70-53</f>
        <v>138.78458260857002</v>
      </c>
      <c r="AH126" s="1253">
        <f t="shared" ref="AH126:AH140" si="94">ROUND((31.1035*L126*Q126*1.1023*K126/100),3)</f>
        <v>44.161999999999999</v>
      </c>
      <c r="AI126" s="1253">
        <f t="shared" ref="AI126:AI140" si="95">ROUND((31.1035*L126*1.1023*K126),3)</f>
        <v>45.720999999999997</v>
      </c>
      <c r="AJ126" s="156">
        <f t="shared" ref="AJ126:AJ140" si="96">+((+$AJ$2-R126+U126)*L126*Q126*V126)/100</f>
        <v>76.492286265823978</v>
      </c>
      <c r="AK126" s="156">
        <f t="shared" ref="AK126:AK140" si="97">31.1035*1.1023*K126*P126*O126/100</f>
        <v>36.706968436510302</v>
      </c>
      <c r="AM126" s="716">
        <f t="shared" ref="AM126:AM140" si="98">+IF(AB126*K126&gt;0,AB126*K126,0)</f>
        <v>3507.1528824113152</v>
      </c>
      <c r="AN126" s="716" t="str">
        <f>_xlfn.XLOOKUP(D126,RUC!$B$3:$B$578,RUC!$M$3:$M$578)</f>
        <v>Robinson Tuya</v>
      </c>
      <c r="AO126" s="1167" t="s">
        <v>2276</v>
      </c>
      <c r="AP126" s="1082" t="s">
        <v>2969</v>
      </c>
      <c r="AQ126" s="1082" t="s">
        <v>6164</v>
      </c>
    </row>
    <row r="127" spans="1:43" ht="15" customHeight="1">
      <c r="A127" s="1819" t="s">
        <v>6145</v>
      </c>
      <c r="B127" s="1447">
        <v>46203</v>
      </c>
      <c r="C127" s="1958">
        <v>46198</v>
      </c>
      <c r="D127" s="1943" t="s">
        <v>1967</v>
      </c>
      <c r="E127" s="762">
        <f>_xlfn.XLOOKUP(D127,RUC!$B$3:$B$123,RUC!$D$3:$D$123)</f>
        <v>20601769396</v>
      </c>
      <c r="F127" s="629" t="s">
        <v>6170</v>
      </c>
      <c r="G127" s="762">
        <v>63</v>
      </c>
      <c r="H127" s="1082" t="s">
        <v>108</v>
      </c>
      <c r="I127" s="703">
        <v>4.12</v>
      </c>
      <c r="J127" s="596">
        <v>31.68</v>
      </c>
      <c r="K127" s="703">
        <f t="shared" si="60"/>
        <v>2.8149999999999999</v>
      </c>
      <c r="L127" s="1192">
        <v>0.45200000000000001</v>
      </c>
      <c r="M127" s="994">
        <f>ROUND(+IF(L127&gt;_xlfn.XLOOKUP(AN127,RUC!M:M,RUC!K:K),L127*_xlfn.XLOOKUP(AN127,RUC!M:M,RUC!I:I),L127-_xlfn.XLOOKUP(AN127,RUC!M:M,RUC!J:J)),3)</f>
        <v>0.42499999999999999</v>
      </c>
      <c r="N127" s="1444">
        <v>0.47499999999999998</v>
      </c>
      <c r="O127" s="645">
        <f t="shared" si="87"/>
        <v>0.45</v>
      </c>
      <c r="P127" s="727">
        <v>90</v>
      </c>
      <c r="Q127" s="875">
        <v>93.81</v>
      </c>
      <c r="R127" s="706">
        <v>4001.8</v>
      </c>
      <c r="S127" s="765">
        <f>IF((_xlfn.XLOOKUP(D127,RUC!$B$3:$B$119,RUC!$E$3:$E$119)+ROUNDDOWN(O127,1)*100)&lt;95,95,((_xlfn.XLOOKUP(D127,RUC!$B$3:$B$119,RUC!$E$3:$E$119)+ROUNDDOWN(O127,1)*100)))</f>
        <v>130</v>
      </c>
      <c r="U127" s="1146">
        <f>_xlfn.XLOOKUP(D127,RUC!$B$3:$B$123,RUC!$F$3:$F$123)</f>
        <v>120</v>
      </c>
      <c r="V127" s="715">
        <v>1.1023000000000001</v>
      </c>
      <c r="Y127" s="1445">
        <v>30</v>
      </c>
      <c r="Z127" s="709">
        <v>70</v>
      </c>
      <c r="AA127" s="144">
        <f t="shared" si="88"/>
        <v>100</v>
      </c>
      <c r="AB127" s="145">
        <f t="shared" si="89"/>
        <v>1479.4287967</v>
      </c>
      <c r="AC127" s="145">
        <f>+(S127-T127)*V127-'data 1'!$F$4</f>
        <v>63.299000000000007</v>
      </c>
      <c r="AD127" s="145">
        <f t="shared" si="90"/>
        <v>73.687932860568054</v>
      </c>
      <c r="AE127" s="145">
        <f t="shared" si="91"/>
        <v>40.230000000000004</v>
      </c>
      <c r="AF127" s="145">
        <f t="shared" si="92"/>
        <v>8.0280874522680072</v>
      </c>
      <c r="AG127" s="772">
        <f t="shared" si="93"/>
        <v>202.24502031283609</v>
      </c>
      <c r="AH127" s="1253">
        <f t="shared" si="94"/>
        <v>40.923999999999999</v>
      </c>
      <c r="AI127" s="1253">
        <f t="shared" si="95"/>
        <v>43.624000000000002</v>
      </c>
      <c r="AJ127" s="156">
        <f t="shared" si="96"/>
        <v>195.46608145543192</v>
      </c>
      <c r="AK127" s="156">
        <f t="shared" si="97"/>
        <v>39.087913781103751</v>
      </c>
      <c r="AM127" s="716">
        <f t="shared" si="98"/>
        <v>4164.5920627104997</v>
      </c>
      <c r="AN127" s="716" t="str">
        <f>_xlfn.XLOOKUP(D127,RUC!$B$3:$B$578,RUC!$M$3:$M$578)</f>
        <v>Evelyn</v>
      </c>
      <c r="AO127" s="1167" t="s">
        <v>2276</v>
      </c>
      <c r="AP127" s="1082" t="s">
        <v>6165</v>
      </c>
      <c r="AQ127" s="1082" t="s">
        <v>6166</v>
      </c>
    </row>
    <row r="128" spans="1:43" ht="15" customHeight="1">
      <c r="A128" s="1819" t="s">
        <v>6146</v>
      </c>
      <c r="B128" s="1447">
        <v>46203</v>
      </c>
      <c r="C128" s="1958">
        <v>46198</v>
      </c>
      <c r="D128" s="1943" t="s">
        <v>1967</v>
      </c>
      <c r="E128" s="762">
        <f>_xlfn.XLOOKUP(D128,RUC!$B$3:$B$123,RUC!$D$3:$D$123)</f>
        <v>20601769396</v>
      </c>
      <c r="F128" s="629" t="s">
        <v>6170</v>
      </c>
      <c r="G128" s="762">
        <v>65</v>
      </c>
      <c r="H128" s="1082" t="s">
        <v>108</v>
      </c>
      <c r="I128" s="703">
        <v>3.98</v>
      </c>
      <c r="J128" s="596">
        <v>34.729999999999997</v>
      </c>
      <c r="K128" s="703">
        <f t="shared" si="60"/>
        <v>2.5979999999999999</v>
      </c>
      <c r="L128" s="1192">
        <v>0.44</v>
      </c>
      <c r="M128" s="994">
        <f>ROUND(+IF(L128&gt;_xlfn.XLOOKUP(AN128,RUC!M:M,RUC!K:K),L128*_xlfn.XLOOKUP(AN128,RUC!M:M,RUC!I:I),L128-_xlfn.XLOOKUP(AN128,RUC!M:M,RUC!J:J)),3)</f>
        <v>0.41399999999999998</v>
      </c>
      <c r="N128" s="1196">
        <f t="shared" si="86"/>
        <v>0.41399999999999998</v>
      </c>
      <c r="O128" s="645">
        <f t="shared" si="87"/>
        <v>0.41399999999999998</v>
      </c>
      <c r="P128" s="727">
        <v>90</v>
      </c>
      <c r="Q128" s="875">
        <v>95.68</v>
      </c>
      <c r="R128" s="706">
        <v>4001.8</v>
      </c>
      <c r="S128" s="765">
        <f>IF((_xlfn.XLOOKUP(D128,RUC!$B$3:$B$119,RUC!$E$3:$E$119)+ROUNDDOWN(O128,1)*100)&lt;95,95,((_xlfn.XLOOKUP(D128,RUC!$B$3:$B$119,RUC!$E$3:$E$119)+ROUNDDOWN(O128,1)*100)))</f>
        <v>130</v>
      </c>
      <c r="U128" s="1146">
        <f>_xlfn.XLOOKUP(D128,RUC!$B$3:$B$123,RUC!$F$3:$F$123)</f>
        <v>120</v>
      </c>
      <c r="V128" s="715">
        <v>1.1023000000000001</v>
      </c>
      <c r="Y128" s="1445">
        <v>30</v>
      </c>
      <c r="Z128" s="709">
        <v>70</v>
      </c>
      <c r="AA128" s="144">
        <f t="shared" si="88"/>
        <v>100</v>
      </c>
      <c r="AB128" s="145">
        <f t="shared" si="89"/>
        <v>1340.792172964</v>
      </c>
      <c r="AC128" s="145">
        <f>+(S128-T128)*V128-'data 1'!$F$4</f>
        <v>63.299000000000007</v>
      </c>
      <c r="AD128" s="145">
        <f t="shared" si="90"/>
        <v>106.93847223488015</v>
      </c>
      <c r="AE128" s="145">
        <f t="shared" si="91"/>
        <v>40.230000000000004</v>
      </c>
      <c r="AF128" s="145">
        <f t="shared" si="92"/>
        <v>106.44554201715211</v>
      </c>
      <c r="AG128" s="772">
        <f t="shared" si="93"/>
        <v>333.91301425203227</v>
      </c>
      <c r="AH128" s="1253">
        <f t="shared" si="94"/>
        <v>37.499000000000002</v>
      </c>
      <c r="AI128" s="1253">
        <f t="shared" si="95"/>
        <v>39.192</v>
      </c>
      <c r="AJ128" s="156">
        <f t="shared" si="96"/>
        <v>194.06967520511998</v>
      </c>
      <c r="AK128" s="156">
        <f t="shared" si="97"/>
        <v>33.188763056143138</v>
      </c>
      <c r="AM128" s="716">
        <f t="shared" si="98"/>
        <v>3483.3780653604717</v>
      </c>
      <c r="AN128" s="716" t="str">
        <f>_xlfn.XLOOKUP(D128,RUC!$B$3:$B$578,RUC!$M$3:$M$578)</f>
        <v>Evelyn</v>
      </c>
      <c r="AO128" s="1167" t="s">
        <v>2276</v>
      </c>
      <c r="AP128" s="1082" t="s">
        <v>6165</v>
      </c>
      <c r="AQ128" s="1082" t="s">
        <v>6166</v>
      </c>
    </row>
    <row r="129" spans="1:43" ht="15" customHeight="1">
      <c r="A129" s="1819" t="s">
        <v>6147</v>
      </c>
      <c r="B129" s="1447">
        <v>46203</v>
      </c>
      <c r="C129" s="1958">
        <v>46198</v>
      </c>
      <c r="D129" s="1943" t="s">
        <v>1967</v>
      </c>
      <c r="E129" s="762">
        <f>_xlfn.XLOOKUP(D129,RUC!$B$3:$B$123,RUC!$D$3:$D$123)</f>
        <v>20601769396</v>
      </c>
      <c r="F129" s="629" t="s">
        <v>6171</v>
      </c>
      <c r="G129" s="762">
        <v>43</v>
      </c>
      <c r="H129" s="1082" t="s">
        <v>108</v>
      </c>
      <c r="I129" s="703">
        <v>2.89</v>
      </c>
      <c r="J129" s="596">
        <v>8.85</v>
      </c>
      <c r="K129" s="703">
        <f t="shared" si="60"/>
        <v>2.6339999999999999</v>
      </c>
      <c r="L129" s="1192">
        <v>0.16500000000000001</v>
      </c>
      <c r="M129" s="994">
        <f>ROUND(+IF(L129&gt;_xlfn.XLOOKUP(AN129,RUC!M:M,RUC!K:K),L129*_xlfn.XLOOKUP(AN129,RUC!M:M,RUC!I:I),L129-_xlfn.XLOOKUP(AN129,RUC!M:M,RUC!J:J)),3)</f>
        <v>0.14599999999999999</v>
      </c>
      <c r="N129" s="1196">
        <f t="shared" si="86"/>
        <v>0.14599999999999999</v>
      </c>
      <c r="O129" s="645">
        <f t="shared" si="87"/>
        <v>0.14599999999999999</v>
      </c>
      <c r="P129" s="727">
        <v>80</v>
      </c>
      <c r="Q129" s="1899">
        <v>89.7</v>
      </c>
      <c r="R129" s="706">
        <v>4001.8</v>
      </c>
      <c r="S129" s="765">
        <f>IF((_xlfn.XLOOKUP(D129,RUC!$B$3:$B$119,RUC!$E$3:$E$119)+ROUNDDOWN(O129,1)*100)&lt;95,95,((_xlfn.XLOOKUP(D129,RUC!$B$3:$B$119,RUC!$E$3:$E$119)+ROUNDDOWN(O129,1)*100)))</f>
        <v>100</v>
      </c>
      <c r="U129" s="1146">
        <f>_xlfn.XLOOKUP(D129,RUC!$B$3:$B$123,RUC!$F$3:$F$123)</f>
        <v>120</v>
      </c>
      <c r="V129" s="715">
        <v>1.1023000000000001</v>
      </c>
      <c r="Y129" s="1445">
        <v>30</v>
      </c>
      <c r="Z129" s="709">
        <v>70</v>
      </c>
      <c r="AA129" s="144">
        <f t="shared" si="88"/>
        <v>100</v>
      </c>
      <c r="AB129" s="145">
        <f t="shared" si="89"/>
        <v>279.31647075199999</v>
      </c>
      <c r="AC129" s="145">
        <f>+(S129-T129)*V129-'data 1'!$F$4</f>
        <v>30.230000000000004</v>
      </c>
      <c r="AD129" s="145">
        <f t="shared" si="90"/>
        <v>68.483924780700022</v>
      </c>
      <c r="AE129" s="145">
        <f t="shared" si="91"/>
        <v>40.230000000000004</v>
      </c>
      <c r="AF129" s="145">
        <f t="shared" si="92"/>
        <v>72.925431430020069</v>
      </c>
      <c r="AG129" s="772">
        <f t="shared" si="93"/>
        <v>228.86935621072007</v>
      </c>
      <c r="AH129" s="1253">
        <f t="shared" si="94"/>
        <v>13.366</v>
      </c>
      <c r="AI129" s="1253">
        <f t="shared" si="95"/>
        <v>14.901</v>
      </c>
      <c r="AJ129" s="156">
        <f t="shared" si="96"/>
        <v>68.227620189299984</v>
      </c>
      <c r="AK129" s="156">
        <f t="shared" si="97"/>
        <v>10.54794077604816</v>
      </c>
      <c r="AM129" s="716">
        <f t="shared" si="98"/>
        <v>735.71958396076798</v>
      </c>
      <c r="AN129" s="716" t="str">
        <f>_xlfn.XLOOKUP(D129,RUC!$B$3:$B$578,RUC!$M$3:$M$578)</f>
        <v>Evelyn</v>
      </c>
      <c r="AO129" s="1167" t="s">
        <v>2276</v>
      </c>
      <c r="AP129" s="1082" t="s">
        <v>6165</v>
      </c>
      <c r="AQ129" s="1082" t="s">
        <v>6166</v>
      </c>
    </row>
    <row r="130" spans="1:43" ht="15" customHeight="1">
      <c r="A130" s="1819" t="s">
        <v>6148</v>
      </c>
      <c r="B130" s="1447">
        <v>46203</v>
      </c>
      <c r="C130" s="1958">
        <v>46198</v>
      </c>
      <c r="D130" s="1943" t="s">
        <v>1967</v>
      </c>
      <c r="E130" s="762">
        <f>_xlfn.XLOOKUP(D130,RUC!$B$3:$B$123,RUC!$D$3:$D$123)</f>
        <v>20601769396</v>
      </c>
      <c r="F130" s="629" t="s">
        <v>6172</v>
      </c>
      <c r="G130" s="762">
        <v>50</v>
      </c>
      <c r="H130" s="1082" t="s">
        <v>108</v>
      </c>
      <c r="I130" s="703">
        <v>4.0199999999999996</v>
      </c>
      <c r="J130" s="596">
        <v>17.3</v>
      </c>
      <c r="K130" s="703">
        <f t="shared" si="60"/>
        <v>3.3250000000000002</v>
      </c>
      <c r="L130" s="1192">
        <v>0.14000000000000001</v>
      </c>
      <c r="M130" s="994">
        <f>ROUND(+IF(L130&gt;_xlfn.XLOOKUP(AN130,RUC!M:M,RUC!K:K),L130*_xlfn.XLOOKUP(AN130,RUC!M:M,RUC!I:I),L130-_xlfn.XLOOKUP(AN130,RUC!M:M,RUC!J:J)),3)</f>
        <v>0.121</v>
      </c>
      <c r="N130" s="1196">
        <f t="shared" si="86"/>
        <v>0.121</v>
      </c>
      <c r="O130" s="645">
        <f t="shared" si="87"/>
        <v>0.121</v>
      </c>
      <c r="P130" s="727">
        <v>80</v>
      </c>
      <c r="Q130" s="1899">
        <v>83.57</v>
      </c>
      <c r="R130" s="706">
        <v>4001.8</v>
      </c>
      <c r="S130" s="765">
        <f>IF((_xlfn.XLOOKUP(D130,RUC!$B$3:$B$119,RUC!$E$3:$E$119)+ROUNDDOWN(O130,1)*100)&lt;95,95,((_xlfn.XLOOKUP(D130,RUC!$B$3:$B$119,RUC!$E$3:$E$119)+ROUNDDOWN(O130,1)*100)))</f>
        <v>100</v>
      </c>
      <c r="U130" s="1146">
        <f>_xlfn.XLOOKUP(D130,RUC!$B$3:$B$123,RUC!$F$3:$F$123)</f>
        <v>120</v>
      </c>
      <c r="V130" s="715">
        <v>1.1023000000000001</v>
      </c>
      <c r="Y130" s="1445">
        <v>30</v>
      </c>
      <c r="Z130" s="709">
        <v>70</v>
      </c>
      <c r="AA130" s="144">
        <f t="shared" si="88"/>
        <v>100</v>
      </c>
      <c r="AB130" s="145">
        <f t="shared" si="89"/>
        <v>193.73830795200001</v>
      </c>
      <c r="AC130" s="145">
        <f>+(S130-T130)*V130-'data 1'!$F$4</f>
        <v>30.230000000000004</v>
      </c>
      <c r="AD130" s="145">
        <f t="shared" si="90"/>
        <v>21.385982883719961</v>
      </c>
      <c r="AE130" s="145">
        <f t="shared" si="91"/>
        <v>40.230000000000004</v>
      </c>
      <c r="AF130" s="145">
        <f t="shared" si="92"/>
        <v>67.941787119362061</v>
      </c>
      <c r="AG130" s="772">
        <f t="shared" si="93"/>
        <v>176.78777000308202</v>
      </c>
      <c r="AH130" s="1253">
        <f t="shared" si="94"/>
        <v>13.337999999999999</v>
      </c>
      <c r="AI130" s="1253">
        <f t="shared" si="95"/>
        <v>15.96</v>
      </c>
      <c r="AJ130" s="156">
        <f t="shared" si="96"/>
        <v>53.933955656279977</v>
      </c>
      <c r="AK130" s="156">
        <f t="shared" si="97"/>
        <v>11.035094997773001</v>
      </c>
      <c r="AM130" s="716">
        <f t="shared" si="98"/>
        <v>644.17987394040006</v>
      </c>
      <c r="AN130" s="716" t="str">
        <f>_xlfn.XLOOKUP(D130,RUC!$B$3:$B$578,RUC!$M$3:$M$578)</f>
        <v>Evelyn</v>
      </c>
      <c r="AO130" s="1167" t="s">
        <v>2276</v>
      </c>
      <c r="AP130" s="1082" t="s">
        <v>6165</v>
      </c>
      <c r="AQ130" s="1082" t="s">
        <v>6166</v>
      </c>
    </row>
    <row r="131" spans="1:43" ht="15" customHeight="1">
      <c r="A131" s="1819" t="s">
        <v>6149</v>
      </c>
      <c r="B131" s="1447">
        <v>46203</v>
      </c>
      <c r="C131" s="1958">
        <v>46198</v>
      </c>
      <c r="D131" s="1943" t="s">
        <v>1967</v>
      </c>
      <c r="E131" s="762">
        <f>_xlfn.XLOOKUP(D131,RUC!$B$3:$B$123,RUC!$D$3:$D$123)</f>
        <v>20601769396</v>
      </c>
      <c r="F131" s="629" t="s">
        <v>6172</v>
      </c>
      <c r="G131" s="762">
        <v>50</v>
      </c>
      <c r="H131" s="1082" t="s">
        <v>108</v>
      </c>
      <c r="I131" s="703">
        <v>4.18</v>
      </c>
      <c r="J131" s="596">
        <v>18.5</v>
      </c>
      <c r="K131" s="703">
        <f t="shared" si="60"/>
        <v>3.407</v>
      </c>
      <c r="L131" s="1192">
        <v>0.14599999999999999</v>
      </c>
      <c r="M131" s="994">
        <f>ROUND(+IF(L131&gt;_xlfn.XLOOKUP(AN131,RUC!M:M,RUC!K:K),L131*_xlfn.XLOOKUP(AN131,RUC!M:M,RUC!I:I),L131-_xlfn.XLOOKUP(AN131,RUC!M:M,RUC!J:J)),3)</f>
        <v>0.127</v>
      </c>
      <c r="N131" s="1196">
        <f t="shared" si="86"/>
        <v>0.127</v>
      </c>
      <c r="O131" s="645">
        <f t="shared" si="87"/>
        <v>0.127</v>
      </c>
      <c r="P131" s="727">
        <v>80</v>
      </c>
      <c r="Q131" s="1899">
        <v>89.04</v>
      </c>
      <c r="R131" s="706">
        <v>4001.8</v>
      </c>
      <c r="S131" s="765">
        <f>IF((_xlfn.XLOOKUP(D131,RUC!$B$3:$B$119,RUC!$E$3:$E$119)+ROUNDDOWN(O131,1)*100)&lt;95,95,((_xlfn.XLOOKUP(D131,RUC!$B$3:$B$119,RUC!$E$3:$E$119)+ROUNDDOWN(O131,1)*100)))</f>
        <v>100</v>
      </c>
      <c r="U131" s="1146">
        <f>_xlfn.XLOOKUP(D131,RUC!$B$3:$B$123,RUC!$F$3:$F$123)</f>
        <v>120</v>
      </c>
      <c r="V131" s="715">
        <v>1.1023000000000001</v>
      </c>
      <c r="Y131" s="1445">
        <v>30</v>
      </c>
      <c r="Z131" s="709">
        <v>70</v>
      </c>
      <c r="AA131" s="144">
        <f t="shared" si="88"/>
        <v>100</v>
      </c>
      <c r="AB131" s="145">
        <f t="shared" si="89"/>
        <v>214.27706702400005</v>
      </c>
      <c r="AC131" s="145">
        <f>+(S131-T131)*V131-'data 1'!$F$4</f>
        <v>30.230000000000004</v>
      </c>
      <c r="AD131" s="145">
        <f t="shared" si="90"/>
        <v>56.474741194976041</v>
      </c>
      <c r="AE131" s="145">
        <f t="shared" si="91"/>
        <v>40.230000000000004</v>
      </c>
      <c r="AF131" s="145">
        <f t="shared" si="92"/>
        <v>72.388856349263961</v>
      </c>
      <c r="AG131" s="772">
        <f t="shared" si="93"/>
        <v>216.32359754423999</v>
      </c>
      <c r="AH131" s="1253">
        <f t="shared" si="94"/>
        <v>15.185</v>
      </c>
      <c r="AI131" s="1253">
        <f t="shared" si="95"/>
        <v>17.053999999999998</v>
      </c>
      <c r="AJ131" s="156">
        <f t="shared" si="96"/>
        <v>59.926904229023975</v>
      </c>
      <c r="AK131" s="156">
        <f t="shared" si="97"/>
        <v>11.86792821597316</v>
      </c>
      <c r="AM131" s="716">
        <f t="shared" si="98"/>
        <v>730.04196735076812</v>
      </c>
      <c r="AN131" s="716" t="str">
        <f>_xlfn.XLOOKUP(D131,RUC!$B$3:$B$578,RUC!$M$3:$M$578)</f>
        <v>Evelyn</v>
      </c>
      <c r="AO131" s="1167" t="s">
        <v>2276</v>
      </c>
      <c r="AP131" s="1082" t="s">
        <v>6165</v>
      </c>
      <c r="AQ131" s="1082" t="s">
        <v>6166</v>
      </c>
    </row>
    <row r="132" spans="1:43" ht="15" customHeight="1">
      <c r="A132" s="1819" t="s">
        <v>6151</v>
      </c>
      <c r="B132" s="1447">
        <v>46203</v>
      </c>
      <c r="C132" s="1958">
        <v>46198</v>
      </c>
      <c r="D132" s="1943" t="s">
        <v>1967</v>
      </c>
      <c r="E132" s="762">
        <f>_xlfn.XLOOKUP(D132,RUC!$B$3:$B$123,RUC!$D$3:$D$123)</f>
        <v>20601769396</v>
      </c>
      <c r="F132" s="629" t="s">
        <v>5538</v>
      </c>
      <c r="G132" s="762">
        <v>70</v>
      </c>
      <c r="H132" s="1082" t="s">
        <v>108</v>
      </c>
      <c r="I132" s="703">
        <v>4.28</v>
      </c>
      <c r="J132" s="596">
        <v>30.73</v>
      </c>
      <c r="K132" s="703">
        <f t="shared" si="60"/>
        <v>2.9649999999999999</v>
      </c>
      <c r="L132" s="1192">
        <v>0.48099999999999998</v>
      </c>
      <c r="M132" s="994">
        <f>ROUND(+IF(L132&gt;_xlfn.XLOOKUP(AN132,RUC!M:M,RUC!K:K),L132*_xlfn.XLOOKUP(AN132,RUC!M:M,RUC!I:I),L132-_xlfn.XLOOKUP(AN132,RUC!M:M,RUC!J:J)),3)</f>
        <v>0.45200000000000001</v>
      </c>
      <c r="N132" s="1444">
        <v>0.495</v>
      </c>
      <c r="O132" s="645">
        <f t="shared" si="87"/>
        <v>0.47299999999999998</v>
      </c>
      <c r="P132" s="727">
        <v>90</v>
      </c>
      <c r="Q132" s="875">
        <v>91.27</v>
      </c>
      <c r="R132" s="706">
        <v>4001.8</v>
      </c>
      <c r="S132" s="765">
        <f>IF((_xlfn.XLOOKUP(D132,RUC!$B$3:$B$119,RUC!$E$3:$E$119)+ROUNDDOWN(O132,1)*100)&lt;95,95,((_xlfn.XLOOKUP(D132,RUC!$B$3:$B$119,RUC!$E$3:$E$119)+ROUNDDOWN(O132,1)*100)))</f>
        <v>130</v>
      </c>
      <c r="U132" s="1146">
        <f>_xlfn.XLOOKUP(D132,RUC!$B$3:$B$123,RUC!$F$3:$F$123)</f>
        <v>120</v>
      </c>
      <c r="V132" s="715">
        <v>1.1023000000000001</v>
      </c>
      <c r="Y132" s="1445">
        <v>30</v>
      </c>
      <c r="Z132" s="709">
        <v>70</v>
      </c>
      <c r="AA132" s="144">
        <f t="shared" si="88"/>
        <v>100</v>
      </c>
      <c r="AB132" s="145">
        <f t="shared" si="89"/>
        <v>1568.002195198</v>
      </c>
      <c r="AC132" s="145">
        <f>+(S132-T132)*V132-'data 1'!$F$4</f>
        <v>63.299000000000007</v>
      </c>
      <c r="AD132" s="145">
        <f t="shared" si="90"/>
        <v>26.138566154817919</v>
      </c>
      <c r="AE132" s="145">
        <f t="shared" si="91"/>
        <v>40.230000000000004</v>
      </c>
      <c r="AF132" s="145">
        <f t="shared" si="92"/>
        <v>31.242875675024028</v>
      </c>
      <c r="AG132" s="772">
        <f t="shared" si="93"/>
        <v>177.91044182984197</v>
      </c>
      <c r="AH132" s="1253">
        <f t="shared" si="94"/>
        <v>44.628</v>
      </c>
      <c r="AI132" s="1253">
        <f t="shared" si="95"/>
        <v>48.896999999999998</v>
      </c>
      <c r="AJ132" s="156">
        <f t="shared" si="96"/>
        <v>202.37504708218191</v>
      </c>
      <c r="AK132" s="156">
        <f t="shared" si="97"/>
        <v>43.275033939404018</v>
      </c>
      <c r="AM132" s="716">
        <f t="shared" si="98"/>
        <v>4649.1265087620695</v>
      </c>
      <c r="AN132" s="716" t="str">
        <f>_xlfn.XLOOKUP(D132,RUC!$B$3:$B$578,RUC!$M$3:$M$578)</f>
        <v>Evelyn</v>
      </c>
      <c r="AO132" s="1167" t="s">
        <v>2276</v>
      </c>
      <c r="AP132" s="1082" t="s">
        <v>6165</v>
      </c>
      <c r="AQ132" s="1082" t="s">
        <v>6166</v>
      </c>
    </row>
    <row r="133" spans="1:43" ht="15" customHeight="1">
      <c r="A133" s="1819" t="s">
        <v>6152</v>
      </c>
      <c r="B133" s="1447">
        <v>46203</v>
      </c>
      <c r="C133" s="1958">
        <v>46198</v>
      </c>
      <c r="D133" s="1943" t="s">
        <v>5442</v>
      </c>
      <c r="E133" s="762">
        <f>_xlfn.XLOOKUP(D133,RUC!$B$3:$B$123,RUC!$D$3:$D$123)</f>
        <v>20606562480</v>
      </c>
      <c r="F133" s="629" t="s">
        <v>6173</v>
      </c>
      <c r="G133" s="762">
        <v>32</v>
      </c>
      <c r="H133" s="1082" t="s">
        <v>69</v>
      </c>
      <c r="I133" s="703">
        <v>2.2000000000000002</v>
      </c>
      <c r="J133" s="596">
        <v>2</v>
      </c>
      <c r="K133" s="703">
        <f t="shared" si="60"/>
        <v>2.1560000000000001</v>
      </c>
      <c r="L133" s="1192">
        <v>0.27500000000000002</v>
      </c>
      <c r="M133" s="994">
        <f>ROUND(+IF(L133&gt;_xlfn.XLOOKUP(AN133,RUC!M:M,RUC!K:K),L133*_xlfn.XLOOKUP(AN133,RUC!M:M,RUC!I:I),L133-_xlfn.XLOOKUP(AN133,RUC!M:M,RUC!J:J)),3)</f>
        <v>0.25600000000000001</v>
      </c>
      <c r="N133" s="1196">
        <f t="shared" si="86"/>
        <v>0.25600000000000001</v>
      </c>
      <c r="O133" s="645">
        <f t="shared" si="87"/>
        <v>0.25600000000000001</v>
      </c>
      <c r="P133" s="727">
        <v>90</v>
      </c>
      <c r="Q133" s="875">
        <v>95.64</v>
      </c>
      <c r="R133" s="706">
        <v>4001.8</v>
      </c>
      <c r="S133" s="765">
        <f>IF((_xlfn.XLOOKUP(D133,RUC!$B$3:$B$119,RUC!$E$3:$E$119)+ROUNDDOWN(O133,1)*100)&lt;95,95,((_xlfn.XLOOKUP(D133,RUC!$B$3:$B$119,RUC!$E$3:$E$119)+ROUNDDOWN(O133,1)*100)))</f>
        <v>105</v>
      </c>
      <c r="U133" s="1146">
        <f>_xlfn.XLOOKUP(D133,RUC!$B$3:$B$123,RUC!$F$3:$F$123)</f>
        <v>120</v>
      </c>
      <c r="V133" s="715">
        <v>1.1023000000000001</v>
      </c>
      <c r="Y133" s="1972">
        <f>_xlfn.XLOOKUP(D133,RUC!$B$3:$B$123,RUC!$G$3:$G$123)</f>
        <v>20</v>
      </c>
      <c r="Z133" s="143">
        <f>_xlfn.XLOOKUP(D133,RUC!$B$3:$B$123,RUC!$H$3:$H$123)</f>
        <v>35</v>
      </c>
      <c r="AA133" s="144">
        <f t="shared" si="88"/>
        <v>55</v>
      </c>
      <c r="AB133" s="145">
        <f t="shared" si="89"/>
        <v>809.49243545600018</v>
      </c>
      <c r="AC133" s="145">
        <f>+(S133-T133)*V133-'data 1'!$F$4</f>
        <v>35.741500000000002</v>
      </c>
      <c r="AD133" s="145">
        <f t="shared" si="90"/>
        <v>66.365865251400024</v>
      </c>
      <c r="AE133" s="145">
        <f t="shared" si="91"/>
        <v>-9.3734999999999999</v>
      </c>
      <c r="AF133" s="145">
        <f t="shared" si="92"/>
        <v>77.754607156824079</v>
      </c>
      <c r="AG133" s="772">
        <f t="shared" si="93"/>
        <v>187.48847240822411</v>
      </c>
      <c r="AH133" s="1253">
        <f t="shared" si="94"/>
        <v>19.442</v>
      </c>
      <c r="AI133" s="1253">
        <f t="shared" si="95"/>
        <v>20.327999999999999</v>
      </c>
      <c r="AJ133" s="156">
        <f t="shared" si="96"/>
        <v>121.24283899859996</v>
      </c>
      <c r="AK133" s="156">
        <f t="shared" si="97"/>
        <v>17.031005944888321</v>
      </c>
      <c r="AM133" s="716">
        <f t="shared" si="98"/>
        <v>1745.2656908431366</v>
      </c>
      <c r="AN133" s="716" t="str">
        <f>_xlfn.XLOOKUP(D133,RUC!$B$3:$B$578,RUC!$M$3:$M$578)</f>
        <v>Ronald Miranda</v>
      </c>
      <c r="AO133" s="1167" t="s">
        <v>2276</v>
      </c>
      <c r="AP133" s="1082" t="s">
        <v>4245</v>
      </c>
      <c r="AQ133" s="1082" t="s">
        <v>4861</v>
      </c>
    </row>
    <row r="134" spans="1:43" ht="15" customHeight="1">
      <c r="A134" s="1819" t="s">
        <v>6153</v>
      </c>
      <c r="B134" s="1447">
        <v>46203</v>
      </c>
      <c r="C134" s="1958">
        <v>46198</v>
      </c>
      <c r="D134" s="1943" t="s">
        <v>5442</v>
      </c>
      <c r="E134" s="762">
        <f>_xlfn.XLOOKUP(D134,RUC!$B$3:$B$123,RUC!$D$3:$D$123)</f>
        <v>20606562480</v>
      </c>
      <c r="F134" s="629" t="s">
        <v>6173</v>
      </c>
      <c r="G134" s="762">
        <v>28</v>
      </c>
      <c r="H134" s="1082" t="s">
        <v>108</v>
      </c>
      <c r="I134" s="703">
        <v>1.26</v>
      </c>
      <c r="J134" s="596">
        <v>13.03</v>
      </c>
      <c r="K134" s="703">
        <f t="shared" si="60"/>
        <v>1.0960000000000001</v>
      </c>
      <c r="L134" s="1192">
        <v>0.38500000000000001</v>
      </c>
      <c r="M134" s="994">
        <f>ROUND(+IF(L134&gt;_xlfn.XLOOKUP(AN134,RUC!M:M,RUC!K:K),L134*_xlfn.XLOOKUP(AN134,RUC!M:M,RUC!I:I),L134-_xlfn.XLOOKUP(AN134,RUC!M:M,RUC!J:J)),3)</f>
        <v>0.36199999999999999</v>
      </c>
      <c r="N134" s="1196">
        <f t="shared" si="86"/>
        <v>0.36199999999999999</v>
      </c>
      <c r="O134" s="645">
        <f t="shared" si="87"/>
        <v>0.36199999999999999</v>
      </c>
      <c r="P134" s="727">
        <v>90</v>
      </c>
      <c r="Q134" s="875">
        <v>91.95</v>
      </c>
      <c r="R134" s="706">
        <v>4001.8</v>
      </c>
      <c r="S134" s="765">
        <f>IF((_xlfn.XLOOKUP(D134,RUC!$B$3:$B$119,RUC!$E$3:$E$119)+ROUNDDOWN(O134,1)*100)&lt;95,95,((_xlfn.XLOOKUP(D134,RUC!$B$3:$B$119,RUC!$E$3:$E$119)+ROUNDDOWN(O134,1)*100)))</f>
        <v>115</v>
      </c>
      <c r="U134" s="1146">
        <f>_xlfn.XLOOKUP(D134,RUC!$B$3:$B$123,RUC!$F$3:$F$123)</f>
        <v>120</v>
      </c>
      <c r="V134" s="715">
        <v>1.1023000000000001</v>
      </c>
      <c r="Y134" s="1445">
        <v>50</v>
      </c>
      <c r="Z134" s="1454">
        <v>40</v>
      </c>
      <c r="AA134" s="144">
        <f t="shared" si="88"/>
        <v>90</v>
      </c>
      <c r="AB134" s="145">
        <f t="shared" si="89"/>
        <v>1168.096772012</v>
      </c>
      <c r="AC134" s="145">
        <f>+(S134-T134)*V134-'data 1'!$F$4</f>
        <v>46.764500000000012</v>
      </c>
      <c r="AD134" s="145">
        <f t="shared" si="90"/>
        <v>32.123902861050048</v>
      </c>
      <c r="AE134" s="145">
        <f t="shared" si="91"/>
        <v>29.207000000000001</v>
      </c>
      <c r="AF134" s="145">
        <f t="shared" si="92"/>
        <v>90.492488798790092</v>
      </c>
      <c r="AG134" s="772">
        <f t="shared" si="93"/>
        <v>215.58789165984012</v>
      </c>
      <c r="AH134" s="1253">
        <f t="shared" si="94"/>
        <v>13.302</v>
      </c>
      <c r="AI134" s="1253">
        <f t="shared" si="95"/>
        <v>14.467000000000001</v>
      </c>
      <c r="AJ134" s="156">
        <f t="shared" si="96"/>
        <v>163.19103580394994</v>
      </c>
      <c r="AK134" s="156">
        <f t="shared" si="97"/>
        <v>12.24251665165224</v>
      </c>
      <c r="AM134" s="716">
        <f t="shared" si="98"/>
        <v>1280.2340621251521</v>
      </c>
      <c r="AN134" s="716" t="str">
        <f>_xlfn.XLOOKUP(D134,RUC!$B$3:$B$578,RUC!$M$3:$M$578)</f>
        <v>Ronald Miranda</v>
      </c>
      <c r="AO134" s="1167" t="s">
        <v>2276</v>
      </c>
      <c r="AP134" s="1082" t="s">
        <v>4245</v>
      </c>
      <c r="AQ134" s="1082" t="s">
        <v>4861</v>
      </c>
    </row>
    <row r="135" spans="1:43" ht="15" customHeight="1">
      <c r="A135" s="1819" t="s">
        <v>6154</v>
      </c>
      <c r="B135" s="1447">
        <v>46203</v>
      </c>
      <c r="C135" s="1958">
        <v>46198</v>
      </c>
      <c r="D135" s="1943" t="s">
        <v>5442</v>
      </c>
      <c r="E135" s="762">
        <f>_xlfn.XLOOKUP(D135,RUC!$B$3:$B$123,RUC!$D$3:$D$123)</f>
        <v>20606562480</v>
      </c>
      <c r="F135" s="629" t="s">
        <v>6173</v>
      </c>
      <c r="G135" s="762">
        <v>15</v>
      </c>
      <c r="H135" s="1082" t="s">
        <v>108</v>
      </c>
      <c r="I135" s="703">
        <v>1.1100000000000001</v>
      </c>
      <c r="J135" s="596">
        <v>15.13</v>
      </c>
      <c r="K135" s="703">
        <f t="shared" si="60"/>
        <v>0.94199999999999995</v>
      </c>
      <c r="L135" s="1192">
        <v>0.317</v>
      </c>
      <c r="M135" s="994">
        <f>ROUND(+IF(L135&gt;_xlfn.XLOOKUP(AN135,RUC!M:M,RUC!K:K),L135*_xlfn.XLOOKUP(AN135,RUC!M:M,RUC!I:I),L135-_xlfn.XLOOKUP(AN135,RUC!M:M,RUC!J:J)),3)</f>
        <v>0.29799999999999999</v>
      </c>
      <c r="N135" s="1196">
        <f t="shared" si="86"/>
        <v>0.29799999999999999</v>
      </c>
      <c r="O135" s="645">
        <f t="shared" si="87"/>
        <v>0.29799999999999999</v>
      </c>
      <c r="P135" s="727">
        <v>90</v>
      </c>
      <c r="Q135" s="875">
        <v>90.22</v>
      </c>
      <c r="R135" s="706">
        <v>4001.8</v>
      </c>
      <c r="S135" s="765">
        <f>IF((_xlfn.XLOOKUP(D135,RUC!$B$3:$B$119,RUC!$E$3:$E$119)+ROUNDDOWN(O135,1)*100)&lt;95,95,((_xlfn.XLOOKUP(D135,RUC!$B$3:$B$119,RUC!$E$3:$E$119)+ROUNDDOWN(O135,1)*100)))</f>
        <v>105</v>
      </c>
      <c r="U135" s="1146">
        <f>_xlfn.XLOOKUP(D135,RUC!$B$3:$B$123,RUC!$F$3:$F$123)</f>
        <v>120</v>
      </c>
      <c r="V135" s="715">
        <v>1.1023000000000001</v>
      </c>
      <c r="Y135" s="1445">
        <v>50</v>
      </c>
      <c r="Z135" s="1454">
        <v>40</v>
      </c>
      <c r="AA135" s="144">
        <f t="shared" si="88"/>
        <v>90</v>
      </c>
      <c r="AB135" s="145">
        <f t="shared" si="89"/>
        <v>932.65466314800017</v>
      </c>
      <c r="AC135" s="145">
        <f>+(S135-T135)*V135-'data 1'!$F$4</f>
        <v>35.741500000000002</v>
      </c>
      <c r="AD135" s="145">
        <f t="shared" si="90"/>
        <v>2.9841105368359848</v>
      </c>
      <c r="AE135" s="145">
        <f t="shared" si="91"/>
        <v>29.207000000000001</v>
      </c>
      <c r="AF135" s="145">
        <f t="shared" si="92"/>
        <v>73.348187554252078</v>
      </c>
      <c r="AG135" s="772">
        <f t="shared" si="93"/>
        <v>158.28079809108806</v>
      </c>
      <c r="AH135" s="1253">
        <f t="shared" si="94"/>
        <v>9.2370000000000001</v>
      </c>
      <c r="AI135" s="1253">
        <f t="shared" si="95"/>
        <v>10.238</v>
      </c>
      <c r="AJ135" s="156">
        <f t="shared" si="96"/>
        <v>131.83961340716394</v>
      </c>
      <c r="AK135" s="156">
        <f t="shared" si="97"/>
        <v>8.6620112926594199</v>
      </c>
      <c r="AM135" s="716">
        <f t="shared" si="98"/>
        <v>878.56069268541614</v>
      </c>
      <c r="AN135" s="716" t="str">
        <f>_xlfn.XLOOKUP(D135,RUC!$B$3:$B$578,RUC!$M$3:$M$578)</f>
        <v>Ronald Miranda</v>
      </c>
      <c r="AO135" s="1167" t="s">
        <v>2276</v>
      </c>
      <c r="AP135" s="1082" t="s">
        <v>4245</v>
      </c>
      <c r="AQ135" s="1082" t="s">
        <v>4861</v>
      </c>
    </row>
    <row r="136" spans="1:43" ht="15" customHeight="1">
      <c r="A136" s="1819" t="s">
        <v>6155</v>
      </c>
      <c r="B136" s="1447">
        <v>46203</v>
      </c>
      <c r="C136" s="1958">
        <v>46198</v>
      </c>
      <c r="D136" s="1943" t="s">
        <v>5442</v>
      </c>
      <c r="E136" s="762">
        <f>_xlfn.XLOOKUP(D136,RUC!$B$3:$B$123,RUC!$D$3:$D$123)</f>
        <v>20606562480</v>
      </c>
      <c r="F136" s="629" t="s">
        <v>6173</v>
      </c>
      <c r="G136" s="762">
        <v>48</v>
      </c>
      <c r="H136" s="1082" t="s">
        <v>108</v>
      </c>
      <c r="I136" s="703">
        <v>3.28</v>
      </c>
      <c r="J136" s="596">
        <v>10.35</v>
      </c>
      <c r="K136" s="703">
        <f t="shared" si="60"/>
        <v>2.9409999999999998</v>
      </c>
      <c r="L136" s="1192">
        <v>0.35399999999999998</v>
      </c>
      <c r="M136" s="994">
        <f>ROUND(+IF(L136&gt;_xlfn.XLOOKUP(AN136,RUC!M:M,RUC!K:K),L136*_xlfn.XLOOKUP(AN136,RUC!M:M,RUC!I:I),L136-_xlfn.XLOOKUP(AN136,RUC!M:M,RUC!J:J)),3)</f>
        <v>0.33300000000000002</v>
      </c>
      <c r="N136" s="1196">
        <f t="shared" si="86"/>
        <v>0.33300000000000002</v>
      </c>
      <c r="O136" s="645">
        <f t="shared" si="87"/>
        <v>0.33300000000000002</v>
      </c>
      <c r="P136" s="727">
        <v>90</v>
      </c>
      <c r="Q136" s="875">
        <v>94.35</v>
      </c>
      <c r="R136" s="706">
        <v>4001.8</v>
      </c>
      <c r="S136" s="765">
        <f>IF((_xlfn.XLOOKUP(D136,RUC!$B$3:$B$119,RUC!$E$3:$E$119)+ROUNDDOWN(O136,1)*100)&lt;95,95,((_xlfn.XLOOKUP(D136,RUC!$B$3:$B$119,RUC!$E$3:$E$119)+ROUNDDOWN(O136,1)*100)))</f>
        <v>115</v>
      </c>
      <c r="U136" s="1146">
        <f>_xlfn.XLOOKUP(D136,RUC!$B$3:$B$123,RUC!$F$3:$F$123)</f>
        <v>120</v>
      </c>
      <c r="V136" s="715">
        <v>1.1023000000000001</v>
      </c>
      <c r="Y136" s="1445">
        <v>50</v>
      </c>
      <c r="Z136" s="1454">
        <v>40</v>
      </c>
      <c r="AA136" s="144">
        <f t="shared" si="88"/>
        <v>90</v>
      </c>
      <c r="AB136" s="145">
        <f t="shared" si="89"/>
        <v>1056.4172695580003</v>
      </c>
      <c r="AC136" s="145">
        <f>+(S136-T136)*V136-'data 1'!$F$4</f>
        <v>46.764500000000012</v>
      </c>
      <c r="AD136" s="145">
        <f t="shared" si="90"/>
        <v>65.890906447859919</v>
      </c>
      <c r="AE136" s="145">
        <f t="shared" si="91"/>
        <v>29.207000000000001</v>
      </c>
      <c r="AF136" s="145">
        <f t="shared" si="92"/>
        <v>84.780146431889861</v>
      </c>
      <c r="AG136" s="772">
        <f t="shared" si="93"/>
        <v>243.64255287974981</v>
      </c>
      <c r="AH136" s="1253">
        <f t="shared" si="94"/>
        <v>33.677999999999997</v>
      </c>
      <c r="AI136" s="1253">
        <f t="shared" si="95"/>
        <v>35.695</v>
      </c>
      <c r="AJ136" s="156">
        <f t="shared" si="96"/>
        <v>153.96748025813991</v>
      </c>
      <c r="AK136" s="156">
        <f t="shared" si="97"/>
        <v>30.219747878638483</v>
      </c>
      <c r="AM136" s="716">
        <f t="shared" si="98"/>
        <v>3106.9231897700788</v>
      </c>
      <c r="AN136" s="716" t="str">
        <f>_xlfn.XLOOKUP(D136,RUC!$B$3:$B$578,RUC!$M$3:$M$578)</f>
        <v>Ronald Miranda</v>
      </c>
      <c r="AO136" s="1167" t="s">
        <v>2276</v>
      </c>
      <c r="AP136" s="1082" t="s">
        <v>4245</v>
      </c>
      <c r="AQ136" s="1082" t="s">
        <v>4861</v>
      </c>
    </row>
    <row r="137" spans="1:43" ht="15" customHeight="1">
      <c r="A137" s="1819" t="s">
        <v>6156</v>
      </c>
      <c r="B137" s="1447">
        <v>46203</v>
      </c>
      <c r="C137" s="1958">
        <v>46198</v>
      </c>
      <c r="D137" s="1943" t="s">
        <v>5442</v>
      </c>
      <c r="E137" s="762">
        <f>_xlfn.XLOOKUP(D137,RUC!$B$3:$B$123,RUC!$D$3:$D$123)</f>
        <v>20606562480</v>
      </c>
      <c r="F137" s="629" t="s">
        <v>6173</v>
      </c>
      <c r="G137" s="762">
        <v>56</v>
      </c>
      <c r="H137" s="1082" t="s">
        <v>108</v>
      </c>
      <c r="I137" s="703">
        <v>3.15</v>
      </c>
      <c r="J137" s="596">
        <v>16.579999999999998</v>
      </c>
      <c r="K137" s="703">
        <f t="shared" si="60"/>
        <v>2.6280000000000001</v>
      </c>
      <c r="L137" s="1192">
        <v>0.16300000000000001</v>
      </c>
      <c r="M137" s="994">
        <f>ROUND(+IF(L137&gt;_xlfn.XLOOKUP(AN137,RUC!M:M,RUC!K:K),L137*_xlfn.XLOOKUP(AN137,RUC!M:M,RUC!I:I),L137-_xlfn.XLOOKUP(AN137,RUC!M:M,RUC!J:J)),3)</f>
        <v>0.14399999999999999</v>
      </c>
      <c r="N137" s="1196">
        <f t="shared" si="86"/>
        <v>0.14399999999999999</v>
      </c>
      <c r="O137" s="645">
        <f t="shared" si="87"/>
        <v>0.14399999999999999</v>
      </c>
      <c r="P137" s="727">
        <v>80</v>
      </c>
      <c r="Q137" s="1978">
        <v>90.18</v>
      </c>
      <c r="R137" s="706">
        <v>4001.8</v>
      </c>
      <c r="S137" s="765">
        <f>IF((_xlfn.XLOOKUP(D137,RUC!$B$3:$B$119,RUC!$E$3:$E$119)+ROUNDDOWN(O137,1)*100)&lt;95,95,((_xlfn.XLOOKUP(D137,RUC!$B$3:$B$119,RUC!$E$3:$E$119)+ROUNDDOWN(O137,1)*100)))</f>
        <v>95</v>
      </c>
      <c r="U137" s="1146">
        <f>_xlfn.XLOOKUP(D137,RUC!$B$3:$B$123,RUC!$F$3:$F$123)</f>
        <v>120</v>
      </c>
      <c r="V137" s="715">
        <v>1.1023000000000001</v>
      </c>
      <c r="Y137" s="1445">
        <v>50</v>
      </c>
      <c r="Z137" s="1454">
        <v>40</v>
      </c>
      <c r="AA137" s="144">
        <f t="shared" si="88"/>
        <v>90</v>
      </c>
      <c r="AB137" s="145">
        <f t="shared" si="89"/>
        <v>289.00471772800006</v>
      </c>
      <c r="AC137" s="145">
        <f>+(S137-T137)*V137-'data 1'!$F$4</f>
        <v>24.718500000000006</v>
      </c>
      <c r="AD137" s="145">
        <f t="shared" si="90"/>
        <v>71.001634330276062</v>
      </c>
      <c r="AE137" s="145">
        <f t="shared" si="91"/>
        <v>29.207000000000001</v>
      </c>
      <c r="AF137" s="145">
        <f t="shared" si="92"/>
        <v>73.315667852388074</v>
      </c>
      <c r="AG137" s="772">
        <f t="shared" si="93"/>
        <v>215.24280218266415</v>
      </c>
      <c r="AH137" s="1253">
        <f t="shared" si="94"/>
        <v>13.244</v>
      </c>
      <c r="AI137" s="1253">
        <f t="shared" si="95"/>
        <v>14.686999999999999</v>
      </c>
      <c r="AJ137" s="156">
        <f t="shared" si="96"/>
        <v>67.761290939723978</v>
      </c>
      <c r="AK137" s="156">
        <f t="shared" si="97"/>
        <v>10.37975037643008</v>
      </c>
      <c r="AM137" s="716">
        <f t="shared" si="98"/>
        <v>759.50439818918414</v>
      </c>
      <c r="AN137" s="716" t="str">
        <f>_xlfn.XLOOKUP(D137,RUC!$B$3:$B$578,RUC!$M$3:$M$578)</f>
        <v>Ronald Miranda</v>
      </c>
      <c r="AO137" s="1167" t="s">
        <v>2276</v>
      </c>
      <c r="AP137" s="1082" t="s">
        <v>4245</v>
      </c>
      <c r="AQ137" s="1082" t="s">
        <v>4861</v>
      </c>
    </row>
    <row r="138" spans="1:43" ht="15" customHeight="1">
      <c r="A138" s="1140" t="s">
        <v>6157</v>
      </c>
      <c r="C138" s="1958">
        <v>46198</v>
      </c>
      <c r="D138" s="1943" t="s">
        <v>3062</v>
      </c>
      <c r="E138" s="762">
        <f>_xlfn.XLOOKUP(D138,RUC!$B$3:$B$123,RUC!$D$3:$D$123)</f>
        <v>20610807004</v>
      </c>
      <c r="F138" s="629" t="s">
        <v>6174</v>
      </c>
      <c r="G138" s="762">
        <v>41</v>
      </c>
      <c r="H138" s="1082" t="s">
        <v>2005</v>
      </c>
      <c r="I138" s="703">
        <v>2.92</v>
      </c>
      <c r="J138" s="596">
        <v>6.25</v>
      </c>
      <c r="K138" s="703">
        <f t="shared" si="60"/>
        <v>2.738</v>
      </c>
      <c r="L138" s="1192">
        <v>0.215</v>
      </c>
      <c r="M138" s="994">
        <f>ROUND(+IF(L138&gt;_xlfn.XLOOKUP(AN138,RUC!M:M,RUC!K:K),L138*_xlfn.XLOOKUP(AN138,RUC!M:M,RUC!I:I),L138-_xlfn.XLOOKUP(AN138,RUC!M:M,RUC!J:J)),3)</f>
        <v>0.19600000000000001</v>
      </c>
      <c r="N138" s="1196">
        <f t="shared" si="86"/>
        <v>0.19600000000000001</v>
      </c>
      <c r="O138" s="645">
        <f t="shared" si="87"/>
        <v>0.19600000000000001</v>
      </c>
      <c r="P138" s="727">
        <v>90</v>
      </c>
      <c r="Q138" s="875">
        <v>96.28</v>
      </c>
      <c r="R138" s="706">
        <v>4001.8</v>
      </c>
      <c r="S138" s="765">
        <f>IF((_xlfn.XLOOKUP(D138,RUC!$B$3:$B$119,RUC!$E$3:$E$119)+ROUNDDOWN(O138,1)*100)&lt;95,95,((_xlfn.XLOOKUP(D138,RUC!$B$3:$B$119,RUC!$E$3:$E$119)+ROUNDDOWN(O138,1)*100)))</f>
        <v>95</v>
      </c>
      <c r="U138" s="1146">
        <f>_xlfn.XLOOKUP(D138,RUC!$B$3:$B$123,RUC!$F$3:$F$123)</f>
        <v>120</v>
      </c>
      <c r="V138" s="715">
        <v>1.1023000000000001</v>
      </c>
      <c r="Y138" s="1972">
        <f>_xlfn.XLOOKUP(D138,RUC!$B$3:$B$123,RUC!$G$3:$G$123)</f>
        <v>20</v>
      </c>
      <c r="Z138" s="143">
        <f>_xlfn.XLOOKUP(D138,RUC!$B$3:$B$123,RUC!$H$3:$H$123)</f>
        <v>30</v>
      </c>
      <c r="AA138" s="144">
        <f t="shared" si="88"/>
        <v>50</v>
      </c>
      <c r="AB138" s="145">
        <f t="shared" si="89"/>
        <v>594.96589589600012</v>
      </c>
      <c r="AC138" s="145">
        <f>+(S138-T138)*V138-'data 1'!$F$4</f>
        <v>24.718500000000006</v>
      </c>
      <c r="AD138" s="145">
        <f t="shared" si="90"/>
        <v>57.773817706280013</v>
      </c>
      <c r="AE138" s="145">
        <f t="shared" si="91"/>
        <v>-14.884999999999998</v>
      </c>
      <c r="AF138" s="145">
        <f t="shared" si="92"/>
        <v>78.274922386647958</v>
      </c>
      <c r="AG138" s="772">
        <f t="shared" si="93"/>
        <v>162.88224009292799</v>
      </c>
      <c r="AH138" s="1253">
        <f t="shared" si="94"/>
        <v>19.431999999999999</v>
      </c>
      <c r="AI138" s="1253">
        <f t="shared" si="95"/>
        <v>20.183</v>
      </c>
      <c r="AJ138" s="156">
        <f t="shared" si="96"/>
        <v>95.424166983719957</v>
      </c>
      <c r="AK138" s="156">
        <f t="shared" si="97"/>
        <v>16.559266433630761</v>
      </c>
      <c r="AM138" s="716">
        <f t="shared" si="98"/>
        <v>1629.0166229632482</v>
      </c>
      <c r="AN138" s="716" t="str">
        <f>_xlfn.XLOOKUP(D138,RUC!$B$3:$B$578,RUC!$M$3:$M$578)</f>
        <v>Renzo</v>
      </c>
      <c r="AO138" s="1167" t="s">
        <v>2276</v>
      </c>
      <c r="AP138" s="1082" t="s">
        <v>4075</v>
      </c>
      <c r="AQ138" s="1082" t="s">
        <v>6167</v>
      </c>
    </row>
    <row r="139" spans="1:43" ht="15" customHeight="1">
      <c r="A139" s="1140" t="s">
        <v>6158</v>
      </c>
      <c r="C139" s="1958">
        <v>46198</v>
      </c>
      <c r="D139" s="1943" t="s">
        <v>3062</v>
      </c>
      <c r="E139" s="762">
        <f>_xlfn.XLOOKUP(D139,RUC!$B$3:$B$123,RUC!$D$3:$D$123)</f>
        <v>20610807004</v>
      </c>
      <c r="F139" s="629" t="s">
        <v>6174</v>
      </c>
      <c r="G139" s="762">
        <v>39</v>
      </c>
      <c r="H139" s="1082" t="s">
        <v>2005</v>
      </c>
      <c r="I139" s="703">
        <v>2.36</v>
      </c>
      <c r="J139" s="596">
        <v>12.55</v>
      </c>
      <c r="K139" s="703">
        <f t="shared" si="60"/>
        <v>2.0640000000000001</v>
      </c>
      <c r="L139" s="1192">
        <v>0.315</v>
      </c>
      <c r="M139" s="994">
        <f>ROUND(+IF(L139&gt;_xlfn.XLOOKUP(AN139,RUC!M:M,RUC!K:K),L139*_xlfn.XLOOKUP(AN139,RUC!M:M,RUC!I:I),L139-_xlfn.XLOOKUP(AN139,RUC!M:M,RUC!J:J)),3)</f>
        <v>0.29599999999999999</v>
      </c>
      <c r="N139" s="1196">
        <f t="shared" si="86"/>
        <v>0.29599999999999999</v>
      </c>
      <c r="O139" s="645">
        <f t="shared" si="87"/>
        <v>0.29599999999999999</v>
      </c>
      <c r="P139" s="727">
        <v>90</v>
      </c>
      <c r="Q139" s="875">
        <v>95.21</v>
      </c>
      <c r="R139" s="706">
        <v>4001.8</v>
      </c>
      <c r="S139" s="765">
        <f>IF((_xlfn.XLOOKUP(D139,RUC!$B$3:$B$119,RUC!$E$3:$E$119)+ROUNDDOWN(O139,1)*100)&lt;95,95,((_xlfn.XLOOKUP(D139,RUC!$B$3:$B$119,RUC!$E$3:$E$119)+ROUNDDOWN(O139,1)*100)))</f>
        <v>105</v>
      </c>
      <c r="U139" s="1146">
        <f>_xlfn.XLOOKUP(D139,RUC!$B$3:$B$123,RUC!$F$3:$F$123)</f>
        <v>120</v>
      </c>
      <c r="V139" s="715">
        <v>1.1023000000000001</v>
      </c>
      <c r="Y139" s="1972">
        <f>_xlfn.XLOOKUP(D139,RUC!$B$3:$B$123,RUC!$G$3:$G$123)</f>
        <v>20</v>
      </c>
      <c r="Z139" s="143">
        <f>_xlfn.XLOOKUP(D139,RUC!$B$3:$B$123,RUC!$H$3:$H$123)</f>
        <v>30</v>
      </c>
      <c r="AA139" s="144">
        <f t="shared" si="88"/>
        <v>50</v>
      </c>
      <c r="AB139" s="145">
        <f t="shared" si="89"/>
        <v>969.04462849599997</v>
      </c>
      <c r="AC139" s="145">
        <f>+(S139-T139)*V139-'data 1'!$F$4</f>
        <v>35.741500000000002</v>
      </c>
      <c r="AD139" s="145">
        <f t="shared" si="90"/>
        <v>70.223300939609928</v>
      </c>
      <c r="AE139" s="145">
        <f t="shared" si="91"/>
        <v>-14.884999999999998</v>
      </c>
      <c r="AF139" s="145">
        <f t="shared" si="92"/>
        <v>77.405020361786072</v>
      </c>
      <c r="AG139" s="772">
        <f t="shared" si="93"/>
        <v>185.48482130139598</v>
      </c>
      <c r="AH139" s="1253">
        <f t="shared" si="94"/>
        <v>21.222999999999999</v>
      </c>
      <c r="AI139" s="1253">
        <f t="shared" si="95"/>
        <v>22.291</v>
      </c>
      <c r="AJ139" s="156">
        <f t="shared" si="96"/>
        <v>138.25376110538994</v>
      </c>
      <c r="AK139" s="156">
        <f t="shared" si="97"/>
        <v>18.851806905137281</v>
      </c>
      <c r="AM139" s="716">
        <f t="shared" si="98"/>
        <v>2000.108113215744</v>
      </c>
      <c r="AN139" s="716" t="str">
        <f>_xlfn.XLOOKUP(D139,RUC!$B$3:$B$578,RUC!$M$3:$M$578)</f>
        <v>Renzo</v>
      </c>
      <c r="AO139" s="1167" t="s">
        <v>2276</v>
      </c>
      <c r="AP139" s="1082" t="s">
        <v>4075</v>
      </c>
      <c r="AQ139" s="1082" t="s">
        <v>6167</v>
      </c>
    </row>
    <row r="140" spans="1:43" ht="15" customHeight="1">
      <c r="A140" s="1140" t="s">
        <v>6159</v>
      </c>
      <c r="C140" s="1958">
        <v>46199</v>
      </c>
      <c r="D140" s="1943" t="s">
        <v>3062</v>
      </c>
      <c r="E140" s="762">
        <f>_xlfn.XLOOKUP(D140,RUC!$B$3:$B$123,RUC!$D$3:$D$123)</f>
        <v>20610807004</v>
      </c>
      <c r="F140" s="629" t="s">
        <v>6174</v>
      </c>
      <c r="G140" s="762">
        <v>33</v>
      </c>
      <c r="H140" s="1082" t="s">
        <v>2005</v>
      </c>
      <c r="I140" s="703">
        <v>2.4500000000000002</v>
      </c>
      <c r="J140" s="596">
        <v>11.45</v>
      </c>
      <c r="K140" s="703">
        <f t="shared" si="60"/>
        <v>2.169</v>
      </c>
      <c r="L140" s="1192">
        <v>0.45900000000000002</v>
      </c>
      <c r="M140" s="994">
        <f>ROUND(+IF(L140&gt;_xlfn.XLOOKUP(AN140,RUC!M:M,RUC!K:K),L140*_xlfn.XLOOKUP(AN140,RUC!M:M,RUC!I:I),L140-_xlfn.XLOOKUP(AN140,RUC!M:M,RUC!J:J)),3)</f>
        <v>0.43099999999999999</v>
      </c>
      <c r="N140" s="1196">
        <f t="shared" ref="N140:N155" si="99">+M140</f>
        <v>0.43099999999999999</v>
      </c>
      <c r="O140" s="645">
        <f t="shared" ref="O140:O155" si="100">+ROUNDDOWN((M140+N140)/2,3)</f>
        <v>0.43099999999999999</v>
      </c>
      <c r="P140" s="727">
        <v>90</v>
      </c>
      <c r="Q140" s="875">
        <v>94.12</v>
      </c>
      <c r="R140" s="706">
        <v>4072.05</v>
      </c>
      <c r="S140" s="765">
        <f>IF((_xlfn.XLOOKUP(D140,RUC!$B$3:$B$119,RUC!$E$3:$E$119)+ROUNDDOWN(O140,1)*100)&lt;95,95,((_xlfn.XLOOKUP(D140,RUC!$B$3:$B$119,RUC!$E$3:$E$119)+ROUNDDOWN(O140,1)*100)))</f>
        <v>125</v>
      </c>
      <c r="U140" s="1146">
        <f>_xlfn.XLOOKUP(D140,RUC!$B$3:$B$123,RUC!$F$3:$F$123)</f>
        <v>120</v>
      </c>
      <c r="V140" s="715">
        <v>1.1023000000000001</v>
      </c>
      <c r="Y140" s="1972">
        <f>_xlfn.XLOOKUP(D140,RUC!$B$3:$B$123,RUC!$G$3:$G$123)</f>
        <v>20</v>
      </c>
      <c r="Z140" s="143">
        <f>_xlfn.XLOOKUP(D140,RUC!$B$3:$B$123,RUC!$H$3:$H$123)</f>
        <v>30</v>
      </c>
      <c r="AA140" s="144">
        <f t="shared" si="88"/>
        <v>50</v>
      </c>
      <c r="AB140" s="145">
        <f t="shared" si="89"/>
        <v>1496.9236149485</v>
      </c>
      <c r="AC140" s="145">
        <f>+(S140-T140)*V140-'data 1'!$F$4</f>
        <v>57.787499999999994</v>
      </c>
      <c r="AD140" s="145">
        <f t="shared" si="90"/>
        <v>82.3819636364221</v>
      </c>
      <c r="AE140" s="145">
        <f t="shared" si="91"/>
        <v>-14.884999999999998</v>
      </c>
      <c r="AF140" s="145">
        <f t="shared" si="92"/>
        <v>114.80536608122412</v>
      </c>
      <c r="AG140" s="772">
        <f t="shared" si="93"/>
        <v>257.08982971764624</v>
      </c>
      <c r="AH140" s="1253">
        <f t="shared" si="94"/>
        <v>32.125999999999998</v>
      </c>
      <c r="AI140" s="1253">
        <f t="shared" si="95"/>
        <v>34.134</v>
      </c>
      <c r="AJ140" s="156">
        <f t="shared" si="96"/>
        <v>165.69570540907793</v>
      </c>
      <c r="AK140" s="156">
        <f t="shared" si="97"/>
        <v>28.846186091346556</v>
      </c>
      <c r="AM140" s="716">
        <f t="shared" si="98"/>
        <v>3246.8273208232968</v>
      </c>
      <c r="AN140" s="716" t="str">
        <f>_xlfn.XLOOKUP(D140,RUC!$B$3:$B$578,RUC!$M$3:$M$578)</f>
        <v>Renzo</v>
      </c>
      <c r="AO140" s="1167" t="s">
        <v>2276</v>
      </c>
      <c r="AP140" s="1082" t="s">
        <v>4075</v>
      </c>
      <c r="AQ140" s="1082" t="s">
        <v>6167</v>
      </c>
    </row>
    <row r="141" spans="1:43" s="1972" customFormat="1" ht="15" customHeight="1">
      <c r="A141" s="1140" t="s">
        <v>6160</v>
      </c>
      <c r="B141" s="1447"/>
      <c r="C141" s="1958">
        <v>46199</v>
      </c>
      <c r="D141" s="1943" t="s">
        <v>1967</v>
      </c>
      <c r="E141" s="762">
        <f>_xlfn.XLOOKUP(D141,RUC!$B$3:$B$123,RUC!$D$3:$D$123)</f>
        <v>20601769396</v>
      </c>
      <c r="F141" s="629" t="s">
        <v>6202</v>
      </c>
      <c r="G141" s="762">
        <v>22</v>
      </c>
      <c r="H141" s="1082" t="s">
        <v>2005</v>
      </c>
      <c r="I141" s="703">
        <v>1.5</v>
      </c>
      <c r="J141" s="596">
        <v>16.03</v>
      </c>
      <c r="K141" s="703">
        <f t="shared" si="60"/>
        <v>1.26</v>
      </c>
      <c r="L141" s="1192">
        <v>0.317</v>
      </c>
      <c r="M141" s="994">
        <f>ROUND(+IF(L141&gt;_xlfn.XLOOKUP(AN141,RUC!M:M,RUC!K:K),L141*_xlfn.XLOOKUP(AN141,RUC!M:M,RUC!I:I),L141-_xlfn.XLOOKUP(AN141,RUC!M:M,RUC!J:J)),3)</f>
        <v>0.29799999999999999</v>
      </c>
      <c r="N141" s="1196">
        <f t="shared" si="99"/>
        <v>0.29799999999999999</v>
      </c>
      <c r="O141" s="645">
        <f t="shared" si="100"/>
        <v>0.29799999999999999</v>
      </c>
      <c r="P141" s="727">
        <v>90</v>
      </c>
      <c r="Q141" s="875">
        <v>95.27</v>
      </c>
      <c r="R141" s="706">
        <v>4072.05</v>
      </c>
      <c r="S141" s="765">
        <f>IF((_xlfn.XLOOKUP(D141,RUC!$B$3:$B$119,RUC!$E$3:$E$119)+ROUNDDOWN(O141,1)*100)&lt;95,95,((_xlfn.XLOOKUP(D141,RUC!$B$3:$B$119,RUC!$E$3:$E$119)+ROUNDDOWN(O141,1)*100)))</f>
        <v>110</v>
      </c>
      <c r="U141" s="1146">
        <f>_xlfn.XLOOKUP(D141,RUC!$B$3:$B$123,RUC!$F$3:$F$123)</f>
        <v>120</v>
      </c>
      <c r="V141" s="715">
        <v>1.1023000000000001</v>
      </c>
      <c r="Y141" s="1972">
        <f>_xlfn.XLOOKUP(D141,RUC!$B$3:$B$123,RUC!$G$3:$G$123)</f>
        <v>20</v>
      </c>
      <c r="Z141" s="143">
        <f>_xlfn.XLOOKUP(D141,RUC!$B$3:$B$123,RUC!$H$3:$H$123)</f>
        <v>30</v>
      </c>
      <c r="AA141" s="144">
        <f t="shared" ref="AA141:AA158" si="101">+Y141+Z141</f>
        <v>50</v>
      </c>
      <c r="AB141" s="145">
        <f t="shared" ref="AB141:AB158" si="102">+((O141*P141*(R141-U141)/100)-S141-AA141+T141)*V141</f>
        <v>992.00365256300017</v>
      </c>
      <c r="AC141" s="145">
        <f>+(S141-T141)*V141-'data 1'!$F$4</f>
        <v>41.253</v>
      </c>
      <c r="AD141" s="145">
        <f t="shared" ref="AD141:AD158" si="103">+(Q141-P141)*(R141-U141)*L141*V141/100</f>
        <v>72.776659174318453</v>
      </c>
      <c r="AE141" s="145">
        <f t="shared" ref="AE141:AE158" si="104">+(Y141*V141-70)+V141*(Z141-IF(D141="UNTUCA",IF(+((W141-3)*2.5+(X141-3)*3.1)&gt;0,+((W141-3)*1.5+(X141-3)*3.1),0),IF(+((W141-3)*1.5+(X141-3)*3.1)&gt;0,+((W141-3)*1.5+(X141-3)*3.1),0)))</f>
        <v>-14.884999999999998</v>
      </c>
      <c r="AF141" s="145">
        <f t="shared" ref="AF141:AF158" si="105">(L141-O141)*(R141-U141)*Q141*V141/100</f>
        <v>78.855502589629566</v>
      </c>
      <c r="AG141" s="772">
        <f t="shared" ref="AG141:AG158" si="106">AC141+AD141+AE141+AF141+70-53</f>
        <v>195.00016176394803</v>
      </c>
      <c r="AH141" s="1253">
        <f t="shared" ref="AH141:AH158" si="107">ROUND((31.1035*L141*Q141*1.1023*K141/100),3)</f>
        <v>13.047000000000001</v>
      </c>
      <c r="AI141" s="1253">
        <f t="shared" ref="AI141:AI158" si="108">ROUND((31.1035*L141*1.1023*K141),3)</f>
        <v>13.694000000000001</v>
      </c>
      <c r="AJ141" s="156">
        <f t="shared" ref="AJ141:AJ158" si="109">+((+$AJ$2-R141+U141)*L141*Q141*V141)/100</f>
        <v>115.83293898718144</v>
      </c>
      <c r="AK141" s="156">
        <f t="shared" ref="AK141:AK158" si="110">31.1035*1.1023*K141*P141*O141/100</f>
        <v>11.5861297545126</v>
      </c>
      <c r="AM141" s="716">
        <f t="shared" ref="AM141:AM158" si="111">+IF(AB141*K141&gt;0,AB141*K141,0)</f>
        <v>1249.9246022293803</v>
      </c>
      <c r="AN141" s="716" t="str">
        <f>_xlfn.XLOOKUP(D141,RUC!$B$3:$B$578,RUC!$M$3:$M$578)</f>
        <v>Evelyn</v>
      </c>
      <c r="AO141" s="1167" t="s">
        <v>2276</v>
      </c>
      <c r="AP141" s="1082"/>
      <c r="AQ141" s="1082"/>
    </row>
    <row r="142" spans="1:43" s="1972" customFormat="1" ht="15" customHeight="1">
      <c r="A142" s="1140" t="s">
        <v>6161</v>
      </c>
      <c r="B142" s="1447"/>
      <c r="C142" s="1958">
        <v>46199</v>
      </c>
      <c r="D142" s="1943" t="s">
        <v>1967</v>
      </c>
      <c r="E142" s="762">
        <f>_xlfn.XLOOKUP(D142,RUC!$B$3:$B$123,RUC!$D$3:$D$123)</f>
        <v>20601769396</v>
      </c>
      <c r="F142" s="629" t="s">
        <v>5619</v>
      </c>
      <c r="G142" s="762">
        <v>22</v>
      </c>
      <c r="H142" s="1082" t="s">
        <v>116</v>
      </c>
      <c r="I142" s="703">
        <v>1.57</v>
      </c>
      <c r="J142" s="596">
        <v>13.4</v>
      </c>
      <c r="K142" s="703">
        <f t="shared" si="60"/>
        <v>1.36</v>
      </c>
      <c r="L142" s="1192">
        <v>0.16</v>
      </c>
      <c r="M142" s="994">
        <f>ROUND(+IF(L142&gt;_xlfn.XLOOKUP(AN142,RUC!M:M,RUC!K:K),L142*_xlfn.XLOOKUP(AN142,RUC!M:M,RUC!I:I),L142-_xlfn.XLOOKUP(AN142,RUC!M:M,RUC!J:J)),3)</f>
        <v>0.14099999999999999</v>
      </c>
      <c r="N142" s="1196">
        <f t="shared" si="99"/>
        <v>0.14099999999999999</v>
      </c>
      <c r="O142" s="645">
        <f t="shared" si="100"/>
        <v>0.14099999999999999</v>
      </c>
      <c r="P142" s="727">
        <v>90</v>
      </c>
      <c r="Q142" s="875">
        <v>90</v>
      </c>
      <c r="R142" s="706">
        <v>4072.05</v>
      </c>
      <c r="S142" s="765">
        <f>IF((_xlfn.XLOOKUP(D142,RUC!$B$3:$B$119,RUC!$E$3:$E$119)+ROUNDDOWN(O142,1)*100)&lt;95,95,((_xlfn.XLOOKUP(D142,RUC!$B$3:$B$119,RUC!$E$3:$E$119)+ROUNDDOWN(O142,1)*100)))</f>
        <v>100</v>
      </c>
      <c r="U142" s="1146">
        <f>_xlfn.XLOOKUP(D142,RUC!$B$3:$B$123,RUC!$F$3:$F$123)</f>
        <v>120</v>
      </c>
      <c r="V142" s="715">
        <v>1.1023000000000001</v>
      </c>
      <c r="Y142" s="1972">
        <f>_xlfn.XLOOKUP(D142,RUC!$B$3:$B$123,RUC!$G$3:$G$123)</f>
        <v>20</v>
      </c>
      <c r="Z142" s="143">
        <f>_xlfn.XLOOKUP(D142,RUC!$B$3:$B$123,RUC!$H$3:$H$123)</f>
        <v>30</v>
      </c>
      <c r="AA142" s="144">
        <f t="shared" si="101"/>
        <v>50</v>
      </c>
      <c r="AB142" s="145">
        <f t="shared" si="102"/>
        <v>387.4751443335</v>
      </c>
      <c r="AC142" s="145">
        <f>+(S142-T142)*V142-'data 1'!$F$4</f>
        <v>30.230000000000004</v>
      </c>
      <c r="AD142" s="145">
        <f t="shared" si="103"/>
        <v>0</v>
      </c>
      <c r="AE142" s="145">
        <f t="shared" si="104"/>
        <v>-14.884999999999998</v>
      </c>
      <c r="AF142" s="145">
        <f t="shared" si="105"/>
        <v>74.49349462650008</v>
      </c>
      <c r="AG142" s="772">
        <f t="shared" si="106"/>
        <v>106.83849462650008</v>
      </c>
      <c r="AH142" s="1253">
        <f t="shared" si="107"/>
        <v>6.7140000000000004</v>
      </c>
      <c r="AI142" s="1253">
        <f t="shared" si="108"/>
        <v>7.4610000000000003</v>
      </c>
      <c r="AJ142" s="156">
        <f t="shared" si="109"/>
        <v>55.230521039999964</v>
      </c>
      <c r="AK142" s="156">
        <f t="shared" si="110"/>
        <v>5.9171094112211993</v>
      </c>
      <c r="AM142" s="716">
        <f t="shared" si="111"/>
        <v>526.96619629356007</v>
      </c>
      <c r="AN142" s="716" t="str">
        <f>_xlfn.XLOOKUP(D142,RUC!$B$3:$B$578,RUC!$M$3:$M$578)</f>
        <v>Evelyn</v>
      </c>
      <c r="AO142" s="1167" t="s">
        <v>2276</v>
      </c>
      <c r="AP142" s="1082"/>
      <c r="AQ142" s="1082"/>
    </row>
    <row r="143" spans="1:43" s="1972" customFormat="1" ht="15" customHeight="1">
      <c r="A143" s="1140" t="s">
        <v>6179</v>
      </c>
      <c r="B143" s="1447"/>
      <c r="C143" s="1958">
        <v>46199</v>
      </c>
      <c r="D143" s="1943" t="s">
        <v>1967</v>
      </c>
      <c r="E143" s="762">
        <f>_xlfn.XLOOKUP(D143,RUC!$B$3:$B$123,RUC!$D$3:$D$123)</f>
        <v>20601769396</v>
      </c>
      <c r="F143" s="629" t="s">
        <v>5619</v>
      </c>
      <c r="G143" s="762">
        <v>22</v>
      </c>
      <c r="H143" s="1082" t="s">
        <v>116</v>
      </c>
      <c r="I143" s="703">
        <v>1.6</v>
      </c>
      <c r="J143" s="596">
        <v>14.33</v>
      </c>
      <c r="K143" s="703">
        <f t="shared" si="60"/>
        <v>1.371</v>
      </c>
      <c r="L143" s="1192">
        <v>0.13900000000000001</v>
      </c>
      <c r="M143" s="994">
        <f>ROUND(+IF(L143&gt;_xlfn.XLOOKUP(AN143,RUC!M:M,RUC!K:K),L143*_xlfn.XLOOKUP(AN143,RUC!M:M,RUC!I:I),L143-_xlfn.XLOOKUP(AN143,RUC!M:M,RUC!J:J)),3)</f>
        <v>0.12</v>
      </c>
      <c r="N143" s="1196">
        <f t="shared" si="99"/>
        <v>0.12</v>
      </c>
      <c r="O143" s="645">
        <f t="shared" si="100"/>
        <v>0.12</v>
      </c>
      <c r="P143" s="727">
        <v>80</v>
      </c>
      <c r="Q143" s="1899">
        <v>87.77</v>
      </c>
      <c r="R143" s="706">
        <v>4072.05</v>
      </c>
      <c r="S143" s="765">
        <f>IF((_xlfn.XLOOKUP(D143,RUC!$B$3:$B$119,RUC!$E$3:$E$119)+ROUNDDOWN(O143,1)*100)&lt;95,95,((_xlfn.XLOOKUP(D143,RUC!$B$3:$B$119,RUC!$E$3:$E$119)+ROUNDDOWN(O143,1)*100)))</f>
        <v>100</v>
      </c>
      <c r="U143" s="1146">
        <f>_xlfn.XLOOKUP(D143,RUC!$B$3:$B$123,RUC!$F$3:$F$123)</f>
        <v>120</v>
      </c>
      <c r="V143" s="715">
        <v>1.1023000000000001</v>
      </c>
      <c r="Y143" s="1972">
        <f>_xlfn.XLOOKUP(D143,RUC!$B$3:$B$123,RUC!$G$3:$G$123)</f>
        <v>20</v>
      </c>
      <c r="Z143" s="143">
        <f>_xlfn.XLOOKUP(D143,RUC!$B$3:$B$123,RUC!$H$3:$H$123)</f>
        <v>30</v>
      </c>
      <c r="AA143" s="144">
        <f t="shared" si="101"/>
        <v>50</v>
      </c>
      <c r="AB143" s="145">
        <f t="shared" si="102"/>
        <v>252.86409264</v>
      </c>
      <c r="AC143" s="145">
        <f>+(S143-T143)*V143-'data 1'!$F$4</f>
        <v>30.230000000000004</v>
      </c>
      <c r="AD143" s="145">
        <f t="shared" si="103"/>
        <v>47.049829825414491</v>
      </c>
      <c r="AE143" s="145">
        <f t="shared" si="104"/>
        <v>-14.884999999999998</v>
      </c>
      <c r="AF143" s="145">
        <f t="shared" si="105"/>
        <v>72.647711370754564</v>
      </c>
      <c r="AG143" s="772">
        <f t="shared" si="106"/>
        <v>152.04254119616905</v>
      </c>
      <c r="AH143" s="1253">
        <f t="shared" si="107"/>
        <v>5.7350000000000003</v>
      </c>
      <c r="AI143" s="1253">
        <f t="shared" si="108"/>
        <v>6.5339999999999998</v>
      </c>
      <c r="AJ143" s="156">
        <f t="shared" si="109"/>
        <v>46.792639833585483</v>
      </c>
      <c r="AK143" s="156">
        <f t="shared" si="110"/>
        <v>4.5125056335887992</v>
      </c>
      <c r="AM143" s="716">
        <f t="shared" si="111"/>
        <v>346.67667100943999</v>
      </c>
      <c r="AN143" s="716" t="str">
        <f>_xlfn.XLOOKUP(D143,RUC!$B$3:$B$578,RUC!$M$3:$M$578)</f>
        <v>Evelyn</v>
      </c>
      <c r="AO143" s="1167" t="s">
        <v>2276</v>
      </c>
      <c r="AP143" s="1082"/>
      <c r="AQ143" s="1082"/>
    </row>
    <row r="144" spans="1:43" s="1972" customFormat="1" ht="15" customHeight="1">
      <c r="A144" s="1140" t="s">
        <v>6180</v>
      </c>
      <c r="B144" s="1447"/>
      <c r="C144" s="1958">
        <v>46199</v>
      </c>
      <c r="D144" s="1943" t="s">
        <v>1967</v>
      </c>
      <c r="E144" s="762">
        <f>_xlfn.XLOOKUP(D144,RUC!$B$3:$B$123,RUC!$D$3:$D$123)</f>
        <v>20601769396</v>
      </c>
      <c r="F144" s="629" t="s">
        <v>5619</v>
      </c>
      <c r="G144" s="762">
        <v>23</v>
      </c>
      <c r="H144" s="1082" t="s">
        <v>116</v>
      </c>
      <c r="I144" s="703">
        <v>1.62</v>
      </c>
      <c r="J144" s="596">
        <v>14.95</v>
      </c>
      <c r="K144" s="703">
        <f t="shared" si="60"/>
        <v>1.3779999999999999</v>
      </c>
      <c r="L144" s="1192">
        <v>0.151</v>
      </c>
      <c r="M144" s="994">
        <f>ROUND(+IF(L144&gt;_xlfn.XLOOKUP(AN144,RUC!M:M,RUC!K:K),L144*_xlfn.XLOOKUP(AN144,RUC!M:M,RUC!I:I),L144-_xlfn.XLOOKUP(AN144,RUC!M:M,RUC!J:J)),3)</f>
        <v>0.13200000000000001</v>
      </c>
      <c r="N144" s="1196">
        <f t="shared" si="99"/>
        <v>0.13200000000000001</v>
      </c>
      <c r="O144" s="645">
        <f t="shared" si="100"/>
        <v>0.13200000000000001</v>
      </c>
      <c r="P144" s="727">
        <v>80</v>
      </c>
      <c r="Q144" s="875">
        <v>89.4</v>
      </c>
      <c r="R144" s="706">
        <v>4072.05</v>
      </c>
      <c r="S144" s="765">
        <f>IF((_xlfn.XLOOKUP(D144,RUC!$B$3:$B$119,RUC!$E$3:$E$119)+ROUNDDOWN(O144,1)*100)&lt;95,95,((_xlfn.XLOOKUP(D144,RUC!$B$3:$B$119,RUC!$E$3:$E$119)+ROUNDDOWN(O144,1)*100)))</f>
        <v>100</v>
      </c>
      <c r="U144" s="1146">
        <f>_xlfn.XLOOKUP(D144,RUC!$B$3:$B$123,RUC!$F$3:$F$123)</f>
        <v>120</v>
      </c>
      <c r="V144" s="715">
        <v>1.1023000000000001</v>
      </c>
      <c r="Y144" s="1972">
        <f>_xlfn.XLOOKUP(D144,RUC!$B$3:$B$123,RUC!$G$3:$G$123)</f>
        <v>20</v>
      </c>
      <c r="Z144" s="143">
        <f>_xlfn.XLOOKUP(D144,RUC!$B$3:$B$123,RUC!$H$3:$H$123)</f>
        <v>30</v>
      </c>
      <c r="AA144" s="144">
        <f t="shared" si="101"/>
        <v>50</v>
      </c>
      <c r="AB144" s="145">
        <f t="shared" si="102"/>
        <v>294.68500190399999</v>
      </c>
      <c r="AC144" s="145">
        <f>+(S144-T144)*V144-'data 1'!$F$4</f>
        <v>30.230000000000004</v>
      </c>
      <c r="AD144" s="145">
        <f t="shared" si="103"/>
        <v>61.833956884710048</v>
      </c>
      <c r="AE144" s="145">
        <f t="shared" si="104"/>
        <v>-14.884999999999998</v>
      </c>
      <c r="AF144" s="145">
        <f t="shared" si="105"/>
        <v>73.996871328989968</v>
      </c>
      <c r="AG144" s="772">
        <f t="shared" si="106"/>
        <v>168.17582821370002</v>
      </c>
      <c r="AH144" s="1253">
        <f t="shared" si="107"/>
        <v>6.3780000000000001</v>
      </c>
      <c r="AI144" s="1253">
        <f t="shared" si="108"/>
        <v>7.1340000000000003</v>
      </c>
      <c r="AJ144" s="156">
        <f t="shared" si="109"/>
        <v>51.776312203289983</v>
      </c>
      <c r="AK144" s="156">
        <f t="shared" si="110"/>
        <v>4.9890999557942406</v>
      </c>
      <c r="AM144" s="716">
        <f t="shared" si="111"/>
        <v>406.07593262371194</v>
      </c>
      <c r="AN144" s="716" t="str">
        <f>_xlfn.XLOOKUP(D144,RUC!$B$3:$B$578,RUC!$M$3:$M$578)</f>
        <v>Evelyn</v>
      </c>
      <c r="AO144" s="1167" t="s">
        <v>2276</v>
      </c>
      <c r="AP144" s="1082"/>
      <c r="AQ144" s="1082"/>
    </row>
    <row r="145" spans="1:43" s="1972" customFormat="1" ht="15" customHeight="1">
      <c r="A145" s="1140" t="s">
        <v>6181</v>
      </c>
      <c r="B145" s="1447"/>
      <c r="C145" s="1958">
        <v>46200</v>
      </c>
      <c r="D145" s="1943" t="s">
        <v>1967</v>
      </c>
      <c r="E145" s="762">
        <f>_xlfn.XLOOKUP(D145,RUC!$B$3:$B$123,RUC!$D$3:$D$123)</f>
        <v>20601769396</v>
      </c>
      <c r="F145" s="629" t="s">
        <v>5619</v>
      </c>
      <c r="G145" s="762">
        <v>23</v>
      </c>
      <c r="H145" s="1082" t="s">
        <v>116</v>
      </c>
      <c r="I145" s="703">
        <v>1.59</v>
      </c>
      <c r="J145" s="596">
        <v>15.5</v>
      </c>
      <c r="K145" s="703">
        <f t="shared" si="60"/>
        <v>1.3440000000000001</v>
      </c>
      <c r="L145" s="1192">
        <v>0.17599999999999999</v>
      </c>
      <c r="M145" s="994">
        <f>ROUND(+IF(L145&gt;_xlfn.XLOOKUP(AN145,RUC!M:M,RUC!K:K),L145*_xlfn.XLOOKUP(AN145,RUC!M:M,RUC!I:I),L145-_xlfn.XLOOKUP(AN145,RUC!M:M,RUC!J:J)),3)</f>
        <v>0.157</v>
      </c>
      <c r="N145" s="1196">
        <f t="shared" si="99"/>
        <v>0.157</v>
      </c>
      <c r="O145" s="645">
        <f t="shared" si="100"/>
        <v>0.157</v>
      </c>
      <c r="P145" s="727">
        <v>85</v>
      </c>
      <c r="Q145" s="875">
        <v>93.18</v>
      </c>
      <c r="R145" s="706">
        <v>4072.05</v>
      </c>
      <c r="S145" s="765">
        <f>IF((_xlfn.XLOOKUP(D145,RUC!$B$3:$B$119,RUC!$E$3:$E$119)+ROUNDDOWN(O145,1)*100)&lt;95,95,((_xlfn.XLOOKUP(D145,RUC!$B$3:$B$119,RUC!$E$3:$E$119)+ROUNDDOWN(O145,1)*100)))</f>
        <v>100</v>
      </c>
      <c r="U145" s="1146">
        <f>_xlfn.XLOOKUP(D145,RUC!$B$3:$B$123,RUC!$F$3:$F$123)</f>
        <v>120</v>
      </c>
      <c r="V145" s="715">
        <v>1.1023000000000001</v>
      </c>
      <c r="Y145" s="1972">
        <f>_xlfn.XLOOKUP(D145,RUC!$B$3:$B$123,RUC!$G$3:$G$123)</f>
        <v>20</v>
      </c>
      <c r="Z145" s="143">
        <f>_xlfn.XLOOKUP(D145,RUC!$B$3:$B$123,RUC!$H$3:$H$123)</f>
        <v>30</v>
      </c>
      <c r="AA145" s="144">
        <f t="shared" si="101"/>
        <v>50</v>
      </c>
      <c r="AB145" s="145">
        <f t="shared" si="102"/>
        <v>416.00920221675005</v>
      </c>
      <c r="AC145" s="145">
        <f>+(S145-T145)*V145-'data 1'!$F$4</f>
        <v>30.230000000000004</v>
      </c>
      <c r="AD145" s="145">
        <f t="shared" si="103"/>
        <v>62.717423592912056</v>
      </c>
      <c r="AE145" s="145">
        <f t="shared" si="104"/>
        <v>-14.884999999999998</v>
      </c>
      <c r="AF145" s="145">
        <f t="shared" si="105"/>
        <v>77.125598103302963</v>
      </c>
      <c r="AG145" s="772">
        <f t="shared" si="106"/>
        <v>172.18802169621503</v>
      </c>
      <c r="AH145" s="1253">
        <f t="shared" si="107"/>
        <v>7.5570000000000004</v>
      </c>
      <c r="AI145" s="1253">
        <f t="shared" si="108"/>
        <v>8.11</v>
      </c>
      <c r="AJ145" s="156">
        <f t="shared" si="109"/>
        <v>62.900199395087967</v>
      </c>
      <c r="AK145" s="156">
        <f t="shared" si="110"/>
        <v>6.1493174874062415</v>
      </c>
      <c r="AM145" s="716">
        <f t="shared" si="111"/>
        <v>559.1163677793121</v>
      </c>
      <c r="AN145" s="716" t="str">
        <f>_xlfn.XLOOKUP(D145,RUC!$B$3:$B$578,RUC!$M$3:$M$578)</f>
        <v>Evelyn</v>
      </c>
      <c r="AO145" s="1167" t="s">
        <v>2276</v>
      </c>
      <c r="AP145" s="1082"/>
      <c r="AQ145" s="1082"/>
    </row>
    <row r="146" spans="1:43" s="1972" customFormat="1" ht="15" customHeight="1">
      <c r="A146" s="1140" t="s">
        <v>6182</v>
      </c>
      <c r="B146" s="1447"/>
      <c r="C146" s="1958">
        <v>46200</v>
      </c>
      <c r="D146" s="1943" t="s">
        <v>1967</v>
      </c>
      <c r="E146" s="762">
        <f>_xlfn.XLOOKUP(D146,RUC!$B$3:$B$123,RUC!$D$3:$D$123)</f>
        <v>20601769396</v>
      </c>
      <c r="F146" s="629" t="s">
        <v>6203</v>
      </c>
      <c r="G146" s="762">
        <v>21</v>
      </c>
      <c r="H146" s="1082" t="s">
        <v>116</v>
      </c>
      <c r="I146" s="703">
        <v>1.63</v>
      </c>
      <c r="J146" s="596">
        <v>7.45</v>
      </c>
      <c r="K146" s="703">
        <f t="shared" si="60"/>
        <v>1.5089999999999999</v>
      </c>
      <c r="L146" s="1192">
        <v>0.246</v>
      </c>
      <c r="M146" s="994">
        <f>ROUND(+IF(L146&gt;_xlfn.XLOOKUP(AN146,RUC!M:M,RUC!K:K),L146*_xlfn.XLOOKUP(AN146,RUC!M:M,RUC!I:I),L146-_xlfn.XLOOKUP(AN146,RUC!M:M,RUC!J:J)),3)</f>
        <v>0.22700000000000001</v>
      </c>
      <c r="N146" s="1196">
        <f t="shared" ref="N146" si="112">+M146</f>
        <v>0.22700000000000001</v>
      </c>
      <c r="O146" s="645">
        <f t="shared" ref="O146" si="113">+ROUNDDOWN((M146+N146)/2,3)</f>
        <v>0.22700000000000001</v>
      </c>
      <c r="P146" s="727">
        <v>90</v>
      </c>
      <c r="Q146" s="875">
        <v>90.66</v>
      </c>
      <c r="R146" s="706">
        <v>4072.05</v>
      </c>
      <c r="S146" s="765">
        <f>IF((_xlfn.XLOOKUP(D146,RUC!$B$3:$B$119,RUC!$E$3:$E$119)+ROUNDDOWN(O146,1)*100)&lt;95,95,((_xlfn.XLOOKUP(D146,RUC!$B$3:$B$119,RUC!$E$3:$E$119)+ROUNDDOWN(O146,1)*100)))</f>
        <v>110</v>
      </c>
      <c r="U146" s="1146">
        <f>_xlfn.XLOOKUP(D146,RUC!$B$3:$B$123,RUC!$F$3:$F$123)</f>
        <v>120</v>
      </c>
      <c r="V146" s="715">
        <v>1.1023000000000001</v>
      </c>
      <c r="Y146" s="1972">
        <f>_xlfn.XLOOKUP(D146,RUC!$B$3:$B$123,RUC!$G$3:$G$123)</f>
        <v>20</v>
      </c>
      <c r="Z146" s="143">
        <f>_xlfn.XLOOKUP(D146,RUC!$B$3:$B$123,RUC!$H$3:$H$123)</f>
        <v>30</v>
      </c>
      <c r="AA146" s="144">
        <f t="shared" si="101"/>
        <v>50</v>
      </c>
      <c r="AB146" s="145">
        <f t="shared" si="102"/>
        <v>713.63322527450009</v>
      </c>
      <c r="AC146" s="145">
        <f>+(S146-T146)*V146-'data 1'!$F$4</f>
        <v>41.253</v>
      </c>
      <c r="AD146" s="145">
        <f t="shared" si="103"/>
        <v>7.0729612792739633</v>
      </c>
      <c r="AE146" s="145">
        <f t="shared" si="104"/>
        <v>-14.884999999999998</v>
      </c>
      <c r="AF146" s="145">
        <f t="shared" si="105"/>
        <v>75.039780253760952</v>
      </c>
      <c r="AG146" s="772">
        <f t="shared" si="106"/>
        <v>125.48074153303492</v>
      </c>
      <c r="AH146" s="1253">
        <f t="shared" si="107"/>
        <v>11.538</v>
      </c>
      <c r="AI146" s="1253">
        <f t="shared" si="108"/>
        <v>12.727</v>
      </c>
      <c r="AJ146" s="156">
        <f t="shared" si="109"/>
        <v>85.539650223725943</v>
      </c>
      <c r="AK146" s="156">
        <f t="shared" si="110"/>
        <v>10.569797710930036</v>
      </c>
      <c r="AM146" s="716">
        <f t="shared" si="111"/>
        <v>1076.8725369392205</v>
      </c>
      <c r="AN146" s="716" t="str">
        <f>_xlfn.XLOOKUP(D146,RUC!$B$3:$B$578,RUC!$M$3:$M$578)</f>
        <v>Evelyn</v>
      </c>
      <c r="AO146" s="1167" t="s">
        <v>2276</v>
      </c>
      <c r="AP146" s="1082"/>
      <c r="AQ146" s="1082"/>
    </row>
    <row r="147" spans="1:43" s="1972" customFormat="1" ht="15" customHeight="1">
      <c r="A147" s="1140" t="s">
        <v>6183</v>
      </c>
      <c r="B147" s="1447"/>
      <c r="C147" s="1958">
        <v>46200</v>
      </c>
      <c r="D147" s="1943" t="s">
        <v>1967</v>
      </c>
      <c r="E147" s="762">
        <f>_xlfn.XLOOKUP(D147,RUC!$B$3:$B$123,RUC!$D$3:$D$123)</f>
        <v>20601769396</v>
      </c>
      <c r="F147" s="629" t="s">
        <v>6203</v>
      </c>
      <c r="G147" s="762">
        <v>28</v>
      </c>
      <c r="H147" s="1082" t="s">
        <v>116</v>
      </c>
      <c r="I147" s="703">
        <v>2.08</v>
      </c>
      <c r="J147" s="596">
        <v>7.1</v>
      </c>
      <c r="K147" s="703">
        <f t="shared" si="60"/>
        <v>1.9319999999999999</v>
      </c>
      <c r="L147" s="1192">
        <v>0.218</v>
      </c>
      <c r="M147" s="994">
        <f>ROUND(+IF(L147&gt;_xlfn.XLOOKUP(AN147,RUC!M:M,RUC!K:K),L147*_xlfn.XLOOKUP(AN147,RUC!M:M,RUC!I:I),L147-_xlfn.XLOOKUP(AN147,RUC!M:M,RUC!J:J)),3)</f>
        <v>0.19900000000000001</v>
      </c>
      <c r="N147" s="1196">
        <f t="shared" si="99"/>
        <v>0.19900000000000001</v>
      </c>
      <c r="O147" s="645">
        <f t="shared" si="100"/>
        <v>0.19900000000000001</v>
      </c>
      <c r="P147" s="727">
        <v>85</v>
      </c>
      <c r="Q147" s="1899">
        <v>81.650000000000006</v>
      </c>
      <c r="R147" s="706">
        <v>4072.05</v>
      </c>
      <c r="S147" s="765">
        <f>IF((_xlfn.XLOOKUP(D147,RUC!$B$3:$B$119,RUC!$E$3:$E$119)+ROUNDDOWN(O147,1)*100)&lt;95,95,((_xlfn.XLOOKUP(D147,RUC!$B$3:$B$119,RUC!$E$3:$E$119)+ROUNDDOWN(O147,1)*100)))</f>
        <v>100</v>
      </c>
      <c r="U147" s="1146">
        <f>_xlfn.XLOOKUP(D147,RUC!$B$3:$B$123,RUC!$F$3:$F$123)</f>
        <v>120</v>
      </c>
      <c r="V147" s="715">
        <v>1.1023000000000001</v>
      </c>
      <c r="Y147" s="1972">
        <f>_xlfn.XLOOKUP(D147,RUC!$B$3:$B$123,RUC!$G$3:$G$123)</f>
        <v>20</v>
      </c>
      <c r="Z147" s="143">
        <f>_xlfn.XLOOKUP(D147,RUC!$B$3:$B$123,RUC!$H$3:$H$123)</f>
        <v>30</v>
      </c>
      <c r="AA147" s="144">
        <f t="shared" si="101"/>
        <v>50</v>
      </c>
      <c r="AB147" s="145">
        <f t="shared" si="102"/>
        <v>571.53070854224995</v>
      </c>
      <c r="AC147" s="145">
        <f>+(S147-T147)*V147-'data 1'!$F$4</f>
        <v>30.230000000000004</v>
      </c>
      <c r="AD147" s="145">
        <f t="shared" si="103"/>
        <v>-31.814385453644956</v>
      </c>
      <c r="AE147" s="145">
        <f t="shared" si="104"/>
        <v>-14.884999999999998</v>
      </c>
      <c r="AF147" s="145">
        <f t="shared" si="105"/>
        <v>67.582153736152463</v>
      </c>
      <c r="AG147" s="772">
        <f t="shared" si="106"/>
        <v>68.112768282507517</v>
      </c>
      <c r="AH147" s="1253">
        <f t="shared" si="107"/>
        <v>11.79</v>
      </c>
      <c r="AI147" s="1253">
        <f t="shared" si="108"/>
        <v>14.44</v>
      </c>
      <c r="AJ147" s="156">
        <f t="shared" si="109"/>
        <v>68.269910094144976</v>
      </c>
      <c r="AK147" s="156">
        <f t="shared" si="110"/>
        <v>11.204389386886289</v>
      </c>
      <c r="AM147" s="716">
        <f t="shared" si="111"/>
        <v>1104.1973289036268</v>
      </c>
      <c r="AN147" s="716" t="str">
        <f>_xlfn.XLOOKUP(D147,RUC!$B$3:$B$578,RUC!$M$3:$M$578)</f>
        <v>Evelyn</v>
      </c>
      <c r="AO147" s="1167" t="s">
        <v>2276</v>
      </c>
      <c r="AP147" s="1082"/>
      <c r="AQ147" s="1082"/>
    </row>
    <row r="148" spans="1:43" s="1972" customFormat="1" ht="15" customHeight="1">
      <c r="A148" s="1140" t="s">
        <v>6184</v>
      </c>
      <c r="B148" s="1447"/>
      <c r="C148" s="1958">
        <v>46200</v>
      </c>
      <c r="D148" s="1943" t="s">
        <v>1967</v>
      </c>
      <c r="E148" s="762">
        <f>_xlfn.XLOOKUP(D148,RUC!$B$3:$B$123,RUC!$D$3:$D$123)</f>
        <v>20601769396</v>
      </c>
      <c r="F148" s="629" t="s">
        <v>6203</v>
      </c>
      <c r="G148" s="762">
        <v>25</v>
      </c>
      <c r="H148" s="1082" t="s">
        <v>116</v>
      </c>
      <c r="I148" s="703">
        <v>2.0099999999999998</v>
      </c>
      <c r="J148" s="596">
        <v>6.8</v>
      </c>
      <c r="K148" s="703">
        <f t="shared" si="60"/>
        <v>1.873</v>
      </c>
      <c r="L148" s="1192">
        <v>0.22700000000000001</v>
      </c>
      <c r="M148" s="994">
        <f>ROUND(+IF(L148&gt;_xlfn.XLOOKUP(AN148,RUC!M:M,RUC!K:K),L148*_xlfn.XLOOKUP(AN148,RUC!M:M,RUC!I:I),L148-_xlfn.XLOOKUP(AN148,RUC!M:M,RUC!J:J)),3)</f>
        <v>0.20799999999999999</v>
      </c>
      <c r="N148" s="1196">
        <f t="shared" si="99"/>
        <v>0.20799999999999999</v>
      </c>
      <c r="O148" s="645">
        <f t="shared" si="100"/>
        <v>0.20799999999999999</v>
      </c>
      <c r="P148" s="727">
        <v>90</v>
      </c>
      <c r="Q148" s="1899">
        <v>84.14</v>
      </c>
      <c r="R148" s="706">
        <v>4072.05</v>
      </c>
      <c r="S148" s="765">
        <f>IF((_xlfn.XLOOKUP(D148,RUC!$B$3:$B$119,RUC!$E$3:$E$119)+ROUNDDOWN(O148,1)*100)&lt;95,95,((_xlfn.XLOOKUP(D148,RUC!$B$3:$B$119,RUC!$E$3:$E$119)+ROUNDDOWN(O148,1)*100)))</f>
        <v>110</v>
      </c>
      <c r="U148" s="1146">
        <f>_xlfn.XLOOKUP(D148,RUC!$B$3:$B$123,RUC!$F$3:$F$123)</f>
        <v>120</v>
      </c>
      <c r="V148" s="715">
        <v>1.1023000000000001</v>
      </c>
      <c r="Y148" s="1972">
        <f>_xlfn.XLOOKUP(D148,RUC!$B$3:$B$123,RUC!$G$3:$G$123)</f>
        <v>20</v>
      </c>
      <c r="Z148" s="143">
        <f>_xlfn.XLOOKUP(D148,RUC!$B$3:$B$123,RUC!$H$3:$H$123)</f>
        <v>30</v>
      </c>
      <c r="AA148" s="144">
        <f t="shared" si="101"/>
        <v>50</v>
      </c>
      <c r="AB148" s="145">
        <f t="shared" si="102"/>
        <v>639.13973064800007</v>
      </c>
      <c r="AC148" s="145">
        <f>+(S148-T148)*V148-'data 1'!$F$4</f>
        <v>41.253</v>
      </c>
      <c r="AD148" s="145">
        <f t="shared" si="103"/>
        <v>-57.948968667873004</v>
      </c>
      <c r="AE148" s="145">
        <f t="shared" si="104"/>
        <v>-14.884999999999998</v>
      </c>
      <c r="AF148" s="145">
        <f t="shared" si="105"/>
        <v>69.643140420819066</v>
      </c>
      <c r="AG148" s="772">
        <f t="shared" si="106"/>
        <v>55.062171752946057</v>
      </c>
      <c r="AH148" s="1253">
        <f t="shared" si="107"/>
        <v>12.265000000000001</v>
      </c>
      <c r="AI148" s="1253">
        <f t="shared" si="108"/>
        <v>14.577</v>
      </c>
      <c r="AJ148" s="156">
        <f t="shared" si="109"/>
        <v>73.256305635372968</v>
      </c>
      <c r="AK148" s="156">
        <f t="shared" si="110"/>
        <v>12.02133475626408</v>
      </c>
      <c r="AM148" s="716">
        <f t="shared" si="111"/>
        <v>1197.1087155037042</v>
      </c>
      <c r="AN148" s="716" t="str">
        <f>_xlfn.XLOOKUP(D148,RUC!$B$3:$B$578,RUC!$M$3:$M$578)</f>
        <v>Evelyn</v>
      </c>
      <c r="AO148" s="1167" t="s">
        <v>2276</v>
      </c>
      <c r="AP148" s="1082"/>
      <c r="AQ148" s="1082"/>
    </row>
    <row r="149" spans="1:43" s="1972" customFormat="1" ht="15" customHeight="1">
      <c r="A149" s="1140" t="s">
        <v>6185</v>
      </c>
      <c r="B149" s="1447"/>
      <c r="C149" s="1958">
        <v>46200</v>
      </c>
      <c r="D149" s="1943" t="s">
        <v>1967</v>
      </c>
      <c r="E149" s="762">
        <f>_xlfn.XLOOKUP(D149,RUC!$B$3:$B$123,RUC!$D$3:$D$123)</f>
        <v>20601769396</v>
      </c>
      <c r="F149" s="629" t="s">
        <v>6204</v>
      </c>
      <c r="G149" s="762">
        <v>280</v>
      </c>
      <c r="H149" s="1082" t="s">
        <v>108</v>
      </c>
      <c r="I149" s="703">
        <v>7.57</v>
      </c>
      <c r="J149" s="596">
        <v>14.63</v>
      </c>
      <c r="K149" s="703">
        <f t="shared" si="60"/>
        <v>6.4630000000000001</v>
      </c>
      <c r="L149" s="1192">
        <v>0.152</v>
      </c>
      <c r="M149" s="994">
        <f>ROUND(+IF(L149&gt;_xlfn.XLOOKUP(AN149,RUC!M:M,RUC!K:K),L149*_xlfn.XLOOKUP(AN149,RUC!M:M,RUC!I:I),L149-_xlfn.XLOOKUP(AN149,RUC!M:M,RUC!J:J)),3)</f>
        <v>0.13300000000000001</v>
      </c>
      <c r="N149" s="1196">
        <f t="shared" si="99"/>
        <v>0.13300000000000001</v>
      </c>
      <c r="O149" s="645">
        <f t="shared" si="100"/>
        <v>0.13300000000000001</v>
      </c>
      <c r="P149" s="727">
        <v>80</v>
      </c>
      <c r="Q149" s="1899">
        <v>84.87</v>
      </c>
      <c r="R149" s="706">
        <v>4072.05</v>
      </c>
      <c r="S149" s="765">
        <f>IF((_xlfn.XLOOKUP(D149,RUC!$B$3:$B$119,RUC!$E$3:$E$119)+ROUNDDOWN(O149,1)*100)&lt;95,95,((_xlfn.XLOOKUP(D149,RUC!$B$3:$B$119,RUC!$E$3:$E$119)+ROUNDDOWN(O149,1)*100)))</f>
        <v>100</v>
      </c>
      <c r="U149" s="1146">
        <f>_xlfn.XLOOKUP(D149,RUC!$B$3:$B$123,RUC!$F$3:$F$123)</f>
        <v>120</v>
      </c>
      <c r="V149" s="715">
        <v>1.1023000000000001</v>
      </c>
      <c r="Y149" s="1445">
        <v>30</v>
      </c>
      <c r="Z149" s="709">
        <v>70</v>
      </c>
      <c r="AA149" s="144">
        <f t="shared" si="101"/>
        <v>100</v>
      </c>
      <c r="AB149" s="145">
        <f t="shared" si="102"/>
        <v>243.05507767600005</v>
      </c>
      <c r="AC149" s="145">
        <f>+(S149-T149)*V149-'data 1'!$F$4</f>
        <v>30.230000000000004</v>
      </c>
      <c r="AD149" s="145">
        <f t="shared" si="103"/>
        <v>32.247406118316036</v>
      </c>
      <c r="AE149" s="145">
        <f t="shared" si="104"/>
        <v>40.230000000000004</v>
      </c>
      <c r="AF149" s="145">
        <f t="shared" si="105"/>
        <v>70.247365432789465</v>
      </c>
      <c r="AG149" s="772">
        <f t="shared" si="106"/>
        <v>189.95477155110552</v>
      </c>
      <c r="AH149" s="1253">
        <f t="shared" si="107"/>
        <v>28.585000000000001</v>
      </c>
      <c r="AI149" s="1253">
        <f t="shared" si="108"/>
        <v>33.680999999999997</v>
      </c>
      <c r="AJ149" s="156">
        <f t="shared" si="109"/>
        <v>49.478262273683974</v>
      </c>
      <c r="AK149" s="156">
        <f t="shared" si="110"/>
        <v>23.576799659704761</v>
      </c>
      <c r="AM149" s="716">
        <f t="shared" si="111"/>
        <v>1570.8649670199884</v>
      </c>
      <c r="AN149" s="716" t="str">
        <f>_xlfn.XLOOKUP(D149,RUC!$B$3:$B$578,RUC!$M$3:$M$578)</f>
        <v>Evelyn</v>
      </c>
      <c r="AO149" s="1167" t="s">
        <v>2276</v>
      </c>
      <c r="AP149" s="1082"/>
      <c r="AQ149" s="1082"/>
    </row>
    <row r="150" spans="1:43" s="1972" customFormat="1" ht="15" customHeight="1">
      <c r="A150" s="1140" t="s">
        <v>6186</v>
      </c>
      <c r="B150" s="1447"/>
      <c r="C150" s="1958">
        <v>46200</v>
      </c>
      <c r="D150" s="1943" t="s">
        <v>1967</v>
      </c>
      <c r="E150" s="762">
        <f>_xlfn.XLOOKUP(D150,RUC!$B$3:$B$123,RUC!$D$3:$D$123)</f>
        <v>20601769396</v>
      </c>
      <c r="F150" s="629" t="s">
        <v>6204</v>
      </c>
      <c r="G150" s="762">
        <v>123</v>
      </c>
      <c r="H150" s="1082" t="s">
        <v>108</v>
      </c>
      <c r="I150" s="703">
        <v>3.14</v>
      </c>
      <c r="J150" s="596">
        <v>15.4</v>
      </c>
      <c r="K150" s="703">
        <f t="shared" si="60"/>
        <v>2.6560000000000001</v>
      </c>
      <c r="L150" s="1192">
        <v>0.14000000000000001</v>
      </c>
      <c r="M150" s="994">
        <f>ROUND(+IF(L150&gt;_xlfn.XLOOKUP(AN150,RUC!M:M,RUC!K:K),L150*_xlfn.XLOOKUP(AN150,RUC!M:M,RUC!I:I),L150-_xlfn.XLOOKUP(AN150,RUC!M:M,RUC!J:J)),3)</f>
        <v>0.121</v>
      </c>
      <c r="N150" s="1196">
        <f t="shared" si="99"/>
        <v>0.121</v>
      </c>
      <c r="O150" s="645">
        <f t="shared" si="100"/>
        <v>0.121</v>
      </c>
      <c r="P150" s="727">
        <v>80</v>
      </c>
      <c r="Q150" s="1899">
        <v>81.430000000000007</v>
      </c>
      <c r="R150" s="706">
        <v>4072.05</v>
      </c>
      <c r="S150" s="765">
        <f>IF((_xlfn.XLOOKUP(D150,RUC!$B$3:$B$119,RUC!$E$3:$E$119)+ROUNDDOWN(O150,1)*100)&lt;95,95,((_xlfn.XLOOKUP(D150,RUC!$B$3:$B$119,RUC!$E$3:$E$119)+ROUNDDOWN(O150,1)*100)))</f>
        <v>100</v>
      </c>
      <c r="U150" s="1146">
        <f>_xlfn.XLOOKUP(D150,RUC!$B$3:$B$123,RUC!$F$3:$F$123)</f>
        <v>120</v>
      </c>
      <c r="V150" s="715">
        <v>1.1023000000000001</v>
      </c>
      <c r="Y150" s="1445">
        <v>30</v>
      </c>
      <c r="Z150" s="709">
        <v>70</v>
      </c>
      <c r="AA150" s="144">
        <f t="shared" si="101"/>
        <v>100</v>
      </c>
      <c r="AB150" s="145">
        <f t="shared" si="102"/>
        <v>201.23416841199997</v>
      </c>
      <c r="AC150" s="145">
        <f>+(S150-T150)*V150-'data 1'!$F$4</f>
        <v>30.230000000000004</v>
      </c>
      <c r="AD150" s="145">
        <f t="shared" si="103"/>
        <v>8.721402119430044</v>
      </c>
      <c r="AE150" s="145">
        <f t="shared" si="104"/>
        <v>40.230000000000004</v>
      </c>
      <c r="AF150" s="145">
        <f t="shared" si="105"/>
        <v>67.400058527065568</v>
      </c>
      <c r="AG150" s="772">
        <f t="shared" si="106"/>
        <v>163.58146064649563</v>
      </c>
      <c r="AH150" s="1253">
        <f t="shared" si="107"/>
        <v>10.381</v>
      </c>
      <c r="AI150" s="1253">
        <f t="shared" si="108"/>
        <v>12.749000000000001</v>
      </c>
      <c r="AJ150" s="156">
        <f t="shared" si="109"/>
        <v>43.724929580569984</v>
      </c>
      <c r="AK150" s="156">
        <f t="shared" si="110"/>
        <v>8.8148006959654399</v>
      </c>
      <c r="AM150" s="716">
        <f t="shared" si="111"/>
        <v>534.477951302272</v>
      </c>
      <c r="AN150" s="716" t="str">
        <f>_xlfn.XLOOKUP(D150,RUC!$B$3:$B$578,RUC!$M$3:$M$578)</f>
        <v>Evelyn</v>
      </c>
      <c r="AO150" s="1167" t="s">
        <v>2276</v>
      </c>
      <c r="AP150" s="1082"/>
      <c r="AQ150" s="1082"/>
    </row>
    <row r="151" spans="1:43" s="1972" customFormat="1" ht="15" customHeight="1">
      <c r="A151" s="1140" t="s">
        <v>6187</v>
      </c>
      <c r="B151" s="1447"/>
      <c r="C151" s="1958">
        <v>46200</v>
      </c>
      <c r="D151" s="1943" t="s">
        <v>1967</v>
      </c>
      <c r="E151" s="762">
        <f>_xlfn.XLOOKUP(D151,RUC!$B$3:$B$123,RUC!$D$3:$D$123)</f>
        <v>20601769396</v>
      </c>
      <c r="F151" s="629" t="s">
        <v>6205</v>
      </c>
      <c r="G151" s="762">
        <v>100</v>
      </c>
      <c r="H151" s="1082" t="s">
        <v>108</v>
      </c>
      <c r="I151" s="703">
        <v>8.2899999999999991</v>
      </c>
      <c r="J151" s="596">
        <v>25.63</v>
      </c>
      <c r="K151" s="703">
        <f t="shared" si="60"/>
        <v>6.165</v>
      </c>
      <c r="L151" s="1192">
        <v>0.154</v>
      </c>
      <c r="M151" s="994">
        <f>ROUND(+IF(L151&gt;_xlfn.XLOOKUP(AN151,RUC!M:M,RUC!K:K),L151*_xlfn.XLOOKUP(AN151,RUC!M:M,RUC!I:I),L151-_xlfn.XLOOKUP(AN151,RUC!M:M,RUC!J:J)),3)</f>
        <v>0.13500000000000001</v>
      </c>
      <c r="N151" s="1196">
        <f t="shared" si="99"/>
        <v>0.13500000000000001</v>
      </c>
      <c r="O151" s="645">
        <f t="shared" si="100"/>
        <v>0.13500000000000001</v>
      </c>
      <c r="P151" s="727">
        <v>90</v>
      </c>
      <c r="Q151" s="1906">
        <v>90</v>
      </c>
      <c r="R151" s="706">
        <v>4072.05</v>
      </c>
      <c r="S151" s="765">
        <f>IF((_xlfn.XLOOKUP(D151,RUC!$B$3:$B$119,RUC!$E$3:$E$119)+ROUNDDOWN(O151,1)*100)&lt;95,95,((_xlfn.XLOOKUP(D151,RUC!$B$3:$B$119,RUC!$E$3:$E$119)+ROUNDDOWN(O151,1)*100)))</f>
        <v>100</v>
      </c>
      <c r="U151" s="1146">
        <f>_xlfn.XLOOKUP(D151,RUC!$B$3:$B$123,RUC!$F$3:$F$123)</f>
        <v>120</v>
      </c>
      <c r="V151" s="715">
        <v>1.1023000000000001</v>
      </c>
      <c r="Y151" s="1445">
        <v>30</v>
      </c>
      <c r="Z151" s="709">
        <v>70</v>
      </c>
      <c r="AA151" s="144">
        <f t="shared" si="101"/>
        <v>100</v>
      </c>
      <c r="AB151" s="145">
        <f t="shared" si="102"/>
        <v>308.83588287250001</v>
      </c>
      <c r="AC151" s="145">
        <f>+(S151-T151)*V151-'data 1'!$F$4</f>
        <v>30.230000000000004</v>
      </c>
      <c r="AD151" s="145">
        <f t="shared" si="103"/>
        <v>0</v>
      </c>
      <c r="AE151" s="145">
        <f t="shared" si="104"/>
        <v>40.230000000000004</v>
      </c>
      <c r="AF151" s="145">
        <f t="shared" si="105"/>
        <v>74.493494626499967</v>
      </c>
      <c r="AG151" s="772">
        <f t="shared" si="106"/>
        <v>161.95349462649997</v>
      </c>
      <c r="AH151" s="1253">
        <f t="shared" si="107"/>
        <v>29.295999999999999</v>
      </c>
      <c r="AI151" s="1253">
        <f t="shared" si="108"/>
        <v>32.551000000000002</v>
      </c>
      <c r="AJ151" s="156">
        <f t="shared" si="109"/>
        <v>53.159376500999976</v>
      </c>
      <c r="AK151" s="156">
        <f t="shared" si="110"/>
        <v>25.681384205382379</v>
      </c>
      <c r="AM151" s="716">
        <f t="shared" si="111"/>
        <v>1903.9732179089626</v>
      </c>
      <c r="AN151" s="716" t="str">
        <f>_xlfn.XLOOKUP(D151,RUC!$B$3:$B$578,RUC!$M$3:$M$578)</f>
        <v>Evelyn</v>
      </c>
      <c r="AO151" s="1167" t="s">
        <v>2276</v>
      </c>
      <c r="AP151" s="1082"/>
      <c r="AQ151" s="1082"/>
    </row>
    <row r="152" spans="1:43" s="1972" customFormat="1" ht="15" customHeight="1">
      <c r="A152" s="1140" t="s">
        <v>6188</v>
      </c>
      <c r="B152" s="1447"/>
      <c r="C152" s="1958">
        <v>46200</v>
      </c>
      <c r="D152" s="1943" t="s">
        <v>1967</v>
      </c>
      <c r="E152" s="762">
        <f>_xlfn.XLOOKUP(D152,RUC!$B$3:$B$123,RUC!$D$3:$D$123)</f>
        <v>20601769396</v>
      </c>
      <c r="F152" s="629" t="s">
        <v>6172</v>
      </c>
      <c r="G152" s="762">
        <v>100</v>
      </c>
      <c r="H152" s="1082" t="s">
        <v>108</v>
      </c>
      <c r="I152" s="703">
        <v>8.1199999999999992</v>
      </c>
      <c r="J152" s="596">
        <v>23.5</v>
      </c>
      <c r="K152" s="703">
        <f t="shared" si="60"/>
        <v>6.2119999999999997</v>
      </c>
      <c r="L152" s="1192">
        <v>0.16200000000000001</v>
      </c>
      <c r="M152" s="994">
        <f>ROUND(+IF(L152&gt;_xlfn.XLOOKUP(AN152,RUC!M:M,RUC!K:K),L152*_xlfn.XLOOKUP(AN152,RUC!M:M,RUC!I:I),L152-_xlfn.XLOOKUP(AN152,RUC!M:M,RUC!J:J)),3)</f>
        <v>0.14299999999999999</v>
      </c>
      <c r="N152" s="1196">
        <f t="shared" si="99"/>
        <v>0.14299999999999999</v>
      </c>
      <c r="O152" s="645">
        <f t="shared" si="100"/>
        <v>0.14299999999999999</v>
      </c>
      <c r="P152" s="727">
        <v>90</v>
      </c>
      <c r="Q152" s="1906">
        <v>90</v>
      </c>
      <c r="R152" s="706">
        <v>4072.05</v>
      </c>
      <c r="S152" s="765">
        <f>IF((_xlfn.XLOOKUP(D152,RUC!$B$3:$B$119,RUC!$E$3:$E$119)+ROUNDDOWN(O152,1)*100)&lt;95,95,((_xlfn.XLOOKUP(D152,RUC!$B$3:$B$119,RUC!$E$3:$E$119)+ROUNDDOWN(O152,1)*100)))</f>
        <v>100</v>
      </c>
      <c r="U152" s="1146">
        <f>_xlfn.XLOOKUP(D152,RUC!$B$3:$B$123,RUC!$F$3:$F$123)</f>
        <v>120</v>
      </c>
      <c r="V152" s="715">
        <v>1.1023000000000001</v>
      </c>
      <c r="Y152" s="1445">
        <v>30</v>
      </c>
      <c r="Z152" s="709">
        <v>70</v>
      </c>
      <c r="AA152" s="144">
        <f t="shared" si="101"/>
        <v>100</v>
      </c>
      <c r="AB152" s="145">
        <f t="shared" si="102"/>
        <v>340.20156482049998</v>
      </c>
      <c r="AC152" s="145">
        <f>+(S152-T152)*V152-'data 1'!$F$4</f>
        <v>30.230000000000004</v>
      </c>
      <c r="AD152" s="145">
        <f t="shared" si="103"/>
        <v>0</v>
      </c>
      <c r="AE152" s="145">
        <f t="shared" si="104"/>
        <v>40.230000000000004</v>
      </c>
      <c r="AF152" s="145">
        <f t="shared" si="105"/>
        <v>74.49349462650008</v>
      </c>
      <c r="AG152" s="772">
        <f t="shared" si="106"/>
        <v>161.95349462650009</v>
      </c>
      <c r="AH152" s="1253">
        <f t="shared" si="107"/>
        <v>31.053000000000001</v>
      </c>
      <c r="AI152" s="1253">
        <f t="shared" si="108"/>
        <v>34.503</v>
      </c>
      <c r="AJ152" s="156">
        <f t="shared" si="109"/>
        <v>55.920902552999969</v>
      </c>
      <c r="AK152" s="156">
        <f t="shared" si="110"/>
        <v>27.410632893921417</v>
      </c>
      <c r="AM152" s="716">
        <f t="shared" si="111"/>
        <v>2113.3321206649457</v>
      </c>
      <c r="AN152" s="716" t="str">
        <f>_xlfn.XLOOKUP(D152,RUC!$B$3:$B$578,RUC!$M$3:$M$578)</f>
        <v>Evelyn</v>
      </c>
      <c r="AO152" s="1167" t="s">
        <v>2276</v>
      </c>
      <c r="AP152" s="1082"/>
      <c r="AQ152" s="1082"/>
    </row>
    <row r="153" spans="1:43" s="1972" customFormat="1" ht="15" customHeight="1">
      <c r="A153" s="1140" t="s">
        <v>6189</v>
      </c>
      <c r="B153" s="1447"/>
      <c r="C153" s="1958">
        <v>46200</v>
      </c>
      <c r="D153" s="1943" t="s">
        <v>1967</v>
      </c>
      <c r="E153" s="762">
        <f>_xlfn.XLOOKUP(D153,RUC!$B$3:$B$123,RUC!$D$3:$D$123)</f>
        <v>20601769396</v>
      </c>
      <c r="F153" s="629" t="s">
        <v>6172</v>
      </c>
      <c r="G153" s="762">
        <v>100</v>
      </c>
      <c r="H153" s="1082" t="s">
        <v>108</v>
      </c>
      <c r="I153" s="703">
        <v>8.3800000000000008</v>
      </c>
      <c r="J153" s="596">
        <v>21.78</v>
      </c>
      <c r="K153" s="703">
        <f t="shared" si="60"/>
        <v>6.5549999999999997</v>
      </c>
      <c r="L153" s="1192">
        <v>0.17799999999999999</v>
      </c>
      <c r="M153" s="994">
        <f>ROUND(+IF(L153&gt;_xlfn.XLOOKUP(AN153,RUC!M:M,RUC!K:K),L153*_xlfn.XLOOKUP(AN153,RUC!M:M,RUC!I:I),L153-_xlfn.XLOOKUP(AN153,RUC!M:M,RUC!J:J)),3)</f>
        <v>0.159</v>
      </c>
      <c r="N153" s="1196">
        <f t="shared" si="99"/>
        <v>0.159</v>
      </c>
      <c r="O153" s="645">
        <f t="shared" si="100"/>
        <v>0.159</v>
      </c>
      <c r="P153" s="727">
        <v>90</v>
      </c>
      <c r="Q153" s="1906">
        <v>90</v>
      </c>
      <c r="R153" s="706">
        <v>4072.05</v>
      </c>
      <c r="S153" s="765">
        <f>IF((_xlfn.XLOOKUP(D153,RUC!$B$3:$B$119,RUC!$E$3:$E$119)+ROUNDDOWN(O153,1)*100)&lt;95,95,((_xlfn.XLOOKUP(D153,RUC!$B$3:$B$119,RUC!$E$3:$E$119)+ROUNDDOWN(O153,1)*100)))</f>
        <v>100</v>
      </c>
      <c r="U153" s="1146">
        <f>_xlfn.XLOOKUP(D153,RUC!$B$3:$B$123,RUC!$F$3:$F$123)</f>
        <v>120</v>
      </c>
      <c r="V153" s="715">
        <v>1.1023000000000001</v>
      </c>
      <c r="Y153" s="1445">
        <v>30</v>
      </c>
      <c r="Z153" s="709">
        <v>70</v>
      </c>
      <c r="AA153" s="144">
        <f t="shared" si="101"/>
        <v>100</v>
      </c>
      <c r="AB153" s="145">
        <f t="shared" si="102"/>
        <v>402.93292871650004</v>
      </c>
      <c r="AC153" s="145">
        <f>+(S153-T153)*V153-'data 1'!$F$4</f>
        <v>30.230000000000004</v>
      </c>
      <c r="AD153" s="145">
        <f t="shared" si="103"/>
        <v>0</v>
      </c>
      <c r="AE153" s="145">
        <f t="shared" si="104"/>
        <v>40.230000000000004</v>
      </c>
      <c r="AF153" s="145">
        <f t="shared" si="105"/>
        <v>74.493494626499967</v>
      </c>
      <c r="AG153" s="772">
        <f t="shared" si="106"/>
        <v>161.95349462649997</v>
      </c>
      <c r="AH153" s="1253">
        <f t="shared" si="107"/>
        <v>36.003</v>
      </c>
      <c r="AI153" s="1253">
        <f t="shared" si="108"/>
        <v>40.003999999999998</v>
      </c>
      <c r="AJ153" s="156">
        <f t="shared" si="109"/>
        <v>61.443954656999971</v>
      </c>
      <c r="AK153" s="156">
        <f t="shared" si="110"/>
        <v>32.160396841355023</v>
      </c>
      <c r="AM153" s="716">
        <f t="shared" si="111"/>
        <v>2641.2253477366576</v>
      </c>
      <c r="AN153" s="716" t="str">
        <f>_xlfn.XLOOKUP(D153,RUC!$B$3:$B$578,RUC!$M$3:$M$578)</f>
        <v>Evelyn</v>
      </c>
      <c r="AO153" s="1167" t="s">
        <v>2276</v>
      </c>
      <c r="AP153" s="1082"/>
      <c r="AQ153" s="1082"/>
    </row>
    <row r="154" spans="1:43" s="1972" customFormat="1" ht="15" customHeight="1">
      <c r="A154" s="1140" t="s">
        <v>6190</v>
      </c>
      <c r="B154" s="1447"/>
      <c r="C154" s="1958">
        <v>46200</v>
      </c>
      <c r="D154" s="1943" t="s">
        <v>6201</v>
      </c>
      <c r="E154" s="762">
        <f>_xlfn.XLOOKUP(D154,RUC!$B$3:$B$123,RUC!$D$3:$D$123)</f>
        <v>10470098142</v>
      </c>
      <c r="F154" s="629" t="s">
        <v>5621</v>
      </c>
      <c r="G154" s="762">
        <v>12</v>
      </c>
      <c r="H154" s="1082" t="s">
        <v>69</v>
      </c>
      <c r="I154" s="703">
        <v>1.48</v>
      </c>
      <c r="J154" s="596">
        <v>2.1</v>
      </c>
      <c r="K154" s="703">
        <f t="shared" si="60"/>
        <v>1.4490000000000001</v>
      </c>
      <c r="L154" s="1192">
        <v>0.91500000000000004</v>
      </c>
      <c r="M154" s="994">
        <f>ROUND(+IF(L154&gt;_xlfn.XLOOKUP(AN154,RUC!M:M,RUC!K:K),L154*_xlfn.XLOOKUP(AN154,RUC!M:M,RUC!I:I),L154-_xlfn.XLOOKUP(AN154,RUC!M:M,RUC!J:J)),3)</f>
        <v>0.86</v>
      </c>
      <c r="N154" s="1196">
        <f t="shared" si="99"/>
        <v>0.86</v>
      </c>
      <c r="O154" s="645">
        <f t="shared" si="100"/>
        <v>0.86</v>
      </c>
      <c r="P154" s="727">
        <v>90</v>
      </c>
      <c r="Q154" s="1906">
        <v>90</v>
      </c>
      <c r="R154" s="706">
        <v>4072.05</v>
      </c>
      <c r="S154" s="765">
        <f>IF((_xlfn.XLOOKUP(D154,RUC!$B$3:$B$119,RUC!$E$3:$E$119)+ROUNDDOWN(O154,1)*100)&lt;95,95,((_xlfn.XLOOKUP(D154,RUC!$B$3:$B$119,RUC!$E$3:$E$119)+ROUNDDOWN(O154,1)*100)))</f>
        <v>160</v>
      </c>
      <c r="U154" s="1146">
        <f>_xlfn.XLOOKUP(D154,RUC!$B$3:$B$123,RUC!$F$3:$F$123)</f>
        <v>110</v>
      </c>
      <c r="V154" s="715">
        <v>1.1023000000000001</v>
      </c>
      <c r="Y154" s="1972">
        <f>_xlfn.XLOOKUP(D154,RUC!$B$3:$B$123,RUC!$G$3:$G$123)</f>
        <v>0</v>
      </c>
      <c r="Z154" s="143">
        <f>_xlfn.XLOOKUP(D154,RUC!$B$3:$B$123,RUC!$H$3:$H$123)</f>
        <v>35</v>
      </c>
      <c r="AA154" s="144">
        <f t="shared" si="101"/>
        <v>35</v>
      </c>
      <c r="AB154" s="145">
        <f t="shared" si="102"/>
        <v>3165.3941114100003</v>
      </c>
      <c r="AC154" s="145">
        <f>+(S154-T154)*V154-'data 1'!$F$4</f>
        <v>96.367999999999995</v>
      </c>
      <c r="AD154" s="145">
        <f t="shared" si="103"/>
        <v>0</v>
      </c>
      <c r="AE154" s="145">
        <f t="shared" si="104"/>
        <v>-31.419499999999999</v>
      </c>
      <c r="AF154" s="145">
        <f t="shared" si="105"/>
        <v>216.18470189250024</v>
      </c>
      <c r="AG154" s="772">
        <f t="shared" si="106"/>
        <v>298.13320189250021</v>
      </c>
      <c r="AH154" s="1253">
        <f t="shared" si="107"/>
        <v>40.911000000000001</v>
      </c>
      <c r="AI154" s="1253">
        <f t="shared" si="108"/>
        <v>45.457000000000001</v>
      </c>
      <c r="AJ154" s="156">
        <f t="shared" si="109"/>
        <v>306.77210169749992</v>
      </c>
      <c r="AK154" s="156">
        <f t="shared" si="110"/>
        <v>38.451954118164302</v>
      </c>
      <c r="AM154" s="716">
        <f t="shared" si="111"/>
        <v>4586.6560674330904</v>
      </c>
      <c r="AN154" s="716" t="str">
        <f>_xlfn.XLOOKUP(D154,RUC!$B$3:$B$578,RUC!$M$3:$M$578)</f>
        <v>Robinson Tuya</v>
      </c>
      <c r="AO154" s="1167" t="s">
        <v>2276</v>
      </c>
      <c r="AP154" s="1082"/>
      <c r="AQ154" s="1082"/>
    </row>
    <row r="155" spans="1:43" s="1972" customFormat="1" ht="15" customHeight="1">
      <c r="A155" s="1140" t="s">
        <v>6191</v>
      </c>
      <c r="B155" s="1447"/>
      <c r="C155" s="1958">
        <v>46200</v>
      </c>
      <c r="D155" s="1943" t="s">
        <v>6201</v>
      </c>
      <c r="E155" s="762">
        <f>_xlfn.XLOOKUP(D155,RUC!$B$3:$B$123,RUC!$D$3:$D$123)</f>
        <v>10470098142</v>
      </c>
      <c r="F155" s="629" t="s">
        <v>5621</v>
      </c>
      <c r="G155" s="762">
        <v>32</v>
      </c>
      <c r="H155" s="1082" t="s">
        <v>69</v>
      </c>
      <c r="I155" s="703">
        <v>4.16</v>
      </c>
      <c r="J155" s="596">
        <v>2.85</v>
      </c>
      <c r="K155" s="703">
        <f t="shared" si="60"/>
        <v>4.0410000000000004</v>
      </c>
      <c r="L155" s="1192">
        <v>0.19700000000000001</v>
      </c>
      <c r="M155" s="994">
        <f>ROUND(+IF(L155&gt;_xlfn.XLOOKUP(AN155,RUC!M:M,RUC!K:K),L155*_xlfn.XLOOKUP(AN155,RUC!M:M,RUC!I:I),L155-_xlfn.XLOOKUP(AN155,RUC!M:M,RUC!J:J)),3)</f>
        <v>0.17799999999999999</v>
      </c>
      <c r="N155" s="1196">
        <f t="shared" si="99"/>
        <v>0.17799999999999999</v>
      </c>
      <c r="O155" s="645">
        <f t="shared" si="100"/>
        <v>0.17799999999999999</v>
      </c>
      <c r="P155" s="727">
        <v>90</v>
      </c>
      <c r="Q155" s="1906">
        <v>90</v>
      </c>
      <c r="R155" s="706">
        <v>4072.05</v>
      </c>
      <c r="S155" s="765">
        <f>IF((_xlfn.XLOOKUP(D155,RUC!$B$3:$B$119,RUC!$E$3:$E$119)+ROUNDDOWN(O155,1)*100)&lt;95,95,((_xlfn.XLOOKUP(D155,RUC!$B$3:$B$119,RUC!$E$3:$E$119)+ROUNDDOWN(O155,1)*100)))</f>
        <v>95</v>
      </c>
      <c r="U155" s="1146">
        <f>_xlfn.XLOOKUP(D155,RUC!$B$3:$B$123,RUC!$F$3:$F$123)</f>
        <v>110</v>
      </c>
      <c r="V155" s="715">
        <v>1.1023000000000001</v>
      </c>
      <c r="Y155" s="1972">
        <f>_xlfn.XLOOKUP(D155,RUC!$B$3:$B$123,RUC!$G$3:$G$123)</f>
        <v>0</v>
      </c>
      <c r="Z155" s="143">
        <f>_xlfn.XLOOKUP(D155,RUC!$B$3:$B$123,RUC!$H$3:$H$123)</f>
        <v>35</v>
      </c>
      <c r="AA155" s="144">
        <f t="shared" si="101"/>
        <v>35</v>
      </c>
      <c r="AB155" s="145">
        <f t="shared" si="102"/>
        <v>556.353307943</v>
      </c>
      <c r="AC155" s="145">
        <f>+(S155-T155)*V155-'data 1'!$F$4</f>
        <v>24.718500000000006</v>
      </c>
      <c r="AD155" s="145">
        <f t="shared" si="103"/>
        <v>0</v>
      </c>
      <c r="AE155" s="145">
        <f t="shared" si="104"/>
        <v>-31.419499999999999</v>
      </c>
      <c r="AF155" s="145">
        <f t="shared" si="105"/>
        <v>74.681987926500071</v>
      </c>
      <c r="AG155" s="772">
        <f t="shared" si="106"/>
        <v>84.980987926500063</v>
      </c>
      <c r="AH155" s="1253">
        <f t="shared" si="107"/>
        <v>24.564</v>
      </c>
      <c r="AI155" s="1253">
        <f t="shared" si="108"/>
        <v>27.294</v>
      </c>
      <c r="AJ155" s="156">
        <f t="shared" si="109"/>
        <v>66.048201130499976</v>
      </c>
      <c r="AK155" s="156">
        <f t="shared" si="110"/>
        <v>22.19526994823001</v>
      </c>
      <c r="AM155" s="716">
        <f t="shared" si="111"/>
        <v>2248.2237173976632</v>
      </c>
      <c r="AN155" s="716" t="str">
        <f>_xlfn.XLOOKUP(D155,RUC!$B$3:$B$578,RUC!$M$3:$M$578)</f>
        <v>Robinson Tuya</v>
      </c>
      <c r="AO155" s="1167" t="s">
        <v>2276</v>
      </c>
      <c r="AP155" s="1082"/>
      <c r="AQ155" s="1082"/>
    </row>
    <row r="156" spans="1:43" s="1972" customFormat="1" ht="15" customHeight="1">
      <c r="A156" s="1140" t="s">
        <v>6192</v>
      </c>
      <c r="B156" s="1447"/>
      <c r="C156" s="1484">
        <v>46201</v>
      </c>
      <c r="D156" s="1943" t="s">
        <v>6140</v>
      </c>
      <c r="E156" s="762">
        <f>_xlfn.XLOOKUP(D156,RUC!$B$3:$B$123,RUC!$D$3:$D$123)</f>
        <v>20612554863</v>
      </c>
      <c r="F156" s="629"/>
      <c r="G156" s="762">
        <v>11</v>
      </c>
      <c r="H156" s="1082" t="s">
        <v>69</v>
      </c>
      <c r="I156" s="703">
        <v>1.1599999999999999</v>
      </c>
      <c r="J156" s="596">
        <v>2.1</v>
      </c>
      <c r="K156" s="703">
        <f t="shared" si="60"/>
        <v>1.1359999999999999</v>
      </c>
      <c r="L156" s="1192">
        <v>0.29099999999999998</v>
      </c>
      <c r="M156" s="994">
        <f>ROUND(+IF(L156&gt;_xlfn.XLOOKUP(AN156,RUC!M:M,RUC!K:K),L156*_xlfn.XLOOKUP(AN156,RUC!M:M,RUC!I:I),L156-_xlfn.XLOOKUP(AN156,RUC!M:M,RUC!J:J)),3)</f>
        <v>0.27200000000000002</v>
      </c>
      <c r="N156" s="1196">
        <f t="shared" ref="N156:N159" si="114">+M156</f>
        <v>0.27200000000000002</v>
      </c>
      <c r="O156" s="645">
        <f t="shared" ref="O156:O159" si="115">+ROUNDDOWN((M156+N156)/2,3)</f>
        <v>0.27200000000000002</v>
      </c>
      <c r="P156" s="727">
        <v>90</v>
      </c>
      <c r="Q156" s="1906">
        <v>90</v>
      </c>
      <c r="R156" s="706"/>
      <c r="S156" s="765"/>
      <c r="U156" s="1146"/>
      <c r="V156" s="715"/>
      <c r="Y156" s="1972">
        <f>_xlfn.XLOOKUP(D156,RUC!$B$3:$B$123,RUC!$G$3:$G$123)</f>
        <v>0</v>
      </c>
      <c r="Z156" s="143">
        <f>_xlfn.XLOOKUP(D156,RUC!$B$3:$B$123,RUC!$H$3:$H$123)</f>
        <v>35</v>
      </c>
      <c r="AA156" s="144">
        <f t="shared" si="101"/>
        <v>35</v>
      </c>
      <c r="AB156" s="145">
        <f t="shared" si="102"/>
        <v>0</v>
      </c>
      <c r="AC156" s="145">
        <f>+(S156-T156)*V156-'data 1'!$F$4</f>
        <v>-80</v>
      </c>
      <c r="AD156" s="145">
        <f t="shared" si="103"/>
        <v>0</v>
      </c>
      <c r="AE156" s="145">
        <f t="shared" si="104"/>
        <v>-70</v>
      </c>
      <c r="AF156" s="145">
        <f t="shared" si="105"/>
        <v>0</v>
      </c>
      <c r="AG156" s="772">
        <f t="shared" si="106"/>
        <v>-133</v>
      </c>
      <c r="AH156" s="1253">
        <f t="shared" si="107"/>
        <v>10.201000000000001</v>
      </c>
      <c r="AI156" s="1253">
        <f t="shared" si="108"/>
        <v>11.334</v>
      </c>
      <c r="AJ156" s="156">
        <f t="shared" si="109"/>
        <v>0</v>
      </c>
      <c r="AK156" s="156">
        <f t="shared" si="110"/>
        <v>9.5345195619110399</v>
      </c>
      <c r="AM156" s="716">
        <f t="shared" si="111"/>
        <v>0</v>
      </c>
      <c r="AN156" s="716" t="str">
        <f>_xlfn.XLOOKUP(D156,RUC!$B$3:$B$578,RUC!$M$3:$M$578)</f>
        <v>Robinson Tuya</v>
      </c>
      <c r="AO156" s="1167" t="s">
        <v>2276</v>
      </c>
      <c r="AP156" s="1082"/>
      <c r="AQ156" s="1082"/>
    </row>
    <row r="157" spans="1:43" s="1972" customFormat="1" ht="15" customHeight="1">
      <c r="A157" s="1140" t="s">
        <v>6193</v>
      </c>
      <c r="B157" s="1447"/>
      <c r="C157" s="1484">
        <v>46201</v>
      </c>
      <c r="D157" s="1943" t="s">
        <v>6140</v>
      </c>
      <c r="E157" s="762">
        <f>_xlfn.XLOOKUP(D157,RUC!$B$3:$B$123,RUC!$D$3:$D$123)</f>
        <v>20612554863</v>
      </c>
      <c r="F157" s="629"/>
      <c r="G157" s="762">
        <v>50</v>
      </c>
      <c r="H157" s="1082" t="s">
        <v>69</v>
      </c>
      <c r="I157" s="703">
        <v>5.53</v>
      </c>
      <c r="J157" s="596">
        <v>2.75</v>
      </c>
      <c r="K157" s="703">
        <f t="shared" si="60"/>
        <v>5.3780000000000001</v>
      </c>
      <c r="L157" s="1192">
        <v>0.23699999999999999</v>
      </c>
      <c r="M157" s="994">
        <f>ROUND(+IF(L157&gt;_xlfn.XLOOKUP(AN157,RUC!M:M,RUC!K:K),L157*_xlfn.XLOOKUP(AN157,RUC!M:M,RUC!I:I),L157-_xlfn.XLOOKUP(AN157,RUC!M:M,RUC!J:J)),3)</f>
        <v>0.218</v>
      </c>
      <c r="N157" s="1196">
        <f t="shared" si="114"/>
        <v>0.218</v>
      </c>
      <c r="O157" s="645">
        <f t="shared" si="115"/>
        <v>0.218</v>
      </c>
      <c r="P157" s="727">
        <v>90</v>
      </c>
      <c r="Q157" s="1906">
        <v>90</v>
      </c>
      <c r="R157" s="706"/>
      <c r="S157" s="765"/>
      <c r="U157" s="1146"/>
      <c r="V157" s="715"/>
      <c r="Y157" s="1972">
        <f>_xlfn.XLOOKUP(D157,RUC!$B$3:$B$123,RUC!$G$3:$G$123)</f>
        <v>0</v>
      </c>
      <c r="Z157" s="143">
        <f>_xlfn.XLOOKUP(D157,RUC!$B$3:$B$123,RUC!$H$3:$H$123)</f>
        <v>35</v>
      </c>
      <c r="AA157" s="144">
        <f t="shared" si="101"/>
        <v>35</v>
      </c>
      <c r="AB157" s="145">
        <f t="shared" si="102"/>
        <v>0</v>
      </c>
      <c r="AC157" s="145">
        <f>+(S157-T157)*V157-'data 1'!$F$4</f>
        <v>-80</v>
      </c>
      <c r="AD157" s="145">
        <f t="shared" si="103"/>
        <v>0</v>
      </c>
      <c r="AE157" s="145">
        <f t="shared" si="104"/>
        <v>-70</v>
      </c>
      <c r="AF157" s="145">
        <f t="shared" si="105"/>
        <v>0</v>
      </c>
      <c r="AG157" s="772">
        <f t="shared" si="106"/>
        <v>-133</v>
      </c>
      <c r="AH157" s="1253">
        <f t="shared" si="107"/>
        <v>39.33</v>
      </c>
      <c r="AI157" s="1253">
        <f t="shared" si="108"/>
        <v>43.7</v>
      </c>
      <c r="AJ157" s="156">
        <f t="shared" si="109"/>
        <v>0</v>
      </c>
      <c r="AK157" s="156">
        <f t="shared" si="110"/>
        <v>36.176693482234981</v>
      </c>
      <c r="AM157" s="716">
        <f t="shared" si="111"/>
        <v>0</v>
      </c>
      <c r="AN157" s="716" t="str">
        <f>_xlfn.XLOOKUP(D157,RUC!$B$3:$B$578,RUC!$M$3:$M$578)</f>
        <v>Robinson Tuya</v>
      </c>
      <c r="AO157" s="1167" t="s">
        <v>2276</v>
      </c>
      <c r="AP157" s="1082"/>
      <c r="AQ157" s="1082"/>
    </row>
    <row r="158" spans="1:43" s="1972" customFormat="1" ht="15" customHeight="1">
      <c r="A158" s="1140" t="s">
        <v>6194</v>
      </c>
      <c r="B158" s="1447"/>
      <c r="C158" s="1958">
        <v>46201</v>
      </c>
      <c r="D158" s="1943" t="s">
        <v>1484</v>
      </c>
      <c r="E158" s="762">
        <f>_xlfn.XLOOKUP(D158,RUC!$B$3:$B$123,RUC!$D$3:$D$123)</f>
        <v>10761932735</v>
      </c>
      <c r="F158" s="629"/>
      <c r="G158" s="762">
        <v>37</v>
      </c>
      <c r="H158" s="1082" t="s">
        <v>69</v>
      </c>
      <c r="I158" s="703">
        <v>2.74</v>
      </c>
      <c r="J158" s="596">
        <v>12.9</v>
      </c>
      <c r="K158" s="703">
        <f t="shared" si="60"/>
        <v>2.387</v>
      </c>
      <c r="L158" s="1192">
        <v>0.39800000000000002</v>
      </c>
      <c r="M158" s="994">
        <f>ROUND(+IF(L158&gt;_xlfn.XLOOKUP(AN158,RUC!M:M,RUC!K:K),L158*_xlfn.XLOOKUP(AN158,RUC!M:M,RUC!I:I),L158-_xlfn.XLOOKUP(AN158,RUC!M:M,RUC!J:J)),3)</f>
        <v>0.36299999999999999</v>
      </c>
      <c r="N158" s="1196">
        <f t="shared" si="114"/>
        <v>0.36299999999999999</v>
      </c>
      <c r="O158" s="645">
        <f t="shared" si="115"/>
        <v>0.36299999999999999</v>
      </c>
      <c r="P158" s="727">
        <v>90</v>
      </c>
      <c r="Q158" s="1906">
        <v>90</v>
      </c>
      <c r="R158" s="706"/>
      <c r="S158" s="765"/>
      <c r="U158" s="1146"/>
      <c r="V158" s="715"/>
      <c r="Y158" s="1972">
        <f>_xlfn.XLOOKUP(D158,RUC!$B$3:$B$123,RUC!$G$3:$G$123)</f>
        <v>20</v>
      </c>
      <c r="Z158" s="143">
        <f>_xlfn.XLOOKUP(D158,RUC!$B$3:$B$123,RUC!$H$3:$H$123)</f>
        <v>30</v>
      </c>
      <c r="AA158" s="144">
        <f t="shared" si="101"/>
        <v>50</v>
      </c>
      <c r="AB158" s="145">
        <f t="shared" si="102"/>
        <v>0</v>
      </c>
      <c r="AC158" s="145">
        <f>+(S158-T158)*V158-'data 1'!$F$4</f>
        <v>-80</v>
      </c>
      <c r="AD158" s="145">
        <f t="shared" si="103"/>
        <v>0</v>
      </c>
      <c r="AE158" s="145">
        <f t="shared" si="104"/>
        <v>-70</v>
      </c>
      <c r="AF158" s="145">
        <f t="shared" si="105"/>
        <v>0</v>
      </c>
      <c r="AG158" s="772">
        <f t="shared" si="106"/>
        <v>-133</v>
      </c>
      <c r="AH158" s="1253">
        <f t="shared" si="107"/>
        <v>29.315000000000001</v>
      </c>
      <c r="AI158" s="1253">
        <f t="shared" si="108"/>
        <v>32.572000000000003</v>
      </c>
      <c r="AJ158" s="156">
        <f t="shared" si="109"/>
        <v>0</v>
      </c>
      <c r="AK158" s="156">
        <f t="shared" si="110"/>
        <v>26.736873590656845</v>
      </c>
      <c r="AM158" s="716">
        <f t="shared" si="111"/>
        <v>0</v>
      </c>
      <c r="AN158" s="716" t="str">
        <f>_xlfn.XLOOKUP(D158,RUC!$B$3:$B$578,RUC!$M$3:$M$578)</f>
        <v>Richard Sapacayo</v>
      </c>
      <c r="AO158" s="1167" t="s">
        <v>2276</v>
      </c>
      <c r="AP158" s="1082"/>
      <c r="AQ158" s="1082"/>
    </row>
    <row r="159" spans="1:43" s="1972" customFormat="1" ht="15" customHeight="1">
      <c r="A159" s="1140" t="s">
        <v>6195</v>
      </c>
      <c r="B159" s="1447"/>
      <c r="C159" s="1958">
        <v>46201</v>
      </c>
      <c r="D159" s="1943" t="s">
        <v>1484</v>
      </c>
      <c r="E159" s="762">
        <f>_xlfn.XLOOKUP(D159,RUC!$B$3:$B$123,RUC!$D$3:$D$123)</f>
        <v>10761932735</v>
      </c>
      <c r="F159" s="629"/>
      <c r="G159" s="762" t="s">
        <v>2985</v>
      </c>
      <c r="H159" s="1082" t="s">
        <v>69</v>
      </c>
      <c r="I159" s="703">
        <v>20.48</v>
      </c>
      <c r="J159" s="596">
        <v>14.83</v>
      </c>
      <c r="K159" s="703">
        <f t="shared" si="60"/>
        <v>17.443000000000001</v>
      </c>
      <c r="L159" s="1192">
        <v>0.185</v>
      </c>
      <c r="M159" s="994">
        <f>ROUND(+IF(L159&gt;_xlfn.XLOOKUP(AN159,RUC!M:M,RUC!K:K),L159*_xlfn.XLOOKUP(AN159,RUC!M:M,RUC!I:I),L159-_xlfn.XLOOKUP(AN159,RUC!M:M,RUC!J:J)),3)</f>
        <v>0.15</v>
      </c>
      <c r="N159" s="1196">
        <f t="shared" si="114"/>
        <v>0.15</v>
      </c>
      <c r="O159" s="645">
        <f t="shared" si="115"/>
        <v>0.15</v>
      </c>
      <c r="P159" s="727">
        <v>90</v>
      </c>
      <c r="Q159" s="1906">
        <v>90</v>
      </c>
      <c r="R159" s="706"/>
      <c r="S159" s="765"/>
      <c r="U159" s="1146"/>
      <c r="V159" s="715"/>
      <c r="AG159" s="773"/>
      <c r="AH159" s="1253"/>
      <c r="AI159" s="1253"/>
      <c r="AJ159" s="156"/>
      <c r="AK159" s="156"/>
      <c r="AM159" s="716"/>
      <c r="AN159" s="716" t="str">
        <f>_xlfn.XLOOKUP(D159,RUC!$B$3:$B$578,RUC!$M$3:$M$578)</f>
        <v>Richard Sapacayo</v>
      </c>
      <c r="AO159" s="1167" t="s">
        <v>2276</v>
      </c>
      <c r="AP159" s="1082"/>
      <c r="AQ159" s="1082"/>
    </row>
    <row r="160" spans="1:43" s="1972" customFormat="1" ht="15" customHeight="1">
      <c r="A160" s="1140" t="s">
        <v>6196</v>
      </c>
      <c r="B160" s="1447"/>
      <c r="C160" s="1484"/>
      <c r="D160" s="1943"/>
      <c r="E160" s="762"/>
      <c r="F160" s="629"/>
      <c r="G160" s="762"/>
      <c r="H160" s="1082"/>
      <c r="I160" s="703"/>
      <c r="J160" s="596"/>
      <c r="K160" s="703"/>
      <c r="P160" s="727"/>
      <c r="Q160" s="1906"/>
      <c r="R160" s="706"/>
      <c r="S160" s="765"/>
      <c r="U160" s="1146"/>
      <c r="V160" s="715"/>
      <c r="AG160" s="773"/>
      <c r="AH160" s="1253"/>
      <c r="AI160" s="1253"/>
      <c r="AJ160" s="156"/>
      <c r="AK160" s="156"/>
      <c r="AM160" s="716"/>
      <c r="AN160" s="716"/>
      <c r="AO160" s="1167"/>
      <c r="AP160" s="1082"/>
      <c r="AQ160" s="1082"/>
    </row>
    <row r="161" spans="1:43" s="1972" customFormat="1" ht="15" customHeight="1">
      <c r="A161" s="1140" t="s">
        <v>6197</v>
      </c>
      <c r="B161" s="1447"/>
      <c r="C161" s="1484"/>
      <c r="D161" s="1943"/>
      <c r="E161" s="762"/>
      <c r="F161" s="629"/>
      <c r="G161" s="762"/>
      <c r="H161" s="1082"/>
      <c r="I161" s="703"/>
      <c r="J161" s="596"/>
      <c r="K161" s="703"/>
      <c r="P161" s="727"/>
      <c r="Q161" s="1906"/>
      <c r="R161" s="706"/>
      <c r="S161" s="765"/>
      <c r="U161" s="1146"/>
      <c r="V161" s="715"/>
      <c r="AG161" s="773"/>
      <c r="AH161" s="1253"/>
      <c r="AI161" s="1253"/>
      <c r="AJ161" s="156"/>
      <c r="AK161" s="156"/>
      <c r="AM161" s="716"/>
      <c r="AN161" s="716"/>
      <c r="AO161" s="1167"/>
      <c r="AP161" s="1082"/>
      <c r="AQ161" s="1082"/>
    </row>
    <row r="162" spans="1:43" s="1972" customFormat="1" ht="15" customHeight="1">
      <c r="A162" s="1140" t="s">
        <v>6198</v>
      </c>
      <c r="B162" s="1447"/>
      <c r="C162" s="1484"/>
      <c r="D162" s="1943"/>
      <c r="E162" s="762"/>
      <c r="F162" s="629"/>
      <c r="G162" s="762"/>
      <c r="H162" s="1082"/>
      <c r="I162" s="703"/>
      <c r="J162" s="596"/>
      <c r="K162" s="703"/>
      <c r="P162" s="727"/>
      <c r="Q162" s="1906"/>
      <c r="R162" s="706"/>
      <c r="S162" s="765"/>
      <c r="U162" s="1146"/>
      <c r="V162" s="715"/>
      <c r="AG162" s="773"/>
      <c r="AH162" s="1253"/>
      <c r="AI162" s="1253"/>
      <c r="AJ162" s="156"/>
      <c r="AK162" s="156"/>
      <c r="AM162" s="716"/>
      <c r="AN162" s="716"/>
      <c r="AO162" s="1167"/>
      <c r="AP162" s="1082"/>
      <c r="AQ162" s="1082"/>
    </row>
    <row r="163" spans="1:43" s="1972" customFormat="1" ht="15" customHeight="1">
      <c r="A163" s="1140" t="s">
        <v>6199</v>
      </c>
      <c r="B163" s="1447"/>
      <c r="C163" s="1484"/>
      <c r="D163" s="1943"/>
      <c r="E163" s="762"/>
      <c r="F163" s="629"/>
      <c r="G163" s="762"/>
      <c r="H163" s="1082"/>
      <c r="I163" s="703"/>
      <c r="J163" s="596"/>
      <c r="K163" s="703"/>
      <c r="P163" s="727"/>
      <c r="Q163" s="1906"/>
      <c r="R163" s="706"/>
      <c r="S163" s="765"/>
      <c r="U163" s="1146"/>
      <c r="V163" s="715"/>
      <c r="AG163" s="773"/>
      <c r="AH163" s="1253"/>
      <c r="AI163" s="1253"/>
      <c r="AJ163" s="156"/>
      <c r="AK163" s="156"/>
      <c r="AM163" s="716"/>
      <c r="AN163" s="716"/>
      <c r="AO163" s="1167"/>
      <c r="AP163" s="1082"/>
      <c r="AQ163" s="1082"/>
    </row>
    <row r="164" spans="1:43" ht="15" customHeight="1">
      <c r="A164" s="1140" t="s">
        <v>6200</v>
      </c>
      <c r="C164" s="1484"/>
      <c r="U164" s="1146"/>
      <c r="AN164" s="716">
        <f>_xlfn.XLOOKUP(D164,RUC!$B$3:$B$578,RUC!$M$3:$M$578)</f>
        <v>0</v>
      </c>
    </row>
    <row r="165" spans="1:43" ht="15" customHeight="1">
      <c r="M165" s="703"/>
    </row>
  </sheetData>
  <autoFilter ref="A3:AR164" xr:uid="{00000000-0001-0000-0C00-000000000000}"/>
  <mergeCells count="2">
    <mergeCell ref="AV5:BD5"/>
    <mergeCell ref="AV26:BA26"/>
  </mergeCells>
  <phoneticPr fontId="259" type="noConversion"/>
  <pageMargins left="0.7" right="0.7" top="0.75" bottom="0.75" header="0" footer="0"/>
  <pageSetup paperSize="9" scale="10" fitToHeight="0" orientation="portrait" horizontalDpi="360" verticalDpi="360" r:id="rId1"/>
  <ignoredErrors>
    <ignoredError sqref="AG35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DAC9-847B-425E-A3AD-0CCB7D18E55F}">
  <sheetPr>
    <tabColor rgb="FFFFFF00"/>
  </sheetPr>
  <dimension ref="A1:AA1003"/>
  <sheetViews>
    <sheetView showGridLines="0" zoomScale="90" zoomScaleNormal="90" zoomScaleSheetLayoutView="90" zoomScalePageLayoutView="80" workbookViewId="0">
      <selection activeCell="M14" sqref="M14"/>
    </sheetView>
  </sheetViews>
  <sheetFormatPr baseColWidth="10" defaultColWidth="14.44140625" defaultRowHeight="15" customHeight="1"/>
  <cols>
    <col min="1" max="1" width="10.88671875" customWidth="1"/>
    <col min="2" max="2" width="10.5546875" customWidth="1"/>
    <col min="3" max="3" width="13.44140625" customWidth="1"/>
    <col min="4" max="4" width="10" customWidth="1"/>
    <col min="5" max="5" width="10.33203125" customWidth="1"/>
    <col min="6" max="6" width="12.33203125" customWidth="1"/>
    <col min="7" max="7" width="11.33203125" customWidth="1"/>
    <col min="8" max="8" width="8.33203125" customWidth="1"/>
    <col min="9" max="9" width="12.6640625" customWidth="1"/>
    <col min="10" max="10" width="11.33203125" customWidth="1"/>
    <col min="11" max="11" width="1.6640625" hidden="1" customWidth="1"/>
    <col min="12" max="12" width="9.88671875" customWidth="1"/>
    <col min="13" max="13" width="12.6640625" bestFit="1" customWidth="1"/>
    <col min="14" max="14" width="11.6640625" customWidth="1"/>
    <col min="15" max="15" width="13.6640625" customWidth="1"/>
    <col min="16" max="16" width="9.5546875" customWidth="1"/>
    <col min="17" max="17" width="17.33203125" customWidth="1"/>
    <col min="18" max="20" width="9.5546875" customWidth="1"/>
  </cols>
  <sheetData>
    <row r="1" spans="1:27" ht="1.5" customHeight="1">
      <c r="A1" s="1" t="s">
        <v>0</v>
      </c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5"/>
      <c r="P1" s="639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21.5" customHeight="1">
      <c r="A2" s="1985" t="s">
        <v>5311</v>
      </c>
      <c r="B2" s="1986"/>
      <c r="C2" s="1986"/>
      <c r="D2" s="1986"/>
      <c r="E2" s="1986"/>
      <c r="F2" s="1986"/>
      <c r="G2" s="1986"/>
      <c r="H2" s="1986"/>
      <c r="I2" s="1986"/>
      <c r="J2" s="1986"/>
      <c r="K2" s="1986"/>
      <c r="L2" s="1986"/>
      <c r="M2" s="1986"/>
      <c r="N2" s="1986"/>
      <c r="O2" s="1987"/>
      <c r="P2" s="639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3.5" customHeight="1">
      <c r="A3" s="1506"/>
      <c r="O3" s="8"/>
      <c r="P3" s="639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7.25" customHeight="1">
      <c r="A4" s="1567" t="s">
        <v>3</v>
      </c>
      <c r="B4" s="10"/>
      <c r="C4" s="1835"/>
      <c r="D4" s="1836"/>
      <c r="E4" s="1836"/>
      <c r="F4" s="13"/>
      <c r="G4" s="12"/>
      <c r="H4" s="12"/>
      <c r="I4" s="14"/>
      <c r="J4" s="13"/>
      <c r="K4" s="13"/>
      <c r="L4" s="13"/>
      <c r="M4" s="13"/>
      <c r="N4" s="15"/>
      <c r="O4" s="16"/>
      <c r="P4" s="1063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6.5" customHeight="1">
      <c r="A5" s="1526" t="s">
        <v>2764</v>
      </c>
      <c r="B5" s="1527"/>
      <c r="C5" s="1177" t="s">
        <v>5549</v>
      </c>
      <c r="D5" s="1837"/>
      <c r="E5" s="1837"/>
      <c r="F5" s="1527"/>
      <c r="G5" s="1528"/>
      <c r="H5" s="1528"/>
      <c r="I5" s="1529"/>
      <c r="J5" s="1530" t="s">
        <v>5</v>
      </c>
      <c r="K5" s="1531"/>
      <c r="L5" s="54" t="str">
        <f>_xlfn.XLOOKUP($C$5,RUC!B:B,RUC!M:M)</f>
        <v>YEREMY</v>
      </c>
      <c r="M5" s="1532"/>
      <c r="N5" s="15"/>
      <c r="O5" s="16"/>
      <c r="P5" s="149"/>
      <c r="Q5" s="139"/>
      <c r="R5" s="598"/>
      <c r="S5" s="645"/>
      <c r="T5" s="1064"/>
      <c r="U5" s="6"/>
      <c r="V5" s="6"/>
      <c r="W5" s="6"/>
      <c r="X5" s="6"/>
      <c r="Y5" s="6"/>
      <c r="Z5" s="6"/>
      <c r="AA5" s="6"/>
    </row>
    <row r="6" spans="1:27" ht="15" customHeight="1">
      <c r="A6" s="1526" t="s">
        <v>2761</v>
      </c>
      <c r="B6" s="1533"/>
      <c r="C6" s="1640">
        <f>_xlfn.XLOOKUP(C5,RUC!B3:B127,RUC!D3:D127)</f>
        <v>0</v>
      </c>
      <c r="D6" s="1534"/>
      <c r="E6" s="1535"/>
      <c r="F6" s="1527"/>
      <c r="G6" s="1535"/>
      <c r="H6" s="1536"/>
      <c r="I6" s="1537"/>
      <c r="J6" s="1530" t="s">
        <v>7</v>
      </c>
      <c r="K6" s="1531"/>
      <c r="L6" s="1642" t="s">
        <v>8</v>
      </c>
      <c r="M6" s="1532"/>
      <c r="N6" s="24"/>
      <c r="O6" s="8"/>
      <c r="P6" s="149"/>
      <c r="Q6" s="139"/>
      <c r="R6" s="598"/>
      <c r="S6" s="645"/>
      <c r="T6" s="1064"/>
      <c r="U6" s="6"/>
      <c r="V6" s="6"/>
      <c r="W6" s="6"/>
      <c r="X6" s="6"/>
      <c r="Y6" s="6"/>
      <c r="Z6" s="6"/>
      <c r="AA6" s="6"/>
    </row>
    <row r="7" spans="1:27" ht="15" customHeight="1">
      <c r="A7" s="1526" t="s">
        <v>2762</v>
      </c>
      <c r="B7" s="1533"/>
      <c r="C7" s="1641">
        <f ca="1">TODAY()</f>
        <v>46203</v>
      </c>
      <c r="D7" s="1534"/>
      <c r="E7" s="1535"/>
      <c r="F7" s="1530"/>
      <c r="G7" s="1535"/>
      <c r="H7" s="1536"/>
      <c r="I7" s="1537"/>
      <c r="J7" s="1536" t="s">
        <v>1353</v>
      </c>
      <c r="K7" s="1538"/>
      <c r="L7" s="1643"/>
      <c r="M7" s="1532"/>
      <c r="N7" s="24"/>
      <c r="O7" s="8"/>
      <c r="P7" s="149"/>
      <c r="Q7" s="139"/>
      <c r="R7" s="598"/>
      <c r="S7" s="645"/>
      <c r="T7" s="1064"/>
      <c r="U7" s="6"/>
      <c r="V7" s="6"/>
      <c r="W7" s="6"/>
      <c r="X7" s="6"/>
      <c r="Y7" s="6"/>
      <c r="Z7" s="6"/>
      <c r="AA7" s="6"/>
    </row>
    <row r="8" spans="1:27" ht="15" customHeight="1">
      <c r="A8" s="1526" t="s">
        <v>2763</v>
      </c>
      <c r="B8" s="1533"/>
      <c r="C8" s="1641">
        <f ca="1">TODAY()</f>
        <v>46203</v>
      </c>
      <c r="D8" s="1534"/>
      <c r="E8" s="1535"/>
      <c r="F8" s="1530"/>
      <c r="G8" s="1535"/>
      <c r="H8" s="1536"/>
      <c r="I8" s="1537"/>
      <c r="J8" s="1536" t="s">
        <v>1354</v>
      </c>
      <c r="K8" s="1538"/>
      <c r="L8" s="1643"/>
      <c r="M8" s="1532"/>
      <c r="N8" s="24"/>
      <c r="O8" s="8"/>
      <c r="P8" s="149"/>
      <c r="Q8" s="139"/>
      <c r="R8" s="598"/>
      <c r="S8" s="645"/>
      <c r="T8" s="1064"/>
      <c r="U8" s="6"/>
      <c r="V8" s="6"/>
      <c r="W8" s="6"/>
      <c r="X8" s="6"/>
      <c r="Y8" s="6"/>
      <c r="Z8" s="6"/>
      <c r="AA8" s="6"/>
    </row>
    <row r="9" spans="1:27" ht="12" customHeight="1">
      <c r="A9" s="9"/>
      <c r="B9" s="20"/>
      <c r="C9" s="28"/>
      <c r="D9" s="28"/>
      <c r="E9" s="28"/>
      <c r="F9" s="18"/>
      <c r="G9" s="28"/>
      <c r="H9" s="28"/>
      <c r="I9" s="28"/>
      <c r="J9" s="26"/>
      <c r="K9" s="11"/>
      <c r="L9" s="27"/>
      <c r="M9" s="13"/>
      <c r="N9" s="24"/>
      <c r="O9" s="8"/>
      <c r="P9" s="149"/>
      <c r="Q9" s="139"/>
      <c r="R9" s="598"/>
      <c r="S9" s="645"/>
      <c r="T9" s="1064"/>
      <c r="U9" s="6"/>
      <c r="V9" s="6"/>
      <c r="W9" s="6"/>
      <c r="X9" s="6"/>
      <c r="Y9" s="6"/>
      <c r="Z9" s="6"/>
      <c r="AA9" s="6"/>
    </row>
    <row r="10" spans="1:27" ht="12" customHeight="1" thickBot="1">
      <c r="A10" s="9"/>
      <c r="B10" s="20"/>
      <c r="C10" s="29"/>
      <c r="D10" s="21"/>
      <c r="E10" s="22"/>
      <c r="F10" s="23"/>
      <c r="G10" s="22"/>
      <c r="H10" s="1988"/>
      <c r="I10" s="1989"/>
      <c r="J10" s="26"/>
      <c r="K10" s="11"/>
      <c r="L10" s="11"/>
      <c r="M10" s="30"/>
      <c r="N10" s="24"/>
      <c r="O10" s="8"/>
      <c r="P10" s="149"/>
      <c r="Q10" s="139"/>
      <c r="R10" s="598"/>
      <c r="S10" s="645"/>
      <c r="T10" s="1064"/>
      <c r="U10" s="6"/>
      <c r="V10" s="6"/>
      <c r="W10" s="6"/>
      <c r="X10" s="6"/>
      <c r="Y10" s="6"/>
      <c r="Z10" s="6"/>
      <c r="AA10" s="6"/>
    </row>
    <row r="11" spans="1:27" s="1537" customFormat="1" ht="14.4">
      <c r="A11" s="1776" t="s">
        <v>11</v>
      </c>
      <c r="B11" s="33" t="s">
        <v>5118</v>
      </c>
      <c r="C11" s="33" t="s">
        <v>13</v>
      </c>
      <c r="D11" s="33" t="s">
        <v>14</v>
      </c>
      <c r="E11" s="33" t="s">
        <v>15</v>
      </c>
      <c r="F11" s="1777" t="s">
        <v>16</v>
      </c>
      <c r="G11" s="33" t="s">
        <v>17</v>
      </c>
      <c r="H11" s="33" t="s">
        <v>18</v>
      </c>
      <c r="I11" s="33" t="s">
        <v>19</v>
      </c>
      <c r="J11" s="33" t="s">
        <v>20</v>
      </c>
      <c r="K11" s="1777" t="s">
        <v>21</v>
      </c>
      <c r="L11" s="1777" t="s">
        <v>22</v>
      </c>
      <c r="M11" s="33" t="s">
        <v>23</v>
      </c>
      <c r="N11" s="33" t="s">
        <v>24</v>
      </c>
      <c r="O11" s="1778" t="s">
        <v>25</v>
      </c>
      <c r="P11" s="241"/>
      <c r="Q11" s="240"/>
      <c r="R11" s="1779"/>
      <c r="S11" s="1780"/>
      <c r="T11" s="1781"/>
      <c r="U11" s="1782"/>
      <c r="V11" s="1782"/>
      <c r="W11" s="1782"/>
      <c r="X11" s="1782"/>
      <c r="Y11" s="1782"/>
      <c r="Z11" s="1782"/>
      <c r="AA11" s="1782"/>
    </row>
    <row r="12" spans="1:27" s="1537" customFormat="1" thickBot="1">
      <c r="A12" s="1775"/>
      <c r="B12" s="1783" t="s">
        <v>26</v>
      </c>
      <c r="C12" s="1784"/>
      <c r="D12" s="1785"/>
      <c r="E12" s="1784"/>
      <c r="F12" s="1783"/>
      <c r="G12" s="1783"/>
      <c r="H12" s="1783" t="s">
        <v>27</v>
      </c>
      <c r="I12" s="1783" t="s">
        <v>28</v>
      </c>
      <c r="J12" s="1783" t="s">
        <v>5119</v>
      </c>
      <c r="K12" s="1786" t="s">
        <v>30</v>
      </c>
      <c r="L12" s="1786"/>
      <c r="M12" s="1783" t="s">
        <v>29</v>
      </c>
      <c r="N12" s="1783" t="s">
        <v>15</v>
      </c>
      <c r="O12" s="1787"/>
      <c r="P12" s="241"/>
      <c r="Q12" s="240"/>
      <c r="R12" s="1779"/>
      <c r="S12" s="1780"/>
      <c r="T12" s="1781"/>
      <c r="U12" s="1782"/>
      <c r="V12" s="1782"/>
      <c r="W12" s="1782"/>
      <c r="X12" s="1782"/>
      <c r="Y12" s="1782"/>
      <c r="Z12" s="1782"/>
      <c r="AA12" s="1782"/>
    </row>
    <row r="13" spans="1:27" ht="14.4">
      <c r="A13" s="1449"/>
      <c r="B13" s="43"/>
      <c r="C13" s="44"/>
      <c r="D13" s="44"/>
      <c r="E13" s="44"/>
      <c r="F13" s="1790"/>
      <c r="G13" s="44"/>
      <c r="H13" s="45"/>
      <c r="I13" s="44"/>
      <c r="J13" s="45"/>
      <c r="K13" s="45"/>
      <c r="L13" s="46"/>
      <c r="M13" s="47"/>
      <c r="N13" s="47"/>
      <c r="O13" s="48"/>
      <c r="P13" s="149"/>
      <c r="Q13" s="139"/>
      <c r="R13" s="598"/>
      <c r="S13" s="645"/>
      <c r="T13" s="1064"/>
      <c r="U13" s="6"/>
      <c r="V13" s="6"/>
      <c r="W13" s="6"/>
      <c r="X13" s="6"/>
      <c r="Y13" s="6"/>
      <c r="Z13" s="6"/>
      <c r="AA13" s="6"/>
    </row>
    <row r="14" spans="1:27" ht="14.4">
      <c r="A14" s="1450" t="s">
        <v>5312</v>
      </c>
      <c r="B14" s="1641">
        <f ca="1">TODAY()</f>
        <v>46203</v>
      </c>
      <c r="C14" s="1828">
        <v>4</v>
      </c>
      <c r="D14" s="1885">
        <v>2.5</v>
      </c>
      <c r="E14" s="1884">
        <f>+C14*(100-D14)/100</f>
        <v>3.9</v>
      </c>
      <c r="F14" s="1791"/>
      <c r="G14" s="1828">
        <v>0.47699999999999998</v>
      </c>
      <c r="H14" s="1829">
        <v>74</v>
      </c>
      <c r="I14" s="1830">
        <v>4678.3999999999996</v>
      </c>
      <c r="J14" s="54">
        <f>_xlfn.XLOOKUP($C$5,RUC!B:B,RUC!E:E)+ROUNDDOWN(G14*100,-1)</f>
        <v>130</v>
      </c>
      <c r="K14" s="53" t="e">
        <f>VLOOKUP(Valorizacion!$A14,'Analisis comercial'!$A$5:$AH$3591,21,FALSE)</f>
        <v>#N/A</v>
      </c>
      <c r="L14" s="55">
        <v>1.1023000000000001</v>
      </c>
      <c r="M14" s="54">
        <f>IF(RIGHT(A14,2)="Ag",0,_xlfn.XLOOKUP($C$5,RUC!B:B,RUC!H:H))</f>
        <v>28</v>
      </c>
      <c r="N14" s="54">
        <f>+((G14*(I14-_xlfn.XLOOKUP($C$5,RUC!B:B,RUC!F:F))*H14/100)-J14-M14-_xlfn.XLOOKUP($C$5,RUC!B:B,RUC!G:G))*L14</f>
        <v>1607.2455875535998</v>
      </c>
      <c r="O14" s="56">
        <f>ROUND(+N14,2)*ROUND(E14,2)</f>
        <v>6268.2749999999996</v>
      </c>
      <c r="P14" s="149"/>
      <c r="Q14" s="139"/>
      <c r="R14" s="598"/>
      <c r="S14" s="645"/>
      <c r="T14" s="1064"/>
      <c r="U14" s="6"/>
      <c r="V14" s="6"/>
      <c r="W14" s="6"/>
      <c r="X14" s="6"/>
      <c r="Y14" s="6"/>
      <c r="Z14" s="6"/>
      <c r="AA14" s="6"/>
    </row>
    <row r="15" spans="1:27" ht="14.4">
      <c r="A15" s="1450"/>
      <c r="B15" s="1641"/>
      <c r="C15" s="52"/>
      <c r="D15" s="1788"/>
      <c r="E15" s="1884"/>
      <c r="F15" s="1791"/>
      <c r="G15" s="52"/>
      <c r="H15" s="1792"/>
      <c r="I15" s="54"/>
      <c r="J15" s="54"/>
      <c r="K15" s="53"/>
      <c r="L15" s="55"/>
      <c r="M15" s="54"/>
      <c r="N15" s="54"/>
      <c r="O15" s="56"/>
      <c r="P15" s="149"/>
      <c r="Q15" s="139"/>
      <c r="R15" s="598"/>
      <c r="S15" s="645"/>
      <c r="T15" s="1064"/>
      <c r="U15" s="6"/>
      <c r="V15" s="6"/>
      <c r="W15" s="6"/>
      <c r="X15" s="6"/>
      <c r="Y15" s="6"/>
      <c r="Z15" s="6"/>
      <c r="AA15" s="6"/>
    </row>
    <row r="16" spans="1:27" ht="14.4">
      <c r="A16" s="1450"/>
      <c r="B16" s="1641"/>
      <c r="C16" s="52"/>
      <c r="D16" s="1788"/>
      <c r="E16" s="1884"/>
      <c r="F16" s="1791"/>
      <c r="G16" s="52"/>
      <c r="H16" s="1792"/>
      <c r="I16" s="54"/>
      <c r="J16" s="54"/>
      <c r="K16" s="53"/>
      <c r="L16" s="55"/>
      <c r="M16" s="54"/>
      <c r="N16" s="54"/>
      <c r="O16" s="56"/>
      <c r="P16" s="149"/>
      <c r="Q16" s="139"/>
      <c r="R16" s="598"/>
      <c r="S16" s="645"/>
      <c r="T16" s="1064"/>
      <c r="U16" s="6"/>
      <c r="V16" s="6"/>
      <c r="W16" s="6"/>
      <c r="X16" s="6"/>
      <c r="Y16" s="6"/>
      <c r="Z16" s="6"/>
      <c r="AA16" s="6"/>
    </row>
    <row r="17" spans="1:27" ht="14.4">
      <c r="A17" s="1450"/>
      <c r="B17" s="1641"/>
      <c r="C17" s="52"/>
      <c r="D17" s="1788"/>
      <c r="E17" s="1884"/>
      <c r="F17" s="1791"/>
      <c r="G17" s="52"/>
      <c r="H17" s="1792"/>
      <c r="I17" s="54"/>
      <c r="J17" s="54"/>
      <c r="K17" s="53"/>
      <c r="L17" s="55"/>
      <c r="M17" s="54"/>
      <c r="N17" s="54"/>
      <c r="O17" s="56"/>
      <c r="P17" s="149"/>
      <c r="Q17" s="139"/>
      <c r="R17" s="598"/>
      <c r="S17" s="645"/>
      <c r="T17" s="1064"/>
      <c r="U17" s="6"/>
      <c r="V17" s="6"/>
      <c r="W17" s="6"/>
      <c r="X17" s="6"/>
      <c r="Y17" s="6"/>
      <c r="Z17" s="6"/>
      <c r="AA17" s="6"/>
    </row>
    <row r="18" spans="1:27" ht="14.4">
      <c r="A18" s="1450"/>
      <c r="B18" s="1641"/>
      <c r="C18" s="52"/>
      <c r="D18" s="1788"/>
      <c r="E18" s="1884"/>
      <c r="F18" s="1791"/>
      <c r="G18" s="52"/>
      <c r="H18" s="1792"/>
      <c r="I18" s="54"/>
      <c r="J18" s="54"/>
      <c r="K18" s="53"/>
      <c r="L18" s="55"/>
      <c r="M18" s="54"/>
      <c r="N18" s="54"/>
      <c r="O18" s="56"/>
      <c r="P18" s="149"/>
      <c r="Q18" s="139"/>
      <c r="R18" s="598"/>
      <c r="S18" s="645"/>
      <c r="T18" s="1064"/>
      <c r="U18" s="6"/>
      <c r="V18" s="6"/>
      <c r="W18" s="6"/>
      <c r="X18" s="6"/>
      <c r="Y18" s="6"/>
      <c r="Z18" s="6"/>
      <c r="AA18" s="6"/>
    </row>
    <row r="19" spans="1:27" ht="14.4">
      <c r="A19" s="1450"/>
      <c r="B19" s="1641"/>
      <c r="C19" s="52"/>
      <c r="D19" s="1788"/>
      <c r="E19" s="1884"/>
      <c r="F19" s="1791"/>
      <c r="G19" s="52"/>
      <c r="H19" s="1792"/>
      <c r="I19" s="54"/>
      <c r="J19" s="54"/>
      <c r="K19" s="53"/>
      <c r="L19" s="55"/>
      <c r="M19" s="54"/>
      <c r="N19" s="54"/>
      <c r="O19" s="56"/>
      <c r="P19" s="149"/>
      <c r="Q19" s="139"/>
      <c r="R19" s="598"/>
      <c r="S19" s="645"/>
      <c r="T19" s="1064"/>
      <c r="U19" s="6"/>
      <c r="V19" s="6"/>
      <c r="W19" s="6"/>
      <c r="X19" s="6"/>
      <c r="Y19" s="6"/>
      <c r="Z19" s="6"/>
      <c r="AA19" s="6"/>
    </row>
    <row r="20" spans="1:27" ht="14.4">
      <c r="A20" s="1450"/>
      <c r="B20" s="1641"/>
      <c r="C20" s="52"/>
      <c r="D20" s="1788"/>
      <c r="E20" s="1884"/>
      <c r="F20" s="1791"/>
      <c r="G20" s="52"/>
      <c r="H20" s="1792"/>
      <c r="I20" s="54"/>
      <c r="J20" s="54"/>
      <c r="K20" s="53"/>
      <c r="L20" s="55"/>
      <c r="M20" s="54"/>
      <c r="N20" s="54"/>
      <c r="O20" s="56"/>
      <c r="P20" s="149"/>
      <c r="Q20" s="139"/>
      <c r="R20" s="598"/>
      <c r="S20" s="645"/>
      <c r="T20" s="1064"/>
      <c r="U20" s="6"/>
      <c r="V20" s="6"/>
      <c r="W20" s="6"/>
      <c r="X20" s="6"/>
      <c r="Y20" s="6"/>
      <c r="Z20" s="6"/>
      <c r="AA20" s="6"/>
    </row>
    <row r="21" spans="1:27" ht="14.4">
      <c r="A21" s="1450"/>
      <c r="B21" s="1641"/>
      <c r="C21" s="52"/>
      <c r="D21" s="1788"/>
      <c r="E21" s="1884"/>
      <c r="F21" s="1791"/>
      <c r="G21" s="52"/>
      <c r="H21" s="1792"/>
      <c r="I21" s="54"/>
      <c r="J21" s="54"/>
      <c r="K21" s="53"/>
      <c r="L21" s="55"/>
      <c r="M21" s="54"/>
      <c r="N21" s="54"/>
      <c r="O21" s="56"/>
      <c r="P21" s="149"/>
      <c r="Q21" s="139"/>
      <c r="R21" s="598"/>
      <c r="S21" s="645"/>
      <c r="T21" s="1064"/>
      <c r="U21" s="6"/>
      <c r="V21" s="6"/>
      <c r="W21" s="6"/>
      <c r="X21" s="6"/>
      <c r="Y21" s="6"/>
      <c r="Z21" s="6"/>
      <c r="AA21" s="6"/>
    </row>
    <row r="22" spans="1:27" ht="14.4">
      <c r="A22" s="1450"/>
      <c r="B22" s="25"/>
      <c r="C22" s="52"/>
      <c r="D22" s="1788"/>
      <c r="E22" s="1789"/>
      <c r="F22" s="1791"/>
      <c r="G22" s="52"/>
      <c r="H22" s="1792"/>
      <c r="I22" s="54"/>
      <c r="J22" s="54"/>
      <c r="K22" s="53"/>
      <c r="L22" s="55"/>
      <c r="M22" s="54"/>
      <c r="N22" s="1804"/>
      <c r="O22" s="56"/>
      <c r="P22" s="149"/>
      <c r="Q22" s="139"/>
      <c r="R22" s="598"/>
      <c r="S22" s="645"/>
      <c r="T22" s="82"/>
      <c r="U22" s="6"/>
      <c r="V22" s="6"/>
      <c r="W22" s="6"/>
      <c r="X22" s="6"/>
      <c r="Y22" s="6"/>
      <c r="Z22" s="6"/>
      <c r="AA22" s="6"/>
    </row>
    <row r="23" spans="1:27" ht="14.4">
      <c r="A23" s="1450"/>
      <c r="B23" s="25"/>
      <c r="C23" s="52"/>
      <c r="D23" s="1788"/>
      <c r="E23" s="1789"/>
      <c r="F23" s="1539"/>
      <c r="G23" s="52"/>
      <c r="H23" s="1792"/>
      <c r="I23" s="54"/>
      <c r="J23" s="54"/>
      <c r="K23" s="53"/>
      <c r="L23" s="55"/>
      <c r="M23" s="54"/>
      <c r="N23" s="1680"/>
      <c r="O23" s="56"/>
      <c r="P23" s="149"/>
      <c r="Q23" s="139"/>
      <c r="R23" s="598"/>
      <c r="S23" s="645"/>
      <c r="T23" s="82"/>
      <c r="U23" s="6"/>
      <c r="V23" s="6"/>
      <c r="W23" s="6"/>
      <c r="X23" s="6"/>
      <c r="Y23" s="6"/>
      <c r="Z23" s="6"/>
      <c r="AA23" s="6"/>
    </row>
    <row r="24" spans="1:27" ht="16.5" customHeight="1">
      <c r="A24" s="1450"/>
      <c r="B24" s="25"/>
      <c r="C24" s="52"/>
      <c r="D24" s="50"/>
      <c r="E24" s="50"/>
      <c r="F24" s="1417"/>
      <c r="G24" s="52"/>
      <c r="H24" s="53"/>
      <c r="I24" s="54"/>
      <c r="J24" s="54"/>
      <c r="K24" s="53"/>
      <c r="L24" s="55"/>
      <c r="M24" s="54"/>
      <c r="N24" s="1426" t="s">
        <v>32</v>
      </c>
      <c r="O24" s="1591">
        <f>SUM(O13:O23)</f>
        <v>6268.2749999999996</v>
      </c>
      <c r="P24" s="149"/>
      <c r="Q24" s="139"/>
      <c r="R24" s="598"/>
      <c r="S24" s="645"/>
      <c r="T24" s="82"/>
      <c r="U24" s="6"/>
      <c r="V24" s="6"/>
      <c r="W24" s="6"/>
      <c r="X24" s="6"/>
      <c r="Y24" s="6"/>
      <c r="Z24" s="6"/>
      <c r="AA24" s="6"/>
    </row>
    <row r="25" spans="1:27" s="1432" customFormat="1" ht="29.25" customHeight="1">
      <c r="A25" s="1451"/>
      <c r="B25" s="1433" t="s">
        <v>2311</v>
      </c>
      <c r="C25" s="1421"/>
      <c r="D25" s="1422"/>
      <c r="E25" s="1423"/>
      <c r="F25" s="1424"/>
      <c r="G25" s="1425"/>
      <c r="H25" s="1424"/>
      <c r="I25" s="1424"/>
      <c r="J25" s="1424"/>
      <c r="K25" s="1423"/>
      <c r="L25" s="1423"/>
      <c r="M25" s="1423"/>
      <c r="O25" s="1434"/>
      <c r="P25" s="1427"/>
      <c r="Q25" s="1428"/>
      <c r="R25" s="1429"/>
      <c r="S25" s="1430"/>
      <c r="T25" s="1431"/>
      <c r="U25" s="1424"/>
      <c r="V25" s="1424"/>
      <c r="W25" s="1424"/>
      <c r="X25" s="1424"/>
      <c r="Y25" s="1424"/>
      <c r="Z25" s="1424"/>
      <c r="AA25" s="1424"/>
    </row>
    <row r="26" spans="1:27" ht="15" customHeight="1">
      <c r="A26" s="1450"/>
      <c r="B26" s="1183" t="str">
        <f>_xlfn.XLOOKUP(L5,RUC!M3:M119,RUC!N3:N119)</f>
        <v>*Se promedia diferencia de leyes desde 0.040 hasta 0.099 oz/Tc</v>
      </c>
      <c r="C26" s="1172"/>
      <c r="D26" s="64"/>
      <c r="E26" s="58"/>
      <c r="F26" s="58"/>
      <c r="G26" s="58"/>
      <c r="H26" s="58"/>
      <c r="I26" s="58"/>
      <c r="J26" s="65"/>
      <c r="K26" s="6"/>
      <c r="L26" s="6"/>
      <c r="M26" s="6"/>
      <c r="N26" s="61"/>
      <c r="O26" s="66"/>
      <c r="P26" s="149"/>
      <c r="Q26" s="139"/>
      <c r="R26" s="598"/>
      <c r="S26" s="645"/>
      <c r="T26" s="82"/>
      <c r="U26" s="6"/>
      <c r="V26" s="6"/>
      <c r="W26" s="6"/>
      <c r="X26" s="6"/>
      <c r="Y26" s="6"/>
      <c r="Z26" s="6"/>
      <c r="AA26" s="6"/>
    </row>
    <row r="27" spans="1:27" ht="15.6" customHeight="1">
      <c r="A27" s="1450"/>
      <c r="B27" s="1183" t="s">
        <v>2316</v>
      </c>
      <c r="C27" s="1173"/>
      <c r="D27" s="64"/>
      <c r="E27" s="58"/>
      <c r="F27" s="30"/>
      <c r="G27" s="58"/>
      <c r="H27" s="58"/>
      <c r="I27" s="58"/>
      <c r="J27" s="58"/>
      <c r="K27" s="6"/>
      <c r="L27" s="6"/>
      <c r="M27" s="6"/>
      <c r="N27" s="61"/>
      <c r="O27" s="67"/>
      <c r="P27" s="149"/>
      <c r="Q27" s="139"/>
      <c r="R27" s="598"/>
      <c r="S27" s="645"/>
      <c r="T27" s="82"/>
      <c r="U27" s="6"/>
      <c r="V27" s="6"/>
      <c r="W27" s="6"/>
      <c r="X27" s="6"/>
      <c r="Y27" s="6"/>
      <c r="Z27" s="6"/>
      <c r="AA27" s="6"/>
    </row>
    <row r="28" spans="1:27" ht="15.75" customHeight="1">
      <c r="A28" s="1450"/>
      <c r="B28" s="1183" t="s">
        <v>2312</v>
      </c>
      <c r="C28" s="1171"/>
      <c r="D28" s="64"/>
      <c r="E28" s="58"/>
      <c r="F28" s="30"/>
      <c r="G28" s="58"/>
      <c r="H28" s="58"/>
      <c r="I28" s="58"/>
      <c r="J28" s="58"/>
      <c r="K28" s="30"/>
      <c r="L28" s="30"/>
      <c r="M28" s="30"/>
      <c r="N28" s="61"/>
      <c r="O28" s="66"/>
      <c r="P28" s="149"/>
      <c r="Q28" s="139"/>
      <c r="R28" s="598"/>
      <c r="S28" s="645"/>
      <c r="T28" s="82"/>
      <c r="U28" s="6"/>
      <c r="V28" s="6"/>
      <c r="W28" s="6"/>
      <c r="X28" s="6"/>
      <c r="Y28" s="6"/>
      <c r="Z28" s="6"/>
      <c r="AA28" s="6"/>
    </row>
    <row r="29" spans="1:27" ht="15.75" customHeight="1">
      <c r="A29" s="1450"/>
      <c r="B29" s="1183" t="s">
        <v>2315</v>
      </c>
      <c r="C29" s="1171"/>
      <c r="D29" s="1171"/>
      <c r="E29" s="1174"/>
      <c r="F29" s="1174"/>
      <c r="G29" s="6"/>
      <c r="H29" s="6"/>
      <c r="I29" s="6"/>
      <c r="J29" s="6"/>
      <c r="K29" s="6"/>
      <c r="L29" s="6"/>
      <c r="O29" s="1453"/>
      <c r="AA29" s="6"/>
    </row>
    <row r="30" spans="1:27" ht="15.75" customHeight="1">
      <c r="A30" s="1450"/>
      <c r="B30" s="1183" t="s">
        <v>2416</v>
      </c>
      <c r="C30" s="1171"/>
      <c r="D30" s="64"/>
      <c r="E30" s="58"/>
      <c r="F30" s="30"/>
      <c r="G30" s="58"/>
      <c r="H30" s="58"/>
      <c r="I30" s="58"/>
      <c r="J30" s="58"/>
      <c r="K30" s="30"/>
      <c r="L30" s="30"/>
      <c r="M30" s="30"/>
      <c r="N30" s="61"/>
      <c r="O30" s="1453"/>
      <c r="P30" s="57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5.75" customHeight="1">
      <c r="A31" s="1450"/>
      <c r="B31" s="1183" t="s">
        <v>2417</v>
      </c>
      <c r="C31" s="1171"/>
      <c r="D31" s="64"/>
      <c r="E31" s="58"/>
      <c r="F31" s="30"/>
      <c r="G31" s="58"/>
      <c r="H31" s="58"/>
      <c r="I31" s="58"/>
      <c r="J31" s="58"/>
      <c r="K31" s="30"/>
      <c r="L31" s="30"/>
      <c r="M31" s="30"/>
      <c r="N31" s="61"/>
      <c r="O31" s="66"/>
      <c r="P31" s="57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5.75" customHeight="1" thickBot="1">
      <c r="A32" s="1452"/>
      <c r="B32" s="1184" t="s">
        <v>2418</v>
      </c>
      <c r="C32" s="1175"/>
      <c r="D32" s="1175"/>
      <c r="E32" s="1175"/>
      <c r="F32" s="1176"/>
      <c r="G32" s="72"/>
      <c r="H32" s="73"/>
      <c r="I32" s="74"/>
      <c r="J32" s="75"/>
      <c r="K32" s="76"/>
      <c r="L32" s="76"/>
      <c r="M32" s="76"/>
      <c r="N32" s="77"/>
      <c r="O32" s="78" t="s">
        <v>830</v>
      </c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/>
    <row r="227" spans="1:27" ht="15.75" customHeight="1"/>
    <row r="228" spans="1:27" ht="15.75" customHeight="1"/>
    <row r="229" spans="1:27" ht="15.75" customHeight="1"/>
    <row r="230" spans="1:27" ht="15.75" customHeight="1"/>
    <row r="231" spans="1:27" ht="15.75" customHeight="1"/>
    <row r="232" spans="1:27" ht="15.75" customHeight="1"/>
    <row r="233" spans="1:27" ht="15.75" customHeight="1"/>
    <row r="234" spans="1:27" ht="15.75" customHeight="1"/>
    <row r="235" spans="1:27" ht="15.75" customHeight="1"/>
    <row r="236" spans="1:27" ht="15.75" customHeight="1"/>
    <row r="237" spans="1:27" ht="15.75" customHeight="1"/>
    <row r="238" spans="1:27" ht="15.75" customHeight="1"/>
    <row r="239" spans="1:27" ht="15.75" customHeight="1"/>
    <row r="240" spans="1:27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2">
    <mergeCell ref="A2:O2"/>
    <mergeCell ref="H10:I10"/>
  </mergeCells>
  <phoneticPr fontId="343" type="noConversion"/>
  <printOptions horizontalCentered="1" verticalCentered="1"/>
  <pageMargins left="0.39370078740157483" right="0.39370078740157483" top="0.39370078740157483" bottom="0.39370078740157483" header="0.31496062992125984" footer="0.31496062992125984"/>
  <pageSetup paperSize="9" scale="85" orientation="landscape" r:id="rId1"/>
  <colBreaks count="1" manualBreakCount="1">
    <brk id="15" max="1048575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3">
    <tabColor rgb="FFFFFF00"/>
    <pageSetUpPr fitToPage="1"/>
  </sheetPr>
  <dimension ref="A1:AA1003"/>
  <sheetViews>
    <sheetView showGridLines="0" zoomScale="85" zoomScaleNormal="85" zoomScaleSheetLayoutView="90" zoomScalePageLayoutView="80" workbookViewId="0">
      <selection activeCell="A2" sqref="A2:O2"/>
    </sheetView>
  </sheetViews>
  <sheetFormatPr baseColWidth="10" defaultColWidth="14.44140625" defaultRowHeight="15" customHeight="1"/>
  <cols>
    <col min="1" max="1" width="10.88671875" customWidth="1"/>
    <col min="2" max="2" width="10.5546875" customWidth="1"/>
    <col min="3" max="3" width="13.44140625" customWidth="1"/>
    <col min="4" max="4" width="10" customWidth="1"/>
    <col min="5" max="5" width="10.33203125" customWidth="1"/>
    <col min="6" max="6" width="12.33203125" customWidth="1"/>
    <col min="7" max="7" width="11.33203125" customWidth="1"/>
    <col min="8" max="8" width="8.33203125" customWidth="1"/>
    <col min="9" max="9" width="14.109375" customWidth="1"/>
    <col min="10" max="10" width="12.5546875" customWidth="1"/>
    <col min="11" max="11" width="1.6640625" hidden="1" customWidth="1"/>
    <col min="12" max="12" width="11.6640625" customWidth="1"/>
    <col min="13" max="13" width="9.44140625" customWidth="1"/>
    <col min="14" max="15" width="12.5546875" customWidth="1"/>
    <col min="16" max="16" width="9.5546875" customWidth="1"/>
    <col min="17" max="17" width="17.33203125" customWidth="1"/>
    <col min="18" max="20" width="9.5546875" customWidth="1"/>
  </cols>
  <sheetData>
    <row r="1" spans="1:27" ht="1.5" customHeight="1">
      <c r="A1" s="1" t="s">
        <v>0</v>
      </c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5"/>
      <c r="P1" s="639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21.5" customHeight="1">
      <c r="A2" s="1985" t="s">
        <v>3495</v>
      </c>
      <c r="B2" s="1986"/>
      <c r="C2" s="1986"/>
      <c r="D2" s="1986"/>
      <c r="E2" s="1986"/>
      <c r="F2" s="1986"/>
      <c r="G2" s="1986"/>
      <c r="H2" s="1986"/>
      <c r="I2" s="1986"/>
      <c r="J2" s="1986"/>
      <c r="K2" s="1986"/>
      <c r="L2" s="1986"/>
      <c r="M2" s="1986"/>
      <c r="N2" s="1986"/>
      <c r="O2" s="1987"/>
      <c r="P2" s="639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3.5" customHeight="1">
      <c r="A3" s="1506"/>
      <c r="O3" s="8"/>
      <c r="P3" s="639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7.25" customHeight="1">
      <c r="A4" s="1567" t="s">
        <v>3</v>
      </c>
      <c r="B4" s="10"/>
      <c r="C4" s="1570"/>
      <c r="D4" s="12"/>
      <c r="E4" s="12"/>
      <c r="F4" s="13"/>
      <c r="G4" s="12"/>
      <c r="H4" s="12"/>
      <c r="I4" s="14"/>
      <c r="J4" s="13"/>
      <c r="K4" s="13"/>
      <c r="L4" s="13"/>
      <c r="M4" s="13"/>
      <c r="N4" s="15"/>
      <c r="O4" s="16"/>
      <c r="P4" s="1063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6.5" customHeight="1">
      <c r="A5" s="1526" t="s">
        <v>2764</v>
      </c>
      <c r="B5" s="1527"/>
      <c r="C5" s="1639" t="str">
        <f>_xlfn.XLOOKUP(Liquidacion!$A14,'Analisis comercial'!A:A,'Analisis comercial'!D:D)</f>
        <v>GRUPO EMPRESARIAL FARFAN EIRL</v>
      </c>
      <c r="D5" s="1528"/>
      <c r="E5" s="1528"/>
      <c r="F5" s="1527"/>
      <c r="G5" s="1528"/>
      <c r="H5" s="1528"/>
      <c r="I5" s="1529"/>
      <c r="J5" s="1530" t="s">
        <v>5</v>
      </c>
      <c r="K5" s="1531"/>
      <c r="L5" s="1642" t="str">
        <f>_xlfn.XLOOKUP(C6,RUC!D3:D127,RUC!M3:M127)</f>
        <v>Robinson Tuya</v>
      </c>
      <c r="M5" s="1532"/>
      <c r="N5" s="15"/>
      <c r="O5" s="16"/>
      <c r="P5" s="149"/>
      <c r="Q5" s="139"/>
      <c r="R5" s="598"/>
      <c r="S5" s="645"/>
      <c r="T5" s="1064"/>
      <c r="U5" s="6"/>
      <c r="V5" s="6"/>
      <c r="W5" s="6"/>
      <c r="X5" s="6"/>
      <c r="Y5" s="6"/>
      <c r="Z5" s="6"/>
      <c r="AA5" s="6"/>
    </row>
    <row r="6" spans="1:27" ht="15" customHeight="1">
      <c r="A6" s="1526" t="s">
        <v>2761</v>
      </c>
      <c r="B6" s="1533"/>
      <c r="C6" s="1640">
        <f>_xlfn.XLOOKUP(C5,RUC!B3:B127,RUC!D3:D127)</f>
        <v>20614329646</v>
      </c>
      <c r="D6" s="1534"/>
      <c r="E6" s="1535"/>
      <c r="F6" s="1527"/>
      <c r="G6" s="1535"/>
      <c r="H6" s="1536"/>
      <c r="I6" s="1537"/>
      <c r="J6" s="1530" t="s">
        <v>7</v>
      </c>
      <c r="K6" s="1531"/>
      <c r="L6" s="1642" t="s">
        <v>8</v>
      </c>
      <c r="M6" s="1532"/>
      <c r="N6" s="24"/>
      <c r="O6" s="8"/>
      <c r="P6" s="149"/>
      <c r="Q6" s="139"/>
      <c r="R6" s="598"/>
      <c r="S6" s="645"/>
      <c r="T6" s="1064"/>
      <c r="U6" s="6"/>
      <c r="V6" s="6"/>
      <c r="W6" s="6"/>
      <c r="X6" s="6"/>
      <c r="Y6" s="6"/>
      <c r="Z6" s="6"/>
      <c r="AA6" s="6"/>
    </row>
    <row r="7" spans="1:27" ht="15" customHeight="1">
      <c r="A7" s="1526" t="s">
        <v>2762</v>
      </c>
      <c r="B7" s="1533"/>
      <c r="C7" s="1641">
        <f>_xlfn.XLOOKUP($A14,'Analisis comercial'!A:A,'Analisis comercial'!C:C)</f>
        <v>46198</v>
      </c>
      <c r="D7" s="1534"/>
      <c r="E7" s="1535"/>
      <c r="F7" s="1530"/>
      <c r="G7" s="1535"/>
      <c r="H7" s="1536"/>
      <c r="I7" s="1537"/>
      <c r="J7" s="1536" t="s">
        <v>1353</v>
      </c>
      <c r="K7" s="1538"/>
      <c r="L7" s="1849" t="str">
        <f>_xlfn.XLOOKUP(A14,'Analisis comercial'!A:A,'Analisis comercial'!AP:AP)</f>
        <v>EG07-0098</v>
      </c>
      <c r="M7" s="1532"/>
      <c r="N7" s="24"/>
      <c r="O7" s="8"/>
      <c r="P7" s="149"/>
      <c r="Q7" s="139"/>
      <c r="R7" s="598"/>
      <c r="S7" s="645"/>
      <c r="T7" s="1064"/>
      <c r="U7" s="6"/>
      <c r="V7" s="6"/>
      <c r="W7" s="6"/>
      <c r="X7" s="6"/>
      <c r="Y7" s="6"/>
      <c r="Z7" s="6"/>
      <c r="AA7" s="6"/>
    </row>
    <row r="8" spans="1:27" ht="15" customHeight="1">
      <c r="A8" s="1526" t="s">
        <v>2763</v>
      </c>
      <c r="B8" s="1533"/>
      <c r="C8" s="1641">
        <f>_xlfn.XLOOKUP($A14,'Analisis comercial'!A:A,'Analisis comercial'!B:B)</f>
        <v>46203</v>
      </c>
      <c r="D8" s="1534"/>
      <c r="E8" s="1535"/>
      <c r="F8" s="1530"/>
      <c r="G8" s="1535"/>
      <c r="H8" s="1536"/>
      <c r="I8" s="1537"/>
      <c r="J8" s="1536" t="s">
        <v>1354</v>
      </c>
      <c r="K8" s="1538"/>
      <c r="L8" s="1850" t="str">
        <f>_xlfn.XLOOKUP(A14,'Analisis comercial'!A:A,'Analisis comercial'!AQ:AQ)</f>
        <v>EG03-0023</v>
      </c>
      <c r="M8" s="1532"/>
      <c r="N8" s="24"/>
      <c r="O8" s="8"/>
      <c r="P8" s="149"/>
      <c r="R8" s="598"/>
      <c r="S8" s="645"/>
      <c r="T8" s="1064"/>
      <c r="U8" s="6"/>
      <c r="V8" s="6"/>
      <c r="W8" s="6"/>
      <c r="X8" s="6"/>
      <c r="Y8" s="6"/>
      <c r="Z8" s="6"/>
      <c r="AA8" s="6"/>
    </row>
    <row r="9" spans="1:27" ht="12" customHeight="1">
      <c r="A9" s="9"/>
      <c r="B9" s="20"/>
      <c r="C9" s="28"/>
      <c r="D9" s="28"/>
      <c r="E9" s="28"/>
      <c r="F9" s="18"/>
      <c r="G9" s="28"/>
      <c r="H9" s="28"/>
      <c r="I9" s="28"/>
      <c r="J9" s="26"/>
      <c r="K9" s="11"/>
      <c r="L9" s="27"/>
      <c r="M9" s="13"/>
      <c r="N9" s="24"/>
      <c r="O9" s="8"/>
      <c r="P9" s="149"/>
      <c r="Q9" s="139"/>
      <c r="R9" s="598"/>
      <c r="S9" s="645"/>
      <c r="T9" s="1064"/>
      <c r="U9" s="6"/>
      <c r="V9" s="6"/>
      <c r="W9" s="6"/>
      <c r="X9" s="6"/>
      <c r="Y9" s="6"/>
      <c r="Z9" s="6"/>
      <c r="AA9" s="6"/>
    </row>
    <row r="10" spans="1:27" ht="12" customHeight="1" thickBot="1">
      <c r="A10" s="9"/>
      <c r="B10" s="20"/>
      <c r="C10" s="29"/>
      <c r="D10" s="21"/>
      <c r="E10" s="22"/>
      <c r="F10" s="23"/>
      <c r="G10" s="22"/>
      <c r="H10" s="1988"/>
      <c r="I10" s="1989"/>
      <c r="J10" s="26"/>
      <c r="K10" s="11"/>
      <c r="L10" s="11"/>
      <c r="M10" s="30"/>
      <c r="N10" s="24"/>
      <c r="O10" s="8"/>
      <c r="P10" s="149"/>
      <c r="Q10" s="139"/>
      <c r="R10" s="598"/>
      <c r="S10" s="645"/>
      <c r="T10" s="1064"/>
      <c r="U10" s="6"/>
      <c r="V10" s="6"/>
      <c r="W10" s="6"/>
      <c r="X10" s="6"/>
      <c r="Y10" s="6"/>
      <c r="Z10" s="6"/>
      <c r="AA10" s="6"/>
    </row>
    <row r="11" spans="1:27" s="1537" customFormat="1" ht="14.4">
      <c r="A11" s="1776" t="s">
        <v>11</v>
      </c>
      <c r="B11" s="33" t="s">
        <v>5118</v>
      </c>
      <c r="C11" s="33" t="s">
        <v>13</v>
      </c>
      <c r="D11" s="33" t="s">
        <v>14</v>
      </c>
      <c r="E11" s="33" t="s">
        <v>15</v>
      </c>
      <c r="F11" s="1777" t="s">
        <v>16</v>
      </c>
      <c r="G11" s="33" t="s">
        <v>17</v>
      </c>
      <c r="H11" s="33" t="s">
        <v>18</v>
      </c>
      <c r="I11" s="33" t="s">
        <v>19</v>
      </c>
      <c r="J11" s="33" t="s">
        <v>20</v>
      </c>
      <c r="K11" s="1777" t="s">
        <v>21</v>
      </c>
      <c r="L11" s="1777" t="s">
        <v>22</v>
      </c>
      <c r="M11" s="33" t="s">
        <v>23</v>
      </c>
      <c r="N11" s="33" t="s">
        <v>24</v>
      </c>
      <c r="O11" s="1778" t="s">
        <v>25</v>
      </c>
      <c r="P11" s="241"/>
      <c r="Q11" s="240"/>
      <c r="R11" s="1779"/>
      <c r="S11" s="1780"/>
      <c r="T11" s="1781"/>
      <c r="U11" s="1782"/>
      <c r="V11" s="1782"/>
      <c r="W11" s="1782"/>
      <c r="X11" s="1782"/>
      <c r="Y11" s="1782"/>
      <c r="Z11" s="1782"/>
      <c r="AA11" s="1782"/>
    </row>
    <row r="12" spans="1:27" s="1537" customFormat="1" thickBot="1">
      <c r="A12" s="1775"/>
      <c r="B12" s="1783" t="s">
        <v>26</v>
      </c>
      <c r="C12" s="1784"/>
      <c r="D12" s="1785"/>
      <c r="E12" s="1784"/>
      <c r="F12" s="1783"/>
      <c r="G12" s="1783"/>
      <c r="H12" s="1783" t="s">
        <v>27</v>
      </c>
      <c r="I12" s="1783" t="s">
        <v>28</v>
      </c>
      <c r="J12" s="1783" t="s">
        <v>5119</v>
      </c>
      <c r="K12" s="1786" t="s">
        <v>30</v>
      </c>
      <c r="L12" s="1786"/>
      <c r="M12" s="1783" t="s">
        <v>29</v>
      </c>
      <c r="N12" s="1783" t="s">
        <v>15</v>
      </c>
      <c r="O12" s="1787"/>
      <c r="P12" s="241"/>
      <c r="Q12" s="240"/>
      <c r="R12" s="1779"/>
      <c r="S12" s="1780"/>
      <c r="T12" s="1781"/>
      <c r="U12" s="1782"/>
      <c r="V12" s="1782"/>
      <c r="W12" s="1782"/>
      <c r="X12" s="1782"/>
      <c r="Y12" s="1782"/>
      <c r="Z12" s="1782"/>
      <c r="AA12" s="1782"/>
    </row>
    <row r="13" spans="1:27" ht="14.4">
      <c r="A13" s="1449"/>
      <c r="B13" s="43"/>
      <c r="C13" s="44"/>
      <c r="D13" s="44"/>
      <c r="E13" s="44"/>
      <c r="F13" s="1790"/>
      <c r="G13" s="44"/>
      <c r="H13" s="45"/>
      <c r="I13" s="44"/>
      <c r="J13" s="45"/>
      <c r="K13" s="45"/>
      <c r="L13" s="46"/>
      <c r="M13" s="47"/>
      <c r="N13" s="47"/>
      <c r="O13" s="48"/>
      <c r="P13" s="149"/>
      <c r="Q13" s="139"/>
      <c r="R13" s="598"/>
      <c r="S13" s="645"/>
      <c r="T13" s="1064"/>
      <c r="U13" s="6"/>
      <c r="V13" s="6"/>
      <c r="W13" s="6"/>
      <c r="X13" s="6"/>
      <c r="Y13" s="6"/>
      <c r="Z13" s="6"/>
      <c r="AA13" s="6"/>
    </row>
    <row r="14" spans="1:27" ht="14.4">
      <c r="A14" s="1450" t="s">
        <v>6141</v>
      </c>
      <c r="B14" s="25">
        <f>_xlfn.XLOOKUP($A14,'Analisis comercial'!A:A,'Analisis comercial'!C:C)</f>
        <v>46198</v>
      </c>
      <c r="C14" s="52">
        <f>_xlfn.XLOOKUP(A14,'Analisis comercial'!A:A,'Analisis comercial'!I:I)</f>
        <v>5.46</v>
      </c>
      <c r="D14" s="1788">
        <f>_xlfn.XLOOKUP(A14,'Analisis comercial'!A:A,'Analisis comercial'!J:J)</f>
        <v>2</v>
      </c>
      <c r="E14" s="1789">
        <f>_xlfn.XLOOKUP(A14,'Analisis comercial'!A:A,'Analisis comercial'!K:K)</f>
        <v>5.351</v>
      </c>
      <c r="F14" s="1791">
        <f>_xlfn.XLOOKUP(Liquidacion!$A14,'Analisis comercial'!A:A,'Analisis comercial'!G:G)</f>
        <v>47</v>
      </c>
      <c r="G14" s="52">
        <f>_xlfn.XLOOKUP(Liquidacion!$A14,'Analisis comercial'!A:A,'Analisis comercial'!O:O)</f>
        <v>0.14299999999999999</v>
      </c>
      <c r="H14" s="53">
        <f>_xlfn.XLOOKUP(Liquidacion!$A14,'Analisis comercial'!A:A,'Analisis comercial'!P:P)</f>
        <v>80</v>
      </c>
      <c r="I14" s="54">
        <f>_xlfn.XLOOKUP(Liquidacion!$A14,'Analisis comercial'!A:A,'Analisis comercial'!R:R)</f>
        <v>4001.8</v>
      </c>
      <c r="J14" s="54">
        <f>_xlfn.XLOOKUP(Liquidacion!$A14,'Analisis comercial'!A:A,'Analisis comercial'!S:S)</f>
        <v>95</v>
      </c>
      <c r="K14" s="53">
        <f>VLOOKUP(Liquidacion!$A14,'Analisis comercial'!$A$5:$AH$3591,21,FALSE)</f>
        <v>110</v>
      </c>
      <c r="L14" s="55">
        <f>_xlfn.XLOOKUP(Liquidacion!$A14,'Analisis comercial'!A:A,'Analisis comercial'!V:V)</f>
        <v>1.1023000000000001</v>
      </c>
      <c r="M14" s="54">
        <f>_xlfn.XLOOKUP(Liquidacion!$A14,'Analisis comercial'!A:A,'Analisis comercial'!Z:Z)</f>
        <v>70</v>
      </c>
      <c r="N14" s="54">
        <f>ROUND(_xlfn.XLOOKUP(Liquidacion!$A14,'Analisis comercial'!A:A,'Analisis comercial'!AB:AB),2)</f>
        <v>308.89</v>
      </c>
      <c r="O14" s="56">
        <f>+ROUND(N14,2)*ROUND(E14,3)</f>
        <v>1652.8703899999998</v>
      </c>
      <c r="P14" s="149"/>
      <c r="Q14" s="139"/>
      <c r="R14" s="598"/>
      <c r="S14" s="645"/>
      <c r="T14" s="1064"/>
      <c r="U14" s="6"/>
      <c r="V14" s="6"/>
      <c r="W14" s="6"/>
      <c r="X14" s="6"/>
      <c r="Y14" s="6"/>
      <c r="Z14" s="6"/>
      <c r="AA14" s="6"/>
    </row>
    <row r="15" spans="1:27" ht="14.4">
      <c r="A15" s="1450"/>
      <c r="B15" s="25"/>
      <c r="C15" s="52"/>
      <c r="D15" s="1788"/>
      <c r="E15" s="1789"/>
      <c r="F15" s="1791"/>
      <c r="G15" s="52"/>
      <c r="H15" s="53"/>
      <c r="I15" s="54"/>
      <c r="J15" s="54"/>
      <c r="K15" s="53"/>
      <c r="L15" s="55"/>
      <c r="M15" s="54"/>
      <c r="N15" s="54"/>
      <c r="O15" s="56"/>
      <c r="P15" s="149"/>
      <c r="Q15" s="139"/>
      <c r="R15" s="598"/>
      <c r="S15" s="645"/>
      <c r="T15" s="1064"/>
      <c r="U15" s="6"/>
      <c r="V15" s="6"/>
      <c r="W15" s="6"/>
      <c r="X15" s="6"/>
      <c r="Y15" s="6"/>
      <c r="Z15" s="6"/>
      <c r="AA15" s="6"/>
    </row>
    <row r="16" spans="1:27" ht="14.4">
      <c r="A16" s="1450"/>
      <c r="B16" s="25"/>
      <c r="C16" s="52"/>
      <c r="D16" s="1788"/>
      <c r="E16" s="1789"/>
      <c r="F16" s="1791"/>
      <c r="G16" s="52"/>
      <c r="H16" s="53"/>
      <c r="I16" s="54"/>
      <c r="J16" s="54"/>
      <c r="K16" s="53"/>
      <c r="L16" s="55"/>
      <c r="M16" s="54"/>
      <c r="N16" s="54"/>
      <c r="O16" s="56"/>
      <c r="P16" s="149"/>
      <c r="Q16" s="139"/>
      <c r="R16" s="598"/>
      <c r="S16" s="645"/>
      <c r="T16" s="1064"/>
      <c r="U16" s="6"/>
      <c r="V16" s="6"/>
      <c r="W16" s="6"/>
      <c r="X16" s="6"/>
      <c r="Y16" s="6"/>
      <c r="Z16" s="6"/>
      <c r="AA16" s="6"/>
    </row>
    <row r="17" spans="1:27" ht="14.4">
      <c r="A17" s="1450"/>
      <c r="B17" s="25"/>
      <c r="C17" s="52"/>
      <c r="D17" s="1788"/>
      <c r="E17" s="1789"/>
      <c r="F17" s="1791"/>
      <c r="G17" s="52"/>
      <c r="H17" s="53"/>
      <c r="I17" s="54"/>
      <c r="J17" s="54"/>
      <c r="K17" s="53"/>
      <c r="L17" s="55"/>
      <c r="M17" s="54"/>
      <c r="N17" s="54"/>
      <c r="O17" s="56"/>
      <c r="P17" s="149"/>
      <c r="Q17" s="139"/>
      <c r="R17" s="598"/>
      <c r="S17" s="645"/>
      <c r="T17" s="1064"/>
      <c r="U17" s="6"/>
      <c r="V17" s="6"/>
      <c r="W17" s="6"/>
      <c r="X17" s="6"/>
      <c r="Y17" s="6"/>
      <c r="Z17" s="6"/>
      <c r="AA17" s="6"/>
    </row>
    <row r="18" spans="1:27" ht="14.4">
      <c r="A18" s="1450"/>
      <c r="B18" s="25"/>
      <c r="C18" s="52"/>
      <c r="D18" s="1788"/>
      <c r="E18" s="1789"/>
      <c r="F18" s="1791"/>
      <c r="G18" s="52"/>
      <c r="H18" s="53"/>
      <c r="I18" s="54"/>
      <c r="J18" s="54"/>
      <c r="K18" s="53"/>
      <c r="L18" s="55"/>
      <c r="M18" s="54"/>
      <c r="N18" s="54"/>
      <c r="O18" s="56"/>
      <c r="P18" s="149"/>
      <c r="Q18" s="139"/>
      <c r="R18" s="598"/>
      <c r="S18" s="645"/>
      <c r="T18" s="1064"/>
      <c r="U18" s="6"/>
      <c r="V18" s="6"/>
      <c r="W18" s="6"/>
      <c r="X18" s="6"/>
      <c r="Y18" s="6"/>
      <c r="Z18" s="6"/>
      <c r="AA18" s="6"/>
    </row>
    <row r="19" spans="1:27" ht="14.4">
      <c r="A19" s="1450"/>
      <c r="B19" s="25"/>
      <c r="C19" s="52"/>
      <c r="D19" s="1788"/>
      <c r="E19" s="1789"/>
      <c r="F19" s="1791"/>
      <c r="G19" s="52"/>
      <c r="H19" s="53"/>
      <c r="I19" s="54"/>
      <c r="J19" s="54"/>
      <c r="K19" s="53"/>
      <c r="L19" s="55"/>
      <c r="M19" s="54"/>
      <c r="N19" s="54"/>
      <c r="O19" s="56"/>
      <c r="P19" s="149"/>
      <c r="Q19" s="139"/>
      <c r="R19" s="598"/>
      <c r="S19" s="645"/>
      <c r="T19" s="1064"/>
      <c r="U19" s="6"/>
      <c r="V19" s="6"/>
      <c r="W19" s="6"/>
      <c r="X19" s="6"/>
      <c r="Y19" s="6"/>
      <c r="Z19" s="6"/>
      <c r="AA19" s="6"/>
    </row>
    <row r="20" spans="1:27" ht="14.4">
      <c r="A20" s="1450"/>
      <c r="B20" s="25"/>
      <c r="C20" s="52"/>
      <c r="D20" s="1788"/>
      <c r="E20" s="1789"/>
      <c r="F20" s="1791"/>
      <c r="G20" s="52"/>
      <c r="H20" s="53"/>
      <c r="I20" s="54"/>
      <c r="J20" s="54"/>
      <c r="K20" s="53"/>
      <c r="L20" s="55"/>
      <c r="M20" s="54"/>
      <c r="N20" s="54"/>
      <c r="O20" s="56"/>
      <c r="P20" s="149"/>
      <c r="Q20" s="139"/>
      <c r="R20" s="598"/>
      <c r="S20" s="645"/>
      <c r="T20" s="1064"/>
      <c r="U20" s="6"/>
      <c r="V20" s="6"/>
      <c r="W20" s="6"/>
      <c r="X20" s="6"/>
      <c r="Y20" s="6"/>
      <c r="Z20" s="6"/>
      <c r="AA20" s="6"/>
    </row>
    <row r="21" spans="1:27" ht="14.4">
      <c r="A21" s="1450"/>
      <c r="B21" s="25"/>
      <c r="C21" s="52"/>
      <c r="D21" s="1788"/>
      <c r="E21" s="1789"/>
      <c r="F21" s="1791"/>
      <c r="G21" s="52"/>
      <c r="H21" s="53"/>
      <c r="I21" s="54"/>
      <c r="J21" s="54"/>
      <c r="K21" s="53"/>
      <c r="L21" s="55"/>
      <c r="M21" s="54"/>
      <c r="N21" s="54"/>
      <c r="O21" s="56"/>
      <c r="P21" s="149"/>
      <c r="Q21" s="139"/>
      <c r="R21" s="598"/>
      <c r="S21" s="645"/>
      <c r="T21" s="1064"/>
      <c r="U21" s="6"/>
      <c r="V21" s="6"/>
      <c r="W21" s="6"/>
      <c r="X21" s="6"/>
      <c r="Y21" s="6"/>
      <c r="Z21" s="6"/>
      <c r="AA21" s="6"/>
    </row>
    <row r="22" spans="1:27" ht="14.4">
      <c r="A22" s="1450"/>
      <c r="B22" s="25"/>
      <c r="C22" s="52"/>
      <c r="D22" s="1788"/>
      <c r="E22" s="1789"/>
      <c r="F22" s="1791"/>
      <c r="G22" s="52"/>
      <c r="H22" s="1792"/>
      <c r="I22" s="54"/>
      <c r="J22" s="54"/>
      <c r="K22" s="53"/>
      <c r="L22" s="55"/>
      <c r="M22" s="54"/>
      <c r="N22" s="1804"/>
      <c r="O22" s="56"/>
      <c r="P22" s="149"/>
      <c r="Q22" s="139"/>
      <c r="R22" s="598"/>
      <c r="S22" s="645"/>
      <c r="T22" s="82"/>
      <c r="U22" s="6"/>
      <c r="V22" s="6"/>
      <c r="W22" s="6"/>
      <c r="X22" s="6"/>
      <c r="Y22" s="6"/>
      <c r="Z22" s="6"/>
      <c r="AA22" s="6"/>
    </row>
    <row r="23" spans="1:27" ht="14.4">
      <c r="A23" s="1450"/>
      <c r="B23" s="25"/>
      <c r="C23" s="52"/>
      <c r="D23" s="1788"/>
      <c r="E23" s="1789"/>
      <c r="F23" s="1539"/>
      <c r="G23" s="52"/>
      <c r="H23" s="1792"/>
      <c r="I23" s="54"/>
      <c r="J23" s="54"/>
      <c r="K23" s="53"/>
      <c r="L23" s="55"/>
      <c r="M23" s="54"/>
      <c r="N23" s="1680"/>
      <c r="O23" s="56"/>
      <c r="P23" s="149"/>
      <c r="Q23" s="139"/>
      <c r="R23" s="598"/>
      <c r="S23" s="645"/>
      <c r="T23" s="82"/>
      <c r="U23" s="6"/>
      <c r="V23" s="6"/>
      <c r="W23" s="6"/>
      <c r="X23" s="6"/>
      <c r="Y23" s="6"/>
      <c r="Z23" s="6"/>
      <c r="AA23" s="6"/>
    </row>
    <row r="24" spans="1:27" ht="16.5" customHeight="1">
      <c r="A24" s="1450"/>
      <c r="B24" s="25"/>
      <c r="C24" s="52"/>
      <c r="D24" s="50"/>
      <c r="E24" s="50"/>
      <c r="F24" s="1417"/>
      <c r="G24" s="52"/>
      <c r="H24" s="53"/>
      <c r="I24" s="54"/>
      <c r="J24" s="54"/>
      <c r="K24" s="53"/>
      <c r="L24" s="55"/>
      <c r="M24" s="54"/>
      <c r="N24" s="1426" t="s">
        <v>32</v>
      </c>
      <c r="O24" s="1591">
        <f>SUM(O13:O23)</f>
        <v>1652.8703899999998</v>
      </c>
      <c r="P24" s="149"/>
      <c r="Q24" s="139"/>
      <c r="R24" s="598"/>
      <c r="S24" s="645"/>
      <c r="T24" s="82"/>
      <c r="U24" s="6"/>
      <c r="V24" s="6"/>
      <c r="W24" s="6"/>
      <c r="X24" s="6"/>
      <c r="Y24" s="6"/>
      <c r="Z24" s="6"/>
      <c r="AA24" s="6"/>
    </row>
    <row r="25" spans="1:27" s="1432" customFormat="1" ht="29.25" customHeight="1">
      <c r="A25" s="1451"/>
      <c r="B25" s="1433" t="s">
        <v>2311</v>
      </c>
      <c r="C25" s="1421"/>
      <c r="D25" s="1422"/>
      <c r="E25" s="1423"/>
      <c r="F25" s="1424"/>
      <c r="G25" s="1425"/>
      <c r="H25" s="1424"/>
      <c r="I25" s="1424"/>
      <c r="J25" s="1424"/>
      <c r="K25" s="1423"/>
      <c r="L25" s="1423"/>
      <c r="M25" s="1423"/>
      <c r="O25" s="1434"/>
      <c r="P25" s="1427"/>
      <c r="Q25" s="1428"/>
      <c r="R25" s="1429"/>
      <c r="S25" s="1430"/>
      <c r="T25" s="1431"/>
      <c r="U25" s="1424"/>
      <c r="V25" s="1424"/>
      <c r="W25" s="1424"/>
      <c r="X25" s="1424"/>
      <c r="Y25" s="1424"/>
      <c r="Z25" s="1424"/>
      <c r="AA25" s="1424"/>
    </row>
    <row r="26" spans="1:27" ht="15" customHeight="1">
      <c r="A26" s="1450"/>
      <c r="B26" s="1183" t="str">
        <f>_xlfn.XLOOKUP(L5,RUC!M3:M119,RUC!N3:N119)</f>
        <v>*Se promedia diferencia de leyes desde 0.040 hasta 0.099 oz/Tc</v>
      </c>
      <c r="C26" s="1172"/>
      <c r="D26" s="64"/>
      <c r="E26" s="58"/>
      <c r="F26" s="58"/>
      <c r="G26" s="58"/>
      <c r="H26" s="58"/>
      <c r="I26" s="58"/>
      <c r="J26" s="65"/>
      <c r="K26" s="6"/>
      <c r="L26" s="6"/>
      <c r="M26" s="6"/>
      <c r="N26" s="61"/>
      <c r="O26" s="66"/>
      <c r="P26" s="149"/>
      <c r="Q26" s="139"/>
      <c r="R26" s="598"/>
      <c r="S26" s="645"/>
      <c r="T26" s="82"/>
      <c r="U26" s="6"/>
      <c r="V26" s="6"/>
      <c r="W26" s="6"/>
      <c r="X26" s="6"/>
      <c r="Y26" s="6"/>
      <c r="Z26" s="6"/>
      <c r="AA26" s="6"/>
    </row>
    <row r="27" spans="1:27" ht="15.6" customHeight="1">
      <c r="A27" s="1450"/>
      <c r="B27" s="1183" t="s">
        <v>2316</v>
      </c>
      <c r="C27" s="1173"/>
      <c r="D27" s="64"/>
      <c r="E27" s="58"/>
      <c r="F27" s="30"/>
      <c r="G27" s="58"/>
      <c r="H27" s="58"/>
      <c r="I27" s="58"/>
      <c r="J27" s="58"/>
      <c r="K27" s="6"/>
      <c r="L27" s="6"/>
      <c r="M27" s="6"/>
      <c r="N27" s="61"/>
      <c r="O27" s="67"/>
      <c r="P27" s="149"/>
      <c r="Q27" s="139"/>
      <c r="R27" s="598"/>
      <c r="S27" s="645"/>
      <c r="T27" s="82"/>
      <c r="U27" s="6"/>
      <c r="V27" s="6"/>
      <c r="W27" s="6"/>
      <c r="X27" s="6"/>
      <c r="Y27" s="6"/>
      <c r="Z27" s="6"/>
      <c r="AA27" s="6"/>
    </row>
    <row r="28" spans="1:27" ht="15.75" customHeight="1">
      <c r="A28" s="1450"/>
      <c r="B28" s="1183" t="s">
        <v>2312</v>
      </c>
      <c r="C28" s="1171"/>
      <c r="D28" s="64"/>
      <c r="E28" s="58"/>
      <c r="F28" s="30"/>
      <c r="G28" s="58"/>
      <c r="H28" s="58"/>
      <c r="I28" s="58"/>
      <c r="J28" s="58"/>
      <c r="K28" s="30"/>
      <c r="L28" s="30"/>
      <c r="M28" s="30"/>
      <c r="N28" s="61"/>
      <c r="O28" s="66"/>
      <c r="P28" s="149"/>
      <c r="Q28" s="139"/>
      <c r="R28" s="598"/>
      <c r="S28" s="645"/>
      <c r="T28" s="82"/>
      <c r="U28" s="6"/>
      <c r="V28" s="6"/>
      <c r="W28" s="6"/>
      <c r="X28" s="6"/>
      <c r="Y28" s="6"/>
      <c r="Z28" s="6"/>
      <c r="AA28" s="6"/>
    </row>
    <row r="29" spans="1:27" ht="15.75" customHeight="1">
      <c r="A29" s="1450"/>
      <c r="B29" s="1183" t="s">
        <v>2315</v>
      </c>
      <c r="C29" s="1171"/>
      <c r="D29" s="1171"/>
      <c r="E29" s="1174"/>
      <c r="F29" s="1174"/>
      <c r="G29" s="6"/>
      <c r="H29" s="6"/>
      <c r="I29" s="6"/>
      <c r="J29" s="6"/>
      <c r="K29" s="6"/>
      <c r="L29" s="6"/>
      <c r="O29" s="1453"/>
      <c r="AA29" s="6"/>
    </row>
    <row r="30" spans="1:27" ht="15.75" customHeight="1">
      <c r="A30" s="1450"/>
      <c r="B30" s="1183" t="s">
        <v>2416</v>
      </c>
      <c r="C30" s="1171"/>
      <c r="D30" s="64"/>
      <c r="E30" s="58"/>
      <c r="F30" s="30"/>
      <c r="G30" s="58"/>
      <c r="H30" s="58"/>
      <c r="I30" s="58"/>
      <c r="J30" s="58"/>
      <c r="K30" s="30"/>
      <c r="L30" s="30"/>
      <c r="M30" s="30"/>
      <c r="N30" s="61"/>
      <c r="O30" s="1453"/>
      <c r="P30" s="57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5.75" customHeight="1">
      <c r="A31" s="1450"/>
      <c r="B31" s="1183" t="s">
        <v>2417</v>
      </c>
      <c r="C31" s="1171"/>
      <c r="D31" s="64"/>
      <c r="E31" s="58"/>
      <c r="F31" s="30"/>
      <c r="G31" s="58"/>
      <c r="H31" s="58"/>
      <c r="I31" s="58"/>
      <c r="J31" s="58"/>
      <c r="K31" s="30"/>
      <c r="L31" s="30"/>
      <c r="M31" s="30"/>
      <c r="N31" s="61"/>
      <c r="O31" s="66"/>
      <c r="P31" s="57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5.75" customHeight="1" thickBot="1">
      <c r="A32" s="1452"/>
      <c r="B32" s="1184" t="s">
        <v>2418</v>
      </c>
      <c r="C32" s="1175"/>
      <c r="D32" s="1175"/>
      <c r="E32" s="1175"/>
      <c r="F32" s="1176"/>
      <c r="G32" s="72"/>
      <c r="H32" s="73"/>
      <c r="I32" s="74"/>
      <c r="J32" s="75"/>
      <c r="K32" s="76"/>
      <c r="L32" s="76"/>
      <c r="M32" s="76"/>
      <c r="N32" s="77"/>
      <c r="O32" s="78" t="s">
        <v>830</v>
      </c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/>
    <row r="227" spans="1:27" ht="15.75" customHeight="1"/>
    <row r="228" spans="1:27" ht="15.75" customHeight="1"/>
    <row r="229" spans="1:27" ht="15.75" customHeight="1"/>
    <row r="230" spans="1:27" ht="15.75" customHeight="1"/>
    <row r="231" spans="1:27" ht="15.75" customHeight="1"/>
    <row r="232" spans="1:27" ht="15.75" customHeight="1"/>
    <row r="233" spans="1:27" ht="15.75" customHeight="1"/>
    <row r="234" spans="1:27" ht="15.75" customHeight="1"/>
    <row r="235" spans="1:27" ht="15.75" customHeight="1"/>
    <row r="236" spans="1:27" ht="15.75" customHeight="1"/>
    <row r="237" spans="1:27" ht="15.75" customHeight="1"/>
    <row r="238" spans="1:27" ht="15.75" customHeight="1"/>
    <row r="239" spans="1:27" ht="15.75" customHeight="1"/>
    <row r="240" spans="1:27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2">
    <mergeCell ref="H10:I10"/>
    <mergeCell ref="A2:O2"/>
  </mergeCells>
  <phoneticPr fontId="263" type="noConversion"/>
  <printOptions horizontalCentered="1" verticalCentered="1"/>
  <pageMargins left="0.39370078740157483" right="0.39370078740157483" top="0.39370078740157483" bottom="0.39370078740157483" header="0.31496062992125984" footer="0.31496062992125984"/>
  <pageSetup paperSize="9" scale="87" orientation="landscape" r:id="rId1"/>
  <colBreaks count="1" manualBreakCount="1">
    <brk id="15" max="1048575" man="1"/>
  </col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CB73B-306F-4944-AF7C-06AF98373AC3}">
  <sheetPr>
    <pageSetUpPr fitToPage="1"/>
  </sheetPr>
  <dimension ref="A1:I51"/>
  <sheetViews>
    <sheetView topLeftCell="A4" zoomScale="90" zoomScaleNormal="90" zoomScaleSheetLayoutView="90" workbookViewId="0">
      <selection activeCell="J14" sqref="J14"/>
    </sheetView>
  </sheetViews>
  <sheetFormatPr baseColWidth="10" defaultColWidth="11.5546875" defaultRowHeight="14.4"/>
  <cols>
    <col min="1" max="1" width="6.44140625" style="1703" customWidth="1"/>
    <col min="2" max="2" width="6.33203125" style="1703" customWidth="1"/>
    <col min="3" max="3" width="19.44140625" style="1703" customWidth="1"/>
    <col min="4" max="4" width="11.88671875" style="1703" customWidth="1"/>
    <col min="5" max="5" width="12.109375" style="1703" customWidth="1"/>
    <col min="6" max="6" width="11.5546875" style="1703" customWidth="1"/>
    <col min="7" max="7" width="4.88671875" style="1703" customWidth="1"/>
    <col min="8" max="8" width="10.88671875" style="1703" customWidth="1"/>
    <col min="9" max="9" width="3.5546875" style="1703" customWidth="1"/>
    <col min="10" max="16384" width="11.5546875" style="1703"/>
  </cols>
  <sheetData>
    <row r="1" spans="1:9">
      <c r="A1" s="1731"/>
      <c r="B1" s="1731"/>
      <c r="C1" s="1731"/>
      <c r="D1" s="1731"/>
      <c r="E1" s="1731"/>
      <c r="F1" s="1731"/>
      <c r="G1" s="1731"/>
      <c r="H1" s="1705"/>
      <c r="I1" s="1705"/>
    </row>
    <row r="2" spans="1:9" ht="20.25" customHeight="1">
      <c r="A2" s="1731"/>
      <c r="B2" s="1731"/>
      <c r="C2" s="1731"/>
      <c r="D2" s="1731"/>
      <c r="E2" s="1731"/>
      <c r="F2" s="1731"/>
      <c r="G2" s="1731"/>
      <c r="H2" s="1705"/>
      <c r="I2" s="1705"/>
    </row>
    <row r="3" spans="1:9" ht="21.75" customHeight="1">
      <c r="A3" s="1731"/>
      <c r="B3" s="1731"/>
      <c r="C3" s="1731"/>
      <c r="D3" s="1731"/>
      <c r="E3" s="1731"/>
      <c r="F3" s="1731"/>
      <c r="G3" s="1731"/>
      <c r="H3" s="1705"/>
      <c r="I3" s="1705"/>
    </row>
    <row r="4" spans="1:9" ht="11.25" customHeight="1">
      <c r="A4" s="1713"/>
      <c r="B4" s="1713"/>
      <c r="C4" s="1704"/>
      <c r="D4" s="1704"/>
      <c r="E4" s="1704"/>
      <c r="F4" s="1704"/>
      <c r="G4" s="1713"/>
      <c r="H4" s="1710"/>
      <c r="I4" s="1705"/>
    </row>
    <row r="5" spans="1:9" ht="22.8">
      <c r="A5" s="1997" t="s">
        <v>3522</v>
      </c>
      <c r="B5" s="1997"/>
      <c r="C5" s="1997"/>
      <c r="D5" s="1997"/>
      <c r="E5" s="1997"/>
      <c r="F5" s="1997"/>
      <c r="G5" s="1997"/>
      <c r="H5" s="1997"/>
      <c r="I5" s="1997"/>
    </row>
    <row r="6" spans="1:9" ht="17.399999999999999">
      <c r="A6" s="2000" t="s">
        <v>6206</v>
      </c>
      <c r="B6" s="2000"/>
      <c r="C6" s="2000"/>
      <c r="D6" s="2000"/>
      <c r="E6" s="2000"/>
      <c r="F6" s="2000"/>
      <c r="G6" s="2000"/>
      <c r="H6" s="2000"/>
      <c r="I6" s="2000"/>
    </row>
    <row r="7" spans="1:9">
      <c r="A7" s="1727"/>
      <c r="B7" s="1704"/>
      <c r="C7" s="1704"/>
      <c r="D7" s="1704"/>
      <c r="E7" s="1704"/>
      <c r="F7" s="1704"/>
      <c r="G7" s="1718"/>
      <c r="H7" s="1704"/>
      <c r="I7" s="1705"/>
    </row>
    <row r="8" spans="1:9">
      <c r="A8" s="1732"/>
      <c r="B8" s="1713"/>
      <c r="C8" s="1713"/>
      <c r="D8" s="1713"/>
      <c r="E8" s="1713"/>
      <c r="F8" s="1713"/>
      <c r="G8" s="1733"/>
      <c r="H8" s="1734"/>
      <c r="I8" s="1705"/>
    </row>
    <row r="9" spans="1:9" ht="15.75" customHeight="1">
      <c r="A9" s="1704"/>
      <c r="B9" s="2002" t="s">
        <v>3523</v>
      </c>
      <c r="C9" s="2002"/>
      <c r="D9" s="2003" t="s">
        <v>3524</v>
      </c>
      <c r="E9" s="1999" t="str">
        <f>_xlfn.XLOOKUP(C29,'Analisis comercial'!A:A,'Analisis comercial'!D:D)</f>
        <v>TAMAYO BELLIDO ROBERTO CARLOS</v>
      </c>
      <c r="F9" s="1999"/>
      <c r="G9" s="1999"/>
      <c r="H9" s="1999"/>
      <c r="I9" s="1999"/>
    </row>
    <row r="10" spans="1:9" ht="15.75" customHeight="1">
      <c r="A10" s="1706"/>
      <c r="B10" s="2002"/>
      <c r="C10" s="2002"/>
      <c r="D10" s="2003"/>
      <c r="E10" s="1999"/>
      <c r="F10" s="1999"/>
      <c r="G10" s="1999"/>
      <c r="H10" s="1999"/>
      <c r="I10" s="1999"/>
    </row>
    <row r="11" spans="1:9" ht="15.75" customHeight="1">
      <c r="A11" s="1704"/>
      <c r="B11" s="2004" t="s">
        <v>3525</v>
      </c>
      <c r="C11" s="2004"/>
      <c r="D11" s="2005" t="s">
        <v>3524</v>
      </c>
      <c r="E11" s="1998" t="str">
        <f>_xlfn.XLOOKUP(E9,RUC!B3:B125,RUC!C3:C125)</f>
        <v>CONCESIÓN MINERA: SAÑAICA I - PAMPACHIRI-ANDAHUAYLAS-APURIMAC</v>
      </c>
      <c r="F11" s="1998"/>
      <c r="G11" s="1998"/>
      <c r="H11" s="1998"/>
      <c r="I11" s="1998"/>
    </row>
    <row r="12" spans="1:9" ht="15.75" customHeight="1">
      <c r="A12" s="1706"/>
      <c r="B12" s="2004"/>
      <c r="C12" s="2004"/>
      <c r="D12" s="2005"/>
      <c r="E12" s="1998"/>
      <c r="F12" s="1998"/>
      <c r="G12" s="1998"/>
      <c r="H12" s="1998"/>
      <c r="I12" s="1998"/>
    </row>
    <row r="13" spans="1:9" ht="18" customHeight="1">
      <c r="A13" s="1704"/>
      <c r="B13" s="2001" t="s">
        <v>3526</v>
      </c>
      <c r="C13" s="2001"/>
      <c r="D13" s="1795" t="s">
        <v>3524</v>
      </c>
      <c r="E13" s="1796" t="s">
        <v>5058</v>
      </c>
      <c r="F13" s="1740"/>
      <c r="G13" s="1740"/>
      <c r="H13" s="1741"/>
      <c r="I13" s="1705"/>
    </row>
    <row r="14" spans="1:9" ht="15.75" customHeight="1">
      <c r="A14" s="1706"/>
      <c r="B14" s="1704"/>
      <c r="C14" s="1708"/>
      <c r="D14" s="1707"/>
      <c r="E14" s="1708"/>
      <c r="F14" s="1709"/>
      <c r="G14" s="1709"/>
      <c r="H14" s="1710"/>
      <c r="I14" s="1705"/>
    </row>
    <row r="15" spans="1:9" ht="15.75" customHeight="1">
      <c r="A15" s="1706"/>
      <c r="B15" s="1704"/>
      <c r="C15" s="1708"/>
      <c r="D15" s="1707"/>
      <c r="E15" s="1708"/>
      <c r="F15" s="1708"/>
      <c r="G15" s="1709"/>
      <c r="H15" s="1710"/>
      <c r="I15" s="1705"/>
    </row>
    <row r="16" spans="1:9" ht="9.75" customHeight="1">
      <c r="B16" s="1704"/>
      <c r="C16" s="1708"/>
      <c r="D16" s="1707"/>
      <c r="E16" s="1704"/>
      <c r="F16" s="1708"/>
      <c r="G16" s="1709"/>
      <c r="H16" s="1710"/>
      <c r="I16" s="1705"/>
    </row>
    <row r="17" spans="1:9" ht="20.25" customHeight="1">
      <c r="A17" s="1794" t="s">
        <v>4193</v>
      </c>
      <c r="B17" s="1704"/>
      <c r="C17" s="1708"/>
      <c r="D17" s="1707"/>
      <c r="E17" s="1708"/>
      <c r="F17" s="1704"/>
      <c r="G17" s="1709"/>
      <c r="H17" s="1710"/>
      <c r="I17" s="1705"/>
    </row>
    <row r="18" spans="1:9" ht="15">
      <c r="A18" s="1709"/>
      <c r="B18" s="1708" t="s">
        <v>3527</v>
      </c>
      <c r="C18" s="1711"/>
      <c r="D18" s="1707" t="s">
        <v>3524</v>
      </c>
      <c r="E18" s="1742">
        <f>COUNTA(B29:B39)</f>
        <v>2</v>
      </c>
      <c r="F18" s="1704"/>
      <c r="G18" s="1709"/>
      <c r="H18" s="1710"/>
      <c r="I18" s="1705"/>
    </row>
    <row r="19" spans="1:9" ht="15">
      <c r="A19" s="1709"/>
      <c r="B19" s="1708" t="s">
        <v>3528</v>
      </c>
      <c r="C19" s="1712"/>
      <c r="D19" s="1707" t="s">
        <v>3524</v>
      </c>
      <c r="E19" s="1743" t="s">
        <v>5141</v>
      </c>
      <c r="F19" s="1704"/>
      <c r="G19" s="1709"/>
      <c r="H19" s="1710"/>
    </row>
    <row r="20" spans="1:9" ht="15">
      <c r="A20" s="1709"/>
      <c r="B20" s="1708" t="s">
        <v>3529</v>
      </c>
      <c r="C20" s="1712"/>
      <c r="D20" s="1707" t="s">
        <v>3524</v>
      </c>
      <c r="E20" s="1743" t="s">
        <v>5142</v>
      </c>
      <c r="F20" s="1704"/>
      <c r="G20" s="1709"/>
      <c r="H20" s="1710"/>
      <c r="I20" s="1705"/>
    </row>
    <row r="21" spans="1:9" ht="15">
      <c r="A21" s="1709"/>
      <c r="B21" s="1708" t="s">
        <v>3530</v>
      </c>
      <c r="C21" s="1711"/>
      <c r="D21" s="1707" t="s">
        <v>3524</v>
      </c>
      <c r="E21" s="1744">
        <f ca="1">+E22-1</f>
        <v>46202</v>
      </c>
      <c r="F21" s="1704"/>
      <c r="G21" s="1713"/>
      <c r="H21" s="1710"/>
      <c r="I21" s="1705"/>
    </row>
    <row r="22" spans="1:9" ht="15">
      <c r="A22" s="1709"/>
      <c r="B22" s="1708" t="s">
        <v>5000</v>
      </c>
      <c r="C22" s="1711"/>
      <c r="D22" s="1707" t="s">
        <v>3524</v>
      </c>
      <c r="E22" s="1744">
        <f ca="1">TODAY()</f>
        <v>46203</v>
      </c>
      <c r="F22" s="1704"/>
      <c r="G22" s="1713"/>
      <c r="H22" s="1710"/>
      <c r="I22" s="1705"/>
    </row>
    <row r="23" spans="1:9" ht="15">
      <c r="A23" s="1709"/>
      <c r="B23" s="1708" t="s">
        <v>4194</v>
      </c>
      <c r="C23" s="1711"/>
      <c r="D23" s="1707" t="s">
        <v>3524</v>
      </c>
      <c r="E23" s="1744" t="s">
        <v>5143</v>
      </c>
      <c r="F23" s="1704"/>
      <c r="G23" s="1713"/>
      <c r="H23" s="1710"/>
      <c r="I23" s="1705"/>
    </row>
    <row r="24" spans="1:9" ht="19.5" customHeight="1">
      <c r="A24" s="1714"/>
      <c r="B24" s="1715"/>
      <c r="C24" s="1715"/>
      <c r="D24" s="1716"/>
      <c r="E24" s="1717"/>
      <c r="F24" s="1715"/>
      <c r="G24" s="1718"/>
      <c r="H24" s="1718"/>
      <c r="I24" s="1705"/>
    </row>
    <row r="25" spans="1:9">
      <c r="A25" s="1714"/>
      <c r="B25" s="1715"/>
      <c r="C25" s="1715"/>
      <c r="D25" s="1716"/>
      <c r="E25" s="1717"/>
      <c r="F25" s="1715"/>
      <c r="G25" s="1718"/>
      <c r="H25" s="1718"/>
      <c r="I25" s="1705"/>
    </row>
    <row r="26" spans="1:9" ht="24.75" customHeight="1">
      <c r="A26" s="1793" t="s">
        <v>3531</v>
      </c>
      <c r="B26" s="1704"/>
      <c r="C26" s="1704"/>
      <c r="D26" s="1707"/>
      <c r="E26" s="1719"/>
      <c r="F26" s="1704"/>
      <c r="G26" s="1709"/>
      <c r="H26" s="1720"/>
      <c r="I26" s="1705"/>
    </row>
    <row r="27" spans="1:9" ht="12" customHeight="1">
      <c r="A27" s="1706"/>
      <c r="B27" s="1704"/>
      <c r="C27" s="1704"/>
      <c r="D27" s="1704"/>
      <c r="E27" s="1704"/>
      <c r="F27" s="1704"/>
      <c r="G27" s="1704"/>
      <c r="H27" s="1720"/>
      <c r="I27" s="1702"/>
    </row>
    <row r="28" spans="1:9" ht="22.5" customHeight="1">
      <c r="A28" s="1704"/>
      <c r="B28" s="1801" t="s">
        <v>2618</v>
      </c>
      <c r="C28" s="2006" t="s">
        <v>5001</v>
      </c>
      <c r="D28" s="2006"/>
      <c r="E28" s="2008" t="s">
        <v>5144</v>
      </c>
      <c r="F28" s="2009"/>
      <c r="G28" s="2010"/>
      <c r="H28" s="1736"/>
      <c r="I28" s="1737"/>
    </row>
    <row r="29" spans="1:9" ht="19.5" customHeight="1">
      <c r="A29" s="1710"/>
      <c r="B29" s="1953">
        <v>1</v>
      </c>
      <c r="C29" s="1954" t="s">
        <v>6194</v>
      </c>
      <c r="D29" s="1955"/>
      <c r="E29" s="2011">
        <f>+_xlfn.XLOOKUP(C29,'Analisis comercial'!A:A,'Analisis comercial'!M:M)</f>
        <v>0.36299999999999999</v>
      </c>
      <c r="F29" s="2012"/>
      <c r="G29" s="2013"/>
      <c r="H29" s="1721"/>
      <c r="I29" s="1738"/>
    </row>
    <row r="30" spans="1:9" ht="19.5" customHeight="1">
      <c r="A30" s="1710"/>
      <c r="B30" s="1976">
        <v>2</v>
      </c>
      <c r="C30" s="1954" t="s">
        <v>6195</v>
      </c>
      <c r="D30" s="1977"/>
      <c r="E30" s="2014">
        <f>+_xlfn.XLOOKUP(C30,'Analisis comercial'!A:A,'Analisis comercial'!M:M)</f>
        <v>0.15</v>
      </c>
      <c r="F30" s="2015"/>
      <c r="G30" s="2016"/>
      <c r="H30" s="1721"/>
      <c r="I30" s="1702"/>
    </row>
    <row r="31" spans="1:9" ht="19.5" customHeight="1">
      <c r="A31" s="1710"/>
      <c r="B31" s="1979"/>
      <c r="C31" s="1980"/>
      <c r="D31" s="1981"/>
      <c r="E31" s="2015"/>
      <c r="F31" s="2015"/>
      <c r="G31" s="2015"/>
      <c r="H31" s="1721"/>
      <c r="I31" s="1705"/>
    </row>
    <row r="32" spans="1:9" ht="19.5" customHeight="1">
      <c r="A32" s="1710"/>
      <c r="B32" s="1973"/>
      <c r="C32" s="1974"/>
      <c r="D32" s="1975"/>
      <c r="E32" s="2007"/>
      <c r="F32" s="2007"/>
      <c r="G32" s="2007"/>
      <c r="H32" s="1721"/>
      <c r="I32" s="1705"/>
    </row>
    <row r="33" spans="1:9" ht="19.5" customHeight="1">
      <c r="A33" s="1710"/>
      <c r="B33" s="1973"/>
      <c r="C33" s="1974"/>
      <c r="D33" s="1975"/>
      <c r="E33" s="2007"/>
      <c r="F33" s="2007"/>
      <c r="G33" s="2007"/>
      <c r="H33" s="1710"/>
      <c r="I33" s="1705"/>
    </row>
    <row r="34" spans="1:9" ht="19.5" customHeight="1">
      <c r="A34" s="1710"/>
      <c r="B34" s="1807"/>
      <c r="C34" s="1808"/>
      <c r="D34" s="1809"/>
      <c r="E34" s="1994"/>
      <c r="F34" s="1994"/>
      <c r="G34" s="1994"/>
      <c r="H34" s="1710"/>
      <c r="I34" s="1705"/>
    </row>
    <row r="35" spans="1:9" ht="19.5" customHeight="1">
      <c r="A35" s="1710"/>
      <c r="B35" s="1807"/>
      <c r="C35" s="1808"/>
      <c r="D35" s="1809"/>
      <c r="E35" s="1994"/>
      <c r="F35" s="1994"/>
      <c r="G35" s="1994"/>
      <c r="H35" s="1710"/>
      <c r="I35" s="1705"/>
    </row>
    <row r="36" spans="1:9" ht="19.5" customHeight="1">
      <c r="A36" s="1710"/>
      <c r="B36" s="1807"/>
      <c r="C36" s="1808"/>
      <c r="D36" s="1809"/>
      <c r="E36" s="1994"/>
      <c r="F36" s="1994"/>
      <c r="G36" s="1994"/>
      <c r="H36" s="1710"/>
      <c r="I36" s="1705"/>
    </row>
    <row r="37" spans="1:9" ht="19.5" customHeight="1">
      <c r="A37" s="1710"/>
      <c r="B37" s="1807"/>
      <c r="C37" s="1808"/>
      <c r="D37" s="1809"/>
      <c r="E37" s="1994"/>
      <c r="F37" s="1994"/>
      <c r="G37" s="1994"/>
      <c r="H37" s="1710"/>
      <c r="I37" s="1705"/>
    </row>
    <row r="38" spans="1:9" ht="19.5" customHeight="1">
      <c r="A38" s="1710"/>
      <c r="B38" s="1722"/>
      <c r="C38" s="1723"/>
      <c r="D38" s="1724"/>
      <c r="E38" s="1995"/>
      <c r="F38" s="1995"/>
      <c r="G38" s="1995"/>
      <c r="H38" s="1710"/>
      <c r="I38" s="1705"/>
    </row>
    <row r="39" spans="1:9" ht="19.5" customHeight="1">
      <c r="A39" s="1710"/>
      <c r="B39" s="1722"/>
      <c r="C39" s="1723"/>
      <c r="D39" s="1724"/>
      <c r="E39" s="1995"/>
      <c r="F39" s="1995"/>
      <c r="G39" s="1995"/>
      <c r="H39" s="1710"/>
      <c r="I39" s="1705"/>
    </row>
    <row r="40" spans="1:9" ht="19.5" customHeight="1">
      <c r="A40" s="1710"/>
      <c r="B40" s="1722"/>
      <c r="C40" s="1723"/>
      <c r="D40" s="1724"/>
      <c r="E40" s="1725"/>
      <c r="F40" s="1725"/>
      <c r="G40" s="1725"/>
      <c r="H40" s="1710"/>
      <c r="I40" s="1705"/>
    </row>
    <row r="41" spans="1:9" ht="18.75" customHeight="1">
      <c r="A41" s="1710"/>
      <c r="B41" s="1722"/>
      <c r="C41" s="1993"/>
      <c r="D41" s="1993"/>
      <c r="E41" s="1725"/>
      <c r="F41" s="1725"/>
      <c r="G41" s="1726"/>
      <c r="H41" s="1710"/>
      <c r="I41" s="1705"/>
    </row>
    <row r="42" spans="1:9" ht="18.75" customHeight="1">
      <c r="A42" s="1797" t="s">
        <v>5116</v>
      </c>
      <c r="B42" s="1798"/>
      <c r="C42" s="1799"/>
      <c r="D42" s="1726"/>
      <c r="E42" s="1725"/>
      <c r="F42" s="1725"/>
      <c r="G42" s="1726"/>
      <c r="H42" s="1710"/>
      <c r="I42" s="1705"/>
    </row>
    <row r="43" spans="1:9" ht="18.75" customHeight="1">
      <c r="A43" s="1990" t="s">
        <v>5117</v>
      </c>
      <c r="B43" s="1990"/>
      <c r="C43" s="1990"/>
      <c r="D43" s="1990"/>
      <c r="E43" s="1990"/>
      <c r="F43" s="1990"/>
      <c r="G43" s="1990"/>
      <c r="H43" s="1990"/>
      <c r="I43" s="1990"/>
    </row>
    <row r="44" spans="1:9" ht="18.75" customHeight="1">
      <c r="A44" s="1990"/>
      <c r="B44" s="1990"/>
      <c r="C44" s="1990"/>
      <c r="D44" s="1990"/>
      <c r="E44" s="1990"/>
      <c r="F44" s="1990"/>
      <c r="G44" s="1990"/>
      <c r="H44" s="1990"/>
      <c r="I44" s="1990"/>
    </row>
    <row r="45" spans="1:9" ht="27.75" customHeight="1">
      <c r="A45" s="1990"/>
      <c r="B45" s="1990"/>
      <c r="C45" s="1990"/>
      <c r="D45" s="1990"/>
      <c r="E45" s="1990"/>
      <c r="F45" s="1990"/>
      <c r="G45" s="1990"/>
      <c r="H45" s="1990"/>
      <c r="I45" s="1990"/>
    </row>
    <row r="46" spans="1:9" ht="18.75" customHeight="1">
      <c r="A46" s="1710"/>
      <c r="B46" s="1722"/>
      <c r="C46" s="1726"/>
      <c r="D46" s="1726"/>
      <c r="E46" s="1725"/>
      <c r="F46" s="1725"/>
      <c r="G46" s="1726"/>
      <c r="H46" s="1710"/>
      <c r="I46" s="1705"/>
    </row>
    <row r="47" spans="1:9">
      <c r="A47" s="1704"/>
      <c r="B47" s="1727"/>
      <c r="C47" s="1727"/>
      <c r="D47" s="1727"/>
      <c r="E47" s="1727"/>
      <c r="F47" s="1727"/>
      <c r="G47" s="1727"/>
      <c r="H47" s="1728"/>
      <c r="I47" s="1705"/>
    </row>
    <row r="48" spans="1:9" ht="12" customHeight="1">
      <c r="A48" s="1996" t="s">
        <v>5002</v>
      </c>
      <c r="B48" s="1996"/>
      <c r="C48" s="1996"/>
      <c r="D48" s="1996"/>
      <c r="E48" s="1996"/>
      <c r="F48" s="1996"/>
      <c r="G48" s="1996"/>
      <c r="H48" s="1996"/>
      <c r="I48" s="1705"/>
    </row>
    <row r="49" spans="1:9" ht="12" customHeight="1">
      <c r="A49" s="1996"/>
      <c r="B49" s="1996"/>
      <c r="C49" s="1996"/>
      <c r="D49" s="1996"/>
      <c r="E49" s="1996"/>
      <c r="F49" s="1996"/>
      <c r="G49" s="1996"/>
      <c r="H49" s="1996"/>
      <c r="I49" s="1705"/>
    </row>
    <row r="50" spans="1:9" ht="15.75" customHeight="1">
      <c r="A50" s="1735"/>
      <c r="C50" s="1729"/>
      <c r="D50" s="1729"/>
      <c r="E50" s="1730"/>
      <c r="F50" s="1730"/>
      <c r="G50" s="1730"/>
      <c r="H50" s="1710"/>
      <c r="I50" s="1705"/>
    </row>
    <row r="51" spans="1:9" ht="12" customHeight="1">
      <c r="A51" s="1991"/>
      <c r="B51" s="1992"/>
      <c r="C51" s="1992"/>
      <c r="D51" s="1992"/>
      <c r="E51" s="1992"/>
      <c r="F51" s="1992"/>
      <c r="H51" s="1705"/>
    </row>
  </sheetData>
  <mergeCells count="26">
    <mergeCell ref="C28:D28"/>
    <mergeCell ref="E33:G33"/>
    <mergeCell ref="E34:G34"/>
    <mergeCell ref="E28:G28"/>
    <mergeCell ref="E29:G29"/>
    <mergeCell ref="E30:G30"/>
    <mergeCell ref="E32:G32"/>
    <mergeCell ref="E31:G31"/>
    <mergeCell ref="A5:I5"/>
    <mergeCell ref="E11:I12"/>
    <mergeCell ref="E9:I10"/>
    <mergeCell ref="A6:I6"/>
    <mergeCell ref="B13:C13"/>
    <mergeCell ref="B9:C10"/>
    <mergeCell ref="D9:D10"/>
    <mergeCell ref="B11:C12"/>
    <mergeCell ref="D11:D12"/>
    <mergeCell ref="A43:I45"/>
    <mergeCell ref="A51:F51"/>
    <mergeCell ref="C41:D41"/>
    <mergeCell ref="E35:G35"/>
    <mergeCell ref="E36:G36"/>
    <mergeCell ref="E37:G37"/>
    <mergeCell ref="E38:G38"/>
    <mergeCell ref="E39:G39"/>
    <mergeCell ref="A48:H49"/>
  </mergeCells>
  <phoneticPr fontId="308" type="noConversion"/>
  <printOptions horizontalCentered="1" verticalCentered="1"/>
  <pageMargins left="0.67833333333333334" right="0.59055118110236227" top="0.59055118110236227" bottom="0.51181102362204722" header="0.31496062992125984" footer="0.39370078740157483"/>
  <pageSetup paperSize="9" scale="86" orientation="portrait" r:id="rId1"/>
  <headerFooter>
    <oddFooter>&amp;L&amp;"-,Negrita"&amp;10            20601910587 - INVERMIN PAITITI S.A.C.&amp;"-,Normal"&amp;11
            &amp;10Otr.Las Terrazas KM.2 Otr. Quebrada El Totoral - Chala - Caraveli - Arequipa&amp;R&amp;10Página &amp;P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4">
    <tabColor rgb="FFFFFF00"/>
    <pageSetUpPr fitToPage="1"/>
  </sheetPr>
  <dimension ref="A1:U1001"/>
  <sheetViews>
    <sheetView showGridLines="0" workbookViewId="0">
      <selection activeCell="F9" sqref="F9"/>
    </sheetView>
  </sheetViews>
  <sheetFormatPr baseColWidth="10" defaultColWidth="14.44140625" defaultRowHeight="15" customHeight="1"/>
  <cols>
    <col min="1" max="1" width="10.88671875" customWidth="1"/>
    <col min="2" max="2" width="14.44140625" bestFit="1" customWidth="1"/>
    <col min="3" max="3" width="12.33203125" bestFit="1" customWidth="1"/>
    <col min="4" max="4" width="13.44140625" customWidth="1"/>
    <col min="5" max="5" width="13.5546875" customWidth="1"/>
    <col min="6" max="6" width="14.109375" bestFit="1" customWidth="1"/>
    <col min="7" max="10" width="8.6640625" customWidth="1"/>
    <col min="11" max="11" width="11.5546875" style="762" bestFit="1" customWidth="1"/>
    <col min="12" max="12" width="8.6640625" style="1082" customWidth="1"/>
    <col min="13" max="13" width="8.6640625" customWidth="1"/>
    <col min="14" max="14" width="9.5546875" customWidth="1"/>
  </cols>
  <sheetData>
    <row r="1" spans="1:21" ht="7.95" customHeight="1">
      <c r="A1" s="6"/>
      <c r="B1" s="6"/>
      <c r="C1" s="6"/>
      <c r="D1" s="6"/>
      <c r="E1" s="6"/>
      <c r="F1" s="6"/>
      <c r="G1" s="6"/>
      <c r="H1" s="6"/>
      <c r="I1" s="6"/>
      <c r="J1" s="6"/>
      <c r="K1" s="80"/>
      <c r="L1" s="1081"/>
      <c r="M1" s="6"/>
      <c r="N1" s="6"/>
      <c r="O1" s="6"/>
      <c r="P1" s="6"/>
      <c r="Q1" s="6"/>
      <c r="R1" s="6"/>
      <c r="S1" s="6"/>
      <c r="T1" s="6"/>
      <c r="U1" s="6"/>
    </row>
    <row r="2" spans="1:21" ht="14.4">
      <c r="A2" s="6"/>
      <c r="B2" s="6" t="s">
        <v>1948</v>
      </c>
      <c r="C2" s="1085">
        <v>110000</v>
      </c>
      <c r="D2" s="6"/>
      <c r="E2" s="6"/>
      <c r="F2" s="6"/>
      <c r="G2" s="6"/>
      <c r="H2" s="6"/>
      <c r="I2" s="6"/>
      <c r="J2" s="6"/>
      <c r="K2" s="80"/>
      <c r="L2" s="1081"/>
      <c r="M2" s="6"/>
      <c r="N2" s="6"/>
      <c r="O2" s="6"/>
      <c r="P2" s="6"/>
      <c r="Q2" s="6"/>
      <c r="R2" s="6"/>
      <c r="S2" s="6"/>
      <c r="T2" s="6"/>
      <c r="U2" s="6"/>
    </row>
    <row r="3" spans="1:21" ht="14.4">
      <c r="A3" s="6"/>
      <c r="B3" s="6" t="s">
        <v>1949</v>
      </c>
      <c r="C3" s="1085">
        <v>10</v>
      </c>
      <c r="D3" s="6"/>
      <c r="E3" s="6"/>
      <c r="F3" s="6"/>
      <c r="G3" s="6"/>
      <c r="H3" s="6"/>
      <c r="I3" s="6"/>
      <c r="J3" s="6"/>
      <c r="K3" s="80"/>
      <c r="L3" s="1081"/>
      <c r="M3" s="6"/>
      <c r="N3" s="1064"/>
      <c r="O3" s="6"/>
      <c r="P3" s="6"/>
      <c r="Q3" s="6"/>
      <c r="R3" s="6"/>
      <c r="S3" s="6"/>
      <c r="T3" s="6"/>
      <c r="U3" s="6"/>
    </row>
    <row r="4" spans="1:21" ht="14.4">
      <c r="A4" s="6"/>
      <c r="B4" s="6" t="s">
        <v>1946</v>
      </c>
      <c r="C4" s="1085">
        <v>45</v>
      </c>
      <c r="D4" s="6"/>
      <c r="E4" s="6"/>
      <c r="F4" s="6"/>
      <c r="G4" s="6"/>
      <c r="H4" s="6"/>
      <c r="I4" s="6"/>
      <c r="J4" s="6"/>
      <c r="K4" s="80"/>
      <c r="L4" s="1081"/>
      <c r="M4" s="6"/>
      <c r="N4" s="1064"/>
      <c r="O4" s="6"/>
      <c r="P4" s="6"/>
      <c r="Q4" s="6"/>
      <c r="R4" s="6"/>
      <c r="S4" s="6"/>
      <c r="T4" s="6"/>
      <c r="U4" s="6"/>
    </row>
    <row r="5" spans="1:21" ht="14.4">
      <c r="A5" s="6"/>
      <c r="B5" s="1088" t="s">
        <v>1939</v>
      </c>
      <c r="C5" s="1085">
        <v>3300</v>
      </c>
      <c r="D5" s="6"/>
      <c r="E5" s="6"/>
      <c r="F5" s="6"/>
      <c r="G5" s="6"/>
      <c r="H5" s="6"/>
      <c r="I5" s="6"/>
      <c r="J5" s="6"/>
      <c r="K5" s="80"/>
      <c r="L5" s="1081"/>
      <c r="M5" s="6"/>
      <c r="N5" s="1064"/>
      <c r="O5" s="6"/>
      <c r="P5" s="6"/>
      <c r="Q5" s="6"/>
      <c r="R5" s="6"/>
      <c r="S5" s="6"/>
      <c r="T5" s="6"/>
      <c r="U5" s="6"/>
    </row>
    <row r="6" spans="1:21" ht="14.4">
      <c r="A6" s="6"/>
      <c r="B6" s="1088" t="s">
        <v>959</v>
      </c>
      <c r="C6" s="1086">
        <v>20</v>
      </c>
      <c r="F6" s="6"/>
      <c r="G6" s="6"/>
      <c r="H6" s="6"/>
      <c r="I6" s="6"/>
      <c r="J6" s="6"/>
      <c r="K6" s="80"/>
      <c r="L6" s="1081"/>
      <c r="M6" s="6"/>
      <c r="N6" s="1064"/>
      <c r="O6" s="6"/>
      <c r="P6" s="6"/>
      <c r="Q6" s="6"/>
      <c r="R6" s="6"/>
      <c r="S6" s="6"/>
      <c r="T6" s="6"/>
      <c r="U6" s="6"/>
    </row>
    <row r="7" spans="1:21" ht="14.4">
      <c r="A7" s="6"/>
      <c r="B7" s="1088" t="s">
        <v>1942</v>
      </c>
      <c r="C7" s="1087">
        <v>1.1023000000000001</v>
      </c>
      <c r="F7" s="6"/>
      <c r="G7" s="6"/>
      <c r="H7" s="6"/>
      <c r="I7" s="6"/>
      <c r="J7" s="6"/>
      <c r="K7"/>
      <c r="L7"/>
      <c r="M7" s="6"/>
      <c r="N7" s="1064"/>
      <c r="O7" s="6"/>
      <c r="P7" s="6"/>
      <c r="Q7" s="6"/>
      <c r="R7" s="6"/>
      <c r="S7" s="6"/>
      <c r="T7" s="6"/>
      <c r="U7" s="6"/>
    </row>
    <row r="8" spans="1:21" ht="14.4">
      <c r="A8" s="6"/>
      <c r="B8" s="1089" t="s">
        <v>2028</v>
      </c>
      <c r="C8" s="1135">
        <v>0.89</v>
      </c>
      <c r="F8" s="6"/>
      <c r="G8" s="6"/>
      <c r="H8" s="6"/>
      <c r="I8" s="6"/>
      <c r="J8" s="6"/>
      <c r="K8"/>
      <c r="L8"/>
      <c r="M8" s="6"/>
      <c r="N8" s="1064"/>
      <c r="O8" s="6"/>
      <c r="P8" s="6"/>
      <c r="Q8" s="6"/>
      <c r="R8" s="6"/>
      <c r="S8" s="6"/>
      <c r="T8" s="6"/>
      <c r="U8" s="6"/>
    </row>
    <row r="9" spans="1:21" ht="14.4">
      <c r="A9" s="6"/>
      <c r="B9" s="1088" t="s">
        <v>2027</v>
      </c>
      <c r="C9" s="1135">
        <v>0.89</v>
      </c>
      <c r="F9" s="6"/>
      <c r="G9" s="6"/>
      <c r="H9" s="6"/>
      <c r="I9" s="6"/>
      <c r="J9" s="6"/>
      <c r="K9"/>
      <c r="L9"/>
      <c r="M9" s="6"/>
      <c r="N9" s="1064"/>
      <c r="O9" s="6"/>
      <c r="P9" s="6"/>
      <c r="Q9" s="6"/>
      <c r="R9" s="6"/>
      <c r="S9" s="6"/>
      <c r="T9" s="6"/>
      <c r="U9" s="6"/>
    </row>
    <row r="10" spans="1:21" ht="14.4">
      <c r="A10" s="6"/>
      <c r="B10" s="1088" t="s">
        <v>1943</v>
      </c>
      <c r="C10" s="1087">
        <v>0.995</v>
      </c>
      <c r="F10" s="6"/>
      <c r="G10" s="6"/>
      <c r="H10" s="6"/>
      <c r="I10" s="6"/>
      <c r="J10" s="6"/>
      <c r="K10"/>
      <c r="L10"/>
      <c r="M10" s="6"/>
      <c r="N10" s="1064"/>
      <c r="O10" s="6"/>
      <c r="P10" s="6"/>
      <c r="Q10" s="6"/>
      <c r="R10" s="6"/>
      <c r="S10" s="6"/>
      <c r="T10" s="6"/>
      <c r="U10" s="6"/>
    </row>
    <row r="11" spans="1:21" ht="14.4">
      <c r="A11" s="6"/>
      <c r="B11" s="1088" t="s">
        <v>958</v>
      </c>
      <c r="C11" s="1086">
        <v>100</v>
      </c>
      <c r="F11" s="6"/>
      <c r="G11" s="6"/>
      <c r="H11" s="6"/>
      <c r="I11" s="6"/>
      <c r="J11" s="6"/>
      <c r="K11"/>
      <c r="L11"/>
      <c r="M11" s="6"/>
      <c r="N11" s="1064"/>
      <c r="O11" s="6"/>
      <c r="P11" s="6"/>
      <c r="Q11" s="6"/>
      <c r="R11" s="6"/>
      <c r="S11" s="6"/>
      <c r="T11" s="6"/>
      <c r="U11" s="6"/>
    </row>
    <row r="12" spans="1:21" ht="14.4">
      <c r="A12" s="6"/>
      <c r="B12" s="1088" t="s">
        <v>907</v>
      </c>
      <c r="C12" s="1084">
        <v>1200</v>
      </c>
      <c r="F12" s="6"/>
      <c r="G12" s="6"/>
      <c r="H12" s="6"/>
      <c r="I12" s="6"/>
      <c r="J12" s="6"/>
      <c r="K12" s="80"/>
      <c r="L12" s="1081"/>
      <c r="M12" s="6"/>
      <c r="N12" s="1064"/>
      <c r="O12" s="6"/>
      <c r="P12" s="6"/>
      <c r="Q12" s="6"/>
      <c r="R12" s="6"/>
      <c r="S12" s="6"/>
      <c r="T12" s="6"/>
      <c r="U12" s="6"/>
    </row>
    <row r="13" spans="1:21" ht="15.75" customHeight="1">
      <c r="A13" s="6"/>
      <c r="B13" s="6"/>
      <c r="C13" s="6"/>
      <c r="D13" s="6"/>
      <c r="E13" s="6"/>
      <c r="F13" s="6"/>
      <c r="G13" s="6"/>
      <c r="H13" s="6"/>
      <c r="I13" s="6"/>
      <c r="J13" s="6"/>
      <c r="K13" s="80"/>
      <c r="L13" s="1081"/>
      <c r="M13" s="6"/>
      <c r="N13" s="1064"/>
      <c r="O13" s="6"/>
      <c r="P13" s="6"/>
      <c r="Q13" s="6"/>
      <c r="R13" s="6"/>
      <c r="S13" s="6"/>
      <c r="T13" s="6"/>
      <c r="U13" s="6"/>
    </row>
    <row r="14" spans="1:21" ht="16.5" customHeight="1">
      <c r="A14" s="6"/>
      <c r="B14" s="6"/>
      <c r="C14" s="6"/>
      <c r="D14" s="6"/>
      <c r="E14" s="6"/>
      <c r="F14" s="6"/>
      <c r="G14" s="6"/>
      <c r="H14" s="6"/>
      <c r="I14" s="6"/>
      <c r="J14" s="6"/>
      <c r="K14" s="80"/>
      <c r="L14" s="1081"/>
      <c r="M14" s="6"/>
      <c r="N14" s="1064"/>
      <c r="O14" s="6"/>
      <c r="P14" s="6"/>
      <c r="Q14" s="6"/>
      <c r="R14" s="6"/>
      <c r="S14" s="6"/>
      <c r="T14" s="6"/>
      <c r="U14" s="6"/>
    </row>
    <row r="15" spans="1:21" ht="14.4">
      <c r="A15" s="6"/>
      <c r="B15" s="1088" t="s">
        <v>1941</v>
      </c>
      <c r="C15" s="6" t="s">
        <v>1940</v>
      </c>
      <c r="D15" s="762" t="s">
        <v>1944</v>
      </c>
      <c r="E15" s="762" t="s">
        <v>1945</v>
      </c>
      <c r="F15" s="762" t="s">
        <v>1947</v>
      </c>
      <c r="G15" s="6"/>
      <c r="H15" s="6"/>
      <c r="I15" s="6"/>
      <c r="J15" s="6"/>
      <c r="K15" s="80"/>
      <c r="L15" s="1081"/>
      <c r="M15" s="6"/>
      <c r="N15" s="1064"/>
      <c r="O15" s="6"/>
      <c r="P15" s="6"/>
      <c r="Q15" s="6"/>
      <c r="R15" s="6"/>
      <c r="S15" s="6"/>
      <c r="T15" s="6"/>
      <c r="U15" s="6"/>
    </row>
    <row r="16" spans="1:21" ht="15.75" customHeight="1">
      <c r="A16" s="6"/>
      <c r="B16" s="137">
        <v>0.1</v>
      </c>
      <c r="C16" s="1083">
        <f>+D16-E16-F16</f>
        <v>-20666.309059999941</v>
      </c>
      <c r="D16" s="706">
        <f>+C$9*B16*C$5*C$10*C$12*C$7</f>
        <v>386552.13894000009</v>
      </c>
      <c r="E16" s="778">
        <f>+((B16*C$8*(C$5-C$11))-(((B16*100)+80)+C$6))*C$7*C$12</f>
        <v>231218.44800000003</v>
      </c>
      <c r="F16" s="961">
        <f t="shared" ref="F16:F25" si="0">+(C$2)+(C$3*C$12)+(C$4*C$12)</f>
        <v>176000</v>
      </c>
      <c r="G16" s="6"/>
      <c r="H16" s="6"/>
      <c r="I16" s="6"/>
      <c r="J16" s="6"/>
      <c r="K16" s="80"/>
      <c r="L16" s="1081"/>
      <c r="M16" s="6"/>
      <c r="N16" s="82"/>
      <c r="O16" s="6"/>
      <c r="P16" s="6"/>
      <c r="Q16" s="6"/>
      <c r="R16" s="6"/>
      <c r="S16" s="6"/>
      <c r="T16" s="6"/>
      <c r="U16" s="6"/>
    </row>
    <row r="17" spans="1:21" ht="16.5" customHeight="1">
      <c r="A17" s="6"/>
      <c r="B17" s="137">
        <v>0.15</v>
      </c>
      <c r="C17" s="1083">
        <f t="shared" ref="C17:C25" si="1">+D17-E17-F17</f>
        <v>-9137.4635899999994</v>
      </c>
      <c r="D17" s="706">
        <f t="shared" ref="D17:D25" si="2">+C$9*B17*C$5*C$10*C$12*C$7</f>
        <v>579828.20841000008</v>
      </c>
      <c r="E17" s="778">
        <f>+((B17*C$8*(C$5-C$11))-(((B17*100)+80)+C$6))*C$7*C$12</f>
        <v>412965.67200000008</v>
      </c>
      <c r="F17" s="961">
        <f t="shared" si="0"/>
        <v>176000</v>
      </c>
      <c r="G17" s="6"/>
      <c r="H17" s="6"/>
      <c r="I17" s="6"/>
      <c r="J17" s="6"/>
      <c r="K17" s="80"/>
      <c r="L17" s="1081"/>
      <c r="M17" s="6"/>
      <c r="N17" s="82"/>
      <c r="O17" s="6"/>
      <c r="P17" s="6"/>
      <c r="Q17" s="6"/>
      <c r="R17" s="6"/>
      <c r="S17" s="6"/>
      <c r="T17" s="6"/>
      <c r="U17" s="6"/>
    </row>
    <row r="18" spans="1:21" ht="14.4">
      <c r="A18" s="6"/>
      <c r="B18" s="137">
        <v>0.2</v>
      </c>
      <c r="C18" s="1083">
        <f t="shared" si="1"/>
        <v>2391.3818800001172</v>
      </c>
      <c r="D18" s="706">
        <f t="shared" si="2"/>
        <v>773104.27788000018</v>
      </c>
      <c r="E18" s="778">
        <f t="shared" ref="E18:E25" si="3">+((B18*C$8*(C$5-C$11))-(((B18*100)+80)+C$6))*C$7*C$12</f>
        <v>594712.89600000007</v>
      </c>
      <c r="F18" s="961">
        <f t="shared" si="0"/>
        <v>176000</v>
      </c>
      <c r="G18" s="6"/>
      <c r="H18" s="6"/>
      <c r="I18" s="6"/>
      <c r="J18" s="6"/>
      <c r="K18" s="80"/>
      <c r="L18" s="1081"/>
      <c r="M18" s="6"/>
      <c r="N18" s="82"/>
      <c r="O18" s="6"/>
      <c r="P18" s="6"/>
      <c r="Q18" s="6"/>
      <c r="R18" s="6"/>
      <c r="S18" s="6"/>
      <c r="T18" s="6"/>
      <c r="U18" s="6"/>
    </row>
    <row r="19" spans="1:21" ht="14.4">
      <c r="A19" s="6"/>
      <c r="B19" s="137">
        <v>0.25</v>
      </c>
      <c r="C19" s="1083">
        <f t="shared" si="1"/>
        <v>13920.227350000059</v>
      </c>
      <c r="D19" s="706">
        <f t="shared" si="2"/>
        <v>966380.34735000005</v>
      </c>
      <c r="E19" s="778">
        <f t="shared" si="3"/>
        <v>776460.12</v>
      </c>
      <c r="F19" s="961">
        <f t="shared" si="0"/>
        <v>176000</v>
      </c>
      <c r="G19" s="6"/>
      <c r="H19" s="6"/>
      <c r="I19" s="6"/>
      <c r="J19" s="6"/>
      <c r="K19" s="80"/>
      <c r="L19" s="1081"/>
      <c r="M19" s="6"/>
      <c r="N19" s="82"/>
      <c r="O19" s="6"/>
      <c r="P19" s="6"/>
      <c r="Q19" s="6"/>
      <c r="R19" s="6"/>
      <c r="S19" s="6"/>
      <c r="T19" s="6"/>
      <c r="U19" s="6"/>
    </row>
    <row r="20" spans="1:21" ht="14.4">
      <c r="A20" s="6"/>
      <c r="B20" s="137">
        <v>0.3</v>
      </c>
      <c r="C20" s="1083">
        <f t="shared" si="1"/>
        <v>25449.072820000001</v>
      </c>
      <c r="D20" s="706">
        <f t="shared" si="2"/>
        <v>1159656.4168200002</v>
      </c>
      <c r="E20" s="778">
        <f t="shared" si="3"/>
        <v>958207.34400000016</v>
      </c>
      <c r="F20" s="961">
        <f t="shared" si="0"/>
        <v>176000</v>
      </c>
      <c r="G20" s="6"/>
      <c r="H20" s="6"/>
      <c r="I20" s="6"/>
      <c r="J20" s="6"/>
      <c r="K20" s="80"/>
      <c r="L20" s="1081"/>
      <c r="M20" s="6"/>
      <c r="N20" s="82"/>
      <c r="O20" s="6"/>
      <c r="P20" s="6"/>
      <c r="Q20" s="6"/>
      <c r="R20" s="6"/>
      <c r="S20" s="6"/>
      <c r="T20" s="6"/>
      <c r="U20" s="6"/>
    </row>
    <row r="21" spans="1:21" ht="15.75" customHeight="1">
      <c r="A21" s="6"/>
      <c r="B21" s="137">
        <v>0.35</v>
      </c>
      <c r="C21" s="1083">
        <f t="shared" si="1"/>
        <v>36977.918290000176</v>
      </c>
      <c r="D21" s="706">
        <f t="shared" si="2"/>
        <v>1352932.4862900001</v>
      </c>
      <c r="E21" s="778">
        <f t="shared" si="3"/>
        <v>1139954.568</v>
      </c>
      <c r="F21" s="961">
        <f t="shared" si="0"/>
        <v>176000</v>
      </c>
      <c r="G21" s="6"/>
      <c r="H21" s="6"/>
      <c r="I21" s="6"/>
      <c r="J21" s="6"/>
      <c r="K21" s="80"/>
      <c r="L21" s="1081"/>
      <c r="M21" s="6"/>
      <c r="N21" s="82"/>
      <c r="O21" s="6"/>
      <c r="P21" s="6"/>
      <c r="Q21" s="6"/>
      <c r="R21" s="6"/>
      <c r="S21" s="6"/>
      <c r="T21" s="6"/>
      <c r="U21" s="6"/>
    </row>
    <row r="22" spans="1:21" ht="16.5" customHeight="1">
      <c r="B22" s="137">
        <v>0.4</v>
      </c>
      <c r="C22" s="1083">
        <f t="shared" si="1"/>
        <v>48506.763760000234</v>
      </c>
      <c r="D22" s="706">
        <f t="shared" si="2"/>
        <v>1546208.5557600004</v>
      </c>
      <c r="E22" s="778">
        <f t="shared" si="3"/>
        <v>1321701.7920000001</v>
      </c>
      <c r="F22" s="961">
        <f t="shared" si="0"/>
        <v>176000</v>
      </c>
      <c r="N22" s="82"/>
      <c r="O22" s="6"/>
      <c r="P22" s="6"/>
      <c r="Q22" s="6"/>
      <c r="R22" s="6"/>
      <c r="S22" s="6"/>
      <c r="T22" s="6"/>
      <c r="U22" s="6"/>
    </row>
    <row r="23" spans="1:21" ht="16.2" customHeight="1">
      <c r="B23" s="137">
        <v>0.45</v>
      </c>
      <c r="C23" s="1083">
        <f t="shared" si="1"/>
        <v>60035.609229999827</v>
      </c>
      <c r="D23" s="706">
        <f t="shared" si="2"/>
        <v>1739484.6252300001</v>
      </c>
      <c r="E23" s="778">
        <f t="shared" si="3"/>
        <v>1503449.0160000003</v>
      </c>
      <c r="F23" s="961">
        <f t="shared" si="0"/>
        <v>176000</v>
      </c>
      <c r="N23" s="82"/>
      <c r="O23" s="6"/>
      <c r="P23" s="6"/>
      <c r="Q23" s="6"/>
      <c r="R23" s="6"/>
      <c r="S23" s="6"/>
      <c r="T23" s="6"/>
      <c r="U23" s="6"/>
    </row>
    <row r="24" spans="1:21" ht="15.75" customHeight="1">
      <c r="B24" s="137">
        <v>0.5</v>
      </c>
      <c r="C24" s="1083">
        <f t="shared" si="1"/>
        <v>71564.454699999886</v>
      </c>
      <c r="D24" s="706">
        <f t="shared" si="2"/>
        <v>1932760.6947000001</v>
      </c>
      <c r="E24" s="778">
        <f t="shared" si="3"/>
        <v>1685196.2400000002</v>
      </c>
      <c r="F24" s="961">
        <f t="shared" si="0"/>
        <v>176000</v>
      </c>
      <c r="N24" s="82"/>
      <c r="O24" s="6"/>
      <c r="P24" s="6"/>
      <c r="Q24" s="6"/>
      <c r="R24" s="6"/>
      <c r="S24" s="6"/>
      <c r="T24" s="6"/>
      <c r="U24" s="6"/>
    </row>
    <row r="25" spans="1:21" ht="15.6" customHeight="1">
      <c r="B25" s="137">
        <v>0.55000000000000004</v>
      </c>
      <c r="C25" s="1083">
        <f t="shared" si="1"/>
        <v>83093.300170000177</v>
      </c>
      <c r="D25" s="706">
        <f t="shared" si="2"/>
        <v>2126036.7641700003</v>
      </c>
      <c r="E25" s="778">
        <f t="shared" si="3"/>
        <v>1866943.4640000002</v>
      </c>
      <c r="F25" s="961">
        <f t="shared" si="0"/>
        <v>176000</v>
      </c>
      <c r="N25" s="82"/>
      <c r="O25" s="6"/>
      <c r="P25" s="6"/>
      <c r="Q25" s="6"/>
      <c r="R25" s="6"/>
      <c r="S25" s="6"/>
      <c r="T25" s="6"/>
      <c r="U25" s="6"/>
    </row>
    <row r="26" spans="1:21" ht="15.75" customHeight="1">
      <c r="N26" s="82"/>
      <c r="O26" s="6"/>
      <c r="P26" s="6"/>
      <c r="Q26" s="6"/>
      <c r="R26" s="6"/>
      <c r="S26" s="6"/>
      <c r="T26" s="6"/>
      <c r="U26" s="6"/>
    </row>
    <row r="27" spans="1:21" ht="15.75" customHeight="1">
      <c r="N27" s="6"/>
      <c r="O27" s="6"/>
      <c r="P27" s="6"/>
      <c r="Q27" s="6"/>
      <c r="R27" s="6"/>
      <c r="S27" s="6"/>
      <c r="T27" s="6"/>
      <c r="U27" s="6"/>
    </row>
    <row r="28" spans="1:21" ht="15.75" customHeight="1">
      <c r="N28" s="6"/>
      <c r="O28" s="6"/>
      <c r="P28" s="6"/>
      <c r="Q28" s="6"/>
      <c r="R28" s="6"/>
      <c r="S28" s="6"/>
      <c r="T28" s="6"/>
      <c r="U28" s="6"/>
    </row>
    <row r="29" spans="1:21" ht="15.75" customHeight="1">
      <c r="N29" s="6"/>
      <c r="O29" s="6"/>
      <c r="P29" s="6"/>
      <c r="Q29" s="6"/>
      <c r="R29" s="6"/>
      <c r="S29" s="6"/>
      <c r="T29" s="6"/>
      <c r="U29" s="6"/>
    </row>
    <row r="30" spans="1:21" ht="15.75" customHeight="1">
      <c r="N30" s="6"/>
      <c r="O30" s="6"/>
      <c r="P30" s="6"/>
      <c r="Q30" s="6"/>
      <c r="R30" s="6"/>
      <c r="S30" s="6"/>
      <c r="T30" s="6"/>
      <c r="U30" s="6"/>
    </row>
    <row r="31" spans="1:21" ht="15.75" customHeight="1">
      <c r="N31" s="6"/>
      <c r="O31" s="6"/>
      <c r="P31" s="6"/>
      <c r="Q31" s="6"/>
      <c r="R31" s="6"/>
      <c r="S31" s="6"/>
      <c r="T31" s="6"/>
      <c r="U31" s="6"/>
    </row>
    <row r="32" spans="1:21" ht="15.75" customHeight="1">
      <c r="N32" s="6"/>
      <c r="O32" s="6"/>
      <c r="P32" s="6"/>
      <c r="Q32" s="6"/>
      <c r="R32" s="6"/>
      <c r="S32" s="6"/>
      <c r="T32" s="6"/>
      <c r="U32" s="6"/>
    </row>
    <row r="33" spans="1:21" ht="15.75" customHeight="1">
      <c r="N33" s="6"/>
      <c r="O33" s="6"/>
      <c r="P33" s="6"/>
      <c r="Q33" s="6"/>
      <c r="R33" s="6"/>
      <c r="S33" s="6"/>
      <c r="T33" s="6"/>
      <c r="U33" s="6"/>
    </row>
    <row r="34" spans="1:21" ht="15.75" customHeight="1">
      <c r="N34" s="6"/>
      <c r="O34" s="6"/>
      <c r="P34" s="6"/>
      <c r="Q34" s="6"/>
      <c r="R34" s="6"/>
      <c r="S34" s="6"/>
      <c r="T34" s="6"/>
      <c r="U34" s="6"/>
    </row>
    <row r="35" spans="1:21" ht="15.75" customHeight="1">
      <c r="N35" s="6"/>
      <c r="O35" s="6"/>
      <c r="P35" s="6"/>
      <c r="Q35" s="6"/>
      <c r="R35" s="6"/>
      <c r="S35" s="6"/>
      <c r="T35" s="6"/>
      <c r="U35" s="6"/>
    </row>
    <row r="36" spans="1:21" ht="15.75" customHeight="1">
      <c r="N36" s="6"/>
      <c r="O36" s="6"/>
      <c r="P36" s="6"/>
      <c r="Q36" s="6"/>
      <c r="R36" s="6"/>
      <c r="S36" s="6"/>
      <c r="T36" s="6"/>
      <c r="U36" s="6"/>
    </row>
    <row r="37" spans="1:21" ht="15.75" customHeight="1">
      <c r="N37" s="6"/>
      <c r="O37" s="6"/>
      <c r="P37" s="6"/>
      <c r="Q37" s="6"/>
      <c r="R37" s="6"/>
      <c r="S37" s="6"/>
      <c r="T37" s="6"/>
      <c r="U37" s="6"/>
    </row>
    <row r="38" spans="1:21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80"/>
      <c r="L38" s="1081"/>
      <c r="M38" s="6"/>
      <c r="N38" s="6"/>
      <c r="O38" s="6"/>
      <c r="P38" s="6"/>
      <c r="Q38" s="6"/>
      <c r="R38" s="6"/>
      <c r="S38" s="6"/>
      <c r="T38" s="6"/>
      <c r="U38" s="6"/>
    </row>
    <row r="39" spans="1:21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80"/>
      <c r="L39" s="1081"/>
      <c r="M39" s="6"/>
      <c r="N39" s="6"/>
      <c r="O39" s="6"/>
      <c r="P39" s="6"/>
      <c r="Q39" s="6"/>
      <c r="R39" s="6"/>
      <c r="S39" s="6"/>
      <c r="T39" s="6"/>
      <c r="U39" s="6"/>
    </row>
    <row r="40" spans="1:21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80"/>
      <c r="L40" s="1081"/>
      <c r="M40" s="6"/>
      <c r="N40" s="6"/>
      <c r="O40" s="6"/>
      <c r="P40" s="6"/>
      <c r="Q40" s="6"/>
      <c r="R40" s="6"/>
      <c r="S40" s="6"/>
      <c r="T40" s="6"/>
      <c r="U40" s="6"/>
    </row>
    <row r="41" spans="1:2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80"/>
      <c r="L41" s="1081"/>
      <c r="M41" s="6"/>
      <c r="N41" s="6"/>
      <c r="O41" s="6"/>
      <c r="P41" s="6"/>
      <c r="Q41" s="6"/>
      <c r="R41" s="6"/>
      <c r="S41" s="6"/>
      <c r="T41" s="6"/>
      <c r="U41" s="6"/>
    </row>
    <row r="42" spans="1:21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80"/>
      <c r="L42" s="1081"/>
      <c r="M42" s="6"/>
      <c r="N42" s="6"/>
      <c r="O42" s="6"/>
      <c r="P42" s="6"/>
      <c r="Q42" s="6"/>
      <c r="R42" s="6"/>
      <c r="S42" s="6"/>
      <c r="T42" s="6"/>
      <c r="U42" s="6"/>
    </row>
    <row r="43" spans="1:21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80"/>
      <c r="L43" s="1081"/>
      <c r="M43" s="6"/>
      <c r="N43" s="6"/>
      <c r="O43" s="6"/>
      <c r="P43" s="6"/>
      <c r="Q43" s="6"/>
      <c r="R43" s="6"/>
      <c r="S43" s="6"/>
      <c r="T43" s="6"/>
      <c r="U43" s="6"/>
    </row>
    <row r="44" spans="1:21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80"/>
      <c r="L44" s="1081"/>
      <c r="M44" s="6"/>
      <c r="N44" s="6"/>
      <c r="O44" s="6"/>
      <c r="P44" s="6"/>
      <c r="Q44" s="6"/>
      <c r="R44" s="6"/>
      <c r="S44" s="6"/>
      <c r="T44" s="6"/>
      <c r="U44" s="6"/>
    </row>
    <row r="45" spans="1:21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80"/>
      <c r="L45" s="1081"/>
      <c r="M45" s="6"/>
      <c r="N45" s="6"/>
      <c r="O45" s="6"/>
      <c r="P45" s="6"/>
      <c r="Q45" s="6"/>
      <c r="R45" s="6"/>
      <c r="S45" s="6"/>
      <c r="T45" s="6"/>
      <c r="U45" s="6"/>
    </row>
    <row r="46" spans="1:21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80"/>
      <c r="L46" s="1081"/>
      <c r="M46" s="6"/>
      <c r="N46" s="6"/>
      <c r="O46" s="6"/>
      <c r="P46" s="6"/>
      <c r="Q46" s="6"/>
      <c r="R46" s="6"/>
      <c r="S46" s="6"/>
      <c r="T46" s="6"/>
      <c r="U46" s="6"/>
    </row>
    <row r="47" spans="1:21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80"/>
      <c r="L47" s="1081"/>
      <c r="M47" s="6"/>
      <c r="N47" s="6"/>
      <c r="O47" s="6"/>
      <c r="P47" s="6"/>
      <c r="Q47" s="6"/>
      <c r="R47" s="6"/>
      <c r="S47" s="6"/>
      <c r="T47" s="6"/>
      <c r="U47" s="6"/>
    </row>
    <row r="48" spans="1:21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80"/>
      <c r="L48" s="1081"/>
      <c r="M48" s="6"/>
      <c r="N48" s="6"/>
      <c r="O48" s="6"/>
      <c r="P48" s="6"/>
      <c r="Q48" s="6"/>
      <c r="R48" s="6"/>
      <c r="S48" s="6"/>
      <c r="T48" s="6"/>
      <c r="U48" s="6"/>
    </row>
    <row r="49" spans="1:21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80"/>
      <c r="L49" s="1081"/>
      <c r="M49" s="6"/>
      <c r="N49" s="6"/>
      <c r="O49" s="6"/>
      <c r="P49" s="6"/>
      <c r="Q49" s="6"/>
      <c r="R49" s="6"/>
      <c r="S49" s="6"/>
      <c r="T49" s="6"/>
      <c r="U49" s="6"/>
    </row>
    <row r="50" spans="1:21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80"/>
      <c r="L50" s="1081"/>
      <c r="M50" s="6"/>
      <c r="N50" s="6"/>
      <c r="O50" s="6"/>
      <c r="P50" s="6"/>
      <c r="Q50" s="6"/>
      <c r="R50" s="6"/>
      <c r="S50" s="6"/>
      <c r="T50" s="6"/>
      <c r="U50" s="6"/>
    </row>
    <row r="51" spans="1:2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80"/>
      <c r="L51" s="1081"/>
      <c r="M51" s="6"/>
      <c r="N51" s="6"/>
      <c r="O51" s="6"/>
      <c r="P51" s="6"/>
      <c r="Q51" s="6"/>
      <c r="R51" s="6"/>
      <c r="S51" s="6"/>
      <c r="T51" s="6"/>
      <c r="U51" s="6"/>
    </row>
    <row r="52" spans="1:21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80"/>
      <c r="L52" s="1081"/>
      <c r="M52" s="6"/>
      <c r="N52" s="6"/>
      <c r="O52" s="6"/>
      <c r="P52" s="6"/>
      <c r="Q52" s="6"/>
      <c r="R52" s="6"/>
      <c r="S52" s="6"/>
      <c r="T52" s="6"/>
      <c r="U52" s="6"/>
    </row>
    <row r="53" spans="1:21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80"/>
      <c r="L53" s="1081"/>
      <c r="M53" s="6"/>
      <c r="N53" s="6"/>
      <c r="O53" s="6"/>
      <c r="P53" s="6"/>
      <c r="Q53" s="6"/>
      <c r="R53" s="6"/>
      <c r="S53" s="6"/>
      <c r="T53" s="6"/>
      <c r="U53" s="6"/>
    </row>
    <row r="54" spans="1:21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80"/>
      <c r="L54" s="1081"/>
      <c r="M54" s="6"/>
      <c r="N54" s="6"/>
      <c r="O54" s="6"/>
      <c r="P54" s="6"/>
      <c r="Q54" s="6"/>
      <c r="R54" s="6"/>
      <c r="S54" s="6"/>
      <c r="T54" s="6"/>
      <c r="U54" s="6"/>
    </row>
    <row r="55" spans="1:21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80"/>
      <c r="L55" s="1081"/>
      <c r="M55" s="6"/>
      <c r="N55" s="6"/>
      <c r="O55" s="6"/>
      <c r="P55" s="6"/>
      <c r="Q55" s="6"/>
      <c r="R55" s="6"/>
      <c r="S55" s="6"/>
      <c r="T55" s="6"/>
      <c r="U55" s="6"/>
    </row>
    <row r="56" spans="1:21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80"/>
      <c r="L56" s="1081"/>
      <c r="M56" s="6"/>
      <c r="N56" s="6"/>
      <c r="O56" s="6"/>
      <c r="P56" s="6"/>
      <c r="Q56" s="6"/>
      <c r="R56" s="6"/>
      <c r="S56" s="6"/>
      <c r="T56" s="6"/>
      <c r="U56" s="6"/>
    </row>
    <row r="57" spans="1:21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80"/>
      <c r="L57" s="1081"/>
      <c r="M57" s="6"/>
      <c r="N57" s="6"/>
      <c r="O57" s="6"/>
      <c r="P57" s="6"/>
      <c r="Q57" s="6"/>
      <c r="R57" s="6"/>
      <c r="S57" s="6"/>
      <c r="T57" s="6"/>
      <c r="U57" s="6"/>
    </row>
    <row r="58" spans="1:21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80"/>
      <c r="L58" s="1081"/>
      <c r="M58" s="6"/>
      <c r="N58" s="6"/>
      <c r="O58" s="6"/>
      <c r="P58" s="6"/>
      <c r="Q58" s="6"/>
      <c r="R58" s="6"/>
      <c r="S58" s="6"/>
      <c r="T58" s="6"/>
      <c r="U58" s="6"/>
    </row>
    <row r="59" spans="1:21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80"/>
      <c r="L59" s="1081"/>
      <c r="M59" s="6"/>
      <c r="N59" s="6"/>
      <c r="O59" s="6"/>
      <c r="P59" s="6"/>
      <c r="Q59" s="6"/>
      <c r="R59" s="6"/>
      <c r="S59" s="6"/>
      <c r="T59" s="6"/>
      <c r="U59" s="6"/>
    </row>
    <row r="60" spans="1:21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80"/>
      <c r="L60" s="1081"/>
      <c r="M60" s="6"/>
      <c r="N60" s="6"/>
      <c r="O60" s="6"/>
      <c r="P60" s="6"/>
      <c r="Q60" s="6"/>
      <c r="R60" s="6"/>
      <c r="S60" s="6"/>
      <c r="T60" s="6"/>
      <c r="U60" s="6"/>
    </row>
    <row r="61" spans="1:2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80"/>
      <c r="L61" s="1081"/>
      <c r="M61" s="6"/>
      <c r="N61" s="6"/>
      <c r="O61" s="6"/>
      <c r="P61" s="6"/>
      <c r="Q61" s="6"/>
      <c r="R61" s="6"/>
      <c r="S61" s="6"/>
      <c r="T61" s="6"/>
      <c r="U61" s="6"/>
    </row>
    <row r="62" spans="1:21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80"/>
      <c r="L62" s="1081"/>
      <c r="M62" s="6"/>
      <c r="N62" s="6"/>
      <c r="O62" s="6"/>
      <c r="P62" s="6"/>
      <c r="Q62" s="6"/>
      <c r="R62" s="6"/>
      <c r="S62" s="6"/>
      <c r="T62" s="6"/>
      <c r="U62" s="6"/>
    </row>
    <row r="63" spans="1:21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80"/>
      <c r="L63" s="1081"/>
      <c r="M63" s="6"/>
      <c r="N63" s="6"/>
      <c r="O63" s="6"/>
      <c r="P63" s="6"/>
      <c r="Q63" s="6"/>
      <c r="R63" s="6"/>
      <c r="S63" s="6"/>
      <c r="T63" s="6"/>
      <c r="U63" s="6"/>
    </row>
    <row r="64" spans="1:21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80"/>
      <c r="L64" s="1081"/>
      <c r="M64" s="6"/>
      <c r="N64" s="6"/>
      <c r="O64" s="6"/>
      <c r="P64" s="6"/>
      <c r="Q64" s="6"/>
      <c r="R64" s="6"/>
      <c r="S64" s="6"/>
      <c r="T64" s="6"/>
      <c r="U64" s="6"/>
    </row>
    <row r="65" spans="1:21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80"/>
      <c r="L65" s="1081"/>
      <c r="M65" s="6"/>
      <c r="N65" s="6"/>
      <c r="O65" s="6"/>
      <c r="P65" s="6"/>
      <c r="Q65" s="6"/>
      <c r="R65" s="6"/>
      <c r="S65" s="6"/>
      <c r="T65" s="6"/>
      <c r="U65" s="6"/>
    </row>
    <row r="66" spans="1:21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80"/>
      <c r="L66" s="1081"/>
      <c r="M66" s="6"/>
      <c r="N66" s="6"/>
      <c r="O66" s="6"/>
      <c r="P66" s="6"/>
      <c r="Q66" s="6"/>
      <c r="R66" s="6"/>
      <c r="S66" s="6"/>
      <c r="T66" s="6"/>
      <c r="U66" s="6"/>
    </row>
    <row r="67" spans="1:21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80"/>
      <c r="L67" s="1081"/>
      <c r="M67" s="6"/>
      <c r="N67" s="6"/>
      <c r="O67" s="6"/>
      <c r="P67" s="6"/>
      <c r="Q67" s="6"/>
      <c r="R67" s="6"/>
      <c r="S67" s="6"/>
      <c r="T67" s="6"/>
      <c r="U67" s="6"/>
    </row>
    <row r="68" spans="1:21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80"/>
      <c r="L68" s="1081"/>
      <c r="M68" s="6"/>
      <c r="N68" s="6"/>
      <c r="O68" s="6"/>
      <c r="P68" s="6"/>
      <c r="Q68" s="6"/>
      <c r="R68" s="6"/>
      <c r="S68" s="6"/>
      <c r="T68" s="6"/>
      <c r="U68" s="6"/>
    </row>
    <row r="69" spans="1:21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80"/>
      <c r="L69" s="1081"/>
      <c r="M69" s="6"/>
      <c r="N69" s="6"/>
      <c r="O69" s="6"/>
      <c r="P69" s="6"/>
      <c r="Q69" s="6"/>
      <c r="R69" s="6"/>
      <c r="S69" s="6"/>
      <c r="T69" s="6"/>
      <c r="U69" s="6"/>
    </row>
    <row r="70" spans="1:21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80"/>
      <c r="L70" s="1081"/>
      <c r="M70" s="6"/>
      <c r="N70" s="6"/>
      <c r="O70" s="6"/>
      <c r="P70" s="6"/>
      <c r="Q70" s="6"/>
      <c r="R70" s="6"/>
      <c r="S70" s="6"/>
      <c r="T70" s="6"/>
      <c r="U70" s="6"/>
    </row>
    <row r="71" spans="1:2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80"/>
      <c r="L71" s="1081"/>
      <c r="M71" s="6"/>
      <c r="N71" s="6"/>
      <c r="O71" s="6"/>
      <c r="P71" s="6"/>
      <c r="Q71" s="6"/>
      <c r="R71" s="6"/>
      <c r="S71" s="6"/>
      <c r="T71" s="6"/>
      <c r="U71" s="6"/>
    </row>
    <row r="72" spans="1:21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80"/>
      <c r="L72" s="1081"/>
      <c r="M72" s="6"/>
      <c r="N72" s="6"/>
      <c r="O72" s="6"/>
      <c r="P72" s="6"/>
      <c r="Q72" s="6"/>
      <c r="R72" s="6"/>
      <c r="S72" s="6"/>
      <c r="T72" s="6"/>
      <c r="U72" s="6"/>
    </row>
    <row r="73" spans="1:21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80"/>
      <c r="L73" s="1081"/>
      <c r="M73" s="6"/>
      <c r="N73" s="6"/>
      <c r="O73" s="6"/>
      <c r="P73" s="6"/>
      <c r="Q73" s="6"/>
      <c r="R73" s="6"/>
      <c r="S73" s="6"/>
      <c r="T73" s="6"/>
      <c r="U73" s="6"/>
    </row>
    <row r="74" spans="1:21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80"/>
      <c r="L74" s="1081"/>
      <c r="M74" s="6"/>
      <c r="N74" s="6"/>
      <c r="O74" s="6"/>
      <c r="P74" s="6"/>
      <c r="Q74" s="6"/>
      <c r="R74" s="6"/>
      <c r="S74" s="6"/>
      <c r="T74" s="6"/>
      <c r="U74" s="6"/>
    </row>
    <row r="75" spans="1:21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80"/>
      <c r="L75" s="1081"/>
      <c r="M75" s="6"/>
      <c r="N75" s="6"/>
      <c r="O75" s="6"/>
      <c r="P75" s="6"/>
      <c r="Q75" s="6"/>
      <c r="R75" s="6"/>
      <c r="S75" s="6"/>
      <c r="T75" s="6"/>
      <c r="U75" s="6"/>
    </row>
    <row r="76" spans="1:21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80"/>
      <c r="L76" s="1081"/>
      <c r="M76" s="6"/>
      <c r="N76" s="6"/>
      <c r="O76" s="6"/>
      <c r="P76" s="6"/>
      <c r="Q76" s="6"/>
      <c r="R76" s="6"/>
      <c r="S76" s="6"/>
      <c r="T76" s="6"/>
      <c r="U76" s="6"/>
    </row>
    <row r="77" spans="1:21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80"/>
      <c r="L77" s="1081"/>
      <c r="M77" s="6"/>
      <c r="N77" s="6"/>
      <c r="O77" s="6"/>
      <c r="P77" s="6"/>
      <c r="Q77" s="6"/>
      <c r="R77" s="6"/>
      <c r="S77" s="6"/>
      <c r="T77" s="6"/>
      <c r="U77" s="6"/>
    </row>
    <row r="78" spans="1:21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80"/>
      <c r="L78" s="1081"/>
      <c r="M78" s="6"/>
      <c r="N78" s="6"/>
      <c r="O78" s="6"/>
      <c r="P78" s="6"/>
      <c r="Q78" s="6"/>
      <c r="R78" s="6"/>
      <c r="S78" s="6"/>
      <c r="T78" s="6"/>
      <c r="U78" s="6"/>
    </row>
    <row r="79" spans="1:21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80"/>
      <c r="L79" s="1081"/>
      <c r="M79" s="6"/>
      <c r="N79" s="6"/>
      <c r="O79" s="6"/>
      <c r="P79" s="6"/>
      <c r="Q79" s="6"/>
      <c r="R79" s="6"/>
      <c r="S79" s="6"/>
      <c r="T79" s="6"/>
      <c r="U79" s="6"/>
    </row>
    <row r="80" spans="1:21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80"/>
      <c r="L80" s="1081"/>
      <c r="M80" s="6"/>
      <c r="N80" s="6"/>
      <c r="O80" s="6"/>
      <c r="P80" s="6"/>
      <c r="Q80" s="6"/>
      <c r="R80" s="6"/>
      <c r="S80" s="6"/>
      <c r="T80" s="6"/>
      <c r="U80" s="6"/>
    </row>
    <row r="81" spans="1:2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80"/>
      <c r="L81" s="1081"/>
      <c r="M81" s="6"/>
      <c r="N81" s="6"/>
      <c r="O81" s="6"/>
      <c r="P81" s="6"/>
      <c r="Q81" s="6"/>
      <c r="R81" s="6"/>
      <c r="S81" s="6"/>
      <c r="T81" s="6"/>
      <c r="U81" s="6"/>
    </row>
    <row r="82" spans="1:21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80"/>
      <c r="L82" s="1081"/>
      <c r="M82" s="6"/>
      <c r="N82" s="6"/>
      <c r="O82" s="6"/>
      <c r="P82" s="6"/>
      <c r="Q82" s="6"/>
      <c r="R82" s="6"/>
      <c r="S82" s="6"/>
      <c r="T82" s="6"/>
      <c r="U82" s="6"/>
    </row>
    <row r="83" spans="1:21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80"/>
      <c r="L83" s="1081"/>
      <c r="M83" s="6"/>
      <c r="N83" s="6"/>
      <c r="O83" s="6"/>
      <c r="P83" s="6"/>
      <c r="Q83" s="6"/>
      <c r="R83" s="6"/>
      <c r="S83" s="6"/>
      <c r="T83" s="6"/>
      <c r="U83" s="6"/>
    </row>
    <row r="84" spans="1:21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80"/>
      <c r="L84" s="1081"/>
      <c r="M84" s="6"/>
      <c r="N84" s="6"/>
      <c r="O84" s="6"/>
      <c r="P84" s="6"/>
      <c r="Q84" s="6"/>
      <c r="R84" s="6"/>
      <c r="S84" s="6"/>
      <c r="T84" s="6"/>
      <c r="U84" s="6"/>
    </row>
    <row r="85" spans="1:21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80"/>
      <c r="L85" s="1081"/>
      <c r="M85" s="6"/>
      <c r="N85" s="6"/>
      <c r="O85" s="6"/>
      <c r="P85" s="6"/>
      <c r="Q85" s="6"/>
      <c r="R85" s="6"/>
      <c r="S85" s="6"/>
      <c r="T85" s="6"/>
      <c r="U85" s="6"/>
    </row>
    <row r="86" spans="1:21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80"/>
      <c r="L86" s="1081"/>
      <c r="M86" s="6"/>
      <c r="N86" s="6"/>
      <c r="O86" s="6"/>
      <c r="P86" s="6"/>
      <c r="Q86" s="6"/>
      <c r="R86" s="6"/>
      <c r="S86" s="6"/>
      <c r="T86" s="6"/>
      <c r="U86" s="6"/>
    </row>
    <row r="87" spans="1:21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80"/>
      <c r="L87" s="1081"/>
      <c r="M87" s="6"/>
      <c r="N87" s="6"/>
      <c r="O87" s="6"/>
      <c r="P87" s="6"/>
      <c r="Q87" s="6"/>
      <c r="R87" s="6"/>
      <c r="S87" s="6"/>
      <c r="T87" s="6"/>
      <c r="U87" s="6"/>
    </row>
    <row r="88" spans="1:21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80"/>
      <c r="L88" s="1081"/>
      <c r="M88" s="6"/>
      <c r="N88" s="6"/>
      <c r="O88" s="6"/>
      <c r="P88" s="6"/>
      <c r="Q88" s="6"/>
      <c r="R88" s="6"/>
      <c r="S88" s="6"/>
      <c r="T88" s="6"/>
      <c r="U88" s="6"/>
    </row>
    <row r="89" spans="1:21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80"/>
      <c r="L89" s="1081"/>
      <c r="M89" s="6"/>
      <c r="N89" s="6"/>
      <c r="O89" s="6"/>
      <c r="P89" s="6"/>
      <c r="Q89" s="6"/>
      <c r="R89" s="6"/>
      <c r="S89" s="6"/>
      <c r="T89" s="6"/>
      <c r="U89" s="6"/>
    </row>
    <row r="90" spans="1:21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80"/>
      <c r="L90" s="1081"/>
      <c r="M90" s="6"/>
      <c r="N90" s="6"/>
      <c r="O90" s="6"/>
      <c r="P90" s="6"/>
      <c r="Q90" s="6"/>
      <c r="R90" s="6"/>
      <c r="S90" s="6"/>
      <c r="T90" s="6"/>
      <c r="U90" s="6"/>
    </row>
    <row r="91" spans="1:2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80"/>
      <c r="L91" s="1081"/>
      <c r="M91" s="6"/>
      <c r="N91" s="6"/>
      <c r="O91" s="6"/>
      <c r="P91" s="6"/>
      <c r="Q91" s="6"/>
      <c r="R91" s="6"/>
      <c r="S91" s="6"/>
      <c r="T91" s="6"/>
      <c r="U91" s="6"/>
    </row>
    <row r="92" spans="1:21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80"/>
      <c r="L92" s="1081"/>
      <c r="M92" s="6"/>
      <c r="N92" s="6"/>
      <c r="O92" s="6"/>
      <c r="P92" s="6"/>
      <c r="Q92" s="6"/>
      <c r="R92" s="6"/>
      <c r="S92" s="6"/>
      <c r="T92" s="6"/>
      <c r="U92" s="6"/>
    </row>
    <row r="93" spans="1:21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80"/>
      <c r="L93" s="1081"/>
      <c r="M93" s="6"/>
      <c r="N93" s="6"/>
      <c r="O93" s="6"/>
      <c r="P93" s="6"/>
      <c r="Q93" s="6"/>
      <c r="R93" s="6"/>
      <c r="S93" s="6"/>
      <c r="T93" s="6"/>
      <c r="U93" s="6"/>
    </row>
    <row r="94" spans="1:21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80"/>
      <c r="L94" s="1081"/>
      <c r="M94" s="6"/>
      <c r="N94" s="6"/>
      <c r="O94" s="6"/>
      <c r="P94" s="6"/>
      <c r="Q94" s="6"/>
      <c r="R94" s="6"/>
      <c r="S94" s="6"/>
      <c r="T94" s="6"/>
      <c r="U94" s="6"/>
    </row>
    <row r="95" spans="1:21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80"/>
      <c r="L95" s="1081"/>
      <c r="M95" s="6"/>
      <c r="N95" s="6"/>
      <c r="O95" s="6"/>
      <c r="P95" s="6"/>
      <c r="Q95" s="6"/>
      <c r="R95" s="6"/>
      <c r="S95" s="6"/>
      <c r="T95" s="6"/>
      <c r="U95" s="6"/>
    </row>
    <row r="96" spans="1:21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80"/>
      <c r="L96" s="1081"/>
      <c r="M96" s="6"/>
      <c r="N96" s="6"/>
      <c r="O96" s="6"/>
      <c r="P96" s="6"/>
      <c r="Q96" s="6"/>
      <c r="R96" s="6"/>
      <c r="S96" s="6"/>
      <c r="T96" s="6"/>
      <c r="U96" s="6"/>
    </row>
    <row r="97" spans="1:21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80"/>
      <c r="L97" s="1081"/>
      <c r="M97" s="6"/>
      <c r="N97" s="6"/>
      <c r="O97" s="6"/>
      <c r="P97" s="6"/>
      <c r="Q97" s="6"/>
      <c r="R97" s="6"/>
      <c r="S97" s="6"/>
      <c r="T97" s="6"/>
      <c r="U97" s="6"/>
    </row>
    <row r="98" spans="1:21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80"/>
      <c r="L98" s="1081"/>
      <c r="M98" s="6"/>
      <c r="N98" s="6"/>
      <c r="O98" s="6"/>
      <c r="P98" s="6"/>
      <c r="Q98" s="6"/>
      <c r="R98" s="6"/>
      <c r="S98" s="6"/>
      <c r="T98" s="6"/>
      <c r="U98" s="6"/>
    </row>
    <row r="99" spans="1:21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80"/>
      <c r="L99" s="1081"/>
      <c r="M99" s="6"/>
      <c r="N99" s="6"/>
      <c r="O99" s="6"/>
      <c r="P99" s="6"/>
      <c r="Q99" s="6"/>
      <c r="R99" s="6"/>
      <c r="S99" s="6"/>
      <c r="T99" s="6"/>
      <c r="U99" s="6"/>
    </row>
    <row r="100" spans="1:21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80"/>
      <c r="L100" s="1081"/>
      <c r="M100" s="6"/>
      <c r="N100" s="6"/>
      <c r="O100" s="6"/>
      <c r="P100" s="6"/>
      <c r="Q100" s="6"/>
      <c r="R100" s="6"/>
      <c r="S100" s="6"/>
      <c r="T100" s="6"/>
      <c r="U100" s="6"/>
    </row>
    <row r="101" spans="1:2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80"/>
      <c r="L101" s="1081"/>
      <c r="M101" s="6"/>
      <c r="N101" s="6"/>
      <c r="O101" s="6"/>
      <c r="P101" s="6"/>
      <c r="Q101" s="6"/>
      <c r="R101" s="6"/>
      <c r="S101" s="6"/>
      <c r="T101" s="6"/>
      <c r="U101" s="6"/>
    </row>
    <row r="102" spans="1:21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80"/>
      <c r="L102" s="1081"/>
      <c r="M102" s="6"/>
      <c r="N102" s="6"/>
      <c r="O102" s="6"/>
      <c r="P102" s="6"/>
      <c r="Q102" s="6"/>
      <c r="R102" s="6"/>
      <c r="S102" s="6"/>
      <c r="T102" s="6"/>
      <c r="U102" s="6"/>
    </row>
    <row r="103" spans="1:21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80"/>
      <c r="L103" s="1081"/>
      <c r="M103" s="6"/>
      <c r="N103" s="6"/>
      <c r="O103" s="6"/>
      <c r="P103" s="6"/>
      <c r="Q103" s="6"/>
      <c r="R103" s="6"/>
      <c r="S103" s="6"/>
      <c r="T103" s="6"/>
      <c r="U103" s="6"/>
    </row>
    <row r="104" spans="1:21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80"/>
      <c r="L104" s="1081"/>
      <c r="M104" s="6"/>
      <c r="N104" s="6"/>
      <c r="O104" s="6"/>
      <c r="P104" s="6"/>
      <c r="Q104" s="6"/>
      <c r="R104" s="6"/>
      <c r="S104" s="6"/>
      <c r="T104" s="6"/>
      <c r="U104" s="6"/>
    </row>
    <row r="105" spans="1:21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80"/>
      <c r="L105" s="1081"/>
      <c r="M105" s="6"/>
      <c r="N105" s="6"/>
      <c r="O105" s="6"/>
      <c r="P105" s="6"/>
      <c r="Q105" s="6"/>
      <c r="R105" s="6"/>
      <c r="S105" s="6"/>
      <c r="T105" s="6"/>
      <c r="U105" s="6"/>
    </row>
    <row r="106" spans="1:21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80"/>
      <c r="L106" s="1081"/>
      <c r="M106" s="6"/>
      <c r="N106" s="6"/>
      <c r="O106" s="6"/>
      <c r="P106" s="6"/>
      <c r="Q106" s="6"/>
      <c r="R106" s="6"/>
      <c r="S106" s="6"/>
      <c r="T106" s="6"/>
      <c r="U106" s="6"/>
    </row>
    <row r="107" spans="1:21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80"/>
      <c r="L107" s="1081"/>
      <c r="M107" s="6"/>
      <c r="N107" s="6"/>
      <c r="O107" s="6"/>
      <c r="P107" s="6"/>
      <c r="Q107" s="6"/>
      <c r="R107" s="6"/>
      <c r="S107" s="6"/>
      <c r="T107" s="6"/>
      <c r="U107" s="6"/>
    </row>
    <row r="108" spans="1:21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80"/>
      <c r="L108" s="1081"/>
      <c r="M108" s="6"/>
      <c r="N108" s="6"/>
      <c r="O108" s="6"/>
      <c r="P108" s="6"/>
      <c r="Q108" s="6"/>
      <c r="R108" s="6"/>
      <c r="S108" s="6"/>
      <c r="T108" s="6"/>
      <c r="U108" s="6"/>
    </row>
    <row r="109" spans="1:21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80"/>
      <c r="L109" s="1081"/>
      <c r="M109" s="6"/>
      <c r="N109" s="6"/>
      <c r="O109" s="6"/>
      <c r="P109" s="6"/>
      <c r="Q109" s="6"/>
      <c r="R109" s="6"/>
      <c r="S109" s="6"/>
      <c r="T109" s="6"/>
      <c r="U109" s="6"/>
    </row>
    <row r="110" spans="1:21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80"/>
      <c r="L110" s="1081"/>
      <c r="M110" s="6"/>
      <c r="N110" s="6"/>
      <c r="O110" s="6"/>
      <c r="P110" s="6"/>
      <c r="Q110" s="6"/>
      <c r="R110" s="6"/>
      <c r="S110" s="6"/>
      <c r="T110" s="6"/>
      <c r="U110" s="6"/>
    </row>
    <row r="111" spans="1:2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80"/>
      <c r="L111" s="1081"/>
      <c r="M111" s="6"/>
      <c r="N111" s="6"/>
      <c r="O111" s="6"/>
      <c r="P111" s="6"/>
      <c r="Q111" s="6"/>
      <c r="R111" s="6"/>
      <c r="S111" s="6"/>
      <c r="T111" s="6"/>
      <c r="U111" s="6"/>
    </row>
    <row r="112" spans="1:21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80"/>
      <c r="L112" s="1081"/>
      <c r="M112" s="6"/>
      <c r="N112" s="6"/>
      <c r="O112" s="6"/>
      <c r="P112" s="6"/>
      <c r="Q112" s="6"/>
      <c r="R112" s="6"/>
      <c r="S112" s="6"/>
      <c r="T112" s="6"/>
      <c r="U112" s="6"/>
    </row>
    <row r="113" spans="1:21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80"/>
      <c r="L113" s="1081"/>
      <c r="M113" s="6"/>
      <c r="N113" s="6"/>
      <c r="O113" s="6"/>
      <c r="P113" s="6"/>
      <c r="Q113" s="6"/>
      <c r="R113" s="6"/>
      <c r="S113" s="6"/>
      <c r="T113" s="6"/>
      <c r="U113" s="6"/>
    </row>
    <row r="114" spans="1:21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80"/>
      <c r="L114" s="1081"/>
      <c r="M114" s="6"/>
      <c r="N114" s="6"/>
      <c r="O114" s="6"/>
      <c r="P114" s="6"/>
      <c r="Q114" s="6"/>
      <c r="R114" s="6"/>
      <c r="S114" s="6"/>
      <c r="T114" s="6"/>
      <c r="U114" s="6"/>
    </row>
    <row r="115" spans="1:21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80"/>
      <c r="L115" s="1081"/>
      <c r="M115" s="6"/>
      <c r="N115" s="6"/>
      <c r="O115" s="6"/>
      <c r="P115" s="6"/>
      <c r="Q115" s="6"/>
      <c r="R115" s="6"/>
      <c r="S115" s="6"/>
      <c r="T115" s="6"/>
      <c r="U115" s="6"/>
    </row>
    <row r="116" spans="1:21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80"/>
      <c r="L116" s="1081"/>
      <c r="M116" s="6"/>
      <c r="N116" s="6"/>
      <c r="O116" s="6"/>
      <c r="P116" s="6"/>
      <c r="Q116" s="6"/>
      <c r="R116" s="6"/>
      <c r="S116" s="6"/>
      <c r="T116" s="6"/>
      <c r="U116" s="6"/>
    </row>
    <row r="117" spans="1:21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80"/>
      <c r="L117" s="1081"/>
      <c r="M117" s="6"/>
      <c r="N117" s="6"/>
      <c r="O117" s="6"/>
      <c r="P117" s="6"/>
      <c r="Q117" s="6"/>
      <c r="R117" s="6"/>
      <c r="S117" s="6"/>
      <c r="T117" s="6"/>
      <c r="U117" s="6"/>
    </row>
    <row r="118" spans="1:21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80"/>
      <c r="L118" s="1081"/>
      <c r="M118" s="6"/>
      <c r="N118" s="6"/>
      <c r="O118" s="6"/>
      <c r="P118" s="6"/>
      <c r="Q118" s="6"/>
      <c r="R118" s="6"/>
      <c r="S118" s="6"/>
      <c r="T118" s="6"/>
      <c r="U118" s="6"/>
    </row>
    <row r="119" spans="1:21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80"/>
      <c r="L119" s="1081"/>
      <c r="M119" s="6"/>
      <c r="N119" s="6"/>
      <c r="O119" s="6"/>
      <c r="P119" s="6"/>
      <c r="Q119" s="6"/>
      <c r="R119" s="6"/>
      <c r="S119" s="6"/>
      <c r="T119" s="6"/>
      <c r="U119" s="6"/>
    </row>
    <row r="120" spans="1:21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80"/>
      <c r="L120" s="1081"/>
      <c r="M120" s="6"/>
      <c r="N120" s="6"/>
      <c r="O120" s="6"/>
      <c r="P120" s="6"/>
      <c r="Q120" s="6"/>
      <c r="R120" s="6"/>
      <c r="S120" s="6"/>
      <c r="T120" s="6"/>
      <c r="U120" s="6"/>
    </row>
    <row r="121" spans="1: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80"/>
      <c r="L121" s="1081"/>
      <c r="M121" s="6"/>
      <c r="N121" s="6"/>
      <c r="O121" s="6"/>
      <c r="P121" s="6"/>
      <c r="Q121" s="6"/>
      <c r="R121" s="6"/>
      <c r="S121" s="6"/>
      <c r="T121" s="6"/>
      <c r="U121" s="6"/>
    </row>
    <row r="122" spans="1:21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80"/>
      <c r="L122" s="1081"/>
      <c r="M122" s="6"/>
      <c r="N122" s="6"/>
      <c r="O122" s="6"/>
      <c r="P122" s="6"/>
      <c r="Q122" s="6"/>
      <c r="R122" s="6"/>
      <c r="S122" s="6"/>
      <c r="T122" s="6"/>
      <c r="U122" s="6"/>
    </row>
    <row r="123" spans="1:21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80"/>
      <c r="L123" s="1081"/>
      <c r="M123" s="6"/>
      <c r="N123" s="6"/>
      <c r="O123" s="6"/>
      <c r="P123" s="6"/>
      <c r="Q123" s="6"/>
      <c r="R123" s="6"/>
      <c r="S123" s="6"/>
      <c r="T123" s="6"/>
      <c r="U123" s="6"/>
    </row>
    <row r="124" spans="1:21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80"/>
      <c r="L124" s="1081"/>
      <c r="M124" s="6"/>
      <c r="N124" s="6"/>
      <c r="O124" s="6"/>
      <c r="P124" s="6"/>
      <c r="Q124" s="6"/>
      <c r="R124" s="6"/>
      <c r="S124" s="6"/>
      <c r="T124" s="6"/>
      <c r="U124" s="6"/>
    </row>
    <row r="125" spans="1:21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80"/>
      <c r="L125" s="1081"/>
      <c r="M125" s="6"/>
      <c r="N125" s="6"/>
      <c r="O125" s="6"/>
      <c r="P125" s="6"/>
      <c r="Q125" s="6"/>
      <c r="R125" s="6"/>
      <c r="S125" s="6"/>
      <c r="T125" s="6"/>
      <c r="U125" s="6"/>
    </row>
    <row r="126" spans="1:21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80"/>
      <c r="L126" s="1081"/>
      <c r="M126" s="6"/>
      <c r="N126" s="6"/>
      <c r="O126" s="6"/>
      <c r="P126" s="6"/>
      <c r="Q126" s="6"/>
      <c r="R126" s="6"/>
      <c r="S126" s="6"/>
      <c r="T126" s="6"/>
      <c r="U126" s="6"/>
    </row>
    <row r="127" spans="1:21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80"/>
      <c r="L127" s="1081"/>
      <c r="M127" s="6"/>
      <c r="N127" s="6"/>
      <c r="O127" s="6"/>
      <c r="P127" s="6"/>
      <c r="Q127" s="6"/>
      <c r="R127" s="6"/>
      <c r="S127" s="6"/>
      <c r="T127" s="6"/>
      <c r="U127" s="6"/>
    </row>
    <row r="128" spans="1:21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80"/>
      <c r="L128" s="1081"/>
      <c r="M128" s="6"/>
      <c r="N128" s="6"/>
      <c r="O128" s="6"/>
      <c r="P128" s="6"/>
      <c r="Q128" s="6"/>
      <c r="R128" s="6"/>
      <c r="S128" s="6"/>
      <c r="T128" s="6"/>
      <c r="U128" s="6"/>
    </row>
    <row r="129" spans="1:21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80"/>
      <c r="L129" s="1081"/>
      <c r="M129" s="6"/>
      <c r="N129" s="6"/>
      <c r="O129" s="6"/>
      <c r="P129" s="6"/>
      <c r="Q129" s="6"/>
      <c r="R129" s="6"/>
      <c r="S129" s="6"/>
      <c r="T129" s="6"/>
      <c r="U129" s="6"/>
    </row>
    <row r="130" spans="1:21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80"/>
      <c r="L130" s="1081"/>
      <c r="M130" s="6"/>
      <c r="N130" s="6"/>
      <c r="O130" s="6"/>
      <c r="P130" s="6"/>
      <c r="Q130" s="6"/>
      <c r="R130" s="6"/>
      <c r="S130" s="6"/>
      <c r="T130" s="6"/>
      <c r="U130" s="6"/>
    </row>
    <row r="131" spans="1:2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80"/>
      <c r="L131" s="1081"/>
      <c r="M131" s="6"/>
      <c r="N131" s="6"/>
      <c r="O131" s="6"/>
      <c r="P131" s="6"/>
      <c r="Q131" s="6"/>
      <c r="R131" s="6"/>
      <c r="S131" s="6"/>
      <c r="T131" s="6"/>
      <c r="U131" s="6"/>
    </row>
    <row r="132" spans="1:21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80"/>
      <c r="L132" s="1081"/>
      <c r="M132" s="6"/>
      <c r="N132" s="6"/>
      <c r="O132" s="6"/>
      <c r="P132" s="6"/>
      <c r="Q132" s="6"/>
      <c r="R132" s="6"/>
      <c r="S132" s="6"/>
      <c r="T132" s="6"/>
      <c r="U132" s="6"/>
    </row>
    <row r="133" spans="1:21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80"/>
      <c r="L133" s="1081"/>
      <c r="M133" s="6"/>
      <c r="N133" s="6"/>
      <c r="O133" s="6"/>
      <c r="P133" s="6"/>
      <c r="Q133" s="6"/>
      <c r="R133" s="6"/>
      <c r="S133" s="6"/>
      <c r="T133" s="6"/>
      <c r="U133" s="6"/>
    </row>
    <row r="134" spans="1:21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80"/>
      <c r="L134" s="1081"/>
      <c r="M134" s="6"/>
      <c r="N134" s="6"/>
      <c r="O134" s="6"/>
      <c r="P134" s="6"/>
      <c r="Q134" s="6"/>
      <c r="R134" s="6"/>
      <c r="S134" s="6"/>
      <c r="T134" s="6"/>
      <c r="U134" s="6"/>
    </row>
    <row r="135" spans="1:21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80"/>
      <c r="L135" s="1081"/>
      <c r="M135" s="6"/>
      <c r="N135" s="6"/>
      <c r="O135" s="6"/>
      <c r="P135" s="6"/>
      <c r="Q135" s="6"/>
      <c r="R135" s="6"/>
      <c r="S135" s="6"/>
      <c r="T135" s="6"/>
      <c r="U135" s="6"/>
    </row>
    <row r="136" spans="1:21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80"/>
      <c r="L136" s="1081"/>
      <c r="M136" s="6"/>
      <c r="N136" s="6"/>
      <c r="O136" s="6"/>
      <c r="P136" s="6"/>
      <c r="Q136" s="6"/>
      <c r="R136" s="6"/>
      <c r="S136" s="6"/>
      <c r="T136" s="6"/>
      <c r="U136" s="6"/>
    </row>
    <row r="137" spans="1:21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80"/>
      <c r="L137" s="1081"/>
      <c r="M137" s="6"/>
      <c r="N137" s="6"/>
      <c r="O137" s="6"/>
      <c r="P137" s="6"/>
      <c r="Q137" s="6"/>
      <c r="R137" s="6"/>
      <c r="S137" s="6"/>
      <c r="T137" s="6"/>
      <c r="U137" s="6"/>
    </row>
    <row r="138" spans="1:21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80"/>
      <c r="L138" s="1081"/>
      <c r="M138" s="6"/>
      <c r="N138" s="6"/>
      <c r="O138" s="6"/>
      <c r="P138" s="6"/>
      <c r="Q138" s="6"/>
      <c r="R138" s="6"/>
      <c r="S138" s="6"/>
      <c r="T138" s="6"/>
      <c r="U138" s="6"/>
    </row>
    <row r="139" spans="1:21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80"/>
      <c r="L139" s="1081"/>
      <c r="M139" s="6"/>
      <c r="N139" s="6"/>
      <c r="O139" s="6"/>
      <c r="P139" s="6"/>
      <c r="Q139" s="6"/>
      <c r="R139" s="6"/>
      <c r="S139" s="6"/>
      <c r="T139" s="6"/>
      <c r="U139" s="6"/>
    </row>
    <row r="140" spans="1:21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80"/>
      <c r="L140" s="1081"/>
      <c r="M140" s="6"/>
      <c r="N140" s="6"/>
      <c r="O140" s="6"/>
      <c r="P140" s="6"/>
      <c r="Q140" s="6"/>
      <c r="R140" s="6"/>
      <c r="S140" s="6"/>
      <c r="T140" s="6"/>
      <c r="U140" s="6"/>
    </row>
    <row r="141" spans="1:2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80"/>
      <c r="L141" s="1081"/>
      <c r="M141" s="6"/>
      <c r="N141" s="6"/>
      <c r="O141" s="6"/>
      <c r="P141" s="6"/>
      <c r="Q141" s="6"/>
      <c r="R141" s="6"/>
      <c r="S141" s="6"/>
      <c r="T141" s="6"/>
      <c r="U141" s="6"/>
    </row>
    <row r="142" spans="1:21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80"/>
      <c r="L142" s="1081"/>
      <c r="M142" s="6"/>
      <c r="N142" s="6"/>
      <c r="O142" s="6"/>
      <c r="P142" s="6"/>
      <c r="Q142" s="6"/>
      <c r="R142" s="6"/>
      <c r="S142" s="6"/>
      <c r="T142" s="6"/>
      <c r="U142" s="6"/>
    </row>
    <row r="143" spans="1:21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80"/>
      <c r="L143" s="1081"/>
      <c r="M143" s="6"/>
      <c r="N143" s="6"/>
      <c r="O143" s="6"/>
      <c r="P143" s="6"/>
      <c r="Q143" s="6"/>
      <c r="R143" s="6"/>
      <c r="S143" s="6"/>
      <c r="T143" s="6"/>
      <c r="U143" s="6"/>
    </row>
    <row r="144" spans="1:21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80"/>
      <c r="L144" s="1081"/>
      <c r="M144" s="6"/>
      <c r="N144" s="6"/>
      <c r="O144" s="6"/>
      <c r="P144" s="6"/>
      <c r="Q144" s="6"/>
      <c r="R144" s="6"/>
      <c r="S144" s="6"/>
      <c r="T144" s="6"/>
      <c r="U144" s="6"/>
    </row>
    <row r="145" spans="1:21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80"/>
      <c r="L145" s="1081"/>
      <c r="M145" s="6"/>
      <c r="N145" s="6"/>
      <c r="O145" s="6"/>
      <c r="P145" s="6"/>
      <c r="Q145" s="6"/>
      <c r="R145" s="6"/>
      <c r="S145" s="6"/>
      <c r="T145" s="6"/>
      <c r="U145" s="6"/>
    </row>
    <row r="146" spans="1:21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80"/>
      <c r="L146" s="1081"/>
      <c r="M146" s="6"/>
      <c r="N146" s="6"/>
      <c r="O146" s="6"/>
      <c r="P146" s="6"/>
      <c r="Q146" s="6"/>
      <c r="R146" s="6"/>
      <c r="S146" s="6"/>
      <c r="T146" s="6"/>
      <c r="U146" s="6"/>
    </row>
    <row r="147" spans="1:21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80"/>
      <c r="L147" s="1081"/>
      <c r="M147" s="6"/>
      <c r="N147" s="6"/>
      <c r="O147" s="6"/>
      <c r="P147" s="6"/>
      <c r="Q147" s="6"/>
      <c r="R147" s="6"/>
      <c r="S147" s="6"/>
      <c r="T147" s="6"/>
      <c r="U147" s="6"/>
    </row>
    <row r="148" spans="1:21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80"/>
      <c r="L148" s="1081"/>
      <c r="M148" s="6"/>
      <c r="N148" s="6"/>
      <c r="O148" s="6"/>
      <c r="P148" s="6"/>
      <c r="Q148" s="6"/>
      <c r="R148" s="6"/>
      <c r="S148" s="6"/>
      <c r="T148" s="6"/>
      <c r="U148" s="6"/>
    </row>
    <row r="149" spans="1:21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80"/>
      <c r="L149" s="1081"/>
      <c r="M149" s="6"/>
      <c r="N149" s="6"/>
      <c r="O149" s="6"/>
      <c r="P149" s="6"/>
      <c r="Q149" s="6"/>
      <c r="R149" s="6"/>
      <c r="S149" s="6"/>
      <c r="T149" s="6"/>
      <c r="U149" s="6"/>
    </row>
    <row r="150" spans="1:21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80"/>
      <c r="L150" s="1081"/>
      <c r="M150" s="6"/>
      <c r="N150" s="6"/>
      <c r="O150" s="6"/>
      <c r="P150" s="6"/>
      <c r="Q150" s="6"/>
      <c r="R150" s="6"/>
      <c r="S150" s="6"/>
      <c r="T150" s="6"/>
      <c r="U150" s="6"/>
    </row>
    <row r="151" spans="1:2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80"/>
      <c r="L151" s="1081"/>
      <c r="M151" s="6"/>
      <c r="N151" s="6"/>
      <c r="O151" s="6"/>
      <c r="P151" s="6"/>
      <c r="Q151" s="6"/>
      <c r="R151" s="6"/>
      <c r="S151" s="6"/>
      <c r="T151" s="6"/>
      <c r="U151" s="6"/>
    </row>
    <row r="152" spans="1:21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80"/>
      <c r="L152" s="1081"/>
      <c r="M152" s="6"/>
      <c r="N152" s="6"/>
      <c r="O152" s="6"/>
      <c r="P152" s="6"/>
      <c r="Q152" s="6"/>
      <c r="R152" s="6"/>
      <c r="S152" s="6"/>
      <c r="T152" s="6"/>
      <c r="U152" s="6"/>
    </row>
    <row r="153" spans="1:21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80"/>
      <c r="L153" s="1081"/>
      <c r="M153" s="6"/>
      <c r="N153" s="6"/>
      <c r="O153" s="6"/>
      <c r="P153" s="6"/>
      <c r="Q153" s="6"/>
      <c r="R153" s="6"/>
      <c r="S153" s="6"/>
      <c r="T153" s="6"/>
      <c r="U153" s="6"/>
    </row>
    <row r="154" spans="1:21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80"/>
      <c r="L154" s="1081"/>
      <c r="M154" s="6"/>
      <c r="N154" s="6"/>
      <c r="O154" s="6"/>
      <c r="P154" s="6"/>
      <c r="Q154" s="6"/>
      <c r="R154" s="6"/>
      <c r="S154" s="6"/>
      <c r="T154" s="6"/>
      <c r="U154" s="6"/>
    </row>
    <row r="155" spans="1:21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80"/>
      <c r="L155" s="1081"/>
      <c r="M155" s="6"/>
      <c r="N155" s="6"/>
      <c r="O155" s="6"/>
      <c r="P155" s="6"/>
      <c r="Q155" s="6"/>
      <c r="R155" s="6"/>
      <c r="S155" s="6"/>
      <c r="T155" s="6"/>
      <c r="U155" s="6"/>
    </row>
    <row r="156" spans="1:21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80"/>
      <c r="L156" s="1081"/>
      <c r="M156" s="6"/>
      <c r="N156" s="6"/>
      <c r="O156" s="6"/>
      <c r="P156" s="6"/>
      <c r="Q156" s="6"/>
      <c r="R156" s="6"/>
      <c r="S156" s="6"/>
      <c r="T156" s="6"/>
      <c r="U156" s="6"/>
    </row>
    <row r="157" spans="1:21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80"/>
      <c r="L157" s="1081"/>
      <c r="M157" s="6"/>
      <c r="N157" s="6"/>
      <c r="O157" s="6"/>
      <c r="P157" s="6"/>
      <c r="Q157" s="6"/>
      <c r="R157" s="6"/>
      <c r="S157" s="6"/>
      <c r="T157" s="6"/>
      <c r="U157" s="6"/>
    </row>
    <row r="158" spans="1:21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80"/>
      <c r="L158" s="1081"/>
      <c r="M158" s="6"/>
      <c r="N158" s="6"/>
      <c r="O158" s="6"/>
      <c r="P158" s="6"/>
      <c r="Q158" s="6"/>
      <c r="R158" s="6"/>
      <c r="S158" s="6"/>
      <c r="T158" s="6"/>
      <c r="U158" s="6"/>
    </row>
    <row r="159" spans="1:21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80"/>
      <c r="L159" s="1081"/>
      <c r="M159" s="6"/>
      <c r="N159" s="6"/>
      <c r="O159" s="6"/>
      <c r="P159" s="6"/>
      <c r="Q159" s="6"/>
      <c r="R159" s="6"/>
      <c r="S159" s="6"/>
      <c r="T159" s="6"/>
      <c r="U159" s="6"/>
    </row>
    <row r="160" spans="1:21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80"/>
      <c r="L160" s="1081"/>
      <c r="M160" s="6"/>
      <c r="N160" s="6"/>
      <c r="O160" s="6"/>
      <c r="P160" s="6"/>
      <c r="Q160" s="6"/>
      <c r="R160" s="6"/>
      <c r="S160" s="6"/>
      <c r="T160" s="6"/>
      <c r="U160" s="6"/>
    </row>
    <row r="161" spans="1:2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80"/>
      <c r="L161" s="1081"/>
      <c r="M161" s="6"/>
      <c r="N161" s="6"/>
      <c r="O161" s="6"/>
      <c r="P161" s="6"/>
      <c r="Q161" s="6"/>
      <c r="R161" s="6"/>
      <c r="S161" s="6"/>
      <c r="T161" s="6"/>
      <c r="U161" s="6"/>
    </row>
    <row r="162" spans="1:21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80"/>
      <c r="L162" s="1081"/>
      <c r="M162" s="6"/>
      <c r="N162" s="6"/>
      <c r="O162" s="6"/>
      <c r="P162" s="6"/>
      <c r="Q162" s="6"/>
      <c r="R162" s="6"/>
      <c r="S162" s="6"/>
      <c r="T162" s="6"/>
      <c r="U162" s="6"/>
    </row>
    <row r="163" spans="1:21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80"/>
      <c r="L163" s="1081"/>
      <c r="M163" s="6"/>
      <c r="N163" s="6"/>
      <c r="O163" s="6"/>
      <c r="P163" s="6"/>
      <c r="Q163" s="6"/>
      <c r="R163" s="6"/>
      <c r="S163" s="6"/>
      <c r="T163" s="6"/>
      <c r="U163" s="6"/>
    </row>
    <row r="164" spans="1:21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80"/>
      <c r="L164" s="1081"/>
      <c r="M164" s="6"/>
      <c r="N164" s="6"/>
      <c r="O164" s="6"/>
      <c r="P164" s="6"/>
      <c r="Q164" s="6"/>
      <c r="R164" s="6"/>
      <c r="S164" s="6"/>
      <c r="T164" s="6"/>
      <c r="U164" s="6"/>
    </row>
    <row r="165" spans="1:21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80"/>
      <c r="L165" s="1081"/>
      <c r="M165" s="6"/>
      <c r="N165" s="6"/>
      <c r="O165" s="6"/>
      <c r="P165" s="6"/>
      <c r="Q165" s="6"/>
      <c r="R165" s="6"/>
      <c r="S165" s="6"/>
      <c r="T165" s="6"/>
      <c r="U165" s="6"/>
    </row>
    <row r="166" spans="1:21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80"/>
      <c r="L166" s="1081"/>
      <c r="M166" s="6"/>
      <c r="N166" s="6"/>
      <c r="O166" s="6"/>
      <c r="P166" s="6"/>
      <c r="Q166" s="6"/>
      <c r="R166" s="6"/>
      <c r="S166" s="6"/>
      <c r="T166" s="6"/>
      <c r="U166" s="6"/>
    </row>
    <row r="167" spans="1:21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80"/>
      <c r="L167" s="1081"/>
      <c r="M167" s="6"/>
      <c r="N167" s="6"/>
      <c r="O167" s="6"/>
      <c r="P167" s="6"/>
      <c r="Q167" s="6"/>
      <c r="R167" s="6"/>
      <c r="S167" s="6"/>
      <c r="T167" s="6"/>
      <c r="U167" s="6"/>
    </row>
    <row r="168" spans="1:21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80"/>
      <c r="L168" s="1081"/>
      <c r="M168" s="6"/>
      <c r="N168" s="6"/>
      <c r="O168" s="6"/>
      <c r="P168" s="6"/>
      <c r="Q168" s="6"/>
      <c r="R168" s="6"/>
      <c r="S168" s="6"/>
      <c r="T168" s="6"/>
      <c r="U168" s="6"/>
    </row>
    <row r="169" spans="1:21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80"/>
      <c r="L169" s="1081"/>
      <c r="M169" s="6"/>
      <c r="N169" s="6"/>
      <c r="O169" s="6"/>
      <c r="P169" s="6"/>
      <c r="Q169" s="6"/>
      <c r="R169" s="6"/>
      <c r="S169" s="6"/>
      <c r="T169" s="6"/>
      <c r="U169" s="6"/>
    </row>
    <row r="170" spans="1:21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80"/>
      <c r="L170" s="1081"/>
      <c r="M170" s="6"/>
      <c r="N170" s="6"/>
      <c r="O170" s="6"/>
      <c r="P170" s="6"/>
      <c r="Q170" s="6"/>
      <c r="R170" s="6"/>
      <c r="S170" s="6"/>
      <c r="T170" s="6"/>
      <c r="U170" s="6"/>
    </row>
    <row r="171" spans="1:2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80"/>
      <c r="L171" s="1081"/>
      <c r="M171" s="6"/>
      <c r="N171" s="6"/>
      <c r="O171" s="6"/>
      <c r="P171" s="6"/>
      <c r="Q171" s="6"/>
      <c r="R171" s="6"/>
      <c r="S171" s="6"/>
      <c r="T171" s="6"/>
      <c r="U171" s="6"/>
    </row>
    <row r="172" spans="1:21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80"/>
      <c r="L172" s="1081"/>
      <c r="M172" s="6"/>
      <c r="N172" s="6"/>
      <c r="O172" s="6"/>
      <c r="P172" s="6"/>
      <c r="Q172" s="6"/>
      <c r="R172" s="6"/>
      <c r="S172" s="6"/>
      <c r="T172" s="6"/>
      <c r="U172" s="6"/>
    </row>
    <row r="173" spans="1:21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80"/>
      <c r="L173" s="1081"/>
      <c r="M173" s="6"/>
      <c r="N173" s="6"/>
      <c r="O173" s="6"/>
      <c r="P173" s="6"/>
      <c r="Q173" s="6"/>
      <c r="R173" s="6"/>
      <c r="S173" s="6"/>
      <c r="T173" s="6"/>
      <c r="U173" s="6"/>
    </row>
    <row r="174" spans="1:21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80"/>
      <c r="L174" s="1081"/>
      <c r="M174" s="6"/>
      <c r="N174" s="6"/>
      <c r="O174" s="6"/>
      <c r="P174" s="6"/>
      <c r="Q174" s="6"/>
      <c r="R174" s="6"/>
      <c r="S174" s="6"/>
      <c r="T174" s="6"/>
      <c r="U174" s="6"/>
    </row>
    <row r="175" spans="1:21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80"/>
      <c r="L175" s="1081"/>
      <c r="M175" s="6"/>
      <c r="N175" s="6"/>
      <c r="O175" s="6"/>
      <c r="P175" s="6"/>
      <c r="Q175" s="6"/>
      <c r="R175" s="6"/>
      <c r="S175" s="6"/>
      <c r="T175" s="6"/>
      <c r="U175" s="6"/>
    </row>
    <row r="176" spans="1:21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80"/>
      <c r="L176" s="1081"/>
      <c r="M176" s="6"/>
      <c r="N176" s="6"/>
      <c r="O176" s="6"/>
      <c r="P176" s="6"/>
      <c r="Q176" s="6"/>
      <c r="R176" s="6"/>
      <c r="S176" s="6"/>
      <c r="T176" s="6"/>
      <c r="U176" s="6"/>
    </row>
    <row r="177" spans="1:21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80"/>
      <c r="L177" s="1081"/>
      <c r="M177" s="6"/>
      <c r="N177" s="6"/>
      <c r="O177" s="6"/>
      <c r="P177" s="6"/>
      <c r="Q177" s="6"/>
      <c r="R177" s="6"/>
      <c r="S177" s="6"/>
      <c r="T177" s="6"/>
      <c r="U177" s="6"/>
    </row>
    <row r="178" spans="1:21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80"/>
      <c r="L178" s="1081"/>
      <c r="M178" s="6"/>
      <c r="N178" s="6"/>
      <c r="O178" s="6"/>
      <c r="P178" s="6"/>
      <c r="Q178" s="6"/>
      <c r="R178" s="6"/>
      <c r="S178" s="6"/>
      <c r="T178" s="6"/>
      <c r="U178" s="6"/>
    </row>
    <row r="179" spans="1:21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80"/>
      <c r="L179" s="1081"/>
      <c r="M179" s="6"/>
      <c r="N179" s="6"/>
      <c r="O179" s="6"/>
      <c r="P179" s="6"/>
      <c r="Q179" s="6"/>
      <c r="R179" s="6"/>
      <c r="S179" s="6"/>
      <c r="T179" s="6"/>
      <c r="U179" s="6"/>
    </row>
    <row r="180" spans="1:21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80"/>
      <c r="L180" s="1081"/>
      <c r="M180" s="6"/>
      <c r="N180" s="6"/>
      <c r="O180" s="6"/>
      <c r="P180" s="6"/>
      <c r="Q180" s="6"/>
      <c r="R180" s="6"/>
      <c r="S180" s="6"/>
      <c r="T180" s="6"/>
      <c r="U180" s="6"/>
    </row>
    <row r="181" spans="1:2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80"/>
      <c r="L181" s="1081"/>
      <c r="M181" s="6"/>
      <c r="N181" s="6"/>
      <c r="O181" s="6"/>
      <c r="P181" s="6"/>
      <c r="Q181" s="6"/>
      <c r="R181" s="6"/>
      <c r="S181" s="6"/>
      <c r="T181" s="6"/>
      <c r="U181" s="6"/>
    </row>
    <row r="182" spans="1:21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80"/>
      <c r="L182" s="1081"/>
      <c r="M182" s="6"/>
      <c r="N182" s="6"/>
      <c r="O182" s="6"/>
      <c r="P182" s="6"/>
      <c r="Q182" s="6"/>
      <c r="R182" s="6"/>
      <c r="S182" s="6"/>
      <c r="T182" s="6"/>
      <c r="U182" s="6"/>
    </row>
    <row r="183" spans="1:21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80"/>
      <c r="L183" s="1081"/>
      <c r="M183" s="6"/>
      <c r="N183" s="6"/>
      <c r="O183" s="6"/>
      <c r="P183" s="6"/>
      <c r="Q183" s="6"/>
      <c r="R183" s="6"/>
      <c r="S183" s="6"/>
      <c r="T183" s="6"/>
      <c r="U183" s="6"/>
    </row>
    <row r="184" spans="1:21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80"/>
      <c r="L184" s="1081"/>
      <c r="M184" s="6"/>
      <c r="N184" s="6"/>
      <c r="O184" s="6"/>
      <c r="P184" s="6"/>
      <c r="Q184" s="6"/>
      <c r="R184" s="6"/>
      <c r="S184" s="6"/>
      <c r="T184" s="6"/>
      <c r="U184" s="6"/>
    </row>
    <row r="185" spans="1:21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80"/>
      <c r="L185" s="1081"/>
      <c r="M185" s="6"/>
      <c r="N185" s="6"/>
      <c r="O185" s="6"/>
      <c r="P185" s="6"/>
      <c r="Q185" s="6"/>
      <c r="R185" s="6"/>
      <c r="S185" s="6"/>
      <c r="T185" s="6"/>
      <c r="U185" s="6"/>
    </row>
    <row r="186" spans="1:21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80"/>
      <c r="L186" s="1081"/>
      <c r="M186" s="6"/>
      <c r="N186" s="6"/>
      <c r="O186" s="6"/>
      <c r="P186" s="6"/>
      <c r="Q186" s="6"/>
      <c r="R186" s="6"/>
      <c r="S186" s="6"/>
      <c r="T186" s="6"/>
      <c r="U186" s="6"/>
    </row>
    <row r="187" spans="1:21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80"/>
      <c r="L187" s="1081"/>
      <c r="M187" s="6"/>
      <c r="N187" s="6"/>
      <c r="O187" s="6"/>
      <c r="P187" s="6"/>
      <c r="Q187" s="6"/>
      <c r="R187" s="6"/>
      <c r="S187" s="6"/>
      <c r="T187" s="6"/>
      <c r="U187" s="6"/>
    </row>
    <row r="188" spans="1:21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80"/>
      <c r="L188" s="1081"/>
      <c r="M188" s="6"/>
      <c r="N188" s="6"/>
      <c r="O188" s="6"/>
      <c r="P188" s="6"/>
      <c r="Q188" s="6"/>
      <c r="R188" s="6"/>
      <c r="S188" s="6"/>
      <c r="T188" s="6"/>
      <c r="U188" s="6"/>
    </row>
    <row r="189" spans="1:21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80"/>
      <c r="L189" s="1081"/>
      <c r="M189" s="6"/>
      <c r="N189" s="6"/>
      <c r="O189" s="6"/>
      <c r="P189" s="6"/>
      <c r="Q189" s="6"/>
      <c r="R189" s="6"/>
      <c r="S189" s="6"/>
      <c r="T189" s="6"/>
      <c r="U189" s="6"/>
    </row>
    <row r="190" spans="1:21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80"/>
      <c r="L190" s="1081"/>
      <c r="M190" s="6"/>
      <c r="N190" s="6"/>
      <c r="O190" s="6"/>
      <c r="P190" s="6"/>
      <c r="Q190" s="6"/>
      <c r="R190" s="6"/>
      <c r="S190" s="6"/>
      <c r="T190" s="6"/>
      <c r="U190" s="6"/>
    </row>
    <row r="191" spans="1:2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80"/>
      <c r="L191" s="1081"/>
      <c r="M191" s="6"/>
      <c r="N191" s="6"/>
      <c r="O191" s="6"/>
      <c r="P191" s="6"/>
      <c r="Q191" s="6"/>
      <c r="R191" s="6"/>
      <c r="S191" s="6"/>
      <c r="T191" s="6"/>
      <c r="U191" s="6"/>
    </row>
    <row r="192" spans="1:21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80"/>
      <c r="L192" s="1081"/>
      <c r="M192" s="6"/>
      <c r="N192" s="6"/>
      <c r="O192" s="6"/>
      <c r="P192" s="6"/>
      <c r="Q192" s="6"/>
      <c r="R192" s="6"/>
      <c r="S192" s="6"/>
      <c r="T192" s="6"/>
      <c r="U192" s="6"/>
    </row>
    <row r="193" spans="1:21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80"/>
      <c r="L193" s="1081"/>
      <c r="M193" s="6"/>
      <c r="N193" s="6"/>
      <c r="O193" s="6"/>
      <c r="P193" s="6"/>
      <c r="Q193" s="6"/>
      <c r="R193" s="6"/>
      <c r="S193" s="6"/>
      <c r="T193" s="6"/>
      <c r="U193" s="6"/>
    </row>
    <row r="194" spans="1:21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80"/>
      <c r="L194" s="1081"/>
      <c r="M194" s="6"/>
      <c r="N194" s="6"/>
      <c r="O194" s="6"/>
      <c r="P194" s="6"/>
      <c r="Q194" s="6"/>
      <c r="R194" s="6"/>
      <c r="S194" s="6"/>
      <c r="T194" s="6"/>
      <c r="U194" s="6"/>
    </row>
    <row r="195" spans="1:21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80"/>
      <c r="L195" s="1081"/>
      <c r="M195" s="6"/>
      <c r="N195" s="6"/>
      <c r="O195" s="6"/>
      <c r="P195" s="6"/>
      <c r="Q195" s="6"/>
      <c r="R195" s="6"/>
      <c r="S195" s="6"/>
      <c r="T195" s="6"/>
      <c r="U195" s="6"/>
    </row>
    <row r="196" spans="1:21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80"/>
      <c r="L196" s="1081"/>
      <c r="M196" s="6"/>
      <c r="N196" s="6"/>
      <c r="O196" s="6"/>
      <c r="P196" s="6"/>
      <c r="Q196" s="6"/>
      <c r="R196" s="6"/>
      <c r="S196" s="6"/>
      <c r="T196" s="6"/>
      <c r="U196" s="6"/>
    </row>
    <row r="197" spans="1:21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80"/>
      <c r="L197" s="1081"/>
      <c r="M197" s="6"/>
      <c r="N197" s="6"/>
      <c r="O197" s="6"/>
      <c r="P197" s="6"/>
      <c r="Q197" s="6"/>
      <c r="R197" s="6"/>
      <c r="S197" s="6"/>
      <c r="T197" s="6"/>
      <c r="U197" s="6"/>
    </row>
    <row r="198" spans="1:21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80"/>
      <c r="L198" s="1081"/>
      <c r="M198" s="6"/>
      <c r="N198" s="6"/>
      <c r="O198" s="6"/>
      <c r="P198" s="6"/>
      <c r="Q198" s="6"/>
      <c r="R198" s="6"/>
      <c r="S198" s="6"/>
      <c r="T198" s="6"/>
      <c r="U198" s="6"/>
    </row>
    <row r="199" spans="1:21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80"/>
      <c r="L199" s="1081"/>
      <c r="M199" s="6"/>
      <c r="N199" s="6"/>
      <c r="O199" s="6"/>
      <c r="P199" s="6"/>
      <c r="Q199" s="6"/>
      <c r="R199" s="6"/>
      <c r="S199" s="6"/>
      <c r="T199" s="6"/>
      <c r="U199" s="6"/>
    </row>
    <row r="200" spans="1:21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80"/>
      <c r="L200" s="1081"/>
      <c r="M200" s="6"/>
      <c r="N200" s="6"/>
      <c r="O200" s="6"/>
      <c r="P200" s="6"/>
      <c r="Q200" s="6"/>
      <c r="R200" s="6"/>
      <c r="S200" s="6"/>
      <c r="T200" s="6"/>
      <c r="U200" s="6"/>
    </row>
    <row r="201" spans="1:2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80"/>
      <c r="L201" s="1081"/>
      <c r="M201" s="6"/>
      <c r="N201" s="6"/>
      <c r="O201" s="6"/>
      <c r="P201" s="6"/>
      <c r="Q201" s="6"/>
      <c r="R201" s="6"/>
      <c r="S201" s="6"/>
      <c r="T201" s="6"/>
      <c r="U201" s="6"/>
    </row>
    <row r="202" spans="1:21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80"/>
      <c r="L202" s="1081"/>
      <c r="M202" s="6"/>
      <c r="N202" s="6"/>
      <c r="O202" s="6"/>
      <c r="P202" s="6"/>
      <c r="Q202" s="6"/>
      <c r="R202" s="6"/>
      <c r="S202" s="6"/>
      <c r="T202" s="6"/>
      <c r="U202" s="6"/>
    </row>
    <row r="203" spans="1:21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80"/>
      <c r="L203" s="1081"/>
      <c r="M203" s="6"/>
      <c r="N203" s="6"/>
      <c r="O203" s="6"/>
      <c r="P203" s="6"/>
      <c r="Q203" s="6"/>
      <c r="R203" s="6"/>
      <c r="S203" s="6"/>
      <c r="T203" s="6"/>
      <c r="U203" s="6"/>
    </row>
    <row r="204" spans="1:21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80"/>
      <c r="L204" s="1081"/>
      <c r="M204" s="6"/>
      <c r="N204" s="6"/>
      <c r="O204" s="6"/>
      <c r="P204" s="6"/>
      <c r="Q204" s="6"/>
      <c r="R204" s="6"/>
      <c r="S204" s="6"/>
      <c r="T204" s="6"/>
      <c r="U204" s="6"/>
    </row>
    <row r="205" spans="1:21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80"/>
      <c r="L205" s="1081"/>
      <c r="M205" s="6"/>
      <c r="N205" s="6"/>
      <c r="O205" s="6"/>
      <c r="P205" s="6"/>
      <c r="Q205" s="6"/>
      <c r="R205" s="6"/>
      <c r="S205" s="6"/>
      <c r="T205" s="6"/>
      <c r="U205" s="6"/>
    </row>
    <row r="206" spans="1:21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80"/>
      <c r="L206" s="1081"/>
      <c r="M206" s="6"/>
      <c r="N206" s="6"/>
      <c r="O206" s="6"/>
      <c r="P206" s="6"/>
      <c r="Q206" s="6"/>
      <c r="R206" s="6"/>
      <c r="S206" s="6"/>
      <c r="T206" s="6"/>
      <c r="U206" s="6"/>
    </row>
    <row r="207" spans="1:21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80"/>
      <c r="L207" s="1081"/>
      <c r="M207" s="6"/>
      <c r="N207" s="6"/>
      <c r="O207" s="6"/>
      <c r="P207" s="6"/>
      <c r="Q207" s="6"/>
      <c r="R207" s="6"/>
      <c r="S207" s="6"/>
      <c r="T207" s="6"/>
      <c r="U207" s="6"/>
    </row>
    <row r="208" spans="1:21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80"/>
      <c r="L208" s="1081"/>
      <c r="M208" s="6"/>
      <c r="N208" s="6"/>
      <c r="O208" s="6"/>
      <c r="P208" s="6"/>
      <c r="Q208" s="6"/>
      <c r="R208" s="6"/>
      <c r="S208" s="6"/>
      <c r="T208" s="6"/>
      <c r="U208" s="6"/>
    </row>
    <row r="209" spans="1:21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80"/>
      <c r="L209" s="1081"/>
      <c r="M209" s="6"/>
      <c r="N209" s="6"/>
      <c r="O209" s="6"/>
      <c r="P209" s="6"/>
      <c r="Q209" s="6"/>
      <c r="R209" s="6"/>
      <c r="S209" s="6"/>
      <c r="T209" s="6"/>
      <c r="U209" s="6"/>
    </row>
    <row r="210" spans="1:21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80"/>
      <c r="L210" s="1081"/>
      <c r="M210" s="6"/>
      <c r="N210" s="6"/>
      <c r="O210" s="6"/>
      <c r="P210" s="6"/>
      <c r="Q210" s="6"/>
      <c r="R210" s="6"/>
      <c r="S210" s="6"/>
      <c r="T210" s="6"/>
      <c r="U210" s="6"/>
    </row>
    <row r="211" spans="1:2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80"/>
      <c r="L211" s="1081"/>
      <c r="M211" s="6"/>
      <c r="N211" s="6"/>
      <c r="O211" s="6"/>
      <c r="P211" s="6"/>
      <c r="Q211" s="6"/>
      <c r="R211" s="6"/>
      <c r="S211" s="6"/>
      <c r="T211" s="6"/>
      <c r="U211" s="6"/>
    </row>
    <row r="212" spans="1:21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80"/>
      <c r="L212" s="1081"/>
      <c r="M212" s="6"/>
      <c r="N212" s="6"/>
      <c r="O212" s="6"/>
      <c r="P212" s="6"/>
      <c r="Q212" s="6"/>
      <c r="R212" s="6"/>
      <c r="S212" s="6"/>
      <c r="T212" s="6"/>
      <c r="U212" s="6"/>
    </row>
    <row r="213" spans="1:21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80"/>
      <c r="L213" s="1081"/>
      <c r="M213" s="6"/>
      <c r="N213" s="6"/>
      <c r="O213" s="6"/>
      <c r="P213" s="6"/>
      <c r="Q213" s="6"/>
      <c r="R213" s="6"/>
      <c r="S213" s="6"/>
      <c r="T213" s="6"/>
      <c r="U213" s="6"/>
    </row>
    <row r="214" spans="1:21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80"/>
      <c r="L214" s="1081"/>
      <c r="M214" s="6"/>
      <c r="N214" s="6"/>
      <c r="O214" s="6"/>
      <c r="P214" s="6"/>
      <c r="Q214" s="6"/>
      <c r="R214" s="6"/>
      <c r="S214" s="6"/>
      <c r="T214" s="6"/>
      <c r="U214" s="6"/>
    </row>
    <row r="215" spans="1:21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80"/>
      <c r="L215" s="1081"/>
      <c r="M215" s="6"/>
      <c r="N215" s="6"/>
      <c r="O215" s="6"/>
      <c r="P215" s="6"/>
      <c r="Q215" s="6"/>
      <c r="R215" s="6"/>
      <c r="S215" s="6"/>
      <c r="T215" s="6"/>
      <c r="U215" s="6"/>
    </row>
    <row r="216" spans="1:21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80"/>
      <c r="L216" s="1081"/>
      <c r="M216" s="6"/>
      <c r="N216" s="6"/>
      <c r="O216" s="6"/>
      <c r="P216" s="6"/>
      <c r="Q216" s="6"/>
      <c r="R216" s="6"/>
      <c r="S216" s="6"/>
      <c r="T216" s="6"/>
      <c r="U216" s="6"/>
    </row>
    <row r="217" spans="1:21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80"/>
      <c r="L217" s="1081"/>
      <c r="M217" s="6"/>
      <c r="N217" s="6"/>
      <c r="O217" s="6"/>
      <c r="P217" s="6"/>
      <c r="Q217" s="6"/>
      <c r="R217" s="6"/>
      <c r="S217" s="6"/>
      <c r="T217" s="6"/>
      <c r="U217" s="6"/>
    </row>
    <row r="218" spans="1:21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80"/>
      <c r="L218" s="1081"/>
      <c r="M218" s="6"/>
      <c r="N218" s="6"/>
      <c r="O218" s="6"/>
      <c r="P218" s="6"/>
      <c r="Q218" s="6"/>
      <c r="R218" s="6"/>
      <c r="S218" s="6"/>
      <c r="T218" s="6"/>
      <c r="U218" s="6"/>
    </row>
    <row r="219" spans="1:21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80"/>
      <c r="L219" s="1081"/>
      <c r="M219" s="6"/>
      <c r="N219" s="6"/>
      <c r="O219" s="6"/>
      <c r="P219" s="6"/>
      <c r="Q219" s="6"/>
      <c r="R219" s="6"/>
      <c r="S219" s="6"/>
      <c r="T219" s="6"/>
      <c r="U219" s="6"/>
    </row>
    <row r="220" spans="1:21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80"/>
      <c r="L220" s="1081"/>
      <c r="M220" s="6"/>
      <c r="N220" s="6"/>
      <c r="O220" s="6"/>
      <c r="P220" s="6"/>
      <c r="Q220" s="6"/>
      <c r="R220" s="6"/>
      <c r="S220" s="6"/>
      <c r="T220" s="6"/>
      <c r="U220" s="6"/>
    </row>
    <row r="221" spans="1: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80"/>
      <c r="L221" s="1081"/>
      <c r="M221" s="6"/>
      <c r="N221" s="6"/>
      <c r="O221" s="6"/>
      <c r="P221" s="6"/>
      <c r="Q221" s="6"/>
      <c r="R221" s="6"/>
      <c r="S221" s="6"/>
      <c r="T221" s="6"/>
      <c r="U221" s="6"/>
    </row>
    <row r="222" spans="1:21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80"/>
      <c r="L222" s="1081"/>
      <c r="M222" s="6"/>
      <c r="N222" s="6"/>
      <c r="O222" s="6"/>
      <c r="P222" s="6"/>
      <c r="Q222" s="6"/>
      <c r="R222" s="6"/>
      <c r="S222" s="6"/>
      <c r="T222" s="6"/>
      <c r="U222" s="6"/>
    </row>
    <row r="223" spans="1:21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80"/>
      <c r="L223" s="1081"/>
      <c r="M223" s="6"/>
      <c r="N223" s="6"/>
      <c r="O223" s="6"/>
      <c r="P223" s="6"/>
      <c r="Q223" s="6"/>
      <c r="R223" s="6"/>
      <c r="S223" s="6"/>
      <c r="T223" s="6"/>
      <c r="U223" s="6"/>
    </row>
    <row r="224" spans="1:21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ageMargins left="0.31496062992125984" right="0.31496062992125984" top="0.35433070866141736" bottom="0" header="0" footer="0"/>
  <pageSetup paperSize="9" scale="78" orientation="landscape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0000000-0003-0000-0A00-000000000000}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Graph!C16:C16</xm:f>
              <xm:sqref>B16</xm:sqref>
            </x14:sparkline>
            <x14:sparkline>
              <xm:f>Graph!C17:C17</xm:f>
              <xm:sqref>B17</xm:sqref>
            </x14:sparkline>
            <x14:sparkline>
              <xm:f>Graph!C18:C18</xm:f>
              <xm:sqref>B18</xm:sqref>
            </x14:sparkline>
            <x14:sparkline>
              <xm:f>Graph!C19:C19</xm:f>
              <xm:sqref>B19</xm:sqref>
            </x14:sparkline>
            <x14:sparkline>
              <xm:f>Graph!C20:C20</xm:f>
              <xm:sqref>B20</xm:sqref>
            </x14:sparkline>
            <x14:sparkline>
              <xm:f>Graph!C21:C21</xm:f>
              <xm:sqref>B21</xm:sqref>
            </x14:sparkline>
            <x14:sparkline>
              <xm:f>Graph!C22:C22</xm:f>
              <xm:sqref>B22</xm:sqref>
            </x14:sparkline>
            <x14:sparkline>
              <xm:f>Graph!C23:C23</xm:f>
              <xm:sqref>B23</xm:sqref>
            </x14:sparkline>
            <x14:sparkline>
              <xm:f>Graph!C24:C24</xm:f>
              <xm:sqref>B24</xm:sqref>
            </x14:sparkline>
            <x14:sparkline>
              <xm:f>Graph!C25:C25</xm:f>
              <xm:sqref>B25</xm:sqref>
            </x14:sparkline>
          </x14:sparklines>
        </x14:sparklineGroup>
      </x14:sparklineGroup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2">
    <tabColor rgb="FF00B050"/>
    <pageSetUpPr fitToPage="1"/>
  </sheetPr>
  <dimension ref="A1:AS1127"/>
  <sheetViews>
    <sheetView showGridLines="0" zoomScale="90" zoomScaleNormal="9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12" sqref="A12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2.88671875" customWidth="1"/>
    <col min="4" max="4" width="36.88671875" customWidth="1"/>
    <col min="5" max="5" width="13.109375" customWidth="1"/>
    <col min="6" max="6" width="22.5546875" customWidth="1"/>
    <col min="7" max="7" width="11.6640625" customWidth="1"/>
    <col min="8" max="8" width="11.44140625" customWidth="1"/>
    <col min="9" max="9" width="11.5546875" customWidth="1"/>
    <col min="10" max="10" width="10.66406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5.33203125" customWidth="1"/>
    <col min="41" max="41" width="14.44140625" customWidth="1"/>
    <col min="42" max="42" width="10.88671875" customWidth="1"/>
    <col min="43" max="43" width="12.6640625" customWidth="1"/>
  </cols>
  <sheetData>
    <row r="1" spans="1:45" ht="15" customHeight="1" thickBot="1">
      <c r="A1" s="1198"/>
      <c r="D1" s="1075" t="s">
        <v>2275</v>
      </c>
      <c r="E1" s="1076">
        <f>+AI3</f>
        <v>5107.9259794148238</v>
      </c>
      <c r="F1" s="1075" t="s">
        <v>1906</v>
      </c>
      <c r="G1" s="1076">
        <f>+$AM3</f>
        <v>342200.05497833615</v>
      </c>
      <c r="H1" s="81"/>
      <c r="I1" s="843">
        <f>+E1-E2</f>
        <v>508.57986748998701</v>
      </c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45" ht="15" customHeight="1" thickBot="1">
      <c r="B2" s="847"/>
      <c r="D2" s="1075" t="s">
        <v>1907</v>
      </c>
      <c r="E2" s="1076">
        <f>+AH3</f>
        <v>4599.3461119248368</v>
      </c>
      <c r="F2" s="1079" t="s">
        <v>1908</v>
      </c>
      <c r="G2" s="1080">
        <f>+Q2</f>
        <v>90.557782726103881</v>
      </c>
      <c r="H2" s="90"/>
      <c r="I2" s="1251">
        <f>SUBTOTAL(9,I4:I1913)</f>
        <v>619.66999999999973</v>
      </c>
      <c r="J2" s="81"/>
      <c r="K2" s="1251">
        <f>SUBTOTAL(9,K4:K1913)</f>
        <v>573.31900000000019</v>
      </c>
      <c r="L2" s="1202">
        <f>+SUMPRODUCT(L5:L1913,K5:K1913)/K2</f>
        <v>0.25985985463590067</v>
      </c>
      <c r="M2" s="6"/>
      <c r="P2" s="94">
        <f>+SUMPRODUCT(P4:P1913,AH4:AH1913)/SUM(AH4:AH1913)</f>
        <v>86.143749726591935</v>
      </c>
      <c r="Q2" s="1201">
        <f>+SUMPRODUCT(Q4:Q1913,AH4:AH1913)/SUM(AH4:AH1913)</f>
        <v>90.557782726103881</v>
      </c>
      <c r="R2" s="1151">
        <f>+SUMPRODUCT(R4:R1913,AH4:AH1913)/SUM(AH4:AH1913)</f>
        <v>3345.2198381818043</v>
      </c>
      <c r="S2" s="6"/>
      <c r="AB2" s="83"/>
      <c r="AC2" s="83"/>
      <c r="AD2" s="83"/>
      <c r="AE2" s="83"/>
      <c r="AF2" s="83"/>
      <c r="AG2" s="1209">
        <f>SUMPRODUCT($AG4:$AG1913,$K4:$K1913)/SUM($K4:$K1913)</f>
        <v>115.74924179393985</v>
      </c>
      <c r="AH2" s="702"/>
      <c r="AI2" s="631"/>
      <c r="AJ2" s="252">
        <v>3443</v>
      </c>
      <c r="AK2" s="98"/>
      <c r="AL2" s="88"/>
      <c r="AM2" s="99"/>
      <c r="AN2" s="1181"/>
      <c r="AO2" s="99"/>
    </row>
    <row r="3" spans="1:45" ht="15" customHeight="1" thickBot="1">
      <c r="A3" s="678" t="s">
        <v>11</v>
      </c>
      <c r="B3" s="678" t="s">
        <v>39</v>
      </c>
      <c r="C3" s="678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SUBTOTAL(9,AH4:AH1913)</f>
        <v>4599.3461119248368</v>
      </c>
      <c r="AI3" s="1252">
        <f>SUBTOTAL(9,AI4:AI1913)</f>
        <v>5107.9259794148238</v>
      </c>
      <c r="AJ3" s="1388">
        <f>SUMPRODUCT(K4:K1913,AJ4:AJ1913)/K2</f>
        <v>52.921932182706577</v>
      </c>
      <c r="AK3" s="118">
        <f>SUBTOTAL(9,AK4:AK1913)</f>
        <v>4148.3993865114198</v>
      </c>
      <c r="AL3" s="88"/>
      <c r="AM3" s="118">
        <f>SUBTOTAL(9,AM4:AM1913)</f>
        <v>342200.05497833615</v>
      </c>
      <c r="AN3" s="1182" t="s">
        <v>2247</v>
      </c>
      <c r="AO3" s="1168" t="s">
        <v>2283</v>
      </c>
      <c r="AP3" t="s">
        <v>2351</v>
      </c>
      <c r="AQ3" t="s">
        <v>2352</v>
      </c>
      <c r="AS3" s="1216"/>
    </row>
    <row r="4" spans="1:45" s="677" customFormat="1" ht="15.75" customHeight="1">
      <c r="A4" s="720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45" ht="15" customHeight="1">
      <c r="A5" s="1149" t="s">
        <v>2040</v>
      </c>
      <c r="B5" s="595">
        <v>45757</v>
      </c>
      <c r="C5" s="595">
        <v>45751</v>
      </c>
      <c r="D5" t="s">
        <v>2004</v>
      </c>
      <c r="E5">
        <f>_xlfn.XLOOKUP(D5,RUC!$B$3:$B$123,RUC!$D$3:$D$123)</f>
        <v>20612921866</v>
      </c>
      <c r="G5" s="80" t="s">
        <v>1434</v>
      </c>
      <c r="H5" t="s">
        <v>116</v>
      </c>
      <c r="I5" s="703">
        <v>6.46</v>
      </c>
      <c r="J5" s="596">
        <v>1.3</v>
      </c>
      <c r="K5" s="138">
        <f t="shared" ref="K5:K61" si="0">ROUND(+I5-(I5*(J5/100)),3)</f>
        <v>6.3760000000000003</v>
      </c>
      <c r="L5" s="139">
        <v>0.08</v>
      </c>
      <c r="M5" s="139">
        <v>7.4999999999999997E-2</v>
      </c>
      <c r="N5" s="159">
        <v>7.4999999999999997E-2</v>
      </c>
      <c r="O5" s="645">
        <f t="shared" ref="O5:O20" si="1">+ROUND((M5+N5)/2,3)</f>
        <v>7.4999999999999997E-2</v>
      </c>
      <c r="P5" s="727">
        <v>79</v>
      </c>
      <c r="Q5" s="1027">
        <v>79.5</v>
      </c>
      <c r="R5" s="706">
        <v>3054.6</v>
      </c>
      <c r="S5" s="765">
        <f>IF((80+ROUNDDOWN(O5,1)*100)&lt;95,95,(80+ROUNDDOWN(O5,1)*100))</f>
        <v>95</v>
      </c>
      <c r="U5" s="1066">
        <v>100</v>
      </c>
      <c r="V5" s="715">
        <v>1.1023000000000001</v>
      </c>
      <c r="Z5" s="143">
        <f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 t="shared" ref="AA5:AA20" si="2">+Y5+Z5</f>
        <v>30</v>
      </c>
      <c r="AB5" s="145">
        <v>0.01</v>
      </c>
      <c r="AC5" s="145">
        <f>+(S5-T5)*V5-'data 1'!$F$4</f>
        <v>24.718500000000006</v>
      </c>
      <c r="AD5" s="145">
        <f t="shared" ref="AD5:AD20" si="3">+(Q5-P5)*(R5-U5)*L5*V5/100</f>
        <v>1.3027422319999999</v>
      </c>
      <c r="AE5" s="145">
        <f t="shared" ref="AE5:AE20" si="4">+(Y5*V5-70)+V5*(Z5-IF(D5="UNTUCA",IF(+((W5-3)*2.5+(X5-3)*3.1)&gt;0,+((W5-3)*1.5+(X5-3)*3.1),0),IF(+((W5-3)*1.5+(X5-3)*3.1)&gt;0,+((W5-3)*1.5+(X5-3)*3.1),0)))</f>
        <v>-36.930999999999997</v>
      </c>
      <c r="AF5" s="145">
        <f t="shared" ref="AF5:AF20" si="5">(L5-O5)*(R5-U5)*Q5*V5/100</f>
        <v>12.946000930500011</v>
      </c>
      <c r="AG5" s="772">
        <f>+IF(D5="RONALD WILLIAN GARIBAY ESCUDERO",AC5+AD5+AE5+AF5+70,AC5+AD5+AE5+AF5)+70</f>
        <v>72.036243162500014</v>
      </c>
      <c r="AH5" s="146">
        <f t="shared" ref="AH5:AH20" si="6">31.1035*L5*Q5*1.1023*K5/100</f>
        <v>13.903191135552483</v>
      </c>
      <c r="AI5" s="146">
        <f t="shared" ref="AI5:AI20" si="7">(31.1035*L5*1.1023*K5)</f>
        <v>17.488290736544002</v>
      </c>
      <c r="AJ5" s="156">
        <f t="shared" ref="AJ5:AJ20" si="8">+((+$AJ$2-R5+U5)*L5*Q5*V5)/100</f>
        <v>34.239907152000008</v>
      </c>
      <c r="AK5" s="156">
        <f t="shared" ref="AK5:AK20" si="9">31.1035*1.1023*K5*P5*O5/100</f>
        <v>12.952265326752899</v>
      </c>
      <c r="AL5" s="88"/>
      <c r="AM5" s="716">
        <f t="shared" ref="AM5:AM20" si="10">+IF(AB5*K5&gt;0,AB5*K5,0)</f>
        <v>6.3760000000000011E-2</v>
      </c>
      <c r="AN5" s="716" t="str">
        <f>_xlfn.XLOOKUP(D5,RUC!$B$3:$B$578,RUC!$M$3:$M$578)</f>
        <v>Ronald Garibay</v>
      </c>
      <c r="AO5" s="1167" t="s">
        <v>2278</v>
      </c>
      <c r="AS5" s="1212"/>
    </row>
    <row r="6" spans="1:45" ht="15" customHeight="1">
      <c r="A6" s="747" t="s">
        <v>2109</v>
      </c>
      <c r="B6" s="595">
        <v>45800</v>
      </c>
      <c r="C6" s="595">
        <v>45767</v>
      </c>
      <c r="D6" t="s">
        <v>119</v>
      </c>
      <c r="E6">
        <f>_xlfn.XLOOKUP(D6,RUC!$B$3:$B$123,RUC!$D$3:$D$123)</f>
        <v>10082235774</v>
      </c>
      <c r="G6" s="80">
        <v>59</v>
      </c>
      <c r="H6" t="s">
        <v>69</v>
      </c>
      <c r="I6" s="703">
        <v>5.65</v>
      </c>
      <c r="J6" s="596">
        <v>3.1</v>
      </c>
      <c r="K6" s="138">
        <f t="shared" si="0"/>
        <v>5.4749999999999996</v>
      </c>
      <c r="L6" s="139">
        <v>6.2E-2</v>
      </c>
      <c r="M6" s="139">
        <v>6.0999999999999999E-2</v>
      </c>
      <c r="N6" s="159">
        <v>6.0999999999999999E-2</v>
      </c>
      <c r="O6" s="645">
        <f t="shared" si="1"/>
        <v>6.0999999999999999E-2</v>
      </c>
      <c r="P6" s="727">
        <v>85</v>
      </c>
      <c r="Q6" s="596">
        <v>96.77</v>
      </c>
      <c r="R6" s="706">
        <v>3305.65</v>
      </c>
      <c r="S6" s="802">
        <v>95</v>
      </c>
      <c r="U6" s="1091">
        <v>80</v>
      </c>
      <c r="V6" s="715">
        <v>1.1023000000000001</v>
      </c>
      <c r="Z6" s="1034">
        <v>10</v>
      </c>
      <c r="AA6" s="144">
        <f t="shared" si="2"/>
        <v>10</v>
      </c>
      <c r="AB6" s="145">
        <f>+((O6*P6*(R6-U6)/100)-S6-AA6+T6)*V6</f>
        <v>68.618122640750016</v>
      </c>
      <c r="AC6" s="145">
        <f>+(S6-T6)*V6-'data 1'!$F$4</f>
        <v>24.718500000000006</v>
      </c>
      <c r="AD6" s="145">
        <f t="shared" si="3"/>
        <v>25.94688351511299</v>
      </c>
      <c r="AE6" s="145">
        <f t="shared" si="4"/>
        <v>-58.977000000000004</v>
      </c>
      <c r="AF6" s="145">
        <f t="shared" si="5"/>
        <v>3.4407870169615027</v>
      </c>
      <c r="AG6" s="772">
        <f>+IF(D6="RONALD WILLIAN GARIBAY ESCUDERO",AC6+AD6+AE6+AF6+70,AC6+AD6+AE6+AF6)+70</f>
        <v>65.129170532074497</v>
      </c>
      <c r="AH6" s="146">
        <f t="shared" si="6"/>
        <v>11.262261921926108</v>
      </c>
      <c r="AI6" s="146">
        <f t="shared" si="7"/>
        <v>11.6381749735725</v>
      </c>
      <c r="AJ6" s="156">
        <f t="shared" si="8"/>
        <v>14.374471379246994</v>
      </c>
      <c r="AK6" s="156">
        <f t="shared" si="9"/>
        <v>9.7328931028989363</v>
      </c>
      <c r="AL6" s="88"/>
      <c r="AM6" s="716">
        <f t="shared" si="10"/>
        <v>375.68422145810632</v>
      </c>
      <c r="AN6" s="716" t="str">
        <f>_xlfn.XLOOKUP(D6,RUC!$B$3:$B$578,RUC!$M$3:$M$578)</f>
        <v>Melchor Vera</v>
      </c>
      <c r="AO6" s="1167" t="s">
        <v>2278</v>
      </c>
      <c r="AS6" s="1212"/>
    </row>
    <row r="7" spans="1:45" ht="15" customHeight="1">
      <c r="A7" s="747" t="s">
        <v>2126</v>
      </c>
      <c r="B7" s="595">
        <v>45804</v>
      </c>
      <c r="C7" s="595">
        <v>45781</v>
      </c>
      <c r="D7" t="s">
        <v>119</v>
      </c>
      <c r="E7">
        <f>_xlfn.XLOOKUP(D7,RUC!$B$3:$B$123,RUC!$D$3:$D$123)</f>
        <v>10082235774</v>
      </c>
      <c r="G7" s="80">
        <v>20</v>
      </c>
      <c r="H7" t="s">
        <v>69</v>
      </c>
      <c r="I7" s="703">
        <v>1.76</v>
      </c>
      <c r="J7" s="596">
        <v>6.7</v>
      </c>
      <c r="K7" s="138">
        <f t="shared" si="0"/>
        <v>1.6419999999999999</v>
      </c>
      <c r="L7" s="139">
        <v>0.105</v>
      </c>
      <c r="M7" s="139">
        <v>0.10299999999999999</v>
      </c>
      <c r="N7" s="159">
        <v>0.10299999999999999</v>
      </c>
      <c r="O7" s="645">
        <f t="shared" si="1"/>
        <v>0.10299999999999999</v>
      </c>
      <c r="P7" s="727">
        <v>85</v>
      </c>
      <c r="Q7" s="596">
        <v>85.27</v>
      </c>
      <c r="R7" s="706">
        <v>3391.45</v>
      </c>
      <c r="S7" s="802">
        <v>95</v>
      </c>
      <c r="U7" s="1091">
        <v>80</v>
      </c>
      <c r="V7" s="715">
        <v>1.1023000000000001</v>
      </c>
      <c r="Z7" s="1034">
        <v>10</v>
      </c>
      <c r="AA7" s="144">
        <f t="shared" si="2"/>
        <v>10</v>
      </c>
      <c r="AB7" s="145">
        <f>+((O7*P7*(R7-U7)/100)-S7-AA7+T7)*V7</f>
        <v>203.83450237924993</v>
      </c>
      <c r="AC7" s="145">
        <f>+(S7-T7)*V7-'data 1'!$F$4</f>
        <v>24.718500000000006</v>
      </c>
      <c r="AD7" s="145">
        <f t="shared" si="3"/>
        <v>1.0348349134724848</v>
      </c>
      <c r="AE7" s="145">
        <f t="shared" si="4"/>
        <v>-58.977000000000004</v>
      </c>
      <c r="AF7" s="145">
        <f t="shared" si="5"/>
        <v>6.2250704107090051</v>
      </c>
      <c r="AG7" s="772">
        <f>+IF(D7="RONALD WILLIAN GARIBAY ESCUDERO",AC7+AD7+AE7+AF7+70,AC7+AD7+AE7+AF7)+70</f>
        <v>43.001405324181491</v>
      </c>
      <c r="AH7" s="146">
        <f t="shared" si="6"/>
        <v>5.0404322787804157</v>
      </c>
      <c r="AI7" s="146">
        <f t="shared" si="7"/>
        <v>5.9111437537004994</v>
      </c>
      <c r="AJ7" s="156">
        <f t="shared" si="8"/>
        <v>12.98303482092752</v>
      </c>
      <c r="AK7" s="156">
        <f t="shared" si="9"/>
        <v>4.9287679584426547</v>
      </c>
      <c r="AL7" s="88"/>
      <c r="AM7" s="716">
        <f t="shared" si="10"/>
        <v>334.69625290672838</v>
      </c>
      <c r="AN7" s="716" t="str">
        <f>_xlfn.XLOOKUP(D7,RUC!$B$3:$B$578,RUC!$M$3:$M$578)</f>
        <v>Melchor Vera</v>
      </c>
      <c r="AO7" s="1167" t="s">
        <v>2278</v>
      </c>
      <c r="AS7" s="1212"/>
    </row>
    <row r="8" spans="1:45" ht="15" customHeight="1">
      <c r="A8" s="747" t="s">
        <v>2157</v>
      </c>
      <c r="B8" s="595">
        <v>45798</v>
      </c>
      <c r="C8" s="595">
        <v>45796</v>
      </c>
      <c r="D8" t="s">
        <v>154</v>
      </c>
      <c r="E8">
        <f>_xlfn.XLOOKUP(D8,RUC!$B$3:$B$123,RUC!$D$3:$D$123)</f>
        <v>10416085884</v>
      </c>
      <c r="G8" s="80" t="s">
        <v>1434</v>
      </c>
      <c r="H8" t="s">
        <v>69</v>
      </c>
      <c r="I8" s="703">
        <v>27.51</v>
      </c>
      <c r="J8" s="596">
        <v>12.7</v>
      </c>
      <c r="K8" s="138">
        <f t="shared" si="0"/>
        <v>24.015999999999998</v>
      </c>
      <c r="L8" s="139">
        <v>0.19800000000000001</v>
      </c>
      <c r="M8" s="139">
        <v>0.182</v>
      </c>
      <c r="N8" s="159">
        <v>0.182</v>
      </c>
      <c r="O8" s="645">
        <f t="shared" si="1"/>
        <v>0.182</v>
      </c>
      <c r="P8" s="727">
        <v>82</v>
      </c>
      <c r="Q8" s="596">
        <v>80.3</v>
      </c>
      <c r="R8" s="706">
        <v>3230.15</v>
      </c>
      <c r="S8" s="802">
        <v>100</v>
      </c>
      <c r="U8" s="1066">
        <v>90</v>
      </c>
      <c r="V8" s="715">
        <v>1.1023000000000001</v>
      </c>
      <c r="Z8" s="143">
        <f>IF(IF(D8="UNTUCA",IF(+((W8-3)*1.5+(X8-3)*3.1)&gt;0,+((W8-3)*1.5+(X8-3)*3.1),0),IF(+((W8-3)*1.5+(X8-3)*3.1)&gt;0,+((W8-3)*1.5+(X8-3)*3.1),0))&lt;30,30,IF(D8="UNTUCA",IF(+((W8-3)*1.5+(X8-3)*3.1)&gt;0,+((W8-3)*1.5+(X8-3)*3.1),0),IF(+((W8-3)*1.5+(X8-3)*3.1)&gt;0,+((W8-3)*1.5+(X8-3)*3.1),0)))</f>
        <v>30</v>
      </c>
      <c r="AA8" s="144">
        <f t="shared" si="2"/>
        <v>30</v>
      </c>
      <c r="AB8" s="145">
        <f>+((O8*P8*(R8-U8)/100)-S8-AA8+T8)*V8</f>
        <v>373.27844736780003</v>
      </c>
      <c r="AC8" s="145">
        <f>+(S8-T8)*V8-'data 1'!$F$4</f>
        <v>30.230000000000004</v>
      </c>
      <c r="AD8" s="145">
        <f t="shared" si="3"/>
        <v>-11.651029803270021</v>
      </c>
      <c r="AE8" s="145">
        <f t="shared" si="4"/>
        <v>-36.930999999999997</v>
      </c>
      <c r="AF8" s="145">
        <f t="shared" si="5"/>
        <v>44.471904608560045</v>
      </c>
      <c r="AG8" s="772">
        <f>+IF(D8="RONALD WILLIAN GARIBAY ESCUDERO",AC8+AD8+AE8+AF8+70,AC8+AD8+AE8+AF8)+70-53</f>
        <v>43.119874805290038</v>
      </c>
      <c r="AH8" s="146">
        <f t="shared" si="6"/>
        <v>130.91532243872274</v>
      </c>
      <c r="AI8" s="146">
        <f t="shared" si="7"/>
        <v>163.0327801229424</v>
      </c>
      <c r="AJ8" s="156">
        <f t="shared" si="8"/>
        <v>53.077214255669986</v>
      </c>
      <c r="AK8" s="156">
        <f t="shared" si="9"/>
        <v>122.88389952296932</v>
      </c>
      <c r="AL8" s="88"/>
      <c r="AM8" s="716">
        <f t="shared" si="10"/>
        <v>8964.6551919850845</v>
      </c>
      <c r="AN8" s="716" t="str">
        <f>_xlfn.XLOOKUP(D8,RUC!$B$3:$B$578,RUC!$M$3:$M$578)</f>
        <v>Alfred Torres</v>
      </c>
      <c r="AO8" s="1167" t="s">
        <v>2278</v>
      </c>
      <c r="AS8" s="1212"/>
    </row>
    <row r="9" spans="1:45" ht="15" customHeight="1">
      <c r="A9" s="1149" t="s">
        <v>2158</v>
      </c>
      <c r="B9" s="595"/>
      <c r="C9" s="595">
        <v>45797</v>
      </c>
      <c r="D9" t="s">
        <v>1402</v>
      </c>
      <c r="E9">
        <f>_xlfn.XLOOKUP(D9,RUC!$B$3:$B$123,RUC!$D$3:$D$123)</f>
        <v>20606526599</v>
      </c>
      <c r="G9" s="80">
        <v>85</v>
      </c>
      <c r="H9" t="s">
        <v>69</v>
      </c>
      <c r="I9" s="703">
        <v>6.92</v>
      </c>
      <c r="J9" s="596">
        <v>0.15</v>
      </c>
      <c r="K9" s="138">
        <f t="shared" si="0"/>
        <v>6.91</v>
      </c>
      <c r="L9" s="139">
        <v>7.5999999999999998E-2</v>
      </c>
      <c r="M9" s="139">
        <v>6.0999999999999999E-2</v>
      </c>
      <c r="N9" s="159">
        <v>6.0999999999999999E-2</v>
      </c>
      <c r="O9" s="645">
        <f t="shared" si="1"/>
        <v>6.0999999999999999E-2</v>
      </c>
      <c r="P9" s="727">
        <v>69</v>
      </c>
      <c r="Q9" s="596">
        <v>69.66</v>
      </c>
      <c r="R9" s="706">
        <v>3261.55</v>
      </c>
      <c r="S9" s="765">
        <f>IF((90+ROUNDDOWN(O9,1)*100)&lt;95,95,(90+ROUNDDOWN(O9,1)*100))</f>
        <v>95</v>
      </c>
      <c r="U9" s="1146">
        <v>120</v>
      </c>
      <c r="V9" s="715">
        <v>1.1023000000000001</v>
      </c>
      <c r="Z9" s="143">
        <f>IF(IF(D9="UNTUCA",IF(+((W9-3)*1.5+(X9-3)*3.1)&gt;0,+((W9-3)*1.5+(X9-3)*3.1),0),IF(+((W9-3)*1.5+(X9-3)*3.1)&gt;0,+((W9-3)*1.5+(X9-3)*3.1),0))&lt;30,30,IF(D9="UNTUCA",IF(+((W9-3)*1.5+(X9-3)*3.1)&gt;0,+((W9-3)*1.5+(X9-3)*3.1),0),IF(+((W9-3)*1.5+(X9-3)*3.1)&gt;0,+((W9-3)*1.5+(X9-3)*3.1),0)))</f>
        <v>30</v>
      </c>
      <c r="AA9" s="144">
        <f t="shared" si="2"/>
        <v>30</v>
      </c>
      <c r="AB9" s="145">
        <v>0.01</v>
      </c>
      <c r="AC9" s="145">
        <f>+(S9-T9)*V9-'data 1'!$F$4</f>
        <v>24.718500000000006</v>
      </c>
      <c r="AD9" s="145">
        <f t="shared" si="3"/>
        <v>1.7370059714039912</v>
      </c>
      <c r="AE9" s="145">
        <f t="shared" si="4"/>
        <v>-36.930999999999997</v>
      </c>
      <c r="AF9" s="145">
        <f t="shared" si="5"/>
        <v>36.184161473685002</v>
      </c>
      <c r="AG9" s="772">
        <f>+IF(D9="RONALD WILLIAN GARIBAY ESCUDERO",AC9+AD9+AE9+AF9+70,AC9+AD9+AE9+AF9)+70-53+7.97</f>
        <v>50.678667445089005</v>
      </c>
      <c r="AH9" s="146">
        <f t="shared" si="6"/>
        <v>12.542502002916249</v>
      </c>
      <c r="AI9" s="146">
        <f t="shared" si="7"/>
        <v>18.005314388338</v>
      </c>
      <c r="AJ9" s="156">
        <f t="shared" si="8"/>
        <v>17.591876116235987</v>
      </c>
      <c r="AK9" s="156"/>
      <c r="AL9" s="88"/>
      <c r="AM9" s="716">
        <f t="shared" si="10"/>
        <v>6.9100000000000009E-2</v>
      </c>
      <c r="AN9" s="716" t="str">
        <f>_xlfn.XLOOKUP(D9,RUC!$B$3:$B$578,RUC!$M$3:$M$578)</f>
        <v>Yuri Rospigliossi</v>
      </c>
      <c r="AO9" s="1167" t="s">
        <v>2278</v>
      </c>
      <c r="AS9" s="1212"/>
    </row>
    <row r="10" spans="1:45" ht="15" customHeight="1">
      <c r="A10" s="747" t="s">
        <v>2164</v>
      </c>
      <c r="B10" s="595">
        <v>45803</v>
      </c>
      <c r="C10" s="595">
        <v>45797</v>
      </c>
      <c r="D10" t="s">
        <v>1671</v>
      </c>
      <c r="E10">
        <f>_xlfn.XLOOKUP(D10,RUC!$B$3:$B$123,RUC!$D$3:$D$123)</f>
        <v>20517242919</v>
      </c>
      <c r="G10" s="80">
        <v>50</v>
      </c>
      <c r="H10" t="s">
        <v>69</v>
      </c>
      <c r="I10" s="703">
        <v>5.26</v>
      </c>
      <c r="J10" s="596">
        <v>2.5499999999999998</v>
      </c>
      <c r="K10" s="138">
        <f t="shared" si="0"/>
        <v>5.1260000000000003</v>
      </c>
      <c r="L10" s="139">
        <v>0.28599999999999998</v>
      </c>
      <c r="M10" s="139">
        <v>0.28199999999999997</v>
      </c>
      <c r="N10" s="598">
        <v>0.30199999999999999</v>
      </c>
      <c r="O10" s="645">
        <f t="shared" si="1"/>
        <v>0.29199999999999998</v>
      </c>
      <c r="P10" s="727">
        <v>85</v>
      </c>
      <c r="Q10" s="596">
        <v>85.31</v>
      </c>
      <c r="R10" s="706">
        <v>3261.55</v>
      </c>
      <c r="S10" s="802">
        <v>105</v>
      </c>
      <c r="U10" s="1091">
        <v>80</v>
      </c>
      <c r="V10" s="715">
        <v>1.1023000000000001</v>
      </c>
      <c r="Z10" s="1034">
        <v>10</v>
      </c>
      <c r="AA10" s="144">
        <f t="shared" si="2"/>
        <v>10</v>
      </c>
      <c r="AB10" s="145">
        <f>+((O10*P10*(R10-U10)/100)-S10-AA10+T10)*V10</f>
        <v>743.678500633</v>
      </c>
      <c r="AC10" s="145">
        <f>+(S10-T10)*V10-'data 1'!$F$4</f>
        <v>35.741500000000002</v>
      </c>
      <c r="AD10" s="145">
        <f t="shared" si="3"/>
        <v>3.1093262061290234</v>
      </c>
      <c r="AE10" s="145">
        <f t="shared" si="4"/>
        <v>-58.977000000000004</v>
      </c>
      <c r="AF10" s="145">
        <f t="shared" si="5"/>
        <v>-17.951045701209022</v>
      </c>
      <c r="AG10" s="772">
        <f>+IF(D10="RONALD WILLIAN GARIBAY ESCUDERO",AC10+AD10+AE10+AF10+70,AC10+AD10+AE10+AF10)+70-53</f>
        <v>-21.077219495080001</v>
      </c>
      <c r="AH10" s="146">
        <f t="shared" si="6"/>
        <v>42.879888382760662</v>
      </c>
      <c r="AI10" s="146">
        <f t="shared" si="7"/>
        <v>50.263613155269795</v>
      </c>
      <c r="AJ10" s="156">
        <f t="shared" si="8"/>
        <v>70.316043909110945</v>
      </c>
      <c r="AK10" s="156">
        <f t="shared" si="9"/>
        <v>43.620380367615262</v>
      </c>
      <c r="AL10" s="88"/>
      <c r="AM10" s="716">
        <f t="shared" si="10"/>
        <v>3812.0959942447585</v>
      </c>
      <c r="AN10" s="716" t="str">
        <f>_xlfn.XLOOKUP(D10,RUC!$B$3:$B$578,RUC!$M$3:$M$578)</f>
        <v>Melchor Vera</v>
      </c>
      <c r="AO10" s="1167" t="s">
        <v>2280</v>
      </c>
      <c r="AS10" s="1212"/>
    </row>
    <row r="11" spans="1:45" ht="15" customHeight="1">
      <c r="A11" s="1058" t="s">
        <v>2191</v>
      </c>
      <c r="B11" s="595">
        <v>45818</v>
      </c>
      <c r="C11" s="595">
        <v>45810</v>
      </c>
      <c r="D11" t="s">
        <v>1967</v>
      </c>
      <c r="E11">
        <f>_xlfn.XLOOKUP(D11,RUC!$B$3:$B$123,RUC!$D$3:$D$123)</f>
        <v>20601769396</v>
      </c>
      <c r="G11" s="80">
        <v>40</v>
      </c>
      <c r="H11" t="s">
        <v>116</v>
      </c>
      <c r="I11" s="703">
        <v>3.33</v>
      </c>
      <c r="J11" s="596">
        <v>16.850000000000001</v>
      </c>
      <c r="K11" s="138">
        <f t="shared" si="0"/>
        <v>2.7690000000000001</v>
      </c>
      <c r="L11" s="139">
        <v>0.14099999999999999</v>
      </c>
      <c r="M11" s="139">
        <v>0.125</v>
      </c>
      <c r="N11" s="598">
        <v>0.17199999999999999</v>
      </c>
      <c r="O11" s="645">
        <f t="shared" si="1"/>
        <v>0.14899999999999999</v>
      </c>
      <c r="P11" s="727">
        <v>86</v>
      </c>
      <c r="Q11" s="596">
        <v>87.22</v>
      </c>
      <c r="R11" s="706">
        <v>3370.85</v>
      </c>
      <c r="S11" s="765">
        <f>IF((90+ROUNDDOWN(O11,1)*100)&lt;95,95,(90+ROUNDDOWN(O11,1)*100))</f>
        <v>100</v>
      </c>
      <c r="U11" s="1146">
        <v>120</v>
      </c>
      <c r="V11" s="715">
        <v>1.1023000000000001</v>
      </c>
      <c r="Y11">
        <v>20</v>
      </c>
      <c r="Z11" s="143">
        <f>IF(IF(D11="UNTUCA",IF(+((W11-3)*1.5+(X11-3)*3.1)&gt;0,+((W11-3)*1.5+(X11-3)*3.1),0),IF(+((W11-3)*1.5+(X11-3)*3.1)&gt;0,+((W11-3)*1.5+(X11-3)*3.1),0))&lt;30,30,IF(D11="UNTUCA",IF(+((W11-3)*1.5+(X11-3)*3.1)&gt;0,+((W11-3)*1.5+(X11-3)*3.1),0),IF(+((W11-3)*1.5+(X11-3)*3.1)&gt;0,+((W11-3)*1.5+(X11-3)*3.1),0)))</f>
        <v>30</v>
      </c>
      <c r="AA11" s="144">
        <f t="shared" si="2"/>
        <v>50</v>
      </c>
      <c r="AB11" s="145">
        <f>+((O11*P11*(R11-U11)/100)-S11-AA11+T11)*V11</f>
        <v>293.8334079137</v>
      </c>
      <c r="AC11" s="145">
        <f>+(S11-T11)*V11-'data 1'!$F$4</f>
        <v>30.230000000000004</v>
      </c>
      <c r="AD11" s="145">
        <f t="shared" si="3"/>
        <v>6.1641852449909935</v>
      </c>
      <c r="AE11" s="145">
        <f t="shared" si="4"/>
        <v>-14.884999999999998</v>
      </c>
      <c r="AF11" s="145">
        <f t="shared" si="5"/>
        <v>-25.003615257208025</v>
      </c>
      <c r="AG11" s="772">
        <f>+IF(D11="RONALD WILLIAN GARIBAY ESCUDERO",AC11+AD11+AE11+AF11+70,AC11+AD11+AE11+AF11)+70-53</f>
        <v>13.505569987782977</v>
      </c>
      <c r="AH11" s="146">
        <f t="shared" si="6"/>
        <v>11.675277722243045</v>
      </c>
      <c r="AI11" s="146">
        <f t="shared" si="7"/>
        <v>13.38600977097345</v>
      </c>
      <c r="AJ11" s="156">
        <f t="shared" si="8"/>
        <v>26.048060457489008</v>
      </c>
      <c r="AK11" s="156">
        <f t="shared" si="9"/>
        <v>12.165129730869063</v>
      </c>
      <c r="AL11" s="88"/>
      <c r="AM11" s="716">
        <f t="shared" si="10"/>
        <v>813.62470651303533</v>
      </c>
      <c r="AN11" s="716" t="str">
        <f>_xlfn.XLOOKUP(D11,RUC!$B$3:$B$578,RUC!$M$3:$M$578)</f>
        <v>Evelyn</v>
      </c>
      <c r="AO11" s="1167" t="s">
        <v>2280</v>
      </c>
      <c r="AS11" s="1212"/>
    </row>
    <row r="12" spans="1:45" ht="15" customHeight="1">
      <c r="A12" s="1058" t="s">
        <v>2192</v>
      </c>
      <c r="B12" s="595">
        <v>45818</v>
      </c>
      <c r="C12" s="595">
        <v>45810</v>
      </c>
      <c r="D12" t="s">
        <v>1967</v>
      </c>
      <c r="E12">
        <f>_xlfn.XLOOKUP(D12,RUC!$B$3:$B$123,RUC!$D$3:$D$123)</f>
        <v>20601769396</v>
      </c>
      <c r="G12" s="80">
        <v>40</v>
      </c>
      <c r="H12" t="s">
        <v>116</v>
      </c>
      <c r="I12" s="703">
        <v>3.32</v>
      </c>
      <c r="J12" s="596">
        <v>19.350000000000001</v>
      </c>
      <c r="K12" s="138">
        <f t="shared" si="0"/>
        <v>2.6779999999999999</v>
      </c>
      <c r="L12" s="139">
        <v>0.3</v>
      </c>
      <c r="M12" s="139">
        <v>0.28199999999999997</v>
      </c>
      <c r="N12" s="159">
        <v>0.28199999999999997</v>
      </c>
      <c r="O12" s="645">
        <f t="shared" si="1"/>
        <v>0.28199999999999997</v>
      </c>
      <c r="P12" s="727">
        <v>84</v>
      </c>
      <c r="Q12" s="596">
        <v>84.02</v>
      </c>
      <c r="R12" s="706">
        <v>3370.85</v>
      </c>
      <c r="S12" s="765">
        <f>IF((90+ROUNDDOWN(O12,1)*100)&lt;95,95,(90+ROUNDDOWN(O12,1)*100))</f>
        <v>110</v>
      </c>
      <c r="U12" s="1146">
        <v>120</v>
      </c>
      <c r="V12" s="715">
        <v>1.1023000000000001</v>
      </c>
      <c r="Y12">
        <v>20</v>
      </c>
      <c r="Z12" s="143">
        <f>IF(IF(D12="UNTUCA",IF(+((W12-3)*1.5+(X12-3)*3.1)&gt;0,+((W12-3)*1.5+(X12-3)*3.1),0),IF(+((W12-3)*1.5+(X12-3)*3.1)&gt;0,+((W12-3)*1.5+(X12-3)*3.1),0))&lt;30,30,IF(D12="UNTUCA",IF(+((W12-3)*1.5+(X12-3)*3.1)&gt;0,+((W12-3)*1.5+(X12-3)*3.1),0),IF(+((W12-3)*1.5+(X12-3)*3.1)&gt;0,+((W12-3)*1.5+(X12-3)*3.1),0)))</f>
        <v>30</v>
      </c>
      <c r="AA12" s="144">
        <f t="shared" si="2"/>
        <v>50</v>
      </c>
      <c r="AB12" s="145">
        <f>+((O12*P12*(R12-U12)/100)-S12-AA12+T12)*V12</f>
        <v>672.47062390040003</v>
      </c>
      <c r="AC12" s="145">
        <f>+(S12-T12)*V12-'data 1'!$F$4</f>
        <v>41.253</v>
      </c>
      <c r="AD12" s="145">
        <f t="shared" si="3"/>
        <v>0.21500471729995724</v>
      </c>
      <c r="AE12" s="145">
        <f t="shared" si="4"/>
        <v>-14.884999999999998</v>
      </c>
      <c r="AF12" s="145">
        <f t="shared" si="5"/>
        <v>54.194089042638041</v>
      </c>
      <c r="AG12" s="772">
        <f>+IF(D12="RONALD WILLIAN GARIBAY ESCUDERO",AC12+AD12+AE12+AF12+70,AC12+AD12+AE12+AF12)+70-53</f>
        <v>97.777093759937998</v>
      </c>
      <c r="AH12" s="146">
        <f t="shared" si="6"/>
        <v>23.143208814022675</v>
      </c>
      <c r="AI12" s="146">
        <f t="shared" si="7"/>
        <v>27.544880759369999</v>
      </c>
      <c r="AJ12" s="156">
        <f t="shared" si="8"/>
        <v>53.388058556700024</v>
      </c>
      <c r="AK12" s="156">
        <f t="shared" si="9"/>
        <v>21.74943784759855</v>
      </c>
      <c r="AL12" s="88"/>
      <c r="AM12" s="716">
        <f t="shared" si="10"/>
        <v>1800.8763308052712</v>
      </c>
      <c r="AN12" s="716" t="str">
        <f>_xlfn.XLOOKUP(D12,RUC!$B$3:$B$578,RUC!$M$3:$M$578)</f>
        <v>Evelyn</v>
      </c>
      <c r="AO12" s="1167" t="s">
        <v>2280</v>
      </c>
      <c r="AS12" s="1212"/>
    </row>
    <row r="13" spans="1:45" ht="15" customHeight="1">
      <c r="A13" s="747" t="s">
        <v>2210</v>
      </c>
      <c r="B13" s="595">
        <v>45824</v>
      </c>
      <c r="C13" s="595">
        <v>45815</v>
      </c>
      <c r="D13" t="s">
        <v>1029</v>
      </c>
      <c r="E13">
        <f>_xlfn.XLOOKUP(D13,RUC!$B$3:$B$123,RUC!$D$3:$D$123)</f>
        <v>10421580605</v>
      </c>
      <c r="G13" s="80" t="s">
        <v>1434</v>
      </c>
      <c r="H13" t="s">
        <v>69</v>
      </c>
      <c r="I13" s="703">
        <v>35.25</v>
      </c>
      <c r="J13" s="596">
        <v>14.3</v>
      </c>
      <c r="K13" s="138">
        <f t="shared" si="0"/>
        <v>30.209</v>
      </c>
      <c r="L13" s="139">
        <v>0.14099999999999999</v>
      </c>
      <c r="M13" s="139">
        <v>0.127</v>
      </c>
      <c r="N13" s="159">
        <v>0.127</v>
      </c>
      <c r="O13" s="645">
        <f t="shared" si="1"/>
        <v>0.127</v>
      </c>
      <c r="P13" s="727">
        <v>85</v>
      </c>
      <c r="Q13" s="596">
        <v>86.52</v>
      </c>
      <c r="R13" s="706">
        <v>3339.9</v>
      </c>
      <c r="S13" s="802">
        <v>110</v>
      </c>
      <c r="U13" s="1146">
        <v>90</v>
      </c>
      <c r="V13" s="715">
        <v>1.1023000000000001</v>
      </c>
      <c r="Z13" s="143">
        <f>IF(IF(D13="UNTUCA",IF(+((W13-3)*1.5+(X13-3)*3.1)&gt;0,+((W13-3)*1.5+(X13-3)*3.1),0),IF(+((W13-3)*1.5+(X13-3)*3.1)&gt;0,+((W13-3)*1.5+(X13-3)*3.1),0))&lt;30,30,IF(D13="UNTUCA",IF(+((W13-3)*1.5+(X13-3)*3.1)&gt;0,+((W13-3)*1.5+(X13-3)*3.1),0),IF(+((W13-3)*1.5+(X13-3)*3.1)&gt;0,+((W13-3)*1.5+(X13-3)*3.1),0)))</f>
        <v>30</v>
      </c>
      <c r="AA13" s="144">
        <f t="shared" si="2"/>
        <v>30</v>
      </c>
      <c r="AB13" s="145">
        <f>+((O13*P13*(R13-U13)/100)-S13-AA13+T13)*V13</f>
        <v>232.39427692150002</v>
      </c>
      <c r="AC13" s="145">
        <f>+(S13-T13)*V13-'data 1'!$F$4</f>
        <v>41.253</v>
      </c>
      <c r="AD13" s="145">
        <f t="shared" si="3"/>
        <v>7.6777241750639806</v>
      </c>
      <c r="AE13" s="145">
        <f t="shared" si="4"/>
        <v>-36.930999999999997</v>
      </c>
      <c r="AF13" s="145">
        <f t="shared" si="5"/>
        <v>43.392467986055955</v>
      </c>
      <c r="AG13" s="772">
        <f>+IF(D13="RONALD WILLIAN GARIBAY ESCUDERO",AC13+AD13+AE13+AF13+70,AC13+AD13+AE13+AF13)+70-53</f>
        <v>72.392192161119937</v>
      </c>
      <c r="AH13" s="146">
        <f t="shared" si="6"/>
        <v>126.35168614194319</v>
      </c>
      <c r="AI13" s="146">
        <f t="shared" si="7"/>
        <v>146.03754755194544</v>
      </c>
      <c r="AJ13" s="156">
        <f t="shared" si="8"/>
        <v>25.966756451915991</v>
      </c>
      <c r="AK13" s="156">
        <f t="shared" si="9"/>
        <v>111.80676069668449</v>
      </c>
      <c r="AL13" s="88"/>
      <c r="AM13" s="716">
        <f t="shared" si="10"/>
        <v>7020.3987115215941</v>
      </c>
      <c r="AN13" s="716" t="str">
        <f>_xlfn.XLOOKUP(D13,RUC!$B$3:$B$578,RUC!$M$3:$M$578)</f>
        <v>Alfred Torres</v>
      </c>
      <c r="AO13" s="1167" t="s">
        <v>2280</v>
      </c>
      <c r="AS13" s="1212"/>
    </row>
    <row r="14" spans="1:45" ht="15" customHeight="1">
      <c r="A14" s="1149" t="s">
        <v>2212</v>
      </c>
      <c r="B14" s="595">
        <v>45821</v>
      </c>
      <c r="C14" s="595">
        <v>45815</v>
      </c>
      <c r="D14" t="s">
        <v>1671</v>
      </c>
      <c r="E14">
        <f>_xlfn.XLOOKUP(D14,RUC!$B$3:$B$123,RUC!$D$3:$D$123)</f>
        <v>20517242919</v>
      </c>
      <c r="G14" s="80">
        <v>41</v>
      </c>
      <c r="H14" t="s">
        <v>69</v>
      </c>
      <c r="I14" s="703">
        <v>3.95</v>
      </c>
      <c r="J14" s="596">
        <v>1.8</v>
      </c>
      <c r="K14" s="138">
        <f t="shared" si="0"/>
        <v>3.879</v>
      </c>
      <c r="L14" s="139">
        <v>8.6999999999999994E-2</v>
      </c>
      <c r="M14" s="139">
        <v>8.5000000000000006E-2</v>
      </c>
      <c r="N14" s="159">
        <v>8.5000000000000006E-2</v>
      </c>
      <c r="O14" s="645">
        <f t="shared" si="1"/>
        <v>8.5000000000000006E-2</v>
      </c>
      <c r="P14" s="727">
        <v>85</v>
      </c>
      <c r="Q14" s="596">
        <v>96.53</v>
      </c>
      <c r="R14" s="706">
        <v>3339.9</v>
      </c>
      <c r="S14" s="802">
        <v>95</v>
      </c>
      <c r="U14" s="1091">
        <v>80</v>
      </c>
      <c r="V14" s="715">
        <v>1.1023000000000001</v>
      </c>
      <c r="Z14" s="1034">
        <v>10</v>
      </c>
      <c r="AA14" s="144">
        <f t="shared" si="2"/>
        <v>10</v>
      </c>
      <c r="AB14" s="145">
        <v>0.01</v>
      </c>
      <c r="AC14" s="145">
        <f>+(S14-T14)*V14-'data 1'!$F$4</f>
        <v>24.718500000000006</v>
      </c>
      <c r="AD14" s="145">
        <f t="shared" si="3"/>
        <v>36.045632059646998</v>
      </c>
      <c r="AE14" s="145">
        <f t="shared" si="4"/>
        <v>-58.977000000000004</v>
      </c>
      <c r="AF14" s="145">
        <f t="shared" si="5"/>
        <v>6.9373944287619587</v>
      </c>
      <c r="AG14" s="772">
        <f>+IF(D14="RONALD WILLIAN GARIBAY ESCUDERO",AC14+AD14+AE14+AF14+70,AC14+AD14+AE14+AF14)+70+143.88</f>
        <v>222.60452648840896</v>
      </c>
      <c r="AH14" s="146">
        <f t="shared" si="6"/>
        <v>11.16890013257715</v>
      </c>
      <c r="AI14" s="146">
        <f t="shared" si="7"/>
        <v>11.570392761397649</v>
      </c>
      <c r="AJ14" s="156">
        <f t="shared" si="8"/>
        <v>16.950000311642995</v>
      </c>
      <c r="AK14" s="156"/>
      <c r="AL14" s="88"/>
      <c r="AM14" s="716">
        <f t="shared" si="10"/>
        <v>3.8789999999999998E-2</v>
      </c>
      <c r="AN14" s="716" t="str">
        <f>_xlfn.XLOOKUP(D14,RUC!$B$3:$B$578,RUC!$M$3:$M$578)</f>
        <v>Melchor Vera</v>
      </c>
      <c r="AO14" s="1167" t="s">
        <v>2277</v>
      </c>
      <c r="AS14" s="1212"/>
    </row>
    <row r="15" spans="1:45" ht="15" customHeight="1">
      <c r="A15" s="1149" t="s">
        <v>2214</v>
      </c>
      <c r="B15" s="595">
        <v>45821</v>
      </c>
      <c r="C15" s="595">
        <v>45815</v>
      </c>
      <c r="D15" t="s">
        <v>1671</v>
      </c>
      <c r="E15">
        <f>_xlfn.XLOOKUP(D15,RUC!$B$3:$B$123,RUC!$D$3:$D$123)</f>
        <v>20517242919</v>
      </c>
      <c r="G15" s="80">
        <v>36</v>
      </c>
      <c r="H15" t="s">
        <v>69</v>
      </c>
      <c r="I15" s="703">
        <v>3.5</v>
      </c>
      <c r="J15" s="596">
        <v>1.8</v>
      </c>
      <c r="K15" s="138">
        <f t="shared" si="0"/>
        <v>3.4369999999999998</v>
      </c>
      <c r="L15" s="139">
        <v>7.3999999999999996E-2</v>
      </c>
      <c r="M15" s="139">
        <v>7.2999999999999995E-2</v>
      </c>
      <c r="N15" s="159">
        <v>7.2999999999999995E-2</v>
      </c>
      <c r="O15" s="645">
        <f t="shared" si="1"/>
        <v>7.2999999999999995E-2</v>
      </c>
      <c r="P15" s="727">
        <v>85</v>
      </c>
      <c r="Q15" s="596">
        <v>93.24</v>
      </c>
      <c r="R15" s="706">
        <v>3339.9</v>
      </c>
      <c r="S15" s="802">
        <v>95</v>
      </c>
      <c r="U15" s="1091">
        <v>80</v>
      </c>
      <c r="V15" s="715">
        <v>1.1023000000000001</v>
      </c>
      <c r="Z15" s="1034">
        <v>10</v>
      </c>
      <c r="AA15" s="144">
        <f t="shared" si="2"/>
        <v>10</v>
      </c>
      <c r="AB15" s="145">
        <v>0.01</v>
      </c>
      <c r="AC15" s="145">
        <f>+(S15-T15)*V15-'data 1'!$F$4</f>
        <v>24.718500000000006</v>
      </c>
      <c r="AD15" s="145">
        <f t="shared" si="3"/>
        <v>21.911041266351987</v>
      </c>
      <c r="AE15" s="145">
        <f t="shared" si="4"/>
        <v>-58.977000000000004</v>
      </c>
      <c r="AF15" s="145">
        <f t="shared" si="5"/>
        <v>3.3504747567480035</v>
      </c>
      <c r="AG15" s="772">
        <f>+IF(D15="RONALD WILLIAN GARIBAY ESCUDERO",AC15+AD15+AE15+AF15+70,AC15+AD15+AE15+AF15)+70+107.23</f>
        <v>168.23301602309999</v>
      </c>
      <c r="AH15" s="146">
        <f t="shared" si="6"/>
        <v>8.1305998189127031</v>
      </c>
      <c r="AI15" s="146">
        <f t="shared" si="7"/>
        <v>8.7200770258609008</v>
      </c>
      <c r="AJ15" s="156">
        <f t="shared" si="8"/>
        <v>13.925863575287995</v>
      </c>
      <c r="AK15" s="156"/>
      <c r="AL15" s="88"/>
      <c r="AM15" s="716">
        <f t="shared" si="10"/>
        <v>3.4369999999999998E-2</v>
      </c>
      <c r="AN15" s="716" t="str">
        <f>_xlfn.XLOOKUP(D15,RUC!$B$3:$B$578,RUC!$M$3:$M$578)</f>
        <v>Melchor Vera</v>
      </c>
      <c r="AO15" s="1167" t="s">
        <v>2277</v>
      </c>
      <c r="AS15" s="1212"/>
    </row>
    <row r="16" spans="1:45" ht="15" customHeight="1">
      <c r="A16" s="1149" t="s">
        <v>2215</v>
      </c>
      <c r="B16" s="595">
        <v>45821</v>
      </c>
      <c r="C16" s="595">
        <v>45815</v>
      </c>
      <c r="D16" t="s">
        <v>1671</v>
      </c>
      <c r="E16">
        <f>_xlfn.XLOOKUP(D16,RUC!$B$3:$B$123,RUC!$D$3:$D$123)</f>
        <v>20517242919</v>
      </c>
      <c r="G16" s="80">
        <v>36</v>
      </c>
      <c r="H16" t="s">
        <v>69</v>
      </c>
      <c r="I16" s="703">
        <v>3.47</v>
      </c>
      <c r="J16" s="596">
        <v>2.1</v>
      </c>
      <c r="K16" s="138">
        <f t="shared" si="0"/>
        <v>3.3969999999999998</v>
      </c>
      <c r="L16" s="139">
        <v>8.2000000000000003E-2</v>
      </c>
      <c r="M16" s="139">
        <v>8.1000000000000003E-2</v>
      </c>
      <c r="N16" s="159">
        <v>8.1000000000000003E-2</v>
      </c>
      <c r="O16" s="645">
        <f t="shared" si="1"/>
        <v>8.1000000000000003E-2</v>
      </c>
      <c r="P16" s="727">
        <v>85</v>
      </c>
      <c r="Q16" s="596">
        <v>93.9</v>
      </c>
      <c r="R16" s="706">
        <v>3339.9</v>
      </c>
      <c r="S16" s="802">
        <v>95</v>
      </c>
      <c r="U16" s="1091">
        <v>80</v>
      </c>
      <c r="V16" s="715">
        <v>1.1023000000000001</v>
      </c>
      <c r="Z16" s="1034">
        <v>10</v>
      </c>
      <c r="AA16" s="144">
        <f t="shared" si="2"/>
        <v>10</v>
      </c>
      <c r="AB16" s="145">
        <v>0.01</v>
      </c>
      <c r="AC16" s="145">
        <f>+(S16-T16)*V16-'data 1'!$F$4</f>
        <v>24.718500000000006</v>
      </c>
      <c r="AD16" s="145">
        <f t="shared" si="3"/>
        <v>26.224543945460017</v>
      </c>
      <c r="AE16" s="145">
        <f t="shared" si="4"/>
        <v>-58.977000000000004</v>
      </c>
      <c r="AF16" s="145">
        <f t="shared" si="5"/>
        <v>3.3741911160300035</v>
      </c>
      <c r="AG16" s="772">
        <f>+IF(D16="RONALD WILLIAN GARIBAY ESCUDERO",AC16+AD16+AE16+AF16+70,AC16+AD16+AE16+AF16)+70+131.66</f>
        <v>197.00023506149</v>
      </c>
      <c r="AH16" s="146">
        <f t="shared" si="6"/>
        <v>8.967761731924039</v>
      </c>
      <c r="AI16" s="146">
        <f t="shared" si="7"/>
        <v>9.5503319828796993</v>
      </c>
      <c r="AJ16" s="156">
        <f t="shared" si="8"/>
        <v>15.540593347739996</v>
      </c>
      <c r="AK16" s="156"/>
      <c r="AL16" s="88"/>
      <c r="AM16" s="716">
        <f t="shared" si="10"/>
        <v>3.397E-2</v>
      </c>
      <c r="AN16" s="716" t="str">
        <f>_xlfn.XLOOKUP(D16,RUC!$B$3:$B$578,RUC!$M$3:$M$578)</f>
        <v>Melchor Vera</v>
      </c>
      <c r="AO16" s="1167" t="s">
        <v>2277</v>
      </c>
      <c r="AS16" s="1212"/>
    </row>
    <row r="17" spans="1:45" ht="15" customHeight="1">
      <c r="A17" s="747" t="s">
        <v>2216</v>
      </c>
      <c r="B17" s="595">
        <v>45821</v>
      </c>
      <c r="C17" s="595">
        <v>45815</v>
      </c>
      <c r="D17" t="s">
        <v>1671</v>
      </c>
      <c r="E17">
        <f>_xlfn.XLOOKUP(D17,RUC!$B$3:$B$123,RUC!$D$3:$D$123)</f>
        <v>20517242919</v>
      </c>
      <c r="G17" s="80">
        <v>62</v>
      </c>
      <c r="H17" t="s">
        <v>69</v>
      </c>
      <c r="I17" s="703">
        <v>5.75</v>
      </c>
      <c r="J17" s="596">
        <v>2.2999999999999998</v>
      </c>
      <c r="K17" s="138">
        <f t="shared" si="0"/>
        <v>5.6180000000000003</v>
      </c>
      <c r="L17" s="139">
        <v>0.111</v>
      </c>
      <c r="M17" s="139">
        <v>0.109</v>
      </c>
      <c r="N17" s="159">
        <v>0.109</v>
      </c>
      <c r="O17" s="645">
        <f t="shared" si="1"/>
        <v>0.109</v>
      </c>
      <c r="P17" s="727">
        <v>85</v>
      </c>
      <c r="Q17" s="596">
        <v>92.79</v>
      </c>
      <c r="R17" s="706">
        <v>3339.9</v>
      </c>
      <c r="S17" s="802">
        <v>95</v>
      </c>
      <c r="U17" s="1091">
        <v>80</v>
      </c>
      <c r="V17" s="715">
        <v>1.1023000000000001</v>
      </c>
      <c r="Z17" s="1034">
        <v>10</v>
      </c>
      <c r="AA17" s="144">
        <f t="shared" si="2"/>
        <v>10</v>
      </c>
      <c r="AB17" s="145">
        <f>+((O17*P17*(R17-U17)/100)-S17-AA17+T17)*V17</f>
        <v>217.18587689050003</v>
      </c>
      <c r="AC17" s="145">
        <f>+(S17-T17)*V17-'data 1'!$F$4</f>
        <v>24.718500000000006</v>
      </c>
      <c r="AD17" s="145">
        <f t="shared" si="3"/>
        <v>31.071664708413028</v>
      </c>
      <c r="AE17" s="145">
        <f t="shared" si="4"/>
        <v>-58.977000000000004</v>
      </c>
      <c r="AF17" s="145">
        <f t="shared" si="5"/>
        <v>6.6686090235660069</v>
      </c>
      <c r="AG17" s="772">
        <f>+IF(D17="RONALD WILLIAN GARIBAY ESCUDERO",AC17+AD17+AE17+AF17+70,AC17+AD17+AE17+AF17)+70-53</f>
        <v>20.481773731979033</v>
      </c>
      <c r="AH17" s="146">
        <f t="shared" si="6"/>
        <v>19.838779829223505</v>
      </c>
      <c r="AI17" s="146">
        <f t="shared" si="7"/>
        <v>21.380299417203904</v>
      </c>
      <c r="AJ17" s="156">
        <f t="shared" si="8"/>
        <v>20.787980713496996</v>
      </c>
      <c r="AK17" s="156">
        <f t="shared" si="9"/>
        <v>17.845808477512989</v>
      </c>
      <c r="AL17" s="88"/>
      <c r="AM17" s="716">
        <f t="shared" si="10"/>
        <v>1220.1502563708293</v>
      </c>
      <c r="AN17" s="716" t="str">
        <f>_xlfn.XLOOKUP(D17,RUC!$B$3:$B$578,RUC!$M$3:$M$578)</f>
        <v>Melchor Vera</v>
      </c>
      <c r="AO17" s="1167" t="s">
        <v>2281</v>
      </c>
      <c r="AS17" s="1212"/>
    </row>
    <row r="18" spans="1:45" ht="15" customHeight="1">
      <c r="A18" s="747" t="s">
        <v>2218</v>
      </c>
      <c r="B18" s="595">
        <v>45821</v>
      </c>
      <c r="C18" s="595">
        <v>45815</v>
      </c>
      <c r="D18" t="s">
        <v>1671</v>
      </c>
      <c r="E18">
        <f>_xlfn.XLOOKUP(D18,RUC!$B$3:$B$123,RUC!$D$3:$D$123)</f>
        <v>20517242919</v>
      </c>
      <c r="G18" s="80">
        <v>52</v>
      </c>
      <c r="H18" t="s">
        <v>69</v>
      </c>
      <c r="I18" s="703">
        <v>4.74</v>
      </c>
      <c r="J18" s="596">
        <v>2.1</v>
      </c>
      <c r="K18" s="138">
        <f t="shared" si="0"/>
        <v>4.6399999999999997</v>
      </c>
      <c r="L18" s="139">
        <v>0.107</v>
      </c>
      <c r="M18" s="139">
        <v>0.105</v>
      </c>
      <c r="N18" s="159">
        <v>0.105</v>
      </c>
      <c r="O18" s="645">
        <f t="shared" si="1"/>
        <v>0.105</v>
      </c>
      <c r="P18" s="727">
        <v>85</v>
      </c>
      <c r="Q18" s="596">
        <v>94.39</v>
      </c>
      <c r="R18" s="706">
        <v>3339.9</v>
      </c>
      <c r="S18" s="802">
        <v>95</v>
      </c>
      <c r="U18" s="1091">
        <v>80</v>
      </c>
      <c r="V18" s="715">
        <v>1.1023000000000001</v>
      </c>
      <c r="Z18" s="1034">
        <v>10</v>
      </c>
      <c r="AA18" s="144">
        <f t="shared" si="2"/>
        <v>10</v>
      </c>
      <c r="AB18" s="145">
        <f>+((O18*P18*(R18-U18)/100)-S18-AA18+T18)*V18</f>
        <v>204.96835847250003</v>
      </c>
      <c r="AC18" s="145">
        <f>+(S18-T18)*V18-'data 1'!$F$4</f>
        <v>24.718500000000006</v>
      </c>
      <c r="AD18" s="145">
        <f t="shared" si="3"/>
        <v>36.103844941521004</v>
      </c>
      <c r="AE18" s="145">
        <f t="shared" si="4"/>
        <v>-58.977000000000004</v>
      </c>
      <c r="AF18" s="145">
        <f t="shared" si="5"/>
        <v>6.7835974322060073</v>
      </c>
      <c r="AG18" s="772">
        <f>+IF(D18="RONALD WILLIAN GARIBAY ESCUDERO",AC18+AD18+AE18+AF18+70,AC18+AD18+AE18+AF18)+70-53</f>
        <v>25.628942373727014</v>
      </c>
      <c r="AH18" s="146">
        <f t="shared" si="6"/>
        <v>16.06707472841051</v>
      </c>
      <c r="AI18" s="146">
        <f t="shared" si="7"/>
        <v>17.022009459063998</v>
      </c>
      <c r="AJ18" s="156">
        <f t="shared" si="8"/>
        <v>20.38439918594899</v>
      </c>
      <c r="AK18" s="156">
        <f t="shared" si="9"/>
        <v>14.198264899265999</v>
      </c>
      <c r="AL18" s="88"/>
      <c r="AM18" s="716">
        <f t="shared" si="10"/>
        <v>951.05318331240005</v>
      </c>
      <c r="AN18" s="716" t="str">
        <f>_xlfn.XLOOKUP(D18,RUC!$B$3:$B$578,RUC!$M$3:$M$578)</f>
        <v>Melchor Vera</v>
      </c>
      <c r="AO18" s="1167" t="s">
        <v>2281</v>
      </c>
      <c r="AS18" s="1212"/>
    </row>
    <row r="19" spans="1:45" ht="15" customHeight="1">
      <c r="A19" s="747" t="s">
        <v>2232</v>
      </c>
      <c r="B19" s="595">
        <v>45731</v>
      </c>
      <c r="C19" s="595">
        <v>45818</v>
      </c>
      <c r="D19" t="s">
        <v>1967</v>
      </c>
      <c r="E19">
        <f>_xlfn.XLOOKUP(D19,RUC!$B$3:$B$123,RUC!$D$3:$D$123)</f>
        <v>20601769396</v>
      </c>
      <c r="G19" s="80">
        <v>27</v>
      </c>
      <c r="H19" t="s">
        <v>108</v>
      </c>
      <c r="I19" s="703">
        <v>2</v>
      </c>
      <c r="J19" s="596">
        <v>10.5</v>
      </c>
      <c r="K19" s="138">
        <f t="shared" si="0"/>
        <v>1.79</v>
      </c>
      <c r="L19" s="139">
        <v>0.378</v>
      </c>
      <c r="M19" s="139">
        <v>0.35499999999999998</v>
      </c>
      <c r="N19" s="159">
        <v>0.35499999999999998</v>
      </c>
      <c r="O19" s="645">
        <f t="shared" si="1"/>
        <v>0.35499999999999998</v>
      </c>
      <c r="P19" s="727">
        <v>70</v>
      </c>
      <c r="Q19" s="596">
        <v>71.69</v>
      </c>
      <c r="R19" s="706">
        <v>3337.7</v>
      </c>
      <c r="S19" s="765">
        <f>IF((90+ROUNDDOWN(O19,1)*100)&lt;95,95,(90+ROUNDDOWN(O19,1)*100))</f>
        <v>120</v>
      </c>
      <c r="T19" s="1146"/>
      <c r="U19" s="1146">
        <f>_xlfn.XLOOKUP(D19,RUC!$B$3:$B$123,RUC!$F$3:$F$123)</f>
        <v>120</v>
      </c>
      <c r="V19" s="715">
        <v>1.1023000000000001</v>
      </c>
      <c r="Y19">
        <f>_xlfn.XLOOKUP(D19,RUC!$B$3:$B$123,RUC!$G$3:$G$123)</f>
        <v>20</v>
      </c>
      <c r="Z19" s="143">
        <f>IF(IF(D19="UNTUCA",IF(+((W19-3)*1.5+(X19-3)*3.1)&gt;0,+((W19-3)*1.5+(X19-3)*3.1),0),IF(+((W19-3)*1.5+(X19-3)*3.1)&gt;0,+((W19-3)*1.5+(X19-3)*3.1),0))&lt;30,30,IF(D19="UNTUCA",IF(+((W19-3)*1.5+(X19-3)*3.1)&gt;0,+((W19-3)*1.5+(X19-3)*3.1),0),IF(+((W19-3)*1.5+(X19-3)*3.1)&gt;0,+((W19-3)*1.5+(X19-3)*3.1),0)))</f>
        <v>30</v>
      </c>
      <c r="AA19" s="144">
        <f t="shared" si="2"/>
        <v>50</v>
      </c>
      <c r="AB19" s="145">
        <f>+((O19*P19*(R19-U19)/100)-S19-AA19+T19)*V19</f>
        <v>694.00637143499989</v>
      </c>
      <c r="AC19" s="145">
        <f>+(S19-T19)*V19-'data 1'!$F$4</f>
        <v>52.27600000000001</v>
      </c>
      <c r="AD19" s="145">
        <f t="shared" si="3"/>
        <v>22.658119469621969</v>
      </c>
      <c r="AE19" s="145">
        <f t="shared" si="4"/>
        <v>-14.884999999999998</v>
      </c>
      <c r="AF19" s="145">
        <f t="shared" si="5"/>
        <v>58.483287075977053</v>
      </c>
      <c r="AG19" s="772">
        <f>+IF(D19="RONALD WILLIAN GARIBAY ESCUDERO",AC19+AD19+AE19+AF19+70,AC19+AD19+AE19+AF19)+70-53</f>
        <v>135.53240654559903</v>
      </c>
      <c r="AH19" s="146">
        <f t="shared" si="6"/>
        <v>16.630774713208108</v>
      </c>
      <c r="AI19" s="146">
        <f t="shared" si="7"/>
        <v>23.198179262391001</v>
      </c>
      <c r="AJ19" s="156">
        <f t="shared" si="8"/>
        <v>67.299428981358048</v>
      </c>
      <c r="AK19" s="156">
        <f t="shared" si="9"/>
        <v>15.250654885460749</v>
      </c>
      <c r="AL19" s="88"/>
      <c r="AM19" s="716">
        <f t="shared" si="10"/>
        <v>1242.2714048686498</v>
      </c>
      <c r="AN19" s="716" t="str">
        <f>_xlfn.XLOOKUP(D19,RUC!$B$3:$B$578,RUC!$M$3:$M$578)</f>
        <v>Evelyn</v>
      </c>
      <c r="AO19" s="1167" t="s">
        <v>2278</v>
      </c>
      <c r="AS19" s="1212"/>
    </row>
    <row r="20" spans="1:45" ht="15" customHeight="1">
      <c r="A20" s="1149" t="s">
        <v>2242</v>
      </c>
      <c r="B20" s="595">
        <v>45825</v>
      </c>
      <c r="C20" s="595">
        <v>45820</v>
      </c>
      <c r="D20" t="s">
        <v>1484</v>
      </c>
      <c r="E20">
        <f>_xlfn.XLOOKUP(D20,RUC!$B$3:$B$123,RUC!$D$3:$D$123)</f>
        <v>10761932735</v>
      </c>
      <c r="G20" s="80">
        <v>81</v>
      </c>
      <c r="H20" t="s">
        <v>69</v>
      </c>
      <c r="I20" s="703">
        <v>6.49</v>
      </c>
      <c r="J20" s="596">
        <v>14.82</v>
      </c>
      <c r="K20" s="138">
        <f t="shared" si="0"/>
        <v>5.5279999999999996</v>
      </c>
      <c r="L20" s="139">
        <v>7.5999999999999998E-2</v>
      </c>
      <c r="M20" s="139">
        <v>6.0999999999999999E-2</v>
      </c>
      <c r="N20" s="598">
        <v>8.2000000000000003E-2</v>
      </c>
      <c r="O20" s="645">
        <f t="shared" si="1"/>
        <v>7.1999999999999995E-2</v>
      </c>
      <c r="P20" s="727">
        <v>80</v>
      </c>
      <c r="Q20" s="596">
        <v>94.4</v>
      </c>
      <c r="R20" s="706">
        <v>3391.4</v>
      </c>
      <c r="S20" s="765">
        <f>IF((90+ROUNDDOWN(O20,1)*100)&lt;95,95,(90+ROUNDDOWN(O20,1)*100))</f>
        <v>95</v>
      </c>
      <c r="T20" s="1146"/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3">
        <f>_xlfn.XLOOKUP(D20,RUC!$B$3:$B$123,RUC!$H$3:$H$123)</f>
        <v>30</v>
      </c>
      <c r="AA20" s="144">
        <f t="shared" si="2"/>
        <v>50</v>
      </c>
      <c r="AB20" s="145">
        <v>0.01</v>
      </c>
      <c r="AC20" s="145">
        <f>+(S20-T20)*V20-'data 1'!$F$4</f>
        <v>24.718500000000006</v>
      </c>
      <c r="AD20" s="145">
        <f t="shared" si="3"/>
        <v>39.464766823680016</v>
      </c>
      <c r="AE20" s="145">
        <f t="shared" si="4"/>
        <v>-14.884999999999998</v>
      </c>
      <c r="AF20" s="145">
        <f t="shared" si="5"/>
        <v>13.616498494720013</v>
      </c>
      <c r="AG20" s="772">
        <f>+IF(D20="RONALD WILLIAN GARIBAY ESCUDERO",AC20+AD20+AE20+AF20+70,AC20+AD20+AE20+AF20)+70-53+73.84</f>
        <v>153.75476531840005</v>
      </c>
      <c r="AH20" s="146">
        <f t="shared" si="6"/>
        <v>13.597613426072858</v>
      </c>
      <c r="AI20" s="146">
        <f t="shared" si="7"/>
        <v>14.404251510670397</v>
      </c>
      <c r="AJ20" s="156">
        <f t="shared" si="8"/>
        <v>13.570713361919992</v>
      </c>
      <c r="AK20" s="156">
        <f t="shared" si="9"/>
        <v>10.916906408087039</v>
      </c>
      <c r="AL20" s="88"/>
      <c r="AM20" s="716">
        <f t="shared" si="10"/>
        <v>5.5279999999999996E-2</v>
      </c>
      <c r="AN20" s="716" t="str">
        <f>_xlfn.XLOOKUP(D20,RUC!$B$3:$B$578,RUC!$M$3:$M$578)</f>
        <v>Richard Sapacayo</v>
      </c>
      <c r="AO20" s="1167" t="s">
        <v>2281</v>
      </c>
      <c r="AS20" s="1212"/>
    </row>
    <row r="21" spans="1:45" ht="15" customHeight="1">
      <c r="A21" s="877" t="s">
        <v>2245</v>
      </c>
      <c r="B21" s="595"/>
      <c r="C21" s="595">
        <v>45823</v>
      </c>
      <c r="D21" t="s">
        <v>1484</v>
      </c>
      <c r="E21">
        <f>_xlfn.XLOOKUP(D21,RUC!$B$3:$B$123,RUC!$D$3:$D$123)</f>
        <v>10761932735</v>
      </c>
      <c r="G21" s="80"/>
      <c r="I21" s="703"/>
      <c r="J21" s="596"/>
      <c r="K21" s="138"/>
      <c r="L21" s="139"/>
      <c r="M21" s="139"/>
      <c r="N21" s="159"/>
      <c r="O21" s="645"/>
      <c r="P21" s="727"/>
      <c r="Q21" s="596"/>
      <c r="R21" s="706"/>
      <c r="S21" s="765"/>
      <c r="T21" s="1146"/>
      <c r="U21" s="1146"/>
      <c r="V21" s="715"/>
      <c r="Z21" s="143"/>
      <c r="AA21" s="144"/>
      <c r="AB21" s="145"/>
      <c r="AC21" s="145"/>
      <c r="AD21" s="145"/>
      <c r="AE21" s="145"/>
      <c r="AF21" s="145"/>
      <c r="AG21" s="772"/>
      <c r="AH21" s="146"/>
      <c r="AI21" s="146"/>
      <c r="AJ21" s="156"/>
      <c r="AK21" s="156"/>
      <c r="AL21" s="88"/>
      <c r="AM21" s="716"/>
      <c r="AN21" s="716"/>
      <c r="AO21" s="1167"/>
      <c r="AS21" s="1212"/>
    </row>
    <row r="22" spans="1:45" ht="15" customHeight="1">
      <c r="A22" s="747" t="s">
        <v>2269</v>
      </c>
      <c r="B22" s="595">
        <v>45835</v>
      </c>
      <c r="C22" s="595">
        <v>45828</v>
      </c>
      <c r="D22" t="s">
        <v>1967</v>
      </c>
      <c r="E22">
        <f>_xlfn.XLOOKUP(D22,RUC!$B$3:$B$123,RUC!$D$3:$D$123)</f>
        <v>20601769396</v>
      </c>
      <c r="G22" s="80">
        <v>43</v>
      </c>
      <c r="H22" t="s">
        <v>108</v>
      </c>
      <c r="I22" s="703">
        <v>3.93</v>
      </c>
      <c r="J22" s="596">
        <v>7.3</v>
      </c>
      <c r="K22" s="138">
        <f t="shared" si="0"/>
        <v>3.6429999999999998</v>
      </c>
      <c r="L22" s="139">
        <v>0.125</v>
      </c>
      <c r="M22" s="139">
        <v>0.11</v>
      </c>
      <c r="N22" s="159">
        <v>0.11</v>
      </c>
      <c r="O22" s="645">
        <f t="shared" ref="O22:O78" si="11">+ROUND((M22+N22)/2,3)</f>
        <v>0.11</v>
      </c>
      <c r="P22" s="727">
        <v>80</v>
      </c>
      <c r="Q22" s="596">
        <v>82.4</v>
      </c>
      <c r="R22" s="706">
        <v>3368.25</v>
      </c>
      <c r="S22" s="765">
        <f>IF((90+ROUNDDOWN(O22,1)*100)&lt;95,95,(90+ROUNDDOWN(O22,1)*100))</f>
        <v>100</v>
      </c>
      <c r="T22" s="1146"/>
      <c r="U22" s="1146">
        <f>_xlfn.XLOOKUP(D22,RUC!$B$3:$B$123,RUC!$F$3:$F$123)</f>
        <v>120</v>
      </c>
      <c r="V22" s="715">
        <v>1.1023000000000001</v>
      </c>
      <c r="Y22">
        <f>_xlfn.XLOOKUP(D22,RUC!$B$3:$B$123,RUC!$G$3:$G$123)</f>
        <v>20</v>
      </c>
      <c r="Z22" s="143">
        <f>_xlfn.XLOOKUP(D22,RUC!$B$3:$B$123,RUC!$H$3:$H$123)</f>
        <v>30</v>
      </c>
      <c r="AA22" s="144">
        <f t="shared" ref="AA22:AA78" si="12">+Y22+Z22</f>
        <v>50</v>
      </c>
      <c r="AB22" s="145">
        <f>+((O22*P22*(R22-U22)/100)-S22-AA22+T22)*V22</f>
        <v>149.7430458</v>
      </c>
      <c r="AC22" s="145">
        <f>+(S22-T22)*V22-'data 1'!$F$4</f>
        <v>30.230000000000004</v>
      </c>
      <c r="AD22" s="145">
        <f t="shared" ref="AD22:AD78" si="13">+(Q22-P22)*(R22-U22)*L22*V22/100</f>
        <v>10.741637925000026</v>
      </c>
      <c r="AE22" s="145">
        <f t="shared" ref="AE22:AE78" si="14">+(Y22*V22-70)+V22*(Z22-IF(D22="UNTUCA",IF(+((W22-3)*2.5+(X22-3)*3.1)&gt;0,+((W22-3)*1.5+(X22-3)*3.1),0),IF(+((W22-3)*1.5+(X22-3)*3.1)&gt;0,+((W22-3)*1.5+(X22-3)*3.1),0)))</f>
        <v>-14.884999999999998</v>
      </c>
      <c r="AF22" s="145">
        <f t="shared" ref="AF22:AF78" si="15">(L22-O22)*(R22-U22)*Q22*V22/100</f>
        <v>44.255548251</v>
      </c>
      <c r="AG22" s="772">
        <f>+IF(D22="RONALD WILLIAN GARIBAY ESCUDERO",AC22+AD22+AE22+AF22+70,AC22+AD22+AE22+AF22)+70-53</f>
        <v>87.342186176000041</v>
      </c>
      <c r="AH22" s="146">
        <f t="shared" ref="AH22:AH78" si="16">31.1035*L22*Q22*1.1023*K22/100</f>
        <v>12.864871872613451</v>
      </c>
      <c r="AI22" s="146">
        <f t="shared" ref="AI22:AI78" si="17">(31.1035*L22*1.1023*K22)</f>
        <v>15.61270858326875</v>
      </c>
      <c r="AJ22" s="156">
        <f t="shared" ref="AJ22:AJ78" si="18">+((+$AJ$2-R22+U22)*L22*Q22*V22)/100</f>
        <v>22.111311275000002</v>
      </c>
      <c r="AK22" s="156">
        <f t="shared" ref="AK22:AK78" si="19">31.1035*1.1023*K22*P22*O22/100</f>
        <v>10.9913468426212</v>
      </c>
      <c r="AL22" s="88"/>
      <c r="AM22" s="716">
        <f t="shared" ref="AM22:AM78" si="20">+IF(AB22*K22&gt;0,AB22*K22,0)</f>
        <v>545.51391584939995</v>
      </c>
      <c r="AN22" s="716" t="str">
        <f>_xlfn.XLOOKUP(D22,RUC!$B$3:$B$578,RUC!$M$3:$M$578)</f>
        <v>Evelyn</v>
      </c>
      <c r="AO22" s="1167" t="s">
        <v>2280</v>
      </c>
      <c r="AS22" s="1212"/>
    </row>
    <row r="23" spans="1:45" ht="15" customHeight="1">
      <c r="A23" s="747" t="s">
        <v>2270</v>
      </c>
      <c r="B23" s="595">
        <v>45835</v>
      </c>
      <c r="C23" s="595">
        <v>45828</v>
      </c>
      <c r="D23" t="s">
        <v>1967</v>
      </c>
      <c r="E23">
        <f>_xlfn.XLOOKUP(D23,RUC!$B$3:$B$123,RUC!$D$3:$D$123)</f>
        <v>20601769396</v>
      </c>
      <c r="G23" s="80">
        <v>43</v>
      </c>
      <c r="H23" t="s">
        <v>108</v>
      </c>
      <c r="I23" s="703">
        <v>3.94</v>
      </c>
      <c r="J23" s="596">
        <v>6.2</v>
      </c>
      <c r="K23" s="138">
        <f t="shared" si="0"/>
        <v>3.6960000000000002</v>
      </c>
      <c r="L23" s="139">
        <v>0.125</v>
      </c>
      <c r="M23" s="139">
        <v>0.109</v>
      </c>
      <c r="N23" s="159">
        <v>0.109</v>
      </c>
      <c r="O23" s="645">
        <f t="shared" si="11"/>
        <v>0.109</v>
      </c>
      <c r="P23" s="727">
        <v>80</v>
      </c>
      <c r="Q23" s="596">
        <v>93.6</v>
      </c>
      <c r="R23" s="706">
        <v>3368.25</v>
      </c>
      <c r="S23" s="765">
        <f>IF((90+ROUNDDOWN(O23,1)*100)&lt;95,95,(90+ROUNDDOWN(O23,1)*100))</f>
        <v>100</v>
      </c>
      <c r="T23" s="1146"/>
      <c r="U23" s="1146">
        <f>_xlfn.XLOOKUP(D23,RUC!$B$3:$B$123,RUC!$F$3:$F$123)</f>
        <v>120</v>
      </c>
      <c r="V23" s="715">
        <v>1.1023000000000001</v>
      </c>
      <c r="Y23">
        <f>_xlfn.XLOOKUP(D23,RUC!$B$3:$B$123,RUC!$G$3:$G$123)</f>
        <v>20</v>
      </c>
      <c r="Z23" s="143">
        <f>_xlfn.XLOOKUP(D23,RUC!$B$3:$B$123,RUC!$H$3:$H$123)</f>
        <v>30</v>
      </c>
      <c r="AA23" s="144">
        <f t="shared" si="12"/>
        <v>50</v>
      </c>
      <c r="AB23" s="145">
        <f>+((O23*P23*(R23-U23)/100)-S23-AA23+T23)*V23</f>
        <v>146.87860902000003</v>
      </c>
      <c r="AC23" s="145">
        <f>+(S23-T23)*V23-'data 1'!$F$4</f>
        <v>30.230000000000004</v>
      </c>
      <c r="AD23" s="145">
        <f t="shared" si="13"/>
        <v>60.869281574999974</v>
      </c>
      <c r="AE23" s="145">
        <f t="shared" si="14"/>
        <v>-14.884999999999998</v>
      </c>
      <c r="AF23" s="145">
        <f t="shared" si="15"/>
        <v>53.622256521600001</v>
      </c>
      <c r="AG23" s="772">
        <f>+IF(D23="RONALD WILLIAN GARIBAY ESCUDERO",AC23+AD23+AE23+AF23+70,AC23+AD23+AE23+AF23)+70-53</f>
        <v>146.83653809659998</v>
      </c>
      <c r="AH23" s="146">
        <f t="shared" si="16"/>
        <v>14.8260989252376</v>
      </c>
      <c r="AI23" s="146">
        <f t="shared" si="17"/>
        <v>15.839849279100001</v>
      </c>
      <c r="AJ23" s="156">
        <f t="shared" si="18"/>
        <v>25.116732225</v>
      </c>
      <c r="AK23" s="156">
        <f t="shared" si="19"/>
        <v>11.049878857100161</v>
      </c>
      <c r="AL23" s="88"/>
      <c r="AM23" s="716">
        <f t="shared" si="20"/>
        <v>542.86333893792016</v>
      </c>
      <c r="AN23" s="716" t="str">
        <f>_xlfn.XLOOKUP(D23,RUC!$B$3:$B$578,RUC!$M$3:$M$578)</f>
        <v>Evelyn</v>
      </c>
      <c r="AO23" s="1167" t="s">
        <v>2281</v>
      </c>
      <c r="AS23" s="1212"/>
    </row>
    <row r="24" spans="1:45" ht="15" customHeight="1">
      <c r="A24" s="747" t="s">
        <v>2329</v>
      </c>
      <c r="B24" s="595">
        <v>45864</v>
      </c>
      <c r="C24" s="595">
        <v>45854</v>
      </c>
      <c r="D24" t="s">
        <v>93</v>
      </c>
      <c r="E24">
        <f>_xlfn.XLOOKUP(D24,RUC!$B$3:$B$123,RUC!$D$3:$D$123)</f>
        <v>20169040231</v>
      </c>
      <c r="G24" s="80">
        <v>100</v>
      </c>
      <c r="H24" t="s">
        <v>69</v>
      </c>
      <c r="I24" s="703">
        <v>9.91</v>
      </c>
      <c r="J24" s="596">
        <v>1.1499999999999999</v>
      </c>
      <c r="K24" s="138">
        <f t="shared" si="0"/>
        <v>9.7959999999999994</v>
      </c>
      <c r="L24" s="139">
        <v>0.434</v>
      </c>
      <c r="M24" s="139">
        <v>0.40799999999999997</v>
      </c>
      <c r="N24" s="159">
        <v>0.40799999999999997</v>
      </c>
      <c r="O24" s="645">
        <f t="shared" si="11"/>
        <v>0.40799999999999997</v>
      </c>
      <c r="P24" s="727">
        <v>84</v>
      </c>
      <c r="Q24" s="596">
        <v>84.56</v>
      </c>
      <c r="R24" s="1185">
        <v>3323.8</v>
      </c>
      <c r="S24" s="765">
        <f>IF((90+ROUNDDOWN(O24,1)*100)&lt;95,95,(85+ROUNDDOWN(O24,1)*100))</f>
        <v>125</v>
      </c>
      <c r="U24" s="1146">
        <f>_xlfn.XLOOKUP(D24,RUC!$B$3:$B$123,RUC!$F$3:$F$123)</f>
        <v>120</v>
      </c>
      <c r="V24" s="715">
        <v>1.1023000000000001</v>
      </c>
      <c r="Y24">
        <f>_xlfn.XLOOKUP(D24,RUC!$B$3:$B$123,RUC!$G$3:$G$123)</f>
        <v>20</v>
      </c>
      <c r="Z24" s="143">
        <f>_xlfn.XLOOKUP(D24,RUC!$B$3:$B$123,RUC!$H$3:$H$123)</f>
        <v>30</v>
      </c>
      <c r="AA24" s="144">
        <f t="shared" si="12"/>
        <v>50</v>
      </c>
      <c r="AB24" s="145">
        <f t="shared" ref="AB24:AB81" si="21">+((O24*P24*(R24-U24)/100)-S24-AA24+T24)*V24</f>
        <v>1017.4298841727999</v>
      </c>
      <c r="AC24" s="145">
        <f>+(S24-T24)*V24-'data 1'!$F$4</f>
        <v>57.787499999999994</v>
      </c>
      <c r="AD24" s="145">
        <f t="shared" si="13"/>
        <v>8.5830760576960365</v>
      </c>
      <c r="AE24" s="145">
        <f t="shared" si="14"/>
        <v>-14.884999999999998</v>
      </c>
      <c r="AF24" s="145">
        <f t="shared" si="15"/>
        <v>77.643217978144079</v>
      </c>
      <c r="AG24" s="772">
        <f>AC24+AD24+AE24+AF24+70-53</f>
        <v>146.12879403584012</v>
      </c>
      <c r="AH24" s="146">
        <f t="shared" si="16"/>
        <v>123.25727145822376</v>
      </c>
      <c r="AI24" s="146">
        <f t="shared" si="17"/>
        <v>145.7630930206052</v>
      </c>
      <c r="AJ24" s="156">
        <f t="shared" si="18"/>
        <v>96.764417486463941</v>
      </c>
      <c r="AK24" s="156">
        <f t="shared" si="19"/>
        <v>115.10582313369081</v>
      </c>
      <c r="AL24" s="88"/>
      <c r="AM24" s="716">
        <f t="shared" si="20"/>
        <v>9966.7431453567478</v>
      </c>
      <c r="AN24" s="716" t="str">
        <f>_xlfn.XLOOKUP(D24,RUC!$B$3:$B$578,RUC!$M$3:$M$578)</f>
        <v>Ronald Miranda</v>
      </c>
      <c r="AO24" s="1167" t="s">
        <v>2280</v>
      </c>
      <c r="AP24" t="s">
        <v>2369</v>
      </c>
      <c r="AQ24" s="1190" t="s">
        <v>2376</v>
      </c>
      <c r="AS24" s="1212"/>
    </row>
    <row r="25" spans="1:45" ht="15" customHeight="1">
      <c r="A25" s="747" t="s">
        <v>2330</v>
      </c>
      <c r="B25" s="595">
        <v>45864</v>
      </c>
      <c r="C25" s="595">
        <v>45854</v>
      </c>
      <c r="D25" t="s">
        <v>93</v>
      </c>
      <c r="E25">
        <f>_xlfn.XLOOKUP(D25,RUC!$B$3:$B$123,RUC!$D$3:$D$123)</f>
        <v>20169040231</v>
      </c>
      <c r="G25" s="80">
        <v>100</v>
      </c>
      <c r="H25" t="s">
        <v>69</v>
      </c>
      <c r="I25" s="703">
        <v>9.9700000000000006</v>
      </c>
      <c r="J25" s="596">
        <v>1.05</v>
      </c>
      <c r="K25" s="138">
        <f t="shared" si="0"/>
        <v>9.8650000000000002</v>
      </c>
      <c r="L25" s="139">
        <v>0.45200000000000001</v>
      </c>
      <c r="M25" s="139">
        <v>0.42499999999999999</v>
      </c>
      <c r="N25" s="159">
        <v>0.42499999999999999</v>
      </c>
      <c r="O25" s="645">
        <f t="shared" si="11"/>
        <v>0.42499999999999999</v>
      </c>
      <c r="P25" s="727">
        <v>82</v>
      </c>
      <c r="Q25" s="596">
        <v>82.52</v>
      </c>
      <c r="R25" s="1185">
        <v>3323.8</v>
      </c>
      <c r="S25" s="765">
        <f>IF((90+ROUNDDOWN(O25,1)*100)&lt;95,95,(85+ROUNDDOWN(O25,1)*100))</f>
        <v>125</v>
      </c>
      <c r="U25" s="1146">
        <f>_xlfn.XLOOKUP(D25,RUC!$B$3:$B$123,RUC!$F$3:$F$123)</f>
        <v>120</v>
      </c>
      <c r="V25" s="715">
        <v>1.1023000000000001</v>
      </c>
      <c r="Y25">
        <f>_xlfn.XLOOKUP(D25,RUC!$B$3:$B$123,RUC!$G$3:$G$123)</f>
        <v>20</v>
      </c>
      <c r="Z25" s="143">
        <f>_xlfn.XLOOKUP(D25,RUC!$B$3:$B$123,RUC!$H$3:$H$123)</f>
        <v>30</v>
      </c>
      <c r="AA25" s="144">
        <f t="shared" si="12"/>
        <v>50</v>
      </c>
      <c r="AB25" s="145">
        <f t="shared" si="21"/>
        <v>1037.8422358900002</v>
      </c>
      <c r="AC25" s="145">
        <f>+(S25-T25)*V25-'data 1'!$F$4</f>
        <v>57.787499999999994</v>
      </c>
      <c r="AD25" s="145">
        <f t="shared" si="13"/>
        <v>8.3005521584959379</v>
      </c>
      <c r="AE25" s="145">
        <f t="shared" si="14"/>
        <v>-14.884999999999998</v>
      </c>
      <c r="AF25" s="145">
        <f t="shared" si="15"/>
        <v>78.68431854669609</v>
      </c>
      <c r="AG25" s="772">
        <f>AC25+AD25+AE25+AF25+70-53</f>
        <v>146.88737070519201</v>
      </c>
      <c r="AH25" s="146">
        <f t="shared" si="16"/>
        <v>126.15480974785238</v>
      </c>
      <c r="AI25" s="146">
        <f t="shared" si="17"/>
        <v>152.87785960718901</v>
      </c>
      <c r="AJ25" s="156">
        <f t="shared" si="18"/>
        <v>98.346438446463949</v>
      </c>
      <c r="AK25" s="156">
        <f t="shared" si="19"/>
        <v>117.87153555996764</v>
      </c>
      <c r="AL25" s="88"/>
      <c r="AM25" s="716">
        <f t="shared" si="20"/>
        <v>10238.313657054852</v>
      </c>
      <c r="AN25" s="716" t="str">
        <f>_xlfn.XLOOKUP(D25,RUC!$B$3:$B$578,RUC!$M$3:$M$578)</f>
        <v>Ronald Miranda</v>
      </c>
      <c r="AO25" s="1167" t="s">
        <v>2280</v>
      </c>
      <c r="AP25" t="s">
        <v>2369</v>
      </c>
      <c r="AQ25" s="1190" t="s">
        <v>2376</v>
      </c>
      <c r="AS25" s="1212"/>
    </row>
    <row r="26" spans="1:45" ht="15" customHeight="1">
      <c r="A26" s="747" t="s">
        <v>2341</v>
      </c>
      <c r="B26" s="595">
        <v>45859</v>
      </c>
      <c r="C26" s="595">
        <v>45854</v>
      </c>
      <c r="D26" t="s">
        <v>1671</v>
      </c>
      <c r="E26">
        <f>_xlfn.XLOOKUP(D26,RUC!$B$3:$B$123,RUC!$D$3:$D$123)</f>
        <v>20517242919</v>
      </c>
      <c r="G26" s="80">
        <v>35</v>
      </c>
      <c r="H26" t="s">
        <v>69</v>
      </c>
      <c r="I26" s="703">
        <v>3.24</v>
      </c>
      <c r="J26" s="596">
        <v>1.05</v>
      </c>
      <c r="K26" s="138">
        <f t="shared" si="0"/>
        <v>3.206</v>
      </c>
      <c r="L26" s="139">
        <v>9.7000000000000003E-2</v>
      </c>
      <c r="M26" s="139">
        <v>0.09</v>
      </c>
      <c r="N26" s="598">
        <v>0.114</v>
      </c>
      <c r="O26" s="645">
        <f t="shared" si="11"/>
        <v>0.10199999999999999</v>
      </c>
      <c r="P26" s="727">
        <v>85</v>
      </c>
      <c r="Q26" s="596">
        <v>91.75</v>
      </c>
      <c r="R26" s="1185">
        <v>3323.8</v>
      </c>
      <c r="S26" s="1164">
        <f>IF((90+ROUNDDOWN(O26,1)*100)&lt;95,95,(90+ROUNDDOWN(O26,1)*100))</f>
        <v>100</v>
      </c>
      <c r="U26" s="1146">
        <f>_xlfn.XLOOKUP(D26,RUC!$B$3:$B$123,RUC!$F$3:$F$123)</f>
        <v>80</v>
      </c>
      <c r="V26" s="715">
        <v>1.1023000000000001</v>
      </c>
      <c r="Y26">
        <f>_xlfn.XLOOKUP(D26,RUC!$B$3:$B$123,RUC!$G$3:$G$123)</f>
        <v>0</v>
      </c>
      <c r="Z26" s="143">
        <f>_xlfn.XLOOKUP(D26,RUC!$B$3:$B$123,RUC!$H$3:$H$123)</f>
        <v>10</v>
      </c>
      <c r="AA26" s="144">
        <f t="shared" si="12"/>
        <v>10</v>
      </c>
      <c r="AB26" s="145">
        <f t="shared" si="21"/>
        <v>188.75505215800007</v>
      </c>
      <c r="AC26" s="145">
        <f>+(S26-T26)*V26-'data 1'!$F$4</f>
        <v>30.230000000000004</v>
      </c>
      <c r="AD26" s="145">
        <f t="shared" si="13"/>
        <v>23.411507745150001</v>
      </c>
      <c r="AE26" s="145">
        <f t="shared" si="14"/>
        <v>-58.977000000000004</v>
      </c>
      <c r="AF26" s="145">
        <f t="shared" si="15"/>
        <v>-16.403251894749971</v>
      </c>
      <c r="AG26" s="772">
        <f>AC26+AD26+AE26+AF26+70</f>
        <v>48.261255850400033</v>
      </c>
      <c r="AH26" s="146">
        <f t="shared" si="16"/>
        <v>9.7825121164734785</v>
      </c>
      <c r="AI26" s="146">
        <f t="shared" si="17"/>
        <v>10.662138546565101</v>
      </c>
      <c r="AJ26" s="156">
        <f t="shared" si="18"/>
        <v>19.541907294599984</v>
      </c>
      <c r="AK26" s="156">
        <f t="shared" si="19"/>
        <v>9.5299733194556104</v>
      </c>
      <c r="AL26" s="88"/>
      <c r="AM26" s="716">
        <f t="shared" si="20"/>
        <v>605.14869721854825</v>
      </c>
      <c r="AN26" s="716" t="str">
        <f>_xlfn.XLOOKUP(D26,RUC!$B$3:$B$578,RUC!$M$3:$M$578)</f>
        <v>Melchor Vera</v>
      </c>
      <c r="AO26" s="1167" t="s">
        <v>2279</v>
      </c>
      <c r="AP26" s="1190" t="s">
        <v>2373</v>
      </c>
      <c r="AQ26" s="1190" t="s">
        <v>2377</v>
      </c>
      <c r="AS26" s="1212"/>
    </row>
    <row r="27" spans="1:45" ht="15" customHeight="1">
      <c r="A27" s="747" t="s">
        <v>2344</v>
      </c>
      <c r="B27" s="595">
        <v>45861</v>
      </c>
      <c r="C27" s="595">
        <v>45855</v>
      </c>
      <c r="D27" t="s">
        <v>93</v>
      </c>
      <c r="E27">
        <f>_xlfn.XLOOKUP(D27,RUC!$B$3:$B$123,RUC!$D$3:$D$123)</f>
        <v>20169040231</v>
      </c>
      <c r="G27" s="80">
        <v>14</v>
      </c>
      <c r="H27" t="s">
        <v>69</v>
      </c>
      <c r="I27" s="703">
        <v>1.23</v>
      </c>
      <c r="J27" s="596">
        <v>1.1499999999999999</v>
      </c>
      <c r="K27" s="138">
        <f t="shared" si="0"/>
        <v>1.216</v>
      </c>
      <c r="L27" s="139">
        <v>0.255</v>
      </c>
      <c r="M27" s="139">
        <v>0.23699999999999999</v>
      </c>
      <c r="N27" s="159">
        <v>0.23699999999999999</v>
      </c>
      <c r="O27" s="645">
        <f t="shared" si="11"/>
        <v>0.23699999999999999</v>
      </c>
      <c r="P27" s="727">
        <v>85</v>
      </c>
      <c r="Q27" s="596">
        <v>85.1</v>
      </c>
      <c r="R27" s="1185">
        <v>3318.5</v>
      </c>
      <c r="S27" s="765">
        <f>IF((90+ROUNDDOWN(O27,1)*100)&lt;95,95,(85+ROUNDDOWN(O27,1)*100))</f>
        <v>105</v>
      </c>
      <c r="U27" s="1146">
        <f>_xlfn.XLOOKUP(D27,RUC!$B$3:$B$123,RUC!$F$3:$F$123)</f>
        <v>120</v>
      </c>
      <c r="V27" s="715">
        <v>1.1023000000000001</v>
      </c>
      <c r="Y27">
        <f>_xlfn.XLOOKUP(D27,RUC!$B$3:$B$123,RUC!$G$3:$G$123)</f>
        <v>20</v>
      </c>
      <c r="Z27" s="143">
        <f>_xlfn.XLOOKUP(D27,RUC!$B$3:$B$123,RUC!$H$3:$H$123)</f>
        <v>30</v>
      </c>
      <c r="AA27" s="144">
        <f t="shared" si="12"/>
        <v>50</v>
      </c>
      <c r="AB27" s="145">
        <f t="shared" si="21"/>
        <v>539.39708449750015</v>
      </c>
      <c r="AC27" s="145">
        <f>+(S27-T27)*V27-'data 1'!$F$4</f>
        <v>35.741500000000002</v>
      </c>
      <c r="AD27" s="145">
        <f t="shared" si="13"/>
        <v>0.89905517024994908</v>
      </c>
      <c r="AE27" s="145">
        <f t="shared" si="14"/>
        <v>-14.884999999999998</v>
      </c>
      <c r="AF27" s="145">
        <f t="shared" si="15"/>
        <v>54.006772932900049</v>
      </c>
      <c r="AG27" s="772">
        <f t="shared" ref="AG27:AG54" si="22">AC27+AD27+AE27+AF27+70-53</f>
        <v>92.762328103149997</v>
      </c>
      <c r="AH27" s="146">
        <f t="shared" si="16"/>
        <v>9.0471623706889446</v>
      </c>
      <c r="AI27" s="146">
        <f t="shared" si="17"/>
        <v>10.631213126544001</v>
      </c>
      <c r="AJ27" s="156">
        <f t="shared" si="18"/>
        <v>58.485527511750007</v>
      </c>
      <c r="AK27" s="156">
        <f t="shared" si="19"/>
        <v>8.398658369969759</v>
      </c>
      <c r="AL27" s="88"/>
      <c r="AM27" s="716">
        <f t="shared" si="20"/>
        <v>655.9068547489602</v>
      </c>
      <c r="AN27" s="716" t="str">
        <f>_xlfn.XLOOKUP(D27,RUC!$B$3:$B$578,RUC!$M$3:$M$578)</f>
        <v>Ronald Miranda</v>
      </c>
      <c r="AO27" s="1167" t="s">
        <v>2280</v>
      </c>
      <c r="AP27" t="s">
        <v>2370</v>
      </c>
      <c r="AQ27" s="1190" t="s">
        <v>2378</v>
      </c>
      <c r="AS27" s="1212"/>
    </row>
    <row r="28" spans="1:45" ht="15" customHeight="1">
      <c r="A28" s="747" t="s">
        <v>2347</v>
      </c>
      <c r="B28" s="595">
        <v>45863</v>
      </c>
      <c r="C28" s="595">
        <v>45855</v>
      </c>
      <c r="D28" t="s">
        <v>93</v>
      </c>
      <c r="E28">
        <f>_xlfn.XLOOKUP(D28,RUC!$B$3:$B$123,RUC!$D$3:$D$123)</f>
        <v>20169040231</v>
      </c>
      <c r="G28" s="80">
        <v>25</v>
      </c>
      <c r="H28" t="s">
        <v>69</v>
      </c>
      <c r="I28" s="703">
        <v>2.41</v>
      </c>
      <c r="J28" s="596">
        <v>1.1499999999999999</v>
      </c>
      <c r="K28" s="138">
        <f t="shared" si="0"/>
        <v>2.3820000000000001</v>
      </c>
      <c r="L28" s="139">
        <v>0.378</v>
      </c>
      <c r="M28" s="139">
        <v>0.35499999999999998</v>
      </c>
      <c r="N28" s="598">
        <v>0.40100000000000002</v>
      </c>
      <c r="O28" s="645">
        <f t="shared" si="11"/>
        <v>0.378</v>
      </c>
      <c r="P28" s="727">
        <v>84</v>
      </c>
      <c r="Q28" s="596">
        <v>84.93</v>
      </c>
      <c r="R28" s="1185">
        <v>3318.5</v>
      </c>
      <c r="S28" s="765">
        <f>IF((90+ROUNDDOWN(O28,1)*100)&lt;95,95,(85+ROUNDDOWN(O28,1)*100))</f>
        <v>115</v>
      </c>
      <c r="U28" s="1146">
        <f>_xlfn.XLOOKUP(D28,RUC!$B$3:$B$123,RUC!$F$3:$F$123)</f>
        <v>120</v>
      </c>
      <c r="V28" s="715">
        <v>1.1023000000000001</v>
      </c>
      <c r="Y28">
        <f>_xlfn.XLOOKUP(D28,RUC!$B$3:$B$123,RUC!$G$3:$G$123)</f>
        <v>20</v>
      </c>
      <c r="Z28" s="143">
        <f>_xlfn.XLOOKUP(D28,RUC!$B$3:$B$123,RUC!$H$3:$H$123)</f>
        <v>30</v>
      </c>
      <c r="AA28" s="144">
        <f t="shared" si="12"/>
        <v>50</v>
      </c>
      <c r="AB28" s="145">
        <f t="shared" si="21"/>
        <v>937.60284375600008</v>
      </c>
      <c r="AC28" s="145">
        <f>+(S28-T28)*V28-'data 1'!$F$4</f>
        <v>46.764500000000012</v>
      </c>
      <c r="AD28" s="145">
        <f t="shared" si="13"/>
        <v>12.394268805870093</v>
      </c>
      <c r="AE28" s="145">
        <f t="shared" si="14"/>
        <v>-14.884999999999998</v>
      </c>
      <c r="AF28" s="145">
        <f t="shared" si="15"/>
        <v>0</v>
      </c>
      <c r="AG28" s="772">
        <f t="shared" si="22"/>
        <v>61.273768805870105</v>
      </c>
      <c r="AH28" s="146">
        <f t="shared" si="16"/>
        <v>26.218253021486568</v>
      </c>
      <c r="AI28" s="146">
        <f t="shared" si="17"/>
        <v>30.870426258667806</v>
      </c>
      <c r="AJ28" s="156">
        <f t="shared" si="18"/>
        <v>86.523005087190015</v>
      </c>
      <c r="AK28" s="156">
        <f t="shared" si="19"/>
        <v>25.931158057280953</v>
      </c>
      <c r="AL28" s="88"/>
      <c r="AM28" s="716">
        <f t="shared" si="20"/>
        <v>2233.3699738267924</v>
      </c>
      <c r="AN28" s="716" t="str">
        <f>_xlfn.XLOOKUP(D28,RUC!$B$3:$B$578,RUC!$M$3:$M$578)</f>
        <v>Ronald Miranda</v>
      </c>
      <c r="AO28" s="1167" t="s">
        <v>2280</v>
      </c>
      <c r="AP28" t="s">
        <v>2370</v>
      </c>
      <c r="AQ28" s="1190" t="s">
        <v>2378</v>
      </c>
      <c r="AS28" s="1212"/>
    </row>
    <row r="29" spans="1:45" ht="15" customHeight="1">
      <c r="A29" s="747" t="s">
        <v>2348</v>
      </c>
      <c r="B29" s="595">
        <v>45861</v>
      </c>
      <c r="C29" s="595">
        <v>45855</v>
      </c>
      <c r="D29" t="s">
        <v>93</v>
      </c>
      <c r="E29">
        <f>_xlfn.XLOOKUP(D29,RUC!$B$3:$B$123,RUC!$D$3:$D$123)</f>
        <v>20169040231</v>
      </c>
      <c r="G29" s="80">
        <v>13</v>
      </c>
      <c r="H29" t="s">
        <v>108</v>
      </c>
      <c r="I29" s="703">
        <v>1.27</v>
      </c>
      <c r="J29" s="596">
        <v>23.5</v>
      </c>
      <c r="K29" s="138">
        <f t="shared" si="0"/>
        <v>0.97199999999999998</v>
      </c>
      <c r="L29" s="139">
        <v>0.751</v>
      </c>
      <c r="M29" s="139">
        <v>0.69099999999999995</v>
      </c>
      <c r="N29" s="159">
        <v>0.69099999999999995</v>
      </c>
      <c r="O29" s="645">
        <f t="shared" si="11"/>
        <v>0.69099999999999995</v>
      </c>
      <c r="P29" s="727">
        <v>85</v>
      </c>
      <c r="Q29" s="596">
        <v>85.22</v>
      </c>
      <c r="R29" s="1185">
        <v>3318.5</v>
      </c>
      <c r="S29" s="765">
        <f>IF((90+ROUNDDOWN(O29,1)*100)&lt;95,95,(85+ROUNDDOWN(O29,1)*100))</f>
        <v>145</v>
      </c>
      <c r="U29" s="1146">
        <f>_xlfn.XLOOKUP(D29,RUC!$B$3:$B$123,RUC!$F$3:$F$123)</f>
        <v>120</v>
      </c>
      <c r="V29" s="715">
        <v>1.1023000000000001</v>
      </c>
      <c r="Y29">
        <f>_xlfn.XLOOKUP(D29,RUC!$B$3:$B$123,RUC!$G$3:$G$123)</f>
        <v>20</v>
      </c>
      <c r="Z29" s="143">
        <f>_xlfn.XLOOKUP(D29,RUC!$B$3:$B$123,RUC!$H$3:$H$123)</f>
        <v>30</v>
      </c>
      <c r="AA29" s="144">
        <f t="shared" si="12"/>
        <v>50</v>
      </c>
      <c r="AB29" s="145">
        <f t="shared" si="21"/>
        <v>1855.8752421424997</v>
      </c>
      <c r="AC29" s="145">
        <f>+(S29-T29)*V29-'data 1'!$F$4</f>
        <v>79.833500000000015</v>
      </c>
      <c r="AD29" s="145">
        <f t="shared" si="13"/>
        <v>5.8251723619099698</v>
      </c>
      <c r="AE29" s="145">
        <f t="shared" si="14"/>
        <v>-14.884999999999998</v>
      </c>
      <c r="AF29" s="145">
        <f t="shared" si="15"/>
        <v>180.2764273146002</v>
      </c>
      <c r="AG29" s="772">
        <f t="shared" si="22"/>
        <v>268.05009967651017</v>
      </c>
      <c r="AH29" s="146">
        <f t="shared" si="16"/>
        <v>21.328327514017811</v>
      </c>
      <c r="AI29" s="146">
        <f t="shared" si="17"/>
        <v>25.027373285634603</v>
      </c>
      <c r="AJ29" s="156">
        <f t="shared" si="18"/>
        <v>172.48849692716999</v>
      </c>
      <c r="AK29" s="156">
        <f t="shared" si="19"/>
        <v>19.573672036374809</v>
      </c>
      <c r="AL29" s="88"/>
      <c r="AM29" s="716">
        <f t="shared" si="20"/>
        <v>1803.9107353625097</v>
      </c>
      <c r="AN29" s="716" t="str">
        <f>_xlfn.XLOOKUP(D29,RUC!$B$3:$B$578,RUC!$M$3:$M$578)</f>
        <v>Ronald Miranda</v>
      </c>
      <c r="AO29" s="1167" t="s">
        <v>2280</v>
      </c>
      <c r="AP29" t="s">
        <v>2370</v>
      </c>
      <c r="AQ29" s="1190" t="s">
        <v>2378</v>
      </c>
      <c r="AS29" s="1212"/>
    </row>
    <row r="30" spans="1:45" ht="15" customHeight="1">
      <c r="A30" s="747" t="s">
        <v>2353</v>
      </c>
      <c r="B30" s="595">
        <v>45871</v>
      </c>
      <c r="C30" s="595">
        <v>45856</v>
      </c>
      <c r="D30" t="s">
        <v>1484</v>
      </c>
      <c r="E30">
        <f>_xlfn.XLOOKUP(D30,RUC!$B$3:$B$123,RUC!$D$3:$D$123)</f>
        <v>10761932735</v>
      </c>
      <c r="G30" s="80" t="s">
        <v>1434</v>
      </c>
      <c r="H30" s="1191" t="s">
        <v>69</v>
      </c>
      <c r="I30" s="703">
        <v>39.9</v>
      </c>
      <c r="J30" s="596">
        <v>8.65</v>
      </c>
      <c r="K30" s="138">
        <f t="shared" si="0"/>
        <v>36.448999999999998</v>
      </c>
      <c r="L30" s="240">
        <v>0.129</v>
      </c>
      <c r="M30" s="139">
        <v>0.11</v>
      </c>
      <c r="N30" s="598">
        <v>0.11700000000000001</v>
      </c>
      <c r="O30" s="645">
        <f t="shared" si="11"/>
        <v>0.114</v>
      </c>
      <c r="P30" s="727">
        <v>80</v>
      </c>
      <c r="Q30" s="596">
        <v>96.899224806201545</v>
      </c>
      <c r="R30" s="1185">
        <v>3355.1</v>
      </c>
      <c r="S30" s="802">
        <v>95</v>
      </c>
      <c r="U30" s="1146">
        <f>_xlfn.XLOOKUP(D30,RUC!$B$3:$B$123,RUC!$F$3:$F$123)</f>
        <v>120</v>
      </c>
      <c r="V30" s="715">
        <v>1.1023000000000001</v>
      </c>
      <c r="Y30">
        <f>_xlfn.XLOOKUP(D30,RUC!$B$3:$B$123,RUC!$G$3:$G$123)</f>
        <v>20</v>
      </c>
      <c r="Z30" s="143">
        <f>_xlfn.XLOOKUP(D30,RUC!$B$3:$B$123,RUC!$H$3:$H$123)</f>
        <v>30</v>
      </c>
      <c r="AA30" s="144">
        <f t="shared" si="12"/>
        <v>50</v>
      </c>
      <c r="AB30" s="145">
        <f t="shared" si="21"/>
        <v>165.39032657600004</v>
      </c>
      <c r="AC30" s="145">
        <f>+(S30-T30)*V30-'data 1'!$F$4</f>
        <v>24.718500000000006</v>
      </c>
      <c r="AD30" s="145">
        <f t="shared" si="13"/>
        <v>77.739905913999976</v>
      </c>
      <c r="AE30" s="145">
        <f t="shared" si="14"/>
        <v>-14.884999999999998</v>
      </c>
      <c r="AF30" s="145">
        <f t="shared" si="15"/>
        <v>51.832132703488369</v>
      </c>
      <c r="AG30" s="772">
        <f t="shared" si="22"/>
        <v>156.40553861748833</v>
      </c>
      <c r="AH30" s="146">
        <f t="shared" si="16"/>
        <v>156.20851362930625</v>
      </c>
      <c r="AI30" s="146">
        <f t="shared" si="17"/>
        <v>161.20718606544406</v>
      </c>
      <c r="AJ30" s="156">
        <f t="shared" si="18"/>
        <v>28.646021250000011</v>
      </c>
      <c r="AK30" s="156">
        <f t="shared" si="19"/>
        <v>113.96973154394185</v>
      </c>
      <c r="AL30" s="88"/>
      <c r="AM30" s="716">
        <f t="shared" si="20"/>
        <v>6028.3120133686252</v>
      </c>
      <c r="AN30" s="716" t="str">
        <f>_xlfn.XLOOKUP(D30,RUC!$B$3:$B$578,RUC!$M$3:$M$578)</f>
        <v>Richard Sapacayo</v>
      </c>
      <c r="AO30" s="1167" t="s">
        <v>2297</v>
      </c>
      <c r="AP30" s="1190" t="s">
        <v>2379</v>
      </c>
      <c r="AQ30" s="1190" t="s">
        <v>2386</v>
      </c>
      <c r="AS30" s="1212"/>
    </row>
    <row r="31" spans="1:45" ht="15" customHeight="1">
      <c r="A31" s="747" t="s">
        <v>2355</v>
      </c>
      <c r="B31" s="595">
        <v>45871</v>
      </c>
      <c r="C31" s="595">
        <v>45856</v>
      </c>
      <c r="D31" t="s">
        <v>1484</v>
      </c>
      <c r="E31">
        <f>_xlfn.XLOOKUP(D31,RUC!$B$3:$B$123,RUC!$D$3:$D$123)</f>
        <v>10761932735</v>
      </c>
      <c r="G31" s="80" t="s">
        <v>1434</v>
      </c>
      <c r="H31" s="1191" t="s">
        <v>69</v>
      </c>
      <c r="I31" s="703">
        <v>38.89</v>
      </c>
      <c r="J31" s="596">
        <v>6.95</v>
      </c>
      <c r="K31" s="138">
        <f t="shared" si="0"/>
        <v>36.186999999999998</v>
      </c>
      <c r="L31" s="240">
        <v>9.6000000000000002E-2</v>
      </c>
      <c r="M31" s="139">
        <v>8.1000000000000003E-2</v>
      </c>
      <c r="N31" s="598">
        <v>0.13</v>
      </c>
      <c r="O31" s="645">
        <f t="shared" si="11"/>
        <v>0.106</v>
      </c>
      <c r="P31" s="727">
        <v>80</v>
      </c>
      <c r="Q31" s="596">
        <v>89.583333333333343</v>
      </c>
      <c r="R31" s="1185">
        <v>3355.1</v>
      </c>
      <c r="S31" s="802">
        <v>95</v>
      </c>
      <c r="U31" s="1146">
        <f>_xlfn.XLOOKUP(D31,RUC!$B$3:$B$123,RUC!$F$3:$F$123)</f>
        <v>120</v>
      </c>
      <c r="V31" s="715">
        <v>1.1023000000000001</v>
      </c>
      <c r="Y31">
        <f>_xlfn.XLOOKUP(D31,RUC!$B$3:$B$123,RUC!$G$3:$G$123)</f>
        <v>20</v>
      </c>
      <c r="Z31" s="143">
        <f>_xlfn.XLOOKUP(D31,RUC!$B$3:$B$123,RUC!$H$3:$H$123)</f>
        <v>30</v>
      </c>
      <c r="AA31" s="144">
        <f t="shared" si="12"/>
        <v>50</v>
      </c>
      <c r="AB31" s="145">
        <f t="shared" si="21"/>
        <v>142.56760190400001</v>
      </c>
      <c r="AC31" s="145">
        <f>+(S31-T31)*V31-'data 1'!$F$4</f>
        <v>24.718500000000006</v>
      </c>
      <c r="AD31" s="145">
        <f t="shared" si="13"/>
        <v>32.807666716000035</v>
      </c>
      <c r="AE31" s="145">
        <f t="shared" si="14"/>
        <v>-14.884999999999998</v>
      </c>
      <c r="AF31" s="145">
        <f t="shared" si="15"/>
        <v>-31.945871122916657</v>
      </c>
      <c r="AG31" s="772">
        <f t="shared" si="22"/>
        <v>27.695295593083387</v>
      </c>
      <c r="AH31" s="146">
        <f t="shared" si="16"/>
        <v>106.69893901342012</v>
      </c>
      <c r="AI31" s="146">
        <f t="shared" si="17"/>
        <v>119.10579238707361</v>
      </c>
      <c r="AJ31" s="156">
        <f t="shared" si="18"/>
        <v>19.708462620000013</v>
      </c>
      <c r="AK31" s="156">
        <f t="shared" si="19"/>
        <v>105.21011660858169</v>
      </c>
      <c r="AL31" s="88"/>
      <c r="AM31" s="716">
        <f t="shared" si="20"/>
        <v>5159.0938101000484</v>
      </c>
      <c r="AN31" s="716" t="str">
        <f>_xlfn.XLOOKUP(D31,RUC!$B$3:$B$578,RUC!$M$3:$M$578)</f>
        <v>Richard Sapacayo</v>
      </c>
      <c r="AO31" s="1167" t="s">
        <v>2279</v>
      </c>
      <c r="AP31" s="1190" t="s">
        <v>2381</v>
      </c>
      <c r="AQ31" s="1190" t="s">
        <v>2387</v>
      </c>
      <c r="AS31" s="1212"/>
    </row>
    <row r="32" spans="1:45" ht="15" customHeight="1">
      <c r="A32" s="747" t="s">
        <v>2357</v>
      </c>
      <c r="B32" s="595">
        <v>45871</v>
      </c>
      <c r="C32" s="595">
        <v>45856</v>
      </c>
      <c r="D32" t="s">
        <v>1484</v>
      </c>
      <c r="E32">
        <f>_xlfn.XLOOKUP(D32,RUC!$B$3:$B$123,RUC!$D$3:$D$123)</f>
        <v>10761932735</v>
      </c>
      <c r="G32" s="80" t="s">
        <v>1434</v>
      </c>
      <c r="H32" s="1191" t="s">
        <v>69</v>
      </c>
      <c r="I32" s="703">
        <v>11.62</v>
      </c>
      <c r="J32" s="596">
        <v>6.4</v>
      </c>
      <c r="K32" s="138">
        <f t="shared" si="0"/>
        <v>10.875999999999999</v>
      </c>
      <c r="L32" s="1192">
        <v>0.1</v>
      </c>
      <c r="M32" s="139">
        <v>8.4000000000000005E-2</v>
      </c>
      <c r="N32" s="598">
        <v>0.16</v>
      </c>
      <c r="O32" s="645">
        <f t="shared" si="11"/>
        <v>0.122</v>
      </c>
      <c r="P32" s="1199">
        <v>80</v>
      </c>
      <c r="Q32" s="596">
        <v>94</v>
      </c>
      <c r="R32" s="1185">
        <v>3355.1</v>
      </c>
      <c r="S32" s="802">
        <v>95</v>
      </c>
      <c r="U32" s="1146">
        <f>_xlfn.XLOOKUP(D32,RUC!$B$3:$B$123,RUC!$F$3:$F$123)</f>
        <v>120</v>
      </c>
      <c r="V32" s="715">
        <v>1.1023000000000001</v>
      </c>
      <c r="Y32">
        <f>_xlfn.XLOOKUP(D32,RUC!$B$3:$B$123,RUC!$G$3:$G$123)</f>
        <v>20</v>
      </c>
      <c r="Z32" s="143">
        <f>_xlfn.XLOOKUP(D32,RUC!$B$3:$B$123,RUC!$H$3:$H$123)</f>
        <v>30</v>
      </c>
      <c r="AA32" s="144">
        <f t="shared" si="12"/>
        <v>50</v>
      </c>
      <c r="AB32" s="145">
        <f t="shared" si="21"/>
        <v>188.21305124799997</v>
      </c>
      <c r="AC32" s="145">
        <f>+(S32-T32)*V32-'data 1'!$F$4</f>
        <v>24.718500000000006</v>
      </c>
      <c r="AD32" s="145">
        <f t="shared" si="13"/>
        <v>49.924710220000009</v>
      </c>
      <c r="AE32" s="145">
        <f t="shared" si="14"/>
        <v>-14.884999999999998</v>
      </c>
      <c r="AF32" s="145">
        <f t="shared" si="15"/>
        <v>-73.745929096399976</v>
      </c>
      <c r="AG32" s="772">
        <f t="shared" si="22"/>
        <v>3.0122811236000402</v>
      </c>
      <c r="AH32" s="146">
        <f t="shared" si="16"/>
        <v>35.051460760589201</v>
      </c>
      <c r="AI32" s="146">
        <f t="shared" si="17"/>
        <v>37.288788043180006</v>
      </c>
      <c r="AJ32" s="156">
        <f t="shared" si="18"/>
        <v>21.541807980000012</v>
      </c>
      <c r="AK32" s="156">
        <f t="shared" si="19"/>
        <v>36.393857130143687</v>
      </c>
      <c r="AL32" s="88"/>
      <c r="AM32" s="716">
        <f t="shared" si="20"/>
        <v>2047.0051453732476</v>
      </c>
      <c r="AN32" s="716" t="str">
        <f>_xlfn.XLOOKUP(D32,RUC!$B$3:$B$578,RUC!$M$3:$M$578)</f>
        <v>Richard Sapacayo</v>
      </c>
      <c r="AO32" s="1167" t="s">
        <v>2281</v>
      </c>
      <c r="AP32" s="1190" t="s">
        <v>2382</v>
      </c>
      <c r="AQ32" s="1190" t="s">
        <v>2385</v>
      </c>
      <c r="AS32" s="1212"/>
    </row>
    <row r="33" spans="1:45" ht="15" customHeight="1">
      <c r="A33" s="747" t="s">
        <v>2359</v>
      </c>
      <c r="B33" s="595">
        <v>45862</v>
      </c>
      <c r="C33" s="595">
        <v>45856</v>
      </c>
      <c r="D33" t="s">
        <v>2368</v>
      </c>
      <c r="E33">
        <f>_xlfn.XLOOKUP(D33,RUC!$B$3:$B$123,RUC!$D$3:$D$123)</f>
        <v>20612719757</v>
      </c>
      <c r="G33" s="80">
        <v>40</v>
      </c>
      <c r="H33" s="1191" t="s">
        <v>116</v>
      </c>
      <c r="I33" s="703">
        <v>2.98</v>
      </c>
      <c r="J33" s="596">
        <v>15.04</v>
      </c>
      <c r="K33" s="138">
        <f t="shared" si="0"/>
        <v>2.532</v>
      </c>
      <c r="L33" s="1192">
        <v>0.54700000000000004</v>
      </c>
      <c r="M33" s="139">
        <v>0.51400000000000001</v>
      </c>
      <c r="N33" s="159">
        <v>0.51400000000000001</v>
      </c>
      <c r="O33" s="645">
        <f t="shared" si="11"/>
        <v>0.51400000000000001</v>
      </c>
      <c r="P33" s="727">
        <v>85</v>
      </c>
      <c r="Q33" s="596">
        <v>85.56</v>
      </c>
      <c r="R33" s="1185">
        <v>3355.1</v>
      </c>
      <c r="S33" s="765">
        <f>IF((90+ROUNDDOWN(O33,1)*100)&lt;95,95,(90+ROUNDDOWN(O33,1)*100))</f>
        <v>140</v>
      </c>
      <c r="U33" s="1146">
        <f>_xlfn.XLOOKUP(D33,RUC!$B$3:$B$123,RUC!$F$3:$F$123)</f>
        <v>120</v>
      </c>
      <c r="V33" s="715">
        <v>1.1023000000000001</v>
      </c>
      <c r="Y33">
        <f>_xlfn.XLOOKUP(D33,RUC!$B$3:$B$123,RUC!$G$3:$G$123)</f>
        <v>20</v>
      </c>
      <c r="Z33" s="143">
        <f>_xlfn.XLOOKUP(D33,RUC!$B$3:$B$123,RUC!$H$3:$H$123)</f>
        <v>30</v>
      </c>
      <c r="AA33" s="144">
        <f t="shared" si="12"/>
        <v>50</v>
      </c>
      <c r="AB33" s="145">
        <f t="shared" si="21"/>
        <v>1348.5705639370001</v>
      </c>
      <c r="AC33" s="145">
        <f>+(S33-T33)*V33-'data 1'!$F$4</f>
        <v>74.322000000000003</v>
      </c>
      <c r="AD33" s="145">
        <f t="shared" si="13"/>
        <v>10.923526596136046</v>
      </c>
      <c r="AE33" s="145">
        <f t="shared" si="14"/>
        <v>-14.884999999999998</v>
      </c>
      <c r="AF33" s="145">
        <f t="shared" si="15"/>
        <v>100.68672915140409</v>
      </c>
      <c r="AG33" s="772">
        <f t="shared" si="22"/>
        <v>188.04725574754013</v>
      </c>
      <c r="AH33" s="146">
        <f t="shared" si="16"/>
        <v>40.628507889890372</v>
      </c>
      <c r="AI33" s="146">
        <f t="shared" si="17"/>
        <v>47.48539959080221</v>
      </c>
      <c r="AJ33" s="156">
        <f t="shared" si="18"/>
        <v>107.25372857984406</v>
      </c>
      <c r="AK33" s="156">
        <f t="shared" si="19"/>
        <v>37.927552250861943</v>
      </c>
      <c r="AL33" s="88"/>
      <c r="AM33" s="716">
        <f t="shared" si="20"/>
        <v>3414.5806678884842</v>
      </c>
      <c r="AN33" s="716" t="str">
        <f>_xlfn.XLOOKUP(D33,RUC!$B$3:$B$578,RUC!$M$3:$M$578)</f>
        <v>SIN ACOPIADOR</v>
      </c>
      <c r="AO33" s="1167" t="s">
        <v>2280</v>
      </c>
      <c r="AP33" s="1190" t="s">
        <v>2380</v>
      </c>
      <c r="AQ33" s="1190" t="s">
        <v>2388</v>
      </c>
      <c r="AS33" s="1212"/>
    </row>
    <row r="34" spans="1:45" ht="15" customHeight="1">
      <c r="A34" s="747" t="s">
        <v>2360</v>
      </c>
      <c r="B34" s="595">
        <v>45871</v>
      </c>
      <c r="C34" s="595">
        <v>45856</v>
      </c>
      <c r="D34" t="s">
        <v>1484</v>
      </c>
      <c r="E34">
        <f>_xlfn.XLOOKUP(D34,RUC!$B$3:$B$123,RUC!$D$3:$D$123)</f>
        <v>10761932735</v>
      </c>
      <c r="G34" s="80" t="s">
        <v>1434</v>
      </c>
      <c r="H34" s="1191" t="s">
        <v>69</v>
      </c>
      <c r="I34" s="703">
        <v>14.78</v>
      </c>
      <c r="J34" s="596">
        <v>5.4</v>
      </c>
      <c r="K34" s="138">
        <f t="shared" si="0"/>
        <v>13.981999999999999</v>
      </c>
      <c r="L34" s="1192">
        <v>0.155</v>
      </c>
      <c r="M34" s="139">
        <v>0.14000000000000001</v>
      </c>
      <c r="N34" s="598">
        <v>0.19400000000000001</v>
      </c>
      <c r="O34" s="645">
        <f t="shared" si="11"/>
        <v>0.16700000000000001</v>
      </c>
      <c r="P34" s="727">
        <v>90</v>
      </c>
      <c r="Q34" s="596">
        <v>96.13</v>
      </c>
      <c r="R34" s="1185">
        <v>3355.1</v>
      </c>
      <c r="S34" s="765">
        <f>IF((90+ROUNDDOWN(O34,1)*100)&lt;95,95,(90+ROUNDDOWN(O34,1)*100))</f>
        <v>100</v>
      </c>
      <c r="U34" s="1146">
        <f>_xlfn.XLOOKUP(D34,RUC!$B$3:$B$123,RUC!$F$3:$F$123)</f>
        <v>120</v>
      </c>
      <c r="V34" s="715">
        <v>1.1023000000000001</v>
      </c>
      <c r="Y34">
        <f>_xlfn.XLOOKUP(D34,RUC!$B$3:$B$123,RUC!$G$3:$G$123)</f>
        <v>20</v>
      </c>
      <c r="Z34" s="143">
        <f>_xlfn.XLOOKUP(D34,RUC!$B$3:$B$123,RUC!$H$3:$H$123)</f>
        <v>30</v>
      </c>
      <c r="AA34" s="144">
        <f t="shared" si="12"/>
        <v>50</v>
      </c>
      <c r="AB34" s="145">
        <f t="shared" si="21"/>
        <v>370.63242471900003</v>
      </c>
      <c r="AC34" s="145">
        <f>+(S34-T34)*V34-'data 1'!$F$4</f>
        <v>30.230000000000004</v>
      </c>
      <c r="AD34" s="145">
        <f t="shared" si="13"/>
        <v>33.882831011094979</v>
      </c>
      <c r="AE34" s="145">
        <f t="shared" si="14"/>
        <v>-14.884999999999998</v>
      </c>
      <c r="AF34" s="145">
        <f t="shared" si="15"/>
        <v>-41.136534800988038</v>
      </c>
      <c r="AG34" s="772">
        <f t="shared" si="22"/>
        <v>25.091296210106947</v>
      </c>
      <c r="AH34" s="146">
        <f t="shared" si="16"/>
        <v>71.428085128993473</v>
      </c>
      <c r="AI34" s="146">
        <f t="shared" si="17"/>
        <v>74.303635835840495</v>
      </c>
      <c r="AJ34" s="156">
        <f t="shared" si="18"/>
        <v>34.146401082255018</v>
      </c>
      <c r="AK34" s="156">
        <f t="shared" si="19"/>
        <v>72.05055784597954</v>
      </c>
      <c r="AL34" s="88"/>
      <c r="AM34" s="716">
        <f t="shared" si="20"/>
        <v>5182.1825624210578</v>
      </c>
      <c r="AN34" s="716" t="str">
        <f>_xlfn.XLOOKUP(D34,RUC!$B$3:$B$578,RUC!$M$3:$M$578)</f>
        <v>Richard Sapacayo</v>
      </c>
      <c r="AO34" s="1167" t="s">
        <v>2277</v>
      </c>
      <c r="AP34" s="1190" t="s">
        <v>2382</v>
      </c>
      <c r="AQ34" s="1190" t="s">
        <v>2385</v>
      </c>
      <c r="AS34" s="1212"/>
    </row>
    <row r="35" spans="1:45" ht="15" customHeight="1">
      <c r="A35" s="747" t="s">
        <v>2362</v>
      </c>
      <c r="B35" s="595">
        <v>45862</v>
      </c>
      <c r="C35" s="595">
        <v>45856</v>
      </c>
      <c r="D35" t="s">
        <v>1967</v>
      </c>
      <c r="E35">
        <f>_xlfn.XLOOKUP(D35,RUC!$B$3:$B$123,RUC!$D$3:$D$123)</f>
        <v>20601769396</v>
      </c>
      <c r="G35" s="80">
        <v>33</v>
      </c>
      <c r="H35" s="1191" t="s">
        <v>116</v>
      </c>
      <c r="I35" s="703">
        <v>3.13</v>
      </c>
      <c r="J35" s="596">
        <v>5.95</v>
      </c>
      <c r="K35" s="138">
        <f t="shared" si="0"/>
        <v>2.944</v>
      </c>
      <c r="L35" s="1192">
        <v>0.61099999999999999</v>
      </c>
      <c r="M35" s="139">
        <v>0.57399999999999995</v>
      </c>
      <c r="N35" s="159">
        <v>0.57399999999999995</v>
      </c>
      <c r="O35" s="645">
        <f t="shared" si="11"/>
        <v>0.57399999999999995</v>
      </c>
      <c r="P35" s="727">
        <v>80</v>
      </c>
      <c r="Q35" s="596">
        <v>80.196399345335507</v>
      </c>
      <c r="R35" s="1185">
        <v>3355.1</v>
      </c>
      <c r="S35" s="765">
        <f>IF((90+ROUNDDOWN(O35,1)*100)&lt;95,95,(90+ROUNDDOWN(O35,1)*100))</f>
        <v>140</v>
      </c>
      <c r="U35" s="1146">
        <f>_xlfn.XLOOKUP(D35,RUC!$B$3:$B$123,RUC!$F$3:$F$123)</f>
        <v>120</v>
      </c>
      <c r="V35" s="715">
        <v>1.1023000000000001</v>
      </c>
      <c r="Y35">
        <f>_xlfn.XLOOKUP(D35,RUC!$B$3:$B$123,RUC!$G$3:$G$123)</f>
        <v>20</v>
      </c>
      <c r="Z35" s="143">
        <f>_xlfn.XLOOKUP(D35,RUC!$B$3:$B$123,RUC!$H$3:$H$123)</f>
        <v>30</v>
      </c>
      <c r="AA35" s="144">
        <f t="shared" si="12"/>
        <v>50</v>
      </c>
      <c r="AB35" s="145">
        <f t="shared" si="21"/>
        <v>1428.0934952160001</v>
      </c>
      <c r="AC35" s="145">
        <f>+(S35-T35)*V35-'data 1'!$F$4</f>
        <v>74.322000000000003</v>
      </c>
      <c r="AD35" s="145">
        <f t="shared" si="13"/>
        <v>4.279260875999821</v>
      </c>
      <c r="AE35" s="145">
        <f t="shared" si="14"/>
        <v>-14.884999999999998</v>
      </c>
      <c r="AF35" s="145">
        <f t="shared" si="15"/>
        <v>105.81423851865802</v>
      </c>
      <c r="AG35" s="772">
        <f t="shared" si="22"/>
        <v>186.53049939465785</v>
      </c>
      <c r="AH35" s="146">
        <f t="shared" si="16"/>
        <v>49.458729385407999</v>
      </c>
      <c r="AI35" s="146">
        <f t="shared" si="17"/>
        <v>61.672007458131198</v>
      </c>
      <c r="AJ35" s="156">
        <f t="shared" si="18"/>
        <v>112.29240330000005</v>
      </c>
      <c r="AK35" s="156">
        <f t="shared" si="19"/>
        <v>46.349894966896635</v>
      </c>
      <c r="AL35" s="88"/>
      <c r="AM35" s="716">
        <f t="shared" si="20"/>
        <v>4204.3072499159043</v>
      </c>
      <c r="AN35" s="716" t="str">
        <f>_xlfn.XLOOKUP(D35,RUC!$B$3:$B$578,RUC!$M$3:$M$578)</f>
        <v>Evelyn</v>
      </c>
      <c r="AO35" s="1167" t="s">
        <v>2278</v>
      </c>
      <c r="AP35" s="1190" t="s">
        <v>2383</v>
      </c>
      <c r="AQ35" s="1190" t="s">
        <v>2384</v>
      </c>
      <c r="AS35" s="1212"/>
    </row>
    <row r="36" spans="1:45" ht="15" customHeight="1">
      <c r="A36" s="747" t="s">
        <v>2364</v>
      </c>
      <c r="B36" s="595">
        <v>45884</v>
      </c>
      <c r="C36" s="595">
        <v>45856</v>
      </c>
      <c r="D36" t="s">
        <v>1967</v>
      </c>
      <c r="E36">
        <f>_xlfn.XLOOKUP(D36,RUC!$B$3:$B$123,RUC!$D$3:$D$123)</f>
        <v>20601769396</v>
      </c>
      <c r="G36" s="80">
        <v>41</v>
      </c>
      <c r="H36" s="1191" t="s">
        <v>2005</v>
      </c>
      <c r="I36" s="703">
        <v>3.17</v>
      </c>
      <c r="J36" s="596">
        <v>15.45</v>
      </c>
      <c r="K36" s="138">
        <f t="shared" si="0"/>
        <v>2.68</v>
      </c>
      <c r="L36" s="1192">
        <v>0.16300000000000001</v>
      </c>
      <c r="M36" s="139">
        <v>0.14699999999999999</v>
      </c>
      <c r="N36" s="159">
        <v>0.14699999999999999</v>
      </c>
      <c r="O36" s="645">
        <v>0.14699999999999999</v>
      </c>
      <c r="P36" s="727">
        <v>85</v>
      </c>
      <c r="Q36" s="596">
        <v>88.97</v>
      </c>
      <c r="R36" s="1185">
        <v>3355.1</v>
      </c>
      <c r="S36" s="765">
        <f>IF((90+ROUNDDOWN(O36,1)*100)&lt;95,95,(90+ROUNDDOWN(O36,1)*100))</f>
        <v>100</v>
      </c>
      <c r="U36" s="1146">
        <f>_xlfn.XLOOKUP(D36,RUC!$B$3:$B$123,RUC!$F$3:$F$123)</f>
        <v>120</v>
      </c>
      <c r="V36" s="715">
        <v>1.1023000000000001</v>
      </c>
      <c r="Y36">
        <f>_xlfn.XLOOKUP(D36,RUC!$B$3:$B$123,RUC!$G$3:$G$123)</f>
        <v>20</v>
      </c>
      <c r="Z36" s="143">
        <f>_xlfn.XLOOKUP(D36,RUC!$B$3:$B$123,RUC!$H$3:$H$123)</f>
        <v>30</v>
      </c>
      <c r="AA36" s="144">
        <f t="shared" si="12"/>
        <v>50</v>
      </c>
      <c r="AB36" s="145">
        <f t="shared" si="21"/>
        <v>280.23303871349998</v>
      </c>
      <c r="AC36" s="145">
        <f>+(S36-T36)*V36-'data 1'!$F$4</f>
        <v>30.230000000000004</v>
      </c>
      <c r="AD36" s="145">
        <f t="shared" si="13"/>
        <v>23.076270878902996</v>
      </c>
      <c r="AE36" s="145">
        <f t="shared" si="14"/>
        <v>-14.884999999999998</v>
      </c>
      <c r="AF36" s="145">
        <f t="shared" si="15"/>
        <v>50.763445351696035</v>
      </c>
      <c r="AG36" s="772">
        <f t="shared" si="22"/>
        <v>106.18471623059904</v>
      </c>
      <c r="AH36" s="146">
        <f>31.1035*L36*Q36*1.1023*K36/100</f>
        <v>13.325240566353454</v>
      </c>
      <c r="AI36" s="146">
        <f t="shared" si="17"/>
        <v>14.977228915762003</v>
      </c>
      <c r="AJ36" s="156">
        <f t="shared" si="18"/>
        <v>33.23422009838702</v>
      </c>
      <c r="AK36" s="156">
        <f t="shared" si="19"/>
        <v>11.481010754751301</v>
      </c>
      <c r="AL36" s="88"/>
      <c r="AM36" s="716">
        <f t="shared" si="20"/>
        <v>751.02454375217997</v>
      </c>
      <c r="AN36" s="716" t="str">
        <f>_xlfn.XLOOKUP(D36,RUC!$B$3:$B$578,RUC!$M$3:$M$578)</f>
        <v>Evelyn</v>
      </c>
      <c r="AO36" s="1167" t="s">
        <v>2277</v>
      </c>
      <c r="AP36" s="1190" t="s">
        <v>2383</v>
      </c>
      <c r="AQ36" s="1190" t="s">
        <v>2384</v>
      </c>
      <c r="AS36" s="1212"/>
    </row>
    <row r="37" spans="1:45" ht="15" customHeight="1">
      <c r="A37" s="747" t="s">
        <v>2404</v>
      </c>
      <c r="B37" s="595">
        <v>45874</v>
      </c>
      <c r="C37" s="595">
        <v>45858</v>
      </c>
      <c r="D37" t="s">
        <v>1484</v>
      </c>
      <c r="E37">
        <f>_xlfn.XLOOKUP(D37,RUC!$B$3:$B$123,RUC!$D$3:$D$123)</f>
        <v>10761932735</v>
      </c>
      <c r="G37" s="762">
        <v>121</v>
      </c>
      <c r="H37" t="s">
        <v>69</v>
      </c>
      <c r="I37" s="703">
        <v>10.02</v>
      </c>
      <c r="J37" s="596">
        <v>10.3</v>
      </c>
      <c r="K37" s="138">
        <f t="shared" si="0"/>
        <v>8.9879999999999995</v>
      </c>
      <c r="L37" s="762">
        <v>0.375</v>
      </c>
      <c r="M37" s="139">
        <v>0.33800000000000002</v>
      </c>
      <c r="N37" s="598">
        <v>0.38100000000000001</v>
      </c>
      <c r="O37" s="645">
        <f t="shared" si="11"/>
        <v>0.36</v>
      </c>
      <c r="P37" s="727">
        <v>90</v>
      </c>
      <c r="Q37" s="596">
        <v>94.74</v>
      </c>
      <c r="R37" s="706">
        <v>3386.2</v>
      </c>
      <c r="S37" s="802">
        <f>IF((80+ROUNDDOWN(O37,1)*100)&lt;95,95,(80+ROUNDDOWN(O37,1)*100))</f>
        <v>110</v>
      </c>
      <c r="U37" s="1146">
        <f>_xlfn.XLOOKUP(D37,RUC!$B$3:$B$123,RUC!$F$3:$F$123)</f>
        <v>120</v>
      </c>
      <c r="V37" s="715">
        <v>1.1023000000000001</v>
      </c>
      <c r="Z37" s="143">
        <f>_xlfn.XLOOKUP(D37,RUC!$B$3:$B$123,RUC!$H$3:$H$123)</f>
        <v>30</v>
      </c>
      <c r="AA37" s="144">
        <f t="shared" si="12"/>
        <v>30</v>
      </c>
      <c r="AB37" s="145">
        <f t="shared" si="21"/>
        <v>1012.1856522399999</v>
      </c>
      <c r="AC37" s="145">
        <f>+(S37-T37)*V37-'data 1'!$F$4</f>
        <v>41.253</v>
      </c>
      <c r="AD37" s="145">
        <f t="shared" si="13"/>
        <v>63.995905921499926</v>
      </c>
      <c r="AE37" s="145">
        <f t="shared" si="14"/>
        <v>-36.930999999999997</v>
      </c>
      <c r="AF37" s="145">
        <f t="shared" si="15"/>
        <v>51.16432174686004</v>
      </c>
      <c r="AG37" s="772">
        <f t="shared" si="22"/>
        <v>136.48222766835997</v>
      </c>
      <c r="AH37" s="146">
        <f t="shared" si="16"/>
        <v>109.48050226030018</v>
      </c>
      <c r="AI37" s="146">
        <f t="shared" si="17"/>
        <v>115.55890042252501</v>
      </c>
      <c r="AJ37" s="156">
        <f t="shared" si="18"/>
        <v>69.238351026000075</v>
      </c>
      <c r="AK37" s="156">
        <f t="shared" si="19"/>
        <v>99.842889965061602</v>
      </c>
      <c r="AL37" s="88"/>
      <c r="AM37" s="716">
        <f t="shared" si="20"/>
        <v>9097.5246423331191</v>
      </c>
      <c r="AN37" s="716" t="str">
        <f>_xlfn.XLOOKUP(D37,RUC!$B$3:$B$578,RUC!$M$3:$M$578)</f>
        <v>Richard Sapacayo</v>
      </c>
      <c r="AO37" s="1167" t="s">
        <v>2277</v>
      </c>
      <c r="AP37" t="s">
        <v>2447</v>
      </c>
      <c r="AQ37" t="s">
        <v>2448</v>
      </c>
      <c r="AS37" s="1212"/>
    </row>
    <row r="38" spans="1:45" ht="15" customHeight="1">
      <c r="A38" s="747" t="s">
        <v>2405</v>
      </c>
      <c r="B38" s="595">
        <v>45874</v>
      </c>
      <c r="C38" s="595">
        <v>45858</v>
      </c>
      <c r="D38" t="s">
        <v>1484</v>
      </c>
      <c r="E38">
        <f>_xlfn.XLOOKUP(D38,RUC!$B$3:$B$123,RUC!$D$3:$D$123)</f>
        <v>10761932735</v>
      </c>
      <c r="G38" s="762">
        <v>84</v>
      </c>
      <c r="H38" t="s">
        <v>69</v>
      </c>
      <c r="I38" s="703">
        <v>7.3</v>
      </c>
      <c r="J38" s="596">
        <v>7.6</v>
      </c>
      <c r="K38" s="138">
        <f t="shared" si="0"/>
        <v>6.7450000000000001</v>
      </c>
      <c r="L38" s="994">
        <v>0.74</v>
      </c>
      <c r="M38" s="139">
        <v>0.69599999999999995</v>
      </c>
      <c r="N38" s="598">
        <v>0.78600000000000003</v>
      </c>
      <c r="O38" s="645">
        <f t="shared" si="11"/>
        <v>0.74099999999999999</v>
      </c>
      <c r="P38" s="727">
        <v>90</v>
      </c>
      <c r="Q38" s="596">
        <v>96.08</v>
      </c>
      <c r="R38" s="706">
        <v>3386.2</v>
      </c>
      <c r="S38" s="802">
        <f>IF((80+ROUNDDOWN(O38,1)*100)&lt;95,95,(80+ROUNDDOWN(O38,1)*100))</f>
        <v>150</v>
      </c>
      <c r="U38" s="1146">
        <f>_xlfn.XLOOKUP(D38,RUC!$B$3:$B$123,RUC!$F$3:$F$123)</f>
        <v>120</v>
      </c>
      <c r="V38" s="715">
        <v>1.1023000000000001</v>
      </c>
      <c r="Z38" s="143">
        <f>_xlfn.XLOOKUP(D38,RUC!$B$3:$B$123,RUC!$H$3:$H$123)</f>
        <v>30</v>
      </c>
      <c r="AA38" s="144">
        <f t="shared" si="12"/>
        <v>30</v>
      </c>
      <c r="AB38" s="145">
        <f t="shared" si="21"/>
        <v>2202.6475841939996</v>
      </c>
      <c r="AC38" s="145">
        <f>+(S38-T38)*V38-'data 1'!$F$4</f>
        <v>85.344999999999999</v>
      </c>
      <c r="AD38" s="145">
        <f t="shared" si="13"/>
        <v>161.98614904191993</v>
      </c>
      <c r="AE38" s="145">
        <f t="shared" si="14"/>
        <v>-36.930999999999997</v>
      </c>
      <c r="AF38" s="145">
        <f t="shared" si="15"/>
        <v>-3.4591992354080032</v>
      </c>
      <c r="AG38" s="772">
        <f t="shared" si="22"/>
        <v>223.94094980651192</v>
      </c>
      <c r="AH38" s="146">
        <f t="shared" si="16"/>
        <v>164.42041400490558</v>
      </c>
      <c r="AI38" s="146">
        <f t="shared" si="17"/>
        <v>171.12865737396501</v>
      </c>
      <c r="AJ38" s="156">
        <f t="shared" si="18"/>
        <v>138.56284194688016</v>
      </c>
      <c r="AK38" s="156">
        <f t="shared" si="19"/>
        <v>154.22392108472602</v>
      </c>
      <c r="AL38" s="88"/>
      <c r="AM38" s="716">
        <f t="shared" si="20"/>
        <v>14856.857955388528</v>
      </c>
      <c r="AN38" s="716" t="str">
        <f>_xlfn.XLOOKUP(D38,RUC!$B$3:$B$578,RUC!$M$3:$M$578)</f>
        <v>Richard Sapacayo</v>
      </c>
      <c r="AO38" s="1167" t="s">
        <v>2277</v>
      </c>
      <c r="AP38" t="s">
        <v>2447</v>
      </c>
      <c r="AQ38" t="s">
        <v>2448</v>
      </c>
      <c r="AS38" s="1212"/>
    </row>
    <row r="39" spans="1:45" ht="15" customHeight="1">
      <c r="A39" s="747" t="s">
        <v>2421</v>
      </c>
      <c r="B39" s="595">
        <v>45866</v>
      </c>
      <c r="C39" s="595">
        <v>45860</v>
      </c>
      <c r="D39" t="s">
        <v>93</v>
      </c>
      <c r="E39">
        <f>_xlfn.XLOOKUP(D39,RUC!$B$3:$B$123,RUC!$D$3:$D$123)</f>
        <v>20169040231</v>
      </c>
      <c r="G39" s="1082">
        <v>50</v>
      </c>
      <c r="H39" t="s">
        <v>69</v>
      </c>
      <c r="I39" s="703">
        <v>4.76</v>
      </c>
      <c r="J39" s="596">
        <v>1.35</v>
      </c>
      <c r="K39" s="138">
        <f t="shared" si="0"/>
        <v>4.6959999999999997</v>
      </c>
      <c r="L39" s="762">
        <v>0.13300000000000001</v>
      </c>
      <c r="M39" s="762">
        <v>0.11700000000000001</v>
      </c>
      <c r="N39" s="159">
        <v>0.11700000000000001</v>
      </c>
      <c r="O39" s="645">
        <f t="shared" si="11"/>
        <v>0.11700000000000001</v>
      </c>
      <c r="P39" s="727">
        <v>80</v>
      </c>
      <c r="Q39" s="596">
        <v>80.92</v>
      </c>
      <c r="R39" s="706">
        <v>3409.85</v>
      </c>
      <c r="S39" s="765">
        <f t="shared" ref="S39:S54" si="23">IF((90+ROUNDDOWN(O39,1)*100)&lt;95,95,(85+ROUNDDOWN(O39,1)*100))</f>
        <v>95</v>
      </c>
      <c r="U39" s="1146">
        <f>_xlfn.XLOOKUP(D39,RUC!$B$3:$B$123,RUC!$F$3:$F$123)</f>
        <v>120</v>
      </c>
      <c r="V39" s="715">
        <v>1.1023000000000001</v>
      </c>
      <c r="Y39">
        <f>_xlfn.XLOOKUP(D39,RUC!$B$3:$B$123,RUC!$G$3:$G$123)</f>
        <v>20</v>
      </c>
      <c r="Z39" s="143">
        <f>_xlfn.XLOOKUP(D39,RUC!$B$3:$B$123,RUC!$H$3:$H$123)</f>
        <v>30</v>
      </c>
      <c r="AA39" s="144">
        <f t="shared" si="12"/>
        <v>50</v>
      </c>
      <c r="AB39" s="145">
        <f t="shared" si="21"/>
        <v>179.59769490800008</v>
      </c>
      <c r="AC39" s="145">
        <f>+(S39-T39)*V39-'data 1'!$F$4</f>
        <v>24.718500000000006</v>
      </c>
      <c r="AD39" s="145">
        <f t="shared" si="13"/>
        <v>4.4372650650580088</v>
      </c>
      <c r="AE39" s="145">
        <f t="shared" si="14"/>
        <v>-14.884999999999998</v>
      </c>
      <c r="AF39" s="145">
        <f t="shared" si="15"/>
        <v>46.951747507615998</v>
      </c>
      <c r="AG39" s="772">
        <f t="shared" si="22"/>
        <v>78.22251257267402</v>
      </c>
      <c r="AH39" s="146">
        <f t="shared" si="16"/>
        <v>17.327849712331155</v>
      </c>
      <c r="AI39" s="146">
        <f t="shared" si="17"/>
        <v>21.413556243612401</v>
      </c>
      <c r="AJ39" s="156">
        <f t="shared" si="18"/>
        <v>18.168719648982012</v>
      </c>
      <c r="AK39" s="156">
        <f t="shared" si="19"/>
        <v>15.069991461670082</v>
      </c>
      <c r="AL39" s="88"/>
      <c r="AM39" s="716">
        <f t="shared" si="20"/>
        <v>843.39077528796827</v>
      </c>
      <c r="AN39" s="716" t="str">
        <f>_xlfn.XLOOKUP(D39,RUC!$B$3:$B$578,RUC!$M$3:$M$578)</f>
        <v>Ronald Miranda</v>
      </c>
      <c r="AO39" s="1167" t="s">
        <v>2278</v>
      </c>
      <c r="AP39" t="s">
        <v>2455</v>
      </c>
      <c r="AQ39" t="s">
        <v>2456</v>
      </c>
      <c r="AS39" s="1212"/>
    </row>
    <row r="40" spans="1:45" ht="15" customHeight="1">
      <c r="A40" s="747" t="s">
        <v>2422</v>
      </c>
      <c r="B40" s="595">
        <v>45866</v>
      </c>
      <c r="C40" s="595">
        <v>45860</v>
      </c>
      <c r="D40" t="s">
        <v>93</v>
      </c>
      <c r="E40">
        <f>_xlfn.XLOOKUP(D40,RUC!$B$3:$B$123,RUC!$D$3:$D$123)</f>
        <v>20169040231</v>
      </c>
      <c r="G40" s="1082">
        <v>50</v>
      </c>
      <c r="H40" t="s">
        <v>69</v>
      </c>
      <c r="I40" s="703">
        <v>4.8600000000000003</v>
      </c>
      <c r="J40" s="596">
        <v>1.01</v>
      </c>
      <c r="K40" s="138">
        <f t="shared" si="0"/>
        <v>4.8109999999999999</v>
      </c>
      <c r="L40" s="762">
        <v>0.13700000000000001</v>
      </c>
      <c r="M40" s="762">
        <v>0.121</v>
      </c>
      <c r="N40" s="159">
        <v>0.121</v>
      </c>
      <c r="O40" s="645">
        <f t="shared" si="11"/>
        <v>0.121</v>
      </c>
      <c r="P40" s="727">
        <v>83</v>
      </c>
      <c r="Q40" s="1143">
        <v>83.61</v>
      </c>
      <c r="R40" s="706">
        <v>3409.85</v>
      </c>
      <c r="S40" s="765">
        <f t="shared" si="23"/>
        <v>95</v>
      </c>
      <c r="U40" s="1146">
        <f>_xlfn.XLOOKUP(D40,RUC!$B$3:$B$123,RUC!$F$3:$F$123)</f>
        <v>120</v>
      </c>
      <c r="V40" s="715">
        <v>1.1023000000000001</v>
      </c>
      <c r="Y40">
        <f>_xlfn.XLOOKUP(D40,RUC!$B$3:$B$123,RUC!$G$3:$G$123)</f>
        <v>20</v>
      </c>
      <c r="Z40" s="143">
        <f>_xlfn.XLOOKUP(D40,RUC!$B$3:$B$123,RUC!$H$3:$H$123)</f>
        <v>30</v>
      </c>
      <c r="AA40" s="144">
        <f t="shared" si="12"/>
        <v>50</v>
      </c>
      <c r="AB40" s="145">
        <f t="shared" si="21"/>
        <v>204.36601821164993</v>
      </c>
      <c r="AC40" s="145">
        <f>+(S40-T40)*V40-'data 1'!$F$4</f>
        <v>24.718500000000006</v>
      </c>
      <c r="AD40" s="145">
        <f t="shared" si="13"/>
        <v>3.0305838630834971</v>
      </c>
      <c r="AE40" s="145">
        <f t="shared" si="14"/>
        <v>-14.884999999999998</v>
      </c>
      <c r="AF40" s="145">
        <f t="shared" si="15"/>
        <v>48.512550779928048</v>
      </c>
      <c r="AG40" s="772">
        <f t="shared" si="22"/>
        <v>78.376634643011556</v>
      </c>
      <c r="AH40" s="146">
        <f t="shared" si="16"/>
        <v>18.893969796516203</v>
      </c>
      <c r="AI40" s="146">
        <f t="shared" si="17"/>
        <v>22.597739261471357</v>
      </c>
      <c r="AJ40" s="156">
        <f t="shared" si="18"/>
        <v>19.337289500596516</v>
      </c>
      <c r="AK40" s="156">
        <f t="shared" si="19"/>
        <v>16.565627401675673</v>
      </c>
      <c r="AL40" s="88"/>
      <c r="AM40" s="716">
        <f t="shared" si="20"/>
        <v>983.20491361624784</v>
      </c>
      <c r="AN40" s="716" t="str">
        <f>_xlfn.XLOOKUP(D40,RUC!$B$3:$B$578,RUC!$M$3:$M$578)</f>
        <v>Ronald Miranda</v>
      </c>
      <c r="AO40" s="1167" t="s">
        <v>2280</v>
      </c>
      <c r="AP40" t="s">
        <v>2455</v>
      </c>
      <c r="AQ40" t="s">
        <v>2456</v>
      </c>
      <c r="AS40" s="1212"/>
    </row>
    <row r="41" spans="1:45" ht="15" customHeight="1">
      <c r="A41" s="747" t="s">
        <v>2423</v>
      </c>
      <c r="B41" s="595">
        <v>45871</v>
      </c>
      <c r="C41" s="595">
        <v>45860</v>
      </c>
      <c r="D41" t="s">
        <v>93</v>
      </c>
      <c r="E41">
        <f>_xlfn.XLOOKUP(D41,RUC!$B$3:$B$123,RUC!$D$3:$D$123)</f>
        <v>20169040231</v>
      </c>
      <c r="G41" s="1082">
        <v>50</v>
      </c>
      <c r="H41" t="s">
        <v>69</v>
      </c>
      <c r="I41" s="703">
        <v>4.68</v>
      </c>
      <c r="J41" s="596">
        <v>1.02</v>
      </c>
      <c r="K41" s="138">
        <f t="shared" si="0"/>
        <v>4.6319999999999997</v>
      </c>
      <c r="L41" s="994">
        <v>0.157</v>
      </c>
      <c r="M41" s="762">
        <v>0.14099999999999999</v>
      </c>
      <c r="N41" s="159">
        <v>0.14099999999999999</v>
      </c>
      <c r="O41" s="645">
        <f t="shared" si="11"/>
        <v>0.14099999999999999</v>
      </c>
      <c r="P41" s="727">
        <v>78</v>
      </c>
      <c r="Q41" s="596">
        <v>78.95</v>
      </c>
      <c r="R41" s="706">
        <v>3409.85</v>
      </c>
      <c r="S41" s="765">
        <f t="shared" si="23"/>
        <v>95</v>
      </c>
      <c r="U41" s="1146">
        <f>_xlfn.XLOOKUP(D41,RUC!$B$3:$B$123,RUC!$F$3:$F$123)</f>
        <v>120</v>
      </c>
      <c r="V41" s="715">
        <v>1.1023000000000001</v>
      </c>
      <c r="Y41">
        <f>_xlfn.XLOOKUP(D41,RUC!$B$3:$B$123,RUC!$G$3:$G$123)</f>
        <v>20</v>
      </c>
      <c r="Z41" s="143">
        <f>_xlfn.XLOOKUP(D41,RUC!$B$3:$B$123,RUC!$H$3:$H$123)</f>
        <v>30</v>
      </c>
      <c r="AA41" s="144">
        <f t="shared" si="12"/>
        <v>50</v>
      </c>
      <c r="AB41" s="145">
        <f t="shared" si="21"/>
        <v>238.99815401689995</v>
      </c>
      <c r="AC41" s="145">
        <f>+(S41-T41)*V41-'data 1'!$F$4</f>
        <v>24.718500000000006</v>
      </c>
      <c r="AD41" s="145">
        <f t="shared" si="13"/>
        <v>5.4087780684325164</v>
      </c>
      <c r="AE41" s="145">
        <f t="shared" si="14"/>
        <v>-14.884999999999998</v>
      </c>
      <c r="AF41" s="145">
        <f t="shared" si="15"/>
        <v>45.808705705960058</v>
      </c>
      <c r="AG41" s="772">
        <f t="shared" si="22"/>
        <v>78.050983774392591</v>
      </c>
      <c r="AH41" s="146">
        <f t="shared" si="16"/>
        <v>19.68472748250619</v>
      </c>
      <c r="AI41" s="146">
        <f t="shared" si="17"/>
        <v>24.933157039273201</v>
      </c>
      <c r="AJ41" s="156">
        <f t="shared" si="18"/>
        <v>20.925150743617515</v>
      </c>
      <c r="AK41" s="156">
        <f t="shared" si="19"/>
        <v>17.465914720887046</v>
      </c>
      <c r="AL41" s="88"/>
      <c r="AM41" s="716">
        <f t="shared" si="20"/>
        <v>1107.0394494062805</v>
      </c>
      <c r="AN41" s="716" t="str">
        <f>_xlfn.XLOOKUP(D41,RUC!$B$3:$B$578,RUC!$M$3:$M$578)</f>
        <v>Ronald Miranda</v>
      </c>
      <c r="AO41" s="1167" t="s">
        <v>2278</v>
      </c>
      <c r="AP41" t="s">
        <v>2455</v>
      </c>
      <c r="AQ41" t="s">
        <v>2456</v>
      </c>
      <c r="AS41" s="1212"/>
    </row>
    <row r="42" spans="1:45" ht="15" customHeight="1">
      <c r="A42" s="747" t="s">
        <v>2425</v>
      </c>
      <c r="B42" s="595">
        <v>45871</v>
      </c>
      <c r="C42" s="595">
        <v>45860</v>
      </c>
      <c r="D42" t="s">
        <v>93</v>
      </c>
      <c r="E42">
        <f>_xlfn.XLOOKUP(D42,RUC!$B$3:$B$123,RUC!$D$3:$D$123)</f>
        <v>20169040231</v>
      </c>
      <c r="G42" s="1082">
        <v>37</v>
      </c>
      <c r="H42" t="s">
        <v>69</v>
      </c>
      <c r="I42" s="703">
        <v>3.18</v>
      </c>
      <c r="J42" s="596">
        <v>1</v>
      </c>
      <c r="K42" s="138">
        <f t="shared" si="0"/>
        <v>3.1480000000000001</v>
      </c>
      <c r="L42" s="994">
        <v>0.71899999999999997</v>
      </c>
      <c r="M42" s="762">
        <v>0.67600000000000005</v>
      </c>
      <c r="N42" s="159">
        <v>0.67600000000000005</v>
      </c>
      <c r="O42" s="645">
        <f t="shared" si="11"/>
        <v>0.67600000000000005</v>
      </c>
      <c r="P42" s="727">
        <v>84</v>
      </c>
      <c r="Q42" s="596">
        <v>84.81</v>
      </c>
      <c r="R42" s="706">
        <v>3409.85</v>
      </c>
      <c r="S42" s="765">
        <f t="shared" si="23"/>
        <v>145</v>
      </c>
      <c r="U42" s="1146">
        <f>_xlfn.XLOOKUP(D42,RUC!$B$3:$B$123,RUC!$F$3:$F$123)</f>
        <v>120</v>
      </c>
      <c r="V42" s="715">
        <v>1.1023000000000001</v>
      </c>
      <c r="Y42">
        <f>_xlfn.XLOOKUP(D42,RUC!$B$3:$B$123,RUC!$G$3:$G$123)</f>
        <v>20</v>
      </c>
      <c r="Z42" s="143">
        <f>_xlfn.XLOOKUP(D42,RUC!$B$3:$B$123,RUC!$H$3:$H$123)</f>
        <v>30</v>
      </c>
      <c r="AA42" s="144">
        <f t="shared" si="12"/>
        <v>50</v>
      </c>
      <c r="AB42" s="145">
        <f t="shared" si="21"/>
        <v>1844.2674157752003</v>
      </c>
      <c r="AC42" s="145">
        <f>+(S42-T42)*V42-'data 1'!$F$4</f>
        <v>79.833500000000015</v>
      </c>
      <c r="AD42" s="145">
        <f t="shared" si="13"/>
        <v>21.119800598554562</v>
      </c>
      <c r="AE42" s="145">
        <f t="shared" si="14"/>
        <v>-14.884999999999998</v>
      </c>
      <c r="AF42" s="145">
        <f t="shared" si="15"/>
        <v>132.24870347503628</v>
      </c>
      <c r="AG42" s="772">
        <f t="shared" si="22"/>
        <v>235.31700407359085</v>
      </c>
      <c r="AH42" s="146">
        <f t="shared" si="16"/>
        <v>65.814221204872268</v>
      </c>
      <c r="AI42" s="146">
        <f t="shared" si="17"/>
        <v>77.601958737026607</v>
      </c>
      <c r="AJ42" s="156">
        <f t="shared" si="18"/>
        <v>102.94203804335557</v>
      </c>
      <c r="AK42" s="156">
        <f t="shared" si="19"/>
        <v>61.287199233982186</v>
      </c>
      <c r="AL42" s="88"/>
      <c r="AM42" s="716">
        <f t="shared" si="20"/>
        <v>5805.7538248603305</v>
      </c>
      <c r="AN42" s="716" t="str">
        <f>_xlfn.XLOOKUP(D42,RUC!$B$3:$B$578,RUC!$M$3:$M$578)</f>
        <v>Ronald Miranda</v>
      </c>
      <c r="AO42" s="1167" t="s">
        <v>2280</v>
      </c>
      <c r="AP42" t="s">
        <v>2455</v>
      </c>
      <c r="AQ42" t="s">
        <v>2456</v>
      </c>
      <c r="AS42" s="1212"/>
    </row>
    <row r="43" spans="1:45" ht="15" customHeight="1">
      <c r="A43" s="747" t="s">
        <v>2426</v>
      </c>
      <c r="B43" s="595">
        <v>45870</v>
      </c>
      <c r="C43" s="595">
        <v>45860</v>
      </c>
      <c r="D43" t="s">
        <v>93</v>
      </c>
      <c r="E43">
        <f>_xlfn.XLOOKUP(D43,RUC!$B$3:$B$123,RUC!$D$3:$D$123)</f>
        <v>20169040231</v>
      </c>
      <c r="G43" s="1082">
        <v>15</v>
      </c>
      <c r="H43" t="s">
        <v>69</v>
      </c>
      <c r="I43" s="703">
        <v>1.47</v>
      </c>
      <c r="J43" s="596">
        <v>1.01</v>
      </c>
      <c r="K43" s="138">
        <f t="shared" si="0"/>
        <v>1.4550000000000001</v>
      </c>
      <c r="L43" s="994">
        <v>0.15</v>
      </c>
      <c r="M43" s="762">
        <v>0.13500000000000001</v>
      </c>
      <c r="N43" s="159">
        <v>0.13500000000000001</v>
      </c>
      <c r="O43" s="645">
        <f t="shared" si="11"/>
        <v>0.13500000000000001</v>
      </c>
      <c r="P43" s="727">
        <v>85</v>
      </c>
      <c r="Q43" s="596">
        <v>91.03</v>
      </c>
      <c r="R43" s="706">
        <v>3409.85</v>
      </c>
      <c r="S43" s="765">
        <f t="shared" si="23"/>
        <v>95</v>
      </c>
      <c r="U43" s="1146">
        <f>_xlfn.XLOOKUP(D43,RUC!$B$3:$B$123,RUC!$F$3:$F$123)</f>
        <v>120</v>
      </c>
      <c r="V43" s="715">
        <v>1.1023000000000001</v>
      </c>
      <c r="Y43">
        <f>_xlfn.XLOOKUP(D43,RUC!$B$3:$B$123,RUC!$G$3:$G$123)</f>
        <v>20</v>
      </c>
      <c r="Z43" s="143">
        <f>_xlfn.XLOOKUP(D43,RUC!$B$3:$B$123,RUC!$H$3:$H$123)</f>
        <v>30</v>
      </c>
      <c r="AA43" s="144">
        <f t="shared" si="12"/>
        <v>50</v>
      </c>
      <c r="AB43" s="145">
        <f t="shared" si="21"/>
        <v>256.29608991125008</v>
      </c>
      <c r="AC43" s="145">
        <f>+(S43-T43)*V43-'data 1'!$F$4</f>
        <v>24.718500000000006</v>
      </c>
      <c r="AD43" s="145">
        <f t="shared" si="13"/>
        <v>32.800802969475001</v>
      </c>
      <c r="AE43" s="145">
        <f t="shared" si="14"/>
        <v>-14.884999999999998</v>
      </c>
      <c r="AF43" s="145">
        <f t="shared" si="15"/>
        <v>49.516701398197455</v>
      </c>
      <c r="AG43" s="772">
        <f t="shared" si="22"/>
        <v>109.15100436767247</v>
      </c>
      <c r="AH43" s="146">
        <f t="shared" si="16"/>
        <v>6.8115800429229489</v>
      </c>
      <c r="AI43" s="146">
        <f t="shared" si="17"/>
        <v>7.4827859419124998</v>
      </c>
      <c r="AJ43" s="156">
        <f t="shared" si="18"/>
        <v>23.051150718525015</v>
      </c>
      <c r="AK43" s="156">
        <f t="shared" si="19"/>
        <v>5.7243312455630635</v>
      </c>
      <c r="AL43" s="88"/>
      <c r="AM43" s="716">
        <f t="shared" si="20"/>
        <v>372.9108108208689</v>
      </c>
      <c r="AN43" s="716" t="str">
        <f>_xlfn.XLOOKUP(D43,RUC!$B$3:$B$578,RUC!$M$3:$M$578)</f>
        <v>Ronald Miranda</v>
      </c>
      <c r="AO43" s="1167" t="s">
        <v>2279</v>
      </c>
      <c r="AP43" t="s">
        <v>2455</v>
      </c>
      <c r="AQ43" t="s">
        <v>2456</v>
      </c>
      <c r="AS43" s="1212"/>
    </row>
    <row r="44" spans="1:45" ht="15" customHeight="1">
      <c r="A44" s="747" t="s">
        <v>2427</v>
      </c>
      <c r="B44" s="595">
        <v>45871</v>
      </c>
      <c r="C44" s="595">
        <v>45860</v>
      </c>
      <c r="D44" t="s">
        <v>93</v>
      </c>
      <c r="E44">
        <f>_xlfn.XLOOKUP(D44,RUC!$B$3:$B$123,RUC!$D$3:$D$123)</f>
        <v>20169040231</v>
      </c>
      <c r="G44" s="1082">
        <v>24</v>
      </c>
      <c r="H44" t="s">
        <v>69</v>
      </c>
      <c r="I44" s="703">
        <v>2.48</v>
      </c>
      <c r="J44" s="596">
        <v>1.03</v>
      </c>
      <c r="K44" s="138">
        <f t="shared" si="0"/>
        <v>2.4540000000000002</v>
      </c>
      <c r="L44" s="994">
        <v>0.28199999999999997</v>
      </c>
      <c r="M44" s="762">
        <v>0.26900000000000002</v>
      </c>
      <c r="N44" s="159">
        <v>0.26900000000000002</v>
      </c>
      <c r="O44" s="645">
        <f t="shared" si="11"/>
        <v>0.26900000000000002</v>
      </c>
      <c r="P44" s="727">
        <v>75</v>
      </c>
      <c r="Q44" s="596">
        <v>76.569999999999993</v>
      </c>
      <c r="R44" s="706">
        <v>3409.85</v>
      </c>
      <c r="S44" s="765">
        <f t="shared" si="23"/>
        <v>105</v>
      </c>
      <c r="U44" s="1146">
        <f>_xlfn.XLOOKUP(D44,RUC!$B$3:$B$123,RUC!$F$3:$F$123)</f>
        <v>120</v>
      </c>
      <c r="V44" s="715">
        <v>1.1023000000000001</v>
      </c>
      <c r="Y44">
        <f>_xlfn.XLOOKUP(D44,RUC!$B$3:$B$123,RUC!$G$3:$G$123)</f>
        <v>20</v>
      </c>
      <c r="Z44" s="143">
        <f>_xlfn.XLOOKUP(D44,RUC!$B$3:$B$123,RUC!$H$3:$H$123)</f>
        <v>30</v>
      </c>
      <c r="AA44" s="144">
        <f t="shared" si="12"/>
        <v>50</v>
      </c>
      <c r="AB44" s="145">
        <f t="shared" si="21"/>
        <v>560.77003389625008</v>
      </c>
      <c r="AC44" s="145">
        <f>+(S44-T44)*V44-'data 1'!$F$4</f>
        <v>35.741500000000002</v>
      </c>
      <c r="AD44" s="145">
        <f t="shared" si="13"/>
        <v>16.055530687346931</v>
      </c>
      <c r="AE44" s="145">
        <f t="shared" si="14"/>
        <v>-14.884999999999998</v>
      </c>
      <c r="AF44" s="145">
        <f t="shared" si="15"/>
        <v>36.097564714035371</v>
      </c>
      <c r="AG44" s="772">
        <f t="shared" si="22"/>
        <v>90.009595401382313</v>
      </c>
      <c r="AH44" s="146">
        <f t="shared" si="16"/>
        <v>18.167341632886053</v>
      </c>
      <c r="AI44" s="146">
        <f t="shared" si="17"/>
        <v>23.7264485214654</v>
      </c>
      <c r="AJ44" s="156">
        <f t="shared" si="18"/>
        <v>36.452268788013015</v>
      </c>
      <c r="AK44" s="156">
        <f t="shared" si="19"/>
        <v>16.974507053920728</v>
      </c>
      <c r="AL44" s="88"/>
      <c r="AM44" s="716">
        <f t="shared" si="20"/>
        <v>1376.1296631813977</v>
      </c>
      <c r="AN44" s="716" t="str">
        <f>_xlfn.XLOOKUP(D44,RUC!$B$3:$B$578,RUC!$M$3:$M$578)</f>
        <v>Ronald Miranda</v>
      </c>
      <c r="AO44" s="1167" t="s">
        <v>2278</v>
      </c>
      <c r="AP44" t="s">
        <v>2455</v>
      </c>
      <c r="AQ44" t="s">
        <v>2456</v>
      </c>
      <c r="AS44" s="1212"/>
    </row>
    <row r="45" spans="1:45" ht="15" customHeight="1">
      <c r="A45" s="747" t="s">
        <v>2428</v>
      </c>
      <c r="B45" s="595">
        <v>45871</v>
      </c>
      <c r="C45" s="595">
        <v>45860</v>
      </c>
      <c r="D45" t="s">
        <v>93</v>
      </c>
      <c r="E45">
        <f>_xlfn.XLOOKUP(D45,RUC!$B$3:$B$123,RUC!$D$3:$D$123)</f>
        <v>20169040231</v>
      </c>
      <c r="G45" s="1082">
        <v>20</v>
      </c>
      <c r="H45" t="s">
        <v>69</v>
      </c>
      <c r="I45" s="703">
        <v>2.13</v>
      </c>
      <c r="J45" s="596">
        <v>1.01</v>
      </c>
      <c r="K45" s="138">
        <f t="shared" si="0"/>
        <v>2.1080000000000001</v>
      </c>
      <c r="L45" s="994">
        <v>0.48899999999999999</v>
      </c>
      <c r="M45" s="994">
        <v>0.46</v>
      </c>
      <c r="N45" s="159">
        <v>0.46</v>
      </c>
      <c r="O45" s="645">
        <f t="shared" si="11"/>
        <v>0.46</v>
      </c>
      <c r="P45" s="727">
        <v>82</v>
      </c>
      <c r="Q45" s="596">
        <v>82.62</v>
      </c>
      <c r="R45" s="706">
        <v>3409.85</v>
      </c>
      <c r="S45" s="765">
        <f t="shared" si="23"/>
        <v>125</v>
      </c>
      <c r="U45" s="1146">
        <f>_xlfn.XLOOKUP(D45,RUC!$B$3:$B$123,RUC!$F$3:$F$123)</f>
        <v>120</v>
      </c>
      <c r="V45" s="715">
        <v>1.1023000000000001</v>
      </c>
      <c r="Y45">
        <f>_xlfn.XLOOKUP(D45,RUC!$B$3:$B$123,RUC!$G$3:$G$123)</f>
        <v>20</v>
      </c>
      <c r="Z45" s="143">
        <f>_xlfn.XLOOKUP(D45,RUC!$B$3:$B$123,RUC!$H$3:$H$123)</f>
        <v>30</v>
      </c>
      <c r="AA45" s="144">
        <f t="shared" si="12"/>
        <v>50</v>
      </c>
      <c r="AB45" s="145">
        <f t="shared" si="21"/>
        <v>1174.976204266</v>
      </c>
      <c r="AC45" s="145">
        <f>+(S45-T45)*V45-'data 1'!$F$4</f>
        <v>57.787499999999994</v>
      </c>
      <c r="AD45" s="145">
        <f t="shared" si="13"/>
        <v>10.994524537629079</v>
      </c>
      <c r="AE45" s="145">
        <f t="shared" si="14"/>
        <v>-14.884999999999998</v>
      </c>
      <c r="AF45" s="145">
        <f t="shared" si="15"/>
        <v>86.887858373468916</v>
      </c>
      <c r="AG45" s="772">
        <f t="shared" si="22"/>
        <v>157.78488291109798</v>
      </c>
      <c r="AH45" s="146">
        <f t="shared" si="16"/>
        <v>29.199386424254115</v>
      </c>
      <c r="AI45" s="146">
        <f t="shared" si="17"/>
        <v>35.341789426596605</v>
      </c>
      <c r="AJ45" s="156">
        <f t="shared" si="18"/>
        <v>68.204159023491044</v>
      </c>
      <c r="AK45" s="156">
        <f t="shared" si="19"/>
        <v>27.261601169145685</v>
      </c>
      <c r="AL45" s="88"/>
      <c r="AM45" s="716">
        <f t="shared" si="20"/>
        <v>2476.8498385927282</v>
      </c>
      <c r="AN45" s="716" t="str">
        <f>_xlfn.XLOOKUP(D45,RUC!$B$3:$B$578,RUC!$M$3:$M$578)</f>
        <v>Ronald Miranda</v>
      </c>
      <c r="AO45" s="1167" t="s">
        <v>2280</v>
      </c>
      <c r="AP45" t="s">
        <v>2455</v>
      </c>
      <c r="AQ45" t="s">
        <v>2456</v>
      </c>
      <c r="AS45" s="1212"/>
    </row>
    <row r="46" spans="1:45" ht="15" customHeight="1">
      <c r="A46" s="747" t="s">
        <v>2429</v>
      </c>
      <c r="B46" s="1090">
        <v>45874</v>
      </c>
      <c r="C46" s="595">
        <v>45860</v>
      </c>
      <c r="D46" t="s">
        <v>93</v>
      </c>
      <c r="E46">
        <f>_xlfn.XLOOKUP(D46,RUC!$B$3:$B$123,RUC!$D$3:$D$123)</f>
        <v>20169040231</v>
      </c>
      <c r="G46" s="1082">
        <v>14</v>
      </c>
      <c r="H46" t="s">
        <v>69</v>
      </c>
      <c r="I46" s="703">
        <v>1.28</v>
      </c>
      <c r="J46" s="596">
        <v>24.7</v>
      </c>
      <c r="K46" s="138">
        <f t="shared" si="0"/>
        <v>0.96399999999999997</v>
      </c>
      <c r="L46" s="994">
        <v>1.2230000000000001</v>
      </c>
      <c r="M46" s="994">
        <v>1.1499999999999999</v>
      </c>
      <c r="N46" s="159">
        <v>1.1499999999999999</v>
      </c>
      <c r="O46" s="645">
        <f t="shared" si="11"/>
        <v>1.1499999999999999</v>
      </c>
      <c r="P46" s="727">
        <v>83</v>
      </c>
      <c r="Q46" s="1203">
        <v>82.91</v>
      </c>
      <c r="R46" s="706">
        <v>3409.85</v>
      </c>
      <c r="S46" s="765">
        <f t="shared" si="23"/>
        <v>195</v>
      </c>
      <c r="U46" s="1146">
        <f>_xlfn.XLOOKUP(D46,RUC!$B$3:$B$123,RUC!$F$3:$F$123)</f>
        <v>120</v>
      </c>
      <c r="V46" s="715">
        <v>1.1023000000000001</v>
      </c>
      <c r="Y46">
        <f>_xlfn.XLOOKUP(D46,RUC!$B$3:$B$123,RUC!$G$3:$G$123)</f>
        <v>20</v>
      </c>
      <c r="Z46" s="143">
        <f>_xlfn.XLOOKUP(D46,RUC!$B$3:$B$123,RUC!$H$3:$H$123)</f>
        <v>30</v>
      </c>
      <c r="AA46" s="144">
        <f t="shared" si="12"/>
        <v>50</v>
      </c>
      <c r="AB46" s="145">
        <f t="shared" si="21"/>
        <v>3191.3368796974992</v>
      </c>
      <c r="AC46" s="145">
        <f>+(S46-T46)*V46-'data 1'!$F$4</f>
        <v>134.94850000000002</v>
      </c>
      <c r="AD46" s="145">
        <f t="shared" si="13"/>
        <v>-3.9915803016586513</v>
      </c>
      <c r="AE46" s="145">
        <f t="shared" si="14"/>
        <v>-14.884999999999998</v>
      </c>
      <c r="AF46" s="145">
        <f t="shared" si="15"/>
        <v>219.48542168771704</v>
      </c>
      <c r="AG46" s="772">
        <f t="shared" si="22"/>
        <v>352.5573413860584</v>
      </c>
      <c r="AH46" s="146">
        <f t="shared" si="16"/>
        <v>33.513476030402146</v>
      </c>
      <c r="AI46" s="146">
        <f t="shared" si="17"/>
        <v>40.421512520084605</v>
      </c>
      <c r="AJ46" s="156">
        <f t="shared" si="18"/>
        <v>171.17888008547862</v>
      </c>
      <c r="AK46" s="156">
        <f t="shared" si="19"/>
        <v>31.5472883895509</v>
      </c>
      <c r="AL46" s="88"/>
      <c r="AM46" s="716">
        <f t="shared" si="20"/>
        <v>3076.4487520283892</v>
      </c>
      <c r="AN46" s="716" t="str">
        <f>_xlfn.XLOOKUP(D46,RUC!$B$3:$B$578,RUC!$M$3:$M$578)</f>
        <v>Ronald Miranda</v>
      </c>
      <c r="AO46" s="1167" t="s">
        <v>2280</v>
      </c>
      <c r="AP46" t="s">
        <v>2455</v>
      </c>
      <c r="AQ46" t="s">
        <v>2456</v>
      </c>
      <c r="AS46" s="1212"/>
    </row>
    <row r="47" spans="1:45" ht="15" customHeight="1">
      <c r="A47" s="747" t="s">
        <v>2430</v>
      </c>
      <c r="B47" s="595">
        <v>45871</v>
      </c>
      <c r="C47" s="595">
        <v>45861</v>
      </c>
      <c r="D47" t="s">
        <v>2444</v>
      </c>
      <c r="E47">
        <f>_xlfn.XLOOKUP(D47,RUC!$B$3:$B$123,RUC!$D$3:$D$123)</f>
        <v>20608774000</v>
      </c>
      <c r="G47" s="1082">
        <v>12</v>
      </c>
      <c r="H47" t="s">
        <v>69</v>
      </c>
      <c r="I47" s="703">
        <v>0.91</v>
      </c>
      <c r="J47" s="596">
        <v>1.01</v>
      </c>
      <c r="K47" s="138">
        <f t="shared" si="0"/>
        <v>0.90100000000000002</v>
      </c>
      <c r="L47" s="994">
        <v>0.25</v>
      </c>
      <c r="M47" s="762">
        <v>0.23499999999999999</v>
      </c>
      <c r="N47" s="159">
        <v>0.23499999999999999</v>
      </c>
      <c r="O47" s="645">
        <f t="shared" si="11"/>
        <v>0.23499999999999999</v>
      </c>
      <c r="P47" s="727">
        <v>90</v>
      </c>
      <c r="Q47" s="596">
        <v>92</v>
      </c>
      <c r="R47" s="706">
        <v>3413.55</v>
      </c>
      <c r="S47" s="765">
        <f t="shared" si="23"/>
        <v>105</v>
      </c>
      <c r="U47" s="1146">
        <f>_xlfn.XLOOKUP(D47,RUC!$B$3:$B$123,RUC!$F$3:$F$123)</f>
        <v>120</v>
      </c>
      <c r="V47" s="715">
        <v>1.1023000000000001</v>
      </c>
      <c r="Y47">
        <f>_xlfn.XLOOKUP(D47,RUC!$B$3:$B$123,RUC!$G$3:$G$123)</f>
        <v>20</v>
      </c>
      <c r="Z47" s="143">
        <f>_xlfn.XLOOKUP(D47,RUC!$B$3:$B$123,RUC!$H$3:$H$123)</f>
        <v>30</v>
      </c>
      <c r="AA47" s="144">
        <f t="shared" si="12"/>
        <v>50</v>
      </c>
      <c r="AB47" s="145">
        <f t="shared" si="21"/>
        <v>596.99005489750004</v>
      </c>
      <c r="AC47" s="145">
        <f>+(S47-T47)*V47-'data 1'!$F$4</f>
        <v>35.741500000000002</v>
      </c>
      <c r="AD47" s="145">
        <f t="shared" si="13"/>
        <v>18.152400825000001</v>
      </c>
      <c r="AE47" s="145">
        <f t="shared" si="14"/>
        <v>-14.884999999999998</v>
      </c>
      <c r="AF47" s="145">
        <f t="shared" si="15"/>
        <v>50.100626277000053</v>
      </c>
      <c r="AG47" s="772">
        <f t="shared" si="22"/>
        <v>106.10952710200007</v>
      </c>
      <c r="AH47" s="146">
        <f t="shared" si="16"/>
        <v>7.1049609656015003</v>
      </c>
      <c r="AI47" s="146">
        <f t="shared" si="17"/>
        <v>7.7227836582625002</v>
      </c>
      <c r="AJ47" s="156">
        <f t="shared" si="18"/>
        <v>37.889909049999957</v>
      </c>
      <c r="AK47" s="156">
        <f t="shared" si="19"/>
        <v>6.5334749748900753</v>
      </c>
      <c r="AL47" s="88"/>
      <c r="AM47" s="716">
        <f t="shared" si="20"/>
        <v>537.8880394626475</v>
      </c>
      <c r="AN47" s="716" t="str">
        <f>_xlfn.XLOOKUP(D47,RUC!$B$3:$B$578,RUC!$M$3:$M$578)</f>
        <v>Ronald Miranda</v>
      </c>
      <c r="AO47" s="1167" t="s">
        <v>2277</v>
      </c>
      <c r="AP47" t="s">
        <v>2457</v>
      </c>
      <c r="AQ47" t="s">
        <v>2458</v>
      </c>
      <c r="AS47" s="1212"/>
    </row>
    <row r="48" spans="1:45" ht="15" customHeight="1">
      <c r="A48" s="747" t="s">
        <v>2432</v>
      </c>
      <c r="B48" s="595">
        <v>45874</v>
      </c>
      <c r="C48" s="595">
        <v>45861</v>
      </c>
      <c r="D48" t="s">
        <v>2444</v>
      </c>
      <c r="E48">
        <f>_xlfn.XLOOKUP(D48,RUC!$B$3:$B$123,RUC!$D$3:$D$123)</f>
        <v>20608774000</v>
      </c>
      <c r="G48" s="1082">
        <v>50</v>
      </c>
      <c r="H48" t="s">
        <v>69</v>
      </c>
      <c r="I48" s="703">
        <v>4.71</v>
      </c>
      <c r="J48" s="596">
        <v>1.03</v>
      </c>
      <c r="K48" s="138">
        <f t="shared" si="0"/>
        <v>4.6609999999999996</v>
      </c>
      <c r="L48" s="994">
        <v>0.16900000000000001</v>
      </c>
      <c r="M48" s="762">
        <v>0.152</v>
      </c>
      <c r="N48" s="159">
        <v>0.152</v>
      </c>
      <c r="O48" s="645">
        <f t="shared" si="11"/>
        <v>0.152</v>
      </c>
      <c r="P48" s="727">
        <v>64</v>
      </c>
      <c r="Q48" s="596">
        <v>58.78</v>
      </c>
      <c r="R48" s="706">
        <v>3413.55</v>
      </c>
      <c r="S48" s="765">
        <f t="shared" si="23"/>
        <v>95</v>
      </c>
      <c r="U48" s="1146">
        <f>_xlfn.XLOOKUP(D48,RUC!$B$3:$B$123,RUC!$F$3:$F$123)</f>
        <v>120</v>
      </c>
      <c r="V48" s="715">
        <v>1.1023000000000001</v>
      </c>
      <c r="Y48">
        <f>_xlfn.XLOOKUP(D48,RUC!$B$3:$B$123,RUC!$G$3:$G$123)</f>
        <v>20</v>
      </c>
      <c r="Z48" s="143">
        <f>_xlfn.XLOOKUP(D48,RUC!$B$3:$B$123,RUC!$H$3:$H$123)</f>
        <v>30</v>
      </c>
      <c r="AA48" s="144">
        <f t="shared" si="12"/>
        <v>50</v>
      </c>
      <c r="AB48" s="145">
        <f t="shared" si="21"/>
        <v>193.33961045120003</v>
      </c>
      <c r="AC48" s="145">
        <f>+(S48-T48)*V48-'data 1'!$F$4</f>
        <v>24.718500000000006</v>
      </c>
      <c r="AD48" s="145">
        <f t="shared" si="13"/>
        <v>-32.027369919597</v>
      </c>
      <c r="AE48" s="145">
        <f t="shared" si="14"/>
        <v>-14.884999999999998</v>
      </c>
      <c r="AF48" s="145">
        <f t="shared" si="15"/>
        <v>36.277936096779037</v>
      </c>
      <c r="AG48" s="772">
        <f>AC48+AD48+AE48+AF48+70-53</f>
        <v>31.084066177182052</v>
      </c>
      <c r="AH48" s="146">
        <f t="shared" si="16"/>
        <v>15.874660954713642</v>
      </c>
      <c r="AI48" s="146">
        <f t="shared" si="17"/>
        <v>27.006908735477452</v>
      </c>
      <c r="AJ48" s="156">
        <f t="shared" si="18"/>
        <v>16.364849405176983</v>
      </c>
      <c r="AK48" s="156">
        <f t="shared" si="19"/>
        <v>15.545751963238143</v>
      </c>
      <c r="AL48" s="88"/>
      <c r="AM48" s="716">
        <f t="shared" si="20"/>
        <v>901.15592431304322</v>
      </c>
      <c r="AN48" s="716" t="str">
        <f>_xlfn.XLOOKUP(D48,RUC!$B$3:$B$578,RUC!$M$3:$M$578)</f>
        <v>Ronald Miranda</v>
      </c>
      <c r="AO48" s="1167" t="s">
        <v>2278</v>
      </c>
      <c r="AP48" t="s">
        <v>2457</v>
      </c>
      <c r="AQ48" t="s">
        <v>2458</v>
      </c>
      <c r="AS48" s="1212"/>
    </row>
    <row r="49" spans="1:45" ht="15" customHeight="1">
      <c r="A49" s="747" t="s">
        <v>2433</v>
      </c>
      <c r="B49" s="595">
        <v>45874</v>
      </c>
      <c r="C49" s="595">
        <v>45861</v>
      </c>
      <c r="D49" t="s">
        <v>2444</v>
      </c>
      <c r="E49">
        <f>_xlfn.XLOOKUP(D49,RUC!$B$3:$B$123,RUC!$D$3:$D$123)</f>
        <v>20608774000</v>
      </c>
      <c r="G49" s="1082">
        <v>14</v>
      </c>
      <c r="H49" t="s">
        <v>69</v>
      </c>
      <c r="I49" s="703">
        <v>1.3</v>
      </c>
      <c r="J49" s="596">
        <v>1.1000000000000001</v>
      </c>
      <c r="K49" s="138">
        <f t="shared" si="0"/>
        <v>1.286</v>
      </c>
      <c r="L49" s="1196">
        <v>0.14199999999999999</v>
      </c>
      <c r="M49" s="762">
        <v>0.125</v>
      </c>
      <c r="N49" s="159">
        <v>0.125</v>
      </c>
      <c r="O49" s="645">
        <f t="shared" si="11"/>
        <v>0.125</v>
      </c>
      <c r="P49" s="727">
        <v>79</v>
      </c>
      <c r="Q49" s="596">
        <v>79.37</v>
      </c>
      <c r="R49" s="706">
        <v>3413.55</v>
      </c>
      <c r="S49" s="765">
        <f t="shared" si="23"/>
        <v>95</v>
      </c>
      <c r="U49" s="1146">
        <f>_xlfn.XLOOKUP(D49,RUC!$B$3:$B$123,RUC!$F$3:$F$123)</f>
        <v>120</v>
      </c>
      <c r="V49" s="715">
        <v>1.1023000000000001</v>
      </c>
      <c r="Y49">
        <f>_xlfn.XLOOKUP(D49,RUC!$B$3:$B$123,RUC!$G$3:$G$123)</f>
        <v>20</v>
      </c>
      <c r="Z49" s="143">
        <f>_xlfn.XLOOKUP(D49,RUC!$B$3:$B$123,RUC!$H$3:$H$123)</f>
        <v>30</v>
      </c>
      <c r="AA49" s="144">
        <f t="shared" si="12"/>
        <v>50</v>
      </c>
      <c r="AB49" s="145">
        <f t="shared" si="21"/>
        <v>198.67641629375004</v>
      </c>
      <c r="AC49" s="145">
        <f>+(S49-T49)*V49-'data 1'!$F$4</f>
        <v>24.718500000000006</v>
      </c>
      <c r="AD49" s="145">
        <f t="shared" si="13"/>
        <v>1.9074542786910231</v>
      </c>
      <c r="AE49" s="145">
        <f t="shared" si="14"/>
        <v>-14.884999999999998</v>
      </c>
      <c r="AF49" s="145">
        <f t="shared" si="15"/>
        <v>48.985705818328476</v>
      </c>
      <c r="AG49" s="772">
        <f t="shared" si="22"/>
        <v>77.726660097019504</v>
      </c>
      <c r="AH49" s="146">
        <f t="shared" si="16"/>
        <v>4.9692948093889857</v>
      </c>
      <c r="AI49" s="146">
        <f t="shared" si="17"/>
        <v>6.2609232825866012</v>
      </c>
      <c r="AJ49" s="156">
        <f t="shared" si="18"/>
        <v>18.566945023668978</v>
      </c>
      <c r="AK49" s="156">
        <f t="shared" si="19"/>
        <v>4.3539871419396254</v>
      </c>
      <c r="AL49" s="88"/>
      <c r="AM49" s="716">
        <f t="shared" si="20"/>
        <v>255.49787135376255</v>
      </c>
      <c r="AN49" s="716" t="str">
        <f>_xlfn.XLOOKUP(D49,RUC!$B$3:$B$578,RUC!$M$3:$M$578)</f>
        <v>Ronald Miranda</v>
      </c>
      <c r="AO49" s="1167" t="s">
        <v>2278</v>
      </c>
      <c r="AP49" t="s">
        <v>2457</v>
      </c>
      <c r="AQ49" t="s">
        <v>2458</v>
      </c>
      <c r="AS49" s="1212"/>
    </row>
    <row r="50" spans="1:45" ht="15" customHeight="1">
      <c r="A50" s="747" t="s">
        <v>2434</v>
      </c>
      <c r="B50" s="595">
        <v>45874</v>
      </c>
      <c r="C50" s="595">
        <v>45861</v>
      </c>
      <c r="D50" t="s">
        <v>93</v>
      </c>
      <c r="E50">
        <f>_xlfn.XLOOKUP(D50,RUC!$B$3:$B$123,RUC!$D$3:$D$123)</f>
        <v>20169040231</v>
      </c>
      <c r="G50" s="1082">
        <v>25</v>
      </c>
      <c r="H50" t="s">
        <v>69</v>
      </c>
      <c r="I50" s="703">
        <v>2.33</v>
      </c>
      <c r="J50" s="596">
        <v>1.02</v>
      </c>
      <c r="K50" s="138">
        <f t="shared" si="0"/>
        <v>2.306</v>
      </c>
      <c r="L50" s="994">
        <v>0.44</v>
      </c>
      <c r="M50" s="762">
        <v>0.41399999999999998</v>
      </c>
      <c r="N50" s="159">
        <v>0.41399999999999998</v>
      </c>
      <c r="O50" s="645">
        <f t="shared" si="11"/>
        <v>0.41399999999999998</v>
      </c>
      <c r="P50" s="727">
        <v>80</v>
      </c>
      <c r="Q50" s="596">
        <v>79.55</v>
      </c>
      <c r="R50" s="706">
        <v>3413.55</v>
      </c>
      <c r="S50" s="765">
        <f t="shared" si="23"/>
        <v>125</v>
      </c>
      <c r="U50" s="1146">
        <f>_xlfn.XLOOKUP(D50,RUC!$B$3:$B$123,RUC!$F$3:$F$123)</f>
        <v>120</v>
      </c>
      <c r="V50" s="715">
        <v>1.1023000000000001</v>
      </c>
      <c r="Y50">
        <f>_xlfn.XLOOKUP(D50,RUC!$B$3:$B$123,RUC!$G$3:$G$123)</f>
        <v>20</v>
      </c>
      <c r="Z50" s="143">
        <f>_xlfn.XLOOKUP(D50,RUC!$B$3:$B$123,RUC!$H$3:$H$123)</f>
        <v>30</v>
      </c>
      <c r="AA50" s="144">
        <f t="shared" si="12"/>
        <v>50</v>
      </c>
      <c r="AB50" s="145">
        <f t="shared" si="21"/>
        <v>1009.5125306480001</v>
      </c>
      <c r="AC50" s="145">
        <f>+(S50-T50)*V50-'data 1'!$F$4</f>
        <v>57.787499999999994</v>
      </c>
      <c r="AD50" s="145">
        <f t="shared" si="13"/>
        <v>-7.1883507267000457</v>
      </c>
      <c r="AE50" s="145">
        <f t="shared" si="14"/>
        <v>-14.884999999999998</v>
      </c>
      <c r="AF50" s="145">
        <f t="shared" si="15"/>
        <v>75.089221252695083</v>
      </c>
      <c r="AG50" s="772">
        <f t="shared" si="22"/>
        <v>127.80337052599504</v>
      </c>
      <c r="AH50" s="146">
        <f t="shared" si="16"/>
        <v>27.673317937251866</v>
      </c>
      <c r="AI50" s="146">
        <f t="shared" si="17"/>
        <v>34.787326131051998</v>
      </c>
      <c r="AJ50" s="156">
        <f t="shared" si="18"/>
        <v>57.661852024699925</v>
      </c>
      <c r="AK50" s="156">
        <f t="shared" si="19"/>
        <v>26.185369124100962</v>
      </c>
      <c r="AL50" s="88"/>
      <c r="AM50" s="716">
        <f t="shared" si="20"/>
        <v>2327.9358956742881</v>
      </c>
      <c r="AN50" s="716" t="str">
        <f>_xlfn.XLOOKUP(D50,RUC!$B$3:$B$578,RUC!$M$3:$M$578)</f>
        <v>Ronald Miranda</v>
      </c>
      <c r="AO50" s="1167" t="s">
        <v>2278</v>
      </c>
      <c r="AP50" t="s">
        <v>2459</v>
      </c>
      <c r="AQ50" t="s">
        <v>2460</v>
      </c>
      <c r="AS50" s="1212"/>
    </row>
    <row r="51" spans="1:45" ht="15" customHeight="1">
      <c r="A51" s="747" t="s">
        <v>2435</v>
      </c>
      <c r="B51" s="595">
        <v>45874</v>
      </c>
      <c r="C51" s="595">
        <v>45861</v>
      </c>
      <c r="D51" t="s">
        <v>93</v>
      </c>
      <c r="E51">
        <f>_xlfn.XLOOKUP(D51,RUC!$B$3:$B$123,RUC!$D$3:$D$123)</f>
        <v>20169040231</v>
      </c>
      <c r="G51" s="1082">
        <v>17</v>
      </c>
      <c r="H51" t="s">
        <v>69</v>
      </c>
      <c r="I51" s="703">
        <v>1.44</v>
      </c>
      <c r="J51" s="596">
        <v>1.3</v>
      </c>
      <c r="K51" s="138">
        <f t="shared" si="0"/>
        <v>1.421</v>
      </c>
      <c r="L51" s="994">
        <v>0.39200000000000002</v>
      </c>
      <c r="M51" s="762">
        <v>0.36799999999999999</v>
      </c>
      <c r="N51" s="159">
        <v>0.36799999999999999</v>
      </c>
      <c r="O51" s="645">
        <f t="shared" si="11"/>
        <v>0.36799999999999999</v>
      </c>
      <c r="P51" s="727">
        <v>81</v>
      </c>
      <c r="Q51" s="596">
        <v>81.38</v>
      </c>
      <c r="R51" s="706">
        <v>3413.55</v>
      </c>
      <c r="S51" s="765">
        <f t="shared" si="23"/>
        <v>115</v>
      </c>
      <c r="U51" s="1146">
        <f>_xlfn.XLOOKUP(D51,RUC!$B$3:$B$123,RUC!$F$3:$F$123)</f>
        <v>120</v>
      </c>
      <c r="V51" s="715">
        <v>1.1023000000000001</v>
      </c>
      <c r="Y51">
        <f>_xlfn.XLOOKUP(D51,RUC!$B$3:$B$123,RUC!$G$3:$G$123)</f>
        <v>20</v>
      </c>
      <c r="Z51" s="143">
        <f>_xlfn.XLOOKUP(D51,RUC!$B$3:$B$123,RUC!$H$3:$H$123)</f>
        <v>30</v>
      </c>
      <c r="AA51" s="144">
        <f t="shared" si="12"/>
        <v>50</v>
      </c>
      <c r="AB51" s="145">
        <f t="shared" si="21"/>
        <v>900.2940275832002</v>
      </c>
      <c r="AC51" s="145">
        <f>+(S51-T51)*V51-'data 1'!$F$4</f>
        <v>46.764500000000012</v>
      </c>
      <c r="AD51" s="145">
        <f t="shared" si="13"/>
        <v>5.4079632537839366</v>
      </c>
      <c r="AE51" s="145">
        <f t="shared" si="14"/>
        <v>-14.884999999999998</v>
      </c>
      <c r="AF51" s="145">
        <f t="shared" si="15"/>
        <v>70.907634198648068</v>
      </c>
      <c r="AG51" s="772">
        <f t="shared" si="22"/>
        <v>125.19509745243201</v>
      </c>
      <c r="AH51" s="146">
        <f t="shared" si="16"/>
        <v>15.541999825226574</v>
      </c>
      <c r="AI51" s="146">
        <f t="shared" si="17"/>
        <v>19.098058276267601</v>
      </c>
      <c r="AJ51" s="156">
        <f t="shared" si="18"/>
        <v>52.553237956855938</v>
      </c>
      <c r="AK51" s="156">
        <f t="shared" si="19"/>
        <v>14.522319415790426</v>
      </c>
      <c r="AL51" s="88"/>
      <c r="AM51" s="716">
        <f t="shared" si="20"/>
        <v>1279.3178131957275</v>
      </c>
      <c r="AN51" s="716" t="str">
        <f>_xlfn.XLOOKUP(D51,RUC!$B$3:$B$578,RUC!$M$3:$M$578)</f>
        <v>Ronald Miranda</v>
      </c>
      <c r="AO51" s="1167" t="s">
        <v>2280</v>
      </c>
      <c r="AP51" t="s">
        <v>2459</v>
      </c>
      <c r="AQ51" t="s">
        <v>2460</v>
      </c>
      <c r="AS51" s="1212"/>
    </row>
    <row r="52" spans="1:45" ht="15" customHeight="1">
      <c r="A52" s="747" t="s">
        <v>2437</v>
      </c>
      <c r="B52" s="595">
        <v>45874</v>
      </c>
      <c r="C52" s="595">
        <v>45861</v>
      </c>
      <c r="D52" t="s">
        <v>93</v>
      </c>
      <c r="E52">
        <f>_xlfn.XLOOKUP(D52,RUC!$B$3:$B$123,RUC!$D$3:$D$123)</f>
        <v>20169040231</v>
      </c>
      <c r="G52" s="1082">
        <v>12</v>
      </c>
      <c r="H52" t="s">
        <v>69</v>
      </c>
      <c r="I52" s="703">
        <v>1.23</v>
      </c>
      <c r="J52" s="596">
        <v>3.15</v>
      </c>
      <c r="K52" s="138">
        <f t="shared" si="0"/>
        <v>1.1910000000000001</v>
      </c>
      <c r="L52" s="994">
        <v>0.35899999999999999</v>
      </c>
      <c r="M52" s="762">
        <v>0.36799999999999999</v>
      </c>
      <c r="N52" s="159">
        <v>0.36799999999999999</v>
      </c>
      <c r="O52" s="645">
        <f t="shared" si="11"/>
        <v>0.36799999999999999</v>
      </c>
      <c r="P52" s="727">
        <v>90</v>
      </c>
      <c r="Q52" s="596">
        <v>94.71</v>
      </c>
      <c r="R52" s="706">
        <v>3413.55</v>
      </c>
      <c r="S52" s="765">
        <f t="shared" si="23"/>
        <v>115</v>
      </c>
      <c r="U52" s="1146">
        <f>_xlfn.XLOOKUP(D52,RUC!$B$3:$B$123,RUC!$F$3:$F$123)</f>
        <v>120</v>
      </c>
      <c r="V52" s="715">
        <v>1.1023000000000001</v>
      </c>
      <c r="Y52">
        <f>_xlfn.XLOOKUP(D52,RUC!$B$3:$B$123,RUC!$G$3:$G$123)</f>
        <v>20</v>
      </c>
      <c r="Z52" s="143">
        <f>_xlfn.XLOOKUP(D52,RUC!$B$3:$B$123,RUC!$H$3:$H$123)</f>
        <v>30</v>
      </c>
      <c r="AA52" s="144">
        <f t="shared" si="12"/>
        <v>50</v>
      </c>
      <c r="AB52" s="145">
        <f t="shared" si="21"/>
        <v>1020.5355306480001</v>
      </c>
      <c r="AC52" s="145">
        <f>+(S52-T52)*V52-'data 1'!$F$4</f>
        <v>46.764500000000012</v>
      </c>
      <c r="AD52" s="145">
        <f t="shared" si="13"/>
        <v>61.387426061968426</v>
      </c>
      <c r="AE52" s="145">
        <f t="shared" si="14"/>
        <v>-14.884999999999998</v>
      </c>
      <c r="AF52" s="145">
        <f t="shared" si="15"/>
        <v>-30.945849878443529</v>
      </c>
      <c r="AG52" s="772">
        <f t="shared" si="22"/>
        <v>79.321076183524895</v>
      </c>
      <c r="AH52" s="146">
        <f t="shared" si="16"/>
        <v>13.883888458651789</v>
      </c>
      <c r="AI52" s="146">
        <f t="shared" si="17"/>
        <v>14.659369083150452</v>
      </c>
      <c r="AJ52" s="156">
        <f t="shared" si="18"/>
        <v>56.01263607474143</v>
      </c>
      <c r="AK52" s="156">
        <f t="shared" si="19"/>
        <v>13.524186741892564</v>
      </c>
      <c r="AL52" s="88"/>
      <c r="AM52" s="716">
        <f t="shared" si="20"/>
        <v>1215.4578170017683</v>
      </c>
      <c r="AN52" s="716" t="str">
        <f>_xlfn.XLOOKUP(D52,RUC!$B$3:$B$578,RUC!$M$3:$M$578)</f>
        <v>Ronald Miranda</v>
      </c>
      <c r="AO52" s="1167" t="s">
        <v>2277</v>
      </c>
      <c r="AP52" t="s">
        <v>2459</v>
      </c>
      <c r="AQ52" t="s">
        <v>2460</v>
      </c>
      <c r="AR52" t="s">
        <v>2503</v>
      </c>
      <c r="AS52" s="1212"/>
    </row>
    <row r="53" spans="1:45" ht="15" customHeight="1">
      <c r="A53" s="747" t="s">
        <v>2438</v>
      </c>
      <c r="B53" s="595">
        <v>45873</v>
      </c>
      <c r="C53" s="595">
        <v>45861</v>
      </c>
      <c r="D53" t="s">
        <v>93</v>
      </c>
      <c r="E53">
        <f>_xlfn.XLOOKUP(D53,RUC!$B$3:$B$123,RUC!$D$3:$D$123)</f>
        <v>20169040231</v>
      </c>
      <c r="G53" s="1082">
        <v>46</v>
      </c>
      <c r="H53" t="s">
        <v>69</v>
      </c>
      <c r="I53" s="703">
        <v>3.93</v>
      </c>
      <c r="J53" s="596">
        <v>1.04</v>
      </c>
      <c r="K53" s="138">
        <f t="shared" si="0"/>
        <v>3.8889999999999998</v>
      </c>
      <c r="L53" s="994">
        <v>0.35599999999999998</v>
      </c>
      <c r="M53" s="762">
        <v>0.33500000000000002</v>
      </c>
      <c r="N53" s="159">
        <v>0.33500000000000002</v>
      </c>
      <c r="O53" s="645">
        <f t="shared" si="11"/>
        <v>0.33500000000000002</v>
      </c>
      <c r="P53" s="727">
        <v>72</v>
      </c>
      <c r="Q53" s="596">
        <v>74.72</v>
      </c>
      <c r="R53" s="706">
        <v>3413.55</v>
      </c>
      <c r="S53" s="765">
        <f t="shared" si="23"/>
        <v>115</v>
      </c>
      <c r="U53" s="1146">
        <f>_xlfn.XLOOKUP(D53,RUC!$B$3:$B$123,RUC!$F$3:$F$123)</f>
        <v>120</v>
      </c>
      <c r="V53" s="715">
        <v>1.1023000000000001</v>
      </c>
      <c r="Y53">
        <f>_xlfn.XLOOKUP(D53,RUC!$B$3:$B$123,RUC!$G$3:$G$123)</f>
        <v>20</v>
      </c>
      <c r="Z53" s="143">
        <f>_xlfn.XLOOKUP(D53,RUC!$B$3:$B$123,RUC!$H$3:$H$123)</f>
        <v>30</v>
      </c>
      <c r="AA53" s="144">
        <f t="shared" si="12"/>
        <v>50</v>
      </c>
      <c r="AB53" s="145">
        <f t="shared" si="21"/>
        <v>693.792315798</v>
      </c>
      <c r="AC53" s="145">
        <f>+(S53-T53)*V53-'data 1'!$F$4</f>
        <v>46.764500000000012</v>
      </c>
      <c r="AD53" s="145">
        <f t="shared" si="13"/>
        <v>35.154665533727986</v>
      </c>
      <c r="AE53" s="145">
        <f t="shared" si="14"/>
        <v>-14.884999999999998</v>
      </c>
      <c r="AF53" s="145">
        <f t="shared" si="15"/>
        <v>56.966590365047907</v>
      </c>
      <c r="AG53" s="772">
        <f t="shared" si="22"/>
        <v>141.00075589877594</v>
      </c>
      <c r="AH53" s="146">
        <f t="shared" si="16"/>
        <v>35.467769192432904</v>
      </c>
      <c r="AI53" s="146">
        <f t="shared" si="17"/>
        <v>47.467571189016205</v>
      </c>
      <c r="AJ53" s="156">
        <f t="shared" si="18"/>
        <v>43.821030673951945</v>
      </c>
      <c r="AK53" s="156">
        <f t="shared" si="19"/>
        <v>32.160612839299745</v>
      </c>
      <c r="AL53" s="88"/>
      <c r="AM53" s="716">
        <f t="shared" si="20"/>
        <v>2698.1583161384219</v>
      </c>
      <c r="AN53" s="716" t="str">
        <f>_xlfn.XLOOKUP(D53,RUC!$B$3:$B$578,RUC!$M$3:$M$578)</f>
        <v>Ronald Miranda</v>
      </c>
      <c r="AO53" s="1167" t="s">
        <v>2278</v>
      </c>
      <c r="AP53" t="s">
        <v>2459</v>
      </c>
      <c r="AQ53" t="s">
        <v>2460</v>
      </c>
      <c r="AS53" s="1212"/>
    </row>
    <row r="54" spans="1:45" ht="15" customHeight="1">
      <c r="A54" s="747" t="s">
        <v>2439</v>
      </c>
      <c r="B54" s="595">
        <v>45873</v>
      </c>
      <c r="C54" s="595">
        <v>45861</v>
      </c>
      <c r="D54" t="s">
        <v>93</v>
      </c>
      <c r="E54">
        <f>_xlfn.XLOOKUP(D54,RUC!$B$3:$B$123,RUC!$D$3:$D$123)</f>
        <v>20169040231</v>
      </c>
      <c r="G54" s="1082">
        <v>60</v>
      </c>
      <c r="H54" t="s">
        <v>69</v>
      </c>
      <c r="I54" s="703">
        <v>4.6900000000000004</v>
      </c>
      <c r="J54" s="596">
        <v>37.200000000000003</v>
      </c>
      <c r="K54" s="138">
        <f t="shared" si="0"/>
        <v>2.9449999999999998</v>
      </c>
      <c r="L54" s="994">
        <v>0.46899999999999997</v>
      </c>
      <c r="M54" s="762">
        <v>0.441</v>
      </c>
      <c r="N54" s="159">
        <v>0.441</v>
      </c>
      <c r="O54" s="645">
        <f t="shared" si="11"/>
        <v>0.441</v>
      </c>
      <c r="P54" s="727">
        <v>70</v>
      </c>
      <c r="Q54" s="596">
        <v>71</v>
      </c>
      <c r="R54" s="706">
        <v>3413.55</v>
      </c>
      <c r="S54" s="765">
        <f t="shared" si="23"/>
        <v>125</v>
      </c>
      <c r="U54" s="1146">
        <f>_xlfn.XLOOKUP(D54,RUC!$B$3:$B$123,RUC!$F$3:$F$123)</f>
        <v>120</v>
      </c>
      <c r="V54" s="715">
        <v>1.1023000000000001</v>
      </c>
      <c r="Y54">
        <f>_xlfn.XLOOKUP(D54,RUC!$B$3:$B$123,RUC!$G$3:$G$123)</f>
        <v>20</v>
      </c>
      <c r="Z54" s="143">
        <f>_xlfn.XLOOKUP(D54,RUC!$B$3:$B$123,RUC!$H$3:$H$123)</f>
        <v>30</v>
      </c>
      <c r="AA54" s="144">
        <f t="shared" si="12"/>
        <v>50</v>
      </c>
      <c r="AB54" s="145">
        <f t="shared" si="21"/>
        <v>927.82672693550012</v>
      </c>
      <c r="AC54" s="145">
        <f>+(S54-T54)*V54-'data 1'!$F$4</f>
        <v>57.787499999999994</v>
      </c>
      <c r="AD54" s="145">
        <f t="shared" si="13"/>
        <v>17.026951973850004</v>
      </c>
      <c r="AE54" s="145">
        <f t="shared" si="14"/>
        <v>-14.884999999999998</v>
      </c>
      <c r="AF54" s="145">
        <f t="shared" si="15"/>
        <v>72.173945680199935</v>
      </c>
      <c r="AG54" s="772">
        <f t="shared" si="22"/>
        <v>149.10339765404993</v>
      </c>
      <c r="AH54" s="146">
        <f t="shared" si="16"/>
        <v>33.622156075136175</v>
      </c>
      <c r="AI54" s="146">
        <f t="shared" si="17"/>
        <v>47.355149401600244</v>
      </c>
      <c r="AJ54" s="156">
        <f t="shared" si="18"/>
        <v>54.856351367649943</v>
      </c>
      <c r="AK54" s="156">
        <f t="shared" si="19"/>
        <v>31.169583412098078</v>
      </c>
      <c r="AL54" s="88"/>
      <c r="AM54" s="716">
        <f t="shared" si="20"/>
        <v>2732.4497108250475</v>
      </c>
      <c r="AN54" s="716" t="str">
        <f>_xlfn.XLOOKUP(D54,RUC!$B$3:$B$578,RUC!$M$3:$M$578)</f>
        <v>Ronald Miranda</v>
      </c>
      <c r="AO54" s="1167" t="s">
        <v>2278</v>
      </c>
      <c r="AP54" t="s">
        <v>2459</v>
      </c>
      <c r="AQ54" t="s">
        <v>2460</v>
      </c>
      <c r="AS54" s="1212"/>
    </row>
    <row r="55" spans="1:45" ht="15" customHeight="1">
      <c r="A55" s="747" t="s">
        <v>2445</v>
      </c>
      <c r="B55" s="595">
        <v>45868</v>
      </c>
      <c r="C55" s="595">
        <v>45863</v>
      </c>
      <c r="D55" t="s">
        <v>324</v>
      </c>
      <c r="E55">
        <f>_xlfn.XLOOKUP(D55,RUC!$B$3:$B$123,RUC!$D$3:$D$123)</f>
        <v>20603329059</v>
      </c>
      <c r="G55" s="1082">
        <v>19</v>
      </c>
      <c r="H55" t="s">
        <v>108</v>
      </c>
      <c r="I55" s="703">
        <v>1.17</v>
      </c>
      <c r="J55" s="596">
        <v>4.5</v>
      </c>
      <c r="K55" s="138">
        <f t="shared" si="0"/>
        <v>1.117</v>
      </c>
      <c r="L55" s="762">
        <v>0.123</v>
      </c>
      <c r="M55" s="762">
        <v>0.108</v>
      </c>
      <c r="N55" s="159">
        <v>0.108</v>
      </c>
      <c r="O55" s="645">
        <f t="shared" si="11"/>
        <v>0.108</v>
      </c>
      <c r="P55" s="727">
        <v>80</v>
      </c>
      <c r="Q55" s="596">
        <v>91.87</v>
      </c>
      <c r="R55" s="706">
        <v>3343.5</v>
      </c>
      <c r="S55" s="765">
        <f t="shared" ref="S55:S59" si="24">IF((90+ROUNDDOWN(O55,1)*100)&lt;95,95,(90+ROUNDDOWN(O55,1)*100))</f>
        <v>100</v>
      </c>
      <c r="U55" s="1146">
        <f>_xlfn.XLOOKUP(D55,RUC!$B$3:$B$123,RUC!$F$3:$F$123)</f>
        <v>100</v>
      </c>
      <c r="V55" s="715">
        <v>1.1023000000000001</v>
      </c>
      <c r="Y55">
        <f>_xlfn.XLOOKUP(D55,RUC!$B$3:$B$123,RUC!$G$3:$G$123)</f>
        <v>0</v>
      </c>
      <c r="Z55" s="143">
        <f>_xlfn.XLOOKUP(D55,RUC!$B$3:$B$123,RUC!$H$3:$H$123)</f>
        <v>30</v>
      </c>
      <c r="AA55" s="144">
        <f t="shared" si="12"/>
        <v>30</v>
      </c>
      <c r="AB55" s="145">
        <f t="shared" si="21"/>
        <v>165.60778832000003</v>
      </c>
      <c r="AC55" s="145">
        <f>+(S55-T55)*V55-'data 1'!$F$4</f>
        <v>30.230000000000004</v>
      </c>
      <c r="AD55" s="145">
        <f t="shared" si="13"/>
        <v>52.199884261005025</v>
      </c>
      <c r="AE55" s="145">
        <f t="shared" si="14"/>
        <v>-36.930999999999997</v>
      </c>
      <c r="AF55" s="145">
        <f t="shared" si="15"/>
        <v>49.269560144025</v>
      </c>
      <c r="AG55" s="772">
        <f t="shared" ref="AG55:AG89" si="25">AC55+AD55+AE55+AF55+70-53</f>
        <v>111.76844440503004</v>
      </c>
      <c r="AH55" s="146">
        <f t="shared" si="16"/>
        <v>4.3275397947368957</v>
      </c>
      <c r="AI55" s="146">
        <f t="shared" si="17"/>
        <v>4.7105037495775504</v>
      </c>
      <c r="AJ55" s="156">
        <f t="shared" si="18"/>
        <v>24.849722040884998</v>
      </c>
      <c r="AK55" s="156">
        <f t="shared" si="19"/>
        <v>3.3088416582398401</v>
      </c>
      <c r="AL55" s="88"/>
      <c r="AM55" s="716">
        <f t="shared" si="20"/>
        <v>184.98389955344004</v>
      </c>
      <c r="AN55" s="716" t="str">
        <f>_xlfn.XLOOKUP(D55,RUC!$B$3:$B$578,RUC!$M$3:$M$578)</f>
        <v>Yuri Rospigliossi</v>
      </c>
      <c r="AO55" s="1167" t="s">
        <v>2279</v>
      </c>
      <c r="AP55" t="s">
        <v>2463</v>
      </c>
      <c r="AQ55" t="s">
        <v>2464</v>
      </c>
      <c r="AS55" s="1212"/>
    </row>
    <row r="56" spans="1:45" ht="15" customHeight="1">
      <c r="A56" s="747" t="s">
        <v>2466</v>
      </c>
      <c r="B56" s="595">
        <v>45869</v>
      </c>
      <c r="C56" s="595">
        <v>45863</v>
      </c>
      <c r="D56" t="s">
        <v>1967</v>
      </c>
      <c r="E56">
        <f>_xlfn.XLOOKUP(D56,RUC!$B$3:$B$123,RUC!$D$3:$D$123)</f>
        <v>20601769396</v>
      </c>
      <c r="G56" s="1082">
        <v>50</v>
      </c>
      <c r="H56" t="s">
        <v>116</v>
      </c>
      <c r="I56" s="703">
        <v>3.32</v>
      </c>
      <c r="J56" s="596">
        <v>17.05</v>
      </c>
      <c r="K56" s="138">
        <f t="shared" si="0"/>
        <v>2.754</v>
      </c>
      <c r="L56" s="994">
        <v>0.3</v>
      </c>
      <c r="M56" s="762">
        <v>0.28199999999999997</v>
      </c>
      <c r="N56" s="159">
        <v>0.28199999999999997</v>
      </c>
      <c r="O56" s="645">
        <f t="shared" si="11"/>
        <v>0.28199999999999997</v>
      </c>
      <c r="P56" s="727">
        <v>83</v>
      </c>
      <c r="Q56" s="1143">
        <v>83.67</v>
      </c>
      <c r="R56" s="706">
        <v>3343.5</v>
      </c>
      <c r="S56" s="765">
        <f t="shared" si="24"/>
        <v>110</v>
      </c>
      <c r="U56" s="1146">
        <f>_xlfn.XLOOKUP(D56,RUC!$B$3:$B$123,RUC!$F$3:$F$123)</f>
        <v>120</v>
      </c>
      <c r="V56" s="715">
        <v>1.1023000000000001</v>
      </c>
      <c r="Y56">
        <f>_xlfn.XLOOKUP(D56,RUC!$B$3:$B$123,RUC!$G$3:$G$123)</f>
        <v>20</v>
      </c>
      <c r="Z56" s="143">
        <f>_xlfn.XLOOKUP(D56,RUC!$B$3:$B$123,RUC!$H$3:$H$123)</f>
        <v>30</v>
      </c>
      <c r="AA56" s="144">
        <f t="shared" si="12"/>
        <v>50</v>
      </c>
      <c r="AB56" s="145">
        <f t="shared" si="21"/>
        <v>655.30898354299995</v>
      </c>
      <c r="AC56" s="145">
        <f>+(S56-T56)*V56-'data 1'!$F$4</f>
        <v>41.253</v>
      </c>
      <c r="AD56" s="145">
        <f t="shared" si="13"/>
        <v>7.1420607405000176</v>
      </c>
      <c r="AE56" s="145">
        <f t="shared" si="14"/>
        <v>-14.884999999999998</v>
      </c>
      <c r="AF56" s="145">
        <f t="shared" si="15"/>
        <v>53.514288551430056</v>
      </c>
      <c r="AG56" s="772">
        <f t="shared" si="25"/>
        <v>104.02434929193006</v>
      </c>
      <c r="AH56" s="146">
        <f t="shared" si="16"/>
        <v>23.700855850701597</v>
      </c>
      <c r="AI56" s="146">
        <f t="shared" si="17"/>
        <v>28.32658760691</v>
      </c>
      <c r="AJ56" s="156">
        <f t="shared" si="18"/>
        <v>60.733086898500005</v>
      </c>
      <c r="AK56" s="156">
        <f t="shared" si="19"/>
        <v>22.100403650911179</v>
      </c>
      <c r="AL56" s="88"/>
      <c r="AM56" s="716">
        <f t="shared" si="20"/>
        <v>1804.7209406774218</v>
      </c>
      <c r="AN56" s="716" t="str">
        <f>_xlfn.XLOOKUP(D56,RUC!$B$3:$B$578,RUC!$M$3:$M$578)</f>
        <v>Evelyn</v>
      </c>
      <c r="AO56" s="1167" t="s">
        <v>2280</v>
      </c>
      <c r="AP56" t="s">
        <v>2485</v>
      </c>
      <c r="AQ56" t="s">
        <v>2486</v>
      </c>
      <c r="AS56" s="1212"/>
    </row>
    <row r="57" spans="1:45" ht="15" customHeight="1">
      <c r="A57" s="747" t="s">
        <v>2468</v>
      </c>
      <c r="B57" s="595">
        <v>45873</v>
      </c>
      <c r="C57" s="595">
        <v>45863</v>
      </c>
      <c r="D57" t="s">
        <v>1967</v>
      </c>
      <c r="E57">
        <f>_xlfn.XLOOKUP(D57,RUC!$B$3:$B$123,RUC!$D$3:$D$123)</f>
        <v>20601769396</v>
      </c>
      <c r="G57" s="1082">
        <v>49</v>
      </c>
      <c r="H57" t="s">
        <v>116</v>
      </c>
      <c r="I57" s="703">
        <v>3.03</v>
      </c>
      <c r="J57" s="596">
        <v>25.7</v>
      </c>
      <c r="K57" s="138">
        <f t="shared" si="0"/>
        <v>2.2509999999999999</v>
      </c>
      <c r="L57" s="762">
        <v>0.24399999999999999</v>
      </c>
      <c r="M57" s="762">
        <v>0.247</v>
      </c>
      <c r="N57" s="159">
        <v>0.247</v>
      </c>
      <c r="O57" s="645">
        <f t="shared" si="11"/>
        <v>0.247</v>
      </c>
      <c r="P57" s="727">
        <v>90</v>
      </c>
      <c r="Q57" s="596">
        <v>95.82</v>
      </c>
      <c r="R57" s="706">
        <v>3343.5</v>
      </c>
      <c r="S57" s="765">
        <f t="shared" si="24"/>
        <v>110</v>
      </c>
      <c r="U57" s="1146">
        <f>_xlfn.XLOOKUP(D57,RUC!$B$3:$B$123,RUC!$F$3:$F$123)</f>
        <v>120</v>
      </c>
      <c r="V57" s="715">
        <v>1.1023000000000001</v>
      </c>
      <c r="Y57">
        <f>_xlfn.XLOOKUP(D57,RUC!$B$3:$B$123,RUC!$G$3:$G$123)</f>
        <v>20</v>
      </c>
      <c r="Z57" s="143">
        <f>_xlfn.XLOOKUP(D57,RUC!$B$3:$B$123,RUC!$H$3:$H$123)</f>
        <v>30</v>
      </c>
      <c r="AA57" s="144">
        <f t="shared" si="12"/>
        <v>50</v>
      </c>
      <c r="AB57" s="145">
        <f t="shared" si="21"/>
        <v>613.52259831499998</v>
      </c>
      <c r="AC57" s="145">
        <f>+(S57-T57)*V57-'data 1'!$F$4</f>
        <v>41.253</v>
      </c>
      <c r="AD57" s="145">
        <f t="shared" si="13"/>
        <v>50.459192121239937</v>
      </c>
      <c r="AE57" s="145">
        <f t="shared" si="14"/>
        <v>-14.884999999999998</v>
      </c>
      <c r="AF57" s="145">
        <f t="shared" si="15"/>
        <v>-10.21421283813001</v>
      </c>
      <c r="AG57" s="772">
        <f t="shared" si="25"/>
        <v>83.612979283109922</v>
      </c>
      <c r="AH57" s="146">
        <f t="shared" si="16"/>
        <v>18.043906048555385</v>
      </c>
      <c r="AI57" s="146">
        <f t="shared" si="17"/>
        <v>18.8310436741342</v>
      </c>
      <c r="AJ57" s="156">
        <f t="shared" si="18"/>
        <v>56.569237493879989</v>
      </c>
      <c r="AK57" s="156">
        <f t="shared" si="19"/>
        <v>17.156315609672262</v>
      </c>
      <c r="AL57" s="88"/>
      <c r="AM57" s="716">
        <f t="shared" si="20"/>
        <v>1381.0393688070649</v>
      </c>
      <c r="AN57" s="716" t="str">
        <f>_xlfn.XLOOKUP(D57,RUC!$B$3:$B$578,RUC!$M$3:$M$578)</f>
        <v>Evelyn</v>
      </c>
      <c r="AO57" s="1167" t="s">
        <v>2277</v>
      </c>
      <c r="AP57" t="s">
        <v>2485</v>
      </c>
      <c r="AQ57" t="s">
        <v>2486</v>
      </c>
      <c r="AS57" s="1212"/>
    </row>
    <row r="58" spans="1:45" ht="15" customHeight="1">
      <c r="A58" s="747" t="s">
        <v>2469</v>
      </c>
      <c r="B58" s="595">
        <v>45873</v>
      </c>
      <c r="C58" s="595">
        <v>45863</v>
      </c>
      <c r="D58" t="s">
        <v>1967</v>
      </c>
      <c r="E58">
        <f>_xlfn.XLOOKUP(D58,RUC!$B$3:$B$123,RUC!$D$3:$D$123)</f>
        <v>20601769396</v>
      </c>
      <c r="G58" s="1082">
        <v>50</v>
      </c>
      <c r="H58" t="s">
        <v>116</v>
      </c>
      <c r="I58" s="703">
        <v>3.37</v>
      </c>
      <c r="J58" s="596">
        <v>24.75</v>
      </c>
      <c r="K58" s="138">
        <f t="shared" si="0"/>
        <v>2.536</v>
      </c>
      <c r="L58" s="994">
        <v>0.31</v>
      </c>
      <c r="M58" s="762">
        <v>0.29399999999999998</v>
      </c>
      <c r="N58" s="159">
        <v>0.29399999999999998</v>
      </c>
      <c r="O58" s="645">
        <f t="shared" si="11"/>
        <v>0.29399999999999998</v>
      </c>
      <c r="P58" s="727">
        <v>88</v>
      </c>
      <c r="Q58" s="596">
        <v>88.82</v>
      </c>
      <c r="R58" s="706">
        <v>3343.5</v>
      </c>
      <c r="S58" s="765">
        <f t="shared" si="24"/>
        <v>110</v>
      </c>
      <c r="U58" s="1146">
        <f>_xlfn.XLOOKUP(D58,RUC!$B$3:$B$123,RUC!$F$3:$F$123)</f>
        <v>120</v>
      </c>
      <c r="V58" s="715">
        <v>1.1023000000000001</v>
      </c>
      <c r="Y58">
        <f>_xlfn.XLOOKUP(D58,RUC!$B$3:$B$123,RUC!$G$3:$G$123)</f>
        <v>20</v>
      </c>
      <c r="Z58" s="143">
        <f>_xlfn.XLOOKUP(D58,RUC!$B$3:$B$123,RUC!$H$3:$H$123)</f>
        <v>30</v>
      </c>
      <c r="AA58" s="144">
        <f t="shared" si="12"/>
        <v>50</v>
      </c>
      <c r="AB58" s="145">
        <f t="shared" si="21"/>
        <v>742.9324750159999</v>
      </c>
      <c r="AC58" s="145">
        <f>+(S58-T58)*V58-'data 1'!$F$4</f>
        <v>41.253</v>
      </c>
      <c r="AD58" s="145">
        <f t="shared" si="13"/>
        <v>9.0323972150999268</v>
      </c>
      <c r="AE58" s="145">
        <f t="shared" si="14"/>
        <v>-14.884999999999998</v>
      </c>
      <c r="AF58" s="145">
        <f t="shared" si="15"/>
        <v>50.496146067360044</v>
      </c>
      <c r="AG58" s="772">
        <f t="shared" si="25"/>
        <v>102.89654328245996</v>
      </c>
      <c r="AH58" s="146">
        <f t="shared" si="16"/>
        <v>23.940365754550417</v>
      </c>
      <c r="AI58" s="146">
        <f t="shared" si="17"/>
        <v>26.953800669387999</v>
      </c>
      <c r="AJ58" s="156">
        <f t="shared" si="18"/>
        <v>66.6203323087</v>
      </c>
      <c r="AK58" s="156">
        <f t="shared" si="19"/>
        <v>22.495120352206655</v>
      </c>
      <c r="AL58" s="88"/>
      <c r="AM58" s="716">
        <f t="shared" si="20"/>
        <v>1884.0767566405757</v>
      </c>
      <c r="AN58" s="716" t="str">
        <f>_xlfn.XLOOKUP(D58,RUC!$B$3:$B$578,RUC!$M$3:$M$578)</f>
        <v>Evelyn</v>
      </c>
      <c r="AO58" s="1167" t="s">
        <v>2277</v>
      </c>
      <c r="AP58" t="s">
        <v>2485</v>
      </c>
      <c r="AQ58" t="s">
        <v>2486</v>
      </c>
      <c r="AS58" s="1212"/>
    </row>
    <row r="59" spans="1:45" ht="15" customHeight="1">
      <c r="A59" s="747" t="s">
        <v>2470</v>
      </c>
      <c r="B59" s="595">
        <v>45873</v>
      </c>
      <c r="C59" s="595">
        <v>45863</v>
      </c>
      <c r="D59" t="s">
        <v>1967</v>
      </c>
      <c r="E59">
        <f>_xlfn.XLOOKUP(D59,RUC!$B$3:$B$123,RUC!$D$3:$D$123)</f>
        <v>20601769396</v>
      </c>
      <c r="G59" s="1082">
        <v>50</v>
      </c>
      <c r="H59" t="s">
        <v>116</v>
      </c>
      <c r="I59" s="703">
        <v>3.38</v>
      </c>
      <c r="J59" s="596">
        <v>29.35</v>
      </c>
      <c r="K59" s="138">
        <f t="shared" si="0"/>
        <v>2.3879999999999999</v>
      </c>
      <c r="L59" s="994">
        <v>0.31</v>
      </c>
      <c r="M59" s="762">
        <v>0.29699999999999999</v>
      </c>
      <c r="N59" s="159">
        <v>0.29699999999999999</v>
      </c>
      <c r="O59" s="645">
        <f t="shared" si="11"/>
        <v>0.29699999999999999</v>
      </c>
      <c r="P59" s="727">
        <v>90</v>
      </c>
      <c r="Q59" s="596">
        <v>90.82</v>
      </c>
      <c r="R59" s="706">
        <v>3343.5</v>
      </c>
      <c r="S59" s="765">
        <f t="shared" si="24"/>
        <v>110</v>
      </c>
      <c r="U59" s="1146">
        <f>_xlfn.XLOOKUP(D59,RUC!$B$3:$B$123,RUC!$F$3:$F$123)</f>
        <v>120</v>
      </c>
      <c r="V59" s="715">
        <v>1.1023000000000001</v>
      </c>
      <c r="Y59">
        <f>_xlfn.XLOOKUP(D59,RUC!$B$3:$B$123,RUC!$G$3:$G$123)</f>
        <v>20</v>
      </c>
      <c r="Z59" s="143">
        <f>_xlfn.XLOOKUP(D59,RUC!$B$3:$B$123,RUC!$H$3:$H$123)</f>
        <v>30</v>
      </c>
      <c r="AA59" s="144">
        <f t="shared" si="12"/>
        <v>50</v>
      </c>
      <c r="AB59" s="145">
        <f t="shared" si="21"/>
        <v>773.41948056499996</v>
      </c>
      <c r="AC59" s="145">
        <f>+(S59-T59)*V59-'data 1'!$F$4</f>
        <v>41.253</v>
      </c>
      <c r="AD59" s="145">
        <f t="shared" si="13"/>
        <v>9.0323972150999268</v>
      </c>
      <c r="AE59" s="145">
        <f t="shared" si="14"/>
        <v>-14.884999999999998</v>
      </c>
      <c r="AF59" s="145">
        <f t="shared" si="15"/>
        <v>41.951967332730035</v>
      </c>
      <c r="AG59" s="772">
        <f t="shared" si="25"/>
        <v>94.35236454782995</v>
      </c>
      <c r="AH59" s="146">
        <f t="shared" si="16"/>
        <v>23.050830813026959</v>
      </c>
      <c r="AI59" s="146">
        <f t="shared" si="17"/>
        <v>25.380787065653998</v>
      </c>
      <c r="AJ59" s="156">
        <f t="shared" si="18"/>
        <v>68.120452378700008</v>
      </c>
      <c r="AK59" s="156">
        <f t="shared" si="19"/>
        <v>21.884788331126821</v>
      </c>
      <c r="AL59" s="88"/>
      <c r="AM59" s="716">
        <f t="shared" si="20"/>
        <v>1846.9257195892199</v>
      </c>
      <c r="AN59" s="716" t="str">
        <f>_xlfn.XLOOKUP(D59,RUC!$B$3:$B$578,RUC!$M$3:$M$578)</f>
        <v>Evelyn</v>
      </c>
      <c r="AO59" s="1167" t="s">
        <v>2277</v>
      </c>
      <c r="AP59" t="s">
        <v>2485</v>
      </c>
      <c r="AQ59" t="s">
        <v>2486</v>
      </c>
      <c r="AS59" s="1212"/>
    </row>
    <row r="60" spans="1:45" ht="15" customHeight="1">
      <c r="A60" s="747" t="s">
        <v>2476</v>
      </c>
      <c r="B60" s="595">
        <v>45905</v>
      </c>
      <c r="C60" s="595">
        <v>45866</v>
      </c>
      <c r="D60" t="s">
        <v>119</v>
      </c>
      <c r="E60">
        <f>_xlfn.XLOOKUP(D60,RUC!$B$3:$B$123,RUC!$D$3:$D$123)</f>
        <v>10082235774</v>
      </c>
      <c r="G60" s="1082">
        <v>68</v>
      </c>
      <c r="H60" t="s">
        <v>69</v>
      </c>
      <c r="I60" s="703">
        <v>6.43</v>
      </c>
      <c r="J60" s="596">
        <v>2</v>
      </c>
      <c r="K60" s="138">
        <f t="shared" si="0"/>
        <v>6.3010000000000002</v>
      </c>
      <c r="L60" s="994">
        <v>0.2</v>
      </c>
      <c r="M60" s="762">
        <v>0.184</v>
      </c>
      <c r="N60" s="598">
        <v>0.20499999999999999</v>
      </c>
      <c r="O60" s="645">
        <f t="shared" si="11"/>
        <v>0.19500000000000001</v>
      </c>
      <c r="P60" s="727">
        <v>85</v>
      </c>
      <c r="Q60" s="596">
        <v>95.5</v>
      </c>
      <c r="R60" s="706">
        <v>3305.25</v>
      </c>
      <c r="S60" s="1164">
        <v>95</v>
      </c>
      <c r="U60" s="1146">
        <f>_xlfn.XLOOKUP(D60,RUC!$B$3:$B$123,RUC!$F$3:$F$123)</f>
        <v>80</v>
      </c>
      <c r="V60" s="715">
        <v>1.1023000000000001</v>
      </c>
      <c r="Y60">
        <f>_xlfn.XLOOKUP(D60,RUC!$B$3:$B$123,RUC!$G$3:$G$123)</f>
        <v>0</v>
      </c>
      <c r="Z60" s="143">
        <f>_xlfn.XLOOKUP(D60,RUC!$B$3:$B$123,RUC!$H$3:$H$123)</f>
        <v>10</v>
      </c>
      <c r="AA60" s="144">
        <f t="shared" si="12"/>
        <v>10</v>
      </c>
      <c r="AB60" s="145">
        <f t="shared" si="21"/>
        <v>473.53175218125</v>
      </c>
      <c r="AC60" s="145">
        <f>+(S60-T60)*V60-'data 1'!$F$4</f>
        <v>24.718500000000006</v>
      </c>
      <c r="AD60" s="145">
        <f t="shared" si="13"/>
        <v>74.659054575000013</v>
      </c>
      <c r="AE60" s="145">
        <f t="shared" si="14"/>
        <v>-58.977000000000004</v>
      </c>
      <c r="AF60" s="145">
        <f t="shared" si="15"/>
        <v>16.976046933125016</v>
      </c>
      <c r="AG60" s="772">
        <f t="shared" si="25"/>
        <v>74.376601508125034</v>
      </c>
      <c r="AH60" s="146">
        <f t="shared" si="16"/>
        <v>41.262155949682558</v>
      </c>
      <c r="AI60" s="146">
        <f t="shared" si="17"/>
        <v>43.206446020610009</v>
      </c>
      <c r="AJ60" s="156">
        <f t="shared" si="18"/>
        <v>45.844932575000009</v>
      </c>
      <c r="AK60" s="156">
        <f t="shared" si="19"/>
        <v>35.807342139580541</v>
      </c>
      <c r="AL60" s="88"/>
      <c r="AM60" s="716">
        <f t="shared" si="20"/>
        <v>2983.7235704940563</v>
      </c>
      <c r="AN60" s="716" t="str">
        <f>_xlfn.XLOOKUP(D60,RUC!$B$3:$B$578,RUC!$M$3:$M$578)</f>
        <v>Melchor Vera</v>
      </c>
      <c r="AO60" s="1167" t="s">
        <v>2277</v>
      </c>
      <c r="AP60" t="s">
        <v>2487</v>
      </c>
      <c r="AQ60" t="s">
        <v>2488</v>
      </c>
      <c r="AS60" s="1212"/>
    </row>
    <row r="61" spans="1:45" ht="15" customHeight="1">
      <c r="A61" s="747" t="s">
        <v>2477</v>
      </c>
      <c r="B61" s="595">
        <v>45905</v>
      </c>
      <c r="C61" s="595">
        <v>45866</v>
      </c>
      <c r="D61" t="s">
        <v>119</v>
      </c>
      <c r="E61">
        <f>_xlfn.XLOOKUP(D61,RUC!$B$3:$B$123,RUC!$D$3:$D$123)</f>
        <v>10082235774</v>
      </c>
      <c r="G61" s="1082">
        <v>59</v>
      </c>
      <c r="H61" t="s">
        <v>69</v>
      </c>
      <c r="I61" s="703">
        <v>5.46</v>
      </c>
      <c r="J61" s="596">
        <v>1.95</v>
      </c>
      <c r="K61" s="138">
        <f t="shared" si="0"/>
        <v>5.3540000000000001</v>
      </c>
      <c r="L61" s="762">
        <v>0.20300000000000001</v>
      </c>
      <c r="M61" s="762">
        <v>0.187</v>
      </c>
      <c r="N61" s="159">
        <v>0.187</v>
      </c>
      <c r="O61" s="645">
        <f t="shared" si="11"/>
        <v>0.187</v>
      </c>
      <c r="P61" s="727">
        <v>85</v>
      </c>
      <c r="Q61" s="596">
        <v>96.06</v>
      </c>
      <c r="R61" s="706">
        <v>3305.25</v>
      </c>
      <c r="S61" s="1164">
        <v>95</v>
      </c>
      <c r="U61" s="1146">
        <f>_xlfn.XLOOKUP(D61,RUC!$B$3:$B$123,RUC!$F$3:$F$123)</f>
        <v>80</v>
      </c>
      <c r="V61" s="715">
        <v>1.1023000000000001</v>
      </c>
      <c r="Y61">
        <f>_xlfn.XLOOKUP(D61,RUC!$B$3:$B$123,RUC!$G$3:$G$123)</f>
        <v>0</v>
      </c>
      <c r="Z61" s="143">
        <f>_xlfn.XLOOKUP(D61,RUC!$B$3:$B$123,RUC!$H$3:$H$123)</f>
        <v>10</v>
      </c>
      <c r="AA61" s="144">
        <f t="shared" si="12"/>
        <v>10</v>
      </c>
      <c r="AB61" s="145">
        <f t="shared" si="21"/>
        <v>449.35643927125</v>
      </c>
      <c r="AC61" s="145">
        <f>+(S61-T61)*V61-'data 1'!$F$4</f>
        <v>24.718500000000006</v>
      </c>
      <c r="AD61" s="145">
        <f t="shared" si="13"/>
        <v>79.820483881285028</v>
      </c>
      <c r="AE61" s="145">
        <f t="shared" si="14"/>
        <v>-58.977000000000004</v>
      </c>
      <c r="AF61" s="145">
        <f t="shared" si="15"/>
        <v>54.641895485520052</v>
      </c>
      <c r="AG61" s="772">
        <f t="shared" si="25"/>
        <v>117.2038793668051</v>
      </c>
      <c r="AH61" s="146">
        <f t="shared" si="16"/>
        <v>35.795304100983223</v>
      </c>
      <c r="AI61" s="146">
        <f t="shared" si="17"/>
        <v>37.2634854267991</v>
      </c>
      <c r="AJ61" s="156">
        <f t="shared" si="18"/>
        <v>46.805467921485004</v>
      </c>
      <c r="AK61" s="156">
        <f t="shared" si="19"/>
        <v>29.177492653151315</v>
      </c>
      <c r="AL61" s="88"/>
      <c r="AM61" s="716">
        <f t="shared" si="20"/>
        <v>2405.8543758582723</v>
      </c>
      <c r="AN61" s="716" t="str">
        <f>_xlfn.XLOOKUP(D61,RUC!$B$3:$B$578,RUC!$M$3:$M$578)</f>
        <v>Melchor Vera</v>
      </c>
      <c r="AO61" s="1167" t="s">
        <v>2277</v>
      </c>
      <c r="AP61" t="s">
        <v>2487</v>
      </c>
      <c r="AQ61" t="s">
        <v>2488</v>
      </c>
      <c r="AS61" s="1212"/>
    </row>
    <row r="62" spans="1:45" ht="15" customHeight="1">
      <c r="A62" s="747" t="s">
        <v>2478</v>
      </c>
      <c r="B62" s="595">
        <v>45905</v>
      </c>
      <c r="C62" s="595">
        <v>45866</v>
      </c>
      <c r="D62" t="s">
        <v>119</v>
      </c>
      <c r="E62">
        <f>_xlfn.XLOOKUP(D62,RUC!$B$3:$B$123,RUC!$D$3:$D$123)</f>
        <v>10082235774</v>
      </c>
      <c r="G62" s="1082">
        <v>53</v>
      </c>
      <c r="H62" t="s">
        <v>69</v>
      </c>
      <c r="I62" s="703">
        <v>5.0999999999999996</v>
      </c>
      <c r="J62" s="596">
        <v>3</v>
      </c>
      <c r="K62" s="138">
        <f t="shared" ref="K62:K102" si="26">ROUND(+I62-(I62*(J62/100)),3)</f>
        <v>4.9470000000000001</v>
      </c>
      <c r="L62" s="762">
        <v>0.21199999999999999</v>
      </c>
      <c r="M62" s="762">
        <v>0.19700000000000001</v>
      </c>
      <c r="N62" s="159">
        <v>0.19700000000000001</v>
      </c>
      <c r="O62" s="645">
        <f t="shared" si="11"/>
        <v>0.19700000000000001</v>
      </c>
      <c r="P62" s="727">
        <v>85</v>
      </c>
      <c r="Q62" s="596">
        <v>96.7</v>
      </c>
      <c r="R62" s="706">
        <v>3305.25</v>
      </c>
      <c r="S62" s="1164">
        <v>95</v>
      </c>
      <c r="U62" s="1146">
        <f>_xlfn.XLOOKUP(D62,RUC!$B$3:$B$123,RUC!$F$3:$F$123)</f>
        <v>80</v>
      </c>
      <c r="V62" s="715">
        <v>1.1023000000000001</v>
      </c>
      <c r="Y62">
        <f>_xlfn.XLOOKUP(D62,RUC!$B$3:$B$123,RUC!$G$3:$G$123)</f>
        <v>0</v>
      </c>
      <c r="Z62" s="143">
        <f>_xlfn.XLOOKUP(D62,RUC!$B$3:$B$123,RUC!$H$3:$H$123)</f>
        <v>10</v>
      </c>
      <c r="AA62" s="144">
        <f t="shared" si="12"/>
        <v>10</v>
      </c>
      <c r="AB62" s="145">
        <f t="shared" si="21"/>
        <v>479.57558040875011</v>
      </c>
      <c r="AC62" s="145">
        <f>+(S62-T62)*V62-'data 1'!$F$4</f>
        <v>24.718500000000006</v>
      </c>
      <c r="AD62" s="145">
        <f t="shared" si="13"/>
        <v>88.183009032300035</v>
      </c>
      <c r="AE62" s="145">
        <f t="shared" si="14"/>
        <v>-58.977000000000004</v>
      </c>
      <c r="AF62" s="145">
        <f t="shared" si="15"/>
        <v>51.568075552874951</v>
      </c>
      <c r="AG62" s="772">
        <f t="shared" si="25"/>
        <v>122.492584585175</v>
      </c>
      <c r="AH62" s="146">
        <f t="shared" si="16"/>
        <v>34.770690449345487</v>
      </c>
      <c r="AI62" s="146">
        <f t="shared" si="17"/>
        <v>35.957280712870201</v>
      </c>
      <c r="AJ62" s="156">
        <f t="shared" si="18"/>
        <v>49.206254228300004</v>
      </c>
      <c r="AK62" s="156">
        <f t="shared" si="19"/>
        <v>28.401163468726963</v>
      </c>
      <c r="AL62" s="88"/>
      <c r="AM62" s="716">
        <f t="shared" si="20"/>
        <v>2372.460396282087</v>
      </c>
      <c r="AN62" s="716" t="str">
        <f>_xlfn.XLOOKUP(D62,RUC!$B$3:$B$578,RUC!$M$3:$M$578)</f>
        <v>Melchor Vera</v>
      </c>
      <c r="AO62" s="1167" t="s">
        <v>2277</v>
      </c>
      <c r="AP62" t="s">
        <v>2487</v>
      </c>
      <c r="AQ62" t="s">
        <v>2488</v>
      </c>
      <c r="AS62" s="1212"/>
    </row>
    <row r="63" spans="1:45" ht="15" customHeight="1">
      <c r="A63" s="747" t="s">
        <v>2479</v>
      </c>
      <c r="B63" s="595">
        <v>45905</v>
      </c>
      <c r="C63" s="595">
        <v>45866</v>
      </c>
      <c r="D63" t="s">
        <v>119</v>
      </c>
      <c r="E63">
        <f>_xlfn.XLOOKUP(D63,RUC!$B$3:$B$123,RUC!$D$3:$D$123)</f>
        <v>10082235774</v>
      </c>
      <c r="G63" s="1082">
        <v>51</v>
      </c>
      <c r="H63" t="s">
        <v>69</v>
      </c>
      <c r="I63" s="703">
        <v>4.8899999999999997</v>
      </c>
      <c r="J63" s="596">
        <v>3.1</v>
      </c>
      <c r="K63" s="138">
        <f t="shared" si="26"/>
        <v>4.7380000000000004</v>
      </c>
      <c r="L63" s="994">
        <v>0.14000000000000001</v>
      </c>
      <c r="M63" s="762">
        <v>0.125</v>
      </c>
      <c r="N63" s="598">
        <v>0.158</v>
      </c>
      <c r="O63" s="645">
        <f t="shared" si="11"/>
        <v>0.14199999999999999</v>
      </c>
      <c r="P63" s="727">
        <v>85</v>
      </c>
      <c r="Q63" s="596">
        <v>93.57</v>
      </c>
      <c r="R63" s="706">
        <v>3305.25</v>
      </c>
      <c r="S63" s="1164">
        <v>95</v>
      </c>
      <c r="U63" s="1146">
        <f>_xlfn.XLOOKUP(D63,RUC!$B$3:$B$123,RUC!$F$3:$F$123)</f>
        <v>80</v>
      </c>
      <c r="V63" s="715">
        <v>1.1023000000000001</v>
      </c>
      <c r="Y63">
        <f>_xlfn.XLOOKUP(D63,RUC!$B$3:$B$123,RUC!$G$3:$G$123)</f>
        <v>0</v>
      </c>
      <c r="Z63" s="143">
        <f>_xlfn.XLOOKUP(D63,RUC!$B$3:$B$123,RUC!$H$3:$H$123)</f>
        <v>10</v>
      </c>
      <c r="AA63" s="144">
        <f t="shared" si="12"/>
        <v>10</v>
      </c>
      <c r="AB63" s="145">
        <f t="shared" si="21"/>
        <v>313.37030415249995</v>
      </c>
      <c r="AC63" s="145">
        <f>+(S63-T63)*V63-'data 1'!$F$4</f>
        <v>24.718500000000006</v>
      </c>
      <c r="AD63" s="145">
        <f t="shared" si="13"/>
        <v>42.655206513849969</v>
      </c>
      <c r="AE63" s="145">
        <f t="shared" si="14"/>
        <v>-58.977000000000004</v>
      </c>
      <c r="AF63" s="145">
        <f t="shared" si="15"/>
        <v>-6.6531883205549125</v>
      </c>
      <c r="AG63" s="772">
        <f t="shared" si="25"/>
        <v>18.74351819329506</v>
      </c>
      <c r="AH63" s="146">
        <f t="shared" si="16"/>
        <v>21.279861195760741</v>
      </c>
      <c r="AI63" s="146">
        <f t="shared" si="17"/>
        <v>22.742183601326001</v>
      </c>
      <c r="AJ63" s="156">
        <f t="shared" si="18"/>
        <v>31.442903023350006</v>
      </c>
      <c r="AK63" s="156">
        <f t="shared" si="19"/>
        <v>19.60701114771463</v>
      </c>
      <c r="AL63" s="88"/>
      <c r="AM63" s="716">
        <f t="shared" si="20"/>
        <v>1484.7485010745449</v>
      </c>
      <c r="AN63" s="716" t="str">
        <f>_xlfn.XLOOKUP(D63,RUC!$B$3:$B$578,RUC!$M$3:$M$578)</f>
        <v>Melchor Vera</v>
      </c>
      <c r="AO63" s="1167" t="s">
        <v>2281</v>
      </c>
      <c r="AP63" t="s">
        <v>2487</v>
      </c>
      <c r="AQ63" t="s">
        <v>2488</v>
      </c>
      <c r="AS63" s="1212"/>
    </row>
    <row r="64" spans="1:45" ht="15" customHeight="1">
      <c r="A64" s="747" t="s">
        <v>2480</v>
      </c>
      <c r="B64" s="595">
        <v>45905</v>
      </c>
      <c r="C64" s="595">
        <v>45866</v>
      </c>
      <c r="D64" t="s">
        <v>119</v>
      </c>
      <c r="E64">
        <f>_xlfn.XLOOKUP(D64,RUC!$B$3:$B$123,RUC!$D$3:$D$123)</f>
        <v>10082235774</v>
      </c>
      <c r="G64" s="1082">
        <v>28</v>
      </c>
      <c r="H64" t="s">
        <v>69</v>
      </c>
      <c r="I64" s="703">
        <v>2.4500000000000002</v>
      </c>
      <c r="J64" s="596">
        <v>1.05</v>
      </c>
      <c r="K64" s="138">
        <f t="shared" si="26"/>
        <v>2.4239999999999999</v>
      </c>
      <c r="L64" s="762">
        <v>0.32700000000000001</v>
      </c>
      <c r="M64" s="762">
        <v>0.307</v>
      </c>
      <c r="N64" s="159">
        <v>0.307</v>
      </c>
      <c r="O64" s="645">
        <f t="shared" si="11"/>
        <v>0.307</v>
      </c>
      <c r="P64" s="727">
        <v>90</v>
      </c>
      <c r="Q64" s="596">
        <v>96.64</v>
      </c>
      <c r="R64" s="706">
        <v>3305.25</v>
      </c>
      <c r="S64" s="1164">
        <v>110</v>
      </c>
      <c r="U64" s="1146">
        <f>_xlfn.XLOOKUP(D64,RUC!$B$3:$B$123,RUC!$F$3:$F$123)</f>
        <v>80</v>
      </c>
      <c r="V64" s="715">
        <v>1.1023000000000001</v>
      </c>
      <c r="Y64">
        <f>_xlfn.XLOOKUP(D64,RUC!$B$3:$B$123,RUC!$G$3:$G$123)</f>
        <v>0</v>
      </c>
      <c r="Z64" s="143">
        <f>_xlfn.XLOOKUP(D64,RUC!$B$3:$B$123,RUC!$H$3:$H$123)</f>
        <v>10</v>
      </c>
      <c r="AA64" s="144">
        <f t="shared" si="12"/>
        <v>10</v>
      </c>
      <c r="AB64" s="145">
        <f t="shared" si="21"/>
        <v>850.02384662250006</v>
      </c>
      <c r="AC64" s="145">
        <f>+(S64-T64)*V64-'data 1'!$F$4</f>
        <v>41.253</v>
      </c>
      <c r="AD64" s="145">
        <f t="shared" si="13"/>
        <v>77.193196198860008</v>
      </c>
      <c r="AE64" s="145">
        <f t="shared" si="14"/>
        <v>-58.977000000000004</v>
      </c>
      <c r="AF64" s="145">
        <f t="shared" si="15"/>
        <v>68.714771753600047</v>
      </c>
      <c r="AG64" s="772">
        <f t="shared" si="25"/>
        <v>145.18396795246005</v>
      </c>
      <c r="AH64" s="146">
        <f t="shared" si="16"/>
        <v>26.263122459683309</v>
      </c>
      <c r="AI64" s="146">
        <f t="shared" si="17"/>
        <v>27.176244267056404</v>
      </c>
      <c r="AJ64" s="156">
        <f t="shared" si="18"/>
        <v>75.85123303056001</v>
      </c>
      <c r="AK64" s="156">
        <f t="shared" si="19"/>
        <v>22.96267978895316</v>
      </c>
      <c r="AL64" s="88"/>
      <c r="AM64" s="716">
        <f t="shared" si="20"/>
        <v>2060.4578042129401</v>
      </c>
      <c r="AN64" s="716" t="str">
        <f>_xlfn.XLOOKUP(D64,RUC!$B$3:$B$578,RUC!$M$3:$M$578)</f>
        <v>Melchor Vera</v>
      </c>
      <c r="AO64" s="1167" t="s">
        <v>2277</v>
      </c>
      <c r="AP64" t="s">
        <v>2487</v>
      </c>
      <c r="AQ64" t="s">
        <v>2488</v>
      </c>
      <c r="AS64" s="1212"/>
    </row>
    <row r="65" spans="1:45" ht="15" customHeight="1">
      <c r="A65" s="747" t="s">
        <v>2481</v>
      </c>
      <c r="B65" s="595">
        <v>45905</v>
      </c>
      <c r="C65" s="595">
        <v>45866</v>
      </c>
      <c r="D65" t="s">
        <v>119</v>
      </c>
      <c r="E65">
        <f>_xlfn.XLOOKUP(D65,RUC!$B$3:$B$123,RUC!$D$3:$D$123)</f>
        <v>10082235774</v>
      </c>
      <c r="G65" s="1082">
        <v>41</v>
      </c>
      <c r="H65" t="s">
        <v>69</v>
      </c>
      <c r="I65" s="703">
        <v>3.78</v>
      </c>
      <c r="J65" s="596">
        <v>2.9</v>
      </c>
      <c r="K65" s="138">
        <f t="shared" si="26"/>
        <v>3.67</v>
      </c>
      <c r="L65" s="762">
        <v>0.20799999999999999</v>
      </c>
      <c r="M65" s="762">
        <v>0.193</v>
      </c>
      <c r="N65" s="598">
        <v>0.21299999999999999</v>
      </c>
      <c r="O65" s="645">
        <f t="shared" si="11"/>
        <v>0.20300000000000001</v>
      </c>
      <c r="P65" s="727">
        <v>85</v>
      </c>
      <c r="Q65" s="596">
        <v>92.79</v>
      </c>
      <c r="R65" s="706">
        <v>3305.25</v>
      </c>
      <c r="S65" s="1164">
        <v>95</v>
      </c>
      <c r="U65" s="1146">
        <f>_xlfn.XLOOKUP(D65,RUC!$B$3:$B$123,RUC!$F$3:$F$123)</f>
        <v>80</v>
      </c>
      <c r="V65" s="715">
        <v>1.1023000000000001</v>
      </c>
      <c r="Y65">
        <f>_xlfn.XLOOKUP(D65,RUC!$B$3:$B$123,RUC!$G$3:$G$123)</f>
        <v>0</v>
      </c>
      <c r="Z65" s="143">
        <f>_xlfn.XLOOKUP(D65,RUC!$B$3:$B$123,RUC!$H$3:$H$123)</f>
        <v>10</v>
      </c>
      <c r="AA65" s="144">
        <f t="shared" si="12"/>
        <v>10</v>
      </c>
      <c r="AB65" s="145">
        <f t="shared" si="21"/>
        <v>497.70706509125006</v>
      </c>
      <c r="AC65" s="145">
        <f>+(S65-T65)*V65-'data 1'!$F$4</f>
        <v>24.718500000000006</v>
      </c>
      <c r="AD65" s="145">
        <f t="shared" si="13"/>
        <v>57.60550443284005</v>
      </c>
      <c r="AE65" s="145">
        <f t="shared" si="14"/>
        <v>-58.977000000000004</v>
      </c>
      <c r="AF65" s="145">
        <f t="shared" si="15"/>
        <v>16.494318271462422</v>
      </c>
      <c r="AG65" s="772">
        <f t="shared" si="25"/>
        <v>56.84132270430247</v>
      </c>
      <c r="AH65" s="146">
        <f t="shared" si="16"/>
        <v>24.28508585729276</v>
      </c>
      <c r="AI65" s="146">
        <f t="shared" si="17"/>
        <v>26.172093821847998</v>
      </c>
      <c r="AJ65" s="156">
        <f t="shared" si="18"/>
        <v>46.325752307639995</v>
      </c>
      <c r="AK65" s="156">
        <f t="shared" si="19"/>
        <v>21.711513408460927</v>
      </c>
      <c r="AL65" s="88"/>
      <c r="AM65" s="716">
        <f t="shared" si="20"/>
        <v>1826.5849288848876</v>
      </c>
      <c r="AN65" s="716" t="str">
        <f>_xlfn.XLOOKUP(D65,RUC!$B$3:$B$578,RUC!$M$3:$M$578)</f>
        <v>Melchor Vera</v>
      </c>
      <c r="AO65" s="1167" t="s">
        <v>2277</v>
      </c>
      <c r="AP65" t="s">
        <v>2487</v>
      </c>
      <c r="AQ65" t="s">
        <v>2488</v>
      </c>
      <c r="AS65" s="1212"/>
    </row>
    <row r="66" spans="1:45" ht="15" customHeight="1">
      <c r="A66" s="747" t="s">
        <v>2482</v>
      </c>
      <c r="B66" s="595">
        <v>45905</v>
      </c>
      <c r="C66" s="595">
        <v>45866</v>
      </c>
      <c r="D66" t="s">
        <v>119</v>
      </c>
      <c r="E66">
        <f>_xlfn.XLOOKUP(D66,RUC!$B$3:$B$123,RUC!$D$3:$D$123)</f>
        <v>10082235774</v>
      </c>
      <c r="G66" s="1082">
        <v>68</v>
      </c>
      <c r="H66" t="s">
        <v>69</v>
      </c>
      <c r="I66" s="703">
        <v>6.64</v>
      </c>
      <c r="J66" s="596">
        <v>2.1</v>
      </c>
      <c r="K66" s="138">
        <f t="shared" si="26"/>
        <v>6.5010000000000003</v>
      </c>
      <c r="L66" s="762">
        <v>0.157</v>
      </c>
      <c r="M66" s="762">
        <v>0.14099999999999999</v>
      </c>
      <c r="N66" s="598">
        <v>0.16500000000000001</v>
      </c>
      <c r="O66" s="645">
        <f t="shared" si="11"/>
        <v>0.153</v>
      </c>
      <c r="P66" s="727">
        <v>85</v>
      </c>
      <c r="Q66" s="596">
        <v>87.26</v>
      </c>
      <c r="R66" s="706">
        <v>3305.25</v>
      </c>
      <c r="S66" s="1164">
        <v>95</v>
      </c>
      <c r="U66" s="1146">
        <f>_xlfn.XLOOKUP(D66,RUC!$B$3:$B$123,RUC!$F$3:$F$123)</f>
        <v>80</v>
      </c>
      <c r="V66" s="715">
        <v>1.1023000000000001</v>
      </c>
      <c r="Y66">
        <f>_xlfn.XLOOKUP(D66,RUC!$B$3:$B$123,RUC!$G$3:$G$123)</f>
        <v>0</v>
      </c>
      <c r="Z66" s="143">
        <f>_xlfn.XLOOKUP(D66,RUC!$B$3:$B$123,RUC!$H$3:$H$123)</f>
        <v>10</v>
      </c>
      <c r="AA66" s="144">
        <f t="shared" si="12"/>
        <v>10</v>
      </c>
      <c r="AB66" s="145">
        <f t="shared" si="21"/>
        <v>346.61135940374993</v>
      </c>
      <c r="AC66" s="145">
        <f>+(S66-T66)*V66-'data 1'!$F$4</f>
        <v>24.718500000000006</v>
      </c>
      <c r="AD66" s="145">
        <f t="shared" si="13"/>
        <v>12.614536068715029</v>
      </c>
      <c r="AE66" s="145">
        <f t="shared" si="14"/>
        <v>-58.977000000000004</v>
      </c>
      <c r="AF66" s="145">
        <f t="shared" si="15"/>
        <v>12.409045908980012</v>
      </c>
      <c r="AG66" s="772">
        <f t="shared" si="25"/>
        <v>7.7650819776950399</v>
      </c>
      <c r="AH66" s="146">
        <f t="shared" si="16"/>
        <v>30.535433955933968</v>
      </c>
      <c r="AI66" s="146">
        <f t="shared" si="17"/>
        <v>34.993621310948853</v>
      </c>
      <c r="AJ66" s="156">
        <f t="shared" si="18"/>
        <v>32.883105978515005</v>
      </c>
      <c r="AK66" s="156">
        <f t="shared" si="19"/>
        <v>28.986754468082154</v>
      </c>
      <c r="AL66" s="88"/>
      <c r="AM66" s="716">
        <f t="shared" si="20"/>
        <v>2253.3204474837785</v>
      </c>
      <c r="AN66" s="716" t="str">
        <f>_xlfn.XLOOKUP(D66,RUC!$B$3:$B$578,RUC!$M$3:$M$578)</f>
        <v>Melchor Vera</v>
      </c>
      <c r="AO66" s="1167" t="s">
        <v>2280</v>
      </c>
      <c r="AP66" t="s">
        <v>2487</v>
      </c>
      <c r="AQ66" t="s">
        <v>2488</v>
      </c>
      <c r="AS66" s="1212"/>
    </row>
    <row r="67" spans="1:45" ht="15" customHeight="1">
      <c r="A67" s="747" t="s">
        <v>2483</v>
      </c>
      <c r="B67" s="595">
        <v>45905</v>
      </c>
      <c r="C67" s="595">
        <v>45866</v>
      </c>
      <c r="D67" t="s">
        <v>119</v>
      </c>
      <c r="E67">
        <f>_xlfn.XLOOKUP(D67,RUC!$B$3:$B$123,RUC!$D$3:$D$123)</f>
        <v>10082235774</v>
      </c>
      <c r="G67" s="1082">
        <v>35</v>
      </c>
      <c r="H67" t="s">
        <v>69</v>
      </c>
      <c r="I67" s="703">
        <v>3.21</v>
      </c>
      <c r="J67" s="596">
        <v>1.4</v>
      </c>
      <c r="K67" s="138">
        <f t="shared" si="26"/>
        <v>3.165</v>
      </c>
      <c r="L67" s="762">
        <v>0.14399999999999999</v>
      </c>
      <c r="M67" s="762">
        <v>0.128</v>
      </c>
      <c r="N67" s="159">
        <v>0.128</v>
      </c>
      <c r="O67" s="645">
        <f t="shared" si="11"/>
        <v>0.128</v>
      </c>
      <c r="P67" s="727">
        <v>85</v>
      </c>
      <c r="Q67" s="596">
        <v>91.67</v>
      </c>
      <c r="R67" s="706">
        <v>3305.25</v>
      </c>
      <c r="S67" s="1164">
        <v>95</v>
      </c>
      <c r="U67" s="1146">
        <f>_xlfn.XLOOKUP(D67,RUC!$B$3:$B$123,RUC!$F$3:$F$123)</f>
        <v>80</v>
      </c>
      <c r="V67" s="715">
        <v>1.1023000000000001</v>
      </c>
      <c r="Y67">
        <f>_xlfn.XLOOKUP(D67,RUC!$B$3:$B$123,RUC!$G$3:$G$123)</f>
        <v>0</v>
      </c>
      <c r="Z67" s="143">
        <f>_xlfn.XLOOKUP(D67,RUC!$B$3:$B$123,RUC!$H$3:$H$123)</f>
        <v>10</v>
      </c>
      <c r="AA67" s="144">
        <f t="shared" si="12"/>
        <v>10</v>
      </c>
      <c r="AB67" s="145">
        <f t="shared" si="21"/>
        <v>271.06350656000001</v>
      </c>
      <c r="AC67" s="145">
        <f>+(S67-T67)*V67-'data 1'!$F$4</f>
        <v>24.718500000000006</v>
      </c>
      <c r="AD67" s="145">
        <f t="shared" si="13"/>
        <v>34.146918446760012</v>
      </c>
      <c r="AE67" s="145">
        <f t="shared" si="14"/>
        <v>-58.977000000000004</v>
      </c>
      <c r="AF67" s="145">
        <f t="shared" si="15"/>
        <v>52.144727869639958</v>
      </c>
      <c r="AG67" s="772">
        <f t="shared" si="25"/>
        <v>69.033146316399979</v>
      </c>
      <c r="AH67" s="146">
        <f t="shared" si="16"/>
        <v>14.324270283144259</v>
      </c>
      <c r="AI67" s="146">
        <f t="shared" si="17"/>
        <v>15.625908457668</v>
      </c>
      <c r="AJ67" s="156">
        <f t="shared" si="18"/>
        <v>31.684561023960001</v>
      </c>
      <c r="AK67" s="156">
        <f t="shared" si="19"/>
        <v>11.806241945793602</v>
      </c>
      <c r="AL67" s="88"/>
      <c r="AM67" s="716">
        <f t="shared" si="20"/>
        <v>857.91599826240008</v>
      </c>
      <c r="AN67" s="716" t="str">
        <f>_xlfn.XLOOKUP(D67,RUC!$B$3:$B$578,RUC!$M$3:$M$578)</f>
        <v>Melchor Vera</v>
      </c>
      <c r="AO67" s="1167" t="s">
        <v>2279</v>
      </c>
      <c r="AP67" t="s">
        <v>2487</v>
      </c>
      <c r="AQ67" t="s">
        <v>2488</v>
      </c>
      <c r="AS67" s="1212"/>
    </row>
    <row r="68" spans="1:45" ht="15" customHeight="1">
      <c r="A68" s="747" t="s">
        <v>2494</v>
      </c>
      <c r="B68" s="595">
        <v>45877</v>
      </c>
      <c r="C68" s="595">
        <v>45867</v>
      </c>
      <c r="D68" t="s">
        <v>2444</v>
      </c>
      <c r="E68">
        <f>_xlfn.XLOOKUP(D68,RUC!$B$3:$B$123,RUC!$D$3:$D$123)</f>
        <v>20608774000</v>
      </c>
      <c r="G68" s="1082">
        <v>487</v>
      </c>
      <c r="H68" t="s">
        <v>108</v>
      </c>
      <c r="I68" s="703">
        <v>14.64</v>
      </c>
      <c r="J68" s="596">
        <v>15.2</v>
      </c>
      <c r="K68" s="138">
        <f t="shared" si="26"/>
        <v>12.414999999999999</v>
      </c>
      <c r="L68" s="762">
        <v>0.36499999999999999</v>
      </c>
      <c r="M68" s="762">
        <v>0.34300000000000003</v>
      </c>
      <c r="N68" s="159">
        <v>0.34300000000000003</v>
      </c>
      <c r="O68" s="645">
        <f t="shared" si="11"/>
        <v>0.34300000000000003</v>
      </c>
      <c r="P68" s="727">
        <v>89</v>
      </c>
      <c r="Q68" s="596">
        <v>89.04</v>
      </c>
      <c r="R68" s="706">
        <v>3316.5</v>
      </c>
      <c r="S68" s="765">
        <f t="shared" ref="S68:S89" si="27">IF((90+ROUNDDOWN(O68,1)*100)&lt;95,95,(90+ROUNDDOWN(O68,1)*100))</f>
        <v>120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3">
        <f>_xlfn.XLOOKUP(D68,RUC!$B$3:$B$123,RUC!$H$3:$H$123)</f>
        <v>30</v>
      </c>
      <c r="AA68" s="144">
        <f t="shared" si="12"/>
        <v>50</v>
      </c>
      <c r="AB68" s="145">
        <f t="shared" si="21"/>
        <v>888.22844027650012</v>
      </c>
      <c r="AC68" s="145">
        <f>+(S68-T68)*V68-'data 1'!$F$4</f>
        <v>52.27600000000001</v>
      </c>
      <c r="AD68" s="145">
        <f t="shared" si="13"/>
        <v>0.51443128470008048</v>
      </c>
      <c r="AE68" s="145">
        <f t="shared" si="14"/>
        <v>-14.884999999999998</v>
      </c>
      <c r="AF68" s="145">
        <f t="shared" si="15"/>
        <v>69.021174998159893</v>
      </c>
      <c r="AG68" s="772">
        <f t="shared" si="25"/>
        <v>123.92660628285998</v>
      </c>
      <c r="AH68" s="146">
        <f t="shared" si="16"/>
        <v>138.3355524958732</v>
      </c>
      <c r="AI68" s="146">
        <f t="shared" si="17"/>
        <v>155.36337881387377</v>
      </c>
      <c r="AJ68" s="156">
        <f t="shared" si="18"/>
        <v>88.306921882200001</v>
      </c>
      <c r="AK68" s="156">
        <f t="shared" si="19"/>
        <v>129.93911959044178</v>
      </c>
      <c r="AL68" s="88"/>
      <c r="AM68" s="716">
        <f t="shared" si="20"/>
        <v>11027.356086032749</v>
      </c>
      <c r="AN68" s="716" t="str">
        <f>_xlfn.XLOOKUP(D68,RUC!$B$3:$B$578,RUC!$M$3:$M$578)</f>
        <v>Ronald Miranda</v>
      </c>
      <c r="AO68" s="1167" t="s">
        <v>2277</v>
      </c>
      <c r="AP68" t="s">
        <v>2489</v>
      </c>
      <c r="AQ68" t="s">
        <v>2484</v>
      </c>
      <c r="AS68" s="1212"/>
    </row>
    <row r="69" spans="1:45" ht="15" customHeight="1">
      <c r="A69" s="747" t="s">
        <v>2495</v>
      </c>
      <c r="B69" s="595">
        <v>45877</v>
      </c>
      <c r="C69" s="595">
        <v>45867</v>
      </c>
      <c r="D69" t="s">
        <v>2444</v>
      </c>
      <c r="E69">
        <f>_xlfn.XLOOKUP(D69,RUC!$B$3:$B$123,RUC!$D$3:$D$123)</f>
        <v>20608774000</v>
      </c>
      <c r="G69" s="1082">
        <v>269</v>
      </c>
      <c r="H69" t="s">
        <v>108</v>
      </c>
      <c r="I69" s="703">
        <v>14.3</v>
      </c>
      <c r="J69" s="596">
        <v>15</v>
      </c>
      <c r="K69" s="138">
        <f t="shared" si="26"/>
        <v>12.154999999999999</v>
      </c>
      <c r="L69" s="762">
        <v>0.313</v>
      </c>
      <c r="M69" s="762">
        <v>0.29399999999999998</v>
      </c>
      <c r="N69" s="159">
        <v>0.29399999999999998</v>
      </c>
      <c r="O69" s="645">
        <f t="shared" si="11"/>
        <v>0.29399999999999998</v>
      </c>
      <c r="P69" s="727">
        <v>89</v>
      </c>
      <c r="Q69" s="596">
        <v>88.82</v>
      </c>
      <c r="R69" s="706">
        <v>3316.5</v>
      </c>
      <c r="S69" s="765">
        <f t="shared" si="27"/>
        <v>110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3">
        <f>_xlfn.XLOOKUP(D69,RUC!$B$3:$B$123,RUC!$H$3:$H$123)</f>
        <v>30</v>
      </c>
      <c r="AA69" s="144">
        <f t="shared" si="12"/>
        <v>50</v>
      </c>
      <c r="AB69" s="145">
        <f t="shared" si="21"/>
        <v>745.59152023699994</v>
      </c>
      <c r="AC69" s="145">
        <f>+(S69-T69)*V69-'data 1'!$F$4</f>
        <v>41.253</v>
      </c>
      <c r="AD69" s="145">
        <f t="shared" si="13"/>
        <v>-1.9851409986300754</v>
      </c>
      <c r="AE69" s="145">
        <f t="shared" si="14"/>
        <v>-14.884999999999998</v>
      </c>
      <c r="AF69" s="145">
        <f t="shared" si="15"/>
        <v>59.461914207810054</v>
      </c>
      <c r="AG69" s="772">
        <f t="shared" si="25"/>
        <v>100.84477320917998</v>
      </c>
      <c r="AH69" s="146">
        <f t="shared" si="16"/>
        <v>115.85616238256003</v>
      </c>
      <c r="AI69" s="146">
        <f t="shared" si="17"/>
        <v>130.43927311704576</v>
      </c>
      <c r="AJ69" s="156">
        <f t="shared" si="18"/>
        <v>75.539105431869999</v>
      </c>
      <c r="AK69" s="156">
        <f t="shared" si="19"/>
        <v>109.04389841471625</v>
      </c>
      <c r="AL69" s="88"/>
      <c r="AM69" s="716">
        <f t="shared" si="20"/>
        <v>9062.6649284807336</v>
      </c>
      <c r="AN69" s="716" t="str">
        <f>_xlfn.XLOOKUP(D69,RUC!$B$3:$B$578,RUC!$M$3:$M$578)</f>
        <v>Ronald Miranda</v>
      </c>
      <c r="AO69" s="1167" t="s">
        <v>2277</v>
      </c>
      <c r="AP69" t="s">
        <v>2489</v>
      </c>
      <c r="AQ69" t="s">
        <v>2484</v>
      </c>
      <c r="AS69" s="1212"/>
    </row>
    <row r="70" spans="1:45" ht="15" customHeight="1">
      <c r="A70" s="747" t="s">
        <v>2496</v>
      </c>
      <c r="B70" s="595">
        <v>45905</v>
      </c>
      <c r="C70" s="595">
        <v>45867</v>
      </c>
      <c r="D70" t="s">
        <v>1967</v>
      </c>
      <c r="E70">
        <f>_xlfn.XLOOKUP(D70,RUC!$B$3:$B$123,RUC!$D$3:$D$123)</f>
        <v>20601769396</v>
      </c>
      <c r="G70" s="1082">
        <v>40</v>
      </c>
      <c r="H70" t="s">
        <v>116</v>
      </c>
      <c r="I70" s="703">
        <v>3.41</v>
      </c>
      <c r="J70" s="596">
        <v>8.8000000000000007</v>
      </c>
      <c r="K70" s="138">
        <f t="shared" si="26"/>
        <v>3.11</v>
      </c>
      <c r="L70" s="994">
        <v>0.22</v>
      </c>
      <c r="M70" s="762">
        <v>0.20499999999999999</v>
      </c>
      <c r="N70" s="159">
        <v>0.20499999999999999</v>
      </c>
      <c r="O70" s="645">
        <f t="shared" si="11"/>
        <v>0.20499999999999999</v>
      </c>
      <c r="P70" s="727">
        <v>90</v>
      </c>
      <c r="Q70" s="596">
        <v>96.82</v>
      </c>
      <c r="R70" s="706">
        <v>3316.5</v>
      </c>
      <c r="S70" s="765">
        <f t="shared" si="27"/>
        <v>110</v>
      </c>
      <c r="U70" s="1146">
        <f>_xlfn.XLOOKUP(D70,RUC!$B$3:$B$123,RUC!$F$3:$F$123)</f>
        <v>120</v>
      </c>
      <c r="V70" s="715">
        <v>1.1023000000000001</v>
      </c>
      <c r="Y70">
        <f>_xlfn.XLOOKUP(D70,RUC!$B$3:$B$123,RUC!$G$3:$G$123)</f>
        <v>20</v>
      </c>
      <c r="Z70" s="143">
        <f>_xlfn.XLOOKUP(D70,RUC!$B$3:$B$123,RUC!$H$3:$H$123)</f>
        <v>30</v>
      </c>
      <c r="AA70" s="144">
        <f t="shared" si="12"/>
        <v>50</v>
      </c>
      <c r="AB70" s="145">
        <f t="shared" si="21"/>
        <v>473.71810977499996</v>
      </c>
      <c r="AC70" s="145">
        <f>+(S70-T70)*V70-'data 1'!$F$4</f>
        <v>41.253</v>
      </c>
      <c r="AD70" s="145">
        <f t="shared" si="13"/>
        <v>52.866623257799944</v>
      </c>
      <c r="AE70" s="145">
        <f t="shared" si="14"/>
        <v>-14.884999999999998</v>
      </c>
      <c r="AF70" s="145">
        <f t="shared" si="15"/>
        <v>51.171818819850053</v>
      </c>
      <c r="AG70" s="772">
        <f t="shared" si="25"/>
        <v>147.40644207764998</v>
      </c>
      <c r="AH70" s="146">
        <f t="shared" si="16"/>
        <v>22.712096116188842</v>
      </c>
      <c r="AI70" s="146">
        <f t="shared" si="17"/>
        <v>23.458062503809998</v>
      </c>
      <c r="AJ70" s="156">
        <f t="shared" si="18"/>
        <v>57.876797217799997</v>
      </c>
      <c r="AK70" s="156">
        <f t="shared" si="19"/>
        <v>19.672784236149749</v>
      </c>
      <c r="AL70" s="88"/>
      <c r="AM70" s="716">
        <f t="shared" si="20"/>
        <v>1473.2633214002499</v>
      </c>
      <c r="AN70" s="716" t="str">
        <f>_xlfn.XLOOKUP(D70,RUC!$B$3:$B$578,RUC!$M$3:$M$578)</f>
        <v>Evelyn</v>
      </c>
      <c r="AO70" s="1167" t="s">
        <v>2277</v>
      </c>
      <c r="AP70" t="s">
        <v>2490</v>
      </c>
      <c r="AQ70" t="s">
        <v>2491</v>
      </c>
      <c r="AS70" s="1212"/>
    </row>
    <row r="71" spans="1:45" ht="15" customHeight="1">
      <c r="A71" s="747" t="s">
        <v>2497</v>
      </c>
      <c r="B71" s="595">
        <v>45905</v>
      </c>
      <c r="C71" s="595">
        <v>45867</v>
      </c>
      <c r="D71" t="s">
        <v>1967</v>
      </c>
      <c r="E71">
        <f>_xlfn.XLOOKUP(D71,RUC!$B$3:$B$123,RUC!$D$3:$D$123)</f>
        <v>20601769396</v>
      </c>
      <c r="G71" s="1082">
        <v>45</v>
      </c>
      <c r="H71" t="s">
        <v>116</v>
      </c>
      <c r="I71" s="703">
        <v>3.78</v>
      </c>
      <c r="J71" s="596">
        <v>8.6999999999999993</v>
      </c>
      <c r="K71" s="138">
        <f t="shared" si="26"/>
        <v>3.4510000000000001</v>
      </c>
      <c r="L71" s="762">
        <v>0.14599999999999999</v>
      </c>
      <c r="M71" s="762">
        <v>0.13100000000000001</v>
      </c>
      <c r="N71" s="159">
        <v>0.13100000000000001</v>
      </c>
      <c r="O71" s="645">
        <f t="shared" si="11"/>
        <v>0.13100000000000001</v>
      </c>
      <c r="P71" s="727">
        <v>85</v>
      </c>
      <c r="Q71" s="596">
        <v>90.41</v>
      </c>
      <c r="R71" s="706">
        <v>3316.5</v>
      </c>
      <c r="S71" s="765">
        <f t="shared" si="27"/>
        <v>100</v>
      </c>
      <c r="U71" s="1146">
        <f>_xlfn.XLOOKUP(D71,RUC!$B$3:$B$123,RUC!$F$3:$F$123)</f>
        <v>120</v>
      </c>
      <c r="V71" s="715">
        <v>1.1023000000000001</v>
      </c>
      <c r="Y71">
        <f>_xlfn.XLOOKUP(D71,RUC!$B$3:$B$123,RUC!$G$3:$G$123)</f>
        <v>20</v>
      </c>
      <c r="Z71" s="143">
        <f>_xlfn.XLOOKUP(D71,RUC!$B$3:$B$123,RUC!$H$3:$H$123)</f>
        <v>30</v>
      </c>
      <c r="AA71" s="144">
        <f t="shared" si="12"/>
        <v>50</v>
      </c>
      <c r="AB71" s="145">
        <f t="shared" si="21"/>
        <v>226.99694213249995</v>
      </c>
      <c r="AC71" s="145">
        <f>+(S71-T71)*V71-'data 1'!$F$4</f>
        <v>30.230000000000004</v>
      </c>
      <c r="AD71" s="145">
        <f t="shared" si="13"/>
        <v>27.830732502269981</v>
      </c>
      <c r="AE71" s="145">
        <f t="shared" si="14"/>
        <v>-14.884999999999998</v>
      </c>
      <c r="AF71" s="145">
        <f t="shared" si="15"/>
        <v>47.783971694924958</v>
      </c>
      <c r="AG71" s="772">
        <f t="shared" si="25"/>
        <v>107.95970419719495</v>
      </c>
      <c r="AH71" s="146">
        <f t="shared" si="16"/>
        <v>15.617925742768776</v>
      </c>
      <c r="AI71" s="146">
        <f t="shared" si="17"/>
        <v>17.2745556274403</v>
      </c>
      <c r="AJ71" s="156">
        <f t="shared" si="18"/>
        <v>35.866256996269996</v>
      </c>
      <c r="AK71" s="156">
        <f t="shared" si="19"/>
        <v>13.174806637777245</v>
      </c>
      <c r="AL71" s="88"/>
      <c r="AM71" s="716">
        <f t="shared" si="20"/>
        <v>783.3664472992574</v>
      </c>
      <c r="AN71" s="716" t="str">
        <f>_xlfn.XLOOKUP(D71,RUC!$B$3:$B$578,RUC!$M$3:$M$578)</f>
        <v>Evelyn</v>
      </c>
      <c r="AO71" s="1167" t="s">
        <v>2279</v>
      </c>
      <c r="AP71" t="s">
        <v>2490</v>
      </c>
      <c r="AQ71" t="s">
        <v>2491</v>
      </c>
      <c r="AS71" s="1212"/>
    </row>
    <row r="72" spans="1:45" ht="15" customHeight="1">
      <c r="A72" s="747" t="s">
        <v>2498</v>
      </c>
      <c r="B72" s="595">
        <v>45905</v>
      </c>
      <c r="C72" s="595">
        <v>45867</v>
      </c>
      <c r="D72" t="s">
        <v>1967</v>
      </c>
      <c r="E72">
        <f>_xlfn.XLOOKUP(D72,RUC!$B$3:$B$123,RUC!$D$3:$D$123)</f>
        <v>20601769396</v>
      </c>
      <c r="G72" s="1082">
        <v>50</v>
      </c>
      <c r="H72" t="s">
        <v>116</v>
      </c>
      <c r="I72" s="703">
        <v>4</v>
      </c>
      <c r="J72" s="596">
        <v>10.95</v>
      </c>
      <c r="K72" s="138">
        <f t="shared" si="26"/>
        <v>3.5619999999999998</v>
      </c>
      <c r="L72" s="762">
        <v>0.26100000000000001</v>
      </c>
      <c r="M72" s="762">
        <v>0.245</v>
      </c>
      <c r="N72" s="159">
        <v>0.245</v>
      </c>
      <c r="O72" s="645">
        <f t="shared" si="11"/>
        <v>0.245</v>
      </c>
      <c r="P72" s="727">
        <v>75</v>
      </c>
      <c r="Q72" s="596">
        <v>76.25</v>
      </c>
      <c r="R72" s="706">
        <v>3316.5</v>
      </c>
      <c r="S72" s="765">
        <f t="shared" si="27"/>
        <v>110</v>
      </c>
      <c r="U72" s="1146">
        <f>_xlfn.XLOOKUP(D72,RUC!$B$3:$B$123,RUC!$F$3:$F$123)</f>
        <v>120</v>
      </c>
      <c r="V72" s="715">
        <v>1.1023000000000001</v>
      </c>
      <c r="Y72">
        <f>_xlfn.XLOOKUP(D72,RUC!$B$3:$B$123,RUC!$G$3:$G$123)</f>
        <v>20</v>
      </c>
      <c r="Z72" s="143">
        <f>_xlfn.XLOOKUP(D72,RUC!$B$3:$B$123,RUC!$H$3:$H$123)</f>
        <v>30</v>
      </c>
      <c r="AA72" s="144">
        <f t="shared" si="12"/>
        <v>50</v>
      </c>
      <c r="AB72" s="145">
        <f t="shared" si="21"/>
        <v>471.07548331249995</v>
      </c>
      <c r="AC72" s="145">
        <f>+(S72-T72)*V72-'data 1'!$F$4</f>
        <v>41.253</v>
      </c>
      <c r="AD72" s="145">
        <f t="shared" si="13"/>
        <v>11.495425111874999</v>
      </c>
      <c r="AE72" s="145">
        <f t="shared" si="14"/>
        <v>-14.884999999999998</v>
      </c>
      <c r="AF72" s="145">
        <f t="shared" si="15"/>
        <v>42.986723790000042</v>
      </c>
      <c r="AG72" s="772">
        <f t="shared" si="25"/>
        <v>97.850148901875059</v>
      </c>
      <c r="AH72" s="146">
        <f t="shared" si="16"/>
        <v>24.304312451488826</v>
      </c>
      <c r="AI72" s="146">
        <f t="shared" si="17"/>
        <v>31.8745081331001</v>
      </c>
      <c r="AJ72" s="156">
        <f t="shared" si="18"/>
        <v>54.075069511875</v>
      </c>
      <c r="AK72" s="156">
        <f t="shared" si="19"/>
        <v>22.440386473015874</v>
      </c>
      <c r="AL72" s="88"/>
      <c r="AM72" s="716">
        <f t="shared" si="20"/>
        <v>1677.9708715591248</v>
      </c>
      <c r="AN72" s="716" t="str">
        <f>_xlfn.XLOOKUP(D72,RUC!$B$3:$B$578,RUC!$M$3:$M$578)</f>
        <v>Evelyn</v>
      </c>
      <c r="AO72" s="1167" t="s">
        <v>2278</v>
      </c>
      <c r="AP72" t="s">
        <v>2490</v>
      </c>
      <c r="AQ72" t="s">
        <v>2491</v>
      </c>
      <c r="AS72" s="1212"/>
    </row>
    <row r="73" spans="1:45" ht="15" customHeight="1">
      <c r="A73" s="747" t="s">
        <v>2499</v>
      </c>
      <c r="B73" s="595">
        <v>45876</v>
      </c>
      <c r="C73" s="595">
        <v>45868</v>
      </c>
      <c r="D73" t="s">
        <v>324</v>
      </c>
      <c r="E73">
        <f>_xlfn.XLOOKUP(D73,RUC!$B$3:$B$123,RUC!$D$3:$D$123)</f>
        <v>20603329059</v>
      </c>
      <c r="G73" s="1082">
        <v>46</v>
      </c>
      <c r="H73" t="s">
        <v>69</v>
      </c>
      <c r="I73" s="703">
        <v>1.77</v>
      </c>
      <c r="J73" s="596">
        <v>1.6</v>
      </c>
      <c r="K73" s="138">
        <f t="shared" si="26"/>
        <v>1.742</v>
      </c>
      <c r="L73" s="762">
        <v>2.7709999999999999</v>
      </c>
      <c r="M73" s="762">
        <v>2.605</v>
      </c>
      <c r="N73" s="159">
        <v>2.605</v>
      </c>
      <c r="O73" s="645">
        <f t="shared" si="11"/>
        <v>2.605</v>
      </c>
      <c r="P73" s="727">
        <v>88</v>
      </c>
      <c r="Q73" s="596">
        <v>88.63</v>
      </c>
      <c r="R73" s="706">
        <v>3304.3</v>
      </c>
      <c r="S73" s="765">
        <f t="shared" si="27"/>
        <v>350</v>
      </c>
      <c r="U73" s="1146">
        <f>_xlfn.XLOOKUP(D73,RUC!$B$3:$B$123,RUC!$F$3:$F$123)</f>
        <v>100</v>
      </c>
      <c r="V73" s="715">
        <v>1.1023000000000001</v>
      </c>
      <c r="Y73">
        <f>_xlfn.XLOOKUP(D73,RUC!$B$3:$B$123,RUC!$G$3:$G$123)</f>
        <v>0</v>
      </c>
      <c r="Z73" s="143">
        <f>_xlfn.XLOOKUP(D73,RUC!$B$3:$B$123,RUC!$H$3:$H$123)</f>
        <v>30</v>
      </c>
      <c r="AA73" s="144">
        <f t="shared" si="12"/>
        <v>30</v>
      </c>
      <c r="AB73" s="145">
        <f t="shared" si="21"/>
        <v>7678.111787836001</v>
      </c>
      <c r="AC73" s="145">
        <f>+(S73-T73)*V73-'data 1'!$F$4</f>
        <v>305.80500000000001</v>
      </c>
      <c r="AD73" s="145">
        <f t="shared" si="13"/>
        <v>61.660927409696562</v>
      </c>
      <c r="AE73" s="145">
        <f t="shared" si="14"/>
        <v>-36.930999999999997</v>
      </c>
      <c r="AF73" s="145">
        <f t="shared" si="15"/>
        <v>519.66302199616177</v>
      </c>
      <c r="AG73" s="772">
        <f t="shared" si="25"/>
        <v>867.19794940585837</v>
      </c>
      <c r="AH73" s="146">
        <f t="shared" si="16"/>
        <v>146.68121376784046</v>
      </c>
      <c r="AI73" s="146">
        <f t="shared" si="17"/>
        <v>165.49837951917013</v>
      </c>
      <c r="AJ73" s="156">
        <f t="shared" si="18"/>
        <v>646.20379099807246</v>
      </c>
      <c r="AK73" s="156">
        <f t="shared" si="19"/>
        <v>136.91392465165845</v>
      </c>
      <c r="AL73" s="88"/>
      <c r="AM73" s="716">
        <f t="shared" si="20"/>
        <v>13375.270734410313</v>
      </c>
      <c r="AN73" s="716" t="str">
        <f>_xlfn.XLOOKUP(D73,RUC!$B$3:$B$578,RUC!$M$3:$M$578)</f>
        <v>Yuri Rospigliossi</v>
      </c>
      <c r="AO73" s="1167" t="s">
        <v>2279</v>
      </c>
      <c r="AP73" t="s">
        <v>2492</v>
      </c>
      <c r="AQ73" t="s">
        <v>2493</v>
      </c>
      <c r="AS73" s="1212"/>
    </row>
    <row r="74" spans="1:45" ht="15" customHeight="1">
      <c r="A74" s="747" t="s">
        <v>2500</v>
      </c>
      <c r="B74" s="595">
        <v>45876</v>
      </c>
      <c r="C74" s="595">
        <v>45868</v>
      </c>
      <c r="D74" t="s">
        <v>324</v>
      </c>
      <c r="E74">
        <f>_xlfn.XLOOKUP(D74,RUC!$B$3:$B$123,RUC!$D$3:$D$123)</f>
        <v>20603329059</v>
      </c>
      <c r="G74" s="1082">
        <v>303</v>
      </c>
      <c r="H74" t="s">
        <v>108</v>
      </c>
      <c r="I74" s="703">
        <v>21.11</v>
      </c>
      <c r="J74" s="596">
        <v>8.15</v>
      </c>
      <c r="K74" s="138">
        <f t="shared" si="26"/>
        <v>19.39</v>
      </c>
      <c r="L74" s="762">
        <v>0.16900000000000001</v>
      </c>
      <c r="M74" s="762">
        <v>0.154</v>
      </c>
      <c r="N74" s="159">
        <v>0.154</v>
      </c>
      <c r="O74" s="645">
        <f t="shared" si="11"/>
        <v>0.154</v>
      </c>
      <c r="P74" s="727">
        <v>88</v>
      </c>
      <c r="Q74" s="596">
        <v>88.17</v>
      </c>
      <c r="R74" s="706">
        <v>3304.3</v>
      </c>
      <c r="S74" s="765">
        <f t="shared" si="27"/>
        <v>100</v>
      </c>
      <c r="U74" s="1146">
        <f>_xlfn.XLOOKUP(D74,RUC!$B$3:$B$123,RUC!$F$3:$F$123)</f>
        <v>100</v>
      </c>
      <c r="V74" s="715">
        <v>1.1023000000000001</v>
      </c>
      <c r="Y74">
        <f>_xlfn.XLOOKUP(D74,RUC!$B$3:$B$123,RUC!$G$3:$G$123)</f>
        <v>0</v>
      </c>
      <c r="Z74" s="143">
        <f>_xlfn.XLOOKUP(D74,RUC!$B$3:$B$123,RUC!$H$3:$H$123)</f>
        <v>30</v>
      </c>
      <c r="AA74" s="144">
        <f t="shared" si="12"/>
        <v>30</v>
      </c>
      <c r="AB74" s="145">
        <f t="shared" si="21"/>
        <v>335.3711770928</v>
      </c>
      <c r="AC74" s="145">
        <f>+(S74-T74)*V74-'data 1'!$F$4</f>
        <v>30.230000000000004</v>
      </c>
      <c r="AD74" s="145">
        <f t="shared" si="13"/>
        <v>1.0147722983970102</v>
      </c>
      <c r="AE74" s="145">
        <f t="shared" si="14"/>
        <v>-36.930999999999997</v>
      </c>
      <c r="AF74" s="145">
        <f t="shared" si="15"/>
        <v>46.713787095195045</v>
      </c>
      <c r="AG74" s="772">
        <f t="shared" si="25"/>
        <v>58.027559393592057</v>
      </c>
      <c r="AH74" s="146">
        <f t="shared" si="16"/>
        <v>99.059110462957833</v>
      </c>
      <c r="AI74" s="146">
        <f t="shared" si="17"/>
        <v>112.35013095492552</v>
      </c>
      <c r="AJ74" s="156">
        <f t="shared" si="18"/>
        <v>39.206653258772974</v>
      </c>
      <c r="AK74" s="156">
        <f t="shared" si="19"/>
        <v>90.092838739713045</v>
      </c>
      <c r="AL74" s="88"/>
      <c r="AM74" s="716">
        <f t="shared" si="20"/>
        <v>6502.8471238293923</v>
      </c>
      <c r="AN74" s="716" t="str">
        <f>_xlfn.XLOOKUP(D74,RUC!$B$3:$B$578,RUC!$M$3:$M$578)</f>
        <v>Yuri Rospigliossi</v>
      </c>
      <c r="AO74" s="1167" t="s">
        <v>2279</v>
      </c>
      <c r="AP74" t="s">
        <v>2492</v>
      </c>
      <c r="AQ74" t="s">
        <v>2493</v>
      </c>
      <c r="AS74" s="1212"/>
    </row>
    <row r="75" spans="1:45" ht="15" customHeight="1">
      <c r="A75" s="747" t="s">
        <v>2501</v>
      </c>
      <c r="B75" s="595">
        <v>45876</v>
      </c>
      <c r="C75" s="595">
        <v>45868</v>
      </c>
      <c r="D75" t="s">
        <v>324</v>
      </c>
      <c r="E75">
        <f>_xlfn.XLOOKUP(D75,RUC!$B$3:$B$123,RUC!$D$3:$D$123)</f>
        <v>20603329059</v>
      </c>
      <c r="G75" s="1082">
        <v>36</v>
      </c>
      <c r="H75" t="s">
        <v>108</v>
      </c>
      <c r="I75" s="703">
        <v>2.19</v>
      </c>
      <c r="J75" s="596">
        <v>14.2</v>
      </c>
      <c r="K75" s="138">
        <f t="shared" si="26"/>
        <v>1.879</v>
      </c>
      <c r="L75" s="762">
        <v>0.70399999999999996</v>
      </c>
      <c r="M75" s="762">
        <v>0.66200000000000003</v>
      </c>
      <c r="N75" s="159">
        <v>0.66200000000000003</v>
      </c>
      <c r="O75" s="645">
        <f t="shared" si="11"/>
        <v>0.66200000000000003</v>
      </c>
      <c r="P75" s="727">
        <v>90</v>
      </c>
      <c r="Q75" s="596">
        <v>96.16</v>
      </c>
      <c r="R75" s="706">
        <v>3304.3</v>
      </c>
      <c r="S75" s="765">
        <f t="shared" si="27"/>
        <v>150</v>
      </c>
      <c r="U75" s="1146">
        <f>_xlfn.XLOOKUP(D75,RUC!$B$3:$B$123,RUC!$F$3:$F$123)</f>
        <v>100</v>
      </c>
      <c r="V75" s="715">
        <v>1.1023000000000001</v>
      </c>
      <c r="Y75">
        <f>_xlfn.XLOOKUP(D75,RUC!$B$3:$B$123,RUC!$G$3:$G$123)</f>
        <v>0</v>
      </c>
      <c r="Z75" s="143">
        <f>_xlfn.XLOOKUP(D75,RUC!$B$3:$B$123,RUC!$H$3:$H$123)</f>
        <v>30</v>
      </c>
      <c r="AA75" s="144">
        <f t="shared" si="12"/>
        <v>30</v>
      </c>
      <c r="AB75" s="145">
        <f t="shared" si="21"/>
        <v>1906.0111144620003</v>
      </c>
      <c r="AC75" s="145">
        <f>+(S75-T75)*V75-'data 1'!$F$4</f>
        <v>85.344999999999999</v>
      </c>
      <c r="AD75" s="145">
        <f t="shared" si="13"/>
        <v>153.17445666969593</v>
      </c>
      <c r="AE75" s="145">
        <f t="shared" si="14"/>
        <v>-36.930999999999997</v>
      </c>
      <c r="AF75" s="145">
        <f t="shared" si="15"/>
        <v>142.65162467740777</v>
      </c>
      <c r="AG75" s="772">
        <f t="shared" si="25"/>
        <v>361.24008134710368</v>
      </c>
      <c r="AH75" s="146">
        <f t="shared" si="16"/>
        <v>43.611694699404836</v>
      </c>
      <c r="AI75" s="146">
        <f t="shared" si="17"/>
        <v>45.353259878748794</v>
      </c>
      <c r="AJ75" s="156">
        <f t="shared" si="18"/>
        <v>178.12272897126385</v>
      </c>
      <c r="AK75" s="156">
        <f t="shared" si="19"/>
        <v>38.382773062157014</v>
      </c>
      <c r="AL75" s="88"/>
      <c r="AM75" s="716">
        <f t="shared" si="20"/>
        <v>3581.3948840740986</v>
      </c>
      <c r="AN75" s="716" t="str">
        <f>_xlfn.XLOOKUP(D75,RUC!$B$3:$B$578,RUC!$M$3:$M$578)</f>
        <v>Yuri Rospigliossi</v>
      </c>
      <c r="AO75" s="1167" t="s">
        <v>2281</v>
      </c>
      <c r="AP75" t="s">
        <v>2492</v>
      </c>
      <c r="AQ75" t="s">
        <v>2493</v>
      </c>
      <c r="AS75" s="1212"/>
    </row>
    <row r="76" spans="1:45" ht="15" customHeight="1">
      <c r="A76" s="747" t="s">
        <v>2504</v>
      </c>
      <c r="B76" s="595">
        <v>45876</v>
      </c>
      <c r="C76" s="595">
        <v>45869</v>
      </c>
      <c r="D76" t="s">
        <v>324</v>
      </c>
      <c r="E76">
        <f>_xlfn.XLOOKUP(D76,RUC!$B$3:$B$123,RUC!$D$3:$D$123)</f>
        <v>20603329059</v>
      </c>
      <c r="G76" s="1082">
        <v>38</v>
      </c>
      <c r="H76" t="s">
        <v>108</v>
      </c>
      <c r="I76" s="703">
        <v>2.65</v>
      </c>
      <c r="J76" s="596">
        <v>1.2</v>
      </c>
      <c r="K76" s="138">
        <f t="shared" si="26"/>
        <v>2.6179999999999999</v>
      </c>
      <c r="L76" s="762">
        <v>1.054</v>
      </c>
      <c r="M76" s="762">
        <v>0.99099999999999999</v>
      </c>
      <c r="N76" s="159">
        <v>0.99099999999999999</v>
      </c>
      <c r="O76" s="645">
        <f t="shared" si="11"/>
        <v>0.99099999999999999</v>
      </c>
      <c r="P76" s="727">
        <v>90</v>
      </c>
      <c r="Q76" s="596">
        <v>95.73</v>
      </c>
      <c r="R76" s="706">
        <v>3298.85</v>
      </c>
      <c r="S76" s="765">
        <f t="shared" si="27"/>
        <v>180</v>
      </c>
      <c r="U76" s="1146">
        <f>_xlfn.XLOOKUP(D76,RUC!$B$3:$B$123,RUC!$F$3:$F$123)</f>
        <v>100</v>
      </c>
      <c r="V76" s="715">
        <v>1.1023000000000001</v>
      </c>
      <c r="Y76">
        <f>_xlfn.XLOOKUP(D76,RUC!$B$3:$B$123,RUC!$G$3:$G$123)</f>
        <v>0</v>
      </c>
      <c r="Z76" s="143">
        <f>_xlfn.XLOOKUP(D76,RUC!$B$3:$B$123,RUC!$H$3:$H$123)</f>
        <v>30</v>
      </c>
      <c r="AA76" s="144">
        <f t="shared" si="12"/>
        <v>30</v>
      </c>
      <c r="AB76" s="145">
        <f t="shared" si="21"/>
        <v>2913.4387714244999</v>
      </c>
      <c r="AC76" s="145">
        <f>+(S76-T76)*V76-'data 1'!$F$4</f>
        <v>118.41400000000002</v>
      </c>
      <c r="AD76" s="145">
        <f t="shared" si="13"/>
        <v>212.95552690634119</v>
      </c>
      <c r="AE76" s="145">
        <f t="shared" si="14"/>
        <v>-36.930999999999997</v>
      </c>
      <c r="AF76" s="145">
        <f t="shared" si="15"/>
        <v>212.6582773208147</v>
      </c>
      <c r="AG76" s="772">
        <f t="shared" si="25"/>
        <v>524.09680422715587</v>
      </c>
      <c r="AH76" s="146">
        <f t="shared" si="16"/>
        <v>90.566457625087807</v>
      </c>
      <c r="AI76" s="146">
        <f t="shared" si="17"/>
        <v>94.606139794304625</v>
      </c>
      <c r="AJ76" s="156">
        <f t="shared" si="18"/>
        <v>271.54712297103913</v>
      </c>
      <c r="AK76" s="156">
        <f t="shared" si="19"/>
        <v>80.056182241499315</v>
      </c>
      <c r="AL76" s="88"/>
      <c r="AM76" s="716">
        <f t="shared" si="20"/>
        <v>7627.3827035893401</v>
      </c>
      <c r="AN76" s="716" t="str">
        <f>_xlfn.XLOOKUP(D76,RUC!$B$3:$B$578,RUC!$M$3:$M$578)</f>
        <v>Yuri Rospigliossi</v>
      </c>
      <c r="AO76" s="1167" t="s">
        <v>2281</v>
      </c>
      <c r="AP76" t="s">
        <v>2539</v>
      </c>
      <c r="AQ76" t="s">
        <v>2540</v>
      </c>
      <c r="AS76" s="1212"/>
    </row>
    <row r="77" spans="1:45" ht="15" customHeight="1">
      <c r="A77" s="747" t="s">
        <v>2505</v>
      </c>
      <c r="B77" s="595">
        <v>45877</v>
      </c>
      <c r="C77" s="595">
        <v>45870</v>
      </c>
      <c r="D77" t="s">
        <v>2004</v>
      </c>
      <c r="E77">
        <f>_xlfn.XLOOKUP(D77,RUC!$B$3:$B$123,RUC!$D$3:$D$123)</f>
        <v>20612921866</v>
      </c>
      <c r="G77" s="1082">
        <v>50</v>
      </c>
      <c r="H77" t="s">
        <v>69</v>
      </c>
      <c r="I77" s="703">
        <v>5.15</v>
      </c>
      <c r="J77" s="596">
        <v>2.15</v>
      </c>
      <c r="K77" s="138">
        <f t="shared" si="26"/>
        <v>5.0389999999999997</v>
      </c>
      <c r="L77" s="994">
        <v>0.43</v>
      </c>
      <c r="M77" s="762">
        <v>0.40400000000000003</v>
      </c>
      <c r="N77" s="159">
        <v>0.40400000000000003</v>
      </c>
      <c r="O77" s="645">
        <f t="shared" si="11"/>
        <v>0.40400000000000003</v>
      </c>
      <c r="P77" s="727">
        <v>90</v>
      </c>
      <c r="Q77" s="596">
        <v>95.58</v>
      </c>
      <c r="R77" s="706">
        <v>3346.85</v>
      </c>
      <c r="S77" s="765">
        <f t="shared" si="27"/>
        <v>130</v>
      </c>
      <c r="U77" s="1146">
        <f>_xlfn.XLOOKUP(D77,RUC!$B$3:$B$123,RUC!$F$3:$F$123)</f>
        <v>100</v>
      </c>
      <c r="V77" s="715">
        <v>1.1023000000000001</v>
      </c>
      <c r="Y77">
        <f>_xlfn.XLOOKUP(D77,RUC!$B$3:$B$123,RUC!$G$3:$G$123)</f>
        <v>0</v>
      </c>
      <c r="Z77" s="143">
        <f>_xlfn.XLOOKUP(D77,RUC!$B$3:$B$123,RUC!$H$3:$H$123)</f>
        <v>30</v>
      </c>
      <c r="AA77" s="144">
        <f t="shared" si="12"/>
        <v>30</v>
      </c>
      <c r="AB77" s="145">
        <f t="shared" si="21"/>
        <v>1124.957401718</v>
      </c>
      <c r="AC77" s="145">
        <f>+(S77-T77)*V77-'data 1'!$F$4</f>
        <v>63.299000000000007</v>
      </c>
      <c r="AD77" s="145">
        <f t="shared" si="13"/>
        <v>85.874592103469979</v>
      </c>
      <c r="AE77" s="145">
        <f t="shared" si="14"/>
        <v>-36.930999999999997</v>
      </c>
      <c r="AF77" s="145">
        <f t="shared" si="15"/>
        <v>88.941081663953895</v>
      </c>
      <c r="AG77" s="772">
        <f t="shared" si="25"/>
        <v>218.1836737674239</v>
      </c>
      <c r="AH77" s="146">
        <f t="shared" si="16"/>
        <v>71.004996343381151</v>
      </c>
      <c r="AI77" s="146">
        <f t="shared" si="17"/>
        <v>74.288550265098493</v>
      </c>
      <c r="AJ77" s="156">
        <f t="shared" si="18"/>
        <v>88.863538298130038</v>
      </c>
      <c r="AK77" s="156">
        <f t="shared" si="19"/>
        <v>62.817015991604222</v>
      </c>
      <c r="AL77" s="88"/>
      <c r="AM77" s="716">
        <f t="shared" si="20"/>
        <v>5668.6603472570014</v>
      </c>
      <c r="AN77" s="716" t="str">
        <f>_xlfn.XLOOKUP(D77,RUC!$B$3:$B$578,RUC!$M$3:$M$578)</f>
        <v>Ronald Garibay</v>
      </c>
      <c r="AO77" s="1167" t="s">
        <v>2281</v>
      </c>
      <c r="AP77" t="s">
        <v>2541</v>
      </c>
      <c r="AQ77" t="s">
        <v>2542</v>
      </c>
      <c r="AS77" s="1212"/>
    </row>
    <row r="78" spans="1:45" ht="15" customHeight="1">
      <c r="A78" s="747" t="s">
        <v>2506</v>
      </c>
      <c r="B78" s="595">
        <v>45877</v>
      </c>
      <c r="C78" s="595">
        <v>45870</v>
      </c>
      <c r="D78" t="s">
        <v>2004</v>
      </c>
      <c r="E78">
        <f>_xlfn.XLOOKUP(D78,RUC!$B$3:$B$123,RUC!$D$3:$D$123)</f>
        <v>20612921866</v>
      </c>
      <c r="G78" s="1082">
        <v>50</v>
      </c>
      <c r="H78" t="s">
        <v>69</v>
      </c>
      <c r="I78" s="703">
        <v>5.16</v>
      </c>
      <c r="J78" s="596">
        <v>2.1</v>
      </c>
      <c r="K78" s="138">
        <f t="shared" si="26"/>
        <v>5.0519999999999996</v>
      </c>
      <c r="L78" s="762">
        <v>0.92900000000000005</v>
      </c>
      <c r="M78" s="762">
        <v>0.873</v>
      </c>
      <c r="N78" s="159">
        <v>0.873</v>
      </c>
      <c r="O78" s="645">
        <f t="shared" si="11"/>
        <v>0.873</v>
      </c>
      <c r="P78" s="727">
        <v>90</v>
      </c>
      <c r="Q78" s="596">
        <v>96.99</v>
      </c>
      <c r="R78" s="706">
        <v>3346.85</v>
      </c>
      <c r="S78" s="765">
        <f t="shared" si="27"/>
        <v>170</v>
      </c>
      <c r="U78" s="1146">
        <f>_xlfn.XLOOKUP(D78,RUC!$B$3:$B$123,RUC!$F$3:$F$123)</f>
        <v>100</v>
      </c>
      <c r="V78" s="715">
        <v>1.1023000000000001</v>
      </c>
      <c r="Y78">
        <f>_xlfn.XLOOKUP(D78,RUC!$B$3:$B$123,RUC!$G$3:$G$123)</f>
        <v>0</v>
      </c>
      <c r="Z78" s="143">
        <f>_xlfn.XLOOKUP(D78,RUC!$B$3:$B$123,RUC!$H$3:$H$123)</f>
        <v>30</v>
      </c>
      <c r="AA78" s="144">
        <f t="shared" si="12"/>
        <v>30</v>
      </c>
      <c r="AB78" s="145">
        <f t="shared" si="21"/>
        <v>2591.5624646035003</v>
      </c>
      <c r="AC78" s="145">
        <f>+(S78-T78)*V78-'data 1'!$F$4</f>
        <v>107.39100000000002</v>
      </c>
      <c r="AD78" s="145">
        <f t="shared" si="13"/>
        <v>232.41005980171033</v>
      </c>
      <c r="AE78" s="145">
        <f t="shared" si="14"/>
        <v>-36.930999999999997</v>
      </c>
      <c r="AF78" s="145">
        <f t="shared" si="15"/>
        <v>194.39138723617219</v>
      </c>
      <c r="AG78" s="772">
        <f t="shared" si="25"/>
        <v>514.26144703788259</v>
      </c>
      <c r="AH78" s="146">
        <f t="shared" si="16"/>
        <v>156.06843824902251</v>
      </c>
      <c r="AI78" s="146">
        <f t="shared" si="17"/>
        <v>160.91188601816941</v>
      </c>
      <c r="AJ78" s="156">
        <f t="shared" si="18"/>
        <v>194.81876826397959</v>
      </c>
      <c r="AK78" s="156">
        <f t="shared" si="19"/>
        <v>136.09092448275101</v>
      </c>
      <c r="AL78" s="88"/>
      <c r="AM78" s="716">
        <f t="shared" si="20"/>
        <v>13092.573571176883</v>
      </c>
      <c r="AN78" s="716" t="str">
        <f>_xlfn.XLOOKUP(D78,RUC!$B$3:$B$578,RUC!$M$3:$M$578)</f>
        <v>Ronald Garibay</v>
      </c>
      <c r="AO78" s="1167" t="s">
        <v>2297</v>
      </c>
      <c r="AP78" t="s">
        <v>2541</v>
      </c>
      <c r="AQ78" t="s">
        <v>2542</v>
      </c>
      <c r="AS78" s="1212"/>
    </row>
    <row r="79" spans="1:45" ht="15" customHeight="1">
      <c r="A79" s="747" t="s">
        <v>2507</v>
      </c>
      <c r="B79" s="595">
        <v>45880</v>
      </c>
      <c r="C79" s="595">
        <v>45871</v>
      </c>
      <c r="D79" t="s">
        <v>2004</v>
      </c>
      <c r="E79">
        <f>_xlfn.XLOOKUP(D79,RUC!$B$3:$B$123,RUC!$D$3:$D$123)</f>
        <v>20612921866</v>
      </c>
      <c r="G79" s="1082" t="s">
        <v>1434</v>
      </c>
      <c r="H79" t="s">
        <v>116</v>
      </c>
      <c r="I79" s="703">
        <v>12.05</v>
      </c>
      <c r="J79" s="596">
        <v>1.45</v>
      </c>
      <c r="K79" s="138">
        <f t="shared" si="26"/>
        <v>11.875</v>
      </c>
      <c r="L79" s="762">
        <v>0.27200000000000002</v>
      </c>
      <c r="M79" s="762">
        <v>0.25600000000000001</v>
      </c>
      <c r="N79" s="159">
        <v>0.25600000000000001</v>
      </c>
      <c r="O79" s="645">
        <f t="shared" ref="O79:O102" si="28">+ROUND((M79+N79)/2,3)</f>
        <v>0.25600000000000001</v>
      </c>
      <c r="P79" s="727">
        <v>90</v>
      </c>
      <c r="Q79" s="596">
        <v>92.65</v>
      </c>
      <c r="R79" s="706">
        <v>3346.85</v>
      </c>
      <c r="S79" s="765">
        <f t="shared" si="27"/>
        <v>110</v>
      </c>
      <c r="U79" s="1146">
        <f>_xlfn.XLOOKUP(D79,RUC!$B$3:$B$123,RUC!$F$3:$F$123)</f>
        <v>100</v>
      </c>
      <c r="V79" s="715">
        <v>1.1023000000000001</v>
      </c>
      <c r="Y79">
        <f>_xlfn.XLOOKUP(D79,RUC!$B$3:$B$123,RUC!$G$3:$G$123)</f>
        <v>0</v>
      </c>
      <c r="Z79" s="143">
        <f>_xlfn.XLOOKUP(D79,RUC!$B$3:$B$123,RUC!$H$3:$H$123)</f>
        <v>30</v>
      </c>
      <c r="AA79" s="144">
        <f t="shared" ref="AA79:AA102" si="29">+Y79+Z79</f>
        <v>30</v>
      </c>
      <c r="AB79" s="145">
        <f t="shared" si="21"/>
        <v>670.28023475200007</v>
      </c>
      <c r="AC79" s="145">
        <f>+(S79-T79)*V79-'data 1'!$F$4</f>
        <v>41.253</v>
      </c>
      <c r="AD79" s="145">
        <f t="shared" ref="AD79:AD102" si="30">+(Q79-P79)*(R79-U79)*L79*V79/100</f>
        <v>25.797451858040059</v>
      </c>
      <c r="AE79" s="145">
        <f t="shared" ref="AE79:AE102" si="31">+(Y79*V79-70)+V79*(Z79-IF(D79="UNTUCA",IF(+((W79-3)*2.5+(X79-3)*3.1)&gt;0,+((W79-3)*1.5+(X79-3)*3.1),0),IF(+((W79-3)*1.5+(X79-3)*3.1)&gt;0,+((W79-3)*1.5+(X79-3)*3.1),0)))</f>
        <v>-36.930999999999997</v>
      </c>
      <c r="AF79" s="145">
        <f t="shared" ref="AF79:AF102" si="32">(L79-O79)*(R79-U79)*Q79*V79/100</f>
        <v>53.055136840120049</v>
      </c>
      <c r="AG79" s="772">
        <f t="shared" si="25"/>
        <v>100.17458869816011</v>
      </c>
      <c r="AH79" s="146">
        <f t="shared" ref="AH79:AH102" si="33">31.1035*L79*Q79*1.1023*K79/100</f>
        <v>102.60228085148978</v>
      </c>
      <c r="AI79" s="146">
        <f t="shared" ref="AI79:AI102" si="34">(31.1035*L79*1.1023*K79)</f>
        <v>110.74180340150002</v>
      </c>
      <c r="AJ79" s="156">
        <f t="shared" ref="AJ79:AJ102" si="35">+((+$AJ$2-R79+U79)*L79*Q79*V79)/100</f>
        <v>54.488198269160037</v>
      </c>
      <c r="AK79" s="156">
        <f t="shared" ref="AK79:AK102" si="36">31.1035*1.1023*K79*P79*O79/100</f>
        <v>93.804821704799991</v>
      </c>
      <c r="AL79" s="88"/>
      <c r="AM79" s="716">
        <f t="shared" ref="AM79:AM102" si="37">+IF(AB79*K79&gt;0,AB79*K79,0)</f>
        <v>7959.5777876800012</v>
      </c>
      <c r="AN79" s="716" t="str">
        <f>_xlfn.XLOOKUP(D79,RUC!$B$3:$B$578,RUC!$M$3:$M$578)</f>
        <v>Ronald Garibay</v>
      </c>
      <c r="AO79" s="1167" t="s">
        <v>2279</v>
      </c>
      <c r="AP79" t="s">
        <v>2543</v>
      </c>
      <c r="AQ79" t="s">
        <v>2544</v>
      </c>
      <c r="AS79" s="1212"/>
    </row>
    <row r="80" spans="1:45" ht="15" customHeight="1">
      <c r="A80" s="747" t="s">
        <v>2508</v>
      </c>
      <c r="B80" s="595">
        <v>45878</v>
      </c>
      <c r="C80" s="595">
        <v>45871</v>
      </c>
      <c r="D80" t="s">
        <v>1484</v>
      </c>
      <c r="E80">
        <f>_xlfn.XLOOKUP(D80,RUC!$B$3:$B$123,RUC!$D$3:$D$123)</f>
        <v>10761932735</v>
      </c>
      <c r="G80" s="1082">
        <v>77</v>
      </c>
      <c r="H80" t="s">
        <v>69</v>
      </c>
      <c r="I80" s="703">
        <v>6.5</v>
      </c>
      <c r="J80" s="596">
        <v>3.8</v>
      </c>
      <c r="K80" s="138">
        <f t="shared" si="26"/>
        <v>6.2530000000000001</v>
      </c>
      <c r="L80" s="994">
        <v>0.47</v>
      </c>
      <c r="M80" s="762">
        <v>0.442</v>
      </c>
      <c r="N80" s="159">
        <v>0.51200000000000001</v>
      </c>
      <c r="O80" s="645">
        <f t="shared" si="28"/>
        <v>0.47699999999999998</v>
      </c>
      <c r="P80" s="727">
        <v>90</v>
      </c>
      <c r="Q80" s="596">
        <v>97.23</v>
      </c>
      <c r="R80" s="706">
        <v>3346.85</v>
      </c>
      <c r="S80" s="765">
        <f t="shared" si="27"/>
        <v>130</v>
      </c>
      <c r="U80" s="1146">
        <f>_xlfn.XLOOKUP(D80,RUC!$B$3:$B$123,RUC!$F$3:$F$123)</f>
        <v>120</v>
      </c>
      <c r="V80" s="715">
        <v>1.1023000000000001</v>
      </c>
      <c r="Y80">
        <f>_xlfn.XLOOKUP(D80,RUC!$B$3:$B$123,RUC!$G$3:$G$123)</f>
        <v>20</v>
      </c>
      <c r="Z80" s="143">
        <f>_xlfn.XLOOKUP(D80,RUC!$B$3:$B$123,RUC!$H$3:$H$123)</f>
        <v>30</v>
      </c>
      <c r="AA80" s="144">
        <f t="shared" si="29"/>
        <v>50</v>
      </c>
      <c r="AB80" s="145">
        <f t="shared" si="21"/>
        <v>1328.5875349215</v>
      </c>
      <c r="AC80" s="145">
        <f>+(S80-T80)*V80-'data 1'!$F$4</f>
        <v>63.299000000000007</v>
      </c>
      <c r="AD80" s="145">
        <f t="shared" si="30"/>
        <v>120.86894749165508</v>
      </c>
      <c r="AE80" s="145">
        <f t="shared" si="31"/>
        <v>-14.884999999999998</v>
      </c>
      <c r="AF80" s="145">
        <f t="shared" si="32"/>
        <v>-24.209003370205529</v>
      </c>
      <c r="AG80" s="772">
        <f t="shared" si="25"/>
        <v>162.07394412144956</v>
      </c>
      <c r="AH80" s="146">
        <f t="shared" si="33"/>
        <v>97.970571540731015</v>
      </c>
      <c r="AI80" s="146">
        <f t="shared" si="34"/>
        <v>100.76166979402549</v>
      </c>
      <c r="AJ80" s="156">
        <f t="shared" si="35"/>
        <v>108.88127328424504</v>
      </c>
      <c r="AK80" s="156">
        <f t="shared" si="36"/>
        <v>92.036137962925864</v>
      </c>
      <c r="AL80" s="88"/>
      <c r="AM80" s="716">
        <f t="shared" si="37"/>
        <v>8307.6578558641395</v>
      </c>
      <c r="AN80" s="716" t="str">
        <f>_xlfn.XLOOKUP(D80,RUC!$B$3:$B$578,RUC!$M$3:$M$578)</f>
        <v>Richard Sapacayo</v>
      </c>
      <c r="AO80" s="1167" t="s">
        <v>2297</v>
      </c>
      <c r="AP80" t="s">
        <v>2563</v>
      </c>
      <c r="AQ80" t="s">
        <v>2545</v>
      </c>
      <c r="AS80" s="1212"/>
    </row>
    <row r="81" spans="1:45" ht="15" customHeight="1">
      <c r="A81" s="747" t="s">
        <v>2509</v>
      </c>
      <c r="B81" s="595">
        <v>45878</v>
      </c>
      <c r="C81" s="595">
        <v>45871</v>
      </c>
      <c r="D81" t="s">
        <v>1484</v>
      </c>
      <c r="E81">
        <f>_xlfn.XLOOKUP(D81,RUC!$B$3:$B$123,RUC!$D$3:$D$123)</f>
        <v>10761932735</v>
      </c>
      <c r="G81" s="1082">
        <v>238</v>
      </c>
      <c r="H81" t="s">
        <v>69</v>
      </c>
      <c r="I81" s="703">
        <v>19.34</v>
      </c>
      <c r="J81" s="596">
        <v>7</v>
      </c>
      <c r="K81" s="138">
        <f t="shared" si="26"/>
        <v>17.986000000000001</v>
      </c>
      <c r="L81" s="762">
        <v>0.22800000000000001</v>
      </c>
      <c r="M81" s="762">
        <v>0.21199999999999999</v>
      </c>
      <c r="N81" s="159">
        <v>0.21199999999999999</v>
      </c>
      <c r="O81" s="645">
        <f t="shared" si="28"/>
        <v>0.21199999999999999</v>
      </c>
      <c r="P81" s="727">
        <v>90</v>
      </c>
      <c r="Q81" s="596">
        <v>94.74</v>
      </c>
      <c r="R81" s="706">
        <v>3346.85</v>
      </c>
      <c r="S81" s="765">
        <f t="shared" si="27"/>
        <v>110</v>
      </c>
      <c r="U81" s="1146">
        <f>_xlfn.XLOOKUP(D81,RUC!$B$3:$B$123,RUC!$F$3:$F$123)</f>
        <v>120</v>
      </c>
      <c r="V81" s="715">
        <v>1.1023000000000001</v>
      </c>
      <c r="Y81">
        <f>_xlfn.XLOOKUP(D81,RUC!$B$3:$B$123,RUC!$G$3:$G$123)</f>
        <v>20</v>
      </c>
      <c r="Z81" s="143">
        <f>_xlfn.XLOOKUP(D81,RUC!$B$3:$B$123,RUC!$H$3:$H$123)</f>
        <v>30</v>
      </c>
      <c r="AA81" s="144">
        <f t="shared" si="29"/>
        <v>50</v>
      </c>
      <c r="AB81" s="145">
        <f t="shared" si="21"/>
        <v>502.29934885399996</v>
      </c>
      <c r="AC81" s="145">
        <f>+(S81-T81)*V81-'data 1'!$F$4</f>
        <v>41.253</v>
      </c>
      <c r="AD81" s="145">
        <f t="shared" si="30"/>
        <v>38.440743042635965</v>
      </c>
      <c r="AE81" s="145">
        <f t="shared" si="31"/>
        <v>-14.884999999999998</v>
      </c>
      <c r="AF81" s="145">
        <f t="shared" si="32"/>
        <v>53.917773274992044</v>
      </c>
      <c r="AG81" s="772">
        <f t="shared" si="25"/>
        <v>135.72651631762801</v>
      </c>
      <c r="AH81" s="146">
        <f t="shared" si="33"/>
        <v>133.20234965526097</v>
      </c>
      <c r="AI81" s="146">
        <f t="shared" si="34"/>
        <v>140.59779359854443</v>
      </c>
      <c r="AJ81" s="156">
        <f t="shared" si="35"/>
        <v>51.466338807444025</v>
      </c>
      <c r="AK81" s="156">
        <f t="shared" si="36"/>
        <v>117.65815359036085</v>
      </c>
      <c r="AL81" s="88"/>
      <c r="AM81" s="716">
        <f t="shared" si="37"/>
        <v>9034.3560884880444</v>
      </c>
      <c r="AN81" s="716" t="str">
        <f>_xlfn.XLOOKUP(D81,RUC!$B$3:$B$578,RUC!$M$3:$M$578)</f>
        <v>Richard Sapacayo</v>
      </c>
      <c r="AO81" s="1167" t="s">
        <v>2281</v>
      </c>
      <c r="AP81" t="s">
        <v>2563</v>
      </c>
      <c r="AQ81" t="s">
        <v>2545</v>
      </c>
      <c r="AS81" s="1212"/>
    </row>
    <row r="82" spans="1:45" ht="15" customHeight="1">
      <c r="A82" s="747" t="s">
        <v>2510</v>
      </c>
      <c r="B82" s="595">
        <v>45877</v>
      </c>
      <c r="C82" s="595">
        <v>45872</v>
      </c>
      <c r="D82" t="s">
        <v>1967</v>
      </c>
      <c r="E82">
        <f>_xlfn.XLOOKUP(D82,RUC!$B$3:$B$123,RUC!$D$3:$D$123)</f>
        <v>20601769396</v>
      </c>
      <c r="G82" s="1082">
        <v>40</v>
      </c>
      <c r="H82" t="s">
        <v>116</v>
      </c>
      <c r="I82" s="703">
        <v>2.85</v>
      </c>
      <c r="J82" s="596">
        <v>12.8</v>
      </c>
      <c r="K82" s="138">
        <f t="shared" si="26"/>
        <v>2.4849999999999999</v>
      </c>
      <c r="L82" s="762">
        <v>0.67900000000000005</v>
      </c>
      <c r="M82" s="762">
        <v>0.63800000000000001</v>
      </c>
      <c r="N82" s="159">
        <v>0.63800000000000001</v>
      </c>
      <c r="O82" s="645">
        <f t="shared" si="28"/>
        <v>0.63800000000000001</v>
      </c>
      <c r="P82" s="727">
        <v>80</v>
      </c>
      <c r="Q82" s="596">
        <v>81.44</v>
      </c>
      <c r="R82" s="706">
        <v>3346.85</v>
      </c>
      <c r="S82" s="765">
        <f t="shared" si="27"/>
        <v>150</v>
      </c>
      <c r="U82" s="1146">
        <f>_xlfn.XLOOKUP(D82,RUC!$B$3:$B$123,RUC!$F$3:$F$123)</f>
        <v>120</v>
      </c>
      <c r="V82" s="715">
        <v>1.1023000000000001</v>
      </c>
      <c r="Y82">
        <f>_xlfn.XLOOKUP(D82,RUC!$B$3:$B$123,RUC!$G$3:$G$123)</f>
        <v>20</v>
      </c>
      <c r="Z82" s="143">
        <f>_xlfn.XLOOKUP(D82,RUC!$B$3:$B$123,RUC!$H$3:$H$123)</f>
        <v>30</v>
      </c>
      <c r="AA82" s="144">
        <f t="shared" si="29"/>
        <v>50</v>
      </c>
      <c r="AB82" s="145">
        <f t="shared" ref="AB82:AB101" si="38">+((O82*P82*(R82-U82)/100)-S82-AA82+T82)*V82</f>
        <v>1595.0107277520001</v>
      </c>
      <c r="AC82" s="145">
        <f>+(S82-T82)*V82-'data 1'!$F$4</f>
        <v>85.344999999999999</v>
      </c>
      <c r="AD82" s="145">
        <f t="shared" si="30"/>
        <v>34.778500367687947</v>
      </c>
      <c r="AE82" s="145">
        <f t="shared" si="31"/>
        <v>-14.884999999999998</v>
      </c>
      <c r="AF82" s="145">
        <f t="shared" si="32"/>
        <v>118.7682088321521</v>
      </c>
      <c r="AG82" s="772">
        <f t="shared" si="25"/>
        <v>241.00670919984003</v>
      </c>
      <c r="AH82" s="146">
        <f t="shared" si="33"/>
        <v>47.113243223409839</v>
      </c>
      <c r="AI82" s="146">
        <f t="shared" si="34"/>
        <v>57.850249537585761</v>
      </c>
      <c r="AJ82" s="156">
        <f t="shared" si="35"/>
        <v>131.75362911295207</v>
      </c>
      <c r="AK82" s="156">
        <f t="shared" si="36"/>
        <v>43.4856662208892</v>
      </c>
      <c r="AL82" s="88"/>
      <c r="AM82" s="716">
        <f t="shared" si="37"/>
        <v>3963.60165846372</v>
      </c>
      <c r="AN82" s="716" t="str">
        <f>_xlfn.XLOOKUP(D82,RUC!$B$3:$B$578,RUC!$M$3:$M$578)</f>
        <v>Evelyn</v>
      </c>
      <c r="AO82" s="1167" t="s">
        <v>2280</v>
      </c>
      <c r="AP82" t="s">
        <v>2546</v>
      </c>
      <c r="AQ82" t="s">
        <v>2547</v>
      </c>
      <c r="AS82" s="1212"/>
    </row>
    <row r="83" spans="1:45" ht="15" customHeight="1">
      <c r="A83" s="747" t="s">
        <v>2511</v>
      </c>
      <c r="B83" s="595">
        <v>45877</v>
      </c>
      <c r="C83" s="595">
        <v>45872</v>
      </c>
      <c r="D83" t="s">
        <v>1967</v>
      </c>
      <c r="E83">
        <f>_xlfn.XLOOKUP(D83,RUC!$B$3:$B$123,RUC!$D$3:$D$123)</f>
        <v>20601769396</v>
      </c>
      <c r="G83" s="1082">
        <v>40</v>
      </c>
      <c r="H83" t="s">
        <v>116</v>
      </c>
      <c r="I83" s="703">
        <v>2.76</v>
      </c>
      <c r="J83" s="596">
        <v>20.45</v>
      </c>
      <c r="K83" s="138">
        <f t="shared" si="26"/>
        <v>2.1960000000000002</v>
      </c>
      <c r="L83" s="762">
        <v>0.77600000000000002</v>
      </c>
      <c r="M83" s="762">
        <v>0.72899999999999998</v>
      </c>
      <c r="N83" s="159">
        <v>0.72899999999999998</v>
      </c>
      <c r="O83" s="645">
        <f t="shared" si="28"/>
        <v>0.72899999999999998</v>
      </c>
      <c r="P83" s="727">
        <v>88</v>
      </c>
      <c r="Q83" s="596">
        <v>87.93</v>
      </c>
      <c r="R83" s="706">
        <v>3346.85</v>
      </c>
      <c r="S83" s="765">
        <f t="shared" si="27"/>
        <v>160</v>
      </c>
      <c r="U83" s="1146">
        <f>_xlfn.XLOOKUP(D83,RUC!$B$3:$B$123,RUC!$F$3:$F$123)</f>
        <v>120</v>
      </c>
      <c r="V83" s="715">
        <v>1.1023000000000001</v>
      </c>
      <c r="Y83">
        <f>_xlfn.XLOOKUP(D83,RUC!$B$3:$B$123,RUC!$G$3:$G$123)</f>
        <v>20</v>
      </c>
      <c r="Z83" s="143">
        <f>_xlfn.XLOOKUP(D83,RUC!$B$3:$B$123,RUC!$H$3:$H$123)</f>
        <v>30</v>
      </c>
      <c r="AA83" s="144">
        <f t="shared" si="29"/>
        <v>50</v>
      </c>
      <c r="AB83" s="145">
        <f t="shared" si="38"/>
        <v>2050.3758974676002</v>
      </c>
      <c r="AC83" s="145">
        <f>+(S83-T83)*V83-'data 1'!$F$4</f>
        <v>96.367999999999995</v>
      </c>
      <c r="AD83" s="145">
        <f t="shared" si="30"/>
        <v>-1.9321389093158117</v>
      </c>
      <c r="AE83" s="145">
        <f t="shared" si="31"/>
        <v>-14.884999999999998</v>
      </c>
      <c r="AF83" s="145">
        <f t="shared" si="32"/>
        <v>146.99870750956063</v>
      </c>
      <c r="AG83" s="772">
        <f t="shared" si="25"/>
        <v>243.54956860024481</v>
      </c>
      <c r="AH83" s="146">
        <f t="shared" si="33"/>
        <v>51.373623603474364</v>
      </c>
      <c r="AI83" s="146">
        <f t="shared" si="34"/>
        <v>58.425592634452805</v>
      </c>
      <c r="AJ83" s="156">
        <f t="shared" si="35"/>
        <v>162.57502958043608</v>
      </c>
      <c r="AK83" s="156">
        <f t="shared" si="36"/>
        <v>48.300497663471859</v>
      </c>
      <c r="AL83" s="88"/>
      <c r="AM83" s="716">
        <f t="shared" si="37"/>
        <v>4502.6254708388506</v>
      </c>
      <c r="AN83" s="716" t="str">
        <f>_xlfn.XLOOKUP(D83,RUC!$B$3:$B$578,RUC!$M$3:$M$578)</f>
        <v>Evelyn</v>
      </c>
      <c r="AO83" s="1167" t="s">
        <v>2279</v>
      </c>
      <c r="AP83" t="s">
        <v>2546</v>
      </c>
      <c r="AQ83" t="s">
        <v>2547</v>
      </c>
      <c r="AS83" s="1212"/>
    </row>
    <row r="84" spans="1:45" ht="15" customHeight="1">
      <c r="A84" s="747" t="s">
        <v>2512</v>
      </c>
      <c r="B84" s="595">
        <v>45877</v>
      </c>
      <c r="C84" s="595">
        <v>45872</v>
      </c>
      <c r="D84" t="s">
        <v>1967</v>
      </c>
      <c r="E84">
        <f>_xlfn.XLOOKUP(D84,RUC!$B$3:$B$123,RUC!$D$3:$D$123)</f>
        <v>20601769396</v>
      </c>
      <c r="G84" s="1082">
        <v>40</v>
      </c>
      <c r="H84" t="s">
        <v>116</v>
      </c>
      <c r="I84" s="703">
        <v>2.81</v>
      </c>
      <c r="J84" s="596">
        <v>17.899999999999999</v>
      </c>
      <c r="K84" s="138">
        <f t="shared" si="26"/>
        <v>2.3069999999999999</v>
      </c>
      <c r="L84" s="762">
        <v>0.63600000000000001</v>
      </c>
      <c r="M84" s="762">
        <v>0.59799999999999998</v>
      </c>
      <c r="N84" s="159">
        <v>0.59799999999999998</v>
      </c>
      <c r="O84" s="645">
        <f t="shared" si="28"/>
        <v>0.59799999999999998</v>
      </c>
      <c r="P84" s="727">
        <v>86</v>
      </c>
      <c r="Q84" s="596">
        <v>86.01</v>
      </c>
      <c r="R84" s="706">
        <v>3346.85</v>
      </c>
      <c r="S84" s="765">
        <f t="shared" si="27"/>
        <v>140</v>
      </c>
      <c r="U84" s="1146">
        <f>_xlfn.XLOOKUP(D84,RUC!$B$3:$B$123,RUC!$F$3:$F$123)</f>
        <v>120</v>
      </c>
      <c r="V84" s="715">
        <v>1.1023000000000001</v>
      </c>
      <c r="Y84">
        <f>_xlfn.XLOOKUP(D84,RUC!$B$3:$B$123,RUC!$G$3:$G$123)</f>
        <v>20</v>
      </c>
      <c r="Z84" s="143">
        <f>_xlfn.XLOOKUP(D84,RUC!$B$3:$B$123,RUC!$H$3:$H$123)</f>
        <v>30</v>
      </c>
      <c r="AA84" s="144">
        <f t="shared" si="29"/>
        <v>50</v>
      </c>
      <c r="AB84" s="145">
        <f t="shared" si="38"/>
        <v>1619.8347199614</v>
      </c>
      <c r="AC84" s="145">
        <f>+(S84-T84)*V84-'data 1'!$F$4</f>
        <v>74.322000000000003</v>
      </c>
      <c r="AD84" s="145">
        <f t="shared" si="30"/>
        <v>0.22622244961811575</v>
      </c>
      <c r="AE84" s="145">
        <f t="shared" si="31"/>
        <v>-14.884999999999998</v>
      </c>
      <c r="AF84" s="145">
        <f t="shared" si="32"/>
        <v>116.2548631890691</v>
      </c>
      <c r="AG84" s="772">
        <f t="shared" si="25"/>
        <v>192.91808563868722</v>
      </c>
      <c r="AH84" s="146">
        <f t="shared" si="33"/>
        <v>43.267592131357915</v>
      </c>
      <c r="AI84" s="146">
        <f t="shared" si="34"/>
        <v>50.305304187138596</v>
      </c>
      <c r="AJ84" s="156">
        <f t="shared" si="35"/>
        <v>130.33501630162206</v>
      </c>
      <c r="AK84" s="156">
        <f t="shared" si="36"/>
        <v>40.67769156817868</v>
      </c>
      <c r="AL84" s="88"/>
      <c r="AM84" s="716">
        <f t="shared" si="37"/>
        <v>3736.9586989509498</v>
      </c>
      <c r="AN84" s="716" t="str">
        <f>_xlfn.XLOOKUP(D84,RUC!$B$3:$B$578,RUC!$M$3:$M$578)</f>
        <v>Evelyn</v>
      </c>
      <c r="AO84" s="1167" t="s">
        <v>2280</v>
      </c>
      <c r="AP84" t="s">
        <v>2546</v>
      </c>
      <c r="AQ84" t="s">
        <v>2547</v>
      </c>
      <c r="AS84" s="1212"/>
    </row>
    <row r="85" spans="1:45" ht="15" customHeight="1">
      <c r="A85" s="747" t="s">
        <v>2513</v>
      </c>
      <c r="B85" s="595">
        <v>45877</v>
      </c>
      <c r="C85" s="595">
        <v>45872</v>
      </c>
      <c r="D85" t="s">
        <v>1967</v>
      </c>
      <c r="E85">
        <f>_xlfn.XLOOKUP(D85,RUC!$B$3:$B$123,RUC!$D$3:$D$123)</f>
        <v>20601769396</v>
      </c>
      <c r="G85" s="1082">
        <v>56</v>
      </c>
      <c r="H85" t="s">
        <v>116</v>
      </c>
      <c r="I85" s="703">
        <v>3.26</v>
      </c>
      <c r="J85" s="596">
        <v>18.5</v>
      </c>
      <c r="K85" s="138">
        <f t="shared" si="26"/>
        <v>2.657</v>
      </c>
      <c r="L85" s="762">
        <v>0.51900000000000002</v>
      </c>
      <c r="M85" s="762">
        <v>0.48799999999999999</v>
      </c>
      <c r="N85" s="159">
        <v>0.48799999999999999</v>
      </c>
      <c r="O85" s="645">
        <f t="shared" si="28"/>
        <v>0.48799999999999999</v>
      </c>
      <c r="P85" s="727">
        <v>90</v>
      </c>
      <c r="Q85" s="596">
        <v>94.16</v>
      </c>
      <c r="R85" s="706">
        <v>3346.85</v>
      </c>
      <c r="S85" s="765">
        <f t="shared" si="27"/>
        <v>130</v>
      </c>
      <c r="U85" s="1146">
        <f>_xlfn.XLOOKUP(D85,RUC!$B$3:$B$123,RUC!$F$3:$F$123)</f>
        <v>120</v>
      </c>
      <c r="V85" s="715">
        <v>1.1023000000000001</v>
      </c>
      <c r="Y85">
        <f>_xlfn.XLOOKUP(D85,RUC!$B$3:$B$123,RUC!$G$3:$G$123)</f>
        <v>20</v>
      </c>
      <c r="Z85" s="143">
        <f>_xlfn.XLOOKUP(D85,RUC!$B$3:$B$123,RUC!$H$3:$H$123)</f>
        <v>30</v>
      </c>
      <c r="AA85" s="144">
        <f t="shared" si="29"/>
        <v>50</v>
      </c>
      <c r="AB85" s="145">
        <f t="shared" si="38"/>
        <v>1363.801406796</v>
      </c>
      <c r="AC85" s="145">
        <f>+(S85-T85)*V85-'data 1'!$F$4</f>
        <v>63.299000000000007</v>
      </c>
      <c r="AD85" s="145">
        <f t="shared" si="30"/>
        <v>76.796119123151939</v>
      </c>
      <c r="AE85" s="145">
        <f t="shared" si="31"/>
        <v>-14.884999999999998</v>
      </c>
      <c r="AF85" s="145">
        <f t="shared" si="32"/>
        <v>103.82614489574809</v>
      </c>
      <c r="AG85" s="772">
        <f t="shared" si="25"/>
        <v>246.03626401890006</v>
      </c>
      <c r="AH85" s="146">
        <f t="shared" si="33"/>
        <v>44.517875580822938</v>
      </c>
      <c r="AI85" s="146">
        <f t="shared" si="34"/>
        <v>47.27896726935316</v>
      </c>
      <c r="AJ85" s="156">
        <f t="shared" si="35"/>
        <v>116.43642294490806</v>
      </c>
      <c r="AK85" s="156">
        <f t="shared" si="36"/>
        <v>40.009484440654923</v>
      </c>
      <c r="AL85" s="88"/>
      <c r="AM85" s="716">
        <f t="shared" si="37"/>
        <v>3623.6203378569721</v>
      </c>
      <c r="AN85" s="716" t="str">
        <f>_xlfn.XLOOKUP(D85,RUC!$B$3:$B$578,RUC!$M$3:$M$578)</f>
        <v>Evelyn</v>
      </c>
      <c r="AO85" s="1167" t="s">
        <v>2281</v>
      </c>
      <c r="AP85" t="s">
        <v>2546</v>
      </c>
      <c r="AQ85" t="s">
        <v>2547</v>
      </c>
      <c r="AS85" s="1212"/>
    </row>
    <row r="86" spans="1:45" ht="15" customHeight="1">
      <c r="A86" s="747" t="s">
        <v>2514</v>
      </c>
      <c r="B86" s="595">
        <v>45877</v>
      </c>
      <c r="C86" s="595">
        <v>45872</v>
      </c>
      <c r="D86" t="s">
        <v>1967</v>
      </c>
      <c r="E86">
        <f>_xlfn.XLOOKUP(D86,RUC!$B$3:$B$123,RUC!$D$3:$D$123)</f>
        <v>20601769396</v>
      </c>
      <c r="G86" s="1082">
        <v>50</v>
      </c>
      <c r="H86" t="s">
        <v>116</v>
      </c>
      <c r="I86" s="703">
        <v>2.98</v>
      </c>
      <c r="J86" s="596">
        <v>19.899999999999999</v>
      </c>
      <c r="K86" s="138">
        <f t="shared" si="26"/>
        <v>2.387</v>
      </c>
      <c r="L86" s="762">
        <v>0.42399999999999999</v>
      </c>
      <c r="M86" s="762">
        <v>0.39900000000000002</v>
      </c>
      <c r="N86" s="159">
        <v>0.39900000000000002</v>
      </c>
      <c r="O86" s="645">
        <f t="shared" si="28"/>
        <v>0.39900000000000002</v>
      </c>
      <c r="P86" s="727">
        <v>90</v>
      </c>
      <c r="Q86" s="596">
        <v>92.68</v>
      </c>
      <c r="R86" s="706">
        <v>3346.85</v>
      </c>
      <c r="S86" s="765">
        <f t="shared" si="27"/>
        <v>120</v>
      </c>
      <c r="U86" s="1146">
        <f>_xlfn.XLOOKUP(D86,RUC!$B$3:$B$123,RUC!$F$3:$F$123)</f>
        <v>120</v>
      </c>
      <c r="V86" s="715">
        <v>1.1023000000000001</v>
      </c>
      <c r="Y86">
        <f>_xlfn.XLOOKUP(D86,RUC!$B$3:$B$123,RUC!$G$3:$G$123)</f>
        <v>20</v>
      </c>
      <c r="Z86" s="143">
        <f>_xlfn.XLOOKUP(D86,RUC!$B$3:$B$123,RUC!$H$3:$H$123)</f>
        <v>30</v>
      </c>
      <c r="AA86" s="144">
        <f t="shared" si="29"/>
        <v>50</v>
      </c>
      <c r="AB86" s="145">
        <f t="shared" si="38"/>
        <v>1089.9121707205004</v>
      </c>
      <c r="AC86" s="145">
        <f>+(S86-T86)*V86-'data 1'!$F$4</f>
        <v>52.27600000000001</v>
      </c>
      <c r="AD86" s="145">
        <f t="shared" si="30"/>
        <v>40.418410998416107</v>
      </c>
      <c r="AE86" s="145">
        <f t="shared" si="31"/>
        <v>-14.884999999999998</v>
      </c>
      <c r="AF86" s="145">
        <f t="shared" si="32"/>
        <v>82.414688013349902</v>
      </c>
      <c r="AG86" s="772">
        <f t="shared" si="25"/>
        <v>177.22409901176604</v>
      </c>
      <c r="AH86" s="146">
        <f t="shared" si="33"/>
        <v>32.159802277869623</v>
      </c>
      <c r="AI86" s="146">
        <f t="shared" si="34"/>
        <v>34.699829820748405</v>
      </c>
      <c r="AJ86" s="156">
        <f t="shared" si="35"/>
        <v>93.62825493806406</v>
      </c>
      <c r="AK86" s="156">
        <f t="shared" si="36"/>
        <v>29.388464359978187</v>
      </c>
      <c r="AL86" s="88"/>
      <c r="AM86" s="716">
        <f t="shared" si="37"/>
        <v>2601.6203515098346</v>
      </c>
      <c r="AN86" s="716" t="str">
        <f>_xlfn.XLOOKUP(D86,RUC!$B$3:$B$578,RUC!$M$3:$M$578)</f>
        <v>Evelyn</v>
      </c>
      <c r="AO86" s="1167" t="s">
        <v>2279</v>
      </c>
      <c r="AP86" t="s">
        <v>2546</v>
      </c>
      <c r="AQ86" t="s">
        <v>2547</v>
      </c>
      <c r="AS86" s="1212"/>
    </row>
    <row r="87" spans="1:45" ht="15" customHeight="1">
      <c r="A87" s="747" t="s">
        <v>2515</v>
      </c>
      <c r="B87" s="595">
        <v>45877</v>
      </c>
      <c r="C87" s="595">
        <v>45872</v>
      </c>
      <c r="D87" t="s">
        <v>1967</v>
      </c>
      <c r="E87">
        <f>_xlfn.XLOOKUP(D87,RUC!$B$3:$B$123,RUC!$D$3:$D$123)</f>
        <v>20601769396</v>
      </c>
      <c r="G87" s="1082">
        <v>50</v>
      </c>
      <c r="H87" t="s">
        <v>116</v>
      </c>
      <c r="I87" s="703">
        <v>3.04</v>
      </c>
      <c r="J87" s="596">
        <v>19.2</v>
      </c>
      <c r="K87" s="138">
        <f t="shared" si="26"/>
        <v>2.456</v>
      </c>
      <c r="L87" s="762">
        <v>0.35799999999999998</v>
      </c>
      <c r="M87" s="762">
        <v>0.33700000000000002</v>
      </c>
      <c r="N87" s="159">
        <v>0.33700000000000002</v>
      </c>
      <c r="O87" s="645">
        <f t="shared" si="28"/>
        <v>0.33700000000000002</v>
      </c>
      <c r="P87" s="727">
        <v>90</v>
      </c>
      <c r="Q87" s="596">
        <v>90.22</v>
      </c>
      <c r="R87" s="706">
        <v>3346.85</v>
      </c>
      <c r="S87" s="765">
        <f t="shared" si="27"/>
        <v>120</v>
      </c>
      <c r="U87" s="1146">
        <f>_xlfn.XLOOKUP(D87,RUC!$B$3:$B$123,RUC!$F$3:$F$123)</f>
        <v>120</v>
      </c>
      <c r="V87" s="715">
        <v>1.1023000000000001</v>
      </c>
      <c r="Y87">
        <f>_xlfn.XLOOKUP(D87,RUC!$B$3:$B$123,RUC!$G$3:$G$123)</f>
        <v>20</v>
      </c>
      <c r="Z87" s="143">
        <f>_xlfn.XLOOKUP(D87,RUC!$B$3:$B$123,RUC!$H$3:$H$123)</f>
        <v>30</v>
      </c>
      <c r="AA87" s="144">
        <f t="shared" si="29"/>
        <v>50</v>
      </c>
      <c r="AB87" s="145">
        <f t="shared" si="38"/>
        <v>891.43398379150017</v>
      </c>
      <c r="AC87" s="145">
        <f>+(S87-T87)*V87-'data 1'!$F$4</f>
        <v>52.27600000000001</v>
      </c>
      <c r="AD87" s="145">
        <f t="shared" si="30"/>
        <v>2.8014591402379851</v>
      </c>
      <c r="AE87" s="145">
        <f t="shared" si="31"/>
        <v>-14.884999999999998</v>
      </c>
      <c r="AF87" s="145">
        <f t="shared" si="32"/>
        <v>67.390814071580877</v>
      </c>
      <c r="AG87" s="772">
        <f t="shared" si="25"/>
        <v>124.58327321181889</v>
      </c>
      <c r="AH87" s="146">
        <f t="shared" si="33"/>
        <v>27.197142774486565</v>
      </c>
      <c r="AI87" s="146">
        <f t="shared" si="34"/>
        <v>30.145358872186399</v>
      </c>
      <c r="AJ87" s="156">
        <f t="shared" si="35"/>
        <v>76.955718384402019</v>
      </c>
      <c r="AK87" s="156">
        <f t="shared" si="36"/>
        <v>25.539350128307643</v>
      </c>
      <c r="AL87" s="88"/>
      <c r="AM87" s="716">
        <f t="shared" si="37"/>
        <v>2189.3618641919243</v>
      </c>
      <c r="AN87" s="716" t="str">
        <f>_xlfn.XLOOKUP(D87,RUC!$B$3:$B$578,RUC!$M$3:$M$578)</f>
        <v>Evelyn</v>
      </c>
      <c r="AO87" s="1167" t="s">
        <v>2279</v>
      </c>
      <c r="AP87" t="s">
        <v>2546</v>
      </c>
      <c r="AQ87" t="s">
        <v>2547</v>
      </c>
      <c r="AS87" s="1212"/>
    </row>
    <row r="88" spans="1:45" ht="15" customHeight="1">
      <c r="A88" s="747" t="s">
        <v>2516</v>
      </c>
      <c r="B88" s="595">
        <v>45878</v>
      </c>
      <c r="C88" s="595">
        <v>45872</v>
      </c>
      <c r="D88" t="s">
        <v>1967</v>
      </c>
      <c r="E88">
        <f>_xlfn.XLOOKUP(D88,RUC!$B$3:$B$123,RUC!$D$3:$D$123)</f>
        <v>20601769396</v>
      </c>
      <c r="G88" s="1082">
        <v>57</v>
      </c>
      <c r="H88" t="s">
        <v>116</v>
      </c>
      <c r="I88" s="703">
        <v>3.53</v>
      </c>
      <c r="J88" s="596">
        <v>21.4</v>
      </c>
      <c r="K88" s="138">
        <f t="shared" si="26"/>
        <v>2.7749999999999999</v>
      </c>
      <c r="L88" s="762">
        <v>0.214</v>
      </c>
      <c r="M88" s="762">
        <v>0.19900000000000001</v>
      </c>
      <c r="N88" s="159">
        <v>0.19900000000000001</v>
      </c>
      <c r="O88" s="645">
        <f t="shared" si="28"/>
        <v>0.19900000000000001</v>
      </c>
      <c r="P88" s="727">
        <v>90</v>
      </c>
      <c r="Q88" s="596">
        <v>90.09</v>
      </c>
      <c r="R88" s="706">
        <v>3346.85</v>
      </c>
      <c r="S88" s="765">
        <f t="shared" si="27"/>
        <v>100</v>
      </c>
      <c r="U88" s="1146">
        <f>_xlfn.XLOOKUP(D88,RUC!$B$3:$B$123,RUC!$F$3:$F$123)</f>
        <v>120</v>
      </c>
      <c r="V88" s="715">
        <v>1.1023000000000001</v>
      </c>
      <c r="Y88">
        <f>_xlfn.XLOOKUP(D88,RUC!$B$3:$B$123,RUC!$G$3:$G$123)</f>
        <v>20</v>
      </c>
      <c r="Z88" s="143">
        <f>_xlfn.XLOOKUP(D88,RUC!$B$3:$B$123,RUC!$H$3:$H$123)</f>
        <v>30</v>
      </c>
      <c r="AA88" s="144">
        <f t="shared" si="29"/>
        <v>50</v>
      </c>
      <c r="AB88" s="145">
        <f t="shared" si="38"/>
        <v>471.70595482049993</v>
      </c>
      <c r="AC88" s="145">
        <f>+(S88-T88)*V88-'data 1'!$F$4</f>
        <v>30.230000000000004</v>
      </c>
      <c r="AD88" s="145">
        <f t="shared" si="30"/>
        <v>0.68506987101302597</v>
      </c>
      <c r="AE88" s="145">
        <f t="shared" si="31"/>
        <v>-14.884999999999998</v>
      </c>
      <c r="AF88" s="145">
        <f t="shared" si="32"/>
        <v>48.066935108692462</v>
      </c>
      <c r="AG88" s="772">
        <f t="shared" si="25"/>
        <v>81.097004979705503</v>
      </c>
      <c r="AH88" s="146">
        <f t="shared" si="33"/>
        <v>18.342664264067391</v>
      </c>
      <c r="AI88" s="146">
        <f t="shared" si="34"/>
        <v>20.360377693492499</v>
      </c>
      <c r="AJ88" s="156">
        <f t="shared" si="35"/>
        <v>45.935178416127016</v>
      </c>
      <c r="AK88" s="156">
        <f t="shared" si="36"/>
        <v>17.039923574320127</v>
      </c>
      <c r="AL88" s="88"/>
      <c r="AM88" s="716">
        <f t="shared" si="37"/>
        <v>1308.9840246268873</v>
      </c>
      <c r="AN88" s="716" t="str">
        <f>_xlfn.XLOOKUP(D88,RUC!$B$3:$B$578,RUC!$M$3:$M$578)</f>
        <v>Evelyn</v>
      </c>
      <c r="AO88" s="1167" t="s">
        <v>2279</v>
      </c>
      <c r="AP88" t="s">
        <v>2546</v>
      </c>
      <c r="AQ88" t="s">
        <v>2547</v>
      </c>
      <c r="AS88" s="1212"/>
    </row>
    <row r="89" spans="1:45" ht="15" customHeight="1">
      <c r="A89" s="747" t="s">
        <v>2517</v>
      </c>
      <c r="B89" s="595">
        <v>45878</v>
      </c>
      <c r="C89" s="595">
        <v>45872</v>
      </c>
      <c r="D89" t="s">
        <v>1967</v>
      </c>
      <c r="E89">
        <f>_xlfn.XLOOKUP(D89,RUC!$B$3:$B$123,RUC!$D$3:$D$123)</f>
        <v>20601769396</v>
      </c>
      <c r="G89" s="1082">
        <v>58</v>
      </c>
      <c r="H89" t="s">
        <v>116</v>
      </c>
      <c r="I89" s="703">
        <v>3.9</v>
      </c>
      <c r="J89" s="596">
        <v>19</v>
      </c>
      <c r="K89" s="138">
        <f t="shared" si="26"/>
        <v>3.1589999999999998</v>
      </c>
      <c r="L89" s="994">
        <v>0.22</v>
      </c>
      <c r="M89" s="762">
        <v>0.20499999999999999</v>
      </c>
      <c r="N89" s="159">
        <v>0.20499999999999999</v>
      </c>
      <c r="O89" s="645">
        <f t="shared" si="28"/>
        <v>0.20499999999999999</v>
      </c>
      <c r="P89" s="727">
        <v>83</v>
      </c>
      <c r="Q89" s="596">
        <v>83.64</v>
      </c>
      <c r="R89" s="706">
        <v>3346.85</v>
      </c>
      <c r="S89" s="765">
        <f t="shared" si="27"/>
        <v>110</v>
      </c>
      <c r="U89" s="1146">
        <f>_xlfn.XLOOKUP(D89,RUC!$B$3:$B$123,RUC!$F$3:$F$123)</f>
        <v>120</v>
      </c>
      <c r="V89" s="715">
        <v>1.1023000000000001</v>
      </c>
      <c r="Y89">
        <f>_xlfn.XLOOKUP(D89,RUC!$B$3:$B$123,RUC!$G$3:$G$123)</f>
        <v>20</v>
      </c>
      <c r="Z89" s="143">
        <f>_xlfn.XLOOKUP(D89,RUC!$B$3:$B$123,RUC!$H$3:$H$123)</f>
        <v>30</v>
      </c>
      <c r="AA89" s="144">
        <f t="shared" si="29"/>
        <v>50</v>
      </c>
      <c r="AB89" s="145">
        <f t="shared" si="38"/>
        <v>428.84819186325001</v>
      </c>
      <c r="AC89" s="145">
        <f>+(S89-T89)*V89-'data 1'!$F$4</f>
        <v>41.253</v>
      </c>
      <c r="AD89" s="145">
        <f t="shared" si="30"/>
        <v>5.0081951110400045</v>
      </c>
      <c r="AE89" s="145">
        <f t="shared" si="31"/>
        <v>-14.884999999999998</v>
      </c>
      <c r="AF89" s="145">
        <f t="shared" si="32"/>
        <v>44.625579448230035</v>
      </c>
      <c r="AG89" s="772">
        <f t="shared" si="25"/>
        <v>93.001774559270046</v>
      </c>
      <c r="AH89" s="146">
        <f t="shared" si="33"/>
        <v>19.9294539767176</v>
      </c>
      <c r="AI89" s="146">
        <f t="shared" si="34"/>
        <v>23.827658986988997</v>
      </c>
      <c r="AJ89" s="156">
        <f t="shared" si="35"/>
        <v>43.842140777160019</v>
      </c>
      <c r="AK89" s="156">
        <f t="shared" si="36"/>
        <v>18.428528075618992</v>
      </c>
      <c r="AL89" s="88"/>
      <c r="AM89" s="716">
        <f t="shared" si="37"/>
        <v>1354.7314380960067</v>
      </c>
      <c r="AN89" s="716" t="str">
        <f>_xlfn.XLOOKUP(D89,RUC!$B$3:$B$578,RUC!$M$3:$M$578)</f>
        <v>Evelyn</v>
      </c>
      <c r="AO89" s="1167" t="s">
        <v>2280</v>
      </c>
      <c r="AP89" t="s">
        <v>2546</v>
      </c>
      <c r="AQ89" t="s">
        <v>2547</v>
      </c>
      <c r="AS89" s="1212"/>
    </row>
    <row r="90" spans="1:45" ht="15" customHeight="1">
      <c r="A90" s="747" t="s">
        <v>2524</v>
      </c>
      <c r="B90" s="595">
        <v>45881</v>
      </c>
      <c r="C90" s="595">
        <v>45874</v>
      </c>
      <c r="D90" t="s">
        <v>119</v>
      </c>
      <c r="E90">
        <f>_xlfn.XLOOKUP(D90,RUC!$B$3:$B$123,RUC!$D$3:$D$123)</f>
        <v>10082235774</v>
      </c>
      <c r="G90" s="1082">
        <v>52</v>
      </c>
      <c r="H90" t="s">
        <v>69</v>
      </c>
      <c r="I90" s="703">
        <v>4.9000000000000004</v>
      </c>
      <c r="J90" s="596">
        <v>2.9</v>
      </c>
      <c r="K90" s="138">
        <f t="shared" si="26"/>
        <v>4.758</v>
      </c>
      <c r="L90" s="762">
        <v>0.185</v>
      </c>
      <c r="M90" s="762">
        <v>0.17799999999999999</v>
      </c>
      <c r="N90" s="764">
        <v>0.17799999999999999</v>
      </c>
      <c r="O90" s="645">
        <f t="shared" si="28"/>
        <v>0.17799999999999999</v>
      </c>
      <c r="P90" s="727">
        <v>85</v>
      </c>
      <c r="Q90" s="596">
        <v>95.68</v>
      </c>
      <c r="R90" s="1211">
        <v>3375.3</v>
      </c>
      <c r="S90" s="1164">
        <v>95</v>
      </c>
      <c r="U90" s="1146">
        <f>_xlfn.XLOOKUP(D90,RUC!$B$3:$B$123,RUC!$F$3:$F$123)</f>
        <v>80</v>
      </c>
      <c r="V90" s="715">
        <v>1.1023000000000001</v>
      </c>
      <c r="Y90">
        <f>_xlfn.XLOOKUP(D90,RUC!$B$3:$B$123,RUC!$G$3:$G$123)</f>
        <v>0</v>
      </c>
      <c r="Z90" s="143">
        <f>_xlfn.XLOOKUP(D90,RUC!$B$3:$B$123,RUC!$H$3:$H$123)</f>
        <v>10</v>
      </c>
      <c r="AA90" s="144">
        <f t="shared" si="29"/>
        <v>10</v>
      </c>
      <c r="AB90" s="145">
        <f t="shared" si="38"/>
        <v>433.84201044700001</v>
      </c>
      <c r="AC90" s="145">
        <f>+(S90-T90)*V90-'data 1'!$F$4</f>
        <v>24.718500000000006</v>
      </c>
      <c r="AD90" s="145">
        <f t="shared" si="30"/>
        <v>71.769140776020052</v>
      </c>
      <c r="AE90" s="145">
        <f t="shared" si="31"/>
        <v>-58.977000000000004</v>
      </c>
      <c r="AF90" s="145">
        <f t="shared" si="32"/>
        <v>24.328423790944026</v>
      </c>
      <c r="AG90" s="772">
        <f>AC90+AD90+AE90+AF90+70</f>
        <v>131.83906456696408</v>
      </c>
      <c r="AH90" s="146">
        <f t="shared" si="33"/>
        <v>28.875293151527039</v>
      </c>
      <c r="AI90" s="146">
        <f t="shared" si="34"/>
        <v>30.179027123251501</v>
      </c>
      <c r="AJ90" s="156">
        <f t="shared" si="35"/>
        <v>28.818621147679963</v>
      </c>
      <c r="AK90" s="156">
        <f t="shared" si="36"/>
        <v>24.681550290529472</v>
      </c>
      <c r="AL90" s="88"/>
      <c r="AM90" s="716">
        <f t="shared" si="37"/>
        <v>2064.220285706826</v>
      </c>
      <c r="AN90" s="716" t="str">
        <f>_xlfn.XLOOKUP(D90,RUC!$B$3:$B$578,RUC!$M$3:$M$578)</f>
        <v>Melchor Vera</v>
      </c>
      <c r="AO90" s="1167" t="s">
        <v>2281</v>
      </c>
      <c r="AP90" t="s">
        <v>2548</v>
      </c>
      <c r="AQ90" t="s">
        <v>2549</v>
      </c>
      <c r="AS90" s="1212"/>
    </row>
    <row r="91" spans="1:45" ht="15" customHeight="1">
      <c r="A91" s="747" t="s">
        <v>2525</v>
      </c>
      <c r="B91" s="595">
        <v>45881</v>
      </c>
      <c r="C91" s="595">
        <v>45874</v>
      </c>
      <c r="D91" t="s">
        <v>119</v>
      </c>
      <c r="E91">
        <f>_xlfn.XLOOKUP(D91,RUC!$B$3:$B$123,RUC!$D$3:$D$123)</f>
        <v>10082235774</v>
      </c>
      <c r="G91" s="1082">
        <v>62</v>
      </c>
      <c r="H91" t="s">
        <v>69</v>
      </c>
      <c r="I91" s="703">
        <v>5.74</v>
      </c>
      <c r="J91" s="596">
        <v>3.15</v>
      </c>
      <c r="K91" s="138">
        <f t="shared" si="26"/>
        <v>5.5590000000000002</v>
      </c>
      <c r="L91" s="762">
        <v>0.28499999999999998</v>
      </c>
      <c r="M91" s="762">
        <v>0.27600000000000002</v>
      </c>
      <c r="N91" s="764">
        <v>0.27600000000000002</v>
      </c>
      <c r="O91" s="645">
        <f t="shared" si="28"/>
        <v>0.27600000000000002</v>
      </c>
      <c r="P91" s="727">
        <v>90</v>
      </c>
      <c r="Q91" s="596">
        <v>92.98</v>
      </c>
      <c r="R91" s="1211">
        <v>3375.3</v>
      </c>
      <c r="S91" s="1164">
        <v>105</v>
      </c>
      <c r="U91" s="1146">
        <f>_xlfn.XLOOKUP(D91,RUC!$B$3:$B$123,RUC!$F$3:$F$123)</f>
        <v>80</v>
      </c>
      <c r="V91" s="715">
        <v>1.1023000000000001</v>
      </c>
      <c r="Y91">
        <f>_xlfn.XLOOKUP(D91,RUC!$B$3:$B$123,RUC!$G$3:$G$123)</f>
        <v>0</v>
      </c>
      <c r="Z91" s="143">
        <f>_xlfn.XLOOKUP(D91,RUC!$B$3:$B$123,RUC!$H$3:$H$123)</f>
        <v>10</v>
      </c>
      <c r="AA91" s="144">
        <f t="shared" si="29"/>
        <v>10</v>
      </c>
      <c r="AB91" s="145">
        <f t="shared" si="38"/>
        <v>775.52594279600021</v>
      </c>
      <c r="AC91" s="145">
        <f>+(S91-T91)*V91-'data 1'!$F$4</f>
        <v>35.741500000000002</v>
      </c>
      <c r="AD91" s="145">
        <f t="shared" si="30"/>
        <v>30.850051250670038</v>
      </c>
      <c r="AE91" s="145">
        <f t="shared" si="31"/>
        <v>-58.977000000000004</v>
      </c>
      <c r="AF91" s="145">
        <f t="shared" si="32"/>
        <v>30.396726583757847</v>
      </c>
      <c r="AG91" s="772">
        <f>AC91+AD91+AE91+AF91+70</f>
        <v>108.01127783442789</v>
      </c>
      <c r="AH91" s="146">
        <f t="shared" si="33"/>
        <v>50.505670977731562</v>
      </c>
      <c r="AI91" s="146">
        <f t="shared" si="34"/>
        <v>54.318854568435746</v>
      </c>
      <c r="AJ91" s="156">
        <f t="shared" si="35"/>
        <v>43.143433482029948</v>
      </c>
      <c r="AK91" s="156">
        <f t="shared" si="36"/>
        <v>47.343170087015586</v>
      </c>
      <c r="AL91" s="88"/>
      <c r="AM91" s="716">
        <f t="shared" si="37"/>
        <v>4311.1487160029656</v>
      </c>
      <c r="AN91" s="716" t="str">
        <f>_xlfn.XLOOKUP(D91,RUC!$B$3:$B$578,RUC!$M$3:$M$578)</f>
        <v>Melchor Vera</v>
      </c>
      <c r="AO91" s="1167" t="s">
        <v>2281</v>
      </c>
      <c r="AP91" t="s">
        <v>2548</v>
      </c>
      <c r="AQ91" t="s">
        <v>2549</v>
      </c>
      <c r="AS91" s="1212"/>
    </row>
    <row r="92" spans="1:45" ht="15" customHeight="1">
      <c r="A92" s="747" t="s">
        <v>2526</v>
      </c>
      <c r="B92" s="595">
        <v>45881</v>
      </c>
      <c r="C92" s="595">
        <v>45874</v>
      </c>
      <c r="D92" t="s">
        <v>119</v>
      </c>
      <c r="E92">
        <f>_xlfn.XLOOKUP(D92,RUC!$B$3:$B$123,RUC!$D$3:$D$123)</f>
        <v>10082235774</v>
      </c>
      <c r="G92" s="1082">
        <v>64</v>
      </c>
      <c r="H92" t="s">
        <v>69</v>
      </c>
      <c r="I92" s="703">
        <v>6.02</v>
      </c>
      <c r="J92" s="596">
        <v>3.8</v>
      </c>
      <c r="K92" s="138">
        <f t="shared" si="26"/>
        <v>5.7910000000000004</v>
      </c>
      <c r="L92" s="762">
        <v>0.221</v>
      </c>
      <c r="M92" s="762">
        <v>0.214</v>
      </c>
      <c r="N92" s="764">
        <v>0.214</v>
      </c>
      <c r="O92" s="645">
        <f t="shared" si="28"/>
        <v>0.214</v>
      </c>
      <c r="P92" s="727">
        <v>85</v>
      </c>
      <c r="Q92" s="596">
        <v>92.31</v>
      </c>
      <c r="R92" s="1211">
        <v>3375.3</v>
      </c>
      <c r="S92" s="1164">
        <v>105</v>
      </c>
      <c r="U92" s="1146">
        <f>_xlfn.XLOOKUP(D92,RUC!$B$3:$B$123,RUC!$F$3:$F$123)</f>
        <v>80</v>
      </c>
      <c r="V92" s="715">
        <v>1.1023000000000001</v>
      </c>
      <c r="Y92">
        <f>_xlfn.XLOOKUP(D92,RUC!$B$3:$B$123,RUC!$G$3:$G$123)</f>
        <v>0</v>
      </c>
      <c r="Z92" s="143">
        <f>_xlfn.XLOOKUP(D92,RUC!$B$3:$B$123,RUC!$H$3:$H$123)</f>
        <v>10</v>
      </c>
      <c r="AA92" s="144">
        <f t="shared" si="29"/>
        <v>10</v>
      </c>
      <c r="AB92" s="145">
        <f t="shared" si="38"/>
        <v>533.97073166100006</v>
      </c>
      <c r="AC92" s="145">
        <f>+(S92-T92)*V92-'data 1'!$F$4</f>
        <v>35.741500000000002</v>
      </c>
      <c r="AD92" s="145">
        <f t="shared" si="30"/>
        <v>58.681933705369019</v>
      </c>
      <c r="AE92" s="145">
        <f t="shared" si="31"/>
        <v>-58.977000000000004</v>
      </c>
      <c r="AF92" s="145">
        <f t="shared" si="32"/>
        <v>23.471538463023027</v>
      </c>
      <c r="AG92" s="772">
        <f>AC92+AD92+AE92+AF92+70</f>
        <v>128.91797216839205</v>
      </c>
      <c r="AH92" s="146">
        <f t="shared" si="33"/>
        <v>40.504535756379411</v>
      </c>
      <c r="AI92" s="146">
        <f t="shared" si="34"/>
        <v>43.878816765658556</v>
      </c>
      <c r="AJ92" s="156">
        <f t="shared" si="35"/>
        <v>33.214011169520958</v>
      </c>
      <c r="AK92" s="156">
        <f t="shared" si="36"/>
        <v>36.115641491734344</v>
      </c>
      <c r="AL92" s="88"/>
      <c r="AM92" s="716">
        <f t="shared" si="37"/>
        <v>3092.2245070488516</v>
      </c>
      <c r="AN92" s="716" t="str">
        <f>_xlfn.XLOOKUP(D92,RUC!$B$3:$B$578,RUC!$M$3:$M$578)</f>
        <v>Melchor Vera</v>
      </c>
      <c r="AO92" s="1167" t="s">
        <v>2279</v>
      </c>
      <c r="AP92" t="s">
        <v>2548</v>
      </c>
      <c r="AQ92" t="s">
        <v>2549</v>
      </c>
      <c r="AS92" s="1212"/>
    </row>
    <row r="93" spans="1:45" ht="15" customHeight="1">
      <c r="A93" s="747" t="s">
        <v>2527</v>
      </c>
      <c r="B93" s="595">
        <v>45879</v>
      </c>
      <c r="C93" s="595">
        <v>45874</v>
      </c>
      <c r="D93" s="1210" t="s">
        <v>2004</v>
      </c>
      <c r="E93">
        <f>_xlfn.XLOOKUP(D93,RUC!$B$3:$B$123,RUC!$D$3:$D$123)</f>
        <v>20612921866</v>
      </c>
      <c r="G93" s="1082" t="s">
        <v>2556</v>
      </c>
      <c r="H93" t="s">
        <v>116</v>
      </c>
      <c r="I93" s="703">
        <v>19.559999999999999</v>
      </c>
      <c r="J93" s="596">
        <v>2.15</v>
      </c>
      <c r="K93" s="138">
        <f t="shared" si="26"/>
        <v>19.138999999999999</v>
      </c>
      <c r="L93" s="762">
        <v>0.27600000000000002</v>
      </c>
      <c r="M93" s="762">
        <v>0.25900000000000001</v>
      </c>
      <c r="N93" s="1197">
        <v>0.30299999999999999</v>
      </c>
      <c r="O93" s="645">
        <f t="shared" si="28"/>
        <v>0.28100000000000003</v>
      </c>
      <c r="P93" s="727">
        <v>90</v>
      </c>
      <c r="Q93" s="596">
        <v>94.93</v>
      </c>
      <c r="R93" s="1211">
        <v>3375.3</v>
      </c>
      <c r="S93" s="765">
        <v>110</v>
      </c>
      <c r="U93" s="1146">
        <f>_xlfn.XLOOKUP(D93,RUC!$B$3:$B$123,RUC!$F$3:$F$123)</f>
        <v>100</v>
      </c>
      <c r="V93" s="715">
        <v>1.1023000000000001</v>
      </c>
      <c r="Y93">
        <f>_xlfn.XLOOKUP(D93,RUC!$B$3:$B$123,RUC!$G$3:$G$123)</f>
        <v>0</v>
      </c>
      <c r="Z93" s="143">
        <f>_xlfn.XLOOKUP(D93,RUC!$B$3:$B$123,RUC!$H$3:$H$123)</f>
        <v>30</v>
      </c>
      <c r="AA93" s="144">
        <f t="shared" si="29"/>
        <v>30</v>
      </c>
      <c r="AB93" s="145">
        <f t="shared" si="38"/>
        <v>758.7388507510002</v>
      </c>
      <c r="AC93" s="145">
        <f>+(S93-T93)*V93-'data 1'!$F$4</f>
        <v>41.253</v>
      </c>
      <c r="AD93" s="145">
        <f t="shared" si="30"/>
        <v>49.125489853692073</v>
      </c>
      <c r="AE93" s="145">
        <f t="shared" si="31"/>
        <v>-36.930999999999997</v>
      </c>
      <c r="AF93" s="145">
        <f t="shared" si="32"/>
        <v>-17.136588881335015</v>
      </c>
      <c r="AG93" s="772">
        <f>AC93+AD93+AE93+AF93+70-10</f>
        <v>96.310900972357061</v>
      </c>
      <c r="AH93" s="146">
        <f t="shared" si="33"/>
        <v>171.92572905358978</v>
      </c>
      <c r="AI93" s="146">
        <f t="shared" si="34"/>
        <v>181.10789956135022</v>
      </c>
      <c r="AJ93" s="156">
        <f t="shared" si="35"/>
        <v>48.433453038827956</v>
      </c>
      <c r="AK93" s="156">
        <f t="shared" si="36"/>
        <v>165.9499557937155</v>
      </c>
      <c r="AL93" s="88"/>
      <c r="AM93" s="148">
        <f>+IF(AB93*K93&gt;0,AB93*K93,0)</f>
        <v>14521.502864523392</v>
      </c>
      <c r="AN93" s="716" t="str">
        <f>_xlfn.XLOOKUP(D93,RUC!$B$3:$B$578,RUC!$M$3:$M$578)</f>
        <v>Ronald Garibay</v>
      </c>
      <c r="AO93" s="1167" t="s">
        <v>2281</v>
      </c>
      <c r="AP93" t="s">
        <v>2550</v>
      </c>
      <c r="AQ93" t="s">
        <v>2551</v>
      </c>
      <c r="AS93" s="1212"/>
    </row>
    <row r="94" spans="1:45" ht="15" customHeight="1">
      <c r="A94" s="747" t="s">
        <v>2528</v>
      </c>
      <c r="B94" s="595">
        <v>45881</v>
      </c>
      <c r="C94" s="595">
        <v>45874</v>
      </c>
      <c r="D94" t="s">
        <v>119</v>
      </c>
      <c r="E94">
        <f>_xlfn.XLOOKUP(D94,RUC!$B$3:$B$123,RUC!$D$3:$D$123)</f>
        <v>10082235774</v>
      </c>
      <c r="G94" s="1082">
        <v>46</v>
      </c>
      <c r="H94" t="s">
        <v>69</v>
      </c>
      <c r="I94" s="703">
        <v>3.94</v>
      </c>
      <c r="J94" s="596">
        <v>1.9</v>
      </c>
      <c r="K94" s="138">
        <f t="shared" si="26"/>
        <v>3.8650000000000002</v>
      </c>
      <c r="L94" s="762">
        <v>0.13200000000000001</v>
      </c>
      <c r="M94" s="762">
        <v>0.124</v>
      </c>
      <c r="N94" s="764">
        <v>0.124</v>
      </c>
      <c r="O94" s="645">
        <f t="shared" si="28"/>
        <v>0.124</v>
      </c>
      <c r="P94" s="727">
        <v>85</v>
      </c>
      <c r="Q94" s="596">
        <v>97.73</v>
      </c>
      <c r="R94" s="1211">
        <v>3375.3</v>
      </c>
      <c r="S94" s="1164">
        <v>95</v>
      </c>
      <c r="U94" s="1146">
        <f>_xlfn.XLOOKUP(D94,RUC!$B$3:$B$123,RUC!$F$3:$F$123)</f>
        <v>80</v>
      </c>
      <c r="V94" s="715">
        <v>1.1023000000000001</v>
      </c>
      <c r="Y94">
        <f>_xlfn.XLOOKUP(D94,RUC!$B$3:$B$123,RUC!$G$3:$G$123)</f>
        <v>0</v>
      </c>
      <c r="Z94" s="143">
        <f>_xlfn.XLOOKUP(D94,RUC!$B$3:$B$123,RUC!$H$3:$H$123)</f>
        <v>10</v>
      </c>
      <c r="AA94" s="144">
        <f t="shared" si="29"/>
        <v>10</v>
      </c>
      <c r="AB94" s="145">
        <f t="shared" si="38"/>
        <v>267.11442862600001</v>
      </c>
      <c r="AC94" s="145">
        <f>+(S94-T94)*V94-'data 1'!$F$4</f>
        <v>24.718500000000006</v>
      </c>
      <c r="AD94" s="145">
        <f t="shared" si="30"/>
        <v>61.037551065084024</v>
      </c>
      <c r="AE94" s="145">
        <f t="shared" si="31"/>
        <v>-58.977000000000004</v>
      </c>
      <c r="AF94" s="145">
        <f t="shared" si="32"/>
        <v>28.399628011096034</v>
      </c>
      <c r="AG94" s="772">
        <f>AC94+AD94+AE94+AF94+70</f>
        <v>125.17867907618006</v>
      </c>
      <c r="AH94" s="146">
        <f t="shared" si="33"/>
        <v>17.094657247798583</v>
      </c>
      <c r="AI94" s="146">
        <f t="shared" si="34"/>
        <v>17.491719275349002</v>
      </c>
      <c r="AJ94" s="156">
        <f t="shared" si="35"/>
        <v>21.003038704955976</v>
      </c>
      <c r="AK94" s="156">
        <f t="shared" si="36"/>
        <v>13.966872815316551</v>
      </c>
      <c r="AL94" s="88"/>
      <c r="AM94" s="716">
        <f t="shared" si="37"/>
        <v>1032.39726663949</v>
      </c>
      <c r="AN94" s="716" t="str">
        <f>_xlfn.XLOOKUP(D94,RUC!$B$3:$B$578,RUC!$M$3:$M$578)</f>
        <v>Melchor Vera</v>
      </c>
      <c r="AO94" s="1167" t="s">
        <v>2297</v>
      </c>
      <c r="AP94" t="s">
        <v>2548</v>
      </c>
      <c r="AQ94" t="s">
        <v>2549</v>
      </c>
      <c r="AS94" s="1212"/>
    </row>
    <row r="95" spans="1:45" ht="15" customHeight="1">
      <c r="A95" s="747" t="s">
        <v>2529</v>
      </c>
      <c r="B95" s="595">
        <v>45881</v>
      </c>
      <c r="C95" s="595">
        <v>45874</v>
      </c>
      <c r="D95" t="s">
        <v>119</v>
      </c>
      <c r="E95">
        <f>_xlfn.XLOOKUP(D95,RUC!$B$3:$B$123,RUC!$D$3:$D$123)</f>
        <v>10082235774</v>
      </c>
      <c r="G95" s="1082">
        <v>51</v>
      </c>
      <c r="H95" t="s">
        <v>69</v>
      </c>
      <c r="I95" s="703">
        <v>4.62</v>
      </c>
      <c r="J95" s="596">
        <v>3.95</v>
      </c>
      <c r="K95" s="138">
        <f t="shared" si="26"/>
        <v>4.4379999999999997</v>
      </c>
      <c r="L95" s="762">
        <v>0.249</v>
      </c>
      <c r="M95" s="762">
        <v>0.24199999999999999</v>
      </c>
      <c r="N95" s="764">
        <v>0.24199999999999999</v>
      </c>
      <c r="O95" s="645">
        <f t="shared" si="28"/>
        <v>0.24199999999999999</v>
      </c>
      <c r="P95" s="727">
        <v>85</v>
      </c>
      <c r="Q95" s="596">
        <v>97.19</v>
      </c>
      <c r="R95" s="1211">
        <v>3375.3</v>
      </c>
      <c r="S95" s="1164">
        <v>105</v>
      </c>
      <c r="U95" s="1146">
        <f>_xlfn.XLOOKUP(D95,RUC!$B$3:$B$123,RUC!$F$3:$F$123)</f>
        <v>80</v>
      </c>
      <c r="V95" s="715">
        <v>1.1023000000000001</v>
      </c>
      <c r="Y95">
        <f>_xlfn.XLOOKUP(D95,RUC!$B$3:$B$123,RUC!$G$3:$G$123)</f>
        <v>0</v>
      </c>
      <c r="Z95" s="143">
        <f>_xlfn.XLOOKUP(D95,RUC!$B$3:$B$123,RUC!$H$3:$H$123)</f>
        <v>10</v>
      </c>
      <c r="AA95" s="144">
        <f t="shared" si="29"/>
        <v>10</v>
      </c>
      <c r="AB95" s="145">
        <f t="shared" si="38"/>
        <v>620.42207038300012</v>
      </c>
      <c r="AC95" s="145">
        <f>+(S95-T95)*V95-'data 1'!$F$4</f>
        <v>35.741500000000002</v>
      </c>
      <c r="AD95" s="145">
        <f t="shared" si="30"/>
        <v>110.25487938498898</v>
      </c>
      <c r="AE95" s="145">
        <f t="shared" si="31"/>
        <v>-58.977000000000004</v>
      </c>
      <c r="AF95" s="145">
        <f t="shared" si="32"/>
        <v>24.71236944232702</v>
      </c>
      <c r="AG95" s="772">
        <f>AC95+AD95+AE95+AF95+70</f>
        <v>181.73174882731598</v>
      </c>
      <c r="AH95" s="146">
        <f t="shared" si="33"/>
        <v>36.82284131565951</v>
      </c>
      <c r="AI95" s="146">
        <f t="shared" si="34"/>
        <v>37.887479489309101</v>
      </c>
      <c r="AJ95" s="156">
        <f t="shared" si="35"/>
        <v>39.400454530100959</v>
      </c>
      <c r="AK95" s="156">
        <f t="shared" si="36"/>
        <v>31.299014180525628</v>
      </c>
      <c r="AL95" s="88"/>
      <c r="AM95" s="716">
        <f t="shared" si="37"/>
        <v>2753.4331483597543</v>
      </c>
      <c r="AN95" s="716" t="str">
        <f>_xlfn.XLOOKUP(D95,RUC!$B$3:$B$578,RUC!$M$3:$M$578)</f>
        <v>Melchor Vera</v>
      </c>
      <c r="AO95" s="1167" t="s">
        <v>2297</v>
      </c>
      <c r="AP95" t="s">
        <v>2548</v>
      </c>
      <c r="AQ95" t="s">
        <v>2549</v>
      </c>
      <c r="AS95" s="1212"/>
    </row>
    <row r="96" spans="1:45" ht="15" customHeight="1">
      <c r="A96" s="747" t="s">
        <v>2530</v>
      </c>
      <c r="B96" s="595">
        <v>45881</v>
      </c>
      <c r="C96" s="595">
        <v>45874</v>
      </c>
      <c r="D96" t="s">
        <v>119</v>
      </c>
      <c r="E96">
        <f>_xlfn.XLOOKUP(D96,RUC!$B$3:$B$123,RUC!$D$3:$D$123)</f>
        <v>10082235774</v>
      </c>
      <c r="G96" s="1082">
        <v>63</v>
      </c>
      <c r="H96" t="s">
        <v>69</v>
      </c>
      <c r="I96" s="703">
        <v>5.97</v>
      </c>
      <c r="J96" s="596">
        <v>3.4</v>
      </c>
      <c r="K96" s="138">
        <f t="shared" si="26"/>
        <v>5.7670000000000003</v>
      </c>
      <c r="L96" s="762">
        <v>0.214</v>
      </c>
      <c r="M96" s="762">
        <v>0.20499999999999999</v>
      </c>
      <c r="N96" s="764">
        <v>0.20499999999999999</v>
      </c>
      <c r="O96" s="645">
        <f t="shared" si="28"/>
        <v>0.20499999999999999</v>
      </c>
      <c r="P96" s="727">
        <v>85</v>
      </c>
      <c r="Q96" s="596">
        <v>96.73</v>
      </c>
      <c r="R96" s="1211">
        <v>3375.3</v>
      </c>
      <c r="S96" s="1164">
        <v>105</v>
      </c>
      <c r="U96" s="1146">
        <f>_xlfn.XLOOKUP(D96,RUC!$B$3:$B$123,RUC!$F$3:$F$123)</f>
        <v>80</v>
      </c>
      <c r="V96" s="715">
        <v>1.1023000000000001</v>
      </c>
      <c r="Y96">
        <f>_xlfn.XLOOKUP(D96,RUC!$B$3:$B$123,RUC!$G$3:$G$123)</f>
        <v>0</v>
      </c>
      <c r="Z96" s="143">
        <f>_xlfn.XLOOKUP(D96,RUC!$B$3:$B$123,RUC!$H$3:$H$123)</f>
        <v>10</v>
      </c>
      <c r="AA96" s="144">
        <f t="shared" si="29"/>
        <v>10</v>
      </c>
      <c r="AB96" s="145">
        <f t="shared" si="38"/>
        <v>506.18280135750013</v>
      </c>
      <c r="AC96" s="145">
        <f>+(S96-T96)*V96-'data 1'!$F$4</f>
        <v>35.741500000000002</v>
      </c>
      <c r="AD96" s="145">
        <f t="shared" si="30"/>
        <v>91.181461969218034</v>
      </c>
      <c r="AE96" s="145">
        <f t="shared" si="31"/>
        <v>-58.977000000000004</v>
      </c>
      <c r="AF96" s="145">
        <f t="shared" si="32"/>
        <v>31.622664685383032</v>
      </c>
      <c r="AG96" s="772">
        <f>AC96+AD96+AE96+AF96+70</f>
        <v>169.56862665460108</v>
      </c>
      <c r="AH96" s="146">
        <f t="shared" si="33"/>
        <v>40.929268399492798</v>
      </c>
      <c r="AI96" s="146">
        <f t="shared" si="34"/>
        <v>42.312900237250901</v>
      </c>
      <c r="AJ96" s="156">
        <f t="shared" si="35"/>
        <v>33.70196815136196</v>
      </c>
      <c r="AK96" s="156">
        <f t="shared" si="36"/>
        <v>34.453377880097989</v>
      </c>
      <c r="AL96" s="88"/>
      <c r="AM96" s="716">
        <f t="shared" si="37"/>
        <v>2919.1562154287035</v>
      </c>
      <c r="AN96" s="716" t="str">
        <f>_xlfn.XLOOKUP(D96,RUC!$B$3:$B$578,RUC!$M$3:$M$578)</f>
        <v>Melchor Vera</v>
      </c>
      <c r="AO96" s="1167" t="s">
        <v>2281</v>
      </c>
      <c r="AP96" t="s">
        <v>2548</v>
      </c>
      <c r="AQ96" t="s">
        <v>2549</v>
      </c>
      <c r="AS96" s="1212"/>
    </row>
    <row r="97" spans="1:45" ht="15" customHeight="1">
      <c r="A97" s="747" t="s">
        <v>2531</v>
      </c>
      <c r="B97" s="595">
        <v>45881</v>
      </c>
      <c r="C97" s="595">
        <v>45874</v>
      </c>
      <c r="D97" t="s">
        <v>119</v>
      </c>
      <c r="E97">
        <f>_xlfn.XLOOKUP(D97,RUC!$B$3:$B$123,RUC!$D$3:$D$123)</f>
        <v>10082235774</v>
      </c>
      <c r="G97" s="1082">
        <v>62</v>
      </c>
      <c r="H97" t="s">
        <v>69</v>
      </c>
      <c r="I97" s="703">
        <v>5.39</v>
      </c>
      <c r="J97" s="596">
        <v>2.75</v>
      </c>
      <c r="K97" s="138">
        <f t="shared" si="26"/>
        <v>5.242</v>
      </c>
      <c r="L97" s="762">
        <v>0.19500000000000001</v>
      </c>
      <c r="M97" s="762">
        <v>0.187</v>
      </c>
      <c r="N97" s="764">
        <v>0.187</v>
      </c>
      <c r="O97" s="645">
        <f t="shared" si="28"/>
        <v>0.187</v>
      </c>
      <c r="P97" s="727">
        <v>85</v>
      </c>
      <c r="Q97" s="596">
        <v>97.95</v>
      </c>
      <c r="R97" s="1211">
        <v>3375.3</v>
      </c>
      <c r="S97" s="1164">
        <v>95</v>
      </c>
      <c r="U97" s="1146">
        <f>_xlfn.XLOOKUP(D97,RUC!$B$3:$B$123,RUC!$F$3:$F$123)</f>
        <v>80</v>
      </c>
      <c r="V97" s="715">
        <v>1.1023000000000001</v>
      </c>
      <c r="Y97">
        <f>_xlfn.XLOOKUP(D97,RUC!$B$3:$B$123,RUC!$G$3:$G$123)</f>
        <v>0</v>
      </c>
      <c r="Z97" s="143">
        <f>_xlfn.XLOOKUP(D97,RUC!$B$3:$B$123,RUC!$H$3:$H$123)</f>
        <v>10</v>
      </c>
      <c r="AA97" s="144">
        <f t="shared" si="29"/>
        <v>10</v>
      </c>
      <c r="AB97" s="145">
        <f t="shared" si="38"/>
        <v>461.62994075049994</v>
      </c>
      <c r="AC97" s="145">
        <f>+(S97-T97)*V97-'data 1'!$F$4</f>
        <v>24.718500000000006</v>
      </c>
      <c r="AD97" s="145">
        <f t="shared" si="30"/>
        <v>91.727413070475038</v>
      </c>
      <c r="AE97" s="145">
        <f t="shared" si="31"/>
        <v>-58.977000000000004</v>
      </c>
      <c r="AF97" s="145">
        <f t="shared" si="32"/>
        <v>28.46355841284003</v>
      </c>
      <c r="AG97" s="772">
        <f>AC97+AD97+AE97+AF97+70</f>
        <v>155.93247148331506</v>
      </c>
      <c r="AH97" s="146">
        <f t="shared" si="33"/>
        <v>34.327734104207501</v>
      </c>
      <c r="AI97" s="146">
        <f t="shared" si="34"/>
        <v>35.046180810829505</v>
      </c>
      <c r="AJ97" s="156">
        <f t="shared" si="35"/>
        <v>31.097061634274969</v>
      </c>
      <c r="AK97" s="156">
        <f t="shared" si="36"/>
        <v>28.567130460929999</v>
      </c>
      <c r="AL97" s="88"/>
      <c r="AM97" s="716">
        <f t="shared" si="37"/>
        <v>2419.8641494141207</v>
      </c>
      <c r="AN97" s="716" t="str">
        <f>_xlfn.XLOOKUP(D97,RUC!$B$3:$B$578,RUC!$M$3:$M$578)</f>
        <v>Melchor Vera</v>
      </c>
      <c r="AO97" s="1167" t="s">
        <v>2297</v>
      </c>
      <c r="AP97" t="s">
        <v>2548</v>
      </c>
      <c r="AQ97" t="s">
        <v>2549</v>
      </c>
      <c r="AS97" s="1212"/>
    </row>
    <row r="98" spans="1:45" ht="15" customHeight="1">
      <c r="A98" s="747" t="s">
        <v>2532</v>
      </c>
      <c r="B98" s="595">
        <v>45880</v>
      </c>
      <c r="C98" s="595">
        <v>45875</v>
      </c>
      <c r="D98" s="1210" t="s">
        <v>2004</v>
      </c>
      <c r="E98">
        <f>_xlfn.XLOOKUP(D98,RUC!$B$3:$B$123,RUC!$D$3:$D$123)</f>
        <v>20612921866</v>
      </c>
      <c r="G98" s="1082" t="s">
        <v>2556</v>
      </c>
      <c r="H98" t="s">
        <v>69</v>
      </c>
      <c r="I98" s="703">
        <v>19.7</v>
      </c>
      <c r="J98" s="596">
        <v>2.0499999999999998</v>
      </c>
      <c r="K98" s="138">
        <f t="shared" si="26"/>
        <v>19.295999999999999</v>
      </c>
      <c r="L98" s="762">
        <v>0.32500000000000001</v>
      </c>
      <c r="M98" s="762">
        <v>0.30599999999999999</v>
      </c>
      <c r="N98" s="764">
        <v>0.30599999999999999</v>
      </c>
      <c r="O98" s="645">
        <f t="shared" si="28"/>
        <v>0.30599999999999999</v>
      </c>
      <c r="P98" s="727">
        <v>90</v>
      </c>
      <c r="Q98" s="596">
        <v>97.54</v>
      </c>
      <c r="R98" s="1211">
        <v>3372</v>
      </c>
      <c r="S98" s="802">
        <f>IF((80+ROUNDDOWN(O98,1)*100)&lt;95,95,(80+ROUNDDOWN(O98,1)*100))</f>
        <v>110</v>
      </c>
      <c r="U98" s="1146">
        <f>_xlfn.XLOOKUP(D98,RUC!$B$3:$B$123,RUC!$F$3:$F$123)</f>
        <v>100</v>
      </c>
      <c r="V98" s="715">
        <v>1.1023000000000001</v>
      </c>
      <c r="Y98">
        <f>_xlfn.XLOOKUP(D98,RUC!$B$3:$B$123,RUC!$G$3:$G$123)</f>
        <v>0</v>
      </c>
      <c r="Z98" s="143">
        <f>_xlfn.XLOOKUP(D98,RUC!$B$3:$B$123,RUC!$H$3:$H$123)</f>
        <v>30</v>
      </c>
      <c r="AA98" s="144">
        <f t="shared" si="29"/>
        <v>30</v>
      </c>
      <c r="AB98" s="145">
        <f t="shared" si="38"/>
        <v>838.97023023999986</v>
      </c>
      <c r="AC98" s="145">
        <f>+(S98-T98)*V98-'data 1'!$F$4</f>
        <v>41.253</v>
      </c>
      <c r="AD98" s="145">
        <f t="shared" si="30"/>
        <v>88.382810828000075</v>
      </c>
      <c r="AE98" s="145">
        <f t="shared" si="31"/>
        <v>-36.930999999999997</v>
      </c>
      <c r="AF98" s="145">
        <f t="shared" si="32"/>
        <v>66.842002854560064</v>
      </c>
      <c r="AG98" s="772">
        <f>AC98+AD98+AE98+AF98+70-10</f>
        <v>219.54681368256013</v>
      </c>
      <c r="AH98" s="146">
        <f t="shared" si="33"/>
        <v>209.72126661089666</v>
      </c>
      <c r="AI98" s="146">
        <f t="shared" si="34"/>
        <v>215.01052553916</v>
      </c>
      <c r="AJ98" s="156">
        <f t="shared" si="35"/>
        <v>59.753318566500013</v>
      </c>
      <c r="AK98" s="156">
        <f t="shared" si="36"/>
        <v>182.19661148764513</v>
      </c>
      <c r="AL98" s="88"/>
      <c r="AM98" s="716">
        <f t="shared" si="37"/>
        <v>16188.769562711037</v>
      </c>
      <c r="AN98" s="716" t="str">
        <f>_xlfn.XLOOKUP(D98,RUC!$B$3:$B$578,RUC!$M$3:$M$578)</f>
        <v>Ronald Garibay</v>
      </c>
      <c r="AO98" s="1167" t="s">
        <v>2297</v>
      </c>
      <c r="AP98" t="s">
        <v>2552</v>
      </c>
      <c r="AQ98" t="s">
        <v>2553</v>
      </c>
      <c r="AS98" s="1212"/>
    </row>
    <row r="99" spans="1:45" ht="15" customHeight="1">
      <c r="A99" s="747" t="s">
        <v>2533</v>
      </c>
      <c r="B99" s="595">
        <v>45880</v>
      </c>
      <c r="C99" s="595">
        <v>45875</v>
      </c>
      <c r="D99" s="1210" t="s">
        <v>2004</v>
      </c>
      <c r="E99">
        <f>_xlfn.XLOOKUP(D99,RUC!$B$3:$B$123,RUC!$D$3:$D$123)</f>
        <v>20612921866</v>
      </c>
      <c r="G99" s="1082">
        <v>12</v>
      </c>
      <c r="H99" t="s">
        <v>69</v>
      </c>
      <c r="I99" s="703">
        <v>1.35</v>
      </c>
      <c r="J99" s="596">
        <v>1.1000000000000001</v>
      </c>
      <c r="K99" s="138">
        <f t="shared" si="26"/>
        <v>1.335</v>
      </c>
      <c r="L99" s="762">
        <v>0.96399999999999997</v>
      </c>
      <c r="M99" s="762">
        <v>0.90600000000000003</v>
      </c>
      <c r="N99" s="764">
        <v>0.90600000000000003</v>
      </c>
      <c r="O99" s="645">
        <f t="shared" si="28"/>
        <v>0.90600000000000003</v>
      </c>
      <c r="P99" s="727">
        <v>90</v>
      </c>
      <c r="Q99" s="596">
        <v>96.68</v>
      </c>
      <c r="R99" s="1211">
        <v>3372</v>
      </c>
      <c r="S99" s="802">
        <f>IF((80+ROUNDDOWN(O99,1)*100)&lt;95,95,(80+ROUNDDOWN(O99,1)*100))</f>
        <v>170</v>
      </c>
      <c r="U99" s="1146">
        <f>_xlfn.XLOOKUP(D99,RUC!$B$3:$B$123,RUC!$F$3:$F$123)</f>
        <v>100</v>
      </c>
      <c r="V99" s="715">
        <v>1.1023000000000001</v>
      </c>
      <c r="Y99">
        <f>_xlfn.XLOOKUP(D99,RUC!$B$3:$B$123,RUC!$G$3:$G$123)</f>
        <v>0</v>
      </c>
      <c r="Z99" s="143">
        <f>_xlfn.XLOOKUP(D99,RUC!$B$3:$B$123,RUC!$H$3:$H$123)</f>
        <v>30</v>
      </c>
      <c r="AA99" s="144">
        <f t="shared" si="29"/>
        <v>30</v>
      </c>
      <c r="AB99" s="145">
        <f t="shared" si="38"/>
        <v>2720.4640542400002</v>
      </c>
      <c r="AC99" s="145">
        <f>+(S99-T99)*V99-'data 1'!$F$4</f>
        <v>107.39100000000002</v>
      </c>
      <c r="AD99" s="145">
        <f t="shared" si="30"/>
        <v>232.25581635712021</v>
      </c>
      <c r="AE99" s="145">
        <f t="shared" si="31"/>
        <v>-36.930999999999997</v>
      </c>
      <c r="AF99" s="145">
        <f t="shared" si="32"/>
        <v>202.24497398463984</v>
      </c>
      <c r="AG99" s="772">
        <f>AC99+AD99+AE99+AF99+70-10</f>
        <v>564.96079034176</v>
      </c>
      <c r="AH99" s="146">
        <f t="shared" si="33"/>
        <v>42.658345818804385</v>
      </c>
      <c r="AI99" s="146">
        <f t="shared" si="34"/>
        <v>44.123237297067</v>
      </c>
      <c r="AJ99" s="156">
        <f t="shared" si="35"/>
        <v>175.67485083216002</v>
      </c>
      <c r="AK99" s="156">
        <f t="shared" si="36"/>
        <v>37.321667730319952</v>
      </c>
      <c r="AL99" s="88"/>
      <c r="AM99" s="716">
        <f t="shared" si="37"/>
        <v>3631.8195124104004</v>
      </c>
      <c r="AN99" s="716" t="str">
        <f>_xlfn.XLOOKUP(D99,RUC!$B$3:$B$578,RUC!$M$3:$M$578)</f>
        <v>Ronald Garibay</v>
      </c>
      <c r="AO99" s="1167" t="s">
        <v>2281</v>
      </c>
      <c r="AP99" t="s">
        <v>2554</v>
      </c>
      <c r="AQ99" t="s">
        <v>2555</v>
      </c>
      <c r="AS99" s="1212"/>
    </row>
    <row r="100" spans="1:45" ht="15" customHeight="1">
      <c r="A100" s="747" t="s">
        <v>2534</v>
      </c>
      <c r="B100" s="595">
        <v>45880</v>
      </c>
      <c r="C100" s="595">
        <v>45875</v>
      </c>
      <c r="D100" s="1210" t="s">
        <v>2004</v>
      </c>
      <c r="E100">
        <f>_xlfn.XLOOKUP(D100,RUC!$B$3:$B$123,RUC!$D$3:$D$123)</f>
        <v>20612921866</v>
      </c>
      <c r="G100" s="1082">
        <v>17</v>
      </c>
      <c r="H100" t="s">
        <v>69</v>
      </c>
      <c r="I100" s="703">
        <v>1.8</v>
      </c>
      <c r="J100" s="596">
        <v>1.1499999999999999</v>
      </c>
      <c r="K100" s="138">
        <f t="shared" si="26"/>
        <v>1.7789999999999999</v>
      </c>
      <c r="L100" s="762">
        <v>0.21299999999999999</v>
      </c>
      <c r="M100" s="762">
        <v>0.19800000000000001</v>
      </c>
      <c r="N100" s="764">
        <v>0.19800000000000001</v>
      </c>
      <c r="O100" s="645">
        <f t="shared" si="28"/>
        <v>0.19800000000000001</v>
      </c>
      <c r="P100" s="727">
        <v>90</v>
      </c>
      <c r="Q100" s="596">
        <v>95.77</v>
      </c>
      <c r="R100" s="1211">
        <v>3372</v>
      </c>
      <c r="S100" s="802">
        <f>IF((80+ROUNDDOWN(O100,1)*100)&lt;95,95,(80+ROUNDDOWN(O100,1)*100))</f>
        <v>95</v>
      </c>
      <c r="U100" s="1146">
        <f>_xlfn.XLOOKUP(D100,RUC!$B$3:$B$123,RUC!$F$3:$F$123)</f>
        <v>100</v>
      </c>
      <c r="V100" s="715">
        <v>1.1023000000000001</v>
      </c>
      <c r="Y100">
        <f>_xlfn.XLOOKUP(D100,RUC!$B$3:$B$123,RUC!$G$3:$G$123)</f>
        <v>0</v>
      </c>
      <c r="Z100" s="143">
        <f>_xlfn.XLOOKUP(D100,RUC!$B$3:$B$123,RUC!$H$3:$H$123)</f>
        <v>30</v>
      </c>
      <c r="AA100" s="144">
        <f t="shared" si="29"/>
        <v>30</v>
      </c>
      <c r="AB100" s="145">
        <f t="shared" si="38"/>
        <v>504.93100192000009</v>
      </c>
      <c r="AC100" s="145">
        <f>+(S100-T100)*V100-'data 1'!$F$4</f>
        <v>24.718500000000006</v>
      </c>
      <c r="AD100" s="145">
        <f t="shared" si="30"/>
        <v>44.32701829655997</v>
      </c>
      <c r="AE100" s="145">
        <f t="shared" si="31"/>
        <v>-36.930999999999997</v>
      </c>
      <c r="AF100" s="145">
        <f t="shared" si="32"/>
        <v>51.81241660679995</v>
      </c>
      <c r="AG100" s="772">
        <f>AC100+AD100+AE100+AF100+70-10</f>
        <v>143.92693490335992</v>
      </c>
      <c r="AH100" s="146">
        <f t="shared" si="33"/>
        <v>12.442112051870925</v>
      </c>
      <c r="AI100" s="146">
        <f t="shared" si="34"/>
        <v>12.991659237622351</v>
      </c>
      <c r="AJ100" s="156">
        <f t="shared" si="35"/>
        <v>38.450767116329999</v>
      </c>
      <c r="AK100" s="156">
        <f t="shared" si="36"/>
        <v>10.869078291757292</v>
      </c>
      <c r="AL100" s="88"/>
      <c r="AM100" s="716">
        <f t="shared" si="37"/>
        <v>898.2722524156801</v>
      </c>
      <c r="AN100" s="716" t="str">
        <f>_xlfn.XLOOKUP(D100,RUC!$B$3:$B$578,RUC!$M$3:$M$578)</f>
        <v>Ronald Garibay</v>
      </c>
      <c r="AO100" s="1167" t="s">
        <v>2281</v>
      </c>
      <c r="AP100" t="s">
        <v>2554</v>
      </c>
      <c r="AQ100" t="s">
        <v>2555</v>
      </c>
      <c r="AS100" s="1212"/>
    </row>
    <row r="101" spans="1:45" ht="15" customHeight="1">
      <c r="A101" s="747" t="s">
        <v>2535</v>
      </c>
      <c r="B101" s="595">
        <v>45880</v>
      </c>
      <c r="C101" s="595">
        <v>45875</v>
      </c>
      <c r="D101" s="1210" t="s">
        <v>2004</v>
      </c>
      <c r="E101">
        <f>_xlfn.XLOOKUP(D101,RUC!$B$3:$B$123,RUC!$D$3:$D$123)</f>
        <v>20612921866</v>
      </c>
      <c r="G101" s="1082">
        <v>14</v>
      </c>
      <c r="H101" t="s">
        <v>69</v>
      </c>
      <c r="I101" s="703">
        <v>1.54</v>
      </c>
      <c r="J101" s="596">
        <v>1.2</v>
      </c>
      <c r="K101" s="138">
        <f t="shared" si="26"/>
        <v>1.522</v>
      </c>
      <c r="L101" s="762">
        <v>0.85199999999999998</v>
      </c>
      <c r="M101" s="762">
        <v>0.80100000000000005</v>
      </c>
      <c r="N101" s="1197">
        <v>0.92700000000000005</v>
      </c>
      <c r="O101" s="645">
        <f t="shared" si="28"/>
        <v>0.86399999999999999</v>
      </c>
      <c r="P101" s="727">
        <v>90</v>
      </c>
      <c r="Q101" s="596">
        <v>97.77</v>
      </c>
      <c r="R101" s="1211">
        <v>3372</v>
      </c>
      <c r="S101" s="802">
        <f>IF((80+ROUNDDOWN(O101,1)*100)&lt;95,95,(80+ROUNDDOWN(O101,1)*100))</f>
        <v>160</v>
      </c>
      <c r="U101" s="1146">
        <f>_xlfn.XLOOKUP(D101,RUC!$B$3:$B$123,RUC!$F$3:$F$123)</f>
        <v>100</v>
      </c>
      <c r="V101" s="715">
        <v>1.1023000000000001</v>
      </c>
      <c r="Y101">
        <f>_xlfn.XLOOKUP(D101,RUC!$B$3:$B$123,RUC!$G$3:$G$123)</f>
        <v>0</v>
      </c>
      <c r="Z101" s="143">
        <f>_xlfn.XLOOKUP(D101,RUC!$B$3:$B$123,RUC!$H$3:$H$123)</f>
        <v>30</v>
      </c>
      <c r="AA101" s="144">
        <f t="shared" si="29"/>
        <v>30</v>
      </c>
      <c r="AB101" s="145">
        <f t="shared" si="38"/>
        <v>2595.1528265600004</v>
      </c>
      <c r="AC101" s="145">
        <f>+(S101-T101)*V101-'data 1'!$F$4</f>
        <v>96.367999999999995</v>
      </c>
      <c r="AD101" s="145">
        <f t="shared" si="30"/>
        <v>238.76667741023991</v>
      </c>
      <c r="AE101" s="145">
        <f t="shared" si="31"/>
        <v>-36.930999999999997</v>
      </c>
      <c r="AF101" s="145">
        <f t="shared" si="32"/>
        <v>-42.315547429440038</v>
      </c>
      <c r="AG101" s="772">
        <f>AC101+AD101+AE101+AF101+70-10</f>
        <v>315.88812998079982</v>
      </c>
      <c r="AH101" s="146">
        <f t="shared" si="33"/>
        <v>43.467927262823544</v>
      </c>
      <c r="AI101" s="146">
        <f t="shared" si="34"/>
        <v>44.459371241509203</v>
      </c>
      <c r="AJ101" s="156">
        <f t="shared" si="35"/>
        <v>157.01499429732002</v>
      </c>
      <c r="AK101" s="156">
        <f t="shared" si="36"/>
        <v>40.577003611968962</v>
      </c>
      <c r="AL101" s="88"/>
      <c r="AM101" s="716">
        <f t="shared" si="37"/>
        <v>3949.8226020243205</v>
      </c>
      <c r="AN101" s="716" t="str">
        <f>_xlfn.XLOOKUP(D101,RUC!$B$3:$B$578,RUC!$M$3:$M$578)</f>
        <v>Ronald Garibay</v>
      </c>
      <c r="AO101" s="1167" t="s">
        <v>2297</v>
      </c>
      <c r="AP101" t="s">
        <v>2554</v>
      </c>
      <c r="AQ101" t="s">
        <v>2555</v>
      </c>
      <c r="AS101" s="1212"/>
    </row>
    <row r="102" spans="1:45" ht="15" customHeight="1">
      <c r="A102" s="747" t="s">
        <v>2536</v>
      </c>
      <c r="B102" s="595">
        <v>45881</v>
      </c>
      <c r="C102" s="595">
        <v>45875</v>
      </c>
      <c r="D102" s="1210" t="s">
        <v>2004</v>
      </c>
      <c r="E102">
        <f>_xlfn.XLOOKUP(D102,RUC!$B$3:$B$123,RUC!$D$3:$D$123)</f>
        <v>20612921866</v>
      </c>
      <c r="G102" s="1082">
        <v>58</v>
      </c>
      <c r="H102" t="s">
        <v>69</v>
      </c>
      <c r="I102" s="703">
        <v>7.3</v>
      </c>
      <c r="J102" s="596">
        <v>1.1499999999999999</v>
      </c>
      <c r="K102" s="138">
        <f t="shared" si="26"/>
        <v>7.2160000000000002</v>
      </c>
      <c r="L102" s="762">
        <v>0.35699999999999998</v>
      </c>
      <c r="M102" s="762">
        <v>0.33600000000000002</v>
      </c>
      <c r="N102" s="764">
        <v>0.33600000000000002</v>
      </c>
      <c r="O102" s="645">
        <f t="shared" si="28"/>
        <v>0.33600000000000002</v>
      </c>
      <c r="P102" s="727">
        <v>90</v>
      </c>
      <c r="Q102" s="596">
        <v>91.88</v>
      </c>
      <c r="R102" s="1211">
        <v>3372</v>
      </c>
      <c r="S102" s="1164">
        <f>IF((80+ROUNDDOWN(O102,1)*100)&lt;95,95,(80+ROUNDDOWN(O102,1)*100))</f>
        <v>110</v>
      </c>
      <c r="U102" s="1146">
        <f>_xlfn.XLOOKUP(D102,RUC!$B$3:$B$123,RUC!$F$3:$F$123)</f>
        <v>100</v>
      </c>
      <c r="V102" s="715">
        <v>1.1023000000000001</v>
      </c>
      <c r="Y102">
        <f>_xlfn.XLOOKUP(D102,RUC!$B$3:$B$123,RUC!$G$3:$G$123)</f>
        <v>0</v>
      </c>
      <c r="Z102" s="143">
        <f>_xlfn.XLOOKUP(D102,RUC!$B$3:$B$123,RUC!$H$3:$H$123)</f>
        <v>30</v>
      </c>
      <c r="AA102" s="144">
        <f t="shared" si="29"/>
        <v>30</v>
      </c>
      <c r="AB102" s="145">
        <f>+((O102*P102*(R102-U102)/100)-S102-AA102+T102)*V102</f>
        <v>936.35182144000021</v>
      </c>
      <c r="AC102" s="145">
        <f>+(S102-T102)*V102-'data 1'!$F$4</f>
        <v>41.253</v>
      </c>
      <c r="AD102" s="145">
        <f t="shared" si="30"/>
        <v>24.206899536959941</v>
      </c>
      <c r="AE102" s="145">
        <f t="shared" si="31"/>
        <v>-36.930999999999997</v>
      </c>
      <c r="AF102" s="145">
        <f t="shared" si="32"/>
        <v>69.591049106879879</v>
      </c>
      <c r="AG102" s="772">
        <f>AC102+AD102+AE102+AF102+70-10</f>
        <v>158.11994864383982</v>
      </c>
      <c r="AH102" s="146">
        <f t="shared" si="33"/>
        <v>81.151172014344354</v>
      </c>
      <c r="AI102" s="146">
        <f t="shared" si="34"/>
        <v>88.322999580261595</v>
      </c>
      <c r="AJ102" s="156">
        <f t="shared" si="35"/>
        <v>61.827988922279999</v>
      </c>
      <c r="AK102" s="156">
        <f t="shared" si="36"/>
        <v>74.814776115045134</v>
      </c>
      <c r="AL102" s="88"/>
      <c r="AM102" s="716">
        <f t="shared" si="37"/>
        <v>6756.7147435110419</v>
      </c>
      <c r="AN102" s="716" t="str">
        <f>_xlfn.XLOOKUP(D102,RUC!$B$3:$B$578,RUC!$M$3:$M$578)</f>
        <v>Ronald Garibay</v>
      </c>
      <c r="AO102" s="1167" t="s">
        <v>2279</v>
      </c>
      <c r="AP102" t="s">
        <v>2554</v>
      </c>
      <c r="AQ102" t="s">
        <v>2555</v>
      </c>
      <c r="AS102" s="1212"/>
    </row>
    <row r="103" spans="1:45" ht="15" customHeight="1">
      <c r="G103" s="1082"/>
      <c r="L103" s="762"/>
      <c r="M103" s="762"/>
      <c r="R103" s="706"/>
    </row>
    <row r="104" spans="1:45" ht="15" customHeight="1">
      <c r="G104" s="1082"/>
      <c r="L104" s="762"/>
      <c r="M104" s="762"/>
      <c r="R104" s="706"/>
    </row>
    <row r="105" spans="1:45" ht="15" customHeight="1">
      <c r="G105" s="1082"/>
      <c r="L105" s="762"/>
      <c r="M105" s="762"/>
      <c r="R105" s="706"/>
    </row>
    <row r="106" spans="1:45" ht="15" customHeight="1">
      <c r="G106" s="1082"/>
      <c r="L106" s="762"/>
      <c r="M106" s="762"/>
      <c r="R106" s="706"/>
    </row>
    <row r="107" spans="1:45" ht="15" customHeight="1">
      <c r="G107" s="1082"/>
      <c r="L107" s="762"/>
      <c r="M107" s="762"/>
      <c r="R107" s="706"/>
    </row>
    <row r="108" spans="1:45" ht="15" customHeight="1">
      <c r="G108" s="1082"/>
      <c r="L108" s="762"/>
      <c r="M108" s="762"/>
      <c r="R108" s="706"/>
    </row>
    <row r="109" spans="1:45" ht="15" customHeight="1">
      <c r="G109" s="1082"/>
      <c r="L109" s="762"/>
      <c r="M109" s="762"/>
      <c r="R109" s="706"/>
    </row>
    <row r="110" spans="1:45" ht="15" customHeight="1">
      <c r="G110" s="1082"/>
      <c r="L110" s="762"/>
      <c r="M110" s="762"/>
      <c r="R110" s="706"/>
    </row>
    <row r="111" spans="1:45" ht="15" customHeight="1">
      <c r="G111" s="1082"/>
      <c r="L111" s="762"/>
      <c r="M111" s="762"/>
      <c r="R111" s="706"/>
    </row>
    <row r="112" spans="1:45" ht="15" customHeight="1">
      <c r="G112" s="1082"/>
      <c r="L112" s="762"/>
      <c r="M112" s="762"/>
      <c r="R112" s="706"/>
    </row>
    <row r="113" spans="7:18" ht="15" customHeight="1">
      <c r="G113" s="1082"/>
      <c r="L113" s="762"/>
      <c r="M113" s="762"/>
      <c r="R113" s="706"/>
    </row>
    <row r="114" spans="7:18" ht="15" customHeight="1">
      <c r="G114" s="1082"/>
      <c r="L114" s="762"/>
      <c r="M114" s="762"/>
      <c r="R114" s="706"/>
    </row>
    <row r="115" spans="7:18" ht="15" customHeight="1">
      <c r="G115" s="1082"/>
      <c r="L115" s="762"/>
      <c r="M115" s="762"/>
      <c r="R115" s="706"/>
    </row>
    <row r="116" spans="7:18" ht="15" customHeight="1">
      <c r="G116" s="1082"/>
      <c r="L116" s="762"/>
      <c r="M116" s="762"/>
      <c r="R116" s="706"/>
    </row>
    <row r="117" spans="7:18" ht="15" customHeight="1">
      <c r="G117" s="1082"/>
      <c r="L117" s="762"/>
      <c r="M117" s="762"/>
      <c r="R117" s="706"/>
    </row>
    <row r="118" spans="7:18" ht="15" customHeight="1">
      <c r="G118" s="1082"/>
      <c r="L118" s="762"/>
      <c r="M118" s="762"/>
      <c r="R118" s="706"/>
    </row>
    <row r="119" spans="7:18" ht="15" customHeight="1">
      <c r="G119" s="1082"/>
      <c r="L119" s="762"/>
      <c r="M119" s="762"/>
      <c r="R119" s="706"/>
    </row>
    <row r="120" spans="7:18" ht="15" customHeight="1">
      <c r="G120" s="1082"/>
      <c r="L120" s="762"/>
      <c r="M120" s="762"/>
      <c r="R120" s="706"/>
    </row>
    <row r="121" spans="7:18" ht="15" customHeight="1">
      <c r="G121" s="1082"/>
      <c r="L121" s="762"/>
      <c r="M121" s="762"/>
      <c r="R121" s="706"/>
    </row>
    <row r="122" spans="7:18" ht="15" customHeight="1">
      <c r="G122" s="1082"/>
      <c r="L122" s="762"/>
      <c r="M122" s="762"/>
      <c r="R122" s="706"/>
    </row>
    <row r="123" spans="7:18" ht="15" customHeight="1">
      <c r="G123" s="1082"/>
      <c r="L123" s="762"/>
      <c r="M123" s="762"/>
      <c r="R123" s="706"/>
    </row>
    <row r="124" spans="7:18" ht="15" customHeight="1">
      <c r="G124" s="1082"/>
      <c r="L124" s="762"/>
      <c r="M124" s="762"/>
      <c r="R124" s="706"/>
    </row>
    <row r="125" spans="7:18" ht="15" customHeight="1">
      <c r="G125" s="1082"/>
      <c r="L125" s="762"/>
      <c r="M125" s="762"/>
      <c r="R125" s="706"/>
    </row>
    <row r="126" spans="7:18" ht="15" customHeight="1">
      <c r="G126" s="1082"/>
      <c r="L126" s="762"/>
      <c r="M126" s="762"/>
      <c r="R126" s="706"/>
    </row>
    <row r="127" spans="7:18" ht="15" customHeight="1">
      <c r="G127" s="1082"/>
      <c r="L127" s="762"/>
      <c r="M127" s="762"/>
      <c r="R127" s="706"/>
    </row>
    <row r="128" spans="7:18" ht="15" customHeight="1">
      <c r="G128" s="1082"/>
      <c r="L128" s="762"/>
      <c r="M128" s="762"/>
      <c r="R128" s="706"/>
    </row>
    <row r="129" spans="7:18" ht="15" customHeight="1">
      <c r="G129" s="1082"/>
      <c r="L129" s="762"/>
      <c r="M129" s="762"/>
      <c r="R129" s="706"/>
    </row>
    <row r="130" spans="7:18" ht="15" customHeight="1">
      <c r="G130" s="1082"/>
      <c r="L130" s="762"/>
      <c r="M130" s="762"/>
      <c r="R130" s="706"/>
    </row>
    <row r="131" spans="7:18" ht="15" customHeight="1">
      <c r="G131" s="1082"/>
      <c r="L131" s="762"/>
      <c r="M131" s="762"/>
      <c r="R131" s="706"/>
    </row>
    <row r="132" spans="7:18" ht="15" customHeight="1">
      <c r="G132" s="1082"/>
      <c r="L132" s="762"/>
      <c r="M132" s="762"/>
      <c r="R132" s="706"/>
    </row>
    <row r="133" spans="7:18" ht="15" customHeight="1">
      <c r="G133" s="1082"/>
      <c r="L133" s="762"/>
      <c r="M133" s="762"/>
      <c r="R133" s="706"/>
    </row>
    <row r="134" spans="7:18" ht="15" customHeight="1">
      <c r="G134" s="1082"/>
      <c r="L134" s="762"/>
      <c r="M134" s="762"/>
      <c r="R134" s="706"/>
    </row>
    <row r="135" spans="7:18" ht="15" customHeight="1">
      <c r="G135" s="1082"/>
      <c r="L135" s="762"/>
      <c r="M135" s="762"/>
      <c r="R135" s="706"/>
    </row>
    <row r="136" spans="7:18" ht="15" customHeight="1">
      <c r="G136" s="1082"/>
      <c r="L136" s="762"/>
      <c r="M136" s="762"/>
      <c r="R136" s="706"/>
    </row>
    <row r="137" spans="7:18" ht="15" customHeight="1">
      <c r="G137" s="1082"/>
      <c r="L137" s="762"/>
      <c r="M137" s="762"/>
      <c r="R137" s="706"/>
    </row>
    <row r="138" spans="7:18" ht="15" customHeight="1">
      <c r="G138" s="1082"/>
      <c r="L138" s="762"/>
      <c r="M138" s="762"/>
      <c r="R138" s="706"/>
    </row>
    <row r="139" spans="7:18" ht="15" customHeight="1">
      <c r="G139" s="1082"/>
      <c r="L139" s="762"/>
      <c r="M139" s="762"/>
      <c r="R139" s="706"/>
    </row>
    <row r="140" spans="7:18" ht="15" customHeight="1">
      <c r="G140" s="1082"/>
      <c r="L140" s="762"/>
      <c r="M140" s="762"/>
      <c r="R140" s="706"/>
    </row>
    <row r="141" spans="7:18" ht="15" customHeight="1">
      <c r="G141" s="1082"/>
      <c r="L141" s="762"/>
      <c r="M141" s="762"/>
      <c r="R141" s="706"/>
    </row>
    <row r="142" spans="7:18" ht="15" customHeight="1">
      <c r="G142" s="1082"/>
      <c r="L142" s="762"/>
      <c r="M142" s="762"/>
      <c r="R142" s="706"/>
    </row>
    <row r="143" spans="7:18" ht="15" customHeight="1">
      <c r="G143" s="1082"/>
      <c r="L143" s="762"/>
      <c r="M143" s="762"/>
      <c r="R143" s="706"/>
    </row>
    <row r="144" spans="7:18" ht="15" customHeight="1">
      <c r="G144" s="1082"/>
      <c r="L144" s="762"/>
      <c r="M144" s="762"/>
      <c r="R144" s="706"/>
    </row>
    <row r="145" spans="7:18" ht="15" customHeight="1">
      <c r="G145" s="1082"/>
      <c r="L145" s="762"/>
      <c r="M145" s="762"/>
      <c r="R145" s="706"/>
    </row>
    <row r="146" spans="7:18" ht="15" customHeight="1">
      <c r="G146" s="1082"/>
      <c r="L146" s="762"/>
      <c r="M146" s="762"/>
      <c r="R146" s="706"/>
    </row>
    <row r="147" spans="7:18" ht="15" customHeight="1">
      <c r="G147" s="1082"/>
      <c r="L147" s="762"/>
      <c r="M147" s="762"/>
      <c r="R147" s="706"/>
    </row>
    <row r="148" spans="7:18" ht="15" customHeight="1">
      <c r="G148" s="1082"/>
      <c r="L148" s="762"/>
      <c r="M148" s="762"/>
      <c r="R148" s="706"/>
    </row>
    <row r="149" spans="7:18" ht="15" customHeight="1">
      <c r="G149" s="1082"/>
      <c r="L149" s="762"/>
      <c r="M149" s="762"/>
      <c r="R149" s="706"/>
    </row>
    <row r="150" spans="7:18" ht="15" customHeight="1">
      <c r="G150" s="1082"/>
      <c r="L150" s="762"/>
      <c r="M150" s="762"/>
      <c r="R150" s="706"/>
    </row>
    <row r="151" spans="7:18" ht="15" customHeight="1">
      <c r="G151" s="1082"/>
      <c r="L151" s="762"/>
      <c r="M151" s="762"/>
      <c r="R151" s="706"/>
    </row>
    <row r="152" spans="7:18" ht="15" customHeight="1">
      <c r="G152" s="1082"/>
      <c r="L152" s="762"/>
      <c r="M152" s="762"/>
      <c r="R152" s="706"/>
    </row>
    <row r="153" spans="7:18" ht="15" customHeight="1">
      <c r="G153" s="1082"/>
      <c r="L153" s="762"/>
      <c r="M153" s="762"/>
      <c r="R153" s="706"/>
    </row>
    <row r="154" spans="7:18" ht="15" customHeight="1">
      <c r="G154" s="1082"/>
      <c r="L154" s="762"/>
      <c r="M154" s="762"/>
      <c r="R154" s="706"/>
    </row>
    <row r="155" spans="7:18" ht="15" customHeight="1">
      <c r="G155" s="1082"/>
      <c r="L155" s="762"/>
      <c r="M155" s="762"/>
      <c r="R155" s="706"/>
    </row>
    <row r="156" spans="7:18" ht="15" customHeight="1">
      <c r="G156" s="1082"/>
      <c r="L156" s="762"/>
      <c r="M156" s="762"/>
      <c r="R156" s="706"/>
    </row>
    <row r="157" spans="7:18" ht="15" customHeight="1">
      <c r="G157" s="1082"/>
      <c r="L157" s="762"/>
      <c r="M157" s="762"/>
      <c r="R157" s="706"/>
    </row>
    <row r="158" spans="7:18" ht="15" customHeight="1">
      <c r="G158" s="1082"/>
      <c r="L158" s="762"/>
      <c r="M158" s="762"/>
      <c r="R158" s="706"/>
    </row>
    <row r="159" spans="7:18" ht="15" customHeight="1">
      <c r="G159" s="1082"/>
      <c r="L159" s="762"/>
      <c r="M159" s="762"/>
      <c r="R159" s="706"/>
    </row>
    <row r="160" spans="7:18" ht="15" customHeight="1">
      <c r="G160" s="1082"/>
      <c r="L160" s="762"/>
      <c r="M160" s="762"/>
      <c r="R160" s="706"/>
    </row>
    <row r="161" spans="7:18" ht="15" customHeight="1">
      <c r="G161" s="1082"/>
      <c r="L161" s="762"/>
      <c r="M161" s="762"/>
      <c r="R161" s="706"/>
    </row>
    <row r="162" spans="7:18" ht="15" customHeight="1">
      <c r="G162" s="1082"/>
      <c r="L162" s="762"/>
      <c r="M162" s="762"/>
      <c r="R162" s="706"/>
    </row>
    <row r="163" spans="7:18" ht="15" customHeight="1">
      <c r="G163" s="1082"/>
      <c r="L163" s="762"/>
      <c r="M163" s="762"/>
      <c r="R163" s="706"/>
    </row>
    <row r="164" spans="7:18" ht="15" customHeight="1">
      <c r="G164" s="1082"/>
      <c r="L164" s="762"/>
      <c r="M164" s="762"/>
      <c r="R164" s="706"/>
    </row>
    <row r="165" spans="7:18" ht="15" customHeight="1">
      <c r="G165" s="1082"/>
      <c r="L165" s="762"/>
      <c r="M165" s="762"/>
      <c r="R165" s="706"/>
    </row>
    <row r="166" spans="7:18" ht="15" customHeight="1">
      <c r="G166" s="1082"/>
      <c r="L166" s="762"/>
      <c r="M166" s="762"/>
      <c r="R166" s="706"/>
    </row>
    <row r="167" spans="7:18" ht="15" customHeight="1">
      <c r="G167" s="1082"/>
      <c r="L167" s="762"/>
      <c r="M167" s="762"/>
      <c r="R167" s="706"/>
    </row>
    <row r="168" spans="7:18" ht="15" customHeight="1">
      <c r="G168" s="1082"/>
      <c r="L168" s="762"/>
      <c r="M168" s="762"/>
      <c r="R168" s="706"/>
    </row>
    <row r="169" spans="7:18" ht="15" customHeight="1">
      <c r="G169" s="1082"/>
      <c r="L169" s="762"/>
      <c r="M169" s="762"/>
      <c r="R169" s="706"/>
    </row>
    <row r="170" spans="7:18" ht="15" customHeight="1">
      <c r="G170" s="1082"/>
      <c r="L170" s="762"/>
      <c r="M170" s="762"/>
      <c r="R170" s="706"/>
    </row>
    <row r="171" spans="7:18" ht="15" customHeight="1">
      <c r="G171" s="1082"/>
      <c r="L171" s="762"/>
      <c r="M171" s="762"/>
      <c r="R171" s="706"/>
    </row>
    <row r="172" spans="7:18" ht="15" customHeight="1">
      <c r="G172" s="1082"/>
      <c r="L172" s="762"/>
      <c r="M172" s="762"/>
      <c r="R172" s="706"/>
    </row>
    <row r="173" spans="7:18" ht="15" customHeight="1">
      <c r="G173" s="1082"/>
      <c r="L173" s="762"/>
      <c r="M173" s="762"/>
      <c r="R173" s="706"/>
    </row>
    <row r="174" spans="7:18" ht="15" customHeight="1">
      <c r="G174" s="1082"/>
      <c r="L174" s="762"/>
      <c r="M174" s="762"/>
      <c r="R174" s="706"/>
    </row>
    <row r="175" spans="7:18" ht="15" customHeight="1">
      <c r="G175" s="1082"/>
      <c r="L175" s="762"/>
      <c r="M175" s="762"/>
      <c r="R175" s="706"/>
    </row>
    <row r="176" spans="7:18" ht="15" customHeight="1">
      <c r="G176" s="1082"/>
      <c r="L176" s="762"/>
      <c r="M176" s="762"/>
      <c r="R176" s="706"/>
    </row>
    <row r="177" spans="7:18" ht="15" customHeight="1">
      <c r="G177" s="1082"/>
      <c r="L177" s="762"/>
      <c r="M177" s="762"/>
      <c r="R177" s="706"/>
    </row>
    <row r="178" spans="7:18" ht="15" customHeight="1">
      <c r="G178" s="1082"/>
      <c r="L178" s="762"/>
      <c r="M178" s="762"/>
      <c r="R178" s="706"/>
    </row>
    <row r="179" spans="7:18" ht="15" customHeight="1">
      <c r="G179" s="1082"/>
      <c r="L179" s="762"/>
      <c r="M179" s="762"/>
      <c r="R179" s="706"/>
    </row>
    <row r="180" spans="7:18" ht="15" customHeight="1">
      <c r="G180" s="1082"/>
      <c r="L180" s="762"/>
      <c r="M180" s="762"/>
      <c r="R180" s="706"/>
    </row>
    <row r="181" spans="7:18" ht="15" customHeight="1">
      <c r="G181" s="1082"/>
      <c r="L181" s="762"/>
      <c r="M181" s="762"/>
      <c r="R181" s="706"/>
    </row>
    <row r="182" spans="7:18" ht="15" customHeight="1">
      <c r="G182" s="1082"/>
      <c r="L182" s="762"/>
      <c r="M182" s="762"/>
      <c r="R182" s="706"/>
    </row>
    <row r="183" spans="7:18" ht="15" customHeight="1">
      <c r="G183" s="1082"/>
      <c r="L183" s="762"/>
      <c r="M183" s="762"/>
      <c r="R183" s="706"/>
    </row>
    <row r="184" spans="7:18" ht="15" customHeight="1">
      <c r="G184" s="1082"/>
      <c r="L184" s="762"/>
      <c r="M184" s="762"/>
      <c r="R184" s="706"/>
    </row>
    <row r="185" spans="7:18" ht="15" customHeight="1">
      <c r="G185" s="1082"/>
      <c r="L185" s="762"/>
      <c r="M185" s="762"/>
      <c r="R185" s="706"/>
    </row>
    <row r="186" spans="7:18" ht="15" customHeight="1">
      <c r="G186" s="1082"/>
      <c r="L186" s="762"/>
      <c r="M186" s="762"/>
      <c r="R186" s="706"/>
    </row>
    <row r="187" spans="7:18" ht="15" customHeight="1">
      <c r="G187" s="1082"/>
      <c r="L187" s="762"/>
      <c r="M187" s="762"/>
      <c r="R187" s="706"/>
    </row>
    <row r="188" spans="7:18" ht="15" customHeight="1">
      <c r="G188" s="1082"/>
      <c r="L188" s="762"/>
      <c r="M188" s="762"/>
      <c r="R188" s="706"/>
    </row>
    <row r="189" spans="7:18" ht="15" customHeight="1">
      <c r="G189" s="1082"/>
      <c r="L189" s="762"/>
      <c r="M189" s="762"/>
      <c r="R189" s="706"/>
    </row>
    <row r="190" spans="7:18" ht="15" customHeight="1">
      <c r="G190" s="1082"/>
      <c r="L190" s="762"/>
      <c r="M190" s="762"/>
      <c r="R190" s="706"/>
    </row>
    <row r="191" spans="7:18" ht="15" customHeight="1">
      <c r="G191" s="1082"/>
      <c r="L191" s="762"/>
      <c r="M191" s="762"/>
      <c r="R191" s="706"/>
    </row>
    <row r="192" spans="7:18" ht="15" customHeight="1">
      <c r="G192" s="1082"/>
      <c r="L192" s="762"/>
      <c r="M192" s="762"/>
      <c r="R192" s="706"/>
    </row>
    <row r="193" spans="7:18" ht="15" customHeight="1">
      <c r="G193" s="1082"/>
      <c r="L193" s="762"/>
      <c r="M193" s="762"/>
      <c r="R193" s="706"/>
    </row>
    <row r="194" spans="7:18" ht="15" customHeight="1">
      <c r="G194" s="1082"/>
      <c r="L194" s="762"/>
      <c r="M194" s="762"/>
      <c r="R194" s="706"/>
    </row>
    <row r="195" spans="7:18" ht="15" customHeight="1">
      <c r="G195" s="1082"/>
      <c r="L195" s="762"/>
      <c r="M195" s="762"/>
      <c r="R195" s="706"/>
    </row>
    <row r="196" spans="7:18" ht="15" customHeight="1">
      <c r="G196" s="1082"/>
      <c r="L196" s="762"/>
      <c r="M196" s="762"/>
      <c r="R196" s="706"/>
    </row>
    <row r="197" spans="7:18" ht="15" customHeight="1">
      <c r="G197" s="1082"/>
      <c r="L197" s="762"/>
      <c r="M197" s="762"/>
      <c r="R197" s="706"/>
    </row>
    <row r="198" spans="7:18" ht="15" customHeight="1">
      <c r="G198" s="1082"/>
      <c r="L198" s="762"/>
      <c r="M198" s="762"/>
      <c r="R198" s="706"/>
    </row>
    <row r="199" spans="7:18" ht="15" customHeight="1">
      <c r="G199" s="1082"/>
      <c r="L199" s="762"/>
      <c r="M199" s="762"/>
      <c r="R199" s="706"/>
    </row>
    <row r="200" spans="7:18" ht="15" customHeight="1">
      <c r="G200" s="1082"/>
      <c r="L200" s="762"/>
      <c r="M200" s="762"/>
      <c r="R200" s="706"/>
    </row>
    <row r="201" spans="7:18" ht="15" customHeight="1">
      <c r="G201" s="1082"/>
      <c r="L201" s="762"/>
      <c r="M201" s="762"/>
      <c r="R201" s="706"/>
    </row>
    <row r="202" spans="7:18" ht="15" customHeight="1">
      <c r="G202" s="1082"/>
      <c r="L202" s="762"/>
      <c r="M202" s="762"/>
      <c r="R202" s="706"/>
    </row>
    <row r="203" spans="7:18" ht="15" customHeight="1">
      <c r="G203" s="1082"/>
      <c r="L203" s="762"/>
      <c r="M203" s="762"/>
      <c r="R203" s="706"/>
    </row>
    <row r="204" spans="7:18" ht="15" customHeight="1">
      <c r="G204" s="1082"/>
      <c r="L204" s="762"/>
      <c r="M204" s="762"/>
      <c r="R204" s="706"/>
    </row>
    <row r="205" spans="7:18" ht="15" customHeight="1">
      <c r="G205" s="1082"/>
      <c r="L205" s="762"/>
      <c r="M205" s="762"/>
      <c r="R205" s="706"/>
    </row>
    <row r="206" spans="7:18" ht="15" customHeight="1">
      <c r="G206" s="1082"/>
      <c r="L206" s="762"/>
      <c r="M206" s="762"/>
      <c r="R206" s="706"/>
    </row>
    <row r="207" spans="7:18" ht="15" customHeight="1">
      <c r="G207" s="1082"/>
      <c r="L207" s="762"/>
      <c r="M207" s="762"/>
      <c r="R207" s="706"/>
    </row>
    <row r="208" spans="7:18" ht="15" customHeight="1">
      <c r="G208" s="1082"/>
      <c r="L208" s="762"/>
      <c r="M208" s="762"/>
      <c r="R208" s="706"/>
    </row>
    <row r="209" spans="7:18" ht="15" customHeight="1">
      <c r="G209" s="1082"/>
      <c r="L209" s="762"/>
      <c r="M209" s="762"/>
      <c r="R209" s="706"/>
    </row>
    <row r="210" spans="7:18" ht="15" customHeight="1">
      <c r="G210" s="1082"/>
      <c r="L210" s="762"/>
      <c r="M210" s="762"/>
      <c r="R210" s="706"/>
    </row>
    <row r="211" spans="7:18" ht="15" customHeight="1">
      <c r="G211" s="1082"/>
      <c r="L211" s="762"/>
      <c r="M211" s="762"/>
      <c r="R211" s="706"/>
    </row>
    <row r="212" spans="7:18" ht="15" customHeight="1">
      <c r="G212" s="1082"/>
      <c r="L212" s="762"/>
      <c r="M212" s="762"/>
      <c r="R212" s="706"/>
    </row>
    <row r="213" spans="7:18" ht="15" customHeight="1">
      <c r="G213" s="1082"/>
      <c r="L213" s="762"/>
      <c r="M213" s="762"/>
      <c r="R213" s="706"/>
    </row>
    <row r="214" spans="7:18" ht="15" customHeight="1">
      <c r="G214" s="1082"/>
      <c r="L214" s="762"/>
      <c r="M214" s="762"/>
      <c r="R214" s="706"/>
    </row>
    <row r="215" spans="7:18" ht="15" customHeight="1">
      <c r="G215" s="1082"/>
      <c r="L215" s="762"/>
      <c r="M215" s="762"/>
      <c r="R215" s="706"/>
    </row>
    <row r="216" spans="7:18" ht="15" customHeight="1">
      <c r="G216" s="1082"/>
      <c r="L216" s="762"/>
      <c r="M216" s="762"/>
      <c r="R216" s="706"/>
    </row>
    <row r="217" spans="7:18" ht="15" customHeight="1">
      <c r="G217" s="1082"/>
      <c r="L217" s="762"/>
      <c r="M217" s="762"/>
      <c r="R217" s="706"/>
    </row>
    <row r="218" spans="7:18" ht="15" customHeight="1">
      <c r="G218" s="1082"/>
      <c r="L218" s="762"/>
      <c r="M218" s="762"/>
      <c r="R218" s="706"/>
    </row>
    <row r="219" spans="7:18" ht="15" customHeight="1">
      <c r="G219" s="1082"/>
      <c r="L219" s="762"/>
      <c r="M219" s="762"/>
      <c r="R219" s="706"/>
    </row>
    <row r="220" spans="7:18" ht="15" customHeight="1">
      <c r="G220" s="1082"/>
      <c r="L220" s="762"/>
      <c r="M220" s="762"/>
      <c r="R220" s="706"/>
    </row>
    <row r="221" spans="7:18" ht="15" customHeight="1">
      <c r="G221" s="1082"/>
      <c r="L221" s="762"/>
      <c r="M221" s="762"/>
      <c r="R221" s="706"/>
    </row>
    <row r="222" spans="7:18" ht="15" customHeight="1">
      <c r="G222" s="1082"/>
      <c r="L222" s="762"/>
      <c r="M222" s="762"/>
      <c r="R222" s="706"/>
    </row>
    <row r="223" spans="7:18" ht="15" customHeight="1">
      <c r="G223" s="1082"/>
      <c r="L223" s="762"/>
      <c r="M223" s="762"/>
      <c r="R223" s="706"/>
    </row>
    <row r="224" spans="7:18" ht="15" customHeight="1">
      <c r="G224" s="1082"/>
      <c r="L224" s="762"/>
      <c r="M224" s="762"/>
      <c r="R224" s="706"/>
    </row>
    <row r="225" spans="7:18" ht="15" customHeight="1">
      <c r="G225" s="1082"/>
      <c r="L225" s="762"/>
      <c r="M225" s="762"/>
      <c r="R225" s="706"/>
    </row>
    <row r="226" spans="7:18" ht="15" customHeight="1">
      <c r="G226" s="1082"/>
      <c r="L226" s="762"/>
      <c r="M226" s="762"/>
      <c r="R226" s="706"/>
    </row>
    <row r="227" spans="7:18" ht="15" customHeight="1">
      <c r="G227" s="1082"/>
      <c r="L227" s="762"/>
      <c r="M227" s="762"/>
      <c r="R227" s="706"/>
    </row>
    <row r="228" spans="7:18" ht="15" customHeight="1">
      <c r="G228" s="1082"/>
      <c r="L228" s="762"/>
      <c r="M228" s="762"/>
      <c r="R228" s="706"/>
    </row>
    <row r="229" spans="7:18" ht="15" customHeight="1">
      <c r="G229" s="1082"/>
      <c r="L229" s="762"/>
      <c r="M229" s="762"/>
      <c r="R229" s="706"/>
    </row>
    <row r="230" spans="7:18" ht="15" customHeight="1">
      <c r="G230" s="1082"/>
      <c r="L230" s="762"/>
      <c r="M230" s="762"/>
      <c r="R230" s="706"/>
    </row>
    <row r="231" spans="7:18" ht="15" customHeight="1">
      <c r="G231" s="1082"/>
      <c r="L231" s="762"/>
      <c r="M231" s="762"/>
      <c r="R231" s="706"/>
    </row>
    <row r="232" spans="7:18" ht="15" customHeight="1">
      <c r="G232" s="1082"/>
      <c r="L232" s="762"/>
      <c r="M232" s="762"/>
      <c r="R232" s="706"/>
    </row>
    <row r="233" spans="7:18" ht="15" customHeight="1">
      <c r="G233" s="1082"/>
      <c r="L233" s="762"/>
      <c r="M233" s="762"/>
      <c r="R233" s="706"/>
    </row>
    <row r="234" spans="7:18" ht="15" customHeight="1">
      <c r="G234" s="1082"/>
      <c r="L234" s="762"/>
      <c r="M234" s="762"/>
      <c r="R234" s="706"/>
    </row>
    <row r="235" spans="7:18" ht="15" customHeight="1">
      <c r="G235" s="1082"/>
      <c r="L235" s="762"/>
      <c r="M235" s="762"/>
      <c r="R235" s="706"/>
    </row>
    <row r="236" spans="7:18" ht="15" customHeight="1">
      <c r="G236" s="1082"/>
      <c r="L236" s="762"/>
      <c r="M236" s="762"/>
      <c r="R236" s="706"/>
    </row>
    <row r="237" spans="7:18" ht="15" customHeight="1">
      <c r="G237" s="1082"/>
      <c r="L237" s="762"/>
      <c r="M237" s="762"/>
      <c r="R237" s="706"/>
    </row>
    <row r="238" spans="7:18" ht="15" customHeight="1">
      <c r="G238" s="1082"/>
      <c r="L238" s="762"/>
      <c r="M238" s="762"/>
      <c r="R238" s="706"/>
    </row>
    <row r="239" spans="7:18" ht="15" customHeight="1">
      <c r="G239" s="1082"/>
      <c r="L239" s="762"/>
      <c r="M239" s="762"/>
      <c r="R239" s="706"/>
    </row>
    <row r="240" spans="7:18" ht="15" customHeight="1">
      <c r="G240" s="1082"/>
      <c r="L240" s="762"/>
      <c r="M240" s="762"/>
      <c r="R240" s="706"/>
    </row>
    <row r="241" spans="7:18" ht="15" customHeight="1">
      <c r="G241" s="1082"/>
      <c r="L241" s="762"/>
      <c r="M241" s="762"/>
      <c r="R241" s="706"/>
    </row>
    <row r="242" spans="7:18" ht="15" customHeight="1">
      <c r="G242" s="1082"/>
      <c r="L242" s="762"/>
      <c r="M242" s="762"/>
      <c r="R242" s="706"/>
    </row>
    <row r="243" spans="7:18" ht="15" customHeight="1">
      <c r="G243" s="1082"/>
      <c r="L243" s="762"/>
      <c r="M243" s="762"/>
      <c r="R243" s="706"/>
    </row>
    <row r="244" spans="7:18" ht="15" customHeight="1">
      <c r="G244" s="1082"/>
      <c r="L244" s="762"/>
      <c r="M244" s="762"/>
      <c r="R244" s="706"/>
    </row>
    <row r="245" spans="7:18" ht="15" customHeight="1">
      <c r="G245" s="1082"/>
      <c r="L245" s="762"/>
      <c r="M245" s="762"/>
      <c r="R245" s="706"/>
    </row>
    <row r="246" spans="7:18" ht="15" customHeight="1">
      <c r="G246" s="1082"/>
      <c r="L246" s="762"/>
      <c r="M246" s="762"/>
      <c r="R246" s="706"/>
    </row>
    <row r="247" spans="7:18" ht="15" customHeight="1">
      <c r="G247" s="1082"/>
      <c r="L247" s="762"/>
      <c r="M247" s="762"/>
      <c r="R247" s="706"/>
    </row>
    <row r="248" spans="7:18" ht="15" customHeight="1">
      <c r="G248" s="1082"/>
      <c r="L248" s="762"/>
      <c r="M248" s="762"/>
      <c r="R248" s="706"/>
    </row>
    <row r="249" spans="7:18" ht="15" customHeight="1">
      <c r="G249" s="1082"/>
      <c r="L249" s="762"/>
      <c r="M249" s="762"/>
      <c r="R249" s="706"/>
    </row>
    <row r="250" spans="7:18" ht="15" customHeight="1">
      <c r="G250" s="1082"/>
      <c r="L250" s="762"/>
      <c r="M250" s="762"/>
      <c r="R250" s="706"/>
    </row>
    <row r="251" spans="7:18" ht="15" customHeight="1">
      <c r="G251" s="1082"/>
      <c r="L251" s="762"/>
      <c r="M251" s="762"/>
      <c r="R251" s="706"/>
    </row>
    <row r="252" spans="7:18" ht="15" customHeight="1">
      <c r="G252" s="1082"/>
      <c r="L252" s="762"/>
      <c r="M252" s="762"/>
      <c r="R252" s="706"/>
    </row>
    <row r="253" spans="7:18" ht="15" customHeight="1">
      <c r="G253" s="1082"/>
      <c r="L253" s="762"/>
      <c r="M253" s="762"/>
      <c r="R253" s="706"/>
    </row>
    <row r="254" spans="7:18" ht="15" customHeight="1">
      <c r="G254" s="1082"/>
      <c r="L254" s="762"/>
      <c r="M254" s="762"/>
      <c r="R254" s="706"/>
    </row>
    <row r="255" spans="7:18" ht="15" customHeight="1">
      <c r="G255" s="1082"/>
      <c r="L255" s="762"/>
      <c r="M255" s="762"/>
      <c r="R255" s="706"/>
    </row>
    <row r="256" spans="7:18" ht="15" customHeight="1">
      <c r="G256" s="1082"/>
      <c r="L256" s="762"/>
      <c r="M256" s="762"/>
      <c r="R256" s="706"/>
    </row>
    <row r="257" spans="7:18" ht="15" customHeight="1">
      <c r="G257" s="1082"/>
      <c r="L257" s="762"/>
      <c r="M257" s="762"/>
      <c r="R257" s="706"/>
    </row>
    <row r="258" spans="7:18" ht="15" customHeight="1">
      <c r="G258" s="1082"/>
      <c r="L258" s="762"/>
      <c r="M258" s="762"/>
      <c r="R258" s="706"/>
    </row>
    <row r="259" spans="7:18" ht="15" customHeight="1">
      <c r="G259" s="1082"/>
      <c r="L259" s="762"/>
      <c r="M259" s="762"/>
      <c r="R259" s="706"/>
    </row>
    <row r="260" spans="7:18" ht="15" customHeight="1">
      <c r="G260" s="1082"/>
      <c r="L260" s="762"/>
      <c r="M260" s="762"/>
      <c r="R260" s="706"/>
    </row>
    <row r="261" spans="7:18" ht="15" customHeight="1">
      <c r="G261" s="1082"/>
      <c r="L261" s="762"/>
      <c r="M261" s="762"/>
      <c r="R261" s="706"/>
    </row>
    <row r="262" spans="7:18" ht="15" customHeight="1">
      <c r="G262" s="1082"/>
      <c r="L262" s="762"/>
      <c r="M262" s="762"/>
      <c r="R262" s="706"/>
    </row>
    <row r="263" spans="7:18" ht="15" customHeight="1">
      <c r="G263" s="1082"/>
      <c r="L263" s="762"/>
      <c r="M263" s="762"/>
      <c r="R263" s="706"/>
    </row>
    <row r="264" spans="7:18" ht="15" customHeight="1">
      <c r="G264" s="1082"/>
      <c r="L264" s="762"/>
      <c r="M264" s="762"/>
      <c r="R264" s="706"/>
    </row>
    <row r="265" spans="7:18" ht="15" customHeight="1">
      <c r="G265" s="1082"/>
      <c r="L265" s="762"/>
      <c r="M265" s="762"/>
      <c r="R265" s="706"/>
    </row>
    <row r="266" spans="7:18" ht="15" customHeight="1">
      <c r="G266" s="1082"/>
      <c r="L266" s="762"/>
      <c r="M266" s="762"/>
      <c r="R266" s="706"/>
    </row>
    <row r="267" spans="7:18" ht="15" customHeight="1">
      <c r="G267" s="1082"/>
      <c r="L267" s="762"/>
      <c r="M267" s="762"/>
      <c r="R267" s="706"/>
    </row>
    <row r="268" spans="7:18" ht="15" customHeight="1">
      <c r="G268" s="1082"/>
      <c r="L268" s="762"/>
      <c r="M268" s="762"/>
      <c r="R268" s="706"/>
    </row>
    <row r="269" spans="7:18" ht="15" customHeight="1">
      <c r="G269" s="1082"/>
      <c r="L269" s="762"/>
      <c r="M269" s="762"/>
      <c r="R269" s="706"/>
    </row>
    <row r="270" spans="7:18" ht="15" customHeight="1">
      <c r="G270" s="1082"/>
      <c r="L270" s="762"/>
      <c r="M270" s="762"/>
      <c r="R270" s="706"/>
    </row>
    <row r="271" spans="7:18" ht="15" customHeight="1">
      <c r="G271" s="1082"/>
      <c r="L271" s="762"/>
      <c r="M271" s="762"/>
      <c r="R271" s="706"/>
    </row>
    <row r="272" spans="7:18" ht="15" customHeight="1">
      <c r="G272" s="1082"/>
      <c r="L272" s="762"/>
      <c r="M272" s="762"/>
      <c r="R272" s="706"/>
    </row>
    <row r="273" spans="7:18" ht="15" customHeight="1">
      <c r="G273" s="1082"/>
      <c r="L273" s="762"/>
      <c r="M273" s="762"/>
      <c r="R273" s="706"/>
    </row>
    <row r="274" spans="7:18" ht="15" customHeight="1">
      <c r="G274" s="1082"/>
      <c r="L274" s="762"/>
      <c r="M274" s="762"/>
      <c r="R274" s="706"/>
    </row>
    <row r="275" spans="7:18" ht="15" customHeight="1">
      <c r="G275" s="1082"/>
      <c r="L275" s="762"/>
      <c r="M275" s="762"/>
      <c r="R275" s="706"/>
    </row>
    <row r="276" spans="7:18" ht="15" customHeight="1">
      <c r="G276" s="1082"/>
      <c r="L276" s="762"/>
      <c r="M276" s="762"/>
      <c r="R276" s="706"/>
    </row>
    <row r="277" spans="7:18" ht="15" customHeight="1">
      <c r="G277" s="1082"/>
      <c r="L277" s="762"/>
      <c r="M277" s="762"/>
      <c r="R277" s="706"/>
    </row>
    <row r="278" spans="7:18" ht="15" customHeight="1">
      <c r="G278" s="1082"/>
      <c r="L278" s="762"/>
      <c r="M278" s="762"/>
      <c r="R278" s="706"/>
    </row>
    <row r="279" spans="7:18" ht="15" customHeight="1">
      <c r="G279" s="1082"/>
      <c r="L279" s="762"/>
      <c r="M279" s="762"/>
      <c r="R279" s="706"/>
    </row>
    <row r="280" spans="7:18" ht="15" customHeight="1">
      <c r="G280" s="1082"/>
      <c r="L280" s="762"/>
      <c r="M280" s="762"/>
      <c r="R280" s="706"/>
    </row>
    <row r="281" spans="7:18" ht="15" customHeight="1">
      <c r="G281" s="1082"/>
      <c r="L281" s="762"/>
      <c r="M281" s="762"/>
      <c r="R281" s="706"/>
    </row>
    <row r="282" spans="7:18" ht="15" customHeight="1">
      <c r="G282" s="1082"/>
      <c r="L282" s="762"/>
      <c r="M282" s="762"/>
      <c r="R282" s="706"/>
    </row>
    <row r="283" spans="7:18" ht="15" customHeight="1">
      <c r="G283" s="1082"/>
      <c r="L283" s="762"/>
      <c r="M283" s="762"/>
      <c r="R283" s="706"/>
    </row>
    <row r="284" spans="7:18" ht="15" customHeight="1">
      <c r="G284" s="1082"/>
      <c r="L284" s="762"/>
      <c r="M284" s="762"/>
      <c r="R284" s="706"/>
    </row>
    <row r="285" spans="7:18" ht="15" customHeight="1">
      <c r="G285" s="1082"/>
      <c r="L285" s="762"/>
      <c r="M285" s="762"/>
      <c r="R285" s="706"/>
    </row>
    <row r="286" spans="7:18" ht="15" customHeight="1">
      <c r="G286" s="1082"/>
      <c r="L286" s="762"/>
      <c r="M286" s="762"/>
      <c r="R286" s="706"/>
    </row>
    <row r="287" spans="7:18" ht="15" customHeight="1">
      <c r="G287" s="1082"/>
      <c r="L287" s="762"/>
      <c r="M287" s="762"/>
      <c r="R287" s="706"/>
    </row>
    <row r="288" spans="7:18" ht="15" customHeight="1">
      <c r="G288" s="1082"/>
      <c r="L288" s="762"/>
      <c r="M288" s="762"/>
      <c r="R288" s="706"/>
    </row>
    <row r="289" spans="7:18" ht="15" customHeight="1">
      <c r="G289" s="1082"/>
      <c r="L289" s="762"/>
      <c r="M289" s="762"/>
      <c r="R289" s="706"/>
    </row>
    <row r="290" spans="7:18" ht="15" customHeight="1">
      <c r="G290" s="1082"/>
      <c r="L290" s="762"/>
      <c r="M290" s="762"/>
      <c r="R290" s="706"/>
    </row>
    <row r="291" spans="7:18" ht="15" customHeight="1">
      <c r="G291" s="1082"/>
      <c r="L291" s="762"/>
      <c r="M291" s="762"/>
      <c r="R291" s="706"/>
    </row>
    <row r="292" spans="7:18" ht="15" customHeight="1">
      <c r="G292" s="1082"/>
      <c r="L292" s="762"/>
      <c r="M292" s="762"/>
      <c r="R292" s="706"/>
    </row>
    <row r="293" spans="7:18" ht="15" customHeight="1">
      <c r="G293" s="1082"/>
      <c r="L293" s="762"/>
      <c r="M293" s="762"/>
      <c r="R293" s="706"/>
    </row>
    <row r="294" spans="7:18" ht="15" customHeight="1">
      <c r="G294" s="1082"/>
      <c r="L294" s="762"/>
      <c r="M294" s="762"/>
      <c r="R294" s="706"/>
    </row>
    <row r="295" spans="7:18" ht="15" customHeight="1">
      <c r="G295" s="1082"/>
      <c r="L295" s="762"/>
      <c r="M295" s="762"/>
      <c r="R295" s="706"/>
    </row>
    <row r="296" spans="7:18" ht="15" customHeight="1">
      <c r="G296" s="1082"/>
      <c r="L296" s="762"/>
      <c r="M296" s="762"/>
      <c r="R296" s="706"/>
    </row>
    <row r="297" spans="7:18" ht="15" customHeight="1">
      <c r="G297" s="1082"/>
      <c r="L297" s="762"/>
      <c r="M297" s="762"/>
      <c r="R297" s="706"/>
    </row>
    <row r="298" spans="7:18" ht="15" customHeight="1">
      <c r="G298" s="1082"/>
      <c r="L298" s="762"/>
      <c r="M298" s="762"/>
      <c r="R298" s="706"/>
    </row>
    <row r="299" spans="7:18" ht="15" customHeight="1">
      <c r="G299" s="1082"/>
      <c r="L299" s="762"/>
      <c r="M299" s="762"/>
      <c r="R299" s="706"/>
    </row>
    <row r="300" spans="7:18" ht="15" customHeight="1">
      <c r="G300" s="1082"/>
      <c r="L300" s="762"/>
      <c r="M300" s="762"/>
      <c r="R300" s="706"/>
    </row>
    <row r="301" spans="7:18" ht="15" customHeight="1">
      <c r="G301" s="1082"/>
      <c r="L301" s="762"/>
      <c r="M301" s="762"/>
      <c r="R301" s="706"/>
    </row>
    <row r="302" spans="7:18" ht="15" customHeight="1">
      <c r="G302" s="1082"/>
      <c r="L302" s="762"/>
      <c r="M302" s="762"/>
      <c r="R302" s="706"/>
    </row>
    <row r="303" spans="7:18" ht="15" customHeight="1">
      <c r="G303" s="1082"/>
      <c r="L303" s="762"/>
      <c r="M303" s="762"/>
      <c r="R303" s="706"/>
    </row>
    <row r="304" spans="7:18" ht="15" customHeight="1">
      <c r="G304" s="1082"/>
      <c r="L304" s="762"/>
      <c r="M304" s="762"/>
      <c r="R304" s="706"/>
    </row>
    <row r="305" spans="7:18" ht="15" customHeight="1">
      <c r="G305" s="1082"/>
      <c r="L305" s="762"/>
      <c r="M305" s="762"/>
      <c r="R305" s="706"/>
    </row>
    <row r="306" spans="7:18" ht="15" customHeight="1">
      <c r="G306" s="1082"/>
      <c r="L306" s="762"/>
      <c r="M306" s="762"/>
      <c r="R306" s="706"/>
    </row>
    <row r="307" spans="7:18" ht="15" customHeight="1">
      <c r="G307" s="1082"/>
      <c r="L307" s="762"/>
      <c r="M307" s="762"/>
      <c r="R307" s="706"/>
    </row>
    <row r="308" spans="7:18" ht="15" customHeight="1">
      <c r="G308" s="1082"/>
      <c r="L308" s="762"/>
      <c r="M308" s="762"/>
      <c r="R308" s="706"/>
    </row>
    <row r="309" spans="7:18" ht="15" customHeight="1">
      <c r="G309" s="1082"/>
      <c r="L309" s="762"/>
      <c r="M309" s="762"/>
      <c r="R309" s="706"/>
    </row>
    <row r="310" spans="7:18" ht="15" customHeight="1">
      <c r="G310" s="1082"/>
      <c r="L310" s="762"/>
      <c r="M310" s="762"/>
      <c r="R310" s="706"/>
    </row>
    <row r="311" spans="7:18" ht="15" customHeight="1">
      <c r="G311" s="1082"/>
      <c r="L311" s="762"/>
      <c r="M311" s="762"/>
      <c r="R311" s="706"/>
    </row>
    <row r="312" spans="7:18" ht="15" customHeight="1">
      <c r="G312" s="1082"/>
      <c r="L312" s="762"/>
      <c r="M312" s="762"/>
      <c r="R312" s="706"/>
    </row>
    <row r="313" spans="7:18" ht="15" customHeight="1">
      <c r="G313" s="1082"/>
      <c r="L313" s="762"/>
      <c r="M313" s="762"/>
      <c r="R313" s="706"/>
    </row>
    <row r="314" spans="7:18" ht="15" customHeight="1">
      <c r="G314" s="1082"/>
      <c r="L314" s="762"/>
      <c r="M314" s="762"/>
      <c r="R314" s="706"/>
    </row>
    <row r="315" spans="7:18" ht="15" customHeight="1">
      <c r="G315" s="1082"/>
      <c r="L315" s="762"/>
      <c r="M315" s="762"/>
      <c r="R315" s="706"/>
    </row>
    <row r="316" spans="7:18" ht="15" customHeight="1">
      <c r="G316" s="1082"/>
      <c r="L316" s="762"/>
      <c r="M316" s="762"/>
      <c r="R316" s="706"/>
    </row>
    <row r="317" spans="7:18" ht="15" customHeight="1">
      <c r="G317" s="1082"/>
      <c r="L317" s="762"/>
      <c r="M317" s="762"/>
      <c r="R317" s="706"/>
    </row>
    <row r="318" spans="7:18" ht="15" customHeight="1">
      <c r="G318" s="1082"/>
      <c r="L318" s="762"/>
      <c r="M318" s="762"/>
      <c r="R318" s="706"/>
    </row>
    <row r="319" spans="7:18" ht="15" customHeight="1">
      <c r="G319" s="1082"/>
      <c r="L319" s="762"/>
      <c r="M319" s="762"/>
      <c r="R319" s="706"/>
    </row>
    <row r="320" spans="7:18" ht="15" customHeight="1">
      <c r="G320" s="1082"/>
      <c r="L320" s="762"/>
      <c r="M320" s="762"/>
      <c r="R320" s="706"/>
    </row>
    <row r="321" spans="7:18" ht="15" customHeight="1">
      <c r="G321" s="1082"/>
      <c r="L321" s="762"/>
      <c r="M321" s="762"/>
      <c r="R321" s="706"/>
    </row>
    <row r="322" spans="7:18" ht="15" customHeight="1">
      <c r="G322" s="1082"/>
      <c r="L322" s="762"/>
      <c r="M322" s="762"/>
      <c r="R322" s="706"/>
    </row>
    <row r="323" spans="7:18" ht="15" customHeight="1">
      <c r="G323" s="1082"/>
      <c r="L323" s="762"/>
      <c r="M323" s="762"/>
      <c r="R323" s="706"/>
    </row>
    <row r="324" spans="7:18" ht="15" customHeight="1">
      <c r="G324" s="1082"/>
      <c r="L324" s="762"/>
      <c r="M324" s="762"/>
      <c r="R324" s="706"/>
    </row>
    <row r="325" spans="7:18" ht="15" customHeight="1">
      <c r="G325" s="1082"/>
      <c r="L325" s="762"/>
      <c r="M325" s="762"/>
      <c r="R325" s="706"/>
    </row>
    <row r="326" spans="7:18" ht="15" customHeight="1">
      <c r="G326" s="1082"/>
      <c r="L326" s="762"/>
      <c r="M326" s="762"/>
      <c r="R326" s="706"/>
    </row>
    <row r="327" spans="7:18" ht="15" customHeight="1">
      <c r="G327" s="1082"/>
      <c r="L327" s="762"/>
      <c r="M327" s="762"/>
      <c r="R327" s="706"/>
    </row>
    <row r="328" spans="7:18" ht="15" customHeight="1">
      <c r="G328" s="1082"/>
      <c r="L328" s="762"/>
      <c r="M328" s="762"/>
      <c r="R328" s="706"/>
    </row>
    <row r="329" spans="7:18" ht="15" customHeight="1">
      <c r="G329" s="1082"/>
      <c r="L329" s="762"/>
      <c r="M329" s="762"/>
      <c r="R329" s="706"/>
    </row>
    <row r="330" spans="7:18" ht="15" customHeight="1">
      <c r="G330" s="1082"/>
      <c r="L330" s="762"/>
      <c r="M330" s="762"/>
      <c r="R330" s="706"/>
    </row>
    <row r="331" spans="7:18" ht="15" customHeight="1">
      <c r="G331" s="1082"/>
      <c r="L331" s="762"/>
      <c r="M331" s="762"/>
      <c r="R331" s="706"/>
    </row>
    <row r="332" spans="7:18" ht="15" customHeight="1">
      <c r="G332" s="1082"/>
      <c r="L332" s="762"/>
      <c r="M332" s="762"/>
      <c r="R332" s="706"/>
    </row>
    <row r="333" spans="7:18" ht="15" customHeight="1">
      <c r="G333" s="1082"/>
      <c r="L333" s="762"/>
      <c r="M333" s="762"/>
      <c r="R333" s="706"/>
    </row>
    <row r="334" spans="7:18" ht="15" customHeight="1">
      <c r="G334" s="1082"/>
      <c r="L334" s="762"/>
      <c r="M334" s="762"/>
      <c r="R334" s="706"/>
    </row>
    <row r="335" spans="7:18" ht="15" customHeight="1">
      <c r="G335" s="1082"/>
      <c r="L335" s="762"/>
      <c r="M335" s="762"/>
      <c r="R335" s="706"/>
    </row>
    <row r="336" spans="7:18" ht="15" customHeight="1">
      <c r="G336" s="1082"/>
      <c r="L336" s="762"/>
      <c r="M336" s="762"/>
      <c r="R336" s="706"/>
    </row>
    <row r="337" spans="7:18" ht="15" customHeight="1">
      <c r="G337" s="1082"/>
      <c r="L337" s="762"/>
      <c r="M337" s="762"/>
      <c r="R337" s="706"/>
    </row>
    <row r="338" spans="7:18" ht="15" customHeight="1">
      <c r="G338" s="1082"/>
      <c r="L338" s="762"/>
      <c r="M338" s="762"/>
      <c r="R338" s="706"/>
    </row>
    <row r="339" spans="7:18" ht="15" customHeight="1">
      <c r="G339" s="1082"/>
      <c r="L339" s="762"/>
      <c r="M339" s="762"/>
      <c r="R339" s="706"/>
    </row>
    <row r="340" spans="7:18" ht="15" customHeight="1">
      <c r="G340" s="1082"/>
      <c r="L340" s="762"/>
      <c r="M340" s="762"/>
      <c r="R340" s="706"/>
    </row>
    <row r="341" spans="7:18" ht="15" customHeight="1">
      <c r="G341" s="1082"/>
      <c r="L341" s="762"/>
      <c r="M341" s="762"/>
      <c r="R341" s="706"/>
    </row>
    <row r="342" spans="7:18" ht="15" customHeight="1">
      <c r="G342" s="1082"/>
      <c r="L342" s="762"/>
      <c r="M342" s="762"/>
      <c r="R342" s="706"/>
    </row>
    <row r="343" spans="7:18" ht="15" customHeight="1">
      <c r="G343" s="1082"/>
      <c r="L343" s="762"/>
      <c r="M343" s="762"/>
      <c r="R343" s="706"/>
    </row>
    <row r="344" spans="7:18" ht="15" customHeight="1">
      <c r="G344" s="1082"/>
      <c r="L344" s="762"/>
      <c r="M344" s="762"/>
      <c r="R344" s="706"/>
    </row>
    <row r="345" spans="7:18" ht="15" customHeight="1">
      <c r="G345" s="1082"/>
      <c r="L345" s="762"/>
      <c r="M345" s="762"/>
      <c r="R345" s="706"/>
    </row>
    <row r="346" spans="7:18" ht="15" customHeight="1">
      <c r="G346" s="1082"/>
      <c r="L346" s="762"/>
      <c r="M346" s="762"/>
      <c r="R346" s="706"/>
    </row>
    <row r="347" spans="7:18" ht="15" customHeight="1">
      <c r="G347" s="1082"/>
      <c r="L347" s="762"/>
      <c r="M347" s="762"/>
      <c r="R347" s="706"/>
    </row>
    <row r="348" spans="7:18" ht="15" customHeight="1">
      <c r="G348" s="1082"/>
      <c r="L348" s="762"/>
      <c r="M348" s="762"/>
      <c r="R348" s="706"/>
    </row>
    <row r="349" spans="7:18" ht="15" customHeight="1">
      <c r="G349" s="1082"/>
      <c r="L349" s="762"/>
      <c r="M349" s="762"/>
      <c r="R349" s="706"/>
    </row>
    <row r="350" spans="7:18" ht="15" customHeight="1">
      <c r="G350" s="1082"/>
      <c r="L350" s="762"/>
      <c r="M350" s="762"/>
      <c r="R350" s="706"/>
    </row>
    <row r="351" spans="7:18" ht="15" customHeight="1">
      <c r="G351" s="1082"/>
      <c r="L351" s="762"/>
      <c r="M351" s="762"/>
      <c r="R351" s="706"/>
    </row>
    <row r="352" spans="7:18" ht="15" customHeight="1">
      <c r="G352" s="1082"/>
      <c r="L352" s="762"/>
      <c r="M352" s="762"/>
      <c r="R352" s="706"/>
    </row>
    <row r="353" spans="7:18" ht="15" customHeight="1">
      <c r="G353" s="1082"/>
      <c r="L353" s="762"/>
      <c r="M353" s="762"/>
      <c r="R353" s="706"/>
    </row>
    <row r="354" spans="7:18" ht="15" customHeight="1">
      <c r="G354" s="1082"/>
      <c r="L354" s="762"/>
      <c r="M354" s="762"/>
      <c r="R354" s="706"/>
    </row>
    <row r="355" spans="7:18" ht="15" customHeight="1">
      <c r="G355" s="1082"/>
      <c r="L355" s="762"/>
      <c r="M355" s="762"/>
      <c r="R355" s="706"/>
    </row>
    <row r="356" spans="7:18" ht="15" customHeight="1">
      <c r="G356" s="1082"/>
      <c r="L356" s="762"/>
      <c r="M356" s="762"/>
      <c r="R356" s="706"/>
    </row>
    <row r="357" spans="7:18" ht="15" customHeight="1">
      <c r="G357" s="1082"/>
      <c r="L357" s="762"/>
      <c r="M357" s="762"/>
      <c r="R357" s="706"/>
    </row>
    <row r="358" spans="7:18" ht="15" customHeight="1">
      <c r="G358" s="1082"/>
      <c r="L358" s="762"/>
      <c r="M358" s="762"/>
      <c r="R358" s="706"/>
    </row>
    <row r="359" spans="7:18" ht="15" customHeight="1">
      <c r="G359" s="1082"/>
      <c r="L359" s="762"/>
      <c r="M359" s="762"/>
      <c r="R359" s="706"/>
    </row>
    <row r="360" spans="7:18" ht="15" customHeight="1">
      <c r="G360" s="1082"/>
      <c r="L360" s="762"/>
      <c r="M360" s="762"/>
      <c r="R360" s="706"/>
    </row>
    <row r="361" spans="7:18" ht="15" customHeight="1">
      <c r="G361" s="1082"/>
      <c r="L361" s="762"/>
      <c r="M361" s="762"/>
      <c r="R361" s="706"/>
    </row>
    <row r="362" spans="7:18" ht="15" customHeight="1">
      <c r="G362" s="1082"/>
      <c r="L362" s="762"/>
      <c r="M362" s="762"/>
      <c r="R362" s="706"/>
    </row>
    <row r="363" spans="7:18" ht="15" customHeight="1">
      <c r="G363" s="1082"/>
      <c r="L363" s="762"/>
      <c r="M363" s="762"/>
      <c r="R363" s="706"/>
    </row>
    <row r="364" spans="7:18" ht="15" customHeight="1">
      <c r="G364" s="1082"/>
      <c r="L364" s="762"/>
      <c r="M364" s="762"/>
      <c r="R364" s="706"/>
    </row>
    <row r="365" spans="7:18" ht="15" customHeight="1">
      <c r="G365" s="1082"/>
      <c r="L365" s="762"/>
      <c r="M365" s="762"/>
      <c r="R365" s="706"/>
    </row>
    <row r="366" spans="7:18" ht="15" customHeight="1">
      <c r="G366" s="1082"/>
      <c r="L366" s="762"/>
      <c r="M366" s="762"/>
      <c r="R366" s="706"/>
    </row>
    <row r="367" spans="7:18" ht="15" customHeight="1">
      <c r="G367" s="1082"/>
      <c r="L367" s="762"/>
      <c r="M367" s="762"/>
      <c r="R367" s="706"/>
    </row>
    <row r="368" spans="7:18" ht="15" customHeight="1">
      <c r="G368" s="1082"/>
      <c r="L368" s="762"/>
      <c r="M368" s="762"/>
      <c r="R368" s="706"/>
    </row>
    <row r="369" spans="7:18" ht="15" customHeight="1">
      <c r="G369" s="1082"/>
      <c r="L369" s="762"/>
      <c r="M369" s="762"/>
      <c r="R369" s="706"/>
    </row>
    <row r="370" spans="7:18" ht="15" customHeight="1">
      <c r="G370" s="1082"/>
      <c r="L370" s="762"/>
      <c r="M370" s="762"/>
      <c r="R370" s="706"/>
    </row>
    <row r="371" spans="7:18" ht="15" customHeight="1">
      <c r="G371" s="1082"/>
      <c r="L371" s="762"/>
      <c r="M371" s="762"/>
      <c r="R371" s="706"/>
    </row>
    <row r="372" spans="7:18" ht="15" customHeight="1">
      <c r="G372" s="1082"/>
      <c r="L372" s="762"/>
      <c r="M372" s="762"/>
      <c r="R372" s="706"/>
    </row>
    <row r="373" spans="7:18" ht="15" customHeight="1">
      <c r="G373" s="1082"/>
      <c r="L373" s="762"/>
      <c r="M373" s="762"/>
      <c r="R373" s="706"/>
    </row>
    <row r="374" spans="7:18" ht="15" customHeight="1">
      <c r="G374" s="1082"/>
      <c r="L374" s="762"/>
      <c r="M374" s="762"/>
      <c r="R374" s="706"/>
    </row>
    <row r="375" spans="7:18" ht="15" customHeight="1">
      <c r="G375" s="1082"/>
      <c r="L375" s="762"/>
      <c r="M375" s="762"/>
      <c r="R375" s="706"/>
    </row>
    <row r="376" spans="7:18" ht="15" customHeight="1">
      <c r="G376" s="1082"/>
      <c r="L376" s="762"/>
      <c r="M376" s="762"/>
      <c r="R376" s="706"/>
    </row>
    <row r="377" spans="7:18" ht="15" customHeight="1">
      <c r="G377" s="1082"/>
      <c r="L377" s="762"/>
      <c r="M377" s="762"/>
      <c r="R377" s="706"/>
    </row>
    <row r="378" spans="7:18" ht="15" customHeight="1">
      <c r="G378" s="1082"/>
      <c r="L378" s="762"/>
      <c r="M378" s="762"/>
      <c r="R378" s="706"/>
    </row>
    <row r="379" spans="7:18" ht="15" customHeight="1">
      <c r="G379" s="1082"/>
      <c r="L379" s="762"/>
      <c r="M379" s="762"/>
      <c r="R379" s="706"/>
    </row>
    <row r="380" spans="7:18" ht="15" customHeight="1">
      <c r="G380" s="1082"/>
      <c r="L380" s="762"/>
      <c r="M380" s="762"/>
      <c r="R380" s="706"/>
    </row>
    <row r="381" spans="7:18" ht="15" customHeight="1">
      <c r="G381" s="1082"/>
      <c r="L381" s="762"/>
      <c r="M381" s="762"/>
      <c r="R381" s="706"/>
    </row>
    <row r="382" spans="7:18" ht="15" customHeight="1">
      <c r="G382" s="1082"/>
      <c r="L382" s="762"/>
      <c r="M382" s="762"/>
      <c r="R382" s="706"/>
    </row>
    <row r="383" spans="7:18" ht="15" customHeight="1">
      <c r="G383" s="1082"/>
      <c r="L383" s="762"/>
      <c r="M383" s="762"/>
      <c r="R383" s="706"/>
    </row>
    <row r="384" spans="7:18" ht="15" customHeight="1">
      <c r="G384" s="1082"/>
      <c r="L384" s="762"/>
      <c r="M384" s="762"/>
      <c r="R384" s="706"/>
    </row>
    <row r="385" spans="7:18" ht="15" customHeight="1">
      <c r="G385" s="1082"/>
      <c r="L385" s="762"/>
      <c r="M385" s="762"/>
      <c r="R385" s="706"/>
    </row>
    <row r="386" spans="7:18" ht="15" customHeight="1">
      <c r="G386" s="1082"/>
      <c r="L386" s="762"/>
      <c r="M386" s="762"/>
      <c r="R386" s="706"/>
    </row>
    <row r="387" spans="7:18" ht="15" customHeight="1">
      <c r="G387" s="1082"/>
      <c r="L387" s="762"/>
      <c r="M387" s="762"/>
      <c r="R387" s="706"/>
    </row>
    <row r="388" spans="7:18" ht="15" customHeight="1">
      <c r="G388" s="1082"/>
      <c r="L388" s="762"/>
      <c r="M388" s="762"/>
      <c r="R388" s="706"/>
    </row>
    <row r="389" spans="7:18" ht="15" customHeight="1">
      <c r="G389" s="1082"/>
      <c r="L389" s="762"/>
      <c r="M389" s="762"/>
      <c r="R389" s="706"/>
    </row>
    <row r="390" spans="7:18" ht="15" customHeight="1">
      <c r="G390" s="1082"/>
      <c r="L390" s="762"/>
      <c r="M390" s="762"/>
      <c r="R390" s="706"/>
    </row>
    <row r="391" spans="7:18" ht="15" customHeight="1">
      <c r="G391" s="1082"/>
      <c r="L391" s="762"/>
      <c r="M391" s="762"/>
      <c r="R391" s="706"/>
    </row>
    <row r="392" spans="7:18" ht="15" customHeight="1">
      <c r="G392" s="1082"/>
      <c r="L392" s="762"/>
      <c r="M392" s="762"/>
      <c r="R392" s="706"/>
    </row>
    <row r="393" spans="7:18" ht="15" customHeight="1">
      <c r="G393" s="1082"/>
      <c r="L393" s="762"/>
      <c r="M393" s="762"/>
      <c r="R393" s="706"/>
    </row>
    <row r="394" spans="7:18" ht="15" customHeight="1">
      <c r="G394" s="1082"/>
      <c r="L394" s="762"/>
      <c r="M394" s="762"/>
      <c r="R394" s="706"/>
    </row>
    <row r="395" spans="7:18" ht="15" customHeight="1">
      <c r="G395" s="1082"/>
      <c r="L395" s="762"/>
      <c r="M395" s="762"/>
      <c r="R395" s="706"/>
    </row>
    <row r="396" spans="7:18" ht="15" customHeight="1">
      <c r="G396" s="1082"/>
      <c r="L396" s="762"/>
      <c r="M396" s="762"/>
      <c r="R396" s="706"/>
    </row>
    <row r="397" spans="7:18" ht="15" customHeight="1">
      <c r="G397" s="1082"/>
      <c r="L397" s="762"/>
      <c r="M397" s="762"/>
      <c r="R397" s="706"/>
    </row>
    <row r="398" spans="7:18" ht="15" customHeight="1">
      <c r="G398" s="1082"/>
      <c r="L398" s="762"/>
      <c r="M398" s="762"/>
      <c r="R398" s="706"/>
    </row>
    <row r="399" spans="7:18" ht="15" customHeight="1">
      <c r="G399" s="1082"/>
      <c r="L399" s="762"/>
      <c r="M399" s="762"/>
      <c r="R399" s="706"/>
    </row>
    <row r="400" spans="7:18" ht="15" customHeight="1">
      <c r="G400" s="1082"/>
      <c r="L400" s="762"/>
      <c r="M400" s="762"/>
      <c r="R400" s="706"/>
    </row>
    <row r="401" spans="7:18" ht="15" customHeight="1">
      <c r="G401" s="1082"/>
      <c r="L401" s="762"/>
      <c r="M401" s="762"/>
      <c r="R401" s="706"/>
    </row>
    <row r="402" spans="7:18" ht="15" customHeight="1">
      <c r="G402" s="1082"/>
      <c r="L402" s="762"/>
      <c r="M402" s="762"/>
      <c r="R402" s="706"/>
    </row>
    <row r="403" spans="7:18" ht="15" customHeight="1">
      <c r="G403" s="1082"/>
      <c r="L403" s="762"/>
      <c r="M403" s="762"/>
      <c r="R403" s="706"/>
    </row>
    <row r="404" spans="7:18" ht="15" customHeight="1">
      <c r="G404" s="1082"/>
      <c r="L404" s="762"/>
      <c r="M404" s="762"/>
      <c r="R404" s="706"/>
    </row>
    <row r="405" spans="7:18" ht="15" customHeight="1">
      <c r="G405" s="1082"/>
      <c r="L405" s="762"/>
      <c r="M405" s="762"/>
      <c r="R405" s="706"/>
    </row>
    <row r="406" spans="7:18" ht="15" customHeight="1">
      <c r="G406" s="1082"/>
      <c r="L406" s="762"/>
      <c r="M406" s="762"/>
      <c r="R406" s="706"/>
    </row>
    <row r="407" spans="7:18" ht="15" customHeight="1">
      <c r="G407" s="1082"/>
      <c r="L407" s="762"/>
      <c r="M407" s="762"/>
      <c r="R407" s="706"/>
    </row>
    <row r="408" spans="7:18" ht="15" customHeight="1">
      <c r="G408" s="1082"/>
      <c r="L408" s="762"/>
      <c r="M408" s="762"/>
      <c r="R408" s="706"/>
    </row>
    <row r="409" spans="7:18" ht="15" customHeight="1">
      <c r="G409" s="1082"/>
      <c r="L409" s="762"/>
      <c r="M409" s="762"/>
      <c r="R409" s="706"/>
    </row>
    <row r="410" spans="7:18" ht="15" customHeight="1">
      <c r="G410" s="1082"/>
      <c r="L410" s="762"/>
      <c r="M410" s="762"/>
      <c r="R410" s="706"/>
    </row>
    <row r="411" spans="7:18" ht="15" customHeight="1">
      <c r="G411" s="1082"/>
      <c r="L411" s="762"/>
      <c r="M411" s="762"/>
      <c r="R411" s="706"/>
    </row>
    <row r="412" spans="7:18" ht="15" customHeight="1">
      <c r="G412" s="1082"/>
      <c r="L412" s="762"/>
      <c r="M412" s="762"/>
      <c r="R412" s="706"/>
    </row>
    <row r="413" spans="7:18" ht="15" customHeight="1">
      <c r="G413" s="1082"/>
      <c r="L413" s="762"/>
      <c r="M413" s="762"/>
      <c r="R413" s="706"/>
    </row>
    <row r="414" spans="7:18" ht="15" customHeight="1">
      <c r="G414" s="1082"/>
      <c r="L414" s="762"/>
      <c r="M414" s="762"/>
      <c r="R414" s="706"/>
    </row>
    <row r="415" spans="7:18" ht="15" customHeight="1">
      <c r="G415" s="1082"/>
      <c r="L415" s="762"/>
      <c r="M415" s="762"/>
      <c r="R415" s="706"/>
    </row>
    <row r="416" spans="7:18" ht="15" customHeight="1">
      <c r="G416" s="1082"/>
      <c r="L416" s="762"/>
      <c r="M416" s="762"/>
      <c r="R416" s="706"/>
    </row>
    <row r="417" spans="7:18" ht="15" customHeight="1">
      <c r="G417" s="1082"/>
      <c r="L417" s="762"/>
      <c r="M417" s="762"/>
      <c r="R417" s="706"/>
    </row>
    <row r="418" spans="7:18" ht="15" customHeight="1">
      <c r="G418" s="1082"/>
      <c r="L418" s="762"/>
      <c r="M418" s="762"/>
      <c r="R418" s="706"/>
    </row>
    <row r="419" spans="7:18" ht="15" customHeight="1">
      <c r="G419" s="1082"/>
      <c r="L419" s="762"/>
      <c r="M419" s="762"/>
      <c r="R419" s="706"/>
    </row>
    <row r="420" spans="7:18" ht="15" customHeight="1">
      <c r="G420" s="1082"/>
      <c r="L420" s="762"/>
      <c r="M420" s="762"/>
      <c r="R420" s="706"/>
    </row>
    <row r="421" spans="7:18" ht="15" customHeight="1">
      <c r="G421" s="1082"/>
      <c r="L421" s="762"/>
      <c r="M421" s="762"/>
      <c r="R421" s="706"/>
    </row>
    <row r="422" spans="7:18" ht="15" customHeight="1">
      <c r="G422" s="1082"/>
      <c r="L422" s="762"/>
      <c r="M422" s="762"/>
      <c r="R422" s="706"/>
    </row>
    <row r="423" spans="7:18" ht="15" customHeight="1">
      <c r="G423" s="1082"/>
      <c r="L423" s="762"/>
      <c r="M423" s="762"/>
      <c r="R423" s="706"/>
    </row>
    <row r="424" spans="7:18" ht="15" customHeight="1">
      <c r="G424" s="1082"/>
      <c r="L424" s="762"/>
      <c r="M424" s="762"/>
      <c r="R424" s="706"/>
    </row>
    <row r="425" spans="7:18" ht="15" customHeight="1">
      <c r="G425" s="1082"/>
      <c r="L425" s="762"/>
      <c r="M425" s="762"/>
      <c r="R425" s="706"/>
    </row>
    <row r="426" spans="7:18" ht="15" customHeight="1">
      <c r="G426" s="1082"/>
      <c r="L426" s="762"/>
      <c r="M426" s="762"/>
      <c r="R426" s="706"/>
    </row>
    <row r="427" spans="7:18" ht="15" customHeight="1">
      <c r="G427" s="1082"/>
      <c r="L427" s="762"/>
      <c r="M427" s="762"/>
      <c r="R427" s="706"/>
    </row>
    <row r="428" spans="7:18" ht="15" customHeight="1">
      <c r="G428" s="1082"/>
      <c r="L428" s="762"/>
      <c r="M428" s="762"/>
      <c r="R428" s="706"/>
    </row>
    <row r="429" spans="7:18" ht="15" customHeight="1">
      <c r="G429" s="1082"/>
      <c r="L429" s="762"/>
      <c r="M429" s="762"/>
      <c r="R429" s="706"/>
    </row>
    <row r="430" spans="7:18" ht="15" customHeight="1">
      <c r="G430" s="1082"/>
      <c r="L430" s="762"/>
      <c r="M430" s="762"/>
      <c r="R430" s="706"/>
    </row>
    <row r="431" spans="7:18" ht="15" customHeight="1">
      <c r="G431" s="1082"/>
      <c r="L431" s="762"/>
      <c r="M431" s="762"/>
      <c r="R431" s="706"/>
    </row>
    <row r="432" spans="7:18" ht="15" customHeight="1">
      <c r="G432" s="1082"/>
      <c r="R432" s="706"/>
    </row>
    <row r="433" spans="7:18" ht="15" customHeight="1">
      <c r="G433" s="1082"/>
      <c r="R433" s="706"/>
    </row>
    <row r="434" spans="7:18" ht="15" customHeight="1">
      <c r="G434" s="1082"/>
      <c r="R434" s="706"/>
    </row>
    <row r="435" spans="7:18" ht="15" customHeight="1">
      <c r="G435" s="1082"/>
      <c r="R435" s="706"/>
    </row>
    <row r="436" spans="7:18" ht="15" customHeight="1">
      <c r="G436" s="1082"/>
      <c r="R436" s="706"/>
    </row>
    <row r="437" spans="7:18" ht="15" customHeight="1">
      <c r="G437" s="1082"/>
      <c r="R437" s="706"/>
    </row>
    <row r="438" spans="7:18" ht="15" customHeight="1">
      <c r="G438" s="1082"/>
      <c r="R438" s="706"/>
    </row>
    <row r="439" spans="7:18" ht="15" customHeight="1">
      <c r="G439" s="1082"/>
      <c r="R439" s="706"/>
    </row>
    <row r="440" spans="7:18" ht="15" customHeight="1">
      <c r="G440" s="1082"/>
      <c r="R440" s="706"/>
    </row>
    <row r="441" spans="7:18" ht="15" customHeight="1">
      <c r="G441" s="1082"/>
      <c r="R441" s="706"/>
    </row>
    <row r="442" spans="7:18" ht="15" customHeight="1">
      <c r="G442" s="1082"/>
      <c r="R442" s="706"/>
    </row>
    <row r="443" spans="7:18" ht="15" customHeight="1">
      <c r="G443" s="1082"/>
      <c r="R443" s="706"/>
    </row>
    <row r="444" spans="7:18" ht="15" customHeight="1">
      <c r="G444" s="1082"/>
      <c r="R444" s="706"/>
    </row>
    <row r="445" spans="7:18" ht="15" customHeight="1">
      <c r="G445" s="1082"/>
      <c r="R445" s="706"/>
    </row>
    <row r="446" spans="7:18" ht="15" customHeight="1">
      <c r="G446" s="1082"/>
      <c r="R446" s="706"/>
    </row>
    <row r="447" spans="7:18" ht="15" customHeight="1">
      <c r="G447" s="1082"/>
      <c r="R447" s="706"/>
    </row>
    <row r="448" spans="7:18" ht="15" customHeight="1">
      <c r="G448" s="1082"/>
      <c r="R448" s="706"/>
    </row>
    <row r="449" spans="7:18" ht="15" customHeight="1">
      <c r="G449" s="1082"/>
      <c r="R449" s="706"/>
    </row>
    <row r="450" spans="7:18" ht="15" customHeight="1">
      <c r="G450" s="1082"/>
      <c r="R450" s="706"/>
    </row>
    <row r="451" spans="7:18" ht="15" customHeight="1">
      <c r="G451" s="1082"/>
      <c r="R451" s="706"/>
    </row>
    <row r="452" spans="7:18" ht="15" customHeight="1">
      <c r="G452" s="1082"/>
      <c r="R452" s="706"/>
    </row>
    <row r="453" spans="7:18" ht="15" customHeight="1">
      <c r="G453" s="1082"/>
      <c r="R453" s="706"/>
    </row>
    <row r="454" spans="7:18" ht="15" customHeight="1">
      <c r="G454" s="1082"/>
      <c r="R454" s="706"/>
    </row>
    <row r="455" spans="7:18" ht="15" customHeight="1">
      <c r="G455" s="1082"/>
      <c r="R455" s="706"/>
    </row>
    <row r="456" spans="7:18" ht="15" customHeight="1">
      <c r="G456" s="1082"/>
      <c r="R456" s="706"/>
    </row>
    <row r="457" spans="7:18" ht="15" customHeight="1">
      <c r="G457" s="1082"/>
      <c r="R457" s="706"/>
    </row>
    <row r="458" spans="7:18" ht="15" customHeight="1">
      <c r="G458" s="1082"/>
      <c r="R458" s="706"/>
    </row>
    <row r="459" spans="7:18" ht="15" customHeight="1">
      <c r="G459" s="1082"/>
      <c r="R459" s="706"/>
    </row>
    <row r="460" spans="7:18" ht="15" customHeight="1">
      <c r="G460" s="1082"/>
      <c r="R460" s="706"/>
    </row>
    <row r="461" spans="7:18" ht="15" customHeight="1">
      <c r="G461" s="1082"/>
      <c r="R461" s="706"/>
    </row>
    <row r="462" spans="7:18" ht="15" customHeight="1">
      <c r="G462" s="1082"/>
      <c r="R462" s="706"/>
    </row>
    <row r="463" spans="7:18" ht="15" customHeight="1">
      <c r="G463" s="1082"/>
      <c r="R463" s="706"/>
    </row>
    <row r="464" spans="7:18" ht="15" customHeight="1">
      <c r="G464" s="1082"/>
      <c r="R464" s="706"/>
    </row>
    <row r="465" spans="7:18" ht="15" customHeight="1">
      <c r="G465" s="1082"/>
      <c r="R465" s="706"/>
    </row>
    <row r="466" spans="7:18" ht="15" customHeight="1">
      <c r="G466" s="1082"/>
      <c r="R466" s="706"/>
    </row>
    <row r="467" spans="7:18" ht="15" customHeight="1">
      <c r="G467" s="1082"/>
      <c r="R467" s="706"/>
    </row>
    <row r="468" spans="7:18" ht="15" customHeight="1">
      <c r="G468" s="1082"/>
      <c r="R468" s="706"/>
    </row>
    <row r="469" spans="7:18" ht="15" customHeight="1">
      <c r="G469" s="1082"/>
      <c r="R469" s="706"/>
    </row>
    <row r="470" spans="7:18" ht="15" customHeight="1">
      <c r="G470" s="1082"/>
      <c r="R470" s="706"/>
    </row>
    <row r="471" spans="7:18" ht="15" customHeight="1">
      <c r="G471" s="1082"/>
      <c r="R471" s="706"/>
    </row>
    <row r="472" spans="7:18" ht="15" customHeight="1">
      <c r="G472" s="1082"/>
      <c r="R472" s="706"/>
    </row>
    <row r="473" spans="7:18" ht="15" customHeight="1">
      <c r="G473" s="1082"/>
      <c r="R473" s="706"/>
    </row>
    <row r="474" spans="7:18" ht="15" customHeight="1">
      <c r="G474" s="1082"/>
      <c r="R474" s="706"/>
    </row>
    <row r="475" spans="7:18" ht="15" customHeight="1">
      <c r="G475" s="1082"/>
      <c r="R475" s="706"/>
    </row>
    <row r="476" spans="7:18" ht="15" customHeight="1">
      <c r="G476" s="1082"/>
      <c r="R476" s="706"/>
    </row>
    <row r="477" spans="7:18" ht="15" customHeight="1">
      <c r="G477" s="1082"/>
      <c r="R477" s="706"/>
    </row>
    <row r="478" spans="7:18" ht="15" customHeight="1">
      <c r="G478" s="1082"/>
      <c r="R478" s="706"/>
    </row>
    <row r="479" spans="7:18" ht="15" customHeight="1">
      <c r="G479" s="1082"/>
      <c r="R479" s="706"/>
    </row>
    <row r="480" spans="7:18" ht="15" customHeight="1">
      <c r="G480" s="1082"/>
      <c r="R480" s="706"/>
    </row>
    <row r="481" spans="7:18" ht="15" customHeight="1">
      <c r="G481" s="1082"/>
      <c r="R481" s="706"/>
    </row>
    <row r="482" spans="7:18" ht="15" customHeight="1">
      <c r="G482" s="1082"/>
      <c r="R482" s="706"/>
    </row>
    <row r="483" spans="7:18" ht="15" customHeight="1">
      <c r="G483" s="1082"/>
      <c r="R483" s="706"/>
    </row>
    <row r="484" spans="7:18" ht="15" customHeight="1">
      <c r="G484" s="1082"/>
      <c r="R484" s="706"/>
    </row>
    <row r="485" spans="7:18" ht="15" customHeight="1">
      <c r="G485" s="1082"/>
      <c r="R485" s="706"/>
    </row>
    <row r="486" spans="7:18" ht="15" customHeight="1">
      <c r="G486" s="1082"/>
      <c r="R486" s="706"/>
    </row>
    <row r="487" spans="7:18" ht="15" customHeight="1">
      <c r="G487" s="1082"/>
      <c r="R487" s="706"/>
    </row>
    <row r="488" spans="7:18" ht="15" customHeight="1">
      <c r="G488" s="1082"/>
      <c r="R488" s="706"/>
    </row>
    <row r="489" spans="7:18" ht="15" customHeight="1">
      <c r="G489" s="1082"/>
      <c r="R489" s="706"/>
    </row>
    <row r="490" spans="7:18" ht="15" customHeight="1">
      <c r="G490" s="1082"/>
      <c r="R490" s="706"/>
    </row>
    <row r="491" spans="7:18" ht="15" customHeight="1">
      <c r="G491" s="1082"/>
      <c r="R491" s="706"/>
    </row>
    <row r="492" spans="7:18" ht="15" customHeight="1">
      <c r="G492" s="1082"/>
      <c r="R492" s="706"/>
    </row>
    <row r="493" spans="7:18" ht="15" customHeight="1">
      <c r="G493" s="1082"/>
      <c r="R493" s="706"/>
    </row>
    <row r="494" spans="7:18" ht="15" customHeight="1">
      <c r="G494" s="1082"/>
      <c r="R494" s="706"/>
    </row>
    <row r="495" spans="7:18" ht="15" customHeight="1">
      <c r="G495" s="1082"/>
      <c r="R495" s="706"/>
    </row>
    <row r="496" spans="7:18" ht="15" customHeight="1">
      <c r="G496" s="1082"/>
      <c r="R496" s="706"/>
    </row>
    <row r="497" spans="7:18" ht="15" customHeight="1">
      <c r="G497" s="1082"/>
      <c r="R497" s="706"/>
    </row>
    <row r="498" spans="7:18" ht="15" customHeight="1">
      <c r="G498" s="1082"/>
      <c r="R498" s="706"/>
    </row>
    <row r="499" spans="7:18" ht="15" customHeight="1">
      <c r="G499" s="1082"/>
      <c r="R499" s="706"/>
    </row>
    <row r="500" spans="7:18" ht="15" customHeight="1">
      <c r="G500" s="1082"/>
      <c r="R500" s="706"/>
    </row>
    <row r="501" spans="7:18" ht="15" customHeight="1">
      <c r="G501" s="1082"/>
      <c r="R501" s="706"/>
    </row>
    <row r="502" spans="7:18" ht="15" customHeight="1">
      <c r="G502" s="1082"/>
      <c r="R502" s="706"/>
    </row>
    <row r="503" spans="7:18" ht="15" customHeight="1">
      <c r="G503" s="1082"/>
      <c r="R503" s="706"/>
    </row>
    <row r="504" spans="7:18" ht="15" customHeight="1">
      <c r="G504" s="1082"/>
      <c r="R504" s="706"/>
    </row>
    <row r="505" spans="7:18" ht="15" customHeight="1">
      <c r="G505" s="1082"/>
      <c r="R505" s="706"/>
    </row>
    <row r="506" spans="7:18" ht="15" customHeight="1">
      <c r="G506" s="1082"/>
      <c r="R506" s="706"/>
    </row>
    <row r="507" spans="7:18" ht="15" customHeight="1">
      <c r="G507" s="1082"/>
      <c r="R507" s="706"/>
    </row>
    <row r="508" spans="7:18" ht="15" customHeight="1">
      <c r="G508" s="1082"/>
      <c r="R508" s="706"/>
    </row>
    <row r="509" spans="7:18" ht="15" customHeight="1">
      <c r="G509" s="1082"/>
      <c r="R509" s="706"/>
    </row>
    <row r="510" spans="7:18" ht="15" customHeight="1">
      <c r="G510" s="1082"/>
      <c r="R510" s="706"/>
    </row>
    <row r="511" spans="7:18" ht="15" customHeight="1">
      <c r="G511" s="1082"/>
      <c r="R511" s="706"/>
    </row>
    <row r="512" spans="7:18" ht="15" customHeight="1">
      <c r="G512" s="1082"/>
      <c r="R512" s="706"/>
    </row>
    <row r="513" spans="7:18" ht="15" customHeight="1">
      <c r="G513" s="1082"/>
      <c r="R513" s="706"/>
    </row>
    <row r="514" spans="7:18" ht="15" customHeight="1">
      <c r="G514" s="1082"/>
      <c r="R514" s="706"/>
    </row>
    <row r="515" spans="7:18" ht="15" customHeight="1">
      <c r="G515" s="1082"/>
      <c r="R515" s="706"/>
    </row>
    <row r="516" spans="7:18" ht="15" customHeight="1">
      <c r="G516" s="1082"/>
      <c r="R516" s="706"/>
    </row>
    <row r="517" spans="7:18" ht="15" customHeight="1">
      <c r="G517" s="1082"/>
      <c r="R517" s="706"/>
    </row>
    <row r="518" spans="7:18" ht="15" customHeight="1">
      <c r="G518" s="1082"/>
      <c r="R518" s="706"/>
    </row>
    <row r="519" spans="7:18" ht="15" customHeight="1">
      <c r="G519" s="1082"/>
      <c r="R519" s="706"/>
    </row>
    <row r="520" spans="7:18" ht="15" customHeight="1">
      <c r="G520" s="1082"/>
      <c r="R520" s="706"/>
    </row>
    <row r="521" spans="7:18" ht="15" customHeight="1">
      <c r="G521" s="1082"/>
      <c r="R521" s="706"/>
    </row>
    <row r="522" spans="7:18" ht="15" customHeight="1">
      <c r="G522" s="1082"/>
      <c r="R522" s="706"/>
    </row>
    <row r="523" spans="7:18" ht="15" customHeight="1">
      <c r="G523" s="1082"/>
      <c r="R523" s="706"/>
    </row>
    <row r="524" spans="7:18" ht="15" customHeight="1">
      <c r="G524" s="1082"/>
      <c r="R524" s="706"/>
    </row>
    <row r="525" spans="7:18" ht="15" customHeight="1">
      <c r="G525" s="1082"/>
      <c r="R525" s="706"/>
    </row>
    <row r="526" spans="7:18" ht="15" customHeight="1">
      <c r="G526" s="1082"/>
      <c r="R526" s="706"/>
    </row>
    <row r="527" spans="7:18" ht="15" customHeight="1">
      <c r="G527" s="1082"/>
      <c r="R527" s="706"/>
    </row>
    <row r="528" spans="7:18" ht="15" customHeight="1">
      <c r="G528" s="1082"/>
      <c r="R528" s="706"/>
    </row>
    <row r="529" spans="7:18" ht="15" customHeight="1">
      <c r="G529" s="1082"/>
      <c r="R529" s="706"/>
    </row>
    <row r="530" spans="7:18" ht="15" customHeight="1">
      <c r="G530" s="1082"/>
      <c r="R530" s="706"/>
    </row>
    <row r="531" spans="7:18" ht="15" customHeight="1">
      <c r="G531" s="1082"/>
      <c r="R531" s="706"/>
    </row>
    <row r="532" spans="7:18" ht="15" customHeight="1">
      <c r="G532" s="1082"/>
      <c r="R532" s="706"/>
    </row>
    <row r="533" spans="7:18" ht="15" customHeight="1">
      <c r="G533" s="1082"/>
      <c r="R533" s="706"/>
    </row>
    <row r="534" spans="7:18" ht="15" customHeight="1">
      <c r="G534" s="1082"/>
      <c r="R534" s="706"/>
    </row>
    <row r="535" spans="7:18" ht="15" customHeight="1">
      <c r="G535" s="1082"/>
      <c r="R535" s="706"/>
    </row>
    <row r="536" spans="7:18" ht="15" customHeight="1">
      <c r="G536" s="1082"/>
      <c r="R536" s="706"/>
    </row>
    <row r="537" spans="7:18" ht="15" customHeight="1">
      <c r="G537" s="1082"/>
      <c r="R537" s="706"/>
    </row>
    <row r="538" spans="7:18" ht="15" customHeight="1">
      <c r="G538" s="1082"/>
      <c r="R538" s="706"/>
    </row>
    <row r="539" spans="7:18" ht="15" customHeight="1">
      <c r="G539" s="1082"/>
      <c r="R539" s="706"/>
    </row>
    <row r="540" spans="7:18" ht="15" customHeight="1">
      <c r="G540" s="1082"/>
      <c r="R540" s="706"/>
    </row>
    <row r="541" spans="7:18" ht="15" customHeight="1">
      <c r="G541" s="1082"/>
      <c r="R541" s="706"/>
    </row>
    <row r="542" spans="7:18" ht="15" customHeight="1">
      <c r="G542" s="1082"/>
      <c r="R542" s="706"/>
    </row>
    <row r="543" spans="7:18" ht="15" customHeight="1">
      <c r="G543" s="1082"/>
      <c r="R543" s="706"/>
    </row>
    <row r="544" spans="7:18" ht="15" customHeight="1">
      <c r="G544" s="1082"/>
      <c r="R544" s="706"/>
    </row>
    <row r="545" spans="7:18" ht="15" customHeight="1">
      <c r="G545" s="1082"/>
      <c r="R545" s="706"/>
    </row>
    <row r="546" spans="7:18" ht="15" customHeight="1">
      <c r="G546" s="1082"/>
      <c r="R546" s="706"/>
    </row>
    <row r="547" spans="7:18" ht="15" customHeight="1">
      <c r="G547" s="1082"/>
      <c r="R547" s="706"/>
    </row>
    <row r="548" spans="7:18" ht="15" customHeight="1">
      <c r="G548" s="1082"/>
      <c r="R548" s="706"/>
    </row>
    <row r="549" spans="7:18" ht="15" customHeight="1">
      <c r="G549" s="1082"/>
      <c r="R549" s="706"/>
    </row>
    <row r="550" spans="7:18" ht="15" customHeight="1">
      <c r="G550" s="1082"/>
      <c r="R550" s="706"/>
    </row>
    <row r="551" spans="7:18" ht="15" customHeight="1">
      <c r="G551" s="1082"/>
      <c r="R551" s="706"/>
    </row>
    <row r="552" spans="7:18" ht="15" customHeight="1">
      <c r="G552" s="1082"/>
      <c r="R552" s="706"/>
    </row>
    <row r="553" spans="7:18" ht="15" customHeight="1">
      <c r="G553" s="1082"/>
      <c r="R553" s="706"/>
    </row>
    <row r="554" spans="7:18" ht="15" customHeight="1">
      <c r="G554" s="1082"/>
      <c r="R554" s="706"/>
    </row>
    <row r="555" spans="7:18" ht="15" customHeight="1">
      <c r="G555" s="1082"/>
      <c r="R555" s="706"/>
    </row>
    <row r="556" spans="7:18" ht="15" customHeight="1">
      <c r="G556" s="1082"/>
      <c r="R556" s="706"/>
    </row>
    <row r="557" spans="7:18" ht="15" customHeight="1">
      <c r="G557" s="1082"/>
      <c r="R557" s="706"/>
    </row>
    <row r="558" spans="7:18" ht="15" customHeight="1">
      <c r="G558" s="1082"/>
      <c r="R558" s="706"/>
    </row>
    <row r="559" spans="7:18" ht="15" customHeight="1">
      <c r="G559" s="1082"/>
      <c r="R559" s="706"/>
    </row>
    <row r="560" spans="7:18" ht="15" customHeight="1">
      <c r="G560" s="1082"/>
      <c r="R560" s="706"/>
    </row>
    <row r="561" spans="7:18" ht="15" customHeight="1">
      <c r="G561" s="1082"/>
      <c r="R561" s="706"/>
    </row>
    <row r="562" spans="7:18" ht="15" customHeight="1">
      <c r="G562" s="1082"/>
      <c r="R562" s="706"/>
    </row>
    <row r="563" spans="7:18" ht="15" customHeight="1">
      <c r="G563" s="1082"/>
      <c r="R563" s="706"/>
    </row>
    <row r="564" spans="7:18" ht="15" customHeight="1">
      <c r="G564" s="1082"/>
      <c r="R564" s="706"/>
    </row>
    <row r="565" spans="7:18" ht="15" customHeight="1">
      <c r="G565" s="1082"/>
      <c r="R565" s="706"/>
    </row>
    <row r="566" spans="7:18" ht="15" customHeight="1">
      <c r="G566" s="1082"/>
      <c r="R566" s="706"/>
    </row>
    <row r="567" spans="7:18" ht="15" customHeight="1">
      <c r="G567" s="1082"/>
      <c r="R567" s="706"/>
    </row>
    <row r="568" spans="7:18" ht="15" customHeight="1">
      <c r="G568" s="1082"/>
      <c r="R568" s="706"/>
    </row>
    <row r="569" spans="7:18" ht="15" customHeight="1">
      <c r="G569" s="1082"/>
      <c r="R569" s="706"/>
    </row>
    <row r="570" spans="7:18" ht="15" customHeight="1">
      <c r="G570" s="1082"/>
      <c r="R570" s="706"/>
    </row>
    <row r="571" spans="7:18" ht="15" customHeight="1">
      <c r="G571" s="1082"/>
      <c r="R571" s="706"/>
    </row>
    <row r="572" spans="7:18" ht="15" customHeight="1">
      <c r="G572" s="1082"/>
      <c r="R572" s="706"/>
    </row>
    <row r="573" spans="7:18" ht="15" customHeight="1">
      <c r="G573" s="1082"/>
      <c r="R573" s="706"/>
    </row>
    <row r="574" spans="7:18" ht="15" customHeight="1">
      <c r="G574" s="1082"/>
      <c r="R574" s="706"/>
    </row>
    <row r="575" spans="7:18" ht="15" customHeight="1">
      <c r="G575" s="1082"/>
      <c r="R575" s="706"/>
    </row>
    <row r="576" spans="7:18" ht="15" customHeight="1">
      <c r="G576" s="1082"/>
      <c r="R576" s="706"/>
    </row>
    <row r="577" spans="7:18" ht="15" customHeight="1">
      <c r="G577" s="1082"/>
      <c r="R577" s="706"/>
    </row>
    <row r="578" spans="7:18" ht="15" customHeight="1">
      <c r="G578" s="1082"/>
      <c r="R578" s="706"/>
    </row>
    <row r="579" spans="7:18" ht="15" customHeight="1">
      <c r="G579" s="1082"/>
      <c r="R579" s="706"/>
    </row>
    <row r="580" spans="7:18" ht="15" customHeight="1">
      <c r="G580" s="1082"/>
      <c r="R580" s="706"/>
    </row>
    <row r="581" spans="7:18" ht="15" customHeight="1">
      <c r="G581" s="1082"/>
      <c r="R581" s="706"/>
    </row>
    <row r="582" spans="7:18" ht="15" customHeight="1">
      <c r="G582" s="1082"/>
      <c r="R582" s="706"/>
    </row>
    <row r="583" spans="7:18" ht="15" customHeight="1">
      <c r="G583" s="1082"/>
      <c r="R583" s="706"/>
    </row>
    <row r="584" spans="7:18" ht="15" customHeight="1">
      <c r="G584" s="1082"/>
      <c r="R584" s="706"/>
    </row>
    <row r="585" spans="7:18" ht="15" customHeight="1">
      <c r="G585" s="1082"/>
      <c r="R585" s="706"/>
    </row>
    <row r="586" spans="7:18" ht="15" customHeight="1">
      <c r="G586" s="1082"/>
      <c r="R586" s="706"/>
    </row>
    <row r="587" spans="7:18" ht="15" customHeight="1">
      <c r="G587" s="1082"/>
      <c r="R587" s="706"/>
    </row>
    <row r="588" spans="7:18" ht="15" customHeight="1">
      <c r="G588" s="1082"/>
      <c r="R588" s="706"/>
    </row>
    <row r="589" spans="7:18" ht="15" customHeight="1">
      <c r="G589" s="1082"/>
      <c r="R589" s="706"/>
    </row>
    <row r="590" spans="7:18" ht="15" customHeight="1">
      <c r="G590" s="1082"/>
      <c r="R590" s="706"/>
    </row>
    <row r="591" spans="7:18" ht="15" customHeight="1">
      <c r="G591" s="1082"/>
      <c r="R591" s="706"/>
    </row>
    <row r="592" spans="7:18" ht="15" customHeight="1">
      <c r="G592" s="1082"/>
      <c r="R592" s="706"/>
    </row>
    <row r="593" spans="7:18" ht="15" customHeight="1">
      <c r="G593" s="1082"/>
      <c r="R593" s="706"/>
    </row>
    <row r="594" spans="7:18" ht="15" customHeight="1">
      <c r="G594" s="1082"/>
      <c r="R594" s="706"/>
    </row>
    <row r="595" spans="7:18" ht="15" customHeight="1">
      <c r="G595" s="1082"/>
      <c r="R595" s="706"/>
    </row>
    <row r="596" spans="7:18" ht="15" customHeight="1">
      <c r="G596" s="1082"/>
      <c r="R596" s="706"/>
    </row>
    <row r="597" spans="7:18" ht="15" customHeight="1">
      <c r="G597" s="1082"/>
      <c r="R597" s="706"/>
    </row>
    <row r="598" spans="7:18" ht="15" customHeight="1">
      <c r="G598" s="1082"/>
      <c r="R598" s="706"/>
    </row>
    <row r="599" spans="7:18" ht="15" customHeight="1">
      <c r="G599" s="1082"/>
      <c r="R599" s="706"/>
    </row>
    <row r="600" spans="7:18" ht="15" customHeight="1">
      <c r="G600" s="1082"/>
      <c r="R600" s="706"/>
    </row>
    <row r="601" spans="7:18" ht="15" customHeight="1">
      <c r="G601" s="1082"/>
      <c r="R601" s="706"/>
    </row>
    <row r="602" spans="7:18" ht="15" customHeight="1">
      <c r="G602" s="1082"/>
      <c r="R602" s="706"/>
    </row>
    <row r="603" spans="7:18" ht="15" customHeight="1">
      <c r="G603" s="1082"/>
      <c r="R603" s="706"/>
    </row>
    <row r="604" spans="7:18" ht="15" customHeight="1">
      <c r="G604" s="1082"/>
      <c r="R604" s="706"/>
    </row>
    <row r="605" spans="7:18" ht="15" customHeight="1">
      <c r="G605" s="1082"/>
      <c r="R605" s="706"/>
    </row>
    <row r="606" spans="7:18" ht="15" customHeight="1">
      <c r="G606" s="1082"/>
      <c r="R606" s="706"/>
    </row>
    <row r="607" spans="7:18" ht="15" customHeight="1">
      <c r="G607" s="1082"/>
      <c r="R607" s="706"/>
    </row>
    <row r="608" spans="7:18" ht="15" customHeight="1">
      <c r="G608" s="1082"/>
      <c r="R608" s="706"/>
    </row>
    <row r="609" spans="7:18" ht="15" customHeight="1">
      <c r="G609" s="1082"/>
      <c r="R609" s="706"/>
    </row>
    <row r="610" spans="7:18" ht="15" customHeight="1">
      <c r="G610" s="1082"/>
      <c r="R610" s="706"/>
    </row>
    <row r="611" spans="7:18" ht="15" customHeight="1">
      <c r="G611" s="1082"/>
      <c r="R611" s="706"/>
    </row>
    <row r="612" spans="7:18" ht="15" customHeight="1">
      <c r="G612" s="1082"/>
      <c r="R612" s="706"/>
    </row>
    <row r="613" spans="7:18" ht="15" customHeight="1">
      <c r="G613" s="1082"/>
      <c r="R613" s="706"/>
    </row>
    <row r="614" spans="7:18" ht="15" customHeight="1">
      <c r="G614" s="1082"/>
      <c r="R614" s="706"/>
    </row>
    <row r="615" spans="7:18" ht="15" customHeight="1">
      <c r="G615" s="1082"/>
      <c r="R615" s="706"/>
    </row>
    <row r="616" spans="7:18" ht="15" customHeight="1">
      <c r="G616" s="1082"/>
      <c r="R616" s="706"/>
    </row>
    <row r="617" spans="7:18" ht="15" customHeight="1">
      <c r="G617" s="1082"/>
      <c r="R617" s="706"/>
    </row>
    <row r="618" spans="7:18" ht="15" customHeight="1">
      <c r="G618" s="1082"/>
      <c r="R618" s="706"/>
    </row>
    <row r="619" spans="7:18" ht="15" customHeight="1">
      <c r="G619" s="1082"/>
      <c r="R619" s="706"/>
    </row>
    <row r="620" spans="7:18" ht="15" customHeight="1">
      <c r="G620" s="1082"/>
      <c r="R620" s="706"/>
    </row>
    <row r="621" spans="7:18" ht="15" customHeight="1">
      <c r="G621" s="1082"/>
      <c r="R621" s="706"/>
    </row>
    <row r="622" spans="7:18" ht="15" customHeight="1">
      <c r="G622" s="1082"/>
      <c r="R622" s="706"/>
    </row>
    <row r="623" spans="7:18" ht="15" customHeight="1">
      <c r="G623" s="1082"/>
      <c r="R623" s="706"/>
    </row>
    <row r="624" spans="7:18" ht="15" customHeight="1">
      <c r="G624" s="1082"/>
      <c r="R624" s="706"/>
    </row>
    <row r="625" spans="7:18" ht="15" customHeight="1">
      <c r="G625" s="1082"/>
      <c r="R625" s="706"/>
    </row>
    <row r="626" spans="7:18" ht="15" customHeight="1">
      <c r="G626" s="1082"/>
      <c r="R626" s="706"/>
    </row>
    <row r="627" spans="7:18" ht="15" customHeight="1">
      <c r="G627" s="1082"/>
      <c r="R627" s="706"/>
    </row>
    <row r="628" spans="7:18" ht="15" customHeight="1">
      <c r="G628" s="1082"/>
      <c r="R628" s="706"/>
    </row>
    <row r="629" spans="7:18" ht="15" customHeight="1">
      <c r="G629" s="1082"/>
      <c r="R629" s="706"/>
    </row>
    <row r="630" spans="7:18" ht="15" customHeight="1">
      <c r="G630" s="1082"/>
      <c r="R630" s="706"/>
    </row>
    <row r="631" spans="7:18" ht="15" customHeight="1">
      <c r="G631" s="1082"/>
      <c r="R631" s="706"/>
    </row>
    <row r="632" spans="7:18" ht="15" customHeight="1">
      <c r="G632" s="1082"/>
      <c r="R632" s="706"/>
    </row>
    <row r="633" spans="7:18" ht="15" customHeight="1">
      <c r="G633" s="1082"/>
      <c r="R633" s="706"/>
    </row>
    <row r="634" spans="7:18" ht="15" customHeight="1">
      <c r="G634" s="1082"/>
      <c r="R634" s="706"/>
    </row>
    <row r="635" spans="7:18" ht="15" customHeight="1">
      <c r="G635" s="1082"/>
      <c r="R635" s="706"/>
    </row>
    <row r="636" spans="7:18" ht="15" customHeight="1">
      <c r="G636" s="1082"/>
      <c r="R636" s="706"/>
    </row>
    <row r="637" spans="7:18" ht="15" customHeight="1">
      <c r="G637" s="1082"/>
      <c r="R637" s="706"/>
    </row>
    <row r="638" spans="7:18" ht="15" customHeight="1">
      <c r="G638" s="1082"/>
      <c r="R638" s="706"/>
    </row>
    <row r="639" spans="7:18" ht="15" customHeight="1">
      <c r="G639" s="1082"/>
      <c r="R639" s="706"/>
    </row>
    <row r="640" spans="7:18" ht="15" customHeight="1">
      <c r="G640" s="1082"/>
      <c r="R640" s="706"/>
    </row>
    <row r="641" spans="7:18" ht="15" customHeight="1">
      <c r="G641" s="1082"/>
      <c r="R641" s="706"/>
    </row>
    <row r="642" spans="7:18" ht="15" customHeight="1">
      <c r="G642" s="1082"/>
      <c r="R642" s="706"/>
    </row>
    <row r="643" spans="7:18" ht="15" customHeight="1">
      <c r="G643" s="1082"/>
      <c r="R643" s="706"/>
    </row>
    <row r="644" spans="7:18" ht="15" customHeight="1">
      <c r="G644" s="1082"/>
      <c r="R644" s="706"/>
    </row>
    <row r="645" spans="7:18" ht="15" customHeight="1">
      <c r="G645" s="1082"/>
      <c r="R645" s="706"/>
    </row>
    <row r="646" spans="7:18" ht="15" customHeight="1">
      <c r="G646" s="1082"/>
      <c r="R646" s="706"/>
    </row>
    <row r="647" spans="7:18" ht="15" customHeight="1">
      <c r="G647" s="1082"/>
      <c r="R647" s="706"/>
    </row>
    <row r="648" spans="7:18" ht="15" customHeight="1">
      <c r="G648" s="1082"/>
      <c r="R648" s="706"/>
    </row>
    <row r="649" spans="7:18" ht="15" customHeight="1">
      <c r="G649" s="1082"/>
      <c r="R649" s="706"/>
    </row>
    <row r="650" spans="7:18" ht="15" customHeight="1">
      <c r="G650" s="1082"/>
      <c r="R650" s="706"/>
    </row>
    <row r="651" spans="7:18" ht="15" customHeight="1">
      <c r="G651" s="1082"/>
      <c r="R651" s="706"/>
    </row>
    <row r="652" spans="7:18" ht="15" customHeight="1">
      <c r="G652" s="1082"/>
      <c r="R652" s="706"/>
    </row>
    <row r="653" spans="7:18" ht="15" customHeight="1">
      <c r="G653" s="1082"/>
      <c r="R653" s="706"/>
    </row>
    <row r="654" spans="7:18" ht="15" customHeight="1">
      <c r="G654" s="1082"/>
      <c r="R654" s="706"/>
    </row>
    <row r="655" spans="7:18" ht="15" customHeight="1">
      <c r="G655" s="1082"/>
      <c r="R655" s="706"/>
    </row>
    <row r="656" spans="7:18" ht="15" customHeight="1">
      <c r="G656" s="1082"/>
      <c r="R656" s="706"/>
    </row>
    <row r="657" spans="7:18" ht="15" customHeight="1">
      <c r="G657" s="1082"/>
      <c r="R657" s="706"/>
    </row>
    <row r="658" spans="7:18" ht="15" customHeight="1">
      <c r="G658" s="1082"/>
      <c r="R658" s="706"/>
    </row>
    <row r="659" spans="7:18" ht="15" customHeight="1">
      <c r="G659" s="1082"/>
      <c r="R659" s="706"/>
    </row>
    <row r="660" spans="7:18" ht="15" customHeight="1">
      <c r="G660" s="1082"/>
      <c r="R660" s="706"/>
    </row>
    <row r="661" spans="7:18" ht="15" customHeight="1">
      <c r="G661" s="1082"/>
      <c r="R661" s="706"/>
    </row>
    <row r="662" spans="7:18" ht="15" customHeight="1">
      <c r="G662" s="1082"/>
      <c r="R662" s="706"/>
    </row>
    <row r="663" spans="7:18" ht="15" customHeight="1">
      <c r="G663" s="1082"/>
      <c r="R663" s="706"/>
    </row>
    <row r="664" spans="7:18" ht="15" customHeight="1">
      <c r="G664" s="1082"/>
      <c r="R664" s="706"/>
    </row>
    <row r="665" spans="7:18" ht="15" customHeight="1">
      <c r="G665" s="1082"/>
      <c r="R665" s="706"/>
    </row>
    <row r="666" spans="7:18" ht="15" customHeight="1">
      <c r="G666" s="1082"/>
      <c r="R666" s="706"/>
    </row>
    <row r="667" spans="7:18" ht="15" customHeight="1">
      <c r="G667" s="1082"/>
      <c r="R667" s="706"/>
    </row>
    <row r="668" spans="7:18" ht="15" customHeight="1">
      <c r="G668" s="1082"/>
      <c r="R668" s="706"/>
    </row>
    <row r="669" spans="7:18" ht="15" customHeight="1">
      <c r="G669" s="1082"/>
      <c r="R669" s="706"/>
    </row>
    <row r="670" spans="7:18" ht="15" customHeight="1">
      <c r="G670" s="1082"/>
      <c r="R670" s="706"/>
    </row>
    <row r="671" spans="7:18" ht="15" customHeight="1">
      <c r="G671" s="1082"/>
      <c r="R671" s="706"/>
    </row>
    <row r="672" spans="7:18" ht="15" customHeight="1">
      <c r="G672" s="1082"/>
      <c r="R672" s="706"/>
    </row>
    <row r="673" spans="7:18" ht="15" customHeight="1">
      <c r="G673" s="1082"/>
      <c r="R673" s="706"/>
    </row>
    <row r="674" spans="7:18" ht="15" customHeight="1">
      <c r="G674" s="1082"/>
      <c r="R674" s="706"/>
    </row>
    <row r="675" spans="7:18" ht="15" customHeight="1">
      <c r="G675" s="1082"/>
      <c r="R675" s="706"/>
    </row>
    <row r="676" spans="7:18" ht="15" customHeight="1">
      <c r="G676" s="1082"/>
      <c r="R676" s="706"/>
    </row>
    <row r="677" spans="7:18" ht="15" customHeight="1">
      <c r="G677" s="1082"/>
      <c r="R677" s="706"/>
    </row>
    <row r="678" spans="7:18" ht="15" customHeight="1">
      <c r="G678" s="1082"/>
      <c r="R678" s="706"/>
    </row>
    <row r="679" spans="7:18" ht="15" customHeight="1">
      <c r="G679" s="1082"/>
      <c r="R679" s="706"/>
    </row>
    <row r="680" spans="7:18" ht="15" customHeight="1">
      <c r="G680" s="1082"/>
      <c r="R680" s="706"/>
    </row>
    <row r="681" spans="7:18" ht="15" customHeight="1">
      <c r="G681" s="1082"/>
      <c r="R681" s="706"/>
    </row>
    <row r="682" spans="7:18" ht="15" customHeight="1">
      <c r="G682" s="1082"/>
      <c r="R682" s="706"/>
    </row>
    <row r="683" spans="7:18" ht="15" customHeight="1">
      <c r="G683" s="1082"/>
      <c r="R683" s="706"/>
    </row>
    <row r="684" spans="7:18" ht="15" customHeight="1">
      <c r="G684" s="1082"/>
      <c r="R684" s="706"/>
    </row>
    <row r="685" spans="7:18" ht="15" customHeight="1">
      <c r="G685" s="1082"/>
      <c r="R685" s="706"/>
    </row>
    <row r="686" spans="7:18" ht="15" customHeight="1">
      <c r="G686" s="1082"/>
      <c r="R686" s="706"/>
    </row>
    <row r="687" spans="7:18" ht="15" customHeight="1">
      <c r="G687" s="1082"/>
      <c r="R687" s="706"/>
    </row>
    <row r="688" spans="7:18" ht="15" customHeight="1">
      <c r="G688" s="1082"/>
      <c r="R688" s="706"/>
    </row>
    <row r="689" spans="7:18" ht="15" customHeight="1">
      <c r="G689" s="1082"/>
      <c r="R689" s="706"/>
    </row>
    <row r="690" spans="7:18" ht="15" customHeight="1">
      <c r="G690" s="1082"/>
      <c r="R690" s="706"/>
    </row>
    <row r="691" spans="7:18" ht="15" customHeight="1">
      <c r="G691" s="1082"/>
      <c r="R691" s="706"/>
    </row>
    <row r="692" spans="7:18" ht="15" customHeight="1">
      <c r="G692" s="1082"/>
      <c r="R692" s="706"/>
    </row>
    <row r="693" spans="7:18" ht="15" customHeight="1">
      <c r="G693" s="1082"/>
      <c r="R693" s="706"/>
    </row>
    <row r="694" spans="7:18" ht="15" customHeight="1">
      <c r="G694" s="1082"/>
      <c r="R694" s="706"/>
    </row>
    <row r="695" spans="7:18" ht="15" customHeight="1">
      <c r="G695" s="1082"/>
      <c r="R695" s="706"/>
    </row>
    <row r="696" spans="7:18" ht="15" customHeight="1">
      <c r="G696" s="1082"/>
      <c r="R696" s="706"/>
    </row>
    <row r="697" spans="7:18" ht="15" customHeight="1">
      <c r="G697" s="1082"/>
      <c r="R697" s="706"/>
    </row>
    <row r="698" spans="7:18" ht="15" customHeight="1">
      <c r="G698" s="1082"/>
      <c r="R698" s="706"/>
    </row>
    <row r="699" spans="7:18" ht="15" customHeight="1">
      <c r="G699" s="1082"/>
      <c r="R699" s="706"/>
    </row>
    <row r="700" spans="7:18" ht="15" customHeight="1">
      <c r="G700" s="1082"/>
      <c r="R700" s="706"/>
    </row>
    <row r="701" spans="7:18" ht="15" customHeight="1">
      <c r="G701" s="1082"/>
      <c r="R701" s="706"/>
    </row>
    <row r="702" spans="7:18" ht="15" customHeight="1">
      <c r="G702" s="1082"/>
      <c r="R702" s="706"/>
    </row>
    <row r="703" spans="7:18" ht="15" customHeight="1">
      <c r="G703" s="1082"/>
      <c r="R703" s="706"/>
    </row>
    <row r="704" spans="7:18" ht="15" customHeight="1">
      <c r="G704" s="1082"/>
      <c r="R704" s="706"/>
    </row>
    <row r="705" spans="7:18" ht="15" customHeight="1">
      <c r="G705" s="1082"/>
      <c r="R705" s="706"/>
    </row>
    <row r="706" spans="7:18" ht="15" customHeight="1">
      <c r="G706" s="1082"/>
      <c r="R706" s="706"/>
    </row>
    <row r="707" spans="7:18" ht="15" customHeight="1">
      <c r="G707" s="1082"/>
      <c r="R707" s="706"/>
    </row>
    <row r="708" spans="7:18" ht="15" customHeight="1">
      <c r="G708" s="1082"/>
      <c r="R708" s="706"/>
    </row>
    <row r="709" spans="7:18" ht="15" customHeight="1">
      <c r="G709" s="1082"/>
      <c r="R709" s="706"/>
    </row>
    <row r="710" spans="7:18" ht="15" customHeight="1">
      <c r="G710" s="1082"/>
      <c r="R710" s="706"/>
    </row>
    <row r="711" spans="7:18" ht="15" customHeight="1">
      <c r="G711" s="1082"/>
      <c r="R711" s="706"/>
    </row>
    <row r="712" spans="7:18" ht="15" customHeight="1">
      <c r="G712" s="1082"/>
      <c r="R712" s="706"/>
    </row>
    <row r="713" spans="7:18" ht="15" customHeight="1">
      <c r="G713" s="1082"/>
      <c r="R713" s="706"/>
    </row>
    <row r="714" spans="7:18" ht="15" customHeight="1">
      <c r="G714" s="1082"/>
      <c r="R714" s="706"/>
    </row>
    <row r="715" spans="7:18" ht="15" customHeight="1">
      <c r="G715" s="1082"/>
      <c r="R715" s="706"/>
    </row>
    <row r="716" spans="7:18" ht="15" customHeight="1">
      <c r="G716" s="1082"/>
      <c r="R716" s="706"/>
    </row>
    <row r="717" spans="7:18" ht="15" customHeight="1">
      <c r="G717" s="1082"/>
      <c r="R717" s="706"/>
    </row>
    <row r="718" spans="7:18" ht="15" customHeight="1">
      <c r="G718" s="1082"/>
      <c r="R718" s="706"/>
    </row>
    <row r="719" spans="7:18" ht="15" customHeight="1">
      <c r="G719" s="1082"/>
      <c r="R719" s="706"/>
    </row>
    <row r="720" spans="7:18" ht="15" customHeight="1">
      <c r="G720" s="1082"/>
      <c r="R720" s="706"/>
    </row>
    <row r="721" spans="7:18" ht="15" customHeight="1">
      <c r="G721" s="1082"/>
      <c r="R721" s="706"/>
    </row>
    <row r="722" spans="7:18" ht="15" customHeight="1">
      <c r="G722" s="1082"/>
      <c r="R722" s="706"/>
    </row>
    <row r="723" spans="7:18" ht="15" customHeight="1">
      <c r="G723" s="1082"/>
      <c r="R723" s="706"/>
    </row>
    <row r="724" spans="7:18" ht="15" customHeight="1">
      <c r="G724" s="1082"/>
      <c r="R724" s="706"/>
    </row>
    <row r="725" spans="7:18" ht="15" customHeight="1">
      <c r="G725" s="1082"/>
      <c r="R725" s="706"/>
    </row>
    <row r="726" spans="7:18" ht="15" customHeight="1">
      <c r="G726" s="1082"/>
      <c r="R726" s="706"/>
    </row>
    <row r="727" spans="7:18" ht="15" customHeight="1">
      <c r="G727" s="1082"/>
      <c r="R727" s="706"/>
    </row>
    <row r="728" spans="7:18" ht="15" customHeight="1">
      <c r="G728" s="1082"/>
      <c r="R728" s="706"/>
    </row>
    <row r="729" spans="7:18" ht="15" customHeight="1">
      <c r="G729" s="1082"/>
      <c r="R729" s="706"/>
    </row>
    <row r="730" spans="7:18" ht="15" customHeight="1">
      <c r="G730" s="1082"/>
      <c r="R730" s="706"/>
    </row>
    <row r="731" spans="7:18" ht="15" customHeight="1">
      <c r="G731" s="1082"/>
      <c r="R731" s="706"/>
    </row>
    <row r="732" spans="7:18" ht="15" customHeight="1">
      <c r="G732" s="1082"/>
      <c r="R732" s="706"/>
    </row>
    <row r="733" spans="7:18" ht="15" customHeight="1">
      <c r="G733" s="1082"/>
      <c r="R733" s="706"/>
    </row>
    <row r="734" spans="7:18" ht="15" customHeight="1">
      <c r="G734" s="1082"/>
      <c r="R734" s="706"/>
    </row>
    <row r="735" spans="7:18" ht="15" customHeight="1">
      <c r="G735" s="1082"/>
      <c r="R735" s="706"/>
    </row>
    <row r="736" spans="7:18" ht="15" customHeight="1">
      <c r="G736" s="1082"/>
      <c r="R736" s="706"/>
    </row>
    <row r="737" spans="7:18" ht="15" customHeight="1">
      <c r="G737" s="1082"/>
      <c r="R737" s="706"/>
    </row>
    <row r="738" spans="7:18" ht="15" customHeight="1">
      <c r="G738" s="1082"/>
      <c r="R738" s="706"/>
    </row>
    <row r="739" spans="7:18" ht="15" customHeight="1">
      <c r="G739" s="1082"/>
      <c r="R739" s="706"/>
    </row>
    <row r="740" spans="7:18" ht="15" customHeight="1">
      <c r="G740" s="1082"/>
      <c r="R740" s="706"/>
    </row>
    <row r="741" spans="7:18" ht="15" customHeight="1">
      <c r="G741" s="1082"/>
      <c r="R741" s="706"/>
    </row>
    <row r="742" spans="7:18" ht="15" customHeight="1">
      <c r="G742" s="1082"/>
      <c r="R742" s="706"/>
    </row>
    <row r="743" spans="7:18" ht="15" customHeight="1">
      <c r="G743" s="1082"/>
      <c r="R743" s="706"/>
    </row>
    <row r="744" spans="7:18" ht="15" customHeight="1">
      <c r="G744" s="1082"/>
      <c r="R744" s="706"/>
    </row>
    <row r="745" spans="7:18" ht="15" customHeight="1">
      <c r="G745" s="1082"/>
      <c r="R745" s="706"/>
    </row>
    <row r="746" spans="7:18" ht="15" customHeight="1">
      <c r="G746" s="1082"/>
      <c r="R746" s="706"/>
    </row>
    <row r="747" spans="7:18" ht="15" customHeight="1">
      <c r="G747" s="1082"/>
      <c r="R747" s="706"/>
    </row>
    <row r="748" spans="7:18" ht="15" customHeight="1">
      <c r="G748" s="1082"/>
      <c r="R748" s="706"/>
    </row>
    <row r="749" spans="7:18" ht="15" customHeight="1">
      <c r="G749" s="1082"/>
      <c r="R749" s="706"/>
    </row>
    <row r="750" spans="7:18" ht="15" customHeight="1">
      <c r="G750" s="1082"/>
      <c r="R750" s="706"/>
    </row>
    <row r="751" spans="7:18" ht="15" customHeight="1">
      <c r="G751" s="1082"/>
      <c r="R751" s="706"/>
    </row>
    <row r="752" spans="7:18" ht="15" customHeight="1">
      <c r="G752" s="1082"/>
      <c r="R752" s="706"/>
    </row>
    <row r="753" spans="7:18" ht="15" customHeight="1">
      <c r="G753" s="1082"/>
      <c r="R753" s="706"/>
    </row>
    <row r="754" spans="7:18" ht="15" customHeight="1">
      <c r="G754" s="1082"/>
      <c r="R754" s="706"/>
    </row>
    <row r="755" spans="7:18" ht="15" customHeight="1">
      <c r="G755" s="1082"/>
      <c r="R755" s="706"/>
    </row>
    <row r="756" spans="7:18" ht="15" customHeight="1">
      <c r="G756" s="1082"/>
      <c r="R756" s="706"/>
    </row>
    <row r="757" spans="7:18" ht="15" customHeight="1">
      <c r="G757" s="1082"/>
      <c r="R757" s="706"/>
    </row>
    <row r="758" spans="7:18" ht="15" customHeight="1">
      <c r="G758" s="1082"/>
      <c r="R758" s="706"/>
    </row>
    <row r="759" spans="7:18" ht="15" customHeight="1">
      <c r="G759" s="1082"/>
      <c r="R759" s="706"/>
    </row>
    <row r="760" spans="7:18" ht="15" customHeight="1">
      <c r="G760" s="1082"/>
      <c r="R760" s="706"/>
    </row>
    <row r="761" spans="7:18" ht="15" customHeight="1">
      <c r="G761" s="1082"/>
      <c r="R761" s="706"/>
    </row>
    <row r="762" spans="7:18" ht="15" customHeight="1">
      <c r="G762" s="1082"/>
      <c r="R762" s="706"/>
    </row>
    <row r="763" spans="7:18" ht="15" customHeight="1">
      <c r="G763" s="1082"/>
      <c r="R763" s="706"/>
    </row>
    <row r="764" spans="7:18" ht="15" customHeight="1">
      <c r="G764" s="1082"/>
      <c r="R764" s="706"/>
    </row>
    <row r="765" spans="7:18" ht="15" customHeight="1">
      <c r="G765" s="1082"/>
      <c r="R765" s="706"/>
    </row>
    <row r="766" spans="7:18" ht="15" customHeight="1">
      <c r="G766" s="1082"/>
      <c r="R766" s="706"/>
    </row>
    <row r="767" spans="7:18" ht="15" customHeight="1">
      <c r="G767" s="1082"/>
      <c r="R767" s="706"/>
    </row>
    <row r="768" spans="7:18" ht="15" customHeight="1">
      <c r="G768" s="1082"/>
      <c r="R768" s="706"/>
    </row>
    <row r="769" spans="7:18" ht="15" customHeight="1">
      <c r="G769" s="1082"/>
      <c r="R769" s="706"/>
    </row>
    <row r="770" spans="7:18" ht="15" customHeight="1">
      <c r="G770" s="1082"/>
      <c r="R770" s="706"/>
    </row>
    <row r="771" spans="7:18" ht="15" customHeight="1">
      <c r="G771" s="1082"/>
      <c r="R771" s="706"/>
    </row>
    <row r="772" spans="7:18" ht="15" customHeight="1">
      <c r="G772" s="1082"/>
      <c r="R772" s="706"/>
    </row>
    <row r="773" spans="7:18" ht="15" customHeight="1">
      <c r="G773" s="1082"/>
      <c r="R773" s="706"/>
    </row>
    <row r="774" spans="7:18" ht="15" customHeight="1">
      <c r="G774" s="1082"/>
      <c r="R774" s="706"/>
    </row>
    <row r="775" spans="7:18" ht="15" customHeight="1">
      <c r="G775" s="1082"/>
      <c r="R775" s="706"/>
    </row>
    <row r="776" spans="7:18" ht="15" customHeight="1">
      <c r="G776" s="1082"/>
      <c r="R776" s="706"/>
    </row>
    <row r="777" spans="7:18" ht="15" customHeight="1">
      <c r="G777" s="1082"/>
      <c r="R777" s="706"/>
    </row>
    <row r="778" spans="7:18" ht="15" customHeight="1">
      <c r="G778" s="1082"/>
      <c r="R778" s="706"/>
    </row>
    <row r="779" spans="7:18" ht="15" customHeight="1">
      <c r="G779" s="1082"/>
      <c r="R779" s="706"/>
    </row>
    <row r="780" spans="7:18" ht="15" customHeight="1">
      <c r="G780" s="1082"/>
      <c r="R780" s="706"/>
    </row>
    <row r="781" spans="7:18" ht="15" customHeight="1">
      <c r="G781" s="1082"/>
      <c r="R781" s="706"/>
    </row>
    <row r="782" spans="7:18" ht="15" customHeight="1">
      <c r="G782" s="1082"/>
      <c r="R782" s="706"/>
    </row>
    <row r="783" spans="7:18" ht="15" customHeight="1">
      <c r="G783" s="1082"/>
      <c r="R783" s="706"/>
    </row>
    <row r="784" spans="7:18" ht="15" customHeight="1">
      <c r="G784" s="1082"/>
      <c r="R784" s="706"/>
    </row>
    <row r="785" spans="7:18" ht="15" customHeight="1">
      <c r="G785" s="1082"/>
      <c r="R785" s="706"/>
    </row>
    <row r="786" spans="7:18" ht="15" customHeight="1">
      <c r="G786" s="1082"/>
      <c r="R786" s="706"/>
    </row>
    <row r="787" spans="7:18" ht="15" customHeight="1">
      <c r="G787" s="1082"/>
      <c r="R787" s="706"/>
    </row>
    <row r="788" spans="7:18" ht="15" customHeight="1">
      <c r="G788" s="1082"/>
      <c r="R788" s="706"/>
    </row>
    <row r="789" spans="7:18" ht="15" customHeight="1">
      <c r="G789" s="1082"/>
      <c r="R789" s="706"/>
    </row>
    <row r="790" spans="7:18" ht="15" customHeight="1">
      <c r="G790" s="1082"/>
      <c r="R790" s="706"/>
    </row>
    <row r="791" spans="7:18" ht="15" customHeight="1">
      <c r="G791" s="1082"/>
      <c r="R791" s="706"/>
    </row>
    <row r="792" spans="7:18" ht="15" customHeight="1">
      <c r="G792" s="1082"/>
      <c r="R792" s="706"/>
    </row>
    <row r="793" spans="7:18" ht="15" customHeight="1">
      <c r="G793" s="1082"/>
      <c r="R793" s="706"/>
    </row>
    <row r="794" spans="7:18" ht="15" customHeight="1">
      <c r="G794" s="1082"/>
      <c r="R794" s="706"/>
    </row>
    <row r="795" spans="7:18" ht="15" customHeight="1">
      <c r="G795" s="1082"/>
      <c r="R795" s="706"/>
    </row>
    <row r="796" spans="7:18" ht="15" customHeight="1">
      <c r="G796" s="1082"/>
      <c r="R796" s="706"/>
    </row>
    <row r="797" spans="7:18" ht="15" customHeight="1">
      <c r="G797" s="1082"/>
      <c r="R797" s="706"/>
    </row>
    <row r="798" spans="7:18" ht="15" customHeight="1">
      <c r="G798" s="1082"/>
      <c r="R798" s="706"/>
    </row>
    <row r="799" spans="7:18" ht="15" customHeight="1">
      <c r="G799" s="1082"/>
      <c r="R799" s="706"/>
    </row>
    <row r="800" spans="7:18" ht="15" customHeight="1">
      <c r="G800" s="1082"/>
      <c r="R800" s="706"/>
    </row>
    <row r="801" spans="7:18" ht="15" customHeight="1">
      <c r="G801" s="1082"/>
      <c r="R801" s="706"/>
    </row>
    <row r="802" spans="7:18" ht="15" customHeight="1">
      <c r="G802" s="1082"/>
      <c r="R802" s="706"/>
    </row>
    <row r="803" spans="7:18" ht="15" customHeight="1">
      <c r="G803" s="1082"/>
      <c r="R803" s="706"/>
    </row>
    <row r="804" spans="7:18" ht="15" customHeight="1">
      <c r="G804" s="1082"/>
      <c r="R804" s="706"/>
    </row>
    <row r="805" spans="7:18" ht="15" customHeight="1">
      <c r="G805" s="1082"/>
      <c r="R805" s="706"/>
    </row>
    <row r="806" spans="7:18" ht="15" customHeight="1">
      <c r="G806" s="1082"/>
      <c r="R806" s="706"/>
    </row>
    <row r="807" spans="7:18" ht="15" customHeight="1">
      <c r="G807" s="1082"/>
      <c r="R807" s="706"/>
    </row>
    <row r="808" spans="7:18" ht="15" customHeight="1">
      <c r="G808" s="1082"/>
      <c r="R808" s="706"/>
    </row>
    <row r="809" spans="7:18" ht="15" customHeight="1">
      <c r="G809" s="1082"/>
      <c r="R809" s="706"/>
    </row>
    <row r="810" spans="7:18" ht="15" customHeight="1">
      <c r="G810" s="1082"/>
      <c r="R810" s="706"/>
    </row>
    <row r="811" spans="7:18" ht="15" customHeight="1">
      <c r="G811" s="1082"/>
      <c r="R811" s="706"/>
    </row>
    <row r="812" spans="7:18" ht="15" customHeight="1">
      <c r="G812" s="1082"/>
      <c r="R812" s="706"/>
    </row>
    <row r="813" spans="7:18" ht="15" customHeight="1">
      <c r="G813" s="1082"/>
      <c r="R813" s="706"/>
    </row>
    <row r="814" spans="7:18" ht="15" customHeight="1">
      <c r="G814" s="1082"/>
      <c r="R814" s="706"/>
    </row>
    <row r="815" spans="7:18" ht="15" customHeight="1">
      <c r="G815" s="1082"/>
      <c r="R815" s="706"/>
    </row>
    <row r="816" spans="7:18" ht="15" customHeight="1">
      <c r="G816" s="1082"/>
      <c r="R816" s="706"/>
    </row>
    <row r="817" spans="7:18" ht="15" customHeight="1">
      <c r="G817" s="1082"/>
      <c r="R817" s="706"/>
    </row>
    <row r="818" spans="7:18" ht="15" customHeight="1">
      <c r="G818" s="1082"/>
      <c r="R818" s="706"/>
    </row>
    <row r="819" spans="7:18" ht="15" customHeight="1">
      <c r="G819" s="1082"/>
      <c r="R819" s="706"/>
    </row>
    <row r="820" spans="7:18" ht="15" customHeight="1">
      <c r="G820" s="1082"/>
      <c r="R820" s="706"/>
    </row>
    <row r="821" spans="7:18" ht="15" customHeight="1">
      <c r="G821" s="1082"/>
      <c r="R821" s="706"/>
    </row>
    <row r="822" spans="7:18" ht="15" customHeight="1">
      <c r="G822" s="1082"/>
      <c r="R822" s="706"/>
    </row>
    <row r="823" spans="7:18" ht="15" customHeight="1">
      <c r="G823" s="1082"/>
      <c r="R823" s="706"/>
    </row>
    <row r="824" spans="7:18" ht="15" customHeight="1">
      <c r="G824" s="1082"/>
      <c r="R824" s="706"/>
    </row>
    <row r="825" spans="7:18" ht="15" customHeight="1">
      <c r="G825" s="1082"/>
      <c r="R825" s="706"/>
    </row>
    <row r="826" spans="7:18" ht="15" customHeight="1">
      <c r="G826" s="1082"/>
      <c r="R826" s="706"/>
    </row>
    <row r="827" spans="7:18" ht="15" customHeight="1">
      <c r="G827" s="1082"/>
      <c r="R827" s="706"/>
    </row>
    <row r="828" spans="7:18" ht="15" customHeight="1">
      <c r="G828" s="1082"/>
      <c r="R828" s="706"/>
    </row>
    <row r="829" spans="7:18" ht="15" customHeight="1">
      <c r="G829" s="1082"/>
      <c r="R829" s="706"/>
    </row>
    <row r="830" spans="7:18" ht="15" customHeight="1">
      <c r="G830" s="1082"/>
      <c r="R830" s="706"/>
    </row>
    <row r="831" spans="7:18" ht="15" customHeight="1">
      <c r="G831" s="1082"/>
      <c r="R831" s="706"/>
    </row>
    <row r="832" spans="7:18" ht="15" customHeight="1">
      <c r="G832" s="1082"/>
      <c r="R832" s="706"/>
    </row>
    <row r="833" spans="7:18" ht="15" customHeight="1">
      <c r="G833" s="1082"/>
      <c r="R833" s="706"/>
    </row>
    <row r="834" spans="7:18" ht="15" customHeight="1">
      <c r="G834" s="1082"/>
      <c r="R834" s="706"/>
    </row>
    <row r="835" spans="7:18" ht="15" customHeight="1">
      <c r="G835" s="1082"/>
      <c r="R835" s="706"/>
    </row>
    <row r="836" spans="7:18" ht="15" customHeight="1">
      <c r="G836" s="1082"/>
      <c r="R836" s="706"/>
    </row>
    <row r="837" spans="7:18" ht="15" customHeight="1">
      <c r="G837" s="1082"/>
      <c r="R837" s="706"/>
    </row>
    <row r="838" spans="7:18" ht="15" customHeight="1">
      <c r="G838" s="1082"/>
      <c r="R838" s="706"/>
    </row>
    <row r="839" spans="7:18" ht="15" customHeight="1">
      <c r="G839" s="1082"/>
      <c r="R839" s="706"/>
    </row>
    <row r="840" spans="7:18" ht="15" customHeight="1">
      <c r="G840" s="1082"/>
      <c r="R840" s="706"/>
    </row>
    <row r="841" spans="7:18" ht="15" customHeight="1">
      <c r="G841" s="1082"/>
      <c r="R841" s="706"/>
    </row>
    <row r="842" spans="7:18" ht="15" customHeight="1">
      <c r="G842" s="1082"/>
      <c r="R842" s="706"/>
    </row>
    <row r="843" spans="7:18" ht="15" customHeight="1">
      <c r="G843" s="1082"/>
      <c r="R843" s="706"/>
    </row>
    <row r="844" spans="7:18" ht="15" customHeight="1">
      <c r="G844" s="1082"/>
      <c r="R844" s="706"/>
    </row>
    <row r="845" spans="7:18" ht="15" customHeight="1">
      <c r="G845" s="1082"/>
      <c r="R845" s="706"/>
    </row>
    <row r="846" spans="7:18" ht="15" customHeight="1">
      <c r="G846" s="1082"/>
      <c r="R846" s="706"/>
    </row>
    <row r="847" spans="7:18" ht="15" customHeight="1">
      <c r="G847" s="1082"/>
      <c r="R847" s="706"/>
    </row>
    <row r="848" spans="7:18" ht="15" customHeight="1">
      <c r="G848" s="1082"/>
      <c r="R848" s="706"/>
    </row>
    <row r="849" spans="7:18" ht="15" customHeight="1">
      <c r="G849" s="1082"/>
      <c r="R849" s="706"/>
    </row>
    <row r="850" spans="7:18" ht="15" customHeight="1">
      <c r="G850" s="1082"/>
      <c r="R850" s="706"/>
    </row>
    <row r="851" spans="7:18" ht="15" customHeight="1">
      <c r="G851" s="1082"/>
      <c r="R851" s="706"/>
    </row>
    <row r="852" spans="7:18" ht="15" customHeight="1">
      <c r="G852" s="1082"/>
      <c r="R852" s="706"/>
    </row>
    <row r="853" spans="7:18" ht="15" customHeight="1">
      <c r="G853" s="1082"/>
      <c r="R853" s="706"/>
    </row>
    <row r="854" spans="7:18" ht="15" customHeight="1">
      <c r="G854" s="1082"/>
      <c r="R854" s="706"/>
    </row>
    <row r="855" spans="7:18" ht="15" customHeight="1">
      <c r="G855" s="1082"/>
      <c r="R855" s="706"/>
    </row>
    <row r="856" spans="7:18" ht="15" customHeight="1">
      <c r="G856" s="1082"/>
      <c r="R856" s="706"/>
    </row>
    <row r="857" spans="7:18" ht="15" customHeight="1">
      <c r="G857" s="1082"/>
      <c r="R857" s="706"/>
    </row>
    <row r="858" spans="7:18" ht="15" customHeight="1">
      <c r="G858" s="1082"/>
      <c r="R858" s="706"/>
    </row>
    <row r="859" spans="7:18" ht="15" customHeight="1">
      <c r="G859" s="1082"/>
      <c r="R859" s="706"/>
    </row>
    <row r="860" spans="7:18" ht="15" customHeight="1">
      <c r="G860" s="1082"/>
      <c r="R860" s="706"/>
    </row>
    <row r="861" spans="7:18" ht="15" customHeight="1">
      <c r="G861" s="1082"/>
      <c r="R861" s="706"/>
    </row>
    <row r="862" spans="7:18" ht="15" customHeight="1">
      <c r="G862" s="1082"/>
      <c r="R862" s="706"/>
    </row>
    <row r="863" spans="7:18" ht="15" customHeight="1">
      <c r="G863" s="1082"/>
      <c r="R863" s="706"/>
    </row>
    <row r="864" spans="7:18" ht="15" customHeight="1">
      <c r="G864" s="1082"/>
      <c r="R864" s="706"/>
    </row>
    <row r="865" spans="7:18" ht="15" customHeight="1">
      <c r="G865" s="1082"/>
      <c r="R865" s="706"/>
    </row>
    <row r="866" spans="7:18" ht="15" customHeight="1">
      <c r="G866" s="1082"/>
      <c r="R866" s="706"/>
    </row>
    <row r="867" spans="7:18" ht="15" customHeight="1">
      <c r="G867" s="1082"/>
      <c r="R867" s="706"/>
    </row>
    <row r="868" spans="7:18" ht="15" customHeight="1">
      <c r="G868" s="1082"/>
      <c r="R868" s="706"/>
    </row>
    <row r="869" spans="7:18" ht="15" customHeight="1">
      <c r="G869" s="1082"/>
      <c r="R869" s="706"/>
    </row>
    <row r="870" spans="7:18" ht="15" customHeight="1">
      <c r="G870" s="1082"/>
      <c r="R870" s="706"/>
    </row>
    <row r="871" spans="7:18" ht="15" customHeight="1">
      <c r="G871" s="1082"/>
      <c r="R871" s="706"/>
    </row>
    <row r="872" spans="7:18" ht="15" customHeight="1">
      <c r="G872" s="1082"/>
      <c r="R872" s="706"/>
    </row>
    <row r="873" spans="7:18" ht="15" customHeight="1">
      <c r="G873" s="1082"/>
      <c r="R873" s="706"/>
    </row>
    <row r="874" spans="7:18" ht="15" customHeight="1">
      <c r="G874" s="1082"/>
      <c r="R874" s="706"/>
    </row>
    <row r="875" spans="7:18" ht="15" customHeight="1">
      <c r="G875" s="1082"/>
      <c r="R875" s="706"/>
    </row>
    <row r="876" spans="7:18" ht="15" customHeight="1">
      <c r="G876" s="1082"/>
      <c r="R876" s="706"/>
    </row>
    <row r="877" spans="7:18" ht="15" customHeight="1">
      <c r="G877" s="1082"/>
      <c r="R877" s="706"/>
    </row>
    <row r="878" spans="7:18" ht="15" customHeight="1">
      <c r="G878" s="1082"/>
      <c r="R878" s="706"/>
    </row>
    <row r="879" spans="7:18" ht="15" customHeight="1">
      <c r="G879" s="1082"/>
      <c r="R879" s="706"/>
    </row>
    <row r="880" spans="7:18" ht="15" customHeight="1">
      <c r="G880" s="1082"/>
      <c r="R880" s="706"/>
    </row>
    <row r="881" spans="7:18" ht="15" customHeight="1">
      <c r="G881" s="1082"/>
      <c r="R881" s="706"/>
    </row>
    <row r="882" spans="7:18" ht="15" customHeight="1">
      <c r="G882" s="1082"/>
      <c r="R882" s="706"/>
    </row>
    <row r="883" spans="7:18" ht="15" customHeight="1">
      <c r="G883" s="1082"/>
      <c r="R883" s="706"/>
    </row>
    <row r="884" spans="7:18" ht="15" customHeight="1">
      <c r="G884" s="1082"/>
      <c r="R884" s="706"/>
    </row>
    <row r="885" spans="7:18" ht="15" customHeight="1">
      <c r="G885" s="1082"/>
      <c r="R885" s="706"/>
    </row>
    <row r="886" spans="7:18" ht="15" customHeight="1">
      <c r="G886" s="1082"/>
      <c r="R886" s="706"/>
    </row>
    <row r="887" spans="7:18" ht="15" customHeight="1">
      <c r="G887" s="1082"/>
      <c r="R887" s="706"/>
    </row>
    <row r="888" spans="7:18" ht="15" customHeight="1">
      <c r="G888" s="1082"/>
      <c r="R888" s="706"/>
    </row>
    <row r="889" spans="7:18" ht="15" customHeight="1">
      <c r="G889" s="1082"/>
      <c r="R889" s="706"/>
    </row>
    <row r="890" spans="7:18" ht="15" customHeight="1">
      <c r="G890" s="1082"/>
      <c r="R890" s="706"/>
    </row>
    <row r="891" spans="7:18" ht="15" customHeight="1">
      <c r="G891" s="1082"/>
      <c r="R891" s="706"/>
    </row>
    <row r="892" spans="7:18" ht="15" customHeight="1">
      <c r="G892" s="1082"/>
      <c r="R892" s="706"/>
    </row>
    <row r="893" spans="7:18" ht="15" customHeight="1">
      <c r="G893" s="1082"/>
      <c r="R893" s="706"/>
    </row>
    <row r="894" spans="7:18" ht="15" customHeight="1">
      <c r="G894" s="1082"/>
      <c r="R894" s="706"/>
    </row>
    <row r="895" spans="7:18" ht="15" customHeight="1">
      <c r="G895" s="1082"/>
      <c r="R895" s="706"/>
    </row>
    <row r="896" spans="7:18" ht="15" customHeight="1">
      <c r="G896" s="1082"/>
      <c r="R896" s="706"/>
    </row>
    <row r="897" spans="7:18" ht="15" customHeight="1">
      <c r="G897" s="1082"/>
      <c r="R897" s="706"/>
    </row>
    <row r="898" spans="7:18" ht="15" customHeight="1">
      <c r="G898" s="1082"/>
      <c r="R898" s="706"/>
    </row>
    <row r="899" spans="7:18" ht="15" customHeight="1">
      <c r="G899" s="1082"/>
      <c r="R899" s="706"/>
    </row>
    <row r="900" spans="7:18" ht="15" customHeight="1">
      <c r="G900" s="1082"/>
      <c r="R900" s="706"/>
    </row>
    <row r="901" spans="7:18" ht="15" customHeight="1">
      <c r="G901" s="1082"/>
      <c r="R901" s="706"/>
    </row>
    <row r="902" spans="7:18" ht="15" customHeight="1">
      <c r="G902" s="1082"/>
      <c r="R902" s="706"/>
    </row>
    <row r="903" spans="7:18" ht="15" customHeight="1">
      <c r="G903" s="1082"/>
      <c r="R903" s="706"/>
    </row>
    <row r="904" spans="7:18" ht="15" customHeight="1">
      <c r="G904" s="1082"/>
      <c r="R904" s="706"/>
    </row>
    <row r="905" spans="7:18" ht="15" customHeight="1">
      <c r="G905" s="1082"/>
      <c r="R905" s="706"/>
    </row>
    <row r="906" spans="7:18" ht="15" customHeight="1">
      <c r="G906" s="1082"/>
      <c r="R906" s="706"/>
    </row>
    <row r="907" spans="7:18" ht="15" customHeight="1">
      <c r="G907" s="1082"/>
      <c r="R907" s="706"/>
    </row>
    <row r="908" spans="7:18" ht="15" customHeight="1">
      <c r="G908" s="1082"/>
      <c r="R908" s="706"/>
    </row>
    <row r="909" spans="7:18" ht="15" customHeight="1">
      <c r="G909" s="1082"/>
      <c r="R909" s="706"/>
    </row>
    <row r="910" spans="7:18" ht="15" customHeight="1">
      <c r="G910" s="1082"/>
      <c r="R910" s="706"/>
    </row>
    <row r="911" spans="7:18" ht="15" customHeight="1">
      <c r="G911" s="1082"/>
      <c r="R911" s="706"/>
    </row>
    <row r="912" spans="7:18" ht="15" customHeight="1">
      <c r="G912" s="1082"/>
      <c r="R912" s="706"/>
    </row>
    <row r="913" spans="7:18" ht="15" customHeight="1">
      <c r="G913" s="1082"/>
      <c r="R913" s="706"/>
    </row>
    <row r="914" spans="7:18" ht="15" customHeight="1">
      <c r="G914" s="1082"/>
      <c r="R914" s="706"/>
    </row>
    <row r="915" spans="7:18" ht="15" customHeight="1">
      <c r="G915" s="1082"/>
      <c r="R915" s="706"/>
    </row>
    <row r="916" spans="7:18" ht="15" customHeight="1">
      <c r="G916" s="1082"/>
      <c r="R916" s="706"/>
    </row>
    <row r="917" spans="7:18" ht="15" customHeight="1">
      <c r="G917" s="1082"/>
      <c r="R917" s="706"/>
    </row>
    <row r="918" spans="7:18" ht="15" customHeight="1">
      <c r="G918" s="1082"/>
      <c r="R918" s="706"/>
    </row>
    <row r="919" spans="7:18" ht="15" customHeight="1">
      <c r="G919" s="1082"/>
      <c r="R919" s="706"/>
    </row>
    <row r="920" spans="7:18" ht="15" customHeight="1">
      <c r="G920" s="1082"/>
      <c r="R920" s="706"/>
    </row>
    <row r="921" spans="7:18" ht="15" customHeight="1">
      <c r="G921" s="1082"/>
      <c r="R921" s="706"/>
    </row>
    <row r="922" spans="7:18" ht="15" customHeight="1">
      <c r="G922" s="1082"/>
      <c r="R922" s="706"/>
    </row>
    <row r="923" spans="7:18" ht="15" customHeight="1">
      <c r="G923" s="1082"/>
      <c r="R923" s="706"/>
    </row>
    <row r="924" spans="7:18" ht="15" customHeight="1">
      <c r="G924" s="1082"/>
      <c r="R924" s="706"/>
    </row>
    <row r="925" spans="7:18" ht="15" customHeight="1">
      <c r="G925" s="1082"/>
      <c r="R925" s="706"/>
    </row>
    <row r="926" spans="7:18" ht="15" customHeight="1">
      <c r="G926" s="1082"/>
      <c r="R926" s="706"/>
    </row>
    <row r="927" spans="7:18" ht="15" customHeight="1">
      <c r="G927" s="1082"/>
      <c r="R927" s="706"/>
    </row>
    <row r="928" spans="7:18" ht="15" customHeight="1">
      <c r="G928" s="1082"/>
      <c r="R928" s="706"/>
    </row>
    <row r="929" spans="7:18" ht="15" customHeight="1">
      <c r="G929" s="1082"/>
      <c r="R929" s="706"/>
    </row>
    <row r="930" spans="7:18" ht="15" customHeight="1">
      <c r="G930" s="1082"/>
      <c r="R930" s="706"/>
    </row>
    <row r="931" spans="7:18" ht="15" customHeight="1">
      <c r="G931" s="1082"/>
      <c r="R931" s="706"/>
    </row>
    <row r="932" spans="7:18" ht="15" customHeight="1">
      <c r="G932" s="1082"/>
      <c r="R932" s="706"/>
    </row>
    <row r="933" spans="7:18" ht="15" customHeight="1">
      <c r="G933" s="1082"/>
      <c r="R933" s="706"/>
    </row>
    <row r="934" spans="7:18" ht="15" customHeight="1">
      <c r="G934" s="1082"/>
      <c r="R934" s="706"/>
    </row>
    <row r="935" spans="7:18" ht="15" customHeight="1">
      <c r="G935" s="1082"/>
      <c r="R935" s="706"/>
    </row>
    <row r="936" spans="7:18" ht="15" customHeight="1">
      <c r="G936" s="1082"/>
      <c r="R936" s="706"/>
    </row>
    <row r="937" spans="7:18" ht="15" customHeight="1">
      <c r="G937" s="1082"/>
      <c r="R937" s="706"/>
    </row>
    <row r="938" spans="7:18" ht="15" customHeight="1">
      <c r="G938" s="1082"/>
      <c r="R938" s="706"/>
    </row>
    <row r="939" spans="7:18" ht="15" customHeight="1">
      <c r="G939" s="1082"/>
      <c r="R939" s="706"/>
    </row>
    <row r="940" spans="7:18" ht="15" customHeight="1">
      <c r="G940" s="1082"/>
      <c r="R940" s="706"/>
    </row>
    <row r="941" spans="7:18" ht="15" customHeight="1">
      <c r="G941" s="1082"/>
      <c r="R941" s="706"/>
    </row>
    <row r="942" spans="7:18" ht="15" customHeight="1">
      <c r="G942" s="1082"/>
      <c r="R942" s="706"/>
    </row>
    <row r="943" spans="7:18" ht="15" customHeight="1">
      <c r="G943" s="1082"/>
      <c r="R943" s="706"/>
    </row>
    <row r="944" spans="7:18" ht="15" customHeight="1">
      <c r="G944" s="1082"/>
      <c r="R944" s="706"/>
    </row>
    <row r="945" spans="7:18" ht="15" customHeight="1">
      <c r="G945" s="1082"/>
      <c r="R945" s="706"/>
    </row>
    <row r="946" spans="7:18" ht="15" customHeight="1">
      <c r="G946" s="1082"/>
      <c r="R946" s="706"/>
    </row>
    <row r="947" spans="7:18" ht="15" customHeight="1">
      <c r="G947" s="1082"/>
      <c r="R947" s="706"/>
    </row>
    <row r="948" spans="7:18" ht="15" customHeight="1">
      <c r="G948" s="1082"/>
      <c r="R948" s="706"/>
    </row>
    <row r="949" spans="7:18" ht="15" customHeight="1">
      <c r="G949" s="1082"/>
      <c r="R949" s="706"/>
    </row>
    <row r="950" spans="7:18" ht="15" customHeight="1">
      <c r="G950" s="1082"/>
      <c r="R950" s="706"/>
    </row>
    <row r="951" spans="7:18" ht="15" customHeight="1">
      <c r="G951" s="1082"/>
      <c r="R951" s="706"/>
    </row>
    <row r="952" spans="7:18" ht="15" customHeight="1">
      <c r="G952" s="1082"/>
      <c r="R952" s="706"/>
    </row>
    <row r="953" spans="7:18" ht="15" customHeight="1">
      <c r="G953" s="1082"/>
      <c r="R953" s="706"/>
    </row>
    <row r="954" spans="7:18" ht="15" customHeight="1">
      <c r="G954" s="1082"/>
      <c r="R954" s="706"/>
    </row>
    <row r="955" spans="7:18" ht="15" customHeight="1">
      <c r="G955" s="1082"/>
      <c r="R955" s="706"/>
    </row>
    <row r="956" spans="7:18" ht="15" customHeight="1">
      <c r="G956" s="1082"/>
      <c r="R956" s="706"/>
    </row>
    <row r="957" spans="7:18" ht="15" customHeight="1">
      <c r="G957" s="1082"/>
      <c r="R957" s="706"/>
    </row>
    <row r="958" spans="7:18" ht="15" customHeight="1">
      <c r="G958" s="1082"/>
      <c r="R958" s="706"/>
    </row>
    <row r="959" spans="7:18" ht="15" customHeight="1">
      <c r="G959" s="1082"/>
      <c r="R959" s="706"/>
    </row>
    <row r="960" spans="7:18" ht="15" customHeight="1">
      <c r="G960" s="1082"/>
      <c r="R960" s="706"/>
    </row>
    <row r="961" spans="7:18" ht="15" customHeight="1">
      <c r="G961" s="1082"/>
      <c r="R961" s="706"/>
    </row>
    <row r="962" spans="7:18" ht="15" customHeight="1">
      <c r="G962" s="1082"/>
      <c r="R962" s="706"/>
    </row>
    <row r="963" spans="7:18" ht="15" customHeight="1">
      <c r="G963" s="1082"/>
      <c r="R963" s="706"/>
    </row>
    <row r="964" spans="7:18" ht="15" customHeight="1">
      <c r="G964" s="1082"/>
      <c r="R964" s="706"/>
    </row>
    <row r="965" spans="7:18" ht="15" customHeight="1">
      <c r="G965" s="1082"/>
      <c r="R965" s="706"/>
    </row>
    <row r="966" spans="7:18" ht="15" customHeight="1">
      <c r="G966" s="1082"/>
      <c r="R966" s="706"/>
    </row>
    <row r="967" spans="7:18" ht="15" customHeight="1">
      <c r="G967" s="1082"/>
      <c r="R967" s="706"/>
    </row>
    <row r="968" spans="7:18" ht="15" customHeight="1">
      <c r="G968" s="1082"/>
      <c r="R968" s="706"/>
    </row>
    <row r="969" spans="7:18" ht="15" customHeight="1">
      <c r="G969" s="1082"/>
      <c r="R969" s="706"/>
    </row>
    <row r="970" spans="7:18" ht="15" customHeight="1">
      <c r="G970" s="1082"/>
      <c r="R970" s="706"/>
    </row>
    <row r="971" spans="7:18" ht="15" customHeight="1">
      <c r="G971" s="1082"/>
      <c r="R971" s="706"/>
    </row>
    <row r="972" spans="7:18" ht="15" customHeight="1">
      <c r="G972" s="1082"/>
      <c r="R972" s="706"/>
    </row>
    <row r="973" spans="7:18" ht="15" customHeight="1">
      <c r="G973" s="1082"/>
      <c r="R973" s="706"/>
    </row>
    <row r="974" spans="7:18" ht="15" customHeight="1">
      <c r="G974" s="1082"/>
      <c r="R974" s="706"/>
    </row>
    <row r="975" spans="7:18" ht="15" customHeight="1">
      <c r="G975" s="1082"/>
      <c r="R975" s="706"/>
    </row>
    <row r="976" spans="7:18" ht="15" customHeight="1">
      <c r="G976" s="1082"/>
      <c r="R976" s="706"/>
    </row>
    <row r="977" spans="7:18" ht="15" customHeight="1">
      <c r="G977" s="1082"/>
      <c r="R977" s="706"/>
    </row>
    <row r="978" spans="7:18" ht="15" customHeight="1">
      <c r="G978" s="1082"/>
      <c r="R978" s="706"/>
    </row>
    <row r="979" spans="7:18" ht="15" customHeight="1">
      <c r="G979" s="1082"/>
      <c r="R979" s="706"/>
    </row>
    <row r="980" spans="7:18" ht="15" customHeight="1">
      <c r="G980" s="1082"/>
      <c r="R980" s="706"/>
    </row>
    <row r="981" spans="7:18" ht="15" customHeight="1">
      <c r="G981" s="1082"/>
      <c r="R981" s="706"/>
    </row>
    <row r="982" spans="7:18" ht="15" customHeight="1">
      <c r="G982" s="1082"/>
      <c r="R982" s="706"/>
    </row>
    <row r="983" spans="7:18" ht="15" customHeight="1">
      <c r="G983" s="1082"/>
      <c r="R983" s="706"/>
    </row>
    <row r="984" spans="7:18" ht="15" customHeight="1">
      <c r="G984" s="1082"/>
      <c r="R984" s="706"/>
    </row>
    <row r="985" spans="7:18" ht="15" customHeight="1">
      <c r="G985" s="1082"/>
      <c r="R985" s="706"/>
    </row>
    <row r="986" spans="7:18" ht="15" customHeight="1">
      <c r="G986" s="1082"/>
      <c r="R986" s="706"/>
    </row>
    <row r="987" spans="7:18" ht="15" customHeight="1">
      <c r="G987" s="1082"/>
      <c r="R987" s="706"/>
    </row>
    <row r="988" spans="7:18" ht="15" customHeight="1">
      <c r="G988" s="1082"/>
      <c r="R988" s="706"/>
    </row>
    <row r="989" spans="7:18" ht="15" customHeight="1">
      <c r="G989" s="1082"/>
      <c r="R989" s="706"/>
    </row>
    <row r="990" spans="7:18" ht="15" customHeight="1">
      <c r="G990" s="1082"/>
      <c r="R990" s="706"/>
    </row>
    <row r="991" spans="7:18" ht="15" customHeight="1">
      <c r="G991" s="1082"/>
      <c r="R991" s="706"/>
    </row>
    <row r="992" spans="7:18" ht="15" customHeight="1">
      <c r="G992" s="1082"/>
      <c r="R992" s="706"/>
    </row>
    <row r="993" spans="7:18" ht="15" customHeight="1">
      <c r="G993" s="1082"/>
      <c r="R993" s="706"/>
    </row>
    <row r="994" spans="7:18" ht="15" customHeight="1">
      <c r="G994" s="1082"/>
      <c r="R994" s="706"/>
    </row>
    <row r="995" spans="7:18" ht="15" customHeight="1">
      <c r="G995" s="1082"/>
      <c r="R995" s="706"/>
    </row>
    <row r="996" spans="7:18" ht="15" customHeight="1">
      <c r="G996" s="1082"/>
      <c r="R996" s="706"/>
    </row>
    <row r="997" spans="7:18" ht="15" customHeight="1">
      <c r="G997" s="1082"/>
      <c r="R997" s="706"/>
    </row>
    <row r="998" spans="7:18" ht="15" customHeight="1">
      <c r="G998" s="1082"/>
      <c r="R998" s="706"/>
    </row>
    <row r="999" spans="7:18" ht="15" customHeight="1">
      <c r="G999" s="1082"/>
      <c r="R999" s="706"/>
    </row>
    <row r="1000" spans="7:18" ht="15" customHeight="1">
      <c r="G1000" s="1082"/>
      <c r="R1000" s="706"/>
    </row>
    <row r="1001" spans="7:18" ht="15" customHeight="1">
      <c r="G1001" s="1082"/>
      <c r="R1001" s="706"/>
    </row>
    <row r="1002" spans="7:18" ht="15" customHeight="1">
      <c r="G1002" s="1082"/>
      <c r="R1002" s="706"/>
    </row>
    <row r="1003" spans="7:18" ht="15" customHeight="1">
      <c r="G1003" s="1082"/>
      <c r="R1003" s="706"/>
    </row>
    <row r="1004" spans="7:18" ht="15" customHeight="1">
      <c r="G1004" s="1082"/>
      <c r="R1004" s="706"/>
    </row>
    <row r="1005" spans="7:18" ht="15" customHeight="1">
      <c r="G1005" s="1082"/>
      <c r="R1005" s="706"/>
    </row>
    <row r="1006" spans="7:18" ht="15" customHeight="1">
      <c r="G1006" s="1082"/>
      <c r="R1006" s="706"/>
    </row>
    <row r="1007" spans="7:18" ht="15" customHeight="1">
      <c r="G1007" s="1082"/>
      <c r="R1007" s="706"/>
    </row>
    <row r="1008" spans="7:18" ht="15" customHeight="1">
      <c r="G1008" s="1082"/>
      <c r="R1008" s="706"/>
    </row>
    <row r="1009" spans="7:18" ht="15" customHeight="1">
      <c r="G1009" s="1082"/>
      <c r="R1009" s="706"/>
    </row>
    <row r="1010" spans="7:18" ht="15" customHeight="1">
      <c r="G1010" s="1082"/>
      <c r="R1010" s="706"/>
    </row>
    <row r="1011" spans="7:18" ht="15" customHeight="1">
      <c r="G1011" s="1082"/>
      <c r="R1011" s="706"/>
    </row>
    <row r="1012" spans="7:18" ht="15" customHeight="1">
      <c r="G1012" s="1082"/>
      <c r="R1012" s="706"/>
    </row>
    <row r="1013" spans="7:18" ht="15" customHeight="1">
      <c r="G1013" s="1082"/>
      <c r="R1013" s="706"/>
    </row>
    <row r="1014" spans="7:18" ht="15" customHeight="1">
      <c r="G1014" s="1082"/>
      <c r="R1014" s="706"/>
    </row>
    <row r="1015" spans="7:18" ht="15" customHeight="1">
      <c r="G1015" s="1082"/>
      <c r="R1015" s="706"/>
    </row>
    <row r="1016" spans="7:18" ht="15" customHeight="1">
      <c r="G1016" s="1082"/>
      <c r="R1016" s="706"/>
    </row>
    <row r="1017" spans="7:18" ht="15" customHeight="1">
      <c r="G1017" s="1082"/>
      <c r="R1017" s="706"/>
    </row>
    <row r="1018" spans="7:18" ht="15" customHeight="1">
      <c r="G1018" s="1082"/>
      <c r="R1018" s="706"/>
    </row>
    <row r="1019" spans="7:18" ht="15" customHeight="1">
      <c r="G1019" s="1082"/>
      <c r="R1019" s="706"/>
    </row>
    <row r="1020" spans="7:18" ht="15" customHeight="1">
      <c r="G1020" s="1082"/>
      <c r="R1020" s="706"/>
    </row>
    <row r="1021" spans="7:18" ht="15" customHeight="1">
      <c r="G1021" s="1082"/>
      <c r="R1021" s="706"/>
    </row>
    <row r="1022" spans="7:18" ht="15" customHeight="1">
      <c r="G1022" s="1082"/>
      <c r="R1022" s="706"/>
    </row>
    <row r="1023" spans="7:18" ht="15" customHeight="1">
      <c r="G1023" s="1082"/>
      <c r="R1023" s="706"/>
    </row>
    <row r="1024" spans="7:18" ht="15" customHeight="1">
      <c r="G1024" s="1082"/>
      <c r="R1024" s="706"/>
    </row>
    <row r="1025" spans="7:18" ht="15" customHeight="1">
      <c r="G1025" s="1082"/>
      <c r="R1025" s="706"/>
    </row>
    <row r="1026" spans="7:18" ht="15" customHeight="1">
      <c r="G1026" s="1082"/>
      <c r="R1026" s="706"/>
    </row>
    <row r="1027" spans="7:18" ht="15" customHeight="1">
      <c r="G1027" s="1082"/>
      <c r="R1027" s="706"/>
    </row>
    <row r="1028" spans="7:18" ht="15" customHeight="1">
      <c r="G1028" s="1082"/>
      <c r="R1028" s="706"/>
    </row>
    <row r="1029" spans="7:18" ht="15" customHeight="1">
      <c r="G1029" s="1082"/>
      <c r="R1029" s="706"/>
    </row>
    <row r="1030" spans="7:18" ht="15" customHeight="1">
      <c r="G1030" s="1082"/>
      <c r="R1030" s="706"/>
    </row>
    <row r="1031" spans="7:18" ht="15" customHeight="1">
      <c r="G1031" s="1082"/>
      <c r="R1031" s="706"/>
    </row>
    <row r="1032" spans="7:18" ht="15" customHeight="1">
      <c r="G1032" s="1082"/>
      <c r="R1032" s="706"/>
    </row>
    <row r="1033" spans="7:18" ht="15" customHeight="1">
      <c r="G1033" s="1082"/>
      <c r="R1033" s="706"/>
    </row>
    <row r="1034" spans="7:18" ht="15" customHeight="1">
      <c r="G1034" s="1082"/>
      <c r="R1034" s="706"/>
    </row>
    <row r="1035" spans="7:18" ht="15" customHeight="1">
      <c r="G1035" s="1082"/>
      <c r="R1035" s="706"/>
    </row>
    <row r="1036" spans="7:18" ht="15" customHeight="1">
      <c r="G1036" s="1082"/>
      <c r="R1036" s="706"/>
    </row>
    <row r="1037" spans="7:18" ht="15" customHeight="1">
      <c r="G1037" s="1082"/>
      <c r="R1037" s="706"/>
    </row>
    <row r="1038" spans="7:18" ht="15" customHeight="1">
      <c r="G1038" s="1082"/>
      <c r="R1038" s="706"/>
    </row>
    <row r="1039" spans="7:18" ht="15" customHeight="1">
      <c r="G1039" s="1082"/>
      <c r="R1039" s="706"/>
    </row>
    <row r="1040" spans="7:18" ht="15" customHeight="1">
      <c r="G1040" s="1082"/>
      <c r="R1040" s="706"/>
    </row>
    <row r="1041" spans="7:18" ht="15" customHeight="1">
      <c r="G1041" s="1082"/>
      <c r="R1041" s="706"/>
    </row>
    <row r="1042" spans="7:18" ht="15" customHeight="1">
      <c r="G1042" s="1082"/>
      <c r="R1042" s="706"/>
    </row>
    <row r="1043" spans="7:18" ht="15" customHeight="1">
      <c r="G1043" s="1082"/>
      <c r="R1043" s="706"/>
    </row>
    <row r="1044" spans="7:18" ht="15" customHeight="1">
      <c r="G1044" s="1082"/>
      <c r="R1044" s="706"/>
    </row>
    <row r="1045" spans="7:18" ht="15" customHeight="1">
      <c r="G1045" s="1082"/>
      <c r="R1045" s="706"/>
    </row>
    <row r="1046" spans="7:18" ht="15" customHeight="1">
      <c r="G1046" s="1082"/>
      <c r="R1046" s="706"/>
    </row>
    <row r="1047" spans="7:18" ht="15" customHeight="1">
      <c r="G1047" s="1082"/>
      <c r="R1047" s="706"/>
    </row>
    <row r="1048" spans="7:18" ht="15" customHeight="1">
      <c r="G1048" s="1082"/>
      <c r="R1048" s="706"/>
    </row>
    <row r="1049" spans="7:18" ht="15" customHeight="1">
      <c r="G1049" s="1082"/>
      <c r="R1049" s="706"/>
    </row>
    <row r="1050" spans="7:18" ht="15" customHeight="1">
      <c r="G1050" s="1082"/>
      <c r="R1050" s="706"/>
    </row>
    <row r="1051" spans="7:18" ht="15" customHeight="1">
      <c r="G1051" s="1082"/>
      <c r="R1051" s="706"/>
    </row>
    <row r="1052" spans="7:18" ht="15" customHeight="1">
      <c r="G1052" s="1082"/>
      <c r="R1052" s="706"/>
    </row>
    <row r="1053" spans="7:18" ht="15" customHeight="1">
      <c r="G1053" s="1082"/>
      <c r="R1053" s="706"/>
    </row>
    <row r="1054" spans="7:18" ht="15" customHeight="1">
      <c r="G1054" s="1082"/>
      <c r="R1054" s="706"/>
    </row>
    <row r="1055" spans="7:18" ht="15" customHeight="1">
      <c r="G1055" s="1082"/>
      <c r="R1055" s="706"/>
    </row>
    <row r="1056" spans="7:18" ht="15" customHeight="1">
      <c r="G1056" s="1082"/>
      <c r="R1056" s="706"/>
    </row>
    <row r="1057" spans="18:18" ht="15" customHeight="1">
      <c r="R1057" s="706"/>
    </row>
    <row r="1058" spans="18:18" ht="15" customHeight="1">
      <c r="R1058" s="706"/>
    </row>
    <row r="1059" spans="18:18" ht="15" customHeight="1">
      <c r="R1059" s="706"/>
    </row>
    <row r="1060" spans="18:18" ht="15" customHeight="1">
      <c r="R1060" s="706"/>
    </row>
    <row r="1061" spans="18:18" ht="15" customHeight="1">
      <c r="R1061" s="706"/>
    </row>
    <row r="1062" spans="18:18" ht="15" customHeight="1">
      <c r="R1062" s="706"/>
    </row>
    <row r="1063" spans="18:18" ht="15" customHeight="1">
      <c r="R1063" s="706"/>
    </row>
    <row r="1064" spans="18:18" ht="15" customHeight="1">
      <c r="R1064" s="706"/>
    </row>
    <row r="1065" spans="18:18" ht="15" customHeight="1">
      <c r="R1065" s="706"/>
    </row>
    <row r="1066" spans="18:18" ht="15" customHeight="1">
      <c r="R1066" s="706"/>
    </row>
    <row r="1067" spans="18:18" ht="15" customHeight="1">
      <c r="R1067" s="706"/>
    </row>
    <row r="1068" spans="18:18" ht="15" customHeight="1">
      <c r="R1068" s="706"/>
    </row>
    <row r="1069" spans="18:18" ht="15" customHeight="1">
      <c r="R1069" s="706"/>
    </row>
    <row r="1070" spans="18:18" ht="15" customHeight="1">
      <c r="R1070" s="706"/>
    </row>
    <row r="1071" spans="18:18" ht="15" customHeight="1">
      <c r="R1071" s="706"/>
    </row>
    <row r="1072" spans="18:18" ht="15" customHeight="1">
      <c r="R1072" s="706"/>
    </row>
    <row r="1073" spans="18:18" ht="15" customHeight="1">
      <c r="R1073" s="706"/>
    </row>
    <row r="1074" spans="18:18" ht="15" customHeight="1">
      <c r="R1074" s="706"/>
    </row>
    <row r="1075" spans="18:18" ht="15" customHeight="1">
      <c r="R1075" s="706"/>
    </row>
    <row r="1076" spans="18:18" ht="15" customHeight="1">
      <c r="R1076" s="706"/>
    </row>
    <row r="1077" spans="18:18" ht="15" customHeight="1">
      <c r="R1077" s="706"/>
    </row>
    <row r="1078" spans="18:18" ht="15" customHeight="1">
      <c r="R1078" s="706"/>
    </row>
    <row r="1079" spans="18:18" ht="15" customHeight="1">
      <c r="R1079" s="706"/>
    </row>
    <row r="1080" spans="18:18" ht="15" customHeight="1">
      <c r="R1080" s="706"/>
    </row>
    <row r="1081" spans="18:18" ht="15" customHeight="1">
      <c r="R1081" s="706"/>
    </row>
    <row r="1082" spans="18:18" ht="15" customHeight="1">
      <c r="R1082" s="706"/>
    </row>
    <row r="1083" spans="18:18" ht="15" customHeight="1">
      <c r="R1083" s="706"/>
    </row>
    <row r="1084" spans="18:18" ht="15" customHeight="1">
      <c r="R1084" s="706"/>
    </row>
    <row r="1085" spans="18:18" ht="15" customHeight="1">
      <c r="R1085" s="706"/>
    </row>
    <row r="1086" spans="18:18" ht="15" customHeight="1">
      <c r="R1086" s="706"/>
    </row>
    <row r="1087" spans="18:18" ht="15" customHeight="1">
      <c r="R1087" s="706"/>
    </row>
    <row r="1088" spans="18:18" ht="15" customHeight="1">
      <c r="R1088" s="706"/>
    </row>
    <row r="1089" spans="18:18" ht="15" customHeight="1">
      <c r="R1089" s="706"/>
    </row>
    <row r="1090" spans="18:18" ht="15" customHeight="1">
      <c r="R1090" s="706"/>
    </row>
    <row r="1091" spans="18:18" ht="15" customHeight="1">
      <c r="R1091" s="706"/>
    </row>
    <row r="1092" spans="18:18" ht="15" customHeight="1">
      <c r="R1092" s="706"/>
    </row>
    <row r="1093" spans="18:18" ht="15" customHeight="1">
      <c r="R1093" s="706"/>
    </row>
    <row r="1094" spans="18:18" ht="15" customHeight="1">
      <c r="R1094" s="706"/>
    </row>
    <row r="1095" spans="18:18" ht="15" customHeight="1">
      <c r="R1095" s="706"/>
    </row>
    <row r="1096" spans="18:18" ht="15" customHeight="1">
      <c r="R1096" s="706"/>
    </row>
    <row r="1097" spans="18:18" ht="15" customHeight="1">
      <c r="R1097" s="706"/>
    </row>
    <row r="1098" spans="18:18" ht="15" customHeight="1">
      <c r="R1098" s="706"/>
    </row>
    <row r="1099" spans="18:18" ht="15" customHeight="1">
      <c r="R1099" s="706"/>
    </row>
    <row r="1100" spans="18:18" ht="15" customHeight="1">
      <c r="R1100" s="706"/>
    </row>
    <row r="1101" spans="18:18" ht="15" customHeight="1">
      <c r="R1101" s="706"/>
    </row>
    <row r="1102" spans="18:18" ht="15" customHeight="1">
      <c r="R1102" s="706"/>
    </row>
    <row r="1103" spans="18:18" ht="15" customHeight="1">
      <c r="R1103" s="706"/>
    </row>
    <row r="1104" spans="18:18" ht="15" customHeight="1">
      <c r="R1104" s="706"/>
    </row>
    <row r="1105" spans="18:18" ht="15" customHeight="1">
      <c r="R1105" s="706"/>
    </row>
    <row r="1106" spans="18:18" ht="15" customHeight="1">
      <c r="R1106" s="706"/>
    </row>
    <row r="1107" spans="18:18" ht="15" customHeight="1">
      <c r="R1107" s="706"/>
    </row>
    <row r="1108" spans="18:18" ht="15" customHeight="1">
      <c r="R1108" s="706"/>
    </row>
    <row r="1109" spans="18:18" ht="15" customHeight="1">
      <c r="R1109" s="706"/>
    </row>
    <row r="1110" spans="18:18" ht="15" customHeight="1">
      <c r="R1110" s="706"/>
    </row>
    <row r="1111" spans="18:18" ht="15" customHeight="1">
      <c r="R1111" s="706"/>
    </row>
    <row r="1112" spans="18:18" ht="15" customHeight="1">
      <c r="R1112" s="706"/>
    </row>
    <row r="1113" spans="18:18" ht="15" customHeight="1">
      <c r="R1113" s="706"/>
    </row>
    <row r="1114" spans="18:18" ht="15" customHeight="1">
      <c r="R1114" s="706"/>
    </row>
    <row r="1115" spans="18:18" ht="15" customHeight="1">
      <c r="R1115" s="706"/>
    </row>
    <row r="1116" spans="18:18" ht="15" customHeight="1">
      <c r="R1116" s="706"/>
    </row>
    <row r="1117" spans="18:18" ht="15" customHeight="1">
      <c r="R1117" s="706"/>
    </row>
    <row r="1118" spans="18:18" ht="15" customHeight="1">
      <c r="R1118" s="706"/>
    </row>
    <row r="1119" spans="18:18" ht="15" customHeight="1">
      <c r="R1119" s="706"/>
    </row>
    <row r="1120" spans="18:18" ht="15" customHeight="1">
      <c r="R1120" s="706"/>
    </row>
    <row r="1121" spans="18:18" ht="15" customHeight="1">
      <c r="R1121" s="706"/>
    </row>
    <row r="1122" spans="18:18" ht="15" customHeight="1">
      <c r="R1122" s="706"/>
    </row>
    <row r="1123" spans="18:18" ht="15" customHeight="1">
      <c r="R1123" s="706"/>
    </row>
    <row r="1124" spans="18:18" ht="15" customHeight="1">
      <c r="R1124" s="706"/>
    </row>
    <row r="1125" spans="18:18" ht="15" customHeight="1">
      <c r="R1125" s="706"/>
    </row>
    <row r="1126" spans="18:18" ht="15" customHeight="1">
      <c r="R1126" s="706"/>
    </row>
    <row r="1127" spans="18:18" ht="15" customHeight="1">
      <c r="R1127" s="706"/>
    </row>
  </sheetData>
  <autoFilter ref="A3:AO102" xr:uid="{00000000-0009-0000-0000-000006000000}"/>
  <pageMargins left="0.7" right="0.7" top="0.75" bottom="0.75" header="0" footer="0"/>
  <pageSetup scale="19" fitToHeight="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38">
    <tabColor rgb="FF00B050"/>
    <pageSetUpPr fitToPage="1"/>
  </sheetPr>
  <dimension ref="A1:BG969"/>
  <sheetViews>
    <sheetView showGridLines="0" zoomScale="81" zoomScaleNormal="81" workbookViewId="0">
      <pane xSplit="4" ySplit="3" topLeftCell="AU4" activePane="bottomRight" state="frozen"/>
      <selection activeCell="BC24" sqref="BC24"/>
      <selection pane="topRight" activeCell="BC24" sqref="BC24"/>
      <selection pane="bottomLeft" activeCell="BC24" sqref="BC24"/>
      <selection pane="bottomRight" activeCell="BC27" sqref="BC27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2.88671875" style="762" customWidth="1"/>
    <col min="4" max="4" width="45.33203125" customWidth="1"/>
    <col min="5" max="5" width="13.109375" customWidth="1"/>
    <col min="6" max="6" width="17.33203125" customWidth="1"/>
    <col min="7" max="7" width="11.6640625" customWidth="1"/>
    <col min="8" max="8" width="11.44140625" style="762" customWidth="1"/>
    <col min="9" max="9" width="11.5546875" customWidth="1"/>
    <col min="10" max="10" width="10.66406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6.332031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hidden="1" customWidth="1"/>
    <col min="27" max="27" width="15.33203125" hidden="1" customWidth="1"/>
    <col min="28" max="28" width="12.88671875" hidden="1" customWidth="1"/>
    <col min="29" max="29" width="14.44140625" hidden="1" customWidth="1"/>
    <col min="30" max="30" width="12.33203125" hidden="1" customWidth="1"/>
    <col min="31" max="31" width="15.5546875" hidden="1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5.33203125" customWidth="1"/>
    <col min="41" max="41" width="14.44140625" customWidth="1"/>
    <col min="42" max="42" width="10.88671875" customWidth="1"/>
    <col min="43" max="43" width="12.6640625" customWidth="1"/>
    <col min="44" max="44" width="62.6640625" customWidth="1"/>
  </cols>
  <sheetData>
    <row r="1" spans="1:59" ht="15" customHeight="1" thickBot="1">
      <c r="A1" s="1198"/>
      <c r="D1" s="1075" t="s">
        <v>2275</v>
      </c>
      <c r="E1" s="1076">
        <f>+AI3</f>
        <v>4916.8419999999978</v>
      </c>
      <c r="F1" s="1075" t="s">
        <v>1906</v>
      </c>
      <c r="G1" s="1076" t="e">
        <f>+$AM3</f>
        <v>#N/A</v>
      </c>
      <c r="H1" s="1448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9" ht="15" customHeight="1" thickBot="1">
      <c r="B2" s="847"/>
      <c r="D2" s="1075" t="s">
        <v>1907</v>
      </c>
      <c r="E2" s="1076">
        <f>+AH3</f>
        <v>4586.8629999999994</v>
      </c>
      <c r="F2" s="1079" t="s">
        <v>1908</v>
      </c>
      <c r="G2" s="1080">
        <f>+Q2</f>
        <v>93.498373485320982</v>
      </c>
      <c r="H2" s="90"/>
      <c r="I2" s="1251">
        <f>SUBTOTAL(9,I4:I1755)</f>
        <v>564.87000000000023</v>
      </c>
      <c r="J2" s="81"/>
      <c r="K2" s="91">
        <f>SUBTOTAL(9,K4:K1755)</f>
        <v>522.673</v>
      </c>
      <c r="L2" s="1202">
        <f>+SUMPRODUCT(L5:L1755,K5:K1755)/K2</f>
        <v>0.2743765585748642</v>
      </c>
      <c r="M2" s="6"/>
      <c r="P2" s="94">
        <f>+SUMPRODUCT(P4:P1755,AH4:AH1755)/SUM(AH4:AH1755)</f>
        <v>88.063068375924914</v>
      </c>
      <c r="Q2" s="1201">
        <f>+SUMPRODUCT(Q4:Q1755,AH4:AH1755)/SUM(AH4:AH1755)</f>
        <v>93.498373485320982</v>
      </c>
      <c r="R2" s="1151">
        <f>+SUMPRODUCT(R4:R1755,AH4:AH1755)/SUM(AH4:AH1755)</f>
        <v>3467.0366512581695</v>
      </c>
      <c r="S2" s="6"/>
      <c r="AB2" s="83"/>
      <c r="AC2" s="83"/>
      <c r="AD2" s="83"/>
      <c r="AE2" s="83"/>
      <c r="AF2" s="83"/>
      <c r="AG2" s="1209" t="e">
        <f>SUMPRODUCT($AG4:$AG1755,$K4:$K1755)/SUM($K4:$K1755)</f>
        <v>#N/A</v>
      </c>
      <c r="AH2" s="702"/>
      <c r="AI2" s="631"/>
      <c r="AJ2" s="252">
        <v>3443</v>
      </c>
      <c r="AK2" s="98"/>
      <c r="AL2" s="88"/>
      <c r="AM2" s="99"/>
      <c r="AN2" s="1181"/>
      <c r="AO2" s="99"/>
    </row>
    <row r="3" spans="1:59" ht="15" customHeight="1" thickBot="1">
      <c r="A3" s="678" t="s">
        <v>11</v>
      </c>
      <c r="B3" s="678" t="s">
        <v>39</v>
      </c>
      <c r="C3" s="679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SUBTOTAL(9,AH4:AH1755)</f>
        <v>4586.8629999999994</v>
      </c>
      <c r="AI3" s="1252">
        <f>SUBTOTAL(9,AI4:AI1755)</f>
        <v>4916.8419999999978</v>
      </c>
      <c r="AJ3" s="1388" t="e">
        <f>SUMPRODUCT(K4:K1755,AJ4:AJ1755)/K2</f>
        <v>#N/A</v>
      </c>
      <c r="AK3" s="118">
        <f>SUBTOTAL(9,AK4:AK1755)</f>
        <v>4264.4150721874967</v>
      </c>
      <c r="AL3" s="88"/>
      <c r="AM3" s="118" t="e">
        <f>SUBTOTAL(9,AM4:AM1755)</f>
        <v>#N/A</v>
      </c>
      <c r="AN3" s="1182" t="s">
        <v>2247</v>
      </c>
      <c r="AO3" s="1168" t="s">
        <v>2283</v>
      </c>
      <c r="AP3" t="s">
        <v>2351</v>
      </c>
      <c r="AQ3" t="s">
        <v>2352</v>
      </c>
      <c r="AS3" s="1216"/>
    </row>
    <row r="4" spans="1:59" s="677" customFormat="1" ht="15.75" customHeight="1" thickBot="1">
      <c r="A4" s="720"/>
      <c r="B4" s="695"/>
      <c r="C4" s="723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  <c r="AV4" s="1982" t="s">
        <v>2766</v>
      </c>
      <c r="AW4" s="1983"/>
      <c r="AX4" s="1983"/>
      <c r="AY4" s="1983"/>
      <c r="AZ4" s="1983"/>
      <c r="BA4" s="1983"/>
      <c r="BB4" s="1983"/>
      <c r="BC4" s="1983"/>
      <c r="BD4" s="1984"/>
    </row>
    <row r="5" spans="1:59" ht="15" customHeight="1">
      <c r="A5" s="1149" t="s">
        <v>2345</v>
      </c>
      <c r="B5" s="595">
        <v>45861</v>
      </c>
      <c r="C5" s="1447">
        <v>45855</v>
      </c>
      <c r="D5" t="s">
        <v>93</v>
      </c>
      <c r="E5">
        <f>_xlfn.XLOOKUP(D5,RUC!$B$3:$B$123,RUC!$D$3:$D$123)</f>
        <v>20169040231</v>
      </c>
      <c r="G5" s="80">
        <v>12</v>
      </c>
      <c r="H5" s="762" t="s">
        <v>69</v>
      </c>
      <c r="I5" s="703">
        <v>1.02</v>
      </c>
      <c r="J5" s="596">
        <v>1.05</v>
      </c>
      <c r="K5" s="138">
        <f t="shared" ref="K5:K15" si="0">ROUND(+I5-(I5*(J5/100)),3)</f>
        <v>1.0089999999999999</v>
      </c>
      <c r="L5" s="139">
        <v>9.1999999999999998E-2</v>
      </c>
      <c r="M5" s="139">
        <v>7.4999999999999997E-2</v>
      </c>
      <c r="N5" s="159">
        <v>7.4999999999999997E-2</v>
      </c>
      <c r="O5" s="645">
        <f t="shared" ref="O5:O27" si="1">+ROUND((M5+N5)/2,3)</f>
        <v>7.4999999999999997E-2</v>
      </c>
      <c r="P5" s="727">
        <v>90</v>
      </c>
      <c r="Q5" s="596">
        <v>95.65</v>
      </c>
      <c r="R5" s="1185">
        <v>3318.5</v>
      </c>
      <c r="S5" s="765">
        <f>IF((90+ROUNDDOWN(O5,1)*100)&lt;95,95,(85+ROUNDDOWN(O5,1)*100))</f>
        <v>95</v>
      </c>
      <c r="U5" s="1146">
        <f>_xlfn.XLOOKUP(D5,RUC!$B$3:$B$123,RUC!$F$3:$F$123)</f>
        <v>120</v>
      </c>
      <c r="V5" s="715">
        <v>1.1023000000000001</v>
      </c>
      <c r="Y5">
        <f>_xlfn.XLOOKUP(D5,RUC!$B$3:$B$123,RUC!$G$3:$G$123)</f>
        <v>20</v>
      </c>
      <c r="Z5" s="143">
        <f>_xlfn.XLOOKUP(D5,RUC!$B$3:$B$123,RUC!$H$3:$H$123)</f>
        <v>30</v>
      </c>
      <c r="AA5" s="144">
        <f t="shared" ref="AA5:AA53" si="2">+Y5+Z5</f>
        <v>50</v>
      </c>
      <c r="AB5" s="145">
        <v>0.01</v>
      </c>
      <c r="AC5" s="145">
        <f>+(S5-T5)*V5-'data 1'!$F$4</f>
        <v>24.718500000000006</v>
      </c>
      <c r="AD5" s="145">
        <f t="shared" ref="AD5:AD53" si="3">+(Q5-P5)*(R5-U5)*L5*V5/100</f>
        <v>18.32662264690002</v>
      </c>
      <c r="AE5" s="145">
        <f t="shared" ref="AE5:AE53" si="4">+(Y5*V5-70)+V5*(Z5-IF(D5="UNTUCA",IF(+((W5-3)*2.5+(X5-3)*3.1)&gt;0,+((W5-3)*1.5+(X5-3)*3.1),0),IF(+((W5-3)*1.5+(X5-3)*3.1)&gt;0,+((W5-3)*1.5+(X5-3)*3.1),0)))</f>
        <v>-14.884999999999998</v>
      </c>
      <c r="AF5" s="145">
        <f t="shared" ref="AF5:AF53" si="5">(L5-O5)*(R5-U5)*Q5*V5/100</f>
        <v>57.329751356275011</v>
      </c>
      <c r="AG5" s="772">
        <f>AC5+AD5+AE5+AF5+70-53+78.15</f>
        <v>180.63987400317504</v>
      </c>
      <c r="AH5" s="1253">
        <f>ROUND((31.1035*L5*Q5*1.1023*K5/100),3)</f>
        <v>3.044</v>
      </c>
      <c r="AI5" s="1253">
        <f>ROUND((31.1035*L5*1.1023*K5),3)</f>
        <v>3.1829999999999998</v>
      </c>
      <c r="AJ5" s="156">
        <f t="shared" ref="AJ5:AJ53" si="6">+((+$AJ$2-R5+U5)*L5*Q5*V5)/100</f>
        <v>23.7165477753</v>
      </c>
      <c r="AK5" s="156">
        <f t="shared" ref="AK5:AK53" si="7">31.1035*1.1023*K5*P5*O5/100</f>
        <v>2.3350920666153745</v>
      </c>
      <c r="AL5" s="88"/>
      <c r="AM5" s="716">
        <f t="shared" ref="AM5:AM53" si="8">+IF(AB5*K5&gt;0,AB5*K5,0)</f>
        <v>1.009E-2</v>
      </c>
      <c r="AN5" s="716" t="str">
        <f>_xlfn.XLOOKUP(D5,RUC!$B$3:$B$578,RUC!$M$3:$M$578)</f>
        <v>Ronald Miranda</v>
      </c>
      <c r="AO5" s="1167" t="s">
        <v>2277</v>
      </c>
      <c r="AP5" t="s">
        <v>2370</v>
      </c>
      <c r="AQ5" s="1190" t="s">
        <v>2378</v>
      </c>
      <c r="AS5" s="1212"/>
      <c r="AW5" s="1469">
        <f>SUM(AW7:AW16)</f>
        <v>522.673</v>
      </c>
      <c r="AX5" s="1470">
        <f>SUMPRODUCT(AW7:AW16,AX7:AX16)/SUM(AW7:AW16)</f>
        <v>0.2743765585748642</v>
      </c>
      <c r="AY5" s="704"/>
      <c r="AZ5" s="1471">
        <f>SUMPRODUCT(AZ7:AZ16,$BB7:$BB16)/SUM($BB7:$BB16)/100</f>
        <v>0.93498373485320996</v>
      </c>
      <c r="BA5" s="707">
        <f>SUM(BA7:BA16)</f>
        <v>4916.840723362433</v>
      </c>
      <c r="BB5" s="707">
        <f>SUM(BB7:BB16)</f>
        <v>4586.8630000000003</v>
      </c>
    </row>
    <row r="6" spans="1:59" ht="15" customHeight="1" thickBot="1">
      <c r="A6" s="747" t="s">
        <v>2354</v>
      </c>
      <c r="B6" s="595">
        <v>45880</v>
      </c>
      <c r="C6" s="1447">
        <v>45856</v>
      </c>
      <c r="D6" t="s">
        <v>1484</v>
      </c>
      <c r="E6">
        <f>_xlfn.XLOOKUP(D6,RUC!$B$3:$B$123,RUC!$D$3:$D$123)</f>
        <v>10761932735</v>
      </c>
      <c r="G6" s="80" t="s">
        <v>1434</v>
      </c>
      <c r="H6" s="762" t="s">
        <v>69</v>
      </c>
      <c r="I6" s="703">
        <v>44.65</v>
      </c>
      <c r="J6" s="596">
        <v>7.75</v>
      </c>
      <c r="K6" s="138">
        <f t="shared" si="0"/>
        <v>41.19</v>
      </c>
      <c r="L6" s="240">
        <v>0.1</v>
      </c>
      <c r="M6" s="139">
        <v>8.5000000000000006E-2</v>
      </c>
      <c r="N6" s="598">
        <v>0.14099999999999999</v>
      </c>
      <c r="O6" s="645">
        <f t="shared" si="1"/>
        <v>0.113</v>
      </c>
      <c r="P6" s="727">
        <v>80</v>
      </c>
      <c r="Q6" s="596">
        <v>94.05</v>
      </c>
      <c r="R6" s="1185">
        <v>3355.1</v>
      </c>
      <c r="S6" s="802">
        <v>95</v>
      </c>
      <c r="U6" s="1146">
        <f>_xlfn.XLOOKUP(D6,RUC!$B$3:$B$123,RUC!$F$3:$F$123)</f>
        <v>120</v>
      </c>
      <c r="V6" s="715">
        <v>1.1023000000000001</v>
      </c>
      <c r="Y6">
        <f>_xlfn.XLOOKUP(D6,RUC!$B$3:$B$123,RUC!$G$3:$G$123)</f>
        <v>20</v>
      </c>
      <c r="Z6" s="143">
        <f>_xlfn.XLOOKUP(D6,RUC!$B$3:$B$123,RUC!$H$3:$H$123)</f>
        <v>30</v>
      </c>
      <c r="AA6" s="144">
        <f t="shared" si="2"/>
        <v>50</v>
      </c>
      <c r="AB6" s="145">
        <f t="shared" ref="AB6:AB10" si="9">+((O6*P6*(R6-U6)/100)-S6-AA6+T6)*V6</f>
        <v>162.53748599200006</v>
      </c>
      <c r="AC6" s="145">
        <f>+(S6-T6)*V6-'data 1'!$F$4</f>
        <v>24.718500000000006</v>
      </c>
      <c r="AD6" s="145">
        <f t="shared" si="3"/>
        <v>50.1030127565</v>
      </c>
      <c r="AE6" s="145">
        <f t="shared" si="4"/>
        <v>-14.884999999999998</v>
      </c>
      <c r="AF6" s="145">
        <f t="shared" si="5"/>
        <v>-43.600319250344995</v>
      </c>
      <c r="AG6" s="772">
        <f t="shared" ref="AG6:AG8" si="10">AC6+AD6+AE6+AF6+70-53</f>
        <v>33.336193506155013</v>
      </c>
      <c r="AH6" s="1253">
        <f>ROUND((31.1035*L6*Q6*1.1023*K6/100),3)</f>
        <v>132.81899999999999</v>
      </c>
      <c r="AI6" s="1253">
        <f>ROUND((31.1035*L6*1.1023*K6),3)</f>
        <v>141.22200000000001</v>
      </c>
      <c r="AJ6" s="156">
        <f t="shared" si="6"/>
        <v>21.55326638850001</v>
      </c>
      <c r="AK6" s="156">
        <f t="shared" si="7"/>
        <v>127.66424809366681</v>
      </c>
      <c r="AL6" s="88"/>
      <c r="AM6" s="716">
        <f t="shared" si="8"/>
        <v>6694.9190480104817</v>
      </c>
      <c r="AN6" s="716" t="str">
        <f>_xlfn.XLOOKUP(D6,RUC!$B$3:$B$578,RUC!$M$3:$M$578)</f>
        <v>Richard Sapacayo</v>
      </c>
      <c r="AO6" s="1167" t="s">
        <v>2278</v>
      </c>
      <c r="AP6" s="1190" t="s">
        <v>2380</v>
      </c>
      <c r="AQ6" s="1217" t="s">
        <v>2564</v>
      </c>
      <c r="AS6" s="1212"/>
      <c r="AV6" s="633"/>
      <c r="AW6" s="633" t="s">
        <v>15</v>
      </c>
      <c r="AX6" s="633" t="s">
        <v>2522</v>
      </c>
      <c r="AY6" s="1438" t="s">
        <v>2522</v>
      </c>
      <c r="AZ6" s="633" t="s">
        <v>2523</v>
      </c>
      <c r="BA6" s="633" t="s">
        <v>2558</v>
      </c>
      <c r="BB6" s="633" t="s">
        <v>2559</v>
      </c>
      <c r="BC6" s="1435" t="s">
        <v>2565</v>
      </c>
      <c r="BD6" s="729" t="s">
        <v>2579</v>
      </c>
    </row>
    <row r="7" spans="1:59" ht="15" customHeight="1">
      <c r="A7" s="747" t="s">
        <v>2440</v>
      </c>
      <c r="B7" s="595">
        <v>45883</v>
      </c>
      <c r="C7" s="1447">
        <v>45861</v>
      </c>
      <c r="D7" t="s">
        <v>1967</v>
      </c>
      <c r="E7">
        <f>_xlfn.XLOOKUP(D7,RUC!$B$3:$B$123,RUC!$D$3:$D$123)</f>
        <v>20601769396</v>
      </c>
      <c r="G7" s="1082">
        <v>42</v>
      </c>
      <c r="H7" s="762" t="s">
        <v>108</v>
      </c>
      <c r="I7" s="703">
        <v>2.96</v>
      </c>
      <c r="J7" s="596">
        <v>12.25</v>
      </c>
      <c r="K7" s="138">
        <f t="shared" si="0"/>
        <v>2.597</v>
      </c>
      <c r="L7" s="994">
        <v>0.14499999999999999</v>
      </c>
      <c r="M7" s="762">
        <v>0.13100000000000001</v>
      </c>
      <c r="N7" s="598">
        <v>0.16</v>
      </c>
      <c r="O7" s="645">
        <f t="shared" si="1"/>
        <v>0.14599999999999999</v>
      </c>
      <c r="P7" s="727">
        <v>85</v>
      </c>
      <c r="Q7" s="596">
        <v>93.79</v>
      </c>
      <c r="R7" s="706">
        <v>3413.55</v>
      </c>
      <c r="S7" s="765">
        <f t="shared" ref="S7:S10" si="11">IF((90+ROUNDDOWN(O7,1)*100)&lt;95,95,(90+ROUNDDOWN(O7,1)*100))</f>
        <v>100</v>
      </c>
      <c r="U7" s="1146">
        <f>_xlfn.XLOOKUP(D7,RUC!$B$3:$B$123,RUC!$F$3:$F$123)</f>
        <v>120</v>
      </c>
      <c r="V7" s="715">
        <v>1.1023000000000001</v>
      </c>
      <c r="Y7">
        <f>_xlfn.XLOOKUP(D7,RUC!$B$3:$B$123,RUC!$G$3:$G$123)</f>
        <v>20</v>
      </c>
      <c r="Z7" s="143">
        <f>_xlfn.XLOOKUP(D7,RUC!$B$3:$B$123,RUC!$H$3:$H$123)</f>
        <v>30</v>
      </c>
      <c r="AA7" s="144">
        <f t="shared" si="2"/>
        <v>50</v>
      </c>
      <c r="AB7" s="145">
        <f t="shared" si="9"/>
        <v>285.19758847649996</v>
      </c>
      <c r="AC7" s="145">
        <f>+(S7-T7)*V7-'data 1'!$F$4</f>
        <v>30.230000000000004</v>
      </c>
      <c r="AD7" s="145">
        <f t="shared" si="3"/>
        <v>46.272284943007534</v>
      </c>
      <c r="AE7" s="145">
        <f t="shared" si="4"/>
        <v>-14.884999999999998</v>
      </c>
      <c r="AF7" s="145">
        <f t="shared" si="5"/>
        <v>-3.4050273467535033</v>
      </c>
      <c r="AG7" s="772">
        <f t="shared" si="10"/>
        <v>75.212257596254034</v>
      </c>
      <c r="AH7" s="1253">
        <f t="shared" ref="AH7:AH55" si="12">ROUND((31.1035*L7*Q7*1.1023*K7/100),3)</f>
        <v>12.109</v>
      </c>
      <c r="AI7" s="1253">
        <f>ROUND((31.1035*L7*1.1023*K7),3)</f>
        <v>12.911</v>
      </c>
      <c r="AJ7" s="156">
        <f t="shared" si="6"/>
        <v>22.403726635692475</v>
      </c>
      <c r="AK7" s="156">
        <f t="shared" si="7"/>
        <v>11.049758858241985</v>
      </c>
      <c r="AL7" s="88"/>
      <c r="AM7" s="716">
        <f t="shared" si="8"/>
        <v>740.6581372734704</v>
      </c>
      <c r="AN7" s="716" t="str">
        <f>_xlfn.XLOOKUP(D7,RUC!$B$3:$B$578,RUC!$M$3:$M$578)</f>
        <v>Evelyn</v>
      </c>
      <c r="AO7" s="1167" t="s">
        <v>2280</v>
      </c>
      <c r="AP7" t="s">
        <v>2461</v>
      </c>
      <c r="AQ7" t="s">
        <v>2462</v>
      </c>
      <c r="AS7" s="1212"/>
      <c r="AV7" s="1225" t="s">
        <v>2277</v>
      </c>
      <c r="AW7" s="1227">
        <f>SUMIF($AO$4:$AO$1900,AV7,$K$4:$K$1900)</f>
        <v>100.72800000000001</v>
      </c>
      <c r="AX7" s="1227" cm="1">
        <f t="array" ref="AX7">+SUMPRODUCT(IF($AO$4:$AO$1900=AV7,'27'!$L$4:$L$1900*$K$4:$K$1900/AW7))</f>
        <v>0.25216644825669132</v>
      </c>
      <c r="AY7" s="1228">
        <f>31.1035*1.1023*AX7*(100-AZ7)/100</f>
        <v>0.47037032337567319</v>
      </c>
      <c r="AZ7" s="1229" cm="1">
        <f t="array" ref="AZ7">+SUMPRODUCT(IF($AO$4:$AO$1900=AV7,($Q$4:$Q$1900*$AH$4:$AH$1900)/SUMIF($AO$4:$AO$1900,$AV7,$AH$4:$AH$1900)))</f>
        <v>94.559440770847743</v>
      </c>
      <c r="BA7" s="1441">
        <f>+AX7*31.1035*1.1023*AW7</f>
        <v>870.85646782614731</v>
      </c>
      <c r="BB7" s="1230">
        <f>SUMIF($AO$4:$AO$1000,$AV7,$AH$4:$AH$1000)</f>
        <v>822.99000000000012</v>
      </c>
      <c r="BC7" s="1229">
        <f>+BA7-BB7</f>
        <v>47.866467826147186</v>
      </c>
      <c r="BD7" s="1231">
        <f>+AW7</f>
        <v>100.72800000000001</v>
      </c>
      <c r="BE7" s="847"/>
      <c r="BF7" s="777"/>
      <c r="BG7" s="1472"/>
    </row>
    <row r="8" spans="1:59" ht="15" customHeight="1">
      <c r="A8" s="747" t="s">
        <v>2441</v>
      </c>
      <c r="B8" s="595">
        <v>45883</v>
      </c>
      <c r="C8" s="1447">
        <v>45861</v>
      </c>
      <c r="D8" t="s">
        <v>1967</v>
      </c>
      <c r="E8">
        <f>_xlfn.XLOOKUP(D8,RUC!$B$3:$B$123,RUC!$D$3:$D$123)</f>
        <v>20601769396</v>
      </c>
      <c r="G8" s="1082">
        <v>43</v>
      </c>
      <c r="H8" s="762" t="s">
        <v>108</v>
      </c>
      <c r="I8" s="703">
        <v>3.17</v>
      </c>
      <c r="J8" s="596">
        <v>11</v>
      </c>
      <c r="K8" s="138">
        <f t="shared" si="0"/>
        <v>2.8210000000000002</v>
      </c>
      <c r="L8" s="994">
        <v>0.16900000000000001</v>
      </c>
      <c r="M8" s="762">
        <v>0.154</v>
      </c>
      <c r="N8" s="598">
        <v>0.20100000000000001</v>
      </c>
      <c r="O8" s="645">
        <f t="shared" si="1"/>
        <v>0.17799999999999999</v>
      </c>
      <c r="P8" s="727">
        <v>90</v>
      </c>
      <c r="Q8" s="596">
        <v>94.08</v>
      </c>
      <c r="R8" s="706">
        <v>3413.55</v>
      </c>
      <c r="S8" s="765">
        <f t="shared" si="11"/>
        <v>100</v>
      </c>
      <c r="U8" s="1146">
        <f>_xlfn.XLOOKUP(D8,RUC!$B$3:$B$123,RUC!$F$3:$F$123)</f>
        <v>120</v>
      </c>
      <c r="V8" s="715">
        <v>1.1023000000000001</v>
      </c>
      <c r="Y8">
        <f>_xlfn.XLOOKUP(D8,RUC!$B$3:$B$123,RUC!$G$3:$G$123)</f>
        <v>20</v>
      </c>
      <c r="Z8" s="143">
        <f>_xlfn.XLOOKUP(D8,RUC!$B$3:$B$123,RUC!$H$3:$H$123)</f>
        <v>30</v>
      </c>
      <c r="AA8" s="144">
        <f t="shared" si="2"/>
        <v>50</v>
      </c>
      <c r="AB8" s="145">
        <f t="shared" si="9"/>
        <v>416.25792243300003</v>
      </c>
      <c r="AC8" s="145">
        <f>+(S8-T8)*V8-'data 1'!$F$4</f>
        <v>30.230000000000004</v>
      </c>
      <c r="AD8" s="145">
        <f t="shared" si="3"/>
        <v>25.032886833707995</v>
      </c>
      <c r="AE8" s="145">
        <f t="shared" si="4"/>
        <v>-14.884999999999998</v>
      </c>
      <c r="AF8" s="145">
        <f t="shared" si="5"/>
        <v>-30.740001653087937</v>
      </c>
      <c r="AG8" s="772">
        <f t="shared" si="10"/>
        <v>26.63788518062006</v>
      </c>
      <c r="AH8" s="1253">
        <f t="shared" si="12"/>
        <v>15.378</v>
      </c>
      <c r="AI8" s="1253">
        <f t="shared" ref="AI8:AI56" si="13">ROUND((31.1035*L8*1.1023*K8),3)</f>
        <v>16.346</v>
      </c>
      <c r="AJ8" s="156">
        <f t="shared" si="6"/>
        <v>26.192668119071968</v>
      </c>
      <c r="AK8" s="156">
        <f t="shared" si="7"/>
        <v>15.494396566185808</v>
      </c>
      <c r="AL8" s="88"/>
      <c r="AM8" s="716">
        <f t="shared" si="8"/>
        <v>1174.2635991834932</v>
      </c>
      <c r="AN8" s="716" t="str">
        <f>_xlfn.XLOOKUP(D8,RUC!$B$3:$B$578,RUC!$M$3:$M$578)</f>
        <v>Evelyn</v>
      </c>
      <c r="AO8" s="1167" t="s">
        <v>2277</v>
      </c>
      <c r="AP8" t="s">
        <v>2461</v>
      </c>
      <c r="AQ8" t="s">
        <v>2462</v>
      </c>
      <c r="AS8" s="1212"/>
      <c r="AV8" s="1232" t="s">
        <v>2278</v>
      </c>
      <c r="AW8" s="1234">
        <f t="shared" ref="AW8:AW16" si="14">SUMIF($AO$4:$AO$1900,AV8,$K$4:$K$1900)</f>
        <v>107.73099999999999</v>
      </c>
      <c r="AX8" s="1234" cm="1">
        <f t="array" ref="AX8">+SUMPRODUCT(IF($AO$4:$AO$1900=AV8,'27'!$L$4:$L$1900*$K$4:$K$1900/AW8))</f>
        <v>0.29192351319490212</v>
      </c>
      <c r="AY8" s="1235">
        <f t="shared" ref="AY8:AY16" si="15">31.1035*1.1023*AX8*(100-AZ8)/100</f>
        <v>0.72764997739241988</v>
      </c>
      <c r="AZ8" s="1236" cm="1">
        <f t="array" ref="AZ8">+SUMPRODUCT(IF($AO$4:$AO$1900=AV8,($Q$4:$Q$1900*$AH$4:$AH$1900)/SUMIF($AO$4:$AO$1900,$AV8,$AH$4:$AH$1900)))</f>
        <v>92.729833218054736</v>
      </c>
      <c r="BA8" s="1237">
        <f>+AX8*31.1035*1.1023*AW8</f>
        <v>1078.2484372867166</v>
      </c>
      <c r="BB8" s="1237">
        <f>SUMIF($AO$4:$AO$1000,$AV8,$AH$4:$AH$1000)</f>
        <v>999.02899999999988</v>
      </c>
      <c r="BC8" s="1236">
        <f t="shared" ref="BC8:BC16" si="16">+BC7+BA8-BB8</f>
        <v>127.08590511286377</v>
      </c>
      <c r="BD8" s="1238">
        <f>+BD7+AW8</f>
        <v>208.459</v>
      </c>
      <c r="BE8" s="847"/>
      <c r="BF8" s="847"/>
    </row>
    <row r="9" spans="1:59" ht="15" customHeight="1">
      <c r="A9" s="747" t="s">
        <v>2442</v>
      </c>
      <c r="B9" s="595">
        <v>45883</v>
      </c>
      <c r="C9" s="1447">
        <v>45861</v>
      </c>
      <c r="D9" t="s">
        <v>1967</v>
      </c>
      <c r="E9">
        <f>_xlfn.XLOOKUP(D9,RUC!$B$3:$B$123,RUC!$D$3:$D$123)</f>
        <v>20601769396</v>
      </c>
      <c r="G9" s="1082">
        <v>42</v>
      </c>
      <c r="H9" s="762" t="s">
        <v>108</v>
      </c>
      <c r="I9" s="703">
        <v>3.09</v>
      </c>
      <c r="J9" s="596">
        <v>8.9</v>
      </c>
      <c r="K9" s="138">
        <f t="shared" si="0"/>
        <v>2.8149999999999999</v>
      </c>
      <c r="L9" s="994">
        <v>0.107</v>
      </c>
      <c r="M9" s="762">
        <v>9.1999999999999998E-2</v>
      </c>
      <c r="N9" s="598">
        <v>0.14699999999999999</v>
      </c>
      <c r="O9" s="645">
        <f t="shared" si="1"/>
        <v>0.12</v>
      </c>
      <c r="P9" s="727">
        <v>80</v>
      </c>
      <c r="Q9" s="596">
        <v>90.65</v>
      </c>
      <c r="R9" s="706">
        <v>3413.55</v>
      </c>
      <c r="S9" s="765">
        <f>IF((90+ROUNDDOWN(O9,1)*100)&lt;95,95,(90+ROUNDDOWN(O9,1)*100))</f>
        <v>100</v>
      </c>
      <c r="U9" s="1146">
        <f>_xlfn.XLOOKUP(D9,RUC!$B$3:$B$123,RUC!$F$3:$F$123)</f>
        <v>120</v>
      </c>
      <c r="V9" s="715">
        <v>1.1023000000000001</v>
      </c>
      <c r="Y9">
        <f>_xlfn.XLOOKUP(D9,RUC!$B$3:$B$123,RUC!$G$3:$G$123)</f>
        <v>20</v>
      </c>
      <c r="Z9" s="143">
        <f>_xlfn.XLOOKUP(D9,RUC!$B$3:$B$123,RUC!$H$3:$H$123)</f>
        <v>30</v>
      </c>
      <c r="AA9" s="144">
        <f t="shared" si="2"/>
        <v>50</v>
      </c>
      <c r="AB9" s="145">
        <f t="shared" si="9"/>
        <v>183.18109584000004</v>
      </c>
      <c r="AC9" s="145">
        <f>+(S9-T9)*V9-'data 1'!$F$4</f>
        <v>30.230000000000004</v>
      </c>
      <c r="AD9" s="145">
        <f t="shared" si="3"/>
        <v>41.371136720257525</v>
      </c>
      <c r="AE9" s="145">
        <f t="shared" si="4"/>
        <v>-14.884999999999998</v>
      </c>
      <c r="AF9" s="145">
        <f t="shared" si="5"/>
        <v>-42.7833935044425</v>
      </c>
      <c r="AG9" s="772">
        <f>AC9+AD9+AE9+AF9+70-53</f>
        <v>30.932743215815037</v>
      </c>
      <c r="AH9" s="1253">
        <f t="shared" si="12"/>
        <v>9.3610000000000007</v>
      </c>
      <c r="AI9" s="1253">
        <f t="shared" si="13"/>
        <v>10.327</v>
      </c>
      <c r="AJ9" s="156">
        <f t="shared" si="6"/>
        <v>15.97891597069248</v>
      </c>
      <c r="AK9" s="156">
        <f t="shared" si="7"/>
        <v>9.2652832666320002</v>
      </c>
      <c r="AL9" s="88"/>
      <c r="AM9" s="716">
        <f>+IF(AB9*K9&gt;0,AB9*K9,0)</f>
        <v>515.65478478960006</v>
      </c>
      <c r="AN9" s="716" t="str">
        <f>_xlfn.XLOOKUP(D9,RUC!$B$3:$B$578,RUC!$M$3:$M$578)</f>
        <v>Evelyn</v>
      </c>
      <c r="AO9" s="1167" t="s">
        <v>2280</v>
      </c>
      <c r="AP9" t="s">
        <v>2461</v>
      </c>
      <c r="AQ9" t="s">
        <v>2462</v>
      </c>
      <c r="AS9" s="1212"/>
      <c r="AV9" s="1232" t="s">
        <v>2280</v>
      </c>
      <c r="AW9" s="1234">
        <f t="shared" si="14"/>
        <v>105.82500000000002</v>
      </c>
      <c r="AX9" s="1234" cm="1">
        <f t="array" ref="AX9">+SUMPRODUCT(IF($AO$4:$AO$1900=AV9,'27'!$L$4:$L$1900*$K$4:$K$1900/AW9))</f>
        <v>0.27236859910229144</v>
      </c>
      <c r="AY9" s="1235">
        <f t="shared" si="15"/>
        <v>0.49019533011785571</v>
      </c>
      <c r="AZ9" s="1236" cm="1">
        <f t="array" ref="AZ9">+SUMPRODUCT(IF($AO$4:$AO$1900=AV9,($Q$4:$Q$1900*$AH$4:$AH$1900)/SUMIF($AO$4:$AO$1900,$AV9,$AH$4:$AH$1900)))</f>
        <v>94.750679819216558</v>
      </c>
      <c r="BA9" s="1237">
        <f t="shared" ref="BA9:BA17" si="17">+AX9*31.1035*1.1023*AW9</f>
        <v>988.22169391808632</v>
      </c>
      <c r="BB9" s="1237">
        <f t="shared" ref="BB9:BB17" si="18">SUMIF($AO$4:$AO$1000,$AV9,$AH$4:$AH$1000)</f>
        <v>935.48400000000015</v>
      </c>
      <c r="BC9" s="1236">
        <f t="shared" si="16"/>
        <v>179.82359903094994</v>
      </c>
      <c r="BD9" s="1238">
        <f t="shared" ref="BD9:BD16" si="19">+BD8+AW9</f>
        <v>314.28399999999999</v>
      </c>
      <c r="BE9" s="847"/>
      <c r="BF9" s="847"/>
    </row>
    <row r="10" spans="1:59" ht="15" customHeight="1">
      <c r="A10" s="747" t="s">
        <v>2443</v>
      </c>
      <c r="B10" s="595">
        <v>45883</v>
      </c>
      <c r="C10" s="1447">
        <v>45861</v>
      </c>
      <c r="D10" t="s">
        <v>1967</v>
      </c>
      <c r="E10">
        <f>_xlfn.XLOOKUP(D10,RUC!$B$3:$B$123,RUC!$D$3:$D$123)</f>
        <v>20601769396</v>
      </c>
      <c r="G10" s="1082">
        <v>43</v>
      </c>
      <c r="H10" s="762" t="s">
        <v>108</v>
      </c>
      <c r="I10" s="703">
        <v>3.14</v>
      </c>
      <c r="J10" s="596">
        <v>9.0500000000000007</v>
      </c>
      <c r="K10" s="138">
        <f t="shared" si="0"/>
        <v>2.8559999999999999</v>
      </c>
      <c r="L10" s="994">
        <v>0.12</v>
      </c>
      <c r="M10" s="762">
        <v>0.104</v>
      </c>
      <c r="N10" s="598">
        <v>0.19700000000000001</v>
      </c>
      <c r="O10" s="645">
        <f t="shared" si="1"/>
        <v>0.151</v>
      </c>
      <c r="P10" s="727">
        <v>80</v>
      </c>
      <c r="Q10" s="596">
        <v>98.33</v>
      </c>
      <c r="R10" s="706">
        <v>3413.55</v>
      </c>
      <c r="S10" s="765">
        <f t="shared" si="11"/>
        <v>100</v>
      </c>
      <c r="U10" s="1146">
        <f>_xlfn.XLOOKUP(D10,RUC!$B$3:$B$123,RUC!$F$3:$F$123)</f>
        <v>120</v>
      </c>
      <c r="V10" s="715">
        <v>1.1023000000000001</v>
      </c>
      <c r="Y10">
        <f>_xlfn.XLOOKUP(D10,RUC!$B$3:$B$123,RUC!$G$3:$G$123)</f>
        <v>20</v>
      </c>
      <c r="Z10" s="143">
        <f>_xlfn.XLOOKUP(D10,RUC!$B$3:$B$123,RUC!$H$3:$H$123)</f>
        <v>30</v>
      </c>
      <c r="AA10" s="144">
        <f t="shared" si="2"/>
        <v>50</v>
      </c>
      <c r="AB10" s="145">
        <f t="shared" si="9"/>
        <v>273.21700393200007</v>
      </c>
      <c r="AC10" s="145">
        <f>+(S10-T10)*V10-'data 1'!$F$4</f>
        <v>30.230000000000004</v>
      </c>
      <c r="AD10" s="145">
        <f t="shared" si="3"/>
        <v>79.856041709339991</v>
      </c>
      <c r="AE10" s="145">
        <f t="shared" si="4"/>
        <v>-14.884999999999998</v>
      </c>
      <c r="AF10" s="145">
        <f t="shared" si="5"/>
        <v>-110.6653855335795</v>
      </c>
      <c r="AG10" s="772">
        <f t="shared" ref="AG10:AG18" si="20">AC10+AD10+AE10+AF10+70-53</f>
        <v>1.5356561757604936</v>
      </c>
      <c r="AH10" s="1253">
        <f t="shared" si="12"/>
        <v>11.554</v>
      </c>
      <c r="AI10" s="1253">
        <f t="shared" si="13"/>
        <v>11.75</v>
      </c>
      <c r="AJ10" s="156">
        <f t="shared" si="6"/>
        <v>19.438511775059975</v>
      </c>
      <c r="AK10" s="156">
        <f t="shared" si="7"/>
        <v>11.828623447112639</v>
      </c>
      <c r="AL10" s="88"/>
      <c r="AM10" s="716">
        <f t="shared" si="8"/>
        <v>780.30776322979216</v>
      </c>
      <c r="AN10" s="716" t="str">
        <f>_xlfn.XLOOKUP(D10,RUC!$B$3:$B$578,RUC!$M$3:$M$578)</f>
        <v>Evelyn</v>
      </c>
      <c r="AO10" s="1167" t="s">
        <v>2277</v>
      </c>
      <c r="AP10" t="s">
        <v>2461</v>
      </c>
      <c r="AQ10" t="s">
        <v>2462</v>
      </c>
      <c r="AS10" s="1212"/>
      <c r="AV10" s="1232" t="s">
        <v>2279</v>
      </c>
      <c r="AW10" s="1234">
        <f t="shared" si="14"/>
        <v>104.77700000000002</v>
      </c>
      <c r="AX10" s="1234" cm="1">
        <f t="array" ref="AX10">+SUMPRODUCT(IF($AO$4:$AO$1900=AV10,'27'!$L$4:$L$1900*$K$4:$K$1900/AW10))</f>
        <v>0.27430593546293552</v>
      </c>
      <c r="AY10" s="1235">
        <f t="shared" si="15"/>
        <v>0.57026889768841293</v>
      </c>
      <c r="AZ10" s="1236" cm="1">
        <f t="array" ref="AZ10">+SUMPRODUCT(IF($AO$4:$AO$1900=AV10,($Q$4:$Q$1900*$AH$4:$AH$1900)/SUMIF($AO$4:$AO$1900,$AV10,$AH$4:$AH$1900)))</f>
        <v>93.936332041942393</v>
      </c>
      <c r="BA10" s="1237">
        <f t="shared" si="17"/>
        <v>985.39472653181156</v>
      </c>
      <c r="BB10" s="1237">
        <f t="shared" si="18"/>
        <v>923.55200000000013</v>
      </c>
      <c r="BC10" s="1236">
        <f t="shared" si="16"/>
        <v>241.66632556276136</v>
      </c>
      <c r="BD10" s="1238">
        <f t="shared" si="19"/>
        <v>419.06100000000004</v>
      </c>
      <c r="BE10" s="847"/>
      <c r="BF10" s="847"/>
    </row>
    <row r="11" spans="1:59" ht="15" customHeight="1">
      <c r="A11" s="1149" t="s">
        <v>2537</v>
      </c>
      <c r="B11" s="595">
        <v>45883</v>
      </c>
      <c r="C11" s="1447">
        <v>45876</v>
      </c>
      <c r="D11" t="s">
        <v>1484</v>
      </c>
      <c r="E11">
        <f>_xlfn.XLOOKUP(D11,RUC!$B$3:$B$123,RUC!$D$3:$D$123)</f>
        <v>10761932735</v>
      </c>
      <c r="G11" s="1082" t="s">
        <v>2556</v>
      </c>
      <c r="H11" s="762" t="s">
        <v>69</v>
      </c>
      <c r="I11" s="703">
        <v>5.9</v>
      </c>
      <c r="J11" s="596">
        <v>15.7</v>
      </c>
      <c r="K11" s="138">
        <f t="shared" si="0"/>
        <v>4.9740000000000002</v>
      </c>
      <c r="L11" s="762">
        <v>6.9000000000000006E-2</v>
      </c>
      <c r="M11" s="762">
        <v>5.3999999999999999E-2</v>
      </c>
      <c r="N11" s="764">
        <v>5.3999999999999999E-2</v>
      </c>
      <c r="O11" s="645">
        <f t="shared" si="1"/>
        <v>5.3999999999999999E-2</v>
      </c>
      <c r="P11" s="727">
        <v>80</v>
      </c>
      <c r="Q11" s="596">
        <v>92.75</v>
      </c>
      <c r="R11" s="1211">
        <v>3383.75</v>
      </c>
      <c r="S11" s="765">
        <f>IF((_xlfn.XLOOKUP(D11,RUC!$B$3:$B$73,RUC!$E$3:$E$73)+ROUNDDOWN(O11,1)*100)&lt;95,95,((_xlfn.XLOOKUP(D11,RUC!$B$3:$B$73,RUC!$E$3:$E$73)+ROUNDDOWN(O11,1)*100)))</f>
        <v>95</v>
      </c>
      <c r="U11" s="1146">
        <f>_xlfn.XLOOKUP(D11,RUC!$B$3:$B$123,RUC!$F$3:$F$123)</f>
        <v>120</v>
      </c>
      <c r="V11" s="715">
        <v>1.1023000000000001</v>
      </c>
      <c r="Y11">
        <f>_xlfn.XLOOKUP(D11,RUC!$B$3:$B$123,RUC!$G$3:$G$123)</f>
        <v>20</v>
      </c>
      <c r="Z11" s="143">
        <f>_xlfn.XLOOKUP(D11,RUC!$B$3:$B$123,RUC!$H$3:$H$123)</f>
        <v>30</v>
      </c>
      <c r="AA11" s="144">
        <f t="shared" si="2"/>
        <v>50</v>
      </c>
      <c r="AB11" s="145">
        <v>0.01</v>
      </c>
      <c r="AC11" s="145">
        <f>+(S11-T11)*V11-'data 1'!$F$4</f>
        <v>24.718500000000006</v>
      </c>
      <c r="AD11" s="145">
        <f t="shared" si="3"/>
        <v>31.650164220937505</v>
      </c>
      <c r="AE11" s="145">
        <f t="shared" si="4"/>
        <v>-14.884999999999998</v>
      </c>
      <c r="AF11" s="145">
        <f t="shared" si="5"/>
        <v>50.05204998281252</v>
      </c>
      <c r="AG11" s="772">
        <f t="shared" si="20"/>
        <v>108.53571420375005</v>
      </c>
      <c r="AH11" s="1253">
        <f t="shared" si="12"/>
        <v>10.914</v>
      </c>
      <c r="AI11" s="1253">
        <f t="shared" si="13"/>
        <v>11.766999999999999</v>
      </c>
      <c r="AJ11" s="156">
        <f t="shared" si="6"/>
        <v>12.645091631812504</v>
      </c>
      <c r="AK11" s="156">
        <f t="shared" si="7"/>
        <v>7.3671344709422399</v>
      </c>
      <c r="AL11" s="88"/>
      <c r="AM11" s="716">
        <f t="shared" si="8"/>
        <v>4.9740000000000006E-2</v>
      </c>
      <c r="AN11" s="716" t="str">
        <f>_xlfn.XLOOKUP(D11,RUC!$B$3:$B$578,RUC!$M$3:$M$578)</f>
        <v>Richard Sapacayo</v>
      </c>
      <c r="AO11" s="1167" t="s">
        <v>2281</v>
      </c>
      <c r="AP11" t="s">
        <v>2562</v>
      </c>
      <c r="AQ11" t="s">
        <v>2561</v>
      </c>
      <c r="AS11" s="1212"/>
      <c r="AV11" s="1232" t="s">
        <v>2281</v>
      </c>
      <c r="AW11" s="1234">
        <f t="shared" si="14"/>
        <v>103.61200000000001</v>
      </c>
      <c r="AX11" s="1234" cm="1">
        <f t="array" ref="AX11">+SUMPRODUCT(IF($AO$4:$AO$1900=AV11,'27'!$L$4:$L$1900*$K$4:$K$1900/AW11))</f>
        <v>0.27984620507277147</v>
      </c>
      <c r="AY11" s="1235">
        <f t="shared" si="15"/>
        <v>0.80191179904059184</v>
      </c>
      <c r="AZ11" s="1236" cm="1">
        <f t="array" ref="AZ11">+SUMPRODUCT(IF($AO$4:$AO$1900=AV11,($Q$4:$Q$1900*$AH$4:$AH$1900)/SUMIF($AO$4:$AO$1900,$AV11,$AH$4:$AH$1900)))</f>
        <v>91.642081876070876</v>
      </c>
      <c r="BA11" s="1237">
        <f t="shared" si="17"/>
        <v>994.11939779967122</v>
      </c>
      <c r="BB11" s="1237">
        <f t="shared" si="18"/>
        <v>905.80799999999999</v>
      </c>
      <c r="BC11" s="1236">
        <f t="shared" si="16"/>
        <v>329.9777233624327</v>
      </c>
      <c r="BD11" s="1238">
        <f t="shared" si="19"/>
        <v>522.673</v>
      </c>
      <c r="BE11" s="847"/>
      <c r="BF11" s="847"/>
    </row>
    <row r="12" spans="1:59" ht="15" customHeight="1">
      <c r="A12" s="747" t="s">
        <v>2538</v>
      </c>
      <c r="B12" s="595">
        <v>45883</v>
      </c>
      <c r="C12" s="1447">
        <v>45876</v>
      </c>
      <c r="D12" t="s">
        <v>1484</v>
      </c>
      <c r="E12">
        <f>_xlfn.XLOOKUP(D12,RUC!$B$3:$B$123,RUC!$D$3:$D$123)</f>
        <v>10761932735</v>
      </c>
      <c r="G12" s="1082">
        <v>72</v>
      </c>
      <c r="H12" s="762" t="s">
        <v>69</v>
      </c>
      <c r="I12" s="703">
        <v>16.59</v>
      </c>
      <c r="J12" s="596">
        <v>14.9</v>
      </c>
      <c r="K12" s="138">
        <f t="shared" si="0"/>
        <v>14.118</v>
      </c>
      <c r="L12" s="994">
        <v>0.28999999999999998</v>
      </c>
      <c r="M12" s="762">
        <v>0.27300000000000002</v>
      </c>
      <c r="N12" s="1197">
        <v>0.29499999999999998</v>
      </c>
      <c r="O12" s="645">
        <f t="shared" si="1"/>
        <v>0.28399999999999997</v>
      </c>
      <c r="P12" s="727">
        <v>90</v>
      </c>
      <c r="Q12" s="596">
        <v>95.17</v>
      </c>
      <c r="R12" s="706">
        <v>3383.75</v>
      </c>
      <c r="S12" s="765">
        <f>IF((_xlfn.XLOOKUP(D12,RUC!$B$3:$B$73,RUC!$E$3:$E$73)+ROUNDDOWN(O12,1)*100)&lt;95,95,((_xlfn.XLOOKUP(D12,RUC!$B$3:$B$73,RUC!$E$3:$E$73)+ROUNDDOWN(O12,1)*100)))</f>
        <v>110</v>
      </c>
      <c r="U12" s="1146">
        <f>_xlfn.XLOOKUP(D12,RUC!$B$3:$B$123,RUC!$F$3:$F$123)</f>
        <v>120</v>
      </c>
      <c r="V12" s="715">
        <v>1.1023000000000001</v>
      </c>
      <c r="Y12">
        <f>_xlfn.XLOOKUP(D12,RUC!$B$3:$B$123,RUC!$G$3:$G$123)</f>
        <v>20</v>
      </c>
      <c r="Z12" s="143">
        <f>_xlfn.XLOOKUP(D12,RUC!$B$3:$B$123,RUC!$H$3:$H$123)</f>
        <v>30</v>
      </c>
      <c r="AA12" s="144">
        <f t="shared" si="2"/>
        <v>50</v>
      </c>
      <c r="AB12" s="145">
        <f t="shared" ref="AB12:AB24" si="21">+((O12*P12*(R12-U12)/100)-S12-AA12+T12)*V12</f>
        <v>743.18664334999994</v>
      </c>
      <c r="AC12" s="145">
        <f>+(S12-T12)*V12-'data 1'!$F$4</f>
        <v>41.253</v>
      </c>
      <c r="AD12" s="145">
        <f t="shared" si="3"/>
        <v>53.939290953625026</v>
      </c>
      <c r="AE12" s="145">
        <f t="shared" si="4"/>
        <v>-14.884999999999998</v>
      </c>
      <c r="AF12" s="145">
        <f t="shared" si="5"/>
        <v>20.543196105075022</v>
      </c>
      <c r="AG12" s="772">
        <f t="shared" si="20"/>
        <v>117.85048705870005</v>
      </c>
      <c r="AH12" s="1253">
        <f t="shared" si="12"/>
        <v>133.59200000000001</v>
      </c>
      <c r="AI12" s="1253">
        <f t="shared" si="13"/>
        <v>140.37200000000001</v>
      </c>
      <c r="AJ12" s="156">
        <f t="shared" si="6"/>
        <v>54.532704789074998</v>
      </c>
      <c r="AK12" s="156">
        <f t="shared" si="7"/>
        <v>123.72090733001842</v>
      </c>
      <c r="AL12" s="88"/>
      <c r="AM12" s="716">
        <f t="shared" si="8"/>
        <v>10492.309030815299</v>
      </c>
      <c r="AN12" s="716" t="str">
        <f>_xlfn.XLOOKUP(D12,RUC!$B$3:$B$578,RUC!$M$3:$M$578)</f>
        <v>Richard Sapacayo</v>
      </c>
      <c r="AO12" s="1167" t="s">
        <v>2277</v>
      </c>
      <c r="AP12" t="s">
        <v>2562</v>
      </c>
      <c r="AQ12" t="s">
        <v>2561</v>
      </c>
      <c r="AS12" s="1212"/>
      <c r="AV12" s="1232" t="s">
        <v>2297</v>
      </c>
      <c r="AW12" s="1234">
        <f t="shared" si="14"/>
        <v>0</v>
      </c>
      <c r="AX12" s="1234" cm="1">
        <f t="array" ref="AX12">+SUMPRODUCT(IF('Analisis comercial'!$AO$4:$AO$9=AV12,'Analisis comercial'!$L$4:$L$9*'Analisis comercial'!$K$4:$K$9/AW12))</f>
        <v>0</v>
      </c>
      <c r="AY12" s="1235">
        <f t="shared" si="15"/>
        <v>0</v>
      </c>
      <c r="AZ12" s="1236" cm="1">
        <f t="array" ref="AZ12">+SUMPRODUCT(IF('Analisis comercial'!$AO$4:$AO$9=AV12,('Analisis comercial'!$Q$4:$Q$9*'Analisis comercial'!$AH$4:$AH$9)/SUMIF('Analisis comercial'!$AO$4:$AO$9,$A12,'Analisis comercial'!$AH$4:$AH$9)))</f>
        <v>0</v>
      </c>
      <c r="BA12" s="1237">
        <f t="shared" si="17"/>
        <v>0</v>
      </c>
      <c r="BB12" s="1237">
        <f t="shared" si="18"/>
        <v>0</v>
      </c>
      <c r="BC12" s="1236">
        <f t="shared" si="16"/>
        <v>329.9777233624327</v>
      </c>
      <c r="BD12" s="1238">
        <f t="shared" si="19"/>
        <v>522.673</v>
      </c>
      <c r="BE12" s="847"/>
    </row>
    <row r="13" spans="1:59" ht="15" customHeight="1">
      <c r="A13" s="747" t="s">
        <v>2566</v>
      </c>
      <c r="B13" s="595">
        <v>45886</v>
      </c>
      <c r="C13" s="1447">
        <v>45881</v>
      </c>
      <c r="D13" t="s">
        <v>2368</v>
      </c>
      <c r="E13">
        <f>_xlfn.XLOOKUP(D13,RUC!$B$3:$B$123,RUC!$D$3:$D$123)</f>
        <v>20612719757</v>
      </c>
      <c r="G13" s="1082">
        <v>50</v>
      </c>
      <c r="H13" s="762" t="s">
        <v>108</v>
      </c>
      <c r="I13" s="703">
        <v>4.1100000000000003</v>
      </c>
      <c r="J13" s="596">
        <v>12.9</v>
      </c>
      <c r="K13" s="138">
        <f t="shared" si="0"/>
        <v>3.58</v>
      </c>
      <c r="L13" s="994">
        <v>0.45500000000000002</v>
      </c>
      <c r="M13" s="994">
        <v>0.42799999999999999</v>
      </c>
      <c r="N13" s="159">
        <v>0.42799999999999999</v>
      </c>
      <c r="O13" s="645">
        <f t="shared" si="1"/>
        <v>0.42799999999999999</v>
      </c>
      <c r="P13" s="727">
        <v>90</v>
      </c>
      <c r="Q13" s="596">
        <v>96.48</v>
      </c>
      <c r="R13" s="706">
        <v>3343.3</v>
      </c>
      <c r="S13" s="765">
        <f>IF((_xlfn.XLOOKUP(D13,RUC!$B$3:$B$73,RUC!$E$3:$E$73)+ROUNDDOWN(O13,1)*100)&lt;95,95,((_xlfn.XLOOKUP(D13,RUC!$B$3:$B$73,RUC!$E$3:$E$73)+ROUNDDOWN(O13,1)*100)))</f>
        <v>130</v>
      </c>
      <c r="U13" s="1146">
        <f>_xlfn.XLOOKUP(D13,RUC!$B$3:$B$123,RUC!$F$3:$F$123)</f>
        <v>120</v>
      </c>
      <c r="V13" s="715">
        <v>1.1023000000000001</v>
      </c>
      <c r="Y13">
        <f>_xlfn.XLOOKUP(D13,RUC!$B$3:$B$123,RUC!$G$3:$G$123)</f>
        <v>20</v>
      </c>
      <c r="Z13" s="143">
        <f>_xlfn.XLOOKUP(D13,RUC!$B$3:$B$123,RUC!$H$3:$H$123)</f>
        <v>30</v>
      </c>
      <c r="AA13" s="144">
        <f t="shared" si="2"/>
        <v>50</v>
      </c>
      <c r="AB13" s="145">
        <f t="shared" si="21"/>
        <v>1170.2183908679999</v>
      </c>
      <c r="AC13" s="145">
        <f>+(S13-T13)*V13-'data 1'!$F$4</f>
        <v>63.299000000000007</v>
      </c>
      <c r="AD13" s="145">
        <f t="shared" si="3"/>
        <v>104.75793720756008</v>
      </c>
      <c r="AE13" s="145">
        <f t="shared" si="4"/>
        <v>-14.884999999999998</v>
      </c>
      <c r="AF13" s="145">
        <f t="shared" si="5"/>
        <v>92.555364302064078</v>
      </c>
      <c r="AG13" s="772">
        <f t="shared" si="20"/>
        <v>262.72730150962417</v>
      </c>
      <c r="AH13" s="1253">
        <f t="shared" si="12"/>
        <v>53.881999999999998</v>
      </c>
      <c r="AI13" s="1253">
        <f t="shared" si="13"/>
        <v>55.847000000000001</v>
      </c>
      <c r="AJ13" s="156">
        <f t="shared" si="6"/>
        <v>106.31108628503993</v>
      </c>
      <c r="AK13" s="156">
        <f t="shared" si="7"/>
        <v>47.280098687158798</v>
      </c>
      <c r="AL13" s="88"/>
      <c r="AM13" s="716">
        <f t="shared" si="8"/>
        <v>4189.3818393074398</v>
      </c>
      <c r="AN13" s="716" t="str">
        <f>_xlfn.XLOOKUP(D13,RUC!$B$3:$B$578,RUC!$M$3:$M$578)</f>
        <v>SIN ACOPIADOR</v>
      </c>
      <c r="AO13" s="1167" t="s">
        <v>2277</v>
      </c>
      <c r="AP13" t="s">
        <v>2580</v>
      </c>
      <c r="AQ13" t="s">
        <v>2581</v>
      </c>
      <c r="AS13" s="1212"/>
      <c r="AV13" s="1232" t="s">
        <v>2518</v>
      </c>
      <c r="AW13" s="1234">
        <f t="shared" si="14"/>
        <v>0</v>
      </c>
      <c r="AX13" s="1234" cm="1">
        <f t="array" ref="AX13">+SUMPRODUCT(IF('Analisis comercial'!$AO$4:$AO$9=AV13,'Analisis comercial'!$L$4:$L$9*'Analisis comercial'!$K$4:$K$9/AW13))</f>
        <v>0</v>
      </c>
      <c r="AY13" s="1235">
        <f t="shared" si="15"/>
        <v>0</v>
      </c>
      <c r="AZ13" s="1236" cm="1">
        <f t="array" ref="AZ13">+SUMPRODUCT(IF('Analisis comercial'!$AO$4:$AO$9=AV13,('Analisis comercial'!$Q$4:$Q$9*'Analisis comercial'!$AH$4:$AH$9)/SUMIF('Analisis comercial'!$AO$4:$AO$9,$A13,'Analisis comercial'!$AH$4:$AH$9)))</f>
        <v>0</v>
      </c>
      <c r="BA13" s="1237">
        <f t="shared" si="17"/>
        <v>0</v>
      </c>
      <c r="BB13" s="1237">
        <f t="shared" si="18"/>
        <v>0</v>
      </c>
      <c r="BC13" s="1236">
        <f t="shared" si="16"/>
        <v>329.9777233624327</v>
      </c>
      <c r="BD13" s="1238">
        <f t="shared" si="19"/>
        <v>522.673</v>
      </c>
      <c r="BE13" s="847"/>
    </row>
    <row r="14" spans="1:59" ht="15" customHeight="1">
      <c r="A14" s="747" t="s">
        <v>2567</v>
      </c>
      <c r="B14" s="595">
        <v>45886</v>
      </c>
      <c r="C14" s="1447">
        <v>45881</v>
      </c>
      <c r="D14" t="s">
        <v>2368</v>
      </c>
      <c r="E14">
        <f>_xlfn.XLOOKUP(D14,RUC!$B$3:$B$123,RUC!$D$3:$D$123)</f>
        <v>20612719757</v>
      </c>
      <c r="G14" s="1082">
        <v>40</v>
      </c>
      <c r="H14" s="762" t="s">
        <v>108</v>
      </c>
      <c r="I14" s="703">
        <v>3.13</v>
      </c>
      <c r="J14" s="596">
        <v>13.05</v>
      </c>
      <c r="K14" s="138">
        <f t="shared" si="0"/>
        <v>2.722</v>
      </c>
      <c r="L14" s="994">
        <v>0.28299999999999997</v>
      </c>
      <c r="M14" s="994">
        <v>0.26600000000000001</v>
      </c>
      <c r="N14" s="159">
        <v>0.26600000000000001</v>
      </c>
      <c r="O14" s="645">
        <f t="shared" si="1"/>
        <v>0.26600000000000001</v>
      </c>
      <c r="P14" s="727">
        <v>90</v>
      </c>
      <c r="Q14" s="596">
        <v>93.64</v>
      </c>
      <c r="R14" s="706">
        <v>3343.3</v>
      </c>
      <c r="S14" s="765">
        <f>IF((_xlfn.XLOOKUP(D14,RUC!$B$3:$B$73,RUC!$E$3:$E$73)+ROUNDDOWN(O14,1)*100)&lt;95,95,((_xlfn.XLOOKUP(D14,RUC!$B$3:$B$73,RUC!$E$3:$E$73)+ROUNDDOWN(O14,1)*100)))</f>
        <v>110</v>
      </c>
      <c r="U14" s="1146">
        <f>_xlfn.XLOOKUP(D14,RUC!$B$3:$B$123,RUC!$F$3:$F$123)</f>
        <v>120</v>
      </c>
      <c r="V14" s="715">
        <v>1.1023000000000001</v>
      </c>
      <c r="Y14">
        <f>_xlfn.XLOOKUP(D14,RUC!$B$3:$B$123,RUC!$G$3:$G$123)</f>
        <v>20</v>
      </c>
      <c r="Z14" s="143">
        <f>_xlfn.XLOOKUP(D14,RUC!$B$3:$B$123,RUC!$H$3:$H$123)</f>
        <v>30</v>
      </c>
      <c r="AA14" s="144">
        <f t="shared" si="2"/>
        <v>50</v>
      </c>
      <c r="AB14" s="145">
        <f t="shared" si="21"/>
        <v>674.23063544600018</v>
      </c>
      <c r="AC14" s="145">
        <f>+(S14-T14)*V14-'data 1'!$F$4</f>
        <v>41.253</v>
      </c>
      <c r="AD14" s="145">
        <f t="shared" si="3"/>
        <v>36.600612629308003</v>
      </c>
      <c r="AE14" s="145">
        <f t="shared" si="4"/>
        <v>-14.884999999999998</v>
      </c>
      <c r="AF14" s="145">
        <f t="shared" si="5"/>
        <v>56.560190300491875</v>
      </c>
      <c r="AG14" s="772">
        <f t="shared" si="20"/>
        <v>136.52880292979989</v>
      </c>
      <c r="AH14" s="1253">
        <f t="shared" si="12"/>
        <v>24.731000000000002</v>
      </c>
      <c r="AI14" s="1253">
        <f t="shared" si="13"/>
        <v>26.411000000000001</v>
      </c>
      <c r="AJ14" s="156">
        <f t="shared" si="6"/>
        <v>64.176747760371939</v>
      </c>
      <c r="AK14" s="156">
        <f t="shared" si="7"/>
        <v>22.341963409540746</v>
      </c>
      <c r="AL14" s="88"/>
      <c r="AM14" s="716">
        <f t="shared" si="8"/>
        <v>1835.2557896840124</v>
      </c>
      <c r="AN14" s="716" t="str">
        <f>_xlfn.XLOOKUP(D14,RUC!$B$3:$B$578,RUC!$M$3:$M$578)</f>
        <v>SIN ACOPIADOR</v>
      </c>
      <c r="AO14" s="1167" t="s">
        <v>2277</v>
      </c>
      <c r="AP14" t="s">
        <v>2580</v>
      </c>
      <c r="AQ14" t="s">
        <v>2581</v>
      </c>
      <c r="AS14" s="1212"/>
      <c r="AV14" s="1232" t="s">
        <v>2519</v>
      </c>
      <c r="AW14" s="1234">
        <f t="shared" si="14"/>
        <v>0</v>
      </c>
      <c r="AX14" s="1234" cm="1">
        <f t="array" ref="AX14">+SUMPRODUCT(IF('Analisis comercial'!$AO$4:$AO$9=AV14,'Analisis comercial'!$L$4:$L$9*'Analisis comercial'!$K$4:$K$9/AW14))</f>
        <v>0</v>
      </c>
      <c r="AY14" s="1235">
        <f t="shared" si="15"/>
        <v>0</v>
      </c>
      <c r="AZ14" s="1236" cm="1">
        <f t="array" ref="AZ14">+SUMPRODUCT(IF('Analisis comercial'!$AO$4:$AO$9=AV14,('Analisis comercial'!$Q$4:$Q$9*'Analisis comercial'!$AH$4:$AH$9)/SUMIF('Analisis comercial'!$AO$4:$AO$9,$A14,'Analisis comercial'!$AH$4:$AH$9)))</f>
        <v>0</v>
      </c>
      <c r="BA14" s="1237">
        <f t="shared" si="17"/>
        <v>0</v>
      </c>
      <c r="BB14" s="1237">
        <f t="shared" si="18"/>
        <v>0</v>
      </c>
      <c r="BC14" s="1236">
        <f t="shared" si="16"/>
        <v>329.9777233624327</v>
      </c>
      <c r="BD14" s="1238">
        <f t="shared" si="19"/>
        <v>522.673</v>
      </c>
      <c r="BE14" s="847"/>
    </row>
    <row r="15" spans="1:59" ht="15" customHeight="1">
      <c r="A15" s="747" t="s">
        <v>2568</v>
      </c>
      <c r="B15" s="595">
        <v>45886</v>
      </c>
      <c r="C15" s="1447">
        <v>45881</v>
      </c>
      <c r="D15" t="s">
        <v>2368</v>
      </c>
      <c r="E15">
        <f>_xlfn.XLOOKUP(D15,RUC!$B$3:$B$123,RUC!$D$3:$D$123)</f>
        <v>20612719757</v>
      </c>
      <c r="G15" s="1082">
        <v>42</v>
      </c>
      <c r="H15" s="762" t="s">
        <v>108</v>
      </c>
      <c r="I15" s="703">
        <v>3.41</v>
      </c>
      <c r="J15" s="596">
        <v>17.649999999999999</v>
      </c>
      <c r="K15" s="138">
        <f t="shared" si="0"/>
        <v>2.8079999999999998</v>
      </c>
      <c r="L15" s="994">
        <v>0.34699999999999998</v>
      </c>
      <c r="M15" s="994">
        <v>0.32600000000000001</v>
      </c>
      <c r="N15" s="159">
        <v>0.32600000000000001</v>
      </c>
      <c r="O15" s="645">
        <f t="shared" si="1"/>
        <v>0.32600000000000001</v>
      </c>
      <c r="P15" s="727">
        <v>90</v>
      </c>
      <c r="Q15" s="596">
        <v>90.78</v>
      </c>
      <c r="R15" s="706">
        <v>3343.3</v>
      </c>
      <c r="S15" s="765">
        <f>IF((_xlfn.XLOOKUP(D15,RUC!$B$3:$B$73,RUC!$E$3:$E$73)+ROUNDDOWN(O15,1)*100)&lt;95,95,((_xlfn.XLOOKUP(D15,RUC!$B$3:$B$73,RUC!$E$3:$E$73)+ROUNDDOWN(O15,1)*100)))</f>
        <v>120</v>
      </c>
      <c r="U15" s="1146">
        <f>_xlfn.XLOOKUP(D15,RUC!$B$3:$B$123,RUC!$F$3:$F$123)</f>
        <v>120</v>
      </c>
      <c r="V15" s="715">
        <v>1.1023000000000001</v>
      </c>
      <c r="Y15">
        <f>_xlfn.XLOOKUP(D15,RUC!$B$3:$B$123,RUC!$G$3:$G$123)</f>
        <v>20</v>
      </c>
      <c r="Z15" s="143">
        <f>_xlfn.XLOOKUP(D15,RUC!$B$3:$B$123,RUC!$H$3:$H$123)</f>
        <v>30</v>
      </c>
      <c r="AA15" s="144">
        <f t="shared" si="2"/>
        <v>50</v>
      </c>
      <c r="AB15" s="145">
        <f t="shared" si="21"/>
        <v>855.07198930600009</v>
      </c>
      <c r="AC15" s="145">
        <f>+(S15-T15)*V15-'data 1'!$F$4</f>
        <v>52.27600000000001</v>
      </c>
      <c r="AD15" s="145">
        <f t="shared" si="3"/>
        <v>9.616667780694014</v>
      </c>
      <c r="AE15" s="145">
        <f t="shared" si="4"/>
        <v>-14.884999999999998</v>
      </c>
      <c r="AF15" s="145">
        <f t="shared" si="5"/>
        <v>67.734512391041903</v>
      </c>
      <c r="AG15" s="772">
        <f t="shared" si="20"/>
        <v>131.74218017173592</v>
      </c>
      <c r="AH15" s="1253">
        <f t="shared" si="12"/>
        <v>30.327000000000002</v>
      </c>
      <c r="AI15" s="1253">
        <f t="shared" si="13"/>
        <v>33.406999999999996</v>
      </c>
      <c r="AJ15" s="156">
        <f t="shared" si="6"/>
        <v>76.286821007045944</v>
      </c>
      <c r="AK15" s="156">
        <f t="shared" si="7"/>
        <v>28.246606653666959</v>
      </c>
      <c r="AL15" s="88"/>
      <c r="AM15" s="716">
        <f t="shared" si="8"/>
        <v>2401.0421459712479</v>
      </c>
      <c r="AN15" s="716" t="str">
        <f>_xlfn.XLOOKUP(D15,RUC!$B$3:$B$578,RUC!$M$3:$M$578)</f>
        <v>SIN ACOPIADOR</v>
      </c>
      <c r="AO15" s="1167" t="s">
        <v>2277</v>
      </c>
      <c r="AP15" t="s">
        <v>2580</v>
      </c>
      <c r="AQ15" t="s">
        <v>2581</v>
      </c>
      <c r="AS15" s="1212"/>
      <c r="AV15" s="1232" t="s">
        <v>2520</v>
      </c>
      <c r="AW15" s="1234">
        <f t="shared" si="14"/>
        <v>0</v>
      </c>
      <c r="AX15" s="1234" cm="1">
        <f t="array" ref="AX15">+SUMPRODUCT(IF('Analisis comercial'!$AO$4:$AO$9=AV15,'Analisis comercial'!$L$4:$L$9*'Analisis comercial'!$K$4:$K$9/AW15))</f>
        <v>0</v>
      </c>
      <c r="AY15" s="1235">
        <f t="shared" si="15"/>
        <v>0</v>
      </c>
      <c r="AZ15" s="1236" cm="1">
        <f t="array" ref="AZ15">+SUMPRODUCT(IF('Analisis comercial'!$AO$4:$AO$9=AV15,('Analisis comercial'!$Q$4:$Q$9*'Analisis comercial'!$AH$4:$AH$9)/SUMIF('Analisis comercial'!$AO$4:$AO$9,$A15,'Analisis comercial'!$AH$4:$AH$9)))</f>
        <v>0</v>
      </c>
      <c r="BA15" s="1237">
        <f t="shared" si="17"/>
        <v>0</v>
      </c>
      <c r="BB15" s="1237">
        <f t="shared" si="18"/>
        <v>0</v>
      </c>
      <c r="BC15" s="1236">
        <f t="shared" si="16"/>
        <v>329.9777233624327</v>
      </c>
      <c r="BD15" s="1238">
        <f t="shared" si="19"/>
        <v>522.673</v>
      </c>
      <c r="BE15" s="847"/>
    </row>
    <row r="16" spans="1:59" ht="15" customHeight="1" thickBot="1">
      <c r="A16" s="747" t="s">
        <v>2569</v>
      </c>
      <c r="B16" s="595">
        <v>45892</v>
      </c>
      <c r="C16" s="1447">
        <v>45881</v>
      </c>
      <c r="D16" t="s">
        <v>1967</v>
      </c>
      <c r="E16">
        <f>_xlfn.XLOOKUP(D16,RUC!$B$3:$B$123,RUC!$D$3:$D$123)</f>
        <v>20601769396</v>
      </c>
      <c r="G16" s="1082">
        <v>40</v>
      </c>
      <c r="H16" s="762" t="s">
        <v>108</v>
      </c>
      <c r="I16" s="703">
        <v>3.39</v>
      </c>
      <c r="J16" s="596">
        <v>11.15</v>
      </c>
      <c r="K16" s="138">
        <f>ROUND(+I16-(I16*(J16/100)),3)</f>
        <v>3.012</v>
      </c>
      <c r="L16" s="994">
        <v>0.185</v>
      </c>
      <c r="M16" s="994">
        <v>0.17</v>
      </c>
      <c r="N16" s="159">
        <v>0.17</v>
      </c>
      <c r="O16" s="645">
        <f t="shared" si="1"/>
        <v>0.17</v>
      </c>
      <c r="P16" s="727">
        <v>72</v>
      </c>
      <c r="Q16" s="1148">
        <v>73.09</v>
      </c>
      <c r="R16" s="706">
        <v>3343.3</v>
      </c>
      <c r="S16" s="765">
        <f>IF((_xlfn.XLOOKUP(D16,RUC!$B$3:$B$73,RUC!$E$3:$E$73)+ROUNDDOWN(O16,1)*100)&lt;95,95,((_xlfn.XLOOKUP(D16,RUC!$B$3:$B$73,RUC!$E$3:$E$73)+ROUNDDOWN(O16,1)*100)))</f>
        <v>100</v>
      </c>
      <c r="U16" s="1146">
        <f>_xlfn.XLOOKUP(D16,RUC!$B$3:$B$123,RUC!$F$3:$F$123)</f>
        <v>120</v>
      </c>
      <c r="V16" s="715">
        <v>1.1023000000000001</v>
      </c>
      <c r="Y16">
        <f>_xlfn.XLOOKUP(D16,RUC!$B$3:$B$123,RUC!$G$3:$G$123)</f>
        <v>20</v>
      </c>
      <c r="Z16" s="143">
        <f>_xlfn.XLOOKUP(D16,RUC!$B$3:$B$123,RUC!$H$3:$H$123)</f>
        <v>30</v>
      </c>
      <c r="AA16" s="144">
        <f t="shared" si="2"/>
        <v>50</v>
      </c>
      <c r="AB16" s="145">
        <f t="shared" si="21"/>
        <v>269.54753541600002</v>
      </c>
      <c r="AC16" s="145">
        <f>+(S16-T16)*V16-'data 1'!$F$4</f>
        <v>30.230000000000004</v>
      </c>
      <c r="AD16" s="145">
        <f t="shared" si="3"/>
        <v>7.1647123992350235</v>
      </c>
      <c r="AE16" s="145">
        <f t="shared" si="4"/>
        <v>-14.884999999999998</v>
      </c>
      <c r="AF16" s="145">
        <f t="shared" si="5"/>
        <v>38.953793398964969</v>
      </c>
      <c r="AG16" s="772">
        <f t="shared" si="20"/>
        <v>78.463505798200003</v>
      </c>
      <c r="AH16" s="1253">
        <f t="shared" si="12"/>
        <v>13.962999999999999</v>
      </c>
      <c r="AI16" s="1253">
        <f t="shared" si="13"/>
        <v>19.105</v>
      </c>
      <c r="AJ16" s="156">
        <f t="shared" si="6"/>
        <v>32.746097804614976</v>
      </c>
      <c r="AK16" s="156">
        <f t="shared" si="7"/>
        <v>12.639952869927841</v>
      </c>
      <c r="AL16" s="88"/>
      <c r="AM16" s="716">
        <f t="shared" si="8"/>
        <v>811.87717667299205</v>
      </c>
      <c r="AN16" s="716" t="str">
        <f>_xlfn.XLOOKUP(D16,RUC!$B$3:$B$578,RUC!$M$3:$M$578)</f>
        <v>Evelyn</v>
      </c>
      <c r="AO16" s="1167" t="s">
        <v>2281</v>
      </c>
      <c r="AP16" t="s">
        <v>2582</v>
      </c>
      <c r="AQ16" t="s">
        <v>2583</v>
      </c>
      <c r="AS16" s="1212"/>
      <c r="AV16" s="1239" t="s">
        <v>2521</v>
      </c>
      <c r="AW16" s="1254">
        <f t="shared" si="14"/>
        <v>0</v>
      </c>
      <c r="AX16" s="1254" cm="1">
        <f t="array" ref="AX16">+SUMPRODUCT(IF('Analisis comercial'!$AO$4:$AO$9=AV16,'Analisis comercial'!$L$4:$L$9*'Analisis comercial'!$K$4:$K$9/AW16))</f>
        <v>0</v>
      </c>
      <c r="AY16" s="1241">
        <f t="shared" si="15"/>
        <v>0</v>
      </c>
      <c r="AZ16" s="1242" cm="1">
        <f t="array" ref="AZ16">+SUMPRODUCT(IF('Analisis comercial'!$AO$4:$AO$9=AV16,('Analisis comercial'!$Q$4:$Q$9*'Analisis comercial'!$AH$4:$AH$9)/SUMIF('Analisis comercial'!$AO$4:$AO$9,$A16,'Analisis comercial'!$AH$4:$AH$9)))</f>
        <v>0</v>
      </c>
      <c r="BA16" s="1243">
        <f t="shared" si="17"/>
        <v>0</v>
      </c>
      <c r="BB16" s="1243">
        <f t="shared" si="18"/>
        <v>0</v>
      </c>
      <c r="BC16" s="1242">
        <f t="shared" si="16"/>
        <v>329.9777233624327</v>
      </c>
      <c r="BD16" s="1436">
        <f t="shared" si="19"/>
        <v>522.673</v>
      </c>
      <c r="BE16" s="847">
        <f t="shared" ref="BE16" si="22">BA16*AZ16/100</f>
        <v>0</v>
      </c>
    </row>
    <row r="17" spans="1:55" ht="15" customHeight="1">
      <c r="A17" s="747" t="s">
        <v>2570</v>
      </c>
      <c r="B17" s="595">
        <v>45892</v>
      </c>
      <c r="C17" s="1447">
        <v>45881</v>
      </c>
      <c r="D17" t="s">
        <v>1967</v>
      </c>
      <c r="E17">
        <f>_xlfn.XLOOKUP(D17,RUC!$B$3:$B$123,RUC!$D$3:$D$123)</f>
        <v>20601769396</v>
      </c>
      <c r="G17" s="1082">
        <v>50</v>
      </c>
      <c r="H17" s="762" t="s">
        <v>108</v>
      </c>
      <c r="I17" s="703">
        <v>4.26</v>
      </c>
      <c r="J17" s="596">
        <v>11.6</v>
      </c>
      <c r="K17" s="138">
        <f t="shared" ref="K17:K63" si="23">ROUND(+I17-(I17*(J17/100)),3)</f>
        <v>3.766</v>
      </c>
      <c r="L17" s="994">
        <v>0.20799999999999999</v>
      </c>
      <c r="M17" s="994">
        <v>0.183</v>
      </c>
      <c r="N17" s="159">
        <v>0.183</v>
      </c>
      <c r="O17" s="645">
        <f t="shared" si="1"/>
        <v>0.183</v>
      </c>
      <c r="P17" s="727">
        <v>64</v>
      </c>
      <c r="Q17" s="1148">
        <v>64.8</v>
      </c>
      <c r="R17" s="706">
        <v>3343.3</v>
      </c>
      <c r="S17" s="765">
        <f>IF((_xlfn.XLOOKUP(D17,RUC!$B$3:$B$73,RUC!$E$3:$E$73)+ROUNDDOWN(O17,1)*100)&lt;95,95,((_xlfn.XLOOKUP(D17,RUC!$B$3:$B$73,RUC!$E$3:$E$73)+ROUNDDOWN(O17,1)*100)))</f>
        <v>100</v>
      </c>
      <c r="U17" s="1146">
        <f>_xlfn.XLOOKUP(D17,RUC!$B$3:$B$123,RUC!$F$3:$F$123)</f>
        <v>120</v>
      </c>
      <c r="V17" s="715">
        <v>1.1023000000000001</v>
      </c>
      <c r="Y17">
        <f>_xlfn.XLOOKUP(D17,RUC!$B$3:$B$123,RUC!$G$3:$G$123)</f>
        <v>20</v>
      </c>
      <c r="Z17" s="143">
        <f>_xlfn.XLOOKUP(D17,RUC!$B$3:$B$123,RUC!$H$3:$H$123)</f>
        <v>30</v>
      </c>
      <c r="AA17" s="144">
        <f t="shared" si="2"/>
        <v>50</v>
      </c>
      <c r="AB17" s="145">
        <f t="shared" si="21"/>
        <v>250.78746526080002</v>
      </c>
      <c r="AC17" s="145">
        <f>+(S17-T17)*V17-'data 1'!$F$4</f>
        <v>30.230000000000004</v>
      </c>
      <c r="AD17" s="145">
        <f t="shared" si="3"/>
        <v>5.9122645337599797</v>
      </c>
      <c r="AE17" s="145">
        <f t="shared" si="4"/>
        <v>-14.884999999999998</v>
      </c>
      <c r="AF17" s="145">
        <f t="shared" si="5"/>
        <v>57.559306157999984</v>
      </c>
      <c r="AG17" s="772">
        <f t="shared" si="20"/>
        <v>95.816570691759978</v>
      </c>
      <c r="AH17" s="1253">
        <f t="shared" si="12"/>
        <v>17.402999999999999</v>
      </c>
      <c r="AI17" s="1253">
        <f t="shared" si="13"/>
        <v>26.856999999999999</v>
      </c>
      <c r="AJ17" s="156">
        <f t="shared" si="6"/>
        <v>32.641356983039969</v>
      </c>
      <c r="AK17" s="156">
        <f t="shared" si="7"/>
        <v>15.122390505934659</v>
      </c>
      <c r="AL17" s="88"/>
      <c r="AM17" s="716">
        <f t="shared" si="8"/>
        <v>944.46559417217293</v>
      </c>
      <c r="AN17" s="716" t="str">
        <f>_xlfn.XLOOKUP(D17,RUC!$B$3:$B$578,RUC!$M$3:$M$578)</f>
        <v>Evelyn</v>
      </c>
      <c r="AO17" s="1167" t="s">
        <v>2281</v>
      </c>
      <c r="AP17" t="s">
        <v>2582</v>
      </c>
      <c r="AQ17" t="s">
        <v>2583</v>
      </c>
      <c r="AS17" s="1212"/>
      <c r="AU17" s="631"/>
      <c r="AV17" s="1467"/>
      <c r="AW17" s="1234"/>
      <c r="AX17" s="1234"/>
      <c r="AZ17" s="1236"/>
      <c r="BA17" s="1466">
        <f t="shared" si="17"/>
        <v>0</v>
      </c>
      <c r="BB17" s="1466">
        <f t="shared" si="18"/>
        <v>0</v>
      </c>
    </row>
    <row r="18" spans="1:55" ht="15" customHeight="1" thickBot="1">
      <c r="A18" s="747" t="s">
        <v>2571</v>
      </c>
      <c r="B18" s="595">
        <v>45888</v>
      </c>
      <c r="C18" s="1447">
        <v>45881</v>
      </c>
      <c r="D18" t="s">
        <v>1967</v>
      </c>
      <c r="E18">
        <f>_xlfn.XLOOKUP(D18,RUC!$B$3:$B$123,RUC!$D$3:$D$123)</f>
        <v>20601769396</v>
      </c>
      <c r="G18" s="1082">
        <v>50</v>
      </c>
      <c r="H18" s="762" t="s">
        <v>108</v>
      </c>
      <c r="I18" s="703">
        <v>4.22</v>
      </c>
      <c r="J18" s="596">
        <v>12.6</v>
      </c>
      <c r="K18" s="138">
        <f t="shared" si="23"/>
        <v>3.6880000000000002</v>
      </c>
      <c r="L18" s="994">
        <v>0.22</v>
      </c>
      <c r="M18" s="994">
        <v>0.19400000000000001</v>
      </c>
      <c r="N18" s="159">
        <v>0.19400000000000001</v>
      </c>
      <c r="O18" s="645">
        <f t="shared" si="1"/>
        <v>0.19400000000000001</v>
      </c>
      <c r="P18" s="727">
        <v>90</v>
      </c>
      <c r="Q18" s="596">
        <v>92.11</v>
      </c>
      <c r="R18" s="706">
        <v>3343.3</v>
      </c>
      <c r="S18" s="765">
        <f>IF((90+ROUNDDOWN(O18,1)*100)&lt;95,95,((90+ROUNDDOWN(O18,1)*100)))</f>
        <v>100</v>
      </c>
      <c r="U18" s="1146">
        <f>_xlfn.XLOOKUP(D18,RUC!$B$3:$B$123,RUC!$F$3:$F$123)</f>
        <v>120</v>
      </c>
      <c r="V18" s="715">
        <v>1.1023000000000001</v>
      </c>
      <c r="Y18">
        <f>_xlfn.XLOOKUP(D18,RUC!$B$3:$B$123,RUC!$G$3:$G$123)</f>
        <v>20</v>
      </c>
      <c r="Z18" s="143">
        <f>_xlfn.XLOOKUP(D18,RUC!$B$3:$B$123,RUC!$H$3:$H$123)</f>
        <v>30</v>
      </c>
      <c r="AA18" s="144">
        <f t="shared" si="2"/>
        <v>50</v>
      </c>
      <c r="AB18" s="145">
        <f t="shared" si="21"/>
        <v>455.01641081400004</v>
      </c>
      <c r="AC18" s="145">
        <f>+(S18-T18)*V18-'data 1'!$F$4</f>
        <v>30.230000000000004</v>
      </c>
      <c r="AD18" s="145">
        <f t="shared" si="3"/>
        <v>16.493228344779997</v>
      </c>
      <c r="AE18" s="145">
        <f t="shared" si="4"/>
        <v>-14.884999999999998</v>
      </c>
      <c r="AF18" s="145">
        <f t="shared" si="5"/>
        <v>85.090419719473999</v>
      </c>
      <c r="AG18" s="772">
        <f t="shared" si="20"/>
        <v>133.92864806425399</v>
      </c>
      <c r="AH18" s="1253">
        <f t="shared" si="12"/>
        <v>25.623000000000001</v>
      </c>
      <c r="AI18" s="1253">
        <f t="shared" si="13"/>
        <v>27.818000000000001</v>
      </c>
      <c r="AJ18" s="156">
        <f t="shared" si="6"/>
        <v>49.074889169019961</v>
      </c>
      <c r="AK18" s="156">
        <f t="shared" si="7"/>
        <v>22.077211643018639</v>
      </c>
      <c r="AL18" s="88"/>
      <c r="AM18" s="716">
        <f t="shared" si="8"/>
        <v>1678.1005230820322</v>
      </c>
      <c r="AN18" s="716" t="str">
        <f>_xlfn.XLOOKUP(D18,RUC!$B$3:$B$578,RUC!$M$3:$M$578)</f>
        <v>Evelyn</v>
      </c>
      <c r="AO18" s="1167" t="s">
        <v>2277</v>
      </c>
      <c r="AP18" t="s">
        <v>2582</v>
      </c>
      <c r="AQ18" t="s">
        <v>2583</v>
      </c>
      <c r="AS18" s="1212"/>
    </row>
    <row r="19" spans="1:55" ht="15" customHeight="1" thickBot="1">
      <c r="A19" s="747" t="s">
        <v>2572</v>
      </c>
      <c r="B19" s="595">
        <v>45889</v>
      </c>
      <c r="C19" s="1447">
        <v>45881</v>
      </c>
      <c r="D19" t="s">
        <v>119</v>
      </c>
      <c r="E19">
        <f>_xlfn.XLOOKUP(D19,RUC!$B$3:$B$123,RUC!$D$3:$D$123)</f>
        <v>10082235774</v>
      </c>
      <c r="G19" s="1082">
        <v>73</v>
      </c>
      <c r="H19" s="762" t="s">
        <v>69</v>
      </c>
      <c r="I19" s="703">
        <v>7</v>
      </c>
      <c r="J19" s="596">
        <v>2.1</v>
      </c>
      <c r="K19" s="138">
        <f t="shared" si="23"/>
        <v>6.8529999999999998</v>
      </c>
      <c r="L19" s="994">
        <v>0.15</v>
      </c>
      <c r="M19" s="994">
        <v>0.14299999999999999</v>
      </c>
      <c r="N19" s="159">
        <v>0.14299999999999999</v>
      </c>
      <c r="O19" s="645">
        <f t="shared" si="1"/>
        <v>0.14299999999999999</v>
      </c>
      <c r="P19" s="727">
        <v>85</v>
      </c>
      <c r="Q19" s="596">
        <v>94.67</v>
      </c>
      <c r="R19" s="706">
        <v>3343.3</v>
      </c>
      <c r="S19" s="1164">
        <v>95</v>
      </c>
      <c r="U19" s="1146">
        <f>_xlfn.XLOOKUP(D19,RUC!$B$3:$B$123,RUC!$F$3:$F$123)</f>
        <v>80</v>
      </c>
      <c r="V19" s="715">
        <v>1.1023000000000001</v>
      </c>
      <c r="Y19">
        <f>_xlfn.XLOOKUP(D19,RUC!$B$3:$B$123,RUC!$G$3:$G$123)</f>
        <v>0</v>
      </c>
      <c r="Z19" s="143">
        <f>_xlfn.XLOOKUP(D19,RUC!$B$3:$B$123,RUC!$H$3:$H$123)</f>
        <v>10</v>
      </c>
      <c r="AA19" s="144">
        <f t="shared" si="2"/>
        <v>10</v>
      </c>
      <c r="AB19" s="145">
        <f t="shared" si="21"/>
        <v>321.49033096450006</v>
      </c>
      <c r="AC19" s="145">
        <f>+(S19-T19)*V19-'data 1'!$F$4</f>
        <v>24.718500000000006</v>
      </c>
      <c r="AD19" s="145">
        <f t="shared" si="3"/>
        <v>52.176451732950021</v>
      </c>
      <c r="AE19" s="145">
        <f t="shared" si="4"/>
        <v>-58.977000000000004</v>
      </c>
      <c r="AF19" s="145">
        <f t="shared" si="5"/>
        <v>23.837857841371022</v>
      </c>
      <c r="AG19" s="772">
        <f>AC19+AD19+AE19+AF19+70</f>
        <v>111.75580957432105</v>
      </c>
      <c r="AH19" s="1253">
        <f t="shared" si="12"/>
        <v>33.365000000000002</v>
      </c>
      <c r="AI19" s="1253">
        <f t="shared" si="13"/>
        <v>35.244</v>
      </c>
      <c r="AJ19" s="156">
        <f t="shared" si="6"/>
        <v>28.128820436549972</v>
      </c>
      <c r="AK19" s="156">
        <f t="shared" si="7"/>
        <v>28.559116251473306</v>
      </c>
      <c r="AL19" s="88"/>
      <c r="AM19" s="716">
        <f t="shared" si="8"/>
        <v>2203.1732380997187</v>
      </c>
      <c r="AN19" s="716" t="str">
        <f>_xlfn.XLOOKUP(D19,RUC!$B$3:$B$578,RUC!$M$3:$M$578)</f>
        <v>Melchor Vera</v>
      </c>
      <c r="AO19" s="1167" t="s">
        <v>2277</v>
      </c>
      <c r="AP19" t="s">
        <v>2584</v>
      </c>
      <c r="AQ19" t="s">
        <v>2585</v>
      </c>
      <c r="AS19" s="1212"/>
      <c r="AV19" s="1982" t="s">
        <v>2767</v>
      </c>
      <c r="AW19" s="1983"/>
      <c r="AX19" s="1983"/>
      <c r="AY19" s="1983"/>
      <c r="AZ19" s="1983"/>
      <c r="BA19" s="1984"/>
      <c r="BB19" s="1468"/>
    </row>
    <row r="20" spans="1:55" ht="15" customHeight="1">
      <c r="A20" s="747" t="s">
        <v>2573</v>
      </c>
      <c r="B20" s="595">
        <v>45889</v>
      </c>
      <c r="C20" s="1447">
        <v>45881</v>
      </c>
      <c r="D20" t="s">
        <v>119</v>
      </c>
      <c r="E20">
        <f>_xlfn.XLOOKUP(D20,RUC!$B$3:$B$123,RUC!$D$3:$D$123)</f>
        <v>10082235774</v>
      </c>
      <c r="G20" s="1082">
        <v>66</v>
      </c>
      <c r="H20" s="762" t="s">
        <v>69</v>
      </c>
      <c r="I20" s="703">
        <v>6.2</v>
      </c>
      <c r="J20" s="596">
        <v>2.5</v>
      </c>
      <c r="K20" s="138">
        <f t="shared" si="23"/>
        <v>6.0449999999999999</v>
      </c>
      <c r="L20" s="994">
        <v>0.158</v>
      </c>
      <c r="M20" s="994">
        <v>0.15</v>
      </c>
      <c r="N20" s="159">
        <v>0.15</v>
      </c>
      <c r="O20" s="645">
        <f t="shared" si="1"/>
        <v>0.15</v>
      </c>
      <c r="P20" s="727">
        <v>85</v>
      </c>
      <c r="Q20" s="596">
        <v>91.77</v>
      </c>
      <c r="R20" s="706">
        <v>3343.3</v>
      </c>
      <c r="S20" s="1164">
        <v>95</v>
      </c>
      <c r="U20" s="1146">
        <f>_xlfn.XLOOKUP(D20,RUC!$B$3:$B$123,RUC!$F$3:$F$123)</f>
        <v>80</v>
      </c>
      <c r="V20" s="715">
        <v>1.1023000000000001</v>
      </c>
      <c r="Y20">
        <f>_xlfn.XLOOKUP(D20,RUC!$B$3:$B$123,RUC!$G$3:$G$123)</f>
        <v>0</v>
      </c>
      <c r="Z20" s="143">
        <f>_xlfn.XLOOKUP(D20,RUC!$B$3:$B$123,RUC!$H$3:$H$123)</f>
        <v>10</v>
      </c>
      <c r="AA20" s="144">
        <f t="shared" si="2"/>
        <v>10</v>
      </c>
      <c r="AB20" s="145">
        <f t="shared" si="21"/>
        <v>342.89328772500005</v>
      </c>
      <c r="AC20" s="145">
        <f>+(S20-T20)*V20-'data 1'!$F$4</f>
        <v>24.718500000000006</v>
      </c>
      <c r="AD20" s="145">
        <f t="shared" si="3"/>
        <v>38.477120551993977</v>
      </c>
      <c r="AE20" s="145">
        <f t="shared" si="4"/>
        <v>-58.977000000000004</v>
      </c>
      <c r="AF20" s="145">
        <f t="shared" si="5"/>
        <v>26.408730647544029</v>
      </c>
      <c r="AG20" s="772">
        <f t="shared" ref="AG20:AG24" si="24">AC20+AD20+AE20+AF20+70</f>
        <v>100.62735119953801</v>
      </c>
      <c r="AH20" s="1253">
        <f t="shared" si="12"/>
        <v>30.050999999999998</v>
      </c>
      <c r="AI20" s="1253">
        <f t="shared" si="13"/>
        <v>32.746000000000002</v>
      </c>
      <c r="AJ20" s="156">
        <f t="shared" si="6"/>
        <v>28.721406466745972</v>
      </c>
      <c r="AK20" s="156">
        <f t="shared" si="7"/>
        <v>26.425034272186878</v>
      </c>
      <c r="AL20" s="88"/>
      <c r="AM20" s="716">
        <f t="shared" si="8"/>
        <v>2072.7899242976255</v>
      </c>
      <c r="AN20" s="716" t="str">
        <f>_xlfn.XLOOKUP(D20,RUC!$B$3:$B$578,RUC!$M$3:$M$578)</f>
        <v>Melchor Vera</v>
      </c>
      <c r="AO20" s="1167" t="s">
        <v>2280</v>
      </c>
      <c r="AP20" t="s">
        <v>2584</v>
      </c>
      <c r="AQ20" t="s">
        <v>2585</v>
      </c>
      <c r="AS20" s="1212"/>
      <c r="BA20" s="1486">
        <f>SUM(BA22:BA31)</f>
        <v>3863.0789194163681</v>
      </c>
    </row>
    <row r="21" spans="1:55" ht="15" customHeight="1" thickBot="1">
      <c r="A21" s="747" t="s">
        <v>2574</v>
      </c>
      <c r="B21" s="595">
        <v>45889</v>
      </c>
      <c r="C21" s="1447">
        <v>45881</v>
      </c>
      <c r="D21" t="s">
        <v>119</v>
      </c>
      <c r="E21">
        <f>_xlfn.XLOOKUP(D21,RUC!$B$3:$B$123,RUC!$D$3:$D$123)</f>
        <v>10082235774</v>
      </c>
      <c r="G21" s="1082">
        <v>64</v>
      </c>
      <c r="H21" s="762" t="s">
        <v>69</v>
      </c>
      <c r="I21" s="703">
        <v>6.17</v>
      </c>
      <c r="J21" s="596">
        <v>2.35</v>
      </c>
      <c r="K21" s="138">
        <f t="shared" si="23"/>
        <v>6.0250000000000004</v>
      </c>
      <c r="L21" s="994">
        <v>0.192</v>
      </c>
      <c r="M21" s="994">
        <v>0.184</v>
      </c>
      <c r="N21" s="159">
        <v>0.184</v>
      </c>
      <c r="O21" s="645">
        <f t="shared" si="1"/>
        <v>0.184</v>
      </c>
      <c r="P21" s="727">
        <v>85</v>
      </c>
      <c r="Q21" s="596">
        <v>93.75</v>
      </c>
      <c r="R21" s="706">
        <v>3343.3</v>
      </c>
      <c r="S21" s="1164">
        <v>95</v>
      </c>
      <c r="U21" s="1146">
        <f>_xlfn.XLOOKUP(D21,RUC!$B$3:$B$123,RUC!$F$3:$F$123)</f>
        <v>80</v>
      </c>
      <c r="V21" s="715">
        <v>1.1023000000000001</v>
      </c>
      <c r="Y21">
        <f>_xlfn.XLOOKUP(D21,RUC!$B$3:$B$123,RUC!$G$3:$G$123)</f>
        <v>0</v>
      </c>
      <c r="Z21" s="143">
        <f>_xlfn.XLOOKUP(D21,RUC!$B$3:$B$123,RUC!$H$3:$H$123)</f>
        <v>10</v>
      </c>
      <c r="AA21" s="144">
        <f t="shared" si="2"/>
        <v>10</v>
      </c>
      <c r="AB21" s="145">
        <f t="shared" si="21"/>
        <v>446.85050627600003</v>
      </c>
      <c r="AC21" s="145">
        <f>+(S21-T21)*V21-'data 1'!$F$4</f>
        <v>24.718500000000006</v>
      </c>
      <c r="AD21" s="145">
        <f t="shared" si="3"/>
        <v>60.431877911999997</v>
      </c>
      <c r="AE21" s="145">
        <f t="shared" si="4"/>
        <v>-58.977000000000004</v>
      </c>
      <c r="AF21" s="145">
        <f t="shared" si="5"/>
        <v>26.978516925000026</v>
      </c>
      <c r="AG21" s="772">
        <f t="shared" si="24"/>
        <v>123.15189483700003</v>
      </c>
      <c r="AH21" s="1253">
        <f t="shared" si="12"/>
        <v>37.183</v>
      </c>
      <c r="AI21" s="1253">
        <f t="shared" si="13"/>
        <v>39.661000000000001</v>
      </c>
      <c r="AJ21" s="156">
        <f t="shared" si="6"/>
        <v>35.654995799999966</v>
      </c>
      <c r="AK21" s="156">
        <f t="shared" si="7"/>
        <v>32.307464013395503</v>
      </c>
      <c r="AL21" s="88"/>
      <c r="AM21" s="716">
        <f t="shared" si="8"/>
        <v>2692.2743003129003</v>
      </c>
      <c r="AN21" s="716" t="str">
        <f>_xlfn.XLOOKUP(D21,RUC!$B$3:$B$578,RUC!$M$3:$M$578)</f>
        <v>Melchor Vera</v>
      </c>
      <c r="AO21" s="1167" t="s">
        <v>2277</v>
      </c>
      <c r="AP21" t="s">
        <v>2584</v>
      </c>
      <c r="AQ21" t="s">
        <v>2585</v>
      </c>
      <c r="AS21" s="1212"/>
      <c r="AV21" s="633"/>
      <c r="AW21" s="633" t="s">
        <v>15</v>
      </c>
      <c r="AX21" s="633" t="s">
        <v>2522</v>
      </c>
      <c r="AY21" s="633" t="s">
        <v>2558</v>
      </c>
      <c r="AZ21" s="1483" t="s">
        <v>2598</v>
      </c>
      <c r="BA21" s="633" t="s">
        <v>2559</v>
      </c>
    </row>
    <row r="22" spans="1:55" ht="15" customHeight="1">
      <c r="A22" s="747" t="s">
        <v>2576</v>
      </c>
      <c r="B22" s="595">
        <v>45889</v>
      </c>
      <c r="C22" s="1447">
        <v>45881</v>
      </c>
      <c r="D22" t="s">
        <v>119</v>
      </c>
      <c r="E22">
        <f>_xlfn.XLOOKUP(D22,RUC!$B$3:$B$123,RUC!$D$3:$D$123)</f>
        <v>10082235774</v>
      </c>
      <c r="G22" s="1082">
        <v>50</v>
      </c>
      <c r="H22" s="762" t="s">
        <v>69</v>
      </c>
      <c r="I22" s="703">
        <v>4.8899999999999997</v>
      </c>
      <c r="J22" s="596">
        <v>2.4500000000000002</v>
      </c>
      <c r="K22" s="138">
        <f t="shared" si="23"/>
        <v>4.7699999999999996</v>
      </c>
      <c r="L22" s="994">
        <v>0.193</v>
      </c>
      <c r="M22" s="994">
        <v>0.18099999999999999</v>
      </c>
      <c r="N22" s="159">
        <v>0.18099999999999999</v>
      </c>
      <c r="O22" s="645">
        <f t="shared" si="1"/>
        <v>0.18099999999999999</v>
      </c>
      <c r="P22" s="727">
        <v>85</v>
      </c>
      <c r="Q22" s="596">
        <v>93.78</v>
      </c>
      <c r="R22" s="706">
        <v>3343.3</v>
      </c>
      <c r="S22" s="1164">
        <v>95</v>
      </c>
      <c r="U22" s="1146">
        <f>_xlfn.XLOOKUP(D22,RUC!$B$3:$B$123,RUC!$F$3:$F$123)</f>
        <v>80</v>
      </c>
      <c r="V22" s="715">
        <v>1.1023000000000001</v>
      </c>
      <c r="Y22">
        <f>_xlfn.XLOOKUP(D22,RUC!$B$3:$B$123,RUC!$G$3:$G$123)</f>
        <v>0</v>
      </c>
      <c r="Z22" s="143">
        <f>_xlfn.XLOOKUP(D22,RUC!$B$3:$B$123,RUC!$H$3:$H$123)</f>
        <v>10</v>
      </c>
      <c r="AA22" s="144">
        <f t="shared" si="2"/>
        <v>10</v>
      </c>
      <c r="AB22" s="145">
        <f t="shared" si="21"/>
        <v>437.67781052150008</v>
      </c>
      <c r="AC22" s="145">
        <f>+(S22-T22)*V22-'data 1'!$F$4</f>
        <v>24.718500000000006</v>
      </c>
      <c r="AD22" s="145">
        <f t="shared" si="3"/>
        <v>60.954901426786016</v>
      </c>
      <c r="AE22" s="145">
        <f t="shared" si="4"/>
        <v>-58.977000000000004</v>
      </c>
      <c r="AF22" s="145">
        <f t="shared" si="5"/>
        <v>40.480725075624044</v>
      </c>
      <c r="AG22" s="772">
        <f t="shared" si="24"/>
        <v>137.17712650241006</v>
      </c>
      <c r="AH22" s="1253">
        <f t="shared" si="12"/>
        <v>29.6</v>
      </c>
      <c r="AI22" s="1253">
        <f t="shared" si="13"/>
        <v>31.562999999999999</v>
      </c>
      <c r="AJ22" s="156">
        <f t="shared" si="6"/>
        <v>35.852167926773966</v>
      </c>
      <c r="AK22" s="156">
        <f t="shared" si="7"/>
        <v>25.160829158619222</v>
      </c>
      <c r="AL22" s="88"/>
      <c r="AM22" s="716">
        <f t="shared" si="8"/>
        <v>2087.7231561875551</v>
      </c>
      <c r="AN22" s="716" t="str">
        <f>_xlfn.XLOOKUP(D22,RUC!$B$3:$B$578,RUC!$M$3:$M$578)</f>
        <v>Melchor Vera</v>
      </c>
      <c r="AO22" s="1167" t="s">
        <v>2277</v>
      </c>
      <c r="AP22" t="s">
        <v>2584</v>
      </c>
      <c r="AQ22" t="s">
        <v>2585</v>
      </c>
      <c r="AS22" s="1212"/>
      <c r="AV22" s="1225" t="s">
        <v>2277</v>
      </c>
      <c r="AW22" s="1227">
        <f>SUMIF($AO$4:$AO$1900,AV7,$K$4:$K$1900)</f>
        <v>100.72800000000001</v>
      </c>
      <c r="AX22" s="1227">
        <v>0.34399999999999997</v>
      </c>
      <c r="AY22" s="1229">
        <f>AW22*AX22*31.1035*1.1023</f>
        <v>1188.0035072201379</v>
      </c>
      <c r="AZ22" s="1236">
        <v>96.9</v>
      </c>
      <c r="BA22" s="1255">
        <f>AY22*AZ22/100</f>
        <v>1151.1753984963136</v>
      </c>
      <c r="BB22" s="1518" t="s">
        <v>3592</v>
      </c>
      <c r="BC22" s="1519">
        <f>+BB5</f>
        <v>4586.8630000000003</v>
      </c>
    </row>
    <row r="23" spans="1:55" ht="15" customHeight="1">
      <c r="A23" s="747" t="s">
        <v>2577</v>
      </c>
      <c r="B23" s="595">
        <v>45889</v>
      </c>
      <c r="C23" s="1447">
        <v>45881</v>
      </c>
      <c r="D23" t="s">
        <v>119</v>
      </c>
      <c r="E23">
        <f>_xlfn.XLOOKUP(D23,RUC!$B$3:$B$123,RUC!$D$3:$D$123)</f>
        <v>10082235774</v>
      </c>
      <c r="G23" s="1082">
        <v>49</v>
      </c>
      <c r="H23" s="762" t="s">
        <v>69</v>
      </c>
      <c r="I23" s="703">
        <v>4.87</v>
      </c>
      <c r="J23" s="596">
        <v>2.5499999999999998</v>
      </c>
      <c r="K23" s="138">
        <f t="shared" si="23"/>
        <v>4.7460000000000004</v>
      </c>
      <c r="L23" s="994">
        <v>0.16</v>
      </c>
      <c r="M23" s="994">
        <v>0.152</v>
      </c>
      <c r="N23" s="598">
        <v>0.17399999999999999</v>
      </c>
      <c r="O23" s="645">
        <f t="shared" si="1"/>
        <v>0.16300000000000001</v>
      </c>
      <c r="P23" s="727">
        <v>85</v>
      </c>
      <c r="Q23" s="596">
        <v>93.75</v>
      </c>
      <c r="R23" s="706">
        <v>3343.3</v>
      </c>
      <c r="S23" s="1164">
        <v>95</v>
      </c>
      <c r="U23" s="1146">
        <f>_xlfn.XLOOKUP(D23,RUC!$B$3:$B$123,RUC!$F$3:$F$123)</f>
        <v>80</v>
      </c>
      <c r="V23" s="715">
        <v>1.1023000000000001</v>
      </c>
      <c r="Y23">
        <f>_xlfn.XLOOKUP(D23,RUC!$B$3:$B$123,RUC!$G$3:$G$123)</f>
        <v>0</v>
      </c>
      <c r="Z23" s="143">
        <f>_xlfn.XLOOKUP(D23,RUC!$B$3:$B$123,RUC!$H$3:$H$123)</f>
        <v>10</v>
      </c>
      <c r="AA23" s="144">
        <f t="shared" si="2"/>
        <v>10</v>
      </c>
      <c r="AB23" s="145">
        <f t="shared" si="21"/>
        <v>382.64163599450006</v>
      </c>
      <c r="AC23" s="145">
        <f>+(S23-T23)*V23-'data 1'!$F$4</f>
        <v>24.718500000000006</v>
      </c>
      <c r="AD23" s="145">
        <f t="shared" si="3"/>
        <v>50.359898260000001</v>
      </c>
      <c r="AE23" s="145">
        <f t="shared" si="4"/>
        <v>-58.977000000000004</v>
      </c>
      <c r="AF23" s="145">
        <f t="shared" si="5"/>
        <v>-10.11694384687501</v>
      </c>
      <c r="AG23" s="772">
        <f t="shared" si="24"/>
        <v>75.984454413124979</v>
      </c>
      <c r="AH23" s="1253">
        <f t="shared" si="12"/>
        <v>24.408000000000001</v>
      </c>
      <c r="AI23" s="1253">
        <f t="shared" si="13"/>
        <v>26.035</v>
      </c>
      <c r="AJ23" s="156">
        <f t="shared" si="6"/>
        <v>29.712496499999972</v>
      </c>
      <c r="AK23" s="156">
        <f t="shared" si="7"/>
        <v>22.544641480998322</v>
      </c>
      <c r="AL23" s="88"/>
      <c r="AM23" s="716">
        <f t="shared" si="8"/>
        <v>1816.0172044298974</v>
      </c>
      <c r="AN23" s="716" t="str">
        <f>_xlfn.XLOOKUP(D23,RUC!$B$3:$B$578,RUC!$M$3:$M$578)</f>
        <v>Melchor Vera</v>
      </c>
      <c r="AO23" s="1167" t="s">
        <v>2278</v>
      </c>
      <c r="AP23" t="s">
        <v>2584</v>
      </c>
      <c r="AQ23" t="s">
        <v>2585</v>
      </c>
      <c r="AS23" s="1212"/>
      <c r="AV23" s="1232" t="s">
        <v>2278</v>
      </c>
      <c r="AW23" s="1234">
        <f>SUMIF($AO$4:$AO$1900,AV8,$K$4:$K$1900)</f>
        <v>107.73099999999999</v>
      </c>
      <c r="AX23" s="1234">
        <v>0.217</v>
      </c>
      <c r="AY23" s="1236">
        <f t="shared" ref="AY23:AY31" si="25">AW23*AX23*31.1035*1.1023</f>
        <v>801.51101338315743</v>
      </c>
      <c r="AZ23" s="1236">
        <v>83.63</v>
      </c>
      <c r="BA23" s="1256">
        <f t="shared" ref="BA23:BA31" si="26">AY23*AZ23/100</f>
        <v>670.30366049233442</v>
      </c>
      <c r="BB23" s="1518" t="s">
        <v>3593</v>
      </c>
      <c r="BC23" s="1519">
        <v>0</v>
      </c>
    </row>
    <row r="24" spans="1:55" ht="15" customHeight="1">
      <c r="A24" s="747" t="s">
        <v>2578</v>
      </c>
      <c r="B24" s="595">
        <v>45889</v>
      </c>
      <c r="C24" s="1447">
        <v>45881</v>
      </c>
      <c r="D24" t="s">
        <v>119</v>
      </c>
      <c r="E24">
        <f>_xlfn.XLOOKUP(D24,RUC!$B$3:$B$123,RUC!$D$3:$D$123)</f>
        <v>10082235774</v>
      </c>
      <c r="G24" s="1082">
        <v>46</v>
      </c>
      <c r="H24" s="762" t="s">
        <v>69</v>
      </c>
      <c r="I24" s="703">
        <v>4.0999999999999996</v>
      </c>
      <c r="J24" s="596">
        <v>1.7</v>
      </c>
      <c r="K24" s="138">
        <f t="shared" si="23"/>
        <v>4.03</v>
      </c>
      <c r="L24" s="994">
        <v>0.23599999999999999</v>
      </c>
      <c r="M24" s="994">
        <v>0.22900000000000001</v>
      </c>
      <c r="N24" s="159">
        <v>0.22900000000000001</v>
      </c>
      <c r="O24" s="645">
        <f t="shared" si="1"/>
        <v>0.22900000000000001</v>
      </c>
      <c r="P24" s="727">
        <v>85</v>
      </c>
      <c r="Q24" s="596">
        <v>92.37</v>
      </c>
      <c r="R24" s="706">
        <v>3343.3</v>
      </c>
      <c r="S24" s="1164">
        <v>105</v>
      </c>
      <c r="U24" s="1146">
        <f>_xlfn.XLOOKUP(D24,RUC!$B$3:$B$123,RUC!$F$3:$F$123)</f>
        <v>80</v>
      </c>
      <c r="V24" s="715">
        <v>1.1023000000000001</v>
      </c>
      <c r="Y24">
        <f>_xlfn.XLOOKUP(D24,RUC!$B$3:$B$123,RUC!$G$3:$G$123)</f>
        <v>0</v>
      </c>
      <c r="Z24" s="143">
        <f>_xlfn.XLOOKUP(D24,RUC!$B$3:$B$123,RUC!$H$3:$H$123)</f>
        <v>10</v>
      </c>
      <c r="AA24" s="144">
        <f t="shared" si="2"/>
        <v>10</v>
      </c>
      <c r="AB24" s="145">
        <f t="shared" si="21"/>
        <v>573.41794259350002</v>
      </c>
      <c r="AC24" s="145">
        <f>+(S24-T24)*V24-'data 1'!$F$4</f>
        <v>35.741500000000002</v>
      </c>
      <c r="AD24" s="145">
        <f t="shared" si="3"/>
        <v>62.565698743988044</v>
      </c>
      <c r="AE24" s="145">
        <f t="shared" si="4"/>
        <v>-58.977000000000004</v>
      </c>
      <c r="AF24" s="145">
        <f t="shared" si="5"/>
        <v>23.258719011380933</v>
      </c>
      <c r="AG24" s="772">
        <f t="shared" si="24"/>
        <v>132.58891775536898</v>
      </c>
      <c r="AH24" s="1253">
        <f t="shared" si="12"/>
        <v>30.12</v>
      </c>
      <c r="AI24" s="1253">
        <f t="shared" si="13"/>
        <v>32.607999999999997</v>
      </c>
      <c r="AJ24" s="156">
        <f t="shared" si="6"/>
        <v>43.180814613491954</v>
      </c>
      <c r="AK24" s="156">
        <f t="shared" si="7"/>
        <v>26.894812659247982</v>
      </c>
      <c r="AL24" s="88"/>
      <c r="AM24" s="716">
        <f t="shared" si="8"/>
        <v>2310.8743086518052</v>
      </c>
      <c r="AN24" s="716" t="str">
        <f>_xlfn.XLOOKUP(D24,RUC!$B$3:$B$578,RUC!$M$3:$M$578)</f>
        <v>Melchor Vera</v>
      </c>
      <c r="AO24" s="1167" t="s">
        <v>2277</v>
      </c>
      <c r="AP24" t="s">
        <v>2584</v>
      </c>
      <c r="AQ24" t="s">
        <v>2585</v>
      </c>
      <c r="AS24" s="1212"/>
      <c r="AV24" s="1232" t="s">
        <v>2280</v>
      </c>
      <c r="AW24" s="1234">
        <f t="shared" ref="AW24:AW31" si="27">SUMIF($AO$4:$AO$1900,AV9,$K$4:$K$1900)</f>
        <v>105.82500000000002</v>
      </c>
      <c r="AX24" s="1234">
        <v>0.27600000000000002</v>
      </c>
      <c r="AY24" s="1236">
        <f t="shared" si="25"/>
        <v>1001.3973285479854</v>
      </c>
      <c r="AZ24" s="1236">
        <v>87.83</v>
      </c>
      <c r="BA24" s="1256">
        <f t="shared" si="26"/>
        <v>879.5272736636955</v>
      </c>
      <c r="BB24" s="1495" t="s">
        <v>3594</v>
      </c>
      <c r="BC24" s="1496">
        <v>3525.47</v>
      </c>
    </row>
    <row r="25" spans="1:55" ht="15" customHeight="1">
      <c r="A25" s="747" t="s">
        <v>2587</v>
      </c>
      <c r="B25" s="595">
        <v>45887</v>
      </c>
      <c r="C25" s="1447">
        <v>45883</v>
      </c>
      <c r="D25" t="s">
        <v>1967</v>
      </c>
      <c r="E25">
        <f>_xlfn.XLOOKUP(D25,RUC!$B$3:$B$123,RUC!$D$3:$D$123)</f>
        <v>20601769396</v>
      </c>
      <c r="G25" s="1082">
        <v>36</v>
      </c>
      <c r="H25" s="762" t="s">
        <v>108</v>
      </c>
      <c r="I25" s="703">
        <v>2.85</v>
      </c>
      <c r="J25" s="596">
        <v>22.05</v>
      </c>
      <c r="K25" s="138">
        <f t="shared" si="23"/>
        <v>2.222</v>
      </c>
      <c r="L25" s="762">
        <v>0.308</v>
      </c>
      <c r="M25" s="994">
        <v>0.28999999999999998</v>
      </c>
      <c r="N25" s="159">
        <v>0.28999999999999998</v>
      </c>
      <c r="O25" s="645">
        <f t="shared" si="1"/>
        <v>0.28999999999999998</v>
      </c>
      <c r="P25" s="727">
        <v>88</v>
      </c>
      <c r="Q25" s="596">
        <v>88.64</v>
      </c>
      <c r="R25" s="706">
        <v>3343.85</v>
      </c>
      <c r="S25" s="765">
        <f>IF((_xlfn.XLOOKUP(D25,RUC!$B$3:$B$123,RUC!$E$3:$E$123)+ROUNDDOWN(O25,1)*100)&lt;95,95,((_xlfn.XLOOKUP(D25,RUC!$B$3:$B$123,RUC!$E$3:$E$123)+ROUNDDOWN(O25,1)*100)))</f>
        <v>110</v>
      </c>
      <c r="U25" s="1146">
        <f>_xlfn.XLOOKUP(D25,RUC!$B$3:$B$123,RUC!$F$3:$F$123)</f>
        <v>120</v>
      </c>
      <c r="V25" s="715">
        <v>1.1023000000000001</v>
      </c>
      <c r="Y25">
        <f>_xlfn.XLOOKUP(D25,RUC!$B$3:$B$123,RUC!$G$3:$G$123)</f>
        <v>20</v>
      </c>
      <c r="Z25" s="143">
        <f>_xlfn.XLOOKUP(D25,RUC!$B$3:$B$123,RUC!$H$3:$H$123)</f>
        <v>30</v>
      </c>
      <c r="AA25" s="144">
        <f t="shared" si="2"/>
        <v>50</v>
      </c>
      <c r="AB25" s="145">
        <f t="shared" ref="AB25:AB73" si="28">+((O25*P25*(R25-U25)/100)-S25-AA25+T25)*V25</f>
        <v>730.52344299600009</v>
      </c>
      <c r="AC25" s="145">
        <f>+(S25-T25)*V25-'data 1'!$F$4</f>
        <v>41.253</v>
      </c>
      <c r="AD25" s="145">
        <f t="shared" si="3"/>
        <v>7.0049545941760076</v>
      </c>
      <c r="AE25" s="145">
        <f t="shared" si="4"/>
        <v>-14.884999999999998</v>
      </c>
      <c r="AF25" s="145">
        <f t="shared" si="5"/>
        <v>56.699194166496056</v>
      </c>
      <c r="AG25" s="772">
        <f t="shared" ref="AG25:AG28" si="29">AC25+AD25+AE25+AF25+70-53</f>
        <v>107.07214876067206</v>
      </c>
      <c r="AH25" s="1253">
        <f t="shared" si="12"/>
        <v>20.798999999999999</v>
      </c>
      <c r="AI25" s="1253">
        <f t="shared" si="13"/>
        <v>23.463999999999999</v>
      </c>
      <c r="AJ25" s="156">
        <f t="shared" si="6"/>
        <v>65.951054858304033</v>
      </c>
      <c r="AK25" s="156">
        <f t="shared" si="7"/>
        <v>19.44168014945992</v>
      </c>
      <c r="AL25" s="88"/>
      <c r="AM25" s="716">
        <f t="shared" si="8"/>
        <v>1623.2230903371121</v>
      </c>
      <c r="AN25" s="716" t="str">
        <f>_xlfn.XLOOKUP(D25,RUC!$B$3:$B$578,RUC!$M$3:$M$578)</f>
        <v>Evelyn</v>
      </c>
      <c r="AO25" s="1167" t="s">
        <v>2277</v>
      </c>
      <c r="AP25" s="1245" t="s">
        <v>2589</v>
      </c>
      <c r="AQ25" s="1245" t="s">
        <v>2590</v>
      </c>
      <c r="AV25" s="1232" t="s">
        <v>2279</v>
      </c>
      <c r="AW25" s="1234">
        <f t="shared" si="27"/>
        <v>104.77700000000002</v>
      </c>
      <c r="AX25" s="1234">
        <v>0.251</v>
      </c>
      <c r="AY25" s="1236">
        <f t="shared" si="25"/>
        <v>901.67234603242753</v>
      </c>
      <c r="AZ25" s="1236">
        <v>90.39</v>
      </c>
      <c r="BA25" s="1256">
        <f t="shared" si="26"/>
        <v>815.0216335787112</v>
      </c>
      <c r="BB25" s="1495" t="s">
        <v>3595</v>
      </c>
      <c r="BC25" s="1496">
        <f>475.744</f>
        <v>475.74400000000003</v>
      </c>
    </row>
    <row r="26" spans="1:55" ht="15" customHeight="1">
      <c r="A26" s="747" t="s">
        <v>2588</v>
      </c>
      <c r="B26" s="595">
        <v>45887</v>
      </c>
      <c r="C26" s="1447">
        <v>45883</v>
      </c>
      <c r="D26" t="s">
        <v>1967</v>
      </c>
      <c r="E26">
        <f>_xlfn.XLOOKUP(D26,RUC!$B$3:$B$123,RUC!$D$3:$D$123)</f>
        <v>20601769396</v>
      </c>
      <c r="G26" s="80">
        <v>26</v>
      </c>
      <c r="H26" s="762" t="s">
        <v>108</v>
      </c>
      <c r="I26" s="703">
        <v>2.82</v>
      </c>
      <c r="J26" s="596">
        <v>17.05</v>
      </c>
      <c r="K26" s="138">
        <f t="shared" si="23"/>
        <v>2.339</v>
      </c>
      <c r="L26" s="1192">
        <v>0.48199999999999998</v>
      </c>
      <c r="M26" s="139">
        <v>0.45300000000000001</v>
      </c>
      <c r="N26" s="159">
        <v>0.45300000000000001</v>
      </c>
      <c r="O26" s="645">
        <f t="shared" si="1"/>
        <v>0.45300000000000001</v>
      </c>
      <c r="P26" s="727">
        <v>90</v>
      </c>
      <c r="Q26" s="596">
        <v>94.61</v>
      </c>
      <c r="R26" s="706">
        <v>3343.85</v>
      </c>
      <c r="S26" s="765">
        <f>IF((_xlfn.XLOOKUP(D26,RUC!$B$3:$B$123,RUC!$E$3:$E$123)+ROUNDDOWN(O26,1)*100)&lt;95,95,((_xlfn.XLOOKUP(D26,RUC!$B$3:$B$123,RUC!$E$3:$E$123)+ROUNDDOWN(O26,1)*100)))</f>
        <v>130</v>
      </c>
      <c r="U26" s="1146">
        <f>_xlfn.XLOOKUP(D26,RUC!$B$3:$B$123,RUC!$F$3:$F$123)</f>
        <v>120</v>
      </c>
      <c r="V26" s="715">
        <v>1.1023000000000001</v>
      </c>
      <c r="Y26">
        <f>_xlfn.XLOOKUP(D26,RUC!$B$3:$B$123,RUC!$G$3:$G$123)</f>
        <v>20</v>
      </c>
      <c r="Z26" s="143">
        <f>_xlfn.XLOOKUP(D26,RUC!$B$3:$B$123,RUC!$H$3:$H$123)</f>
        <v>30</v>
      </c>
      <c r="AA26" s="144">
        <f t="shared" si="2"/>
        <v>50</v>
      </c>
      <c r="AB26" s="145">
        <f t="shared" si="28"/>
        <v>1250.4090458834999</v>
      </c>
      <c r="AC26" s="145">
        <f>+(S26-T26)*V26-'data 1'!$F$4</f>
        <v>63.299000000000007</v>
      </c>
      <c r="AD26" s="145">
        <f t="shared" si="3"/>
        <v>78.962810508070987</v>
      </c>
      <c r="AE26" s="145">
        <f t="shared" si="4"/>
        <v>-14.884999999999998</v>
      </c>
      <c r="AF26" s="145">
        <f t="shared" si="5"/>
        <v>97.501135706649421</v>
      </c>
      <c r="AG26" s="772">
        <f t="shared" si="29"/>
        <v>241.8779462147204</v>
      </c>
      <c r="AH26" s="1253">
        <f t="shared" si="12"/>
        <v>36.57</v>
      </c>
      <c r="AI26" s="1253">
        <f t="shared" si="13"/>
        <v>38.652999999999999</v>
      </c>
      <c r="AJ26" s="156">
        <f t="shared" si="6"/>
        <v>110.16036421470905</v>
      </c>
      <c r="AK26" s="156">
        <f t="shared" si="7"/>
        <v>32.694899183976915</v>
      </c>
      <c r="AL26" s="88"/>
      <c r="AM26" s="716">
        <f t="shared" si="8"/>
        <v>2924.7067583215062</v>
      </c>
      <c r="AN26" s="716" t="str">
        <f>_xlfn.XLOOKUP(D26,RUC!$B$3:$B$578,RUC!$M$3:$M$578)</f>
        <v>Evelyn</v>
      </c>
      <c r="AO26" s="1167" t="s">
        <v>2277</v>
      </c>
      <c r="AP26" s="1245" t="s">
        <v>2589</v>
      </c>
      <c r="AQ26" s="1245" t="s">
        <v>2590</v>
      </c>
      <c r="AS26" s="1212"/>
      <c r="AV26" s="1232" t="s">
        <v>2281</v>
      </c>
      <c r="AW26" s="1234">
        <f t="shared" si="27"/>
        <v>103.61200000000001</v>
      </c>
      <c r="AX26" s="1234">
        <v>0.121</v>
      </c>
      <c r="AY26" s="1236">
        <f t="shared" si="25"/>
        <v>429.83769282302865</v>
      </c>
      <c r="AZ26" s="1236">
        <v>80.739999999999995</v>
      </c>
      <c r="BA26" s="1256">
        <f t="shared" si="26"/>
        <v>347.05095318531335</v>
      </c>
      <c r="BB26" s="1495" t="s">
        <v>3596</v>
      </c>
      <c r="BC26" s="1496">
        <v>65.155000000000001</v>
      </c>
    </row>
    <row r="27" spans="1:55" ht="15" customHeight="1">
      <c r="A27" s="747" t="s">
        <v>2596</v>
      </c>
      <c r="B27" s="595">
        <v>45896</v>
      </c>
      <c r="C27" s="1447">
        <v>45891</v>
      </c>
      <c r="D27" s="1262" t="s">
        <v>2608</v>
      </c>
      <c r="E27" t="e">
        <f>_xlfn.XLOOKUP(D27,RUC!$B$3:$B$123,RUC!$D$3:$D$123)</f>
        <v>#N/A</v>
      </c>
      <c r="G27" s="1082">
        <v>24</v>
      </c>
      <c r="H27" s="762" t="s">
        <v>69</v>
      </c>
      <c r="I27" s="703">
        <v>1.73</v>
      </c>
      <c r="J27" s="596">
        <v>1</v>
      </c>
      <c r="K27" s="138">
        <f t="shared" si="23"/>
        <v>1.7130000000000001</v>
      </c>
      <c r="L27" s="762">
        <v>0.56100000000000005</v>
      </c>
      <c r="M27" s="762">
        <v>0.53300000000000003</v>
      </c>
      <c r="N27" s="159">
        <v>0.53300000000000003</v>
      </c>
      <c r="O27" s="645">
        <f t="shared" si="1"/>
        <v>0.53300000000000003</v>
      </c>
      <c r="P27" s="727">
        <v>90</v>
      </c>
      <c r="Q27" s="596">
        <v>91.44</v>
      </c>
      <c r="R27" s="706">
        <v>3334.25</v>
      </c>
      <c r="S27" s="1164" t="e">
        <f>IF((_xlfn.XLOOKUP(D27,RUC!$B$3:$B$123,RUC!$E$3:$E$123)+ROUNDDOWN(O27,1)*100)&lt;95,95,((_xlfn.XLOOKUP(D27,RUC!$B$3:$B$123,RUC!$E$3:$E$123)+ROUNDDOWN(O27,1)*100)))</f>
        <v>#N/A</v>
      </c>
      <c r="U27" s="1146" t="e">
        <f>_xlfn.XLOOKUP(D27,RUC!$B$3:$B$123,RUC!$F$3:$F$123)</f>
        <v>#N/A</v>
      </c>
      <c r="V27" s="715">
        <v>1.1023000000000001</v>
      </c>
      <c r="Y27" t="e">
        <f>_xlfn.XLOOKUP(D27,RUC!$B$3:$B$123,RUC!$G$3:$G$123)</f>
        <v>#N/A</v>
      </c>
      <c r="Z27" s="143" t="e">
        <f>_xlfn.XLOOKUP(D27,RUC!$B$3:$B$123,RUC!$H$3:$H$123)</f>
        <v>#N/A</v>
      </c>
      <c r="AA27" s="144" t="e">
        <f t="shared" si="2"/>
        <v>#N/A</v>
      </c>
      <c r="AB27" s="145" t="e">
        <f t="shared" si="28"/>
        <v>#N/A</v>
      </c>
      <c r="AC27" s="145" t="e">
        <f>+(S27-T27)*V27-'data 1'!$F$4</f>
        <v>#N/A</v>
      </c>
      <c r="AD27" s="145" t="e">
        <f t="shared" si="3"/>
        <v>#N/A</v>
      </c>
      <c r="AE27" s="145" t="e">
        <f t="shared" si="4"/>
        <v>#N/A</v>
      </c>
      <c r="AF27" s="145" t="e">
        <f t="shared" si="5"/>
        <v>#N/A</v>
      </c>
      <c r="AG27" s="772" t="e">
        <f t="shared" si="29"/>
        <v>#N/A</v>
      </c>
      <c r="AH27" s="1253">
        <f t="shared" si="12"/>
        <v>30.128</v>
      </c>
      <c r="AI27" s="1253">
        <f t="shared" si="13"/>
        <v>32.948</v>
      </c>
      <c r="AJ27" s="156" t="e">
        <f t="shared" si="6"/>
        <v>#N/A</v>
      </c>
      <c r="AK27" s="156">
        <f t="shared" si="7"/>
        <v>28.17319820931311</v>
      </c>
      <c r="AL27" s="88"/>
      <c r="AM27" s="716" t="e">
        <f t="shared" si="8"/>
        <v>#N/A</v>
      </c>
      <c r="AN27" s="716" t="e">
        <f>_xlfn.XLOOKUP(D27,RUC!$B$3:$B$578,RUC!$M$3:$M$578)</f>
        <v>#N/A</v>
      </c>
      <c r="AO27" s="1167" t="s">
        <v>2277</v>
      </c>
      <c r="AP27" t="s">
        <v>2610</v>
      </c>
      <c r="AQ27" t="s">
        <v>2611</v>
      </c>
      <c r="AV27" s="1232" t="s">
        <v>2297</v>
      </c>
      <c r="AW27" s="1234">
        <f t="shared" si="27"/>
        <v>0</v>
      </c>
      <c r="AX27" s="631"/>
      <c r="AY27" s="1236">
        <f t="shared" si="25"/>
        <v>0</v>
      </c>
      <c r="AZ27" s="631"/>
      <c r="BA27" s="1256">
        <f t="shared" si="26"/>
        <v>0</v>
      </c>
      <c r="BB27" s="891" t="s">
        <v>3206</v>
      </c>
      <c r="BC27" s="1249">
        <f>-BC22-BC23+BC24+BC25+BC26</f>
        <v>-520.49400000000048</v>
      </c>
    </row>
    <row r="28" spans="1:55" ht="15" customHeight="1">
      <c r="A28" s="747" t="s">
        <v>2597</v>
      </c>
      <c r="B28" s="595">
        <v>45896</v>
      </c>
      <c r="C28" s="1447">
        <v>45891</v>
      </c>
      <c r="D28" t="s">
        <v>2608</v>
      </c>
      <c r="E28" t="e">
        <f>_xlfn.XLOOKUP(D28,RUC!$B$3:$B$123,RUC!$D$3:$D$123)</f>
        <v>#N/A</v>
      </c>
      <c r="G28" s="1082">
        <v>20</v>
      </c>
      <c r="H28" s="762" t="s">
        <v>69</v>
      </c>
      <c r="I28" s="703">
        <v>1.19</v>
      </c>
      <c r="J28" s="596">
        <v>1.3</v>
      </c>
      <c r="K28" s="138">
        <f t="shared" si="23"/>
        <v>1.175</v>
      </c>
      <c r="L28" s="762">
        <v>0.90300000000000002</v>
      </c>
      <c r="M28" s="762">
        <v>0.85799999999999998</v>
      </c>
      <c r="N28" s="159">
        <v>0.85799999999999998</v>
      </c>
      <c r="O28" s="645">
        <f>+ROUND((M28+N28)/2,3)</f>
        <v>0.85799999999999998</v>
      </c>
      <c r="P28" s="727">
        <v>90</v>
      </c>
      <c r="Q28" s="596">
        <v>96.88</v>
      </c>
      <c r="R28" s="706">
        <v>3334.25</v>
      </c>
      <c r="S28" s="1164" t="e">
        <f>IF((_xlfn.XLOOKUP(D28,RUC!$B$3:$B$123,RUC!$E$3:$E$123)+ROUNDDOWN(O28,1)*100)&lt;95,95,((_xlfn.XLOOKUP(D28,RUC!$B$3:$B$123,RUC!$E$3:$E$123)+ROUNDDOWN(O28,1)*100)))</f>
        <v>#N/A</v>
      </c>
      <c r="U28" s="1146" t="e">
        <f>_xlfn.XLOOKUP(D28,RUC!$B$3:$B$123,RUC!$F$3:$F$123)</f>
        <v>#N/A</v>
      </c>
      <c r="V28" s="715">
        <v>1.1023000000000001</v>
      </c>
      <c r="Y28" t="e">
        <f>_xlfn.XLOOKUP(D28,RUC!$B$3:$B$123,RUC!$G$3:$G$123)</f>
        <v>#N/A</v>
      </c>
      <c r="Z28" s="143" t="e">
        <f>_xlfn.XLOOKUP(D28,RUC!$B$3:$B$123,RUC!$H$3:$H$123)</f>
        <v>#N/A</v>
      </c>
      <c r="AA28" s="144" t="e">
        <f t="shared" si="2"/>
        <v>#N/A</v>
      </c>
      <c r="AB28" s="145" t="e">
        <f>+((O28*P28*(R28-U28)/100)-S28-AA28+T28)*V28</f>
        <v>#N/A</v>
      </c>
      <c r="AC28" s="145" t="e">
        <f>+(S28-T28)*V28-'data 1'!$F$4</f>
        <v>#N/A</v>
      </c>
      <c r="AD28" s="145" t="e">
        <f t="shared" si="3"/>
        <v>#N/A</v>
      </c>
      <c r="AE28" s="145" t="e">
        <f t="shared" si="4"/>
        <v>#N/A</v>
      </c>
      <c r="AF28" s="145" t="e">
        <f>(L28-O28)*(R28-U28)*Q28*V28/100</f>
        <v>#N/A</v>
      </c>
      <c r="AG28" s="772" t="e">
        <f t="shared" si="29"/>
        <v>#N/A</v>
      </c>
      <c r="AH28" s="1253">
        <f t="shared" si="12"/>
        <v>35.243000000000002</v>
      </c>
      <c r="AI28" s="1253">
        <f t="shared" si="13"/>
        <v>36.378</v>
      </c>
      <c r="AJ28" s="156" t="e">
        <f t="shared" si="6"/>
        <v>#N/A</v>
      </c>
      <c r="AK28" s="156">
        <f>31.1035*1.1023*K28*P28*O28/100</f>
        <v>31.10833256634675</v>
      </c>
      <c r="AL28" s="88"/>
      <c r="AM28" s="716" t="e">
        <f t="shared" si="8"/>
        <v>#N/A</v>
      </c>
      <c r="AN28" s="716" t="e">
        <f>_xlfn.XLOOKUP(D28,RUC!$B$3:$B$578,RUC!$M$3:$M$578)</f>
        <v>#N/A</v>
      </c>
      <c r="AO28" s="1167" t="s">
        <v>2280</v>
      </c>
      <c r="AP28" t="s">
        <v>2610</v>
      </c>
      <c r="AQ28" t="s">
        <v>2611</v>
      </c>
      <c r="AV28" s="1232" t="s">
        <v>2518</v>
      </c>
      <c r="AW28" s="1234">
        <f t="shared" si="27"/>
        <v>0</v>
      </c>
      <c r="AX28" s="631"/>
      <c r="AY28" s="1236">
        <f t="shared" si="25"/>
        <v>0</v>
      </c>
      <c r="AZ28" s="631"/>
      <c r="BA28" s="1256">
        <f t="shared" si="26"/>
        <v>0</v>
      </c>
    </row>
    <row r="29" spans="1:55" ht="15" customHeight="1">
      <c r="A29" s="747" t="s">
        <v>2602</v>
      </c>
      <c r="B29" s="595">
        <v>45897</v>
      </c>
      <c r="C29" s="1447">
        <v>45893</v>
      </c>
      <c r="D29" t="s">
        <v>119</v>
      </c>
      <c r="E29">
        <f>_xlfn.XLOOKUP(D29,RUC!$B$3:$B$123,RUC!$D$3:$D$123)</f>
        <v>10082235774</v>
      </c>
      <c r="G29" s="1082">
        <v>70</v>
      </c>
      <c r="H29" s="762" t="s">
        <v>69</v>
      </c>
      <c r="I29" s="703">
        <v>6.97</v>
      </c>
      <c r="J29" s="596">
        <v>1.5</v>
      </c>
      <c r="K29" s="138">
        <f t="shared" si="23"/>
        <v>6.8650000000000002</v>
      </c>
      <c r="L29" s="762">
        <v>0.28199999999999997</v>
      </c>
      <c r="M29" s="1082">
        <v>0.27400000000000002</v>
      </c>
      <c r="N29" s="159">
        <v>0.27400000000000002</v>
      </c>
      <c r="O29" s="645">
        <f t="shared" ref="O29:O84" si="30">+ROUND((M29+N29)/2,3)</f>
        <v>0.27400000000000002</v>
      </c>
      <c r="P29" s="727">
        <v>90</v>
      </c>
      <c r="Q29" s="596">
        <v>97.16</v>
      </c>
      <c r="R29" s="706">
        <v>3334.25</v>
      </c>
      <c r="S29" s="1164">
        <v>105</v>
      </c>
      <c r="U29" s="1146">
        <f>_xlfn.XLOOKUP(D29,RUC!$B$3:$B$123,RUC!$F$3:$F$123)</f>
        <v>80</v>
      </c>
      <c r="V29" s="715">
        <v>1.1023000000000001</v>
      </c>
      <c r="Y29">
        <f>_xlfn.XLOOKUP(D29,RUC!$B$3:$B$123,RUC!$G$3:$G$123)</f>
        <v>0</v>
      </c>
      <c r="Z29" s="143">
        <f>_xlfn.XLOOKUP(D29,RUC!$B$3:$B$123,RUC!$H$3:$H$123)</f>
        <v>10</v>
      </c>
      <c r="AA29" s="144">
        <f t="shared" si="2"/>
        <v>10</v>
      </c>
      <c r="AB29" s="145">
        <f>+((O29*P29*(R29-U29)/100)-S29-AA29+T29)*V29</f>
        <v>757.82910051500005</v>
      </c>
      <c r="AC29" s="145">
        <f>+(S29-T29)*V29-'data 1'!$F$4</f>
        <v>35.741500000000002</v>
      </c>
      <c r="AD29" s="145">
        <f t="shared" si="3"/>
        <v>72.429060448979968</v>
      </c>
      <c r="AE29" s="145">
        <f t="shared" si="4"/>
        <v>-58.977000000000004</v>
      </c>
      <c r="AF29" s="145">
        <f>(L29-O29)*(R29-U29)*Q29*V29/100</f>
        <v>27.882275499119832</v>
      </c>
      <c r="AG29" s="772">
        <f>AC29+AD29+AE29+AF29+70</f>
        <v>147.07583594809978</v>
      </c>
      <c r="AH29" s="1253">
        <f t="shared" si="12"/>
        <v>64.489000000000004</v>
      </c>
      <c r="AI29" s="1253">
        <f t="shared" si="13"/>
        <v>66.373999999999995</v>
      </c>
      <c r="AJ29" s="156">
        <f t="shared" si="6"/>
        <v>57.006369329699993</v>
      </c>
      <c r="AK29" s="156">
        <f>31.1035*1.1023*K29*P29*O29/100</f>
        <v>58.042041998337453</v>
      </c>
      <c r="AL29" s="88"/>
      <c r="AM29" s="716">
        <f t="shared" si="8"/>
        <v>5202.4967750354754</v>
      </c>
      <c r="AN29" s="716" t="str">
        <f>_xlfn.XLOOKUP(D29,RUC!$B$3:$B$578,RUC!$M$3:$M$578)</f>
        <v>Melchor Vera</v>
      </c>
      <c r="AO29" s="1167" t="s">
        <v>2278</v>
      </c>
      <c r="AP29" t="s">
        <v>2612</v>
      </c>
      <c r="AQ29" t="s">
        <v>2613</v>
      </c>
      <c r="AV29" s="1232" t="s">
        <v>2519</v>
      </c>
      <c r="AW29" s="1234">
        <f t="shared" si="27"/>
        <v>0</v>
      </c>
      <c r="AX29" s="631"/>
      <c r="AY29" s="1236">
        <f t="shared" si="25"/>
        <v>0</v>
      </c>
      <c r="AZ29" s="631"/>
      <c r="BA29" s="1256">
        <f t="shared" si="26"/>
        <v>0</v>
      </c>
    </row>
    <row r="30" spans="1:55" ht="15" customHeight="1">
      <c r="A30" s="747" t="s">
        <v>2603</v>
      </c>
      <c r="B30" s="595">
        <v>45897</v>
      </c>
      <c r="C30" s="1447">
        <v>45893</v>
      </c>
      <c r="D30" t="s">
        <v>119</v>
      </c>
      <c r="E30">
        <f>_xlfn.XLOOKUP(D30,RUC!$B$3:$B$123,RUC!$D$3:$D$123)</f>
        <v>10082235774</v>
      </c>
      <c r="G30" s="1082">
        <v>75</v>
      </c>
      <c r="H30" s="762" t="s">
        <v>69</v>
      </c>
      <c r="I30" s="703">
        <v>7.38</v>
      </c>
      <c r="J30" s="596">
        <v>1.5</v>
      </c>
      <c r="K30" s="138">
        <f t="shared" si="23"/>
        <v>7.2690000000000001</v>
      </c>
      <c r="L30" s="762">
        <v>0.32500000000000001</v>
      </c>
      <c r="M30" s="1082">
        <v>0.31900000000000001</v>
      </c>
      <c r="N30" s="159">
        <v>0.31900000000000001</v>
      </c>
      <c r="O30" s="645">
        <f t="shared" si="30"/>
        <v>0.31900000000000001</v>
      </c>
      <c r="P30" s="727">
        <v>90</v>
      </c>
      <c r="Q30" s="596">
        <v>97.54</v>
      </c>
      <c r="R30" s="706">
        <v>3334.25</v>
      </c>
      <c r="S30" s="1164">
        <v>110</v>
      </c>
      <c r="U30" s="1146">
        <f>_xlfn.XLOOKUP(D30,RUC!$B$3:$B$123,RUC!$F$3:$F$123)</f>
        <v>80</v>
      </c>
      <c r="V30" s="715">
        <v>1.1023000000000001</v>
      </c>
      <c r="Y30">
        <f>_xlfn.XLOOKUP(D30,RUC!$B$3:$B$123,RUC!$G$3:$G$123)</f>
        <v>0</v>
      </c>
      <c r="Z30" s="143">
        <f>_xlfn.XLOOKUP(D30,RUC!$B$3:$B$123,RUC!$H$3:$H$123)</f>
        <v>10</v>
      </c>
      <c r="AA30" s="144">
        <f t="shared" si="2"/>
        <v>10</v>
      </c>
      <c r="AB30" s="145">
        <f t="shared" si="28"/>
        <v>897.59757140249997</v>
      </c>
      <c r="AC30" s="145">
        <f>+(S30-T30)*V30-'data 1'!$F$4</f>
        <v>41.253</v>
      </c>
      <c r="AD30" s="145">
        <f t="shared" si="3"/>
        <v>87.903350286375087</v>
      </c>
      <c r="AE30" s="145">
        <f t="shared" si="4"/>
        <v>-58.977000000000004</v>
      </c>
      <c r="AF30" s="145">
        <f t="shared" si="5"/>
        <v>20.993493867210024</v>
      </c>
      <c r="AG30" s="772">
        <f t="shared" ref="AG30:AG34" si="31">AC30+AD30+AE30+AF30+70</f>
        <v>161.17284415358509</v>
      </c>
      <c r="AH30" s="1253">
        <f t="shared" si="12"/>
        <v>79.004000000000005</v>
      </c>
      <c r="AI30" s="1253">
        <f t="shared" si="13"/>
        <v>80.997</v>
      </c>
      <c r="AJ30" s="156">
        <f t="shared" si="6"/>
        <v>65.955782920625012</v>
      </c>
      <c r="AK30" s="156">
        <f t="shared" si="7"/>
        <v>71.55120145464771</v>
      </c>
      <c r="AL30" s="88"/>
      <c r="AM30" s="716">
        <f t="shared" si="8"/>
        <v>6524.6367465247722</v>
      </c>
      <c r="AN30" s="716" t="str">
        <f>_xlfn.XLOOKUP(D30,RUC!$B$3:$B$578,RUC!$M$3:$M$578)</f>
        <v>Melchor Vera</v>
      </c>
      <c r="AO30" s="1167" t="s">
        <v>2277</v>
      </c>
      <c r="AP30" t="s">
        <v>2612</v>
      </c>
      <c r="AQ30" t="s">
        <v>2613</v>
      </c>
      <c r="AV30" s="1232" t="s">
        <v>2520</v>
      </c>
      <c r="AW30" s="1234">
        <f t="shared" si="27"/>
        <v>0</v>
      </c>
      <c r="AX30" s="631"/>
      <c r="AY30" s="1236">
        <f t="shared" si="25"/>
        <v>0</v>
      </c>
      <c r="AZ30" s="631"/>
      <c r="BA30" s="1256">
        <f t="shared" si="26"/>
        <v>0</v>
      </c>
    </row>
    <row r="31" spans="1:55" ht="15" customHeight="1" thickBot="1">
      <c r="A31" s="747" t="s">
        <v>2604</v>
      </c>
      <c r="B31" s="595">
        <v>45897</v>
      </c>
      <c r="C31" s="1447">
        <v>45893</v>
      </c>
      <c r="D31" t="s">
        <v>119</v>
      </c>
      <c r="E31">
        <f>_xlfn.XLOOKUP(D31,RUC!$B$3:$B$123,RUC!$D$3:$D$123)</f>
        <v>10082235774</v>
      </c>
      <c r="G31" s="1082">
        <v>57</v>
      </c>
      <c r="H31" s="762" t="s">
        <v>69</v>
      </c>
      <c r="I31" s="703">
        <v>5.49</v>
      </c>
      <c r="J31" s="596">
        <v>1.5</v>
      </c>
      <c r="K31" s="138">
        <f t="shared" si="23"/>
        <v>5.4080000000000004</v>
      </c>
      <c r="L31" s="994">
        <v>0.14000000000000001</v>
      </c>
      <c r="M31" s="1082">
        <v>0.13300000000000001</v>
      </c>
      <c r="N31" s="159">
        <v>0.13300000000000001</v>
      </c>
      <c r="O31" s="645">
        <f t="shared" si="30"/>
        <v>0.13300000000000001</v>
      </c>
      <c r="P31" s="727">
        <v>85</v>
      </c>
      <c r="Q31" s="596">
        <v>94.29</v>
      </c>
      <c r="R31" s="706">
        <v>3334.25</v>
      </c>
      <c r="S31" s="1164">
        <v>95</v>
      </c>
      <c r="U31" s="1146">
        <f>_xlfn.XLOOKUP(D31,RUC!$B$3:$B$123,RUC!$F$3:$F$123)</f>
        <v>80</v>
      </c>
      <c r="V31" s="715">
        <v>1.1023000000000001</v>
      </c>
      <c r="Y31">
        <f>_xlfn.XLOOKUP(D31,RUC!$B$3:$B$123,RUC!$G$3:$G$123)</f>
        <v>0</v>
      </c>
      <c r="Z31" s="143">
        <f>_xlfn.XLOOKUP(D31,RUC!$B$3:$B$123,RUC!$H$3:$H$123)</f>
        <v>10</v>
      </c>
      <c r="AA31" s="144">
        <f t="shared" si="2"/>
        <v>10</v>
      </c>
      <c r="AB31" s="145">
        <f t="shared" si="28"/>
        <v>289.78691256375004</v>
      </c>
      <c r="AC31" s="145">
        <f>+(S31-T31)*V31-'data 1'!$F$4</f>
        <v>24.718500000000006</v>
      </c>
      <c r="AD31" s="145">
        <f t="shared" si="3"/>
        <v>46.654600033650041</v>
      </c>
      <c r="AE31" s="145">
        <f t="shared" si="4"/>
        <v>-58.977000000000004</v>
      </c>
      <c r="AF31" s="145">
        <f t="shared" si="5"/>
        <v>23.676330662932525</v>
      </c>
      <c r="AG31" s="772">
        <f t="shared" si="31"/>
        <v>106.07243069658257</v>
      </c>
      <c r="AH31" s="1253">
        <f t="shared" si="12"/>
        <v>24.475999999999999</v>
      </c>
      <c r="AI31" s="1253">
        <f t="shared" si="13"/>
        <v>25.957999999999998</v>
      </c>
      <c r="AJ31" s="156">
        <f t="shared" si="6"/>
        <v>27.465052854750009</v>
      </c>
      <c r="AK31" s="156">
        <f t="shared" si="7"/>
        <v>20.961208547835923</v>
      </c>
      <c r="AL31" s="88"/>
      <c r="AM31" s="716">
        <f t="shared" si="8"/>
        <v>1567.1676231447602</v>
      </c>
      <c r="AN31" s="716" t="str">
        <f>_xlfn.XLOOKUP(D31,RUC!$B$3:$B$578,RUC!$M$3:$M$578)</f>
        <v>Melchor Vera</v>
      </c>
      <c r="AO31" s="1167" t="s">
        <v>2277</v>
      </c>
      <c r="AP31" t="s">
        <v>2612</v>
      </c>
      <c r="AQ31" t="s">
        <v>2613</v>
      </c>
      <c r="AV31" s="1239" t="s">
        <v>2521</v>
      </c>
      <c r="AW31" s="1254">
        <f t="shared" si="27"/>
        <v>0</v>
      </c>
      <c r="AX31" s="1257"/>
      <c r="AY31" s="1242">
        <f t="shared" si="25"/>
        <v>0</v>
      </c>
      <c r="AZ31" s="1257"/>
      <c r="BA31" s="1258">
        <f t="shared" si="26"/>
        <v>0</v>
      </c>
    </row>
    <row r="32" spans="1:55" ht="15" customHeight="1">
      <c r="A32" s="747" t="s">
        <v>2605</v>
      </c>
      <c r="B32" s="595">
        <v>45897</v>
      </c>
      <c r="C32" s="1447">
        <v>45893</v>
      </c>
      <c r="D32" t="s">
        <v>119</v>
      </c>
      <c r="E32">
        <f>_xlfn.XLOOKUP(D32,RUC!$B$3:$B$123,RUC!$D$3:$D$123)</f>
        <v>10082235774</v>
      </c>
      <c r="G32" s="1082">
        <v>45</v>
      </c>
      <c r="H32" s="762" t="s">
        <v>69</v>
      </c>
      <c r="I32" s="703">
        <v>4.1900000000000004</v>
      </c>
      <c r="J32" s="596">
        <v>1.5</v>
      </c>
      <c r="K32" s="138">
        <f t="shared" si="23"/>
        <v>4.1269999999999998</v>
      </c>
      <c r="L32" s="1082">
        <v>0.33900000000000002</v>
      </c>
      <c r="M32" s="1082">
        <v>0.33200000000000002</v>
      </c>
      <c r="N32" s="159">
        <v>0.33200000000000002</v>
      </c>
      <c r="O32" s="645">
        <f t="shared" si="30"/>
        <v>0.33200000000000002</v>
      </c>
      <c r="P32" s="727">
        <v>90</v>
      </c>
      <c r="Q32" s="596">
        <v>97.64</v>
      </c>
      <c r="R32" s="706">
        <v>3334.25</v>
      </c>
      <c r="S32" s="1164">
        <v>110</v>
      </c>
      <c r="U32" s="1146">
        <f>_xlfn.XLOOKUP(D32,RUC!$B$3:$B$123,RUC!$F$3:$F$123)</f>
        <v>80</v>
      </c>
      <c r="V32" s="715">
        <v>1.1023000000000001</v>
      </c>
      <c r="Y32">
        <f>_xlfn.XLOOKUP(D32,RUC!$B$3:$B$123,RUC!$G$3:$G$123)</f>
        <v>0</v>
      </c>
      <c r="Z32" s="143">
        <f>_xlfn.XLOOKUP(D32,RUC!$B$3:$B$123,RUC!$H$3:$H$123)</f>
        <v>10</v>
      </c>
      <c r="AA32" s="144">
        <f t="shared" si="2"/>
        <v>10</v>
      </c>
      <c r="AB32" s="145">
        <f t="shared" si="28"/>
        <v>939.5673407700001</v>
      </c>
      <c r="AC32" s="145">
        <f>+(S32-T32)*V32-'data 1'!$F$4</f>
        <v>41.253</v>
      </c>
      <c r="AD32" s="145">
        <f t="shared" si="3"/>
        <v>92.90600330859003</v>
      </c>
      <c r="AE32" s="145">
        <f t="shared" si="4"/>
        <v>-58.977000000000004</v>
      </c>
      <c r="AF32" s="145">
        <f t="shared" si="5"/>
        <v>24.517519630170028</v>
      </c>
      <c r="AG32" s="772">
        <f t="shared" si="31"/>
        <v>169.69952293876005</v>
      </c>
      <c r="AH32" s="1253">
        <f t="shared" si="12"/>
        <v>46.835000000000001</v>
      </c>
      <c r="AI32" s="1253">
        <f t="shared" si="13"/>
        <v>47.966999999999999</v>
      </c>
      <c r="AJ32" s="156">
        <f t="shared" si="6"/>
        <v>68.867487151350019</v>
      </c>
      <c r="AK32" s="156">
        <f t="shared" si="7"/>
        <v>42.278943988926173</v>
      </c>
      <c r="AL32" s="88"/>
      <c r="AM32" s="716">
        <f t="shared" si="8"/>
        <v>3877.5944153577902</v>
      </c>
      <c r="AN32" s="716" t="str">
        <f>_xlfn.XLOOKUP(D32,RUC!$B$3:$B$578,RUC!$M$3:$M$578)</f>
        <v>Melchor Vera</v>
      </c>
      <c r="AO32" s="1167" t="s">
        <v>2277</v>
      </c>
      <c r="AP32" t="s">
        <v>2612</v>
      </c>
      <c r="AQ32" t="s">
        <v>2613</v>
      </c>
    </row>
    <row r="33" spans="1:43" ht="15" customHeight="1">
      <c r="A33" s="747" t="s">
        <v>2606</v>
      </c>
      <c r="B33" s="595">
        <v>45897</v>
      </c>
      <c r="C33" s="1447">
        <v>45893</v>
      </c>
      <c r="D33" t="s">
        <v>119</v>
      </c>
      <c r="E33">
        <f>_xlfn.XLOOKUP(D33,RUC!$B$3:$B$123,RUC!$D$3:$D$123)</f>
        <v>10082235774</v>
      </c>
      <c r="G33" s="1082">
        <v>83</v>
      </c>
      <c r="H33" s="762" t="s">
        <v>69</v>
      </c>
      <c r="I33" s="703">
        <v>8.09</v>
      </c>
      <c r="J33" s="596">
        <v>1.5</v>
      </c>
      <c r="K33" s="138">
        <f t="shared" si="23"/>
        <v>7.9690000000000003</v>
      </c>
      <c r="L33" s="1082">
        <v>0.23599999999999999</v>
      </c>
      <c r="M33" s="1082">
        <v>0.22900000000000001</v>
      </c>
      <c r="N33" s="159">
        <f>+M33</f>
        <v>0.22900000000000001</v>
      </c>
      <c r="O33" s="645">
        <f t="shared" si="30"/>
        <v>0.22900000000000001</v>
      </c>
      <c r="P33" s="727">
        <v>85</v>
      </c>
      <c r="Q33" s="596">
        <v>96.61</v>
      </c>
      <c r="R33" s="706">
        <v>3334.25</v>
      </c>
      <c r="S33" s="1164">
        <v>105</v>
      </c>
      <c r="U33" s="1146">
        <f>_xlfn.XLOOKUP(D33,RUC!$B$3:$B$123,RUC!$F$3:$F$123)</f>
        <v>80</v>
      </c>
      <c r="V33" s="715">
        <v>1.1023000000000001</v>
      </c>
      <c r="Y33">
        <f>_xlfn.XLOOKUP(D33,RUC!$B$3:$B$123,RUC!$G$3:$G$123)</f>
        <v>0</v>
      </c>
      <c r="Z33" s="143">
        <f>_xlfn.XLOOKUP(D33,RUC!$B$3:$B$123,RUC!$H$3:$H$123)</f>
        <v>10</v>
      </c>
      <c r="AA33" s="144">
        <f t="shared" si="2"/>
        <v>10</v>
      </c>
      <c r="AB33" s="145">
        <f t="shared" si="28"/>
        <v>571.47615020375008</v>
      </c>
      <c r="AC33" s="145">
        <f>+(S33-T33)*V33-'data 1'!$F$4</f>
        <v>35.741500000000002</v>
      </c>
      <c r="AD33" s="145">
        <f t="shared" si="3"/>
        <v>98.286742971090007</v>
      </c>
      <c r="AE33" s="145">
        <f t="shared" si="4"/>
        <v>-58.977000000000004</v>
      </c>
      <c r="AF33" s="145">
        <f t="shared" si="5"/>
        <v>24.258885410392423</v>
      </c>
      <c r="AG33" s="772">
        <f t="shared" si="31"/>
        <v>169.31012838148243</v>
      </c>
      <c r="AH33" s="1253">
        <f t="shared" si="12"/>
        <v>62.293999999999997</v>
      </c>
      <c r="AI33" s="1253">
        <f t="shared" si="13"/>
        <v>64.48</v>
      </c>
      <c r="AJ33" s="156">
        <f t="shared" si="6"/>
        <v>47.437397276350005</v>
      </c>
      <c r="AK33" s="156">
        <f t="shared" si="7"/>
        <v>53.182323097158104</v>
      </c>
      <c r="AL33" s="88"/>
      <c r="AM33" s="716">
        <f t="shared" si="8"/>
        <v>4554.0934409736847</v>
      </c>
      <c r="AN33" s="716" t="str">
        <f>_xlfn.XLOOKUP(D33,RUC!$B$3:$B$578,RUC!$M$3:$M$578)</f>
        <v>Melchor Vera</v>
      </c>
      <c r="AO33" s="1167" t="s">
        <v>2277</v>
      </c>
      <c r="AP33" t="s">
        <v>2612</v>
      </c>
      <c r="AQ33" t="s">
        <v>2613</v>
      </c>
    </row>
    <row r="34" spans="1:43" ht="15" customHeight="1">
      <c r="A34" s="747" t="s">
        <v>2607</v>
      </c>
      <c r="B34" s="595">
        <v>45897</v>
      </c>
      <c r="C34" s="1447">
        <v>45893</v>
      </c>
      <c r="D34" t="s">
        <v>119</v>
      </c>
      <c r="E34">
        <f>_xlfn.XLOOKUP(D34,RUC!$B$3:$B$123,RUC!$D$3:$D$123)</f>
        <v>10082235774</v>
      </c>
      <c r="G34" s="762">
        <v>84</v>
      </c>
      <c r="H34" s="762" t="s">
        <v>69</v>
      </c>
      <c r="I34" s="703">
        <v>8.18</v>
      </c>
      <c r="J34" s="596">
        <v>1.5</v>
      </c>
      <c r="K34" s="138">
        <f t="shared" si="23"/>
        <v>8.0570000000000004</v>
      </c>
      <c r="L34" s="1082">
        <v>0.13800000000000001</v>
      </c>
      <c r="M34" s="1082">
        <v>0.13100000000000001</v>
      </c>
      <c r="N34" s="159">
        <v>0.13100000000000001</v>
      </c>
      <c r="O34" s="645">
        <f t="shared" si="30"/>
        <v>0.13100000000000001</v>
      </c>
      <c r="P34" s="727">
        <v>85</v>
      </c>
      <c r="Q34" s="596">
        <v>94.2</v>
      </c>
      <c r="R34" s="706">
        <v>3334.25</v>
      </c>
      <c r="S34" s="1164">
        <v>95</v>
      </c>
      <c r="U34" s="1146">
        <f>_xlfn.XLOOKUP(D34,RUC!$B$3:$B$123,RUC!$F$3:$F$123)</f>
        <v>80</v>
      </c>
      <c r="V34" s="715">
        <v>1.1023000000000001</v>
      </c>
      <c r="Y34">
        <f>_xlfn.XLOOKUP(D34,RUC!$B$3:$B$123,RUC!$G$3:$G$123)</f>
        <v>0</v>
      </c>
      <c r="Z34" s="143">
        <f>_xlfn.XLOOKUP(D34,RUC!$B$3:$B$123,RUC!$H$3:$H$123)</f>
        <v>10</v>
      </c>
      <c r="AA34" s="144">
        <f t="shared" si="2"/>
        <v>10</v>
      </c>
      <c r="AB34" s="145">
        <f t="shared" si="28"/>
        <v>283.68874094624999</v>
      </c>
      <c r="AC34" s="145">
        <f>+(S34-T34)*V34-'data 1'!$F$4</f>
        <v>24.718500000000006</v>
      </c>
      <c r="AD34" s="145">
        <f t="shared" si="3"/>
        <v>45.542580503400025</v>
      </c>
      <c r="AE34" s="145">
        <f t="shared" si="4"/>
        <v>-58.977000000000004</v>
      </c>
      <c r="AF34" s="145">
        <f t="shared" si="5"/>
        <v>23.653731556350024</v>
      </c>
      <c r="AG34" s="772">
        <f t="shared" si="31"/>
        <v>104.93781205975004</v>
      </c>
      <c r="AH34" s="1253">
        <f t="shared" si="12"/>
        <v>35.909999999999997</v>
      </c>
      <c r="AI34" s="1253">
        <f t="shared" si="13"/>
        <v>38.121000000000002</v>
      </c>
      <c r="AJ34" s="156">
        <f t="shared" si="6"/>
        <v>27.046854013500006</v>
      </c>
      <c r="AK34" s="156">
        <f t="shared" si="7"/>
        <v>30.759031318623951</v>
      </c>
      <c r="AL34" s="88"/>
      <c r="AM34" s="716">
        <f t="shared" si="8"/>
        <v>2285.6801858039362</v>
      </c>
      <c r="AN34" s="716" t="str">
        <f>_xlfn.XLOOKUP(D34,RUC!$B$3:$B$578,RUC!$M$3:$M$578)</f>
        <v>Melchor Vera</v>
      </c>
      <c r="AO34" s="1167" t="s">
        <v>2277</v>
      </c>
      <c r="AP34" t="s">
        <v>2612</v>
      </c>
      <c r="AQ34" t="s">
        <v>2613</v>
      </c>
    </row>
    <row r="35" spans="1:43" ht="15" customHeight="1">
      <c r="A35" s="747" t="s">
        <v>2694</v>
      </c>
      <c r="B35" s="595">
        <v>45901</v>
      </c>
      <c r="C35" s="1447">
        <v>45895</v>
      </c>
      <c r="D35" t="s">
        <v>2444</v>
      </c>
      <c r="E35">
        <f>_xlfn.XLOOKUP(D35,RUC!$B$3:$B$123,RUC!$D$3:$D$123)</f>
        <v>20608774000</v>
      </c>
      <c r="G35" s="762">
        <v>27</v>
      </c>
      <c r="H35" s="762" t="s">
        <v>69</v>
      </c>
      <c r="I35" s="703">
        <v>2.4700000000000002</v>
      </c>
      <c r="J35" s="596">
        <v>4</v>
      </c>
      <c r="K35" s="138">
        <f t="shared" si="23"/>
        <v>2.371</v>
      </c>
      <c r="L35" s="1082">
        <v>0.42799999999999999</v>
      </c>
      <c r="M35" s="1082">
        <v>0.44700000000000001</v>
      </c>
      <c r="N35" s="1418">
        <v>0.44700000000000001</v>
      </c>
      <c r="O35" s="645">
        <f t="shared" si="30"/>
        <v>0.44700000000000001</v>
      </c>
      <c r="P35" s="727">
        <v>90</v>
      </c>
      <c r="Q35">
        <v>95.12</v>
      </c>
      <c r="R35" s="706">
        <v>3367.1</v>
      </c>
      <c r="S35" s="765">
        <f>IF((_xlfn.XLOOKUP(D35,RUC!$B$3:$B$73,RUC!$E$3:$E$73)+ROUNDDOWN(O35,1)*100)&lt;95,95,((_xlfn.XLOOKUP(D35,RUC!$B$3:$B$73,RUC!$E$3:$E$73)+ROUNDDOWN(O35,1)*100)))</f>
        <v>125</v>
      </c>
      <c r="U35" s="1146">
        <f>_xlfn.XLOOKUP(D35,RUC!$B$3:$B$123,RUC!$F$3:$F$123)</f>
        <v>120</v>
      </c>
      <c r="V35" s="715">
        <v>1.1023000000000001</v>
      </c>
      <c r="Y35">
        <f>_xlfn.XLOOKUP(D35,RUC!$B$3:$B$123,RUC!$G$3:$G$123)</f>
        <v>20</v>
      </c>
      <c r="Z35" s="1071">
        <v>35</v>
      </c>
      <c r="AA35" s="144">
        <f t="shared" si="2"/>
        <v>55</v>
      </c>
      <c r="AB35" s="145">
        <f t="shared" si="28"/>
        <v>1241.529672159</v>
      </c>
      <c r="AC35" s="145">
        <f>+(S35-T35)*V35-'data 1'!$F$4</f>
        <v>57.787499999999994</v>
      </c>
      <c r="AD35" s="145">
        <f t="shared" si="3"/>
        <v>78.434873612288058</v>
      </c>
      <c r="AE35" s="145">
        <f t="shared" si="4"/>
        <v>-9.3734999999999999</v>
      </c>
      <c r="AF35" s="145">
        <f t="shared" si="5"/>
        <v>-64.687581402424073</v>
      </c>
      <c r="AG35" s="772">
        <f t="shared" ref="AG35:AG83" si="32">AC35+AD35+AE35+AF35+70-53</f>
        <v>79.161292209863973</v>
      </c>
      <c r="AH35" s="1253">
        <f t="shared" si="12"/>
        <v>33.094999999999999</v>
      </c>
      <c r="AI35" s="1253">
        <f t="shared" si="13"/>
        <v>34.792000000000002</v>
      </c>
      <c r="AJ35" s="156">
        <f t="shared" si="6"/>
        <v>87.912342838752053</v>
      </c>
      <c r="AK35" s="156">
        <f t="shared" si="7"/>
        <v>32.703230533273064</v>
      </c>
      <c r="AL35" s="88"/>
      <c r="AM35" s="716">
        <f t="shared" si="8"/>
        <v>2943.6668526889889</v>
      </c>
      <c r="AN35" s="716" t="str">
        <f>_xlfn.XLOOKUP(D35,RUC!$B$3:$B$578,RUC!$M$3:$M$578)</f>
        <v>Ronald Miranda</v>
      </c>
      <c r="AO35" s="1167" t="s">
        <v>2278</v>
      </c>
      <c r="AP35" t="s">
        <v>2738</v>
      </c>
      <c r="AQ35" t="s">
        <v>2739</v>
      </c>
    </row>
    <row r="36" spans="1:43" ht="15" customHeight="1">
      <c r="A36" s="747" t="s">
        <v>2695</v>
      </c>
      <c r="B36" s="595">
        <v>45900</v>
      </c>
      <c r="C36" s="1447">
        <v>45895</v>
      </c>
      <c r="D36" t="s">
        <v>93</v>
      </c>
      <c r="E36">
        <f>_xlfn.XLOOKUP(D36,RUC!$B$3:$B$123,RUC!$D$3:$D$123)</f>
        <v>20169040231</v>
      </c>
      <c r="G36" s="762">
        <v>60</v>
      </c>
      <c r="H36" s="762" t="s">
        <v>69</v>
      </c>
      <c r="I36" s="703">
        <v>6.02</v>
      </c>
      <c r="J36" s="596">
        <v>1.5</v>
      </c>
      <c r="K36" s="138">
        <f t="shared" si="23"/>
        <v>5.93</v>
      </c>
      <c r="L36" s="1082">
        <v>0.18099999999999999</v>
      </c>
      <c r="M36" s="1082">
        <v>0.16600000000000001</v>
      </c>
      <c r="N36" s="1418">
        <v>0.16600000000000001</v>
      </c>
      <c r="O36" s="645">
        <f t="shared" si="30"/>
        <v>0.16600000000000001</v>
      </c>
      <c r="P36" s="727">
        <v>90</v>
      </c>
      <c r="Q36">
        <v>96.69</v>
      </c>
      <c r="R36" s="706">
        <v>3367.1</v>
      </c>
      <c r="S36" s="765">
        <f>IF((_xlfn.XLOOKUP(D36,RUC!$B$3:$B$73,RUC!$E$3:$E$73)+ROUNDDOWN(O36,1)*100)&lt;95,95,((_xlfn.XLOOKUP(D36,RUC!$B$3:$B$73,RUC!$E$3:$E$73)+ROUNDDOWN(O36,1)*100)))</f>
        <v>95</v>
      </c>
      <c r="U36" s="1146">
        <f>_xlfn.XLOOKUP(D36,RUC!$B$3:$B$123,RUC!$F$3:$F$123)</f>
        <v>120</v>
      </c>
      <c r="V36" s="715">
        <v>1.1023000000000001</v>
      </c>
      <c r="Y36">
        <f>_xlfn.XLOOKUP(D36,RUC!$B$3:$B$123,RUC!$G$3:$G$123)</f>
        <v>20</v>
      </c>
      <c r="Z36" s="1071">
        <v>35</v>
      </c>
      <c r="AA36" s="144">
        <f t="shared" si="2"/>
        <v>55</v>
      </c>
      <c r="AB36" s="145">
        <f t="shared" si="28"/>
        <v>369.39918250200009</v>
      </c>
      <c r="AC36" s="145">
        <f>+(S36-T36)*V36-'data 1'!$F$4</f>
        <v>24.718500000000006</v>
      </c>
      <c r="AD36" s="145">
        <f t="shared" si="3"/>
        <v>43.341123370136984</v>
      </c>
      <c r="AE36" s="145">
        <f t="shared" si="4"/>
        <v>-9.3734999999999999</v>
      </c>
      <c r="AF36" s="145">
        <f t="shared" si="5"/>
        <v>51.912063259154948</v>
      </c>
      <c r="AG36" s="772">
        <f t="shared" si="32"/>
        <v>127.59818662929194</v>
      </c>
      <c r="AH36" s="1253">
        <f t="shared" si="12"/>
        <v>35.581000000000003</v>
      </c>
      <c r="AI36" s="1253">
        <f t="shared" si="13"/>
        <v>36.799999999999997</v>
      </c>
      <c r="AJ36" s="156">
        <f t="shared" si="6"/>
        <v>37.791521621073024</v>
      </c>
      <c r="AK36" s="156">
        <f t="shared" si="7"/>
        <v>30.374865259793101</v>
      </c>
      <c r="AL36" s="88"/>
      <c r="AM36" s="716">
        <f t="shared" si="8"/>
        <v>2190.5371522368605</v>
      </c>
      <c r="AN36" s="716" t="str">
        <f>_xlfn.XLOOKUP(D36,RUC!$B$3:$B$578,RUC!$M$3:$M$578)</f>
        <v>Ronald Miranda</v>
      </c>
      <c r="AO36" s="1167" t="s">
        <v>2280</v>
      </c>
      <c r="AP36" t="s">
        <v>2740</v>
      </c>
      <c r="AQ36" t="s">
        <v>2760</v>
      </c>
    </row>
    <row r="37" spans="1:43" ht="15" customHeight="1">
      <c r="A37" s="747" t="s">
        <v>2696</v>
      </c>
      <c r="B37" s="595">
        <v>45900</v>
      </c>
      <c r="C37" s="1447">
        <v>45895</v>
      </c>
      <c r="D37" t="s">
        <v>93</v>
      </c>
      <c r="E37">
        <f>_xlfn.XLOOKUP(D37,RUC!$B$3:$B$123,RUC!$D$3:$D$123)</f>
        <v>20169040231</v>
      </c>
      <c r="G37" s="762">
        <v>20</v>
      </c>
      <c r="H37" s="762" t="s">
        <v>69</v>
      </c>
      <c r="I37" s="703">
        <v>1.71</v>
      </c>
      <c r="J37" s="596">
        <v>1.2</v>
      </c>
      <c r="K37" s="138">
        <f t="shared" si="23"/>
        <v>1.6890000000000001</v>
      </c>
      <c r="L37" s="1082">
        <v>0.318</v>
      </c>
      <c r="M37" s="1082">
        <v>0.30199999999999999</v>
      </c>
      <c r="N37" s="1418">
        <v>0.30199999999999999</v>
      </c>
      <c r="O37" s="645">
        <f t="shared" si="30"/>
        <v>0.30199999999999999</v>
      </c>
      <c r="P37" s="727">
        <v>90</v>
      </c>
      <c r="Q37">
        <v>93.08</v>
      </c>
      <c r="R37" s="706">
        <v>3367.1</v>
      </c>
      <c r="S37" s="765">
        <f>IF((_xlfn.XLOOKUP(D37,RUC!$B$3:$B$73,RUC!$E$3:$E$73)+ROUNDDOWN(O37,1)*100)&lt;95,95,((_xlfn.XLOOKUP(D37,RUC!$B$3:$B$73,RUC!$E$3:$E$73)+ROUNDDOWN(O37,1)*100)))</f>
        <v>115</v>
      </c>
      <c r="U37" s="1146">
        <f>_xlfn.XLOOKUP(D37,RUC!$B$3:$B$123,RUC!$F$3:$F$123)</f>
        <v>120</v>
      </c>
      <c r="V37" s="715">
        <v>1.1023000000000001</v>
      </c>
      <c r="Y37">
        <f>_xlfn.XLOOKUP(D37,RUC!$B$3:$B$123,RUC!$G$3:$G$123)</f>
        <v>20</v>
      </c>
      <c r="Z37" s="1071">
        <v>35</v>
      </c>
      <c r="AA37" s="144">
        <f t="shared" si="2"/>
        <v>55</v>
      </c>
      <c r="AB37" s="145">
        <f t="shared" si="28"/>
        <v>785.45685009400006</v>
      </c>
      <c r="AC37" s="145">
        <f>+(S37-T37)*V37-'data 1'!$F$4</f>
        <v>46.764500000000012</v>
      </c>
      <c r="AD37" s="145">
        <f t="shared" si="3"/>
        <v>35.056883675351976</v>
      </c>
      <c r="AE37" s="145">
        <f t="shared" si="4"/>
        <v>-9.3734999999999999</v>
      </c>
      <c r="AF37" s="145">
        <f t="shared" si="5"/>
        <v>53.305476313024045</v>
      </c>
      <c r="AG37" s="772">
        <f t="shared" si="32"/>
        <v>142.75335998837602</v>
      </c>
      <c r="AH37" s="1253">
        <f t="shared" si="12"/>
        <v>17.14</v>
      </c>
      <c r="AI37" s="1253">
        <f t="shared" si="13"/>
        <v>18.414999999999999</v>
      </c>
      <c r="AJ37" s="156">
        <f t="shared" si="6"/>
        <v>63.917199452808035</v>
      </c>
      <c r="AK37" s="156">
        <f t="shared" si="7"/>
        <v>15.73939994919111</v>
      </c>
      <c r="AL37" s="88"/>
      <c r="AM37" s="716">
        <f t="shared" si="8"/>
        <v>1326.6366198087662</v>
      </c>
      <c r="AN37" s="716" t="str">
        <f>_xlfn.XLOOKUP(D37,RUC!$B$3:$B$578,RUC!$M$3:$M$578)</f>
        <v>Ronald Miranda</v>
      </c>
      <c r="AO37" s="1167" t="s">
        <v>2277</v>
      </c>
      <c r="AP37" t="s">
        <v>2740</v>
      </c>
      <c r="AQ37" t="s">
        <v>2760</v>
      </c>
    </row>
    <row r="38" spans="1:43" ht="15" customHeight="1">
      <c r="A38" s="747" t="s">
        <v>2697</v>
      </c>
      <c r="B38" s="595">
        <v>45900</v>
      </c>
      <c r="C38" s="1447">
        <v>45895</v>
      </c>
      <c r="D38" t="s">
        <v>93</v>
      </c>
      <c r="E38" s="762">
        <f>_xlfn.XLOOKUP(D38,RUC!$B$3:$B$123,RUC!$D$3:$D$123)</f>
        <v>20169040231</v>
      </c>
      <c r="G38" s="762">
        <v>10</v>
      </c>
      <c r="H38" s="762" t="s">
        <v>69</v>
      </c>
      <c r="I38" s="703">
        <v>1.07</v>
      </c>
      <c r="J38" s="596">
        <v>3</v>
      </c>
      <c r="K38" s="138">
        <f t="shared" si="23"/>
        <v>1.038</v>
      </c>
      <c r="L38" s="1082">
        <v>0.69199999999999995</v>
      </c>
      <c r="M38" s="1082">
        <v>0.65700000000000003</v>
      </c>
      <c r="N38" s="1418">
        <v>0.65700000000000003</v>
      </c>
      <c r="O38" s="645">
        <f t="shared" si="30"/>
        <v>0.65700000000000003</v>
      </c>
      <c r="P38" s="727">
        <v>90</v>
      </c>
      <c r="Q38">
        <v>89.88</v>
      </c>
      <c r="R38" s="706">
        <v>3367.1</v>
      </c>
      <c r="S38" s="765">
        <f>IF((_xlfn.XLOOKUP(D38,RUC!$B$3:$B$73,RUC!$E$3:$E$73)+ROUNDDOWN(O38,1)*100)&lt;95,95,((_xlfn.XLOOKUP(D38,RUC!$B$3:$B$73,RUC!$E$3:$E$73)+ROUNDDOWN(O38,1)*100)))</f>
        <v>145</v>
      </c>
      <c r="U38" s="1146">
        <f>_xlfn.XLOOKUP(D38,RUC!$B$3:$B$123,RUC!$F$3:$F$123)</f>
        <v>120</v>
      </c>
      <c r="V38" s="715">
        <v>1.1023000000000001</v>
      </c>
      <c r="Y38">
        <f>_xlfn.XLOOKUP(D38,RUC!$B$3:$B$123,RUC!$G$3:$G$123)</f>
        <v>20</v>
      </c>
      <c r="Z38" s="1071">
        <v>35</v>
      </c>
      <c r="AA38" s="144">
        <f t="shared" si="2"/>
        <v>55</v>
      </c>
      <c r="AB38" s="145">
        <f t="shared" si="28"/>
        <v>1895.9672765290002</v>
      </c>
      <c r="AC38" s="145">
        <f>+(S38-T38)*V38-'data 1'!$F$4</f>
        <v>79.833500000000015</v>
      </c>
      <c r="AD38" s="145">
        <f t="shared" si="3"/>
        <v>-2.9722327252321121</v>
      </c>
      <c r="AE38" s="145">
        <f t="shared" si="4"/>
        <v>-9.3734999999999999</v>
      </c>
      <c r="AF38" s="145">
        <f t="shared" si="5"/>
        <v>112.59693770513974</v>
      </c>
      <c r="AG38" s="772">
        <f t="shared" si="32"/>
        <v>197.08470497990763</v>
      </c>
      <c r="AH38" s="1253">
        <f t="shared" si="12"/>
        <v>22.135000000000002</v>
      </c>
      <c r="AI38" s="1253">
        <f t="shared" si="13"/>
        <v>24.626999999999999</v>
      </c>
      <c r="AJ38" s="156">
        <f t="shared" si="6"/>
        <v>134.30846994667206</v>
      </c>
      <c r="AK38" s="156">
        <f t="shared" si="7"/>
        <v>21.043322052215675</v>
      </c>
      <c r="AL38" s="88"/>
      <c r="AM38" s="716">
        <f t="shared" si="8"/>
        <v>1968.0140330371023</v>
      </c>
      <c r="AN38" s="716" t="str">
        <f>_xlfn.XLOOKUP(D38,RUC!$B$3:$B$578,RUC!$M$3:$M$578)</f>
        <v>Ronald Miranda</v>
      </c>
      <c r="AO38" s="1167" t="s">
        <v>2278</v>
      </c>
      <c r="AP38" t="s">
        <v>2740</v>
      </c>
      <c r="AQ38" t="s">
        <v>2760</v>
      </c>
    </row>
    <row r="39" spans="1:43" ht="15" customHeight="1">
      <c r="A39" s="747" t="s">
        <v>2699</v>
      </c>
      <c r="B39" s="595">
        <v>45900</v>
      </c>
      <c r="C39" s="1447">
        <v>45895</v>
      </c>
      <c r="D39" t="s">
        <v>93</v>
      </c>
      <c r="E39" s="762">
        <f>_xlfn.XLOOKUP(D39,RUC!$B$3:$B$123,RUC!$D$3:$D$123)</f>
        <v>20169040231</v>
      </c>
      <c r="G39" s="762">
        <v>26</v>
      </c>
      <c r="H39" s="762" t="s">
        <v>108</v>
      </c>
      <c r="I39" s="703">
        <v>2.2799999999999998</v>
      </c>
      <c r="J39" s="596">
        <v>24</v>
      </c>
      <c r="K39" s="138">
        <f t="shared" si="23"/>
        <v>1.7330000000000001</v>
      </c>
      <c r="L39" s="1082">
        <v>4.4260000000000002</v>
      </c>
      <c r="M39" s="1082">
        <v>4.2050000000000001</v>
      </c>
      <c r="N39" s="1418">
        <v>4.2050000000000001</v>
      </c>
      <c r="O39" s="645">
        <f t="shared" si="30"/>
        <v>4.2050000000000001</v>
      </c>
      <c r="P39" s="727">
        <v>90</v>
      </c>
      <c r="Q39">
        <v>90.33</v>
      </c>
      <c r="R39" s="706">
        <v>3367.1</v>
      </c>
      <c r="S39" s="765">
        <f>IF((_xlfn.XLOOKUP(D39,RUC!$B$3:$B$73,RUC!$E$3:$E$73)+ROUNDDOWN(O39,1)*100)&lt;95,95,((_xlfn.XLOOKUP(D39,RUC!$B$3:$B$73,RUC!$E$3:$E$73)+ROUNDDOWN(O39,1)*100)))</f>
        <v>505</v>
      </c>
      <c r="U39" s="1146">
        <f>_xlfn.XLOOKUP(D39,RUC!$B$3:$B$123,RUC!$F$3:$F$123)</f>
        <v>120</v>
      </c>
      <c r="V39" s="715">
        <v>1.1023000000000001</v>
      </c>
      <c r="Y39">
        <f>_xlfn.XLOOKUP(D39,RUC!$B$3:$B$123,RUC!$G$3:$G$123)</f>
        <v>20</v>
      </c>
      <c r="Z39" s="1071">
        <v>35</v>
      </c>
      <c r="AA39" s="144">
        <f t="shared" si="2"/>
        <v>55</v>
      </c>
      <c r="AB39" s="145">
        <f t="shared" si="28"/>
        <v>12928.490839885</v>
      </c>
      <c r="AC39" s="145">
        <f>+(S39-T39)*V39-'data 1'!$F$4</f>
        <v>476.66150000000005</v>
      </c>
      <c r="AD39" s="145">
        <f t="shared" si="3"/>
        <v>52.278223432313723</v>
      </c>
      <c r="AE39" s="145">
        <f t="shared" si="4"/>
        <v>-9.3734999999999999</v>
      </c>
      <c r="AF39" s="145">
        <f t="shared" si="5"/>
        <v>714.52882752306914</v>
      </c>
      <c r="AG39" s="772">
        <f t="shared" si="32"/>
        <v>1251.0950509553827</v>
      </c>
      <c r="AH39" s="1253">
        <f t="shared" si="12"/>
        <v>237.548</v>
      </c>
      <c r="AI39" s="1253">
        <f t="shared" si="13"/>
        <v>262.97800000000001</v>
      </c>
      <c r="AJ39" s="156">
        <f t="shared" si="6"/>
        <v>863.33165131530654</v>
      </c>
      <c r="AK39" s="156">
        <f t="shared" si="7"/>
        <v>224.86203751336495</v>
      </c>
      <c r="AL39" s="88"/>
      <c r="AM39" s="716">
        <f t="shared" si="8"/>
        <v>22405.074625520705</v>
      </c>
      <c r="AN39" s="716" t="str">
        <f>_xlfn.XLOOKUP(D39,RUC!$B$3:$B$578,RUC!$M$3:$M$578)</f>
        <v>Ronald Miranda</v>
      </c>
      <c r="AO39" s="1167" t="s">
        <v>2278</v>
      </c>
      <c r="AP39" t="s">
        <v>2740</v>
      </c>
      <c r="AQ39" t="s">
        <v>2760</v>
      </c>
    </row>
    <row r="40" spans="1:43" ht="15" customHeight="1">
      <c r="A40" s="747" t="s">
        <v>2700</v>
      </c>
      <c r="B40" s="595">
        <v>45900</v>
      </c>
      <c r="C40" s="1447">
        <v>45895</v>
      </c>
      <c r="D40" t="s">
        <v>93</v>
      </c>
      <c r="E40" s="762">
        <f>_xlfn.XLOOKUP(D40,RUC!$B$3:$B$123,RUC!$D$3:$D$123)</f>
        <v>20169040231</v>
      </c>
      <c r="G40" s="762">
        <v>34</v>
      </c>
      <c r="H40" s="762" t="s">
        <v>69</v>
      </c>
      <c r="I40" s="703">
        <v>2.94</v>
      </c>
      <c r="J40" s="596">
        <v>1.1000000000000001</v>
      </c>
      <c r="K40" s="138">
        <f t="shared" si="23"/>
        <v>2.9079999999999999</v>
      </c>
      <c r="L40" s="1082">
        <v>0.29799999999999999</v>
      </c>
      <c r="M40" s="1082">
        <v>0.28299999999999997</v>
      </c>
      <c r="N40" s="1418">
        <v>0.28299999999999997</v>
      </c>
      <c r="O40" s="645">
        <f t="shared" si="30"/>
        <v>0.28299999999999997</v>
      </c>
      <c r="P40" s="727">
        <v>90</v>
      </c>
      <c r="Q40">
        <v>90.27</v>
      </c>
      <c r="R40" s="706">
        <v>3367.1</v>
      </c>
      <c r="S40" s="765">
        <f>IF((_xlfn.XLOOKUP(D40,RUC!$B$3:$B$73,RUC!$E$3:$E$73)+ROUNDDOWN(O40,1)*100)&lt;95,95,((_xlfn.XLOOKUP(D40,RUC!$B$3:$B$73,RUC!$E$3:$E$73)+ROUNDDOWN(O40,1)*100)))</f>
        <v>105</v>
      </c>
      <c r="U40" s="1146">
        <f>_xlfn.XLOOKUP(D40,RUC!$B$3:$B$123,RUC!$F$3:$F$123)</f>
        <v>120</v>
      </c>
      <c r="V40" s="715">
        <v>1.1023000000000001</v>
      </c>
      <c r="Y40">
        <f>_xlfn.XLOOKUP(D40,RUC!$B$3:$B$123,RUC!$G$3:$G$123)</f>
        <v>20</v>
      </c>
      <c r="Z40" s="143">
        <f>_xlfn.XLOOKUP(D40,RUC!$B$3:$B$123,RUC!$H$3:$H$123)</f>
        <v>30</v>
      </c>
      <c r="AA40" s="144">
        <f t="shared" si="2"/>
        <v>50</v>
      </c>
      <c r="AB40" s="145">
        <f t="shared" si="28"/>
        <v>740.78569065099998</v>
      </c>
      <c r="AC40" s="145">
        <f>+(S40-T40)*V40-'data 1'!$F$4</f>
        <v>35.741500000000002</v>
      </c>
      <c r="AD40" s="145">
        <f t="shared" si="3"/>
        <v>2.8798873443179578</v>
      </c>
      <c r="AE40" s="145">
        <f t="shared" si="4"/>
        <v>-14.884999999999998</v>
      </c>
      <c r="AF40" s="145">
        <f t="shared" si="5"/>
        <v>48.465218227365042</v>
      </c>
      <c r="AG40" s="772">
        <f t="shared" si="32"/>
        <v>89.20160557168299</v>
      </c>
      <c r="AH40" s="1253">
        <f t="shared" si="12"/>
        <v>26.82</v>
      </c>
      <c r="AI40" s="1253">
        <f t="shared" si="13"/>
        <v>29.710999999999999</v>
      </c>
      <c r="AJ40" s="156">
        <f t="shared" si="6"/>
        <v>58.089006656622033</v>
      </c>
      <c r="AK40" s="156">
        <f t="shared" si="7"/>
        <v>25.394076082062178</v>
      </c>
      <c r="AL40" s="88"/>
      <c r="AM40" s="716">
        <f t="shared" si="8"/>
        <v>2154.204788413108</v>
      </c>
      <c r="AN40" s="716" t="str">
        <f>_xlfn.XLOOKUP(D40,RUC!$B$3:$B$578,RUC!$M$3:$M$578)</f>
        <v>Ronald Miranda</v>
      </c>
      <c r="AO40" s="1167" t="s">
        <v>2277</v>
      </c>
      <c r="AP40" t="s">
        <v>2740</v>
      </c>
      <c r="AQ40" t="s">
        <v>2760</v>
      </c>
    </row>
    <row r="41" spans="1:43" ht="15" customHeight="1">
      <c r="A41" s="747" t="s">
        <v>2701</v>
      </c>
      <c r="B41" s="595">
        <v>45900</v>
      </c>
      <c r="C41" s="1447">
        <v>45895</v>
      </c>
      <c r="D41" t="s">
        <v>93</v>
      </c>
      <c r="E41" s="762">
        <f>_xlfn.XLOOKUP(D41,RUC!$B$3:$B$123,RUC!$D$3:$D$123)</f>
        <v>20169040231</v>
      </c>
      <c r="G41" s="762">
        <v>21</v>
      </c>
      <c r="H41" s="762" t="s">
        <v>69</v>
      </c>
      <c r="I41" s="703">
        <v>1.77</v>
      </c>
      <c r="J41" s="596">
        <v>1.3</v>
      </c>
      <c r="K41" s="138">
        <f t="shared" si="23"/>
        <v>1.7470000000000001</v>
      </c>
      <c r="L41" s="1082">
        <v>0.26600000000000001</v>
      </c>
      <c r="M41" s="1082">
        <v>0.251</v>
      </c>
      <c r="N41" s="1418">
        <v>0.251</v>
      </c>
      <c r="O41" s="645">
        <f t="shared" si="30"/>
        <v>0.251</v>
      </c>
      <c r="P41" s="727">
        <v>90</v>
      </c>
      <c r="Q41">
        <v>91.73</v>
      </c>
      <c r="R41" s="706">
        <v>3367.1</v>
      </c>
      <c r="S41" s="765">
        <f>IF((_xlfn.XLOOKUP(D41,RUC!$B$3:$B$73,RUC!$E$3:$E$73)+ROUNDDOWN(O41,1)*100)&lt;95,95,((_xlfn.XLOOKUP(D41,RUC!$B$3:$B$73,RUC!$E$3:$E$73)+ROUNDDOWN(O41,1)*100)))</f>
        <v>105</v>
      </c>
      <c r="U41" s="1146">
        <f>_xlfn.XLOOKUP(D41,RUC!$B$3:$B$123,RUC!$F$3:$F$123)</f>
        <v>120</v>
      </c>
      <c r="V41" s="715">
        <v>1.1023000000000001</v>
      </c>
      <c r="Y41">
        <f>_xlfn.XLOOKUP(D41,RUC!$B$3:$B$123,RUC!$G$3:$G$123)</f>
        <v>20</v>
      </c>
      <c r="Z41" s="143">
        <f>_xlfn.XLOOKUP(D41,RUC!$B$3:$B$123,RUC!$H$3:$H$123)</f>
        <v>30</v>
      </c>
      <c r="AA41" s="144">
        <f t="shared" si="2"/>
        <v>50</v>
      </c>
      <c r="AB41" s="145">
        <f t="shared" si="28"/>
        <v>637.70247474700011</v>
      </c>
      <c r="AC41" s="145">
        <f>+(S41-T41)*V41-'data 1'!$F$4</f>
        <v>35.741500000000002</v>
      </c>
      <c r="AD41" s="145">
        <f t="shared" si="3"/>
        <v>16.471123018994039</v>
      </c>
      <c r="AE41" s="145">
        <f t="shared" si="4"/>
        <v>-14.884999999999998</v>
      </c>
      <c r="AF41" s="145">
        <f t="shared" si="5"/>
        <v>49.249080181635044</v>
      </c>
      <c r="AG41" s="772">
        <f t="shared" si="32"/>
        <v>103.57670320062908</v>
      </c>
      <c r="AH41" s="1253">
        <f t="shared" si="12"/>
        <v>14.615</v>
      </c>
      <c r="AI41" s="1253">
        <f t="shared" si="13"/>
        <v>15.932</v>
      </c>
      <c r="AJ41" s="156">
        <f t="shared" si="6"/>
        <v>52.689887773026037</v>
      </c>
      <c r="AK41" s="156">
        <f t="shared" si="7"/>
        <v>13.530635823384767</v>
      </c>
      <c r="AL41" s="88"/>
      <c r="AM41" s="716">
        <f t="shared" si="8"/>
        <v>1114.0662233830092</v>
      </c>
      <c r="AN41" s="716" t="str">
        <f>_xlfn.XLOOKUP(D41,RUC!$B$3:$B$578,RUC!$M$3:$M$578)</f>
        <v>Ronald Miranda</v>
      </c>
      <c r="AO41" s="1167" t="s">
        <v>2277</v>
      </c>
      <c r="AP41" t="s">
        <v>2740</v>
      </c>
      <c r="AQ41" t="s">
        <v>2760</v>
      </c>
    </row>
    <row r="42" spans="1:43" ht="15" customHeight="1">
      <c r="A42" s="747" t="s">
        <v>2702</v>
      </c>
      <c r="B42" s="595">
        <v>45901</v>
      </c>
      <c r="C42" s="1447">
        <v>45895</v>
      </c>
      <c r="D42" t="s">
        <v>93</v>
      </c>
      <c r="E42" s="762">
        <f>_xlfn.XLOOKUP(D42,RUC!$B$3:$B$123,RUC!$D$3:$D$123)</f>
        <v>20169040231</v>
      </c>
      <c r="G42" s="762">
        <v>53</v>
      </c>
      <c r="H42" s="762" t="s">
        <v>69</v>
      </c>
      <c r="I42" s="703">
        <v>5</v>
      </c>
      <c r="J42" s="596">
        <v>1.1000000000000001</v>
      </c>
      <c r="K42" s="138">
        <f t="shared" si="23"/>
        <v>4.9450000000000003</v>
      </c>
      <c r="L42" s="1082">
        <v>0.16200000000000001</v>
      </c>
      <c r="M42" s="1082">
        <v>0.14699999999999999</v>
      </c>
      <c r="N42" s="1418">
        <v>0.14699999999999999</v>
      </c>
      <c r="O42" s="645">
        <f t="shared" si="30"/>
        <v>0.14699999999999999</v>
      </c>
      <c r="P42" s="727">
        <v>85</v>
      </c>
      <c r="Q42">
        <v>94.44</v>
      </c>
      <c r="R42" s="706">
        <v>3367.1</v>
      </c>
      <c r="S42" s="765">
        <f>IF((_xlfn.XLOOKUP(D42,RUC!$B$3:$B$73,RUC!$E$3:$E$73)+ROUNDDOWN(O42,1)*100)&lt;95,95,((_xlfn.XLOOKUP(D42,RUC!$B$3:$B$73,RUC!$E$3:$E$73)+ROUNDDOWN(O42,1)*100)))</f>
        <v>95</v>
      </c>
      <c r="U42" s="1146">
        <f>_xlfn.XLOOKUP(D42,RUC!$B$3:$B$123,RUC!$F$3:$F$123)</f>
        <v>120</v>
      </c>
      <c r="V42" s="715">
        <v>1.1023000000000001</v>
      </c>
      <c r="Y42">
        <f>_xlfn.XLOOKUP(D42,RUC!$B$3:$B$123,RUC!$G$3:$G$123)</f>
        <v>20</v>
      </c>
      <c r="Z42" s="709">
        <v>35</v>
      </c>
      <c r="AA42" s="144">
        <f t="shared" si="2"/>
        <v>55</v>
      </c>
      <c r="AB42" s="145">
        <f t="shared" si="28"/>
        <v>281.8858273335</v>
      </c>
      <c r="AC42" s="145">
        <f>+(S42-T42)*V42-'data 1'!$F$4</f>
        <v>24.718500000000006</v>
      </c>
      <c r="AD42" s="145">
        <f t="shared" si="3"/>
        <v>54.737187645023994</v>
      </c>
      <c r="AE42" s="145">
        <f t="shared" si="4"/>
        <v>-9.3734999999999999</v>
      </c>
      <c r="AF42" s="145">
        <f t="shared" si="5"/>
        <v>50.704056822780046</v>
      </c>
      <c r="AG42" s="772">
        <f t="shared" si="32"/>
        <v>137.78624446780404</v>
      </c>
      <c r="AH42" s="1253">
        <f t="shared" si="12"/>
        <v>25.939</v>
      </c>
      <c r="AI42" s="1253">
        <f t="shared" si="13"/>
        <v>27.466000000000001</v>
      </c>
      <c r="AJ42" s="156">
        <f t="shared" si="6"/>
        <v>33.037352437896018</v>
      </c>
      <c r="AK42" s="156">
        <f t="shared" si="7"/>
        <v>21.184178426210888</v>
      </c>
      <c r="AL42" s="88"/>
      <c r="AM42" s="716">
        <f t="shared" si="8"/>
        <v>1393.9254161641577</v>
      </c>
      <c r="AN42" s="716" t="str">
        <f>_xlfn.XLOOKUP(D42,RUC!$B$3:$B$578,RUC!$M$3:$M$578)</f>
        <v>Ronald Miranda</v>
      </c>
      <c r="AO42" s="1167" t="s">
        <v>2278</v>
      </c>
      <c r="AP42" t="s">
        <v>2740</v>
      </c>
      <c r="AQ42" t="s">
        <v>2760</v>
      </c>
    </row>
    <row r="43" spans="1:43" ht="15" customHeight="1">
      <c r="A43" s="747" t="s">
        <v>2704</v>
      </c>
      <c r="B43" s="595">
        <v>45906</v>
      </c>
      <c r="C43" s="1447">
        <v>45896</v>
      </c>
      <c r="D43" t="s">
        <v>1484</v>
      </c>
      <c r="E43" s="762">
        <f>_xlfn.XLOOKUP(D43,RUC!$B$3:$B$123,RUC!$D$3:$D$123)</f>
        <v>10761932735</v>
      </c>
      <c r="G43" s="1082">
        <v>212</v>
      </c>
      <c r="H43" s="762" t="s">
        <v>69</v>
      </c>
      <c r="I43" s="703">
        <v>17.55</v>
      </c>
      <c r="J43" s="596">
        <v>22.5</v>
      </c>
      <c r="K43" s="138">
        <f t="shared" si="23"/>
        <v>13.601000000000001</v>
      </c>
      <c r="L43" s="1082">
        <v>0.17699999999999999</v>
      </c>
      <c r="M43" s="1082">
        <v>0.16200000000000001</v>
      </c>
      <c r="N43" s="598">
        <v>0.20699999999999999</v>
      </c>
      <c r="O43" s="645">
        <f t="shared" si="30"/>
        <v>0.185</v>
      </c>
      <c r="P43" s="727">
        <v>90</v>
      </c>
      <c r="Q43" s="596">
        <v>98.87</v>
      </c>
      <c r="R43" s="706">
        <v>3376.35</v>
      </c>
      <c r="S43" s="765">
        <v>95</v>
      </c>
      <c r="U43" s="1146">
        <f>_xlfn.XLOOKUP(D43,RUC!$B$3:$B$123,RUC!$F$3:$F$123)</f>
        <v>120</v>
      </c>
      <c r="V43" s="715">
        <v>1.1023000000000001</v>
      </c>
      <c r="Y43">
        <f>_xlfn.XLOOKUP(D43,RUC!$B$3:$B$123,RUC!$G$3:$G$123)</f>
        <v>20</v>
      </c>
      <c r="Z43" s="143">
        <f>_xlfn.XLOOKUP(D43,RUC!$B$3:$B$123,RUC!$H$3:$H$123)</f>
        <v>30</v>
      </c>
      <c r="AA43" s="144">
        <f t="shared" si="2"/>
        <v>50</v>
      </c>
      <c r="AB43" s="145">
        <f t="shared" si="28"/>
        <v>437.8140217324999</v>
      </c>
      <c r="AC43" s="145">
        <f>+(S43-T43)*V43-'data 1'!$F$4</f>
        <v>24.718500000000006</v>
      </c>
      <c r="AD43" s="145">
        <f t="shared" si="3"/>
        <v>56.354392351039522</v>
      </c>
      <c r="AE43" s="145">
        <f t="shared" si="4"/>
        <v>-14.884999999999998</v>
      </c>
      <c r="AF43" s="145">
        <f t="shared" si="5"/>
        <v>-28.391308335708025</v>
      </c>
      <c r="AG43" s="772">
        <f t="shared" si="32"/>
        <v>54.79658401533149</v>
      </c>
      <c r="AH43" s="1253">
        <f t="shared" si="12"/>
        <v>81.605000000000004</v>
      </c>
      <c r="AI43" s="1253">
        <f t="shared" si="13"/>
        <v>82.537999999999997</v>
      </c>
      <c r="AJ43" s="156">
        <f t="shared" si="6"/>
        <v>36.005231050570522</v>
      </c>
      <c r="AK43" s="156">
        <f t="shared" si="7"/>
        <v>77.641541217530332</v>
      </c>
      <c r="AL43" s="88"/>
      <c r="AM43" s="716">
        <f t="shared" si="8"/>
        <v>5954.708509583731</v>
      </c>
      <c r="AN43" s="716" t="str">
        <f>_xlfn.XLOOKUP(D43,RUC!$B$3:$B$578,RUC!$M$3:$M$578)</f>
        <v>Richard Sapacayo</v>
      </c>
      <c r="AO43" s="1167" t="s">
        <v>2281</v>
      </c>
      <c r="AP43" t="s">
        <v>2741</v>
      </c>
      <c r="AQ43" t="s">
        <v>2742</v>
      </c>
    </row>
    <row r="44" spans="1:43" ht="15" customHeight="1">
      <c r="A44" s="747" t="s">
        <v>2705</v>
      </c>
      <c r="B44" s="595">
        <v>45903</v>
      </c>
      <c r="C44" s="1447">
        <v>45896</v>
      </c>
      <c r="D44" t="s">
        <v>93</v>
      </c>
      <c r="E44" s="762">
        <f>_xlfn.XLOOKUP(D44,RUC!$B$3:$B$123,RUC!$D$3:$D$123)</f>
        <v>20169040231</v>
      </c>
      <c r="G44" s="1082">
        <v>47</v>
      </c>
      <c r="H44" s="762" t="s">
        <v>69</v>
      </c>
      <c r="I44" s="703">
        <v>4.1900000000000004</v>
      </c>
      <c r="J44" s="596">
        <v>1.5</v>
      </c>
      <c r="K44" s="138">
        <f t="shared" si="23"/>
        <v>4.1269999999999998</v>
      </c>
      <c r="L44" s="762">
        <v>0.24399999999999999</v>
      </c>
      <c r="M44" s="1082">
        <v>0.22900000000000001</v>
      </c>
      <c r="N44" s="1418">
        <v>0.22900000000000001</v>
      </c>
      <c r="O44" s="645">
        <f t="shared" si="30"/>
        <v>0.22900000000000001</v>
      </c>
      <c r="P44" s="727">
        <v>90</v>
      </c>
      <c r="Q44">
        <v>90.98</v>
      </c>
      <c r="R44" s="706">
        <v>3376.35</v>
      </c>
      <c r="S44" s="765">
        <f>IF((_xlfn.XLOOKUP(D44,RUC!$B$3:$B$73,RUC!$E$3:$E$73)+ROUNDDOWN(O44,1)*100)&lt;95,95,((_xlfn.XLOOKUP(D44,RUC!$B$3:$B$73,RUC!$E$3:$E$73)+ROUNDDOWN(O44,1)*100)))</f>
        <v>105</v>
      </c>
      <c r="U44" s="1146">
        <f>_xlfn.XLOOKUP(D44,RUC!$B$3:$B$123,RUC!$F$3:$F$123)</f>
        <v>120</v>
      </c>
      <c r="V44" s="715">
        <v>1.1023000000000001</v>
      </c>
      <c r="Y44">
        <f>_xlfn.XLOOKUP(D44,RUC!$B$3:$B$123,RUC!$G$3:$G$123)</f>
        <v>20</v>
      </c>
      <c r="Z44" s="143">
        <f>_xlfn.XLOOKUP(D44,RUC!$B$3:$B$123,RUC!$H$3:$H$123)</f>
        <v>30</v>
      </c>
      <c r="AA44" s="144">
        <f t="shared" si="2"/>
        <v>50</v>
      </c>
      <c r="AB44" s="145">
        <f t="shared" si="28"/>
        <v>568.93421609050006</v>
      </c>
      <c r="AC44" s="145">
        <f>+(S44-T44)*V44-'data 1'!$F$4</f>
        <v>35.741500000000002</v>
      </c>
      <c r="AD44" s="145">
        <f t="shared" si="3"/>
        <v>8.5831516754760351</v>
      </c>
      <c r="AE44" s="145">
        <f t="shared" si="4"/>
        <v>-14.884999999999998</v>
      </c>
      <c r="AF44" s="145">
        <f t="shared" si="5"/>
        <v>48.985559934434953</v>
      </c>
      <c r="AG44" s="772">
        <f t="shared" si="32"/>
        <v>95.425211609911003</v>
      </c>
      <c r="AH44" s="1253">
        <f t="shared" si="12"/>
        <v>31.411000000000001</v>
      </c>
      <c r="AI44" s="1253">
        <f t="shared" si="13"/>
        <v>34.524999999999999</v>
      </c>
      <c r="AJ44" s="156">
        <f t="shared" si="6"/>
        <v>45.673422940204027</v>
      </c>
      <c r="AK44" s="156">
        <f t="shared" si="7"/>
        <v>29.162283655012335</v>
      </c>
      <c r="AL44" s="88"/>
      <c r="AM44" s="716">
        <f t="shared" si="8"/>
        <v>2347.9915098054935</v>
      </c>
      <c r="AN44" s="716" t="str">
        <f>_xlfn.XLOOKUP(D44,RUC!$B$3:$B$578,RUC!$M$3:$M$578)</f>
        <v>Ronald Miranda</v>
      </c>
      <c r="AO44" s="1167" t="s">
        <v>2280</v>
      </c>
      <c r="AP44" t="s">
        <v>2743</v>
      </c>
      <c r="AQ44" t="s">
        <v>2744</v>
      </c>
    </row>
    <row r="45" spans="1:43" ht="15" customHeight="1">
      <c r="A45" s="1149" t="s">
        <v>2706</v>
      </c>
      <c r="B45" s="1095">
        <v>45903</v>
      </c>
      <c r="C45" s="1447">
        <v>45896</v>
      </c>
      <c r="D45" t="s">
        <v>93</v>
      </c>
      <c r="E45" s="762">
        <f>_xlfn.XLOOKUP(D45,RUC!$B$3:$B$123,RUC!$D$3:$D$123)</f>
        <v>20169040231</v>
      </c>
      <c r="G45" s="1082">
        <v>99</v>
      </c>
      <c r="H45" s="762" t="s">
        <v>69</v>
      </c>
      <c r="I45" s="703">
        <v>9.93</v>
      </c>
      <c r="J45" s="596">
        <v>2.5</v>
      </c>
      <c r="K45" s="138">
        <f t="shared" si="23"/>
        <v>9.6820000000000004</v>
      </c>
      <c r="L45" s="762">
        <v>0.10199999999999999</v>
      </c>
      <c r="M45" s="1082">
        <v>9.7000000000000003E-2</v>
      </c>
      <c r="N45" s="1418">
        <v>9.7000000000000003E-2</v>
      </c>
      <c r="O45" s="645">
        <f t="shared" si="30"/>
        <v>9.7000000000000003E-2</v>
      </c>
      <c r="P45" s="727">
        <v>80</v>
      </c>
      <c r="Q45">
        <v>92.86</v>
      </c>
      <c r="R45" s="706">
        <v>3376.35</v>
      </c>
      <c r="S45" s="765">
        <f>IF((_xlfn.XLOOKUP(D45,RUC!$B$3:$B$73,RUC!$E$3:$E$73)+ROUNDDOWN(O45,1)*100)&lt;95,95,((_xlfn.XLOOKUP(D45,RUC!$B$3:$B$73,RUC!$E$3:$E$73)+ROUNDDOWN(O45,1)*100)))</f>
        <v>95</v>
      </c>
      <c r="U45" s="1146">
        <f>_xlfn.XLOOKUP(D45,RUC!$B$3:$B$123,RUC!$F$3:$F$123)</f>
        <v>120</v>
      </c>
      <c r="V45" s="715">
        <v>1.1023000000000001</v>
      </c>
      <c r="Y45">
        <f>_xlfn.XLOOKUP(D45,RUC!$B$3:$B$123,RUC!$G$3:$G$123)</f>
        <v>20</v>
      </c>
      <c r="Z45" s="143">
        <f>_xlfn.XLOOKUP(D45,RUC!$B$3:$B$123,RUC!$H$3:$H$123)</f>
        <v>30</v>
      </c>
      <c r="AA45" s="144">
        <f t="shared" si="2"/>
        <v>50</v>
      </c>
      <c r="AB45" s="145">
        <v>1E-3</v>
      </c>
      <c r="AC45" s="145">
        <f>+(S45-T45)*V45-'data 1'!$F$4</f>
        <v>24.718500000000006</v>
      </c>
      <c r="AD45" s="145">
        <f t="shared" si="3"/>
        <v>47.083856288706002</v>
      </c>
      <c r="AE45" s="145">
        <f t="shared" si="4"/>
        <v>-14.884999999999998</v>
      </c>
      <c r="AF45" s="145">
        <f t="shared" si="5"/>
        <v>16.66593059101497</v>
      </c>
      <c r="AG45" s="772">
        <f>AC45+AD45+AE45+AF45+70-53-118.71</f>
        <v>-28.126713120279007</v>
      </c>
      <c r="AH45" s="1253">
        <f t="shared" si="12"/>
        <v>31.440999999999999</v>
      </c>
      <c r="AI45" s="1253">
        <f t="shared" si="13"/>
        <v>33.859000000000002</v>
      </c>
      <c r="AJ45" s="156">
        <f t="shared" si="6"/>
        <v>19.487523538374006</v>
      </c>
      <c r="AK45" s="156">
        <f t="shared" si="7"/>
        <v>25.759407462967765</v>
      </c>
      <c r="AL45" s="88"/>
      <c r="AM45" s="716">
        <f t="shared" si="8"/>
        <v>9.6820000000000014E-3</v>
      </c>
      <c r="AN45" s="716" t="str">
        <f>_xlfn.XLOOKUP(D45,RUC!$B$3:$B$578,RUC!$M$3:$M$578)</f>
        <v>Ronald Miranda</v>
      </c>
      <c r="AO45" s="1167" t="s">
        <v>2280</v>
      </c>
      <c r="AP45" t="s">
        <v>2743</v>
      </c>
      <c r="AQ45" t="s">
        <v>2744</v>
      </c>
    </row>
    <row r="46" spans="1:43" ht="15" customHeight="1">
      <c r="A46" s="747" t="s">
        <v>2707</v>
      </c>
      <c r="B46" s="595">
        <v>45901</v>
      </c>
      <c r="C46" s="1447">
        <v>45896</v>
      </c>
      <c r="D46" t="s">
        <v>93</v>
      </c>
      <c r="E46" s="762">
        <f>_xlfn.XLOOKUP(D46,RUC!$B$3:$B$123,RUC!$D$3:$D$123)</f>
        <v>20169040231</v>
      </c>
      <c r="G46" s="1082">
        <v>100</v>
      </c>
      <c r="H46" s="762" t="s">
        <v>69</v>
      </c>
      <c r="I46" s="703">
        <v>10.55</v>
      </c>
      <c r="J46" s="596">
        <v>2.5</v>
      </c>
      <c r="K46" s="138">
        <f t="shared" si="23"/>
        <v>10.286</v>
      </c>
      <c r="L46" s="762">
        <v>0.26500000000000001</v>
      </c>
      <c r="M46" s="1192">
        <v>0.25</v>
      </c>
      <c r="N46" s="1419">
        <v>0.25</v>
      </c>
      <c r="O46" s="645">
        <f t="shared" si="30"/>
        <v>0.25</v>
      </c>
      <c r="P46" s="727">
        <v>90</v>
      </c>
      <c r="Q46">
        <v>94.72</v>
      </c>
      <c r="R46" s="706">
        <v>3376.35</v>
      </c>
      <c r="S46" s="765">
        <f>IF((_xlfn.XLOOKUP(D46,RUC!$B$3:$B$73,RUC!$E$3:$E$73)+ROUNDDOWN(O46,1)*100)&lt;95,95,((_xlfn.XLOOKUP(D46,RUC!$B$3:$B$73,RUC!$E$3:$E$73)+ROUNDDOWN(O46,1)*100)))</f>
        <v>105</v>
      </c>
      <c r="U46" s="1146">
        <f>_xlfn.XLOOKUP(D46,RUC!$B$3:$B$123,RUC!$F$3:$F$123)</f>
        <v>120</v>
      </c>
      <c r="V46" s="715">
        <v>1.1023000000000001</v>
      </c>
      <c r="Y46">
        <f>_xlfn.XLOOKUP(D46,RUC!$B$3:$B$123,RUC!$G$3:$G$123)</f>
        <v>20</v>
      </c>
      <c r="Z46" s="709">
        <v>35</v>
      </c>
      <c r="AA46" s="144">
        <f t="shared" si="2"/>
        <v>55</v>
      </c>
      <c r="AB46" s="145">
        <f t="shared" si="28"/>
        <v>631.26378612500002</v>
      </c>
      <c r="AC46" s="145">
        <f>+(S46-T46)*V46-'data 1'!$F$4</f>
        <v>35.741500000000002</v>
      </c>
      <c r="AD46" s="145">
        <f t="shared" si="3"/>
        <v>44.897148359340001</v>
      </c>
      <c r="AE46" s="145">
        <f t="shared" si="4"/>
        <v>-9.3734999999999999</v>
      </c>
      <c r="AF46" s="145">
        <f t="shared" si="5"/>
        <v>50.999255187840042</v>
      </c>
      <c r="AG46" s="772">
        <f t="shared" si="32"/>
        <v>139.26440354718005</v>
      </c>
      <c r="AH46" s="1253">
        <f t="shared" si="12"/>
        <v>88.52</v>
      </c>
      <c r="AI46" s="1253">
        <f t="shared" si="13"/>
        <v>93.454999999999998</v>
      </c>
      <c r="AJ46" s="156">
        <f t="shared" si="6"/>
        <v>51.64346399936003</v>
      </c>
      <c r="AK46" s="156">
        <f t="shared" si="7"/>
        <v>79.348387833517506</v>
      </c>
      <c r="AL46" s="88"/>
      <c r="AM46" s="716">
        <f t="shared" si="8"/>
        <v>6493.1793040817502</v>
      </c>
      <c r="AN46" s="716" t="str">
        <f>_xlfn.XLOOKUP(D46,RUC!$B$3:$B$578,RUC!$M$3:$M$578)</f>
        <v>Ronald Miranda</v>
      </c>
      <c r="AO46" s="1167" t="s">
        <v>2280</v>
      </c>
      <c r="AP46" t="s">
        <v>2743</v>
      </c>
      <c r="AQ46" t="s">
        <v>2744</v>
      </c>
    </row>
    <row r="47" spans="1:43" ht="15" customHeight="1">
      <c r="A47" s="747" t="s">
        <v>2708</v>
      </c>
      <c r="B47" s="595">
        <v>45901</v>
      </c>
      <c r="C47" s="1447">
        <v>45896</v>
      </c>
      <c r="D47" s="1420" t="s">
        <v>2444</v>
      </c>
      <c r="E47" s="762">
        <f>_xlfn.XLOOKUP(D47,RUC!$B$3:$B$123,RUC!$D$3:$D$123)</f>
        <v>20608774000</v>
      </c>
      <c r="G47" s="1082">
        <v>60</v>
      </c>
      <c r="H47" s="762" t="s">
        <v>108</v>
      </c>
      <c r="I47" s="703">
        <v>4.62</v>
      </c>
      <c r="J47" s="596">
        <v>32</v>
      </c>
      <c r="K47" s="138">
        <f t="shared" si="23"/>
        <v>3.1419999999999999</v>
      </c>
      <c r="L47" s="762">
        <v>0.745</v>
      </c>
      <c r="M47" s="1082">
        <v>0.70799999999999996</v>
      </c>
      <c r="N47" s="1418">
        <v>0.70799999999999996</v>
      </c>
      <c r="O47" s="645">
        <f t="shared" si="30"/>
        <v>0.70799999999999996</v>
      </c>
      <c r="P47" s="727">
        <v>85</v>
      </c>
      <c r="Q47" s="596">
        <v>86.04</v>
      </c>
      <c r="R47" s="706">
        <v>3376.35</v>
      </c>
      <c r="S47" s="765">
        <f>IF((_xlfn.XLOOKUP(D47,RUC!$B$3:$B$73,RUC!$E$3:$E$73)+ROUNDDOWN(O47,1)*100)&lt;95,95,((_xlfn.XLOOKUP(D47,RUC!$B$3:$B$73,RUC!$E$3:$E$73)+ROUNDDOWN(O47,1)*100)))</f>
        <v>155</v>
      </c>
      <c r="U47" s="1146">
        <f>_xlfn.XLOOKUP(D47,RUC!$B$3:$B$123,RUC!$F$3:$F$123)</f>
        <v>120</v>
      </c>
      <c r="V47" s="715">
        <v>1.1023000000000001</v>
      </c>
      <c r="Y47">
        <f>_xlfn.XLOOKUP(D47,RUC!$B$3:$B$123,RUC!$G$3:$G$123)</f>
        <v>20</v>
      </c>
      <c r="Z47" s="709">
        <v>35</v>
      </c>
      <c r="AA47" s="144">
        <f t="shared" si="2"/>
        <v>55</v>
      </c>
      <c r="AB47" s="145">
        <f t="shared" si="28"/>
        <v>1928.662817289</v>
      </c>
      <c r="AC47" s="145">
        <f>+(S47-T47)*V47-'data 1'!$F$4</f>
        <v>90.856500000000011</v>
      </c>
      <c r="AD47" s="145">
        <f t="shared" si="3"/>
        <v>27.811249239540167</v>
      </c>
      <c r="AE47" s="145">
        <f t="shared" si="4"/>
        <v>-9.3734999999999999</v>
      </c>
      <c r="AF47" s="145">
        <f t="shared" si="5"/>
        <v>114.27020615525412</v>
      </c>
      <c r="AG47" s="772">
        <f t="shared" si="32"/>
        <v>240.56445539479427</v>
      </c>
      <c r="AH47" s="1253">
        <f t="shared" si="12"/>
        <v>69.051000000000002</v>
      </c>
      <c r="AI47" s="1253">
        <f t="shared" si="13"/>
        <v>80.254999999999995</v>
      </c>
      <c r="AJ47" s="156">
        <f t="shared" si="6"/>
        <v>131.88168160641007</v>
      </c>
      <c r="AK47" s="156">
        <f t="shared" si="7"/>
        <v>64.828717992515564</v>
      </c>
      <c r="AL47" s="88"/>
      <c r="AM47" s="716">
        <f t="shared" si="8"/>
        <v>6059.8585719220382</v>
      </c>
      <c r="AN47" s="716" t="str">
        <f>_xlfn.XLOOKUP(D47,RUC!$B$3:$B$578,RUC!$M$3:$M$578)</f>
        <v>Ronald Miranda</v>
      </c>
      <c r="AO47" s="1167" t="s">
        <v>2279</v>
      </c>
      <c r="AP47" t="s">
        <v>2745</v>
      </c>
      <c r="AQ47" t="s">
        <v>2746</v>
      </c>
    </row>
    <row r="48" spans="1:43" ht="15" customHeight="1">
      <c r="A48" s="747" t="s">
        <v>2710</v>
      </c>
      <c r="B48" s="595">
        <v>45903</v>
      </c>
      <c r="C48" s="1447">
        <v>45897</v>
      </c>
      <c r="D48" t="s">
        <v>1484</v>
      </c>
      <c r="E48" s="762">
        <f>_xlfn.XLOOKUP(D48,RUC!$B$3:$B$123,RUC!$D$3:$D$123)</f>
        <v>10761932735</v>
      </c>
      <c r="G48" s="1082">
        <v>66</v>
      </c>
      <c r="H48" s="762" t="s">
        <v>69</v>
      </c>
      <c r="I48" s="703">
        <v>4.2300000000000004</v>
      </c>
      <c r="J48" s="596">
        <v>11.5</v>
      </c>
      <c r="K48" s="138">
        <f t="shared" si="23"/>
        <v>3.7440000000000002</v>
      </c>
      <c r="L48" s="762">
        <v>0.217</v>
      </c>
      <c r="M48" s="1082">
        <v>0.20200000000000001</v>
      </c>
      <c r="N48" s="1439">
        <v>0.215</v>
      </c>
      <c r="O48" s="645">
        <f t="shared" si="30"/>
        <v>0.20899999999999999</v>
      </c>
      <c r="P48" s="727">
        <v>90</v>
      </c>
      <c r="Q48" s="596">
        <v>97.24</v>
      </c>
      <c r="R48" s="706">
        <v>3407.65</v>
      </c>
      <c r="S48" s="765">
        <f>IF((_xlfn.XLOOKUP(D48,RUC!$B$3:$B$73,RUC!$E$3:$E$73)+ROUNDDOWN(O48,1)*100)&lt;95,95,((_xlfn.XLOOKUP(D48,RUC!$B$3:$B$73,RUC!$E$3:$E$73)+ROUNDDOWN(O48,1)*100)))</f>
        <v>110</v>
      </c>
      <c r="U48" s="1146">
        <f>_xlfn.XLOOKUP(D48,RUC!$B$3:$B$123,RUC!$F$3:$F$123)</f>
        <v>120</v>
      </c>
      <c r="V48" s="715">
        <v>1.1023000000000001</v>
      </c>
      <c r="Y48">
        <f>_xlfn.XLOOKUP(D48,RUC!$B$3:$B$123,RUC!$G$3:$G$123)</f>
        <v>20</v>
      </c>
      <c r="Z48" s="143">
        <f>_xlfn.XLOOKUP(D48,RUC!$B$3:$B$123,RUC!$H$3:$H$123)</f>
        <v>30</v>
      </c>
      <c r="AA48" s="144">
        <f t="shared" si="2"/>
        <v>50</v>
      </c>
      <c r="AB48" s="145">
        <f t="shared" si="28"/>
        <v>505.30199751950005</v>
      </c>
      <c r="AC48" s="145">
        <f>+(S48-T48)*V48-'data 1'!$F$4</f>
        <v>41.253</v>
      </c>
      <c r="AD48" s="145">
        <f t="shared" si="3"/>
        <v>56.935571488725962</v>
      </c>
      <c r="AE48" s="145">
        <f t="shared" si="4"/>
        <v>-14.884999999999998</v>
      </c>
      <c r="AF48" s="145">
        <f t="shared" si="5"/>
        <v>28.191638727824024</v>
      </c>
      <c r="AG48" s="772">
        <f t="shared" si="32"/>
        <v>128.49521021654999</v>
      </c>
      <c r="AH48" s="1253">
        <f t="shared" si="12"/>
        <v>27.085999999999999</v>
      </c>
      <c r="AI48" s="1253">
        <f t="shared" si="13"/>
        <v>27.855</v>
      </c>
      <c r="AJ48" s="156">
        <f t="shared" si="6"/>
        <v>36.133975771893979</v>
      </c>
      <c r="AK48" s="156">
        <f t="shared" si="7"/>
        <v>24.145361106815525</v>
      </c>
      <c r="AL48" s="88"/>
      <c r="AM48" s="716">
        <f t="shared" si="8"/>
        <v>1891.8506787130084</v>
      </c>
      <c r="AN48" s="716" t="str">
        <f>_xlfn.XLOOKUP(D48,RUC!$B$3:$B$578,RUC!$M$3:$M$578)</f>
        <v>Richard Sapacayo</v>
      </c>
      <c r="AO48" s="1167" t="s">
        <v>2278</v>
      </c>
      <c r="AP48" t="s">
        <v>2747</v>
      </c>
      <c r="AQ48" t="s">
        <v>2768</v>
      </c>
    </row>
    <row r="49" spans="1:44" ht="15" customHeight="1">
      <c r="A49" s="747" t="s">
        <v>2711</v>
      </c>
      <c r="B49" s="595">
        <v>45903</v>
      </c>
      <c r="C49" s="1447">
        <v>45897</v>
      </c>
      <c r="D49" t="s">
        <v>1484</v>
      </c>
      <c r="E49" s="762">
        <f>_xlfn.XLOOKUP(D49,RUC!$B$3:$B$123,RUC!$D$3:$D$123)</f>
        <v>10761932735</v>
      </c>
      <c r="G49" s="1082">
        <v>180</v>
      </c>
      <c r="H49" s="762" t="s">
        <v>69</v>
      </c>
      <c r="I49" s="703">
        <v>10.56</v>
      </c>
      <c r="J49" s="596">
        <v>9.5</v>
      </c>
      <c r="K49" s="138">
        <f t="shared" si="23"/>
        <v>9.5570000000000004</v>
      </c>
      <c r="L49" s="762">
        <v>0.32200000000000001</v>
      </c>
      <c r="M49" s="1082">
        <v>0.30599999999999999</v>
      </c>
      <c r="N49" s="1440">
        <v>0.33</v>
      </c>
      <c r="O49" s="645">
        <f t="shared" si="30"/>
        <v>0.318</v>
      </c>
      <c r="P49" s="727">
        <v>90</v>
      </c>
      <c r="Q49" s="596">
        <v>95.03</v>
      </c>
      <c r="R49" s="706">
        <v>3407.65</v>
      </c>
      <c r="S49" s="765">
        <f>IF((_xlfn.XLOOKUP(D49,RUC!$B$3:$B$73,RUC!$E$3:$E$73)+ROUNDDOWN(O49,1)*100)&lt;95,95,((_xlfn.XLOOKUP(D49,RUC!$B$3:$B$73,RUC!$E$3:$E$73)+ROUNDDOWN(O49,1)*100)))</f>
        <v>120</v>
      </c>
      <c r="U49" s="1146">
        <f>_xlfn.XLOOKUP(D49,RUC!$B$3:$B$123,RUC!$F$3:$F$123)</f>
        <v>120</v>
      </c>
      <c r="V49" s="715">
        <v>1.1023000000000001</v>
      </c>
      <c r="Y49">
        <f>_xlfn.XLOOKUP(D49,RUC!$B$3:$B$123,RUC!$G$3:$G$123)</f>
        <v>20</v>
      </c>
      <c r="Z49" s="143">
        <f>_xlfn.XLOOKUP(D49,RUC!$B$3:$B$123,RUC!$H$3:$H$123)</f>
        <v>30</v>
      </c>
      <c r="AA49" s="144">
        <f t="shared" si="2"/>
        <v>50</v>
      </c>
      <c r="AB49" s="145">
        <f t="shared" si="28"/>
        <v>849.79110148900008</v>
      </c>
      <c r="AC49" s="145">
        <f>+(S49-T49)*V49-'data 1'!$F$4</f>
        <v>52.27600000000001</v>
      </c>
      <c r="AD49" s="145">
        <f t="shared" si="3"/>
        <v>58.696099318577019</v>
      </c>
      <c r="AE49" s="145">
        <f t="shared" si="4"/>
        <v>-14.884999999999998</v>
      </c>
      <c r="AF49" s="145">
        <f t="shared" si="5"/>
        <v>13.775459832914011</v>
      </c>
      <c r="AG49" s="772">
        <f t="shared" si="32"/>
        <v>126.86255915149104</v>
      </c>
      <c r="AH49" s="1253">
        <f t="shared" si="12"/>
        <v>100.265</v>
      </c>
      <c r="AI49" s="1253">
        <f t="shared" si="13"/>
        <v>105.508</v>
      </c>
      <c r="AJ49" s="156">
        <f t="shared" si="6"/>
        <v>52.399563106162979</v>
      </c>
      <c r="AK49" s="156">
        <f t="shared" si="7"/>
        <v>93.777852818559879</v>
      </c>
      <c r="AL49" s="88"/>
      <c r="AM49" s="716">
        <f t="shared" si="8"/>
        <v>8121.4535569303744</v>
      </c>
      <c r="AN49" s="716" t="str">
        <f>_xlfn.XLOOKUP(D49,RUC!$B$3:$B$578,RUC!$M$3:$M$578)</f>
        <v>Richard Sapacayo</v>
      </c>
      <c r="AO49" s="1167" t="s">
        <v>2278</v>
      </c>
      <c r="AP49" t="s">
        <v>2747</v>
      </c>
      <c r="AQ49" t="s">
        <v>2768</v>
      </c>
    </row>
    <row r="50" spans="1:44" ht="14.25" customHeight="1">
      <c r="A50" s="747" t="s">
        <v>2712</v>
      </c>
      <c r="B50" s="595">
        <v>45908</v>
      </c>
      <c r="C50" s="1447">
        <v>45897</v>
      </c>
      <c r="D50" t="s">
        <v>1484</v>
      </c>
      <c r="E50" s="762">
        <f>_xlfn.XLOOKUP(D50,RUC!$B$3:$B$123,RUC!$D$3:$D$123)</f>
        <v>10761932735</v>
      </c>
      <c r="G50" s="1082" t="s">
        <v>1434</v>
      </c>
      <c r="H50" s="762" t="s">
        <v>69</v>
      </c>
      <c r="I50" s="703">
        <v>7.89</v>
      </c>
      <c r="J50" s="596">
        <v>6.2</v>
      </c>
      <c r="K50" s="138">
        <f t="shared" si="23"/>
        <v>7.4009999999999998</v>
      </c>
      <c r="L50" s="762">
        <v>0.107</v>
      </c>
      <c r="M50" s="1082">
        <v>9.1999999999999998E-2</v>
      </c>
      <c r="N50" s="1439">
        <v>0.16800000000000001</v>
      </c>
      <c r="O50" s="645">
        <f t="shared" si="30"/>
        <v>0.13</v>
      </c>
      <c r="P50" s="727">
        <v>85</v>
      </c>
      <c r="Q50" s="596">
        <v>88.24</v>
      </c>
      <c r="R50" s="706">
        <v>3407.65</v>
      </c>
      <c r="S50" s="765">
        <f>IF((_xlfn.XLOOKUP(D50,RUC!$B$3:$B$73,RUC!$E$3:$E$73)+ROUNDDOWN(O50,1)*100)&lt;95,95,((_xlfn.XLOOKUP(D50,RUC!$B$3:$B$73,RUC!$E$3:$E$73)+ROUNDDOWN(O50,1)*100)))</f>
        <v>100</v>
      </c>
      <c r="U50" s="1146">
        <f>_xlfn.XLOOKUP(D50,RUC!$B$3:$B$123,RUC!$F$3:$F$123)</f>
        <v>120</v>
      </c>
      <c r="V50" s="715">
        <v>1.1023000000000001</v>
      </c>
      <c r="Y50" s="1445">
        <v>30</v>
      </c>
      <c r="Z50" s="143">
        <f>_xlfn.XLOOKUP(D50,RUC!$B$3:$B$123,RUC!$H$3:$H$123)</f>
        <v>30</v>
      </c>
      <c r="AA50" s="144">
        <f t="shared" si="2"/>
        <v>60</v>
      </c>
      <c r="AB50" s="145">
        <f t="shared" si="28"/>
        <v>224.08141374750002</v>
      </c>
      <c r="AC50" s="145">
        <f>+(S50-T50)*V50-'data 1'!$F$4</f>
        <v>30.230000000000004</v>
      </c>
      <c r="AD50" s="145">
        <f t="shared" si="3"/>
        <v>12.56360205954598</v>
      </c>
      <c r="AE50" s="145">
        <f t="shared" si="4"/>
        <v>-3.8619999999999948</v>
      </c>
      <c r="AF50" s="145">
        <f t="shared" si="5"/>
        <v>-73.549329790844027</v>
      </c>
      <c r="AG50" s="772">
        <f t="shared" si="32"/>
        <v>-17.617727731298039</v>
      </c>
      <c r="AH50" s="1253">
        <f t="shared" si="12"/>
        <v>23.957999999999998</v>
      </c>
      <c r="AI50" s="1253">
        <f t="shared" si="13"/>
        <v>27.151</v>
      </c>
      <c r="AJ50" s="156">
        <f t="shared" si="6"/>
        <v>16.16815046272399</v>
      </c>
      <c r="AK50" s="156">
        <f t="shared" si="7"/>
        <v>28.038950343864528</v>
      </c>
      <c r="AL50" s="88"/>
      <c r="AM50" s="716">
        <f t="shared" si="8"/>
        <v>1658.4265431452477</v>
      </c>
      <c r="AN50" s="716" t="str">
        <f>_xlfn.XLOOKUP(D50,RUC!$B$3:$B$578,RUC!$M$3:$M$578)</f>
        <v>Richard Sapacayo</v>
      </c>
      <c r="AO50" s="1167" t="s">
        <v>2280</v>
      </c>
      <c r="AP50" t="s">
        <v>2748</v>
      </c>
      <c r="AQ50" t="s">
        <v>2749</v>
      </c>
    </row>
    <row r="51" spans="1:44" ht="15" customHeight="1">
      <c r="A51" s="747" t="s">
        <v>2713</v>
      </c>
      <c r="B51" s="595">
        <v>45908</v>
      </c>
      <c r="C51" s="1447">
        <v>45897</v>
      </c>
      <c r="D51" t="s">
        <v>1484</v>
      </c>
      <c r="E51" s="762">
        <f>_xlfn.XLOOKUP(D51,RUC!$B$3:$B$123,RUC!$D$3:$D$123)</f>
        <v>10761932735</v>
      </c>
      <c r="G51" s="1082" t="s">
        <v>1434</v>
      </c>
      <c r="H51" s="762" t="s">
        <v>69</v>
      </c>
      <c r="I51" s="703">
        <v>26</v>
      </c>
      <c r="J51" s="596">
        <v>4.0999999999999996</v>
      </c>
      <c r="K51" s="138">
        <f t="shared" si="23"/>
        <v>24.934000000000001</v>
      </c>
      <c r="L51" s="762">
        <v>0.13700000000000001</v>
      </c>
      <c r="M51" s="1082">
        <v>0.122</v>
      </c>
      <c r="N51" s="1439">
        <v>0.183</v>
      </c>
      <c r="O51" s="645">
        <f t="shared" si="30"/>
        <v>0.153</v>
      </c>
      <c r="P51" s="727">
        <v>90</v>
      </c>
      <c r="Q51" s="596">
        <v>94.89</v>
      </c>
      <c r="R51" s="706">
        <v>3407.65</v>
      </c>
      <c r="S51" s="765">
        <f>IF((_xlfn.XLOOKUP(D51,RUC!$B$3:$B$73,RUC!$E$3:$E$73)+ROUNDDOWN(O51,1)*100)&lt;95,95,((_xlfn.XLOOKUP(D51,RUC!$B$3:$B$73,RUC!$E$3:$E$73)+ROUNDDOWN(O51,1)*100)))</f>
        <v>100</v>
      </c>
      <c r="U51" s="1146">
        <f>_xlfn.XLOOKUP(D51,RUC!$B$3:$B$123,RUC!$F$3:$F$123)</f>
        <v>120</v>
      </c>
      <c r="V51" s="715">
        <v>1.1023000000000001</v>
      </c>
      <c r="Y51" s="1445">
        <v>30</v>
      </c>
      <c r="Z51" s="143">
        <f>_xlfn.XLOOKUP(D51,RUC!$B$3:$B$123,RUC!$H$3:$H$123)</f>
        <v>30</v>
      </c>
      <c r="AA51" s="144">
        <f t="shared" si="2"/>
        <v>60</v>
      </c>
      <c r="AB51" s="145">
        <f t="shared" si="28"/>
        <v>322.65357713149996</v>
      </c>
      <c r="AC51" s="145">
        <f>+(S51-T51)*V51-'data 1'!$F$4</f>
        <v>30.230000000000004</v>
      </c>
      <c r="AD51" s="145">
        <f t="shared" si="3"/>
        <v>24.278106402883509</v>
      </c>
      <c r="AE51" s="145">
        <f t="shared" si="4"/>
        <v>-3.8619999999999948</v>
      </c>
      <c r="AF51" s="145">
        <f t="shared" si="5"/>
        <v>-55.020662255927967</v>
      </c>
      <c r="AG51" s="772">
        <f t="shared" si="32"/>
        <v>12.625444146955545</v>
      </c>
      <c r="AH51" s="1253">
        <f t="shared" si="12"/>
        <v>111.133</v>
      </c>
      <c r="AI51" s="1253">
        <f t="shared" si="13"/>
        <v>117.117</v>
      </c>
      <c r="AJ51" s="156">
        <f t="shared" si="6"/>
        <v>22.261379780386491</v>
      </c>
      <c r="AK51" s="156">
        <f t="shared" si="7"/>
        <v>117.71585589844899</v>
      </c>
      <c r="AL51" s="88"/>
      <c r="AM51" s="716">
        <f t="shared" si="8"/>
        <v>8045.0442921968206</v>
      </c>
      <c r="AN51" s="716" t="str">
        <f>_xlfn.XLOOKUP(D51,RUC!$B$3:$B$578,RUC!$M$3:$M$578)</f>
        <v>Richard Sapacayo</v>
      </c>
      <c r="AO51" s="1167" t="s">
        <v>2279</v>
      </c>
      <c r="AP51" t="s">
        <v>2748</v>
      </c>
      <c r="AQ51" t="s">
        <v>2749</v>
      </c>
    </row>
    <row r="52" spans="1:44" ht="15" customHeight="1">
      <c r="A52" s="747" t="s">
        <v>2714</v>
      </c>
      <c r="B52" s="595">
        <v>45902</v>
      </c>
      <c r="C52" s="1447">
        <v>45897</v>
      </c>
      <c r="D52" s="1420" t="s">
        <v>2004</v>
      </c>
      <c r="E52" s="762">
        <f>_xlfn.XLOOKUP(D52,RUC!$B$3:$B$123,RUC!$D$3:$D$123)</f>
        <v>20612921866</v>
      </c>
      <c r="G52" s="1082">
        <v>50</v>
      </c>
      <c r="H52" s="762" t="s">
        <v>69</v>
      </c>
      <c r="I52" s="703">
        <v>5.14</v>
      </c>
      <c r="J52" s="596">
        <v>2</v>
      </c>
      <c r="K52" s="138">
        <f t="shared" si="23"/>
        <v>5.0369999999999999</v>
      </c>
      <c r="L52" s="994">
        <v>0.39700000000000002</v>
      </c>
      <c r="M52" s="1192">
        <v>0.377</v>
      </c>
      <c r="N52" s="1419">
        <v>0.377</v>
      </c>
      <c r="O52" s="645">
        <f t="shared" si="30"/>
        <v>0.377</v>
      </c>
      <c r="P52" s="727">
        <v>90</v>
      </c>
      <c r="Q52" s="596">
        <v>97.73</v>
      </c>
      <c r="R52" s="706">
        <v>3407.65</v>
      </c>
      <c r="S52" s="765">
        <f>IF((_xlfn.XLOOKUP(D52,RUC!$B$3:$B$73,RUC!$E$3:$E$73)+ROUNDDOWN(O52,1)*100)&lt;95,95,((_xlfn.XLOOKUP(D52,RUC!$B$3:$B$73,RUC!$E$3:$E$73)+ROUNDDOWN(O52,1)*100)))</f>
        <v>110</v>
      </c>
      <c r="U52" s="1146">
        <f>_xlfn.XLOOKUP(D52,RUC!$B$3:$B$123,RUC!$F$3:$F$123)</f>
        <v>100</v>
      </c>
      <c r="V52" s="715">
        <v>1.1023000000000001</v>
      </c>
      <c r="Y52">
        <f>_xlfn.XLOOKUP(D52,RUC!$B$3:$B$123,RUC!$G$3:$G$123)</f>
        <v>0</v>
      </c>
      <c r="Z52" s="143">
        <f>_xlfn.XLOOKUP(D52,RUC!$B$3:$B$123,RUC!$H$3:$H$123)</f>
        <v>30</v>
      </c>
      <c r="AA52" s="144">
        <f t="shared" si="2"/>
        <v>30</v>
      </c>
      <c r="AB52" s="145">
        <f t="shared" si="28"/>
        <v>1082.7734664835002</v>
      </c>
      <c r="AC52" s="145">
        <f>+(S52-T52)*V52-'data 1'!$F$4</f>
        <v>41.253</v>
      </c>
      <c r="AD52" s="145">
        <f t="shared" si="3"/>
        <v>111.88950599761957</v>
      </c>
      <c r="AE52" s="145">
        <f t="shared" si="4"/>
        <v>-36.930999999999997</v>
      </c>
      <c r="AF52" s="145">
        <f t="shared" si="5"/>
        <v>71.265157641870076</v>
      </c>
      <c r="AG52" s="772">
        <f t="shared" si="32"/>
        <v>204.47666363948963</v>
      </c>
      <c r="AH52" s="1253">
        <f t="shared" si="12"/>
        <v>67.004000000000005</v>
      </c>
      <c r="AI52" s="1253">
        <f t="shared" si="13"/>
        <v>68.56</v>
      </c>
      <c r="AJ52" s="156">
        <f t="shared" si="6"/>
        <v>57.886390903970458</v>
      </c>
      <c r="AK52" s="156">
        <f t="shared" si="7"/>
        <v>58.5955830169435</v>
      </c>
      <c r="AL52" s="88"/>
      <c r="AM52" s="716">
        <f t="shared" si="8"/>
        <v>5453.9299506773905</v>
      </c>
      <c r="AN52" s="716" t="str">
        <f>_xlfn.XLOOKUP(D52,RUC!$B$3:$B$578,RUC!$M$3:$M$578)</f>
        <v>Ronald Garibay</v>
      </c>
      <c r="AO52" s="1167" t="s">
        <v>2280</v>
      </c>
      <c r="AP52" t="s">
        <v>2750</v>
      </c>
      <c r="AQ52" t="s">
        <v>2751</v>
      </c>
    </row>
    <row r="53" spans="1:44" ht="15" customHeight="1">
      <c r="A53" s="747" t="s">
        <v>2715</v>
      </c>
      <c r="B53" s="595">
        <v>45902</v>
      </c>
      <c r="C53" s="1447">
        <v>45897</v>
      </c>
      <c r="D53" s="1420" t="s">
        <v>2004</v>
      </c>
      <c r="E53" s="762">
        <f>_xlfn.XLOOKUP(D53,RUC!$B$3:$B$123,RUC!$D$3:$D$123)</f>
        <v>20612921866</v>
      </c>
      <c r="G53" s="1082">
        <v>50</v>
      </c>
      <c r="H53" s="762" t="s">
        <v>69</v>
      </c>
      <c r="I53" s="703">
        <v>5.27</v>
      </c>
      <c r="J53" s="596">
        <v>2.1</v>
      </c>
      <c r="K53" s="138">
        <f t="shared" si="23"/>
        <v>5.1589999999999998</v>
      </c>
      <c r="L53" s="994">
        <v>1.2050000000000001</v>
      </c>
      <c r="M53" s="1192">
        <v>1.361</v>
      </c>
      <c r="N53" s="1419">
        <v>1.361</v>
      </c>
      <c r="O53" s="645">
        <f t="shared" si="30"/>
        <v>1.361</v>
      </c>
      <c r="P53" s="727">
        <v>90</v>
      </c>
      <c r="Q53" s="881">
        <v>95.6</v>
      </c>
      <c r="R53" s="706">
        <v>3407.65</v>
      </c>
      <c r="S53" s="765">
        <f>IF((_xlfn.XLOOKUP(D53,RUC!$B$3:$B$73,RUC!$E$3:$E$73)+ROUNDDOWN(O53,1)*100)&lt;95,95,((_xlfn.XLOOKUP(D53,RUC!$B$3:$B$73,RUC!$E$3:$E$73)+ROUNDDOWN(O53,1)*100)))</f>
        <v>210</v>
      </c>
      <c r="U53" s="1146">
        <f>_xlfn.XLOOKUP(D53,RUC!$B$3:$B$123,RUC!$F$3:$F$123)</f>
        <v>100</v>
      </c>
      <c r="V53" s="715">
        <v>1.1023000000000001</v>
      </c>
      <c r="Y53">
        <f>_xlfn.XLOOKUP(D53,RUC!$B$3:$B$123,RUC!$G$3:$G$123)</f>
        <v>0</v>
      </c>
      <c r="Z53" s="143">
        <f>_xlfn.XLOOKUP(D53,RUC!$B$3:$B$123,RUC!$H$3:$H$123)</f>
        <v>30</v>
      </c>
      <c r="AA53" s="144">
        <f t="shared" si="2"/>
        <v>30</v>
      </c>
      <c r="AB53" s="145">
        <f t="shared" si="28"/>
        <v>4201.4610766155001</v>
      </c>
      <c r="AC53" s="145">
        <f>+(S53-T53)*V53-'data 1'!$F$4</f>
        <v>151.483</v>
      </c>
      <c r="AD53" s="145">
        <f t="shared" si="3"/>
        <v>246.0336047105998</v>
      </c>
      <c r="AE53" s="145">
        <f t="shared" si="4"/>
        <v>-36.930999999999997</v>
      </c>
      <c r="AF53" s="145">
        <f t="shared" si="5"/>
        <v>-543.75322572791958</v>
      </c>
      <c r="AG53" s="772">
        <f t="shared" si="32"/>
        <v>-166.16762101731973</v>
      </c>
      <c r="AH53" s="1253">
        <f t="shared" si="12"/>
        <v>203.76</v>
      </c>
      <c r="AI53" s="1253">
        <f t="shared" si="13"/>
        <v>213.13800000000001</v>
      </c>
      <c r="AJ53" s="156">
        <f t="shared" si="6"/>
        <v>171.87115943389989</v>
      </c>
      <c r="AK53" s="156">
        <f t="shared" si="7"/>
        <v>216.65825043199376</v>
      </c>
      <c r="AL53" s="88"/>
      <c r="AM53" s="716">
        <f t="shared" si="8"/>
        <v>21675.337694259364</v>
      </c>
      <c r="AN53" s="716" t="str">
        <f>_xlfn.XLOOKUP(D53,RUC!$B$3:$B$578,RUC!$M$3:$M$578)</f>
        <v>Ronald Garibay</v>
      </c>
      <c r="AO53" s="1167" t="s">
        <v>2280</v>
      </c>
      <c r="AP53" t="s">
        <v>2750</v>
      </c>
      <c r="AQ53" t="s">
        <v>2751</v>
      </c>
    </row>
    <row r="54" spans="1:44" ht="15" customHeight="1">
      <c r="A54" s="747" t="s">
        <v>2716</v>
      </c>
      <c r="B54" s="595">
        <v>45904</v>
      </c>
      <c r="C54" s="1447">
        <v>45898</v>
      </c>
      <c r="D54" s="1420" t="s">
        <v>2444</v>
      </c>
      <c r="E54" s="762">
        <f>_xlfn.XLOOKUP(D54,RUC!$B$3:$B$123,RUC!$D$3:$D$123)</f>
        <v>20608774000</v>
      </c>
      <c r="G54" s="1082">
        <v>11</v>
      </c>
      <c r="H54" s="762" t="s">
        <v>69</v>
      </c>
      <c r="I54" s="703">
        <v>0.94</v>
      </c>
      <c r="J54" s="596">
        <v>1.2</v>
      </c>
      <c r="K54" s="138">
        <f t="shared" si="23"/>
        <v>0.92900000000000005</v>
      </c>
      <c r="L54" s="994">
        <v>0.34</v>
      </c>
      <c r="M54" s="1192">
        <v>0.32300000000000001</v>
      </c>
      <c r="N54" s="1419">
        <v>0.32300000000000001</v>
      </c>
      <c r="O54" s="645">
        <f t="shared" si="30"/>
        <v>0.32300000000000001</v>
      </c>
      <c r="P54" s="727">
        <v>90</v>
      </c>
      <c r="Q54" s="881">
        <v>92.65</v>
      </c>
      <c r="R54" s="706">
        <v>3429.15</v>
      </c>
      <c r="S54" s="765">
        <f>IF((_xlfn.XLOOKUP(D54,RUC!$B$3:$B$73,RUC!$E$3:$E$73)+ROUNDDOWN(O54,1)*100)&lt;95,95,((_xlfn.XLOOKUP(D54,RUC!$B$3:$B$73,RUC!$E$3:$E$73)+ROUNDDOWN(O54,1)*100)))</f>
        <v>115</v>
      </c>
      <c r="U54" s="1146">
        <f>_xlfn.XLOOKUP(D54,RUC!$B$3:$B$123,RUC!$F$3:$F$123)</f>
        <v>120</v>
      </c>
      <c r="V54" s="715">
        <v>1.1023000000000001</v>
      </c>
      <c r="Y54">
        <f>_xlfn.XLOOKUP(D54,RUC!$B$3:$B$123,RUC!$G$3:$G$123)</f>
        <v>20</v>
      </c>
      <c r="Z54" s="709">
        <v>35</v>
      </c>
      <c r="AA54" s="144">
        <f t="shared" ref="AA54:AA101" si="33">+Y54+Z54</f>
        <v>55</v>
      </c>
      <c r="AB54" s="145">
        <f t="shared" si="28"/>
        <v>872.9884262815001</v>
      </c>
      <c r="AC54" s="145">
        <f>+(S54-T54)*V54-'data 1'!$F$4</f>
        <v>46.764500000000012</v>
      </c>
      <c r="AD54" s="145">
        <f t="shared" ref="AD54:AD101" si="34">+(Q54-P54)*(R54-U54)*L54*V54/100</f>
        <v>32.865561165450082</v>
      </c>
      <c r="AE54" s="145">
        <f t="shared" ref="AE54:AE101" si="35">+(Y54*V54-70)+V54*(Z54-IF(D54="UNTUCA",IF(+((W54-3)*2.5+(X54-3)*3.1)&gt;0,+((W54-3)*1.5+(X54-3)*3.1),0),IF(+((W54-3)*1.5+(X54-3)*3.1)&gt;0,+((W54-3)*1.5+(X54-3)*3.1),0)))</f>
        <v>-9.3734999999999999</v>
      </c>
      <c r="AF54" s="145">
        <f t="shared" ref="AF54:AF101" si="36">(L54-O54)*(R54-U54)*Q54*V54/100</f>
        <v>57.452721546772551</v>
      </c>
      <c r="AG54" s="772">
        <f t="shared" si="32"/>
        <v>144.70928271222263</v>
      </c>
      <c r="AH54" s="1253">
        <f t="shared" si="12"/>
        <v>10.032999999999999</v>
      </c>
      <c r="AI54" s="1253">
        <f t="shared" si="13"/>
        <v>10.829000000000001</v>
      </c>
      <c r="AJ54" s="156">
        <f t="shared" ref="AJ54:AJ101" si="37">+((+$AJ$2-R54+U54)*L54*Q54*V54)/100</f>
        <v>46.477474753549977</v>
      </c>
      <c r="AK54" s="156">
        <f t="shared" ref="AK54:AK101" si="38">31.1035*1.1023*K54*P54*O54/100</f>
        <v>9.2591221823994161</v>
      </c>
      <c r="AL54" s="88"/>
      <c r="AM54" s="716">
        <f t="shared" ref="AM54:AM101" si="39">+IF(AB54*K54&gt;0,AB54*K54,0)</f>
        <v>811.00624801551362</v>
      </c>
      <c r="AN54" s="716" t="str">
        <f>_xlfn.XLOOKUP(D54,RUC!$B$3:$B$578,RUC!$M$3:$M$578)</f>
        <v>Ronald Miranda</v>
      </c>
      <c r="AO54" s="1167" t="s">
        <v>2280</v>
      </c>
      <c r="AP54" t="s">
        <v>2752</v>
      </c>
      <c r="AQ54" t="s">
        <v>2753</v>
      </c>
    </row>
    <row r="55" spans="1:44" ht="15" customHeight="1">
      <c r="A55" s="747" t="s">
        <v>2718</v>
      </c>
      <c r="B55" s="595">
        <v>45903</v>
      </c>
      <c r="C55" s="1447">
        <v>45898</v>
      </c>
      <c r="D55" t="s">
        <v>93</v>
      </c>
      <c r="E55" s="762">
        <f>_xlfn.XLOOKUP(D55,RUC!$B$3:$B$123,RUC!$D$3:$D$123)</f>
        <v>20169040231</v>
      </c>
      <c r="G55" s="1082">
        <v>56</v>
      </c>
      <c r="H55" s="762" t="s">
        <v>69</v>
      </c>
      <c r="I55" s="703">
        <v>5.33</v>
      </c>
      <c r="J55" s="596">
        <v>3.35</v>
      </c>
      <c r="K55" s="138">
        <f t="shared" si="23"/>
        <v>5.1509999999999998</v>
      </c>
      <c r="L55" s="994">
        <v>0.25</v>
      </c>
      <c r="M55" s="1192">
        <v>0.23499999999999999</v>
      </c>
      <c r="N55" s="1419">
        <v>0.23499999999999999</v>
      </c>
      <c r="O55" s="645">
        <f t="shared" si="30"/>
        <v>0.23499999999999999</v>
      </c>
      <c r="P55" s="727">
        <v>90</v>
      </c>
      <c r="Q55" s="881">
        <v>94</v>
      </c>
      <c r="R55" s="706">
        <v>3429.15</v>
      </c>
      <c r="S55" s="765">
        <f>IF((_xlfn.XLOOKUP(D55,RUC!$B$3:$B$73,RUC!$E$3:$E$73)+ROUNDDOWN(O55,1)*100)&lt;95,95,((_xlfn.XLOOKUP(D55,RUC!$B$3:$B$73,RUC!$E$3:$E$73)+ROUNDDOWN(O55,1)*100)))</f>
        <v>105</v>
      </c>
      <c r="U55" s="1146">
        <f>_xlfn.XLOOKUP(D55,RUC!$B$3:$B$123,RUC!$F$3:$F$123)</f>
        <v>120</v>
      </c>
      <c r="V55" s="715">
        <v>1.1023000000000001</v>
      </c>
      <c r="Y55">
        <f>_xlfn.XLOOKUP(D55,RUC!$B$3:$B$123,RUC!$G$3:$G$123)</f>
        <v>20</v>
      </c>
      <c r="Z55" s="143">
        <f>_xlfn.XLOOKUP(D55,RUC!$B$3:$B$123,RUC!$H$3:$H$123)</f>
        <v>30</v>
      </c>
      <c r="AA55" s="144">
        <f t="shared" si="33"/>
        <v>50</v>
      </c>
      <c r="AB55" s="145">
        <f t="shared" si="28"/>
        <v>600.62698351749987</v>
      </c>
      <c r="AC55" s="145">
        <f>+(S55-T55)*V55-'data 1'!$F$4</f>
        <v>35.741500000000002</v>
      </c>
      <c r="AD55" s="145">
        <f t="shared" si="34"/>
        <v>36.47676045</v>
      </c>
      <c r="AE55" s="145">
        <f t="shared" si="35"/>
        <v>-14.884999999999998</v>
      </c>
      <c r="AF55" s="145">
        <f t="shared" si="36"/>
        <v>51.432232234500049</v>
      </c>
      <c r="AG55" s="772">
        <f t="shared" si="32"/>
        <v>125.76549268450006</v>
      </c>
      <c r="AH55" s="1253">
        <f t="shared" si="12"/>
        <v>41.502000000000002</v>
      </c>
      <c r="AI55" s="1253">
        <f t="shared" si="13"/>
        <v>44.151000000000003</v>
      </c>
      <c r="AJ55" s="156">
        <f t="shared" si="37"/>
        <v>34.672570924999974</v>
      </c>
      <c r="AK55" s="156">
        <f t="shared" si="38"/>
        <v>37.351753158333821</v>
      </c>
      <c r="AL55" s="88"/>
      <c r="AM55" s="716">
        <f t="shared" si="39"/>
        <v>3093.8295920986416</v>
      </c>
      <c r="AN55" s="716" t="str">
        <f>_xlfn.XLOOKUP(D55,RUC!$B$3:$B$578,RUC!$M$3:$M$578)</f>
        <v>Ronald Miranda</v>
      </c>
      <c r="AO55" s="1167" t="s">
        <v>2278</v>
      </c>
      <c r="AP55" t="s">
        <v>2754</v>
      </c>
      <c r="AQ55" t="s">
        <v>2755</v>
      </c>
    </row>
    <row r="56" spans="1:44" ht="15" customHeight="1">
      <c r="A56" s="747" t="s">
        <v>2719</v>
      </c>
      <c r="B56" s="595">
        <v>45912</v>
      </c>
      <c r="C56" s="1447">
        <v>45898</v>
      </c>
      <c r="D56" t="s">
        <v>93</v>
      </c>
      <c r="E56" s="762">
        <f>_xlfn.XLOOKUP(D56,RUC!$B$3:$B$123,RUC!$D$3:$D$123)</f>
        <v>20169040231</v>
      </c>
      <c r="G56" s="1082">
        <v>14</v>
      </c>
      <c r="H56" s="762" t="s">
        <v>69</v>
      </c>
      <c r="I56" s="703">
        <v>1.08</v>
      </c>
      <c r="J56" s="596">
        <v>1.1000000000000001</v>
      </c>
      <c r="K56" s="138">
        <f t="shared" si="23"/>
        <v>1.0680000000000001</v>
      </c>
      <c r="L56" s="994">
        <v>0.28299999999999997</v>
      </c>
      <c r="M56" s="994">
        <v>0.26800000000000002</v>
      </c>
      <c r="N56" s="1196">
        <v>0.26800000000000002</v>
      </c>
      <c r="O56" s="645">
        <f t="shared" si="30"/>
        <v>0.26800000000000002</v>
      </c>
      <c r="P56" s="727">
        <v>82</v>
      </c>
      <c r="Q56" s="881">
        <v>82.69</v>
      </c>
      <c r="R56" s="1211">
        <v>3429.15</v>
      </c>
      <c r="S56" s="765">
        <f>IF((_xlfn.XLOOKUP(D56,RUC!$B$3:$B$73,RUC!$E$3:$E$73)+ROUNDDOWN(O56,1)*100)&lt;95,95,((_xlfn.XLOOKUP(D56,RUC!$B$3:$B$73,RUC!$E$3:$E$73)+ROUNDDOWN(O56,1)*100)))</f>
        <v>105</v>
      </c>
      <c r="U56" s="1146">
        <f>_xlfn.XLOOKUP(D56,RUC!$B$3:$B$123,RUC!$F$3:$F$123)</f>
        <v>120</v>
      </c>
      <c r="V56" s="715">
        <v>1.1023000000000001</v>
      </c>
      <c r="Y56">
        <f>_xlfn.XLOOKUP(D56,RUC!$B$3:$B$123,RUC!$G$3:$G$123)</f>
        <v>20</v>
      </c>
      <c r="Z56" s="709">
        <v>35</v>
      </c>
      <c r="AA56" s="144">
        <f t="shared" si="33"/>
        <v>55</v>
      </c>
      <c r="AB56" s="145">
        <f t="shared" si="28"/>
        <v>625.24528764920012</v>
      </c>
      <c r="AC56" s="145">
        <f>+(S56-T56)*V56-'data 1'!$F$4</f>
        <v>35.741500000000002</v>
      </c>
      <c r="AD56" s="145">
        <f t="shared" si="34"/>
        <v>7.1228170130714759</v>
      </c>
      <c r="AE56" s="145">
        <f t="shared" si="35"/>
        <v>-9.3734999999999999</v>
      </c>
      <c r="AF56" s="145">
        <f t="shared" si="36"/>
        <v>45.243949824157369</v>
      </c>
      <c r="AG56" s="772">
        <f t="shared" si="32"/>
        <v>95.734766837228847</v>
      </c>
      <c r="AH56" s="1253">
        <f t="shared" ref="AH56:AH103" si="40">ROUND((31.1035*L56*Q56*1.1023*K56/100),3)</f>
        <v>8.5690000000000008</v>
      </c>
      <c r="AI56" s="1253">
        <f t="shared" si="13"/>
        <v>10.363</v>
      </c>
      <c r="AJ56" s="156">
        <f t="shared" si="37"/>
        <v>34.526901864258477</v>
      </c>
      <c r="AK56" s="156">
        <f t="shared" si="38"/>
        <v>8.0469067455630245</v>
      </c>
      <c r="AL56" s="88"/>
      <c r="AM56" s="716">
        <f t="shared" si="39"/>
        <v>667.76196720934581</v>
      </c>
      <c r="AN56" s="716" t="str">
        <f>_xlfn.XLOOKUP(D56,RUC!$B$3:$B$578,RUC!$M$3:$M$578)</f>
        <v>Ronald Miranda</v>
      </c>
      <c r="AO56" s="1167" t="s">
        <v>2281</v>
      </c>
      <c r="AP56" t="s">
        <v>2754</v>
      </c>
      <c r="AQ56" t="s">
        <v>2755</v>
      </c>
    </row>
    <row r="57" spans="1:44" ht="15" customHeight="1">
      <c r="A57" s="747" t="s">
        <v>2720</v>
      </c>
      <c r="B57" s="595">
        <v>45903</v>
      </c>
      <c r="C57" s="1447">
        <v>45898</v>
      </c>
      <c r="D57" t="s">
        <v>93</v>
      </c>
      <c r="E57" s="762">
        <f>_xlfn.XLOOKUP(D57,RUC!$B$3:$B$123,RUC!$D$3:$D$123)</f>
        <v>20169040231</v>
      </c>
      <c r="G57" s="1082">
        <v>25</v>
      </c>
      <c r="H57" s="762" t="s">
        <v>69</v>
      </c>
      <c r="I57" s="703">
        <v>2.23</v>
      </c>
      <c r="J57" s="596">
        <v>1.2</v>
      </c>
      <c r="K57" s="1442">
        <f t="shared" si="23"/>
        <v>2.2029999999999998</v>
      </c>
      <c r="L57" s="994">
        <v>0.214</v>
      </c>
      <c r="M57" s="994">
        <v>0.19900000000000001</v>
      </c>
      <c r="N57" s="1196">
        <v>0.19900000000000001</v>
      </c>
      <c r="O57" s="645">
        <f t="shared" si="30"/>
        <v>0.19900000000000001</v>
      </c>
      <c r="P57" s="727">
        <v>83</v>
      </c>
      <c r="Q57" s="881">
        <v>83.09</v>
      </c>
      <c r="R57" s="1211">
        <v>3429.15</v>
      </c>
      <c r="S57" s="765">
        <f>IF((_xlfn.XLOOKUP(D57,RUC!$B$3:$B$73,RUC!$E$3:$E$73)+ROUNDDOWN(O57,1)*100)&lt;95,95,((_xlfn.XLOOKUP(D57,RUC!$B$3:$B$73,RUC!$E$3:$E$73)+ROUNDDOWN(O57,1)*100)))</f>
        <v>95</v>
      </c>
      <c r="U57" s="1146">
        <f>_xlfn.XLOOKUP(D57,RUC!$B$3:$B$123,RUC!$F$3:$F$123)</f>
        <v>120</v>
      </c>
      <c r="V57" s="715">
        <v>1.1023000000000001</v>
      </c>
      <c r="Y57">
        <f>_xlfn.XLOOKUP(D57,RUC!$B$3:$B$123,RUC!$G$3:$G$123)</f>
        <v>20</v>
      </c>
      <c r="Z57" s="143">
        <f>_xlfn.XLOOKUP(D57,RUC!$B$3:$B$123,RUC!$H$3:$H$123)</f>
        <v>30</v>
      </c>
      <c r="AA57" s="144">
        <f t="shared" si="33"/>
        <v>50</v>
      </c>
      <c r="AB57" s="145">
        <f t="shared" si="28"/>
        <v>442.65315235265001</v>
      </c>
      <c r="AC57" s="145">
        <f>+(S57-T57)*V57-'data 1'!$F$4</f>
        <v>24.718500000000006</v>
      </c>
      <c r="AD57" s="145">
        <f t="shared" si="34"/>
        <v>0.70254240626702669</v>
      </c>
      <c r="AE57" s="145">
        <f t="shared" si="35"/>
        <v>-14.884999999999998</v>
      </c>
      <c r="AF57" s="145">
        <f t="shared" si="36"/>
        <v>45.462810386857456</v>
      </c>
      <c r="AG57" s="772">
        <f t="shared" si="32"/>
        <v>72.998852793124485</v>
      </c>
      <c r="AH57" s="1253">
        <f t="shared" si="40"/>
        <v>13.43</v>
      </c>
      <c r="AI57" s="1253">
        <f t="shared" ref="AI57:AI104" si="41">ROUND((31.1035*L57*1.1023*K57),3)</f>
        <v>16.164000000000001</v>
      </c>
      <c r="AJ57" s="156">
        <f t="shared" si="37"/>
        <v>26.234978658972988</v>
      </c>
      <c r="AK57" s="156">
        <f t="shared" si="38"/>
        <v>12.475407349913356</v>
      </c>
      <c r="AL57" s="88"/>
      <c r="AM57" s="716">
        <f t="shared" si="39"/>
        <v>975.16489463288792</v>
      </c>
      <c r="AN57" s="716" t="str">
        <f>_xlfn.XLOOKUP(D57,RUC!$B$3:$B$578,RUC!$M$3:$M$578)</f>
        <v>Ronald Miranda</v>
      </c>
      <c r="AO57" s="1167" t="s">
        <v>2281</v>
      </c>
      <c r="AP57" t="s">
        <v>2754</v>
      </c>
      <c r="AQ57" t="s">
        <v>2755</v>
      </c>
    </row>
    <row r="58" spans="1:44" ht="15" customHeight="1">
      <c r="A58" s="747" t="s">
        <v>2722</v>
      </c>
      <c r="B58" s="595">
        <v>45910</v>
      </c>
      <c r="C58" s="1447">
        <v>45898</v>
      </c>
      <c r="D58" t="s">
        <v>93</v>
      </c>
      <c r="E58" s="762">
        <f>_xlfn.XLOOKUP(D58,RUC!$B$3:$B$123,RUC!$D$3:$D$123)</f>
        <v>20169040231</v>
      </c>
      <c r="G58" s="1082">
        <v>35</v>
      </c>
      <c r="H58" s="762" t="s">
        <v>69</v>
      </c>
      <c r="I58" s="703">
        <v>3.16</v>
      </c>
      <c r="J58" s="596">
        <v>1.1000000000000001</v>
      </c>
      <c r="K58" s="138">
        <f t="shared" si="23"/>
        <v>3.125</v>
      </c>
      <c r="L58" s="994">
        <v>0.436</v>
      </c>
      <c r="M58" s="994">
        <v>0.41399999999999998</v>
      </c>
      <c r="N58" s="1196">
        <v>0.41399999999999998</v>
      </c>
      <c r="O58" s="645">
        <f t="shared" si="30"/>
        <v>0.41399999999999998</v>
      </c>
      <c r="P58" s="727">
        <v>90</v>
      </c>
      <c r="Q58" s="881">
        <v>92.89</v>
      </c>
      <c r="R58" s="1211">
        <v>3429.15</v>
      </c>
      <c r="S58" s="765">
        <f>IF((_xlfn.XLOOKUP(D58,RUC!$B$3:$B$73,RUC!$E$3:$E$73)+ROUNDDOWN(O58,1)*100)&lt;95,95,((_xlfn.XLOOKUP(D58,RUC!$B$3:$B$73,RUC!$E$3:$E$73)+ROUNDDOWN(O58,1)*100)))</f>
        <v>125</v>
      </c>
      <c r="U58" s="1146">
        <f>_xlfn.XLOOKUP(D58,RUC!$B$3:$B$123,RUC!$F$3:$F$123)</f>
        <v>120</v>
      </c>
      <c r="V58" s="715">
        <v>1.1023000000000001</v>
      </c>
      <c r="Y58">
        <f>_xlfn.XLOOKUP(D58,RUC!$B$3:$B$123,RUC!$G$3:$G$123)</f>
        <v>20</v>
      </c>
      <c r="Z58" s="709">
        <v>35</v>
      </c>
      <c r="AA58" s="144">
        <f t="shared" si="33"/>
        <v>55</v>
      </c>
      <c r="AB58" s="145">
        <f t="shared" si="28"/>
        <v>1160.710094367</v>
      </c>
      <c r="AC58" s="145">
        <f>+(S58-T58)*V58-'data 1'!$F$4</f>
        <v>57.787499999999994</v>
      </c>
      <c r="AD58" s="145">
        <f t="shared" si="34"/>
        <v>45.962177237418018</v>
      </c>
      <c r="AE58" s="145">
        <f t="shared" si="35"/>
        <v>-9.3734999999999999</v>
      </c>
      <c r="AF58" s="145">
        <f t="shared" si="36"/>
        <v>74.543178120411071</v>
      </c>
      <c r="AG58" s="772">
        <f t="shared" si="32"/>
        <v>185.91935535782909</v>
      </c>
      <c r="AH58" s="1253">
        <f t="shared" si="40"/>
        <v>43.392000000000003</v>
      </c>
      <c r="AI58" s="1253">
        <f t="shared" si="41"/>
        <v>46.713999999999999</v>
      </c>
      <c r="AJ58" s="156">
        <f t="shared" si="37"/>
        <v>59.754915292141966</v>
      </c>
      <c r="AK58" s="156">
        <f t="shared" si="38"/>
        <v>39.92104871071875</v>
      </c>
      <c r="AL58" s="88"/>
      <c r="AM58" s="716">
        <f t="shared" si="39"/>
        <v>3627.2190448968749</v>
      </c>
      <c r="AN58" s="716" t="str">
        <f>_xlfn.XLOOKUP(D58,RUC!$B$3:$B$578,RUC!$M$3:$M$578)</f>
        <v>Ronald Miranda</v>
      </c>
      <c r="AO58" s="1167" t="s">
        <v>2280</v>
      </c>
      <c r="AP58" t="s">
        <v>2754</v>
      </c>
      <c r="AQ58" t="s">
        <v>2755</v>
      </c>
      <c r="AR58" t="s">
        <v>2798</v>
      </c>
    </row>
    <row r="59" spans="1:44" ht="15" customHeight="1">
      <c r="A59" s="747" t="s">
        <v>2724</v>
      </c>
      <c r="B59" s="595">
        <v>45904</v>
      </c>
      <c r="C59" s="1447">
        <v>45898</v>
      </c>
      <c r="D59" t="s">
        <v>93</v>
      </c>
      <c r="E59" s="762">
        <f>_xlfn.XLOOKUP(D59,RUC!$B$3:$B$123,RUC!$D$3:$D$123)</f>
        <v>20169040231</v>
      </c>
      <c r="G59" s="1082">
        <v>50</v>
      </c>
      <c r="H59" s="762" t="s">
        <v>69</v>
      </c>
      <c r="I59" s="703">
        <v>4.8499999999999996</v>
      </c>
      <c r="J59" s="596">
        <v>3.4</v>
      </c>
      <c r="K59" s="138">
        <f t="shared" si="23"/>
        <v>4.6849999999999996</v>
      </c>
      <c r="L59" s="994">
        <v>0.127</v>
      </c>
      <c r="M59" s="994">
        <v>0.112</v>
      </c>
      <c r="N59" s="1196">
        <v>0.112</v>
      </c>
      <c r="O59" s="645">
        <f t="shared" si="30"/>
        <v>0.112</v>
      </c>
      <c r="P59" s="727">
        <v>80</v>
      </c>
      <c r="Q59" s="881">
        <v>89.76</v>
      </c>
      <c r="R59" s="1211">
        <v>3429.15</v>
      </c>
      <c r="S59" s="765">
        <f>IF((_xlfn.XLOOKUP(D59,RUC!$B$3:$B$73,RUC!$E$3:$E$73)+ROUNDDOWN(O59,1)*100)&lt;95,95,((_xlfn.XLOOKUP(D59,RUC!$B$3:$B$73,RUC!$E$3:$E$73)+ROUNDDOWN(O59,1)*100)))</f>
        <v>95</v>
      </c>
      <c r="U59" s="1146">
        <f>_xlfn.XLOOKUP(D59,RUC!$B$3:$B$123,RUC!$F$3:$F$123)</f>
        <v>120</v>
      </c>
      <c r="V59" s="715">
        <v>1.1023000000000001</v>
      </c>
      <c r="Y59">
        <f>_xlfn.XLOOKUP(D59,RUC!$B$3:$B$123,RUC!$G$3:$G$123)</f>
        <v>20</v>
      </c>
      <c r="Z59" s="143">
        <f>_xlfn.XLOOKUP(D59,RUC!$B$3:$B$123,RUC!$H$3:$H$123)</f>
        <v>30</v>
      </c>
      <c r="AA59" s="144">
        <f t="shared" si="33"/>
        <v>50</v>
      </c>
      <c r="AB59" s="145">
        <f t="shared" si="28"/>
        <v>166.99827363200006</v>
      </c>
      <c r="AC59" s="145">
        <f>+(S59-T59)*V59-'data 1'!$F$4</f>
        <v>24.718500000000006</v>
      </c>
      <c r="AD59" s="145">
        <f t="shared" si="34"/>
        <v>45.213674112984037</v>
      </c>
      <c r="AE59" s="145">
        <f t="shared" si="35"/>
        <v>-14.884999999999998</v>
      </c>
      <c r="AF59" s="145">
        <f t="shared" si="36"/>
        <v>49.112310269880005</v>
      </c>
      <c r="AG59" s="772">
        <f t="shared" si="32"/>
        <v>121.15948438286404</v>
      </c>
      <c r="AH59" s="1253">
        <f t="shared" si="40"/>
        <v>18.311</v>
      </c>
      <c r="AI59" s="1253">
        <f t="shared" si="41"/>
        <v>20.399999999999999</v>
      </c>
      <c r="AJ59" s="156">
        <f t="shared" si="37"/>
        <v>16.819177264295991</v>
      </c>
      <c r="AK59" s="156">
        <f t="shared" si="38"/>
        <v>14.392183054076803</v>
      </c>
      <c r="AL59" s="88"/>
      <c r="AM59" s="716">
        <f t="shared" si="39"/>
        <v>782.38691196592026</v>
      </c>
      <c r="AN59" s="716" t="str">
        <f>_xlfn.XLOOKUP(D59,RUC!$B$3:$B$578,RUC!$M$3:$M$578)</f>
        <v>Ronald Miranda</v>
      </c>
      <c r="AO59" s="1167" t="s">
        <v>2280</v>
      </c>
      <c r="AP59" t="s">
        <v>2754</v>
      </c>
      <c r="AQ59" t="s">
        <v>2755</v>
      </c>
    </row>
    <row r="60" spans="1:44" ht="15" customHeight="1">
      <c r="A60" s="747" t="s">
        <v>2725</v>
      </c>
      <c r="B60" s="595">
        <v>45904</v>
      </c>
      <c r="C60" s="1447">
        <v>45898</v>
      </c>
      <c r="D60" t="s">
        <v>93</v>
      </c>
      <c r="E60" s="762">
        <f>_xlfn.XLOOKUP(D60,RUC!$B$3:$B$123,RUC!$D$3:$D$123)</f>
        <v>20169040231</v>
      </c>
      <c r="G60" s="1082">
        <v>51</v>
      </c>
      <c r="H60" s="762" t="s">
        <v>69</v>
      </c>
      <c r="I60" s="703">
        <v>4.51</v>
      </c>
      <c r="J60" s="596">
        <v>1.4</v>
      </c>
      <c r="K60" s="138">
        <f t="shared" si="23"/>
        <v>4.4470000000000001</v>
      </c>
      <c r="L60" s="994">
        <v>0.13700000000000001</v>
      </c>
      <c r="M60" s="994">
        <v>0.122</v>
      </c>
      <c r="N60" s="1196">
        <v>0.122</v>
      </c>
      <c r="O60" s="645">
        <f t="shared" si="30"/>
        <v>0.122</v>
      </c>
      <c r="P60" s="727">
        <v>85</v>
      </c>
      <c r="Q60" s="881">
        <v>91.97</v>
      </c>
      <c r="R60" s="1211">
        <v>3429.15</v>
      </c>
      <c r="S60" s="765">
        <f>IF((_xlfn.XLOOKUP(D60,RUC!$B$3:$B$73,RUC!$E$3:$E$73)+ROUNDDOWN(O60,1)*100)&lt;95,95,((_xlfn.XLOOKUP(D60,RUC!$B$3:$B$73,RUC!$E$3:$E$73)+ROUNDDOWN(O60,1)*100)))</f>
        <v>95</v>
      </c>
      <c r="U60" s="1146">
        <f>_xlfn.XLOOKUP(D60,RUC!$B$3:$B$123,RUC!$F$3:$F$123)</f>
        <v>120</v>
      </c>
      <c r="V60" s="715">
        <v>1.1023000000000001</v>
      </c>
      <c r="Y60">
        <f>_xlfn.XLOOKUP(D60,RUC!$B$3:$B$123,RUC!$G$3:$G$123)</f>
        <v>20</v>
      </c>
      <c r="Z60" s="143">
        <f>_xlfn.XLOOKUP(D60,RUC!$B$3:$B$123,RUC!$H$3:$H$123)</f>
        <v>30</v>
      </c>
      <c r="AA60" s="144">
        <f t="shared" si="33"/>
        <v>50</v>
      </c>
      <c r="AB60" s="145">
        <f t="shared" si="28"/>
        <v>218.43050586649997</v>
      </c>
      <c r="AC60" s="145">
        <f>+(S60-T60)*V60-'data 1'!$F$4</f>
        <v>24.718500000000006</v>
      </c>
      <c r="AD60" s="145">
        <f t="shared" si="34"/>
        <v>34.831293786100503</v>
      </c>
      <c r="AE60" s="145">
        <f t="shared" si="35"/>
        <v>-14.884999999999998</v>
      </c>
      <c r="AF60" s="145">
        <f t="shared" si="36"/>
        <v>50.321514878797544</v>
      </c>
      <c r="AG60" s="772">
        <f t="shared" si="32"/>
        <v>111.98630866489805</v>
      </c>
      <c r="AH60" s="1253">
        <f t="shared" si="40"/>
        <v>19.210999999999999</v>
      </c>
      <c r="AI60" s="1253">
        <f t="shared" si="41"/>
        <v>20.888000000000002</v>
      </c>
      <c r="AJ60" s="156">
        <f t="shared" si="37"/>
        <v>18.590237432859492</v>
      </c>
      <c r="AK60" s="156">
        <f t="shared" si="38"/>
        <v>15.810840412270895</v>
      </c>
      <c r="AL60" s="88"/>
      <c r="AM60" s="716">
        <f t="shared" si="39"/>
        <v>971.3604595883254</v>
      </c>
      <c r="AN60" s="716" t="str">
        <f>_xlfn.XLOOKUP(D60,RUC!$B$3:$B$578,RUC!$M$3:$M$578)</f>
        <v>Ronald Miranda</v>
      </c>
      <c r="AO60" s="1167" t="s">
        <v>2279</v>
      </c>
      <c r="AP60" t="s">
        <v>2754</v>
      </c>
      <c r="AQ60" t="s">
        <v>2755</v>
      </c>
    </row>
    <row r="61" spans="1:44" ht="15" customHeight="1">
      <c r="A61" s="747" t="s">
        <v>2726</v>
      </c>
      <c r="B61" s="595">
        <v>45904</v>
      </c>
      <c r="C61" s="1447">
        <v>45898</v>
      </c>
      <c r="D61" t="s">
        <v>93</v>
      </c>
      <c r="E61" s="762">
        <f>_xlfn.XLOOKUP(D61,RUC!$B$3:$B$123,RUC!$D$3:$D$123)</f>
        <v>20169040231</v>
      </c>
      <c r="G61" s="1082">
        <v>50</v>
      </c>
      <c r="H61" s="762" t="s">
        <v>69</v>
      </c>
      <c r="I61" s="703">
        <v>4.6100000000000003</v>
      </c>
      <c r="J61" s="596">
        <v>1.3</v>
      </c>
      <c r="K61" s="138">
        <f t="shared" si="23"/>
        <v>4.55</v>
      </c>
      <c r="L61" s="994">
        <v>0.17499999999999999</v>
      </c>
      <c r="M61" s="994">
        <v>0.16</v>
      </c>
      <c r="N61" s="1196">
        <v>0.16</v>
      </c>
      <c r="O61" s="645">
        <f t="shared" si="30"/>
        <v>0.16</v>
      </c>
      <c r="P61" s="727">
        <v>90</v>
      </c>
      <c r="Q61" s="881">
        <v>91.43</v>
      </c>
      <c r="R61" s="1211">
        <v>3429.15</v>
      </c>
      <c r="S61" s="765">
        <f>IF((_xlfn.XLOOKUP(D61,RUC!$B$3:$B$73,RUC!$E$3:$E$73)+ROUNDDOWN(O61,1)*100)&lt;95,95,((_xlfn.XLOOKUP(D61,RUC!$B$3:$B$73,RUC!$E$3:$E$73)+ROUNDDOWN(O61,1)*100)))</f>
        <v>95</v>
      </c>
      <c r="U61" s="1146">
        <f>_xlfn.XLOOKUP(D61,RUC!$B$3:$B$123,RUC!$F$3:$F$123)</f>
        <v>120</v>
      </c>
      <c r="V61" s="715">
        <v>1.1023000000000001</v>
      </c>
      <c r="Y61">
        <f>_xlfn.XLOOKUP(D61,RUC!$B$3:$B$123,RUC!$G$3:$G$123)</f>
        <v>20</v>
      </c>
      <c r="Z61" s="143">
        <f>_xlfn.XLOOKUP(D61,RUC!$B$3:$B$123,RUC!$H$3:$H$123)</f>
        <v>30</v>
      </c>
      <c r="AA61" s="144">
        <f t="shared" si="33"/>
        <v>50</v>
      </c>
      <c r="AB61" s="145">
        <f t="shared" si="28"/>
        <v>365.43185048000004</v>
      </c>
      <c r="AC61" s="145">
        <f>+(S61-T61)*V61-'data 1'!$F$4</f>
        <v>24.718500000000006</v>
      </c>
      <c r="AD61" s="145">
        <f t="shared" si="34"/>
        <v>9.1283093026125428</v>
      </c>
      <c r="AE61" s="145">
        <f t="shared" si="35"/>
        <v>-14.884999999999998</v>
      </c>
      <c r="AF61" s="145">
        <f t="shared" si="36"/>
        <v>50.026053119152458</v>
      </c>
      <c r="AG61" s="772">
        <f t="shared" si="32"/>
        <v>85.987862421765016</v>
      </c>
      <c r="AH61" s="1253">
        <f t="shared" si="40"/>
        <v>24.96</v>
      </c>
      <c r="AI61" s="1253">
        <f t="shared" si="41"/>
        <v>27.3</v>
      </c>
      <c r="AJ61" s="156">
        <f t="shared" si="37"/>
        <v>23.607225657137487</v>
      </c>
      <c r="AK61" s="156">
        <f t="shared" si="38"/>
        <v>22.463786250360002</v>
      </c>
      <c r="AL61" s="88"/>
      <c r="AM61" s="716">
        <f t="shared" si="39"/>
        <v>1662.7149196840001</v>
      </c>
      <c r="AN61" s="716" t="str">
        <f>_xlfn.XLOOKUP(D61,RUC!$B$3:$B$578,RUC!$M$3:$M$578)</f>
        <v>Ronald Miranda</v>
      </c>
      <c r="AO61" s="1167" t="s">
        <v>2278</v>
      </c>
      <c r="AP61" t="s">
        <v>2754</v>
      </c>
      <c r="AQ61" t="s">
        <v>2755</v>
      </c>
    </row>
    <row r="62" spans="1:44" ht="15" customHeight="1">
      <c r="A62" s="747" t="s">
        <v>2727</v>
      </c>
      <c r="B62" s="595">
        <v>45906</v>
      </c>
      <c r="C62" s="1447">
        <v>45898</v>
      </c>
      <c r="D62" t="s">
        <v>1484</v>
      </c>
      <c r="E62" s="762">
        <f>_xlfn.XLOOKUP(D62,RUC!$B$3:$B$123,RUC!$D$3:$D$123)</f>
        <v>10761932735</v>
      </c>
      <c r="G62" s="1082">
        <v>24</v>
      </c>
      <c r="H62" s="762" t="s">
        <v>69</v>
      </c>
      <c r="I62" s="703">
        <v>1.91</v>
      </c>
      <c r="J62" s="596">
        <v>2.95</v>
      </c>
      <c r="K62" s="138">
        <f t="shared" si="23"/>
        <v>1.8540000000000001</v>
      </c>
      <c r="L62" s="994">
        <v>0.13900000000000001</v>
      </c>
      <c r="M62" s="994">
        <v>0.124</v>
      </c>
      <c r="N62" s="1196">
        <v>0.124</v>
      </c>
      <c r="O62" s="645">
        <f t="shared" si="30"/>
        <v>0.124</v>
      </c>
      <c r="P62" s="727">
        <v>85</v>
      </c>
      <c r="Q62" s="881">
        <v>98.56</v>
      </c>
      <c r="R62" s="1211">
        <v>3429.15</v>
      </c>
      <c r="S62" s="765">
        <f>IF((_xlfn.XLOOKUP(D62,RUC!$B$3:$B$73,RUC!$E$3:$E$73)+ROUNDDOWN(O62,1)*100)&lt;95,95,((_xlfn.XLOOKUP(D62,RUC!$B$3:$B$73,RUC!$E$3:$E$73)+ROUNDDOWN(O62,1)*100)))</f>
        <v>100</v>
      </c>
      <c r="U62" s="1146">
        <f>_xlfn.XLOOKUP(D62,RUC!$B$3:$B$123,RUC!$F$3:$F$123)</f>
        <v>120</v>
      </c>
      <c r="V62" s="715">
        <v>1.1023000000000001</v>
      </c>
      <c r="Y62">
        <f>_xlfn.XLOOKUP(D62,RUC!$B$3:$B$123,RUC!$G$3:$G$123)</f>
        <v>20</v>
      </c>
      <c r="Z62" s="143">
        <f>_xlfn.XLOOKUP(D62,RUC!$B$3:$B$123,RUC!$H$3:$H$123)</f>
        <v>30</v>
      </c>
      <c r="AA62" s="144">
        <f t="shared" si="33"/>
        <v>50</v>
      </c>
      <c r="AB62" s="145">
        <f t="shared" si="28"/>
        <v>219.120055143</v>
      </c>
      <c r="AC62" s="145">
        <f>+(S62-T62)*V62-'data 1'!$F$4</f>
        <v>30.230000000000004</v>
      </c>
      <c r="AD62" s="145">
        <f t="shared" si="34"/>
        <v>68.752857166578025</v>
      </c>
      <c r="AE62" s="145">
        <f t="shared" si="35"/>
        <v>-14.884999999999998</v>
      </c>
      <c r="AF62" s="145">
        <f t="shared" si="36"/>
        <v>53.927242649280061</v>
      </c>
      <c r="AG62" s="772">
        <f t="shared" si="32"/>
        <v>155.02509981585808</v>
      </c>
      <c r="AH62" s="1253">
        <f t="shared" si="40"/>
        <v>8.7080000000000002</v>
      </c>
      <c r="AI62" s="1253">
        <f t="shared" si="41"/>
        <v>8.8360000000000003</v>
      </c>
      <c r="AJ62" s="156">
        <f t="shared" si="37"/>
        <v>20.213135066431988</v>
      </c>
      <c r="AK62" s="156">
        <f t="shared" si="38"/>
        <v>6.6997625354713808</v>
      </c>
      <c r="AL62" s="88"/>
      <c r="AM62" s="716">
        <f t="shared" si="39"/>
        <v>406.248582235122</v>
      </c>
      <c r="AN62" s="716" t="str">
        <f>_xlfn.XLOOKUP(D62,RUC!$B$3:$B$578,RUC!$M$3:$M$578)</f>
        <v>Richard Sapacayo</v>
      </c>
      <c r="AO62" s="1167" t="s">
        <v>2278</v>
      </c>
      <c r="AP62" t="s">
        <v>2756</v>
      </c>
      <c r="AQ62" t="s">
        <v>2757</v>
      </c>
    </row>
    <row r="63" spans="1:44" ht="15" customHeight="1">
      <c r="A63" s="747" t="s">
        <v>2728</v>
      </c>
      <c r="B63" s="595">
        <v>45906</v>
      </c>
      <c r="C63" s="1447">
        <v>45898</v>
      </c>
      <c r="D63" t="s">
        <v>1484</v>
      </c>
      <c r="E63" s="762">
        <f>_xlfn.XLOOKUP(D63,RUC!$B$3:$B$123,RUC!$D$3:$D$123)</f>
        <v>10761932735</v>
      </c>
      <c r="G63" s="1082">
        <v>38</v>
      </c>
      <c r="H63" s="762" t="s">
        <v>69</v>
      </c>
      <c r="I63" s="703">
        <v>2.99</v>
      </c>
      <c r="J63" s="596">
        <v>7.45</v>
      </c>
      <c r="K63" s="138">
        <f t="shared" si="23"/>
        <v>2.7669999999999999</v>
      </c>
      <c r="L63" s="994">
        <v>0.20399999999999999</v>
      </c>
      <c r="M63" s="994">
        <v>0.189</v>
      </c>
      <c r="N63" s="1196">
        <v>0.189</v>
      </c>
      <c r="O63" s="645">
        <f t="shared" si="30"/>
        <v>0.189</v>
      </c>
      <c r="P63" s="727">
        <v>90</v>
      </c>
      <c r="Q63" s="881">
        <v>96.08</v>
      </c>
      <c r="R63" s="706">
        <v>3429.15</v>
      </c>
      <c r="S63" s="765">
        <f>IF((_xlfn.XLOOKUP(D63,RUC!$B$3:$B$73,RUC!$E$3:$E$73)+ROUNDDOWN(O63,1)*100)&lt;95,95,((_xlfn.XLOOKUP(D63,RUC!$B$3:$B$73,RUC!$E$3:$E$73)+ROUNDDOWN(O63,1)*100)))</f>
        <v>100</v>
      </c>
      <c r="U63" s="1146">
        <f>_xlfn.XLOOKUP(D63,RUC!$B$3:$B$123,RUC!$F$3:$F$123)</f>
        <v>120</v>
      </c>
      <c r="V63" s="715">
        <v>1.1023000000000001</v>
      </c>
      <c r="Y63">
        <f>_xlfn.XLOOKUP(D63,RUC!$B$3:$B$123,RUC!$G$3:$G$123)</f>
        <v>20</v>
      </c>
      <c r="Z63" s="143">
        <f>_xlfn.XLOOKUP(D63,RUC!$B$3:$B$123,RUC!$H$3:$H$123)</f>
        <v>30</v>
      </c>
      <c r="AA63" s="144">
        <f t="shared" si="33"/>
        <v>50</v>
      </c>
      <c r="AB63" s="145">
        <f t="shared" si="28"/>
        <v>455.12469525450007</v>
      </c>
      <c r="AC63" s="145">
        <f>+(S63-T63)*V63-'data 1'!$F$4</f>
        <v>30.230000000000004</v>
      </c>
      <c r="AD63" s="145">
        <f t="shared" si="34"/>
        <v>45.242855521343984</v>
      </c>
      <c r="AE63" s="145">
        <f t="shared" si="35"/>
        <v>-14.884999999999998</v>
      </c>
      <c r="AF63" s="145">
        <f t="shared" si="36"/>
        <v>52.570307160539954</v>
      </c>
      <c r="AG63" s="772">
        <f t="shared" si="32"/>
        <v>130.15816268188394</v>
      </c>
      <c r="AH63" s="1253">
        <f t="shared" si="40"/>
        <v>18.594000000000001</v>
      </c>
      <c r="AI63" s="1253">
        <f t="shared" si="41"/>
        <v>19.353000000000002</v>
      </c>
      <c r="AJ63" s="156">
        <f t="shared" si="37"/>
        <v>28.918871717135985</v>
      </c>
      <c r="AK63" s="156">
        <f t="shared" si="38"/>
        <v>16.136990451712936</v>
      </c>
      <c r="AL63" s="88"/>
      <c r="AM63" s="716">
        <f t="shared" si="39"/>
        <v>1259.3300317692017</v>
      </c>
      <c r="AN63" s="716" t="str">
        <f>_xlfn.XLOOKUP(D63,RUC!$B$3:$B$578,RUC!$M$3:$M$578)</f>
        <v>Richard Sapacayo</v>
      </c>
      <c r="AO63" s="1167" t="s">
        <v>2278</v>
      </c>
      <c r="AP63" t="s">
        <v>2756</v>
      </c>
      <c r="AQ63" t="s">
        <v>2757</v>
      </c>
    </row>
    <row r="64" spans="1:44" ht="15" customHeight="1">
      <c r="A64" s="747" t="s">
        <v>2729</v>
      </c>
      <c r="B64" s="595">
        <v>45906</v>
      </c>
      <c r="C64" s="1447">
        <v>45898</v>
      </c>
      <c r="D64" t="s">
        <v>1967</v>
      </c>
      <c r="E64" s="762">
        <f>_xlfn.XLOOKUP(D64,RUC!$B$3:$B$123,RUC!$D$3:$D$123)</f>
        <v>20601769396</v>
      </c>
      <c r="G64" s="1082">
        <v>30</v>
      </c>
      <c r="H64" s="762" t="s">
        <v>2005</v>
      </c>
      <c r="I64" s="703">
        <v>2.79</v>
      </c>
      <c r="J64" s="596">
        <v>10</v>
      </c>
      <c r="K64" s="138">
        <f t="shared" ref="K64:K107" si="42">ROUND(+I64-(I64*(J64/100)),3)</f>
        <v>2.5110000000000001</v>
      </c>
      <c r="L64" s="994">
        <v>0.218</v>
      </c>
      <c r="M64" s="994">
        <v>0.20599999999999999</v>
      </c>
      <c r="N64" s="1196">
        <v>0.20599999999999999</v>
      </c>
      <c r="O64" s="1455">
        <v>0.32300000000000001</v>
      </c>
      <c r="P64" s="727">
        <v>90</v>
      </c>
      <c r="Q64" s="596">
        <v>92.76</v>
      </c>
      <c r="R64" s="706">
        <v>3429.15</v>
      </c>
      <c r="S64" s="765">
        <f>IF((_xlfn.XLOOKUP(D64,RUC!$B$3:$B$73,RUC!$E$3:$E$73)+ROUNDDOWN(O64,1)*100)&lt;95,95,((_xlfn.XLOOKUP(D64,RUC!$B$3:$B$73,RUC!$E$3:$E$73)+ROUNDDOWN(O64,1)*100)))</f>
        <v>120</v>
      </c>
      <c r="U64" s="1146">
        <f>_xlfn.XLOOKUP(D64,RUC!$B$3:$B$123,RUC!$F$3:$F$123)</f>
        <v>120</v>
      </c>
      <c r="V64" s="715">
        <v>1.1023000000000001</v>
      </c>
      <c r="Y64">
        <f>_xlfn.XLOOKUP(D64,RUC!$B$3:$B$123,RUC!$G$3:$G$123)</f>
        <v>20</v>
      </c>
      <c r="Z64" s="143">
        <f>_xlfn.XLOOKUP(D64,RUC!$B$3:$B$123,RUC!$H$3:$H$123)</f>
        <v>30</v>
      </c>
      <c r="AA64" s="144">
        <f t="shared" si="33"/>
        <v>50</v>
      </c>
      <c r="AB64" s="145">
        <f t="shared" si="28"/>
        <v>872.9884262815001</v>
      </c>
      <c r="AC64" s="145">
        <f>+(S64-T64)*V64-'data 1'!$F$4</f>
        <v>52.27600000000001</v>
      </c>
      <c r="AD64" s="145">
        <f t="shared" si="34"/>
        <v>21.947337227556044</v>
      </c>
      <c r="AE64" s="145">
        <f t="shared" si="35"/>
        <v>-14.884999999999998</v>
      </c>
      <c r="AF64" s="145">
        <f t="shared" si="36"/>
        <v>-355.2763514309101</v>
      </c>
      <c r="AG64" s="772">
        <f t="shared" si="32"/>
        <v>-278.93801420335404</v>
      </c>
      <c r="AH64" s="1253">
        <f t="shared" si="40"/>
        <v>17.408999999999999</v>
      </c>
      <c r="AI64" s="1253">
        <f t="shared" si="41"/>
        <v>18.768000000000001</v>
      </c>
      <c r="AJ64" s="156">
        <f t="shared" si="37"/>
        <v>29.835644000963981</v>
      </c>
      <c r="AK64" s="156">
        <f t="shared" si="38"/>
        <v>25.026540150704985</v>
      </c>
      <c r="AL64" s="88"/>
      <c r="AM64" s="716">
        <f t="shared" si="39"/>
        <v>2192.0739383928467</v>
      </c>
      <c r="AN64" s="716" t="str">
        <f>_xlfn.XLOOKUP(D64,RUC!$B$3:$B$578,RUC!$M$3:$M$578)</f>
        <v>Evelyn</v>
      </c>
      <c r="AO64" s="1167" t="s">
        <v>2278</v>
      </c>
      <c r="AP64" t="s">
        <v>2758</v>
      </c>
      <c r="AQ64" t="s">
        <v>2759</v>
      </c>
      <c r="AR64" t="s">
        <v>2799</v>
      </c>
    </row>
    <row r="65" spans="1:45" ht="15" customHeight="1">
      <c r="A65" s="1149" t="s">
        <v>2730</v>
      </c>
      <c r="B65" s="1095">
        <v>45908</v>
      </c>
      <c r="C65" s="1447">
        <v>45898</v>
      </c>
      <c r="D65" t="s">
        <v>1484</v>
      </c>
      <c r="E65" s="762">
        <f>_xlfn.XLOOKUP(D65,RUC!$B$3:$B$123,RUC!$D$3:$D$123)</f>
        <v>10761932735</v>
      </c>
      <c r="G65" s="1082">
        <v>6</v>
      </c>
      <c r="H65" s="762" t="s">
        <v>69</v>
      </c>
      <c r="I65" s="703">
        <v>0.56000000000000005</v>
      </c>
      <c r="J65" s="596">
        <v>11.75</v>
      </c>
      <c r="K65" s="138">
        <f t="shared" si="42"/>
        <v>0.49399999999999999</v>
      </c>
      <c r="L65" s="994">
        <v>0.05</v>
      </c>
      <c r="M65" s="994">
        <v>3.5000000000000003E-2</v>
      </c>
      <c r="N65" s="1196">
        <v>3.5000000000000003E-2</v>
      </c>
      <c r="O65" s="645">
        <f t="shared" si="30"/>
        <v>3.5000000000000003E-2</v>
      </c>
      <c r="P65" s="727">
        <v>90</v>
      </c>
      <c r="Q65" s="596">
        <v>86</v>
      </c>
      <c r="R65" s="706">
        <v>3429.15</v>
      </c>
      <c r="S65" s="765">
        <f>IF((_xlfn.XLOOKUP(D65,RUC!$B$3:$B$73,RUC!$E$3:$E$73)+ROUNDDOWN(O65,1)*100)&lt;95,95,((_xlfn.XLOOKUP(D65,RUC!$B$3:$B$73,RUC!$E$3:$E$73)+ROUNDDOWN(O65,1)*100)))</f>
        <v>95</v>
      </c>
      <c r="U65" s="1146">
        <f>_xlfn.XLOOKUP(D65,RUC!$B$3:$B$123,RUC!$F$3:$F$123)</f>
        <v>120</v>
      </c>
      <c r="V65" s="715">
        <v>1.1023000000000001</v>
      </c>
      <c r="Y65">
        <f>_xlfn.XLOOKUP(D65,RUC!$B$3:$B$123,RUC!$G$3:$G$123)</f>
        <v>20</v>
      </c>
      <c r="Z65" s="143">
        <f>_xlfn.XLOOKUP(D65,RUC!$B$3:$B$123,RUC!$H$3:$H$123)</f>
        <v>30</v>
      </c>
      <c r="AA65" s="144">
        <f t="shared" si="33"/>
        <v>50</v>
      </c>
      <c r="AB65" s="145">
        <v>0.01</v>
      </c>
      <c r="AC65" s="145">
        <f>+(S65-T65)*V65-'data 1'!$F$4</f>
        <v>24.718500000000006</v>
      </c>
      <c r="AD65" s="145">
        <f t="shared" si="34"/>
        <v>-7.2953520900000015</v>
      </c>
      <c r="AE65" s="145">
        <f t="shared" si="35"/>
        <v>-14.884999999999998</v>
      </c>
      <c r="AF65" s="145">
        <f t="shared" si="36"/>
        <v>47.055020980500004</v>
      </c>
      <c r="AG65" s="772">
        <f t="shared" si="32"/>
        <v>66.59316889050001</v>
      </c>
      <c r="AH65" s="1253">
        <f t="shared" si="40"/>
        <v>0.72799999999999998</v>
      </c>
      <c r="AI65" s="1253">
        <f t="shared" si="41"/>
        <v>0.84699999999999998</v>
      </c>
      <c r="AJ65" s="156">
        <f t="shared" si="37"/>
        <v>6.3443427649999959</v>
      </c>
      <c r="AK65" s="156">
        <f t="shared" si="38"/>
        <v>0.53351492344605012</v>
      </c>
      <c r="AL65" s="88"/>
      <c r="AM65" s="716">
        <f t="shared" si="39"/>
        <v>4.9399999999999999E-3</v>
      </c>
      <c r="AN65" s="716" t="str">
        <f>_xlfn.XLOOKUP(D65,RUC!$B$3:$B$578,RUC!$M$3:$M$578)</f>
        <v>Richard Sapacayo</v>
      </c>
      <c r="AO65" s="1167" t="s">
        <v>2281</v>
      </c>
      <c r="AP65" t="s">
        <v>2756</v>
      </c>
      <c r="AQ65" t="s">
        <v>2757</v>
      </c>
    </row>
    <row r="66" spans="1:45" ht="15" customHeight="1">
      <c r="A66" s="747" t="s">
        <v>2731</v>
      </c>
      <c r="B66" s="595">
        <v>45908</v>
      </c>
      <c r="C66" s="1447">
        <v>45898</v>
      </c>
      <c r="D66" t="s">
        <v>1484</v>
      </c>
      <c r="E66" s="762">
        <f>_xlfn.XLOOKUP(D66,RUC!$B$3:$B$123,RUC!$D$3:$D$123)</f>
        <v>10761932735</v>
      </c>
      <c r="G66" s="1082">
        <v>14</v>
      </c>
      <c r="H66" s="762" t="s">
        <v>69</v>
      </c>
      <c r="I66" s="703">
        <v>1.0900000000000001</v>
      </c>
      <c r="J66" s="596">
        <v>6.15</v>
      </c>
      <c r="K66" s="138">
        <f t="shared" si="42"/>
        <v>1.0229999999999999</v>
      </c>
      <c r="L66" s="994">
        <v>0.22600000000000001</v>
      </c>
      <c r="M66" s="994">
        <v>0.21099999999999999</v>
      </c>
      <c r="N66" s="1196">
        <v>0.21099999999999999</v>
      </c>
      <c r="O66" s="645">
        <f t="shared" si="30"/>
        <v>0.21099999999999999</v>
      </c>
      <c r="P66" s="727">
        <v>90</v>
      </c>
      <c r="Q66" s="596">
        <v>97.35</v>
      </c>
      <c r="R66" s="706">
        <v>3429.15</v>
      </c>
      <c r="S66" s="765">
        <f>IF((_xlfn.XLOOKUP(D66,RUC!$B$3:$B$73,RUC!$E$3:$E$73)+ROUNDDOWN(O66,1)*100)&lt;95,95,((_xlfn.XLOOKUP(D66,RUC!$B$3:$B$73,RUC!$E$3:$E$73)+ROUNDDOWN(O66,1)*100)))</f>
        <v>110</v>
      </c>
      <c r="U66" s="1146">
        <f>_xlfn.XLOOKUP(D66,RUC!$B$3:$B$123,RUC!$F$3:$F$123)</f>
        <v>120</v>
      </c>
      <c r="V66" s="715">
        <v>1.1023000000000001</v>
      </c>
      <c r="Y66">
        <f>_xlfn.XLOOKUP(D66,RUC!$B$3:$B$123,RUC!$G$3:$G$123)</f>
        <v>20</v>
      </c>
      <c r="Z66" s="143">
        <f>_xlfn.XLOOKUP(D66,RUC!$B$3:$B$123,RUC!$H$3:$H$123)</f>
        <v>30</v>
      </c>
      <c r="AA66" s="144">
        <f t="shared" si="33"/>
        <v>50</v>
      </c>
      <c r="AB66" s="145">
        <f t="shared" si="28"/>
        <v>516.32568094549993</v>
      </c>
      <c r="AC66" s="145">
        <f>+(S66-T66)*V66-'data 1'!$F$4</f>
        <v>41.253</v>
      </c>
      <c r="AD66" s="145">
        <f t="shared" si="34"/>
        <v>60.591546783494948</v>
      </c>
      <c r="AE66" s="145">
        <f t="shared" si="35"/>
        <v>-14.884999999999998</v>
      </c>
      <c r="AF66" s="145">
        <f t="shared" si="36"/>
        <v>53.265189447112554</v>
      </c>
      <c r="AG66" s="772">
        <f t="shared" si="32"/>
        <v>157.2247362306075</v>
      </c>
      <c r="AH66" s="1253">
        <f t="shared" si="40"/>
        <v>7.7169999999999996</v>
      </c>
      <c r="AI66" s="1253">
        <f t="shared" si="41"/>
        <v>7.9269999999999996</v>
      </c>
      <c r="AJ66" s="156">
        <f t="shared" si="37"/>
        <v>32.461051071404974</v>
      </c>
      <c r="AK66" s="156">
        <f t="shared" si="38"/>
        <v>6.6605434800809835</v>
      </c>
      <c r="AL66" s="88"/>
      <c r="AM66" s="716">
        <f t="shared" si="39"/>
        <v>528.20117160724635</v>
      </c>
      <c r="AN66" s="716" t="str">
        <f>_xlfn.XLOOKUP(D66,RUC!$B$3:$B$578,RUC!$M$3:$M$578)</f>
        <v>Richard Sapacayo</v>
      </c>
      <c r="AO66" s="1167" t="s">
        <v>2278</v>
      </c>
      <c r="AP66" t="s">
        <v>2756</v>
      </c>
      <c r="AQ66" t="s">
        <v>2757</v>
      </c>
    </row>
    <row r="67" spans="1:45" ht="15" customHeight="1">
      <c r="A67" s="747" t="s">
        <v>2732</v>
      </c>
      <c r="B67" s="595">
        <v>45906</v>
      </c>
      <c r="C67" s="1447">
        <v>45898</v>
      </c>
      <c r="D67" t="s">
        <v>1967</v>
      </c>
      <c r="E67" s="762">
        <f>_xlfn.XLOOKUP(D67,RUC!$B$3:$B$123,RUC!$D$3:$D$123)</f>
        <v>20601769396</v>
      </c>
      <c r="G67" s="1082">
        <v>30</v>
      </c>
      <c r="H67" s="762" t="s">
        <v>2005</v>
      </c>
      <c r="I67" s="703">
        <v>2.91</v>
      </c>
      <c r="J67" s="596">
        <v>11.2</v>
      </c>
      <c r="K67" s="138">
        <f t="shared" si="42"/>
        <v>2.5840000000000001</v>
      </c>
      <c r="L67" s="994">
        <v>0.23599999999999999</v>
      </c>
      <c r="M67" s="994">
        <v>0.223</v>
      </c>
      <c r="N67" s="1196">
        <v>0.223</v>
      </c>
      <c r="O67" s="645">
        <f t="shared" si="30"/>
        <v>0.223</v>
      </c>
      <c r="P67" s="727">
        <v>83</v>
      </c>
      <c r="Q67" s="596">
        <v>83.61</v>
      </c>
      <c r="R67" s="706">
        <v>3429.15</v>
      </c>
      <c r="S67" s="765">
        <f>IF((_xlfn.XLOOKUP(D67,RUC!$B$3:$B$73,RUC!$E$3:$E$73)+ROUNDDOWN(O67,1)*100)&lt;95,95,((_xlfn.XLOOKUP(D67,RUC!$B$3:$B$73,RUC!$E$3:$E$73)+ROUNDDOWN(O67,1)*100)))</f>
        <v>110</v>
      </c>
      <c r="U67" s="1146">
        <f>_xlfn.XLOOKUP(D67,RUC!$B$3:$B$123,RUC!$F$3:$F$123)</f>
        <v>120</v>
      </c>
      <c r="V67" s="715">
        <v>1.1023000000000001</v>
      </c>
      <c r="Y67">
        <f>_xlfn.XLOOKUP(D67,RUC!$B$3:$B$123,RUC!$G$3:$G$123)</f>
        <v>20</v>
      </c>
      <c r="Z67" s="143">
        <f>_xlfn.XLOOKUP(D67,RUC!$B$3:$B$123,RUC!$H$3:$H$123)</f>
        <v>30</v>
      </c>
      <c r="AA67" s="144">
        <f t="shared" si="33"/>
        <v>50</v>
      </c>
      <c r="AB67" s="145">
        <f t="shared" si="28"/>
        <v>498.78035916905003</v>
      </c>
      <c r="AC67" s="145">
        <f>+(S67-T67)*V67-'data 1'!$F$4</f>
        <v>41.253</v>
      </c>
      <c r="AD67" s="145">
        <f t="shared" si="34"/>
        <v>5.2511944343819961</v>
      </c>
      <c r="AE67" s="145">
        <f t="shared" si="35"/>
        <v>-14.884999999999998</v>
      </c>
      <c r="AF67" s="145">
        <f t="shared" si="36"/>
        <v>39.647685235918459</v>
      </c>
      <c r="AG67" s="772">
        <f t="shared" si="32"/>
        <v>88.266879670300455</v>
      </c>
      <c r="AH67" s="1253">
        <f t="shared" si="40"/>
        <v>17.481000000000002</v>
      </c>
      <c r="AI67" s="1253">
        <f t="shared" si="41"/>
        <v>20.908000000000001</v>
      </c>
      <c r="AJ67" s="156">
        <f t="shared" si="37"/>
        <v>29.113097131457984</v>
      </c>
      <c r="AK67" s="156">
        <f t="shared" si="38"/>
        <v>16.397760313266907</v>
      </c>
      <c r="AL67" s="88"/>
      <c r="AM67" s="716">
        <f t="shared" si="39"/>
        <v>1288.8484480928253</v>
      </c>
      <c r="AN67" s="716" t="str">
        <f>_xlfn.XLOOKUP(D67,RUC!$B$3:$B$578,RUC!$M$3:$M$578)</f>
        <v>Evelyn</v>
      </c>
      <c r="AO67" s="1167" t="s">
        <v>2281</v>
      </c>
      <c r="AP67" t="s">
        <v>2758</v>
      </c>
      <c r="AQ67" t="s">
        <v>2759</v>
      </c>
    </row>
    <row r="68" spans="1:45" ht="15" customHeight="1">
      <c r="A68" s="747" t="s">
        <v>2733</v>
      </c>
      <c r="B68" s="595">
        <v>45908</v>
      </c>
      <c r="C68" s="1447">
        <v>45898</v>
      </c>
      <c r="D68" t="s">
        <v>1484</v>
      </c>
      <c r="E68" s="762">
        <f>_xlfn.XLOOKUP(D68,RUC!$B$3:$B$123,RUC!$D$3:$D$123)</f>
        <v>10761932735</v>
      </c>
      <c r="G68" s="1082">
        <v>161</v>
      </c>
      <c r="H68" s="762" t="s">
        <v>69</v>
      </c>
      <c r="I68" s="703">
        <v>14.23</v>
      </c>
      <c r="J68" s="596">
        <v>8.1999999999999993</v>
      </c>
      <c r="K68" s="138">
        <f t="shared" si="42"/>
        <v>13.063000000000001</v>
      </c>
      <c r="L68" s="994">
        <v>0.23200000000000001</v>
      </c>
      <c r="M68" s="994">
        <v>0.217</v>
      </c>
      <c r="N68" s="1196">
        <v>0.217</v>
      </c>
      <c r="O68" s="645">
        <f t="shared" si="30"/>
        <v>0.217</v>
      </c>
      <c r="P68" s="727">
        <v>90</v>
      </c>
      <c r="Q68" s="881">
        <v>93.97</v>
      </c>
      <c r="R68" s="706">
        <v>3429.15</v>
      </c>
      <c r="S68" s="765">
        <f>IF((_xlfn.XLOOKUP(D68,RUC!$B$3:$B$73,RUC!$E$3:$E$73)+ROUNDDOWN(O68,1)*100)&lt;95,95,((_xlfn.XLOOKUP(D68,RUC!$B$3:$B$73,RUC!$E$3:$E$73)+ROUNDDOWN(O68,1)*100)))</f>
        <v>110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3">
        <f>_xlfn.XLOOKUP(D68,RUC!$B$3:$B$123,RUC!$H$3:$H$123)</f>
        <v>30</v>
      </c>
      <c r="AA68" s="144">
        <f t="shared" si="33"/>
        <v>50</v>
      </c>
      <c r="AB68" s="145">
        <f t="shared" si="28"/>
        <v>536.02313158850006</v>
      </c>
      <c r="AC68" s="145">
        <f>+(S68-T68)*V68-'data 1'!$F$4</f>
        <v>41.253</v>
      </c>
      <c r="AD68" s="145">
        <f t="shared" si="34"/>
        <v>33.596555444867995</v>
      </c>
      <c r="AE68" s="145">
        <f t="shared" si="35"/>
        <v>-14.884999999999998</v>
      </c>
      <c r="AF68" s="145">
        <f t="shared" si="36"/>
        <v>51.415817692297551</v>
      </c>
      <c r="AG68" s="772">
        <f t="shared" si="32"/>
        <v>128.38037313716555</v>
      </c>
      <c r="AH68" s="1253">
        <f t="shared" si="40"/>
        <v>97.64</v>
      </c>
      <c r="AI68" s="1253">
        <f t="shared" si="41"/>
        <v>103.90600000000001</v>
      </c>
      <c r="AJ68" s="156">
        <f t="shared" si="37"/>
        <v>32.165876835691982</v>
      </c>
      <c r="AK68" s="156">
        <f t="shared" si="38"/>
        <v>87.469015706173394</v>
      </c>
      <c r="AL68" s="88"/>
      <c r="AM68" s="716">
        <f t="shared" si="39"/>
        <v>7002.0701679405765</v>
      </c>
      <c r="AN68" s="716" t="str">
        <f>_xlfn.XLOOKUP(D68,RUC!$B$3:$B$578,RUC!$M$3:$M$578)</f>
        <v>Richard Sapacayo</v>
      </c>
      <c r="AO68" s="1167" t="s">
        <v>2280</v>
      </c>
      <c r="AP68" t="s">
        <v>2756</v>
      </c>
      <c r="AQ68" t="s">
        <v>2757</v>
      </c>
      <c r="AR68" s="1446" t="s">
        <v>2794</v>
      </c>
    </row>
    <row r="69" spans="1:45" ht="15" customHeight="1">
      <c r="A69" s="747" t="s">
        <v>2734</v>
      </c>
      <c r="B69" s="595">
        <v>45906</v>
      </c>
      <c r="C69" s="1447">
        <v>45898</v>
      </c>
      <c r="D69" t="s">
        <v>1967</v>
      </c>
      <c r="E69" s="762">
        <f>_xlfn.XLOOKUP(D69,RUC!$B$3:$B$123,RUC!$D$3:$D$123)</f>
        <v>20601769396</v>
      </c>
      <c r="G69" s="1082">
        <v>30</v>
      </c>
      <c r="H69" s="762" t="s">
        <v>2005</v>
      </c>
      <c r="I69" s="703">
        <v>2.79</v>
      </c>
      <c r="J69" s="596">
        <v>9.35</v>
      </c>
      <c r="K69" s="138">
        <f t="shared" si="42"/>
        <v>2.5289999999999999</v>
      </c>
      <c r="L69" s="994">
        <v>0.245</v>
      </c>
      <c r="M69" s="994">
        <v>0.20899999999999999</v>
      </c>
      <c r="N69" s="1196">
        <v>0.20899999999999999</v>
      </c>
      <c r="O69" s="1455">
        <v>0.29699999999999999</v>
      </c>
      <c r="P69" s="727">
        <v>81</v>
      </c>
      <c r="Q69" s="596">
        <v>81.7</v>
      </c>
      <c r="R69" s="706">
        <v>3429.15</v>
      </c>
      <c r="S69" s="765">
        <f>IF((_xlfn.XLOOKUP(D69,RUC!$B$3:$B$73,RUC!$E$3:$E$73)+ROUNDDOWN(O69,1)*100)&lt;95,95,((_xlfn.XLOOKUP(D69,RUC!$B$3:$B$73,RUC!$E$3:$E$73)+ROUNDDOWN(O69,1)*100)))</f>
        <v>110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3">
        <f>_xlfn.XLOOKUP(D69,RUC!$B$3:$B$123,RUC!$H$3:$H$123)</f>
        <v>30</v>
      </c>
      <c r="AA69" s="144">
        <f t="shared" si="33"/>
        <v>50</v>
      </c>
      <c r="AB69" s="145">
        <f t="shared" si="28"/>
        <v>701.15342614565009</v>
      </c>
      <c r="AC69" s="145">
        <f>+(S69-T69)*V69-'data 1'!$F$4</f>
        <v>41.253</v>
      </c>
      <c r="AD69" s="145">
        <f t="shared" si="34"/>
        <v>6.2557644171750262</v>
      </c>
      <c r="AE69" s="145">
        <f t="shared" si="35"/>
        <v>-14.884999999999998</v>
      </c>
      <c r="AF69" s="145">
        <f t="shared" si="36"/>
        <v>-154.96786909577997</v>
      </c>
      <c r="AG69" s="772">
        <f t="shared" si="32"/>
        <v>-105.34410467860494</v>
      </c>
      <c r="AH69" s="1253">
        <f t="shared" si="40"/>
        <v>17.356000000000002</v>
      </c>
      <c r="AI69" s="1253">
        <f t="shared" si="41"/>
        <v>21.242999999999999</v>
      </c>
      <c r="AJ69" s="156">
        <f t="shared" si="37"/>
        <v>29.53291557107498</v>
      </c>
      <c r="AK69" s="156">
        <f t="shared" si="38"/>
        <v>20.859282546263717</v>
      </c>
      <c r="AL69" s="88"/>
      <c r="AM69" s="716">
        <f t="shared" si="39"/>
        <v>1773.2170147223489</v>
      </c>
      <c r="AN69" s="716" t="str">
        <f>_xlfn.XLOOKUP(D69,RUC!$B$3:$B$578,RUC!$M$3:$M$578)</f>
        <v>Evelyn</v>
      </c>
      <c r="AO69" s="1167" t="s">
        <v>2281</v>
      </c>
      <c r="AP69" t="s">
        <v>2758</v>
      </c>
      <c r="AQ69" t="s">
        <v>2759</v>
      </c>
      <c r="AR69" t="s">
        <v>2799</v>
      </c>
    </row>
    <row r="70" spans="1:45" ht="15" customHeight="1">
      <c r="A70" s="747" t="s">
        <v>2735</v>
      </c>
      <c r="B70" s="595">
        <v>45906</v>
      </c>
      <c r="C70" s="1447">
        <v>45898</v>
      </c>
      <c r="D70" t="s">
        <v>1967</v>
      </c>
      <c r="E70" s="762">
        <f>_xlfn.XLOOKUP(D70,RUC!$B$3:$B$123,RUC!$D$3:$D$123)</f>
        <v>20601769396</v>
      </c>
      <c r="G70" s="1082">
        <v>30</v>
      </c>
      <c r="H70" s="762" t="s">
        <v>2005</v>
      </c>
      <c r="I70" s="703">
        <v>2.85</v>
      </c>
      <c r="J70" s="596">
        <v>9.9499999999999993</v>
      </c>
      <c r="K70" s="138">
        <f t="shared" si="42"/>
        <v>2.5659999999999998</v>
      </c>
      <c r="L70" s="994">
        <v>0.28399999999999997</v>
      </c>
      <c r="M70" s="994">
        <v>0.26</v>
      </c>
      <c r="N70" s="1196">
        <v>0.26</v>
      </c>
      <c r="O70" s="645">
        <f t="shared" si="30"/>
        <v>0.26</v>
      </c>
      <c r="P70" s="727">
        <v>85</v>
      </c>
      <c r="Q70" s="596">
        <v>86.99</v>
      </c>
      <c r="R70" s="706">
        <v>3429.15</v>
      </c>
      <c r="S70" s="765">
        <f>IF((_xlfn.XLOOKUP(D70,RUC!$B$3:$B$73,RUC!$E$3:$E$73)+ROUNDDOWN(O70,1)*100)&lt;95,95,((_xlfn.XLOOKUP(D70,RUC!$B$3:$B$73,RUC!$E$3:$E$73)+ROUNDDOWN(O70,1)*100)))</f>
        <v>110</v>
      </c>
      <c r="U70" s="1146">
        <f>_xlfn.XLOOKUP(D70,RUC!$B$3:$B$123,RUC!$F$3:$F$123)</f>
        <v>120</v>
      </c>
      <c r="V70" s="715">
        <v>1.1023000000000001</v>
      </c>
      <c r="Y70">
        <f>_xlfn.XLOOKUP(D70,RUC!$B$3:$B$123,RUC!$G$3:$G$123)</f>
        <v>20</v>
      </c>
      <c r="Z70" s="143">
        <f>_xlfn.XLOOKUP(D70,RUC!$B$3:$B$123,RUC!$H$3:$H$123)</f>
        <v>30</v>
      </c>
      <c r="AA70" s="144">
        <f t="shared" si="33"/>
        <v>50</v>
      </c>
      <c r="AB70" s="145">
        <f t="shared" si="28"/>
        <v>629.76840594500015</v>
      </c>
      <c r="AC70" s="145">
        <f>+(S70-T70)*V70-'data 1'!$F$4</f>
        <v>41.253</v>
      </c>
      <c r="AD70" s="145">
        <f t="shared" si="34"/>
        <v>20.615205935921949</v>
      </c>
      <c r="AE70" s="145">
        <f t="shared" si="35"/>
        <v>-14.884999999999998</v>
      </c>
      <c r="AF70" s="145">
        <f t="shared" si="36"/>
        <v>76.15472139709189</v>
      </c>
      <c r="AG70" s="772">
        <f t="shared" si="32"/>
        <v>140.13792733301383</v>
      </c>
      <c r="AH70" s="1253">
        <f t="shared" si="40"/>
        <v>21.734999999999999</v>
      </c>
      <c r="AI70" s="1253">
        <f t="shared" si="41"/>
        <v>24.984999999999999</v>
      </c>
      <c r="AJ70" s="156">
        <f t="shared" si="37"/>
        <v>36.450698396317968</v>
      </c>
      <c r="AK70" s="156">
        <f t="shared" si="38"/>
        <v>19.442763567722299</v>
      </c>
      <c r="AL70" s="88"/>
      <c r="AM70" s="716">
        <f t="shared" si="39"/>
        <v>1615.9857296548703</v>
      </c>
      <c r="AN70" s="716" t="str">
        <f>_xlfn.XLOOKUP(D70,RUC!$B$3:$B$578,RUC!$M$3:$M$578)</f>
        <v>Evelyn</v>
      </c>
      <c r="AO70" s="1167" t="s">
        <v>2279</v>
      </c>
      <c r="AP70" t="s">
        <v>2758</v>
      </c>
      <c r="AQ70" t="s">
        <v>2759</v>
      </c>
    </row>
    <row r="71" spans="1:45" ht="15" customHeight="1">
      <c r="A71" s="1149" t="s">
        <v>2736</v>
      </c>
      <c r="B71" s="1095">
        <v>45906</v>
      </c>
      <c r="C71" s="1447">
        <v>45898</v>
      </c>
      <c r="D71" t="s">
        <v>1484</v>
      </c>
      <c r="E71" s="762">
        <f>_xlfn.XLOOKUP(D71,RUC!$B$3:$B$123,RUC!$D$3:$D$123)</f>
        <v>10761932735</v>
      </c>
      <c r="G71" s="1082">
        <v>9</v>
      </c>
      <c r="H71" s="762" t="s">
        <v>69</v>
      </c>
      <c r="I71" s="703">
        <v>0.99</v>
      </c>
      <c r="J71" s="596">
        <v>3.8</v>
      </c>
      <c r="K71" s="138">
        <f t="shared" si="42"/>
        <v>0.95199999999999996</v>
      </c>
      <c r="L71" s="994">
        <v>5.6000000000000001E-2</v>
      </c>
      <c r="M71" s="994">
        <v>4.1000000000000002E-2</v>
      </c>
      <c r="N71" s="1196">
        <v>4.1000000000000002E-2</v>
      </c>
      <c r="O71" s="645">
        <f t="shared" si="30"/>
        <v>4.1000000000000002E-2</v>
      </c>
      <c r="P71" s="727">
        <v>80</v>
      </c>
      <c r="Q71" s="596">
        <v>94.64</v>
      </c>
      <c r="R71" s="706">
        <v>3429.15</v>
      </c>
      <c r="S71" s="765">
        <f>IF((_xlfn.XLOOKUP(D71,RUC!$B$3:$B$73,RUC!$E$3:$E$73)+ROUNDDOWN(O71,1)*100)&lt;95,95,((_xlfn.XLOOKUP(D71,RUC!$B$3:$B$73,RUC!$E$3:$E$73)+ROUNDDOWN(O71,1)*100)))</f>
        <v>95</v>
      </c>
      <c r="U71" s="1146">
        <f>_xlfn.XLOOKUP(D71,RUC!$B$3:$B$123,RUC!$F$3:$F$123)</f>
        <v>120</v>
      </c>
      <c r="V71" s="715">
        <v>1.1023000000000001</v>
      </c>
      <c r="Y71">
        <f>_xlfn.XLOOKUP(D71,RUC!$B$3:$B$123,RUC!$G$3:$G$123)</f>
        <v>20</v>
      </c>
      <c r="Z71" s="143">
        <f>_xlfn.XLOOKUP(D71,RUC!$B$3:$B$123,RUC!$H$3:$H$123)</f>
        <v>30</v>
      </c>
      <c r="AA71" s="144">
        <f t="shared" si="33"/>
        <v>50</v>
      </c>
      <c r="AB71" s="145">
        <v>0.01</v>
      </c>
      <c r="AC71" s="145">
        <f>+(S71-T71)*V71-'data 1'!$F$4</f>
        <v>24.718500000000006</v>
      </c>
      <c r="AD71" s="145">
        <f t="shared" si="34"/>
        <v>29.905107287328004</v>
      </c>
      <c r="AE71" s="145">
        <f t="shared" si="35"/>
        <v>-14.884999999999998</v>
      </c>
      <c r="AF71" s="145">
        <f t="shared" si="36"/>
        <v>51.782409134820007</v>
      </c>
      <c r="AG71" s="772">
        <f t="shared" si="32"/>
        <v>108.52101642214802</v>
      </c>
      <c r="AH71" s="1253">
        <f t="shared" si="40"/>
        <v>1.73</v>
      </c>
      <c r="AI71" s="1253">
        <f t="shared" si="41"/>
        <v>1.8280000000000001</v>
      </c>
      <c r="AJ71" s="156">
        <f t="shared" si="37"/>
        <v>7.8195352464319958</v>
      </c>
      <c r="AK71" s="156">
        <f t="shared" si="38"/>
        <v>1.0705818130940801</v>
      </c>
      <c r="AL71" s="88"/>
      <c r="AM71" s="716">
        <f t="shared" si="39"/>
        <v>9.5199999999999989E-3</v>
      </c>
      <c r="AN71" s="716" t="str">
        <f>_xlfn.XLOOKUP(D71,RUC!$B$3:$B$578,RUC!$M$3:$M$578)</f>
        <v>Richard Sapacayo</v>
      </c>
      <c r="AO71" s="1167" t="s">
        <v>2281</v>
      </c>
      <c r="AP71" t="s">
        <v>2756</v>
      </c>
      <c r="AQ71" t="s">
        <v>2757</v>
      </c>
    </row>
    <row r="72" spans="1:45" ht="15" customHeight="1">
      <c r="A72" s="747" t="s">
        <v>2737</v>
      </c>
      <c r="B72" s="595">
        <v>45906</v>
      </c>
      <c r="C72" s="1447">
        <v>45898</v>
      </c>
      <c r="D72" t="s">
        <v>1484</v>
      </c>
      <c r="E72" s="762">
        <f>_xlfn.XLOOKUP(D72,RUC!$B$3:$B$123,RUC!$D$3:$D$123)</f>
        <v>10761932735</v>
      </c>
      <c r="G72" s="1082">
        <v>26</v>
      </c>
      <c r="H72" s="762" t="s">
        <v>69</v>
      </c>
      <c r="I72" s="703">
        <v>2.39</v>
      </c>
      <c r="J72" s="596">
        <v>8.1</v>
      </c>
      <c r="K72" s="138">
        <f t="shared" si="42"/>
        <v>2.1960000000000002</v>
      </c>
      <c r="L72" s="994">
        <v>0.26200000000000001</v>
      </c>
      <c r="M72" s="994">
        <v>0.247</v>
      </c>
      <c r="N72" s="1196">
        <v>0.247</v>
      </c>
      <c r="O72" s="645">
        <f t="shared" si="30"/>
        <v>0.247</v>
      </c>
      <c r="P72" s="727">
        <v>84</v>
      </c>
      <c r="Q72" s="596">
        <v>84.35</v>
      </c>
      <c r="R72" s="706">
        <v>3429.15</v>
      </c>
      <c r="S72" s="765">
        <f>IF((_xlfn.XLOOKUP(D72,RUC!$B$3:$B$73,RUC!$E$3:$E$73)+ROUNDDOWN(O72,1)*100)&lt;95,95,((_xlfn.XLOOKUP(D72,RUC!$B$3:$B$73,RUC!$E$3:$E$73)+ROUNDDOWN(O72,1)*100)))</f>
        <v>110</v>
      </c>
      <c r="U72" s="1146">
        <f>_xlfn.XLOOKUP(D72,RUC!$B$3:$B$123,RUC!$F$3:$F$123)</f>
        <v>120</v>
      </c>
      <c r="V72" s="715">
        <v>1.1023000000000001</v>
      </c>
      <c r="Y72">
        <f>_xlfn.XLOOKUP(D72,RUC!$B$3:$B$123,RUC!$G$3:$G$123)</f>
        <v>20</v>
      </c>
      <c r="Z72" s="143">
        <f>_xlfn.XLOOKUP(D72,RUC!$B$3:$B$123,RUC!$H$3:$H$123)</f>
        <v>30</v>
      </c>
      <c r="AA72" s="144">
        <f t="shared" si="33"/>
        <v>50</v>
      </c>
      <c r="AB72" s="145">
        <f t="shared" si="28"/>
        <v>580.45182581660004</v>
      </c>
      <c r="AC72" s="145">
        <f>+(S72-T72)*V72-'data 1'!$F$4</f>
        <v>41.253</v>
      </c>
      <c r="AD72" s="145">
        <f t="shared" si="34"/>
        <v>3.344918933264946</v>
      </c>
      <c r="AE72" s="145">
        <f t="shared" si="35"/>
        <v>-14.884999999999998</v>
      </c>
      <c r="AF72" s="145">
        <f t="shared" si="36"/>
        <v>46.15222115936254</v>
      </c>
      <c r="AG72" s="772">
        <f t="shared" si="32"/>
        <v>92.865140092627485</v>
      </c>
      <c r="AH72" s="1253">
        <f t="shared" si="40"/>
        <v>16.638999999999999</v>
      </c>
      <c r="AI72" s="1253">
        <f t="shared" si="41"/>
        <v>19.725999999999999</v>
      </c>
      <c r="AJ72" s="156">
        <f t="shared" si="37"/>
        <v>32.606528326434983</v>
      </c>
      <c r="AK72" s="156">
        <f t="shared" si="38"/>
        <v>15.621316958500348</v>
      </c>
      <c r="AL72" s="88"/>
      <c r="AM72" s="716">
        <f t="shared" si="39"/>
        <v>1274.6722094932538</v>
      </c>
      <c r="AN72" s="716" t="str">
        <f>_xlfn.XLOOKUP(D72,RUC!$B$3:$B$578,RUC!$M$3:$M$578)</f>
        <v>Richard Sapacayo</v>
      </c>
      <c r="AO72" s="1167" t="s">
        <v>2281</v>
      </c>
      <c r="AP72" t="s">
        <v>2756</v>
      </c>
      <c r="AQ72" t="s">
        <v>2757</v>
      </c>
    </row>
    <row r="73" spans="1:45" ht="15" customHeight="1">
      <c r="A73" s="747" t="s">
        <v>2769</v>
      </c>
      <c r="B73" s="595">
        <v>45910</v>
      </c>
      <c r="C73" s="1447">
        <v>45901</v>
      </c>
      <c r="D73" t="s">
        <v>1967</v>
      </c>
      <c r="E73" s="762">
        <f>_xlfn.XLOOKUP(D73,RUC!$B$3:$B$123,RUC!$D$3:$D$123)</f>
        <v>20601769396</v>
      </c>
      <c r="G73" s="1082">
        <v>47</v>
      </c>
      <c r="H73" s="762" t="s">
        <v>69</v>
      </c>
      <c r="I73" s="703">
        <v>3.97</v>
      </c>
      <c r="J73" s="596">
        <v>16.329999999999998</v>
      </c>
      <c r="K73" s="138">
        <f t="shared" si="42"/>
        <v>3.3220000000000001</v>
      </c>
      <c r="L73" s="994">
        <v>0.318</v>
      </c>
      <c r="M73" s="762">
        <v>0.30199999999999999</v>
      </c>
      <c r="N73" s="1444">
        <v>0.35499999999999998</v>
      </c>
      <c r="O73" s="645">
        <f t="shared" si="30"/>
        <v>0.32900000000000001</v>
      </c>
      <c r="P73" s="727">
        <v>89</v>
      </c>
      <c r="Q73" s="596">
        <v>89.62</v>
      </c>
      <c r="R73" s="706">
        <v>3474.9</v>
      </c>
      <c r="S73" s="765">
        <f>IF((_xlfn.XLOOKUP(D73,RUC!$B$3:$B$73,RUC!$E$3:$E$73)+ROUNDDOWN(O73,1)*100)&lt;95,95,((_xlfn.XLOOKUP(D73,RUC!$B$3:$B$73,RUC!$E$3:$E$73)+ROUNDDOWN(O73,1)*100)))</f>
        <v>120</v>
      </c>
      <c r="U73" s="1146">
        <f>_xlfn.XLOOKUP(D73,RUC!$B$3:$B$123,RUC!$F$3:$F$123)</f>
        <v>120</v>
      </c>
      <c r="V73" s="715">
        <v>1.1023000000000001</v>
      </c>
      <c r="Y73">
        <f>_xlfn.XLOOKUP(D73,RUC!$B$3:$B$123,RUC!$G$3:$G$123)</f>
        <v>20</v>
      </c>
      <c r="Z73" s="143">
        <f>_xlfn.XLOOKUP(D73,RUC!$B$3:$B$123,RUC!$H$3:$H$123)</f>
        <v>30</v>
      </c>
      <c r="AA73" s="144">
        <f t="shared" si="33"/>
        <v>50</v>
      </c>
      <c r="AB73" s="145">
        <f t="shared" si="28"/>
        <v>895.45149691870029</v>
      </c>
      <c r="AC73" s="145">
        <f>+(S73-T73)*V73-'data 1'!$F$4</f>
        <v>52.27600000000001</v>
      </c>
      <c r="AD73" s="145">
        <f t="shared" si="34"/>
        <v>7.291186321932055</v>
      </c>
      <c r="AE73" s="145">
        <f t="shared" si="35"/>
        <v>-14.884999999999998</v>
      </c>
      <c r="AF73" s="145">
        <f t="shared" si="36"/>
        <v>-36.45667123091404</v>
      </c>
      <c r="AG73" s="772">
        <f t="shared" si="32"/>
        <v>25.225515091018025</v>
      </c>
      <c r="AH73" s="1253">
        <f t="shared" si="40"/>
        <v>32.459000000000003</v>
      </c>
      <c r="AI73" s="1253">
        <f t="shared" si="41"/>
        <v>36.219000000000001</v>
      </c>
      <c r="AJ73" s="156">
        <f t="shared" si="37"/>
        <v>27.676283803907971</v>
      </c>
      <c r="AK73" s="156">
        <f t="shared" si="38"/>
        <v>33.34990506568591</v>
      </c>
      <c r="AL73" s="88"/>
      <c r="AM73" s="716">
        <f t="shared" si="39"/>
        <v>2974.6898727639223</v>
      </c>
      <c r="AN73" s="716" t="str">
        <f>_xlfn.XLOOKUP(D73,RUC!$B$3:$B$578,RUC!$M$3:$M$578)</f>
        <v>Evelyn</v>
      </c>
      <c r="AO73" s="1167" t="s">
        <v>2279</v>
      </c>
      <c r="AP73" t="s">
        <v>2778</v>
      </c>
      <c r="AQ73" t="s">
        <v>2779</v>
      </c>
    </row>
    <row r="74" spans="1:45" ht="15" customHeight="1">
      <c r="A74" s="747" t="s">
        <v>2770</v>
      </c>
      <c r="B74" s="595">
        <v>45914</v>
      </c>
      <c r="C74" s="1447">
        <v>45901</v>
      </c>
      <c r="D74" t="s">
        <v>1967</v>
      </c>
      <c r="E74" s="762">
        <f>_xlfn.XLOOKUP(D74,RUC!$B$3:$B$123,RUC!$D$3:$D$123)</f>
        <v>20601769396</v>
      </c>
      <c r="G74" s="1082">
        <v>47</v>
      </c>
      <c r="H74" s="762" t="s">
        <v>69</v>
      </c>
      <c r="I74" s="703">
        <v>3.97</v>
      </c>
      <c r="J74" s="596">
        <v>17.2</v>
      </c>
      <c r="K74" s="138">
        <f t="shared" si="42"/>
        <v>3.2869999999999999</v>
      </c>
      <c r="L74" s="994">
        <v>1.2569999999999999</v>
      </c>
      <c r="M74" s="762">
        <v>1.1719999999999999</v>
      </c>
      <c r="N74" s="1444">
        <v>1.3939999999999999</v>
      </c>
      <c r="O74" s="1147">
        <v>1.206</v>
      </c>
      <c r="P74" s="727">
        <v>90</v>
      </c>
      <c r="Q74" s="596">
        <v>93.8</v>
      </c>
      <c r="R74" s="706">
        <v>3474.9</v>
      </c>
      <c r="S74" s="765">
        <f>IF((_xlfn.XLOOKUP(D74,RUC!$B$3:$B$73,RUC!$E$3:$E$73)+ROUNDDOWN(O74,1)*100)&lt;95,95,((_xlfn.XLOOKUP(D74,RUC!$B$3:$B$73,RUC!$E$3:$E$73)+ROUNDDOWN(O74,1)*100)))</f>
        <v>210</v>
      </c>
      <c r="U74" s="1146">
        <f>_xlfn.XLOOKUP(D74,RUC!$B$3:$B$123,RUC!$F$3:$F$123)</f>
        <v>120</v>
      </c>
      <c r="V74" s="715">
        <v>1.1023000000000001</v>
      </c>
      <c r="Y74">
        <f>_xlfn.XLOOKUP(D74,RUC!$B$3:$B$123,RUC!$G$3:$G$123)</f>
        <v>20</v>
      </c>
      <c r="Z74" s="143">
        <f>_xlfn.XLOOKUP(D74,RUC!$B$3:$B$123,RUC!$H$3:$H$123)</f>
        <v>30</v>
      </c>
      <c r="AA74" s="144">
        <f t="shared" si="33"/>
        <v>50</v>
      </c>
      <c r="AB74" s="145">
        <f t="shared" ref="AB74:AB109" si="43">+((O74*P74*(R74-U74)/100)-S74-AA74+T74)*V74</f>
        <v>3727.3265454579996</v>
      </c>
      <c r="AC74" s="145">
        <f>+(S74-T74)*V74-'data 1'!$F$4</f>
        <v>151.483</v>
      </c>
      <c r="AD74" s="145">
        <f t="shared" si="34"/>
        <v>176.64374409281987</v>
      </c>
      <c r="AE74" s="145">
        <f t="shared" si="35"/>
        <v>-14.884999999999998</v>
      </c>
      <c r="AF74" s="145">
        <f t="shared" si="36"/>
        <v>176.91000774425979</v>
      </c>
      <c r="AG74" s="772">
        <f t="shared" si="32"/>
        <v>507.1517518370797</v>
      </c>
      <c r="AH74" s="1253">
        <f t="shared" si="40"/>
        <v>132.876</v>
      </c>
      <c r="AI74" s="1253">
        <f t="shared" si="41"/>
        <v>141.65899999999999</v>
      </c>
      <c r="AJ74" s="156">
        <f t="shared" si="37"/>
        <v>114.50220020357987</v>
      </c>
      <c r="AK74" s="156">
        <f t="shared" si="38"/>
        <v>122.32031494278789</v>
      </c>
      <c r="AL74" s="88"/>
      <c r="AM74" s="716">
        <f t="shared" si="39"/>
        <v>12251.722354920445</v>
      </c>
      <c r="AN74" s="716" t="str">
        <f>_xlfn.XLOOKUP(D74,RUC!$B$3:$B$578,RUC!$M$3:$M$578)</f>
        <v>Evelyn</v>
      </c>
      <c r="AO74" s="1167" t="s">
        <v>2281</v>
      </c>
      <c r="AP74" t="s">
        <v>2778</v>
      </c>
      <c r="AQ74" t="s">
        <v>2779</v>
      </c>
    </row>
    <row r="75" spans="1:45" ht="15" customHeight="1">
      <c r="A75" s="747" t="s">
        <v>2771</v>
      </c>
      <c r="B75" s="595">
        <v>45914</v>
      </c>
      <c r="C75" s="1447">
        <v>45901</v>
      </c>
      <c r="D75" t="s">
        <v>1967</v>
      </c>
      <c r="E75" s="762">
        <f>_xlfn.XLOOKUP(D75,RUC!$B$3:$B$123,RUC!$D$3:$D$123)</f>
        <v>20601769396</v>
      </c>
      <c r="G75" s="1082">
        <v>47</v>
      </c>
      <c r="H75" s="762" t="s">
        <v>69</v>
      </c>
      <c r="I75" s="703">
        <v>4.0199999999999996</v>
      </c>
      <c r="J75" s="596">
        <v>17.920000000000002</v>
      </c>
      <c r="K75" s="138">
        <f t="shared" si="42"/>
        <v>3.3</v>
      </c>
      <c r="L75" s="994">
        <v>0.36599999999999999</v>
      </c>
      <c r="M75" s="762">
        <v>0.30099999999999999</v>
      </c>
      <c r="N75" s="1444">
        <v>0.41499999999999998</v>
      </c>
      <c r="O75" s="1147">
        <v>0.41499999999999998</v>
      </c>
      <c r="P75" s="727">
        <v>87</v>
      </c>
      <c r="Q75" s="596">
        <v>87.38</v>
      </c>
      <c r="R75" s="706">
        <v>3474.9</v>
      </c>
      <c r="S75" s="765">
        <f>IF((_xlfn.XLOOKUP(D75,RUC!$B$3:$B$73,RUC!$E$3:$E$73)+ROUNDDOWN(O75,1)*100)&lt;95,95,((_xlfn.XLOOKUP(D75,RUC!$B$3:$B$73,RUC!$E$3:$E$73)+ROUNDDOWN(O75,1)*100)))</f>
        <v>130</v>
      </c>
      <c r="U75" s="1146">
        <f>_xlfn.XLOOKUP(D75,RUC!$B$3:$B$123,RUC!$F$3:$F$123)</f>
        <v>120</v>
      </c>
      <c r="V75" s="715">
        <v>1.1023000000000001</v>
      </c>
      <c r="Y75">
        <f>_xlfn.XLOOKUP(D75,RUC!$B$3:$B$123,RUC!$G$3:$G$123)</f>
        <v>20</v>
      </c>
      <c r="Z75" s="143">
        <f>_xlfn.XLOOKUP(D75,RUC!$B$3:$B$123,RUC!$H$3:$H$123)</f>
        <v>30</v>
      </c>
      <c r="AA75" s="144">
        <f t="shared" si="33"/>
        <v>50</v>
      </c>
      <c r="AB75" s="145">
        <f t="shared" si="43"/>
        <v>1136.7872687834999</v>
      </c>
      <c r="AC75" s="145">
        <f>+(S75-T75)*V75-'data 1'!$F$4</f>
        <v>63.299000000000007</v>
      </c>
      <c r="AD75" s="145">
        <f t="shared" si="34"/>
        <v>5.143326200315939</v>
      </c>
      <c r="AE75" s="145">
        <f t="shared" si="35"/>
        <v>-14.884999999999998</v>
      </c>
      <c r="AF75" s="145">
        <f t="shared" si="36"/>
        <v>-158.33885767757397</v>
      </c>
      <c r="AG75" s="772">
        <f t="shared" si="32"/>
        <v>-87.781531477258028</v>
      </c>
      <c r="AH75" s="1253">
        <f t="shared" si="40"/>
        <v>36.183999999999997</v>
      </c>
      <c r="AI75" s="1253">
        <f t="shared" si="41"/>
        <v>41.41</v>
      </c>
      <c r="AJ75" s="156">
        <f t="shared" si="37"/>
        <v>31.05766789040397</v>
      </c>
      <c r="AK75" s="156">
        <f t="shared" si="38"/>
        <v>40.84983987299325</v>
      </c>
      <c r="AL75" s="88"/>
      <c r="AM75" s="716">
        <f t="shared" si="39"/>
        <v>3751.3979869855498</v>
      </c>
      <c r="AN75" s="716" t="str">
        <f>_xlfn.XLOOKUP(D75,RUC!$B$3:$B$578,RUC!$M$3:$M$578)</f>
        <v>Evelyn</v>
      </c>
      <c r="AO75" s="1167" t="s">
        <v>2279</v>
      </c>
      <c r="AP75" t="s">
        <v>2778</v>
      </c>
      <c r="AQ75" t="s">
        <v>2779</v>
      </c>
    </row>
    <row r="76" spans="1:45" ht="15" customHeight="1">
      <c r="A76" s="747" t="s">
        <v>2772</v>
      </c>
      <c r="B76" s="595">
        <v>45912</v>
      </c>
      <c r="C76" s="1447">
        <v>45901</v>
      </c>
      <c r="D76" t="s">
        <v>1967</v>
      </c>
      <c r="E76" s="762">
        <f>_xlfn.XLOOKUP(D76,RUC!$B$3:$B$123,RUC!$D$3:$D$123)</f>
        <v>20601769396</v>
      </c>
      <c r="G76" s="1082">
        <v>22</v>
      </c>
      <c r="H76" s="762" t="s">
        <v>2005</v>
      </c>
      <c r="I76" s="703">
        <v>2.04</v>
      </c>
      <c r="J76" s="596">
        <v>7.33</v>
      </c>
      <c r="K76" s="138">
        <f t="shared" si="42"/>
        <v>1.89</v>
      </c>
      <c r="L76" s="762">
        <v>0.24199999999999999</v>
      </c>
      <c r="M76" s="762">
        <v>0.22700000000000001</v>
      </c>
      <c r="N76" s="1196">
        <v>0.22700000000000001</v>
      </c>
      <c r="O76" s="645">
        <f t="shared" si="30"/>
        <v>0.22700000000000001</v>
      </c>
      <c r="P76" s="727">
        <v>82</v>
      </c>
      <c r="Q76" s="596">
        <v>82.64</v>
      </c>
      <c r="R76" s="706">
        <v>3474.9</v>
      </c>
      <c r="S76" s="1164">
        <v>105</v>
      </c>
      <c r="U76" s="1146">
        <f>_xlfn.XLOOKUP(D76,RUC!$B$3:$B$123,RUC!$F$3:$F$123)</f>
        <v>120</v>
      </c>
      <c r="V76" s="715">
        <v>1.1023000000000001</v>
      </c>
      <c r="Y76">
        <f>_xlfn.XLOOKUP(D76,RUC!$B$3:$B$123,RUC!$G$3:$G$123)</f>
        <v>20</v>
      </c>
      <c r="Z76" s="143">
        <f>_xlfn.XLOOKUP(D76,RUC!$B$3:$B$123,RUC!$H$3:$H$123)</f>
        <v>30</v>
      </c>
      <c r="AA76" s="144">
        <f t="shared" si="33"/>
        <v>50</v>
      </c>
      <c r="AB76" s="145">
        <f t="shared" si="43"/>
        <v>517.50900109780014</v>
      </c>
      <c r="AC76" s="145">
        <f>+(S76-T76)*V76-'data 1'!$F$4</f>
        <v>35.741500000000002</v>
      </c>
      <c r="AD76" s="145">
        <f t="shared" si="34"/>
        <v>5.7276269909760051</v>
      </c>
      <c r="AE76" s="145">
        <f t="shared" si="35"/>
        <v>-14.884999999999998</v>
      </c>
      <c r="AF76" s="145">
        <f t="shared" si="36"/>
        <v>45.841725322919956</v>
      </c>
      <c r="AG76" s="772">
        <f t="shared" si="32"/>
        <v>89.425852313895973</v>
      </c>
      <c r="AH76" s="1253">
        <f t="shared" si="40"/>
        <v>12.959</v>
      </c>
      <c r="AI76" s="1253">
        <f t="shared" si="41"/>
        <v>15.680999999999999</v>
      </c>
      <c r="AJ76" s="156">
        <f t="shared" si="37"/>
        <v>19.421438338543982</v>
      </c>
      <c r="AK76" s="156">
        <f t="shared" si="38"/>
        <v>12.061757228775031</v>
      </c>
      <c r="AL76" s="88"/>
      <c r="AM76" s="716">
        <f t="shared" si="39"/>
        <v>978.09201207484216</v>
      </c>
      <c r="AN76" s="716" t="str">
        <f>_xlfn.XLOOKUP(D76,RUC!$B$3:$B$578,RUC!$M$3:$M$578)</f>
        <v>Evelyn</v>
      </c>
      <c r="AO76" s="1167" t="s">
        <v>2281</v>
      </c>
      <c r="AP76" t="s">
        <v>2778</v>
      </c>
      <c r="AQ76" t="s">
        <v>2779</v>
      </c>
    </row>
    <row r="77" spans="1:45" ht="15" customHeight="1">
      <c r="A77" s="747" t="s">
        <v>2773</v>
      </c>
      <c r="B77" s="595">
        <v>45910</v>
      </c>
      <c r="C77" s="1447">
        <v>45901</v>
      </c>
      <c r="D77" t="s">
        <v>1967</v>
      </c>
      <c r="E77" s="762">
        <f>_xlfn.XLOOKUP(D77,RUC!$B$3:$B$123,RUC!$D$3:$D$123)</f>
        <v>20601769396</v>
      </c>
      <c r="G77" s="1082">
        <v>27</v>
      </c>
      <c r="H77" s="762" t="s">
        <v>2005</v>
      </c>
      <c r="I77" s="703">
        <v>2.71</v>
      </c>
      <c r="J77" s="596">
        <v>6.67</v>
      </c>
      <c r="K77" s="138">
        <f t="shared" si="42"/>
        <v>2.5289999999999999</v>
      </c>
      <c r="L77" s="1443">
        <v>0.39</v>
      </c>
      <c r="M77" s="762">
        <v>0.36199999999999999</v>
      </c>
      <c r="N77" s="1444">
        <v>0.47399999999999998</v>
      </c>
      <c r="O77" s="1147">
        <v>0.41799999999999998</v>
      </c>
      <c r="P77" s="727">
        <v>88</v>
      </c>
      <c r="Q77" s="596">
        <v>89.15</v>
      </c>
      <c r="R77" s="706">
        <v>3474.9</v>
      </c>
      <c r="S77" s="765">
        <f>IF((_xlfn.XLOOKUP(D77,RUC!$B$3:$B$73,RUC!$E$3:$E$73)+ROUNDDOWN(O77,1)*100)&lt;95,95,((_xlfn.XLOOKUP(D77,RUC!$B$3:$B$73,RUC!$E$3:$E$73)+ROUNDDOWN(O77,1)*100)))</f>
        <v>130</v>
      </c>
      <c r="U77" s="1146">
        <f>_xlfn.XLOOKUP(D77,RUC!$B$3:$B$123,RUC!$F$3:$F$123)</f>
        <v>120</v>
      </c>
      <c r="V77" s="715">
        <v>1.1023000000000001</v>
      </c>
      <c r="Y77" s="1445">
        <v>30</v>
      </c>
      <c r="Z77" s="143">
        <f>_xlfn.XLOOKUP(D77,RUC!$B$3:$B$123,RUC!$H$3:$H$123)</f>
        <v>30</v>
      </c>
      <c r="AA77" s="144">
        <f t="shared" si="33"/>
        <v>60</v>
      </c>
      <c r="AB77" s="145">
        <f t="shared" si="43"/>
        <v>1150.8744103568001</v>
      </c>
      <c r="AC77" s="145">
        <f>+(S77-T77)*V77-'data 1'!$F$4</f>
        <v>63.299000000000007</v>
      </c>
      <c r="AD77" s="145">
        <f t="shared" si="34"/>
        <v>16.586006620950084</v>
      </c>
      <c r="AE77" s="145">
        <f t="shared" si="35"/>
        <v>-3.8619999999999948</v>
      </c>
      <c r="AF77" s="145">
        <f t="shared" si="36"/>
        <v>-92.312128711739916</v>
      </c>
      <c r="AG77" s="772">
        <f t="shared" si="32"/>
        <v>0.71087790921018268</v>
      </c>
      <c r="AH77" s="1253">
        <f t="shared" si="40"/>
        <v>30.146999999999998</v>
      </c>
      <c r="AI77" s="1253">
        <f t="shared" si="41"/>
        <v>33.816000000000003</v>
      </c>
      <c r="AJ77" s="156">
        <f t="shared" si="37"/>
        <v>33.764604761549968</v>
      </c>
      <c r="AK77" s="156">
        <f t="shared" si="38"/>
        <v>31.894577427849043</v>
      </c>
      <c r="AL77" s="88"/>
      <c r="AM77" s="716">
        <f t="shared" si="39"/>
        <v>2910.5613837923474</v>
      </c>
      <c r="AN77" s="716" t="str">
        <f>_xlfn.XLOOKUP(D77,RUC!$B$3:$B$578,RUC!$M$3:$M$578)</f>
        <v>Evelyn</v>
      </c>
      <c r="AO77" s="1167" t="s">
        <v>2278</v>
      </c>
      <c r="AP77" t="s">
        <v>2778</v>
      </c>
      <c r="AQ77" t="s">
        <v>2779</v>
      </c>
      <c r="AR77" s="2017" t="s">
        <v>2799</v>
      </c>
      <c r="AS77" s="2018"/>
    </row>
    <row r="78" spans="1:45" ht="15" customHeight="1">
      <c r="A78" s="747" t="s">
        <v>2774</v>
      </c>
      <c r="B78" s="595">
        <v>45910</v>
      </c>
      <c r="C78" s="1447">
        <v>45901</v>
      </c>
      <c r="D78" t="s">
        <v>1967</v>
      </c>
      <c r="E78" s="762">
        <f>_xlfn.XLOOKUP(D78,RUC!$B$3:$B$123,RUC!$D$3:$D$123)</f>
        <v>20601769396</v>
      </c>
      <c r="G78" s="1082">
        <v>26</v>
      </c>
      <c r="H78" s="762" t="s">
        <v>2005</v>
      </c>
      <c r="I78" s="703">
        <v>2.58</v>
      </c>
      <c r="J78" s="596">
        <v>6.6</v>
      </c>
      <c r="K78" s="138">
        <f t="shared" si="42"/>
        <v>2.41</v>
      </c>
      <c r="L78" s="1443">
        <v>0.54200000000000004</v>
      </c>
      <c r="M78" s="994">
        <v>0.53</v>
      </c>
      <c r="N78" s="1444">
        <v>0.55400000000000005</v>
      </c>
      <c r="O78" s="1147">
        <v>0.51100000000000001</v>
      </c>
      <c r="P78" s="727">
        <v>90</v>
      </c>
      <c r="Q78" s="596">
        <v>93.91</v>
      </c>
      <c r="R78" s="706">
        <v>3474.9</v>
      </c>
      <c r="S78" s="1164">
        <v>135</v>
      </c>
      <c r="U78" s="1146">
        <f>_xlfn.XLOOKUP(D78,RUC!$B$3:$B$123,RUC!$F$3:$F$123)</f>
        <v>120</v>
      </c>
      <c r="V78" s="715">
        <v>1.1023000000000001</v>
      </c>
      <c r="Y78">
        <f>_xlfn.XLOOKUP(D78,RUC!$B$3:$B$123,RUC!$G$3:$G$123)</f>
        <v>20</v>
      </c>
      <c r="Z78" s="143">
        <f>_xlfn.XLOOKUP(D78,RUC!$B$3:$B$123,RUC!$H$3:$H$123)</f>
        <v>30</v>
      </c>
      <c r="AA78" s="144">
        <f t="shared" si="33"/>
        <v>50</v>
      </c>
      <c r="AB78" s="145">
        <f t="shared" si="43"/>
        <v>1496.8335735730002</v>
      </c>
      <c r="AC78" s="145">
        <f>+(S78-T78)*V78-'data 1'!$F$4</f>
        <v>68.810500000000019</v>
      </c>
      <c r="AD78" s="145">
        <f t="shared" si="34"/>
        <v>78.371007695093937</v>
      </c>
      <c r="AE78" s="145">
        <f t="shared" si="35"/>
        <v>-14.884999999999998</v>
      </c>
      <c r="AF78" s="145">
        <f t="shared" si="36"/>
        <v>107.6596395428671</v>
      </c>
      <c r="AG78" s="772">
        <f t="shared" si="32"/>
        <v>256.95614723796109</v>
      </c>
      <c r="AH78" s="1253">
        <f t="shared" si="40"/>
        <v>42.057000000000002</v>
      </c>
      <c r="AI78" s="1253">
        <f t="shared" si="41"/>
        <v>44.783999999999999</v>
      </c>
      <c r="AJ78" s="156">
        <f t="shared" si="37"/>
        <v>49.429571191485955</v>
      </c>
      <c r="AK78" s="156">
        <f t="shared" si="38"/>
        <v>38.000518413709962</v>
      </c>
      <c r="AL78" s="88"/>
      <c r="AM78" s="716">
        <f t="shared" si="39"/>
        <v>3607.3689123109307</v>
      </c>
      <c r="AN78" s="716" t="str">
        <f>_xlfn.XLOOKUP(D78,RUC!$B$3:$B$578,RUC!$M$3:$M$578)</f>
        <v>Evelyn</v>
      </c>
      <c r="AO78" s="1167" t="s">
        <v>2278</v>
      </c>
      <c r="AP78" t="s">
        <v>2778</v>
      </c>
      <c r="AQ78" t="s">
        <v>2779</v>
      </c>
      <c r="AR78" s="2018"/>
      <c r="AS78" s="2018"/>
    </row>
    <row r="79" spans="1:45" ht="15" customHeight="1">
      <c r="A79" s="747" t="s">
        <v>2775</v>
      </c>
      <c r="B79" s="595">
        <v>45910</v>
      </c>
      <c r="C79" s="1447">
        <v>45901</v>
      </c>
      <c r="D79" t="s">
        <v>1967</v>
      </c>
      <c r="E79" s="762">
        <f>_xlfn.XLOOKUP(D79,RUC!$B$3:$B$123,RUC!$D$3:$D$123)</f>
        <v>20601769396</v>
      </c>
      <c r="G79" s="1082">
        <v>26</v>
      </c>
      <c r="H79" s="762" t="s">
        <v>2005</v>
      </c>
      <c r="I79" s="703">
        <v>2.61</v>
      </c>
      <c r="J79" s="596">
        <v>7.5</v>
      </c>
      <c r="K79" s="138">
        <f t="shared" si="42"/>
        <v>2.4140000000000001</v>
      </c>
      <c r="L79" s="1443">
        <v>0.47899999999999998</v>
      </c>
      <c r="M79" s="762">
        <v>0.40400000000000003</v>
      </c>
      <c r="N79" s="1444">
        <v>0.52100000000000002</v>
      </c>
      <c r="O79" s="1147">
        <v>0.52100000000000002</v>
      </c>
      <c r="P79" s="727">
        <v>90</v>
      </c>
      <c r="Q79" s="596">
        <v>90.91</v>
      </c>
      <c r="R79" s="706">
        <v>3474.9</v>
      </c>
      <c r="S79" s="765">
        <f>IF((_xlfn.XLOOKUP(D79,RUC!$B$3:$B$73,RUC!$E$3:$E$73)+ROUNDDOWN(O79,1)*100)&lt;95,95,((_xlfn.XLOOKUP(D79,RUC!$B$3:$B$73,RUC!$E$3:$E$73)+ROUNDDOWN(O79,1)*100)))</f>
        <v>140</v>
      </c>
      <c r="U79" s="1146">
        <f>_xlfn.XLOOKUP(D79,RUC!$B$3:$B$123,RUC!$F$3:$F$123)</f>
        <v>120</v>
      </c>
      <c r="V79" s="715">
        <v>1.1023000000000001</v>
      </c>
      <c r="Y79" s="1445">
        <v>30</v>
      </c>
      <c r="Z79" s="143">
        <f>_xlfn.XLOOKUP(D79,RUC!$B$3:$B$123,RUC!$H$3:$H$123)</f>
        <v>30</v>
      </c>
      <c r="AA79" s="144">
        <f t="shared" si="33"/>
        <v>60</v>
      </c>
      <c r="AB79" s="145">
        <f t="shared" si="43"/>
        <v>1513.582030003</v>
      </c>
      <c r="AC79" s="145">
        <f>+(S79-T79)*V79-'data 1'!$F$4</f>
        <v>74.322000000000003</v>
      </c>
      <c r="AD79" s="145">
        <f t="shared" si="34"/>
        <v>16.11967542030294</v>
      </c>
      <c r="AE79" s="145">
        <f t="shared" si="35"/>
        <v>-3.8619999999999948</v>
      </c>
      <c r="AF79" s="145">
        <f t="shared" si="36"/>
        <v>-141.20183322239416</v>
      </c>
      <c r="AG79" s="772">
        <f t="shared" si="32"/>
        <v>-37.622157802091209</v>
      </c>
      <c r="AH79" s="1253">
        <f t="shared" si="40"/>
        <v>36.040999999999997</v>
      </c>
      <c r="AI79" s="1253">
        <f t="shared" si="41"/>
        <v>39.643999999999998</v>
      </c>
      <c r="AJ79" s="156">
        <f t="shared" si="37"/>
        <v>42.288559035906957</v>
      </c>
      <c r="AK79" s="156">
        <f t="shared" si="38"/>
        <v>38.808474154341035</v>
      </c>
      <c r="AL79" s="88"/>
      <c r="AM79" s="716">
        <f t="shared" si="39"/>
        <v>3653.7870204272422</v>
      </c>
      <c r="AN79" s="716" t="str">
        <f>_xlfn.XLOOKUP(D79,RUC!$B$3:$B$578,RUC!$M$3:$M$578)</f>
        <v>Evelyn</v>
      </c>
      <c r="AO79" s="1167" t="s">
        <v>2278</v>
      </c>
      <c r="AP79" t="s">
        <v>2778</v>
      </c>
      <c r="AQ79" t="s">
        <v>2779</v>
      </c>
      <c r="AR79" s="2018"/>
      <c r="AS79" s="2018"/>
    </row>
    <row r="80" spans="1:45" ht="15" customHeight="1">
      <c r="A80" s="747" t="s">
        <v>2776</v>
      </c>
      <c r="B80" s="595">
        <v>45909</v>
      </c>
      <c r="C80" s="1447">
        <v>45902</v>
      </c>
      <c r="D80" t="s">
        <v>1484</v>
      </c>
      <c r="E80" s="762">
        <f>_xlfn.XLOOKUP(D80,RUC!$B$3:$B$123,RUC!$D$3:$D$123)</f>
        <v>10761932735</v>
      </c>
      <c r="G80" s="1082" t="s">
        <v>1434</v>
      </c>
      <c r="H80" s="762" t="s">
        <v>2005</v>
      </c>
      <c r="I80" s="703">
        <v>11.75</v>
      </c>
      <c r="J80" s="596">
        <v>6.4</v>
      </c>
      <c r="K80" s="138">
        <f t="shared" si="42"/>
        <v>10.997999999999999</v>
      </c>
      <c r="L80" s="762">
        <v>9.7000000000000003E-2</v>
      </c>
      <c r="M80" s="762">
        <v>8.2000000000000003E-2</v>
      </c>
      <c r="N80" s="1444">
        <v>0.13900000000000001</v>
      </c>
      <c r="O80" s="645">
        <f t="shared" si="30"/>
        <v>0.111</v>
      </c>
      <c r="P80" s="727">
        <v>80</v>
      </c>
      <c r="Q80" s="596">
        <v>97.78</v>
      </c>
      <c r="R80" s="706">
        <v>3490</v>
      </c>
      <c r="S80" s="765">
        <f>IF((_xlfn.XLOOKUP(D80,RUC!$B$3:$B$73,RUC!$E$3:$E$73)+ROUNDDOWN(O80,1)*100)&lt;95,95,((_xlfn.XLOOKUP(D80,RUC!$B$3:$B$73,RUC!$E$3:$E$73)+ROUNDDOWN(O80,1)*100)))</f>
        <v>100</v>
      </c>
      <c r="U80" s="1146">
        <f>_xlfn.XLOOKUP(D80,RUC!$B$3:$B$123,RUC!$F$3:$F$123)</f>
        <v>120</v>
      </c>
      <c r="V80" s="715">
        <v>1.1023000000000001</v>
      </c>
      <c r="Y80" s="1445">
        <v>30</v>
      </c>
      <c r="Z80" s="143">
        <f>_xlfn.XLOOKUP(D80,RUC!$B$3:$B$123,RUC!$H$3:$H$123)</f>
        <v>30</v>
      </c>
      <c r="AA80" s="144">
        <f t="shared" si="33"/>
        <v>60</v>
      </c>
      <c r="AB80" s="145">
        <f t="shared" si="43"/>
        <v>153.50188880000005</v>
      </c>
      <c r="AC80" s="145">
        <f>+(S80-T80)*V80-'data 1'!$F$4</f>
        <v>30.230000000000004</v>
      </c>
      <c r="AD80" s="145">
        <f t="shared" si="34"/>
        <v>64.066824596600014</v>
      </c>
      <c r="AE80" s="145">
        <f t="shared" si="35"/>
        <v>-3.8619999999999948</v>
      </c>
      <c r="AF80" s="145">
        <f t="shared" si="36"/>
        <v>-50.851969389199994</v>
      </c>
      <c r="AG80" s="772">
        <f t="shared" si="32"/>
        <v>56.58285520740003</v>
      </c>
      <c r="AH80" s="1253">
        <f t="shared" si="40"/>
        <v>35.764000000000003</v>
      </c>
      <c r="AI80" s="1253">
        <f t="shared" si="41"/>
        <v>36.576000000000001</v>
      </c>
      <c r="AJ80" s="156">
        <f t="shared" si="37"/>
        <v>7.6321067241399998</v>
      </c>
      <c r="AK80" s="156">
        <f t="shared" si="38"/>
        <v>33.483877962322325</v>
      </c>
      <c r="AL80" s="88"/>
      <c r="AM80" s="716">
        <f t="shared" si="39"/>
        <v>1688.2137730224003</v>
      </c>
      <c r="AN80" s="716" t="str">
        <f>_xlfn.XLOOKUP(D80,RUC!$B$3:$B$578,RUC!$M$3:$M$578)</f>
        <v>Richard Sapacayo</v>
      </c>
      <c r="AO80" s="1167" t="s">
        <v>2279</v>
      </c>
      <c r="AP80" t="s">
        <v>2795</v>
      </c>
      <c r="AQ80" t="s">
        <v>2796</v>
      </c>
    </row>
    <row r="81" spans="1:44" ht="15" customHeight="1">
      <c r="A81" s="747" t="s">
        <v>2783</v>
      </c>
      <c r="B81" s="595">
        <v>45911</v>
      </c>
      <c r="C81" s="1447">
        <v>45905</v>
      </c>
      <c r="D81" t="s">
        <v>1967</v>
      </c>
      <c r="E81" s="762">
        <f>_xlfn.XLOOKUP(D81,RUC!$B$3:$B$123,RUC!$D$3:$D$123)</f>
        <v>20601769396</v>
      </c>
      <c r="G81" s="1082">
        <v>50</v>
      </c>
      <c r="H81" s="762" t="s">
        <v>2005</v>
      </c>
      <c r="I81" s="703">
        <v>3.69</v>
      </c>
      <c r="J81" s="596">
        <v>14.07</v>
      </c>
      <c r="K81" s="138">
        <f t="shared" si="42"/>
        <v>3.1709999999999998</v>
      </c>
      <c r="L81" s="994">
        <v>0.53</v>
      </c>
      <c r="M81" s="994">
        <v>0.504</v>
      </c>
      <c r="N81" s="1196">
        <v>0.504</v>
      </c>
      <c r="O81" s="645">
        <f t="shared" si="30"/>
        <v>0.504</v>
      </c>
      <c r="P81" s="727">
        <v>89</v>
      </c>
      <c r="Q81" s="596">
        <v>89.81</v>
      </c>
      <c r="R81" s="706">
        <v>3594.55</v>
      </c>
      <c r="S81" s="765">
        <f>IF((_xlfn.XLOOKUP(D81,RUC!$B$3:$B$119,RUC!$E$3:$E$119)+ROUNDDOWN(O81,1)*100)&lt;95,95,((_xlfn.XLOOKUP(D81,RUC!$B$3:$B$119,RUC!$E$3:$E$119)+ROUNDDOWN(O81,1)*100)))</f>
        <v>140</v>
      </c>
      <c r="U81" s="1146">
        <f>_xlfn.XLOOKUP(D81,RUC!$B$3:$B$123,RUC!$F$3:$F$123)</f>
        <v>120</v>
      </c>
      <c r="V81" s="715">
        <v>1.1023000000000001</v>
      </c>
      <c r="Y81">
        <f>_xlfn.XLOOKUP(D81,RUC!$B$3:$B$123,RUC!$G$3:$G$123)</f>
        <v>20</v>
      </c>
      <c r="Z81" s="143">
        <f>_xlfn.XLOOKUP(D81,RUC!$B$3:$B$123,RUC!$H$3:$H$123)</f>
        <v>30</v>
      </c>
      <c r="AA81" s="144">
        <f t="shared" si="33"/>
        <v>50</v>
      </c>
      <c r="AB81" s="145">
        <f t="shared" si="43"/>
        <v>1508.5462143404002</v>
      </c>
      <c r="AC81" s="145">
        <f>+(S81-T81)*V81-'data 1'!$F$4</f>
        <v>74.322000000000003</v>
      </c>
      <c r="AD81" s="145">
        <f t="shared" si="34"/>
        <v>16.442174824245047</v>
      </c>
      <c r="AE81" s="145">
        <f t="shared" si="35"/>
        <v>-14.884999999999998</v>
      </c>
      <c r="AF81" s="145">
        <f t="shared" si="36"/>
        <v>89.432715455629094</v>
      </c>
      <c r="AG81" s="772">
        <f t="shared" si="32"/>
        <v>182.31189027987415</v>
      </c>
      <c r="AH81" s="1253">
        <f t="shared" si="40"/>
        <v>51.749000000000002</v>
      </c>
      <c r="AI81" s="1253">
        <f t="shared" si="41"/>
        <v>57.621000000000002</v>
      </c>
      <c r="AJ81" s="156">
        <f t="shared" si="37"/>
        <v>-16.553877497045097</v>
      </c>
      <c r="AK81" s="156">
        <f t="shared" si="38"/>
        <v>48.766979167618068</v>
      </c>
      <c r="AL81" s="88"/>
      <c r="AM81" s="716">
        <f t="shared" si="39"/>
        <v>4783.6000456734091</v>
      </c>
      <c r="AN81" s="716" t="str">
        <f>_xlfn.XLOOKUP(D81,RUC!$B$3:$B$578,RUC!$M$3:$M$578)</f>
        <v>Evelyn</v>
      </c>
      <c r="AO81" s="1167" t="s">
        <v>2278</v>
      </c>
      <c r="AP81" t="s">
        <v>2803</v>
      </c>
      <c r="AQ81" t="s">
        <v>2804</v>
      </c>
      <c r="AR81" t="s">
        <v>2802</v>
      </c>
    </row>
    <row r="82" spans="1:44" ht="15" customHeight="1">
      <c r="A82" s="747" t="s">
        <v>2784</v>
      </c>
      <c r="B82" s="595">
        <v>45911</v>
      </c>
      <c r="C82" s="1447">
        <v>45905</v>
      </c>
      <c r="D82" t="s">
        <v>1967</v>
      </c>
      <c r="E82" s="762">
        <f>_xlfn.XLOOKUP(D82,RUC!$B$3:$B$123,RUC!$D$3:$D$123)</f>
        <v>20601769396</v>
      </c>
      <c r="G82" s="1082">
        <v>50</v>
      </c>
      <c r="H82" s="762" t="s">
        <v>2005</v>
      </c>
      <c r="I82" s="703">
        <v>3.75</v>
      </c>
      <c r="J82" s="596">
        <v>15.68</v>
      </c>
      <c r="K82" s="138">
        <f t="shared" si="42"/>
        <v>3.1619999999999999</v>
      </c>
      <c r="L82" s="994">
        <v>0.54600000000000004</v>
      </c>
      <c r="M82" s="994">
        <v>0.51900000000000002</v>
      </c>
      <c r="N82" s="1196">
        <v>0.51900000000000002</v>
      </c>
      <c r="O82" s="645">
        <f t="shared" si="30"/>
        <v>0.51900000000000002</v>
      </c>
      <c r="P82" s="727">
        <v>88</v>
      </c>
      <c r="Q82" s="596">
        <v>88.46</v>
      </c>
      <c r="R82" s="706">
        <v>3594.55</v>
      </c>
      <c r="S82" s="765">
        <f>IF((_xlfn.XLOOKUP(D82,RUC!$B$3:$B$119,RUC!$E$3:$E$119)+ROUNDDOWN(O82,1)*100)&lt;95,95,((_xlfn.XLOOKUP(D82,RUC!$B$3:$B$119,RUC!$E$3:$E$119)+ROUNDDOWN(O82,1)*100)))</f>
        <v>140</v>
      </c>
      <c r="U82" s="1146">
        <f>_xlfn.XLOOKUP(D82,RUC!$B$3:$B$123,RUC!$F$3:$F$123)</f>
        <v>120</v>
      </c>
      <c r="V82" s="715">
        <v>1.1023000000000001</v>
      </c>
      <c r="Y82">
        <f>_xlfn.XLOOKUP(D82,RUC!$B$3:$B$123,RUC!$G$3:$G$123)</f>
        <v>20</v>
      </c>
      <c r="Z82" s="143">
        <f>_xlfn.XLOOKUP(D82,RUC!$B$3:$B$123,RUC!$H$3:$H$123)</f>
        <v>30</v>
      </c>
      <c r="AA82" s="144">
        <f t="shared" si="33"/>
        <v>50</v>
      </c>
      <c r="AB82" s="145">
        <f t="shared" si="43"/>
        <v>1539.7989854948005</v>
      </c>
      <c r="AC82" s="145">
        <f>+(S82-T82)*V82-'data 1'!$F$4</f>
        <v>74.322000000000003</v>
      </c>
      <c r="AD82" s="145">
        <f t="shared" si="34"/>
        <v>9.6194191214938716</v>
      </c>
      <c r="AE82" s="145">
        <f t="shared" si="35"/>
        <v>-14.884999999999998</v>
      </c>
      <c r="AF82" s="145">
        <f t="shared" si="36"/>
        <v>91.476401569353072</v>
      </c>
      <c r="AG82" s="772">
        <f t="shared" si="32"/>
        <v>177.53282069084696</v>
      </c>
      <c r="AH82" s="1253">
        <f t="shared" si="40"/>
        <v>52.360999999999997</v>
      </c>
      <c r="AI82" s="1253">
        <f t="shared" si="41"/>
        <v>59.192</v>
      </c>
      <c r="AJ82" s="156">
        <f t="shared" si="37"/>
        <v>-16.797271763454102</v>
      </c>
      <c r="AK82" s="156">
        <f t="shared" si="38"/>
        <v>49.513196524279756</v>
      </c>
      <c r="AL82" s="88"/>
      <c r="AM82" s="716">
        <f t="shared" si="39"/>
        <v>4868.8443921345588</v>
      </c>
      <c r="AN82" s="716" t="str">
        <f>_xlfn.XLOOKUP(D82,RUC!$B$3:$B$578,RUC!$M$3:$M$578)</f>
        <v>Evelyn</v>
      </c>
      <c r="AO82" s="1167" t="s">
        <v>2278</v>
      </c>
      <c r="AP82" t="s">
        <v>2803</v>
      </c>
      <c r="AQ82" t="s">
        <v>2804</v>
      </c>
    </row>
    <row r="83" spans="1:44" ht="15" customHeight="1">
      <c r="A83" s="747" t="s">
        <v>2785</v>
      </c>
      <c r="B83" s="595">
        <v>45911</v>
      </c>
      <c r="C83" s="1447">
        <v>45905</v>
      </c>
      <c r="D83" t="s">
        <v>1967</v>
      </c>
      <c r="E83" s="762">
        <f>_xlfn.XLOOKUP(D83,RUC!$B$3:$B$123,RUC!$D$3:$D$123)</f>
        <v>20601769396</v>
      </c>
      <c r="G83" s="1082">
        <v>50</v>
      </c>
      <c r="H83" s="762" t="s">
        <v>2005</v>
      </c>
      <c r="I83" s="703">
        <v>3.82</v>
      </c>
      <c r="J83" s="596">
        <v>12.5</v>
      </c>
      <c r="K83" s="138">
        <f t="shared" si="42"/>
        <v>3.343</v>
      </c>
      <c r="L83" s="994">
        <v>0.5</v>
      </c>
      <c r="M83" s="994">
        <v>0.47499999999999998</v>
      </c>
      <c r="N83" s="1196">
        <v>0.47499999999999998</v>
      </c>
      <c r="O83" s="645">
        <f t="shared" si="30"/>
        <v>0.47499999999999998</v>
      </c>
      <c r="P83" s="727">
        <v>88</v>
      </c>
      <c r="Q83" s="596">
        <v>88.8</v>
      </c>
      <c r="R83" s="706">
        <v>3594.55</v>
      </c>
      <c r="S83" s="765">
        <f>IF((_xlfn.XLOOKUP(D83,RUC!$B$3:$B$119,RUC!$E$3:$E$119)+ROUNDDOWN(O83,1)*100)&lt;95,95,((_xlfn.XLOOKUP(D83,RUC!$B$3:$B$119,RUC!$E$3:$E$119)+ROUNDDOWN(O83,1)*100)))</f>
        <v>130</v>
      </c>
      <c r="U83" s="1146">
        <f>_xlfn.XLOOKUP(D83,RUC!$B$3:$B$123,RUC!$F$3:$F$123)</f>
        <v>120</v>
      </c>
      <c r="V83" s="715">
        <v>1.1023000000000001</v>
      </c>
      <c r="Y83">
        <f>_xlfn.XLOOKUP(D83,RUC!$B$3:$B$123,RUC!$G$3:$G$123)</f>
        <v>20</v>
      </c>
      <c r="Z83" s="143">
        <f>_xlfn.XLOOKUP(D83,RUC!$B$3:$B$123,RUC!$H$3:$H$123)</f>
        <v>30</v>
      </c>
      <c r="AA83" s="144">
        <f t="shared" si="33"/>
        <v>50</v>
      </c>
      <c r="AB83" s="145">
        <f t="shared" si="43"/>
        <v>1402.5245223700001</v>
      </c>
      <c r="AC83" s="145">
        <f>+(S83-T83)*V83-'data 1'!$F$4</f>
        <v>63.299000000000007</v>
      </c>
      <c r="AD83" s="145">
        <f t="shared" si="34"/>
        <v>15.319985859999948</v>
      </c>
      <c r="AE83" s="145">
        <f t="shared" si="35"/>
        <v>-14.884999999999998</v>
      </c>
      <c r="AF83" s="145">
        <f t="shared" si="36"/>
        <v>85.025921523000065</v>
      </c>
      <c r="AG83" s="772">
        <f t="shared" si="32"/>
        <v>165.75990738300001</v>
      </c>
      <c r="AH83" s="1253">
        <f t="shared" si="40"/>
        <v>50.89</v>
      </c>
      <c r="AI83" s="1253">
        <f t="shared" si="41"/>
        <v>57.308</v>
      </c>
      <c r="AJ83" s="156">
        <f t="shared" si="37"/>
        <v>-15.441238860000089</v>
      </c>
      <c r="AK83" s="156">
        <f t="shared" si="38"/>
        <v>47.909509840980711</v>
      </c>
      <c r="AL83" s="88"/>
      <c r="AM83" s="716">
        <f t="shared" si="39"/>
        <v>4688.6394782829102</v>
      </c>
      <c r="AN83" s="716" t="str">
        <f>_xlfn.XLOOKUP(D83,RUC!$B$3:$B$578,RUC!$M$3:$M$578)</f>
        <v>Evelyn</v>
      </c>
      <c r="AO83" s="1167" t="s">
        <v>2280</v>
      </c>
      <c r="AP83" t="s">
        <v>2803</v>
      </c>
      <c r="AQ83" t="s">
        <v>2804</v>
      </c>
    </row>
    <row r="84" spans="1:44" ht="15" customHeight="1">
      <c r="A84" s="747" t="s">
        <v>2786</v>
      </c>
      <c r="B84" s="595">
        <v>45911</v>
      </c>
      <c r="C84" s="1447">
        <v>45906</v>
      </c>
      <c r="D84" t="s">
        <v>119</v>
      </c>
      <c r="E84" s="762">
        <f>_xlfn.XLOOKUP(D84,RUC!$B$3:$B$123,RUC!$D$3:$D$123)</f>
        <v>10082235774</v>
      </c>
      <c r="G84" s="1082">
        <v>75</v>
      </c>
      <c r="H84" s="762" t="s">
        <v>69</v>
      </c>
      <c r="I84" s="703">
        <v>7.3</v>
      </c>
      <c r="J84" s="596">
        <v>1.45</v>
      </c>
      <c r="K84" s="138">
        <f t="shared" si="42"/>
        <v>7.194</v>
      </c>
      <c r="L84" s="994">
        <v>0.182</v>
      </c>
      <c r="M84" s="994">
        <v>0.17499999999999999</v>
      </c>
      <c r="N84" s="1196">
        <v>0.17499999999999999</v>
      </c>
      <c r="O84" s="645">
        <f t="shared" si="30"/>
        <v>0.17499999999999999</v>
      </c>
      <c r="P84" s="727">
        <v>85</v>
      </c>
      <c r="Q84" s="596">
        <v>99.45</v>
      </c>
      <c r="R84" s="706">
        <v>3594.55</v>
      </c>
      <c r="S84" s="1164">
        <f>IF((_xlfn.XLOOKUP(D84,RUC!$B$3:$B$119,RUC!$E$3:$E$119)+ROUNDDOWN(O84,1)*100)&lt;95,95,((_xlfn.XLOOKUP(D84,RUC!$B$3:$B$119,RUC!$E$3:$E$119)+ROUNDDOWN(O84,1)*100)))</f>
        <v>95</v>
      </c>
      <c r="U84" s="1146">
        <f>_xlfn.XLOOKUP(D84,RUC!$B$3:$B$123,RUC!$F$3:$F$123)</f>
        <v>80</v>
      </c>
      <c r="V84" s="715">
        <v>1.1023000000000001</v>
      </c>
      <c r="Y84">
        <f>_xlfn.XLOOKUP(D84,RUC!$B$3:$B$123,RUC!$G$3:$G$123)</f>
        <v>0</v>
      </c>
      <c r="Z84" s="143">
        <f>_xlfn.XLOOKUP(D84,RUC!$B$3:$B$123,RUC!$H$3:$H$123)</f>
        <v>10</v>
      </c>
      <c r="AA84" s="144">
        <f t="shared" si="33"/>
        <v>10</v>
      </c>
      <c r="AB84" s="145">
        <f t="shared" si="43"/>
        <v>460.52915916874997</v>
      </c>
      <c r="AC84" s="145">
        <f>+(S84-T84)*V84-'data 1'!$F$4</f>
        <v>24.718500000000006</v>
      </c>
      <c r="AD84" s="145">
        <f t="shared" si="34"/>
        <v>101.88465254103502</v>
      </c>
      <c r="AE84" s="145">
        <f t="shared" si="35"/>
        <v>-58.977000000000004</v>
      </c>
      <c r="AF84" s="145">
        <f t="shared" si="36"/>
        <v>26.969466849097525</v>
      </c>
      <c r="AG84" s="772">
        <f>AC84+AD84+AE84+AF84+70</f>
        <v>164.59561939013255</v>
      </c>
      <c r="AH84" s="1253">
        <f t="shared" si="40"/>
        <v>44.643000000000001</v>
      </c>
      <c r="AI84" s="1253">
        <f t="shared" si="41"/>
        <v>44.89</v>
      </c>
      <c r="AJ84" s="156">
        <f t="shared" si="37"/>
        <v>-14.275312395435037</v>
      </c>
      <c r="AK84" s="156">
        <f t="shared" si="38"/>
        <v>36.689050892715372</v>
      </c>
      <c r="AL84" s="88"/>
      <c r="AM84" s="716">
        <f t="shared" si="39"/>
        <v>3313.0467710599873</v>
      </c>
      <c r="AN84" s="716" t="str">
        <f>_xlfn.XLOOKUP(D84,RUC!$B$3:$B$578,RUC!$M$3:$M$578)</f>
        <v>Melchor Vera</v>
      </c>
      <c r="AO84" s="1167" t="s">
        <v>2280</v>
      </c>
      <c r="AP84" t="s">
        <v>2800</v>
      </c>
      <c r="AQ84" t="s">
        <v>2801</v>
      </c>
    </row>
    <row r="85" spans="1:44" ht="15" customHeight="1">
      <c r="A85" s="747" t="s">
        <v>2787</v>
      </c>
      <c r="B85" s="595">
        <v>45911</v>
      </c>
      <c r="C85" s="1447">
        <v>45906</v>
      </c>
      <c r="D85" t="s">
        <v>119</v>
      </c>
      <c r="E85" s="762">
        <f>_xlfn.XLOOKUP(D85,RUC!$B$3:$B$123,RUC!$D$3:$D$123)</f>
        <v>10082235774</v>
      </c>
      <c r="G85" s="1082">
        <v>74</v>
      </c>
      <c r="H85" s="762" t="s">
        <v>69</v>
      </c>
      <c r="I85" s="703">
        <v>7.12</v>
      </c>
      <c r="J85" s="596">
        <v>1.5</v>
      </c>
      <c r="K85" s="138">
        <f t="shared" si="42"/>
        <v>7.0129999999999999</v>
      </c>
      <c r="L85" s="994">
        <v>0.14199999999999999</v>
      </c>
      <c r="M85" s="994">
        <v>0.13499999999999998</v>
      </c>
      <c r="N85" s="1196">
        <v>0.13499999999999998</v>
      </c>
      <c r="O85" s="645">
        <f t="shared" ref="O85:O109" si="44">+ROUND((M85+N85)/2,3)</f>
        <v>0.13500000000000001</v>
      </c>
      <c r="P85" s="727">
        <v>85</v>
      </c>
      <c r="Q85" s="596">
        <v>97.89</v>
      </c>
      <c r="R85" s="706">
        <v>3594.55</v>
      </c>
      <c r="S85" s="1164">
        <f>IF((_xlfn.XLOOKUP(D85,RUC!$B$3:$B$119,RUC!$E$3:$E$119)+ROUNDDOWN(O85,1)*100)&lt;95,95,((_xlfn.XLOOKUP(D85,RUC!$B$3:$B$119,RUC!$E$3:$E$119)+ROUNDDOWN(O85,1)*100)))</f>
        <v>95</v>
      </c>
      <c r="U85" s="1146">
        <f>_xlfn.XLOOKUP(D85,RUC!$B$3:$B$123,RUC!$F$3:$F$123)</f>
        <v>80</v>
      </c>
      <c r="V85" s="715">
        <v>1.1023000000000001</v>
      </c>
      <c r="Y85">
        <f>_xlfn.XLOOKUP(D85,RUC!$B$3:$B$123,RUC!$G$3:$G$123)</f>
        <v>0</v>
      </c>
      <c r="Z85" s="143">
        <f>_xlfn.XLOOKUP(D85,RUC!$B$3:$B$123,RUC!$H$3:$H$123)</f>
        <v>10</v>
      </c>
      <c r="AA85" s="144">
        <f t="shared" si="33"/>
        <v>10</v>
      </c>
      <c r="AB85" s="145">
        <f t="shared" si="43"/>
        <v>328.81015135875009</v>
      </c>
      <c r="AC85" s="145">
        <f>+(S85-T85)*V85-'data 1'!$F$4</f>
        <v>24.718500000000006</v>
      </c>
      <c r="AD85" s="145">
        <f t="shared" si="34"/>
        <v>70.910540445666996</v>
      </c>
      <c r="AE85" s="145">
        <f t="shared" si="35"/>
        <v>-58.977000000000004</v>
      </c>
      <c r="AF85" s="145">
        <f t="shared" si="36"/>
        <v>26.546416388719422</v>
      </c>
      <c r="AG85" s="772">
        <f t="shared" ref="AG85:AG90" si="45">AC85+AD85+AE85+AF85+70</f>
        <v>133.19845683438643</v>
      </c>
      <c r="AH85" s="1253">
        <f t="shared" si="40"/>
        <v>33.423000000000002</v>
      </c>
      <c r="AI85" s="1253">
        <f t="shared" si="41"/>
        <v>34.143000000000001</v>
      </c>
      <c r="AJ85" s="156">
        <f t="shared" si="37"/>
        <v>-10.963169239347028</v>
      </c>
      <c r="AK85" s="156">
        <f t="shared" si="38"/>
        <v>27.59088317878609</v>
      </c>
      <c r="AL85" s="88"/>
      <c r="AM85" s="716">
        <f t="shared" si="39"/>
        <v>2305.9455914789141</v>
      </c>
      <c r="AN85" s="716" t="str">
        <f>_xlfn.XLOOKUP(D85,RUC!$B$3:$B$578,RUC!$M$3:$M$578)</f>
        <v>Melchor Vera</v>
      </c>
      <c r="AO85" s="1167" t="s">
        <v>2279</v>
      </c>
      <c r="AP85" t="s">
        <v>2800</v>
      </c>
      <c r="AQ85" t="s">
        <v>2801</v>
      </c>
    </row>
    <row r="86" spans="1:44" ht="15" customHeight="1">
      <c r="A86" s="747" t="s">
        <v>2788</v>
      </c>
      <c r="B86" s="595">
        <v>45911</v>
      </c>
      <c r="C86" s="1447">
        <v>45906</v>
      </c>
      <c r="D86" t="s">
        <v>119</v>
      </c>
      <c r="E86" s="762">
        <f>_xlfn.XLOOKUP(D86,RUC!$B$3:$B$123,RUC!$D$3:$D$123)</f>
        <v>10082235774</v>
      </c>
      <c r="G86" s="1082">
        <v>52</v>
      </c>
      <c r="H86" s="762" t="s">
        <v>69</v>
      </c>
      <c r="I86" s="703">
        <v>5.17</v>
      </c>
      <c r="J86" s="596">
        <v>1.55</v>
      </c>
      <c r="K86" s="138">
        <f t="shared" si="42"/>
        <v>5.09</v>
      </c>
      <c r="L86" s="994">
        <v>0.15</v>
      </c>
      <c r="M86" s="994">
        <v>0.14299999999999999</v>
      </c>
      <c r="N86" s="1196">
        <v>0.14299999999999999</v>
      </c>
      <c r="O86" s="645">
        <f t="shared" si="44"/>
        <v>0.14299999999999999</v>
      </c>
      <c r="P86" s="727">
        <v>85</v>
      </c>
      <c r="Q86" s="596">
        <v>96</v>
      </c>
      <c r="R86" s="706">
        <v>3594.55</v>
      </c>
      <c r="S86" s="1164">
        <f>IF((_xlfn.XLOOKUP(D86,RUC!$B$3:$B$119,RUC!$E$3:$E$119)+ROUNDDOWN(O86,1)*100)&lt;95,95,((_xlfn.XLOOKUP(D86,RUC!$B$3:$B$119,RUC!$E$3:$E$119)+ROUNDDOWN(O86,1)*100)))</f>
        <v>95</v>
      </c>
      <c r="U86" s="1146">
        <f>_xlfn.XLOOKUP(D86,RUC!$B$3:$B$123,RUC!$F$3:$F$123)</f>
        <v>80</v>
      </c>
      <c r="V86" s="715">
        <v>1.1023000000000001</v>
      </c>
      <c r="Y86">
        <f>_xlfn.XLOOKUP(D86,RUC!$B$3:$B$123,RUC!$G$3:$G$123)</f>
        <v>0</v>
      </c>
      <c r="Z86" s="143">
        <f>_xlfn.XLOOKUP(D86,RUC!$B$3:$B$123,RUC!$H$3:$H$123)</f>
        <v>10</v>
      </c>
      <c r="AA86" s="144">
        <f t="shared" si="33"/>
        <v>10</v>
      </c>
      <c r="AB86" s="145">
        <f t="shared" si="43"/>
        <v>355.15395292075004</v>
      </c>
      <c r="AC86" s="145">
        <f>+(S86-T86)*V86-'data 1'!$F$4</f>
        <v>24.718500000000006</v>
      </c>
      <c r="AD86" s="145">
        <f t="shared" si="34"/>
        <v>63.922459672500011</v>
      </c>
      <c r="AE86" s="145">
        <f t="shared" si="35"/>
        <v>-58.977000000000004</v>
      </c>
      <c r="AF86" s="145">
        <f t="shared" si="36"/>
        <v>26.033874484800027</v>
      </c>
      <c r="AG86" s="772">
        <f t="shared" si="45"/>
        <v>125.69783415730004</v>
      </c>
      <c r="AH86" s="1253">
        <f t="shared" si="40"/>
        <v>25.13</v>
      </c>
      <c r="AI86" s="1253">
        <f t="shared" si="41"/>
        <v>26.177</v>
      </c>
      <c r="AJ86" s="156">
        <f t="shared" si="37"/>
        <v>-11.357217360000027</v>
      </c>
      <c r="AK86" s="156">
        <f t="shared" si="38"/>
        <v>21.212009589960477</v>
      </c>
      <c r="AL86" s="88"/>
      <c r="AM86" s="716">
        <f t="shared" si="39"/>
        <v>1807.7336203666177</v>
      </c>
      <c r="AN86" s="716" t="str">
        <f>_xlfn.XLOOKUP(D86,RUC!$B$3:$B$578,RUC!$M$3:$M$578)</f>
        <v>Melchor Vera</v>
      </c>
      <c r="AO86" s="1167" t="s">
        <v>2279</v>
      </c>
      <c r="AP86" t="s">
        <v>2800</v>
      </c>
      <c r="AQ86" t="s">
        <v>2801</v>
      </c>
    </row>
    <row r="87" spans="1:44" ht="15" customHeight="1">
      <c r="A87" s="747" t="s">
        <v>2789</v>
      </c>
      <c r="B87" s="595">
        <v>45911</v>
      </c>
      <c r="C87" s="1447">
        <v>45906</v>
      </c>
      <c r="D87" t="s">
        <v>119</v>
      </c>
      <c r="E87" s="762">
        <f>_xlfn.XLOOKUP(D87,RUC!$B$3:$B$123,RUC!$D$3:$D$123)</f>
        <v>10082235774</v>
      </c>
      <c r="G87" s="1082">
        <v>14</v>
      </c>
      <c r="H87" s="762" t="s">
        <v>69</v>
      </c>
      <c r="I87" s="703">
        <v>1.32</v>
      </c>
      <c r="J87" s="596">
        <v>1.75</v>
      </c>
      <c r="K87" s="138">
        <f t="shared" si="42"/>
        <v>1.2969999999999999</v>
      </c>
      <c r="L87" s="994">
        <v>0.12</v>
      </c>
      <c r="M87" s="994">
        <v>0.11299999999999999</v>
      </c>
      <c r="N87" s="1196">
        <v>0.11299999999999999</v>
      </c>
      <c r="O87" s="645">
        <f t="shared" si="44"/>
        <v>0.113</v>
      </c>
      <c r="P87" s="727">
        <v>85</v>
      </c>
      <c r="Q87" s="596">
        <v>96.67</v>
      </c>
      <c r="R87" s="706">
        <v>3594.55</v>
      </c>
      <c r="S87" s="1164">
        <f>IF((_xlfn.XLOOKUP(D87,RUC!$B$3:$B$119,RUC!$E$3:$E$119)+ROUNDDOWN(O87,1)*100)&lt;95,95,((_xlfn.XLOOKUP(D87,RUC!$B$3:$B$119,RUC!$E$3:$E$119)+ROUNDDOWN(O87,1)*100)))</f>
        <v>95</v>
      </c>
      <c r="U87" s="1146">
        <f>_xlfn.XLOOKUP(D87,RUC!$B$3:$B$123,RUC!$F$3:$F$123)</f>
        <v>80</v>
      </c>
      <c r="V87" s="715">
        <v>1.1023000000000001</v>
      </c>
      <c r="Y87">
        <f>_xlfn.XLOOKUP(D87,RUC!$B$3:$B$123,RUC!$G$3:$G$123)</f>
        <v>0</v>
      </c>
      <c r="Z87" s="143">
        <f>_xlfn.XLOOKUP(D87,RUC!$B$3:$B$123,RUC!$H$3:$H$123)</f>
        <v>10</v>
      </c>
      <c r="AA87" s="144">
        <f t="shared" si="33"/>
        <v>10</v>
      </c>
      <c r="AB87" s="145">
        <f t="shared" si="43"/>
        <v>256.36469706324999</v>
      </c>
      <c r="AC87" s="145">
        <f>+(S87-T87)*V87-'data 1'!$F$4</f>
        <v>24.718500000000006</v>
      </c>
      <c r="AD87" s="145">
        <f t="shared" si="34"/>
        <v>54.25273486386002</v>
      </c>
      <c r="AE87" s="145">
        <f t="shared" si="35"/>
        <v>-58.977000000000004</v>
      </c>
      <c r="AF87" s="145">
        <f t="shared" si="36"/>
        <v>26.215569233808473</v>
      </c>
      <c r="AG87" s="772">
        <f t="shared" si="45"/>
        <v>116.2098040976685</v>
      </c>
      <c r="AH87" s="1253">
        <f t="shared" si="40"/>
        <v>5.1580000000000004</v>
      </c>
      <c r="AI87" s="1253">
        <f t="shared" si="41"/>
        <v>5.3360000000000003</v>
      </c>
      <c r="AJ87" s="156">
        <f t="shared" si="37"/>
        <v>-9.1491850182600238</v>
      </c>
      <c r="AK87" s="156">
        <f t="shared" si="38"/>
        <v>4.2711656442966417</v>
      </c>
      <c r="AL87" s="88"/>
      <c r="AM87" s="716">
        <f t="shared" si="39"/>
        <v>332.50501209103521</v>
      </c>
      <c r="AN87" s="716" t="str">
        <f>_xlfn.XLOOKUP(D87,RUC!$B$3:$B$578,RUC!$M$3:$M$578)</f>
        <v>Melchor Vera</v>
      </c>
      <c r="AO87" s="1167" t="s">
        <v>2280</v>
      </c>
      <c r="AP87" t="s">
        <v>2800</v>
      </c>
      <c r="AQ87" t="s">
        <v>2801</v>
      </c>
    </row>
    <row r="88" spans="1:44" ht="15" customHeight="1">
      <c r="A88" s="747" t="s">
        <v>2790</v>
      </c>
      <c r="B88" s="595">
        <v>45911</v>
      </c>
      <c r="C88" s="1447">
        <v>45906</v>
      </c>
      <c r="D88" t="s">
        <v>119</v>
      </c>
      <c r="E88" s="762">
        <f>_xlfn.XLOOKUP(D88,RUC!$B$3:$B$123,RUC!$D$3:$D$123)</f>
        <v>10082235774</v>
      </c>
      <c r="G88" s="1082">
        <v>80</v>
      </c>
      <c r="H88" s="762" t="s">
        <v>69</v>
      </c>
      <c r="I88" s="703">
        <v>7.77</v>
      </c>
      <c r="J88" s="596">
        <v>1.35</v>
      </c>
      <c r="K88" s="138">
        <f t="shared" si="42"/>
        <v>7.665</v>
      </c>
      <c r="L88" s="994">
        <v>0.29199999999999998</v>
      </c>
      <c r="M88" s="994">
        <v>0.28499999999999998</v>
      </c>
      <c r="N88" s="1444">
        <v>0.30599999999999999</v>
      </c>
      <c r="O88" s="645">
        <f t="shared" si="44"/>
        <v>0.29599999999999999</v>
      </c>
      <c r="P88" s="727">
        <v>90</v>
      </c>
      <c r="Q88" s="596">
        <v>97.95</v>
      </c>
      <c r="R88" s="706">
        <v>3594.55</v>
      </c>
      <c r="S88" s="1164">
        <v>105</v>
      </c>
      <c r="U88" s="1146">
        <f>_xlfn.XLOOKUP(D88,RUC!$B$3:$B$123,RUC!$F$3:$F$123)</f>
        <v>80</v>
      </c>
      <c r="V88" s="715">
        <v>1.1023000000000001</v>
      </c>
      <c r="Y88">
        <f>_xlfn.XLOOKUP(D88,RUC!$B$3:$B$123,RUC!$G$3:$G$123)</f>
        <v>0</v>
      </c>
      <c r="Z88" s="143">
        <f>_xlfn.XLOOKUP(D88,RUC!$B$3:$B$123,RUC!$H$3:$H$123)</f>
        <v>10</v>
      </c>
      <c r="AA88" s="144">
        <f t="shared" si="33"/>
        <v>10</v>
      </c>
      <c r="AB88" s="145">
        <f>+((O88*P88*(R88-U88)/100)-S88-AA88+T88)*V88</f>
        <v>905.29266707600004</v>
      </c>
      <c r="AC88" s="145">
        <f>+(S88-T88)*V88-'data 1'!$F$4</f>
        <v>35.741500000000002</v>
      </c>
      <c r="AD88" s="145">
        <f t="shared" si="34"/>
        <v>89.933089626510025</v>
      </c>
      <c r="AE88" s="145">
        <f t="shared" si="35"/>
        <v>-58.977000000000004</v>
      </c>
      <c r="AF88" s="145">
        <f t="shared" si="36"/>
        <v>-15.178678605870015</v>
      </c>
      <c r="AG88" s="772">
        <f t="shared" si="45"/>
        <v>121.51891102064</v>
      </c>
      <c r="AH88" s="1253">
        <f t="shared" si="40"/>
        <v>75.164000000000001</v>
      </c>
      <c r="AI88" s="1253">
        <f t="shared" si="41"/>
        <v>76.736999999999995</v>
      </c>
      <c r="AJ88" s="156">
        <f t="shared" si="37"/>
        <v>-22.557799763910058</v>
      </c>
      <c r="AK88" s="156">
        <f t="shared" si="38"/>
        <v>70.009253841025796</v>
      </c>
      <c r="AL88" s="88"/>
      <c r="AM88" s="716">
        <f t="shared" si="39"/>
        <v>6939.0682931375404</v>
      </c>
      <c r="AN88" s="716" t="str">
        <f>_xlfn.XLOOKUP(D88,RUC!$B$3:$B$578,RUC!$M$3:$M$578)</f>
        <v>Melchor Vera</v>
      </c>
      <c r="AO88" s="1167" t="s">
        <v>2280</v>
      </c>
      <c r="AP88" t="s">
        <v>2800</v>
      </c>
      <c r="AQ88" t="s">
        <v>2801</v>
      </c>
    </row>
    <row r="89" spans="1:44" ht="15" customHeight="1">
      <c r="A89" s="747" t="s">
        <v>2792</v>
      </c>
      <c r="B89" s="595">
        <v>45911</v>
      </c>
      <c r="C89" s="1447">
        <v>45906</v>
      </c>
      <c r="D89" t="s">
        <v>119</v>
      </c>
      <c r="E89" s="762">
        <f>_xlfn.XLOOKUP(D89,RUC!$B$3:$B$123,RUC!$D$3:$D$123)</f>
        <v>10082235774</v>
      </c>
      <c r="G89" s="1082">
        <v>44</v>
      </c>
      <c r="H89" s="762" t="s">
        <v>69</v>
      </c>
      <c r="I89" s="703">
        <v>4.32</v>
      </c>
      <c r="J89" s="596">
        <v>1.1499999999999999</v>
      </c>
      <c r="K89" s="138">
        <f t="shared" si="42"/>
        <v>4.2699999999999996</v>
      </c>
      <c r="L89" s="994">
        <v>0.152</v>
      </c>
      <c r="M89" s="994">
        <v>0.14499999999999999</v>
      </c>
      <c r="N89" s="1196">
        <v>0.14499999999999999</v>
      </c>
      <c r="O89" s="645">
        <f t="shared" si="44"/>
        <v>0.14499999999999999</v>
      </c>
      <c r="P89" s="727">
        <v>85</v>
      </c>
      <c r="Q89" s="596">
        <v>98.03</v>
      </c>
      <c r="R89" s="706">
        <v>3594.55</v>
      </c>
      <c r="S89" s="1164">
        <f>IF((_xlfn.XLOOKUP(D89,RUC!$B$3:$B$119,RUC!$E$3:$E$119)+ROUNDDOWN(O89,1)*100)&lt;95,95,((_xlfn.XLOOKUP(D89,RUC!$B$3:$B$119,RUC!$E$3:$E$119)+ROUNDDOWN(O89,1)*100)))</f>
        <v>95</v>
      </c>
      <c r="U89" s="1146">
        <f>_xlfn.XLOOKUP(D89,RUC!$B$3:$B$123,RUC!$F$3:$F$123)</f>
        <v>80</v>
      </c>
      <c r="V89" s="715">
        <v>1.1023000000000001</v>
      </c>
      <c r="Y89">
        <f>_xlfn.XLOOKUP(D89,RUC!$B$3:$B$123,RUC!$G$3:$G$123)</f>
        <v>0</v>
      </c>
      <c r="Z89" s="143">
        <f>_xlfn.XLOOKUP(D89,RUC!$B$3:$B$123,RUC!$H$3:$H$123)</f>
        <v>10</v>
      </c>
      <c r="AA89" s="144">
        <f t="shared" si="33"/>
        <v>10</v>
      </c>
      <c r="AB89" s="145">
        <f t="shared" si="43"/>
        <v>361.73990331125003</v>
      </c>
      <c r="AC89" s="145">
        <f>+(S89-T89)*V89-'data 1'!$F$4</f>
        <v>24.718500000000006</v>
      </c>
      <c r="AD89" s="145">
        <f t="shared" si="34"/>
        <v>76.728646502404004</v>
      </c>
      <c r="AE89" s="145">
        <f t="shared" si="35"/>
        <v>-58.977000000000004</v>
      </c>
      <c r="AF89" s="145">
        <f t="shared" si="36"/>
        <v>26.584382455676522</v>
      </c>
      <c r="AG89" s="772">
        <f t="shared" si="45"/>
        <v>139.05452895808054</v>
      </c>
      <c r="AH89" s="1253">
        <f t="shared" si="40"/>
        <v>21.814</v>
      </c>
      <c r="AI89" s="1253">
        <f t="shared" si="41"/>
        <v>22.253</v>
      </c>
      <c r="AJ89" s="156">
        <f t="shared" si="37"/>
        <v>-11.752006854564032</v>
      </c>
      <c r="AK89" s="156">
        <f t="shared" si="38"/>
        <v>18.043628309483871</v>
      </c>
      <c r="AL89" s="88"/>
      <c r="AM89" s="716">
        <f t="shared" si="39"/>
        <v>1544.6293871390376</v>
      </c>
      <c r="AN89" s="716" t="str">
        <f>_xlfn.XLOOKUP(D89,RUC!$B$3:$B$578,RUC!$M$3:$M$578)</f>
        <v>Melchor Vera</v>
      </c>
      <c r="AO89" s="1167" t="s">
        <v>2280</v>
      </c>
      <c r="AP89" t="s">
        <v>2800</v>
      </c>
      <c r="AQ89" t="s">
        <v>2801</v>
      </c>
    </row>
    <row r="90" spans="1:44" ht="15" customHeight="1">
      <c r="A90" s="747" t="s">
        <v>2793</v>
      </c>
      <c r="B90" s="595">
        <v>45911</v>
      </c>
      <c r="C90" s="1447">
        <v>45906</v>
      </c>
      <c r="D90" t="s">
        <v>119</v>
      </c>
      <c r="E90" s="762">
        <f>_xlfn.XLOOKUP(D90,RUC!$B$3:$B$123,RUC!$D$3:$D$123)</f>
        <v>10082235774</v>
      </c>
      <c r="G90" s="1082">
        <v>33</v>
      </c>
      <c r="H90" s="762" t="s">
        <v>69</v>
      </c>
      <c r="I90" s="703">
        <v>3.34</v>
      </c>
      <c r="J90" s="596">
        <v>1.35</v>
      </c>
      <c r="K90" s="138">
        <f t="shared" si="42"/>
        <v>3.2949999999999999</v>
      </c>
      <c r="L90" s="994">
        <v>0.13700000000000001</v>
      </c>
      <c r="M90" s="994">
        <v>0.13</v>
      </c>
      <c r="N90" s="1196">
        <v>0.13</v>
      </c>
      <c r="O90" s="645">
        <f t="shared" si="44"/>
        <v>0.13</v>
      </c>
      <c r="P90" s="727">
        <v>85</v>
      </c>
      <c r="Q90" s="596">
        <v>94.16</v>
      </c>
      <c r="R90" s="706">
        <v>3594.55</v>
      </c>
      <c r="S90" s="1164">
        <f>IF((_xlfn.XLOOKUP(D90,RUC!$B$3:$B$119,RUC!$E$3:$E$119)+ROUNDDOWN(O90,1)*100)&lt;95,95,((_xlfn.XLOOKUP(D90,RUC!$B$3:$B$119,RUC!$E$3:$E$119)+ROUNDDOWN(O90,1)*100)))</f>
        <v>95</v>
      </c>
      <c r="U90" s="1146">
        <f>_xlfn.XLOOKUP(D90,RUC!$B$3:$B$123,RUC!$F$3:$F$123)</f>
        <v>80</v>
      </c>
      <c r="V90" s="715">
        <v>1.1023000000000001</v>
      </c>
      <c r="Y90">
        <f>_xlfn.XLOOKUP(D90,RUC!$B$3:$B$123,RUC!$G$3:$G$123)</f>
        <v>0</v>
      </c>
      <c r="Z90" s="143">
        <f>_xlfn.XLOOKUP(D90,RUC!$B$3:$B$123,RUC!$H$3:$H$123)</f>
        <v>10</v>
      </c>
      <c r="AA90" s="144">
        <f t="shared" si="33"/>
        <v>10</v>
      </c>
      <c r="AB90" s="145">
        <f t="shared" si="43"/>
        <v>312.34527538250006</v>
      </c>
      <c r="AC90" s="145">
        <f>+(S90-T90)*V90-'data 1'!$F$4</f>
        <v>24.718500000000006</v>
      </c>
      <c r="AD90" s="145">
        <f t="shared" si="34"/>
        <v>48.61671096497799</v>
      </c>
      <c r="AE90" s="145">
        <f t="shared" si="35"/>
        <v>-58.977000000000004</v>
      </c>
      <c r="AF90" s="145">
        <f t="shared" si="36"/>
        <v>25.534891890508025</v>
      </c>
      <c r="AG90" s="772">
        <f t="shared" si="45"/>
        <v>109.89310285548601</v>
      </c>
      <c r="AH90" s="1253">
        <f t="shared" si="40"/>
        <v>14.573</v>
      </c>
      <c r="AI90" s="1253">
        <f t="shared" si="41"/>
        <v>15.477</v>
      </c>
      <c r="AJ90" s="156">
        <f t="shared" si="37"/>
        <v>-10.174110789348028</v>
      </c>
      <c r="AK90" s="156">
        <f t="shared" si="38"/>
        <v>12.483224075534876</v>
      </c>
      <c r="AL90" s="88"/>
      <c r="AM90" s="716">
        <f t="shared" si="39"/>
        <v>1029.1776823853377</v>
      </c>
      <c r="AN90" s="716" t="str">
        <f>_xlfn.XLOOKUP(D90,RUC!$B$3:$B$578,RUC!$M$3:$M$578)</f>
        <v>Melchor Vera</v>
      </c>
      <c r="AO90" s="1167" t="s">
        <v>2279</v>
      </c>
      <c r="AP90" t="s">
        <v>2800</v>
      </c>
      <c r="AQ90" t="s">
        <v>2801</v>
      </c>
    </row>
    <row r="91" spans="1:44" ht="15" customHeight="1">
      <c r="A91" s="747" t="s">
        <v>2806</v>
      </c>
      <c r="B91" s="595">
        <v>45914</v>
      </c>
      <c r="C91" s="1447">
        <v>45908</v>
      </c>
      <c r="D91" t="s">
        <v>1967</v>
      </c>
      <c r="E91" s="762">
        <f>_xlfn.XLOOKUP(D91,RUC!$B$3:$B$123,RUC!$D$3:$D$123)</f>
        <v>20601769396</v>
      </c>
      <c r="G91" s="1082">
        <v>50</v>
      </c>
      <c r="H91" s="762" t="s">
        <v>2005</v>
      </c>
      <c r="I91" s="703">
        <v>3.49</v>
      </c>
      <c r="J91" s="596">
        <v>14.33</v>
      </c>
      <c r="K91" s="138">
        <f t="shared" si="42"/>
        <v>2.99</v>
      </c>
      <c r="L91" s="762">
        <v>0.27500000000000002</v>
      </c>
      <c r="M91" s="994">
        <v>0.26</v>
      </c>
      <c r="N91" s="1196">
        <v>0.26</v>
      </c>
      <c r="O91" s="645">
        <f t="shared" si="44"/>
        <v>0.26</v>
      </c>
      <c r="P91" s="727">
        <v>90</v>
      </c>
      <c r="Q91" s="596">
        <v>92.73</v>
      </c>
      <c r="R91" s="706">
        <v>3632.65</v>
      </c>
      <c r="S91" s="765">
        <f>IF((_xlfn.XLOOKUP(D91,RUC!$B$3:$B$119,RUC!$E$3:$E$119)+ROUNDDOWN(O91,1)*100)&lt;95,95,((_xlfn.XLOOKUP(D91,RUC!$B$3:$B$119,RUC!$E$3:$E$119)+ROUNDDOWN(O91,1)*100)))</f>
        <v>110</v>
      </c>
      <c r="U91" s="1146">
        <f>_xlfn.XLOOKUP(D91,RUC!$B$3:$B$123,RUC!$F$3:$F$123)</f>
        <v>120</v>
      </c>
      <c r="V91" s="715">
        <v>1.1023000000000001</v>
      </c>
      <c r="Y91">
        <f>_xlfn.XLOOKUP(D91,RUC!$B$3:$B$123,RUC!$G$3:$G$123)</f>
        <v>20</v>
      </c>
      <c r="Z91" s="143">
        <f>_xlfn.XLOOKUP(D91,RUC!$B$3:$B$123,RUC!$H$3:$H$123)</f>
        <v>30</v>
      </c>
      <c r="AA91" s="144">
        <f t="shared" si="33"/>
        <v>50</v>
      </c>
      <c r="AB91" s="145">
        <f t="shared" si="43"/>
        <v>729.67861823000021</v>
      </c>
      <c r="AC91" s="145">
        <f>+(S91-T91)*V91-'data 1'!$F$4</f>
        <v>41.253</v>
      </c>
      <c r="AD91" s="145">
        <f t="shared" si="34"/>
        <v>29.068995668212548</v>
      </c>
      <c r="AE91" s="145">
        <f t="shared" si="35"/>
        <v>-14.884999999999998</v>
      </c>
      <c r="AF91" s="145">
        <f t="shared" si="36"/>
        <v>53.85750186440255</v>
      </c>
      <c r="AG91" s="772">
        <f t="shared" ref="AG91:AG109" si="46">AC91+AD91+AE91+AF91+70-53</f>
        <v>126.29449753261511</v>
      </c>
      <c r="AH91" s="1253">
        <f t="shared" si="40"/>
        <v>26.141999999999999</v>
      </c>
      <c r="AI91" s="1253">
        <f t="shared" si="41"/>
        <v>28.190999999999999</v>
      </c>
      <c r="AJ91" s="156">
        <f t="shared" si="37"/>
        <v>-19.578250538962529</v>
      </c>
      <c r="AK91" s="156">
        <f t="shared" si="38"/>
        <v>23.988114603063003</v>
      </c>
      <c r="AL91" s="88"/>
      <c r="AM91" s="716">
        <f t="shared" si="39"/>
        <v>2181.7390685077007</v>
      </c>
      <c r="AN91" s="716" t="str">
        <f>_xlfn.XLOOKUP(D91,RUC!$B$3:$B$578,RUC!$M$3:$M$578)</f>
        <v>Evelyn</v>
      </c>
      <c r="AO91" s="1167" t="s">
        <v>2279</v>
      </c>
      <c r="AP91" t="s">
        <v>2826</v>
      </c>
      <c r="AQ91" t="s">
        <v>2827</v>
      </c>
    </row>
    <row r="92" spans="1:44" ht="15" customHeight="1">
      <c r="A92" s="747" t="s">
        <v>2807</v>
      </c>
      <c r="B92" s="595">
        <v>45915</v>
      </c>
      <c r="C92" s="1447">
        <v>45908</v>
      </c>
      <c r="D92" t="s">
        <v>1967</v>
      </c>
      <c r="E92" s="762">
        <f>_xlfn.XLOOKUP(D92,RUC!$B$3:$B$123,RUC!$D$3:$D$123)</f>
        <v>20601769396</v>
      </c>
      <c r="G92" s="1082">
        <v>50</v>
      </c>
      <c r="H92" s="762" t="s">
        <v>2005</v>
      </c>
      <c r="I92" s="703">
        <v>2.75</v>
      </c>
      <c r="J92" s="596">
        <v>30.75</v>
      </c>
      <c r="K92" s="138">
        <f t="shared" si="42"/>
        <v>1.9039999999999999</v>
      </c>
      <c r="L92" s="762">
        <v>0.29499999999999998</v>
      </c>
      <c r="M92" s="994">
        <v>0.28000000000000003</v>
      </c>
      <c r="N92" s="1196">
        <v>0.28000000000000003</v>
      </c>
      <c r="O92" s="645">
        <f t="shared" si="44"/>
        <v>0.28000000000000003</v>
      </c>
      <c r="P92" s="727">
        <v>90</v>
      </c>
      <c r="Q92" s="596">
        <v>91.53</v>
      </c>
      <c r="R92" s="706">
        <v>3632.65</v>
      </c>
      <c r="S92" s="765">
        <f>IF((_xlfn.XLOOKUP(D92,RUC!$B$3:$B$119,RUC!$E$3:$E$119)+ROUNDDOWN(O92,1)*100)&lt;95,95,((_xlfn.XLOOKUP(D92,RUC!$B$3:$B$119,RUC!$E$3:$E$119)+ROUNDDOWN(O92,1)*100)))</f>
        <v>110</v>
      </c>
      <c r="U92" s="1146">
        <f>_xlfn.XLOOKUP(D92,RUC!$B$3:$B$123,RUC!$F$3:$F$123)</f>
        <v>120</v>
      </c>
      <c r="V92" s="715">
        <v>1.1023000000000001</v>
      </c>
      <c r="Y92">
        <f>_xlfn.XLOOKUP(D92,RUC!$B$3:$B$123,RUC!$G$3:$G$123)</f>
        <v>20</v>
      </c>
      <c r="Z92" s="143">
        <f>_xlfn.XLOOKUP(D92,RUC!$B$3:$B$123,RUC!$H$3:$H$123)</f>
        <v>30</v>
      </c>
      <c r="AA92" s="144">
        <f t="shared" si="33"/>
        <v>50</v>
      </c>
      <c r="AB92" s="145">
        <f t="shared" si="43"/>
        <v>799.37451194000016</v>
      </c>
      <c r="AC92" s="145">
        <f>+(S92-T92)*V92-'data 1'!$F$4</f>
        <v>41.253</v>
      </c>
      <c r="AD92" s="145">
        <f t="shared" si="34"/>
        <v>17.476245347782513</v>
      </c>
      <c r="AE92" s="145">
        <f t="shared" si="35"/>
        <v>-14.884999999999998</v>
      </c>
      <c r="AF92" s="145">
        <f t="shared" si="36"/>
        <v>53.160542927302359</v>
      </c>
      <c r="AG92" s="772">
        <f t="shared" si="46"/>
        <v>114.00478827508488</v>
      </c>
      <c r="AH92" s="1253">
        <f t="shared" si="40"/>
        <v>17.626000000000001</v>
      </c>
      <c r="AI92" s="1253">
        <f t="shared" si="41"/>
        <v>19.257000000000001</v>
      </c>
      <c r="AJ92" s="156">
        <f t="shared" si="37"/>
        <v>-20.730339115132523</v>
      </c>
      <c r="AK92" s="156">
        <f t="shared" si="38"/>
        <v>16.4504034694944</v>
      </c>
      <c r="AL92" s="88"/>
      <c r="AM92" s="716">
        <f t="shared" si="39"/>
        <v>1522.0090707337602</v>
      </c>
      <c r="AN92" s="716" t="str">
        <f>_xlfn.XLOOKUP(D92,RUC!$B$3:$B$578,RUC!$M$3:$M$578)</f>
        <v>Evelyn</v>
      </c>
      <c r="AO92" s="1167" t="s">
        <v>2279</v>
      </c>
      <c r="AP92" t="s">
        <v>2826</v>
      </c>
      <c r="AQ92" t="s">
        <v>2827</v>
      </c>
    </row>
    <row r="93" spans="1:44" ht="15" customHeight="1">
      <c r="A93" s="747" t="s">
        <v>2808</v>
      </c>
      <c r="B93" s="595">
        <v>45915</v>
      </c>
      <c r="C93" s="1447">
        <v>45908</v>
      </c>
      <c r="D93" t="s">
        <v>1967</v>
      </c>
      <c r="E93" s="762">
        <f>_xlfn.XLOOKUP(D93,RUC!$B$3:$B$123,RUC!$D$3:$D$123)</f>
        <v>20601769396</v>
      </c>
      <c r="G93" s="1082">
        <v>50</v>
      </c>
      <c r="H93" s="762" t="s">
        <v>2005</v>
      </c>
      <c r="I93" s="703">
        <v>3.36</v>
      </c>
      <c r="J93" s="596">
        <v>24.87</v>
      </c>
      <c r="K93" s="138">
        <f t="shared" si="42"/>
        <v>2.524</v>
      </c>
      <c r="L93" s="762">
        <v>0.29199999999999998</v>
      </c>
      <c r="M93" s="994">
        <v>0.27700000000000002</v>
      </c>
      <c r="N93" s="1196">
        <v>0.27700000000000002</v>
      </c>
      <c r="O93" s="645">
        <f t="shared" si="44"/>
        <v>0.27700000000000002</v>
      </c>
      <c r="P93" s="727">
        <v>90</v>
      </c>
      <c r="Q93" s="596">
        <v>90.75</v>
      </c>
      <c r="R93" s="706">
        <v>3632.65</v>
      </c>
      <c r="S93" s="765">
        <f>IF((_xlfn.XLOOKUP(D93,RUC!$B$3:$B$119,RUC!$E$3:$E$119)+ROUNDDOWN(O93,1)*100)&lt;95,95,((_xlfn.XLOOKUP(D93,RUC!$B$3:$B$119,RUC!$E$3:$E$119)+ROUNDDOWN(O93,1)*100)))</f>
        <v>110</v>
      </c>
      <c r="U93" s="1146">
        <f>_xlfn.XLOOKUP(D93,RUC!$B$3:$B$123,RUC!$F$3:$F$123)</f>
        <v>120</v>
      </c>
      <c r="V93" s="715">
        <v>1.1023000000000001</v>
      </c>
      <c r="Y93">
        <f>_xlfn.XLOOKUP(D93,RUC!$B$3:$B$123,RUC!$G$3:$G$123)</f>
        <v>20</v>
      </c>
      <c r="Z93" s="143">
        <f>_xlfn.XLOOKUP(D93,RUC!$B$3:$B$123,RUC!$H$3:$H$123)</f>
        <v>30</v>
      </c>
      <c r="AA93" s="144">
        <f t="shared" si="33"/>
        <v>50</v>
      </c>
      <c r="AB93" s="145">
        <f t="shared" si="43"/>
        <v>788.92012788350007</v>
      </c>
      <c r="AC93" s="145">
        <f>+(S93-T93)*V93-'data 1'!$F$4</f>
        <v>41.253</v>
      </c>
      <c r="AD93" s="145">
        <f t="shared" si="34"/>
        <v>8.4796670680500004</v>
      </c>
      <c r="AE93" s="145">
        <f t="shared" si="35"/>
        <v>-14.884999999999998</v>
      </c>
      <c r="AF93" s="145">
        <f t="shared" si="36"/>
        <v>52.707519618187362</v>
      </c>
      <c r="AG93" s="772">
        <f t="shared" si="46"/>
        <v>104.55518668623736</v>
      </c>
      <c r="AH93" s="1253">
        <f t="shared" si="40"/>
        <v>22.931000000000001</v>
      </c>
      <c r="AI93" s="1253">
        <f t="shared" si="41"/>
        <v>25.268999999999998</v>
      </c>
      <c r="AJ93" s="156">
        <f t="shared" si="37"/>
        <v>-20.34465892305003</v>
      </c>
      <c r="AK93" s="156">
        <f t="shared" si="38"/>
        <v>21.573504435943264</v>
      </c>
      <c r="AL93" s="88"/>
      <c r="AM93" s="716">
        <f t="shared" si="39"/>
        <v>1991.2344027779543</v>
      </c>
      <c r="AN93" s="716" t="str">
        <f>_xlfn.XLOOKUP(D93,RUC!$B$3:$B$578,RUC!$M$3:$M$578)</f>
        <v>Evelyn</v>
      </c>
      <c r="AO93" s="1167" t="s">
        <v>2279</v>
      </c>
      <c r="AP93" t="s">
        <v>2826</v>
      </c>
      <c r="AQ93" t="s">
        <v>2827</v>
      </c>
    </row>
    <row r="94" spans="1:44" ht="15" customHeight="1">
      <c r="A94" s="747" t="s">
        <v>2809</v>
      </c>
      <c r="B94" s="595">
        <v>45915</v>
      </c>
      <c r="C94" s="1447">
        <v>45908</v>
      </c>
      <c r="D94" t="s">
        <v>1967</v>
      </c>
      <c r="E94" s="762">
        <f>_xlfn.XLOOKUP(D94,RUC!$B$3:$B$123,RUC!$D$3:$D$123)</f>
        <v>20601769396</v>
      </c>
      <c r="G94" s="1082">
        <v>50</v>
      </c>
      <c r="H94" s="762" t="s">
        <v>2005</v>
      </c>
      <c r="I94" s="703">
        <v>3.36</v>
      </c>
      <c r="J94" s="596">
        <v>23.97</v>
      </c>
      <c r="K94" s="138">
        <f t="shared" si="42"/>
        <v>2.5550000000000002</v>
      </c>
      <c r="L94" s="762">
        <v>0.26800000000000002</v>
      </c>
      <c r="M94" s="994">
        <v>0.253</v>
      </c>
      <c r="N94" s="1196">
        <v>0.253</v>
      </c>
      <c r="O94" s="645">
        <f t="shared" si="44"/>
        <v>0.253</v>
      </c>
      <c r="P94" s="727">
        <v>90</v>
      </c>
      <c r="Q94" s="596">
        <v>92.16</v>
      </c>
      <c r="R94" s="706">
        <v>3632.65</v>
      </c>
      <c r="S94" s="765">
        <f>IF((_xlfn.XLOOKUP(D94,RUC!$B$3:$B$119,RUC!$E$3:$E$119)+ROUNDDOWN(O94,1)*100)&lt;95,95,((_xlfn.XLOOKUP(D94,RUC!$B$3:$B$119,RUC!$E$3:$E$119)+ROUNDDOWN(O94,1)*100)))</f>
        <v>110</v>
      </c>
      <c r="U94" s="1146">
        <f>_xlfn.XLOOKUP(D94,RUC!$B$3:$B$123,RUC!$F$3:$F$123)</f>
        <v>120</v>
      </c>
      <c r="V94" s="715">
        <v>1.1023000000000001</v>
      </c>
      <c r="Y94">
        <f>_xlfn.XLOOKUP(D94,RUC!$B$3:$B$123,RUC!$G$3:$G$123)</f>
        <v>20</v>
      </c>
      <c r="Z94" s="143">
        <f>_xlfn.XLOOKUP(D94,RUC!$B$3:$B$123,RUC!$H$3:$H$123)</f>
        <v>30</v>
      </c>
      <c r="AA94" s="144">
        <f t="shared" si="33"/>
        <v>50</v>
      </c>
      <c r="AB94" s="145">
        <f t="shared" si="43"/>
        <v>705.28505543150004</v>
      </c>
      <c r="AC94" s="145">
        <f>+(S94-T94)*V94-'data 1'!$F$4</f>
        <v>41.253</v>
      </c>
      <c r="AD94" s="145">
        <f t="shared" si="34"/>
        <v>22.414199417135965</v>
      </c>
      <c r="AE94" s="145">
        <f t="shared" si="35"/>
        <v>-14.884999999999998</v>
      </c>
      <c r="AF94" s="145">
        <f t="shared" si="36"/>
        <v>53.526446369280045</v>
      </c>
      <c r="AG94" s="772">
        <f t="shared" si="46"/>
        <v>119.30864578641601</v>
      </c>
      <c r="AH94" s="1253">
        <f t="shared" si="40"/>
        <v>21.635999999999999</v>
      </c>
      <c r="AI94" s="1253">
        <f t="shared" si="41"/>
        <v>23.477</v>
      </c>
      <c r="AJ94" s="156">
        <f t="shared" si="37"/>
        <v>-18.962613282816022</v>
      </c>
      <c r="AK94" s="156">
        <f t="shared" si="38"/>
        <v>19.94633020470668</v>
      </c>
      <c r="AL94" s="88"/>
      <c r="AM94" s="716">
        <f t="shared" si="39"/>
        <v>1802.0033166274827</v>
      </c>
      <c r="AN94" s="716" t="str">
        <f>_xlfn.XLOOKUP(D94,RUC!$B$3:$B$578,RUC!$M$3:$M$578)</f>
        <v>Evelyn</v>
      </c>
      <c r="AO94" s="1167" t="s">
        <v>2279</v>
      </c>
      <c r="AP94" t="s">
        <v>2826</v>
      </c>
      <c r="AQ94" t="s">
        <v>2827</v>
      </c>
    </row>
    <row r="95" spans="1:44" ht="15" customHeight="1">
      <c r="A95" s="747" t="s">
        <v>2810</v>
      </c>
      <c r="B95" s="595">
        <v>45915</v>
      </c>
      <c r="C95" s="1447">
        <v>45908</v>
      </c>
      <c r="D95" t="s">
        <v>1967</v>
      </c>
      <c r="E95" s="762">
        <f>_xlfn.XLOOKUP(D95,RUC!$B$3:$B$123,RUC!$D$3:$D$123)</f>
        <v>20601769396</v>
      </c>
      <c r="G95" s="1082">
        <v>50</v>
      </c>
      <c r="H95" s="762" t="s">
        <v>2005</v>
      </c>
      <c r="I95" s="703">
        <v>3.38</v>
      </c>
      <c r="J95" s="596">
        <v>22.67</v>
      </c>
      <c r="K95" s="138">
        <f t="shared" si="42"/>
        <v>2.6139999999999999</v>
      </c>
      <c r="L95" s="762">
        <v>0.29199999999999998</v>
      </c>
      <c r="M95" s="994">
        <v>0.27200000000000002</v>
      </c>
      <c r="N95" s="1196">
        <v>0.27200000000000002</v>
      </c>
      <c r="O95" s="645">
        <f t="shared" si="44"/>
        <v>0.27200000000000002</v>
      </c>
      <c r="P95" s="727">
        <v>86</v>
      </c>
      <c r="Q95" s="596">
        <v>86.99</v>
      </c>
      <c r="R95" s="706">
        <v>3632.65</v>
      </c>
      <c r="S95" s="765">
        <f>IF((_xlfn.XLOOKUP(D95,RUC!$B$3:$B$119,RUC!$E$3:$E$119)+ROUNDDOWN(O95,1)*100)&lt;95,95,((_xlfn.XLOOKUP(D95,RUC!$B$3:$B$119,RUC!$E$3:$E$119)+ROUNDDOWN(O95,1)*100)))</f>
        <v>110</v>
      </c>
      <c r="U95" s="1146">
        <f>_xlfn.XLOOKUP(D95,RUC!$B$3:$B$123,RUC!$F$3:$F$123)</f>
        <v>120</v>
      </c>
      <c r="V95" s="715">
        <v>1.1023000000000001</v>
      </c>
      <c r="Y95">
        <f>_xlfn.XLOOKUP(D95,RUC!$B$3:$B$123,RUC!$G$3:$G$123)</f>
        <v>20</v>
      </c>
      <c r="Z95" s="143">
        <f>_xlfn.XLOOKUP(D95,RUC!$B$3:$B$123,RUC!$H$3:$H$123)</f>
        <v>30</v>
      </c>
      <c r="AA95" s="144">
        <f t="shared" si="33"/>
        <v>50</v>
      </c>
      <c r="AB95" s="145">
        <f t="shared" si="43"/>
        <v>729.3688587024003</v>
      </c>
      <c r="AC95" s="145">
        <f>+(S95-T95)*V95-'data 1'!$F$4</f>
        <v>41.253</v>
      </c>
      <c r="AD95" s="145">
        <f t="shared" si="34"/>
        <v>11.19316052982594</v>
      </c>
      <c r="AE95" s="145">
        <f t="shared" si="35"/>
        <v>-14.884999999999998</v>
      </c>
      <c r="AF95" s="145">
        <f t="shared" si="36"/>
        <v>67.36495326480987</v>
      </c>
      <c r="AG95" s="772">
        <f t="shared" si="46"/>
        <v>121.9261137946358</v>
      </c>
      <c r="AH95" s="1253">
        <f t="shared" si="40"/>
        <v>22.765000000000001</v>
      </c>
      <c r="AI95" s="1253">
        <f t="shared" si="41"/>
        <v>26.17</v>
      </c>
      <c r="AJ95" s="156">
        <f t="shared" si="37"/>
        <v>-19.501728702106025</v>
      </c>
      <c r="AK95" s="156">
        <f t="shared" si="38"/>
        <v>20.964379260522783</v>
      </c>
      <c r="AL95" s="88"/>
      <c r="AM95" s="716">
        <f t="shared" si="39"/>
        <v>1906.5701966480742</v>
      </c>
      <c r="AN95" s="716" t="str">
        <f>_xlfn.XLOOKUP(D95,RUC!$B$3:$B$578,RUC!$M$3:$M$578)</f>
        <v>Evelyn</v>
      </c>
      <c r="AO95" s="1167" t="s">
        <v>2279</v>
      </c>
      <c r="AP95" t="s">
        <v>2826</v>
      </c>
      <c r="AQ95" t="s">
        <v>2827</v>
      </c>
    </row>
    <row r="96" spans="1:44" ht="15" customHeight="1">
      <c r="A96" s="747" t="s">
        <v>2811</v>
      </c>
      <c r="B96" s="595">
        <v>45922</v>
      </c>
      <c r="C96" s="1447">
        <v>45909</v>
      </c>
      <c r="D96" t="s">
        <v>93</v>
      </c>
      <c r="E96" s="762">
        <f>_xlfn.XLOOKUP(D96,RUC!$B$3:$B$123,RUC!$D$3:$D$123)</f>
        <v>20169040231</v>
      </c>
      <c r="G96" s="1082">
        <v>63</v>
      </c>
      <c r="H96" s="762" t="s">
        <v>69</v>
      </c>
      <c r="I96" s="703">
        <v>5.88</v>
      </c>
      <c r="J96" s="596">
        <v>2.2000000000000002</v>
      </c>
      <c r="K96" s="138">
        <f t="shared" si="42"/>
        <v>5.7510000000000003</v>
      </c>
      <c r="L96" s="762">
        <v>0.41099999999999998</v>
      </c>
      <c r="M96" s="994">
        <v>0.39</v>
      </c>
      <c r="N96" s="1196">
        <v>0.39</v>
      </c>
      <c r="O96" s="645">
        <f t="shared" si="44"/>
        <v>0.39</v>
      </c>
      <c r="P96" s="727">
        <v>90</v>
      </c>
      <c r="Q96" s="596">
        <v>89.05</v>
      </c>
      <c r="R96" s="706">
        <v>3649.55</v>
      </c>
      <c r="S96" s="765">
        <f>IF((_xlfn.XLOOKUP(D96,RUC!$B$3:$B$119,RUC!$E$3:$E$119)+ROUNDDOWN(O96,1)*100)&lt;95,95,((_xlfn.XLOOKUP(D96,RUC!$B$3:$B$119,RUC!$E$3:$E$119)+ROUNDDOWN(O96,1)*100)))</f>
        <v>115</v>
      </c>
      <c r="U96" s="1146">
        <f>_xlfn.XLOOKUP(D96,RUC!$B$3:$B$123,RUC!$F$3:$F$123)</f>
        <v>120</v>
      </c>
      <c r="V96" s="715">
        <v>1.1023000000000001</v>
      </c>
      <c r="Y96" s="1445">
        <v>25</v>
      </c>
      <c r="Z96" s="143">
        <f>_xlfn.XLOOKUP(D96,RUC!$B$3:$B$123,RUC!$H$3:$H$123)</f>
        <v>30</v>
      </c>
      <c r="AA96" s="144">
        <f t="shared" si="33"/>
        <v>55</v>
      </c>
      <c r="AB96" s="145">
        <f t="shared" si="43"/>
        <v>1178.2176607150002</v>
      </c>
      <c r="AC96" s="145">
        <f>+(S96-T96)*V96-'data 1'!$F$4</f>
        <v>46.764500000000012</v>
      </c>
      <c r="AD96" s="145">
        <f t="shared" si="34"/>
        <v>-15.190937366842546</v>
      </c>
      <c r="AE96" s="145">
        <f t="shared" si="35"/>
        <v>-9.3734999999999928</v>
      </c>
      <c r="AF96" s="145">
        <f t="shared" si="36"/>
        <v>72.756594756982381</v>
      </c>
      <c r="AG96" s="772">
        <f t="shared" si="46"/>
        <v>111.95665739013987</v>
      </c>
      <c r="AH96" s="1253">
        <f t="shared" si="40"/>
        <v>72.165000000000006</v>
      </c>
      <c r="AI96" s="1253">
        <f t="shared" si="41"/>
        <v>81.039000000000001</v>
      </c>
      <c r="AJ96" s="156">
        <f t="shared" si="37"/>
        <v>-34.917458471707576</v>
      </c>
      <c r="AK96" s="156">
        <f t="shared" si="38"/>
        <v>69.208518603118051</v>
      </c>
      <c r="AL96" s="88"/>
      <c r="AM96" s="716">
        <f t="shared" si="39"/>
        <v>6775.9297667719666</v>
      </c>
      <c r="AN96" s="716" t="str">
        <f>_xlfn.XLOOKUP(D96,RUC!$B$3:$B$578,RUC!$M$3:$M$578)</f>
        <v>Ronald Miranda</v>
      </c>
      <c r="AO96" s="1167" t="s">
        <v>2279</v>
      </c>
      <c r="AP96" t="s">
        <v>2828</v>
      </c>
      <c r="AQ96" t="s">
        <v>2829</v>
      </c>
    </row>
    <row r="97" spans="1:43" ht="15" customHeight="1">
      <c r="A97" s="747" t="s">
        <v>2812</v>
      </c>
      <c r="B97" s="595">
        <v>45922</v>
      </c>
      <c r="C97" s="1447">
        <v>45909</v>
      </c>
      <c r="D97" t="s">
        <v>93</v>
      </c>
      <c r="E97" s="762">
        <f>_xlfn.XLOOKUP(D97,RUC!$B$3:$B$123,RUC!$D$3:$D$123)</f>
        <v>20169040231</v>
      </c>
      <c r="G97" s="1082">
        <v>101</v>
      </c>
      <c r="H97" s="762" t="s">
        <v>69</v>
      </c>
      <c r="I97" s="703">
        <v>9.81</v>
      </c>
      <c r="J97" s="596">
        <v>2.65</v>
      </c>
      <c r="K97" s="138">
        <f t="shared" si="42"/>
        <v>9.5500000000000007</v>
      </c>
      <c r="L97" s="762">
        <v>0.20599999999999999</v>
      </c>
      <c r="M97" s="994">
        <v>0.191</v>
      </c>
      <c r="N97" s="1196">
        <v>0.191</v>
      </c>
      <c r="O97" s="645">
        <f t="shared" si="44"/>
        <v>0.191</v>
      </c>
      <c r="P97" s="727">
        <v>90</v>
      </c>
      <c r="Q97" s="596">
        <v>89.32</v>
      </c>
      <c r="R97" s="706">
        <v>3649.55</v>
      </c>
      <c r="S97" s="765">
        <f>IF((_xlfn.XLOOKUP(D97,RUC!$B$3:$B$119,RUC!$E$3:$E$119)+ROUNDDOWN(O97,1)*100)&lt;95,95,((_xlfn.XLOOKUP(D97,RUC!$B$3:$B$119,RUC!$E$3:$E$119)+ROUNDDOWN(O97,1)*100)))</f>
        <v>95</v>
      </c>
      <c r="U97" s="1146">
        <f>_xlfn.XLOOKUP(D97,RUC!$B$3:$B$123,RUC!$F$3:$F$123)</f>
        <v>120</v>
      </c>
      <c r="V97" s="715">
        <v>1.1023000000000001</v>
      </c>
      <c r="Y97" s="1445">
        <v>25</v>
      </c>
      <c r="Z97" s="143">
        <f>_xlfn.XLOOKUP(D97,RUC!$B$3:$B$123,RUC!$H$3:$H$123)</f>
        <v>30</v>
      </c>
      <c r="AA97" s="144">
        <f t="shared" si="33"/>
        <v>55</v>
      </c>
      <c r="AB97" s="145">
        <f t="shared" si="43"/>
        <v>503.45308768350014</v>
      </c>
      <c r="AC97" s="145">
        <f>+(S97-T97)*V97-'data 1'!$F$4</f>
        <v>24.718500000000006</v>
      </c>
      <c r="AD97" s="145">
        <f t="shared" si="34"/>
        <v>-5.4499846493720554</v>
      </c>
      <c r="AE97" s="145">
        <f t="shared" si="35"/>
        <v>-9.3734999999999928</v>
      </c>
      <c r="AF97" s="145">
        <f t="shared" si="36"/>
        <v>52.126566485069951</v>
      </c>
      <c r="AG97" s="772">
        <f t="shared" si="46"/>
        <v>79.021581835697901</v>
      </c>
      <c r="AH97" s="1253">
        <f t="shared" si="40"/>
        <v>60.246000000000002</v>
      </c>
      <c r="AI97" s="1253">
        <f t="shared" si="41"/>
        <v>67.45</v>
      </c>
      <c r="AJ97" s="156">
        <f t="shared" si="37"/>
        <v>-17.554271636748034</v>
      </c>
      <c r="AK97" s="156">
        <f t="shared" si="38"/>
        <v>56.28443586534226</v>
      </c>
      <c r="AL97" s="88"/>
      <c r="AM97" s="716">
        <f t="shared" si="39"/>
        <v>4807.9769873774267</v>
      </c>
      <c r="AN97" s="716" t="str">
        <f>_xlfn.XLOOKUP(D97,RUC!$B$3:$B$578,RUC!$M$3:$M$578)</f>
        <v>Ronald Miranda</v>
      </c>
      <c r="AO97" s="1167" t="s">
        <v>2281</v>
      </c>
      <c r="AP97" t="s">
        <v>2828</v>
      </c>
      <c r="AQ97" t="s">
        <v>2829</v>
      </c>
    </row>
    <row r="98" spans="1:43" ht="15" customHeight="1">
      <c r="A98" s="747" t="s">
        <v>2813</v>
      </c>
      <c r="B98" s="595">
        <v>45922</v>
      </c>
      <c r="C98" s="1447">
        <v>45909</v>
      </c>
      <c r="D98" t="s">
        <v>93</v>
      </c>
      <c r="E98" s="762">
        <f>_xlfn.XLOOKUP(D98,RUC!$B$3:$B$123,RUC!$D$3:$D$123)</f>
        <v>20169040231</v>
      </c>
      <c r="G98" s="1082">
        <v>104</v>
      </c>
      <c r="H98" s="762" t="s">
        <v>69</v>
      </c>
      <c r="I98" s="703">
        <v>10.43</v>
      </c>
      <c r="J98" s="596">
        <v>2.7</v>
      </c>
      <c r="K98" s="138">
        <f t="shared" si="42"/>
        <v>10.148</v>
      </c>
      <c r="L98" s="762">
        <v>0.155</v>
      </c>
      <c r="M98" s="994">
        <v>0.14000000000000001</v>
      </c>
      <c r="N98" s="1196">
        <v>0.14000000000000001</v>
      </c>
      <c r="O98" s="645">
        <f t="shared" si="44"/>
        <v>0.14000000000000001</v>
      </c>
      <c r="P98" s="727">
        <v>85</v>
      </c>
      <c r="Q98" s="596">
        <v>96.13</v>
      </c>
      <c r="R98" s="706">
        <v>3649.55</v>
      </c>
      <c r="S98" s="765">
        <f>IF((_xlfn.XLOOKUP(D98,RUC!$B$3:$B$119,RUC!$E$3:$E$119)+ROUNDDOWN(O98,1)*100)&lt;95,95,((_xlfn.XLOOKUP(D98,RUC!$B$3:$B$119,RUC!$E$3:$E$119)+ROUNDDOWN(O98,1)*100)))</f>
        <v>95</v>
      </c>
      <c r="U98" s="1146">
        <f>_xlfn.XLOOKUP(D98,RUC!$B$3:$B$123,RUC!$F$3:$F$123)</f>
        <v>120</v>
      </c>
      <c r="V98" s="715">
        <v>1.1023000000000001</v>
      </c>
      <c r="Y98">
        <f>_xlfn.XLOOKUP(D98,RUC!$B$3:$B$123,RUC!$G$3:$G$123)</f>
        <v>20</v>
      </c>
      <c r="Z98" s="143">
        <f>_xlfn.XLOOKUP(D98,RUC!$B$3:$B$123,RUC!$H$3:$H$123)</f>
        <v>30</v>
      </c>
      <c r="AA98" s="144">
        <f t="shared" si="33"/>
        <v>50</v>
      </c>
      <c r="AB98" s="145">
        <f t="shared" si="43"/>
        <v>303.15063283500001</v>
      </c>
      <c r="AC98" s="145">
        <f>+(S98-T98)*V98-'data 1'!$F$4</f>
        <v>24.718500000000006</v>
      </c>
      <c r="AD98" s="145">
        <f t="shared" si="34"/>
        <v>67.119082080697481</v>
      </c>
      <c r="AE98" s="145">
        <f t="shared" si="35"/>
        <v>-14.884999999999998</v>
      </c>
      <c r="AF98" s="145">
        <f t="shared" si="36"/>
        <v>56.100837843817445</v>
      </c>
      <c r="AG98" s="772">
        <f t="shared" si="46"/>
        <v>150.05341992451491</v>
      </c>
      <c r="AH98" s="1253">
        <f t="shared" si="40"/>
        <v>51.841999999999999</v>
      </c>
      <c r="AI98" s="1253">
        <f t="shared" si="41"/>
        <v>53.929000000000002</v>
      </c>
      <c r="AJ98" s="156">
        <f t="shared" si="37"/>
        <v>-14.215348791097531</v>
      </c>
      <c r="AK98" s="156">
        <f t="shared" si="38"/>
        <v>41.403446033836602</v>
      </c>
      <c r="AL98" s="88"/>
      <c r="AM98" s="716">
        <f t="shared" si="39"/>
        <v>3076.37262200958</v>
      </c>
      <c r="AN98" s="716" t="str">
        <f>_xlfn.XLOOKUP(D98,RUC!$B$3:$B$578,RUC!$M$3:$M$578)</f>
        <v>Ronald Miranda</v>
      </c>
      <c r="AO98" s="1167" t="s">
        <v>2281</v>
      </c>
      <c r="AP98" t="s">
        <v>2828</v>
      </c>
      <c r="AQ98" t="s">
        <v>2829</v>
      </c>
    </row>
    <row r="99" spans="1:43" ht="15" customHeight="1">
      <c r="A99" s="747" t="s">
        <v>2815</v>
      </c>
      <c r="B99" s="595">
        <v>45922</v>
      </c>
      <c r="C99" s="1447">
        <v>45910</v>
      </c>
      <c r="D99" t="s">
        <v>2444</v>
      </c>
      <c r="E99" s="762">
        <f>_xlfn.XLOOKUP(D99,RUC!$B$3:$B$123,RUC!$D$3:$D$123)</f>
        <v>20608774000</v>
      </c>
      <c r="G99" s="1082">
        <v>25</v>
      </c>
      <c r="H99" s="762" t="s">
        <v>69</v>
      </c>
      <c r="I99" s="703">
        <v>2.42</v>
      </c>
      <c r="J99" s="596">
        <v>2.4500000000000002</v>
      </c>
      <c r="K99" s="138">
        <f t="shared" si="42"/>
        <v>2.3610000000000002</v>
      </c>
      <c r="L99" s="994">
        <v>0.65</v>
      </c>
      <c r="M99" s="762">
        <v>0.61799999999999999</v>
      </c>
      <c r="N99" s="764">
        <v>0.61799999999999999</v>
      </c>
      <c r="O99" s="645">
        <f t="shared" si="44"/>
        <v>0.61799999999999999</v>
      </c>
      <c r="P99" s="727">
        <v>90</v>
      </c>
      <c r="Q99" s="881">
        <v>90.46</v>
      </c>
      <c r="R99" s="706">
        <v>3650.75</v>
      </c>
      <c r="S99" s="765">
        <f>IF((_xlfn.XLOOKUP(D99,RUC!$B$3:$B$119,RUC!$E$3:$E$119)+ROUNDDOWN(O99,1)*100)&lt;95,95,((_xlfn.XLOOKUP(D99,RUC!$B$3:$B$119,RUC!$E$3:$E$119)+ROUNDDOWN(O99,1)*100)))</f>
        <v>145</v>
      </c>
      <c r="U99" s="1146">
        <f>_xlfn.XLOOKUP(D99,RUC!$B$3:$B$123,RUC!$F$3:$F$123)</f>
        <v>120</v>
      </c>
      <c r="V99" s="715">
        <v>1.1023000000000001</v>
      </c>
      <c r="Y99">
        <f>_xlfn.XLOOKUP(D99,RUC!$B$3:$B$123,RUC!$G$3:$G$123)</f>
        <v>20</v>
      </c>
      <c r="Z99" s="143">
        <f>_xlfn.XLOOKUP(D99,RUC!$B$3:$B$123,RUC!$H$3:$H$123)</f>
        <v>30</v>
      </c>
      <c r="AA99" s="144">
        <f t="shared" si="33"/>
        <v>50</v>
      </c>
      <c r="AB99" s="145">
        <f>+((O99*P99*(R99-U99)/100)-S99-AA99+T99)*V99</f>
        <v>1949.7517122450001</v>
      </c>
      <c r="AC99" s="145">
        <f>+(S99-T99)*V99-'data 1'!$F$4</f>
        <v>79.833500000000015</v>
      </c>
      <c r="AD99" s="145">
        <f t="shared" si="34"/>
        <v>11.636917717749844</v>
      </c>
      <c r="AE99" s="145">
        <f t="shared" si="35"/>
        <v>-14.884999999999998</v>
      </c>
      <c r="AF99" s="145">
        <f t="shared" si="36"/>
        <v>112.66093129072009</v>
      </c>
      <c r="AG99" s="772">
        <f t="shared" si="46"/>
        <v>206.24634900846996</v>
      </c>
      <c r="AH99" s="1253">
        <f t="shared" si="40"/>
        <v>47.595999999999997</v>
      </c>
      <c r="AI99" s="1253">
        <f t="shared" si="41"/>
        <v>52.616</v>
      </c>
      <c r="AJ99" s="156">
        <f t="shared" si="37"/>
        <v>-56.874405831750003</v>
      </c>
      <c r="AK99" s="156">
        <f t="shared" si="38"/>
        <v>45.023167019681026</v>
      </c>
      <c r="AL99" s="88"/>
      <c r="AM99" s="716">
        <f t="shared" si="39"/>
        <v>4603.3637926104457</v>
      </c>
      <c r="AN99" s="716" t="str">
        <f>_xlfn.XLOOKUP(D99,RUC!$B$3:$B$578,RUC!$M$3:$M$578)</f>
        <v>Ronald Miranda</v>
      </c>
      <c r="AO99" s="1167" t="s">
        <v>2281</v>
      </c>
      <c r="AP99" t="s">
        <v>2832</v>
      </c>
      <c r="AQ99" t="s">
        <v>2833</v>
      </c>
    </row>
    <row r="100" spans="1:43" ht="15" customHeight="1">
      <c r="A100" s="747" t="s">
        <v>2818</v>
      </c>
      <c r="B100" s="595">
        <v>45922</v>
      </c>
      <c r="C100" s="1447">
        <v>45910</v>
      </c>
      <c r="D100" t="s">
        <v>2444</v>
      </c>
      <c r="E100" s="762">
        <f>_xlfn.XLOOKUP(D100,RUC!$B$3:$B$123,RUC!$D$3:$D$123)</f>
        <v>20608774000</v>
      </c>
      <c r="G100" s="1082">
        <v>53</v>
      </c>
      <c r="H100" s="762" t="s">
        <v>69</v>
      </c>
      <c r="I100" s="703">
        <v>5.0199999999999996</v>
      </c>
      <c r="J100" s="596">
        <v>4.5</v>
      </c>
      <c r="K100" s="138">
        <f t="shared" si="42"/>
        <v>4.7939999999999996</v>
      </c>
      <c r="L100" s="762">
        <v>0.23400000000000001</v>
      </c>
      <c r="M100" s="762">
        <v>0.219</v>
      </c>
      <c r="N100" s="764">
        <v>0.219</v>
      </c>
      <c r="O100" s="645">
        <f t="shared" si="44"/>
        <v>0.219</v>
      </c>
      <c r="P100" s="727">
        <v>90</v>
      </c>
      <c r="Q100" s="881">
        <v>93.16</v>
      </c>
      <c r="R100" s="706">
        <v>3650.75</v>
      </c>
      <c r="S100" s="765">
        <f>IF((_xlfn.XLOOKUP(D100,RUC!$B$3:$B$119,RUC!$E$3:$E$119)+ROUNDDOWN(O100,1)*100)&lt;95,95,((_xlfn.XLOOKUP(D100,RUC!$B$3:$B$119,RUC!$E$3:$E$119)+ROUNDDOWN(O100,1)*100)))</f>
        <v>105</v>
      </c>
      <c r="U100" s="1146">
        <f>_xlfn.XLOOKUP(D100,RUC!$B$3:$B$123,RUC!$F$3:$F$123)</f>
        <v>120</v>
      </c>
      <c r="V100" s="715">
        <v>1.1023000000000001</v>
      </c>
      <c r="Y100">
        <f>_xlfn.XLOOKUP(D100,RUC!$B$3:$B$123,RUC!$G$3:$G$123)</f>
        <v>20</v>
      </c>
      <c r="Z100" s="143">
        <f>_xlfn.XLOOKUP(D100,RUC!$B$3:$B$123,RUC!$H$3:$H$123)</f>
        <v>30</v>
      </c>
      <c r="AA100" s="144">
        <f t="shared" si="33"/>
        <v>50</v>
      </c>
      <c r="AB100" s="145">
        <f t="shared" si="43"/>
        <v>596.24600239750009</v>
      </c>
      <c r="AC100" s="145">
        <f>+(S100-T100)*V100-'data 1'!$F$4</f>
        <v>35.741500000000002</v>
      </c>
      <c r="AD100" s="145">
        <f t="shared" si="34"/>
        <v>28.77860346893997</v>
      </c>
      <c r="AE100" s="145">
        <f t="shared" si="35"/>
        <v>-14.884999999999998</v>
      </c>
      <c r="AF100" s="145">
        <f t="shared" si="36"/>
        <v>54.386049561150045</v>
      </c>
      <c r="AG100" s="772">
        <f t="shared" si="46"/>
        <v>121.02115303009001</v>
      </c>
      <c r="AH100" s="1253">
        <f t="shared" si="40"/>
        <v>35.83</v>
      </c>
      <c r="AI100" s="1253">
        <f t="shared" si="41"/>
        <v>38.460999999999999</v>
      </c>
      <c r="AJ100" s="156">
        <f t="shared" si="37"/>
        <v>-21.08590617978</v>
      </c>
      <c r="AK100" s="156">
        <f t="shared" si="38"/>
        <v>32.396174026436071</v>
      </c>
      <c r="AL100" s="88"/>
      <c r="AM100" s="716">
        <f t="shared" si="39"/>
        <v>2858.403335493615</v>
      </c>
      <c r="AN100" s="716" t="str">
        <f>_xlfn.XLOOKUP(D100,RUC!$B$3:$B$578,RUC!$M$3:$M$578)</f>
        <v>Ronald Miranda</v>
      </c>
      <c r="AO100" s="1167" t="s">
        <v>2281</v>
      </c>
      <c r="AP100" t="s">
        <v>2832</v>
      </c>
      <c r="AQ100" t="s">
        <v>2833</v>
      </c>
    </row>
    <row r="101" spans="1:43" ht="15" customHeight="1">
      <c r="A101" s="747" t="s">
        <v>2820</v>
      </c>
      <c r="B101" s="595">
        <v>45920</v>
      </c>
      <c r="C101" s="1447">
        <v>45910</v>
      </c>
      <c r="D101" t="s">
        <v>2004</v>
      </c>
      <c r="E101" s="762">
        <f>_xlfn.XLOOKUP(D101,RUC!$B$3:$B$123,RUC!$D$3:$D$123)</f>
        <v>20612921866</v>
      </c>
      <c r="G101" s="1082">
        <v>11</v>
      </c>
      <c r="H101" s="762" t="s">
        <v>69</v>
      </c>
      <c r="I101" s="703">
        <v>1.26</v>
      </c>
      <c r="J101" s="596">
        <v>1.9</v>
      </c>
      <c r="K101" s="703">
        <f t="shared" si="42"/>
        <v>1.236</v>
      </c>
      <c r="L101" s="762">
        <v>0.19400000000000001</v>
      </c>
      <c r="M101" s="762">
        <v>0.17899999999999999</v>
      </c>
      <c r="N101" s="764">
        <v>0.17899999999999999</v>
      </c>
      <c r="O101" s="645">
        <f t="shared" si="44"/>
        <v>0.17899999999999999</v>
      </c>
      <c r="P101" s="727">
        <v>90</v>
      </c>
      <c r="Q101" s="881">
        <v>94.85</v>
      </c>
      <c r="R101" s="706">
        <v>3650.75</v>
      </c>
      <c r="S101" s="765">
        <f>IF((_xlfn.XLOOKUP(D101,RUC!$B$3:$B$119,RUC!$E$3:$E$119)+ROUNDDOWN(O101,1)*100)&lt;95,95,((_xlfn.XLOOKUP(D101,RUC!$B$3:$B$119,RUC!$E$3:$E$119)+ROUNDDOWN(O101,1)*100)))</f>
        <v>95</v>
      </c>
      <c r="U101" s="1146">
        <f>_xlfn.XLOOKUP(D101,RUC!$B$3:$B$123,RUC!$F$3:$F$123)</f>
        <v>100</v>
      </c>
      <c r="V101" s="715">
        <v>1.1023000000000001</v>
      </c>
      <c r="Y101">
        <f>_xlfn.XLOOKUP(D101,RUC!$B$3:$B$123,RUC!$G$3:$G$123)</f>
        <v>0</v>
      </c>
      <c r="Z101" s="143">
        <f>_xlfn.XLOOKUP(D101,RUC!$B$3:$B$123,RUC!$H$3:$H$123)</f>
        <v>30</v>
      </c>
      <c r="AA101" s="144">
        <f t="shared" si="33"/>
        <v>30</v>
      </c>
      <c r="AB101" s="758">
        <f t="shared" si="43"/>
        <v>492.75656689749997</v>
      </c>
      <c r="AC101" s="1068">
        <f>+(S101-T101)*V101-'data 1'!$F$4</f>
        <v>24.718500000000006</v>
      </c>
      <c r="AD101" s="1068">
        <f t="shared" si="34"/>
        <v>36.826748140524963</v>
      </c>
      <c r="AE101" s="1068">
        <f t="shared" si="35"/>
        <v>-36.930999999999997</v>
      </c>
      <c r="AF101" s="1068">
        <f t="shared" si="36"/>
        <v>55.686317267437545</v>
      </c>
      <c r="AG101" s="772">
        <f t="shared" si="46"/>
        <v>97.300565407962523</v>
      </c>
      <c r="AH101" s="1253">
        <f t="shared" si="40"/>
        <v>7.798</v>
      </c>
      <c r="AI101" s="1253">
        <f t="shared" si="41"/>
        <v>8.2210000000000001</v>
      </c>
      <c r="AJ101" s="156">
        <f t="shared" si="37"/>
        <v>-21.855268755425001</v>
      </c>
      <c r="AK101" s="156">
        <f t="shared" si="38"/>
        <v>6.8268927543607791</v>
      </c>
      <c r="AL101" s="88"/>
      <c r="AM101" s="716">
        <f t="shared" si="39"/>
        <v>609.0471166853099</v>
      </c>
      <c r="AN101" s="716" t="str">
        <f>_xlfn.XLOOKUP(D101,RUC!$B$3:$B$578,RUC!$M$3:$M$578)</f>
        <v>Ronald Garibay</v>
      </c>
      <c r="AO101" s="1167" t="s">
        <v>2281</v>
      </c>
      <c r="AP101" t="s">
        <v>2836</v>
      </c>
      <c r="AQ101" t="s">
        <v>2837</v>
      </c>
    </row>
    <row r="102" spans="1:43" ht="15" customHeight="1">
      <c r="A102" s="747" t="s">
        <v>2844</v>
      </c>
      <c r="B102" s="595">
        <v>45926</v>
      </c>
      <c r="C102" s="1447">
        <v>45915</v>
      </c>
      <c r="D102" t="s">
        <v>1484</v>
      </c>
      <c r="E102" s="762">
        <f>_xlfn.XLOOKUP(D102,RUC!$B$3:$B$123,RUC!$D$3:$D$123)</f>
        <v>10761932735</v>
      </c>
      <c r="G102" s="1082">
        <v>101</v>
      </c>
      <c r="H102" s="762" t="s">
        <v>69</v>
      </c>
      <c r="I102" s="703">
        <v>9.26</v>
      </c>
      <c r="J102" s="596">
        <v>18.899999999999999</v>
      </c>
      <c r="K102" s="703">
        <f t="shared" si="42"/>
        <v>7.51</v>
      </c>
      <c r="L102" s="762">
        <v>0.16500000000000001</v>
      </c>
      <c r="M102" s="994">
        <v>0.15</v>
      </c>
      <c r="N102" s="1444">
        <v>0.17399999999999999</v>
      </c>
      <c r="O102" s="645">
        <f t="shared" si="44"/>
        <v>0.16200000000000001</v>
      </c>
      <c r="P102" s="727">
        <v>90</v>
      </c>
      <c r="Q102" s="881">
        <v>92.73</v>
      </c>
      <c r="R102" s="706">
        <v>3657.65</v>
      </c>
      <c r="S102" s="765">
        <f>IF((_xlfn.XLOOKUP(D102,RUC!$B$3:$B$119,RUC!$E$3:$E$119)+ROUNDDOWN(O102,1)*100)&lt;95,95,((_xlfn.XLOOKUP(D102,RUC!$B$3:$B$119,RUC!$E$3:$E$119)+ROUNDDOWN(O102,1)*100)))</f>
        <v>100</v>
      </c>
      <c r="U102" s="1146">
        <f>_xlfn.XLOOKUP(D102,RUC!$B$3:$B$123,RUC!$F$3:$F$123)</f>
        <v>120</v>
      </c>
      <c r="V102" s="715">
        <v>1.1023000000000001</v>
      </c>
      <c r="Y102">
        <f>_xlfn.XLOOKUP(D102,RUC!$B$3:$B$123,RUC!$G$3:$G$123)</f>
        <v>20</v>
      </c>
      <c r="Z102" s="143">
        <f>_xlfn.XLOOKUP(D102,RUC!$B$3:$B$123,RUC!$H$3:$H$123)</f>
        <v>30</v>
      </c>
      <c r="AA102" s="144">
        <f t="shared" ref="AA102:AA109" si="47">+Y102+Z102</f>
        <v>50</v>
      </c>
      <c r="AB102" s="145">
        <f t="shared" si="43"/>
        <v>403.209622551</v>
      </c>
      <c r="AC102" s="145">
        <f>+(S102-T102)*V102-'data 1'!$F$4</f>
        <v>30.230000000000004</v>
      </c>
      <c r="AD102" s="145">
        <f t="shared" ref="AD102:AD109" si="48">+(Q102-P102)*(R102-U102)*L102*V102/100</f>
        <v>17.565530159677525</v>
      </c>
      <c r="AE102" s="145">
        <f t="shared" ref="AE102:AE109" si="49">+(Y102*V102-70)+V102*(Z102-IF(D102="UNTUCA",IF(+((W102-3)*2.5+(X102-3)*3.1)&gt;0,+((W102-3)*1.5+(X102-3)*3.1),0),IF(+((W102-3)*1.5+(X102-3)*3.1)&gt;0,+((W102-3)*1.5+(X102-3)*3.1),0)))</f>
        <v>-14.884999999999998</v>
      </c>
      <c r="AF102" s="145">
        <f t="shared" ref="AF102:AF109" si="50">(L102-O102)*(R102-U102)*Q102*V102/100</f>
        <v>10.848162582130513</v>
      </c>
      <c r="AG102" s="772">
        <f t="shared" si="46"/>
        <v>60.758692741808034</v>
      </c>
      <c r="AH102" s="1253">
        <f t="shared" si="40"/>
        <v>39.396000000000001</v>
      </c>
      <c r="AI102" s="1253">
        <f t="shared" si="41"/>
        <v>42.484999999999999</v>
      </c>
      <c r="AJ102" s="156">
        <f t="shared" ref="AJ102:AJ109" si="51">+((+$AJ$2-R102+U102)*L102*Q102*V102)/100</f>
        <v>-15.963371832127518</v>
      </c>
      <c r="AK102" s="156">
        <f t="shared" ref="AK102:AK109" si="52">31.1035*1.1023*K102*P102*O102/100</f>
        <v>37.541059928451901</v>
      </c>
      <c r="AL102" s="88"/>
      <c r="AM102" s="716">
        <f t="shared" ref="AM102:AM109" si="53">+IF(AB102*K102&gt;0,AB102*K102,0)</f>
        <v>3028.1042653580098</v>
      </c>
      <c r="AN102" s="716" t="str">
        <f>_xlfn.XLOOKUP(D102,RUC!$B$3:$B$578,RUC!$M$3:$M$578)</f>
        <v>Richard Sapacayo</v>
      </c>
      <c r="AO102" s="1167" t="s">
        <v>2281</v>
      </c>
      <c r="AP102" t="s">
        <v>2863</v>
      </c>
      <c r="AQ102" t="s">
        <v>2864</v>
      </c>
    </row>
    <row r="103" spans="1:43" ht="15" customHeight="1">
      <c r="A103" s="747" t="s">
        <v>2845</v>
      </c>
      <c r="B103" s="595">
        <v>45926</v>
      </c>
      <c r="C103" s="1447">
        <v>45915</v>
      </c>
      <c r="D103" t="s">
        <v>1484</v>
      </c>
      <c r="E103" s="762">
        <f>_xlfn.XLOOKUP(D103,RUC!$B$3:$B$123,RUC!$D$3:$D$123)</f>
        <v>10761932735</v>
      </c>
      <c r="G103" s="1082">
        <v>17</v>
      </c>
      <c r="H103" s="762" t="s">
        <v>69</v>
      </c>
      <c r="I103" s="703">
        <v>1.57</v>
      </c>
      <c r="J103" s="596">
        <v>18.600000000000001</v>
      </c>
      <c r="K103" s="703">
        <f t="shared" si="42"/>
        <v>1.278</v>
      </c>
      <c r="L103" s="762">
        <v>0.877</v>
      </c>
      <c r="M103" s="762">
        <v>0.83299999999999996</v>
      </c>
      <c r="N103" s="764">
        <v>0.83299999999999996</v>
      </c>
      <c r="O103" s="645">
        <f t="shared" si="44"/>
        <v>0.83299999999999996</v>
      </c>
      <c r="P103" s="727">
        <v>90</v>
      </c>
      <c r="Q103" s="881">
        <v>95.67</v>
      </c>
      <c r="R103" s="706">
        <v>3657.65</v>
      </c>
      <c r="S103" s="765">
        <f>IF((_xlfn.XLOOKUP(D103,RUC!$B$3:$B$119,RUC!$E$3:$E$119)+ROUNDDOWN(O103,1)*100)&lt;95,95,((_xlfn.XLOOKUP(D103,RUC!$B$3:$B$119,RUC!$E$3:$E$119)+ROUNDDOWN(O103,1)*100)))</f>
        <v>170</v>
      </c>
      <c r="U103" s="1146">
        <f>_xlfn.XLOOKUP(D103,RUC!$B$3:$B$123,RUC!$F$3:$F$123)</f>
        <v>120</v>
      </c>
      <c r="V103" s="715">
        <v>1.1023000000000001</v>
      </c>
      <c r="Y103">
        <f>_xlfn.XLOOKUP(D103,RUC!$B$3:$B$123,RUC!$G$3:$G$123)</f>
        <v>20</v>
      </c>
      <c r="Z103" s="143">
        <f>_xlfn.XLOOKUP(D103,RUC!$B$3:$B$123,RUC!$H$3:$H$123)</f>
        <v>30</v>
      </c>
      <c r="AA103" s="144">
        <f t="shared" si="47"/>
        <v>50</v>
      </c>
      <c r="AB103" s="145">
        <f t="shared" si="43"/>
        <v>2680.9878307715003</v>
      </c>
      <c r="AC103" s="145">
        <f>+(S103-T103)*V103-'data 1'!$F$4</f>
        <v>107.39100000000002</v>
      </c>
      <c r="AD103" s="145">
        <f t="shared" si="48"/>
        <v>193.90871265781061</v>
      </c>
      <c r="AE103" s="145">
        <f t="shared" si="49"/>
        <v>-14.884999999999998</v>
      </c>
      <c r="AF103" s="145">
        <f t="shared" si="50"/>
        <v>164.15084448120615</v>
      </c>
      <c r="AG103" s="772">
        <f t="shared" si="46"/>
        <v>467.56555713901685</v>
      </c>
      <c r="AH103" s="1253">
        <f t="shared" si="40"/>
        <v>36.762999999999998</v>
      </c>
      <c r="AI103" s="1253">
        <f t="shared" si="41"/>
        <v>38.427</v>
      </c>
      <c r="AJ103" s="156">
        <f t="shared" si="51"/>
        <v>-87.537833321800591</v>
      </c>
      <c r="AK103" s="156">
        <f t="shared" si="52"/>
        <v>32.849399428146633</v>
      </c>
      <c r="AL103" s="88"/>
      <c r="AM103" s="716">
        <f t="shared" si="53"/>
        <v>3426.3024477259773</v>
      </c>
      <c r="AN103" s="716" t="str">
        <f>_xlfn.XLOOKUP(D103,RUC!$B$3:$B$578,RUC!$M$3:$M$578)</f>
        <v>Richard Sapacayo</v>
      </c>
      <c r="AO103" s="1167" t="s">
        <v>2279</v>
      </c>
      <c r="AP103" t="s">
        <v>2863</v>
      </c>
      <c r="AQ103" t="s">
        <v>2864</v>
      </c>
    </row>
    <row r="104" spans="1:43" ht="15" customHeight="1">
      <c r="A104" s="747" t="s">
        <v>2846</v>
      </c>
      <c r="B104" s="595">
        <v>45926</v>
      </c>
      <c r="C104" s="1447">
        <v>45915</v>
      </c>
      <c r="D104" t="s">
        <v>1484</v>
      </c>
      <c r="E104" s="762">
        <f>_xlfn.XLOOKUP(D104,RUC!$B$3:$B$123,RUC!$D$3:$D$123)</f>
        <v>10761932735</v>
      </c>
      <c r="G104" s="1082" t="s">
        <v>1434</v>
      </c>
      <c r="H104" s="762" t="s">
        <v>69</v>
      </c>
      <c r="I104" s="703">
        <v>14.99</v>
      </c>
      <c r="J104" s="596">
        <v>14.7</v>
      </c>
      <c r="K104" s="703">
        <f t="shared" si="42"/>
        <v>12.786</v>
      </c>
      <c r="L104" s="762">
        <v>0.315</v>
      </c>
      <c r="M104" s="762">
        <v>0.29899999999999999</v>
      </c>
      <c r="N104" s="1197">
        <v>0.33200000000000002</v>
      </c>
      <c r="O104" s="645">
        <f t="shared" si="44"/>
        <v>0.316</v>
      </c>
      <c r="P104" s="727">
        <v>90</v>
      </c>
      <c r="Q104" s="881">
        <v>98.73</v>
      </c>
      <c r="R104" s="706">
        <v>3657.65</v>
      </c>
      <c r="S104" s="765">
        <f>IF((_xlfn.XLOOKUP(D104,RUC!$B$3:$B$119,RUC!$E$3:$E$119)+ROUNDDOWN(O104,1)*100)&lt;95,95,((_xlfn.XLOOKUP(D104,RUC!$B$3:$B$119,RUC!$E$3:$E$119)+ROUNDDOWN(O104,1)*100)))</f>
        <v>120</v>
      </c>
      <c r="U104" s="1146">
        <f>_xlfn.XLOOKUP(D104,RUC!$B$3:$B$123,RUC!$F$3:$F$123)</f>
        <v>120</v>
      </c>
      <c r="V104" s="715">
        <v>1.1023000000000001</v>
      </c>
      <c r="Y104">
        <f>_xlfn.XLOOKUP(D104,RUC!$B$3:$B$123,RUC!$G$3:$G$123)</f>
        <v>20</v>
      </c>
      <c r="Z104" s="143">
        <f>_xlfn.XLOOKUP(D104,RUC!$B$3:$B$123,RUC!$H$3:$H$123)</f>
        <v>30</v>
      </c>
      <c r="AA104" s="144">
        <f t="shared" si="47"/>
        <v>50</v>
      </c>
      <c r="AB104" s="145">
        <f t="shared" si="43"/>
        <v>921.64147361800008</v>
      </c>
      <c r="AC104" s="145">
        <f>+(S104-T104)*V104-'data 1'!$F$4</f>
        <v>52.27600000000001</v>
      </c>
      <c r="AD104" s="145">
        <f t="shared" si="48"/>
        <v>107.23571908670256</v>
      </c>
      <c r="AE104" s="145">
        <f t="shared" si="49"/>
        <v>-14.884999999999998</v>
      </c>
      <c r="AF104" s="145">
        <f t="shared" si="50"/>
        <v>-3.8500272897435037</v>
      </c>
      <c r="AG104" s="772">
        <f t="shared" si="46"/>
        <v>157.77669179695906</v>
      </c>
      <c r="AH104" s="1253">
        <f t="shared" ref="AH104:AH109" si="54">ROUND((31.1035*L104*Q104*1.1023*K104/100),3)</f>
        <v>136.334</v>
      </c>
      <c r="AI104" s="1253">
        <f t="shared" si="41"/>
        <v>138.08699999999999</v>
      </c>
      <c r="AJ104" s="156">
        <f t="shared" si="51"/>
        <v>-32.447415978652536</v>
      </c>
      <c r="AK104" s="156">
        <f t="shared" si="52"/>
        <v>124.67327312511614</v>
      </c>
      <c r="AL104" s="88"/>
      <c r="AM104" s="716">
        <f t="shared" si="53"/>
        <v>11784.107881679749</v>
      </c>
      <c r="AN104" s="716" t="str">
        <f>_xlfn.XLOOKUP(D104,RUC!$B$3:$B$578,RUC!$M$3:$M$578)</f>
        <v>Richard Sapacayo</v>
      </c>
      <c r="AO104" s="1167" t="s">
        <v>2279</v>
      </c>
      <c r="AP104" t="s">
        <v>2863</v>
      </c>
      <c r="AQ104" t="s">
        <v>2864</v>
      </c>
    </row>
    <row r="105" spans="1:43" ht="15" customHeight="1">
      <c r="A105" s="747" t="s">
        <v>2852</v>
      </c>
      <c r="B105" s="595">
        <v>45923</v>
      </c>
      <c r="C105" s="1447">
        <v>45918</v>
      </c>
      <c r="D105" t="s">
        <v>119</v>
      </c>
      <c r="E105" s="762">
        <f>_xlfn.XLOOKUP(D105,RUC!$B$3:$B$123,RUC!$D$3:$D$123)</f>
        <v>10082235774</v>
      </c>
      <c r="G105" s="1082">
        <v>88</v>
      </c>
      <c r="H105" s="762" t="s">
        <v>69</v>
      </c>
      <c r="I105" s="703">
        <v>8.61</v>
      </c>
      <c r="J105" s="596">
        <v>1.1000000000000001</v>
      </c>
      <c r="K105" s="703">
        <f t="shared" si="42"/>
        <v>8.5150000000000006</v>
      </c>
      <c r="L105" s="762">
        <v>0.46600000000000003</v>
      </c>
      <c r="M105" s="762">
        <v>0.45900000000000002</v>
      </c>
      <c r="N105" s="1197">
        <v>0.47899999999999998</v>
      </c>
      <c r="O105" s="645">
        <f t="shared" si="44"/>
        <v>0.46899999999999997</v>
      </c>
      <c r="P105" s="727">
        <v>90</v>
      </c>
      <c r="Q105" s="881">
        <v>97.21</v>
      </c>
      <c r="R105" s="706">
        <v>3643.7</v>
      </c>
      <c r="S105" s="1164">
        <v>115</v>
      </c>
      <c r="U105" s="1146">
        <f>_xlfn.XLOOKUP(D105,RUC!$B$3:$B$123,RUC!$F$3:$F$123)</f>
        <v>80</v>
      </c>
      <c r="V105" s="715">
        <v>1.1023000000000001</v>
      </c>
      <c r="Y105">
        <f>_xlfn.XLOOKUP(D105,RUC!$B$3:$B$123,RUC!$G$3:$G$123)</f>
        <v>0</v>
      </c>
      <c r="Z105" s="143">
        <f>_xlfn.XLOOKUP(D105,RUC!$B$3:$B$123,RUC!$H$3:$H$123)</f>
        <v>10</v>
      </c>
      <c r="AA105" s="144">
        <f t="shared" si="47"/>
        <v>10</v>
      </c>
      <c r="AB105" s="145">
        <f t="shared" si="43"/>
        <v>1520.3337938710001</v>
      </c>
      <c r="AC105" s="145">
        <f>+(S105-T105)*V105-'data 1'!$F$4</f>
        <v>46.764500000000012</v>
      </c>
      <c r="AD105" s="145">
        <f t="shared" si="48"/>
        <v>131.98425516288589</v>
      </c>
      <c r="AE105" s="145">
        <f t="shared" si="49"/>
        <v>-58.977000000000004</v>
      </c>
      <c r="AF105" s="145">
        <f t="shared" si="50"/>
        <v>-11.456003623112798</v>
      </c>
      <c r="AG105" s="772">
        <f>AC105+AD105+AE105+AF105+70</f>
        <v>178.31575153977312</v>
      </c>
      <c r="AH105" s="1253">
        <f t="shared" si="54"/>
        <v>132.24799999999999</v>
      </c>
      <c r="AI105" s="1253">
        <f t="shared" ref="AI105:AI109" si="55">ROUND((31.1035*L105*1.1023*K105),3)</f>
        <v>136.04400000000001</v>
      </c>
      <c r="AJ105" s="156">
        <f t="shared" si="51"/>
        <v>-60.270381063345901</v>
      </c>
      <c r="AK105" s="156">
        <f t="shared" si="52"/>
        <v>123.22790744963109</v>
      </c>
      <c r="AM105" s="716">
        <f t="shared" si="53"/>
        <v>12945.642254811566</v>
      </c>
      <c r="AN105" s="716" t="str">
        <f>_xlfn.XLOOKUP(D105,RUC!$B$3:$B$578,RUC!$M$3:$M$578)</f>
        <v>Melchor Vera</v>
      </c>
      <c r="AO105" s="1167" t="s">
        <v>2281</v>
      </c>
      <c r="AP105" t="s">
        <v>2865</v>
      </c>
      <c r="AQ105" t="s">
        <v>2866</v>
      </c>
    </row>
    <row r="106" spans="1:43" ht="15" customHeight="1">
      <c r="A106" s="747" t="s">
        <v>2854</v>
      </c>
      <c r="B106" s="595">
        <v>45923</v>
      </c>
      <c r="C106" s="1447">
        <v>45918</v>
      </c>
      <c r="D106" t="s">
        <v>119</v>
      </c>
      <c r="E106" s="762">
        <f>_xlfn.XLOOKUP(D106,RUC!$B$3:$B$123,RUC!$D$3:$D$123)</f>
        <v>10082235774</v>
      </c>
      <c r="G106" s="1082">
        <v>74</v>
      </c>
      <c r="H106" s="762" t="s">
        <v>69</v>
      </c>
      <c r="I106" s="703">
        <v>7.41</v>
      </c>
      <c r="J106" s="596">
        <v>1.3</v>
      </c>
      <c r="K106" s="703">
        <f t="shared" si="42"/>
        <v>7.3140000000000001</v>
      </c>
      <c r="L106" s="762">
        <v>0.155</v>
      </c>
      <c r="M106" s="762">
        <v>0.14799999999999999</v>
      </c>
      <c r="N106" s="764">
        <v>0.14799999999999999</v>
      </c>
      <c r="O106" s="645">
        <f t="shared" si="44"/>
        <v>0.14799999999999999</v>
      </c>
      <c r="P106" s="727">
        <v>85</v>
      </c>
      <c r="Q106" s="881">
        <v>95.48</v>
      </c>
      <c r="R106" s="706">
        <v>3643.7</v>
      </c>
      <c r="S106" s="1164">
        <v>95</v>
      </c>
      <c r="U106" s="1146">
        <f>_xlfn.XLOOKUP(D106,RUC!$B$3:$B$123,RUC!$F$3:$F$123)</f>
        <v>80</v>
      </c>
      <c r="V106" s="715">
        <v>1.1023000000000001</v>
      </c>
      <c r="Y106">
        <f>_xlfn.XLOOKUP(D106,RUC!$B$3:$B$123,RUC!$G$3:$G$123)</f>
        <v>0</v>
      </c>
      <c r="Z106" s="143">
        <f>_xlfn.XLOOKUP(D106,RUC!$B$3:$B$123,RUC!$H$3:$H$123)</f>
        <v>10</v>
      </c>
      <c r="AA106" s="144">
        <f t="shared" si="47"/>
        <v>10</v>
      </c>
      <c r="AB106" s="145">
        <f t="shared" si="43"/>
        <v>378.43442695799996</v>
      </c>
      <c r="AC106" s="145">
        <f>+(S106-T106)*V106-'data 1'!$F$4</f>
        <v>24.718500000000006</v>
      </c>
      <c r="AD106" s="145">
        <f t="shared" si="48"/>
        <v>63.81076118844004</v>
      </c>
      <c r="AE106" s="145">
        <f t="shared" si="49"/>
        <v>-58.977000000000004</v>
      </c>
      <c r="AF106" s="145">
        <f t="shared" si="50"/>
        <v>26.254962046236024</v>
      </c>
      <c r="AG106" s="772">
        <f t="shared" ref="AG106" si="56">AC106+AD106+AE106+AF106+70</f>
        <v>125.80722323467606</v>
      </c>
      <c r="AH106" s="1253">
        <f t="shared" si="54"/>
        <v>37.110999999999997</v>
      </c>
      <c r="AI106" s="1253">
        <f t="shared" si="55"/>
        <v>38.868000000000002</v>
      </c>
      <c r="AJ106" s="156">
        <f t="shared" si="51"/>
        <v>-19.690247994339973</v>
      </c>
      <c r="AK106" s="156">
        <f t="shared" si="52"/>
        <v>31.546026687270661</v>
      </c>
      <c r="AM106" s="716">
        <f t="shared" si="53"/>
        <v>2767.8693987708116</v>
      </c>
      <c r="AN106" s="716" t="str">
        <f>_xlfn.XLOOKUP(D106,RUC!$B$3:$B$578,RUC!$M$3:$M$578)</f>
        <v>Melchor Vera</v>
      </c>
      <c r="AO106" s="1167" t="s">
        <v>2281</v>
      </c>
      <c r="AP106" t="s">
        <v>2865</v>
      </c>
      <c r="AQ106" t="s">
        <v>2866</v>
      </c>
    </row>
    <row r="107" spans="1:43" ht="15" customHeight="1">
      <c r="A107" s="747" t="s">
        <v>2857</v>
      </c>
      <c r="B107" s="595">
        <v>45923</v>
      </c>
      <c r="C107" s="1447">
        <v>45918</v>
      </c>
      <c r="D107" t="s">
        <v>93</v>
      </c>
      <c r="E107" s="762">
        <f>_xlfn.XLOOKUP(D107,RUC!$B$3:$B$123,RUC!$D$3:$D$123)</f>
        <v>20169040231</v>
      </c>
      <c r="G107" s="1082">
        <v>52</v>
      </c>
      <c r="H107" s="762" t="s">
        <v>69</v>
      </c>
      <c r="I107" s="703">
        <v>4.32</v>
      </c>
      <c r="J107" s="596">
        <v>1.2</v>
      </c>
      <c r="K107" s="703">
        <f t="shared" si="42"/>
        <v>4.2679999999999998</v>
      </c>
      <c r="L107" s="994">
        <v>1.177</v>
      </c>
      <c r="M107" s="762">
        <v>1.1180000000000001</v>
      </c>
      <c r="N107" s="764">
        <v>1.1180000000000001</v>
      </c>
      <c r="O107" s="645">
        <f t="shared" si="44"/>
        <v>1.1180000000000001</v>
      </c>
      <c r="P107" s="727">
        <v>90</v>
      </c>
      <c r="Q107" s="881">
        <v>97.85</v>
      </c>
      <c r="R107" s="706">
        <v>3643.7</v>
      </c>
      <c r="S107" s="765">
        <f>IF((_xlfn.XLOOKUP(D107,RUC!$B$3:$B$119,RUC!$E$3:$E$119)+ROUNDDOWN(O107,1)*100)&lt;95,95,((_xlfn.XLOOKUP(D107,RUC!$B$3:$B$119,RUC!$E$3:$E$119)+ROUNDDOWN(O107,1)*100)))</f>
        <v>195</v>
      </c>
      <c r="U107" s="1146">
        <f>_xlfn.XLOOKUP(D107,RUC!$B$3:$B$123,RUC!$F$3:$F$123)</f>
        <v>120</v>
      </c>
      <c r="V107" s="715">
        <v>1.1023000000000001</v>
      </c>
      <c r="Y107">
        <f>_xlfn.XLOOKUP(D107,RUC!$B$3:$B$123,RUC!$G$3:$G$123)</f>
        <v>20</v>
      </c>
      <c r="Z107" s="1454">
        <v>35</v>
      </c>
      <c r="AA107" s="144">
        <f t="shared" si="47"/>
        <v>55</v>
      </c>
      <c r="AB107" s="145">
        <f>+((O107*P107*(R107-U107)/100)-S107-AA107+T107)*V107</f>
        <v>3632.6813919620004</v>
      </c>
      <c r="AC107" s="145">
        <f>+(S107-T107)*V107-'data 1'!$F$4</f>
        <v>134.94850000000002</v>
      </c>
      <c r="AD107" s="145">
        <f t="shared" si="48"/>
        <v>358.87636176419471</v>
      </c>
      <c r="AE107" s="145">
        <f t="shared" si="49"/>
        <v>-9.3734999999999999</v>
      </c>
      <c r="AF107" s="145">
        <f t="shared" si="50"/>
        <v>224.23922072406475</v>
      </c>
      <c r="AG107" s="772">
        <f t="shared" si="46"/>
        <v>725.69058248825945</v>
      </c>
      <c r="AH107" s="1253">
        <f t="shared" si="54"/>
        <v>168.52699999999999</v>
      </c>
      <c r="AI107" s="1253">
        <f t="shared" si="55"/>
        <v>172.23</v>
      </c>
      <c r="AJ107" s="156">
        <f t="shared" si="51"/>
        <v>-102.44968678114479</v>
      </c>
      <c r="AK107" s="156">
        <f t="shared" si="52"/>
        <v>147.23728242182392</v>
      </c>
      <c r="AM107" s="716">
        <f t="shared" si="53"/>
        <v>15504.284180893817</v>
      </c>
      <c r="AN107" s="716" t="str">
        <f>_xlfn.XLOOKUP(D107,RUC!$B$3:$B$578,RUC!$M$3:$M$578)</f>
        <v>Ronald Miranda</v>
      </c>
      <c r="AO107" s="1167" t="s">
        <v>2279</v>
      </c>
      <c r="AP107" t="s">
        <v>2867</v>
      </c>
      <c r="AQ107" t="s">
        <v>2868</v>
      </c>
    </row>
    <row r="108" spans="1:43" ht="15" customHeight="1">
      <c r="A108" s="747" t="s">
        <v>2858</v>
      </c>
      <c r="B108" s="595">
        <v>45924</v>
      </c>
      <c r="C108" s="1447">
        <v>45918</v>
      </c>
      <c r="D108" t="s">
        <v>93</v>
      </c>
      <c r="E108" s="762">
        <f>_xlfn.XLOOKUP(D108,RUC!$B$3:$B$123,RUC!$D$3:$D$123)</f>
        <v>20169040231</v>
      </c>
      <c r="G108" s="1082">
        <v>56</v>
      </c>
      <c r="H108" s="762" t="s">
        <v>69</v>
      </c>
      <c r="I108" s="703">
        <v>4.91</v>
      </c>
      <c r="J108" s="596">
        <v>1.1000000000000001</v>
      </c>
      <c r="K108" s="703">
        <f t="shared" ref="K108:K109" si="57">ROUND(+I108-(I108*(J108/100)),3)</f>
        <v>4.8559999999999999</v>
      </c>
      <c r="L108" s="762">
        <v>0.50700000000000001</v>
      </c>
      <c r="M108" s="762">
        <v>0.48199999999999998</v>
      </c>
      <c r="N108" s="1197">
        <v>0.53300000000000003</v>
      </c>
      <c r="O108" s="645">
        <f t="shared" si="44"/>
        <v>0.50800000000000001</v>
      </c>
      <c r="P108" s="727">
        <v>85</v>
      </c>
      <c r="Q108" s="881">
        <v>86.19</v>
      </c>
      <c r="R108" s="706">
        <v>3643.7</v>
      </c>
      <c r="S108" s="765">
        <f>IF((_xlfn.XLOOKUP(D108,RUC!$B$3:$B$119,RUC!$E$3:$E$119)+ROUNDDOWN(O108,1)*100)&lt;95,95,((_xlfn.XLOOKUP(D108,RUC!$B$3:$B$119,RUC!$E$3:$E$119)+ROUNDDOWN(O108,1)*100)))</f>
        <v>135</v>
      </c>
      <c r="U108" s="1146">
        <f>_xlfn.XLOOKUP(D108,RUC!$B$3:$B$123,RUC!$F$3:$F$123)</f>
        <v>120</v>
      </c>
      <c r="V108" s="715">
        <v>1.1023000000000001</v>
      </c>
      <c r="Y108" s="1445">
        <v>25</v>
      </c>
      <c r="Z108" s="1454">
        <v>35</v>
      </c>
      <c r="AA108" s="144">
        <f t="shared" si="47"/>
        <v>60</v>
      </c>
      <c r="AB108" s="145">
        <f t="shared" si="43"/>
        <v>1462.2380534179999</v>
      </c>
      <c r="AC108" s="145">
        <f>+(S108-T108)*V108-'data 1'!$F$4</f>
        <v>68.810500000000019</v>
      </c>
      <c r="AD108" s="145">
        <f t="shared" si="48"/>
        <v>23.434390071182953</v>
      </c>
      <c r="AE108" s="145">
        <f t="shared" si="49"/>
        <v>-3.8619999999999948</v>
      </c>
      <c r="AF108" s="145">
        <f t="shared" si="50"/>
        <v>-3.3477700101690031</v>
      </c>
      <c r="AG108" s="772">
        <f t="shared" si="46"/>
        <v>102.03512006101397</v>
      </c>
      <c r="AH108" s="1253">
        <f t="shared" si="54"/>
        <v>72.753</v>
      </c>
      <c r="AI108" s="1253">
        <f t="shared" si="55"/>
        <v>84.41</v>
      </c>
      <c r="AJ108" s="156">
        <f t="shared" si="51"/>
        <v>-38.872116011312912</v>
      </c>
      <c r="AK108" s="156">
        <f t="shared" si="52"/>
        <v>71.89031479931144</v>
      </c>
      <c r="AM108" s="716">
        <f t="shared" si="53"/>
        <v>7100.6279873978074</v>
      </c>
      <c r="AN108" s="716" t="str">
        <f>_xlfn.XLOOKUP(D108,RUC!$B$3:$B$578,RUC!$M$3:$M$578)</f>
        <v>Ronald Miranda</v>
      </c>
      <c r="AO108" s="1167" t="s">
        <v>2281</v>
      </c>
      <c r="AP108" t="s">
        <v>2867</v>
      </c>
      <c r="AQ108" t="s">
        <v>2868</v>
      </c>
    </row>
    <row r="109" spans="1:43" ht="15" customHeight="1">
      <c r="A109" s="747" t="s">
        <v>2859</v>
      </c>
      <c r="B109" s="595">
        <v>45924</v>
      </c>
      <c r="C109" s="1447">
        <v>45918</v>
      </c>
      <c r="D109" t="s">
        <v>93</v>
      </c>
      <c r="E109" s="762">
        <f>_xlfn.XLOOKUP(D109,RUC!$B$3:$B$123,RUC!$D$3:$D$123)</f>
        <v>20169040231</v>
      </c>
      <c r="G109" s="1082">
        <v>57</v>
      </c>
      <c r="H109" s="762" t="s">
        <v>69</v>
      </c>
      <c r="I109" s="703">
        <v>4.83</v>
      </c>
      <c r="J109" s="596">
        <v>1.2</v>
      </c>
      <c r="K109" s="703">
        <f t="shared" si="57"/>
        <v>4.7720000000000002</v>
      </c>
      <c r="L109" s="762">
        <v>0.50700000000000001</v>
      </c>
      <c r="M109" s="762">
        <v>0.48199999999999998</v>
      </c>
      <c r="N109" s="1197">
        <v>0.55700000000000005</v>
      </c>
      <c r="O109" s="645">
        <f t="shared" si="44"/>
        <v>0.52</v>
      </c>
      <c r="P109" s="727">
        <v>84</v>
      </c>
      <c r="Q109" s="881">
        <v>90.82</v>
      </c>
      <c r="R109" s="706">
        <v>3643.7</v>
      </c>
      <c r="S109" s="765">
        <f>IF((_xlfn.XLOOKUP(D109,RUC!$B$3:$B$119,RUC!$E$3:$E$119)+ROUNDDOWN(O109,1)*100)&lt;95,95,((_xlfn.XLOOKUP(D109,RUC!$B$3:$B$119,RUC!$E$3:$E$119)+ROUNDDOWN(O109,1)*100)))</f>
        <v>135</v>
      </c>
      <c r="U109" s="1146">
        <f>_xlfn.XLOOKUP(D109,RUC!$B$3:$B$123,RUC!$F$3:$F$123)</f>
        <v>120</v>
      </c>
      <c r="V109" s="715">
        <v>1.1023000000000001</v>
      </c>
      <c r="Y109" s="1445">
        <v>30</v>
      </c>
      <c r="Z109" s="1454">
        <v>35</v>
      </c>
      <c r="AA109" s="144">
        <f t="shared" si="47"/>
        <v>65</v>
      </c>
      <c r="AB109" s="145">
        <f t="shared" si="43"/>
        <v>1476.1474259679999</v>
      </c>
      <c r="AC109" s="145">
        <f>+(S109-T109)*V109-'data 1'!$F$4</f>
        <v>68.810500000000019</v>
      </c>
      <c r="AD109" s="145">
        <f t="shared" si="48"/>
        <v>134.30465570207389</v>
      </c>
      <c r="AE109" s="145">
        <f t="shared" si="49"/>
        <v>1.6495000000000033</v>
      </c>
      <c r="AF109" s="145">
        <f t="shared" si="50"/>
        <v>-45.858894769766032</v>
      </c>
      <c r="AG109" s="772">
        <f t="shared" si="46"/>
        <v>175.90576093230789</v>
      </c>
      <c r="AH109" s="1253">
        <f t="shared" si="54"/>
        <v>75.334999999999994</v>
      </c>
      <c r="AI109" s="1253">
        <f t="shared" si="55"/>
        <v>82.95</v>
      </c>
      <c r="AJ109" s="156">
        <f t="shared" si="51"/>
        <v>-40.960268896013915</v>
      </c>
      <c r="AK109" s="156">
        <f t="shared" si="52"/>
        <v>71.46479199114529</v>
      </c>
      <c r="AM109" s="716">
        <f t="shared" si="53"/>
        <v>7044.175516719296</v>
      </c>
      <c r="AN109" s="716" t="str">
        <f>_xlfn.XLOOKUP(D109,RUC!$B$3:$B$578,RUC!$M$3:$M$578)</f>
        <v>Ronald Miranda</v>
      </c>
      <c r="AO109" s="1167" t="s">
        <v>2281</v>
      </c>
      <c r="AP109" t="s">
        <v>2867</v>
      </c>
      <c r="AQ109" t="s">
        <v>2868</v>
      </c>
    </row>
    <row r="110" spans="1:43" ht="15" customHeight="1">
      <c r="G110" s="1082"/>
      <c r="L110" s="762"/>
      <c r="M110" s="762"/>
      <c r="R110" s="706"/>
    </row>
    <row r="111" spans="1:43" ht="15" customHeight="1">
      <c r="G111" s="1082"/>
      <c r="L111" s="762"/>
      <c r="M111" s="762"/>
      <c r="R111" s="706"/>
    </row>
    <row r="112" spans="1:43" ht="15" customHeight="1">
      <c r="G112" s="1082"/>
      <c r="L112" s="762"/>
      <c r="M112" s="762"/>
      <c r="R112" s="706"/>
    </row>
    <row r="113" spans="7:18" ht="15" customHeight="1">
      <c r="G113" s="1082"/>
      <c r="L113" s="762"/>
      <c r="M113" s="762"/>
      <c r="R113" s="706"/>
    </row>
    <row r="114" spans="7:18" ht="15" customHeight="1">
      <c r="G114" s="1082"/>
      <c r="L114" s="762"/>
      <c r="M114" s="762"/>
      <c r="R114" s="706"/>
    </row>
    <row r="115" spans="7:18" ht="15" customHeight="1">
      <c r="G115" s="1082"/>
      <c r="L115" s="762"/>
      <c r="M115" s="762"/>
      <c r="R115" s="706"/>
    </row>
    <row r="116" spans="7:18" ht="15" customHeight="1">
      <c r="G116" s="1082"/>
      <c r="L116" s="762"/>
      <c r="M116" s="762"/>
      <c r="R116" s="706"/>
    </row>
    <row r="117" spans="7:18" ht="15" customHeight="1">
      <c r="G117" s="1082"/>
      <c r="L117" s="762"/>
      <c r="M117" s="762"/>
      <c r="R117" s="706"/>
    </row>
    <row r="118" spans="7:18" ht="15" customHeight="1">
      <c r="G118" s="1082"/>
      <c r="L118" s="762"/>
      <c r="M118" s="762"/>
      <c r="R118" s="706"/>
    </row>
    <row r="119" spans="7:18" ht="15" customHeight="1">
      <c r="G119" s="1082"/>
      <c r="L119" s="762"/>
      <c r="M119" s="762"/>
      <c r="R119" s="706"/>
    </row>
    <row r="120" spans="7:18" ht="15" customHeight="1">
      <c r="G120" s="1082"/>
      <c r="L120" s="762"/>
      <c r="M120" s="762"/>
      <c r="R120" s="706"/>
    </row>
    <row r="121" spans="7:18" ht="15" customHeight="1">
      <c r="G121" s="1082"/>
      <c r="L121" s="762"/>
      <c r="M121" s="762"/>
      <c r="R121" s="706"/>
    </row>
    <row r="122" spans="7:18" ht="15" customHeight="1">
      <c r="G122" s="1082"/>
      <c r="L122" s="762"/>
      <c r="M122" s="762"/>
      <c r="R122" s="706"/>
    </row>
    <row r="123" spans="7:18" ht="15" customHeight="1">
      <c r="G123" s="1082"/>
      <c r="L123" s="762"/>
      <c r="M123" s="762"/>
      <c r="R123" s="706"/>
    </row>
    <row r="124" spans="7:18" ht="15" customHeight="1">
      <c r="G124" s="1082"/>
      <c r="L124" s="762"/>
      <c r="M124" s="762"/>
      <c r="R124" s="706"/>
    </row>
    <row r="125" spans="7:18" ht="15" customHeight="1">
      <c r="G125" s="1082"/>
      <c r="L125" s="762"/>
      <c r="M125" s="762"/>
      <c r="R125" s="706"/>
    </row>
    <row r="126" spans="7:18" ht="15" customHeight="1">
      <c r="G126" s="1082"/>
      <c r="L126" s="762"/>
      <c r="M126" s="762"/>
      <c r="R126" s="706"/>
    </row>
    <row r="127" spans="7:18" ht="15" customHeight="1">
      <c r="G127" s="1082"/>
      <c r="L127" s="762"/>
      <c r="M127" s="762"/>
      <c r="R127" s="706"/>
    </row>
    <row r="128" spans="7:18" ht="15" customHeight="1">
      <c r="G128" s="1082"/>
      <c r="L128" s="762"/>
      <c r="M128" s="762"/>
      <c r="R128" s="706"/>
    </row>
    <row r="129" spans="7:18" ht="15" customHeight="1">
      <c r="G129" s="1082"/>
      <c r="L129" s="762"/>
      <c r="M129" s="762"/>
      <c r="R129" s="706"/>
    </row>
    <row r="130" spans="7:18" ht="15" customHeight="1">
      <c r="G130" s="1082"/>
      <c r="L130" s="762"/>
      <c r="M130" s="762"/>
      <c r="R130" s="706"/>
    </row>
    <row r="131" spans="7:18" ht="15" customHeight="1">
      <c r="G131" s="1082"/>
      <c r="L131" s="762"/>
      <c r="M131" s="762"/>
      <c r="R131" s="706"/>
    </row>
    <row r="132" spans="7:18" ht="15" customHeight="1">
      <c r="G132" s="1082"/>
      <c r="L132" s="762"/>
      <c r="M132" s="762"/>
      <c r="R132" s="706"/>
    </row>
    <row r="133" spans="7:18" ht="15" customHeight="1">
      <c r="G133" s="1082"/>
      <c r="L133" s="762"/>
      <c r="M133" s="762"/>
      <c r="R133" s="706"/>
    </row>
    <row r="134" spans="7:18" ht="15" customHeight="1">
      <c r="G134" s="1082"/>
      <c r="L134" s="762"/>
      <c r="M134" s="762"/>
      <c r="R134" s="706"/>
    </row>
    <row r="135" spans="7:18" ht="15" customHeight="1">
      <c r="G135" s="1082"/>
      <c r="L135" s="762"/>
      <c r="M135" s="762"/>
      <c r="R135" s="706"/>
    </row>
    <row r="136" spans="7:18" ht="15" customHeight="1">
      <c r="G136" s="1082"/>
      <c r="L136" s="762"/>
      <c r="M136" s="762"/>
      <c r="R136" s="706"/>
    </row>
    <row r="137" spans="7:18" ht="15" customHeight="1">
      <c r="G137" s="1082"/>
      <c r="L137" s="762"/>
      <c r="M137" s="762"/>
      <c r="R137" s="706"/>
    </row>
    <row r="138" spans="7:18" ht="15" customHeight="1">
      <c r="G138" s="1082"/>
      <c r="L138" s="762"/>
      <c r="M138" s="762"/>
      <c r="R138" s="706"/>
    </row>
    <row r="139" spans="7:18" ht="15" customHeight="1">
      <c r="G139" s="1082"/>
      <c r="L139" s="762"/>
      <c r="M139" s="762"/>
      <c r="R139" s="706"/>
    </row>
    <row r="140" spans="7:18" ht="15" customHeight="1">
      <c r="G140" s="1082"/>
      <c r="L140" s="762"/>
      <c r="M140" s="762"/>
      <c r="R140" s="706"/>
    </row>
    <row r="141" spans="7:18" ht="15" customHeight="1">
      <c r="G141" s="1082"/>
      <c r="L141" s="762"/>
      <c r="M141" s="762"/>
      <c r="R141" s="706"/>
    </row>
    <row r="142" spans="7:18" ht="15" customHeight="1">
      <c r="G142" s="1082"/>
      <c r="L142" s="762"/>
      <c r="M142" s="762"/>
      <c r="R142" s="706"/>
    </row>
    <row r="143" spans="7:18" ht="15" customHeight="1">
      <c r="G143" s="1082"/>
      <c r="L143" s="762"/>
      <c r="M143" s="762"/>
      <c r="R143" s="706"/>
    </row>
    <row r="144" spans="7:18" ht="15" customHeight="1">
      <c r="G144" s="1082"/>
      <c r="L144" s="762"/>
      <c r="M144" s="762"/>
      <c r="R144" s="706"/>
    </row>
    <row r="145" spans="7:18" ht="15" customHeight="1">
      <c r="G145" s="1082"/>
      <c r="L145" s="762"/>
      <c r="M145" s="762"/>
      <c r="R145" s="706"/>
    </row>
    <row r="146" spans="7:18" ht="15" customHeight="1">
      <c r="G146" s="1082"/>
      <c r="L146" s="762"/>
      <c r="M146" s="762"/>
      <c r="R146" s="706"/>
    </row>
    <row r="147" spans="7:18" ht="15" customHeight="1">
      <c r="G147" s="1082"/>
      <c r="L147" s="762"/>
      <c r="M147" s="762"/>
      <c r="R147" s="706"/>
    </row>
    <row r="148" spans="7:18" ht="15" customHeight="1">
      <c r="G148" s="1082"/>
      <c r="L148" s="762"/>
      <c r="M148" s="762"/>
      <c r="R148" s="706"/>
    </row>
    <row r="149" spans="7:18" ht="15" customHeight="1">
      <c r="G149" s="1082"/>
      <c r="L149" s="762"/>
      <c r="M149" s="762"/>
      <c r="R149" s="706"/>
    </row>
    <row r="150" spans="7:18" ht="15" customHeight="1">
      <c r="G150" s="1082"/>
      <c r="L150" s="762"/>
      <c r="M150" s="762"/>
      <c r="R150" s="706"/>
    </row>
    <row r="151" spans="7:18" ht="15" customHeight="1">
      <c r="G151" s="1082"/>
      <c r="L151" s="762"/>
      <c r="M151" s="762"/>
      <c r="R151" s="706"/>
    </row>
    <row r="152" spans="7:18" ht="15" customHeight="1">
      <c r="G152" s="1082"/>
      <c r="L152" s="762"/>
      <c r="M152" s="762"/>
      <c r="R152" s="706"/>
    </row>
    <row r="153" spans="7:18" ht="15" customHeight="1">
      <c r="G153" s="1082"/>
      <c r="L153" s="762"/>
      <c r="M153" s="762"/>
      <c r="R153" s="706"/>
    </row>
    <row r="154" spans="7:18" ht="15" customHeight="1">
      <c r="G154" s="1082"/>
      <c r="L154" s="762"/>
      <c r="M154" s="762"/>
      <c r="R154" s="706"/>
    </row>
    <row r="155" spans="7:18" ht="15" customHeight="1">
      <c r="G155" s="1082"/>
      <c r="L155" s="762"/>
      <c r="M155" s="762"/>
      <c r="R155" s="706"/>
    </row>
    <row r="156" spans="7:18" ht="15" customHeight="1">
      <c r="G156" s="1082"/>
      <c r="L156" s="762"/>
      <c r="M156" s="762"/>
      <c r="R156" s="706"/>
    </row>
    <row r="157" spans="7:18" ht="15" customHeight="1">
      <c r="G157" s="1082"/>
      <c r="L157" s="762"/>
      <c r="M157" s="762"/>
      <c r="R157" s="706"/>
    </row>
    <row r="158" spans="7:18" ht="15" customHeight="1">
      <c r="G158" s="1082"/>
      <c r="L158" s="762"/>
      <c r="M158" s="762"/>
      <c r="R158" s="706"/>
    </row>
    <row r="159" spans="7:18" ht="15" customHeight="1">
      <c r="G159" s="1082"/>
      <c r="L159" s="762"/>
      <c r="M159" s="762"/>
      <c r="R159" s="706"/>
    </row>
    <row r="160" spans="7:18" ht="15" customHeight="1">
      <c r="G160" s="1082"/>
      <c r="L160" s="762"/>
      <c r="M160" s="762"/>
      <c r="R160" s="706"/>
    </row>
    <row r="161" spans="7:18" ht="15" customHeight="1">
      <c r="G161" s="1082"/>
      <c r="L161" s="762"/>
      <c r="M161" s="762"/>
      <c r="R161" s="706"/>
    </row>
    <row r="162" spans="7:18" ht="15" customHeight="1">
      <c r="G162" s="1082"/>
      <c r="L162" s="762"/>
      <c r="M162" s="762"/>
      <c r="R162" s="706"/>
    </row>
    <row r="163" spans="7:18" ht="15" customHeight="1">
      <c r="G163" s="1082"/>
      <c r="L163" s="762"/>
      <c r="M163" s="762"/>
      <c r="R163" s="706"/>
    </row>
    <row r="164" spans="7:18" ht="15" customHeight="1">
      <c r="G164" s="1082"/>
      <c r="L164" s="762"/>
      <c r="M164" s="762"/>
      <c r="R164" s="706"/>
    </row>
    <row r="165" spans="7:18" ht="15" customHeight="1">
      <c r="G165" s="1082"/>
      <c r="L165" s="762"/>
      <c r="M165" s="762"/>
      <c r="R165" s="706"/>
    </row>
    <row r="166" spans="7:18" ht="15" customHeight="1">
      <c r="G166" s="1082"/>
      <c r="L166" s="762"/>
      <c r="M166" s="762"/>
      <c r="R166" s="706"/>
    </row>
    <row r="167" spans="7:18" ht="15" customHeight="1">
      <c r="G167" s="1082"/>
      <c r="L167" s="762"/>
      <c r="M167" s="762"/>
      <c r="R167" s="706"/>
    </row>
    <row r="168" spans="7:18" ht="15" customHeight="1">
      <c r="G168" s="1082"/>
      <c r="L168" s="762"/>
      <c r="M168" s="762"/>
      <c r="R168" s="706"/>
    </row>
    <row r="169" spans="7:18" ht="15" customHeight="1">
      <c r="G169" s="1082"/>
      <c r="L169" s="762"/>
      <c r="M169" s="762"/>
      <c r="R169" s="706"/>
    </row>
    <row r="170" spans="7:18" ht="15" customHeight="1">
      <c r="G170" s="1082"/>
      <c r="L170" s="762"/>
      <c r="M170" s="762"/>
      <c r="R170" s="706"/>
    </row>
    <row r="171" spans="7:18" ht="15" customHeight="1">
      <c r="G171" s="1082"/>
      <c r="L171" s="762"/>
      <c r="M171" s="762"/>
      <c r="R171" s="706"/>
    </row>
    <row r="172" spans="7:18" ht="15" customHeight="1">
      <c r="G172" s="1082"/>
      <c r="L172" s="762"/>
      <c r="M172" s="762"/>
      <c r="R172" s="706"/>
    </row>
    <row r="173" spans="7:18" ht="15" customHeight="1">
      <c r="G173" s="1082"/>
      <c r="L173" s="762"/>
      <c r="M173" s="762"/>
      <c r="R173" s="706"/>
    </row>
    <row r="174" spans="7:18" ht="15" customHeight="1">
      <c r="G174" s="1082"/>
      <c r="L174" s="762"/>
      <c r="M174" s="762"/>
      <c r="R174" s="706"/>
    </row>
    <row r="175" spans="7:18" ht="15" customHeight="1">
      <c r="G175" s="1082"/>
      <c r="L175" s="762"/>
      <c r="M175" s="762"/>
      <c r="R175" s="706"/>
    </row>
    <row r="176" spans="7:18" ht="15" customHeight="1">
      <c r="G176" s="1082"/>
      <c r="L176" s="762"/>
      <c r="M176" s="762"/>
      <c r="R176" s="706"/>
    </row>
    <row r="177" spans="7:18" ht="15" customHeight="1">
      <c r="G177" s="1082"/>
      <c r="L177" s="762"/>
      <c r="M177" s="762"/>
      <c r="R177" s="706"/>
    </row>
    <row r="178" spans="7:18" ht="15" customHeight="1">
      <c r="G178" s="1082"/>
      <c r="L178" s="762"/>
      <c r="M178" s="762"/>
      <c r="R178" s="706"/>
    </row>
    <row r="179" spans="7:18" ht="15" customHeight="1">
      <c r="G179" s="1082"/>
      <c r="L179" s="762"/>
      <c r="M179" s="762"/>
      <c r="R179" s="706"/>
    </row>
    <row r="180" spans="7:18" ht="15" customHeight="1">
      <c r="G180" s="1082"/>
      <c r="L180" s="762"/>
      <c r="M180" s="762"/>
      <c r="R180" s="706"/>
    </row>
    <row r="181" spans="7:18" ht="15" customHeight="1">
      <c r="G181" s="1082"/>
      <c r="L181" s="762"/>
      <c r="M181" s="762"/>
      <c r="R181" s="706"/>
    </row>
    <row r="182" spans="7:18" ht="15" customHeight="1">
      <c r="G182" s="1082"/>
      <c r="L182" s="762"/>
      <c r="M182" s="762"/>
      <c r="R182" s="706"/>
    </row>
    <row r="183" spans="7:18" ht="15" customHeight="1">
      <c r="G183" s="1082"/>
      <c r="L183" s="762"/>
      <c r="M183" s="762"/>
      <c r="R183" s="706"/>
    </row>
    <row r="184" spans="7:18" ht="15" customHeight="1">
      <c r="G184" s="1082"/>
      <c r="L184" s="762"/>
      <c r="M184" s="762"/>
      <c r="R184" s="706"/>
    </row>
    <row r="185" spans="7:18" ht="15" customHeight="1">
      <c r="G185" s="1082"/>
      <c r="L185" s="762"/>
      <c r="M185" s="762"/>
      <c r="R185" s="706"/>
    </row>
    <row r="186" spans="7:18" ht="15" customHeight="1">
      <c r="G186" s="1082"/>
      <c r="L186" s="762"/>
      <c r="M186" s="762"/>
      <c r="R186" s="706"/>
    </row>
    <row r="187" spans="7:18" ht="15" customHeight="1">
      <c r="G187" s="1082"/>
      <c r="L187" s="762"/>
      <c r="M187" s="762"/>
      <c r="R187" s="706"/>
    </row>
    <row r="188" spans="7:18" ht="15" customHeight="1">
      <c r="G188" s="1082"/>
      <c r="L188" s="762"/>
      <c r="M188" s="762"/>
      <c r="R188" s="706"/>
    </row>
    <row r="189" spans="7:18" ht="15" customHeight="1">
      <c r="G189" s="1082"/>
      <c r="L189" s="762"/>
      <c r="M189" s="762"/>
      <c r="R189" s="706"/>
    </row>
    <row r="190" spans="7:18" ht="15" customHeight="1">
      <c r="G190" s="1082"/>
      <c r="L190" s="762"/>
      <c r="M190" s="762"/>
      <c r="R190" s="706"/>
    </row>
    <row r="191" spans="7:18" ht="15" customHeight="1">
      <c r="G191" s="1082"/>
      <c r="L191" s="762"/>
      <c r="M191" s="762"/>
      <c r="R191" s="706"/>
    </row>
    <row r="192" spans="7:18" ht="15" customHeight="1">
      <c r="G192" s="1082"/>
      <c r="L192" s="762"/>
      <c r="M192" s="762"/>
      <c r="R192" s="706"/>
    </row>
    <row r="193" spans="7:18" ht="15" customHeight="1">
      <c r="G193" s="1082"/>
      <c r="L193" s="762"/>
      <c r="M193" s="762"/>
      <c r="R193" s="706"/>
    </row>
    <row r="194" spans="7:18" ht="15" customHeight="1">
      <c r="G194" s="1082"/>
      <c r="L194" s="762"/>
      <c r="M194" s="762"/>
      <c r="R194" s="706"/>
    </row>
    <row r="195" spans="7:18" ht="15" customHeight="1">
      <c r="G195" s="1082"/>
      <c r="L195" s="762"/>
      <c r="M195" s="762"/>
      <c r="R195" s="706"/>
    </row>
    <row r="196" spans="7:18" ht="15" customHeight="1">
      <c r="G196" s="1082"/>
      <c r="L196" s="762"/>
      <c r="M196" s="762"/>
      <c r="R196" s="706"/>
    </row>
    <row r="197" spans="7:18" ht="15" customHeight="1">
      <c r="G197" s="1082"/>
      <c r="L197" s="762"/>
      <c r="M197" s="762"/>
      <c r="R197" s="706"/>
    </row>
    <row r="198" spans="7:18" ht="15" customHeight="1">
      <c r="G198" s="1082"/>
      <c r="L198" s="762"/>
      <c r="M198" s="762"/>
      <c r="R198" s="706"/>
    </row>
    <row r="199" spans="7:18" ht="15" customHeight="1">
      <c r="G199" s="1082"/>
      <c r="L199" s="762"/>
      <c r="M199" s="762"/>
      <c r="R199" s="706"/>
    </row>
    <row r="200" spans="7:18" ht="15" customHeight="1">
      <c r="G200" s="1082"/>
      <c r="L200" s="762"/>
      <c r="M200" s="762"/>
      <c r="R200" s="706"/>
    </row>
    <row r="201" spans="7:18" ht="15" customHeight="1">
      <c r="G201" s="1082"/>
      <c r="L201" s="762"/>
      <c r="M201" s="762"/>
      <c r="R201" s="706"/>
    </row>
    <row r="202" spans="7:18" ht="15" customHeight="1">
      <c r="G202" s="1082"/>
      <c r="L202" s="762"/>
      <c r="M202" s="762"/>
      <c r="R202" s="706"/>
    </row>
    <row r="203" spans="7:18" ht="15" customHeight="1">
      <c r="G203" s="1082"/>
      <c r="L203" s="762"/>
      <c r="M203" s="762"/>
      <c r="R203" s="706"/>
    </row>
    <row r="204" spans="7:18" ht="15" customHeight="1">
      <c r="G204" s="1082"/>
      <c r="L204" s="762"/>
      <c r="M204" s="762"/>
      <c r="R204" s="706"/>
    </row>
    <row r="205" spans="7:18" ht="15" customHeight="1">
      <c r="G205" s="1082"/>
      <c r="L205" s="762"/>
      <c r="M205" s="762"/>
      <c r="R205" s="706"/>
    </row>
    <row r="206" spans="7:18" ht="15" customHeight="1">
      <c r="G206" s="1082"/>
      <c r="L206" s="762"/>
      <c r="M206" s="762"/>
      <c r="R206" s="706"/>
    </row>
    <row r="207" spans="7:18" ht="15" customHeight="1">
      <c r="G207" s="1082"/>
      <c r="L207" s="762"/>
      <c r="M207" s="762"/>
      <c r="R207" s="706"/>
    </row>
    <row r="208" spans="7:18" ht="15" customHeight="1">
      <c r="G208" s="1082"/>
      <c r="L208" s="762"/>
      <c r="M208" s="762"/>
      <c r="R208" s="706"/>
    </row>
    <row r="209" spans="7:18" ht="15" customHeight="1">
      <c r="G209" s="1082"/>
      <c r="L209" s="762"/>
      <c r="M209" s="762"/>
      <c r="R209" s="706"/>
    </row>
    <row r="210" spans="7:18" ht="15" customHeight="1">
      <c r="G210" s="1082"/>
      <c r="L210" s="762"/>
      <c r="M210" s="762"/>
      <c r="R210" s="706"/>
    </row>
    <row r="211" spans="7:18" ht="15" customHeight="1">
      <c r="G211" s="1082"/>
      <c r="L211" s="762"/>
      <c r="M211" s="762"/>
      <c r="R211" s="706"/>
    </row>
    <row r="212" spans="7:18" ht="15" customHeight="1">
      <c r="G212" s="1082"/>
      <c r="L212" s="762"/>
      <c r="M212" s="762"/>
      <c r="R212" s="706"/>
    </row>
    <row r="213" spans="7:18" ht="15" customHeight="1">
      <c r="G213" s="1082"/>
      <c r="L213" s="762"/>
      <c r="M213" s="762"/>
      <c r="R213" s="706"/>
    </row>
    <row r="214" spans="7:18" ht="15" customHeight="1">
      <c r="G214" s="1082"/>
      <c r="L214" s="762"/>
      <c r="M214" s="762"/>
      <c r="R214" s="706"/>
    </row>
    <row r="215" spans="7:18" ht="15" customHeight="1">
      <c r="G215" s="1082"/>
      <c r="L215" s="762"/>
      <c r="M215" s="762"/>
      <c r="R215" s="706"/>
    </row>
    <row r="216" spans="7:18" ht="15" customHeight="1">
      <c r="G216" s="1082"/>
      <c r="L216" s="762"/>
      <c r="M216" s="762"/>
      <c r="R216" s="706"/>
    </row>
    <row r="217" spans="7:18" ht="15" customHeight="1">
      <c r="G217" s="1082"/>
      <c r="L217" s="762"/>
      <c r="M217" s="762"/>
      <c r="R217" s="706"/>
    </row>
    <row r="218" spans="7:18" ht="15" customHeight="1">
      <c r="G218" s="1082"/>
      <c r="L218" s="762"/>
      <c r="M218" s="762"/>
      <c r="R218" s="706"/>
    </row>
    <row r="219" spans="7:18" ht="15" customHeight="1">
      <c r="G219" s="1082"/>
      <c r="L219" s="762"/>
      <c r="M219" s="762"/>
      <c r="R219" s="706"/>
    </row>
    <row r="220" spans="7:18" ht="15" customHeight="1">
      <c r="G220" s="1082"/>
      <c r="L220" s="762"/>
      <c r="M220" s="762"/>
      <c r="R220" s="706"/>
    </row>
    <row r="221" spans="7:18" ht="15" customHeight="1">
      <c r="G221" s="1082"/>
      <c r="L221" s="762"/>
      <c r="M221" s="762"/>
      <c r="R221" s="706"/>
    </row>
    <row r="222" spans="7:18" ht="15" customHeight="1">
      <c r="G222" s="1082"/>
      <c r="L222" s="762"/>
      <c r="M222" s="762"/>
      <c r="R222" s="706"/>
    </row>
    <row r="223" spans="7:18" ht="15" customHeight="1">
      <c r="G223" s="1082"/>
      <c r="L223" s="762"/>
      <c r="M223" s="762"/>
      <c r="R223" s="706"/>
    </row>
    <row r="224" spans="7:18" ht="15" customHeight="1">
      <c r="G224" s="1082"/>
      <c r="L224" s="762"/>
      <c r="M224" s="762"/>
      <c r="R224" s="706"/>
    </row>
    <row r="225" spans="7:18" ht="15" customHeight="1">
      <c r="G225" s="1082"/>
      <c r="L225" s="762"/>
      <c r="M225" s="762"/>
      <c r="R225" s="706"/>
    </row>
    <row r="226" spans="7:18" ht="15" customHeight="1">
      <c r="G226" s="1082"/>
      <c r="L226" s="762"/>
      <c r="M226" s="762"/>
      <c r="R226" s="706"/>
    </row>
    <row r="227" spans="7:18" ht="15" customHeight="1">
      <c r="G227" s="1082"/>
      <c r="L227" s="762"/>
      <c r="M227" s="762"/>
      <c r="R227" s="706"/>
    </row>
    <row r="228" spans="7:18" ht="15" customHeight="1">
      <c r="G228" s="1082"/>
      <c r="L228" s="762"/>
      <c r="M228" s="762"/>
      <c r="R228" s="706"/>
    </row>
    <row r="229" spans="7:18" ht="15" customHeight="1">
      <c r="G229" s="1082"/>
      <c r="L229" s="762"/>
      <c r="M229" s="762"/>
      <c r="R229" s="706"/>
    </row>
    <row r="230" spans="7:18" ht="15" customHeight="1">
      <c r="G230" s="1082"/>
      <c r="L230" s="762"/>
      <c r="M230" s="762"/>
      <c r="R230" s="706"/>
    </row>
    <row r="231" spans="7:18" ht="15" customHeight="1">
      <c r="G231" s="1082"/>
      <c r="L231" s="762"/>
      <c r="M231" s="762"/>
      <c r="R231" s="706"/>
    </row>
    <row r="232" spans="7:18" ht="15" customHeight="1">
      <c r="G232" s="1082"/>
      <c r="L232" s="762"/>
      <c r="M232" s="762"/>
      <c r="R232" s="706"/>
    </row>
    <row r="233" spans="7:18" ht="15" customHeight="1">
      <c r="G233" s="1082"/>
      <c r="L233" s="762"/>
      <c r="M233" s="762"/>
      <c r="R233" s="706"/>
    </row>
    <row r="234" spans="7:18" ht="15" customHeight="1">
      <c r="G234" s="1082"/>
      <c r="L234" s="762"/>
      <c r="M234" s="762"/>
      <c r="R234" s="706"/>
    </row>
    <row r="235" spans="7:18" ht="15" customHeight="1">
      <c r="G235" s="1082"/>
      <c r="L235" s="762"/>
      <c r="M235" s="762"/>
      <c r="R235" s="706"/>
    </row>
    <row r="236" spans="7:18" ht="15" customHeight="1">
      <c r="G236" s="1082"/>
      <c r="L236" s="762"/>
      <c r="M236" s="762"/>
      <c r="R236" s="706"/>
    </row>
    <row r="237" spans="7:18" ht="15" customHeight="1">
      <c r="G237" s="1082"/>
      <c r="L237" s="762"/>
      <c r="M237" s="762"/>
      <c r="R237" s="706"/>
    </row>
    <row r="238" spans="7:18" ht="15" customHeight="1">
      <c r="G238" s="1082"/>
      <c r="L238" s="762"/>
      <c r="M238" s="762"/>
      <c r="R238" s="706"/>
    </row>
    <row r="239" spans="7:18" ht="15" customHeight="1">
      <c r="G239" s="1082"/>
      <c r="L239" s="762"/>
      <c r="M239" s="762"/>
      <c r="R239" s="706"/>
    </row>
    <row r="240" spans="7:18" ht="15" customHeight="1">
      <c r="G240" s="1082"/>
      <c r="L240" s="762"/>
      <c r="M240" s="762"/>
      <c r="R240" s="706"/>
    </row>
    <row r="241" spans="7:18" ht="15" customHeight="1">
      <c r="G241" s="1082"/>
      <c r="L241" s="762"/>
      <c r="M241" s="762"/>
      <c r="R241" s="706"/>
    </row>
    <row r="242" spans="7:18" ht="15" customHeight="1">
      <c r="G242" s="1082"/>
      <c r="L242" s="762"/>
      <c r="M242" s="762"/>
      <c r="R242" s="706"/>
    </row>
    <row r="243" spans="7:18" ht="15" customHeight="1">
      <c r="G243" s="1082"/>
      <c r="L243" s="762"/>
      <c r="M243" s="762"/>
      <c r="R243" s="706"/>
    </row>
    <row r="244" spans="7:18" ht="15" customHeight="1">
      <c r="G244" s="1082"/>
      <c r="L244" s="762"/>
      <c r="M244" s="762"/>
      <c r="R244" s="706"/>
    </row>
    <row r="245" spans="7:18" ht="15" customHeight="1">
      <c r="G245" s="1082"/>
      <c r="L245" s="762"/>
      <c r="M245" s="762"/>
      <c r="R245" s="706"/>
    </row>
    <row r="246" spans="7:18" ht="15" customHeight="1">
      <c r="G246" s="1082"/>
      <c r="L246" s="762"/>
      <c r="M246" s="762"/>
      <c r="R246" s="706"/>
    </row>
    <row r="247" spans="7:18" ht="15" customHeight="1">
      <c r="G247" s="1082"/>
      <c r="L247" s="762"/>
      <c r="M247" s="762"/>
      <c r="R247" s="706"/>
    </row>
    <row r="248" spans="7:18" ht="15" customHeight="1">
      <c r="G248" s="1082"/>
      <c r="L248" s="762"/>
      <c r="M248" s="762"/>
      <c r="R248" s="706"/>
    </row>
    <row r="249" spans="7:18" ht="15" customHeight="1">
      <c r="G249" s="1082"/>
      <c r="L249" s="762"/>
      <c r="M249" s="762"/>
      <c r="R249" s="706"/>
    </row>
    <row r="250" spans="7:18" ht="15" customHeight="1">
      <c r="G250" s="1082"/>
      <c r="L250" s="762"/>
      <c r="M250" s="762"/>
      <c r="R250" s="706"/>
    </row>
    <row r="251" spans="7:18" ht="15" customHeight="1">
      <c r="G251" s="1082"/>
      <c r="L251" s="762"/>
      <c r="M251" s="762"/>
      <c r="R251" s="706"/>
    </row>
    <row r="252" spans="7:18" ht="15" customHeight="1">
      <c r="G252" s="1082"/>
      <c r="L252" s="762"/>
      <c r="M252" s="762"/>
      <c r="R252" s="706"/>
    </row>
    <row r="253" spans="7:18" ht="15" customHeight="1">
      <c r="G253" s="1082"/>
      <c r="L253" s="762"/>
      <c r="M253" s="762"/>
      <c r="R253" s="706"/>
    </row>
    <row r="254" spans="7:18" ht="15" customHeight="1">
      <c r="G254" s="1082"/>
      <c r="L254" s="762"/>
      <c r="M254" s="762"/>
      <c r="R254" s="706"/>
    </row>
    <row r="255" spans="7:18" ht="15" customHeight="1">
      <c r="G255" s="1082"/>
      <c r="L255" s="762"/>
      <c r="M255" s="762"/>
      <c r="R255" s="706"/>
    </row>
    <row r="256" spans="7:18" ht="15" customHeight="1">
      <c r="G256" s="1082"/>
      <c r="L256" s="762"/>
      <c r="M256" s="762"/>
      <c r="R256" s="706"/>
    </row>
    <row r="257" spans="7:18" ht="15" customHeight="1">
      <c r="G257" s="1082"/>
      <c r="L257" s="762"/>
      <c r="M257" s="762"/>
      <c r="R257" s="706"/>
    </row>
    <row r="258" spans="7:18" ht="15" customHeight="1">
      <c r="G258" s="1082"/>
      <c r="L258" s="762"/>
      <c r="M258" s="762"/>
      <c r="R258" s="706"/>
    </row>
    <row r="259" spans="7:18" ht="15" customHeight="1">
      <c r="G259" s="1082"/>
      <c r="L259" s="762"/>
      <c r="M259" s="762"/>
      <c r="R259" s="706"/>
    </row>
    <row r="260" spans="7:18" ht="15" customHeight="1">
      <c r="G260" s="1082"/>
      <c r="L260" s="762"/>
      <c r="M260" s="762"/>
      <c r="R260" s="706"/>
    </row>
    <row r="261" spans="7:18" ht="15" customHeight="1">
      <c r="G261" s="1082"/>
      <c r="L261" s="762"/>
      <c r="M261" s="762"/>
      <c r="R261" s="706"/>
    </row>
    <row r="262" spans="7:18" ht="15" customHeight="1">
      <c r="G262" s="1082"/>
      <c r="L262" s="762"/>
      <c r="M262" s="762"/>
      <c r="R262" s="706"/>
    </row>
    <row r="263" spans="7:18" ht="15" customHeight="1">
      <c r="G263" s="1082"/>
      <c r="L263" s="762"/>
      <c r="M263" s="762"/>
      <c r="R263" s="706"/>
    </row>
    <row r="264" spans="7:18" ht="15" customHeight="1">
      <c r="G264" s="1082"/>
      <c r="L264" s="762"/>
      <c r="M264" s="762"/>
      <c r="R264" s="706"/>
    </row>
    <row r="265" spans="7:18" ht="15" customHeight="1">
      <c r="G265" s="1082"/>
      <c r="L265" s="762"/>
      <c r="M265" s="762"/>
      <c r="R265" s="706"/>
    </row>
    <row r="266" spans="7:18" ht="15" customHeight="1">
      <c r="G266" s="1082"/>
      <c r="L266" s="762"/>
      <c r="M266" s="762"/>
      <c r="R266" s="706"/>
    </row>
    <row r="267" spans="7:18" ht="15" customHeight="1">
      <c r="G267" s="1082"/>
      <c r="L267" s="762"/>
      <c r="M267" s="762"/>
      <c r="R267" s="706"/>
    </row>
    <row r="268" spans="7:18" ht="15" customHeight="1">
      <c r="G268" s="1082"/>
      <c r="L268" s="762"/>
      <c r="M268" s="762"/>
      <c r="R268" s="706"/>
    </row>
    <row r="269" spans="7:18" ht="15" customHeight="1">
      <c r="G269" s="1082"/>
      <c r="L269" s="762"/>
      <c r="M269" s="762"/>
      <c r="R269" s="706"/>
    </row>
    <row r="270" spans="7:18" ht="15" customHeight="1">
      <c r="G270" s="1082"/>
      <c r="L270" s="762"/>
      <c r="M270" s="762"/>
      <c r="R270" s="706"/>
    </row>
    <row r="271" spans="7:18" ht="15" customHeight="1">
      <c r="G271" s="1082"/>
      <c r="L271" s="762"/>
      <c r="M271" s="762"/>
      <c r="R271" s="706"/>
    </row>
    <row r="272" spans="7:18" ht="15" customHeight="1">
      <c r="G272" s="1082"/>
      <c r="L272" s="762"/>
      <c r="M272" s="762"/>
      <c r="R272" s="706"/>
    </row>
    <row r="273" spans="7:18" ht="15" customHeight="1">
      <c r="G273" s="1082"/>
      <c r="L273" s="762"/>
      <c r="M273" s="762"/>
      <c r="R273" s="706"/>
    </row>
    <row r="274" spans="7:18" ht="15" customHeight="1">
      <c r="G274" s="1082"/>
      <c r="R274" s="706"/>
    </row>
    <row r="275" spans="7:18" ht="15" customHeight="1">
      <c r="G275" s="1082"/>
      <c r="R275" s="706"/>
    </row>
    <row r="276" spans="7:18" ht="15" customHeight="1">
      <c r="G276" s="1082"/>
      <c r="R276" s="706"/>
    </row>
    <row r="277" spans="7:18" ht="15" customHeight="1">
      <c r="G277" s="1082"/>
      <c r="R277" s="706"/>
    </row>
    <row r="278" spans="7:18" ht="15" customHeight="1">
      <c r="G278" s="1082"/>
      <c r="R278" s="706"/>
    </row>
    <row r="279" spans="7:18" ht="15" customHeight="1">
      <c r="G279" s="1082"/>
      <c r="R279" s="706"/>
    </row>
    <row r="280" spans="7:18" ht="15" customHeight="1">
      <c r="G280" s="1082"/>
      <c r="R280" s="706"/>
    </row>
    <row r="281" spans="7:18" ht="15" customHeight="1">
      <c r="G281" s="1082"/>
      <c r="R281" s="706"/>
    </row>
    <row r="282" spans="7:18" ht="15" customHeight="1">
      <c r="G282" s="1082"/>
      <c r="R282" s="706"/>
    </row>
    <row r="283" spans="7:18" ht="15" customHeight="1">
      <c r="G283" s="1082"/>
      <c r="R283" s="706"/>
    </row>
    <row r="284" spans="7:18" ht="15" customHeight="1">
      <c r="G284" s="1082"/>
      <c r="R284" s="706"/>
    </row>
    <row r="285" spans="7:18" ht="15" customHeight="1">
      <c r="G285" s="1082"/>
      <c r="R285" s="706"/>
    </row>
    <row r="286" spans="7:18" ht="15" customHeight="1">
      <c r="G286" s="1082"/>
      <c r="R286" s="706"/>
    </row>
    <row r="287" spans="7:18" ht="15" customHeight="1">
      <c r="G287" s="1082"/>
      <c r="R287" s="706"/>
    </row>
    <row r="288" spans="7:18" ht="15" customHeight="1">
      <c r="G288" s="1082"/>
      <c r="R288" s="706"/>
    </row>
    <row r="289" spans="7:18" ht="15" customHeight="1">
      <c r="G289" s="1082"/>
      <c r="R289" s="706"/>
    </row>
    <row r="290" spans="7:18" ht="15" customHeight="1">
      <c r="G290" s="1082"/>
      <c r="R290" s="706"/>
    </row>
    <row r="291" spans="7:18" ht="15" customHeight="1">
      <c r="G291" s="1082"/>
      <c r="R291" s="706"/>
    </row>
    <row r="292" spans="7:18" ht="15" customHeight="1">
      <c r="G292" s="1082"/>
      <c r="R292" s="706"/>
    </row>
    <row r="293" spans="7:18" ht="15" customHeight="1">
      <c r="G293" s="1082"/>
      <c r="R293" s="706"/>
    </row>
    <row r="294" spans="7:18" ht="15" customHeight="1">
      <c r="G294" s="1082"/>
      <c r="R294" s="706"/>
    </row>
    <row r="295" spans="7:18" ht="15" customHeight="1">
      <c r="G295" s="1082"/>
      <c r="R295" s="706"/>
    </row>
    <row r="296" spans="7:18" ht="15" customHeight="1">
      <c r="G296" s="1082"/>
      <c r="R296" s="706"/>
    </row>
    <row r="297" spans="7:18" ht="15" customHeight="1">
      <c r="G297" s="1082"/>
      <c r="R297" s="706"/>
    </row>
    <row r="298" spans="7:18" ht="15" customHeight="1">
      <c r="G298" s="1082"/>
      <c r="R298" s="706"/>
    </row>
    <row r="299" spans="7:18" ht="15" customHeight="1">
      <c r="G299" s="1082"/>
      <c r="R299" s="706"/>
    </row>
    <row r="300" spans="7:18" ht="15" customHeight="1">
      <c r="G300" s="1082"/>
      <c r="R300" s="706"/>
    </row>
    <row r="301" spans="7:18" ht="15" customHeight="1">
      <c r="G301" s="1082"/>
      <c r="R301" s="706"/>
    </row>
    <row r="302" spans="7:18" ht="15" customHeight="1">
      <c r="G302" s="1082"/>
      <c r="R302" s="706"/>
    </row>
    <row r="303" spans="7:18" ht="15" customHeight="1">
      <c r="G303" s="1082"/>
      <c r="R303" s="706"/>
    </row>
    <row r="304" spans="7:18" ht="15" customHeight="1">
      <c r="G304" s="1082"/>
      <c r="R304" s="706"/>
    </row>
    <row r="305" spans="7:18" ht="15" customHeight="1">
      <c r="G305" s="1082"/>
      <c r="R305" s="706"/>
    </row>
    <row r="306" spans="7:18" ht="15" customHeight="1">
      <c r="G306" s="1082"/>
      <c r="R306" s="706"/>
    </row>
    <row r="307" spans="7:18" ht="15" customHeight="1">
      <c r="G307" s="1082"/>
      <c r="R307" s="706"/>
    </row>
    <row r="308" spans="7:18" ht="15" customHeight="1">
      <c r="G308" s="1082"/>
      <c r="R308" s="706"/>
    </row>
    <row r="309" spans="7:18" ht="15" customHeight="1">
      <c r="G309" s="1082"/>
      <c r="R309" s="706"/>
    </row>
    <row r="310" spans="7:18" ht="15" customHeight="1">
      <c r="G310" s="1082"/>
      <c r="R310" s="706"/>
    </row>
    <row r="311" spans="7:18" ht="15" customHeight="1">
      <c r="G311" s="1082"/>
      <c r="R311" s="706"/>
    </row>
    <row r="312" spans="7:18" ht="15" customHeight="1">
      <c r="G312" s="1082"/>
      <c r="R312" s="706"/>
    </row>
    <row r="313" spans="7:18" ht="15" customHeight="1">
      <c r="G313" s="1082"/>
      <c r="R313" s="706"/>
    </row>
    <row r="314" spans="7:18" ht="15" customHeight="1">
      <c r="G314" s="1082"/>
      <c r="R314" s="706"/>
    </row>
    <row r="315" spans="7:18" ht="15" customHeight="1">
      <c r="G315" s="1082"/>
      <c r="R315" s="706"/>
    </row>
    <row r="316" spans="7:18" ht="15" customHeight="1">
      <c r="G316" s="1082"/>
      <c r="R316" s="706"/>
    </row>
    <row r="317" spans="7:18" ht="15" customHeight="1">
      <c r="G317" s="1082"/>
      <c r="R317" s="706"/>
    </row>
    <row r="318" spans="7:18" ht="15" customHeight="1">
      <c r="G318" s="1082"/>
      <c r="R318" s="706"/>
    </row>
    <row r="319" spans="7:18" ht="15" customHeight="1">
      <c r="G319" s="1082"/>
      <c r="R319" s="706"/>
    </row>
    <row r="320" spans="7:18" ht="15" customHeight="1">
      <c r="G320" s="1082"/>
      <c r="R320" s="706"/>
    </row>
    <row r="321" spans="7:18" ht="15" customHeight="1">
      <c r="G321" s="1082"/>
      <c r="R321" s="706"/>
    </row>
    <row r="322" spans="7:18" ht="15" customHeight="1">
      <c r="G322" s="1082"/>
      <c r="R322" s="706"/>
    </row>
    <row r="323" spans="7:18" ht="15" customHeight="1">
      <c r="G323" s="1082"/>
      <c r="R323" s="706"/>
    </row>
    <row r="324" spans="7:18" ht="15" customHeight="1">
      <c r="G324" s="1082"/>
      <c r="R324" s="706"/>
    </row>
    <row r="325" spans="7:18" ht="15" customHeight="1">
      <c r="G325" s="1082"/>
      <c r="R325" s="706"/>
    </row>
    <row r="326" spans="7:18" ht="15" customHeight="1">
      <c r="G326" s="1082"/>
      <c r="R326" s="706"/>
    </row>
    <row r="327" spans="7:18" ht="15" customHeight="1">
      <c r="G327" s="1082"/>
      <c r="R327" s="706"/>
    </row>
    <row r="328" spans="7:18" ht="15" customHeight="1">
      <c r="G328" s="1082"/>
      <c r="R328" s="706"/>
    </row>
    <row r="329" spans="7:18" ht="15" customHeight="1">
      <c r="G329" s="1082"/>
      <c r="R329" s="706"/>
    </row>
    <row r="330" spans="7:18" ht="15" customHeight="1">
      <c r="G330" s="1082"/>
      <c r="R330" s="706"/>
    </row>
    <row r="331" spans="7:18" ht="15" customHeight="1">
      <c r="G331" s="1082"/>
      <c r="R331" s="706"/>
    </row>
    <row r="332" spans="7:18" ht="15" customHeight="1">
      <c r="G332" s="1082"/>
      <c r="R332" s="706"/>
    </row>
    <row r="333" spans="7:18" ht="15" customHeight="1">
      <c r="G333" s="1082"/>
      <c r="R333" s="706"/>
    </row>
    <row r="334" spans="7:18" ht="15" customHeight="1">
      <c r="G334" s="1082"/>
      <c r="R334" s="706"/>
    </row>
    <row r="335" spans="7:18" ht="15" customHeight="1">
      <c r="G335" s="1082"/>
      <c r="R335" s="706"/>
    </row>
    <row r="336" spans="7:18" ht="15" customHeight="1">
      <c r="G336" s="1082"/>
      <c r="R336" s="706"/>
    </row>
    <row r="337" spans="7:18" ht="15" customHeight="1">
      <c r="G337" s="1082"/>
      <c r="R337" s="706"/>
    </row>
    <row r="338" spans="7:18" ht="15" customHeight="1">
      <c r="G338" s="1082"/>
      <c r="R338" s="706"/>
    </row>
    <row r="339" spans="7:18" ht="15" customHeight="1">
      <c r="G339" s="1082"/>
      <c r="R339" s="706"/>
    </row>
    <row r="340" spans="7:18" ht="15" customHeight="1">
      <c r="G340" s="1082"/>
      <c r="R340" s="706"/>
    </row>
    <row r="341" spans="7:18" ht="15" customHeight="1">
      <c r="G341" s="1082"/>
      <c r="R341" s="706"/>
    </row>
    <row r="342" spans="7:18" ht="15" customHeight="1">
      <c r="G342" s="1082"/>
      <c r="R342" s="706"/>
    </row>
    <row r="343" spans="7:18" ht="15" customHeight="1">
      <c r="G343" s="1082"/>
      <c r="R343" s="706"/>
    </row>
    <row r="344" spans="7:18" ht="15" customHeight="1">
      <c r="G344" s="1082"/>
      <c r="R344" s="706"/>
    </row>
    <row r="345" spans="7:18" ht="15" customHeight="1">
      <c r="G345" s="1082"/>
      <c r="R345" s="706"/>
    </row>
    <row r="346" spans="7:18" ht="15" customHeight="1">
      <c r="G346" s="1082"/>
      <c r="R346" s="706"/>
    </row>
    <row r="347" spans="7:18" ht="15" customHeight="1">
      <c r="G347" s="1082"/>
      <c r="R347" s="706"/>
    </row>
    <row r="348" spans="7:18" ht="15" customHeight="1">
      <c r="G348" s="1082"/>
      <c r="R348" s="706"/>
    </row>
    <row r="349" spans="7:18" ht="15" customHeight="1">
      <c r="G349" s="1082"/>
      <c r="R349" s="706"/>
    </row>
    <row r="350" spans="7:18" ht="15" customHeight="1">
      <c r="G350" s="1082"/>
      <c r="R350" s="706"/>
    </row>
    <row r="351" spans="7:18" ht="15" customHeight="1">
      <c r="G351" s="1082"/>
      <c r="R351" s="706"/>
    </row>
    <row r="352" spans="7:18" ht="15" customHeight="1">
      <c r="G352" s="1082"/>
      <c r="R352" s="706"/>
    </row>
    <row r="353" spans="7:18" ht="15" customHeight="1">
      <c r="G353" s="1082"/>
      <c r="R353" s="706"/>
    </row>
    <row r="354" spans="7:18" ht="15" customHeight="1">
      <c r="G354" s="1082"/>
      <c r="R354" s="706"/>
    </row>
    <row r="355" spans="7:18" ht="15" customHeight="1">
      <c r="G355" s="1082"/>
      <c r="R355" s="706"/>
    </row>
    <row r="356" spans="7:18" ht="15" customHeight="1">
      <c r="G356" s="1082"/>
      <c r="R356" s="706"/>
    </row>
    <row r="357" spans="7:18" ht="15" customHeight="1">
      <c r="G357" s="1082"/>
      <c r="R357" s="706"/>
    </row>
    <row r="358" spans="7:18" ht="15" customHeight="1">
      <c r="G358" s="1082"/>
      <c r="R358" s="706"/>
    </row>
    <row r="359" spans="7:18" ht="15" customHeight="1">
      <c r="G359" s="1082"/>
      <c r="R359" s="706"/>
    </row>
    <row r="360" spans="7:18" ht="15" customHeight="1">
      <c r="G360" s="1082"/>
      <c r="R360" s="706"/>
    </row>
    <row r="361" spans="7:18" ht="15" customHeight="1">
      <c r="G361" s="1082"/>
      <c r="R361" s="706"/>
    </row>
    <row r="362" spans="7:18" ht="15" customHeight="1">
      <c r="G362" s="1082"/>
      <c r="R362" s="706"/>
    </row>
    <row r="363" spans="7:18" ht="15" customHeight="1">
      <c r="G363" s="1082"/>
      <c r="R363" s="706"/>
    </row>
    <row r="364" spans="7:18" ht="15" customHeight="1">
      <c r="G364" s="1082"/>
      <c r="R364" s="706"/>
    </row>
    <row r="365" spans="7:18" ht="15" customHeight="1">
      <c r="G365" s="1082"/>
      <c r="R365" s="706"/>
    </row>
    <row r="366" spans="7:18" ht="15" customHeight="1">
      <c r="G366" s="1082"/>
      <c r="R366" s="706"/>
    </row>
    <row r="367" spans="7:18" ht="15" customHeight="1">
      <c r="G367" s="1082"/>
      <c r="R367" s="706"/>
    </row>
    <row r="368" spans="7:18" ht="15" customHeight="1">
      <c r="G368" s="1082"/>
      <c r="R368" s="706"/>
    </row>
    <row r="369" spans="7:18" ht="15" customHeight="1">
      <c r="G369" s="1082"/>
      <c r="R369" s="706"/>
    </row>
    <row r="370" spans="7:18" ht="15" customHeight="1">
      <c r="G370" s="1082"/>
      <c r="R370" s="706"/>
    </row>
    <row r="371" spans="7:18" ht="15" customHeight="1">
      <c r="G371" s="1082"/>
      <c r="R371" s="706"/>
    </row>
    <row r="372" spans="7:18" ht="15" customHeight="1">
      <c r="G372" s="1082"/>
      <c r="R372" s="706"/>
    </row>
    <row r="373" spans="7:18" ht="15" customHeight="1">
      <c r="G373" s="1082"/>
      <c r="R373" s="706"/>
    </row>
    <row r="374" spans="7:18" ht="15" customHeight="1">
      <c r="G374" s="1082"/>
      <c r="R374" s="706"/>
    </row>
    <row r="375" spans="7:18" ht="15" customHeight="1">
      <c r="G375" s="1082"/>
      <c r="R375" s="706"/>
    </row>
    <row r="376" spans="7:18" ht="15" customHeight="1">
      <c r="G376" s="1082"/>
      <c r="R376" s="706"/>
    </row>
    <row r="377" spans="7:18" ht="15" customHeight="1">
      <c r="G377" s="1082"/>
      <c r="R377" s="706"/>
    </row>
    <row r="378" spans="7:18" ht="15" customHeight="1">
      <c r="G378" s="1082"/>
      <c r="R378" s="706"/>
    </row>
    <row r="379" spans="7:18" ht="15" customHeight="1">
      <c r="G379" s="1082"/>
      <c r="R379" s="706"/>
    </row>
    <row r="380" spans="7:18" ht="15" customHeight="1">
      <c r="G380" s="1082"/>
      <c r="R380" s="706"/>
    </row>
    <row r="381" spans="7:18" ht="15" customHeight="1">
      <c r="G381" s="1082"/>
      <c r="R381" s="706"/>
    </row>
    <row r="382" spans="7:18" ht="15" customHeight="1">
      <c r="G382" s="1082"/>
      <c r="R382" s="706"/>
    </row>
    <row r="383" spans="7:18" ht="15" customHeight="1">
      <c r="G383" s="1082"/>
      <c r="R383" s="706"/>
    </row>
    <row r="384" spans="7:18" ht="15" customHeight="1">
      <c r="G384" s="1082"/>
      <c r="R384" s="706"/>
    </row>
    <row r="385" spans="7:18" ht="15" customHeight="1">
      <c r="G385" s="1082"/>
      <c r="R385" s="706"/>
    </row>
    <row r="386" spans="7:18" ht="15" customHeight="1">
      <c r="G386" s="1082"/>
      <c r="R386" s="706"/>
    </row>
    <row r="387" spans="7:18" ht="15" customHeight="1">
      <c r="G387" s="1082"/>
      <c r="R387" s="706"/>
    </row>
    <row r="388" spans="7:18" ht="15" customHeight="1">
      <c r="G388" s="1082"/>
      <c r="R388" s="706"/>
    </row>
    <row r="389" spans="7:18" ht="15" customHeight="1">
      <c r="G389" s="1082"/>
      <c r="R389" s="706"/>
    </row>
    <row r="390" spans="7:18" ht="15" customHeight="1">
      <c r="G390" s="1082"/>
      <c r="R390" s="706"/>
    </row>
    <row r="391" spans="7:18" ht="15" customHeight="1">
      <c r="G391" s="1082"/>
      <c r="R391" s="706"/>
    </row>
    <row r="392" spans="7:18" ht="15" customHeight="1">
      <c r="G392" s="1082"/>
      <c r="R392" s="706"/>
    </row>
    <row r="393" spans="7:18" ht="15" customHeight="1">
      <c r="G393" s="1082"/>
      <c r="R393" s="706"/>
    </row>
    <row r="394" spans="7:18" ht="15" customHeight="1">
      <c r="G394" s="1082"/>
      <c r="R394" s="706"/>
    </row>
    <row r="395" spans="7:18" ht="15" customHeight="1">
      <c r="G395" s="1082"/>
      <c r="R395" s="706"/>
    </row>
    <row r="396" spans="7:18" ht="15" customHeight="1">
      <c r="G396" s="1082"/>
      <c r="R396" s="706"/>
    </row>
    <row r="397" spans="7:18" ht="15" customHeight="1">
      <c r="G397" s="1082"/>
      <c r="R397" s="706"/>
    </row>
    <row r="398" spans="7:18" ht="15" customHeight="1">
      <c r="G398" s="1082"/>
      <c r="R398" s="706"/>
    </row>
    <row r="399" spans="7:18" ht="15" customHeight="1">
      <c r="G399" s="1082"/>
      <c r="R399" s="706"/>
    </row>
    <row r="400" spans="7:18" ht="15" customHeight="1">
      <c r="G400" s="1082"/>
      <c r="R400" s="706"/>
    </row>
    <row r="401" spans="7:18" ht="15" customHeight="1">
      <c r="G401" s="1082"/>
      <c r="R401" s="706"/>
    </row>
    <row r="402" spans="7:18" ht="15" customHeight="1">
      <c r="G402" s="1082"/>
      <c r="R402" s="706"/>
    </row>
    <row r="403" spans="7:18" ht="15" customHeight="1">
      <c r="G403" s="1082"/>
      <c r="R403" s="706"/>
    </row>
    <row r="404" spans="7:18" ht="15" customHeight="1">
      <c r="G404" s="1082"/>
      <c r="R404" s="706"/>
    </row>
    <row r="405" spans="7:18" ht="15" customHeight="1">
      <c r="G405" s="1082"/>
      <c r="R405" s="706"/>
    </row>
    <row r="406" spans="7:18" ht="15" customHeight="1">
      <c r="G406" s="1082"/>
      <c r="R406" s="706"/>
    </row>
    <row r="407" spans="7:18" ht="15" customHeight="1">
      <c r="G407" s="1082"/>
      <c r="R407" s="706"/>
    </row>
    <row r="408" spans="7:18" ht="15" customHeight="1">
      <c r="G408" s="1082"/>
      <c r="R408" s="706"/>
    </row>
    <row r="409" spans="7:18" ht="15" customHeight="1">
      <c r="G409" s="1082"/>
      <c r="R409" s="706"/>
    </row>
    <row r="410" spans="7:18" ht="15" customHeight="1">
      <c r="G410" s="1082"/>
      <c r="R410" s="706"/>
    </row>
    <row r="411" spans="7:18" ht="15" customHeight="1">
      <c r="G411" s="1082"/>
      <c r="R411" s="706"/>
    </row>
    <row r="412" spans="7:18" ht="15" customHeight="1">
      <c r="G412" s="1082"/>
      <c r="R412" s="706"/>
    </row>
    <row r="413" spans="7:18" ht="15" customHeight="1">
      <c r="G413" s="1082"/>
      <c r="R413" s="706"/>
    </row>
    <row r="414" spans="7:18" ht="15" customHeight="1">
      <c r="G414" s="1082"/>
      <c r="R414" s="706"/>
    </row>
    <row r="415" spans="7:18" ht="15" customHeight="1">
      <c r="G415" s="1082"/>
      <c r="R415" s="706"/>
    </row>
    <row r="416" spans="7:18" ht="15" customHeight="1">
      <c r="G416" s="1082"/>
      <c r="R416" s="706"/>
    </row>
    <row r="417" spans="7:18" ht="15" customHeight="1">
      <c r="G417" s="1082"/>
      <c r="R417" s="706"/>
    </row>
    <row r="418" spans="7:18" ht="15" customHeight="1">
      <c r="G418" s="1082"/>
      <c r="R418" s="706"/>
    </row>
    <row r="419" spans="7:18" ht="15" customHeight="1">
      <c r="G419" s="1082"/>
      <c r="R419" s="706"/>
    </row>
    <row r="420" spans="7:18" ht="15" customHeight="1">
      <c r="G420" s="1082"/>
      <c r="R420" s="706"/>
    </row>
    <row r="421" spans="7:18" ht="15" customHeight="1">
      <c r="G421" s="1082"/>
      <c r="R421" s="706"/>
    </row>
    <row r="422" spans="7:18" ht="15" customHeight="1">
      <c r="G422" s="1082"/>
      <c r="R422" s="706"/>
    </row>
    <row r="423" spans="7:18" ht="15" customHeight="1">
      <c r="G423" s="1082"/>
      <c r="R423" s="706"/>
    </row>
    <row r="424" spans="7:18" ht="15" customHeight="1">
      <c r="G424" s="1082"/>
      <c r="R424" s="706"/>
    </row>
    <row r="425" spans="7:18" ht="15" customHeight="1">
      <c r="G425" s="1082"/>
      <c r="R425" s="706"/>
    </row>
    <row r="426" spans="7:18" ht="15" customHeight="1">
      <c r="G426" s="1082"/>
      <c r="R426" s="706"/>
    </row>
    <row r="427" spans="7:18" ht="15" customHeight="1">
      <c r="G427" s="1082"/>
      <c r="R427" s="706"/>
    </row>
    <row r="428" spans="7:18" ht="15" customHeight="1">
      <c r="G428" s="1082"/>
      <c r="R428" s="706"/>
    </row>
    <row r="429" spans="7:18" ht="15" customHeight="1">
      <c r="G429" s="1082"/>
      <c r="R429" s="706"/>
    </row>
    <row r="430" spans="7:18" ht="15" customHeight="1">
      <c r="G430" s="1082"/>
      <c r="R430" s="706"/>
    </row>
    <row r="431" spans="7:18" ht="15" customHeight="1">
      <c r="G431" s="1082"/>
      <c r="R431" s="706"/>
    </row>
    <row r="432" spans="7:18" ht="15" customHeight="1">
      <c r="G432" s="1082"/>
      <c r="R432" s="706"/>
    </row>
    <row r="433" spans="7:18" ht="15" customHeight="1">
      <c r="G433" s="1082"/>
      <c r="R433" s="706"/>
    </row>
    <row r="434" spans="7:18" ht="15" customHeight="1">
      <c r="G434" s="1082"/>
      <c r="R434" s="706"/>
    </row>
    <row r="435" spans="7:18" ht="15" customHeight="1">
      <c r="G435" s="1082"/>
      <c r="R435" s="706"/>
    </row>
    <row r="436" spans="7:18" ht="15" customHeight="1">
      <c r="G436" s="1082"/>
      <c r="R436" s="706"/>
    </row>
    <row r="437" spans="7:18" ht="15" customHeight="1">
      <c r="G437" s="1082"/>
      <c r="R437" s="706"/>
    </row>
    <row r="438" spans="7:18" ht="15" customHeight="1">
      <c r="G438" s="1082"/>
      <c r="R438" s="706"/>
    </row>
    <row r="439" spans="7:18" ht="15" customHeight="1">
      <c r="G439" s="1082"/>
      <c r="R439" s="706"/>
    </row>
    <row r="440" spans="7:18" ht="15" customHeight="1">
      <c r="G440" s="1082"/>
      <c r="R440" s="706"/>
    </row>
    <row r="441" spans="7:18" ht="15" customHeight="1">
      <c r="G441" s="1082"/>
      <c r="R441" s="706"/>
    </row>
    <row r="442" spans="7:18" ht="15" customHeight="1">
      <c r="G442" s="1082"/>
      <c r="R442" s="706"/>
    </row>
    <row r="443" spans="7:18" ht="15" customHeight="1">
      <c r="G443" s="1082"/>
      <c r="R443" s="706"/>
    </row>
    <row r="444" spans="7:18" ht="15" customHeight="1">
      <c r="G444" s="1082"/>
      <c r="R444" s="706"/>
    </row>
    <row r="445" spans="7:18" ht="15" customHeight="1">
      <c r="G445" s="1082"/>
      <c r="R445" s="706"/>
    </row>
    <row r="446" spans="7:18" ht="15" customHeight="1">
      <c r="G446" s="1082"/>
      <c r="R446" s="706"/>
    </row>
    <row r="447" spans="7:18" ht="15" customHeight="1">
      <c r="G447" s="1082"/>
      <c r="R447" s="706"/>
    </row>
    <row r="448" spans="7:18" ht="15" customHeight="1">
      <c r="G448" s="1082"/>
      <c r="R448" s="706"/>
    </row>
    <row r="449" spans="7:18" ht="15" customHeight="1">
      <c r="G449" s="1082"/>
      <c r="R449" s="706"/>
    </row>
    <row r="450" spans="7:18" ht="15" customHeight="1">
      <c r="G450" s="1082"/>
      <c r="R450" s="706"/>
    </row>
    <row r="451" spans="7:18" ht="15" customHeight="1">
      <c r="G451" s="1082"/>
      <c r="R451" s="706"/>
    </row>
    <row r="452" spans="7:18" ht="15" customHeight="1">
      <c r="G452" s="1082"/>
      <c r="R452" s="706"/>
    </row>
    <row r="453" spans="7:18" ht="15" customHeight="1">
      <c r="G453" s="1082"/>
      <c r="R453" s="706"/>
    </row>
    <row r="454" spans="7:18" ht="15" customHeight="1">
      <c r="G454" s="1082"/>
      <c r="R454" s="706"/>
    </row>
    <row r="455" spans="7:18" ht="15" customHeight="1">
      <c r="G455" s="1082"/>
      <c r="R455" s="706"/>
    </row>
    <row r="456" spans="7:18" ht="15" customHeight="1">
      <c r="G456" s="1082"/>
      <c r="R456" s="706"/>
    </row>
    <row r="457" spans="7:18" ht="15" customHeight="1">
      <c r="G457" s="1082"/>
      <c r="R457" s="706"/>
    </row>
    <row r="458" spans="7:18" ht="15" customHeight="1">
      <c r="G458" s="1082"/>
      <c r="R458" s="706"/>
    </row>
    <row r="459" spans="7:18" ht="15" customHeight="1">
      <c r="G459" s="1082"/>
      <c r="R459" s="706"/>
    </row>
    <row r="460" spans="7:18" ht="15" customHeight="1">
      <c r="G460" s="1082"/>
      <c r="R460" s="706"/>
    </row>
    <row r="461" spans="7:18" ht="15" customHeight="1">
      <c r="G461" s="1082"/>
      <c r="R461" s="706"/>
    </row>
    <row r="462" spans="7:18" ht="15" customHeight="1">
      <c r="G462" s="1082"/>
      <c r="R462" s="706"/>
    </row>
    <row r="463" spans="7:18" ht="15" customHeight="1">
      <c r="G463" s="1082"/>
      <c r="R463" s="706"/>
    </row>
    <row r="464" spans="7:18" ht="15" customHeight="1">
      <c r="G464" s="1082"/>
      <c r="R464" s="706"/>
    </row>
    <row r="465" spans="7:18" ht="15" customHeight="1">
      <c r="G465" s="1082"/>
      <c r="R465" s="706"/>
    </row>
    <row r="466" spans="7:18" ht="15" customHeight="1">
      <c r="G466" s="1082"/>
      <c r="R466" s="706"/>
    </row>
    <row r="467" spans="7:18" ht="15" customHeight="1">
      <c r="G467" s="1082"/>
      <c r="R467" s="706"/>
    </row>
    <row r="468" spans="7:18" ht="15" customHeight="1">
      <c r="G468" s="1082"/>
      <c r="R468" s="706"/>
    </row>
    <row r="469" spans="7:18" ht="15" customHeight="1">
      <c r="G469" s="1082"/>
      <c r="R469" s="706"/>
    </row>
    <row r="470" spans="7:18" ht="15" customHeight="1">
      <c r="G470" s="1082"/>
      <c r="R470" s="706"/>
    </row>
    <row r="471" spans="7:18" ht="15" customHeight="1">
      <c r="G471" s="1082"/>
      <c r="R471" s="706"/>
    </row>
    <row r="472" spans="7:18" ht="15" customHeight="1">
      <c r="G472" s="1082"/>
      <c r="R472" s="706"/>
    </row>
    <row r="473" spans="7:18" ht="15" customHeight="1">
      <c r="G473" s="1082"/>
      <c r="R473" s="706"/>
    </row>
    <row r="474" spans="7:18" ht="15" customHeight="1">
      <c r="G474" s="1082"/>
      <c r="R474" s="706"/>
    </row>
    <row r="475" spans="7:18" ht="15" customHeight="1">
      <c r="G475" s="1082"/>
      <c r="R475" s="706"/>
    </row>
    <row r="476" spans="7:18" ht="15" customHeight="1">
      <c r="G476" s="1082"/>
      <c r="R476" s="706"/>
    </row>
    <row r="477" spans="7:18" ht="15" customHeight="1">
      <c r="G477" s="1082"/>
      <c r="R477" s="706"/>
    </row>
    <row r="478" spans="7:18" ht="15" customHeight="1">
      <c r="G478" s="1082"/>
      <c r="R478" s="706"/>
    </row>
    <row r="479" spans="7:18" ht="15" customHeight="1">
      <c r="G479" s="1082"/>
      <c r="R479" s="706"/>
    </row>
    <row r="480" spans="7:18" ht="15" customHeight="1">
      <c r="G480" s="1082"/>
      <c r="R480" s="706"/>
    </row>
    <row r="481" spans="7:18" ht="15" customHeight="1">
      <c r="G481" s="1082"/>
      <c r="R481" s="706"/>
    </row>
    <row r="482" spans="7:18" ht="15" customHeight="1">
      <c r="G482" s="1082"/>
      <c r="R482" s="706"/>
    </row>
    <row r="483" spans="7:18" ht="15" customHeight="1">
      <c r="G483" s="1082"/>
      <c r="R483" s="706"/>
    </row>
    <row r="484" spans="7:18" ht="15" customHeight="1">
      <c r="G484" s="1082"/>
      <c r="R484" s="706"/>
    </row>
    <row r="485" spans="7:18" ht="15" customHeight="1">
      <c r="G485" s="1082"/>
      <c r="R485" s="706"/>
    </row>
    <row r="486" spans="7:18" ht="15" customHeight="1">
      <c r="G486" s="1082"/>
      <c r="R486" s="706"/>
    </row>
    <row r="487" spans="7:18" ht="15" customHeight="1">
      <c r="G487" s="1082"/>
      <c r="R487" s="706"/>
    </row>
    <row r="488" spans="7:18" ht="15" customHeight="1">
      <c r="G488" s="1082"/>
      <c r="R488" s="706"/>
    </row>
    <row r="489" spans="7:18" ht="15" customHeight="1">
      <c r="G489" s="1082"/>
      <c r="R489" s="706"/>
    </row>
    <row r="490" spans="7:18" ht="15" customHeight="1">
      <c r="G490" s="1082"/>
      <c r="R490" s="706"/>
    </row>
    <row r="491" spans="7:18" ht="15" customHeight="1">
      <c r="G491" s="1082"/>
      <c r="R491" s="706"/>
    </row>
    <row r="492" spans="7:18" ht="15" customHeight="1">
      <c r="G492" s="1082"/>
      <c r="R492" s="706"/>
    </row>
    <row r="493" spans="7:18" ht="15" customHeight="1">
      <c r="G493" s="1082"/>
      <c r="R493" s="706"/>
    </row>
    <row r="494" spans="7:18" ht="15" customHeight="1">
      <c r="G494" s="1082"/>
      <c r="R494" s="706"/>
    </row>
    <row r="495" spans="7:18" ht="15" customHeight="1">
      <c r="G495" s="1082"/>
      <c r="R495" s="706"/>
    </row>
    <row r="496" spans="7:18" ht="15" customHeight="1">
      <c r="G496" s="1082"/>
      <c r="R496" s="706"/>
    </row>
    <row r="497" spans="7:18" ht="15" customHeight="1">
      <c r="G497" s="1082"/>
      <c r="R497" s="706"/>
    </row>
    <row r="498" spans="7:18" ht="15" customHeight="1">
      <c r="G498" s="1082"/>
      <c r="R498" s="706"/>
    </row>
    <row r="499" spans="7:18" ht="15" customHeight="1">
      <c r="G499" s="1082"/>
      <c r="R499" s="706"/>
    </row>
    <row r="500" spans="7:18" ht="15" customHeight="1">
      <c r="G500" s="1082"/>
      <c r="R500" s="706"/>
    </row>
    <row r="501" spans="7:18" ht="15" customHeight="1">
      <c r="G501" s="1082"/>
      <c r="R501" s="706"/>
    </row>
    <row r="502" spans="7:18" ht="15" customHeight="1">
      <c r="G502" s="1082"/>
      <c r="R502" s="706"/>
    </row>
    <row r="503" spans="7:18" ht="15" customHeight="1">
      <c r="G503" s="1082"/>
      <c r="R503" s="706"/>
    </row>
    <row r="504" spans="7:18" ht="15" customHeight="1">
      <c r="G504" s="1082"/>
      <c r="R504" s="706"/>
    </row>
    <row r="505" spans="7:18" ht="15" customHeight="1">
      <c r="G505" s="1082"/>
      <c r="R505" s="706"/>
    </row>
    <row r="506" spans="7:18" ht="15" customHeight="1">
      <c r="G506" s="1082"/>
      <c r="R506" s="706"/>
    </row>
    <row r="507" spans="7:18" ht="15" customHeight="1">
      <c r="G507" s="1082"/>
      <c r="R507" s="706"/>
    </row>
    <row r="508" spans="7:18" ht="15" customHeight="1">
      <c r="G508" s="1082"/>
      <c r="R508" s="706"/>
    </row>
    <row r="509" spans="7:18" ht="15" customHeight="1">
      <c r="G509" s="1082"/>
      <c r="R509" s="706"/>
    </row>
    <row r="510" spans="7:18" ht="15" customHeight="1">
      <c r="G510" s="1082"/>
      <c r="R510" s="706"/>
    </row>
    <row r="511" spans="7:18" ht="15" customHeight="1">
      <c r="G511" s="1082"/>
      <c r="R511" s="706"/>
    </row>
    <row r="512" spans="7:18" ht="15" customHeight="1">
      <c r="G512" s="1082"/>
      <c r="R512" s="706"/>
    </row>
    <row r="513" spans="7:18" ht="15" customHeight="1">
      <c r="G513" s="1082"/>
      <c r="R513" s="706"/>
    </row>
    <row r="514" spans="7:18" ht="15" customHeight="1">
      <c r="G514" s="1082"/>
      <c r="R514" s="706"/>
    </row>
    <row r="515" spans="7:18" ht="15" customHeight="1">
      <c r="G515" s="1082"/>
      <c r="R515" s="706"/>
    </row>
    <row r="516" spans="7:18" ht="15" customHeight="1">
      <c r="G516" s="1082"/>
      <c r="R516" s="706"/>
    </row>
    <row r="517" spans="7:18" ht="15" customHeight="1">
      <c r="G517" s="1082"/>
      <c r="R517" s="706"/>
    </row>
    <row r="518" spans="7:18" ht="15" customHeight="1">
      <c r="G518" s="1082"/>
      <c r="R518" s="706"/>
    </row>
    <row r="519" spans="7:18" ht="15" customHeight="1">
      <c r="G519" s="1082"/>
      <c r="R519" s="706"/>
    </row>
    <row r="520" spans="7:18" ht="15" customHeight="1">
      <c r="G520" s="1082"/>
      <c r="R520" s="706"/>
    </row>
    <row r="521" spans="7:18" ht="15" customHeight="1">
      <c r="G521" s="1082"/>
      <c r="R521" s="706"/>
    </row>
    <row r="522" spans="7:18" ht="15" customHeight="1">
      <c r="G522" s="1082"/>
      <c r="R522" s="706"/>
    </row>
    <row r="523" spans="7:18" ht="15" customHeight="1">
      <c r="G523" s="1082"/>
      <c r="R523" s="706"/>
    </row>
    <row r="524" spans="7:18" ht="15" customHeight="1">
      <c r="G524" s="1082"/>
      <c r="R524" s="706"/>
    </row>
    <row r="525" spans="7:18" ht="15" customHeight="1">
      <c r="G525" s="1082"/>
      <c r="R525" s="706"/>
    </row>
    <row r="526" spans="7:18" ht="15" customHeight="1">
      <c r="G526" s="1082"/>
      <c r="R526" s="706"/>
    </row>
    <row r="527" spans="7:18" ht="15" customHeight="1">
      <c r="G527" s="1082"/>
      <c r="R527" s="706"/>
    </row>
    <row r="528" spans="7:18" ht="15" customHeight="1">
      <c r="G528" s="1082"/>
      <c r="R528" s="706"/>
    </row>
    <row r="529" spans="7:18" ht="15" customHeight="1">
      <c r="G529" s="1082"/>
      <c r="R529" s="706"/>
    </row>
    <row r="530" spans="7:18" ht="15" customHeight="1">
      <c r="G530" s="1082"/>
      <c r="R530" s="706"/>
    </row>
    <row r="531" spans="7:18" ht="15" customHeight="1">
      <c r="G531" s="1082"/>
      <c r="R531" s="706"/>
    </row>
    <row r="532" spans="7:18" ht="15" customHeight="1">
      <c r="G532" s="1082"/>
      <c r="R532" s="706"/>
    </row>
    <row r="533" spans="7:18" ht="15" customHeight="1">
      <c r="G533" s="1082"/>
      <c r="R533" s="706"/>
    </row>
    <row r="534" spans="7:18" ht="15" customHeight="1">
      <c r="G534" s="1082"/>
      <c r="R534" s="706"/>
    </row>
    <row r="535" spans="7:18" ht="15" customHeight="1">
      <c r="G535" s="1082"/>
      <c r="R535" s="706"/>
    </row>
    <row r="536" spans="7:18" ht="15" customHeight="1">
      <c r="G536" s="1082"/>
      <c r="R536" s="706"/>
    </row>
    <row r="537" spans="7:18" ht="15" customHeight="1">
      <c r="G537" s="1082"/>
      <c r="R537" s="706"/>
    </row>
    <row r="538" spans="7:18" ht="15" customHeight="1">
      <c r="G538" s="1082"/>
      <c r="R538" s="706"/>
    </row>
    <row r="539" spans="7:18" ht="15" customHeight="1">
      <c r="G539" s="1082"/>
      <c r="R539" s="706"/>
    </row>
    <row r="540" spans="7:18" ht="15" customHeight="1">
      <c r="G540" s="1082"/>
      <c r="R540" s="706"/>
    </row>
    <row r="541" spans="7:18" ht="15" customHeight="1">
      <c r="G541" s="1082"/>
      <c r="R541" s="706"/>
    </row>
    <row r="542" spans="7:18" ht="15" customHeight="1">
      <c r="G542" s="1082"/>
      <c r="R542" s="706"/>
    </row>
    <row r="543" spans="7:18" ht="15" customHeight="1">
      <c r="G543" s="1082"/>
      <c r="R543" s="706"/>
    </row>
    <row r="544" spans="7:18" ht="15" customHeight="1">
      <c r="G544" s="1082"/>
      <c r="R544" s="706"/>
    </row>
    <row r="545" spans="7:18" ht="15" customHeight="1">
      <c r="G545" s="1082"/>
      <c r="R545" s="706"/>
    </row>
    <row r="546" spans="7:18" ht="15" customHeight="1">
      <c r="G546" s="1082"/>
      <c r="R546" s="706"/>
    </row>
    <row r="547" spans="7:18" ht="15" customHeight="1">
      <c r="G547" s="1082"/>
      <c r="R547" s="706"/>
    </row>
    <row r="548" spans="7:18" ht="15" customHeight="1">
      <c r="G548" s="1082"/>
      <c r="R548" s="706"/>
    </row>
    <row r="549" spans="7:18" ht="15" customHeight="1">
      <c r="G549" s="1082"/>
      <c r="R549" s="706"/>
    </row>
    <row r="550" spans="7:18" ht="15" customHeight="1">
      <c r="G550" s="1082"/>
      <c r="R550" s="706"/>
    </row>
    <row r="551" spans="7:18" ht="15" customHeight="1">
      <c r="G551" s="1082"/>
      <c r="R551" s="706"/>
    </row>
    <row r="552" spans="7:18" ht="15" customHeight="1">
      <c r="G552" s="1082"/>
      <c r="R552" s="706"/>
    </row>
    <row r="553" spans="7:18" ht="15" customHeight="1">
      <c r="G553" s="1082"/>
      <c r="R553" s="706"/>
    </row>
    <row r="554" spans="7:18" ht="15" customHeight="1">
      <c r="G554" s="1082"/>
      <c r="R554" s="706"/>
    </row>
    <row r="555" spans="7:18" ht="15" customHeight="1">
      <c r="G555" s="1082"/>
      <c r="R555" s="706"/>
    </row>
    <row r="556" spans="7:18" ht="15" customHeight="1">
      <c r="G556" s="1082"/>
      <c r="R556" s="706"/>
    </row>
    <row r="557" spans="7:18" ht="15" customHeight="1">
      <c r="G557" s="1082"/>
      <c r="R557" s="706"/>
    </row>
    <row r="558" spans="7:18" ht="15" customHeight="1">
      <c r="G558" s="1082"/>
      <c r="R558" s="706"/>
    </row>
    <row r="559" spans="7:18" ht="15" customHeight="1">
      <c r="G559" s="1082"/>
      <c r="R559" s="706"/>
    </row>
    <row r="560" spans="7:18" ht="15" customHeight="1">
      <c r="G560" s="1082"/>
      <c r="R560" s="706"/>
    </row>
    <row r="561" spans="7:18" ht="15" customHeight="1">
      <c r="G561" s="1082"/>
      <c r="R561" s="706"/>
    </row>
    <row r="562" spans="7:18" ht="15" customHeight="1">
      <c r="G562" s="1082"/>
      <c r="R562" s="706"/>
    </row>
    <row r="563" spans="7:18" ht="15" customHeight="1">
      <c r="G563" s="1082"/>
      <c r="R563" s="706"/>
    </row>
    <row r="564" spans="7:18" ht="15" customHeight="1">
      <c r="G564" s="1082"/>
      <c r="R564" s="706"/>
    </row>
    <row r="565" spans="7:18" ht="15" customHeight="1">
      <c r="G565" s="1082"/>
      <c r="R565" s="706"/>
    </row>
    <row r="566" spans="7:18" ht="15" customHeight="1">
      <c r="G566" s="1082"/>
      <c r="R566" s="706"/>
    </row>
    <row r="567" spans="7:18" ht="15" customHeight="1">
      <c r="G567" s="1082"/>
      <c r="R567" s="706"/>
    </row>
    <row r="568" spans="7:18" ht="15" customHeight="1">
      <c r="G568" s="1082"/>
      <c r="R568" s="706"/>
    </row>
    <row r="569" spans="7:18" ht="15" customHeight="1">
      <c r="G569" s="1082"/>
      <c r="R569" s="706"/>
    </row>
    <row r="570" spans="7:18" ht="15" customHeight="1">
      <c r="G570" s="1082"/>
      <c r="R570" s="706"/>
    </row>
    <row r="571" spans="7:18" ht="15" customHeight="1">
      <c r="G571" s="1082"/>
      <c r="R571" s="706"/>
    </row>
    <row r="572" spans="7:18" ht="15" customHeight="1">
      <c r="G572" s="1082"/>
      <c r="R572" s="706"/>
    </row>
    <row r="573" spans="7:18" ht="15" customHeight="1">
      <c r="G573" s="1082"/>
      <c r="R573" s="706"/>
    </row>
    <row r="574" spans="7:18" ht="15" customHeight="1">
      <c r="G574" s="1082"/>
      <c r="R574" s="706"/>
    </row>
    <row r="575" spans="7:18" ht="15" customHeight="1">
      <c r="G575" s="1082"/>
      <c r="R575" s="706"/>
    </row>
    <row r="576" spans="7:18" ht="15" customHeight="1">
      <c r="G576" s="1082"/>
      <c r="R576" s="706"/>
    </row>
    <row r="577" spans="7:18" ht="15" customHeight="1">
      <c r="G577" s="1082"/>
      <c r="R577" s="706"/>
    </row>
    <row r="578" spans="7:18" ht="15" customHeight="1">
      <c r="G578" s="1082"/>
      <c r="R578" s="706"/>
    </row>
    <row r="579" spans="7:18" ht="15" customHeight="1">
      <c r="G579" s="1082"/>
      <c r="R579" s="706"/>
    </row>
    <row r="580" spans="7:18" ht="15" customHeight="1">
      <c r="G580" s="1082"/>
      <c r="R580" s="706"/>
    </row>
    <row r="581" spans="7:18" ht="15" customHeight="1">
      <c r="G581" s="1082"/>
      <c r="R581" s="706"/>
    </row>
    <row r="582" spans="7:18" ht="15" customHeight="1">
      <c r="G582" s="1082"/>
      <c r="R582" s="706"/>
    </row>
    <row r="583" spans="7:18" ht="15" customHeight="1">
      <c r="G583" s="1082"/>
      <c r="R583" s="706"/>
    </row>
    <row r="584" spans="7:18" ht="15" customHeight="1">
      <c r="G584" s="1082"/>
      <c r="R584" s="706"/>
    </row>
    <row r="585" spans="7:18" ht="15" customHeight="1">
      <c r="G585" s="1082"/>
      <c r="R585" s="706"/>
    </row>
    <row r="586" spans="7:18" ht="15" customHeight="1">
      <c r="G586" s="1082"/>
      <c r="R586" s="706"/>
    </row>
    <row r="587" spans="7:18" ht="15" customHeight="1">
      <c r="G587" s="1082"/>
      <c r="R587" s="706"/>
    </row>
    <row r="588" spans="7:18" ht="15" customHeight="1">
      <c r="G588" s="1082"/>
      <c r="R588" s="706"/>
    </row>
    <row r="589" spans="7:18" ht="15" customHeight="1">
      <c r="G589" s="1082"/>
      <c r="R589" s="706"/>
    </row>
    <row r="590" spans="7:18" ht="15" customHeight="1">
      <c r="G590" s="1082"/>
      <c r="R590" s="706"/>
    </row>
    <row r="591" spans="7:18" ht="15" customHeight="1">
      <c r="G591" s="1082"/>
      <c r="R591" s="706"/>
    </row>
    <row r="592" spans="7:18" ht="15" customHeight="1">
      <c r="G592" s="1082"/>
      <c r="R592" s="706"/>
    </row>
    <row r="593" spans="7:18" ht="15" customHeight="1">
      <c r="G593" s="1082"/>
      <c r="R593" s="706"/>
    </row>
    <row r="594" spans="7:18" ht="15" customHeight="1">
      <c r="G594" s="1082"/>
      <c r="R594" s="706"/>
    </row>
    <row r="595" spans="7:18" ht="15" customHeight="1">
      <c r="G595" s="1082"/>
      <c r="R595" s="706"/>
    </row>
    <row r="596" spans="7:18" ht="15" customHeight="1">
      <c r="G596" s="1082"/>
      <c r="R596" s="706"/>
    </row>
    <row r="597" spans="7:18" ht="15" customHeight="1">
      <c r="G597" s="1082"/>
      <c r="R597" s="706"/>
    </row>
    <row r="598" spans="7:18" ht="15" customHeight="1">
      <c r="G598" s="1082"/>
      <c r="R598" s="706"/>
    </row>
    <row r="599" spans="7:18" ht="15" customHeight="1">
      <c r="G599" s="1082"/>
      <c r="R599" s="706"/>
    </row>
    <row r="600" spans="7:18" ht="15" customHeight="1">
      <c r="G600" s="1082"/>
      <c r="R600" s="706"/>
    </row>
    <row r="601" spans="7:18" ht="15" customHeight="1">
      <c r="G601" s="1082"/>
      <c r="R601" s="706"/>
    </row>
    <row r="602" spans="7:18" ht="15" customHeight="1">
      <c r="G602" s="1082"/>
      <c r="R602" s="706"/>
    </row>
    <row r="603" spans="7:18" ht="15" customHeight="1">
      <c r="G603" s="1082"/>
      <c r="R603" s="706"/>
    </row>
    <row r="604" spans="7:18" ht="15" customHeight="1">
      <c r="G604" s="1082"/>
      <c r="R604" s="706"/>
    </row>
    <row r="605" spans="7:18" ht="15" customHeight="1">
      <c r="G605" s="1082"/>
      <c r="R605" s="706"/>
    </row>
    <row r="606" spans="7:18" ht="15" customHeight="1">
      <c r="G606" s="1082"/>
      <c r="R606" s="706"/>
    </row>
    <row r="607" spans="7:18" ht="15" customHeight="1">
      <c r="G607" s="1082"/>
      <c r="R607" s="706"/>
    </row>
    <row r="608" spans="7:18" ht="15" customHeight="1">
      <c r="G608" s="1082"/>
      <c r="R608" s="706"/>
    </row>
    <row r="609" spans="7:18" ht="15" customHeight="1">
      <c r="G609" s="1082"/>
      <c r="R609" s="706"/>
    </row>
    <row r="610" spans="7:18" ht="15" customHeight="1">
      <c r="G610" s="1082"/>
      <c r="R610" s="706"/>
    </row>
    <row r="611" spans="7:18" ht="15" customHeight="1">
      <c r="G611" s="1082"/>
      <c r="R611" s="706"/>
    </row>
    <row r="612" spans="7:18" ht="15" customHeight="1">
      <c r="G612" s="1082"/>
      <c r="R612" s="706"/>
    </row>
    <row r="613" spans="7:18" ht="15" customHeight="1">
      <c r="G613" s="1082"/>
      <c r="R613" s="706"/>
    </row>
    <row r="614" spans="7:18" ht="15" customHeight="1">
      <c r="G614" s="1082"/>
      <c r="R614" s="706"/>
    </row>
    <row r="615" spans="7:18" ht="15" customHeight="1">
      <c r="G615" s="1082"/>
      <c r="R615" s="706"/>
    </row>
    <row r="616" spans="7:18" ht="15" customHeight="1">
      <c r="G616" s="1082"/>
      <c r="R616" s="706"/>
    </row>
    <row r="617" spans="7:18" ht="15" customHeight="1">
      <c r="G617" s="1082"/>
      <c r="R617" s="706"/>
    </row>
    <row r="618" spans="7:18" ht="15" customHeight="1">
      <c r="G618" s="1082"/>
      <c r="R618" s="706"/>
    </row>
    <row r="619" spans="7:18" ht="15" customHeight="1">
      <c r="G619" s="1082"/>
      <c r="R619" s="706"/>
    </row>
    <row r="620" spans="7:18" ht="15" customHeight="1">
      <c r="G620" s="1082"/>
      <c r="R620" s="706"/>
    </row>
    <row r="621" spans="7:18" ht="15" customHeight="1">
      <c r="G621" s="1082"/>
      <c r="R621" s="706"/>
    </row>
    <row r="622" spans="7:18" ht="15" customHeight="1">
      <c r="G622" s="1082"/>
      <c r="R622" s="706"/>
    </row>
    <row r="623" spans="7:18" ht="15" customHeight="1">
      <c r="G623" s="1082"/>
      <c r="R623" s="706"/>
    </row>
    <row r="624" spans="7:18" ht="15" customHeight="1">
      <c r="G624" s="1082"/>
      <c r="R624" s="706"/>
    </row>
    <row r="625" spans="7:18" ht="15" customHeight="1">
      <c r="G625" s="1082"/>
      <c r="R625" s="706"/>
    </row>
    <row r="626" spans="7:18" ht="15" customHeight="1">
      <c r="G626" s="1082"/>
      <c r="R626" s="706"/>
    </row>
    <row r="627" spans="7:18" ht="15" customHeight="1">
      <c r="G627" s="1082"/>
      <c r="R627" s="706"/>
    </row>
    <row r="628" spans="7:18" ht="15" customHeight="1">
      <c r="G628" s="1082"/>
      <c r="R628" s="706"/>
    </row>
    <row r="629" spans="7:18" ht="15" customHeight="1">
      <c r="G629" s="1082"/>
      <c r="R629" s="706"/>
    </row>
    <row r="630" spans="7:18" ht="15" customHeight="1">
      <c r="G630" s="1082"/>
      <c r="R630" s="706"/>
    </row>
    <row r="631" spans="7:18" ht="15" customHeight="1">
      <c r="G631" s="1082"/>
      <c r="R631" s="706"/>
    </row>
    <row r="632" spans="7:18" ht="15" customHeight="1">
      <c r="G632" s="1082"/>
      <c r="R632" s="706"/>
    </row>
    <row r="633" spans="7:18" ht="15" customHeight="1">
      <c r="G633" s="1082"/>
      <c r="R633" s="706"/>
    </row>
    <row r="634" spans="7:18" ht="15" customHeight="1">
      <c r="G634" s="1082"/>
      <c r="R634" s="706"/>
    </row>
    <row r="635" spans="7:18" ht="15" customHeight="1">
      <c r="G635" s="1082"/>
      <c r="R635" s="706"/>
    </row>
    <row r="636" spans="7:18" ht="15" customHeight="1">
      <c r="G636" s="1082"/>
      <c r="R636" s="706"/>
    </row>
    <row r="637" spans="7:18" ht="15" customHeight="1">
      <c r="G637" s="1082"/>
      <c r="R637" s="706"/>
    </row>
    <row r="638" spans="7:18" ht="15" customHeight="1">
      <c r="G638" s="1082"/>
      <c r="R638" s="706"/>
    </row>
    <row r="639" spans="7:18" ht="15" customHeight="1">
      <c r="G639" s="1082"/>
      <c r="R639" s="706"/>
    </row>
    <row r="640" spans="7:18" ht="15" customHeight="1">
      <c r="G640" s="1082"/>
      <c r="R640" s="706"/>
    </row>
    <row r="641" spans="7:18" ht="15" customHeight="1">
      <c r="G641" s="1082"/>
      <c r="R641" s="706"/>
    </row>
    <row r="642" spans="7:18" ht="15" customHeight="1">
      <c r="G642" s="1082"/>
      <c r="R642" s="706"/>
    </row>
    <row r="643" spans="7:18" ht="15" customHeight="1">
      <c r="G643" s="1082"/>
      <c r="R643" s="706"/>
    </row>
    <row r="644" spans="7:18" ht="15" customHeight="1">
      <c r="G644" s="1082"/>
      <c r="R644" s="706"/>
    </row>
    <row r="645" spans="7:18" ht="15" customHeight="1">
      <c r="G645" s="1082"/>
      <c r="R645" s="706"/>
    </row>
    <row r="646" spans="7:18" ht="15" customHeight="1">
      <c r="G646" s="1082"/>
      <c r="R646" s="706"/>
    </row>
    <row r="647" spans="7:18" ht="15" customHeight="1">
      <c r="G647" s="1082"/>
      <c r="R647" s="706"/>
    </row>
    <row r="648" spans="7:18" ht="15" customHeight="1">
      <c r="G648" s="1082"/>
      <c r="R648" s="706"/>
    </row>
    <row r="649" spans="7:18" ht="15" customHeight="1">
      <c r="G649" s="1082"/>
      <c r="R649" s="706"/>
    </row>
    <row r="650" spans="7:18" ht="15" customHeight="1">
      <c r="G650" s="1082"/>
      <c r="R650" s="706"/>
    </row>
    <row r="651" spans="7:18" ht="15" customHeight="1">
      <c r="G651" s="1082"/>
      <c r="R651" s="706"/>
    </row>
    <row r="652" spans="7:18" ht="15" customHeight="1">
      <c r="G652" s="1082"/>
      <c r="R652" s="706"/>
    </row>
    <row r="653" spans="7:18" ht="15" customHeight="1">
      <c r="G653" s="1082"/>
      <c r="R653" s="706"/>
    </row>
    <row r="654" spans="7:18" ht="15" customHeight="1">
      <c r="G654" s="1082"/>
      <c r="R654" s="706"/>
    </row>
    <row r="655" spans="7:18" ht="15" customHeight="1">
      <c r="G655" s="1082"/>
      <c r="R655" s="706"/>
    </row>
    <row r="656" spans="7:18" ht="15" customHeight="1">
      <c r="G656" s="1082"/>
      <c r="R656" s="706"/>
    </row>
    <row r="657" spans="7:18" ht="15" customHeight="1">
      <c r="G657" s="1082"/>
      <c r="R657" s="706"/>
    </row>
    <row r="658" spans="7:18" ht="15" customHeight="1">
      <c r="G658" s="1082"/>
      <c r="R658" s="706"/>
    </row>
    <row r="659" spans="7:18" ht="15" customHeight="1">
      <c r="G659" s="1082"/>
      <c r="R659" s="706"/>
    </row>
    <row r="660" spans="7:18" ht="15" customHeight="1">
      <c r="G660" s="1082"/>
      <c r="R660" s="706"/>
    </row>
    <row r="661" spans="7:18" ht="15" customHeight="1">
      <c r="G661" s="1082"/>
      <c r="R661" s="706"/>
    </row>
    <row r="662" spans="7:18" ht="15" customHeight="1">
      <c r="G662" s="1082"/>
      <c r="R662" s="706"/>
    </row>
    <row r="663" spans="7:18" ht="15" customHeight="1">
      <c r="G663" s="1082"/>
      <c r="R663" s="706"/>
    </row>
    <row r="664" spans="7:18" ht="15" customHeight="1">
      <c r="G664" s="1082"/>
      <c r="R664" s="706"/>
    </row>
    <row r="665" spans="7:18" ht="15" customHeight="1">
      <c r="G665" s="1082"/>
      <c r="R665" s="706"/>
    </row>
    <row r="666" spans="7:18" ht="15" customHeight="1">
      <c r="G666" s="1082"/>
      <c r="R666" s="706"/>
    </row>
    <row r="667" spans="7:18" ht="15" customHeight="1">
      <c r="G667" s="1082"/>
      <c r="R667" s="706"/>
    </row>
    <row r="668" spans="7:18" ht="15" customHeight="1">
      <c r="G668" s="1082"/>
      <c r="R668" s="706"/>
    </row>
    <row r="669" spans="7:18" ht="15" customHeight="1">
      <c r="G669" s="1082"/>
      <c r="R669" s="706"/>
    </row>
    <row r="670" spans="7:18" ht="15" customHeight="1">
      <c r="G670" s="1082"/>
      <c r="R670" s="706"/>
    </row>
    <row r="671" spans="7:18" ht="15" customHeight="1">
      <c r="G671" s="1082"/>
      <c r="R671" s="706"/>
    </row>
    <row r="672" spans="7:18" ht="15" customHeight="1">
      <c r="G672" s="1082"/>
      <c r="R672" s="706"/>
    </row>
    <row r="673" spans="7:18" ht="15" customHeight="1">
      <c r="G673" s="1082"/>
      <c r="R673" s="706"/>
    </row>
    <row r="674" spans="7:18" ht="15" customHeight="1">
      <c r="G674" s="1082"/>
      <c r="R674" s="706"/>
    </row>
    <row r="675" spans="7:18" ht="15" customHeight="1">
      <c r="G675" s="1082"/>
      <c r="R675" s="706"/>
    </row>
    <row r="676" spans="7:18" ht="15" customHeight="1">
      <c r="G676" s="1082"/>
      <c r="R676" s="706"/>
    </row>
    <row r="677" spans="7:18" ht="15" customHeight="1">
      <c r="G677" s="1082"/>
      <c r="R677" s="706"/>
    </row>
    <row r="678" spans="7:18" ht="15" customHeight="1">
      <c r="G678" s="1082"/>
      <c r="R678" s="706"/>
    </row>
    <row r="679" spans="7:18" ht="15" customHeight="1">
      <c r="G679" s="1082"/>
      <c r="R679" s="706"/>
    </row>
    <row r="680" spans="7:18" ht="15" customHeight="1">
      <c r="G680" s="1082"/>
      <c r="R680" s="706"/>
    </row>
    <row r="681" spans="7:18" ht="15" customHeight="1">
      <c r="G681" s="1082"/>
      <c r="R681" s="706"/>
    </row>
    <row r="682" spans="7:18" ht="15" customHeight="1">
      <c r="G682" s="1082"/>
      <c r="R682" s="706"/>
    </row>
    <row r="683" spans="7:18" ht="15" customHeight="1">
      <c r="G683" s="1082"/>
      <c r="R683" s="706"/>
    </row>
    <row r="684" spans="7:18" ht="15" customHeight="1">
      <c r="G684" s="1082"/>
      <c r="R684" s="706"/>
    </row>
    <row r="685" spans="7:18" ht="15" customHeight="1">
      <c r="G685" s="1082"/>
      <c r="R685" s="706"/>
    </row>
    <row r="686" spans="7:18" ht="15" customHeight="1">
      <c r="G686" s="1082"/>
      <c r="R686" s="706"/>
    </row>
    <row r="687" spans="7:18" ht="15" customHeight="1">
      <c r="G687" s="1082"/>
      <c r="R687" s="706"/>
    </row>
    <row r="688" spans="7:18" ht="15" customHeight="1">
      <c r="G688" s="1082"/>
      <c r="R688" s="706"/>
    </row>
    <row r="689" spans="7:18" ht="15" customHeight="1">
      <c r="G689" s="1082"/>
      <c r="R689" s="706"/>
    </row>
    <row r="690" spans="7:18" ht="15" customHeight="1">
      <c r="G690" s="1082"/>
      <c r="R690" s="706"/>
    </row>
    <row r="691" spans="7:18" ht="15" customHeight="1">
      <c r="G691" s="1082"/>
      <c r="R691" s="706"/>
    </row>
    <row r="692" spans="7:18" ht="15" customHeight="1">
      <c r="G692" s="1082"/>
      <c r="R692" s="706"/>
    </row>
    <row r="693" spans="7:18" ht="15" customHeight="1">
      <c r="G693" s="1082"/>
      <c r="R693" s="706"/>
    </row>
    <row r="694" spans="7:18" ht="15" customHeight="1">
      <c r="G694" s="1082"/>
      <c r="R694" s="706"/>
    </row>
    <row r="695" spans="7:18" ht="15" customHeight="1">
      <c r="G695" s="1082"/>
      <c r="R695" s="706"/>
    </row>
    <row r="696" spans="7:18" ht="15" customHeight="1">
      <c r="G696" s="1082"/>
      <c r="R696" s="706"/>
    </row>
    <row r="697" spans="7:18" ht="15" customHeight="1">
      <c r="G697" s="1082"/>
      <c r="R697" s="706"/>
    </row>
    <row r="698" spans="7:18" ht="15" customHeight="1">
      <c r="G698" s="1082"/>
      <c r="R698" s="706"/>
    </row>
    <row r="699" spans="7:18" ht="15" customHeight="1">
      <c r="G699" s="1082"/>
      <c r="R699" s="706"/>
    </row>
    <row r="700" spans="7:18" ht="15" customHeight="1">
      <c r="G700" s="1082"/>
      <c r="R700" s="706"/>
    </row>
    <row r="701" spans="7:18" ht="15" customHeight="1">
      <c r="G701" s="1082"/>
      <c r="R701" s="706"/>
    </row>
    <row r="702" spans="7:18" ht="15" customHeight="1">
      <c r="G702" s="1082"/>
      <c r="R702" s="706"/>
    </row>
    <row r="703" spans="7:18" ht="15" customHeight="1">
      <c r="G703" s="1082"/>
      <c r="R703" s="706"/>
    </row>
    <row r="704" spans="7:18" ht="15" customHeight="1">
      <c r="G704" s="1082"/>
      <c r="R704" s="706"/>
    </row>
    <row r="705" spans="7:18" ht="15" customHeight="1">
      <c r="G705" s="1082"/>
      <c r="R705" s="706"/>
    </row>
    <row r="706" spans="7:18" ht="15" customHeight="1">
      <c r="G706" s="1082"/>
      <c r="R706" s="706"/>
    </row>
    <row r="707" spans="7:18" ht="15" customHeight="1">
      <c r="G707" s="1082"/>
      <c r="R707" s="706"/>
    </row>
    <row r="708" spans="7:18" ht="15" customHeight="1">
      <c r="G708" s="1082"/>
      <c r="R708" s="706"/>
    </row>
    <row r="709" spans="7:18" ht="15" customHeight="1">
      <c r="G709" s="1082"/>
      <c r="R709" s="706"/>
    </row>
    <row r="710" spans="7:18" ht="15" customHeight="1">
      <c r="G710" s="1082"/>
      <c r="R710" s="706"/>
    </row>
    <row r="711" spans="7:18" ht="15" customHeight="1">
      <c r="G711" s="1082"/>
      <c r="R711" s="706"/>
    </row>
    <row r="712" spans="7:18" ht="15" customHeight="1">
      <c r="G712" s="1082"/>
      <c r="R712" s="706"/>
    </row>
    <row r="713" spans="7:18" ht="15" customHeight="1">
      <c r="G713" s="1082"/>
      <c r="R713" s="706"/>
    </row>
    <row r="714" spans="7:18" ht="15" customHeight="1">
      <c r="G714" s="1082"/>
      <c r="R714" s="706"/>
    </row>
    <row r="715" spans="7:18" ht="15" customHeight="1">
      <c r="G715" s="1082"/>
      <c r="R715" s="706"/>
    </row>
    <row r="716" spans="7:18" ht="15" customHeight="1">
      <c r="G716" s="1082"/>
      <c r="R716" s="706"/>
    </row>
    <row r="717" spans="7:18" ht="15" customHeight="1">
      <c r="G717" s="1082"/>
      <c r="R717" s="706"/>
    </row>
    <row r="718" spans="7:18" ht="15" customHeight="1">
      <c r="G718" s="1082"/>
      <c r="R718" s="706"/>
    </row>
    <row r="719" spans="7:18" ht="15" customHeight="1">
      <c r="G719" s="1082"/>
      <c r="R719" s="706"/>
    </row>
    <row r="720" spans="7:18" ht="15" customHeight="1">
      <c r="G720" s="1082"/>
      <c r="R720" s="706"/>
    </row>
    <row r="721" spans="7:18" ht="15" customHeight="1">
      <c r="G721" s="1082"/>
      <c r="R721" s="706"/>
    </row>
    <row r="722" spans="7:18" ht="15" customHeight="1">
      <c r="G722" s="1082"/>
      <c r="R722" s="706"/>
    </row>
    <row r="723" spans="7:18" ht="15" customHeight="1">
      <c r="G723" s="1082"/>
      <c r="R723" s="706"/>
    </row>
    <row r="724" spans="7:18" ht="15" customHeight="1">
      <c r="G724" s="1082"/>
      <c r="R724" s="706"/>
    </row>
    <row r="725" spans="7:18" ht="15" customHeight="1">
      <c r="G725" s="1082"/>
      <c r="R725" s="706"/>
    </row>
    <row r="726" spans="7:18" ht="15" customHeight="1">
      <c r="G726" s="1082"/>
      <c r="R726" s="706"/>
    </row>
    <row r="727" spans="7:18" ht="15" customHeight="1">
      <c r="G727" s="1082"/>
      <c r="R727" s="706"/>
    </row>
    <row r="728" spans="7:18" ht="15" customHeight="1">
      <c r="G728" s="1082"/>
      <c r="R728" s="706"/>
    </row>
    <row r="729" spans="7:18" ht="15" customHeight="1">
      <c r="G729" s="1082"/>
      <c r="R729" s="706"/>
    </row>
    <row r="730" spans="7:18" ht="15" customHeight="1">
      <c r="G730" s="1082"/>
      <c r="R730" s="706"/>
    </row>
    <row r="731" spans="7:18" ht="15" customHeight="1">
      <c r="G731" s="1082"/>
      <c r="R731" s="706"/>
    </row>
    <row r="732" spans="7:18" ht="15" customHeight="1">
      <c r="G732" s="1082"/>
      <c r="R732" s="706"/>
    </row>
    <row r="733" spans="7:18" ht="15" customHeight="1">
      <c r="G733" s="1082"/>
      <c r="R733" s="706"/>
    </row>
    <row r="734" spans="7:18" ht="15" customHeight="1">
      <c r="G734" s="1082"/>
      <c r="R734" s="706"/>
    </row>
    <row r="735" spans="7:18" ht="15" customHeight="1">
      <c r="G735" s="1082"/>
      <c r="R735" s="706"/>
    </row>
    <row r="736" spans="7:18" ht="15" customHeight="1">
      <c r="G736" s="1082"/>
      <c r="R736" s="706"/>
    </row>
    <row r="737" spans="7:18" ht="15" customHeight="1">
      <c r="G737" s="1082"/>
      <c r="R737" s="706"/>
    </row>
    <row r="738" spans="7:18" ht="15" customHeight="1">
      <c r="G738" s="1082"/>
      <c r="R738" s="706"/>
    </row>
    <row r="739" spans="7:18" ht="15" customHeight="1">
      <c r="G739" s="1082"/>
      <c r="R739" s="706"/>
    </row>
    <row r="740" spans="7:18" ht="15" customHeight="1">
      <c r="G740" s="1082"/>
      <c r="R740" s="706"/>
    </row>
    <row r="741" spans="7:18" ht="15" customHeight="1">
      <c r="G741" s="1082"/>
      <c r="R741" s="706"/>
    </row>
    <row r="742" spans="7:18" ht="15" customHeight="1">
      <c r="G742" s="1082"/>
      <c r="R742" s="706"/>
    </row>
    <row r="743" spans="7:18" ht="15" customHeight="1">
      <c r="G743" s="1082"/>
      <c r="R743" s="706"/>
    </row>
    <row r="744" spans="7:18" ht="15" customHeight="1">
      <c r="G744" s="1082"/>
      <c r="R744" s="706"/>
    </row>
    <row r="745" spans="7:18" ht="15" customHeight="1">
      <c r="G745" s="1082"/>
      <c r="R745" s="706"/>
    </row>
    <row r="746" spans="7:18" ht="15" customHeight="1">
      <c r="G746" s="1082"/>
      <c r="R746" s="706"/>
    </row>
    <row r="747" spans="7:18" ht="15" customHeight="1">
      <c r="G747" s="1082"/>
      <c r="R747" s="706"/>
    </row>
    <row r="748" spans="7:18" ht="15" customHeight="1">
      <c r="G748" s="1082"/>
      <c r="R748" s="706"/>
    </row>
    <row r="749" spans="7:18" ht="15" customHeight="1">
      <c r="G749" s="1082"/>
      <c r="R749" s="706"/>
    </row>
    <row r="750" spans="7:18" ht="15" customHeight="1">
      <c r="G750" s="1082"/>
      <c r="R750" s="706"/>
    </row>
    <row r="751" spans="7:18" ht="15" customHeight="1">
      <c r="G751" s="1082"/>
      <c r="R751" s="706"/>
    </row>
    <row r="752" spans="7:18" ht="15" customHeight="1">
      <c r="G752" s="1082"/>
      <c r="R752" s="706"/>
    </row>
    <row r="753" spans="7:18" ht="15" customHeight="1">
      <c r="G753" s="1082"/>
      <c r="R753" s="706"/>
    </row>
    <row r="754" spans="7:18" ht="15" customHeight="1">
      <c r="G754" s="1082"/>
      <c r="R754" s="706"/>
    </row>
    <row r="755" spans="7:18" ht="15" customHeight="1">
      <c r="G755" s="1082"/>
      <c r="R755" s="706"/>
    </row>
    <row r="756" spans="7:18" ht="15" customHeight="1">
      <c r="G756" s="1082"/>
      <c r="R756" s="706"/>
    </row>
    <row r="757" spans="7:18" ht="15" customHeight="1">
      <c r="G757" s="1082"/>
      <c r="R757" s="706"/>
    </row>
    <row r="758" spans="7:18" ht="15" customHeight="1">
      <c r="G758" s="1082"/>
      <c r="R758" s="706"/>
    </row>
    <row r="759" spans="7:18" ht="15" customHeight="1">
      <c r="G759" s="1082"/>
      <c r="R759" s="706"/>
    </row>
    <row r="760" spans="7:18" ht="15" customHeight="1">
      <c r="G760" s="1082"/>
      <c r="R760" s="706"/>
    </row>
    <row r="761" spans="7:18" ht="15" customHeight="1">
      <c r="G761" s="1082"/>
      <c r="R761" s="706"/>
    </row>
    <row r="762" spans="7:18" ht="15" customHeight="1">
      <c r="G762" s="1082"/>
      <c r="R762" s="706"/>
    </row>
    <row r="763" spans="7:18" ht="15" customHeight="1">
      <c r="G763" s="1082"/>
      <c r="R763" s="706"/>
    </row>
    <row r="764" spans="7:18" ht="15" customHeight="1">
      <c r="G764" s="1082"/>
      <c r="R764" s="706"/>
    </row>
    <row r="765" spans="7:18" ht="15" customHeight="1">
      <c r="G765" s="1082"/>
      <c r="R765" s="706"/>
    </row>
    <row r="766" spans="7:18" ht="15" customHeight="1">
      <c r="G766" s="1082"/>
      <c r="R766" s="706"/>
    </row>
    <row r="767" spans="7:18" ht="15" customHeight="1">
      <c r="G767" s="1082"/>
      <c r="R767" s="706"/>
    </row>
    <row r="768" spans="7:18" ht="15" customHeight="1">
      <c r="G768" s="1082"/>
      <c r="R768" s="706"/>
    </row>
    <row r="769" spans="7:18" ht="15" customHeight="1">
      <c r="G769" s="1082"/>
      <c r="R769" s="706"/>
    </row>
    <row r="770" spans="7:18" ht="15" customHeight="1">
      <c r="G770" s="1082"/>
      <c r="R770" s="706"/>
    </row>
    <row r="771" spans="7:18" ht="15" customHeight="1">
      <c r="G771" s="1082"/>
      <c r="R771" s="706"/>
    </row>
    <row r="772" spans="7:18" ht="15" customHeight="1">
      <c r="G772" s="1082"/>
      <c r="R772" s="706"/>
    </row>
    <row r="773" spans="7:18" ht="15" customHeight="1">
      <c r="G773" s="1082"/>
      <c r="R773" s="706"/>
    </row>
    <row r="774" spans="7:18" ht="15" customHeight="1">
      <c r="G774" s="1082"/>
      <c r="R774" s="706"/>
    </row>
    <row r="775" spans="7:18" ht="15" customHeight="1">
      <c r="G775" s="1082"/>
      <c r="R775" s="706"/>
    </row>
    <row r="776" spans="7:18" ht="15" customHeight="1">
      <c r="G776" s="1082"/>
      <c r="R776" s="706"/>
    </row>
    <row r="777" spans="7:18" ht="15" customHeight="1">
      <c r="G777" s="1082"/>
      <c r="R777" s="706"/>
    </row>
    <row r="778" spans="7:18" ht="15" customHeight="1">
      <c r="G778" s="1082"/>
      <c r="R778" s="706"/>
    </row>
    <row r="779" spans="7:18" ht="15" customHeight="1">
      <c r="G779" s="1082"/>
      <c r="R779" s="706"/>
    </row>
    <row r="780" spans="7:18" ht="15" customHeight="1">
      <c r="G780" s="1082"/>
      <c r="R780" s="706"/>
    </row>
    <row r="781" spans="7:18" ht="15" customHeight="1">
      <c r="G781" s="1082"/>
      <c r="R781" s="706"/>
    </row>
    <row r="782" spans="7:18" ht="15" customHeight="1">
      <c r="G782" s="1082"/>
      <c r="R782" s="706"/>
    </row>
    <row r="783" spans="7:18" ht="15" customHeight="1">
      <c r="G783" s="1082"/>
      <c r="R783" s="706"/>
    </row>
    <row r="784" spans="7:18" ht="15" customHeight="1">
      <c r="G784" s="1082"/>
      <c r="R784" s="706"/>
    </row>
    <row r="785" spans="7:18" ht="15" customHeight="1">
      <c r="G785" s="1082"/>
      <c r="R785" s="706"/>
    </row>
    <row r="786" spans="7:18" ht="15" customHeight="1">
      <c r="G786" s="1082"/>
      <c r="R786" s="706"/>
    </row>
    <row r="787" spans="7:18" ht="15" customHeight="1">
      <c r="G787" s="1082"/>
      <c r="R787" s="706"/>
    </row>
    <row r="788" spans="7:18" ht="15" customHeight="1">
      <c r="G788" s="1082"/>
      <c r="R788" s="706"/>
    </row>
    <row r="789" spans="7:18" ht="15" customHeight="1">
      <c r="G789" s="1082"/>
      <c r="R789" s="706"/>
    </row>
    <row r="790" spans="7:18" ht="15" customHeight="1">
      <c r="G790" s="1082"/>
      <c r="R790" s="706"/>
    </row>
    <row r="791" spans="7:18" ht="15" customHeight="1">
      <c r="G791" s="1082"/>
      <c r="R791" s="706"/>
    </row>
    <row r="792" spans="7:18" ht="15" customHeight="1">
      <c r="G792" s="1082"/>
      <c r="R792" s="706"/>
    </row>
    <row r="793" spans="7:18" ht="15" customHeight="1">
      <c r="G793" s="1082"/>
      <c r="R793" s="706"/>
    </row>
    <row r="794" spans="7:18" ht="15" customHeight="1">
      <c r="G794" s="1082"/>
      <c r="R794" s="706"/>
    </row>
    <row r="795" spans="7:18" ht="15" customHeight="1">
      <c r="G795" s="1082"/>
      <c r="R795" s="706"/>
    </row>
    <row r="796" spans="7:18" ht="15" customHeight="1">
      <c r="G796" s="1082"/>
      <c r="R796" s="706"/>
    </row>
    <row r="797" spans="7:18" ht="15" customHeight="1">
      <c r="G797" s="1082"/>
      <c r="R797" s="706"/>
    </row>
    <row r="798" spans="7:18" ht="15" customHeight="1">
      <c r="G798" s="1082"/>
      <c r="R798" s="706"/>
    </row>
    <row r="799" spans="7:18" ht="15" customHeight="1">
      <c r="G799" s="1082"/>
      <c r="R799" s="706"/>
    </row>
    <row r="800" spans="7:18" ht="15" customHeight="1">
      <c r="G800" s="1082"/>
      <c r="R800" s="706"/>
    </row>
    <row r="801" spans="7:18" ht="15" customHeight="1">
      <c r="G801" s="1082"/>
      <c r="R801" s="706"/>
    </row>
    <row r="802" spans="7:18" ht="15" customHeight="1">
      <c r="G802" s="1082"/>
      <c r="R802" s="706"/>
    </row>
    <row r="803" spans="7:18" ht="15" customHeight="1">
      <c r="G803" s="1082"/>
      <c r="R803" s="706"/>
    </row>
    <row r="804" spans="7:18" ht="15" customHeight="1">
      <c r="G804" s="1082"/>
      <c r="R804" s="706"/>
    </row>
    <row r="805" spans="7:18" ht="15" customHeight="1">
      <c r="G805" s="1082"/>
      <c r="R805" s="706"/>
    </row>
    <row r="806" spans="7:18" ht="15" customHeight="1">
      <c r="G806" s="1082"/>
      <c r="R806" s="706"/>
    </row>
    <row r="807" spans="7:18" ht="15" customHeight="1">
      <c r="G807" s="1082"/>
      <c r="R807" s="706"/>
    </row>
    <row r="808" spans="7:18" ht="15" customHeight="1">
      <c r="G808" s="1082"/>
      <c r="R808" s="706"/>
    </row>
    <row r="809" spans="7:18" ht="15" customHeight="1">
      <c r="G809" s="1082"/>
      <c r="R809" s="706"/>
    </row>
    <row r="810" spans="7:18" ht="15" customHeight="1">
      <c r="G810" s="1082"/>
      <c r="R810" s="706"/>
    </row>
    <row r="811" spans="7:18" ht="15" customHeight="1">
      <c r="G811" s="1082"/>
      <c r="R811" s="706"/>
    </row>
    <row r="812" spans="7:18" ht="15" customHeight="1">
      <c r="G812" s="1082"/>
      <c r="R812" s="706"/>
    </row>
    <row r="813" spans="7:18" ht="15" customHeight="1">
      <c r="G813" s="1082"/>
      <c r="R813" s="706"/>
    </row>
    <row r="814" spans="7:18" ht="15" customHeight="1">
      <c r="G814" s="1082"/>
      <c r="R814" s="706"/>
    </row>
    <row r="815" spans="7:18" ht="15" customHeight="1">
      <c r="G815" s="1082"/>
      <c r="R815" s="706"/>
    </row>
    <row r="816" spans="7:18" ht="15" customHeight="1">
      <c r="G816" s="1082"/>
      <c r="R816" s="706"/>
    </row>
    <row r="817" spans="7:18" ht="15" customHeight="1">
      <c r="G817" s="1082"/>
      <c r="R817" s="706"/>
    </row>
    <row r="818" spans="7:18" ht="15" customHeight="1">
      <c r="G818" s="1082"/>
      <c r="R818" s="706"/>
    </row>
    <row r="819" spans="7:18" ht="15" customHeight="1">
      <c r="G819" s="1082"/>
      <c r="R819" s="706"/>
    </row>
    <row r="820" spans="7:18" ht="15" customHeight="1">
      <c r="G820" s="1082"/>
      <c r="R820" s="706"/>
    </row>
    <row r="821" spans="7:18" ht="15" customHeight="1">
      <c r="G821" s="1082"/>
      <c r="R821" s="706"/>
    </row>
    <row r="822" spans="7:18" ht="15" customHeight="1">
      <c r="G822" s="1082"/>
      <c r="R822" s="706"/>
    </row>
    <row r="823" spans="7:18" ht="15" customHeight="1">
      <c r="G823" s="1082"/>
      <c r="R823" s="706"/>
    </row>
    <row r="824" spans="7:18" ht="15" customHeight="1">
      <c r="G824" s="1082"/>
      <c r="R824" s="706"/>
    </row>
    <row r="825" spans="7:18" ht="15" customHeight="1">
      <c r="G825" s="1082"/>
      <c r="R825" s="706"/>
    </row>
    <row r="826" spans="7:18" ht="15" customHeight="1">
      <c r="G826" s="1082"/>
      <c r="R826" s="706"/>
    </row>
    <row r="827" spans="7:18" ht="15" customHeight="1">
      <c r="G827" s="1082"/>
      <c r="R827" s="706"/>
    </row>
    <row r="828" spans="7:18" ht="15" customHeight="1">
      <c r="G828" s="1082"/>
      <c r="R828" s="706"/>
    </row>
    <row r="829" spans="7:18" ht="15" customHeight="1">
      <c r="G829" s="1082"/>
      <c r="R829" s="706"/>
    </row>
    <row r="830" spans="7:18" ht="15" customHeight="1">
      <c r="G830" s="1082"/>
      <c r="R830" s="706"/>
    </row>
    <row r="831" spans="7:18" ht="15" customHeight="1">
      <c r="G831" s="1082"/>
      <c r="R831" s="706"/>
    </row>
    <row r="832" spans="7:18" ht="15" customHeight="1">
      <c r="G832" s="1082"/>
      <c r="R832" s="706"/>
    </row>
    <row r="833" spans="7:18" ht="15" customHeight="1">
      <c r="G833" s="1082"/>
      <c r="R833" s="706"/>
    </row>
    <row r="834" spans="7:18" ht="15" customHeight="1">
      <c r="G834" s="1082"/>
      <c r="R834" s="706"/>
    </row>
    <row r="835" spans="7:18" ht="15" customHeight="1">
      <c r="G835" s="1082"/>
      <c r="R835" s="706"/>
    </row>
    <row r="836" spans="7:18" ht="15" customHeight="1">
      <c r="G836" s="1082"/>
      <c r="R836" s="706"/>
    </row>
    <row r="837" spans="7:18" ht="15" customHeight="1">
      <c r="G837" s="1082"/>
      <c r="R837" s="706"/>
    </row>
    <row r="838" spans="7:18" ht="15" customHeight="1">
      <c r="G838" s="1082"/>
      <c r="R838" s="706"/>
    </row>
    <row r="839" spans="7:18" ht="15" customHeight="1">
      <c r="G839" s="1082"/>
      <c r="R839" s="706"/>
    </row>
    <row r="840" spans="7:18" ht="15" customHeight="1">
      <c r="G840" s="1082"/>
      <c r="R840" s="706"/>
    </row>
    <row r="841" spans="7:18" ht="15" customHeight="1">
      <c r="G841" s="1082"/>
      <c r="R841" s="706"/>
    </row>
    <row r="842" spans="7:18" ht="15" customHeight="1">
      <c r="G842" s="1082"/>
      <c r="R842" s="706"/>
    </row>
    <row r="843" spans="7:18" ht="15" customHeight="1">
      <c r="G843" s="1082"/>
      <c r="R843" s="706"/>
    </row>
    <row r="844" spans="7:18" ht="15" customHeight="1">
      <c r="G844" s="1082"/>
      <c r="R844" s="706"/>
    </row>
    <row r="845" spans="7:18" ht="15" customHeight="1">
      <c r="G845" s="1082"/>
      <c r="R845" s="706"/>
    </row>
    <row r="846" spans="7:18" ht="15" customHeight="1">
      <c r="G846" s="1082"/>
      <c r="R846" s="706"/>
    </row>
    <row r="847" spans="7:18" ht="15" customHeight="1">
      <c r="G847" s="1082"/>
      <c r="R847" s="706"/>
    </row>
    <row r="848" spans="7:18" ht="15" customHeight="1">
      <c r="G848" s="1082"/>
      <c r="R848" s="706"/>
    </row>
    <row r="849" spans="7:18" ht="15" customHeight="1">
      <c r="G849" s="1082"/>
      <c r="R849" s="706"/>
    </row>
    <row r="850" spans="7:18" ht="15" customHeight="1">
      <c r="G850" s="1082"/>
      <c r="R850" s="706"/>
    </row>
    <row r="851" spans="7:18" ht="15" customHeight="1">
      <c r="G851" s="1082"/>
      <c r="R851" s="706"/>
    </row>
    <row r="852" spans="7:18" ht="15" customHeight="1">
      <c r="G852" s="1082"/>
      <c r="R852" s="706"/>
    </row>
    <row r="853" spans="7:18" ht="15" customHeight="1">
      <c r="G853" s="1082"/>
      <c r="R853" s="706"/>
    </row>
    <row r="854" spans="7:18" ht="15" customHeight="1">
      <c r="G854" s="1082"/>
      <c r="R854" s="706"/>
    </row>
    <row r="855" spans="7:18" ht="15" customHeight="1">
      <c r="G855" s="1082"/>
      <c r="R855" s="706"/>
    </row>
    <row r="856" spans="7:18" ht="15" customHeight="1">
      <c r="G856" s="1082"/>
      <c r="R856" s="706"/>
    </row>
    <row r="857" spans="7:18" ht="15" customHeight="1">
      <c r="G857" s="1082"/>
      <c r="R857" s="706"/>
    </row>
    <row r="858" spans="7:18" ht="15" customHeight="1">
      <c r="G858" s="1082"/>
      <c r="R858" s="706"/>
    </row>
    <row r="859" spans="7:18" ht="15" customHeight="1">
      <c r="G859" s="1082"/>
      <c r="R859" s="706"/>
    </row>
    <row r="860" spans="7:18" ht="15" customHeight="1">
      <c r="G860" s="1082"/>
      <c r="R860" s="706"/>
    </row>
    <row r="861" spans="7:18" ht="15" customHeight="1">
      <c r="G861" s="1082"/>
      <c r="R861" s="706"/>
    </row>
    <row r="862" spans="7:18" ht="15" customHeight="1">
      <c r="G862" s="1082"/>
      <c r="R862" s="706"/>
    </row>
    <row r="863" spans="7:18" ht="15" customHeight="1">
      <c r="G863" s="1082"/>
      <c r="R863" s="706"/>
    </row>
    <row r="864" spans="7:18" ht="15" customHeight="1">
      <c r="G864" s="1082"/>
      <c r="R864" s="706"/>
    </row>
    <row r="865" spans="7:18" ht="15" customHeight="1">
      <c r="G865" s="1082"/>
      <c r="R865" s="706"/>
    </row>
    <row r="866" spans="7:18" ht="15" customHeight="1">
      <c r="G866" s="1082"/>
      <c r="R866" s="706"/>
    </row>
    <row r="867" spans="7:18" ht="15" customHeight="1">
      <c r="G867" s="1082"/>
      <c r="R867" s="706"/>
    </row>
    <row r="868" spans="7:18" ht="15" customHeight="1">
      <c r="G868" s="1082"/>
      <c r="R868" s="706"/>
    </row>
    <row r="869" spans="7:18" ht="15" customHeight="1">
      <c r="G869" s="1082"/>
      <c r="R869" s="706"/>
    </row>
    <row r="870" spans="7:18" ht="15" customHeight="1">
      <c r="G870" s="1082"/>
      <c r="R870" s="706"/>
    </row>
    <row r="871" spans="7:18" ht="15" customHeight="1">
      <c r="G871" s="1082"/>
      <c r="R871" s="706"/>
    </row>
    <row r="872" spans="7:18" ht="15" customHeight="1">
      <c r="G872" s="1082"/>
      <c r="R872" s="706"/>
    </row>
    <row r="873" spans="7:18" ht="15" customHeight="1">
      <c r="G873" s="1082"/>
      <c r="R873" s="706"/>
    </row>
    <row r="874" spans="7:18" ht="15" customHeight="1">
      <c r="G874" s="1082"/>
      <c r="R874" s="706"/>
    </row>
    <row r="875" spans="7:18" ht="15" customHeight="1">
      <c r="G875" s="1082"/>
      <c r="R875" s="706"/>
    </row>
    <row r="876" spans="7:18" ht="15" customHeight="1">
      <c r="G876" s="1082"/>
      <c r="R876" s="706"/>
    </row>
    <row r="877" spans="7:18" ht="15" customHeight="1">
      <c r="G877" s="1082"/>
      <c r="R877" s="706"/>
    </row>
    <row r="878" spans="7:18" ht="15" customHeight="1">
      <c r="G878" s="1082"/>
      <c r="R878" s="706"/>
    </row>
    <row r="879" spans="7:18" ht="15" customHeight="1">
      <c r="G879" s="1082"/>
      <c r="R879" s="706"/>
    </row>
    <row r="880" spans="7:18" ht="15" customHeight="1">
      <c r="G880" s="1082"/>
      <c r="R880" s="706"/>
    </row>
    <row r="881" spans="7:18" ht="15" customHeight="1">
      <c r="G881" s="1082"/>
      <c r="R881" s="706"/>
    </row>
    <row r="882" spans="7:18" ht="15" customHeight="1">
      <c r="G882" s="1082"/>
      <c r="R882" s="706"/>
    </row>
    <row r="883" spans="7:18" ht="15" customHeight="1">
      <c r="G883" s="1082"/>
      <c r="R883" s="706"/>
    </row>
    <row r="884" spans="7:18" ht="15" customHeight="1">
      <c r="G884" s="1082"/>
      <c r="R884" s="706"/>
    </row>
    <row r="885" spans="7:18" ht="15" customHeight="1">
      <c r="G885" s="1082"/>
      <c r="R885" s="706"/>
    </row>
    <row r="886" spans="7:18" ht="15" customHeight="1">
      <c r="G886" s="1082"/>
      <c r="R886" s="706"/>
    </row>
    <row r="887" spans="7:18" ht="15" customHeight="1">
      <c r="G887" s="1082"/>
      <c r="R887" s="706"/>
    </row>
    <row r="888" spans="7:18" ht="15" customHeight="1">
      <c r="G888" s="1082"/>
      <c r="R888" s="706"/>
    </row>
    <row r="889" spans="7:18" ht="15" customHeight="1">
      <c r="G889" s="1082"/>
      <c r="R889" s="706"/>
    </row>
    <row r="890" spans="7:18" ht="15" customHeight="1">
      <c r="G890" s="1082"/>
      <c r="R890" s="706"/>
    </row>
    <row r="891" spans="7:18" ht="15" customHeight="1">
      <c r="G891" s="1082"/>
      <c r="R891" s="706"/>
    </row>
    <row r="892" spans="7:18" ht="15" customHeight="1">
      <c r="G892" s="1082"/>
      <c r="R892" s="706"/>
    </row>
    <row r="893" spans="7:18" ht="15" customHeight="1">
      <c r="G893" s="1082"/>
      <c r="R893" s="706"/>
    </row>
    <row r="894" spans="7:18" ht="15" customHeight="1">
      <c r="G894" s="1082"/>
      <c r="R894" s="706"/>
    </row>
    <row r="895" spans="7:18" ht="15" customHeight="1">
      <c r="G895" s="1082"/>
      <c r="R895" s="706"/>
    </row>
    <row r="896" spans="7:18" ht="15" customHeight="1">
      <c r="G896" s="1082"/>
      <c r="R896" s="706"/>
    </row>
    <row r="897" spans="7:18" ht="15" customHeight="1">
      <c r="G897" s="1082"/>
      <c r="R897" s="706"/>
    </row>
    <row r="898" spans="7:18" ht="15" customHeight="1">
      <c r="G898" s="1082"/>
      <c r="R898" s="706"/>
    </row>
    <row r="899" spans="7:18" ht="15" customHeight="1">
      <c r="R899" s="706"/>
    </row>
    <row r="900" spans="7:18" ht="15" customHeight="1">
      <c r="R900" s="706"/>
    </row>
    <row r="901" spans="7:18" ht="15" customHeight="1">
      <c r="R901" s="706"/>
    </row>
    <row r="902" spans="7:18" ht="15" customHeight="1">
      <c r="R902" s="706"/>
    </row>
    <row r="903" spans="7:18" ht="15" customHeight="1">
      <c r="R903" s="706"/>
    </row>
    <row r="904" spans="7:18" ht="15" customHeight="1">
      <c r="R904" s="706"/>
    </row>
    <row r="905" spans="7:18" ht="15" customHeight="1">
      <c r="R905" s="706"/>
    </row>
    <row r="906" spans="7:18" ht="15" customHeight="1">
      <c r="R906" s="706"/>
    </row>
    <row r="907" spans="7:18" ht="15" customHeight="1">
      <c r="R907" s="706"/>
    </row>
    <row r="908" spans="7:18" ht="15" customHeight="1">
      <c r="R908" s="706"/>
    </row>
    <row r="909" spans="7:18" ht="15" customHeight="1">
      <c r="R909" s="706"/>
    </row>
    <row r="910" spans="7:18" ht="15" customHeight="1">
      <c r="R910" s="706"/>
    </row>
    <row r="911" spans="7:18" ht="15" customHeight="1">
      <c r="R911" s="706"/>
    </row>
    <row r="912" spans="7:18" ht="15" customHeight="1">
      <c r="R912" s="706"/>
    </row>
    <row r="913" spans="18:18" ht="15" customHeight="1">
      <c r="R913" s="706"/>
    </row>
    <row r="914" spans="18:18" ht="15" customHeight="1">
      <c r="R914" s="706"/>
    </row>
    <row r="915" spans="18:18" ht="15" customHeight="1">
      <c r="R915" s="706"/>
    </row>
    <row r="916" spans="18:18" ht="15" customHeight="1">
      <c r="R916" s="706"/>
    </row>
    <row r="917" spans="18:18" ht="15" customHeight="1">
      <c r="R917" s="706"/>
    </row>
    <row r="918" spans="18:18" ht="15" customHeight="1">
      <c r="R918" s="706"/>
    </row>
    <row r="919" spans="18:18" ht="15" customHeight="1">
      <c r="R919" s="706"/>
    </row>
    <row r="920" spans="18:18" ht="15" customHeight="1">
      <c r="R920" s="706"/>
    </row>
    <row r="921" spans="18:18" ht="15" customHeight="1">
      <c r="R921" s="706"/>
    </row>
    <row r="922" spans="18:18" ht="15" customHeight="1">
      <c r="R922" s="706"/>
    </row>
    <row r="923" spans="18:18" ht="15" customHeight="1">
      <c r="R923" s="706"/>
    </row>
    <row r="924" spans="18:18" ht="15" customHeight="1">
      <c r="R924" s="706"/>
    </row>
    <row r="925" spans="18:18" ht="15" customHeight="1">
      <c r="R925" s="706"/>
    </row>
    <row r="926" spans="18:18" ht="15" customHeight="1">
      <c r="R926" s="706"/>
    </row>
    <row r="927" spans="18:18" ht="15" customHeight="1">
      <c r="R927" s="706"/>
    </row>
    <row r="928" spans="18:18" ht="15" customHeight="1">
      <c r="R928" s="706"/>
    </row>
    <row r="929" spans="18:18" ht="15" customHeight="1">
      <c r="R929" s="706"/>
    </row>
    <row r="930" spans="18:18" ht="15" customHeight="1">
      <c r="R930" s="706"/>
    </row>
    <row r="931" spans="18:18" ht="15" customHeight="1">
      <c r="R931" s="706"/>
    </row>
    <row r="932" spans="18:18" ht="15" customHeight="1">
      <c r="R932" s="706"/>
    </row>
    <row r="933" spans="18:18" ht="15" customHeight="1">
      <c r="R933" s="706"/>
    </row>
    <row r="934" spans="18:18" ht="15" customHeight="1">
      <c r="R934" s="706"/>
    </row>
    <row r="935" spans="18:18" ht="15" customHeight="1">
      <c r="R935" s="706"/>
    </row>
    <row r="936" spans="18:18" ht="15" customHeight="1">
      <c r="R936" s="706"/>
    </row>
    <row r="937" spans="18:18" ht="15" customHeight="1">
      <c r="R937" s="706"/>
    </row>
    <row r="938" spans="18:18" ht="15" customHeight="1">
      <c r="R938" s="706"/>
    </row>
    <row r="939" spans="18:18" ht="15" customHeight="1">
      <c r="R939" s="706"/>
    </row>
    <row r="940" spans="18:18" ht="15" customHeight="1">
      <c r="R940" s="706"/>
    </row>
    <row r="941" spans="18:18" ht="15" customHeight="1">
      <c r="R941" s="706"/>
    </row>
    <row r="942" spans="18:18" ht="15" customHeight="1">
      <c r="R942" s="706"/>
    </row>
    <row r="943" spans="18:18" ht="15" customHeight="1">
      <c r="R943" s="706"/>
    </row>
    <row r="944" spans="18:18" ht="15" customHeight="1">
      <c r="R944" s="706"/>
    </row>
    <row r="945" spans="18:18" ht="15" customHeight="1">
      <c r="R945" s="706"/>
    </row>
    <row r="946" spans="18:18" ht="15" customHeight="1">
      <c r="R946" s="706"/>
    </row>
    <row r="947" spans="18:18" ht="15" customHeight="1">
      <c r="R947" s="706"/>
    </row>
    <row r="948" spans="18:18" ht="15" customHeight="1">
      <c r="R948" s="706"/>
    </row>
    <row r="949" spans="18:18" ht="15" customHeight="1">
      <c r="R949" s="706"/>
    </row>
    <row r="950" spans="18:18" ht="15" customHeight="1">
      <c r="R950" s="706"/>
    </row>
    <row r="951" spans="18:18" ht="15" customHeight="1">
      <c r="R951" s="706"/>
    </row>
    <row r="952" spans="18:18" ht="15" customHeight="1">
      <c r="R952" s="706"/>
    </row>
    <row r="953" spans="18:18" ht="15" customHeight="1">
      <c r="R953" s="706"/>
    </row>
    <row r="954" spans="18:18" ht="15" customHeight="1">
      <c r="R954" s="706"/>
    </row>
    <row r="955" spans="18:18" ht="15" customHeight="1">
      <c r="R955" s="706"/>
    </row>
    <row r="956" spans="18:18" ht="15" customHeight="1">
      <c r="R956" s="706"/>
    </row>
    <row r="957" spans="18:18" ht="15" customHeight="1">
      <c r="R957" s="706"/>
    </row>
    <row r="958" spans="18:18" ht="15" customHeight="1">
      <c r="R958" s="706"/>
    </row>
    <row r="959" spans="18:18" ht="15" customHeight="1">
      <c r="R959" s="706"/>
    </row>
    <row r="960" spans="18:18" ht="15" customHeight="1">
      <c r="R960" s="706"/>
    </row>
    <row r="961" spans="18:18" ht="15" customHeight="1">
      <c r="R961" s="706"/>
    </row>
    <row r="962" spans="18:18" ht="15" customHeight="1">
      <c r="R962" s="706"/>
    </row>
    <row r="963" spans="18:18" ht="15" customHeight="1">
      <c r="R963" s="706"/>
    </row>
    <row r="964" spans="18:18" ht="15" customHeight="1">
      <c r="R964" s="706"/>
    </row>
    <row r="965" spans="18:18" ht="15" customHeight="1">
      <c r="R965" s="706"/>
    </row>
    <row r="966" spans="18:18" ht="15" customHeight="1">
      <c r="R966" s="706"/>
    </row>
    <row r="967" spans="18:18" ht="15" customHeight="1">
      <c r="R967" s="706"/>
    </row>
    <row r="968" spans="18:18" ht="15" customHeight="1">
      <c r="R968" s="706"/>
    </row>
    <row r="969" spans="18:18" ht="15" customHeight="1">
      <c r="R969" s="706"/>
    </row>
  </sheetData>
  <autoFilter ref="A3:AO109" xr:uid="{00000000-0009-0000-0000-00000B000000}"/>
  <mergeCells count="3">
    <mergeCell ref="AR77:AS79"/>
    <mergeCell ref="AV4:BD4"/>
    <mergeCell ref="AV19:BA19"/>
  </mergeCells>
  <pageMargins left="0.7" right="0.7" top="0.75" bottom="0.75" header="0" footer="0"/>
  <pageSetup scale="15" fitToHeight="0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AFC28-986E-4BC4-9D6A-9A9D670326CA}">
  <sheetPr codeName="Hoja39">
    <tabColor rgb="FF00B050"/>
    <pageSetUpPr fitToPage="1"/>
  </sheetPr>
  <dimension ref="A1:BD852"/>
  <sheetViews>
    <sheetView showGridLines="0" zoomScale="85" zoomScaleNormal="85" workbookViewId="0">
      <pane xSplit="4" ySplit="3" topLeftCell="AS4" activePane="bottomRight" state="frozen"/>
      <selection activeCell="BC24" sqref="BC24"/>
      <selection pane="topRight" activeCell="BC24" sqref="BC24"/>
      <selection pane="bottomLeft" activeCell="BC24" sqref="BC24"/>
      <selection pane="bottomRight" activeCell="BC24" sqref="BC24"/>
    </sheetView>
  </sheetViews>
  <sheetFormatPr baseColWidth="10" defaultColWidth="14.44140625" defaultRowHeight="15" customHeight="1"/>
  <cols>
    <col min="1" max="1" width="14.5546875" customWidth="1"/>
    <col min="2" max="2" width="11.88671875" customWidth="1"/>
    <col min="3" max="3" width="11.6640625" style="762" customWidth="1"/>
    <col min="4" max="4" width="42.5546875" customWidth="1"/>
    <col min="5" max="5" width="13.109375" customWidth="1"/>
    <col min="6" max="6" width="17.33203125" customWidth="1"/>
    <col min="7" max="7" width="11.6640625" customWidth="1"/>
    <col min="8" max="8" width="11.44140625" style="762" customWidth="1"/>
    <col min="9" max="9" width="11.5546875" customWidth="1"/>
    <col min="10" max="10" width="10.66406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6.332031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5.33203125" customWidth="1"/>
    <col min="41" max="41" width="14.44140625" customWidth="1"/>
    <col min="42" max="42" width="10.88671875" customWidth="1"/>
    <col min="43" max="43" width="12.6640625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5138.9480000000012</v>
      </c>
      <c r="F1" s="1075" t="s">
        <v>1906</v>
      </c>
      <c r="G1" s="1076" t="e">
        <f>+$AM3</f>
        <v>#N/A</v>
      </c>
      <c r="H1" s="1448"/>
      <c r="I1" s="843"/>
      <c r="AB1" s="83" t="e">
        <f>SUM(AB6:AB104)</f>
        <v>#N/A</v>
      </c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B2" s="847"/>
      <c r="D2" s="1075" t="s">
        <v>1907</v>
      </c>
      <c r="E2" s="1076">
        <f>+AH3</f>
        <v>4707.2520000000004</v>
      </c>
      <c r="F2" s="1079" t="s">
        <v>1908</v>
      </c>
      <c r="G2" s="1080">
        <f>+Q2</f>
        <v>91.878145467886554</v>
      </c>
      <c r="H2" s="90"/>
      <c r="I2" s="1251">
        <f>SUBTOTAL(9,I4:I1638)</f>
        <v>557.80999999999995</v>
      </c>
      <c r="J2" s="81"/>
      <c r="K2" s="91">
        <f>SUBTOTAL(9,K4:K1638)</f>
        <v>523.20699999999977</v>
      </c>
      <c r="L2" s="1202">
        <f>+SUMPRODUCT(L5:L1638,K5:K1638)/K2</f>
        <v>0.28647820078859815</v>
      </c>
      <c r="M2" s="6"/>
      <c r="P2" s="94">
        <f>+SUMPRODUCT(P4:P1638,AH4:AH1638)/SUM(AH4:AH1638)</f>
        <v>87.411428153835843</v>
      </c>
      <c r="Q2" s="1201">
        <f>+SUMPRODUCT(Q4:Q1638,AH4:AH1638)/SUM(AH4:AH1638)</f>
        <v>91.878145467886554</v>
      </c>
      <c r="R2" s="1151">
        <f>+SUMPRODUCT(R4:R1638,AH4:AH1638)/SUM(AH4:AH1638)</f>
        <v>3711.0975872016193</v>
      </c>
      <c r="S2" s="6"/>
      <c r="AB2" s="83"/>
      <c r="AC2" s="83"/>
      <c r="AD2" s="83"/>
      <c r="AE2" s="83"/>
      <c r="AF2" s="83"/>
      <c r="AG2" s="1209" t="e">
        <f>SUMPRODUCT($AG4:$AG1638,$K4:$K1638)/SUM($K4:$K1638)</f>
        <v>#N/A</v>
      </c>
      <c r="AH2" s="702"/>
      <c r="AI2" s="631"/>
      <c r="AJ2" s="252">
        <v>4000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678" t="s">
        <v>39</v>
      </c>
      <c r="C3" s="679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SUBTOTAL(9,AH4:AH1638)</f>
        <v>4707.2520000000004</v>
      </c>
      <c r="AI3" s="1252">
        <f>SUBTOTAL(9,AI4:AI1638)</f>
        <v>5138.9480000000012</v>
      </c>
      <c r="AJ3" s="1388" t="e">
        <f>SUMPRODUCT(K4:K1638,AJ4:AJ1638)/K2</f>
        <v>#N/A</v>
      </c>
      <c r="AK3" s="118">
        <f>SUBTOTAL(9,AK4:AK1638)</f>
        <v>4330.5685892312977</v>
      </c>
      <c r="AL3" s="88"/>
      <c r="AM3" s="118" t="e">
        <f>SUBTOTAL(9,AM4:AM1638)</f>
        <v>#N/A</v>
      </c>
      <c r="AN3" s="1182" t="s">
        <v>2247</v>
      </c>
      <c r="AO3" s="1168" t="s">
        <v>2283</v>
      </c>
      <c r="AP3" t="s">
        <v>2351</v>
      </c>
      <c r="AQ3" t="s">
        <v>2352</v>
      </c>
      <c r="AS3" s="1216"/>
    </row>
    <row r="4" spans="1:56" s="677" customFormat="1" ht="15.75" customHeight="1">
      <c r="A4" s="720"/>
      <c r="B4" s="695"/>
      <c r="C4" s="723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56" ht="15" customHeight="1" thickBot="1">
      <c r="A5" s="1149" t="s">
        <v>2326</v>
      </c>
      <c r="B5" s="595">
        <v>45857</v>
      </c>
      <c r="C5" s="1447">
        <v>45853</v>
      </c>
      <c r="D5" t="s">
        <v>1484</v>
      </c>
      <c r="E5">
        <f>_xlfn.XLOOKUP(D5,RUC!$B$3:$B$123,RUC!$D$3:$D$123)</f>
        <v>10761932735</v>
      </c>
      <c r="G5" s="80" t="s">
        <v>1434</v>
      </c>
      <c r="H5" s="762" t="s">
        <v>69</v>
      </c>
      <c r="I5" s="703">
        <v>32.229999999999997</v>
      </c>
      <c r="J5" s="596">
        <v>6.9</v>
      </c>
      <c r="K5" s="138">
        <f t="shared" ref="K5:K7" si="0">ROUND(+I5-(I5*(J5/100)),3)</f>
        <v>30.006</v>
      </c>
      <c r="L5" s="139">
        <v>9.0999999999999998E-2</v>
      </c>
      <c r="M5" s="139">
        <v>7.5999999999999998E-2</v>
      </c>
      <c r="N5" s="159">
        <v>7.5999999999999998E-2</v>
      </c>
      <c r="O5" s="645">
        <f t="shared" ref="O5:O7" si="1">+ROUND((M5+N5)/2,3)</f>
        <v>7.5999999999999998E-2</v>
      </c>
      <c r="P5" s="727">
        <v>80</v>
      </c>
      <c r="Q5" s="596">
        <v>93.18</v>
      </c>
      <c r="R5" s="706">
        <v>3345.1</v>
      </c>
      <c r="S5" s="765">
        <f>IF((90+ROUNDDOWN(O5,1)*100)&lt;95,95,(90+ROUNDDOWN(O5,1)*100))</f>
        <v>95</v>
      </c>
      <c r="U5" s="1146">
        <f>_xlfn.XLOOKUP(D5,RUC!$B$3:$B$123,RUC!$F$3:$F$123)</f>
        <v>120</v>
      </c>
      <c r="V5" s="715">
        <v>1.1023000000000001</v>
      </c>
      <c r="Y5">
        <f>_xlfn.XLOOKUP(D5,RUC!$B$3:$B$123,RUC!$G$3:$G$123)</f>
        <v>20</v>
      </c>
      <c r="Z5" s="143">
        <f>_xlfn.XLOOKUP(D5,RUC!$B$3:$B$123,RUC!$H$3:$H$123)</f>
        <v>30</v>
      </c>
      <c r="AA5" s="144">
        <f t="shared" ref="AA5:AA7" si="2">+Y5+Z5</f>
        <v>50</v>
      </c>
      <c r="AB5" s="145">
        <v>0.01</v>
      </c>
      <c r="AC5" s="145">
        <f>+(S5-T5)*V5-'data 1'!$F$4</f>
        <v>24.718500000000006</v>
      </c>
      <c r="AD5" s="145">
        <f t="shared" ref="AD5:AD7" si="3">+(Q5-P5)*(R5-U5)*L5*V5/100</f>
        <v>42.638291588074026</v>
      </c>
      <c r="AE5" s="145">
        <f t="shared" ref="AE5:AE7" si="4">+(Y5*V5-70)+V5*(Z5-IF(D5="UNTUCA",IF(+((W5-3)*2.5+(X5-3)*3.1)&gt;0,+((W5-3)*1.5+(X5-3)*3.1),0),IF(+((W5-3)*1.5+(X5-3)*3.1)&gt;0,+((W5-3)*1.5+(X5-3)*3.1),0)))</f>
        <v>-14.884999999999998</v>
      </c>
      <c r="AF5" s="145">
        <f t="shared" ref="AF5:AF7" si="5">(L5-O5)*(R5-U5)*Q5*V5/100</f>
        <v>49.688622582210002</v>
      </c>
      <c r="AG5" s="772">
        <f>AC5+AD5+AE5+AF5+70-53+56</f>
        <v>175.16041417028404</v>
      </c>
      <c r="AH5" s="1253">
        <f>ROUND((31.1035*L5*Q5*1.1023*K5/100),3)</f>
        <v>87.233000000000004</v>
      </c>
      <c r="AI5" s="1253">
        <f>ROUND((31.1035*L5*1.1023*K5),3)</f>
        <v>93.617999999999995</v>
      </c>
      <c r="AJ5" s="156">
        <f t="shared" ref="AJ5:AJ7" si="6">+((+$AJ$2-R5+U5)*L5*Q5*V5)/100</f>
        <v>72.428512627926011</v>
      </c>
      <c r="AK5" s="156">
        <f t="shared" ref="AK5:AK7" si="7">31.1035*1.1023*K5*P5*O5/100</f>
        <v>62.549055112760634</v>
      </c>
      <c r="AL5" s="88"/>
      <c r="AM5" s="716">
        <f t="shared" ref="AM5:AM7" si="8">+IF(AB5*K5&gt;0,AB5*K5,0)</f>
        <v>0.30005999999999999</v>
      </c>
      <c r="AN5" s="716" t="str">
        <f>_xlfn.XLOOKUP(D5,RUC!$B$3:$B$578,RUC!$M$3:$M$578)</f>
        <v>Richard Sapacayo</v>
      </c>
      <c r="AO5" s="1167" t="s">
        <v>2278</v>
      </c>
      <c r="AP5" s="1190" t="s">
        <v>2371</v>
      </c>
      <c r="AQ5" s="1190" t="s">
        <v>2374</v>
      </c>
      <c r="AS5" s="1212"/>
    </row>
    <row r="6" spans="1:56" ht="15" customHeight="1" thickBot="1">
      <c r="A6" s="747" t="s">
        <v>2575</v>
      </c>
      <c r="B6" s="595">
        <v>45889</v>
      </c>
      <c r="C6" s="1447">
        <v>45881</v>
      </c>
      <c r="D6" t="s">
        <v>119</v>
      </c>
      <c r="E6">
        <f>_xlfn.XLOOKUP(D6,RUC!$B$3:$B$123,RUC!$D$3:$D$123)</f>
        <v>10082235774</v>
      </c>
      <c r="G6" s="1082">
        <v>69</v>
      </c>
      <c r="H6" s="762" t="s">
        <v>69</v>
      </c>
      <c r="I6" s="703">
        <v>6.73</v>
      </c>
      <c r="J6" s="596">
        <v>2.75</v>
      </c>
      <c r="K6" s="138">
        <f t="shared" si="0"/>
        <v>6.5449999999999999</v>
      </c>
      <c r="L6" s="994">
        <v>0.14699999999999999</v>
      </c>
      <c r="M6" s="994">
        <v>0.14000000000000001</v>
      </c>
      <c r="N6" s="598">
        <v>0.16</v>
      </c>
      <c r="O6" s="645">
        <f t="shared" si="1"/>
        <v>0.15</v>
      </c>
      <c r="P6" s="727">
        <v>85</v>
      </c>
      <c r="Q6" s="596">
        <v>91.84</v>
      </c>
      <c r="R6" s="706">
        <v>3343.3</v>
      </c>
      <c r="S6" s="1164">
        <v>95</v>
      </c>
      <c r="U6" s="1146">
        <f>_xlfn.XLOOKUP(D6,RUC!$B$3:$B$123,RUC!$F$3:$F$123)</f>
        <v>80</v>
      </c>
      <c r="V6" s="715">
        <v>1.1023000000000001</v>
      </c>
      <c r="Y6">
        <f>_xlfn.XLOOKUP(D6,RUC!$B$3:$B$123,RUC!$G$3:$G$123)</f>
        <v>0</v>
      </c>
      <c r="Z6" s="143">
        <f>_xlfn.XLOOKUP(D6,RUC!$B$3:$B$123,RUC!$H$3:$H$123)</f>
        <v>10</v>
      </c>
      <c r="AA6" s="144">
        <f t="shared" si="2"/>
        <v>10</v>
      </c>
      <c r="AB6" s="145">
        <f t="shared" ref="AB6" si="9">+((O6*P6*(R6-U6)/100)-S6-AA6+T6)*V6</f>
        <v>342.89328772500005</v>
      </c>
      <c r="AC6" s="145">
        <f>+(S6-T6)*V6-'data 1'!$F$4</f>
        <v>24.718500000000006</v>
      </c>
      <c r="AD6" s="145">
        <f t="shared" si="3"/>
        <v>36.168478930332022</v>
      </c>
      <c r="AE6" s="145">
        <f t="shared" si="4"/>
        <v>-58.977000000000004</v>
      </c>
      <c r="AF6" s="145">
        <f t="shared" si="5"/>
        <v>-9.9108279775680099</v>
      </c>
      <c r="AG6" s="772">
        <f t="shared" ref="AG6" si="10">AC6+AD6+AE6+AF6+70</f>
        <v>61.999150952764012</v>
      </c>
      <c r="AH6" s="1253">
        <f t="shared" ref="AH6:AH7" si="11">ROUND((31.1035*L6*Q6*1.1023*K6/100),3)</f>
        <v>30.295000000000002</v>
      </c>
      <c r="AI6" s="1253">
        <f t="shared" ref="AI6:AI7" si="12">ROUND((31.1035*L6*1.1023*K6),3)</f>
        <v>32.985999999999997</v>
      </c>
      <c r="AJ6" s="156">
        <f t="shared" si="6"/>
        <v>109.63259325916798</v>
      </c>
      <c r="AK6" s="156">
        <f t="shared" si="7"/>
        <v>28.610727760374374</v>
      </c>
      <c r="AL6" s="88"/>
      <c r="AM6" s="716">
        <f t="shared" si="8"/>
        <v>2244.2365681601254</v>
      </c>
      <c r="AN6" s="716" t="str">
        <f>_xlfn.XLOOKUP(D6,RUC!$B$3:$B$578,RUC!$M$3:$M$578)</f>
        <v>Melchor Vera</v>
      </c>
      <c r="AO6" s="1167" t="s">
        <v>2278</v>
      </c>
      <c r="AP6" t="s">
        <v>2584</v>
      </c>
      <c r="AQ6" t="s">
        <v>2585</v>
      </c>
      <c r="AS6" s="1212"/>
      <c r="AV6" s="1982" t="s">
        <v>3075</v>
      </c>
      <c r="AW6" s="1983"/>
      <c r="AX6" s="1983"/>
      <c r="AY6" s="1983"/>
      <c r="AZ6" s="1983"/>
      <c r="BA6" s="1983"/>
      <c r="BB6" s="1983"/>
      <c r="BC6" s="1983"/>
      <c r="BD6" s="1984"/>
    </row>
    <row r="7" spans="1:56" ht="15" customHeight="1">
      <c r="A7" s="1149" t="s">
        <v>2586</v>
      </c>
      <c r="B7" s="595"/>
      <c r="C7" s="1447">
        <v>45883</v>
      </c>
      <c r="D7" t="s">
        <v>1967</v>
      </c>
      <c r="E7">
        <f>_xlfn.XLOOKUP(D7,RUC!$B$3:$B$123,RUC!$D$3:$D$123)</f>
        <v>20601769396</v>
      </c>
      <c r="G7" s="1082">
        <v>34</v>
      </c>
      <c r="H7" s="762" t="s">
        <v>108</v>
      </c>
      <c r="I7" s="703">
        <v>2.62</v>
      </c>
      <c r="J7" s="596">
        <v>10.45</v>
      </c>
      <c r="K7" s="138">
        <f t="shared" si="0"/>
        <v>2.3460000000000001</v>
      </c>
      <c r="L7" s="762">
        <v>9.5000000000000001E-2</v>
      </c>
      <c r="M7" s="762">
        <v>8.1000000000000003E-2</v>
      </c>
      <c r="N7" s="159">
        <v>8.1000000000000003E-2</v>
      </c>
      <c r="O7" s="645">
        <f t="shared" si="1"/>
        <v>8.1000000000000003E-2</v>
      </c>
      <c r="P7" s="727">
        <v>44</v>
      </c>
      <c r="Q7" s="596">
        <v>44.21</v>
      </c>
      <c r="R7" s="706">
        <v>3343.85</v>
      </c>
      <c r="S7" s="765">
        <f>IF((_xlfn.XLOOKUP(D7,RUC!$B$3:$B$123,RUC!$E$3:$E$123)+ROUNDDOWN(O7,1)*100)&lt;95,95,((_xlfn.XLOOKUP(D7,RUC!$B$3:$B$123,RUC!$E$3:$E$123)+ROUNDDOWN(O7,1)*100)))</f>
        <v>95</v>
      </c>
      <c r="U7" s="1146">
        <f>_xlfn.XLOOKUP(D7,RUC!$B$3:$B$123,RUC!$F$3:$F$123)</f>
        <v>120</v>
      </c>
      <c r="V7" s="715">
        <v>1.1023000000000001</v>
      </c>
      <c r="Y7">
        <f>_xlfn.XLOOKUP(D7,RUC!$B$3:$B$123,RUC!$G$3:$G$123)</f>
        <v>20</v>
      </c>
      <c r="Z7" s="143">
        <f>_xlfn.XLOOKUP(D7,RUC!$B$3:$B$123,RUC!$H$3:$H$123)</f>
        <v>30</v>
      </c>
      <c r="AA7" s="144">
        <f t="shared" si="2"/>
        <v>50</v>
      </c>
      <c r="AB7" s="145">
        <v>0.01</v>
      </c>
      <c r="AC7" s="145">
        <f>+(S7-T7)*V7-'data 1'!$F$4</f>
        <v>24.718500000000006</v>
      </c>
      <c r="AD7" s="145">
        <f t="shared" si="3"/>
        <v>0.70895314607250282</v>
      </c>
      <c r="AE7" s="145">
        <f t="shared" si="4"/>
        <v>-14.884999999999998</v>
      </c>
      <c r="AF7" s="145">
        <f t="shared" si="5"/>
        <v>21.994960412536997</v>
      </c>
      <c r="AG7" s="772">
        <f>AC7+AD7+AE7+AF7+70-53-33.18</f>
        <v>16.357413558609501</v>
      </c>
      <c r="AH7" s="1253">
        <f t="shared" si="11"/>
        <v>3.3780000000000001</v>
      </c>
      <c r="AI7" s="1253">
        <f t="shared" si="12"/>
        <v>7.641</v>
      </c>
      <c r="AJ7" s="156">
        <f t="shared" si="6"/>
        <v>35.932678314927507</v>
      </c>
      <c r="AK7" s="156">
        <f t="shared" si="7"/>
        <v>2.866650665819293</v>
      </c>
      <c r="AL7" s="88"/>
      <c r="AM7" s="716">
        <f t="shared" si="8"/>
        <v>2.3460000000000002E-2</v>
      </c>
      <c r="AN7" s="716" t="str">
        <f>_xlfn.XLOOKUP(D7,RUC!$B$3:$B$578,RUC!$M$3:$M$578)</f>
        <v>Evelyn</v>
      </c>
      <c r="AO7" s="1167" t="s">
        <v>2278</v>
      </c>
      <c r="AP7" s="1245" t="s">
        <v>2589</v>
      </c>
      <c r="AQ7" s="1245" t="s">
        <v>2590</v>
      </c>
      <c r="AW7" s="1469">
        <f>SUM(AW9:AW18)</f>
        <v>523.20699999999999</v>
      </c>
      <c r="AX7" s="1470">
        <f>SUMPRODUCT(AW9:AW18,AX9:AX18)/SUM(AW9:AW18)</f>
        <v>0.28647820078859804</v>
      </c>
      <c r="AY7" s="704"/>
      <c r="AZ7" s="1471">
        <f>SUMPRODUCT(AZ9:AZ18,$BB9:$BB18)/SUM($BB9:$BB18)/100</f>
        <v>0.91878145467886574</v>
      </c>
      <c r="BA7" s="707">
        <f>SUM(BA9:BA18)</f>
        <v>5138.9476728055706</v>
      </c>
      <c r="BB7" s="707">
        <f>SUM(BB9:BB18)</f>
        <v>4707.2520000000004</v>
      </c>
    </row>
    <row r="8" spans="1:56" ht="15" customHeight="1" thickBot="1">
      <c r="A8" s="1149" t="s">
        <v>2698</v>
      </c>
      <c r="B8" s="1095">
        <v>45900</v>
      </c>
      <c r="C8" s="1447">
        <v>45895</v>
      </c>
      <c r="D8" t="s">
        <v>93</v>
      </c>
      <c r="E8" s="762">
        <f>_xlfn.XLOOKUP(D8,RUC!$B$3:$B$123,RUC!$D$3:$D$123)</f>
        <v>20169040231</v>
      </c>
      <c r="G8" s="762">
        <v>43</v>
      </c>
      <c r="H8" s="762" t="s">
        <v>69</v>
      </c>
      <c r="I8" s="703">
        <v>3.75</v>
      </c>
      <c r="J8" s="596">
        <v>1</v>
      </c>
      <c r="K8" s="138">
        <f t="shared" ref="K8:K60" si="13">ROUND(+I8-(I8*(J8/100)),3)</f>
        <v>3.7130000000000001</v>
      </c>
      <c r="L8" s="1082">
        <v>7.4999999999999997E-2</v>
      </c>
      <c r="M8" s="1192">
        <v>0.06</v>
      </c>
      <c r="N8" s="1419">
        <v>0.06</v>
      </c>
      <c r="O8" s="645">
        <f t="shared" ref="O8:O60" si="14">+ROUND((M8+N8)/2,3)</f>
        <v>0.06</v>
      </c>
      <c r="P8" s="727">
        <v>80</v>
      </c>
      <c r="Q8">
        <v>89.33</v>
      </c>
      <c r="R8" s="706">
        <v>3367.1</v>
      </c>
      <c r="S8" s="765">
        <f>IF((_xlfn.XLOOKUP(D8,RUC!$B$3:$B$73,RUC!$E$3:$E$73)+ROUNDDOWN(O8,1)*100)&lt;95,95,((_xlfn.XLOOKUP(D8,RUC!$B$3:$B$73,RUC!$E$3:$E$73)+ROUNDDOWN(O8,1)*100)))</f>
        <v>95</v>
      </c>
      <c r="U8" s="1146">
        <f>_xlfn.XLOOKUP(D8,RUC!$B$3:$B$123,RUC!$F$3:$F$123)</f>
        <v>120</v>
      </c>
      <c r="V8" s="715">
        <v>1.1023000000000001</v>
      </c>
      <c r="Y8">
        <f>_xlfn.XLOOKUP(D8,RUC!$B$3:$B$123,RUC!$G$3:$G$123)</f>
        <v>20</v>
      </c>
      <c r="Z8" s="1071">
        <v>35</v>
      </c>
      <c r="AA8" s="144">
        <f t="shared" ref="AA8:AA47" si="15">+Y8+Z8</f>
        <v>55</v>
      </c>
      <c r="AB8" s="145">
        <v>1E-3</v>
      </c>
      <c r="AC8" s="145">
        <f>+(S8-T8)*V8-'data 1'!$F$4</f>
        <v>24.718500000000006</v>
      </c>
      <c r="AD8" s="145">
        <f t="shared" ref="AD8:AD60" si="16">+(Q8-P8)*(R8-U8)*L8*V8/100</f>
        <v>25.046000114174994</v>
      </c>
      <c r="AE8" s="145">
        <f t="shared" ref="AE8:AE47" si="17">+(Y8*V8-70)+V8*(Z8-IF(D8="UNTUCA",IF(+((W8-3)*2.5+(X8-3)*3.1)&gt;0,+((W8-3)*1.5+(X8-3)*3.1),0),IF(+((W8-3)*1.5+(X8-3)*3.1)&gt;0,+((W8-3)*1.5+(X8-3)*3.1),0)))</f>
        <v>-9.3734999999999999</v>
      </c>
      <c r="AF8" s="145">
        <f t="shared" ref="AF8:AF60" si="18">(L8-O8)*(R8-U8)*Q8*V8/100</f>
        <v>47.960539982835009</v>
      </c>
      <c r="AG8" s="772">
        <f>AC8+AD8+AE8+AF8+70-53-22.71</f>
        <v>82.641540097009994</v>
      </c>
      <c r="AH8" s="1253">
        <f t="shared" ref="AH8:AH60" si="19">ROUND((31.1035*L8*Q8*1.1023*K8/100),3)</f>
        <v>8.5289999999999999</v>
      </c>
      <c r="AI8" s="1253">
        <f t="shared" ref="AI8:AI60" si="20">ROUND((31.1035*L8*1.1023*K8),3)</f>
        <v>9.548</v>
      </c>
      <c r="AJ8" s="156">
        <f t="shared" ref="AJ8:AJ60" si="21">+((+$AJ$2-R8+U8)*L8*Q8*V8)/100</f>
        <v>55.602677085825007</v>
      </c>
      <c r="AK8" s="156">
        <f t="shared" ref="AK8:AK60" si="22">31.1035*1.1023*K8*P8*O8/100</f>
        <v>6.1104789998231999</v>
      </c>
      <c r="AL8" s="88"/>
      <c r="AM8" s="716">
        <f t="shared" ref="AM8:AM60" si="23">+IF(AB8*K8&gt;0,AB8*K8,0)</f>
        <v>3.7130000000000002E-3</v>
      </c>
      <c r="AN8" s="716" t="str">
        <f>_xlfn.XLOOKUP(D8,RUC!$B$3:$B$578,RUC!$M$3:$M$578)</f>
        <v>Ronald Miranda</v>
      </c>
      <c r="AO8" s="1167" t="s">
        <v>2277</v>
      </c>
      <c r="AP8" t="s">
        <v>2740</v>
      </c>
      <c r="AQ8" t="s">
        <v>2760</v>
      </c>
      <c r="AV8" s="633"/>
      <c r="AW8" s="633" t="s">
        <v>15</v>
      </c>
      <c r="AX8" s="633" t="s">
        <v>2522</v>
      </c>
      <c r="AY8" s="1438" t="s">
        <v>2522</v>
      </c>
      <c r="AZ8" s="633" t="s">
        <v>2523</v>
      </c>
      <c r="BA8" s="633" t="s">
        <v>2558</v>
      </c>
      <c r="BB8" s="633" t="s">
        <v>2559</v>
      </c>
      <c r="BC8" s="1435" t="s">
        <v>2565</v>
      </c>
      <c r="BD8" s="729" t="s">
        <v>2579</v>
      </c>
    </row>
    <row r="9" spans="1:56" ht="15" customHeight="1">
      <c r="A9" s="747" t="s">
        <v>2703</v>
      </c>
      <c r="B9" s="595">
        <v>45903</v>
      </c>
      <c r="C9" s="1447">
        <v>45895</v>
      </c>
      <c r="D9" t="s">
        <v>93</v>
      </c>
      <c r="E9" s="762">
        <f>_xlfn.XLOOKUP(D9,RUC!$B$3:$B$123,RUC!$D$3:$D$123)</f>
        <v>20169040231</v>
      </c>
      <c r="G9" s="762">
        <v>17</v>
      </c>
      <c r="H9" s="762" t="s">
        <v>69</v>
      </c>
      <c r="I9" s="703">
        <v>1.63</v>
      </c>
      <c r="J9" s="596">
        <v>1.4</v>
      </c>
      <c r="K9" s="138">
        <f t="shared" si="13"/>
        <v>1.607</v>
      </c>
      <c r="L9" s="1082">
        <v>0.36199999999999999</v>
      </c>
      <c r="M9" s="1082">
        <v>0.34399999999999997</v>
      </c>
      <c r="N9" s="1418">
        <v>0.34399999999999997</v>
      </c>
      <c r="O9" s="645">
        <f t="shared" si="14"/>
        <v>0.34399999999999997</v>
      </c>
      <c r="P9" s="727">
        <v>85</v>
      </c>
      <c r="Q9">
        <v>84.53</v>
      </c>
      <c r="R9" s="706">
        <v>3367.1</v>
      </c>
      <c r="S9" s="765">
        <f>IF((_xlfn.XLOOKUP(D9,RUC!$B$3:$B$73,RUC!$E$3:$E$73)+ROUNDDOWN(O9,1)*100)&lt;95,95,((_xlfn.XLOOKUP(D9,RUC!$B$3:$B$73,RUC!$E$3:$E$73)+ROUNDDOWN(O9,1)*100)))</f>
        <v>115</v>
      </c>
      <c r="U9" s="1146">
        <f>_xlfn.XLOOKUP(D9,RUC!$B$3:$B$123,RUC!$F$3:$F$123)</f>
        <v>120</v>
      </c>
      <c r="V9" s="715">
        <v>1.1023000000000001</v>
      </c>
      <c r="Y9">
        <f>_xlfn.XLOOKUP(D9,RUC!$B$3:$B$123,RUC!$G$3:$G$123)</f>
        <v>20</v>
      </c>
      <c r="Z9" s="143">
        <f>_xlfn.XLOOKUP(D9,RUC!$B$3:$B$123,RUC!$H$3:$H$123)</f>
        <v>30</v>
      </c>
      <c r="AA9" s="144">
        <f t="shared" si="15"/>
        <v>50</v>
      </c>
      <c r="AB9" s="145">
        <f t="shared" ref="AB9:AB12" si="24">+((O9*P9*(R9-U9)/100)-S9-AA9+T9)*V9</f>
        <v>864.70148369200001</v>
      </c>
      <c r="AC9" s="145">
        <f>+(S9-T9)*V9-'data 1'!$F$4</f>
        <v>46.764500000000012</v>
      </c>
      <c r="AD9" s="145">
        <f t="shared" si="16"/>
        <v>-6.089784150661985</v>
      </c>
      <c r="AE9" s="145">
        <f t="shared" si="17"/>
        <v>-14.884999999999998</v>
      </c>
      <c r="AF9" s="145">
        <f t="shared" si="18"/>
        <v>54.460151502282045</v>
      </c>
      <c r="AG9" s="772">
        <f t="shared" ref="AG9:AG12" si="25">AC9+AD9+AE9+AF9+70-53</f>
        <v>97.249867351620082</v>
      </c>
      <c r="AH9" s="1253">
        <f t="shared" si="19"/>
        <v>16.859000000000002</v>
      </c>
      <c r="AI9" s="1253">
        <f t="shared" si="20"/>
        <v>19.945</v>
      </c>
      <c r="AJ9" s="156">
        <f t="shared" si="21"/>
        <v>253.954869129662</v>
      </c>
      <c r="AK9" s="156">
        <f t="shared" si="22"/>
        <v>16.11025127757274</v>
      </c>
      <c r="AL9" s="88"/>
      <c r="AM9" s="716">
        <f t="shared" si="23"/>
        <v>1389.575284293044</v>
      </c>
      <c r="AN9" s="716" t="str">
        <f>_xlfn.XLOOKUP(D9,RUC!$B$3:$B$578,RUC!$M$3:$M$578)</f>
        <v>Ronald Miranda</v>
      </c>
      <c r="AO9" s="1167" t="s">
        <v>2277</v>
      </c>
      <c r="AP9" t="s">
        <v>2740</v>
      </c>
      <c r="AQ9" t="s">
        <v>2760</v>
      </c>
      <c r="AV9" s="1225" t="s">
        <v>2277</v>
      </c>
      <c r="AW9" s="1227">
        <f t="shared" ref="AW9:AW18" si="26">SUMIF($AO$4:$AO$1746,AV9,$K$4:$K$1746)</f>
        <v>102.48099999999999</v>
      </c>
      <c r="AX9" s="1227" cm="1">
        <f t="array" ref="AX9">+SUMPRODUCT(IF($AO$4:$AO$1746=AV9,$L$4:$L$1746*$K$4:$K$1746/AW9))</f>
        <v>0.2802697963524946</v>
      </c>
      <c r="AY9" s="1228">
        <f t="shared" ref="AY9:AY18" si="27">31.1035*1.1023*AX9*(100-AZ9)/100</f>
        <v>0.7094067911304659</v>
      </c>
      <c r="AZ9" s="1229" cm="1">
        <f t="array" ref="AZ9">+SUMPRODUCT(IF($AO$4:$AO$1746=AV9,($Q$4:$Q$1746*$AH$4:$AH$1746)/SUMIF($AO$4:$AO$1746,$AV9,$AH$4:$AH$1746)))</f>
        <v>92.617389187632455</v>
      </c>
      <c r="BA9" s="1441">
        <f t="shared" ref="BA9:BA18" si="28">+AX9*31.1035*1.1023*AW9</f>
        <v>984.75619546476833</v>
      </c>
      <c r="BB9" s="1230">
        <f t="shared" ref="BB9:BB18" si="29">SUMIF($AO$4:$AO$846,$AV9,$AH$4:$AH$846)</f>
        <v>909.73599999999999</v>
      </c>
      <c r="BC9" s="1229">
        <f>+BA9-BB9</f>
        <v>75.020195464768335</v>
      </c>
      <c r="BD9" s="1231">
        <f>+AW9</f>
        <v>102.48099999999999</v>
      </c>
    </row>
    <row r="10" spans="1:56" ht="15" customHeight="1">
      <c r="A10" s="747" t="s">
        <v>2709</v>
      </c>
      <c r="B10" s="595">
        <v>45901</v>
      </c>
      <c r="C10" s="1447">
        <v>45896</v>
      </c>
      <c r="D10" s="1420" t="s">
        <v>2444</v>
      </c>
      <c r="E10" s="762">
        <f>_xlfn.XLOOKUP(D10,RUC!$B$3:$B$123,RUC!$D$3:$D$123)</f>
        <v>20608774000</v>
      </c>
      <c r="G10" s="1082">
        <v>60</v>
      </c>
      <c r="H10" s="762" t="s">
        <v>108</v>
      </c>
      <c r="I10" s="703">
        <v>4.58</v>
      </c>
      <c r="J10" s="596">
        <v>39</v>
      </c>
      <c r="K10" s="138">
        <f t="shared" si="13"/>
        <v>2.794</v>
      </c>
      <c r="L10" s="762">
        <v>0.60399999999999998</v>
      </c>
      <c r="M10" s="1082">
        <v>0.57399999999999995</v>
      </c>
      <c r="N10" s="1418">
        <v>0.57399999999999995</v>
      </c>
      <c r="O10" s="645">
        <f t="shared" si="14"/>
        <v>0.57399999999999995</v>
      </c>
      <c r="P10" s="727">
        <v>85</v>
      </c>
      <c r="Q10" s="596">
        <v>84.77</v>
      </c>
      <c r="R10" s="706">
        <v>3376.35</v>
      </c>
      <c r="S10" s="765">
        <f>IF((_xlfn.XLOOKUP(D10,RUC!$B$3:$B$73,RUC!$E$3:$E$73)+ROUNDDOWN(O10,1)*100)&lt;95,95,((_xlfn.XLOOKUP(D10,RUC!$B$3:$B$73,RUC!$E$3:$E$73)+ROUNDDOWN(O10,1)*100)))</f>
        <v>135</v>
      </c>
      <c r="U10" s="1146">
        <f>_xlfn.XLOOKUP(D10,RUC!$B$3:$B$123,RUC!$F$3:$F$123)</f>
        <v>120</v>
      </c>
      <c r="V10" s="715">
        <v>1.1023000000000001</v>
      </c>
      <c r="Y10">
        <f>_xlfn.XLOOKUP(D10,RUC!$B$3:$B$123,RUC!$G$3:$G$123)</f>
        <v>20</v>
      </c>
      <c r="Z10" s="709">
        <v>35</v>
      </c>
      <c r="AA10" s="144">
        <f t="shared" si="15"/>
        <v>55</v>
      </c>
      <c r="AB10" s="145">
        <f t="shared" si="24"/>
        <v>1541.8676597794999</v>
      </c>
      <c r="AC10" s="145">
        <f>+(S10-T10)*V10-'data 1'!$F$4</f>
        <v>68.810500000000019</v>
      </c>
      <c r="AD10" s="145">
        <f t="shared" si="16"/>
        <v>-4.9864981212660862</v>
      </c>
      <c r="AE10" s="145">
        <f t="shared" si="17"/>
        <v>-9.3734999999999999</v>
      </c>
      <c r="AF10" s="145">
        <f t="shared" si="18"/>
        <v>91.283928679755078</v>
      </c>
      <c r="AG10" s="772">
        <f t="shared" si="25"/>
        <v>162.73443055848901</v>
      </c>
      <c r="AH10" s="1253">
        <f t="shared" si="19"/>
        <v>49.046999999999997</v>
      </c>
      <c r="AI10" s="1253">
        <f t="shared" si="20"/>
        <v>57.859000000000002</v>
      </c>
      <c r="AJ10" s="156">
        <f t="shared" si="21"/>
        <v>419.70825527426604</v>
      </c>
      <c r="AK10" s="156">
        <f t="shared" si="22"/>
        <v>46.73758727788843</v>
      </c>
      <c r="AL10" s="88"/>
      <c r="AM10" s="716">
        <f t="shared" si="23"/>
        <v>4307.9782414239226</v>
      </c>
      <c r="AN10" s="716" t="str">
        <f>_xlfn.XLOOKUP(D10,RUC!$B$3:$B$578,RUC!$M$3:$M$578)</f>
        <v>Ronald Miranda</v>
      </c>
      <c r="AO10" s="1167" t="s">
        <v>2277</v>
      </c>
      <c r="AP10" t="s">
        <v>2745</v>
      </c>
      <c r="AQ10" t="s">
        <v>2746</v>
      </c>
      <c r="AV10" s="1232" t="s">
        <v>2278</v>
      </c>
      <c r="AW10" s="1234">
        <f t="shared" si="26"/>
        <v>103.523</v>
      </c>
      <c r="AX10" s="1234" cm="1">
        <f t="array" ref="AX10">+SUMPRODUCT(IF($AO$4:$AO$1746=AV10,$L$4:$L$1746*$K$4:$K$1746/AW10))</f>
        <v>0.28017941906629451</v>
      </c>
      <c r="AY10" s="1235">
        <f t="shared" si="27"/>
        <v>0.79539292525561012</v>
      </c>
      <c r="AZ10" s="1236" cm="1">
        <f t="array" ref="AZ10">+SUMPRODUCT(IF($AO$4:$AO$1746=AV10,($Q$4:$Q$1746*$AH$4:$AH$1746)/SUMIF($AO$4:$AO$1746,$AV10,$AH$4:$AH$1746)))</f>
        <v>91.719883943542968</v>
      </c>
      <c r="BA10" s="1481">
        <f t="shared" si="28"/>
        <v>994.44816038568297</v>
      </c>
      <c r="BB10" s="1237">
        <f t="shared" si="29"/>
        <v>908.86800000000005</v>
      </c>
      <c r="BC10" s="1236">
        <f t="shared" ref="BC10:BC18" si="30">+BC9+BA10-BB10</f>
        <v>160.60035585045114</v>
      </c>
      <c r="BD10" s="1238">
        <f t="shared" ref="BD10:BD18" si="31">+BD9+AW10</f>
        <v>206.00399999999999</v>
      </c>
    </row>
    <row r="11" spans="1:56" ht="15" customHeight="1">
      <c r="A11" s="747" t="s">
        <v>2717</v>
      </c>
      <c r="B11" s="595">
        <v>45903</v>
      </c>
      <c r="C11" s="1447">
        <v>45898</v>
      </c>
      <c r="D11" t="s">
        <v>93</v>
      </c>
      <c r="E11" s="762">
        <f>_xlfn.XLOOKUP(D11,RUC!$B$3:$B$123,RUC!$D$3:$D$123)</f>
        <v>20169040231</v>
      </c>
      <c r="G11" s="1082">
        <v>61</v>
      </c>
      <c r="H11" s="762" t="s">
        <v>69</v>
      </c>
      <c r="I11" s="703">
        <v>5.88</v>
      </c>
      <c r="J11" s="596">
        <v>4.8</v>
      </c>
      <c r="K11" s="138">
        <f t="shared" si="13"/>
        <v>5.5979999999999999</v>
      </c>
      <c r="L11" s="994">
        <v>0.29799999999999999</v>
      </c>
      <c r="M11" s="1192">
        <v>0.28299999999999997</v>
      </c>
      <c r="N11" s="1419">
        <v>0.28299999999999997</v>
      </c>
      <c r="O11" s="645">
        <f t="shared" si="14"/>
        <v>0.28299999999999997</v>
      </c>
      <c r="P11" s="727">
        <v>85</v>
      </c>
      <c r="Q11" s="881">
        <v>82.89</v>
      </c>
      <c r="R11" s="706">
        <v>3429.15</v>
      </c>
      <c r="S11" s="765">
        <f>IF((_xlfn.XLOOKUP(D11,RUC!$B$3:$B$73,RUC!$E$3:$E$73)+ROUNDDOWN(O11,1)*100)&lt;95,95,((_xlfn.XLOOKUP(D11,RUC!$B$3:$B$73,RUC!$E$3:$E$73)+ROUNDDOWN(O11,1)*100)))</f>
        <v>105</v>
      </c>
      <c r="U11" s="1146">
        <f>_xlfn.XLOOKUP(D11,RUC!$B$3:$B$123,RUC!$F$3:$F$123)</f>
        <v>120</v>
      </c>
      <c r="V11" s="715">
        <v>1.1023000000000001</v>
      </c>
      <c r="Y11">
        <f>_xlfn.XLOOKUP(D11,RUC!$B$3:$B$123,RUC!$G$3:$G$123)</f>
        <v>20</v>
      </c>
      <c r="Z11" s="143">
        <f>_xlfn.XLOOKUP(D11,RUC!$B$3:$B$123,RUC!$H$3:$H$123)</f>
        <v>30</v>
      </c>
      <c r="AA11" s="144">
        <f t="shared" si="15"/>
        <v>50</v>
      </c>
      <c r="AB11" s="145">
        <f t="shared" si="24"/>
        <v>706.59197262474981</v>
      </c>
      <c r="AC11" s="145">
        <f>+(S11-T11)*V11-'data 1'!$F$4</f>
        <v>35.741500000000002</v>
      </c>
      <c r="AD11" s="145">
        <f t="shared" si="16"/>
        <v>-22.935857435750997</v>
      </c>
      <c r="AE11" s="145">
        <f t="shared" si="17"/>
        <v>-14.884999999999998</v>
      </c>
      <c r="AF11" s="145">
        <f t="shared" si="18"/>
        <v>45.353380105507547</v>
      </c>
      <c r="AG11" s="772">
        <f t="shared" si="25"/>
        <v>60.274022669756562</v>
      </c>
      <c r="AH11" s="1253">
        <f t="shared" si="19"/>
        <v>47.408999999999999</v>
      </c>
      <c r="AI11" s="1253">
        <f t="shared" si="20"/>
        <v>57.195</v>
      </c>
      <c r="AJ11" s="156">
        <f t="shared" si="21"/>
        <v>188.10570747725103</v>
      </c>
      <c r="AK11" s="156">
        <f t="shared" si="22"/>
        <v>46.168665834203139</v>
      </c>
      <c r="AL11" s="88"/>
      <c r="AM11" s="716">
        <f t="shared" si="23"/>
        <v>3955.5018627533495</v>
      </c>
      <c r="AN11" s="716" t="str">
        <f>_xlfn.XLOOKUP(D11,RUC!$B$3:$B$578,RUC!$M$3:$M$578)</f>
        <v>Ronald Miranda</v>
      </c>
      <c r="AO11" s="1167" t="s">
        <v>2277</v>
      </c>
      <c r="AP11" t="s">
        <v>2754</v>
      </c>
      <c r="AQ11" t="s">
        <v>2755</v>
      </c>
      <c r="AV11" s="1232" t="s">
        <v>2280</v>
      </c>
      <c r="AW11" s="1234">
        <f t="shared" si="26"/>
        <v>107.25300000000001</v>
      </c>
      <c r="AX11" s="1234" cm="1">
        <f t="array" ref="AX11">+SUMPRODUCT(IF($AO$4:$AO$1746=AV11,$L$4:$L$1746*$K$4:$K$1746/AW11))</f>
        <v>0.28106763447176297</v>
      </c>
      <c r="AY11" s="1235">
        <f t="shared" si="27"/>
        <v>0.73530476987567628</v>
      </c>
      <c r="AZ11" s="1236" cm="1">
        <f t="array" ref="AZ11">+SUMPRODUCT(IF($AO$4:$AO$1746=AV11,($Q$4:$Q$1746*$AH$4:$AH$1746)/SUMIF($AO$4:$AO$1746,$AV11,$AH$4:$AH$1746)))</f>
        <v>92.369597008035896</v>
      </c>
      <c r="BA11" s="1237">
        <f t="shared" si="28"/>
        <v>1033.5449197969033</v>
      </c>
      <c r="BB11" s="1237">
        <f t="shared" si="29"/>
        <v>953.22000000000014</v>
      </c>
      <c r="BC11" s="1236">
        <f t="shared" si="30"/>
        <v>240.9252756473544</v>
      </c>
      <c r="BD11" s="1238">
        <f t="shared" si="31"/>
        <v>313.25700000000001</v>
      </c>
    </row>
    <row r="12" spans="1:56" ht="15" customHeight="1">
      <c r="A12" s="747" t="s">
        <v>2721</v>
      </c>
      <c r="B12" s="595">
        <v>45912</v>
      </c>
      <c r="C12" s="1447">
        <v>45898</v>
      </c>
      <c r="D12" t="s">
        <v>93</v>
      </c>
      <c r="E12" s="762">
        <f>_xlfn.XLOOKUP(D12,RUC!$B$3:$B$123,RUC!$D$3:$D$123)</f>
        <v>20169040231</v>
      </c>
      <c r="G12" s="1082">
        <v>13</v>
      </c>
      <c r="H12" s="762" t="s">
        <v>69</v>
      </c>
      <c r="I12" s="703">
        <v>1.29</v>
      </c>
      <c r="J12" s="596">
        <v>1.3</v>
      </c>
      <c r="K12" s="138">
        <f t="shared" si="13"/>
        <v>1.2729999999999999</v>
      </c>
      <c r="L12" s="994">
        <v>0.13</v>
      </c>
      <c r="M12" s="994">
        <v>0.106</v>
      </c>
      <c r="N12" s="1196">
        <v>0.106</v>
      </c>
      <c r="O12" s="645">
        <f t="shared" si="14"/>
        <v>0.106</v>
      </c>
      <c r="P12" s="727">
        <v>80</v>
      </c>
      <c r="Q12" s="881">
        <v>85.95</v>
      </c>
      <c r="R12" s="1211">
        <v>3429.15</v>
      </c>
      <c r="S12" s="765">
        <f>IF((_xlfn.XLOOKUP(D12,RUC!$B$3:$B$73,RUC!$E$3:$E$73)+ROUNDDOWN(O12,1)*100)&lt;95,95,((_xlfn.XLOOKUP(D12,RUC!$B$3:$B$73,RUC!$E$3:$E$73)+ROUNDDOWN(O12,1)*100)))</f>
        <v>95</v>
      </c>
      <c r="U12" s="1146">
        <f>_xlfn.XLOOKUP(D12,RUC!$B$3:$B$123,RUC!$F$3:$F$123)</f>
        <v>120</v>
      </c>
      <c r="V12" s="715">
        <v>1.1023000000000001</v>
      </c>
      <c r="Y12">
        <f>_xlfn.XLOOKUP(D12,RUC!$B$3:$B$123,RUC!$G$3:$G$123)</f>
        <v>20</v>
      </c>
      <c r="Z12" s="143">
        <f>_xlfn.XLOOKUP(D12,RUC!$B$3:$B$123,RUC!$H$3:$H$123)</f>
        <v>30</v>
      </c>
      <c r="AA12" s="144">
        <f t="shared" si="15"/>
        <v>50</v>
      </c>
      <c r="AB12" s="145">
        <f t="shared" si="24"/>
        <v>149.48942861600003</v>
      </c>
      <c r="AC12" s="145">
        <f>+(S12-T12)*V12-'data 1'!$F$4</f>
        <v>24.718500000000006</v>
      </c>
      <c r="AD12" s="145">
        <f t="shared" si="16"/>
        <v>28.214774208075013</v>
      </c>
      <c r="AE12" s="145">
        <f t="shared" si="17"/>
        <v>-14.884999999999998</v>
      </c>
      <c r="AF12" s="145">
        <f t="shared" si="18"/>
        <v>75.244261456260034</v>
      </c>
      <c r="AG12" s="772">
        <f t="shared" si="25"/>
        <v>130.29253566433505</v>
      </c>
      <c r="AH12" s="1253">
        <f t="shared" si="19"/>
        <v>4.8769999999999998</v>
      </c>
      <c r="AI12" s="1253">
        <f t="shared" si="20"/>
        <v>5.6740000000000004</v>
      </c>
      <c r="AJ12" s="156">
        <f t="shared" si="21"/>
        <v>85.088879111924996</v>
      </c>
      <c r="AK12" s="156">
        <f t="shared" si="22"/>
        <v>3.7011213541527201</v>
      </c>
      <c r="AL12" s="88"/>
      <c r="AM12" s="716">
        <f t="shared" si="23"/>
        <v>190.30004262816803</v>
      </c>
      <c r="AN12" s="716" t="str">
        <f>_xlfn.XLOOKUP(D12,RUC!$B$3:$B$578,RUC!$M$3:$M$578)</f>
        <v>Ronald Miranda</v>
      </c>
      <c r="AO12" s="1167" t="s">
        <v>2277</v>
      </c>
      <c r="AP12" t="s">
        <v>2754</v>
      </c>
      <c r="AQ12" t="s">
        <v>2755</v>
      </c>
      <c r="AV12" s="1232" t="s">
        <v>2279</v>
      </c>
      <c r="AW12" s="1234">
        <f t="shared" si="26"/>
        <v>109.76100000000001</v>
      </c>
      <c r="AX12" s="1234" cm="1">
        <f t="array" ref="AX12">+SUMPRODUCT(IF($AO$4:$AO$1746=AV12,$L$4:$L$1746*$K$4:$K$1746/AW12))</f>
        <v>0.29097834385619659</v>
      </c>
      <c r="AY12" s="1235">
        <f t="shared" si="27"/>
        <v>0.88949642748641511</v>
      </c>
      <c r="AZ12" s="1236" cm="1">
        <f t="array" ref="AZ12">+SUMPRODUCT(IF($AO$4:$AO$1746=AV12,($Q$4:$Q$1746*$AH$4:$AH$1746)/SUMIF($AO$4:$AO$1746,$AV12,$AH$4:$AH$1746)))</f>
        <v>91.083909434836698</v>
      </c>
      <c r="BA12" s="1237">
        <f t="shared" si="28"/>
        <v>1095.0092606596156</v>
      </c>
      <c r="BB12" s="1237">
        <f t="shared" si="29"/>
        <v>992.54500000000007</v>
      </c>
      <c r="BC12" s="1236">
        <f t="shared" si="30"/>
        <v>343.38953630697006</v>
      </c>
      <c r="BD12" s="1238">
        <f t="shared" si="31"/>
        <v>423.01800000000003</v>
      </c>
    </row>
    <row r="13" spans="1:56" ht="15" customHeight="1">
      <c r="A13" s="1149" t="s">
        <v>2723</v>
      </c>
      <c r="B13" s="1095">
        <v>45904</v>
      </c>
      <c r="C13" s="1447">
        <v>45898</v>
      </c>
      <c r="D13" t="s">
        <v>93</v>
      </c>
      <c r="E13" s="762">
        <f>_xlfn.XLOOKUP(D13,RUC!$B$3:$B$123,RUC!$D$3:$D$123)</f>
        <v>20169040231</v>
      </c>
      <c r="G13" s="1082">
        <v>50</v>
      </c>
      <c r="H13" s="762" t="s">
        <v>69</v>
      </c>
      <c r="I13" s="703">
        <v>4.7699999999999996</v>
      </c>
      <c r="J13" s="596">
        <v>2.65</v>
      </c>
      <c r="K13" s="138">
        <f t="shared" si="13"/>
        <v>4.6440000000000001</v>
      </c>
      <c r="L13" s="994">
        <v>0.113</v>
      </c>
      <c r="M13" s="994">
        <v>9.8000000000000004E-2</v>
      </c>
      <c r="N13" s="1196">
        <v>9.8000000000000004E-2</v>
      </c>
      <c r="O13" s="645">
        <f t="shared" si="14"/>
        <v>9.8000000000000004E-2</v>
      </c>
      <c r="P13" s="727">
        <v>80</v>
      </c>
      <c r="Q13" s="881">
        <v>97.35</v>
      </c>
      <c r="R13" s="1211">
        <v>3429.15</v>
      </c>
      <c r="S13" s="765">
        <f>IF((_xlfn.XLOOKUP(D13,RUC!$B$3:$B$73,RUC!$E$3:$E$73)+ROUNDDOWN(O13,1)*100)&lt;95,95,((_xlfn.XLOOKUP(D13,RUC!$B$3:$B$73,RUC!$E$3:$E$73)+ROUNDDOWN(O13,1)*100)))</f>
        <v>95</v>
      </c>
      <c r="U13" s="1146">
        <f>_xlfn.XLOOKUP(D13,RUC!$B$3:$B$123,RUC!$F$3:$F$123)</f>
        <v>120</v>
      </c>
      <c r="V13" s="715">
        <v>1.1023000000000001</v>
      </c>
      <c r="Y13">
        <f>_xlfn.XLOOKUP(D13,RUC!$B$3:$B$123,RUC!$G$3:$G$123)</f>
        <v>20</v>
      </c>
      <c r="Z13" s="143">
        <f>_xlfn.XLOOKUP(D13,RUC!$B$3:$B$123,RUC!$H$3:$H$123)</f>
        <v>30</v>
      </c>
      <c r="AA13" s="144">
        <f t="shared" si="15"/>
        <v>50</v>
      </c>
      <c r="AB13" s="758">
        <v>1E-3</v>
      </c>
      <c r="AC13" s="145">
        <f>+(S13-T13)*V13-'data 1'!$F$4</f>
        <v>24.718500000000006</v>
      </c>
      <c r="AD13" s="145">
        <f t="shared" si="16"/>
        <v>71.514512700247494</v>
      </c>
      <c r="AE13" s="145">
        <f t="shared" si="17"/>
        <v>-14.884999999999998</v>
      </c>
      <c r="AF13" s="145">
        <f t="shared" si="18"/>
        <v>53.265189447112498</v>
      </c>
      <c r="AG13" s="772">
        <f>AC13+AD13+AE13+AF13+70-53-126.14</f>
        <v>25.473202147359999</v>
      </c>
      <c r="AH13" s="1253">
        <f t="shared" si="19"/>
        <v>17.515000000000001</v>
      </c>
      <c r="AI13" s="1253">
        <f t="shared" si="20"/>
        <v>17.992000000000001</v>
      </c>
      <c r="AJ13" s="156">
        <f t="shared" si="21"/>
        <v>83.771823431752495</v>
      </c>
      <c r="AK13" s="156">
        <f t="shared" si="22"/>
        <v>12.48295322096928</v>
      </c>
      <c r="AL13" s="88"/>
      <c r="AM13" s="716">
        <f t="shared" si="23"/>
        <v>4.6440000000000006E-3</v>
      </c>
      <c r="AN13" s="716" t="str">
        <f>_xlfn.XLOOKUP(D13,RUC!$B$3:$B$578,RUC!$M$3:$M$578)</f>
        <v>Ronald Miranda</v>
      </c>
      <c r="AO13" s="1167" t="s">
        <v>2280</v>
      </c>
      <c r="AP13" t="s">
        <v>2754</v>
      </c>
      <c r="AQ13" t="s">
        <v>2755</v>
      </c>
      <c r="AV13" s="1232" t="s">
        <v>2281</v>
      </c>
      <c r="AW13" s="1234">
        <f t="shared" si="26"/>
        <v>100.18899999999999</v>
      </c>
      <c r="AX13" s="1234" cm="1">
        <f t="array" ref="AX13">+SUMPRODUCT(IF($AO$4:$AO$1746=AV13,$L$4:$L$1746*$K$4:$K$1746/AW13))</f>
        <v>0.30019898392039046</v>
      </c>
      <c r="AY13" s="1235">
        <f t="shared" si="27"/>
        <v>0.8587319878030617</v>
      </c>
      <c r="AZ13" s="1236" cm="1">
        <f t="array" ref="AZ13">+SUMPRODUCT(IF($AO$4:$AO$1746=AV13,($Q$4:$Q$1746*$AH$4:$AH$1746)/SUMIF($AO$4:$AO$1746,$AV13,$AH$4:$AH$1746)))</f>
        <v>91.656671304923336</v>
      </c>
      <c r="BA13" s="1237">
        <f t="shared" si="28"/>
        <v>1031.1891364986</v>
      </c>
      <c r="BB13" s="1237">
        <f t="shared" si="29"/>
        <v>942.88299999999981</v>
      </c>
      <c r="BC13" s="1236">
        <f t="shared" si="30"/>
        <v>431.69567280557021</v>
      </c>
      <c r="BD13" s="1238">
        <f t="shared" si="31"/>
        <v>523.20699999999999</v>
      </c>
    </row>
    <row r="14" spans="1:56" ht="15" customHeight="1">
      <c r="A14" s="747" t="s">
        <v>2777</v>
      </c>
      <c r="B14" s="595">
        <v>45909</v>
      </c>
      <c r="C14" s="1447">
        <v>45902</v>
      </c>
      <c r="D14" t="s">
        <v>1484</v>
      </c>
      <c r="E14" s="762">
        <f>_xlfn.XLOOKUP(D14,RUC!$B$3:$B$123,RUC!$D$3:$D$123)</f>
        <v>10761932735</v>
      </c>
      <c r="G14" s="1082" t="s">
        <v>1434</v>
      </c>
      <c r="H14" s="762" t="s">
        <v>2005</v>
      </c>
      <c r="I14" s="703">
        <v>4.3</v>
      </c>
      <c r="J14" s="596">
        <v>4.4000000000000004</v>
      </c>
      <c r="K14" s="138">
        <f t="shared" si="13"/>
        <v>4.1109999999999998</v>
      </c>
      <c r="L14" s="994">
        <v>0.1</v>
      </c>
      <c r="M14" s="762">
        <v>8.5000000000000006E-2</v>
      </c>
      <c r="N14" s="1444">
        <v>0.13500000000000001</v>
      </c>
      <c r="O14" s="645">
        <f t="shared" si="14"/>
        <v>0.11</v>
      </c>
      <c r="P14" s="727">
        <v>80</v>
      </c>
      <c r="Q14" s="596">
        <v>92.11</v>
      </c>
      <c r="R14" s="706">
        <v>3490</v>
      </c>
      <c r="S14" s="765">
        <f>IF((_xlfn.XLOOKUP(D14,RUC!$B$3:$B$119,RUC!$E$3:$E$119)+ROUNDDOWN(O14,1)*100)&lt;95,95,((_xlfn.XLOOKUP(D14,RUC!$B$3:$B$119,RUC!$E$3:$E$119)+ROUNDDOWN(O14,1)*100)))</f>
        <v>100</v>
      </c>
      <c r="U14" s="1146">
        <f>_xlfn.XLOOKUP(D14,RUC!$B$3:$B$123,RUC!$F$3:$F$123)</f>
        <v>120</v>
      </c>
      <c r="V14" s="715">
        <v>1.1023000000000001</v>
      </c>
      <c r="Y14" s="1445">
        <v>30</v>
      </c>
      <c r="Z14" s="143">
        <f>_xlfn.XLOOKUP(D14,RUC!$B$3:$B$123,RUC!$H$3:$H$123)</f>
        <v>30</v>
      </c>
      <c r="AA14" s="144">
        <f t="shared" si="15"/>
        <v>60</v>
      </c>
      <c r="AB14" s="145">
        <f t="shared" ref="AB14:AB64" si="32">+((O14*P14*(R14-U14)/100)-S14-AA14+T14)*V14</f>
        <v>150.53008800000006</v>
      </c>
      <c r="AC14" s="145">
        <f>+(S14-T14)*V14-'data 1'!$F$4</f>
        <v>30.230000000000004</v>
      </c>
      <c r="AD14" s="145">
        <f t="shared" si="16"/>
        <v>44.985634609999998</v>
      </c>
      <c r="AE14" s="145">
        <f t="shared" si="17"/>
        <v>-3.8619999999999948</v>
      </c>
      <c r="AF14" s="145">
        <f t="shared" si="18"/>
        <v>-34.21657146099998</v>
      </c>
      <c r="AG14" s="772">
        <f t="shared" ref="AG14:AG15" si="33">AC14+AD14+AE14+AF14+70-53</f>
        <v>54.137063149000028</v>
      </c>
      <c r="AH14" s="1253">
        <f t="shared" si="19"/>
        <v>12.983000000000001</v>
      </c>
      <c r="AI14" s="1253">
        <f t="shared" si="20"/>
        <v>14.095000000000001</v>
      </c>
      <c r="AJ14" s="156">
        <f t="shared" si="21"/>
        <v>63.965697390000003</v>
      </c>
      <c r="AK14" s="156">
        <f t="shared" si="22"/>
        <v>12.4033562640724</v>
      </c>
      <c r="AL14" s="88"/>
      <c r="AM14" s="716">
        <f t="shared" si="23"/>
        <v>618.82919176800021</v>
      </c>
      <c r="AN14" s="716" t="str">
        <f>_xlfn.XLOOKUP(D14,RUC!$B$3:$B$578,RUC!$M$3:$M$578)</f>
        <v>Richard Sapacayo</v>
      </c>
      <c r="AO14" s="1167" t="s">
        <v>2277</v>
      </c>
      <c r="AP14" t="s">
        <v>2795</v>
      </c>
      <c r="AQ14" t="s">
        <v>2796</v>
      </c>
      <c r="AV14" s="1232" t="s">
        <v>2297</v>
      </c>
      <c r="AW14" s="1234">
        <f t="shared" si="26"/>
        <v>0</v>
      </c>
      <c r="AX14" s="1234" cm="1">
        <f t="array" ref="AX14">+SUMPRODUCT(IF($AO$4:$AO$1746=AV14,$L$4:$L$1746*$K$4:$K$1746/AW14))</f>
        <v>0</v>
      </c>
      <c r="AY14" s="1235">
        <f t="shared" si="27"/>
        <v>0</v>
      </c>
      <c r="AZ14" s="1236" cm="1">
        <f t="array" ref="AZ14">+SUMPRODUCT(IF('28'!$AO$4:$AO$1638=AV14,('28'!$Q$4:$Q$1638*'28'!$AH$4:$AH$1638)/SUMIF('28'!$AO$4:$AO$1638,#REF!,'28'!$AH$4:$AH$1638)))</f>
        <v>0</v>
      </c>
      <c r="BA14" s="1237">
        <f t="shared" si="28"/>
        <v>0</v>
      </c>
      <c r="BB14" s="1237">
        <f t="shared" si="29"/>
        <v>0</v>
      </c>
      <c r="BC14" s="1236">
        <f t="shared" si="30"/>
        <v>431.69567280557021</v>
      </c>
      <c r="BD14" s="1238">
        <f t="shared" si="31"/>
        <v>523.20699999999999</v>
      </c>
    </row>
    <row r="15" spans="1:56" ht="15" customHeight="1">
      <c r="A15" s="747" t="s">
        <v>2782</v>
      </c>
      <c r="B15" s="595">
        <v>45917</v>
      </c>
      <c r="C15" s="1447">
        <v>45905</v>
      </c>
      <c r="D15" t="s">
        <v>93</v>
      </c>
      <c r="E15" s="762">
        <f>_xlfn.XLOOKUP(D15,RUC!$B$3:$B$123,RUC!$D$3:$D$123)</f>
        <v>20169040231</v>
      </c>
      <c r="G15" s="1082">
        <v>80</v>
      </c>
      <c r="H15" s="762" t="s">
        <v>69</v>
      </c>
      <c r="I15" s="703">
        <v>7.24</v>
      </c>
      <c r="J15" s="596">
        <v>1.3</v>
      </c>
      <c r="K15" s="138">
        <f t="shared" si="13"/>
        <v>7.1459999999999999</v>
      </c>
      <c r="L15" s="1443">
        <v>0.11799999999999999</v>
      </c>
      <c r="M15" s="994">
        <v>0.11899999999999999</v>
      </c>
      <c r="N15" s="1196">
        <v>0.11899999999999999</v>
      </c>
      <c r="O15" s="645">
        <f t="shared" si="14"/>
        <v>0.11899999999999999</v>
      </c>
      <c r="P15" s="727">
        <v>80</v>
      </c>
      <c r="Q15" s="596">
        <v>98.51</v>
      </c>
      <c r="R15" s="706">
        <v>3594.55</v>
      </c>
      <c r="S15" s="765">
        <f>IF((_xlfn.XLOOKUP(D15,RUC!$B$3:$B$119,RUC!$E$3:$E$119)+ROUNDDOWN(O15,1)*100)&lt;95,95,((_xlfn.XLOOKUP(D15,RUC!$B$3:$B$119,RUC!$E$3:$E$119)+ROUNDDOWN(O15,1)*100)))</f>
        <v>95</v>
      </c>
      <c r="U15" s="1146">
        <f>_xlfn.XLOOKUP(D15,RUC!$B$3:$B$123,RUC!$F$3:$F$123)</f>
        <v>120</v>
      </c>
      <c r="V15" s="715">
        <v>1.1023000000000001</v>
      </c>
      <c r="Y15">
        <f>_xlfn.XLOOKUP(D15,RUC!$B$3:$B$123,RUC!$G$3:$G$123)</f>
        <v>20</v>
      </c>
      <c r="Z15" s="709">
        <v>35</v>
      </c>
      <c r="AA15" s="144">
        <f t="shared" si="15"/>
        <v>55</v>
      </c>
      <c r="AB15" s="145">
        <f t="shared" si="32"/>
        <v>199.27066346799998</v>
      </c>
      <c r="AC15" s="145">
        <f>+(S15-T15)*V15-'data 1'!$F$4</f>
        <v>24.718500000000006</v>
      </c>
      <c r="AD15" s="145">
        <f t="shared" si="16"/>
        <v>83.654016789237033</v>
      </c>
      <c r="AE15" s="145">
        <f t="shared" si="17"/>
        <v>-9.3734999999999999</v>
      </c>
      <c r="AF15" s="145">
        <f t="shared" si="18"/>
        <v>-3.7729295176715039</v>
      </c>
      <c r="AG15" s="772">
        <f t="shared" si="33"/>
        <v>112.22608727156552</v>
      </c>
      <c r="AH15" s="1253">
        <f t="shared" si="19"/>
        <v>28.48</v>
      </c>
      <c r="AI15" s="1253">
        <f t="shared" si="20"/>
        <v>28.91</v>
      </c>
      <c r="AJ15" s="156">
        <f t="shared" si="21"/>
        <v>67.327661474762976</v>
      </c>
      <c r="AK15" s="156">
        <f t="shared" si="22"/>
        <v>23.32432206210456</v>
      </c>
      <c r="AL15" s="88"/>
      <c r="AM15" s="716">
        <f t="shared" si="23"/>
        <v>1423.988161142328</v>
      </c>
      <c r="AN15" s="716" t="str">
        <f>_xlfn.XLOOKUP(D15,RUC!$B$3:$B$578,RUC!$M$3:$M$578)</f>
        <v>Ronald Miranda</v>
      </c>
      <c r="AO15" s="1167" t="s">
        <v>2280</v>
      </c>
      <c r="AP15" t="s">
        <v>2850</v>
      </c>
      <c r="AQ15" t="s">
        <v>2851</v>
      </c>
      <c r="AR15" t="s">
        <v>2825</v>
      </c>
      <c r="AV15" s="1232" t="s">
        <v>2518</v>
      </c>
      <c r="AW15" s="1234">
        <f t="shared" si="26"/>
        <v>0</v>
      </c>
      <c r="AX15" s="1234" cm="1">
        <f t="array" ref="AX15">+SUMPRODUCT(IF($AO$4:$AO$1746=AV15,$L$4:$L$1746*$K$4:$K$1746/AW15))</f>
        <v>0</v>
      </c>
      <c r="AY15" s="1235">
        <f t="shared" si="27"/>
        <v>0</v>
      </c>
      <c r="AZ15" s="1236" cm="1">
        <f t="array" ref="AZ15">+SUMPRODUCT(IF('28'!$AO$4:$AO$1638=AV15,('28'!$Q$4:$Q$1638*'28'!$AH$4:$AH$1638)/SUMIF('28'!$AO$4:$AO$1638,#REF!,'28'!$AH$4:$AH$1638)))</f>
        <v>0</v>
      </c>
      <c r="BA15" s="1237">
        <f t="shared" si="28"/>
        <v>0</v>
      </c>
      <c r="BB15" s="1237">
        <f t="shared" si="29"/>
        <v>0</v>
      </c>
      <c r="BC15" s="1236">
        <f t="shared" si="30"/>
        <v>431.69567280557021</v>
      </c>
      <c r="BD15" s="1238">
        <f t="shared" si="31"/>
        <v>523.20699999999999</v>
      </c>
    </row>
    <row r="16" spans="1:56" ht="15" customHeight="1">
      <c r="A16" s="747" t="s">
        <v>2791</v>
      </c>
      <c r="B16" s="595">
        <v>45911</v>
      </c>
      <c r="C16" s="1447">
        <v>45906</v>
      </c>
      <c r="D16" t="s">
        <v>119</v>
      </c>
      <c r="E16" s="762">
        <f>_xlfn.XLOOKUP(D16,RUC!$B$3:$B$123,RUC!$D$3:$D$123)</f>
        <v>10082235774</v>
      </c>
      <c r="G16" s="1082">
        <v>55</v>
      </c>
      <c r="H16" s="762" t="s">
        <v>69</v>
      </c>
      <c r="I16" s="703">
        <v>5.37</v>
      </c>
      <c r="J16" s="596">
        <v>1.2</v>
      </c>
      <c r="K16" s="138">
        <f t="shared" si="13"/>
        <v>5.306</v>
      </c>
      <c r="L16" s="994">
        <v>0.112</v>
      </c>
      <c r="M16" s="994">
        <v>0.105</v>
      </c>
      <c r="N16" s="1196">
        <v>0.105</v>
      </c>
      <c r="O16" s="645">
        <f t="shared" si="14"/>
        <v>0.105</v>
      </c>
      <c r="P16" s="727">
        <v>85</v>
      </c>
      <c r="Q16" s="596">
        <v>96.43</v>
      </c>
      <c r="R16" s="706">
        <v>3594.55</v>
      </c>
      <c r="S16" s="1164">
        <f>IF((_xlfn.XLOOKUP(D16,RUC!$B$3:$B$119,RUC!$E$3:$E$119)+ROUNDDOWN(O16,1)*100)&lt;95,95,((_xlfn.XLOOKUP(D16,RUC!$B$3:$B$119,RUC!$E$3:$E$119)+ROUNDDOWN(O16,1)*100)))</f>
        <v>95</v>
      </c>
      <c r="U16" s="1146">
        <f>_xlfn.XLOOKUP(D16,RUC!$B$3:$B$123,RUC!$F$3:$F$123)</f>
        <v>80</v>
      </c>
      <c r="V16" s="715">
        <v>1.1023000000000001</v>
      </c>
      <c r="Y16">
        <f>_xlfn.XLOOKUP(D16,RUC!$B$3:$B$123,RUC!$G$3:$G$123)</f>
        <v>0</v>
      </c>
      <c r="Z16" s="143">
        <f>_xlfn.XLOOKUP(D16,RUC!$B$3:$B$123,RUC!$H$3:$H$123)</f>
        <v>10</v>
      </c>
      <c r="AA16" s="144">
        <f t="shared" si="15"/>
        <v>10</v>
      </c>
      <c r="AB16" s="145">
        <f t="shared" si="32"/>
        <v>230.02089550125001</v>
      </c>
      <c r="AC16" s="145">
        <f>+(S16-T16)*V16-'data 1'!$F$4</f>
        <v>24.718500000000006</v>
      </c>
      <c r="AD16" s="145">
        <f t="shared" si="16"/>
        <v>49.594530893544039</v>
      </c>
      <c r="AE16" s="145">
        <f t="shared" si="17"/>
        <v>-58.977000000000004</v>
      </c>
      <c r="AF16" s="145">
        <f t="shared" si="18"/>
        <v>26.150484547596523</v>
      </c>
      <c r="AG16" s="772">
        <f t="shared" ref="AG16" si="34">AC16+AD16+AE16+AF16+70</f>
        <v>111.48651544114055</v>
      </c>
      <c r="AH16" s="1253">
        <f t="shared" si="19"/>
        <v>19.646999999999998</v>
      </c>
      <c r="AI16" s="1253">
        <f t="shared" si="20"/>
        <v>20.375</v>
      </c>
      <c r="AJ16" s="156">
        <f t="shared" si="21"/>
        <v>57.792901958455992</v>
      </c>
      <c r="AK16" s="156">
        <f t="shared" si="22"/>
        <v>16.236205507652027</v>
      </c>
      <c r="AL16" s="88"/>
      <c r="AM16" s="716">
        <f t="shared" si="23"/>
        <v>1220.4908715296326</v>
      </c>
      <c r="AN16" s="716" t="str">
        <f>_xlfn.XLOOKUP(D16,RUC!$B$3:$B$578,RUC!$M$3:$M$578)</f>
        <v>Melchor Vera</v>
      </c>
      <c r="AO16" s="1167" t="s">
        <v>2280</v>
      </c>
      <c r="AP16" t="s">
        <v>2800</v>
      </c>
      <c r="AQ16" t="s">
        <v>2801</v>
      </c>
      <c r="AV16" s="1232" t="s">
        <v>2519</v>
      </c>
      <c r="AW16" s="1234">
        <f t="shared" si="26"/>
        <v>0</v>
      </c>
      <c r="AX16" s="1234" cm="1">
        <f t="array" ref="AX16">+SUMPRODUCT(IF($AO$4:$AO$1746=AV16,$L$4:$L$1746*$K$4:$K$1746/AW16))</f>
        <v>0</v>
      </c>
      <c r="AY16" s="1235">
        <f t="shared" si="27"/>
        <v>0</v>
      </c>
      <c r="AZ16" s="1236" cm="1">
        <f t="array" ref="AZ16">+SUMPRODUCT(IF('28'!$AO$4:$AO$1638=AV16,('28'!$Q$4:$Q$1638*'28'!$AH$4:$AH$1638)/SUMIF('28'!$AO$4:$AO$1638,#REF!,'28'!$AH$4:$AH$1638)))</f>
        <v>0</v>
      </c>
      <c r="BA16" s="1237">
        <f t="shared" si="28"/>
        <v>0</v>
      </c>
      <c r="BB16" s="1237">
        <f t="shared" si="29"/>
        <v>0</v>
      </c>
      <c r="BC16" s="1236">
        <f t="shared" si="30"/>
        <v>431.69567280557021</v>
      </c>
      <c r="BD16" s="1238">
        <f t="shared" si="31"/>
        <v>523.20699999999999</v>
      </c>
    </row>
    <row r="17" spans="1:56" ht="15" customHeight="1">
      <c r="A17" s="747" t="s">
        <v>2805</v>
      </c>
      <c r="B17" s="595">
        <v>45914</v>
      </c>
      <c r="C17" s="1447">
        <v>45908</v>
      </c>
      <c r="D17" t="s">
        <v>1967</v>
      </c>
      <c r="E17" s="762">
        <f>_xlfn.XLOOKUP(D17,RUC!$B$3:$B$123,RUC!$D$3:$D$123)</f>
        <v>20601769396</v>
      </c>
      <c r="G17" s="1082">
        <v>50</v>
      </c>
      <c r="H17" s="762" t="s">
        <v>2005</v>
      </c>
      <c r="I17" s="703">
        <v>3.73</v>
      </c>
      <c r="J17" s="596">
        <v>15.05</v>
      </c>
      <c r="K17" s="138">
        <f t="shared" si="13"/>
        <v>3.169</v>
      </c>
      <c r="L17" s="762">
        <v>0.16400000000000001</v>
      </c>
      <c r="M17" s="994">
        <v>0.14899999999999999</v>
      </c>
      <c r="N17" s="1196">
        <v>0.14899999999999999</v>
      </c>
      <c r="O17" s="645">
        <f t="shared" si="14"/>
        <v>0.14899999999999999</v>
      </c>
      <c r="P17" s="727">
        <v>85</v>
      </c>
      <c r="Q17" s="596">
        <v>93.9</v>
      </c>
      <c r="R17" s="706">
        <v>3632.65</v>
      </c>
      <c r="S17" s="765">
        <f>IF((_xlfn.XLOOKUP(D17,RUC!$B$3:$B$119,RUC!$E$3:$E$119)+ROUNDDOWN(O17,1)*100)&lt;95,95,((_xlfn.XLOOKUP(D17,RUC!$B$3:$B$119,RUC!$E$3:$E$119)+ROUNDDOWN(O17,1)*100)))</f>
        <v>100</v>
      </c>
      <c r="U17" s="1146">
        <f>_xlfn.XLOOKUP(D17,RUC!$B$3:$B$123,RUC!$F$3:$F$123)</f>
        <v>120</v>
      </c>
      <c r="V17" s="715">
        <v>1.1023000000000001</v>
      </c>
      <c r="Y17">
        <f>_xlfn.XLOOKUP(D17,RUC!$B$3:$B$123,RUC!$G$3:$G$123)</f>
        <v>20</v>
      </c>
      <c r="Z17" s="143">
        <f>_xlfn.XLOOKUP(D17,RUC!$B$3:$B$123,RUC!$H$3:$H$123)</f>
        <v>30</v>
      </c>
      <c r="AA17" s="144">
        <f t="shared" si="15"/>
        <v>50</v>
      </c>
      <c r="AB17" s="145">
        <f t="shared" si="32"/>
        <v>325.04305213175002</v>
      </c>
      <c r="AC17" s="145">
        <f>+(S17-T17)*V17-'data 1'!$F$4</f>
        <v>30.230000000000004</v>
      </c>
      <c r="AD17" s="145">
        <f t="shared" si="16"/>
        <v>56.515625810620037</v>
      </c>
      <c r="AE17" s="145">
        <f t="shared" si="17"/>
        <v>-14.884999999999998</v>
      </c>
      <c r="AF17" s="145">
        <f t="shared" si="18"/>
        <v>54.53703682807506</v>
      </c>
      <c r="AG17" s="772">
        <f>AC17+AD17+AE17+AF17+70-53</f>
        <v>143.3976626386951</v>
      </c>
      <c r="AH17" s="1253">
        <f t="shared" si="19"/>
        <v>16.731999999999999</v>
      </c>
      <c r="AI17" s="1253">
        <f t="shared" si="20"/>
        <v>17.818999999999999</v>
      </c>
      <c r="AJ17" s="156">
        <f t="shared" si="21"/>
        <v>82.727560546379991</v>
      </c>
      <c r="AK17" s="156">
        <f t="shared" si="22"/>
        <v>13.760572492611493</v>
      </c>
      <c r="AL17" s="88"/>
      <c r="AM17" s="716">
        <f t="shared" si="23"/>
        <v>1030.0614322055158</v>
      </c>
      <c r="AN17" s="716" t="str">
        <f>_xlfn.XLOOKUP(D17,RUC!$B$3:$B$578,RUC!$M$3:$M$578)</f>
        <v>Evelyn</v>
      </c>
      <c r="AO17" s="1167" t="s">
        <v>2277</v>
      </c>
      <c r="AP17" t="s">
        <v>2826</v>
      </c>
      <c r="AQ17" t="s">
        <v>2827</v>
      </c>
      <c r="AV17" s="1232" t="s">
        <v>2520</v>
      </c>
      <c r="AW17" s="1234">
        <f t="shared" si="26"/>
        <v>0</v>
      </c>
      <c r="AX17" s="1234" cm="1">
        <f t="array" ref="AX17">+SUMPRODUCT(IF($AO$4:$AO$1746=AV17,$L$4:$L$1746*$K$4:$K$1746/AW17))</f>
        <v>0</v>
      </c>
      <c r="AY17" s="1235">
        <f t="shared" si="27"/>
        <v>0</v>
      </c>
      <c r="AZ17" s="1236" cm="1">
        <f t="array" ref="AZ17">+SUMPRODUCT(IF('28'!$AO$4:$AO$1638=AV17,('28'!$Q$4:$Q$1638*'28'!$AH$4:$AH$1638)/SUMIF('28'!$AO$4:$AO$1638,#REF!,'28'!$AH$4:$AH$1638)))</f>
        <v>0</v>
      </c>
      <c r="BA17" s="1237">
        <f t="shared" si="28"/>
        <v>0</v>
      </c>
      <c r="BB17" s="1237">
        <f t="shared" si="29"/>
        <v>0</v>
      </c>
      <c r="BC17" s="1236">
        <f t="shared" si="30"/>
        <v>431.69567280557021</v>
      </c>
      <c r="BD17" s="1238">
        <f t="shared" si="31"/>
        <v>523.20699999999999</v>
      </c>
    </row>
    <row r="18" spans="1:56" ht="15" customHeight="1" thickBot="1">
      <c r="A18" s="747" t="s">
        <v>2814</v>
      </c>
      <c r="B18" s="595">
        <v>45923</v>
      </c>
      <c r="C18" s="1447">
        <v>45909</v>
      </c>
      <c r="D18" t="s">
        <v>2444</v>
      </c>
      <c r="E18" s="762">
        <f>_xlfn.XLOOKUP(D18,RUC!$B$3:$B$123,RUC!$D$3:$D$123)</f>
        <v>20608774000</v>
      </c>
      <c r="G18" s="1082">
        <v>10</v>
      </c>
      <c r="H18" s="762" t="s">
        <v>69</v>
      </c>
      <c r="I18" s="703">
        <v>0.85</v>
      </c>
      <c r="J18" s="596">
        <v>2.15</v>
      </c>
      <c r="K18" s="138">
        <f t="shared" si="13"/>
        <v>0.83199999999999996</v>
      </c>
      <c r="L18" s="762">
        <v>0.35699999999999998</v>
      </c>
      <c r="M18" s="994">
        <v>0.33900000000000002</v>
      </c>
      <c r="N18" s="1196">
        <v>0.33900000000000002</v>
      </c>
      <c r="O18" s="645">
        <f t="shared" si="14"/>
        <v>0.33900000000000002</v>
      </c>
      <c r="P18" s="727">
        <v>80</v>
      </c>
      <c r="Q18" s="596">
        <v>81.510000000000005</v>
      </c>
      <c r="R18" s="706">
        <v>3649.55</v>
      </c>
      <c r="S18" s="765">
        <f>IF((_xlfn.XLOOKUP(D18,RUC!$B$3:$B$119,RUC!$E$3:$E$119)+ROUNDDOWN(O18,1)*100)&lt;95,95,((_xlfn.XLOOKUP(D18,RUC!$B$3:$B$119,RUC!$E$3:$E$119)+ROUNDDOWN(O18,1)*100)))</f>
        <v>115</v>
      </c>
      <c r="U18" s="1146">
        <f>_xlfn.XLOOKUP(D18,RUC!$B$3:$B$123,RUC!$F$3:$F$123)</f>
        <v>120</v>
      </c>
      <c r="V18" s="715">
        <v>1.1023000000000001</v>
      </c>
      <c r="Y18">
        <f>_xlfn.XLOOKUP(D18,RUC!$B$3:$B$123,RUC!$G$3:$G$123)</f>
        <v>20</v>
      </c>
      <c r="Z18" s="143">
        <f>_xlfn.XLOOKUP(D18,RUC!$B$3:$B$123,RUC!$H$3:$H$123)</f>
        <v>30</v>
      </c>
      <c r="AA18" s="144">
        <f t="shared" si="15"/>
        <v>50</v>
      </c>
      <c r="AB18" s="145">
        <f t="shared" si="32"/>
        <v>873.25744810800006</v>
      </c>
      <c r="AC18" s="145">
        <f>+(S18-T18)*V18-'data 1'!$F$4</f>
        <v>46.764500000000012</v>
      </c>
      <c r="AD18" s="145">
        <f t="shared" si="16"/>
        <v>20.973181217425573</v>
      </c>
      <c r="AE18" s="145">
        <f t="shared" si="17"/>
        <v>-14.884999999999998</v>
      </c>
      <c r="AF18" s="145">
        <f t="shared" si="18"/>
        <v>57.082442017886891</v>
      </c>
      <c r="AG18" s="772">
        <f t="shared" ref="AG18:AG46" si="35">AC18+AD18+AE18+AF18+70-53</f>
        <v>126.93512323531249</v>
      </c>
      <c r="AH18" s="1253">
        <f t="shared" si="19"/>
        <v>8.3010000000000002</v>
      </c>
      <c r="AI18" s="1253">
        <f t="shared" si="20"/>
        <v>10.183999999999999</v>
      </c>
      <c r="AJ18" s="156">
        <f t="shared" si="21"/>
        <v>150.90109441857447</v>
      </c>
      <c r="AK18" s="156">
        <f t="shared" si="22"/>
        <v>7.7361001029811209</v>
      </c>
      <c r="AL18" s="88"/>
      <c r="AM18" s="716">
        <f t="shared" si="23"/>
        <v>726.55019682585601</v>
      </c>
      <c r="AN18" s="716" t="str">
        <f>_xlfn.XLOOKUP(D18,RUC!$B$3:$B$578,RUC!$M$3:$M$578)</f>
        <v>Ronald Miranda</v>
      </c>
      <c r="AO18" s="1167" t="s">
        <v>2281</v>
      </c>
      <c r="AP18" t="s">
        <v>2830</v>
      </c>
      <c r="AQ18" t="s">
        <v>2831</v>
      </c>
      <c r="AV18" s="1239" t="s">
        <v>2521</v>
      </c>
      <c r="AW18" s="1254">
        <f t="shared" si="26"/>
        <v>0</v>
      </c>
      <c r="AX18" s="1254" cm="1">
        <f t="array" ref="AX18">+SUMPRODUCT(IF('28'!$AO$4:$AO$1638=AV18,'28'!$L$4:$L$1638*'28'!$K$4:$K$1638/AW18))</f>
        <v>0</v>
      </c>
      <c r="AY18" s="1241">
        <f t="shared" si="27"/>
        <v>0</v>
      </c>
      <c r="AZ18" s="1242" cm="1">
        <f t="array" ref="AZ18">+SUMPRODUCT(IF('28'!$AO$4:$AO$1638=AV18,('28'!$Q$4:$Q$1638*'28'!$AH$4:$AH$1638)/SUMIF('28'!$AO$4:$AO$1638,#REF!,'28'!$AH$4:$AH$1638)))</f>
        <v>0</v>
      </c>
      <c r="BA18" s="1243">
        <f t="shared" si="28"/>
        <v>0</v>
      </c>
      <c r="BB18" s="1243">
        <f t="shared" si="29"/>
        <v>0</v>
      </c>
      <c r="BC18" s="1242">
        <f t="shared" si="30"/>
        <v>431.69567280557021</v>
      </c>
      <c r="BD18" s="1436">
        <f t="shared" si="31"/>
        <v>523.20699999999999</v>
      </c>
    </row>
    <row r="19" spans="1:56" ht="15" customHeight="1">
      <c r="A19" s="747" t="s">
        <v>2816</v>
      </c>
      <c r="B19" s="595">
        <v>45922</v>
      </c>
      <c r="C19" s="1447">
        <v>45910</v>
      </c>
      <c r="D19" t="s">
        <v>2444</v>
      </c>
      <c r="E19" s="762">
        <f>_xlfn.XLOOKUP(D19,RUC!$B$3:$B$123,RUC!$D$3:$D$123)</f>
        <v>20608774000</v>
      </c>
      <c r="G19" s="1082">
        <v>75</v>
      </c>
      <c r="H19" s="762" t="s">
        <v>69</v>
      </c>
      <c r="I19" s="703">
        <v>7.77</v>
      </c>
      <c r="J19" s="596">
        <v>2.2999999999999998</v>
      </c>
      <c r="K19" s="138">
        <f t="shared" si="13"/>
        <v>7.5910000000000002</v>
      </c>
      <c r="L19" s="762">
        <v>0.14499999999999999</v>
      </c>
      <c r="M19" s="994">
        <v>0.13</v>
      </c>
      <c r="N19" s="1196">
        <v>0.13</v>
      </c>
      <c r="O19" s="645">
        <f t="shared" si="14"/>
        <v>0.13</v>
      </c>
      <c r="P19" s="727">
        <v>84</v>
      </c>
      <c r="Q19" s="881">
        <v>84.83</v>
      </c>
      <c r="R19" s="706">
        <v>3650.75</v>
      </c>
      <c r="S19" s="765">
        <f>IF((_xlfn.XLOOKUP(D19,RUC!$B$3:$B$119,RUC!$E$3:$E$119)+ROUNDDOWN(O19,1)*100)&lt;95,95,((_xlfn.XLOOKUP(D19,RUC!$B$3:$B$119,RUC!$E$3:$E$119)+ROUNDDOWN(O19,1)*100)))</f>
        <v>95</v>
      </c>
      <c r="U19" s="1146">
        <f>_xlfn.XLOOKUP(D19,RUC!$B$3:$B$123,RUC!$F$3:$F$123)</f>
        <v>120</v>
      </c>
      <c r="V19" s="715">
        <v>1.1023000000000001</v>
      </c>
      <c r="Y19">
        <f>_xlfn.XLOOKUP(D19,RUC!$B$3:$B$123,RUC!$G$3:$G$123)</f>
        <v>20</v>
      </c>
      <c r="Z19" s="143">
        <f>_xlfn.XLOOKUP(D19,RUC!$B$3:$B$123,RUC!$H$3:$H$123)</f>
        <v>30</v>
      </c>
      <c r="AA19" s="144">
        <f t="shared" si="15"/>
        <v>50</v>
      </c>
      <c r="AB19" s="145">
        <f t="shared" si="32"/>
        <v>265.16697317000001</v>
      </c>
      <c r="AC19" s="145">
        <f>+(S19-T19)*V19-'data 1'!$F$4</f>
        <v>24.718500000000006</v>
      </c>
      <c r="AD19" s="145">
        <f t="shared" si="16"/>
        <v>4.6839566800374905</v>
      </c>
      <c r="AE19" s="145">
        <f t="shared" si="17"/>
        <v>-14.884999999999998</v>
      </c>
      <c r="AF19" s="145">
        <f t="shared" si="18"/>
        <v>49.523063377762455</v>
      </c>
      <c r="AG19" s="772">
        <f t="shared" si="35"/>
        <v>81.040520057799938</v>
      </c>
      <c r="AH19" s="1253">
        <f t="shared" si="19"/>
        <v>32.012999999999998</v>
      </c>
      <c r="AI19" s="1253">
        <f t="shared" si="20"/>
        <v>37.738</v>
      </c>
      <c r="AJ19" s="156">
        <f t="shared" si="21"/>
        <v>63.624086214962489</v>
      </c>
      <c r="AK19" s="156">
        <f t="shared" si="22"/>
        <v>28.420433571080466</v>
      </c>
      <c r="AL19" s="88"/>
      <c r="AM19" s="716">
        <f t="shared" si="23"/>
        <v>2012.8824933334702</v>
      </c>
      <c r="AN19" s="716" t="str">
        <f>_xlfn.XLOOKUP(D19,RUC!$B$3:$B$578,RUC!$M$3:$M$578)</f>
        <v>Ronald Miranda</v>
      </c>
      <c r="AO19" s="1167" t="s">
        <v>2280</v>
      </c>
      <c r="AP19" t="s">
        <v>2832</v>
      </c>
      <c r="AQ19" t="s">
        <v>2833</v>
      </c>
    </row>
    <row r="20" spans="1:56" ht="15" customHeight="1" thickBot="1">
      <c r="A20" s="747" t="s">
        <v>2817</v>
      </c>
      <c r="B20" s="595">
        <v>45922</v>
      </c>
      <c r="C20" s="1447">
        <v>45910</v>
      </c>
      <c r="D20" t="s">
        <v>2444</v>
      </c>
      <c r="E20" s="762">
        <f>_xlfn.XLOOKUP(D20,RUC!$B$3:$B$123,RUC!$D$3:$D$123)</f>
        <v>20608774000</v>
      </c>
      <c r="G20" s="1082">
        <v>50</v>
      </c>
      <c r="H20" s="762" t="s">
        <v>69</v>
      </c>
      <c r="I20" s="703">
        <v>4.67</v>
      </c>
      <c r="J20" s="596">
        <v>2.4</v>
      </c>
      <c r="K20" s="138">
        <f t="shared" si="13"/>
        <v>4.5579999999999998</v>
      </c>
      <c r="L20" s="762">
        <v>0.254</v>
      </c>
      <c r="M20" s="762">
        <v>0.23599999999999999</v>
      </c>
      <c r="N20" s="1196">
        <v>0.23599999999999999</v>
      </c>
      <c r="O20" s="645">
        <f t="shared" si="14"/>
        <v>0.23599999999999999</v>
      </c>
      <c r="P20" s="727">
        <v>90</v>
      </c>
      <c r="Q20" s="881">
        <v>93.7</v>
      </c>
      <c r="R20" s="706">
        <v>3650.75</v>
      </c>
      <c r="S20" s="765">
        <f>IF((_xlfn.XLOOKUP(D20,RUC!$B$3:$B$119,RUC!$E$3:$E$119)+ROUNDDOWN(O20,1)*100)&lt;95,95,((_xlfn.XLOOKUP(D20,RUC!$B$3:$B$119,RUC!$E$3:$E$119)+ROUNDDOWN(O20,1)*100)))</f>
        <v>105</v>
      </c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3">
        <f>_xlfn.XLOOKUP(D20,RUC!$B$3:$B$123,RUC!$H$3:$H$123)</f>
        <v>30</v>
      </c>
      <c r="AA20" s="144">
        <f t="shared" si="15"/>
        <v>50</v>
      </c>
      <c r="AB20" s="145">
        <f t="shared" si="32"/>
        <v>655.79277198999989</v>
      </c>
      <c r="AC20" s="145">
        <f>+(S20-T20)*V20-'data 1'!$F$4</f>
        <v>35.741500000000002</v>
      </c>
      <c r="AD20" s="145">
        <f t="shared" si="16"/>
        <v>36.576505923550037</v>
      </c>
      <c r="AE20" s="145">
        <f t="shared" si="17"/>
        <v>-14.884999999999998</v>
      </c>
      <c r="AF20" s="145">
        <f t="shared" si="18"/>
        <v>65.641556597850069</v>
      </c>
      <c r="AG20" s="772">
        <f t="shared" si="35"/>
        <v>140.07456252140011</v>
      </c>
      <c r="AH20" s="1253">
        <f t="shared" si="19"/>
        <v>37.192999999999998</v>
      </c>
      <c r="AI20" s="1253">
        <f t="shared" si="20"/>
        <v>39.692999999999998</v>
      </c>
      <c r="AJ20" s="156">
        <f t="shared" si="21"/>
        <v>123.10548294145001</v>
      </c>
      <c r="AK20" s="156">
        <f t="shared" si="22"/>
        <v>33.192342450655559</v>
      </c>
      <c r="AL20" s="88"/>
      <c r="AM20" s="716">
        <f t="shared" si="23"/>
        <v>2989.1034547304193</v>
      </c>
      <c r="AN20" s="716" t="str">
        <f>_xlfn.XLOOKUP(D20,RUC!$B$3:$B$578,RUC!$M$3:$M$578)</f>
        <v>Ronald Miranda</v>
      </c>
      <c r="AO20" s="1167" t="s">
        <v>2277</v>
      </c>
      <c r="AP20" t="s">
        <v>2832</v>
      </c>
      <c r="AQ20" t="s">
        <v>2833</v>
      </c>
    </row>
    <row r="21" spans="1:56" ht="15" customHeight="1" thickBot="1">
      <c r="A21" s="747" t="s">
        <v>2819</v>
      </c>
      <c r="B21" s="595">
        <v>45924</v>
      </c>
      <c r="C21" s="1447">
        <v>45910</v>
      </c>
      <c r="D21" t="s">
        <v>93</v>
      </c>
      <c r="E21" s="762">
        <f>_xlfn.XLOOKUP(D21,RUC!$B$3:$B$123,RUC!$D$3:$D$123)</f>
        <v>20169040231</v>
      </c>
      <c r="G21" s="1082">
        <v>70</v>
      </c>
      <c r="H21" s="762" t="s">
        <v>69</v>
      </c>
      <c r="I21" s="703">
        <v>7.63</v>
      </c>
      <c r="J21" s="596">
        <v>4.7</v>
      </c>
      <c r="K21" s="703">
        <f t="shared" si="13"/>
        <v>7.2709999999999999</v>
      </c>
      <c r="L21" s="762">
        <v>0.19500000000000001</v>
      </c>
      <c r="M21" s="994">
        <v>0.18</v>
      </c>
      <c r="N21" s="1196">
        <v>0.18</v>
      </c>
      <c r="O21" s="645">
        <f t="shared" si="14"/>
        <v>0.18</v>
      </c>
      <c r="P21" s="727">
        <v>85</v>
      </c>
      <c r="Q21" s="881">
        <v>85.13</v>
      </c>
      <c r="R21" s="706">
        <v>3650.75</v>
      </c>
      <c r="S21" s="765">
        <f>IF((_xlfn.XLOOKUP(D21,RUC!$B$3:$B$119,RUC!$E$3:$E$119)+ROUNDDOWN(O21,1)*100)&lt;95,95,((_xlfn.XLOOKUP(D21,RUC!$B$3:$B$119,RUC!$E$3:$E$119)+ROUNDDOWN(O21,1)*100)))</f>
        <v>95</v>
      </c>
      <c r="U21" s="1146">
        <f>_xlfn.XLOOKUP(D21,RUC!$B$3:$B$123,RUC!$F$3:$F$123)</f>
        <v>120</v>
      </c>
      <c r="V21" s="715">
        <v>1.1023000000000001</v>
      </c>
      <c r="Y21">
        <f>_xlfn.XLOOKUP(D21,RUC!$B$3:$B$123,RUC!$G$3:$G$123)</f>
        <v>20</v>
      </c>
      <c r="Z21" s="143">
        <f>_xlfn.XLOOKUP(D21,RUC!$B$3:$B$123,RUC!$H$3:$H$123)</f>
        <v>30</v>
      </c>
      <c r="AA21" s="144">
        <f t="shared" si="15"/>
        <v>50</v>
      </c>
      <c r="AB21" s="145">
        <f t="shared" si="32"/>
        <v>435.63419592500003</v>
      </c>
      <c r="AC21" s="145">
        <f>+(S21-T21)*V21-'data 1'!$F$4</f>
        <v>24.718500000000006</v>
      </c>
      <c r="AD21" s="145">
        <f t="shared" si="16"/>
        <v>0.98660824128746549</v>
      </c>
      <c r="AE21" s="145">
        <f t="shared" si="17"/>
        <v>-14.884999999999998</v>
      </c>
      <c r="AF21" s="145">
        <f t="shared" si="18"/>
        <v>49.698200935387547</v>
      </c>
      <c r="AG21" s="772">
        <f t="shared" si="35"/>
        <v>77.518309176675018</v>
      </c>
      <c r="AH21" s="1253">
        <f t="shared" si="19"/>
        <v>41.383000000000003</v>
      </c>
      <c r="AI21" s="1253">
        <f t="shared" si="20"/>
        <v>48.610999999999997</v>
      </c>
      <c r="AJ21" s="156">
        <f t="shared" si="21"/>
        <v>85.866020039962493</v>
      </c>
      <c r="AK21" s="156">
        <f t="shared" si="22"/>
        <v>38.141225646267145</v>
      </c>
      <c r="AL21" s="88"/>
      <c r="AM21" s="716">
        <f t="shared" si="23"/>
        <v>3167.4962385706754</v>
      </c>
      <c r="AN21" s="716" t="str">
        <f>_xlfn.XLOOKUP(D21,RUC!$B$3:$B$578,RUC!$M$3:$M$578)</f>
        <v>Ronald Miranda</v>
      </c>
      <c r="AO21" s="1167" t="s">
        <v>2277</v>
      </c>
      <c r="AP21" t="s">
        <v>2834</v>
      </c>
      <c r="AQ21" t="s">
        <v>2835</v>
      </c>
      <c r="AV21" s="1982" t="s">
        <v>3077</v>
      </c>
      <c r="AW21" s="1983"/>
      <c r="AX21" s="1983"/>
      <c r="AY21" s="1983"/>
      <c r="AZ21" s="1983"/>
      <c r="BA21" s="1984"/>
    </row>
    <row r="22" spans="1:56" ht="15" customHeight="1">
      <c r="A22" s="747" t="s">
        <v>2821</v>
      </c>
      <c r="B22" s="595">
        <v>45924</v>
      </c>
      <c r="C22" s="1447">
        <v>45910</v>
      </c>
      <c r="D22" t="s">
        <v>93</v>
      </c>
      <c r="E22" s="762">
        <f>_xlfn.XLOOKUP(D22,RUC!$B$3:$B$123,RUC!$D$3:$D$123)</f>
        <v>20169040231</v>
      </c>
      <c r="G22" s="1082">
        <v>80</v>
      </c>
      <c r="H22" s="762" t="s">
        <v>69</v>
      </c>
      <c r="I22" s="703">
        <v>8.15</v>
      </c>
      <c r="J22" s="596">
        <v>2.4</v>
      </c>
      <c r="K22" s="703">
        <f t="shared" si="13"/>
        <v>7.9539999999999997</v>
      </c>
      <c r="L22" s="762">
        <v>0.16900000000000001</v>
      </c>
      <c r="M22" s="762">
        <v>0.154</v>
      </c>
      <c r="N22" s="764">
        <v>0.154</v>
      </c>
      <c r="O22" s="645">
        <f t="shared" si="14"/>
        <v>0.154</v>
      </c>
      <c r="P22" s="727">
        <v>85</v>
      </c>
      <c r="Q22" s="881">
        <v>88.76</v>
      </c>
      <c r="R22" s="706">
        <v>3650.75</v>
      </c>
      <c r="S22" s="765">
        <f>IF((_xlfn.XLOOKUP(D22,RUC!$B$3:$B$119,RUC!$E$3:$E$119)+ROUNDDOWN(O22,1)*100)&lt;95,95,((_xlfn.XLOOKUP(D22,RUC!$B$3:$B$119,RUC!$E$3:$E$119)+ROUNDDOWN(O22,1)*100)))</f>
        <v>95</v>
      </c>
      <c r="U22" s="1146">
        <f>_xlfn.XLOOKUP(D22,RUC!$B$3:$B$123,RUC!$F$3:$F$123)</f>
        <v>120</v>
      </c>
      <c r="V22" s="715">
        <v>1.1023000000000001</v>
      </c>
      <c r="Y22">
        <f>_xlfn.XLOOKUP(D22,RUC!$B$3:$B$123,RUC!$G$3:$G$123)</f>
        <v>20</v>
      </c>
      <c r="Z22" s="143">
        <f>_xlfn.XLOOKUP(D22,RUC!$B$3:$B$123,RUC!$H$3:$H$123)</f>
        <v>30</v>
      </c>
      <c r="AA22" s="144">
        <f t="shared" si="15"/>
        <v>50</v>
      </c>
      <c r="AB22" s="145">
        <f t="shared" si="32"/>
        <v>349.62219540250004</v>
      </c>
      <c r="AC22" s="145">
        <f>+(S22-T22)*V22-'data 1'!$F$4</f>
        <v>24.718500000000006</v>
      </c>
      <c r="AD22" s="145">
        <f t="shared" si="16"/>
        <v>24.730979914940036</v>
      </c>
      <c r="AE22" s="145">
        <f t="shared" si="17"/>
        <v>-14.884999999999998</v>
      </c>
      <c r="AF22" s="145">
        <f t="shared" si="18"/>
        <v>51.817365382650053</v>
      </c>
      <c r="AG22" s="772">
        <f t="shared" si="35"/>
        <v>103.3818452975901</v>
      </c>
      <c r="AH22" s="1253">
        <f t="shared" si="19"/>
        <v>40.906999999999996</v>
      </c>
      <c r="AI22" s="1253">
        <f t="shared" si="20"/>
        <v>46.087000000000003</v>
      </c>
      <c r="AJ22" s="156">
        <f t="shared" si="21"/>
        <v>77.590417168810021</v>
      </c>
      <c r="AK22" s="156">
        <f t="shared" si="22"/>
        <v>35.697212330355725</v>
      </c>
      <c r="AL22" s="88"/>
      <c r="AM22" s="716">
        <f t="shared" si="23"/>
        <v>2780.8949422314854</v>
      </c>
      <c r="AN22" s="716" t="str">
        <f>_xlfn.XLOOKUP(D22,RUC!$B$3:$B$578,RUC!$M$3:$M$578)</f>
        <v>Ronald Miranda</v>
      </c>
      <c r="AO22" s="1167" t="s">
        <v>2277</v>
      </c>
      <c r="AP22" t="s">
        <v>2834</v>
      </c>
      <c r="AQ22" t="s">
        <v>2835</v>
      </c>
      <c r="BA22" s="1482">
        <f>SUM(BA24:BA33)</f>
        <v>3292.6461303257001</v>
      </c>
    </row>
    <row r="23" spans="1:56" ht="15" customHeight="1" thickBot="1">
      <c r="A23" s="747" t="s">
        <v>2822</v>
      </c>
      <c r="B23" s="595">
        <v>45923</v>
      </c>
      <c r="C23" s="1447">
        <v>45911</v>
      </c>
      <c r="D23" t="s">
        <v>93</v>
      </c>
      <c r="E23" s="762">
        <f>_xlfn.XLOOKUP(D23,RUC!$B$3:$B$123,RUC!$D$3:$D$123)</f>
        <v>20169040231</v>
      </c>
      <c r="G23" s="1082">
        <v>78</v>
      </c>
      <c r="H23" s="762" t="s">
        <v>69</v>
      </c>
      <c r="I23" s="703">
        <v>8.23</v>
      </c>
      <c r="J23" s="596">
        <v>2.6</v>
      </c>
      <c r="K23" s="703">
        <f t="shared" si="13"/>
        <v>8.016</v>
      </c>
      <c r="L23" s="762">
        <v>0.71499999999999997</v>
      </c>
      <c r="M23" s="762">
        <v>0.67900000000000005</v>
      </c>
      <c r="N23" s="1197">
        <v>0.74299999999999999</v>
      </c>
      <c r="O23" s="645">
        <f t="shared" si="14"/>
        <v>0.71099999999999997</v>
      </c>
      <c r="P23" s="727">
        <v>80</v>
      </c>
      <c r="Q23" s="881">
        <v>81.260000000000005</v>
      </c>
      <c r="R23" s="706">
        <v>3629.55</v>
      </c>
      <c r="S23" s="765">
        <f>IF((_xlfn.XLOOKUP(D23,RUC!$B$3:$B$119,RUC!$E$3:$E$119)+ROUNDDOWN(O23,1)*100)&lt;95,95,((_xlfn.XLOOKUP(D23,RUC!$B$3:$B$119,RUC!$E$3:$E$119)+ROUNDDOWN(O23,1)*100)))</f>
        <v>155</v>
      </c>
      <c r="U23" s="1146">
        <f>_xlfn.XLOOKUP(D23,RUC!$B$3:$B$123,RUC!$F$3:$F$123)</f>
        <v>120</v>
      </c>
      <c r="V23" s="715">
        <v>1.1023000000000001</v>
      </c>
      <c r="Y23">
        <f>_xlfn.XLOOKUP(D23,RUC!$B$3:$B$123,RUC!$G$3:$G$123)</f>
        <v>20</v>
      </c>
      <c r="Z23" s="1454">
        <v>35</v>
      </c>
      <c r="AA23" s="144">
        <f t="shared" si="15"/>
        <v>55</v>
      </c>
      <c r="AB23" s="145">
        <f t="shared" si="32"/>
        <v>1968.9635776919999</v>
      </c>
      <c r="AC23" s="145">
        <f>+(S23-T23)*V23-'data 1'!$F$4</f>
        <v>90.856500000000011</v>
      </c>
      <c r="AD23" s="145">
        <f t="shared" si="16"/>
        <v>34.852009877685148</v>
      </c>
      <c r="AE23" s="145">
        <f t="shared" si="17"/>
        <v>-9.3734999999999999</v>
      </c>
      <c r="AF23" s="145">
        <f t="shared" si="18"/>
        <v>12.574422567036013</v>
      </c>
      <c r="AG23" s="772">
        <f t="shared" si="35"/>
        <v>145.90943244472118</v>
      </c>
      <c r="AH23" s="1253">
        <f t="shared" si="19"/>
        <v>159.68</v>
      </c>
      <c r="AI23" s="1253">
        <f t="shared" si="20"/>
        <v>196.505</v>
      </c>
      <c r="AJ23" s="156">
        <f t="shared" si="21"/>
        <v>314.10684894231491</v>
      </c>
      <c r="AK23" s="156">
        <f t="shared" si="22"/>
        <v>156.32425424228546</v>
      </c>
      <c r="AL23" s="88"/>
      <c r="AM23" s="716">
        <f t="shared" si="23"/>
        <v>15783.212038779071</v>
      </c>
      <c r="AN23" s="716" t="str">
        <f>_xlfn.XLOOKUP(D23,RUC!$B$3:$B$578,RUC!$M$3:$M$578)</f>
        <v>Ronald Miranda</v>
      </c>
      <c r="AO23" s="1167" t="s">
        <v>2279</v>
      </c>
      <c r="AP23" t="s">
        <v>2838</v>
      </c>
      <c r="AQ23" t="s">
        <v>2839</v>
      </c>
      <c r="AV23" s="633"/>
      <c r="AW23" s="633" t="s">
        <v>15</v>
      </c>
      <c r="AX23" s="633" t="s">
        <v>2522</v>
      </c>
      <c r="AY23" s="633" t="s">
        <v>2558</v>
      </c>
      <c r="AZ23" s="1483" t="s">
        <v>2598</v>
      </c>
      <c r="BA23" s="633" t="s">
        <v>2559</v>
      </c>
    </row>
    <row r="24" spans="1:56" ht="15" customHeight="1">
      <c r="A24" s="747" t="s">
        <v>2823</v>
      </c>
      <c r="B24" s="595">
        <v>45923</v>
      </c>
      <c r="C24" s="1447">
        <v>45911</v>
      </c>
      <c r="D24" t="s">
        <v>93</v>
      </c>
      <c r="E24" s="762">
        <f>_xlfn.XLOOKUP(D24,RUC!$B$3:$B$123,RUC!$D$3:$D$123)</f>
        <v>20169040231</v>
      </c>
      <c r="G24" s="1082">
        <v>78</v>
      </c>
      <c r="H24" s="762" t="s">
        <v>69</v>
      </c>
      <c r="I24" s="703">
        <v>8.11</v>
      </c>
      <c r="J24" s="596">
        <v>2.5</v>
      </c>
      <c r="K24" s="703">
        <f t="shared" si="13"/>
        <v>7.907</v>
      </c>
      <c r="L24" s="762">
        <v>0.66600000000000004</v>
      </c>
      <c r="M24" s="762">
        <v>0.61899999999999999</v>
      </c>
      <c r="N24" s="764">
        <v>0.61899999999999999</v>
      </c>
      <c r="O24" s="645">
        <f t="shared" si="14"/>
        <v>0.61899999999999999</v>
      </c>
      <c r="P24" s="727">
        <v>85</v>
      </c>
      <c r="Q24" s="881">
        <v>85.74</v>
      </c>
      <c r="R24" s="706">
        <v>3629.55</v>
      </c>
      <c r="S24" s="765">
        <f>IF((_xlfn.XLOOKUP(D24,RUC!$B$3:$B$119,RUC!$E$3:$E$119)+ROUNDDOWN(O24,1)*100)&lt;95,95,((_xlfn.XLOOKUP(D24,RUC!$B$3:$B$119,RUC!$E$3:$E$119)+ROUNDDOWN(O24,1)*100)))</f>
        <v>145</v>
      </c>
      <c r="U24" s="1146">
        <f>_xlfn.XLOOKUP(D24,RUC!$B$3:$B$123,RUC!$F$3:$F$123)</f>
        <v>120</v>
      </c>
      <c r="V24" s="715">
        <v>1.1023000000000001</v>
      </c>
      <c r="Y24">
        <f>_xlfn.XLOOKUP(D24,RUC!$B$3:$B$123,RUC!$G$3:$G$123)</f>
        <v>20</v>
      </c>
      <c r="Z24" s="1454">
        <v>35</v>
      </c>
      <c r="AA24" s="144">
        <f t="shared" si="15"/>
        <v>55</v>
      </c>
      <c r="AB24" s="145">
        <f t="shared" si="32"/>
        <v>1814.9917701347501</v>
      </c>
      <c r="AC24" s="145">
        <f>+(S24-T24)*V24-'data 1'!$F$4</f>
        <v>79.833500000000015</v>
      </c>
      <c r="AD24" s="145">
        <f t="shared" si="16"/>
        <v>19.065894714305873</v>
      </c>
      <c r="AE24" s="145">
        <f t="shared" si="17"/>
        <v>-9.3734999999999999</v>
      </c>
      <c r="AF24" s="145">
        <f t="shared" si="18"/>
        <v>155.89514082017715</v>
      </c>
      <c r="AG24" s="772">
        <f t="shared" si="35"/>
        <v>262.42103553448305</v>
      </c>
      <c r="AH24" s="1253">
        <f t="shared" si="19"/>
        <v>154.803</v>
      </c>
      <c r="AI24" s="1253">
        <f t="shared" si="20"/>
        <v>180.54900000000001</v>
      </c>
      <c r="AJ24" s="156">
        <f t="shared" si="21"/>
        <v>308.71110667919385</v>
      </c>
      <c r="AK24" s="156">
        <f t="shared" si="22"/>
        <v>142.63640448626677</v>
      </c>
      <c r="AL24" s="88"/>
      <c r="AM24" s="716">
        <f t="shared" si="23"/>
        <v>14351.139926455469</v>
      </c>
      <c r="AN24" s="716" t="str">
        <f>_xlfn.XLOOKUP(D24,RUC!$B$3:$B$578,RUC!$M$3:$M$578)</f>
        <v>Ronald Miranda</v>
      </c>
      <c r="AO24" s="1167" t="s">
        <v>2279</v>
      </c>
      <c r="AP24" t="s">
        <v>2838</v>
      </c>
      <c r="AQ24" t="s">
        <v>2839</v>
      </c>
      <c r="AV24" s="1225" t="s">
        <v>2277</v>
      </c>
      <c r="AW24" s="1227">
        <f t="shared" ref="AW24:AW33" si="36">SUMIF($AO$4:$AO$1746,AV24,$K$4:$K$1746)</f>
        <v>102.48099999999999</v>
      </c>
      <c r="AX24" s="1227">
        <v>0.52200000000000002</v>
      </c>
      <c r="AY24" s="1229">
        <f t="shared" ref="AY24:AY33" si="37">AW24*AX24*31.1035*1.1023</f>
        <v>1834.0996451365702</v>
      </c>
      <c r="AZ24" s="1236">
        <v>83.63</v>
      </c>
      <c r="BA24" s="1255">
        <f t="shared" ref="BA24:BA33" si="38">AY24*AZ24/100</f>
        <v>1533.8575332277135</v>
      </c>
      <c r="BB24" s="1495" t="s">
        <v>3202</v>
      </c>
      <c r="BC24" s="1496">
        <f>+BB7</f>
        <v>4707.2520000000004</v>
      </c>
    </row>
    <row r="25" spans="1:56" ht="15" customHeight="1">
      <c r="A25" s="747" t="s">
        <v>2842</v>
      </c>
      <c r="B25" s="595">
        <v>45927</v>
      </c>
      <c r="C25" s="1447">
        <v>45913</v>
      </c>
      <c r="D25" t="s">
        <v>2004</v>
      </c>
      <c r="E25" s="762">
        <f>_xlfn.XLOOKUP(D25,RUC!$B$3:$B$123,RUC!$D$3:$D$123)</f>
        <v>20612921866</v>
      </c>
      <c r="G25" s="1082">
        <v>8</v>
      </c>
      <c r="H25" s="762" t="s">
        <v>69</v>
      </c>
      <c r="I25" s="703">
        <v>1.02</v>
      </c>
      <c r="J25" s="596">
        <v>1.8</v>
      </c>
      <c r="K25" s="703">
        <f t="shared" si="13"/>
        <v>1.002</v>
      </c>
      <c r="L25" s="762">
        <v>0.28699999999999998</v>
      </c>
      <c r="M25" s="762">
        <v>0.27200000000000002</v>
      </c>
      <c r="N25" s="764">
        <v>0.27200000000000002</v>
      </c>
      <c r="O25" s="645">
        <f t="shared" si="14"/>
        <v>0.27200000000000002</v>
      </c>
      <c r="P25" s="727">
        <v>90</v>
      </c>
      <c r="Q25" s="881">
        <v>90.24</v>
      </c>
      <c r="R25" s="706">
        <v>3651.1</v>
      </c>
      <c r="S25" s="765">
        <f>IF((_xlfn.XLOOKUP(D25,RUC!$B$3:$B$119,RUC!$E$3:$E$119)+ROUNDDOWN(O25,1)*100)&lt;95,95,((_xlfn.XLOOKUP(D25,RUC!$B$3:$B$119,RUC!$E$3:$E$119)+ROUNDDOWN(O25,1)*100)))</f>
        <v>100</v>
      </c>
      <c r="U25" s="1146">
        <f>_xlfn.XLOOKUP(D25,RUC!$B$3:$B$123,RUC!$F$3:$F$123)</f>
        <v>100</v>
      </c>
      <c r="V25" s="715">
        <v>1.1023000000000001</v>
      </c>
      <c r="Y25">
        <f>_xlfn.XLOOKUP(D25,RUC!$B$3:$B$123,RUC!$G$3:$G$123)</f>
        <v>0</v>
      </c>
      <c r="Z25" s="143">
        <f>_xlfn.XLOOKUP(D25,RUC!$B$3:$B$123,RUC!$H$3:$H$123)</f>
        <v>30</v>
      </c>
      <c r="AA25" s="144">
        <f t="shared" si="15"/>
        <v>30</v>
      </c>
      <c r="AB25" s="145">
        <f t="shared" si="32"/>
        <v>814.94061934399997</v>
      </c>
      <c r="AC25" s="145">
        <f>+(S25-T25)*V25-'data 1'!$F$4</f>
        <v>30.230000000000004</v>
      </c>
      <c r="AD25" s="145">
        <f t="shared" si="16"/>
        <v>2.6962232426639421</v>
      </c>
      <c r="AE25" s="145">
        <f t="shared" si="17"/>
        <v>-36.930999999999997</v>
      </c>
      <c r="AF25" s="145">
        <f t="shared" si="18"/>
        <v>52.985014246079857</v>
      </c>
      <c r="AG25" s="772">
        <f>AC25+AD25+AE25+AF25+70-10</f>
        <v>108.9802374887438</v>
      </c>
      <c r="AH25" s="1253">
        <f t="shared" si="19"/>
        <v>8.8970000000000002</v>
      </c>
      <c r="AI25" s="1253">
        <f t="shared" si="20"/>
        <v>9.86</v>
      </c>
      <c r="AJ25" s="156">
        <f t="shared" si="21"/>
        <v>128.15347771833601</v>
      </c>
      <c r="AK25" s="156">
        <f t="shared" si="22"/>
        <v>8.409849120629282</v>
      </c>
      <c r="AL25" s="88"/>
      <c r="AM25" s="716">
        <f t="shared" si="23"/>
        <v>816.57050058268794</v>
      </c>
      <c r="AN25" s="716" t="str">
        <f>_xlfn.XLOOKUP(D25,RUC!$B$3:$B$578,RUC!$M$3:$M$578)</f>
        <v>Ronald Garibay</v>
      </c>
      <c r="AO25" s="1167" t="s">
        <v>2277</v>
      </c>
      <c r="AP25" t="s">
        <v>2840</v>
      </c>
      <c r="AQ25" t="s">
        <v>2841</v>
      </c>
      <c r="AV25" s="1232" t="s">
        <v>2278</v>
      </c>
      <c r="AW25" s="1234">
        <f t="shared" si="36"/>
        <v>103.523</v>
      </c>
      <c r="AX25" s="1234">
        <v>8.2000000000000003E-2</v>
      </c>
      <c r="AY25" s="1236">
        <f t="shared" si="37"/>
        <v>291.04475062221235</v>
      </c>
      <c r="AZ25" s="1236">
        <v>95.11</v>
      </c>
      <c r="BA25" s="1256">
        <f t="shared" si="38"/>
        <v>276.81266231678615</v>
      </c>
      <c r="BB25" s="1495" t="s">
        <v>3203</v>
      </c>
      <c r="BC25" s="1496">
        <f>+'27'!BC25+'27'!BC26</f>
        <v>540.899</v>
      </c>
    </row>
    <row r="26" spans="1:56" ht="15" customHeight="1">
      <c r="A26" s="747" t="s">
        <v>2843</v>
      </c>
      <c r="B26" s="595">
        <v>45927</v>
      </c>
      <c r="C26" s="1447">
        <v>45913</v>
      </c>
      <c r="D26" t="s">
        <v>2004</v>
      </c>
      <c r="E26" s="762">
        <f>_xlfn.XLOOKUP(D26,RUC!$B$3:$B$123,RUC!$D$3:$D$123)</f>
        <v>20612921866</v>
      </c>
      <c r="G26" s="1082">
        <v>55</v>
      </c>
      <c r="H26" s="762" t="s">
        <v>69</v>
      </c>
      <c r="I26" s="703">
        <v>5.5</v>
      </c>
      <c r="J26" s="596">
        <v>5.3</v>
      </c>
      <c r="K26" s="703">
        <f t="shared" si="13"/>
        <v>5.2089999999999996</v>
      </c>
      <c r="L26" s="762">
        <v>0.17799999999999999</v>
      </c>
      <c r="M26" s="762">
        <v>0.16300000000000001</v>
      </c>
      <c r="N26" s="1167">
        <v>0.20899999999999999</v>
      </c>
      <c r="O26" s="645">
        <f t="shared" si="14"/>
        <v>0.186</v>
      </c>
      <c r="P26" s="727">
        <v>88</v>
      </c>
      <c r="Q26" s="881">
        <v>89.33</v>
      </c>
      <c r="R26" s="706">
        <v>3651.1</v>
      </c>
      <c r="S26" s="765">
        <f>IF((_xlfn.XLOOKUP(D26,RUC!$B$3:$B$119,RUC!$E$3:$E$119)+ROUNDDOWN(O26,1)*100)&lt;95,95,((_xlfn.XLOOKUP(D26,RUC!$B$3:$B$119,RUC!$E$3:$E$119)+ROUNDDOWN(O26,1)*100)))</f>
        <v>95</v>
      </c>
      <c r="U26" s="1146">
        <f>_xlfn.XLOOKUP(D26,RUC!$B$3:$B$123,RUC!$F$3:$F$123)</f>
        <v>100</v>
      </c>
      <c r="V26" s="715">
        <v>1.1023000000000001</v>
      </c>
      <c r="Y26">
        <f>_xlfn.XLOOKUP(D26,RUC!$B$3:$B$123,RUC!$G$3:$G$123)</f>
        <v>0</v>
      </c>
      <c r="Z26" s="143">
        <f>_xlfn.XLOOKUP(D26,RUC!$B$3:$B$123,RUC!$H$3:$H$123)</f>
        <v>30</v>
      </c>
      <c r="AA26" s="144">
        <f t="shared" si="15"/>
        <v>30</v>
      </c>
      <c r="AB26" s="145">
        <f t="shared" si="32"/>
        <v>502.91781411040006</v>
      </c>
      <c r="AC26" s="145">
        <f>+(S26-T26)*V26-'data 1'!$F$4</f>
        <v>24.718500000000006</v>
      </c>
      <c r="AD26" s="145">
        <f t="shared" si="16"/>
        <v>9.2668973645219861</v>
      </c>
      <c r="AE26" s="145">
        <f t="shared" si="17"/>
        <v>-36.930999999999997</v>
      </c>
      <c r="AF26" s="145">
        <f t="shared" si="18"/>
        <v>-27.973707580392031</v>
      </c>
      <c r="AG26" s="772">
        <f>AC26+AD26+AE26+AF26+70-10</f>
        <v>29.080689784129966</v>
      </c>
      <c r="AH26" s="1253">
        <f t="shared" si="19"/>
        <v>28.398</v>
      </c>
      <c r="AI26" s="1253">
        <f t="shared" si="20"/>
        <v>31.789000000000001</v>
      </c>
      <c r="AJ26" s="156">
        <f t="shared" si="21"/>
        <v>78.680434416278018</v>
      </c>
      <c r="AK26" s="156">
        <f t="shared" si="22"/>
        <v>29.232034534169017</v>
      </c>
      <c r="AL26" s="88"/>
      <c r="AM26" s="716">
        <f t="shared" si="23"/>
        <v>2619.6988937010738</v>
      </c>
      <c r="AN26" s="716" t="str">
        <f>_xlfn.XLOOKUP(D26,RUC!$B$3:$B$578,RUC!$M$3:$M$578)</f>
        <v>Ronald Garibay</v>
      </c>
      <c r="AO26" s="1167" t="s">
        <v>2277</v>
      </c>
      <c r="AP26" t="s">
        <v>2840</v>
      </c>
      <c r="AQ26" t="s">
        <v>2841</v>
      </c>
      <c r="AV26" s="1232" t="s">
        <v>2280</v>
      </c>
      <c r="AW26" s="1234">
        <f t="shared" si="36"/>
        <v>107.25300000000001</v>
      </c>
      <c r="AX26" s="1234">
        <v>0.13500000000000001</v>
      </c>
      <c r="AY26" s="1236">
        <f t="shared" si="37"/>
        <v>496.42344781109784</v>
      </c>
      <c r="AZ26" s="1236">
        <v>74.41</v>
      </c>
      <c r="BA26" s="1256">
        <f t="shared" si="38"/>
        <v>369.38868751623789</v>
      </c>
      <c r="BB26" s="1495" t="s">
        <v>3207</v>
      </c>
      <c r="BC26" s="1496">
        <v>4678.1499999999996</v>
      </c>
    </row>
    <row r="27" spans="1:56" ht="15" customHeight="1">
      <c r="A27" s="747" t="s">
        <v>2848</v>
      </c>
      <c r="B27" s="595">
        <v>45923</v>
      </c>
      <c r="C27" s="1447">
        <v>45918</v>
      </c>
      <c r="D27" t="s">
        <v>119</v>
      </c>
      <c r="E27" s="762">
        <f>_xlfn.XLOOKUP(D27,RUC!$B$3:$B$123,RUC!$D$3:$D$123)</f>
        <v>10082235774</v>
      </c>
      <c r="G27" s="1082">
        <v>60</v>
      </c>
      <c r="H27" s="762" t="s">
        <v>69</v>
      </c>
      <c r="I27" s="703">
        <v>5.97</v>
      </c>
      <c r="J27" s="596">
        <v>1.4</v>
      </c>
      <c r="K27" s="703">
        <f t="shared" si="13"/>
        <v>5.8860000000000001</v>
      </c>
      <c r="L27" s="762">
        <v>0.14699999999999999</v>
      </c>
      <c r="M27" s="994">
        <v>0.13999999999999999</v>
      </c>
      <c r="N27" s="1196">
        <v>0.13999999999999999</v>
      </c>
      <c r="O27" s="645">
        <f t="shared" si="14"/>
        <v>0.14000000000000001</v>
      </c>
      <c r="P27" s="727">
        <v>85</v>
      </c>
      <c r="Q27" s="881">
        <v>99.32</v>
      </c>
      <c r="R27" s="706">
        <v>3643.7</v>
      </c>
      <c r="S27" s="1164">
        <v>95</v>
      </c>
      <c r="U27" s="1146">
        <f>_xlfn.XLOOKUP(D27,RUC!$B$3:$B$123,RUC!$F$3:$F$123)</f>
        <v>80</v>
      </c>
      <c r="V27" s="715">
        <v>1.1023000000000001</v>
      </c>
      <c r="Y27">
        <f>_xlfn.XLOOKUP(D27,RUC!$B$3:$B$123,RUC!$G$3:$G$123)</f>
        <v>0</v>
      </c>
      <c r="Z27" s="143">
        <f>_xlfn.XLOOKUP(D27,RUC!$B$3:$B$123,RUC!$H$3:$H$123)</f>
        <v>10</v>
      </c>
      <c r="AA27" s="144">
        <f t="shared" si="15"/>
        <v>10</v>
      </c>
      <c r="AB27" s="145">
        <f t="shared" si="32"/>
        <v>351.72221468999999</v>
      </c>
      <c r="AC27" s="145">
        <f>+(S27-T27)*V27-'data 1'!$F$4</f>
        <v>24.718500000000006</v>
      </c>
      <c r="AD27" s="145">
        <f t="shared" si="16"/>
        <v>82.691581342103945</v>
      </c>
      <c r="AE27" s="145">
        <f t="shared" si="17"/>
        <v>-58.977000000000004</v>
      </c>
      <c r="AF27" s="145">
        <f t="shared" si="18"/>
        <v>27.310880084123916</v>
      </c>
      <c r="AG27" s="772">
        <f t="shared" ref="AG27:AG29" si="39">AC27+AD27+AE27+AF27+70</f>
        <v>145.74396142622786</v>
      </c>
      <c r="AH27" s="1253">
        <f t="shared" si="19"/>
        <v>29.463000000000001</v>
      </c>
      <c r="AI27" s="1253">
        <f t="shared" si="20"/>
        <v>29.664999999999999</v>
      </c>
      <c r="AJ27" s="156">
        <f t="shared" si="21"/>
        <v>70.216481913396024</v>
      </c>
      <c r="AK27" s="156">
        <f t="shared" si="22"/>
        <v>24.014651493413709</v>
      </c>
      <c r="AM27" s="716">
        <f t="shared" si="23"/>
        <v>2070.2369556653398</v>
      </c>
      <c r="AN27" s="716" t="str">
        <f>_xlfn.XLOOKUP(D27,RUC!$B$3:$B$578,RUC!$M$3:$M$578)</f>
        <v>Melchor Vera</v>
      </c>
      <c r="AO27" s="1167" t="s">
        <v>2278</v>
      </c>
      <c r="AP27" t="s">
        <v>2865</v>
      </c>
      <c r="AQ27" t="s">
        <v>2866</v>
      </c>
      <c r="AV27" s="1232" t="s">
        <v>2279</v>
      </c>
      <c r="AW27" s="1234">
        <f t="shared" si="36"/>
        <v>109.76100000000001</v>
      </c>
      <c r="AX27" s="1234">
        <v>0.218</v>
      </c>
      <c r="AY27" s="1236">
        <f t="shared" si="37"/>
        <v>820.37726815081896</v>
      </c>
      <c r="AZ27" s="1236">
        <v>82.4</v>
      </c>
      <c r="BA27" s="1256">
        <f t="shared" si="38"/>
        <v>675.99086895627488</v>
      </c>
      <c r="BB27" s="1495" t="s">
        <v>3204</v>
      </c>
      <c r="BC27" s="1496">
        <v>596.19000000000005</v>
      </c>
    </row>
    <row r="28" spans="1:56" ht="15" customHeight="1">
      <c r="A28" s="747" t="s">
        <v>2849</v>
      </c>
      <c r="B28" s="595">
        <v>45923</v>
      </c>
      <c r="C28" s="1447">
        <v>45918</v>
      </c>
      <c r="D28" t="s">
        <v>119</v>
      </c>
      <c r="E28" s="762">
        <f>_xlfn.XLOOKUP(D28,RUC!$B$3:$B$123,RUC!$D$3:$D$123)</f>
        <v>10082235774</v>
      </c>
      <c r="G28" s="1082">
        <v>57</v>
      </c>
      <c r="H28" s="762" t="s">
        <v>69</v>
      </c>
      <c r="I28" s="703">
        <v>5.62</v>
      </c>
      <c r="J28" s="596">
        <v>1.2</v>
      </c>
      <c r="K28" s="703">
        <f t="shared" si="13"/>
        <v>5.5529999999999999</v>
      </c>
      <c r="L28" s="762">
        <v>0.16400000000000001</v>
      </c>
      <c r="M28" s="762">
        <v>0.157</v>
      </c>
      <c r="N28" s="764">
        <v>0.157</v>
      </c>
      <c r="O28" s="645">
        <f t="shared" si="14"/>
        <v>0.157</v>
      </c>
      <c r="P28" s="727">
        <v>85</v>
      </c>
      <c r="Q28" s="881">
        <v>96.34</v>
      </c>
      <c r="R28" s="706">
        <v>3643.7</v>
      </c>
      <c r="S28" s="1164">
        <v>95</v>
      </c>
      <c r="U28" s="1146">
        <f>_xlfn.XLOOKUP(D28,RUC!$B$3:$B$123,RUC!$F$3:$F$123)</f>
        <v>80</v>
      </c>
      <c r="V28" s="715">
        <v>1.1023000000000001</v>
      </c>
      <c r="Y28">
        <f>_xlfn.XLOOKUP(D28,RUC!$B$3:$B$123,RUC!$G$3:$G$123)</f>
        <v>0</v>
      </c>
      <c r="Z28" s="143">
        <f>_xlfn.XLOOKUP(D28,RUC!$B$3:$B$123,RUC!$H$3:$H$123)</f>
        <v>10</v>
      </c>
      <c r="AA28" s="144">
        <f t="shared" si="15"/>
        <v>10</v>
      </c>
      <c r="AB28" s="145">
        <f t="shared" si="32"/>
        <v>408.48566575950008</v>
      </c>
      <c r="AC28" s="145">
        <f>+(S28-T28)*V28-'data 1'!$F$4</f>
        <v>24.718500000000006</v>
      </c>
      <c r="AD28" s="145">
        <f t="shared" si="16"/>
        <v>73.056329246376023</v>
      </c>
      <c r="AE28" s="145">
        <f t="shared" si="17"/>
        <v>-58.977000000000004</v>
      </c>
      <c r="AF28" s="145">
        <f t="shared" si="18"/>
        <v>26.491443690138027</v>
      </c>
      <c r="AG28" s="772">
        <f t="shared" si="39"/>
        <v>135.28927293651407</v>
      </c>
      <c r="AH28" s="1253">
        <f t="shared" si="19"/>
        <v>30.081</v>
      </c>
      <c r="AI28" s="1253">
        <f t="shared" si="20"/>
        <v>31.222999999999999</v>
      </c>
      <c r="AJ28" s="156">
        <f t="shared" si="21"/>
        <v>75.986337179624044</v>
      </c>
      <c r="AK28" s="156">
        <f t="shared" si="22"/>
        <v>25.407113100868195</v>
      </c>
      <c r="AM28" s="716">
        <f t="shared" si="23"/>
        <v>2268.3209019625037</v>
      </c>
      <c r="AN28" s="716" t="str">
        <f>_xlfn.XLOOKUP(D28,RUC!$B$3:$B$578,RUC!$M$3:$M$578)</f>
        <v>Melchor Vera</v>
      </c>
      <c r="AO28" s="1167" t="s">
        <v>2277</v>
      </c>
      <c r="AP28" t="s">
        <v>2865</v>
      </c>
      <c r="AQ28" t="s">
        <v>2866</v>
      </c>
      <c r="AV28" s="1232" t="s">
        <v>2281</v>
      </c>
      <c r="AW28" s="1234">
        <f t="shared" si="36"/>
        <v>100.18899999999999</v>
      </c>
      <c r="AX28" s="1234">
        <v>0.13900000000000001</v>
      </c>
      <c r="AY28" s="1236">
        <f t="shared" si="37"/>
        <v>477.4676053244616</v>
      </c>
      <c r="AZ28" s="1236">
        <v>91.44</v>
      </c>
      <c r="BA28" s="1256">
        <f t="shared" si="38"/>
        <v>436.59637830868769</v>
      </c>
      <c r="BB28" s="1495" t="s">
        <v>3205</v>
      </c>
      <c r="BC28" s="1496">
        <v>70.680000000000007</v>
      </c>
    </row>
    <row r="29" spans="1:56" ht="15" customHeight="1">
      <c r="A29" s="747" t="s">
        <v>2853</v>
      </c>
      <c r="B29" s="595">
        <v>45923</v>
      </c>
      <c r="C29" s="1447">
        <v>45918</v>
      </c>
      <c r="D29" t="s">
        <v>119</v>
      </c>
      <c r="E29" s="762">
        <f>_xlfn.XLOOKUP(D29,RUC!$B$3:$B$123,RUC!$D$3:$D$123)</f>
        <v>10082235774</v>
      </c>
      <c r="G29" s="80">
        <v>56</v>
      </c>
      <c r="H29" s="762" t="s">
        <v>69</v>
      </c>
      <c r="I29" s="703">
        <v>5.56</v>
      </c>
      <c r="J29" s="596">
        <v>1.4</v>
      </c>
      <c r="K29" s="703">
        <f t="shared" si="13"/>
        <v>5.4820000000000002</v>
      </c>
      <c r="L29" s="1192">
        <v>0.11899999999999999</v>
      </c>
      <c r="M29" s="139">
        <v>0.11199999999999999</v>
      </c>
      <c r="N29" s="159">
        <v>0.11199999999999999</v>
      </c>
      <c r="O29" s="645">
        <f t="shared" si="14"/>
        <v>0.112</v>
      </c>
      <c r="P29" s="727">
        <v>85</v>
      </c>
      <c r="Q29" s="881">
        <v>97.48</v>
      </c>
      <c r="R29" s="706">
        <v>3643.7</v>
      </c>
      <c r="S29" s="1164">
        <v>95</v>
      </c>
      <c r="U29" s="1146">
        <f>_xlfn.XLOOKUP(D29,RUC!$B$3:$B$123,RUC!$F$3:$F$123)</f>
        <v>80</v>
      </c>
      <c r="V29" s="715">
        <v>1.1023000000000001</v>
      </c>
      <c r="Y29">
        <f>_xlfn.XLOOKUP(D29,RUC!$B$3:$B$123,RUC!$G$3:$G$123)</f>
        <v>0</v>
      </c>
      <c r="Z29" s="143">
        <f>_xlfn.XLOOKUP(D29,RUC!$B$3:$B$123,RUC!$H$3:$H$123)</f>
        <v>10</v>
      </c>
      <c r="AA29" s="144">
        <f t="shared" si="15"/>
        <v>10</v>
      </c>
      <c r="AB29" s="145">
        <f t="shared" si="32"/>
        <v>258.22947175199999</v>
      </c>
      <c r="AC29" s="145">
        <f>+(S29-T29)*V29-'data 1'!$F$4</f>
        <v>24.718500000000006</v>
      </c>
      <c r="AD29" s="145">
        <f t="shared" si="16"/>
        <v>58.339471593312012</v>
      </c>
      <c r="AE29" s="145">
        <f t="shared" si="17"/>
        <v>-58.977000000000004</v>
      </c>
      <c r="AF29" s="145">
        <f t="shared" si="18"/>
        <v>26.804919357635967</v>
      </c>
      <c r="AG29" s="772">
        <f t="shared" si="39"/>
        <v>120.88589095094798</v>
      </c>
      <c r="AH29" s="1253">
        <f t="shared" si="19"/>
        <v>21.803000000000001</v>
      </c>
      <c r="AI29" s="1253">
        <f t="shared" si="20"/>
        <v>22.366</v>
      </c>
      <c r="AJ29" s="156">
        <f t="shared" si="21"/>
        <v>55.788861960188022</v>
      </c>
      <c r="AK29" s="156">
        <f t="shared" si="22"/>
        <v>17.893077742017521</v>
      </c>
      <c r="AL29" s="88"/>
      <c r="AM29" s="716">
        <f t="shared" si="23"/>
        <v>1415.613964144464</v>
      </c>
      <c r="AN29" s="716" t="str">
        <f>_xlfn.XLOOKUP(D29,RUC!$B$3:$B$578,RUC!$M$3:$M$578)</f>
        <v>Melchor Vera</v>
      </c>
      <c r="AO29" s="1167" t="s">
        <v>2278</v>
      </c>
      <c r="AP29" s="1190" t="s">
        <v>2865</v>
      </c>
      <c r="AQ29" s="1190" t="s">
        <v>2866</v>
      </c>
      <c r="AS29" s="1212"/>
      <c r="AV29" s="1232" t="s">
        <v>2297</v>
      </c>
      <c r="AW29" s="1234">
        <f t="shared" si="36"/>
        <v>0</v>
      </c>
      <c r="AX29" s="631"/>
      <c r="AY29" s="1236">
        <f t="shared" si="37"/>
        <v>0</v>
      </c>
      <c r="AZ29" s="631"/>
      <c r="BA29" s="1256">
        <f t="shared" si="38"/>
        <v>0</v>
      </c>
      <c r="BB29" s="891" t="s">
        <v>3206</v>
      </c>
      <c r="BC29" s="1249">
        <f>-BC24-BC25+BC26+BC27+BC28</f>
        <v>96.868999999998948</v>
      </c>
    </row>
    <row r="30" spans="1:56" ht="15" customHeight="1">
      <c r="A30" s="747" t="s">
        <v>2855</v>
      </c>
      <c r="B30" s="595">
        <v>45927</v>
      </c>
      <c r="C30" s="1447">
        <v>45918</v>
      </c>
      <c r="D30" t="s">
        <v>93</v>
      </c>
      <c r="E30" s="762">
        <f>_xlfn.XLOOKUP(D30,RUC!$B$3:$B$123,RUC!$D$3:$D$123)</f>
        <v>20169040231</v>
      </c>
      <c r="G30" s="1082">
        <v>71</v>
      </c>
      <c r="H30" s="762" t="s">
        <v>69</v>
      </c>
      <c r="I30" s="703">
        <v>7.1</v>
      </c>
      <c r="J30" s="596">
        <v>1.2</v>
      </c>
      <c r="K30" s="703">
        <f t="shared" si="13"/>
        <v>7.0149999999999997</v>
      </c>
      <c r="L30" s="762">
        <v>0.151</v>
      </c>
      <c r="M30" s="762">
        <v>0.13600000000000001</v>
      </c>
      <c r="N30" s="764">
        <v>0.13600000000000001</v>
      </c>
      <c r="O30" s="645">
        <f t="shared" si="14"/>
        <v>0.13600000000000001</v>
      </c>
      <c r="P30" s="727">
        <v>85</v>
      </c>
      <c r="Q30" s="881">
        <v>92.05</v>
      </c>
      <c r="R30" s="706">
        <v>3643.7</v>
      </c>
      <c r="S30" s="765">
        <f>IF((_xlfn.XLOOKUP(D30,RUC!$B$3:$B$119,RUC!$E$3:$E$119)+ROUNDDOWN(O30,1)*100)&lt;95,95,((_xlfn.XLOOKUP(D30,RUC!$B$3:$B$119,RUC!$E$3:$E$119)+ROUNDDOWN(O30,1)*100)))</f>
        <v>95</v>
      </c>
      <c r="U30" s="1146">
        <f>_xlfn.XLOOKUP(D30,RUC!$B$3:$B$123,RUC!$F$3:$F$123)</f>
        <v>120</v>
      </c>
      <c r="V30" s="715">
        <v>1.1023000000000001</v>
      </c>
      <c r="Y30">
        <f>_xlfn.XLOOKUP(D30,RUC!$B$3:$B$123,RUC!$G$3:$G$123)</f>
        <v>20</v>
      </c>
      <c r="Z30" s="143">
        <f>_xlfn.XLOOKUP(D30,RUC!$B$3:$B$123,RUC!$H$3:$H$123)</f>
        <v>30</v>
      </c>
      <c r="AA30" s="144">
        <f t="shared" si="15"/>
        <v>50</v>
      </c>
      <c r="AB30" s="145">
        <f t="shared" si="32"/>
        <v>289.17707335599999</v>
      </c>
      <c r="AC30" s="145">
        <f>+(S30-T30)*V30-'data 1'!$F$4</f>
        <v>24.718500000000006</v>
      </c>
      <c r="AD30" s="145">
        <f t="shared" si="16"/>
        <v>41.348979746204975</v>
      </c>
      <c r="AE30" s="145">
        <f t="shared" si="17"/>
        <v>-14.884999999999998</v>
      </c>
      <c r="AF30" s="145">
        <f t="shared" si="18"/>
        <v>53.630739546824941</v>
      </c>
      <c r="AG30" s="772">
        <f t="shared" si="35"/>
        <v>121.81321929302993</v>
      </c>
      <c r="AH30" s="1253">
        <f t="shared" si="19"/>
        <v>33.43</v>
      </c>
      <c r="AI30" s="1253">
        <f t="shared" si="20"/>
        <v>36.317</v>
      </c>
      <c r="AJ30" s="156">
        <f t="shared" si="21"/>
        <v>72.97618049529504</v>
      </c>
      <c r="AK30" s="156">
        <f t="shared" si="22"/>
        <v>27.803186872938703</v>
      </c>
      <c r="AM30" s="716">
        <f t="shared" si="23"/>
        <v>2028.5771695923399</v>
      </c>
      <c r="AN30" s="716" t="str">
        <f>_xlfn.XLOOKUP(D30,RUC!$B$3:$B$578,RUC!$M$3:$M$578)</f>
        <v>Ronald Miranda</v>
      </c>
      <c r="AO30" s="1167" t="s">
        <v>2280</v>
      </c>
      <c r="AP30" t="s">
        <v>2867</v>
      </c>
      <c r="AQ30" t="s">
        <v>2868</v>
      </c>
      <c r="AV30" s="1232" t="s">
        <v>2518</v>
      </c>
      <c r="AW30" s="1234">
        <f t="shared" si="36"/>
        <v>0</v>
      </c>
      <c r="AX30" s="631"/>
      <c r="AY30" s="1236">
        <f t="shared" si="37"/>
        <v>0</v>
      </c>
      <c r="AZ30" s="631"/>
      <c r="BA30" s="1256">
        <f t="shared" si="38"/>
        <v>0</v>
      </c>
    </row>
    <row r="31" spans="1:56" ht="15" customHeight="1">
      <c r="A31" s="747" t="s">
        <v>2856</v>
      </c>
      <c r="B31" s="595">
        <v>45927</v>
      </c>
      <c r="C31" s="1447">
        <v>45918</v>
      </c>
      <c r="D31" t="s">
        <v>93</v>
      </c>
      <c r="E31" s="762">
        <f>_xlfn.XLOOKUP(D31,RUC!$B$3:$B$123,RUC!$D$3:$D$123)</f>
        <v>20169040231</v>
      </c>
      <c r="G31" s="1082">
        <v>70</v>
      </c>
      <c r="H31" s="762" t="s">
        <v>69</v>
      </c>
      <c r="I31" s="703">
        <v>7.29</v>
      </c>
      <c r="J31" s="596">
        <v>1.1000000000000001</v>
      </c>
      <c r="K31" s="703">
        <f t="shared" si="13"/>
        <v>7.21</v>
      </c>
      <c r="L31" s="994">
        <v>0.19</v>
      </c>
      <c r="M31" s="762">
        <v>0.17499999999999999</v>
      </c>
      <c r="N31" s="764">
        <v>0.17499999999999999</v>
      </c>
      <c r="O31" s="645">
        <f t="shared" si="14"/>
        <v>0.17499999999999999</v>
      </c>
      <c r="P31" s="727">
        <v>90</v>
      </c>
      <c r="Q31" s="881">
        <v>97.89</v>
      </c>
      <c r="R31" s="706">
        <v>3643.7</v>
      </c>
      <c r="S31" s="765">
        <f>IF((_xlfn.XLOOKUP(D31,RUC!$B$3:$B$119,RUC!$E$3:$E$119)+ROUNDDOWN(O31,1)*100)&lt;95,95,((_xlfn.XLOOKUP(D31,RUC!$B$3:$B$119,RUC!$E$3:$E$119)+ROUNDDOWN(O31,1)*100)))</f>
        <v>95</v>
      </c>
      <c r="U31" s="1146">
        <f>_xlfn.XLOOKUP(D31,RUC!$B$3:$B$123,RUC!$F$3:$F$123)</f>
        <v>120</v>
      </c>
      <c r="V31" s="715">
        <v>1.1023000000000001</v>
      </c>
      <c r="Y31">
        <f>_xlfn.XLOOKUP(D31,RUC!$B$3:$B$123,RUC!$G$3:$G$123)</f>
        <v>20</v>
      </c>
      <c r="Z31" s="143">
        <f>_xlfn.XLOOKUP(D31,RUC!$B$3:$B$123,RUC!$H$3:$H$123)</f>
        <v>30</v>
      </c>
      <c r="AA31" s="144">
        <f t="shared" si="15"/>
        <v>50</v>
      </c>
      <c r="AB31" s="145">
        <f t="shared" si="32"/>
        <v>451.92398532499993</v>
      </c>
      <c r="AC31" s="145">
        <f>+(S31-T31)*V31-'data 1'!$F$4</f>
        <v>24.718500000000006</v>
      </c>
      <c r="AD31" s="145">
        <f>+(Q31-P31)*(R31-U31)*L31*V31/100</f>
        <v>58.227660079410008</v>
      </c>
      <c r="AE31" s="145">
        <f t="shared" si="17"/>
        <v>-14.884999999999998</v>
      </c>
      <c r="AF31" s="145">
        <f t="shared" si="18"/>
        <v>57.03327641758505</v>
      </c>
      <c r="AG31" s="772">
        <f t="shared" si="35"/>
        <v>142.09443649699509</v>
      </c>
      <c r="AH31" s="1253">
        <f t="shared" si="19"/>
        <v>45.976999999999997</v>
      </c>
      <c r="AI31" s="1253">
        <f t="shared" si="20"/>
        <v>46.968000000000004</v>
      </c>
      <c r="AJ31" s="156">
        <f t="shared" si="21"/>
        <v>97.650015910590071</v>
      </c>
      <c r="AK31" s="156">
        <f t="shared" si="22"/>
        <v>38.933629534878747</v>
      </c>
      <c r="AM31" s="716">
        <f t="shared" si="23"/>
        <v>3258.3719341932497</v>
      </c>
      <c r="AN31" s="716" t="str">
        <f>_xlfn.XLOOKUP(D31,RUC!$B$3:$B$578,RUC!$M$3:$M$578)</f>
        <v>Ronald Miranda</v>
      </c>
      <c r="AO31" s="1167" t="s">
        <v>2280</v>
      </c>
      <c r="AP31" t="s">
        <v>2867</v>
      </c>
      <c r="AQ31" t="s">
        <v>2868</v>
      </c>
      <c r="AV31" s="1232" t="s">
        <v>2519</v>
      </c>
      <c r="AW31" s="1234">
        <f t="shared" si="36"/>
        <v>0</v>
      </c>
      <c r="AX31" s="631"/>
      <c r="AY31" s="1236">
        <f t="shared" si="37"/>
        <v>0</v>
      </c>
      <c r="AZ31" s="631"/>
      <c r="BA31" s="1256">
        <f t="shared" si="38"/>
        <v>0</v>
      </c>
    </row>
    <row r="32" spans="1:56" ht="15" customHeight="1">
      <c r="A32" s="747" t="s">
        <v>2861</v>
      </c>
      <c r="B32" s="595">
        <v>45929</v>
      </c>
      <c r="C32" s="1447">
        <v>45918</v>
      </c>
      <c r="D32" t="s">
        <v>2444</v>
      </c>
      <c r="E32" s="762">
        <f>_xlfn.XLOOKUP(D32,RUC!$B$3:$B$123,RUC!$D$3:$D$123)</f>
        <v>20608774000</v>
      </c>
      <c r="G32" s="1082">
        <v>30</v>
      </c>
      <c r="H32" s="762" t="s">
        <v>108</v>
      </c>
      <c r="I32" s="703">
        <v>2.58</v>
      </c>
      <c r="J32" s="596">
        <v>18.350000000000001</v>
      </c>
      <c r="K32" s="703">
        <f t="shared" si="13"/>
        <v>2.1070000000000002</v>
      </c>
      <c r="L32" s="762">
        <v>1.7070000000000001</v>
      </c>
      <c r="M32" s="762">
        <v>1.6279999999999999</v>
      </c>
      <c r="N32" s="1196">
        <v>1.6279999999999999</v>
      </c>
      <c r="O32" s="645">
        <f t="shared" si="14"/>
        <v>1.6279999999999999</v>
      </c>
      <c r="P32" s="727">
        <v>87</v>
      </c>
      <c r="Q32" s="881">
        <v>87.69</v>
      </c>
      <c r="R32" s="706">
        <v>3643.7</v>
      </c>
      <c r="S32" s="765">
        <f>IF((_xlfn.XLOOKUP(D32,RUC!$B$3:$B$119,RUC!$E$3:$E$119)+ROUNDDOWN(O32,1)*100)&lt;95,95,((_xlfn.XLOOKUP(D32,RUC!$B$3:$B$119,RUC!$E$3:$E$119)+ROUNDDOWN(O32,1)*100)))</f>
        <v>245</v>
      </c>
      <c r="U32" s="1146">
        <f>_xlfn.XLOOKUP(D32,RUC!$B$3:$B$123,RUC!$F$3:$F$123)</f>
        <v>120</v>
      </c>
      <c r="V32" s="715">
        <v>1.1023000000000001</v>
      </c>
      <c r="Y32">
        <f>_xlfn.XLOOKUP(D32,RUC!$B$3:$B$123,RUC!$G$3:$G$123)</f>
        <v>20</v>
      </c>
      <c r="Z32" s="143">
        <f>_xlfn.XLOOKUP(D32,RUC!$B$3:$B$123,RUC!$H$3:$H$123)</f>
        <v>30</v>
      </c>
      <c r="AA32" s="144">
        <f t="shared" si="15"/>
        <v>50</v>
      </c>
      <c r="AB32" s="145">
        <f t="shared" si="32"/>
        <v>5176.2109089836003</v>
      </c>
      <c r="AC32" s="145">
        <f>+(S32-T32)*V32-'data 1'!$F$4</f>
        <v>190.06350000000003</v>
      </c>
      <c r="AD32" s="145">
        <f t="shared" si="16"/>
        <v>45.748972631132858</v>
      </c>
      <c r="AE32" s="145">
        <f t="shared" si="17"/>
        <v>-14.884999999999998</v>
      </c>
      <c r="AF32" s="145">
        <f t="shared" si="18"/>
        <v>269.0765775977016</v>
      </c>
      <c r="AG32" s="772">
        <f t="shared" si="35"/>
        <v>507.00405022883456</v>
      </c>
      <c r="AH32" s="1253">
        <f t="shared" si="19"/>
        <v>108.133</v>
      </c>
      <c r="AI32" s="1253">
        <f t="shared" si="20"/>
        <v>123.313</v>
      </c>
      <c r="AJ32" s="156">
        <f t="shared" si="21"/>
        <v>785.89401267296716</v>
      </c>
      <c r="AK32" s="156">
        <f t="shared" si="22"/>
        <v>102.31687282437528</v>
      </c>
      <c r="AM32" s="716">
        <f t="shared" si="23"/>
        <v>10906.276385228448</v>
      </c>
      <c r="AN32" s="716" t="str">
        <f>_xlfn.XLOOKUP(D32,RUC!$B$3:$B$578,RUC!$M$3:$M$578)</f>
        <v>Ronald Miranda</v>
      </c>
      <c r="AO32" s="1167" t="s">
        <v>2280</v>
      </c>
      <c r="AP32" t="s">
        <v>2869</v>
      </c>
      <c r="AQ32" t="s">
        <v>2870</v>
      </c>
      <c r="AV32" s="1232" t="s">
        <v>2520</v>
      </c>
      <c r="AW32" s="1234">
        <f t="shared" si="36"/>
        <v>0</v>
      </c>
      <c r="AX32" s="631"/>
      <c r="AY32" s="1236">
        <f t="shared" si="37"/>
        <v>0</v>
      </c>
      <c r="AZ32" s="631"/>
      <c r="BA32" s="1256">
        <f t="shared" si="38"/>
        <v>0</v>
      </c>
    </row>
    <row r="33" spans="1:53" ht="15" customHeight="1" thickBot="1">
      <c r="A33" s="747" t="s">
        <v>2871</v>
      </c>
      <c r="B33" s="595">
        <v>45927</v>
      </c>
      <c r="C33" s="1447">
        <v>45919</v>
      </c>
      <c r="D33" t="s">
        <v>2004</v>
      </c>
      <c r="E33" s="762">
        <f>_xlfn.XLOOKUP(D33,RUC!$B$3:$B$123,RUC!$D$3:$D$123)</f>
        <v>20612921866</v>
      </c>
      <c r="G33" s="1082">
        <v>50</v>
      </c>
      <c r="H33" s="762" t="s">
        <v>69</v>
      </c>
      <c r="I33" s="703">
        <v>5.16</v>
      </c>
      <c r="J33" s="596">
        <v>1.1000000000000001</v>
      </c>
      <c r="K33" s="703">
        <f t="shared" si="13"/>
        <v>5.1029999999999998</v>
      </c>
      <c r="L33" s="994">
        <v>0.85</v>
      </c>
      <c r="M33" s="762">
        <v>0.80800000000000005</v>
      </c>
      <c r="N33" s="764">
        <v>0.80800000000000005</v>
      </c>
      <c r="O33" s="645">
        <f t="shared" si="14"/>
        <v>0.80800000000000005</v>
      </c>
      <c r="P33" s="727">
        <v>90</v>
      </c>
      <c r="Q33" s="881">
        <v>93.06</v>
      </c>
      <c r="R33" s="706">
        <v>3663.15</v>
      </c>
      <c r="S33" s="765">
        <f>IF((_xlfn.XLOOKUP(D33,RUC!$B$3:$B$119,RUC!$E$3:$E$119)+ROUNDDOWN(O33,1)*100)&lt;95,95,((_xlfn.XLOOKUP(D33,RUC!$B$3:$B$119,RUC!$E$3:$E$119)+ROUNDDOWN(O33,1)*100)))</f>
        <v>160</v>
      </c>
      <c r="U33" s="1146">
        <f>_xlfn.XLOOKUP(D33,RUC!$B$3:$B$123,RUC!$F$3:$F$123)</f>
        <v>100</v>
      </c>
      <c r="V33" s="715">
        <v>1.1023000000000001</v>
      </c>
      <c r="Y33">
        <f>_xlfn.XLOOKUP(D33,RUC!$B$3:$B$123,RUC!$G$3:$G$123)</f>
        <v>0</v>
      </c>
      <c r="Z33" s="143">
        <f>_xlfn.XLOOKUP(D33,RUC!$B$3:$B$123,RUC!$H$3:$H$123)</f>
        <v>30</v>
      </c>
      <c r="AA33" s="144">
        <f t="shared" si="15"/>
        <v>30</v>
      </c>
      <c r="AB33" s="145">
        <f t="shared" si="32"/>
        <v>2646.7575301639999</v>
      </c>
      <c r="AC33" s="145">
        <f>+(S33-T33)*V33-'data 1'!$F$4</f>
        <v>96.367999999999995</v>
      </c>
      <c r="AD33" s="145">
        <f t="shared" si="16"/>
        <v>102.15844297245009</v>
      </c>
      <c r="AE33" s="145">
        <f t="shared" si="17"/>
        <v>-36.930999999999997</v>
      </c>
      <c r="AF33" s="145">
        <f t="shared" si="18"/>
        <v>153.51338620787376</v>
      </c>
      <c r="AG33" s="772">
        <f t="shared" ref="AG33:AG34" si="40">AC33+AD33+AE33+AF33+70-10</f>
        <v>375.10882918032382</v>
      </c>
      <c r="AH33" s="1253">
        <f t="shared" si="19"/>
        <v>138.39400000000001</v>
      </c>
      <c r="AI33" s="1253">
        <f t="shared" si="20"/>
        <v>148.715</v>
      </c>
      <c r="AJ33" s="156">
        <f t="shared" si="21"/>
        <v>380.90276160255002</v>
      </c>
      <c r="AK33" s="156">
        <f t="shared" si="22"/>
        <v>127.22970137136588</v>
      </c>
      <c r="AM33" s="716">
        <f t="shared" si="23"/>
        <v>13506.403676426891</v>
      </c>
      <c r="AN33" s="716" t="str">
        <f>_xlfn.XLOOKUP(D33,RUC!$B$3:$B$578,RUC!$M$3:$M$578)</f>
        <v>Ronald Garibay</v>
      </c>
      <c r="AO33" s="1167" t="s">
        <v>2277</v>
      </c>
      <c r="AP33" t="s">
        <v>2889</v>
      </c>
      <c r="AQ33" t="s">
        <v>2890</v>
      </c>
      <c r="AV33" s="1239" t="s">
        <v>2521</v>
      </c>
      <c r="AW33" s="1254">
        <f t="shared" si="36"/>
        <v>0</v>
      </c>
      <c r="AX33" s="1257"/>
      <c r="AY33" s="1242">
        <f t="shared" si="37"/>
        <v>0</v>
      </c>
      <c r="AZ33" s="1257"/>
      <c r="BA33" s="1258">
        <f t="shared" si="38"/>
        <v>0</v>
      </c>
    </row>
    <row r="34" spans="1:53" ht="15" customHeight="1">
      <c r="A34" s="747" t="s">
        <v>2872</v>
      </c>
      <c r="B34" s="595">
        <v>45927</v>
      </c>
      <c r="C34" s="1447">
        <v>45919</v>
      </c>
      <c r="D34" t="s">
        <v>2004</v>
      </c>
      <c r="E34" s="762">
        <f>_xlfn.XLOOKUP(D34,RUC!$B$3:$B$123,RUC!$D$3:$D$123)</f>
        <v>20612921866</v>
      </c>
      <c r="G34" s="1082" t="s">
        <v>1434</v>
      </c>
      <c r="H34" s="762" t="s">
        <v>69</v>
      </c>
      <c r="I34" s="703">
        <v>20.56</v>
      </c>
      <c r="J34" s="596">
        <v>1.2</v>
      </c>
      <c r="K34" s="703">
        <f t="shared" si="13"/>
        <v>20.312999999999999</v>
      </c>
      <c r="L34" s="994">
        <v>0.27900000000000003</v>
      </c>
      <c r="M34" s="762">
        <v>0.26400000000000001</v>
      </c>
      <c r="N34" s="1197">
        <v>0.35399999999999998</v>
      </c>
      <c r="O34" s="645">
        <f t="shared" si="14"/>
        <v>0.309</v>
      </c>
      <c r="P34" s="727">
        <v>90</v>
      </c>
      <c r="Q34" s="881">
        <v>93.55</v>
      </c>
      <c r="R34" s="706">
        <v>3663.15</v>
      </c>
      <c r="S34" s="765">
        <f>IF((_xlfn.XLOOKUP(D34,RUC!$B$3:$B$119,RUC!$E$3:$E$119)+ROUNDDOWN(O34,1)*100)&lt;95,95,((_xlfn.XLOOKUP(D34,RUC!$B$3:$B$119,RUC!$E$3:$E$119)+ROUNDDOWN(O34,1)*100)))</f>
        <v>110</v>
      </c>
      <c r="U34" s="1146">
        <f>_xlfn.XLOOKUP(D34,RUC!$B$3:$B$123,RUC!$F$3:$F$123)</f>
        <v>100</v>
      </c>
      <c r="V34" s="715">
        <v>1.1023000000000001</v>
      </c>
      <c r="Y34">
        <f>_xlfn.XLOOKUP(D34,RUC!$B$3:$B$123,RUC!$G$3:$G$123)</f>
        <v>0</v>
      </c>
      <c r="Z34" s="143">
        <f>_xlfn.XLOOKUP(D34,RUC!$B$3:$B$123,RUC!$H$3:$H$123)</f>
        <v>30</v>
      </c>
      <c r="AA34" s="144">
        <f t="shared" si="15"/>
        <v>30</v>
      </c>
      <c r="AB34" s="145">
        <f t="shared" si="32"/>
        <v>937.96031413450009</v>
      </c>
      <c r="AC34" s="145">
        <f>+(S34-T34)*V34-'data 1'!$F$4</f>
        <v>41.253</v>
      </c>
      <c r="AD34" s="145">
        <f t="shared" si="16"/>
        <v>38.901510896602474</v>
      </c>
      <c r="AE34" s="145">
        <f t="shared" si="17"/>
        <v>-36.930999999999997</v>
      </c>
      <c r="AF34" s="145">
        <f t="shared" si="18"/>
        <v>-110.22978477592488</v>
      </c>
      <c r="AG34" s="772">
        <f t="shared" si="40"/>
        <v>-7.0062738793224071</v>
      </c>
      <c r="AH34" s="1253">
        <f t="shared" si="19"/>
        <v>181.774</v>
      </c>
      <c r="AI34" s="1253">
        <f t="shared" si="20"/>
        <v>194.30699999999999</v>
      </c>
      <c r="AJ34" s="156">
        <f t="shared" si="21"/>
        <v>125.68404298389748</v>
      </c>
      <c r="AK34" s="156">
        <f t="shared" si="22"/>
        <v>193.67971022252863</v>
      </c>
      <c r="AM34" s="716">
        <f t="shared" si="23"/>
        <v>19052.787861014098</v>
      </c>
      <c r="AN34" s="716" t="str">
        <f>_xlfn.XLOOKUP(D34,RUC!$B$3:$B$578,RUC!$M$3:$M$578)</f>
        <v>Ronald Garibay</v>
      </c>
      <c r="AO34" s="1167" t="s">
        <v>2277</v>
      </c>
      <c r="AP34" t="s">
        <v>2891</v>
      </c>
      <c r="AQ34" t="s">
        <v>2892</v>
      </c>
    </row>
    <row r="35" spans="1:53" ht="15" customHeight="1">
      <c r="A35" s="747" t="s">
        <v>2873</v>
      </c>
      <c r="B35" s="595">
        <v>45930</v>
      </c>
      <c r="C35" s="1447">
        <v>45919</v>
      </c>
      <c r="D35" t="s">
        <v>1484</v>
      </c>
      <c r="E35" s="762">
        <f>_xlfn.XLOOKUP(D35,RUC!$B$3:$B$123,RUC!$D$3:$D$123)</f>
        <v>10761932735</v>
      </c>
      <c r="G35" s="1082">
        <v>30</v>
      </c>
      <c r="H35" s="762" t="s">
        <v>69</v>
      </c>
      <c r="I35" s="703">
        <v>2.58</v>
      </c>
      <c r="J35" s="596">
        <v>3.95</v>
      </c>
      <c r="K35" s="703">
        <f t="shared" si="13"/>
        <v>2.4780000000000002</v>
      </c>
      <c r="L35" s="762">
        <v>0.19500000000000001</v>
      </c>
      <c r="M35" s="994">
        <v>0.18</v>
      </c>
      <c r="N35" s="1196">
        <v>0.18</v>
      </c>
      <c r="O35" s="645">
        <f t="shared" si="14"/>
        <v>0.18</v>
      </c>
      <c r="P35" s="727">
        <v>90</v>
      </c>
      <c r="Q35" s="881">
        <v>96.41</v>
      </c>
      <c r="R35" s="706">
        <v>3663.15</v>
      </c>
      <c r="S35" s="765">
        <f>IF((_xlfn.XLOOKUP(D35,RUC!$B$3:$B$119,RUC!$E$3:$E$119)+ROUNDDOWN(O35,1)*100)&lt;95,95,((_xlfn.XLOOKUP(D35,RUC!$B$3:$B$119,RUC!$E$3:$E$119)+ROUNDDOWN(O35,1)*100)))</f>
        <v>100</v>
      </c>
      <c r="U35" s="1146">
        <f>_xlfn.XLOOKUP(D35,RUC!$B$3:$B$123,RUC!$F$3:$F$123)</f>
        <v>120</v>
      </c>
      <c r="V35" s="715">
        <v>1.1023000000000001</v>
      </c>
      <c r="Y35">
        <f>_xlfn.XLOOKUP(D35,RUC!$B$3:$B$123,RUC!$G$3:$G$123)</f>
        <v>20</v>
      </c>
      <c r="Z35" s="143">
        <f>_xlfn.XLOOKUP(D35,RUC!$B$3:$B$123,RUC!$H$3:$H$123)</f>
        <v>30</v>
      </c>
      <c r="AA35" s="144">
        <f t="shared" si="15"/>
        <v>50</v>
      </c>
      <c r="AB35" s="145">
        <f t="shared" si="32"/>
        <v>467.36450768999993</v>
      </c>
      <c r="AC35" s="145">
        <f>+(S35-T35)*V35-'data 1'!$F$4</f>
        <v>30.230000000000004</v>
      </c>
      <c r="AD35" s="145">
        <f t="shared" si="16"/>
        <v>48.818225255377484</v>
      </c>
      <c r="AE35" s="145">
        <f t="shared" si="17"/>
        <v>-14.884999999999998</v>
      </c>
      <c r="AF35" s="145">
        <f t="shared" si="18"/>
        <v>56.481040404067556</v>
      </c>
      <c r="AG35" s="772">
        <f t="shared" si="35"/>
        <v>137.64426565944504</v>
      </c>
      <c r="AH35" s="1253">
        <f t="shared" si="19"/>
        <v>15.972</v>
      </c>
      <c r="AI35" s="1253">
        <f t="shared" si="20"/>
        <v>16.567</v>
      </c>
      <c r="AJ35" s="156">
        <f t="shared" si="21"/>
        <v>94.673870147122486</v>
      </c>
      <c r="AK35" s="156">
        <f t="shared" si="22"/>
        <v>13.763389037239801</v>
      </c>
      <c r="AM35" s="716">
        <f t="shared" si="23"/>
        <v>1158.12925005582</v>
      </c>
      <c r="AN35" s="716" t="str">
        <f>_xlfn.XLOOKUP(D35,RUC!$B$3:$B$578,RUC!$M$3:$M$578)</f>
        <v>Richard Sapacayo</v>
      </c>
      <c r="AO35" s="1167" t="s">
        <v>2280</v>
      </c>
      <c r="AP35" t="s">
        <v>2893</v>
      </c>
      <c r="AQ35" t="s">
        <v>2894</v>
      </c>
    </row>
    <row r="36" spans="1:53" ht="15" customHeight="1">
      <c r="A36" s="747" t="s">
        <v>2874</v>
      </c>
      <c r="B36" s="595">
        <v>45930</v>
      </c>
      <c r="C36" s="1447">
        <v>45919</v>
      </c>
      <c r="D36" t="s">
        <v>1484</v>
      </c>
      <c r="E36" s="762">
        <f>_xlfn.XLOOKUP(D36,RUC!$B$3:$B$123,RUC!$D$3:$D$123)</f>
        <v>10761932735</v>
      </c>
      <c r="G36" s="1082">
        <v>31</v>
      </c>
      <c r="H36" s="762" t="s">
        <v>69</v>
      </c>
      <c r="I36" s="703">
        <v>2.5099999999999998</v>
      </c>
      <c r="J36" s="596">
        <v>10.85</v>
      </c>
      <c r="K36" s="703">
        <f t="shared" si="13"/>
        <v>2.238</v>
      </c>
      <c r="L36" s="762">
        <v>0.35199999999999998</v>
      </c>
      <c r="M36" s="762">
        <v>0.33400000000000002</v>
      </c>
      <c r="N36" s="764">
        <v>0.33400000000000002</v>
      </c>
      <c r="O36" s="645">
        <f t="shared" si="14"/>
        <v>0.33400000000000002</v>
      </c>
      <c r="P36" s="727">
        <v>90</v>
      </c>
      <c r="Q36" s="881">
        <v>97.44</v>
      </c>
      <c r="R36" s="706">
        <v>3663.15</v>
      </c>
      <c r="S36" s="765">
        <f>IF((_xlfn.XLOOKUP(D36,RUC!$B$3:$B$119,RUC!$E$3:$E$119)+ROUNDDOWN(O36,1)*100)&lt;95,95,((_xlfn.XLOOKUP(D36,RUC!$B$3:$B$119,RUC!$E$3:$E$119)+ROUNDDOWN(O36,1)*100)))</f>
        <v>120</v>
      </c>
      <c r="U36" s="1146">
        <f>_xlfn.XLOOKUP(D36,RUC!$B$3:$B$123,RUC!$F$3:$F$123)</f>
        <v>120</v>
      </c>
      <c r="V36" s="715">
        <v>1.1023000000000001</v>
      </c>
      <c r="Y36">
        <f>_xlfn.XLOOKUP(D36,RUC!$B$3:$B$123,RUC!$G$3:$G$123)</f>
        <v>20</v>
      </c>
      <c r="Z36" s="143">
        <f>_xlfn.XLOOKUP(D36,RUC!$B$3:$B$123,RUC!$H$3:$H$123)</f>
        <v>30</v>
      </c>
      <c r="AA36" s="144">
        <f t="shared" si="15"/>
        <v>50</v>
      </c>
      <c r="AB36" s="145">
        <f t="shared" si="32"/>
        <v>986.63664204700001</v>
      </c>
      <c r="AC36" s="145">
        <f>+(S36-T36)*V36-'data 1'!$F$4</f>
        <v>52.27600000000001</v>
      </c>
      <c r="AD36" s="145">
        <f t="shared" si="16"/>
        <v>102.28335033945598</v>
      </c>
      <c r="AE36" s="145">
        <f t="shared" si="17"/>
        <v>-14.884999999999998</v>
      </c>
      <c r="AF36" s="145">
        <f t="shared" si="18"/>
        <v>68.501349365903849</v>
      </c>
      <c r="AG36" s="772">
        <f t="shared" si="35"/>
        <v>225.17569970535988</v>
      </c>
      <c r="AH36" s="1253">
        <f t="shared" si="19"/>
        <v>26.318000000000001</v>
      </c>
      <c r="AI36" s="1253">
        <f t="shared" si="20"/>
        <v>27.009</v>
      </c>
      <c r="AJ36" s="156">
        <f t="shared" si="21"/>
        <v>172.72427380454394</v>
      </c>
      <c r="AK36" s="156">
        <f t="shared" si="22"/>
        <v>23.065247955843539</v>
      </c>
      <c r="AM36" s="716">
        <f t="shared" si="23"/>
        <v>2208.0928049011859</v>
      </c>
      <c r="AN36" s="716" t="str">
        <f>_xlfn.XLOOKUP(D36,RUC!$B$3:$B$578,RUC!$M$3:$M$578)</f>
        <v>Richard Sapacayo</v>
      </c>
      <c r="AO36" s="1167" t="s">
        <v>2280</v>
      </c>
      <c r="AP36" t="s">
        <v>2893</v>
      </c>
      <c r="AQ36" t="s">
        <v>2894</v>
      </c>
    </row>
    <row r="37" spans="1:53" ht="15" customHeight="1">
      <c r="A37" s="747" t="s">
        <v>2875</v>
      </c>
      <c r="B37" s="595">
        <v>45930</v>
      </c>
      <c r="C37" s="1447">
        <v>45919</v>
      </c>
      <c r="D37" t="s">
        <v>1484</v>
      </c>
      <c r="E37" s="762">
        <f>_xlfn.XLOOKUP(D37,RUC!$B$3:$B$123,RUC!$D$3:$D$123)</f>
        <v>10761932735</v>
      </c>
      <c r="G37" s="1082">
        <v>46</v>
      </c>
      <c r="H37" s="762" t="s">
        <v>69</v>
      </c>
      <c r="I37" s="703">
        <v>4.28</v>
      </c>
      <c r="J37" s="596">
        <v>4.8</v>
      </c>
      <c r="K37" s="703">
        <f t="shared" si="13"/>
        <v>4.0750000000000002</v>
      </c>
      <c r="L37" s="762">
        <v>0.191</v>
      </c>
      <c r="M37" s="762">
        <v>0.17599999999999999</v>
      </c>
      <c r="N37" s="1197">
        <v>0.19500000000000001</v>
      </c>
      <c r="O37" s="645">
        <f t="shared" si="14"/>
        <v>0.186</v>
      </c>
      <c r="P37" s="727">
        <v>90</v>
      </c>
      <c r="Q37" s="881">
        <v>97.91</v>
      </c>
      <c r="R37" s="706">
        <v>3663.15</v>
      </c>
      <c r="S37" s="765">
        <f>IF((_xlfn.XLOOKUP(D37,RUC!$B$3:$B$119,RUC!$E$3:$E$119)+ROUNDDOWN(O37,1)*100)&lt;95,95,((_xlfn.XLOOKUP(D37,RUC!$B$3:$B$119,RUC!$E$3:$E$119)+ROUNDDOWN(O37,1)*100)))</f>
        <v>100</v>
      </c>
      <c r="U37" s="1146">
        <f>_xlfn.XLOOKUP(D37,RUC!$B$3:$B$123,RUC!$F$3:$F$123)</f>
        <v>120</v>
      </c>
      <c r="V37" s="715">
        <v>1.1023000000000001</v>
      </c>
      <c r="Y37">
        <f>_xlfn.XLOOKUP(D37,RUC!$B$3:$B$123,RUC!$G$3:$G$123)</f>
        <v>20</v>
      </c>
      <c r="Z37" s="143">
        <f>_xlfn.XLOOKUP(D37,RUC!$B$3:$B$123,RUC!$H$3:$H$123)</f>
        <v>30</v>
      </c>
      <c r="AA37" s="144">
        <f t="shared" si="15"/>
        <v>50</v>
      </c>
      <c r="AB37" s="145">
        <f t="shared" si="32"/>
        <v>488.45482461299997</v>
      </c>
      <c r="AC37" s="145">
        <f>+(S37-T37)*V37-'data 1'!$F$4</f>
        <v>30.230000000000004</v>
      </c>
      <c r="AD37" s="145">
        <f t="shared" si="16"/>
        <v>59.006410574884484</v>
      </c>
      <c r="AE37" s="145">
        <f t="shared" si="17"/>
        <v>-14.884999999999998</v>
      </c>
      <c r="AF37" s="145">
        <f t="shared" si="18"/>
        <v>19.119934536397519</v>
      </c>
      <c r="AG37" s="772">
        <f t="shared" si="35"/>
        <v>110.47134511128201</v>
      </c>
      <c r="AH37" s="1253">
        <f t="shared" si="19"/>
        <v>26.126999999999999</v>
      </c>
      <c r="AI37" s="1253">
        <f t="shared" si="20"/>
        <v>26.684999999999999</v>
      </c>
      <c r="AJ37" s="156">
        <f t="shared" si="21"/>
        <v>94.174615229615483</v>
      </c>
      <c r="AK37" s="156">
        <f t="shared" si="22"/>
        <v>23.387948885247752</v>
      </c>
      <c r="AM37" s="716">
        <f t="shared" si="23"/>
        <v>1990.4534102979749</v>
      </c>
      <c r="AN37" s="716" t="str">
        <f>_xlfn.XLOOKUP(D37,RUC!$B$3:$B$578,RUC!$M$3:$M$578)</f>
        <v>Richard Sapacayo</v>
      </c>
      <c r="AO37" s="1167" t="s">
        <v>2280</v>
      </c>
      <c r="AP37" t="s">
        <v>2893</v>
      </c>
      <c r="AQ37" t="s">
        <v>2894</v>
      </c>
    </row>
    <row r="38" spans="1:53" ht="15" customHeight="1">
      <c r="A38" s="747" t="s">
        <v>2876</v>
      </c>
      <c r="B38" s="595">
        <v>45930</v>
      </c>
      <c r="C38" s="1447">
        <v>45919</v>
      </c>
      <c r="D38" t="s">
        <v>1484</v>
      </c>
      <c r="E38" s="762">
        <f>_xlfn.XLOOKUP(D38,RUC!$B$3:$B$123,RUC!$D$3:$D$123)</f>
        <v>10761932735</v>
      </c>
      <c r="G38" s="1082">
        <v>23</v>
      </c>
      <c r="H38" s="762" t="s">
        <v>69</v>
      </c>
      <c r="I38" s="703">
        <v>2.1</v>
      </c>
      <c r="J38" s="596">
        <v>8.3000000000000007</v>
      </c>
      <c r="K38" s="703">
        <f t="shared" si="13"/>
        <v>1.9259999999999999</v>
      </c>
      <c r="L38" s="762">
        <v>0.29699999999999999</v>
      </c>
      <c r="M38" s="762">
        <v>0.28199999999999997</v>
      </c>
      <c r="N38" s="1197">
        <v>0.316</v>
      </c>
      <c r="O38" s="645">
        <f t="shared" si="14"/>
        <v>0.29899999999999999</v>
      </c>
      <c r="P38" s="727">
        <v>90</v>
      </c>
      <c r="Q38" s="881">
        <v>97.98</v>
      </c>
      <c r="R38" s="706">
        <v>3663.15</v>
      </c>
      <c r="S38" s="765">
        <f>IF((_xlfn.XLOOKUP(D38,RUC!$B$3:$B$119,RUC!$E$3:$E$119)+ROUNDDOWN(O38,1)*100)&lt;95,95,((_xlfn.XLOOKUP(D38,RUC!$B$3:$B$119,RUC!$E$3:$E$119)+ROUNDDOWN(O38,1)*100)))</f>
        <v>110</v>
      </c>
      <c r="U38" s="1146">
        <f>_xlfn.XLOOKUP(D38,RUC!$B$3:$B$123,RUC!$F$3:$F$123)</f>
        <v>120</v>
      </c>
      <c r="V38" s="715">
        <v>1.1023000000000001</v>
      </c>
      <c r="Y38">
        <f>_xlfn.XLOOKUP(D38,RUC!$B$3:$B$123,RUC!$G$3:$G$123)</f>
        <v>20</v>
      </c>
      <c r="Z38" s="143">
        <f>_xlfn.XLOOKUP(D38,RUC!$B$3:$B$123,RUC!$H$3:$H$123)</f>
        <v>30</v>
      </c>
      <c r="AA38" s="144">
        <f t="shared" si="15"/>
        <v>50</v>
      </c>
      <c r="AB38" s="145">
        <f t="shared" si="32"/>
        <v>874.63279332950003</v>
      </c>
      <c r="AC38" s="145">
        <f>+(S38-T38)*V38-'data 1'!$F$4</f>
        <v>41.253</v>
      </c>
      <c r="AD38" s="145">
        <f t="shared" si="16"/>
        <v>92.565400975047055</v>
      </c>
      <c r="AE38" s="145">
        <f t="shared" si="17"/>
        <v>-14.884999999999998</v>
      </c>
      <c r="AF38" s="145">
        <f t="shared" si="18"/>
        <v>-7.6534416745020089</v>
      </c>
      <c r="AG38" s="772">
        <f t="shared" si="35"/>
        <v>128.27995930054504</v>
      </c>
      <c r="AH38" s="1253">
        <f t="shared" si="19"/>
        <v>19.216000000000001</v>
      </c>
      <c r="AI38" s="1253">
        <f t="shared" si="20"/>
        <v>19.611999999999998</v>
      </c>
      <c r="AJ38" s="156">
        <f t="shared" si="21"/>
        <v>146.54375685645297</v>
      </c>
      <c r="AK38" s="156">
        <f t="shared" si="22"/>
        <v>17.76965720211513</v>
      </c>
      <c r="AM38" s="716">
        <f t="shared" si="23"/>
        <v>1684.542759952617</v>
      </c>
      <c r="AN38" s="716" t="str">
        <f>_xlfn.XLOOKUP(D38,RUC!$B$3:$B$578,RUC!$M$3:$M$578)</f>
        <v>Richard Sapacayo</v>
      </c>
      <c r="AO38" s="1167" t="s">
        <v>2281</v>
      </c>
      <c r="AP38" t="s">
        <v>2893</v>
      </c>
      <c r="AQ38" t="s">
        <v>2894</v>
      </c>
    </row>
    <row r="39" spans="1:53" ht="15" customHeight="1">
      <c r="A39" s="747" t="s">
        <v>2877</v>
      </c>
      <c r="B39" s="595">
        <v>45930</v>
      </c>
      <c r="C39" s="1447">
        <v>45919</v>
      </c>
      <c r="D39" t="s">
        <v>1484</v>
      </c>
      <c r="E39" s="762">
        <f>_xlfn.XLOOKUP(D39,RUC!$B$3:$B$123,RUC!$D$3:$D$123)</f>
        <v>10761932735</v>
      </c>
      <c r="G39" s="1082">
        <v>52</v>
      </c>
      <c r="H39" s="762" t="s">
        <v>69</v>
      </c>
      <c r="I39" s="703">
        <v>4.62</v>
      </c>
      <c r="J39" s="596">
        <v>9.4</v>
      </c>
      <c r="K39" s="703">
        <f t="shared" si="13"/>
        <v>4.1859999999999999</v>
      </c>
      <c r="L39" s="762">
        <v>0.28100000000000003</v>
      </c>
      <c r="M39" s="762">
        <v>0.26600000000000001</v>
      </c>
      <c r="N39" s="1197">
        <v>0.26700000000000002</v>
      </c>
      <c r="O39" s="645">
        <f t="shared" si="14"/>
        <v>0.26700000000000002</v>
      </c>
      <c r="P39" s="727">
        <v>90</v>
      </c>
      <c r="Q39" s="881">
        <v>94.31</v>
      </c>
      <c r="R39" s="706">
        <v>3663.15</v>
      </c>
      <c r="S39" s="765">
        <f>IF((_xlfn.XLOOKUP(D39,RUC!$B$3:$B$119,RUC!$E$3:$E$119)+ROUNDDOWN(O39,1)*100)&lt;95,95,((_xlfn.XLOOKUP(D39,RUC!$B$3:$B$119,RUC!$E$3:$E$119)+ROUNDDOWN(O39,1)*100)))</f>
        <v>110</v>
      </c>
      <c r="U39" s="1146">
        <f>_xlfn.XLOOKUP(D39,RUC!$B$3:$B$123,RUC!$F$3:$F$123)</f>
        <v>120</v>
      </c>
      <c r="V39" s="715">
        <v>1.1023000000000001</v>
      </c>
      <c r="Y39">
        <f>_xlfn.XLOOKUP(D39,RUC!$B$3:$B$123,RUC!$G$3:$G$123)</f>
        <v>20</v>
      </c>
      <c r="Z39" s="143">
        <f>_xlfn.XLOOKUP(D39,RUC!$B$3:$B$123,RUC!$H$3:$H$123)</f>
        <v>30</v>
      </c>
      <c r="AA39" s="144">
        <f t="shared" si="15"/>
        <v>50</v>
      </c>
      <c r="AB39" s="145">
        <f t="shared" si="32"/>
        <v>762.15110307350017</v>
      </c>
      <c r="AC39" s="145">
        <f>+(S39-T39)*V39-'data 1'!$F$4</f>
        <v>41.253</v>
      </c>
      <c r="AD39" s="145">
        <f t="shared" si="16"/>
        <v>47.301284682619531</v>
      </c>
      <c r="AE39" s="145">
        <f t="shared" si="17"/>
        <v>-14.884999999999998</v>
      </c>
      <c r="AF39" s="145">
        <f t="shared" si="18"/>
        <v>51.567387122433054</v>
      </c>
      <c r="AG39" s="772">
        <f t="shared" si="35"/>
        <v>142.23667180505259</v>
      </c>
      <c r="AH39" s="1253">
        <f t="shared" si="19"/>
        <v>38.033999999999999</v>
      </c>
      <c r="AI39" s="1253">
        <f t="shared" si="20"/>
        <v>40.329000000000001</v>
      </c>
      <c r="AJ39" s="156">
        <f t="shared" si="21"/>
        <v>133.45581487688048</v>
      </c>
      <c r="AK39" s="156">
        <f t="shared" si="22"/>
        <v>34.487527840865191</v>
      </c>
      <c r="AM39" s="716">
        <f t="shared" si="23"/>
        <v>3190.3645174656717</v>
      </c>
      <c r="AN39" s="716" t="str">
        <f>_xlfn.XLOOKUP(D39,RUC!$B$3:$B$578,RUC!$M$3:$M$578)</f>
        <v>Richard Sapacayo</v>
      </c>
      <c r="AO39" s="1167" t="s">
        <v>2279</v>
      </c>
      <c r="AP39" t="s">
        <v>2893</v>
      </c>
      <c r="AQ39" t="s">
        <v>2894</v>
      </c>
    </row>
    <row r="40" spans="1:53" ht="15" customHeight="1">
      <c r="A40" s="1149" t="s">
        <v>2878</v>
      </c>
      <c r="B40" s="1095">
        <v>45930</v>
      </c>
      <c r="C40" s="1484">
        <v>45919</v>
      </c>
      <c r="D40" t="s">
        <v>1484</v>
      </c>
      <c r="E40" s="762">
        <f>_xlfn.XLOOKUP(D40,RUC!$B$3:$B$123,RUC!$D$3:$D$123)</f>
        <v>10761932735</v>
      </c>
      <c r="G40" s="1082">
        <v>68</v>
      </c>
      <c r="H40" s="762" t="s">
        <v>69</v>
      </c>
      <c r="I40" s="703">
        <v>4.7300000000000004</v>
      </c>
      <c r="J40" s="596">
        <v>3.45</v>
      </c>
      <c r="K40" s="703">
        <f t="shared" si="13"/>
        <v>4.5670000000000002</v>
      </c>
      <c r="L40" s="762">
        <v>5.0999999999999997E-2</v>
      </c>
      <c r="M40" s="762">
        <v>3.5999999999999997E-2</v>
      </c>
      <c r="N40" s="764">
        <v>3.5999999999999997E-2</v>
      </c>
      <c r="O40" s="645">
        <f t="shared" si="14"/>
        <v>3.5999999999999997E-2</v>
      </c>
      <c r="P40" s="727">
        <v>90</v>
      </c>
      <c r="Q40" s="881">
        <v>94.12</v>
      </c>
      <c r="R40" s="706">
        <v>3663.15</v>
      </c>
      <c r="S40" s="765">
        <f>IF((_xlfn.XLOOKUP(D40,RUC!$B$3:$B$119,RUC!$E$3:$E$119)+ROUNDDOWN(O40,1)*100)&lt;95,95,((_xlfn.XLOOKUP(D40,RUC!$B$3:$B$119,RUC!$E$3:$E$119)+ROUNDDOWN(O40,1)*100)))</f>
        <v>95</v>
      </c>
      <c r="U40" s="1146">
        <f>_xlfn.XLOOKUP(D40,RUC!$B$3:$B$123,RUC!$F$3:$F$123)</f>
        <v>120</v>
      </c>
      <c r="V40" s="715">
        <v>1.1023000000000001</v>
      </c>
      <c r="Y40">
        <f>_xlfn.XLOOKUP(D40,RUC!$B$3:$B$123,RUC!$G$3:$G$123)</f>
        <v>20</v>
      </c>
      <c r="Z40" s="143">
        <f>_xlfn.XLOOKUP(D40,RUC!$B$3:$B$123,RUC!$H$3:$H$123)</f>
        <v>30</v>
      </c>
      <c r="AA40" s="144">
        <f t="shared" si="15"/>
        <v>50</v>
      </c>
      <c r="AB40" s="145">
        <f t="shared" si="32"/>
        <v>-33.29159846200001</v>
      </c>
      <c r="AC40" s="145">
        <f>+(S40-T40)*V40-'data 1'!$F$4</f>
        <v>24.718500000000006</v>
      </c>
      <c r="AD40" s="145">
        <f t="shared" si="16"/>
        <v>8.2064766515940093</v>
      </c>
      <c r="AE40" s="145">
        <f t="shared" si="17"/>
        <v>-14.884999999999998</v>
      </c>
      <c r="AF40" s="145">
        <f t="shared" si="18"/>
        <v>55.139461910910001</v>
      </c>
      <c r="AG40" s="772">
        <f t="shared" si="35"/>
        <v>90.179438562504004</v>
      </c>
      <c r="AH40" s="1253">
        <f t="shared" si="19"/>
        <v>7.516</v>
      </c>
      <c r="AI40" s="1253">
        <f t="shared" si="20"/>
        <v>7.9859999999999998</v>
      </c>
      <c r="AJ40" s="156">
        <f t="shared" si="21"/>
        <v>24.172720542905996</v>
      </c>
      <c r="AK40" s="156">
        <f t="shared" si="22"/>
        <v>5.0732362980689398</v>
      </c>
      <c r="AM40" s="716">
        <f t="shared" si="23"/>
        <v>0</v>
      </c>
      <c r="AN40" s="716" t="str">
        <f>_xlfn.XLOOKUP(D40,RUC!$B$3:$B$578,RUC!$M$3:$M$578)</f>
        <v>Richard Sapacayo</v>
      </c>
      <c r="AO40" s="1167" t="s">
        <v>2280</v>
      </c>
      <c r="AP40" t="s">
        <v>2893</v>
      </c>
      <c r="AQ40" t="s">
        <v>2894</v>
      </c>
    </row>
    <row r="41" spans="1:53" ht="15" customHeight="1">
      <c r="A41" s="747" t="s">
        <v>2879</v>
      </c>
      <c r="B41" s="595">
        <v>45927</v>
      </c>
      <c r="C41" s="1447">
        <v>45919</v>
      </c>
      <c r="D41" t="s">
        <v>2608</v>
      </c>
      <c r="E41" s="762" t="e">
        <f>_xlfn.XLOOKUP(D41,RUC!$B$3:$B$123,RUC!$D$3:$D$123)</f>
        <v>#N/A</v>
      </c>
      <c r="G41" s="1082" t="s">
        <v>1434</v>
      </c>
      <c r="H41" s="762" t="s">
        <v>108</v>
      </c>
      <c r="I41" s="703">
        <v>9.52</v>
      </c>
      <c r="J41" s="596">
        <v>1.1000000000000001</v>
      </c>
      <c r="K41" s="703">
        <f t="shared" si="13"/>
        <v>9.4149999999999991</v>
      </c>
      <c r="L41" s="762">
        <v>0.124</v>
      </c>
      <c r="M41" s="762">
        <v>0.109</v>
      </c>
      <c r="N41" s="764">
        <v>0.109</v>
      </c>
      <c r="O41" s="645">
        <f t="shared" si="14"/>
        <v>0.109</v>
      </c>
      <c r="P41" s="727">
        <v>80</v>
      </c>
      <c r="Q41" s="881">
        <v>96.77</v>
      </c>
      <c r="R41" s="706">
        <v>3663.15</v>
      </c>
      <c r="S41" s="765" t="e">
        <f>IF((_xlfn.XLOOKUP(D41,RUC!$B$3:$B$119,RUC!$E$3:$E$119)+ROUNDDOWN(O41,1)*100)&lt;95,95,((_xlfn.XLOOKUP(D41,RUC!$B$3:$B$119,RUC!$E$3:$E$119)+ROUNDDOWN(O41,1)*100)))</f>
        <v>#N/A</v>
      </c>
      <c r="U41" s="1146" t="e">
        <f>_xlfn.XLOOKUP(D41,RUC!$B$3:$B$123,RUC!$F$3:$F$123)</f>
        <v>#N/A</v>
      </c>
      <c r="V41" s="715">
        <v>1.1023000000000001</v>
      </c>
      <c r="Y41" t="e">
        <f>_xlfn.XLOOKUP(D41,RUC!$B$3:$B$123,RUC!$G$3:$G$123)</f>
        <v>#N/A</v>
      </c>
      <c r="Z41" s="143" t="e">
        <f>_xlfn.XLOOKUP(D41,RUC!$B$3:$B$123,RUC!$H$3:$H$123)</f>
        <v>#N/A</v>
      </c>
      <c r="AA41" s="144" t="e">
        <f t="shared" si="15"/>
        <v>#N/A</v>
      </c>
      <c r="AB41" s="145" t="e">
        <f t="shared" si="32"/>
        <v>#N/A</v>
      </c>
      <c r="AC41" s="145" t="e">
        <f>+(S41-T41)*V41-'data 1'!$F$4</f>
        <v>#N/A</v>
      </c>
      <c r="AD41" s="145" t="e">
        <f t="shared" si="16"/>
        <v>#N/A</v>
      </c>
      <c r="AE41" s="145" t="e">
        <f t="shared" si="17"/>
        <v>#N/A</v>
      </c>
      <c r="AF41" s="145" t="e">
        <f t="shared" si="18"/>
        <v>#N/A</v>
      </c>
      <c r="AG41" s="772" t="e">
        <f t="shared" si="35"/>
        <v>#N/A</v>
      </c>
      <c r="AH41" s="1253">
        <f t="shared" si="19"/>
        <v>38.734000000000002</v>
      </c>
      <c r="AI41" s="1253">
        <f t="shared" si="20"/>
        <v>40.027000000000001</v>
      </c>
      <c r="AJ41" s="156" t="e">
        <f t="shared" si="21"/>
        <v>#N/A</v>
      </c>
      <c r="AK41" s="156">
        <f t="shared" si="22"/>
        <v>28.147892164393397</v>
      </c>
      <c r="AM41" s="716" t="e">
        <f t="shared" si="23"/>
        <v>#N/A</v>
      </c>
      <c r="AN41" s="716" t="e">
        <f>_xlfn.XLOOKUP(D41,RUC!$B$3:$B$578,RUC!$M$3:$M$578)</f>
        <v>#N/A</v>
      </c>
      <c r="AO41" s="1167" t="s">
        <v>2278</v>
      </c>
      <c r="AP41" t="s">
        <v>2895</v>
      </c>
      <c r="AQ41" t="s">
        <v>2896</v>
      </c>
    </row>
    <row r="42" spans="1:53" ht="15" customHeight="1">
      <c r="A42" s="747" t="s">
        <v>2880</v>
      </c>
      <c r="B42" s="595">
        <v>45927</v>
      </c>
      <c r="C42" s="1447">
        <v>45920</v>
      </c>
      <c r="D42" t="s">
        <v>2004</v>
      </c>
      <c r="E42" s="762">
        <f>_xlfn.XLOOKUP(D42,RUC!$B$3:$B$123,RUC!$D$3:$D$123)</f>
        <v>20612921866</v>
      </c>
      <c r="G42" s="1082" t="s">
        <v>1434</v>
      </c>
      <c r="H42" s="762" t="s">
        <v>69</v>
      </c>
      <c r="I42" s="703">
        <v>20.64</v>
      </c>
      <c r="J42" s="596">
        <v>1.2</v>
      </c>
      <c r="K42" s="703">
        <f t="shared" si="13"/>
        <v>20.391999999999999</v>
      </c>
      <c r="L42" s="762">
        <v>0.28599999999999998</v>
      </c>
      <c r="M42" s="762">
        <v>0.27100000000000002</v>
      </c>
      <c r="N42" s="764">
        <v>0.27100000000000002</v>
      </c>
      <c r="O42" s="645">
        <f t="shared" si="14"/>
        <v>0.27100000000000002</v>
      </c>
      <c r="P42" s="727">
        <v>90</v>
      </c>
      <c r="Q42" s="881">
        <v>97.9</v>
      </c>
      <c r="R42" s="706">
        <v>3663.15</v>
      </c>
      <c r="S42" s="765">
        <f>IF((_xlfn.XLOOKUP(D42,RUC!$B$3:$B$119,RUC!$E$3:$E$119)+ROUNDDOWN(O42,1)*100)&lt;95,95,((_xlfn.XLOOKUP(D42,RUC!$B$3:$B$119,RUC!$E$3:$E$119)+ROUNDDOWN(O42,1)*100)))</f>
        <v>100</v>
      </c>
      <c r="U42" s="1146">
        <f>_xlfn.XLOOKUP(D42,RUC!$B$3:$B$123,RUC!$F$3:$F$123)</f>
        <v>100</v>
      </c>
      <c r="V42" s="715">
        <v>1.1023000000000001</v>
      </c>
      <c r="Y42">
        <f>_xlfn.XLOOKUP(D42,RUC!$B$3:$B$123,RUC!$G$3:$G$123)</f>
        <v>0</v>
      </c>
      <c r="Z42" s="143">
        <f>_xlfn.XLOOKUP(D42,RUC!$B$3:$B$123,RUC!$H$3:$H$123)</f>
        <v>30</v>
      </c>
      <c r="AA42" s="144">
        <f t="shared" si="15"/>
        <v>30</v>
      </c>
      <c r="AB42" s="145">
        <f t="shared" si="32"/>
        <v>814.65733375550008</v>
      </c>
      <c r="AC42" s="145">
        <f>+(S42-T42)*V42-'data 1'!$F$4</f>
        <v>30.230000000000004</v>
      </c>
      <c r="AD42" s="145">
        <f t="shared" si="16"/>
        <v>88.741555575530072</v>
      </c>
      <c r="AE42" s="145">
        <f t="shared" si="17"/>
        <v>-36.930999999999997</v>
      </c>
      <c r="AF42" s="145">
        <f t="shared" si="18"/>
        <v>57.677690697824843</v>
      </c>
      <c r="AG42" s="772">
        <f>AC42+AD42+AE42+AF42+70-10</f>
        <v>199.71824627335491</v>
      </c>
      <c r="AH42" s="1253">
        <f t="shared" si="19"/>
        <v>195.75700000000001</v>
      </c>
      <c r="AI42" s="1253">
        <f t="shared" si="20"/>
        <v>199.95599999999999</v>
      </c>
      <c r="AJ42" s="156">
        <f t="shared" si="21"/>
        <v>134.82824216147</v>
      </c>
      <c r="AK42" s="156">
        <f t="shared" si="22"/>
        <v>170.52210771689485</v>
      </c>
      <c r="AM42" s="716">
        <f t="shared" si="23"/>
        <v>16612.492349942157</v>
      </c>
      <c r="AN42" s="716" t="str">
        <f>_xlfn.XLOOKUP(D42,RUC!$B$3:$B$578,RUC!$M$3:$M$578)</f>
        <v>Ronald Garibay</v>
      </c>
      <c r="AO42" s="1167" t="s">
        <v>2277</v>
      </c>
      <c r="AP42" t="s">
        <v>2897</v>
      </c>
      <c r="AQ42" t="s">
        <v>2898</v>
      </c>
    </row>
    <row r="43" spans="1:53" ht="15" customHeight="1">
      <c r="A43" s="747" t="s">
        <v>2881</v>
      </c>
      <c r="B43" s="595">
        <v>45933</v>
      </c>
      <c r="C43" s="1447">
        <v>45920</v>
      </c>
      <c r="D43" t="s">
        <v>93</v>
      </c>
      <c r="E43" s="762">
        <f>_xlfn.XLOOKUP(D43,RUC!$B$3:$B$123,RUC!$D$3:$D$123)</f>
        <v>20169040231</v>
      </c>
      <c r="G43" s="1082">
        <v>100</v>
      </c>
      <c r="H43" s="762" t="s">
        <v>69</v>
      </c>
      <c r="I43" s="703">
        <v>9.76</v>
      </c>
      <c r="J43" s="596">
        <v>1.1000000000000001</v>
      </c>
      <c r="K43" s="703">
        <f t="shared" si="13"/>
        <v>9.6530000000000005</v>
      </c>
      <c r="L43" s="994">
        <v>0.23400000000000001</v>
      </c>
      <c r="M43" s="762">
        <v>0.219</v>
      </c>
      <c r="N43" s="764">
        <v>0.219</v>
      </c>
      <c r="O43" s="645">
        <f t="shared" si="14"/>
        <v>0.219</v>
      </c>
      <c r="P43" s="727">
        <v>90</v>
      </c>
      <c r="Q43" s="881">
        <v>93.16</v>
      </c>
      <c r="R43" s="706">
        <v>3663.15</v>
      </c>
      <c r="S43" s="765">
        <f>IF((_xlfn.XLOOKUP(D43,RUC!$B$3:$B$119,RUC!$E$3:$E$119)+ROUNDDOWN(O43,1)*100)&lt;95,95,((_xlfn.XLOOKUP(D43,RUC!$B$3:$B$119,RUC!$E$3:$E$119)+ROUNDDOWN(O43,1)*100)))</f>
        <v>105</v>
      </c>
      <c r="U43" s="1146">
        <f>_xlfn.XLOOKUP(D43,RUC!$B$3:$B$123,RUC!$F$3:$F$123)</f>
        <v>120</v>
      </c>
      <c r="V43" s="715">
        <v>1.1023000000000001</v>
      </c>
      <c r="Y43">
        <f>_xlfn.XLOOKUP(D43,RUC!$B$3:$B$123,RUC!$G$3:$G$123)</f>
        <v>20</v>
      </c>
      <c r="Z43" s="143">
        <f>_xlfn.XLOOKUP(D43,RUC!$B$3:$B$123,RUC!$H$3:$H$123)</f>
        <v>30</v>
      </c>
      <c r="AA43" s="144">
        <f t="shared" si="15"/>
        <v>50</v>
      </c>
      <c r="AB43" s="145">
        <f t="shared" si="32"/>
        <v>598.9400676895001</v>
      </c>
      <c r="AC43" s="145">
        <f>+(S43-T43)*V43-'data 1'!$F$4</f>
        <v>35.741500000000002</v>
      </c>
      <c r="AD43" s="145">
        <f t="shared" si="16"/>
        <v>28.879673973227973</v>
      </c>
      <c r="AE43" s="145">
        <f t="shared" si="17"/>
        <v>-14.884999999999998</v>
      </c>
      <c r="AF43" s="145">
        <f t="shared" si="18"/>
        <v>54.577053459630051</v>
      </c>
      <c r="AG43" s="772">
        <f t="shared" si="35"/>
        <v>121.31322743285801</v>
      </c>
      <c r="AH43" s="1253">
        <f t="shared" si="19"/>
        <v>72.147000000000006</v>
      </c>
      <c r="AI43" s="1253">
        <f t="shared" si="20"/>
        <v>77.444000000000003</v>
      </c>
      <c r="AJ43" s="156">
        <f t="shared" si="21"/>
        <v>109.77887450977198</v>
      </c>
      <c r="AK43" s="156">
        <f t="shared" si="22"/>
        <v>65.231595301874719</v>
      </c>
      <c r="AM43" s="716">
        <f t="shared" si="23"/>
        <v>5781.5684734067445</v>
      </c>
      <c r="AN43" s="716" t="str">
        <f>_xlfn.XLOOKUP(D43,RUC!$B$3:$B$578,RUC!$M$3:$M$578)</f>
        <v>Ronald Miranda</v>
      </c>
      <c r="AO43" s="1167" t="s">
        <v>2281</v>
      </c>
      <c r="AP43" t="s">
        <v>2899</v>
      </c>
      <c r="AQ43" t="s">
        <v>2900</v>
      </c>
    </row>
    <row r="44" spans="1:53" ht="15" customHeight="1">
      <c r="A44" s="747" t="s">
        <v>2884</v>
      </c>
      <c r="B44" s="595">
        <v>45934</v>
      </c>
      <c r="C44" s="1447">
        <v>45920</v>
      </c>
      <c r="D44" t="s">
        <v>1484</v>
      </c>
      <c r="E44" s="762">
        <f>_xlfn.XLOOKUP(D44,RUC!$B$3:$B$123,RUC!$D$3:$D$123)</f>
        <v>10761932735</v>
      </c>
      <c r="G44" s="1082">
        <v>12</v>
      </c>
      <c r="H44" s="762" t="s">
        <v>69</v>
      </c>
      <c r="I44" s="703">
        <v>1</v>
      </c>
      <c r="J44" s="596">
        <v>11.95</v>
      </c>
      <c r="K44" s="703">
        <f t="shared" si="13"/>
        <v>0.88100000000000001</v>
      </c>
      <c r="L44" s="762">
        <v>1.248</v>
      </c>
      <c r="M44" s="762">
        <v>1.1859999999999999</v>
      </c>
      <c r="N44" s="1197">
        <v>1.234</v>
      </c>
      <c r="O44" s="645">
        <f t="shared" si="14"/>
        <v>1.21</v>
      </c>
      <c r="P44" s="727">
        <v>90</v>
      </c>
      <c r="Q44" s="881">
        <v>99.18</v>
      </c>
      <c r="R44" s="706">
        <v>3663.15</v>
      </c>
      <c r="S44" s="765">
        <f>IF((_xlfn.XLOOKUP(D44,RUC!$B$3:$B$119,RUC!$E$3:$E$119)+ROUNDDOWN(O44,1)*100)&lt;95,95,((_xlfn.XLOOKUP(D44,RUC!$B$3:$B$119,RUC!$E$3:$E$119)+ROUNDDOWN(O44,1)*100)))</f>
        <v>210</v>
      </c>
      <c r="U44" s="1146">
        <f>_xlfn.XLOOKUP(D44,RUC!$B$3:$B$123,RUC!$F$3:$F$123)</f>
        <v>120</v>
      </c>
      <c r="V44" s="715">
        <v>1.1023000000000001</v>
      </c>
      <c r="Y44">
        <f>_xlfn.XLOOKUP(D44,RUC!$B$3:$B$123,RUC!$G$3:$G$123)</f>
        <v>20</v>
      </c>
      <c r="Z44" s="143">
        <f>_xlfn.XLOOKUP(D44,RUC!$B$3:$B$123,RUC!$H$3:$H$123)</f>
        <v>30</v>
      </c>
      <c r="AA44" s="144">
        <f t="shared" si="15"/>
        <v>50</v>
      </c>
      <c r="AB44" s="145">
        <f t="shared" si="32"/>
        <v>3966.6159128049999</v>
      </c>
      <c r="AC44" s="145">
        <f>+(S44-T44)*V44-'data 1'!$F$4</f>
        <v>151.483</v>
      </c>
      <c r="AD44" s="145">
        <f t="shared" si="16"/>
        <v>447.45216383836834</v>
      </c>
      <c r="AE44" s="145">
        <f t="shared" si="17"/>
        <v>-14.884999999999998</v>
      </c>
      <c r="AF44" s="145">
        <f t="shared" si="18"/>
        <v>147.19635191125815</v>
      </c>
      <c r="AG44" s="772">
        <f t="shared" si="35"/>
        <v>748.2465157496265</v>
      </c>
      <c r="AH44" s="1253">
        <f t="shared" si="19"/>
        <v>37.387</v>
      </c>
      <c r="AI44" s="1253">
        <f t="shared" si="20"/>
        <v>37.695999999999998</v>
      </c>
      <c r="AJ44" s="156">
        <f t="shared" si="21"/>
        <v>623.32152705763201</v>
      </c>
      <c r="AK44" s="156">
        <f t="shared" si="22"/>
        <v>32.893709863662451</v>
      </c>
      <c r="AM44" s="716">
        <f t="shared" si="23"/>
        <v>3494.5886191812051</v>
      </c>
      <c r="AN44" s="716" t="str">
        <f>_xlfn.XLOOKUP(D44,RUC!$B$3:$B$578,RUC!$M$3:$M$578)</f>
        <v>Richard Sapacayo</v>
      </c>
      <c r="AO44" s="1167" t="s">
        <v>2278</v>
      </c>
      <c r="AP44" t="s">
        <v>2901</v>
      </c>
      <c r="AQ44" t="s">
        <v>2902</v>
      </c>
    </row>
    <row r="45" spans="1:53" ht="15" customHeight="1">
      <c r="A45" s="747" t="s">
        <v>2885</v>
      </c>
      <c r="B45" s="595">
        <v>45934</v>
      </c>
      <c r="C45" s="1447">
        <v>45920</v>
      </c>
      <c r="D45" t="s">
        <v>1484</v>
      </c>
      <c r="E45" s="762">
        <f>_xlfn.XLOOKUP(D45,RUC!$B$3:$B$123,RUC!$D$3:$D$123)</f>
        <v>10761932735</v>
      </c>
      <c r="G45" s="1082">
        <v>8</v>
      </c>
      <c r="H45" s="762" t="s">
        <v>69</v>
      </c>
      <c r="I45" s="703">
        <v>0.87</v>
      </c>
      <c r="J45" s="596">
        <v>5.75</v>
      </c>
      <c r="K45" s="703">
        <f t="shared" si="13"/>
        <v>0.82</v>
      </c>
      <c r="L45" s="762">
        <v>0.16700000000000001</v>
      </c>
      <c r="M45" s="762">
        <v>0.152</v>
      </c>
      <c r="N45" s="764">
        <v>0.152</v>
      </c>
      <c r="O45" s="645">
        <f t="shared" si="14"/>
        <v>0.152</v>
      </c>
      <c r="P45" s="727">
        <v>90</v>
      </c>
      <c r="Q45" s="881">
        <v>97.06</v>
      </c>
      <c r="R45" s="706">
        <v>3663.15</v>
      </c>
      <c r="S45" s="765">
        <f>IF((_xlfn.XLOOKUP(D45,RUC!$B$3:$B$119,RUC!$E$3:$E$119)+ROUNDDOWN(O45,1)*100)&lt;95,95,((_xlfn.XLOOKUP(D45,RUC!$B$3:$B$119,RUC!$E$3:$E$119)+ROUNDDOWN(O45,1)*100)))</f>
        <v>100</v>
      </c>
      <c r="U45" s="1146">
        <f>_xlfn.XLOOKUP(D45,RUC!$B$3:$B$123,RUC!$F$3:$F$123)</f>
        <v>120</v>
      </c>
      <c r="V45" s="715">
        <v>1.1023000000000001</v>
      </c>
      <c r="Y45">
        <f>_xlfn.XLOOKUP(D45,RUC!$B$3:$B$123,RUC!$G$3:$G$123)</f>
        <v>20</v>
      </c>
      <c r="Z45" s="143">
        <f>_xlfn.XLOOKUP(D45,RUC!$B$3:$B$123,RUC!$H$3:$H$123)</f>
        <v>30</v>
      </c>
      <c r="AA45" s="144">
        <f t="shared" si="15"/>
        <v>50</v>
      </c>
      <c r="AB45" s="145">
        <f t="shared" si="32"/>
        <v>368.94302871600001</v>
      </c>
      <c r="AC45" s="145">
        <f>+(S45-T45)*V45-'data 1'!$F$4</f>
        <v>30.230000000000004</v>
      </c>
      <c r="AD45" s="145">
        <f t="shared" si="16"/>
        <v>46.047973071399021</v>
      </c>
      <c r="AE45" s="145">
        <f t="shared" si="17"/>
        <v>-14.884999999999998</v>
      </c>
      <c r="AF45" s="145">
        <f t="shared" si="18"/>
        <v>56.861837792955058</v>
      </c>
      <c r="AG45" s="772">
        <f t="shared" si="35"/>
        <v>135.25481086435408</v>
      </c>
      <c r="AH45" s="1253">
        <f t="shared" si="19"/>
        <v>4.5570000000000004</v>
      </c>
      <c r="AI45" s="1253">
        <f t="shared" si="20"/>
        <v>4.6950000000000003</v>
      </c>
      <c r="AJ45" s="156">
        <f t="shared" si="21"/>
        <v>81.626315745100996</v>
      </c>
      <c r="AK45" s="156">
        <f t="shared" si="22"/>
        <v>3.8459976898967998</v>
      </c>
      <c r="AM45" s="716">
        <f t="shared" si="23"/>
        <v>302.53328354711999</v>
      </c>
      <c r="AN45" s="716" t="str">
        <f>_xlfn.XLOOKUP(D45,RUC!$B$3:$B$578,RUC!$M$3:$M$578)</f>
        <v>Richard Sapacayo</v>
      </c>
      <c r="AO45" s="1167" t="s">
        <v>2278</v>
      </c>
      <c r="AP45" t="s">
        <v>2901</v>
      </c>
      <c r="AQ45" t="s">
        <v>2902</v>
      </c>
    </row>
    <row r="46" spans="1:53" ht="15" customHeight="1">
      <c r="A46" s="747" t="s">
        <v>2886</v>
      </c>
      <c r="B46" s="595">
        <v>45930</v>
      </c>
      <c r="C46" s="1447">
        <v>45920</v>
      </c>
      <c r="D46" t="s">
        <v>1484</v>
      </c>
      <c r="E46" s="762">
        <f>_xlfn.XLOOKUP(D46,RUC!$B$3:$B$123,RUC!$D$3:$D$123)</f>
        <v>10761932735</v>
      </c>
      <c r="G46" s="1082" t="s">
        <v>1434</v>
      </c>
      <c r="H46" s="762" t="s">
        <v>69</v>
      </c>
      <c r="I46" s="703">
        <v>28.59</v>
      </c>
      <c r="J46" s="596">
        <v>11.96</v>
      </c>
      <c r="K46" s="703">
        <f t="shared" si="13"/>
        <v>25.170999999999999</v>
      </c>
      <c r="L46" s="762">
        <v>0.127</v>
      </c>
      <c r="M46" s="762">
        <v>0.112</v>
      </c>
      <c r="N46" s="1197">
        <v>0.17499999999999999</v>
      </c>
      <c r="O46" s="645">
        <f t="shared" si="14"/>
        <v>0.14399999999999999</v>
      </c>
      <c r="P46" s="727">
        <v>85</v>
      </c>
      <c r="Q46" s="881">
        <v>95.42</v>
      </c>
      <c r="R46" s="706">
        <v>3663.15</v>
      </c>
      <c r="S46" s="765">
        <f>IF((_xlfn.XLOOKUP(D46,RUC!$B$3:$B$119,RUC!$E$3:$E$119)+ROUNDDOWN(O46,1)*100)&lt;95,95,((_xlfn.XLOOKUP(D46,RUC!$B$3:$B$119,RUC!$E$3:$E$119)+ROUNDDOWN(O46,1)*100)))</f>
        <v>100</v>
      </c>
      <c r="U46" s="1146">
        <f>_xlfn.XLOOKUP(D46,RUC!$B$3:$B$123,RUC!$F$3:$F$123)</f>
        <v>120</v>
      </c>
      <c r="V46" s="715">
        <v>1.1023000000000001</v>
      </c>
      <c r="Y46">
        <f>_xlfn.XLOOKUP(D46,RUC!$B$3:$B$123,RUC!$G$3:$G$123)</f>
        <v>20</v>
      </c>
      <c r="Z46" s="143">
        <f>_xlfn.XLOOKUP(D46,RUC!$B$3:$B$123,RUC!$H$3:$H$123)</f>
        <v>30</v>
      </c>
      <c r="AA46" s="144">
        <f t="shared" si="15"/>
        <v>50</v>
      </c>
      <c r="AB46" s="145">
        <f t="shared" si="32"/>
        <v>312.70218358799997</v>
      </c>
      <c r="AC46" s="145">
        <f>+(S46-T46)*V46-'data 1'!$F$4</f>
        <v>30.230000000000004</v>
      </c>
      <c r="AD46" s="145">
        <f t="shared" si="16"/>
        <v>51.68455554978302</v>
      </c>
      <c r="AE46" s="145">
        <f t="shared" si="17"/>
        <v>-14.884999999999998</v>
      </c>
      <c r="AF46" s="145">
        <f t="shared" si="18"/>
        <v>-63.354530913842957</v>
      </c>
      <c r="AG46" s="772">
        <f t="shared" si="35"/>
        <v>20.675024635940076</v>
      </c>
      <c r="AH46" s="1253">
        <f t="shared" si="19"/>
        <v>104.581</v>
      </c>
      <c r="AI46" s="1253">
        <f t="shared" si="20"/>
        <v>109.601</v>
      </c>
      <c r="AJ46" s="156">
        <f t="shared" si="21"/>
        <v>61.026233982466991</v>
      </c>
      <c r="AK46" s="156">
        <f t="shared" si="22"/>
        <v>105.63089431904173</v>
      </c>
      <c r="AM46" s="716">
        <f t="shared" si="23"/>
        <v>7871.0266630935466</v>
      </c>
      <c r="AN46" s="716" t="str">
        <f>_xlfn.XLOOKUP(D46,RUC!$B$3:$B$578,RUC!$M$3:$M$578)</f>
        <v>Richard Sapacayo</v>
      </c>
      <c r="AO46" s="1167" t="s">
        <v>2280</v>
      </c>
      <c r="AP46" t="s">
        <v>2901</v>
      </c>
      <c r="AQ46" t="s">
        <v>2902</v>
      </c>
    </row>
    <row r="47" spans="1:53" ht="15" customHeight="1">
      <c r="A47" s="747" t="s">
        <v>2887</v>
      </c>
      <c r="B47" s="595">
        <v>45931</v>
      </c>
      <c r="C47" s="1447">
        <v>45920</v>
      </c>
      <c r="D47" t="s">
        <v>2004</v>
      </c>
      <c r="E47" s="762">
        <f>_xlfn.XLOOKUP(D47,RUC!$B$3:$B$123,RUC!$D$3:$D$123)</f>
        <v>20612921866</v>
      </c>
      <c r="G47" s="1082">
        <v>63</v>
      </c>
      <c r="H47" s="762" t="s">
        <v>69</v>
      </c>
      <c r="I47" s="703">
        <v>8.11</v>
      </c>
      <c r="J47" s="596">
        <v>1.3</v>
      </c>
      <c r="K47" s="703">
        <f t="shared" si="13"/>
        <v>8.0050000000000008</v>
      </c>
      <c r="L47" s="762">
        <v>0.25600000000000001</v>
      </c>
      <c r="M47" s="762">
        <v>0.24099999999999999</v>
      </c>
      <c r="N47" s="1197">
        <v>0.28499999999999998</v>
      </c>
      <c r="O47" s="645">
        <f t="shared" si="14"/>
        <v>0.26300000000000001</v>
      </c>
      <c r="P47" s="727">
        <v>90</v>
      </c>
      <c r="Q47" s="881">
        <v>97.37</v>
      </c>
      <c r="R47" s="706">
        <v>3663.15</v>
      </c>
      <c r="S47" s="765">
        <f>IF((_xlfn.XLOOKUP(D47,RUC!$B$3:$B$119,RUC!$E$3:$E$119)+ROUNDDOWN(O47,1)*100)&lt;95,95,((_xlfn.XLOOKUP(D47,RUC!$B$3:$B$119,RUC!$E$3:$E$119)+ROUNDDOWN(O47,1)*100)))</f>
        <v>100</v>
      </c>
      <c r="U47" s="1146">
        <f>_xlfn.XLOOKUP(D47,RUC!$B$3:$B$123,RUC!$F$3:$F$123)</f>
        <v>100</v>
      </c>
      <c r="V47" s="715">
        <v>1.1023000000000001</v>
      </c>
      <c r="Y47">
        <f>_xlfn.XLOOKUP(D47,RUC!$B$3:$B$123,RUC!$G$3:$G$123)</f>
        <v>0</v>
      </c>
      <c r="Z47" s="143">
        <f>_xlfn.XLOOKUP(D47,RUC!$B$3:$B$123,RUC!$H$3:$H$123)</f>
        <v>30</v>
      </c>
      <c r="AA47" s="144">
        <f t="shared" si="15"/>
        <v>30</v>
      </c>
      <c r="AB47" s="145">
        <f t="shared" si="32"/>
        <v>786.37817999150002</v>
      </c>
      <c r="AC47" s="145">
        <f>+(S47-T47)*V47-'data 1'!$F$4</f>
        <v>30.230000000000004</v>
      </c>
      <c r="AD47" s="145">
        <f t="shared" si="16"/>
        <v>74.10395137446406</v>
      </c>
      <c r="AE47" s="145">
        <f t="shared" si="17"/>
        <v>-36.930999999999997</v>
      </c>
      <c r="AF47" s="145">
        <f t="shared" si="18"/>
        <v>-26.770539463895524</v>
      </c>
      <c r="AG47" s="772">
        <f>AC47+AD47+AE47+AF47+70-10</f>
        <v>100.63241191056855</v>
      </c>
      <c r="AH47" s="1253">
        <f t="shared" si="19"/>
        <v>68.412999999999997</v>
      </c>
      <c r="AI47" s="1253">
        <f t="shared" si="20"/>
        <v>70.260000000000005</v>
      </c>
      <c r="AJ47" s="156">
        <f t="shared" si="21"/>
        <v>120.03206641753599</v>
      </c>
      <c r="AK47" s="156">
        <f t="shared" si="22"/>
        <v>64.963387568237181</v>
      </c>
      <c r="AM47" s="716">
        <f t="shared" si="23"/>
        <v>6294.9573308319586</v>
      </c>
      <c r="AN47" s="716" t="str">
        <f>_xlfn.XLOOKUP(D47,RUC!$B$3:$B$578,RUC!$M$3:$M$578)</f>
        <v>Ronald Garibay</v>
      </c>
      <c r="AO47" s="1167" t="s">
        <v>2279</v>
      </c>
      <c r="AP47" t="s">
        <v>2903</v>
      </c>
      <c r="AQ47" t="s">
        <v>2904</v>
      </c>
    </row>
    <row r="48" spans="1:53" ht="15" customHeight="1">
      <c r="A48" s="747" t="s">
        <v>2888</v>
      </c>
      <c r="B48" s="595">
        <v>45929</v>
      </c>
      <c r="C48" s="1447">
        <v>45920</v>
      </c>
      <c r="D48" t="s">
        <v>2004</v>
      </c>
      <c r="E48" s="762">
        <f>_xlfn.XLOOKUP(D48,RUC!$B$3:$B$123,RUC!$D$3:$D$123)</f>
        <v>20612921866</v>
      </c>
      <c r="G48" s="1082">
        <v>41</v>
      </c>
      <c r="H48" s="762" t="s">
        <v>108</v>
      </c>
      <c r="I48" s="703">
        <v>3.1</v>
      </c>
      <c r="J48" s="596">
        <v>7.7</v>
      </c>
      <c r="K48" s="703">
        <f t="shared" si="13"/>
        <v>2.8610000000000002</v>
      </c>
      <c r="L48" s="762">
        <v>0.53400000000000003</v>
      </c>
      <c r="M48" s="762">
        <v>0.50700000000000001</v>
      </c>
      <c r="N48" s="764">
        <v>0.50700000000000001</v>
      </c>
      <c r="O48" s="645">
        <f t="shared" si="14"/>
        <v>0.50700000000000001</v>
      </c>
      <c r="P48" s="727">
        <v>90</v>
      </c>
      <c r="Q48" s="881">
        <v>96.44</v>
      </c>
      <c r="R48" s="706">
        <v>3663.15</v>
      </c>
      <c r="S48" s="765">
        <f>IF((_xlfn.XLOOKUP(D48,RUC!$B$3:$B$119,RUC!$E$3:$E$119)+ROUNDDOWN(O48,1)*100)&lt;95,95,((_xlfn.XLOOKUP(D48,RUC!$B$3:$B$119,RUC!$E$3:$E$119)+ROUNDDOWN(O48,1)*100)))</f>
        <v>130</v>
      </c>
      <c r="U48" s="1458">
        <v>120</v>
      </c>
      <c r="V48" s="715">
        <v>1.1023000000000001</v>
      </c>
      <c r="Y48">
        <f>_xlfn.XLOOKUP(D48,RUC!$B$3:$B$123,RUC!$G$3:$G$123)</f>
        <v>0</v>
      </c>
      <c r="Z48" s="143">
        <f>_xlfn.XLOOKUP(D48,RUC!$B$3:$B$123,RUC!$H$3:$H$123)</f>
        <v>30</v>
      </c>
      <c r="AA48" s="144">
        <f>+Y48+Z48</f>
        <v>30</v>
      </c>
      <c r="AB48" s="145">
        <f t="shared" si="32"/>
        <v>1605.7637799935001</v>
      </c>
      <c r="AC48" s="145">
        <f>+(S48-T48)*V48-'data 1'!$F$4</f>
        <v>63.299000000000007</v>
      </c>
      <c r="AD48" s="145">
        <f t="shared" si="16"/>
        <v>134.31251163985198</v>
      </c>
      <c r="AE48" s="145">
        <f>+(Y48*V48-70)+V48*(Z48-IF(D48="UNTUCA",IF(+((W48-3)*2.5+(X48-3)*3.1)&gt;0,+((W48-3)*1.5+(X48-3)*3.1),0),IF(+((W48-3)*1.5+(X48-3)*3.1)&gt;0,+((W48-3)*1.5+(X48-3)*3.1),0)))</f>
        <v>-36.930999999999997</v>
      </c>
      <c r="AF48" s="145">
        <f t="shared" si="18"/>
        <v>101.6975082027061</v>
      </c>
      <c r="AG48" s="772">
        <f>AC48+AD48+AE48+AF48+70-10</f>
        <v>322.3780198425581</v>
      </c>
      <c r="AH48" s="1253">
        <f t="shared" si="19"/>
        <v>50.515999999999998</v>
      </c>
      <c r="AI48" s="1253">
        <f t="shared" si="20"/>
        <v>52.38</v>
      </c>
      <c r="AJ48" s="156">
        <f t="shared" si="21"/>
        <v>259.34142653314797</v>
      </c>
      <c r="AK48" s="156">
        <f t="shared" si="22"/>
        <v>44.758692964802123</v>
      </c>
      <c r="AM48" s="716">
        <f t="shared" si="23"/>
        <v>4594.0901745614037</v>
      </c>
      <c r="AN48" s="716" t="str">
        <f>_xlfn.XLOOKUP(D48,RUC!$B$3:$B$578,RUC!$M$3:$M$578)</f>
        <v>Ronald Garibay</v>
      </c>
      <c r="AO48" s="1167" t="s">
        <v>2277</v>
      </c>
      <c r="AP48" t="s">
        <v>2905</v>
      </c>
      <c r="AQ48" t="s">
        <v>2906</v>
      </c>
      <c r="AR48" s="1459" t="s">
        <v>2988</v>
      </c>
    </row>
    <row r="49" spans="1:44" ht="15" customHeight="1">
      <c r="A49" s="747" t="s">
        <v>2907</v>
      </c>
      <c r="B49" s="595">
        <v>45933</v>
      </c>
      <c r="C49" s="1447">
        <v>45921</v>
      </c>
      <c r="D49" t="s">
        <v>93</v>
      </c>
      <c r="E49" s="762">
        <f>_xlfn.XLOOKUP(D49,RUC!$B$3:$B$123,RUC!$D$3:$D$123)</f>
        <v>20169040231</v>
      </c>
      <c r="G49" s="1082">
        <v>66</v>
      </c>
      <c r="H49" s="762" t="s">
        <v>69</v>
      </c>
      <c r="I49" s="703">
        <v>5.5</v>
      </c>
      <c r="J49" s="596">
        <v>1.2</v>
      </c>
      <c r="K49" s="703">
        <f t="shared" si="13"/>
        <v>5.4340000000000002</v>
      </c>
      <c r="L49" s="994">
        <v>1.0309999999999999</v>
      </c>
      <c r="M49" s="762">
        <v>0.97899999999999998</v>
      </c>
      <c r="N49" s="1196">
        <v>0.97899999999999998</v>
      </c>
      <c r="O49" s="645">
        <f t="shared" si="14"/>
        <v>0.97899999999999998</v>
      </c>
      <c r="P49" s="727">
        <v>87</v>
      </c>
      <c r="Q49" s="665">
        <v>87.29</v>
      </c>
      <c r="R49" s="706">
        <v>3719.7</v>
      </c>
      <c r="S49" s="765">
        <f>IF((_xlfn.XLOOKUP(D49,RUC!$B$3:$B$119,RUC!$E$3:$E$119)+ROUNDDOWN(O49,1)*100)&lt;95,95,((_xlfn.XLOOKUP(D49,RUC!$B$3:$B$119,RUC!$E$3:$E$119)+ROUNDDOWN(O49,1)*100)))</f>
        <v>175</v>
      </c>
      <c r="U49" s="1146">
        <f>_xlfn.XLOOKUP(D49,RUC!$B$3:$B$123,RUC!$F$3:$F$123)</f>
        <v>120</v>
      </c>
      <c r="V49" s="715">
        <v>1.1023000000000001</v>
      </c>
      <c r="Y49">
        <f>_xlfn.XLOOKUP(D49,RUC!$B$3:$B$123,RUC!$G$3:$G$123)</f>
        <v>20</v>
      </c>
      <c r="Z49" s="1454">
        <v>35</v>
      </c>
      <c r="AA49" s="144">
        <f t="shared" ref="AA49:AA86" si="41">+Y49+Z49</f>
        <v>55</v>
      </c>
      <c r="AB49" s="145">
        <f t="shared" si="32"/>
        <v>3126.0924658063</v>
      </c>
      <c r="AC49" s="145">
        <f>+(S49-T49)*V49-'data 1'!$F$4</f>
        <v>112.9025</v>
      </c>
      <c r="AD49" s="145">
        <f t="shared" si="16"/>
        <v>11.863771641969256</v>
      </c>
      <c r="AE49" s="145">
        <f t="shared" ref="AE49:AE90" si="42">+(Y49*V49-70)+V49*(Z49-IF(D49="UNTUCA",IF(+((W49-3)*2.5+(X49-3)*3.1)&gt;0,+((W49-3)*1.5+(X49-3)*3.1),0),IF(+((W49-3)*1.5+(X49-3)*3.1)&gt;0,+((W49-3)*1.5+(X49-3)*3.1),0)))</f>
        <v>-9.3734999999999999</v>
      </c>
      <c r="AF49" s="145">
        <f t="shared" si="18"/>
        <v>180.10839354034778</v>
      </c>
      <c r="AG49" s="772">
        <f t="shared" ref="AG49:AG86" si="43">AC49+AD49+AE49+AF49+70-53</f>
        <v>312.50116518231704</v>
      </c>
      <c r="AH49" s="1253">
        <f t="shared" si="19"/>
        <v>167.66900000000001</v>
      </c>
      <c r="AI49" s="1253">
        <f t="shared" si="20"/>
        <v>192.08199999999999</v>
      </c>
      <c r="AJ49" s="156">
        <f t="shared" si="21"/>
        <v>397.10792684733116</v>
      </c>
      <c r="AK49" s="156">
        <f t="shared" si="22"/>
        <v>158.68308962583322</v>
      </c>
      <c r="AM49" s="716">
        <f t="shared" si="23"/>
        <v>16987.186459191435</v>
      </c>
      <c r="AN49" s="716" t="str">
        <f>_xlfn.XLOOKUP(D49,RUC!$B$3:$B$578,RUC!$M$3:$M$578)</f>
        <v>Ronald Miranda</v>
      </c>
      <c r="AO49" s="1167" t="s">
        <v>2278</v>
      </c>
      <c r="AP49" t="s">
        <v>2963</v>
      </c>
      <c r="AQ49" t="s">
        <v>2964</v>
      </c>
    </row>
    <row r="50" spans="1:44" ht="15" customHeight="1">
      <c r="A50" s="747" t="s">
        <v>2910</v>
      </c>
      <c r="B50" s="595">
        <v>45934</v>
      </c>
      <c r="C50" s="1447">
        <v>45922</v>
      </c>
      <c r="D50" t="s">
        <v>2444</v>
      </c>
      <c r="E50" s="762">
        <f>_xlfn.XLOOKUP(D50,RUC!$B$3:$B$123,RUC!$D$3:$D$123)</f>
        <v>20608774000</v>
      </c>
      <c r="G50" s="1082">
        <v>59</v>
      </c>
      <c r="H50" s="762" t="s">
        <v>108</v>
      </c>
      <c r="I50" s="703">
        <v>4.24</v>
      </c>
      <c r="J50" s="596">
        <v>18.13</v>
      </c>
      <c r="K50" s="703">
        <f t="shared" si="13"/>
        <v>3.4710000000000001</v>
      </c>
      <c r="L50" s="994">
        <v>0.69599999999999995</v>
      </c>
      <c r="M50" s="994">
        <v>0.65400000000000003</v>
      </c>
      <c r="N50" s="1444">
        <v>0.75600000000000001</v>
      </c>
      <c r="O50" s="645">
        <f t="shared" si="14"/>
        <v>0.70499999999999996</v>
      </c>
      <c r="P50" s="727">
        <v>89</v>
      </c>
      <c r="Q50" s="881">
        <v>89.57</v>
      </c>
      <c r="R50" s="706">
        <v>3719.7</v>
      </c>
      <c r="S50" s="765">
        <f>IF((_xlfn.XLOOKUP(D50,RUC!$B$3:$B$119,RUC!$E$3:$E$119)+ROUNDDOWN(O50,1)*100)&lt;95,95,((_xlfn.XLOOKUP(D50,RUC!$B$3:$B$119,RUC!$E$3:$E$119)+ROUNDDOWN(O50,1)*100)))</f>
        <v>155</v>
      </c>
      <c r="U50" s="1146">
        <f>_xlfn.XLOOKUP(D50,RUC!$B$3:$B$123,RUC!$F$3:$F$123)</f>
        <v>120</v>
      </c>
      <c r="V50" s="715">
        <v>1.1023000000000001</v>
      </c>
      <c r="Y50" s="1445">
        <v>40</v>
      </c>
      <c r="Z50" s="1454">
        <v>35</v>
      </c>
      <c r="AA50" s="144">
        <f t="shared" si="41"/>
        <v>75</v>
      </c>
      <c r="AB50" s="145">
        <f t="shared" si="32"/>
        <v>2236.1607945594997</v>
      </c>
      <c r="AC50" s="145">
        <f>+(S50-T50)*V50-'data 1'!$F$4</f>
        <v>90.856500000000011</v>
      </c>
      <c r="AD50" s="145">
        <f t="shared" si="16"/>
        <v>15.741648502631808</v>
      </c>
      <c r="AE50" s="145">
        <f t="shared" si="42"/>
        <v>12.672499999999999</v>
      </c>
      <c r="AF50" s="145">
        <f t="shared" si="18"/>
        <v>-31.986829772703025</v>
      </c>
      <c r="AG50" s="772">
        <f t="shared" si="43"/>
        <v>104.28381872992878</v>
      </c>
      <c r="AH50" s="1253">
        <f t="shared" si="19"/>
        <v>74.188000000000002</v>
      </c>
      <c r="AI50" s="1253">
        <f t="shared" si="20"/>
        <v>82.826999999999998</v>
      </c>
      <c r="AJ50" s="156">
        <f t="shared" si="21"/>
        <v>275.07885715096808</v>
      </c>
      <c r="AK50" s="156">
        <f t="shared" si="22"/>
        <v>74.669424926676555</v>
      </c>
      <c r="AM50" s="716">
        <f t="shared" si="23"/>
        <v>7761.7141179160235</v>
      </c>
      <c r="AN50" s="716" t="str">
        <f>_xlfn.XLOOKUP(D50,RUC!$B$3:$B$578,RUC!$M$3:$M$578)</f>
        <v>Ronald Miranda</v>
      </c>
      <c r="AO50" s="1167" t="s">
        <v>2280</v>
      </c>
      <c r="AP50" t="s">
        <v>2965</v>
      </c>
      <c r="AQ50" t="s">
        <v>2966</v>
      </c>
    </row>
    <row r="51" spans="1:44" ht="15" customHeight="1">
      <c r="A51" s="747" t="s">
        <v>2911</v>
      </c>
      <c r="B51" s="595">
        <v>45933</v>
      </c>
      <c r="C51" s="1447">
        <v>45922</v>
      </c>
      <c r="D51" t="s">
        <v>93</v>
      </c>
      <c r="E51" s="762">
        <f>_xlfn.XLOOKUP(D51,RUC!$B$3:$B$123,RUC!$D$3:$D$123)</f>
        <v>20169040231</v>
      </c>
      <c r="G51" s="1082">
        <v>66</v>
      </c>
      <c r="H51" s="762" t="s">
        <v>69</v>
      </c>
      <c r="I51" s="703">
        <v>5.36</v>
      </c>
      <c r="J51" s="596">
        <v>1.1000000000000001</v>
      </c>
      <c r="K51" s="703">
        <f t="shared" si="13"/>
        <v>5.3010000000000002</v>
      </c>
      <c r="L51" s="994">
        <v>1.429</v>
      </c>
      <c r="M51" s="994">
        <v>1.3580000000000001</v>
      </c>
      <c r="N51" s="1196">
        <v>1.3580000000000001</v>
      </c>
      <c r="O51" s="645">
        <f t="shared" si="14"/>
        <v>1.3580000000000001</v>
      </c>
      <c r="P51" s="727">
        <v>90</v>
      </c>
      <c r="Q51" s="881">
        <v>90.53</v>
      </c>
      <c r="R51" s="706">
        <v>3719.7</v>
      </c>
      <c r="S51" s="765">
        <f>IF((_xlfn.XLOOKUP(D51,RUC!$B$3:$B$119,RUC!$E$3:$E$119)+ROUNDDOWN(O51,1)*100)&lt;95,95,((_xlfn.XLOOKUP(D51,RUC!$B$3:$B$119,RUC!$E$3:$E$119)+ROUNDDOWN(O51,1)*100)))</f>
        <v>215</v>
      </c>
      <c r="U51" s="1146">
        <f>_xlfn.XLOOKUP(D51,RUC!$B$3:$B$123,RUC!$F$3:$F$123)</f>
        <v>120</v>
      </c>
      <c r="V51" s="715">
        <v>1.1023000000000001</v>
      </c>
      <c r="Y51">
        <f>_xlfn.XLOOKUP(D51,RUC!$B$3:$B$123,RUC!$G$3:$G$123)</f>
        <v>20</v>
      </c>
      <c r="Z51" s="1454">
        <v>35</v>
      </c>
      <c r="AA51" s="144">
        <f t="shared" si="41"/>
        <v>55</v>
      </c>
      <c r="AB51" s="145">
        <f t="shared" si="32"/>
        <v>4552.0066466820008</v>
      </c>
      <c r="AC51" s="145">
        <f>+(S51-T51)*V51-'data 1'!$F$4</f>
        <v>156.99450000000002</v>
      </c>
      <c r="AD51" s="145">
        <f t="shared" si="16"/>
        <v>30.052057689147063</v>
      </c>
      <c r="AE51" s="145">
        <f t="shared" si="42"/>
        <v>-9.3734999999999999</v>
      </c>
      <c r="AF51" s="145">
        <f t="shared" si="18"/>
        <v>255.04510023435284</v>
      </c>
      <c r="AG51" s="772">
        <f t="shared" si="43"/>
        <v>449.71815792349992</v>
      </c>
      <c r="AH51" s="1253">
        <f t="shared" si="19"/>
        <v>235.12100000000001</v>
      </c>
      <c r="AI51" s="1253">
        <f t="shared" si="20"/>
        <v>259.71600000000001</v>
      </c>
      <c r="AJ51" s="156">
        <f t="shared" si="21"/>
        <v>570.83441275985342</v>
      </c>
      <c r="AK51" s="156">
        <f t="shared" si="22"/>
        <v>222.13099035723775</v>
      </c>
      <c r="AM51" s="716">
        <f t="shared" si="23"/>
        <v>24130.187234061286</v>
      </c>
      <c r="AN51" s="716" t="str">
        <f>_xlfn.XLOOKUP(D51,RUC!$B$3:$B$578,RUC!$M$3:$M$578)</f>
        <v>Ronald Miranda</v>
      </c>
      <c r="AO51" s="1167" t="s">
        <v>2278</v>
      </c>
      <c r="AP51" t="s">
        <v>2963</v>
      </c>
      <c r="AQ51" t="s">
        <v>2964</v>
      </c>
    </row>
    <row r="52" spans="1:44" ht="15" customHeight="1">
      <c r="A52" s="747" t="s">
        <v>2912</v>
      </c>
      <c r="B52" s="595">
        <v>45934</v>
      </c>
      <c r="C52" s="1447">
        <v>45922</v>
      </c>
      <c r="D52" t="s">
        <v>2444</v>
      </c>
      <c r="E52" s="762">
        <f>_xlfn.XLOOKUP(D52,RUC!$B$3:$B$123,RUC!$D$3:$D$123)</f>
        <v>20608774000</v>
      </c>
      <c r="G52" s="1082">
        <v>19</v>
      </c>
      <c r="H52" s="762" t="s">
        <v>108</v>
      </c>
      <c r="I52" s="703">
        <v>1.46</v>
      </c>
      <c r="J52" s="596">
        <v>25.22</v>
      </c>
      <c r="K52" s="703">
        <f t="shared" si="13"/>
        <v>1.0920000000000001</v>
      </c>
      <c r="L52" s="994">
        <v>0.54900000000000004</v>
      </c>
      <c r="M52" s="994">
        <v>0.52200000000000002</v>
      </c>
      <c r="N52" s="1196">
        <v>0.52200000000000002</v>
      </c>
      <c r="O52" s="645">
        <f t="shared" si="14"/>
        <v>0.52200000000000002</v>
      </c>
      <c r="P52" s="727">
        <v>90</v>
      </c>
      <c r="Q52" s="881">
        <v>93.18</v>
      </c>
      <c r="R52" s="706">
        <v>3719.7</v>
      </c>
      <c r="S52" s="765">
        <f>IF((_xlfn.XLOOKUP(D52,RUC!$B$3:$B$119,RUC!$E$3:$E$119)+ROUNDDOWN(O52,1)*100)&lt;95,95,((_xlfn.XLOOKUP(D52,RUC!$B$3:$B$119,RUC!$E$3:$E$119)+ROUNDDOWN(O52,1)*100)))</f>
        <v>135</v>
      </c>
      <c r="U52" s="1146">
        <f>_xlfn.XLOOKUP(D52,RUC!$B$3:$B$123,RUC!$F$3:$F$123)</f>
        <v>120</v>
      </c>
      <c r="V52" s="715">
        <v>1.1023000000000001</v>
      </c>
      <c r="Y52">
        <f>_xlfn.XLOOKUP(D52,RUC!$B$3:$B$123,RUC!$G$3:$G$123)</f>
        <v>20</v>
      </c>
      <c r="Z52" s="1454">
        <v>35</v>
      </c>
      <c r="AA52" s="144">
        <f t="shared" si="41"/>
        <v>55</v>
      </c>
      <c r="AB52" s="145">
        <f t="shared" si="32"/>
        <v>1654.7055858380004</v>
      </c>
      <c r="AC52" s="145">
        <f>+(S52-T52)*V52-'data 1'!$F$4</f>
        <v>68.810500000000019</v>
      </c>
      <c r="AD52" s="145">
        <f t="shared" si="16"/>
        <v>69.273252643842156</v>
      </c>
      <c r="AE52" s="145">
        <f t="shared" si="42"/>
        <v>-9.3734999999999999</v>
      </c>
      <c r="AF52" s="145">
        <f t="shared" si="18"/>
        <v>99.828049510566089</v>
      </c>
      <c r="AG52" s="772">
        <f t="shared" si="43"/>
        <v>245.53830215440826</v>
      </c>
      <c r="AH52" s="1253">
        <f t="shared" si="19"/>
        <v>19.152999999999999</v>
      </c>
      <c r="AI52" s="1253">
        <f t="shared" si="20"/>
        <v>20.553999999999998</v>
      </c>
      <c r="AJ52" s="156">
        <f t="shared" si="21"/>
        <v>225.72540872515813</v>
      </c>
      <c r="AK52" s="156">
        <f t="shared" si="22"/>
        <v>17.589144634031882</v>
      </c>
      <c r="AM52" s="716">
        <f t="shared" si="23"/>
        <v>1806.9384997350965</v>
      </c>
      <c r="AN52" s="716" t="str">
        <f>_xlfn.XLOOKUP(D52,RUC!$B$3:$B$578,RUC!$M$3:$M$578)</f>
        <v>Ronald Miranda</v>
      </c>
      <c r="AO52" s="1167" t="s">
        <v>2278</v>
      </c>
      <c r="AP52" t="s">
        <v>2965</v>
      </c>
      <c r="AQ52" t="s">
        <v>2966</v>
      </c>
    </row>
    <row r="53" spans="1:44" ht="15" customHeight="1">
      <c r="A53" s="747" t="s">
        <v>2914</v>
      </c>
      <c r="B53" s="595">
        <v>45933</v>
      </c>
      <c r="C53" s="1447">
        <v>45923</v>
      </c>
      <c r="D53" t="s">
        <v>93</v>
      </c>
      <c r="E53" s="762">
        <f>_xlfn.XLOOKUP(D53,RUC!$B$3:$B$123,RUC!$D$3:$D$123)</f>
        <v>20169040231</v>
      </c>
      <c r="G53" s="1082">
        <v>100</v>
      </c>
      <c r="H53" s="762" t="s">
        <v>69</v>
      </c>
      <c r="I53" s="703">
        <v>9.6300000000000008</v>
      </c>
      <c r="J53" s="596">
        <v>1.45</v>
      </c>
      <c r="K53" s="703">
        <f t="shared" si="13"/>
        <v>9.49</v>
      </c>
      <c r="L53" s="994">
        <v>0.28100000000000003</v>
      </c>
      <c r="M53" s="994">
        <v>0.26600000000000001</v>
      </c>
      <c r="N53" s="1196">
        <v>0.26600000000000001</v>
      </c>
      <c r="O53" s="645">
        <f t="shared" si="14"/>
        <v>0.26600000000000001</v>
      </c>
      <c r="P53" s="727">
        <v>89</v>
      </c>
      <c r="Q53" s="881">
        <v>89.68</v>
      </c>
      <c r="R53" s="706">
        <v>3783.8</v>
      </c>
      <c r="S53" s="765">
        <f>IF((_xlfn.XLOOKUP(D53,RUC!$B$3:$B$119,RUC!$E$3:$E$119)+ROUNDDOWN(O53,1)*100)&lt;95,95,((_xlfn.XLOOKUP(D53,RUC!$B$3:$B$119,RUC!$E$3:$E$119)+ROUNDDOWN(O53,1)*100)))</f>
        <v>105</v>
      </c>
      <c r="U53" s="1146">
        <f>_xlfn.XLOOKUP(D53,RUC!$B$3:$B$123,RUC!$F$3:$F$123)</f>
        <v>120</v>
      </c>
      <c r="V53" s="715">
        <v>1.1023000000000001</v>
      </c>
      <c r="Y53">
        <f>_xlfn.XLOOKUP(D53,RUC!$B$3:$B$123,RUC!$G$3:$G$123)</f>
        <v>20</v>
      </c>
      <c r="Z53" s="143">
        <f>_xlfn.XLOOKUP(D53,RUC!$B$3:$B$123,RUC!$H$3:$H$123)</f>
        <v>30</v>
      </c>
      <c r="AA53" s="144">
        <f t="shared" si="41"/>
        <v>50</v>
      </c>
      <c r="AB53" s="145">
        <f t="shared" si="32"/>
        <v>785.24325962760008</v>
      </c>
      <c r="AC53" s="145">
        <f>+(S53-T53)*V53-'data 1'!$F$4</f>
        <v>35.741500000000002</v>
      </c>
      <c r="AD53" s="145">
        <f t="shared" si="16"/>
        <v>7.7169697587920787</v>
      </c>
      <c r="AE53" s="145">
        <f t="shared" si="42"/>
        <v>-14.884999999999998</v>
      </c>
      <c r="AF53" s="145">
        <f t="shared" si="18"/>
        <v>54.327337866480057</v>
      </c>
      <c r="AG53" s="772">
        <f t="shared" si="43"/>
        <v>99.900807625272137</v>
      </c>
      <c r="AH53" s="1253">
        <f t="shared" si="19"/>
        <v>81.992999999999995</v>
      </c>
      <c r="AI53" s="1253">
        <f t="shared" si="20"/>
        <v>91.429000000000002</v>
      </c>
      <c r="AJ53" s="156">
        <f t="shared" si="21"/>
        <v>93.389797994607974</v>
      </c>
      <c r="AK53" s="156">
        <f t="shared" si="22"/>
        <v>77.027699058421945</v>
      </c>
      <c r="AM53" s="716">
        <f t="shared" si="23"/>
        <v>7451.9585338659253</v>
      </c>
      <c r="AN53" s="716" t="str">
        <f>_xlfn.XLOOKUP(D53,RUC!$B$3:$B$578,RUC!$M$3:$M$578)</f>
        <v>Ronald Miranda</v>
      </c>
      <c r="AO53" s="1167" t="s">
        <v>2279</v>
      </c>
      <c r="AP53" t="s">
        <v>2967</v>
      </c>
      <c r="AQ53" t="s">
        <v>2968</v>
      </c>
    </row>
    <row r="54" spans="1:44" ht="15" customHeight="1">
      <c r="A54" s="747" t="s">
        <v>2915</v>
      </c>
      <c r="B54" s="595">
        <v>45931</v>
      </c>
      <c r="C54" s="1447">
        <v>45923</v>
      </c>
      <c r="D54" t="s">
        <v>2444</v>
      </c>
      <c r="E54" s="762">
        <f>_xlfn.XLOOKUP(D54,RUC!$B$3:$B$123,RUC!$D$3:$D$123)</f>
        <v>20608774000</v>
      </c>
      <c r="G54" s="1082">
        <v>30</v>
      </c>
      <c r="H54" s="762" t="s">
        <v>108</v>
      </c>
      <c r="I54" s="703">
        <v>2.65</v>
      </c>
      <c r="J54" s="596">
        <v>29.8</v>
      </c>
      <c r="K54" s="703">
        <f t="shared" si="13"/>
        <v>1.86</v>
      </c>
      <c r="L54" s="994">
        <v>4.476</v>
      </c>
      <c r="M54" s="994">
        <v>4.2519999999999998</v>
      </c>
      <c r="N54" s="1444">
        <v>4.62</v>
      </c>
      <c r="O54" s="645">
        <f t="shared" si="14"/>
        <v>4.4359999999999999</v>
      </c>
      <c r="P54" s="727">
        <v>90</v>
      </c>
      <c r="Q54" s="881">
        <v>91.2</v>
      </c>
      <c r="R54" s="706">
        <v>3783.8</v>
      </c>
      <c r="S54" s="765">
        <f>IF((_xlfn.XLOOKUP(D54,RUC!$B$3:$B$119,RUC!$E$3:$E$119)+ROUNDDOWN(O54,1)*100)&lt;95,95,((_xlfn.XLOOKUP(D54,RUC!$B$3:$B$119,RUC!$E$3:$E$119)+ROUNDDOWN(O54,1)*100)))</f>
        <v>525</v>
      </c>
      <c r="U54" s="1458">
        <v>80</v>
      </c>
      <c r="V54" s="715">
        <v>1.1023000000000001</v>
      </c>
      <c r="Y54">
        <f>_xlfn.XLOOKUP(D54,RUC!$B$3:$B$123,RUC!$G$3:$G$123)</f>
        <v>20</v>
      </c>
      <c r="Z54" s="1454">
        <v>35</v>
      </c>
      <c r="AA54" s="144">
        <f t="shared" si="41"/>
        <v>55</v>
      </c>
      <c r="AB54" s="145">
        <f t="shared" si="32"/>
        <v>15660.432449576003</v>
      </c>
      <c r="AC54" s="145">
        <f>+(S54-T54)*V54-'data 1'!$F$4</f>
        <v>498.70749999999998</v>
      </c>
      <c r="AD54" s="145">
        <f t="shared" si="16"/>
        <v>219.28991472288052</v>
      </c>
      <c r="AE54" s="145">
        <f t="shared" si="42"/>
        <v>-9.3734999999999999</v>
      </c>
      <c r="AF54" s="145">
        <f t="shared" si="18"/>
        <v>148.93685003520014</v>
      </c>
      <c r="AG54" s="772">
        <f t="shared" si="43"/>
        <v>874.56076475808061</v>
      </c>
      <c r="AH54" s="1253">
        <f t="shared" si="19"/>
        <v>260.32</v>
      </c>
      <c r="AI54" s="1253">
        <f t="shared" si="20"/>
        <v>285.43799999999999</v>
      </c>
      <c r="AJ54" s="156">
        <f t="shared" si="21"/>
        <v>1332.8147114611193</v>
      </c>
      <c r="AK54" s="156">
        <f t="shared" si="22"/>
        <v>254.59862884652523</v>
      </c>
      <c r="AM54" s="716">
        <f t="shared" si="23"/>
        <v>29128.404356211366</v>
      </c>
      <c r="AN54" s="716" t="str">
        <f>_xlfn.XLOOKUP(D54,RUC!$B$3:$B$578,RUC!$M$3:$M$578)</f>
        <v>Ronald Miranda</v>
      </c>
      <c r="AO54" s="1167" t="s">
        <v>2280</v>
      </c>
      <c r="AP54" t="s">
        <v>2969</v>
      </c>
      <c r="AQ54" t="s">
        <v>2970</v>
      </c>
      <c r="AR54" s="1459" t="s">
        <v>2989</v>
      </c>
    </row>
    <row r="55" spans="1:44" ht="15" customHeight="1">
      <c r="A55" s="747" t="s">
        <v>2918</v>
      </c>
      <c r="B55" s="595">
        <v>45931</v>
      </c>
      <c r="C55" s="1447">
        <v>45892</v>
      </c>
      <c r="D55" t="s">
        <v>2444</v>
      </c>
      <c r="E55" s="762">
        <f>_xlfn.XLOOKUP(D55,RUC!$B$3:$B$123,RUC!$D$3:$D$123)</f>
        <v>20608774000</v>
      </c>
      <c r="G55" s="1082">
        <v>18</v>
      </c>
      <c r="H55" s="762" t="s">
        <v>69</v>
      </c>
      <c r="I55" s="703">
        <v>1.57</v>
      </c>
      <c r="J55" s="596">
        <v>6.4</v>
      </c>
      <c r="K55" s="703">
        <f t="shared" si="13"/>
        <v>1.47</v>
      </c>
      <c r="L55" s="994">
        <v>0.25</v>
      </c>
      <c r="M55" s="994">
        <v>0.23499999999999999</v>
      </c>
      <c r="N55" s="1196">
        <v>0.23499999999999999</v>
      </c>
      <c r="O55" s="645">
        <f t="shared" si="14"/>
        <v>0.23499999999999999</v>
      </c>
      <c r="P55" s="727">
        <v>81</v>
      </c>
      <c r="Q55" s="881">
        <v>88.8</v>
      </c>
      <c r="R55" s="706">
        <v>3783.8</v>
      </c>
      <c r="S55" s="765">
        <f>IF((_xlfn.XLOOKUP(D55,RUC!$B$3:$B$119,RUC!$E$3:$E$119)+ROUNDDOWN(O55,1)*100)&lt;95,95,((_xlfn.XLOOKUP(D55,RUC!$B$3:$B$119,RUC!$E$3:$E$119)+ROUNDDOWN(O55,1)*100)))</f>
        <v>105</v>
      </c>
      <c r="U55" s="1458">
        <v>80</v>
      </c>
      <c r="V55" s="715">
        <v>1.1023000000000001</v>
      </c>
      <c r="Y55">
        <f>_xlfn.XLOOKUP(D55,RUC!$B$3:$B$123,RUC!$G$3:$G$123)</f>
        <v>20</v>
      </c>
      <c r="Z55" s="1454">
        <v>35</v>
      </c>
      <c r="AA55" s="144">
        <f t="shared" si="41"/>
        <v>55</v>
      </c>
      <c r="AB55" s="145">
        <f t="shared" si="32"/>
        <v>600.77370515899997</v>
      </c>
      <c r="AC55" s="145">
        <f>+(S55-T55)*V55-'data 1'!$F$4</f>
        <v>35.741500000000002</v>
      </c>
      <c r="AD55" s="145">
        <f t="shared" si="16"/>
        <v>79.61262542999998</v>
      </c>
      <c r="AE55" s="145">
        <f t="shared" si="42"/>
        <v>-9.3734999999999999</v>
      </c>
      <c r="AF55" s="145">
        <f t="shared" si="18"/>
        <v>54.381547216800044</v>
      </c>
      <c r="AG55" s="772">
        <f t="shared" si="43"/>
        <v>177.36217264680002</v>
      </c>
      <c r="AH55" s="1253">
        <f t="shared" si="19"/>
        <v>11.189</v>
      </c>
      <c r="AI55" s="1253">
        <f t="shared" si="20"/>
        <v>12.6</v>
      </c>
      <c r="AJ55" s="156">
        <f t="shared" si="21"/>
        <v>72.483279719999956</v>
      </c>
      <c r="AK55" s="156">
        <f t="shared" si="22"/>
        <v>9.5935487145167251</v>
      </c>
      <c r="AM55" s="716">
        <f t="shared" si="23"/>
        <v>883.13734658372994</v>
      </c>
      <c r="AN55" s="716" t="str">
        <f>_xlfn.XLOOKUP(D55,RUC!$B$3:$B$578,RUC!$M$3:$M$578)</f>
        <v>Ronald Miranda</v>
      </c>
      <c r="AO55" s="1167" t="s">
        <v>2281</v>
      </c>
      <c r="AP55" t="s">
        <v>2969</v>
      </c>
      <c r="AQ55" t="s">
        <v>2970</v>
      </c>
      <c r="AR55" s="1459" t="s">
        <v>2989</v>
      </c>
    </row>
    <row r="56" spans="1:44" ht="15" customHeight="1">
      <c r="A56" s="747" t="s">
        <v>2919</v>
      </c>
      <c r="B56" s="595">
        <v>45931</v>
      </c>
      <c r="C56" s="1447">
        <v>45923</v>
      </c>
      <c r="D56" t="s">
        <v>2444</v>
      </c>
      <c r="E56" s="762">
        <f>_xlfn.XLOOKUP(D56,RUC!$B$3:$B$123,RUC!$D$3:$D$123)</f>
        <v>20608774000</v>
      </c>
      <c r="G56" s="1082">
        <v>36</v>
      </c>
      <c r="H56" s="762" t="s">
        <v>69</v>
      </c>
      <c r="I56" s="703">
        <v>2.7</v>
      </c>
      <c r="J56" s="596">
        <v>8.4499999999999993</v>
      </c>
      <c r="K56" s="703">
        <f t="shared" si="13"/>
        <v>2.472</v>
      </c>
      <c r="L56" s="994">
        <v>0.28000000000000003</v>
      </c>
      <c r="M56" s="994">
        <v>0.27500000000000002</v>
      </c>
      <c r="N56" s="1196">
        <v>0.27500000000000002</v>
      </c>
      <c r="O56" s="645">
        <f t="shared" si="14"/>
        <v>0.27500000000000002</v>
      </c>
      <c r="P56" s="727">
        <v>86</v>
      </c>
      <c r="Q56" s="881">
        <v>93.1</v>
      </c>
      <c r="R56" s="706">
        <v>3783.8</v>
      </c>
      <c r="S56" s="765">
        <f>IF((_xlfn.XLOOKUP(D56,RUC!$B$3:$B$119,RUC!$E$3:$E$119)+ROUNDDOWN(O56,1)*100)&lt;95,95,((_xlfn.XLOOKUP(D56,RUC!$B$3:$B$119,RUC!$E$3:$E$119)+ROUNDDOWN(O56,1)*100)))</f>
        <v>105</v>
      </c>
      <c r="U56" s="1458">
        <v>80</v>
      </c>
      <c r="V56" s="715">
        <v>1.1023000000000001</v>
      </c>
      <c r="Y56">
        <f>_xlfn.XLOOKUP(D56,RUC!$B$3:$B$123,RUC!$G$3:$G$123)</f>
        <v>20</v>
      </c>
      <c r="Z56" s="1454">
        <v>35</v>
      </c>
      <c r="AA56" s="144">
        <f t="shared" si="41"/>
        <v>55</v>
      </c>
      <c r="AB56" s="145">
        <f t="shared" si="32"/>
        <v>789.19025201000022</v>
      </c>
      <c r="AC56" s="145">
        <f>+(S56-T56)*V56-'data 1'!$F$4</f>
        <v>35.741500000000002</v>
      </c>
      <c r="AD56" s="145">
        <f t="shared" si="16"/>
        <v>81.164050951199954</v>
      </c>
      <c r="AE56" s="145">
        <f t="shared" si="42"/>
        <v>-9.3734999999999999</v>
      </c>
      <c r="AF56" s="145">
        <f t="shared" si="18"/>
        <v>19.004962634700018</v>
      </c>
      <c r="AG56" s="772">
        <f t="shared" si="43"/>
        <v>143.53701358589996</v>
      </c>
      <c r="AH56" s="1253">
        <f t="shared" si="19"/>
        <v>22.094000000000001</v>
      </c>
      <c r="AI56" s="1253">
        <f t="shared" si="20"/>
        <v>23.731000000000002</v>
      </c>
      <c r="AJ56" s="156">
        <f t="shared" si="21"/>
        <v>85.11234845679995</v>
      </c>
      <c r="AK56" s="156">
        <f t="shared" si="22"/>
        <v>20.044197844895404</v>
      </c>
      <c r="AM56" s="716">
        <f t="shared" si="23"/>
        <v>1950.8783029687206</v>
      </c>
      <c r="AN56" s="716" t="str">
        <f>_xlfn.XLOOKUP(D56,RUC!$B$3:$B$578,RUC!$M$3:$M$578)</f>
        <v>Ronald Miranda</v>
      </c>
      <c r="AO56" s="1167" t="s">
        <v>2281</v>
      </c>
      <c r="AP56" t="s">
        <v>2969</v>
      </c>
      <c r="AQ56" t="s">
        <v>2970</v>
      </c>
      <c r="AR56" s="1459" t="s">
        <v>2989</v>
      </c>
    </row>
    <row r="57" spans="1:44" ht="15" customHeight="1">
      <c r="A57" s="747" t="s">
        <v>2920</v>
      </c>
      <c r="B57" s="595">
        <v>45931</v>
      </c>
      <c r="C57" s="1447">
        <v>45923</v>
      </c>
      <c r="D57" t="s">
        <v>2444</v>
      </c>
      <c r="E57" s="762">
        <f>_xlfn.XLOOKUP(D57,RUC!$B$3:$B$123,RUC!$D$3:$D$123)</f>
        <v>20608774000</v>
      </c>
      <c r="G57" s="1082">
        <v>35</v>
      </c>
      <c r="H57" s="762" t="s">
        <v>69</v>
      </c>
      <c r="I57" s="703">
        <v>2.84</v>
      </c>
      <c r="J57" s="596">
        <v>8.15</v>
      </c>
      <c r="K57" s="703">
        <f t="shared" si="13"/>
        <v>2.609</v>
      </c>
      <c r="L57" s="994">
        <v>0.42199999999999999</v>
      </c>
      <c r="M57" s="994">
        <v>0.40100000000000002</v>
      </c>
      <c r="N57" s="1196">
        <v>0.40100000000000002</v>
      </c>
      <c r="O57" s="645">
        <f t="shared" si="14"/>
        <v>0.40100000000000002</v>
      </c>
      <c r="P57" s="727">
        <v>90</v>
      </c>
      <c r="Q57" s="881">
        <v>90.28</v>
      </c>
      <c r="R57" s="706">
        <v>3783.8</v>
      </c>
      <c r="S57" s="765">
        <f>IF((_xlfn.XLOOKUP(D57,RUC!$B$3:$B$119,RUC!$E$3:$E$119)+ROUNDDOWN(O57,1)*100)&lt;95,95,((_xlfn.XLOOKUP(D57,RUC!$B$3:$B$119,RUC!$E$3:$E$119)+ROUNDDOWN(O57,1)*100)))</f>
        <v>125</v>
      </c>
      <c r="U57" s="1458">
        <v>80</v>
      </c>
      <c r="V57" s="715">
        <v>1.1023000000000001</v>
      </c>
      <c r="Y57">
        <f>_xlfn.XLOOKUP(D57,RUC!$B$3:$B$123,RUC!$G$3:$G$123)</f>
        <v>20</v>
      </c>
      <c r="Z57" s="1454">
        <v>35</v>
      </c>
      <c r="AA57" s="144">
        <f t="shared" si="41"/>
        <v>55</v>
      </c>
      <c r="AB57" s="145">
        <f t="shared" si="32"/>
        <v>1275.0319752660005</v>
      </c>
      <c r="AC57" s="145">
        <f>+(S57-T57)*V57-'data 1'!$F$4</f>
        <v>57.787499999999994</v>
      </c>
      <c r="AD57" s="145">
        <f t="shared" si="16"/>
        <v>4.8241168311840195</v>
      </c>
      <c r="AE57" s="145">
        <f t="shared" si="42"/>
        <v>-9.3734999999999999</v>
      </c>
      <c r="AF57" s="145">
        <f t="shared" si="18"/>
        <v>77.40306887191187</v>
      </c>
      <c r="AG57" s="772">
        <f t="shared" si="43"/>
        <v>147.64118570309589</v>
      </c>
      <c r="AH57" s="1253">
        <f t="shared" si="19"/>
        <v>34.079000000000001</v>
      </c>
      <c r="AI57" s="1253">
        <f t="shared" si="20"/>
        <v>37.747999999999998</v>
      </c>
      <c r="AJ57" s="156">
        <f t="shared" si="21"/>
        <v>124.39097243681594</v>
      </c>
      <c r="AK57" s="156">
        <f t="shared" si="22"/>
        <v>32.282713391762208</v>
      </c>
      <c r="AM57" s="716">
        <f t="shared" si="23"/>
        <v>3326.558423468995</v>
      </c>
      <c r="AN57" s="716" t="str">
        <f>_xlfn.XLOOKUP(D57,RUC!$B$3:$B$578,RUC!$M$3:$M$578)</f>
        <v>Ronald Miranda</v>
      </c>
      <c r="AO57" s="1167" t="s">
        <v>2281</v>
      </c>
      <c r="AP57" t="s">
        <v>2969</v>
      </c>
      <c r="AQ57" t="s">
        <v>2970</v>
      </c>
      <c r="AR57" s="1459" t="s">
        <v>2989</v>
      </c>
    </row>
    <row r="58" spans="1:44" ht="15" customHeight="1">
      <c r="A58" s="747" t="s">
        <v>2921</v>
      </c>
      <c r="B58" s="595">
        <v>45933</v>
      </c>
      <c r="C58" s="1447">
        <v>45923</v>
      </c>
      <c r="D58" t="s">
        <v>2444</v>
      </c>
      <c r="E58" s="762">
        <f>_xlfn.XLOOKUP(D58,RUC!$B$3:$B$123,RUC!$D$3:$D$123)</f>
        <v>20608774000</v>
      </c>
      <c r="G58" s="1082">
        <v>40</v>
      </c>
      <c r="H58" s="762" t="s">
        <v>69</v>
      </c>
      <c r="I58" s="703">
        <v>3.95</v>
      </c>
      <c r="J58" s="596">
        <v>1.4</v>
      </c>
      <c r="K58" s="703">
        <f t="shared" si="13"/>
        <v>3.895</v>
      </c>
      <c r="L58" s="994">
        <v>0.68400000000000005</v>
      </c>
      <c r="M58" s="994">
        <v>0.65</v>
      </c>
      <c r="N58" s="1196">
        <v>0.65</v>
      </c>
      <c r="O58" s="645">
        <f t="shared" si="14"/>
        <v>0.65</v>
      </c>
      <c r="P58" s="727">
        <v>90</v>
      </c>
      <c r="Q58" s="1460">
        <v>93.57</v>
      </c>
      <c r="R58" s="706">
        <v>3783.8</v>
      </c>
      <c r="S58" s="765">
        <f>IF((_xlfn.XLOOKUP(D58,RUC!$B$3:$B$119,RUC!$E$3:$E$119)+ROUNDDOWN(O58,1)*100)&lt;95,95,((_xlfn.XLOOKUP(D58,RUC!$B$3:$B$119,RUC!$E$3:$E$119)+ROUNDDOWN(O58,1)*100)))</f>
        <v>145</v>
      </c>
      <c r="U58" s="1146">
        <f>_xlfn.XLOOKUP(D58,RUC!$B$3:$B$123,RUC!$F$3:$F$123)</f>
        <v>120</v>
      </c>
      <c r="V58" s="715">
        <v>1.1023000000000001</v>
      </c>
      <c r="Y58">
        <f>_xlfn.XLOOKUP(D58,RUC!$B$3:$B$123,RUC!$G$3:$G$123)</f>
        <v>20</v>
      </c>
      <c r="Z58" s="1454">
        <v>35</v>
      </c>
      <c r="AA58" s="144">
        <f t="shared" si="41"/>
        <v>55</v>
      </c>
      <c r="AB58" s="145">
        <f t="shared" si="32"/>
        <v>2142.1249429000004</v>
      </c>
      <c r="AC58" s="145">
        <f>+(S58-T58)*V58-'data 1'!$F$4</f>
        <v>79.833500000000015</v>
      </c>
      <c r="AD58" s="145">
        <f t="shared" si="16"/>
        <v>98.617930262711837</v>
      </c>
      <c r="AE58" s="145">
        <f t="shared" si="42"/>
        <v>-9.3734999999999999</v>
      </c>
      <c r="AF58" s="145">
        <f t="shared" si="18"/>
        <v>128.48342710501211</v>
      </c>
      <c r="AG58" s="772">
        <f t="shared" si="43"/>
        <v>314.56135736772399</v>
      </c>
      <c r="AH58" s="1253">
        <f t="shared" si="19"/>
        <v>85.468999999999994</v>
      </c>
      <c r="AI58" s="1253">
        <f t="shared" si="20"/>
        <v>91.341999999999999</v>
      </c>
      <c r="AJ58" s="156">
        <f t="shared" si="21"/>
        <v>237.18665355328787</v>
      </c>
      <c r="AK58" s="156">
        <f t="shared" si="22"/>
        <v>78.121828076028763</v>
      </c>
      <c r="AM58" s="716">
        <f t="shared" si="23"/>
        <v>8343.5766525955023</v>
      </c>
      <c r="AN58" s="716" t="str">
        <f>_xlfn.XLOOKUP(D58,RUC!$B$3:$B$578,RUC!$M$3:$M$578)</f>
        <v>Ronald Miranda</v>
      </c>
      <c r="AO58" s="1167" t="s">
        <v>2279</v>
      </c>
      <c r="AP58" t="s">
        <v>2971</v>
      </c>
      <c r="AQ58" t="s">
        <v>2972</v>
      </c>
    </row>
    <row r="59" spans="1:44" ht="15" customHeight="1">
      <c r="A59" s="747" t="s">
        <v>2922</v>
      </c>
      <c r="B59" s="595">
        <v>45933</v>
      </c>
      <c r="C59" s="1447">
        <v>45923</v>
      </c>
      <c r="D59" t="s">
        <v>2444</v>
      </c>
      <c r="E59" s="762">
        <f>_xlfn.XLOOKUP(D59,RUC!$B$3:$B$123,RUC!$D$3:$D$123)</f>
        <v>20608774000</v>
      </c>
      <c r="G59" s="1082">
        <v>37</v>
      </c>
      <c r="H59" s="762" t="s">
        <v>69</v>
      </c>
      <c r="I59" s="703">
        <v>3.61</v>
      </c>
      <c r="J59" s="596">
        <v>1.6</v>
      </c>
      <c r="K59" s="703">
        <f t="shared" si="13"/>
        <v>3.552</v>
      </c>
      <c r="L59" s="994">
        <v>0.193</v>
      </c>
      <c r="M59" s="994">
        <v>0.17799999999999999</v>
      </c>
      <c r="N59" s="1196">
        <v>0.17799999999999999</v>
      </c>
      <c r="O59" s="645">
        <f t="shared" si="14"/>
        <v>0.17799999999999999</v>
      </c>
      <c r="P59" s="727">
        <v>90</v>
      </c>
      <c r="Q59" s="1460">
        <v>94.82</v>
      </c>
      <c r="R59" s="706">
        <v>3783.8</v>
      </c>
      <c r="S59" s="765">
        <f>IF((_xlfn.XLOOKUP(D59,RUC!$B$3:$B$119,RUC!$E$3:$E$119)+ROUNDDOWN(O59,1)*100)&lt;95,95,((_xlfn.XLOOKUP(D59,RUC!$B$3:$B$119,RUC!$E$3:$E$119)+ROUNDDOWN(O59,1)*100)))</f>
        <v>95</v>
      </c>
      <c r="U59" s="1146">
        <f>_xlfn.XLOOKUP(D59,RUC!$B$3:$B$123,RUC!$F$3:$F$123)</f>
        <v>120</v>
      </c>
      <c r="V59" s="715">
        <v>1.1023000000000001</v>
      </c>
      <c r="Y59">
        <f>_xlfn.XLOOKUP(D59,RUC!$B$3:$B$123,RUC!$G$3:$G$123)</f>
        <v>20</v>
      </c>
      <c r="Z59" s="1454">
        <v>35</v>
      </c>
      <c r="AA59" s="144">
        <f t="shared" si="41"/>
        <v>55</v>
      </c>
      <c r="AB59" s="145">
        <f t="shared" si="32"/>
        <v>481.63979974799997</v>
      </c>
      <c r="AC59" s="145">
        <f>+(S59-T59)*V59-'data 1'!$F$4</f>
        <v>24.718500000000006</v>
      </c>
      <c r="AD59" s="145">
        <f t="shared" si="16"/>
        <v>37.569543059523944</v>
      </c>
      <c r="AE59" s="145">
        <f t="shared" si="42"/>
        <v>-9.3734999999999999</v>
      </c>
      <c r="AF59" s="145">
        <f t="shared" si="18"/>
        <v>57.441103663020051</v>
      </c>
      <c r="AG59" s="772">
        <f t="shared" si="43"/>
        <v>127.35564672254401</v>
      </c>
      <c r="AH59" s="1253">
        <f t="shared" si="19"/>
        <v>22.286000000000001</v>
      </c>
      <c r="AI59" s="1253">
        <f t="shared" si="20"/>
        <v>23.504000000000001</v>
      </c>
      <c r="AJ59" s="156">
        <f t="shared" si="21"/>
        <v>67.819530122475967</v>
      </c>
      <c r="AK59" s="156">
        <f t="shared" si="22"/>
        <v>19.509428076246721</v>
      </c>
      <c r="AM59" s="716">
        <f t="shared" si="23"/>
        <v>1710.7845687048959</v>
      </c>
      <c r="AN59" s="716" t="str">
        <f>_xlfn.XLOOKUP(D59,RUC!$B$3:$B$578,RUC!$M$3:$M$578)</f>
        <v>Ronald Miranda</v>
      </c>
      <c r="AO59" s="1167" t="s">
        <v>2279</v>
      </c>
      <c r="AP59" t="s">
        <v>2971</v>
      </c>
      <c r="AQ59" t="s">
        <v>2972</v>
      </c>
    </row>
    <row r="60" spans="1:44" ht="15" customHeight="1">
      <c r="A60" s="747" t="s">
        <v>2923</v>
      </c>
      <c r="B60" s="595">
        <v>45936</v>
      </c>
      <c r="C60" s="1447">
        <v>45923</v>
      </c>
      <c r="D60" t="s">
        <v>93</v>
      </c>
      <c r="E60" s="762">
        <f>_xlfn.XLOOKUP(D60,RUC!$B$3:$B$123,RUC!$D$3:$D$123)</f>
        <v>20169040231</v>
      </c>
      <c r="G60" s="1082">
        <v>15</v>
      </c>
      <c r="H60" s="762" t="s">
        <v>69</v>
      </c>
      <c r="I60" s="703">
        <v>1.59</v>
      </c>
      <c r="J60" s="596">
        <v>2.1</v>
      </c>
      <c r="K60" s="703">
        <f t="shared" si="13"/>
        <v>1.5569999999999999</v>
      </c>
      <c r="L60" s="994">
        <v>0.26300000000000001</v>
      </c>
      <c r="M60" s="994">
        <v>0.248</v>
      </c>
      <c r="N60" s="1196">
        <v>0.248</v>
      </c>
      <c r="O60" s="645">
        <f t="shared" si="14"/>
        <v>0.248</v>
      </c>
      <c r="P60" s="727">
        <v>90</v>
      </c>
      <c r="Q60" s="1460">
        <v>97.34</v>
      </c>
      <c r="R60" s="706">
        <v>3783.8</v>
      </c>
      <c r="S60" s="765">
        <f>IF((_xlfn.XLOOKUP(D60,RUC!$B$3:$B$119,RUC!$E$3:$E$119)+ROUNDDOWN(O60,1)*100)&lt;95,95,((_xlfn.XLOOKUP(D60,RUC!$B$3:$B$119,RUC!$E$3:$E$119)+ROUNDDOWN(O60,1)*100)))</f>
        <v>105</v>
      </c>
      <c r="U60" s="1146">
        <f>_xlfn.XLOOKUP(D60,RUC!$B$3:$B$123,RUC!$F$3:$F$123)</f>
        <v>120</v>
      </c>
      <c r="V60" s="715">
        <v>1.1023000000000001</v>
      </c>
      <c r="Y60">
        <f>_xlfn.XLOOKUP(D60,RUC!$B$3:$B$123,RUC!$G$3:$G$123)</f>
        <v>20</v>
      </c>
      <c r="Z60" s="143">
        <f>_xlfn.XLOOKUP(D60,RUC!$B$3:$B$123,RUC!$H$3:$H$123)</f>
        <v>30</v>
      </c>
      <c r="AA60" s="144">
        <f t="shared" si="41"/>
        <v>50</v>
      </c>
      <c r="AB60" s="145">
        <f t="shared" si="32"/>
        <v>730.56052436800007</v>
      </c>
      <c r="AC60" s="145">
        <f>+(S60-T60)*V60-'data 1'!$F$4</f>
        <v>35.741500000000002</v>
      </c>
      <c r="AD60" s="145">
        <f t="shared" si="16"/>
        <v>77.962072230308038</v>
      </c>
      <c r="AE60" s="145">
        <f t="shared" si="42"/>
        <v>-14.884999999999998</v>
      </c>
      <c r="AF60" s="145">
        <f t="shared" si="18"/>
        <v>58.967697010740061</v>
      </c>
      <c r="AG60" s="772">
        <f t="shared" si="43"/>
        <v>174.7862692410481</v>
      </c>
      <c r="AH60" s="1253">
        <f t="shared" si="19"/>
        <v>13.666</v>
      </c>
      <c r="AI60" s="1253">
        <f t="shared" si="20"/>
        <v>14.04</v>
      </c>
      <c r="AJ60" s="156">
        <f t="shared" si="21"/>
        <v>94.873431051691952</v>
      </c>
      <c r="AK60" s="156">
        <f t="shared" si="22"/>
        <v>11.91494034006732</v>
      </c>
      <c r="AM60" s="716">
        <f t="shared" si="23"/>
        <v>1137.4827364409762</v>
      </c>
      <c r="AN60" s="716" t="str">
        <f>_xlfn.XLOOKUP(D60,RUC!$B$3:$B$578,RUC!$M$3:$M$578)</f>
        <v>Ronald Miranda</v>
      </c>
      <c r="AO60" s="1167" t="s">
        <v>2281</v>
      </c>
      <c r="AP60" t="s">
        <v>2973</v>
      </c>
      <c r="AQ60" t="s">
        <v>2974</v>
      </c>
    </row>
    <row r="61" spans="1:44" ht="15" customHeight="1">
      <c r="A61" s="747" t="s">
        <v>2926</v>
      </c>
      <c r="B61" s="595">
        <v>45936</v>
      </c>
      <c r="C61" s="1447">
        <v>45923</v>
      </c>
      <c r="D61" t="s">
        <v>93</v>
      </c>
      <c r="E61" s="762">
        <f>_xlfn.XLOOKUP(D61,RUC!$B$3:$B$123,RUC!$D$3:$D$123)</f>
        <v>20169040231</v>
      </c>
      <c r="G61" s="1082">
        <v>84</v>
      </c>
      <c r="H61" s="762" t="s">
        <v>69</v>
      </c>
      <c r="I61" s="703">
        <v>9.15</v>
      </c>
      <c r="J61" s="596">
        <v>3</v>
      </c>
      <c r="K61" s="703">
        <f t="shared" ref="K61:K102" si="44">ROUND(+I61-(I61*(J61/100)),3)</f>
        <v>8.8759999999999994</v>
      </c>
      <c r="L61" s="994">
        <v>0.56299999999999994</v>
      </c>
      <c r="M61" s="994">
        <v>0.53500000000000003</v>
      </c>
      <c r="N61" s="1196">
        <v>0.53500000000000003</v>
      </c>
      <c r="O61" s="645">
        <f t="shared" ref="O61:O102" si="45">+ROUND((M61+N61)/2,3)</f>
        <v>0.53500000000000003</v>
      </c>
      <c r="P61" s="727">
        <v>84</v>
      </c>
      <c r="Q61" s="1460">
        <v>84.37</v>
      </c>
      <c r="R61" s="706">
        <v>3783.8</v>
      </c>
      <c r="S61" s="765">
        <f>IF((_xlfn.XLOOKUP(D61,RUC!$B$3:$B$119,RUC!$E$3:$E$119)+ROUNDDOWN(O61,1)*100)&lt;95,95,((_xlfn.XLOOKUP(D61,RUC!$B$3:$B$119,RUC!$E$3:$E$119)+ROUNDDOWN(O61,1)*100)))</f>
        <v>135</v>
      </c>
      <c r="U61" s="1146">
        <f>_xlfn.XLOOKUP(D61,RUC!$B$3:$B$123,RUC!$F$3:$F$123)</f>
        <v>120</v>
      </c>
      <c r="V61" s="715">
        <v>1.1023000000000001</v>
      </c>
      <c r="Y61">
        <f>_xlfn.XLOOKUP(D61,RUC!$B$3:$B$123,RUC!$G$3:$G$123)</f>
        <v>20</v>
      </c>
      <c r="Z61" s="143">
        <f>_xlfn.XLOOKUP(D61,RUC!$B$3:$B$123,RUC!$H$3:$H$123)</f>
        <v>30</v>
      </c>
      <c r="AA61" s="144">
        <f t="shared" si="41"/>
        <v>50</v>
      </c>
      <c r="AB61" s="145">
        <f t="shared" si="32"/>
        <v>1611.0243689560002</v>
      </c>
      <c r="AC61" s="145">
        <f>+(S61-T61)*V61-'data 1'!$F$4</f>
        <v>68.810500000000019</v>
      </c>
      <c r="AD61" s="145">
        <f t="shared" ref="AD61:AD102" si="46">+(Q61-P61)*(R61-U61)*L61*V61/100</f>
        <v>8.4128217000941046</v>
      </c>
      <c r="AE61" s="145">
        <f t="shared" si="42"/>
        <v>-14.884999999999998</v>
      </c>
      <c r="AF61" s="145">
        <f t="shared" ref="AF61:AF102" si="47">(L61-O61)*(R61-U61)*Q61*V61/100</f>
        <v>95.406430183063719</v>
      </c>
      <c r="AG61" s="772">
        <f t="shared" si="43"/>
        <v>174.74475188315785</v>
      </c>
      <c r="AH61" s="1253">
        <f t="shared" ref="AH61:AH86" si="48">ROUND((31.1035*L61*Q61*1.1023*K61/100),3)</f>
        <v>144.55199999999999</v>
      </c>
      <c r="AI61" s="1253">
        <f t="shared" ref="AI61:AI102" si="49">ROUND((31.1035*L61*1.1023*K61),3)</f>
        <v>171.33099999999999</v>
      </c>
      <c r="AJ61" s="156">
        <f t="shared" ref="AJ61:AJ102" si="50">+((+$AJ$2-R61+U61)*L61*Q61*V61)/100</f>
        <v>176.03294733910593</v>
      </c>
      <c r="AK61" s="156">
        <f t="shared" ref="AK61:AK86" si="51">31.1035*1.1023*K61*P61*O61/100</f>
        <v>136.76010668671094</v>
      </c>
      <c r="AM61" s="716">
        <f t="shared" ref="AM61:AM86" si="52">+IF(AB61*K61&gt;0,AB61*K61,0)</f>
        <v>14299.452298853457</v>
      </c>
      <c r="AN61" s="716" t="str">
        <f>_xlfn.XLOOKUP(D61,RUC!$B$3:$B$578,RUC!$M$3:$M$578)</f>
        <v>Ronald Miranda</v>
      </c>
      <c r="AO61" s="1167" t="s">
        <v>2281</v>
      </c>
      <c r="AP61" t="s">
        <v>2973</v>
      </c>
      <c r="AQ61" t="s">
        <v>2974</v>
      </c>
    </row>
    <row r="62" spans="1:44" ht="15" customHeight="1">
      <c r="A62" s="747" t="s">
        <v>2927</v>
      </c>
      <c r="B62" s="595">
        <v>45932</v>
      </c>
      <c r="C62" s="1447">
        <v>45925</v>
      </c>
      <c r="D62" t="s">
        <v>119</v>
      </c>
      <c r="E62" s="762">
        <f>_xlfn.XLOOKUP(D62,RUC!$B$3:$B$123,RUC!$D$3:$D$123)</f>
        <v>10082235774</v>
      </c>
      <c r="G62" s="1082">
        <v>69</v>
      </c>
      <c r="H62" s="762" t="s">
        <v>69</v>
      </c>
      <c r="I62" s="703">
        <v>6.85</v>
      </c>
      <c r="J62" s="596">
        <v>1.3</v>
      </c>
      <c r="K62" s="703">
        <f t="shared" si="44"/>
        <v>6.7610000000000001</v>
      </c>
      <c r="L62" s="994">
        <v>0.28699999999999998</v>
      </c>
      <c r="M62" s="994">
        <v>0.27999999999999997</v>
      </c>
      <c r="N62" s="1196">
        <v>0.27999999999999997</v>
      </c>
      <c r="O62" s="645">
        <f t="shared" si="45"/>
        <v>0.28000000000000003</v>
      </c>
      <c r="P62" s="727">
        <v>90</v>
      </c>
      <c r="Q62" s="1460">
        <v>95.12</v>
      </c>
      <c r="R62" s="706">
        <v>3730.75</v>
      </c>
      <c r="S62" s="1164">
        <v>105</v>
      </c>
      <c r="U62" s="1146">
        <f>_xlfn.XLOOKUP(D62,RUC!$B$3:$B$123,RUC!$F$3:$F$123)</f>
        <v>80</v>
      </c>
      <c r="V62" s="715">
        <v>1.1023000000000001</v>
      </c>
      <c r="Y62">
        <f>_xlfn.XLOOKUP(D62,RUC!$B$3:$B$123,RUC!$G$3:$G$123)</f>
        <v>0</v>
      </c>
      <c r="Z62" s="143">
        <f>_xlfn.XLOOKUP(D62,RUC!$B$3:$B$123,RUC!$H$3:$H$123)</f>
        <v>10</v>
      </c>
      <c r="AA62" s="144">
        <f t="shared" si="41"/>
        <v>10</v>
      </c>
      <c r="AB62" s="145">
        <f t="shared" si="32"/>
        <v>887.33937470000012</v>
      </c>
      <c r="AC62" s="145">
        <f>+(S62-T62)*V62-'data 1'!$F$4</f>
        <v>35.741500000000002</v>
      </c>
      <c r="AD62" s="145">
        <f t="shared" si="46"/>
        <v>59.133523715840063</v>
      </c>
      <c r="AE62" s="145">
        <f t="shared" si="42"/>
        <v>-58.977000000000004</v>
      </c>
      <c r="AF62" s="145">
        <f t="shared" si="47"/>
        <v>26.794877933739816</v>
      </c>
      <c r="AG62" s="772">
        <f>AC62+AD62+AE62+AF62+70</f>
        <v>132.69290164957988</v>
      </c>
      <c r="AH62" s="1253">
        <f t="shared" si="48"/>
        <v>63.280999999999999</v>
      </c>
      <c r="AI62" s="1253">
        <f t="shared" si="49"/>
        <v>66.528000000000006</v>
      </c>
      <c r="AJ62" s="156">
        <f t="shared" si="50"/>
        <v>105.09691319666001</v>
      </c>
      <c r="AK62" s="156">
        <f t="shared" si="51"/>
        <v>58.414484168724606</v>
      </c>
      <c r="AM62" s="716">
        <f t="shared" si="52"/>
        <v>5999.3015123467012</v>
      </c>
      <c r="AN62" s="716" t="str">
        <f>_xlfn.XLOOKUP(D62,RUC!$B$3:$B$578,RUC!$M$3:$M$578)</f>
        <v>Melchor Vera</v>
      </c>
      <c r="AO62" s="1167" t="s">
        <v>2280</v>
      </c>
      <c r="AP62" s="1457" t="s">
        <v>2986</v>
      </c>
      <c r="AQ62" s="1457" t="s">
        <v>2987</v>
      </c>
    </row>
    <row r="63" spans="1:44" ht="15" customHeight="1">
      <c r="A63" s="747" t="s">
        <v>2928</v>
      </c>
      <c r="B63" s="595">
        <v>45932</v>
      </c>
      <c r="C63" s="1447">
        <v>45925</v>
      </c>
      <c r="D63" t="s">
        <v>119</v>
      </c>
      <c r="E63" s="762">
        <f>_xlfn.XLOOKUP(D63,RUC!$B$3:$B$123,RUC!$D$3:$D$123)</f>
        <v>10082235774</v>
      </c>
      <c r="G63" s="1082">
        <v>49</v>
      </c>
      <c r="H63" s="762" t="s">
        <v>69</v>
      </c>
      <c r="I63" s="703">
        <v>4.84</v>
      </c>
      <c r="J63" s="596">
        <v>1.2</v>
      </c>
      <c r="K63" s="703">
        <f t="shared" si="44"/>
        <v>4.782</v>
      </c>
      <c r="L63" s="994">
        <v>0.14699999999999999</v>
      </c>
      <c r="M63" s="994">
        <v>0.13999999999999999</v>
      </c>
      <c r="N63" s="1196">
        <v>0.13999999999999999</v>
      </c>
      <c r="O63" s="645">
        <f t="shared" si="45"/>
        <v>0.14000000000000001</v>
      </c>
      <c r="P63" s="727">
        <v>85</v>
      </c>
      <c r="Q63" s="881">
        <v>95.24</v>
      </c>
      <c r="R63" s="706">
        <v>3730.75</v>
      </c>
      <c r="S63" s="1164">
        <f>IF((_xlfn.XLOOKUP(D63,RUC!$B$3:$B$119,RUC!$E$3:$E$119)+ROUNDDOWN(O63,1)*100)&lt;95,95,((_xlfn.XLOOKUP(D63,RUC!$B$3:$B$119,RUC!$E$3:$E$119)+ROUNDDOWN(O63,1)*100)))</f>
        <v>95</v>
      </c>
      <c r="U63" s="1146">
        <f>_xlfn.XLOOKUP(D63,RUC!$B$3:$B$123,RUC!$F$3:$F$123)</f>
        <v>80</v>
      </c>
      <c r="V63" s="715">
        <v>1.1023000000000001</v>
      </c>
      <c r="Y63">
        <f>_xlfn.XLOOKUP(D63,RUC!$B$3:$B$123,RUC!$G$3:$G$123)</f>
        <v>0</v>
      </c>
      <c r="Z63" s="143">
        <f>_xlfn.XLOOKUP(D63,RUC!$B$3:$B$123,RUC!$H$3:$H$123)</f>
        <v>10</v>
      </c>
      <c r="AA63" s="144">
        <f t="shared" si="41"/>
        <v>10</v>
      </c>
      <c r="AB63" s="145">
        <f t="shared" si="32"/>
        <v>363.14088527500002</v>
      </c>
      <c r="AC63" s="145">
        <f>+(S63-T63)*V63-'data 1'!$F$4</f>
        <v>24.718500000000006</v>
      </c>
      <c r="AD63" s="145">
        <f t="shared" si="46"/>
        <v>60.575804782079956</v>
      </c>
      <c r="AE63" s="145">
        <f t="shared" si="42"/>
        <v>-58.977000000000004</v>
      </c>
      <c r="AF63" s="145">
        <f t="shared" si="47"/>
        <v>26.828681396229918</v>
      </c>
      <c r="AG63" s="772">
        <f t="shared" ref="AG63:AG67" si="53">AC63+AD63+AE63+AF63+70</f>
        <v>123.14598617830987</v>
      </c>
      <c r="AH63" s="1253">
        <f t="shared" si="48"/>
        <v>22.954000000000001</v>
      </c>
      <c r="AI63" s="1253">
        <f t="shared" si="49"/>
        <v>24.100999999999999</v>
      </c>
      <c r="AJ63" s="156">
        <f t="shared" si="50"/>
        <v>53.898036439169992</v>
      </c>
      <c r="AK63" s="156">
        <f t="shared" si="51"/>
        <v>19.510374352956902</v>
      </c>
      <c r="AM63" s="716">
        <f t="shared" si="52"/>
        <v>1736.5397133850502</v>
      </c>
      <c r="AN63" s="716" t="str">
        <f>_xlfn.XLOOKUP(D63,RUC!$B$3:$B$578,RUC!$M$3:$M$578)</f>
        <v>Melchor Vera</v>
      </c>
      <c r="AO63" s="1167" t="s">
        <v>2278</v>
      </c>
      <c r="AP63" s="1457" t="s">
        <v>2986</v>
      </c>
      <c r="AQ63" s="1457" t="s">
        <v>2987</v>
      </c>
    </row>
    <row r="64" spans="1:44" ht="15" customHeight="1">
      <c r="A64" s="747" t="s">
        <v>2929</v>
      </c>
      <c r="B64" s="595">
        <v>45932</v>
      </c>
      <c r="C64" s="1447">
        <v>45925</v>
      </c>
      <c r="D64" t="s">
        <v>119</v>
      </c>
      <c r="E64" s="762">
        <f>_xlfn.XLOOKUP(D64,RUC!$B$3:$B$123,RUC!$D$3:$D$123)</f>
        <v>10082235774</v>
      </c>
      <c r="G64" s="1082">
        <v>68</v>
      </c>
      <c r="H64" s="762" t="s">
        <v>69</v>
      </c>
      <c r="I64" s="703">
        <v>6.81</v>
      </c>
      <c r="J64" s="596">
        <v>1.4</v>
      </c>
      <c r="K64" s="703">
        <f t="shared" si="44"/>
        <v>6.7149999999999999</v>
      </c>
      <c r="L64" s="994">
        <v>0.15</v>
      </c>
      <c r="M64" s="994">
        <v>0.14299999999999999</v>
      </c>
      <c r="N64" s="1196">
        <v>0.14299999999999999</v>
      </c>
      <c r="O64" s="645">
        <f t="shared" si="45"/>
        <v>0.14299999999999999</v>
      </c>
      <c r="P64" s="727">
        <v>85</v>
      </c>
      <c r="Q64" s="881">
        <v>87.33</v>
      </c>
      <c r="R64" s="706">
        <v>3730.75</v>
      </c>
      <c r="S64" s="1164">
        <f>IF((_xlfn.XLOOKUP(D64,RUC!$B$3:$B$119,RUC!$E$3:$E$119)+ROUNDDOWN(O64,1)*100)&lt;95,95,((_xlfn.XLOOKUP(D64,RUC!$B$3:$B$119,RUC!$E$3:$E$119)+ROUNDDOWN(O64,1)*100)))</f>
        <v>95</v>
      </c>
      <c r="U64" s="1146">
        <f>_xlfn.XLOOKUP(D64,RUC!$B$3:$B$123,RUC!$F$3:$F$123)</f>
        <v>80</v>
      </c>
      <c r="V64" s="715">
        <v>1.1023000000000001</v>
      </c>
      <c r="Y64">
        <f>_xlfn.XLOOKUP(D64,RUC!$B$3:$B$123,RUC!$G$3:$G$123)</f>
        <v>0</v>
      </c>
      <c r="Z64" s="143">
        <f>_xlfn.XLOOKUP(D64,RUC!$B$3:$B$123,RUC!$H$3:$H$123)</f>
        <v>10</v>
      </c>
      <c r="AA64" s="144">
        <f t="shared" si="41"/>
        <v>10</v>
      </c>
      <c r="AB64" s="145">
        <f t="shared" si="32"/>
        <v>373.40265067374997</v>
      </c>
      <c r="AC64" s="145">
        <f>+(S64-T64)*V64-'data 1'!$F$4</f>
        <v>24.718500000000006</v>
      </c>
      <c r="AD64" s="145">
        <f t="shared" si="46"/>
        <v>14.06465492887499</v>
      </c>
      <c r="AE64" s="145">
        <f t="shared" si="42"/>
        <v>-58.977000000000004</v>
      </c>
      <c r="AF64" s="145">
        <f t="shared" si="47"/>
        <v>24.600469827097523</v>
      </c>
      <c r="AG64" s="772">
        <f t="shared" si="53"/>
        <v>74.406624755972516</v>
      </c>
      <c r="AH64" s="1253">
        <f t="shared" si="48"/>
        <v>30.158999999999999</v>
      </c>
      <c r="AI64" s="1253">
        <f t="shared" si="49"/>
        <v>34.533999999999999</v>
      </c>
      <c r="AJ64" s="156">
        <f t="shared" si="50"/>
        <v>50.430229133624998</v>
      </c>
      <c r="AK64" s="156">
        <f t="shared" si="51"/>
        <v>27.984016580861411</v>
      </c>
      <c r="AM64" s="716">
        <f t="shared" si="52"/>
        <v>2507.3987992742309</v>
      </c>
      <c r="AN64" s="716" t="str">
        <f>_xlfn.XLOOKUP(D64,RUC!$B$3:$B$578,RUC!$M$3:$M$578)</f>
        <v>Melchor Vera</v>
      </c>
      <c r="AO64" s="1167" t="s">
        <v>2280</v>
      </c>
      <c r="AP64" s="1457" t="s">
        <v>2986</v>
      </c>
      <c r="AQ64" s="1457" t="s">
        <v>2987</v>
      </c>
    </row>
    <row r="65" spans="1:43" ht="15" customHeight="1">
      <c r="A65" s="747" t="s">
        <v>2930</v>
      </c>
      <c r="B65" s="595">
        <v>45932</v>
      </c>
      <c r="C65" s="1447">
        <v>45925</v>
      </c>
      <c r="D65" t="s">
        <v>119</v>
      </c>
      <c r="E65" s="762">
        <f>_xlfn.XLOOKUP(D65,RUC!$B$3:$B$123,RUC!$D$3:$D$123)</f>
        <v>10082235774</v>
      </c>
      <c r="G65" s="1082">
        <v>53</v>
      </c>
      <c r="H65" s="762" t="s">
        <v>69</v>
      </c>
      <c r="I65" s="703">
        <v>5.21</v>
      </c>
      <c r="J65" s="596">
        <v>1.6</v>
      </c>
      <c r="K65" s="703">
        <f t="shared" si="44"/>
        <v>5.1269999999999998</v>
      </c>
      <c r="L65" s="994">
        <v>0.154</v>
      </c>
      <c r="M65" s="994">
        <v>0.14699999999999999</v>
      </c>
      <c r="N65" s="1196">
        <v>0.14699999999999999</v>
      </c>
      <c r="O65" s="645">
        <f t="shared" si="45"/>
        <v>0.14699999999999999</v>
      </c>
      <c r="P65" s="727">
        <v>85</v>
      </c>
      <c r="Q65" s="881">
        <v>95.45</v>
      </c>
      <c r="R65" s="706">
        <v>3730.75</v>
      </c>
      <c r="S65" s="1164">
        <f>IF((_xlfn.XLOOKUP(D65,RUC!$B$3:$B$119,RUC!$E$3:$E$119)+ROUNDDOWN(O65,1)*100)&lt;95,95,((_xlfn.XLOOKUP(D65,RUC!$B$3:$B$119,RUC!$E$3:$E$119)+ROUNDDOWN(O65,1)*100)))</f>
        <v>95</v>
      </c>
      <c r="U65" s="1146">
        <f>_xlfn.XLOOKUP(D65,RUC!$B$3:$B$123,RUC!$F$3:$F$123)</f>
        <v>80</v>
      </c>
      <c r="V65" s="715">
        <v>1.1023000000000001</v>
      </c>
      <c r="Y65">
        <f>_xlfn.XLOOKUP(D65,RUC!$B$3:$B$123,RUC!$G$3:$G$123)</f>
        <v>0</v>
      </c>
      <c r="Z65" s="143">
        <f>_xlfn.XLOOKUP(D65,RUC!$B$3:$B$123,RUC!$H$3:$H$123)</f>
        <v>10</v>
      </c>
      <c r="AA65" s="144">
        <f t="shared" si="41"/>
        <v>10</v>
      </c>
      <c r="AB65" s="145">
        <f t="shared" ref="AB65:AB104" si="54">+((O65*P65*(R65-U65)/100)-S65-AA65+T65)*V65</f>
        <v>387.08500453875001</v>
      </c>
      <c r="AC65" s="145">
        <f>+(S65-T65)*V65-'data 1'!$F$4</f>
        <v>24.718500000000006</v>
      </c>
      <c r="AD65" s="145">
        <f t="shared" si="46"/>
        <v>64.761800220425016</v>
      </c>
      <c r="AE65" s="145">
        <f t="shared" si="42"/>
        <v>-58.977000000000004</v>
      </c>
      <c r="AF65" s="145">
        <f t="shared" si="47"/>
        <v>26.88783745558753</v>
      </c>
      <c r="AG65" s="772">
        <f t="shared" si="53"/>
        <v>127.39113767601255</v>
      </c>
      <c r="AH65" s="1253">
        <f t="shared" si="48"/>
        <v>25.838999999999999</v>
      </c>
      <c r="AI65" s="1253">
        <f t="shared" si="49"/>
        <v>27.07</v>
      </c>
      <c r="AJ65" s="156">
        <f t="shared" si="50"/>
        <v>56.589111577075002</v>
      </c>
      <c r="AK65" s="156">
        <f t="shared" si="51"/>
        <v>21.963859007317133</v>
      </c>
      <c r="AM65" s="716">
        <f t="shared" si="52"/>
        <v>1984.5848182701711</v>
      </c>
      <c r="AN65" s="716" t="str">
        <f>_xlfn.XLOOKUP(D65,RUC!$B$3:$B$578,RUC!$M$3:$M$578)</f>
        <v>Melchor Vera</v>
      </c>
      <c r="AO65" s="1167" t="s">
        <v>2278</v>
      </c>
      <c r="AP65" s="1457" t="s">
        <v>2986</v>
      </c>
      <c r="AQ65" s="1457" t="s">
        <v>2987</v>
      </c>
    </row>
    <row r="66" spans="1:43" ht="15" customHeight="1">
      <c r="A66" s="747" t="s">
        <v>2931</v>
      </c>
      <c r="B66" s="595">
        <v>45932</v>
      </c>
      <c r="C66" s="1447">
        <v>45925</v>
      </c>
      <c r="D66" t="s">
        <v>119</v>
      </c>
      <c r="E66" s="762">
        <f>_xlfn.XLOOKUP(D66,RUC!$B$3:$B$123,RUC!$D$3:$D$123)</f>
        <v>10082235774</v>
      </c>
      <c r="G66" s="1082">
        <v>68</v>
      </c>
      <c r="H66" s="762" t="s">
        <v>69</v>
      </c>
      <c r="I66" s="703">
        <v>6.64</v>
      </c>
      <c r="J66" s="596">
        <v>1.5</v>
      </c>
      <c r="K66" s="703">
        <f t="shared" si="44"/>
        <v>6.54</v>
      </c>
      <c r="L66" s="994">
        <v>0.128</v>
      </c>
      <c r="M66" s="994">
        <v>0.121</v>
      </c>
      <c r="N66" s="1196">
        <v>0.121</v>
      </c>
      <c r="O66" s="645">
        <f t="shared" si="45"/>
        <v>0.121</v>
      </c>
      <c r="P66" s="727">
        <v>85</v>
      </c>
      <c r="Q66" s="881">
        <v>90.63</v>
      </c>
      <c r="R66" s="706">
        <v>3730.75</v>
      </c>
      <c r="S66" s="1164">
        <f>IF((_xlfn.XLOOKUP(D66,RUC!$B$3:$B$119,RUC!$E$3:$E$119)+ROUNDDOWN(O66,1)*100)&lt;95,95,((_xlfn.XLOOKUP(D66,RUC!$B$3:$B$119,RUC!$E$3:$E$119)+ROUNDDOWN(O66,1)*100)))</f>
        <v>95</v>
      </c>
      <c r="U66" s="1146">
        <f>_xlfn.XLOOKUP(D66,RUC!$B$3:$B$123,RUC!$F$3:$F$123)</f>
        <v>80</v>
      </c>
      <c r="V66" s="715">
        <v>1.1023000000000001</v>
      </c>
      <c r="Y66">
        <f>_xlfn.XLOOKUP(D66,RUC!$B$3:$B$123,RUC!$G$3:$G$123)</f>
        <v>0</v>
      </c>
      <c r="Z66" s="143">
        <f>_xlfn.XLOOKUP(D66,RUC!$B$3:$B$123,RUC!$H$3:$H$123)</f>
        <v>10</v>
      </c>
      <c r="AA66" s="144">
        <f t="shared" si="41"/>
        <v>10</v>
      </c>
      <c r="AB66" s="145">
        <f t="shared" si="54"/>
        <v>298.14970441625002</v>
      </c>
      <c r="AC66" s="145">
        <f>+(S66-T66)*V66-'data 1'!$F$4</f>
        <v>24.718500000000006</v>
      </c>
      <c r="AD66" s="145">
        <f t="shared" si="46"/>
        <v>29.000151439039975</v>
      </c>
      <c r="AE66" s="145">
        <f t="shared" si="42"/>
        <v>-58.977000000000004</v>
      </c>
      <c r="AF66" s="145">
        <f t="shared" si="47"/>
        <v>25.530065045572524</v>
      </c>
      <c r="AG66" s="772">
        <f t="shared" si="53"/>
        <v>90.271716484612497</v>
      </c>
      <c r="AH66" s="1253">
        <f t="shared" si="48"/>
        <v>26.012</v>
      </c>
      <c r="AI66" s="1253">
        <f t="shared" si="49"/>
        <v>28.701000000000001</v>
      </c>
      <c r="AJ66" s="156">
        <f t="shared" si="50"/>
        <v>44.659943760959997</v>
      </c>
      <c r="AK66" s="156">
        <f t="shared" si="51"/>
        <v>23.061689132563952</v>
      </c>
      <c r="AM66" s="716">
        <f t="shared" si="52"/>
        <v>1949.8990668822751</v>
      </c>
      <c r="AN66" s="716" t="str">
        <f>_xlfn.XLOOKUP(D66,RUC!$B$3:$B$578,RUC!$M$3:$M$578)</f>
        <v>Melchor Vera</v>
      </c>
      <c r="AO66" s="1167" t="s">
        <v>2280</v>
      </c>
      <c r="AP66" s="1457" t="s">
        <v>2986</v>
      </c>
      <c r="AQ66" s="1457" t="s">
        <v>2987</v>
      </c>
    </row>
    <row r="67" spans="1:43" ht="15" customHeight="1">
      <c r="A67" s="747" t="s">
        <v>2933</v>
      </c>
      <c r="B67" s="595">
        <v>45932</v>
      </c>
      <c r="C67" s="1447">
        <v>45925</v>
      </c>
      <c r="D67" t="s">
        <v>119</v>
      </c>
      <c r="E67" s="762">
        <f>_xlfn.XLOOKUP(D67,RUC!$B$3:$B$123,RUC!$D$3:$D$123)</f>
        <v>10082235774</v>
      </c>
      <c r="G67" s="1082">
        <v>49</v>
      </c>
      <c r="H67" s="762" t="s">
        <v>69</v>
      </c>
      <c r="I67" s="703">
        <v>4.63</v>
      </c>
      <c r="J67" s="596">
        <v>1.2</v>
      </c>
      <c r="K67" s="703">
        <f t="shared" si="44"/>
        <v>4.5739999999999998</v>
      </c>
      <c r="L67" s="994">
        <v>0.124</v>
      </c>
      <c r="M67" s="994">
        <v>0.11699999999999999</v>
      </c>
      <c r="N67" s="1196">
        <v>0.11699999999999999</v>
      </c>
      <c r="O67" s="645">
        <f t="shared" si="45"/>
        <v>0.11700000000000001</v>
      </c>
      <c r="P67" s="727">
        <v>85</v>
      </c>
      <c r="Q67" s="881">
        <v>98.39</v>
      </c>
      <c r="R67" s="706">
        <v>3730.75</v>
      </c>
      <c r="S67" s="1164">
        <f>IF((_xlfn.XLOOKUP(D67,RUC!$B$3:$B$119,RUC!$E$3:$E$119)+ROUNDDOWN(O67,1)*100)&lt;95,95,((_xlfn.XLOOKUP(D67,RUC!$B$3:$B$119,RUC!$E$3:$E$119)+ROUNDDOWN(O67,1)*100)))</f>
        <v>95</v>
      </c>
      <c r="U67" s="1146">
        <f>_xlfn.XLOOKUP(D67,RUC!$B$3:$B$123,RUC!$F$3:$F$123)</f>
        <v>80</v>
      </c>
      <c r="V67" s="715">
        <v>1.1023000000000001</v>
      </c>
      <c r="Y67">
        <f>_xlfn.XLOOKUP(D67,RUC!$B$3:$B$123,RUC!$G$3:$G$123)</f>
        <v>0</v>
      </c>
      <c r="Z67" s="143">
        <f>_xlfn.XLOOKUP(D67,RUC!$B$3:$B$123,RUC!$H$3:$H$123)</f>
        <v>10</v>
      </c>
      <c r="AA67" s="144">
        <f t="shared" si="41"/>
        <v>10</v>
      </c>
      <c r="AB67" s="145">
        <f t="shared" si="54"/>
        <v>284.46735055124998</v>
      </c>
      <c r="AC67" s="145">
        <f>+(S67-T67)*V67-'data 1'!$F$4</f>
        <v>24.718500000000006</v>
      </c>
      <c r="AD67" s="145">
        <f t="shared" si="46"/>
        <v>66.816567833210016</v>
      </c>
      <c r="AE67" s="145">
        <f t="shared" si="42"/>
        <v>-58.977000000000004</v>
      </c>
      <c r="AF67" s="145">
        <f t="shared" si="47"/>
        <v>27.716022286592469</v>
      </c>
      <c r="AG67" s="772">
        <f t="shared" si="53"/>
        <v>130.27409011980248</v>
      </c>
      <c r="AH67" s="1253">
        <f t="shared" si="48"/>
        <v>19.132999999999999</v>
      </c>
      <c r="AI67" s="1253">
        <f t="shared" si="49"/>
        <v>19.446000000000002</v>
      </c>
      <c r="AJ67" s="156">
        <f t="shared" si="50"/>
        <v>46.968735471790005</v>
      </c>
      <c r="AK67" s="156">
        <f t="shared" si="51"/>
        <v>15.595884743352615</v>
      </c>
      <c r="AM67" s="716">
        <f t="shared" si="52"/>
        <v>1301.1536614214174</v>
      </c>
      <c r="AN67" s="716" t="str">
        <f>_xlfn.XLOOKUP(D67,RUC!$B$3:$B$578,RUC!$M$3:$M$578)</f>
        <v>Melchor Vera</v>
      </c>
      <c r="AO67" s="1167" t="s">
        <v>2278</v>
      </c>
      <c r="AP67" s="1457" t="s">
        <v>2986</v>
      </c>
      <c r="AQ67" s="1457" t="s">
        <v>2987</v>
      </c>
    </row>
    <row r="68" spans="1:43" ht="15" customHeight="1">
      <c r="A68" s="747" t="s">
        <v>2934</v>
      </c>
      <c r="B68" s="1474">
        <v>45935</v>
      </c>
      <c r="C68" s="1447">
        <v>45925</v>
      </c>
      <c r="D68" t="s">
        <v>93</v>
      </c>
      <c r="E68" s="762">
        <f>_xlfn.XLOOKUP(D68,RUC!$B$3:$B$123,RUC!$D$3:$D$123)</f>
        <v>20169040231</v>
      </c>
      <c r="G68" s="1082">
        <v>144</v>
      </c>
      <c r="H68" s="762" t="s">
        <v>69</v>
      </c>
      <c r="I68" s="703">
        <v>13.4</v>
      </c>
      <c r="J68" s="596">
        <v>1.7</v>
      </c>
      <c r="K68" s="703">
        <f t="shared" si="44"/>
        <v>13.172000000000001</v>
      </c>
      <c r="L68" s="994">
        <v>0.32800000000000001</v>
      </c>
      <c r="M68" s="994">
        <v>0.312</v>
      </c>
      <c r="N68" s="1196">
        <v>0.312</v>
      </c>
      <c r="O68" s="645">
        <f t="shared" si="45"/>
        <v>0.312</v>
      </c>
      <c r="P68" s="727">
        <v>89</v>
      </c>
      <c r="Q68" s="1460">
        <v>89.94</v>
      </c>
      <c r="R68" s="706">
        <v>3730.75</v>
      </c>
      <c r="S68" s="765">
        <f>IF((_xlfn.XLOOKUP(D68,RUC!$B$3:$B$119,RUC!$E$3:$E$119)+ROUNDDOWN(O68,1)*100)&lt;95,95,((_xlfn.XLOOKUP(D68,RUC!$B$3:$B$119,RUC!$E$3:$E$119)+ROUNDDOWN(O68,1)*100)))</f>
        <v>115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3">
        <f>_xlfn.XLOOKUP(D68,RUC!$B$3:$B$123,RUC!$H$3:$H$123)</f>
        <v>30</v>
      </c>
      <c r="AA68" s="144">
        <f t="shared" si="41"/>
        <v>50</v>
      </c>
      <c r="AB68" s="145">
        <f t="shared" si="54"/>
        <v>923.322922038</v>
      </c>
      <c r="AC68" s="145">
        <f>+(S68-T68)*V68-'data 1'!$F$4</f>
        <v>46.764500000000012</v>
      </c>
      <c r="AD68" s="145">
        <f t="shared" si="46"/>
        <v>12.271535968119972</v>
      </c>
      <c r="AE68" s="145">
        <f t="shared" si="42"/>
        <v>-14.884999999999998</v>
      </c>
      <c r="AF68" s="145">
        <f t="shared" si="47"/>
        <v>57.275658794640059</v>
      </c>
      <c r="AG68" s="772">
        <f t="shared" si="43"/>
        <v>118.42669476276004</v>
      </c>
      <c r="AH68" s="1253">
        <f t="shared" si="48"/>
        <v>133.226</v>
      </c>
      <c r="AI68" s="1253">
        <f t="shared" si="49"/>
        <v>148.12700000000001</v>
      </c>
      <c r="AJ68" s="156">
        <f t="shared" si="50"/>
        <v>126.57710414988001</v>
      </c>
      <c r="AK68" s="156">
        <f t="shared" si="51"/>
        <v>125.40226824565256</v>
      </c>
      <c r="AM68" s="716">
        <f t="shared" si="52"/>
        <v>12162.009529084537</v>
      </c>
      <c r="AN68" s="716" t="str">
        <f>_xlfn.XLOOKUP(D68,RUC!$B$3:$B$578,RUC!$M$3:$M$578)</f>
        <v>Ronald Miranda</v>
      </c>
      <c r="AO68" s="1167" t="s">
        <v>2278</v>
      </c>
      <c r="AP68" t="s">
        <v>2994</v>
      </c>
      <c r="AQ68" t="s">
        <v>2995</v>
      </c>
    </row>
    <row r="69" spans="1:43" ht="15" customHeight="1">
      <c r="A69" s="747" t="s">
        <v>2937</v>
      </c>
      <c r="B69" s="595">
        <v>45934</v>
      </c>
      <c r="C69" s="1447">
        <v>45926</v>
      </c>
      <c r="D69" t="s">
        <v>1484</v>
      </c>
      <c r="E69" s="762">
        <f>_xlfn.XLOOKUP(D69,RUC!$B$3:$B$123,RUC!$D$3:$D$123)</f>
        <v>10761932735</v>
      </c>
      <c r="G69" s="1082">
        <v>33</v>
      </c>
      <c r="H69" s="762" t="s">
        <v>69</v>
      </c>
      <c r="I69" s="703">
        <v>2.89</v>
      </c>
      <c r="J69" s="596">
        <v>7.85</v>
      </c>
      <c r="K69" s="703">
        <f t="shared" si="44"/>
        <v>2.6629999999999998</v>
      </c>
      <c r="L69" s="994">
        <v>0.623</v>
      </c>
      <c r="M69" s="994">
        <v>0.59199999999999997</v>
      </c>
      <c r="N69" s="1444">
        <v>0.61799999999999999</v>
      </c>
      <c r="O69" s="645">
        <f t="shared" si="45"/>
        <v>0.60499999999999998</v>
      </c>
      <c r="P69" s="727">
        <v>90</v>
      </c>
      <c r="Q69" s="1460">
        <v>97.43</v>
      </c>
      <c r="R69" s="706">
        <v>3769.85</v>
      </c>
      <c r="S69" s="765">
        <f>IF((_xlfn.XLOOKUP(D69,RUC!$B$3:$B$119,RUC!$E$3:$E$119)+ROUNDDOWN(O69,1)*100)&lt;95,95,((_xlfn.XLOOKUP(D69,RUC!$B$3:$B$119,RUC!$E$3:$E$119)+ROUNDDOWN(O69,1)*100)))</f>
        <v>150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3">
        <f>_xlfn.XLOOKUP(D69,RUC!$B$3:$B$123,RUC!$H$3:$H$123)</f>
        <v>30</v>
      </c>
      <c r="AA69" s="144">
        <f t="shared" si="41"/>
        <v>50</v>
      </c>
      <c r="AB69" s="145">
        <f t="shared" si="54"/>
        <v>1970.1885471475</v>
      </c>
      <c r="AC69" s="145">
        <f>+(S69-T69)*V69-'data 1'!$F$4</f>
        <v>85.344999999999999</v>
      </c>
      <c r="AD69" s="145">
        <f t="shared" si="46"/>
        <v>186.23087517732969</v>
      </c>
      <c r="AE69" s="145">
        <f t="shared" si="42"/>
        <v>-14.884999999999998</v>
      </c>
      <c r="AF69" s="145">
        <f t="shared" si="47"/>
        <v>70.556987751597063</v>
      </c>
      <c r="AG69" s="772">
        <f t="shared" si="43"/>
        <v>344.24786292892679</v>
      </c>
      <c r="AH69" s="1253">
        <f t="shared" si="48"/>
        <v>55.418999999999997</v>
      </c>
      <c r="AI69" s="1253">
        <f t="shared" si="49"/>
        <v>56.881</v>
      </c>
      <c r="AJ69" s="156">
        <f t="shared" si="50"/>
        <v>234.27971514417058</v>
      </c>
      <c r="AK69" s="156">
        <f t="shared" si="51"/>
        <v>49.713932671358172</v>
      </c>
      <c r="AM69" s="716">
        <f t="shared" si="52"/>
        <v>5246.6121010537918</v>
      </c>
      <c r="AN69" s="716" t="str">
        <f>_xlfn.XLOOKUP(D69,RUC!$B$3:$B$578,RUC!$M$3:$M$578)</f>
        <v>Richard Sapacayo</v>
      </c>
      <c r="AO69" s="1167" t="s">
        <v>2279</v>
      </c>
      <c r="AP69" t="s">
        <v>2992</v>
      </c>
      <c r="AQ69" t="s">
        <v>2993</v>
      </c>
    </row>
    <row r="70" spans="1:43" ht="15" customHeight="1">
      <c r="A70" s="747" t="s">
        <v>2938</v>
      </c>
      <c r="B70" s="595">
        <v>45934</v>
      </c>
      <c r="C70" s="1447">
        <v>45926</v>
      </c>
      <c r="D70" t="s">
        <v>1484</v>
      </c>
      <c r="E70" s="762">
        <f>_xlfn.XLOOKUP(D70,RUC!$B$3:$B$123,RUC!$D$3:$D$123)</f>
        <v>10761932735</v>
      </c>
      <c r="G70" s="1082">
        <v>60</v>
      </c>
      <c r="H70" s="762" t="s">
        <v>69</v>
      </c>
      <c r="I70" s="703">
        <v>4.93</v>
      </c>
      <c r="J70" s="596">
        <v>10.88</v>
      </c>
      <c r="K70" s="703">
        <f t="shared" si="44"/>
        <v>4.3940000000000001</v>
      </c>
      <c r="L70" s="994">
        <v>0.28799999999999998</v>
      </c>
      <c r="M70" s="994">
        <v>0.27300000000000002</v>
      </c>
      <c r="N70" s="1444">
        <v>0.28799999999999998</v>
      </c>
      <c r="O70" s="645">
        <f t="shared" si="45"/>
        <v>0.28100000000000003</v>
      </c>
      <c r="P70" s="727">
        <v>90</v>
      </c>
      <c r="Q70" s="1460">
        <v>95.14</v>
      </c>
      <c r="R70" s="706">
        <v>3769.85</v>
      </c>
      <c r="S70" s="765">
        <f>IF((_xlfn.XLOOKUP(D70,RUC!$B$3:$B$119,RUC!$E$3:$E$119)+ROUNDDOWN(O70,1)*100)&lt;95,95,((_xlfn.XLOOKUP(D70,RUC!$B$3:$B$119,RUC!$E$3:$E$119)+ROUNDDOWN(O70,1)*100)))</f>
        <v>110</v>
      </c>
      <c r="U70" s="1146">
        <f>_xlfn.XLOOKUP(D70,RUC!$B$3:$B$123,RUC!$F$3:$F$123)</f>
        <v>120</v>
      </c>
      <c r="V70" s="715">
        <v>1.1023000000000001</v>
      </c>
      <c r="Y70">
        <f>_xlfn.XLOOKUP(D70,RUC!$B$3:$B$123,RUC!$G$3:$G$123)</f>
        <v>20</v>
      </c>
      <c r="Z70" s="143">
        <f>_xlfn.XLOOKUP(D70,RUC!$B$3:$B$123,RUC!$H$3:$H$123)</f>
        <v>30</v>
      </c>
      <c r="AA70" s="144">
        <f t="shared" si="41"/>
        <v>50</v>
      </c>
      <c r="AB70" s="145">
        <f t="shared" si="54"/>
        <v>841.10677974950022</v>
      </c>
      <c r="AC70" s="145">
        <f>+(S70-T70)*V70-'data 1'!$F$4</f>
        <v>41.253</v>
      </c>
      <c r="AD70" s="145">
        <f t="shared" si="46"/>
        <v>59.55667322889601</v>
      </c>
      <c r="AE70" s="145">
        <f t="shared" si="42"/>
        <v>-14.884999999999998</v>
      </c>
      <c r="AF70" s="145">
        <f t="shared" si="47"/>
        <v>26.793904856368812</v>
      </c>
      <c r="AG70" s="772">
        <f t="shared" si="43"/>
        <v>129.71857808526482</v>
      </c>
      <c r="AH70" s="1253">
        <f t="shared" si="48"/>
        <v>41.279000000000003</v>
      </c>
      <c r="AI70" s="1253">
        <f t="shared" si="49"/>
        <v>43.387</v>
      </c>
      <c r="AJ70" s="156">
        <f t="shared" si="50"/>
        <v>105.75710963510404</v>
      </c>
      <c r="AK70" s="156">
        <f t="shared" si="51"/>
        <v>38.099383758690941</v>
      </c>
      <c r="AM70" s="716">
        <f t="shared" si="52"/>
        <v>3695.8231902193043</v>
      </c>
      <c r="AN70" s="716" t="str">
        <f>_xlfn.XLOOKUP(D70,RUC!$B$3:$B$578,RUC!$M$3:$M$578)</f>
        <v>Richard Sapacayo</v>
      </c>
      <c r="AO70" s="1167" t="s">
        <v>2281</v>
      </c>
      <c r="AP70" t="s">
        <v>2992</v>
      </c>
      <c r="AQ70" t="s">
        <v>2993</v>
      </c>
    </row>
    <row r="71" spans="1:43" ht="15" customHeight="1">
      <c r="A71" s="747" t="s">
        <v>2944</v>
      </c>
      <c r="B71" s="595">
        <v>45935</v>
      </c>
      <c r="C71" s="1447">
        <v>45929</v>
      </c>
      <c r="D71" t="s">
        <v>2368</v>
      </c>
      <c r="E71" s="762">
        <f>_xlfn.XLOOKUP(D71,RUC!$B$3:$B$123,RUC!$D$3:$D$123)</f>
        <v>20612719757</v>
      </c>
      <c r="G71" s="1082">
        <v>40</v>
      </c>
      <c r="H71" s="762" t="s">
        <v>108</v>
      </c>
      <c r="I71" s="703">
        <v>3.04</v>
      </c>
      <c r="J71" s="596">
        <v>22.42</v>
      </c>
      <c r="K71" s="703">
        <f t="shared" si="44"/>
        <v>2.3580000000000001</v>
      </c>
      <c r="L71" s="994">
        <v>0.44600000000000001</v>
      </c>
      <c r="M71" s="994">
        <v>0.42399999999999999</v>
      </c>
      <c r="N71" s="1196">
        <f t="shared" ref="N71:N104" si="55">+M71</f>
        <v>0.42399999999999999</v>
      </c>
      <c r="O71" s="645">
        <f t="shared" si="45"/>
        <v>0.42399999999999999</v>
      </c>
      <c r="P71" s="727">
        <v>90</v>
      </c>
      <c r="Q71" s="881">
        <v>93.05</v>
      </c>
      <c r="R71" s="706">
        <v>3826.85</v>
      </c>
      <c r="S71" s="765">
        <f>IF((_xlfn.XLOOKUP(D71,RUC!$B$3:$B$119,RUC!$E$3:$E$119)+ROUNDDOWN(O71,1)*100)&lt;95,95,((_xlfn.XLOOKUP(D71,RUC!$B$3:$B$119,RUC!$E$3:$E$119)+ROUNDDOWN(O71,1)*100)))</f>
        <v>130</v>
      </c>
      <c r="U71" s="1146">
        <f>_xlfn.XLOOKUP(D71,RUC!$B$3:$B$123,RUC!$F$3:$F$123)</f>
        <v>120</v>
      </c>
      <c r="V71" s="715">
        <v>1.1023000000000001</v>
      </c>
      <c r="Y71">
        <f>_xlfn.XLOOKUP(D71,RUC!$B$3:$B$123,RUC!$G$3:$G$123)</f>
        <v>20</v>
      </c>
      <c r="Z71" s="143">
        <f>_xlfn.XLOOKUP(D71,RUC!$B$3:$B$123,RUC!$H$3:$H$123)</f>
        <v>30</v>
      </c>
      <c r="AA71" s="144">
        <f t="shared" si="41"/>
        <v>50</v>
      </c>
      <c r="AB71" s="145">
        <f t="shared" si="54"/>
        <v>1360.8267841079999</v>
      </c>
      <c r="AC71" s="145">
        <f>+(S71-T71)*V71-'data 1'!$F$4</f>
        <v>63.299000000000007</v>
      </c>
      <c r="AD71" s="145">
        <f t="shared" si="46"/>
        <v>55.582684450264942</v>
      </c>
      <c r="AE71" s="145">
        <f t="shared" si="42"/>
        <v>-14.884999999999998</v>
      </c>
      <c r="AF71" s="145">
        <f t="shared" si="47"/>
        <v>83.645749715605092</v>
      </c>
      <c r="AG71" s="772">
        <f t="shared" si="43"/>
        <v>204.64243416587004</v>
      </c>
      <c r="AH71" s="1253">
        <f t="shared" si="48"/>
        <v>33.551000000000002</v>
      </c>
      <c r="AI71" s="1253">
        <f t="shared" si="49"/>
        <v>36.057000000000002</v>
      </c>
      <c r="AJ71" s="156">
        <f t="shared" si="50"/>
        <v>134.10375609273501</v>
      </c>
      <c r="AK71" s="156">
        <f t="shared" si="51"/>
        <v>30.850431020357043</v>
      </c>
      <c r="AM71" s="716">
        <f t="shared" si="52"/>
        <v>3208.8295569266638</v>
      </c>
      <c r="AN71" s="716" t="str">
        <f>_xlfn.XLOOKUP(D71,RUC!$B$3:$B$578,RUC!$M$3:$M$578)</f>
        <v>SIN ACOPIADOR</v>
      </c>
      <c r="AO71" s="1167" t="s">
        <v>2280</v>
      </c>
      <c r="AP71" t="s">
        <v>2451</v>
      </c>
      <c r="AQ71" t="s">
        <v>2996</v>
      </c>
    </row>
    <row r="72" spans="1:43" ht="15" customHeight="1">
      <c r="A72" s="747" t="s">
        <v>2945</v>
      </c>
      <c r="B72" s="595">
        <v>45935</v>
      </c>
      <c r="C72" s="1447">
        <v>45929</v>
      </c>
      <c r="D72" t="s">
        <v>2368</v>
      </c>
      <c r="E72" s="762">
        <f>_xlfn.XLOOKUP(D72,RUC!$B$3:$B$123,RUC!$D$3:$D$123)</f>
        <v>20612719757</v>
      </c>
      <c r="G72" s="1082">
        <v>38</v>
      </c>
      <c r="H72" s="762" t="s">
        <v>108</v>
      </c>
      <c r="I72" s="703">
        <v>3.15</v>
      </c>
      <c r="J72" s="596">
        <v>15.55</v>
      </c>
      <c r="K72" s="703">
        <f t="shared" si="44"/>
        <v>2.66</v>
      </c>
      <c r="L72" s="994">
        <v>0.38</v>
      </c>
      <c r="M72" s="994">
        <v>0.36099999999999999</v>
      </c>
      <c r="N72" s="1196">
        <f t="shared" si="55"/>
        <v>0.36099999999999999</v>
      </c>
      <c r="O72" s="645">
        <f t="shared" si="45"/>
        <v>0.36099999999999999</v>
      </c>
      <c r="P72" s="727">
        <v>90</v>
      </c>
      <c r="Q72" s="881">
        <v>95</v>
      </c>
      <c r="R72" s="706">
        <v>3826.85</v>
      </c>
      <c r="S72" s="765">
        <f>IF((_xlfn.XLOOKUP(D72,RUC!$B$3:$B$119,RUC!$E$3:$E$119)+ROUNDDOWN(O72,1)*100)&lt;95,95,((_xlfn.XLOOKUP(D72,RUC!$B$3:$B$119,RUC!$E$3:$E$119)+ROUNDDOWN(O72,1)*100)))</f>
        <v>120</v>
      </c>
      <c r="U72" s="1146">
        <f>_xlfn.XLOOKUP(D72,RUC!$B$3:$B$123,RUC!$F$3:$F$123)</f>
        <v>120</v>
      </c>
      <c r="V72" s="715">
        <v>1.1023000000000001</v>
      </c>
      <c r="Y72">
        <f>_xlfn.XLOOKUP(D72,RUC!$B$3:$B$123,RUC!$G$3:$G$123)</f>
        <v>20</v>
      </c>
      <c r="Z72" s="143">
        <f>_xlfn.XLOOKUP(D72,RUC!$B$3:$B$123,RUC!$H$3:$H$123)</f>
        <v>30</v>
      </c>
      <c r="AA72" s="144">
        <f t="shared" si="41"/>
        <v>50</v>
      </c>
      <c r="AB72" s="145">
        <f t="shared" si="54"/>
        <v>1140.1701392995001</v>
      </c>
      <c r="AC72" s="145">
        <f>+(S72-T72)*V72-'data 1'!$F$4</f>
        <v>52.27600000000001</v>
      </c>
      <c r="AD72" s="145">
        <f t="shared" si="46"/>
        <v>77.635154345000004</v>
      </c>
      <c r="AE72" s="145">
        <f t="shared" si="42"/>
        <v>-14.884999999999998</v>
      </c>
      <c r="AF72" s="145">
        <f t="shared" si="47"/>
        <v>73.753396627750064</v>
      </c>
      <c r="AG72" s="772">
        <f t="shared" si="43"/>
        <v>205.77955097275009</v>
      </c>
      <c r="AH72" s="1253">
        <f t="shared" si="48"/>
        <v>32.923000000000002</v>
      </c>
      <c r="AI72" s="1253">
        <f t="shared" si="49"/>
        <v>34.655999999999999</v>
      </c>
      <c r="AJ72" s="156">
        <f t="shared" si="50"/>
        <v>116.65326744500005</v>
      </c>
      <c r="AK72" s="156">
        <f t="shared" si="51"/>
        <v>29.630598056003706</v>
      </c>
      <c r="AM72" s="716">
        <f t="shared" si="52"/>
        <v>3032.8525705366706</v>
      </c>
      <c r="AN72" s="716" t="str">
        <f>_xlfn.XLOOKUP(D72,RUC!$B$3:$B$578,RUC!$M$3:$M$578)</f>
        <v>SIN ACOPIADOR</v>
      </c>
      <c r="AO72" s="1167" t="s">
        <v>2278</v>
      </c>
      <c r="AP72" t="s">
        <v>2451</v>
      </c>
      <c r="AQ72" t="s">
        <v>2996</v>
      </c>
    </row>
    <row r="73" spans="1:43" ht="15" customHeight="1">
      <c r="A73" s="747" t="s">
        <v>2946</v>
      </c>
      <c r="B73" s="595">
        <v>45935</v>
      </c>
      <c r="C73" s="1447">
        <v>45929</v>
      </c>
      <c r="D73" t="s">
        <v>2368</v>
      </c>
      <c r="E73" s="762">
        <f>_xlfn.XLOOKUP(D73,RUC!$B$3:$B$123,RUC!$D$3:$D$123)</f>
        <v>20612719757</v>
      </c>
      <c r="G73" s="1082">
        <v>40</v>
      </c>
      <c r="H73" s="762" t="s">
        <v>108</v>
      </c>
      <c r="I73" s="703">
        <v>3.1</v>
      </c>
      <c r="J73" s="596">
        <v>15.62</v>
      </c>
      <c r="K73" s="703">
        <f t="shared" si="44"/>
        <v>2.6160000000000001</v>
      </c>
      <c r="L73" s="994">
        <v>0.36099999999999999</v>
      </c>
      <c r="M73" s="994">
        <v>0.34300000000000003</v>
      </c>
      <c r="N73" s="1196">
        <f t="shared" si="55"/>
        <v>0.34300000000000003</v>
      </c>
      <c r="O73" s="645">
        <f t="shared" si="45"/>
        <v>0.34300000000000003</v>
      </c>
      <c r="P73" s="727">
        <v>90</v>
      </c>
      <c r="Q73" s="881">
        <v>93.91</v>
      </c>
      <c r="R73" s="706">
        <v>3826.85</v>
      </c>
      <c r="S73" s="765">
        <f>IF((_xlfn.XLOOKUP(D73,RUC!$B$3:$B$119,RUC!$E$3:$E$119)+ROUNDDOWN(O73,1)*100)&lt;95,95,((_xlfn.XLOOKUP(D73,RUC!$B$3:$B$119,RUC!$E$3:$E$119)+ROUNDDOWN(O73,1)*100)))</f>
        <v>120</v>
      </c>
      <c r="U73" s="1146">
        <f>_xlfn.XLOOKUP(D73,RUC!$B$3:$B$123,RUC!$F$3:$F$123)</f>
        <v>120</v>
      </c>
      <c r="V73" s="715">
        <v>1.1023000000000001</v>
      </c>
      <c r="Y73">
        <f>_xlfn.XLOOKUP(D73,RUC!$B$3:$B$123,RUC!$G$3:$G$123)</f>
        <v>20</v>
      </c>
      <c r="Z73" s="143">
        <f>_xlfn.XLOOKUP(D73,RUC!$B$3:$B$123,RUC!$H$3:$H$123)</f>
        <v>30</v>
      </c>
      <c r="AA73" s="144">
        <f t="shared" si="41"/>
        <v>50</v>
      </c>
      <c r="AB73" s="145">
        <f t="shared" si="54"/>
        <v>1073.9759550685001</v>
      </c>
      <c r="AC73" s="145">
        <f>+(S73-T73)*V73-'data 1'!$F$4</f>
        <v>52.27600000000001</v>
      </c>
      <c r="AD73" s="145">
        <f t="shared" si="46"/>
        <v>57.67515616290045</v>
      </c>
      <c r="AE73" s="145">
        <f t="shared" si="42"/>
        <v>-14.884999999999998</v>
      </c>
      <c r="AF73" s="145">
        <f t="shared" si="47"/>
        <v>69.069953790368857</v>
      </c>
      <c r="AG73" s="772">
        <f t="shared" si="43"/>
        <v>181.13610995326931</v>
      </c>
      <c r="AH73" s="1253">
        <f t="shared" si="48"/>
        <v>30.405999999999999</v>
      </c>
      <c r="AI73" s="1253">
        <f t="shared" si="49"/>
        <v>32.378</v>
      </c>
      <c r="AJ73" s="156">
        <f t="shared" si="50"/>
        <v>109.54908345759954</v>
      </c>
      <c r="AK73" s="156">
        <f t="shared" si="51"/>
        <v>27.687480545347565</v>
      </c>
      <c r="AM73" s="716">
        <f t="shared" si="52"/>
        <v>2809.5210984591963</v>
      </c>
      <c r="AN73" s="716" t="str">
        <f>_xlfn.XLOOKUP(D73,RUC!$B$3:$B$578,RUC!$M$3:$M$578)</f>
        <v>SIN ACOPIADOR</v>
      </c>
      <c r="AO73" s="1167" t="s">
        <v>2281</v>
      </c>
      <c r="AP73" t="s">
        <v>2451</v>
      </c>
      <c r="AQ73" t="s">
        <v>2996</v>
      </c>
    </row>
    <row r="74" spans="1:43" ht="15" customHeight="1">
      <c r="A74" s="1149" t="s">
        <v>2947</v>
      </c>
      <c r="B74" s="1477">
        <v>45936</v>
      </c>
      <c r="C74" s="1447">
        <v>45929</v>
      </c>
      <c r="D74" t="s">
        <v>1484</v>
      </c>
      <c r="E74" s="762">
        <f>_xlfn.XLOOKUP(D74,RUC!$B$3:$B$123,RUC!$D$3:$D$123)</f>
        <v>10761932735</v>
      </c>
      <c r="G74" s="1082">
        <v>116</v>
      </c>
      <c r="H74" s="762" t="s">
        <v>69</v>
      </c>
      <c r="I74" s="703">
        <v>9.9600000000000009</v>
      </c>
      <c r="J74" s="596">
        <v>12.15</v>
      </c>
      <c r="K74" s="703">
        <f t="shared" si="44"/>
        <v>8.75</v>
      </c>
      <c r="L74" s="994">
        <v>8.3000000000000004E-2</v>
      </c>
      <c r="M74" s="994">
        <v>0.08</v>
      </c>
      <c r="N74" s="1444">
        <v>0.106</v>
      </c>
      <c r="O74" s="645">
        <f t="shared" si="45"/>
        <v>9.2999999999999999E-2</v>
      </c>
      <c r="P74" s="727">
        <v>80</v>
      </c>
      <c r="Q74" s="881">
        <v>98.95</v>
      </c>
      <c r="R74" s="706">
        <v>3826.85</v>
      </c>
      <c r="S74" s="765">
        <f>IF((_xlfn.XLOOKUP(D74,RUC!$B$3:$B$119,RUC!$E$3:$E$119)+ROUNDDOWN(O74,1)*100)&lt;95,95,((_xlfn.XLOOKUP(D74,RUC!$B$3:$B$119,RUC!$E$3:$E$119)+ROUNDDOWN(O74,1)*100)))</f>
        <v>95</v>
      </c>
      <c r="U74" s="1146">
        <f>_xlfn.XLOOKUP(D74,RUC!$B$3:$B$123,RUC!$F$3:$F$123)</f>
        <v>120</v>
      </c>
      <c r="V74" s="715">
        <v>1.1023000000000001</v>
      </c>
      <c r="Y74">
        <f>_xlfn.XLOOKUP(D74,RUC!$B$3:$B$123,RUC!$G$3:$G$123)</f>
        <v>20</v>
      </c>
      <c r="Z74" s="143">
        <f>_xlfn.XLOOKUP(D74,RUC!$B$3:$B$123,RUC!$H$3:$H$123)</f>
        <v>30</v>
      </c>
      <c r="AA74" s="144">
        <f t="shared" si="41"/>
        <v>50</v>
      </c>
      <c r="AB74" s="145">
        <f t="shared" si="54"/>
        <v>144.16942017199997</v>
      </c>
      <c r="AC74" s="145">
        <f>+(S74-T74)*V74-'data 1'!$F$4</f>
        <v>24.718500000000006</v>
      </c>
      <c r="AD74" s="145">
        <f t="shared" si="46"/>
        <v>64.267606585017518</v>
      </c>
      <c r="AE74" s="145">
        <f t="shared" si="42"/>
        <v>-14.884999999999998</v>
      </c>
      <c r="AF74" s="145">
        <f t="shared" si="47"/>
        <v>-40.431571170724979</v>
      </c>
      <c r="AG74" s="772">
        <f t="shared" si="43"/>
        <v>50.669535414292554</v>
      </c>
      <c r="AH74" s="1253">
        <f t="shared" si="48"/>
        <v>24.638000000000002</v>
      </c>
      <c r="AI74" s="1253">
        <f t="shared" si="49"/>
        <v>24.9</v>
      </c>
      <c r="AJ74" s="156">
        <f t="shared" si="50"/>
        <v>26.538941482982509</v>
      </c>
      <c r="AK74" s="156">
        <f t="shared" si="51"/>
        <v>22.319787620550002</v>
      </c>
      <c r="AM74" s="716">
        <f t="shared" si="52"/>
        <v>1261.4824265049997</v>
      </c>
      <c r="AN74" s="716" t="str">
        <f>_xlfn.XLOOKUP(D74,RUC!$B$3:$B$578,RUC!$M$3:$M$578)</f>
        <v>Richard Sapacayo</v>
      </c>
      <c r="AO74" s="1167" t="s">
        <v>2279</v>
      </c>
      <c r="AP74" t="s">
        <v>2997</v>
      </c>
      <c r="AQ74" t="s">
        <v>2998</v>
      </c>
    </row>
    <row r="75" spans="1:43" ht="15" customHeight="1">
      <c r="A75" s="747" t="s">
        <v>2948</v>
      </c>
      <c r="B75" s="595">
        <v>45936</v>
      </c>
      <c r="C75" s="1447">
        <v>45929</v>
      </c>
      <c r="D75" t="s">
        <v>1484</v>
      </c>
      <c r="E75" s="762">
        <f>_xlfn.XLOOKUP(D75,RUC!$B$3:$B$123,RUC!$D$3:$D$123)</f>
        <v>10761932735</v>
      </c>
      <c r="G75" s="1082">
        <v>61</v>
      </c>
      <c r="H75" s="762" t="s">
        <v>69</v>
      </c>
      <c r="I75" s="703">
        <v>5.57</v>
      </c>
      <c r="J75" s="596">
        <v>12.03</v>
      </c>
      <c r="K75" s="703">
        <f t="shared" si="44"/>
        <v>4.9000000000000004</v>
      </c>
      <c r="L75" s="994">
        <v>0.26500000000000001</v>
      </c>
      <c r="M75" s="994">
        <v>0.25</v>
      </c>
      <c r="N75" s="1196">
        <f t="shared" si="55"/>
        <v>0.25</v>
      </c>
      <c r="O75" s="645">
        <f t="shared" si="45"/>
        <v>0.25</v>
      </c>
      <c r="P75" s="727">
        <v>90</v>
      </c>
      <c r="Q75" s="881">
        <v>94.72</v>
      </c>
      <c r="R75" s="706">
        <v>3826.85</v>
      </c>
      <c r="S75" s="765">
        <f>IF((_xlfn.XLOOKUP(D75,RUC!$B$3:$B$119,RUC!$E$3:$E$119)+ROUNDDOWN(O75,1)*100)&lt;95,95,((_xlfn.XLOOKUP(D75,RUC!$B$3:$B$119,RUC!$E$3:$E$119)+ROUNDDOWN(O75,1)*100)))</f>
        <v>110</v>
      </c>
      <c r="U75" s="1146">
        <f>_xlfn.XLOOKUP(D75,RUC!$B$3:$B$123,RUC!$F$3:$F$123)</f>
        <v>120</v>
      </c>
      <c r="V75" s="715">
        <v>1.1023000000000001</v>
      </c>
      <c r="Y75">
        <f>_xlfn.XLOOKUP(D75,RUC!$B$3:$B$123,RUC!$G$3:$G$123)</f>
        <v>20</v>
      </c>
      <c r="Z75" s="143">
        <f>_xlfn.XLOOKUP(D75,RUC!$B$3:$B$123,RUC!$H$3:$H$123)</f>
        <v>30</v>
      </c>
      <c r="AA75" s="144">
        <f t="shared" si="41"/>
        <v>50</v>
      </c>
      <c r="AB75" s="145">
        <f t="shared" si="54"/>
        <v>742.99566987499998</v>
      </c>
      <c r="AC75" s="145">
        <f>+(S75-T75)*V75-'data 1'!$F$4</f>
        <v>41.253</v>
      </c>
      <c r="AD75" s="145">
        <f t="shared" si="46"/>
        <v>51.108447923539991</v>
      </c>
      <c r="AE75" s="145">
        <f t="shared" si="42"/>
        <v>-14.884999999999998</v>
      </c>
      <c r="AF75" s="145">
        <f t="shared" si="47"/>
        <v>58.054751207040056</v>
      </c>
      <c r="AG75" s="772">
        <f t="shared" si="43"/>
        <v>152.53119913058006</v>
      </c>
      <c r="AH75" s="1253">
        <f t="shared" si="48"/>
        <v>42.168999999999997</v>
      </c>
      <c r="AI75" s="1253">
        <f t="shared" si="49"/>
        <v>44.52</v>
      </c>
      <c r="AJ75" s="156">
        <f t="shared" si="50"/>
        <v>81.110535608960021</v>
      </c>
      <c r="AK75" s="156">
        <f t="shared" si="51"/>
        <v>37.799640325125004</v>
      </c>
      <c r="AM75" s="716">
        <f t="shared" si="52"/>
        <v>3640.6787823875002</v>
      </c>
      <c r="AN75" s="716" t="str">
        <f>_xlfn.XLOOKUP(D75,RUC!$B$3:$B$578,RUC!$M$3:$M$578)</f>
        <v>Richard Sapacayo</v>
      </c>
      <c r="AO75" s="1167" t="s">
        <v>2281</v>
      </c>
      <c r="AP75" t="s">
        <v>2997</v>
      </c>
      <c r="AQ75" t="s">
        <v>2998</v>
      </c>
    </row>
    <row r="76" spans="1:43" ht="15" customHeight="1">
      <c r="A76" s="747" t="s">
        <v>2949</v>
      </c>
      <c r="B76" s="595">
        <v>45936</v>
      </c>
      <c r="C76" s="1447">
        <v>45929</v>
      </c>
      <c r="D76" t="s">
        <v>1484</v>
      </c>
      <c r="E76" s="762">
        <f>_xlfn.XLOOKUP(D76,RUC!$B$3:$B$123,RUC!$D$3:$D$123)</f>
        <v>10761932735</v>
      </c>
      <c r="G76" s="1082">
        <v>20</v>
      </c>
      <c r="H76" s="762" t="s">
        <v>69</v>
      </c>
      <c r="I76" s="703">
        <v>1.76</v>
      </c>
      <c r="J76" s="596">
        <v>9.1</v>
      </c>
      <c r="K76" s="703">
        <f t="shared" si="44"/>
        <v>1.6</v>
      </c>
      <c r="L76" s="994">
        <v>0.376</v>
      </c>
      <c r="M76" s="994">
        <v>0.35699999999999998</v>
      </c>
      <c r="N76" s="1444">
        <v>0.377</v>
      </c>
      <c r="O76" s="645">
        <f t="shared" si="45"/>
        <v>0.36699999999999999</v>
      </c>
      <c r="P76" s="727">
        <v>90</v>
      </c>
      <c r="Q76" s="881">
        <v>96.81</v>
      </c>
      <c r="R76" s="706">
        <v>3826.85</v>
      </c>
      <c r="S76" s="765">
        <f>IF((_xlfn.XLOOKUP(D76,RUC!$B$3:$B$119,RUC!$E$3:$E$119)+ROUNDDOWN(O76,1)*100)&lt;95,95,((_xlfn.XLOOKUP(D76,RUC!$B$3:$B$119,RUC!$E$3:$E$119)+ROUNDDOWN(O76,1)*100)))</f>
        <v>120</v>
      </c>
      <c r="U76" s="1146">
        <f>_xlfn.XLOOKUP(D76,RUC!$B$3:$B$123,RUC!$F$3:$F$123)</f>
        <v>120</v>
      </c>
      <c r="V76" s="715">
        <v>1.1023000000000001</v>
      </c>
      <c r="Y76">
        <f>_xlfn.XLOOKUP(D76,RUC!$B$3:$B$123,RUC!$G$3:$G$123)</f>
        <v>20</v>
      </c>
      <c r="Z76" s="143">
        <f>_xlfn.XLOOKUP(D76,RUC!$B$3:$B$123,RUC!$H$3:$H$123)</f>
        <v>30</v>
      </c>
      <c r="AA76" s="144">
        <f t="shared" si="41"/>
        <v>50</v>
      </c>
      <c r="AB76" s="145">
        <f t="shared" si="54"/>
        <v>1162.2348673765</v>
      </c>
      <c r="AC76" s="145">
        <f>+(S76-T76)*V76-'data 1'!$F$4</f>
        <v>52.27600000000001</v>
      </c>
      <c r="AD76" s="145">
        <f t="shared" si="46"/>
        <v>104.62603726822803</v>
      </c>
      <c r="AE76" s="145">
        <f t="shared" si="42"/>
        <v>-14.884999999999998</v>
      </c>
      <c r="AF76" s="145">
        <f t="shared" si="47"/>
        <v>35.601438752239531</v>
      </c>
      <c r="AG76" s="772">
        <f t="shared" si="43"/>
        <v>194.6184760204676</v>
      </c>
      <c r="AH76" s="1253">
        <f t="shared" si="48"/>
        <v>19.968</v>
      </c>
      <c r="AI76" s="1253">
        <f t="shared" si="49"/>
        <v>20.626000000000001</v>
      </c>
      <c r="AJ76" s="156">
        <f t="shared" si="50"/>
        <v>117.62449475977205</v>
      </c>
      <c r="AK76" s="156">
        <f t="shared" si="51"/>
        <v>18.119141876664003</v>
      </c>
      <c r="AM76" s="716">
        <f t="shared" si="52"/>
        <v>1859.5757878024001</v>
      </c>
      <c r="AN76" s="716" t="str">
        <f>_xlfn.XLOOKUP(D76,RUC!$B$3:$B$578,RUC!$M$3:$M$578)</f>
        <v>Richard Sapacayo</v>
      </c>
      <c r="AO76" s="1167" t="s">
        <v>2279</v>
      </c>
      <c r="AP76" t="s">
        <v>2997</v>
      </c>
      <c r="AQ76" t="s">
        <v>2998</v>
      </c>
    </row>
    <row r="77" spans="1:43" ht="15" customHeight="1">
      <c r="A77" s="747" t="s">
        <v>2950</v>
      </c>
      <c r="B77" s="595">
        <v>45936</v>
      </c>
      <c r="C77" s="1447">
        <v>45929</v>
      </c>
      <c r="D77" t="s">
        <v>1484</v>
      </c>
      <c r="E77" s="762">
        <f>_xlfn.XLOOKUP(D77,RUC!$B$3:$B$123,RUC!$D$3:$D$123)</f>
        <v>10761932735</v>
      </c>
      <c r="G77" s="1082">
        <v>118</v>
      </c>
      <c r="H77" s="762" t="s">
        <v>69</v>
      </c>
      <c r="I77" s="703">
        <v>9.83</v>
      </c>
      <c r="J77" s="596">
        <v>12.8</v>
      </c>
      <c r="K77" s="703">
        <f t="shared" si="44"/>
        <v>8.5719999999999992</v>
      </c>
      <c r="L77" s="994">
        <v>0.159</v>
      </c>
      <c r="M77" s="994">
        <v>0.14399999999999999</v>
      </c>
      <c r="N77" s="1444">
        <v>0.18099999999999999</v>
      </c>
      <c r="O77" s="645">
        <f t="shared" si="45"/>
        <v>0.16300000000000001</v>
      </c>
      <c r="P77" s="727">
        <v>90</v>
      </c>
      <c r="Q77" s="881">
        <v>95.6</v>
      </c>
      <c r="R77" s="706">
        <v>3826.85</v>
      </c>
      <c r="S77" s="765">
        <f>IF((_xlfn.XLOOKUP(D77,RUC!$B$3:$B$119,RUC!$E$3:$E$119)+ROUNDDOWN(O77,1)*100)&lt;95,95,((_xlfn.XLOOKUP(D77,RUC!$B$3:$B$119,RUC!$E$3:$E$119)+ROUNDDOWN(O77,1)*100)))</f>
        <v>100</v>
      </c>
      <c r="U77" s="1146">
        <f>_xlfn.XLOOKUP(D77,RUC!$B$3:$B$123,RUC!$F$3:$F$123)</f>
        <v>120</v>
      </c>
      <c r="V77" s="715">
        <v>1.1023000000000001</v>
      </c>
      <c r="Y77">
        <f>_xlfn.XLOOKUP(D77,RUC!$B$3:$B$123,RUC!$G$3:$G$123)</f>
        <v>20</v>
      </c>
      <c r="Z77" s="143">
        <f>_xlfn.XLOOKUP(D77,RUC!$B$3:$B$123,RUC!$H$3:$H$123)</f>
        <v>30</v>
      </c>
      <c r="AA77" s="144">
        <f t="shared" si="41"/>
        <v>50</v>
      </c>
      <c r="AB77" s="145">
        <f t="shared" si="54"/>
        <v>434.08011275850004</v>
      </c>
      <c r="AC77" s="145">
        <f>+(S77-T77)*V77-'data 1'!$F$4</f>
        <v>30.230000000000004</v>
      </c>
      <c r="AD77" s="145">
        <f t="shared" si="46"/>
        <v>36.382284962519968</v>
      </c>
      <c r="AE77" s="145">
        <f t="shared" si="42"/>
        <v>-14.884999999999998</v>
      </c>
      <c r="AF77" s="145">
        <f t="shared" si="47"/>
        <v>-15.625096327120014</v>
      </c>
      <c r="AG77" s="772">
        <f t="shared" si="43"/>
        <v>53.102188635399955</v>
      </c>
      <c r="AH77" s="1253">
        <f t="shared" si="48"/>
        <v>44.673000000000002</v>
      </c>
      <c r="AI77" s="1253">
        <f t="shared" si="49"/>
        <v>46.728999999999999</v>
      </c>
      <c r="AJ77" s="156">
        <f t="shared" si="50"/>
        <v>49.11845779698001</v>
      </c>
      <c r="AK77" s="156">
        <f t="shared" si="51"/>
        <v>43.114300611686822</v>
      </c>
      <c r="AM77" s="716">
        <f t="shared" si="52"/>
        <v>3720.9347265658621</v>
      </c>
      <c r="AN77" s="716" t="str">
        <f>_xlfn.XLOOKUP(D77,RUC!$B$3:$B$578,RUC!$M$3:$M$578)</f>
        <v>Richard Sapacayo</v>
      </c>
      <c r="AO77" s="1167" t="s">
        <v>2279</v>
      </c>
      <c r="AP77" t="s">
        <v>2997</v>
      </c>
      <c r="AQ77" t="s">
        <v>2998</v>
      </c>
    </row>
    <row r="78" spans="1:43" ht="15" customHeight="1">
      <c r="A78" s="747" t="s">
        <v>2951</v>
      </c>
      <c r="B78" s="595">
        <v>45936</v>
      </c>
      <c r="C78" s="1447">
        <v>45929</v>
      </c>
      <c r="D78" t="s">
        <v>1484</v>
      </c>
      <c r="E78" s="762">
        <f>_xlfn.XLOOKUP(D78,RUC!$B$3:$B$123,RUC!$D$3:$D$123)</f>
        <v>10761932735</v>
      </c>
      <c r="G78" s="1082" t="s">
        <v>2985</v>
      </c>
      <c r="H78" s="762" t="s">
        <v>69</v>
      </c>
      <c r="I78" s="703">
        <v>8.2200000000000006</v>
      </c>
      <c r="J78" s="596">
        <v>14.6</v>
      </c>
      <c r="K78" s="703">
        <f t="shared" si="44"/>
        <v>7.02</v>
      </c>
      <c r="L78" s="994">
        <v>0.14799999999999999</v>
      </c>
      <c r="M78" s="994">
        <v>0.13300000000000001</v>
      </c>
      <c r="N78" s="1196">
        <f t="shared" si="55"/>
        <v>0.13300000000000001</v>
      </c>
      <c r="O78" s="645">
        <f t="shared" si="45"/>
        <v>0.13300000000000001</v>
      </c>
      <c r="P78" s="727">
        <v>85</v>
      </c>
      <c r="Q78" s="881">
        <v>98.65</v>
      </c>
      <c r="R78" s="706">
        <v>3826.85</v>
      </c>
      <c r="S78" s="765">
        <f>IF((_xlfn.XLOOKUP(D78,RUC!$B$3:$B$119,RUC!$E$3:$E$119)+ROUNDDOWN(O78,1)*100)&lt;95,95,((_xlfn.XLOOKUP(D78,RUC!$B$3:$B$119,RUC!$E$3:$E$119)+ROUNDDOWN(O78,1)*100)))</f>
        <v>100</v>
      </c>
      <c r="U78" s="1146">
        <f>_xlfn.XLOOKUP(D78,RUC!$B$3:$B$123,RUC!$F$3:$F$123)</f>
        <v>120</v>
      </c>
      <c r="V78" s="715">
        <v>1.1023000000000001</v>
      </c>
      <c r="Y78">
        <f>_xlfn.XLOOKUP(D78,RUC!$B$3:$B$123,RUC!$G$3:$G$123)</f>
        <v>20</v>
      </c>
      <c r="Z78" s="143">
        <f>_xlfn.XLOOKUP(D78,RUC!$B$3:$B$123,RUC!$H$3:$H$123)</f>
        <v>30</v>
      </c>
      <c r="AA78" s="144">
        <f t="shared" si="41"/>
        <v>50</v>
      </c>
      <c r="AB78" s="145">
        <f t="shared" si="54"/>
        <v>296.58416835274994</v>
      </c>
      <c r="AC78" s="145">
        <f>+(S78-T78)*V78-'data 1'!$F$4</f>
        <v>30.230000000000004</v>
      </c>
      <c r="AD78" s="145">
        <f t="shared" si="46"/>
        <v>82.54659937251003</v>
      </c>
      <c r="AE78" s="145">
        <f t="shared" si="42"/>
        <v>-14.884999999999998</v>
      </c>
      <c r="AF78" s="145">
        <f t="shared" si="47"/>
        <v>60.463484022112446</v>
      </c>
      <c r="AG78" s="772">
        <f t="shared" si="43"/>
        <v>175.35508339462248</v>
      </c>
      <c r="AH78" s="1253">
        <f t="shared" si="48"/>
        <v>35.14</v>
      </c>
      <c r="AI78" s="1253">
        <f t="shared" si="49"/>
        <v>35.621000000000002</v>
      </c>
      <c r="AJ78" s="156">
        <f t="shared" si="50"/>
        <v>47.178976048490014</v>
      </c>
      <c r="AK78" s="156">
        <f t="shared" si="51"/>
        <v>27.209261095748552</v>
      </c>
      <c r="AM78" s="716">
        <f t="shared" si="52"/>
        <v>2082.0208618363044</v>
      </c>
      <c r="AN78" s="716" t="str">
        <f>_xlfn.XLOOKUP(D78,RUC!$B$3:$B$578,RUC!$M$3:$M$578)</f>
        <v>Richard Sapacayo</v>
      </c>
      <c r="AO78" s="1167" t="s">
        <v>2279</v>
      </c>
      <c r="AP78" t="s">
        <v>2997</v>
      </c>
      <c r="AQ78" t="s">
        <v>2998</v>
      </c>
    </row>
    <row r="79" spans="1:43" ht="15" customHeight="1">
      <c r="A79" s="747" t="s">
        <v>2952</v>
      </c>
      <c r="B79" s="595">
        <v>45936</v>
      </c>
      <c r="C79" s="1447">
        <v>45930</v>
      </c>
      <c r="D79" t="s">
        <v>1967</v>
      </c>
      <c r="E79" s="762">
        <f>_xlfn.XLOOKUP(D79,RUC!$B$3:$B$123,RUC!$D$3:$D$123)</f>
        <v>20601769396</v>
      </c>
      <c r="G79" s="1082">
        <v>28</v>
      </c>
      <c r="H79" s="762" t="s">
        <v>108</v>
      </c>
      <c r="I79" s="703">
        <v>1.99</v>
      </c>
      <c r="J79" s="596">
        <v>11.05</v>
      </c>
      <c r="K79" s="703">
        <f t="shared" si="44"/>
        <v>1.77</v>
      </c>
      <c r="L79" s="994">
        <v>0.16800000000000001</v>
      </c>
      <c r="M79" s="994">
        <v>0.153</v>
      </c>
      <c r="N79" s="1196">
        <f t="shared" si="55"/>
        <v>0.153</v>
      </c>
      <c r="O79" s="645">
        <f t="shared" si="45"/>
        <v>0.153</v>
      </c>
      <c r="P79" s="727">
        <v>90</v>
      </c>
      <c r="Q79" s="881">
        <v>96.51</v>
      </c>
      <c r="R79" s="706">
        <v>3825.3</v>
      </c>
      <c r="S79" s="765">
        <f>IF((_xlfn.XLOOKUP(D79,RUC!$B$3:$B$119,RUC!$E$3:$E$119)+ROUNDDOWN(O79,1)*100)&lt;95,95,((_xlfn.XLOOKUP(D79,RUC!$B$3:$B$119,RUC!$E$3:$E$119)+ROUNDDOWN(O79,1)*100)))</f>
        <v>100</v>
      </c>
      <c r="U79" s="1146">
        <f>_xlfn.XLOOKUP(D79,RUC!$B$3:$B$123,RUC!$F$3:$F$123)</f>
        <v>120</v>
      </c>
      <c r="V79" s="715">
        <v>1.1023000000000001</v>
      </c>
      <c r="Y79">
        <f>_xlfn.XLOOKUP(D79,RUC!$B$3:$B$123,RUC!$G$3:$G$123)</f>
        <v>20</v>
      </c>
      <c r="Z79" s="143">
        <f>_xlfn.XLOOKUP(D79,RUC!$B$3:$B$123,RUC!$H$3:$H$123)</f>
        <v>30</v>
      </c>
      <c r="AA79" s="144">
        <f t="shared" si="41"/>
        <v>50</v>
      </c>
      <c r="AB79" s="145">
        <f t="shared" si="54"/>
        <v>397.070296563</v>
      </c>
      <c r="AC79" s="145">
        <f>+(S79-T79)*V79-'data 1'!$F$4</f>
        <v>30.230000000000004</v>
      </c>
      <c r="AD79" s="145">
        <f t="shared" si="46"/>
        <v>44.669743031592041</v>
      </c>
      <c r="AE79" s="145">
        <f t="shared" si="42"/>
        <v>-14.884999999999998</v>
      </c>
      <c r="AF79" s="145">
        <f t="shared" si="47"/>
        <v>59.127124478535059</v>
      </c>
      <c r="AG79" s="772">
        <f t="shared" si="43"/>
        <v>136.1418675101271</v>
      </c>
      <c r="AH79" s="1253">
        <f t="shared" si="48"/>
        <v>9.8390000000000004</v>
      </c>
      <c r="AI79" s="1253">
        <f t="shared" si="49"/>
        <v>10.195</v>
      </c>
      <c r="AJ79" s="156">
        <f t="shared" si="50"/>
        <v>52.66978440040797</v>
      </c>
      <c r="AK79" s="156">
        <f t="shared" si="51"/>
        <v>8.35634334403845</v>
      </c>
      <c r="AM79" s="716">
        <f t="shared" si="52"/>
        <v>702.81442491651001</v>
      </c>
      <c r="AN79" s="716" t="str">
        <f>_xlfn.XLOOKUP(D79,RUC!$B$3:$B$578,RUC!$M$3:$M$578)</f>
        <v>Evelyn</v>
      </c>
      <c r="AO79" s="1167" t="s">
        <v>2279</v>
      </c>
      <c r="AP79" t="s">
        <v>2999</v>
      </c>
      <c r="AQ79" t="s">
        <v>2475</v>
      </c>
    </row>
    <row r="80" spans="1:43" ht="15" customHeight="1">
      <c r="A80" s="747" t="s">
        <v>2953</v>
      </c>
      <c r="B80" s="595">
        <v>45936</v>
      </c>
      <c r="C80" s="1447">
        <v>45930</v>
      </c>
      <c r="D80" t="s">
        <v>1967</v>
      </c>
      <c r="E80" s="762">
        <f>_xlfn.XLOOKUP(D80,RUC!$B$3:$B$123,RUC!$D$3:$D$123)</f>
        <v>20601769396</v>
      </c>
      <c r="G80" s="1082">
        <v>30</v>
      </c>
      <c r="H80" s="762" t="s">
        <v>108</v>
      </c>
      <c r="I80" s="703">
        <v>2.2200000000000002</v>
      </c>
      <c r="J80" s="596">
        <v>8.5</v>
      </c>
      <c r="K80" s="703">
        <f t="shared" si="44"/>
        <v>2.0310000000000001</v>
      </c>
      <c r="L80" s="994">
        <v>0.17299999999999999</v>
      </c>
      <c r="M80" s="994">
        <v>0.158</v>
      </c>
      <c r="N80" s="1196">
        <f t="shared" si="55"/>
        <v>0.158</v>
      </c>
      <c r="O80" s="645">
        <f t="shared" si="45"/>
        <v>0.158</v>
      </c>
      <c r="P80" s="727">
        <v>90</v>
      </c>
      <c r="Q80" s="881">
        <v>94.77</v>
      </c>
      <c r="R80" s="706">
        <v>3825.3</v>
      </c>
      <c r="S80" s="765">
        <f>IF((_xlfn.XLOOKUP(D80,RUC!$B$3:$B$119,RUC!$E$3:$E$119)+ROUNDDOWN(O80,1)*100)&lt;95,95,((_xlfn.XLOOKUP(D80,RUC!$B$3:$B$119,RUC!$E$3:$E$119)+ROUNDDOWN(O80,1)*100)))</f>
        <v>100</v>
      </c>
      <c r="U80" s="1146">
        <f>_xlfn.XLOOKUP(D80,RUC!$B$3:$B$123,RUC!$F$3:$F$123)</f>
        <v>120</v>
      </c>
      <c r="V80" s="715">
        <v>1.1023000000000001</v>
      </c>
      <c r="Y80">
        <f>_xlfn.XLOOKUP(D80,RUC!$B$3:$B$123,RUC!$G$3:$G$123)</f>
        <v>20</v>
      </c>
      <c r="Z80" s="143">
        <f>_xlfn.XLOOKUP(D80,RUC!$B$3:$B$123,RUC!$H$3:$H$123)</f>
        <v>30</v>
      </c>
      <c r="AA80" s="144">
        <f t="shared" si="41"/>
        <v>50</v>
      </c>
      <c r="AB80" s="145">
        <f t="shared" si="54"/>
        <v>415.44988141800007</v>
      </c>
      <c r="AC80" s="145">
        <f>+(S80-T80)*V80-'data 1'!$F$4</f>
        <v>30.230000000000004</v>
      </c>
      <c r="AD80" s="145">
        <f t="shared" si="46"/>
        <v>33.704482707098968</v>
      </c>
      <c r="AE80" s="145">
        <f t="shared" si="42"/>
        <v>-14.884999999999998</v>
      </c>
      <c r="AF80" s="145">
        <f t="shared" si="47"/>
        <v>58.061108556944944</v>
      </c>
      <c r="AG80" s="772">
        <f t="shared" si="43"/>
        <v>124.11059126404393</v>
      </c>
      <c r="AH80" s="1253">
        <f t="shared" si="48"/>
        <v>11.417</v>
      </c>
      <c r="AI80" s="1253">
        <f t="shared" si="49"/>
        <v>12.047000000000001</v>
      </c>
      <c r="AJ80" s="156">
        <f t="shared" si="50"/>
        <v>53.259480629900963</v>
      </c>
      <c r="AK80" s="156">
        <f t="shared" si="51"/>
        <v>9.9019012090220091</v>
      </c>
      <c r="AM80" s="716">
        <f t="shared" si="52"/>
        <v>843.77870915995823</v>
      </c>
      <c r="AN80" s="716" t="str">
        <f>_xlfn.XLOOKUP(D80,RUC!$B$3:$B$578,RUC!$M$3:$M$578)</f>
        <v>Evelyn</v>
      </c>
      <c r="AO80" s="1167" t="s">
        <v>2279</v>
      </c>
      <c r="AP80" t="s">
        <v>2999</v>
      </c>
      <c r="AQ80" t="s">
        <v>2475</v>
      </c>
    </row>
    <row r="81" spans="1:43" ht="15" customHeight="1">
      <c r="A81" s="747" t="s">
        <v>2954</v>
      </c>
      <c r="B81" s="595">
        <v>45936</v>
      </c>
      <c r="C81" s="1447">
        <v>45930</v>
      </c>
      <c r="D81" t="s">
        <v>1967</v>
      </c>
      <c r="E81" s="762">
        <f>_xlfn.XLOOKUP(D81,RUC!$B$3:$B$123,RUC!$D$3:$D$123)</f>
        <v>20601769396</v>
      </c>
      <c r="G81" s="1082">
        <v>30</v>
      </c>
      <c r="H81" s="762" t="s">
        <v>108</v>
      </c>
      <c r="I81" s="703">
        <v>2.2400000000000002</v>
      </c>
      <c r="J81" s="596">
        <v>11.89</v>
      </c>
      <c r="K81" s="703">
        <f t="shared" si="44"/>
        <v>1.974</v>
      </c>
      <c r="L81" s="994">
        <v>0.13800000000000001</v>
      </c>
      <c r="M81" s="994">
        <v>0.123</v>
      </c>
      <c r="N81" s="1196">
        <f t="shared" si="55"/>
        <v>0.123</v>
      </c>
      <c r="O81" s="645">
        <f t="shared" si="45"/>
        <v>0.123</v>
      </c>
      <c r="P81" s="727">
        <v>80</v>
      </c>
      <c r="Q81" s="881">
        <v>93.75</v>
      </c>
      <c r="R81" s="706">
        <v>3825.3</v>
      </c>
      <c r="S81" s="765">
        <f>IF((_xlfn.XLOOKUP(D81,RUC!$B$3:$B$119,RUC!$E$3:$E$119)+ROUNDDOWN(O81,1)*100)&lt;95,95,((_xlfn.XLOOKUP(D81,RUC!$B$3:$B$119,RUC!$E$3:$E$119)+ROUNDDOWN(O81,1)*100)))</f>
        <v>100</v>
      </c>
      <c r="U81" s="1146">
        <f>_xlfn.XLOOKUP(D81,RUC!$B$3:$B$123,RUC!$F$3:$F$123)</f>
        <v>120</v>
      </c>
      <c r="V81" s="715">
        <v>1.1023000000000001</v>
      </c>
      <c r="Y81">
        <f>_xlfn.XLOOKUP(D81,RUC!$B$3:$B$123,RUC!$G$3:$G$123)</f>
        <v>20</v>
      </c>
      <c r="Z81" s="143">
        <f>_xlfn.XLOOKUP(D81,RUC!$B$3:$B$123,RUC!$H$3:$H$123)</f>
        <v>30</v>
      </c>
      <c r="AA81" s="144">
        <f t="shared" si="41"/>
        <v>50</v>
      </c>
      <c r="AB81" s="145">
        <f t="shared" si="54"/>
        <v>236.555255496</v>
      </c>
      <c r="AC81" s="145">
        <f>+(S81-T81)*V81-'data 1'!$F$4</f>
        <v>30.230000000000004</v>
      </c>
      <c r="AD81" s="145">
        <f t="shared" si="46"/>
        <v>77.500582805250019</v>
      </c>
      <c r="AE81" s="145">
        <f t="shared" si="42"/>
        <v>-14.884999999999998</v>
      </c>
      <c r="AF81" s="145">
        <f t="shared" si="47"/>
        <v>57.436202671875051</v>
      </c>
      <c r="AG81" s="772">
        <f t="shared" si="43"/>
        <v>167.28178547712508</v>
      </c>
      <c r="AH81" s="1253">
        <f t="shared" si="48"/>
        <v>8.7560000000000002</v>
      </c>
      <c r="AI81" s="1253">
        <f t="shared" si="49"/>
        <v>9.34</v>
      </c>
      <c r="AJ81" s="156">
        <f t="shared" si="50"/>
        <v>42.02718541874998</v>
      </c>
      <c r="AK81" s="156">
        <f t="shared" si="51"/>
        <v>6.6596486314528809</v>
      </c>
      <c r="AM81" s="716">
        <f t="shared" si="52"/>
        <v>466.96007434910399</v>
      </c>
      <c r="AN81" s="716" t="str">
        <f>_xlfn.XLOOKUP(D81,RUC!$B$3:$B$578,RUC!$M$3:$M$578)</f>
        <v>Evelyn</v>
      </c>
      <c r="AO81" s="1167" t="s">
        <v>2279</v>
      </c>
      <c r="AP81" t="s">
        <v>2999</v>
      </c>
      <c r="AQ81" t="s">
        <v>2475</v>
      </c>
    </row>
    <row r="82" spans="1:43" ht="15" customHeight="1">
      <c r="A82" s="747" t="s">
        <v>2955</v>
      </c>
      <c r="B82" s="595">
        <v>45936</v>
      </c>
      <c r="C82" s="1447">
        <v>45930</v>
      </c>
      <c r="D82" t="s">
        <v>1967</v>
      </c>
      <c r="E82" s="762">
        <f>_xlfn.XLOOKUP(D82,RUC!$B$3:$B$123,RUC!$D$3:$D$123)</f>
        <v>20601769396</v>
      </c>
      <c r="G82" s="1082">
        <v>35</v>
      </c>
      <c r="H82" s="762" t="s">
        <v>108</v>
      </c>
      <c r="I82" s="703">
        <v>3.66</v>
      </c>
      <c r="J82" s="596">
        <v>4.55</v>
      </c>
      <c r="K82" s="703">
        <f t="shared" si="44"/>
        <v>3.4929999999999999</v>
      </c>
      <c r="L82" s="994">
        <v>0.245</v>
      </c>
      <c r="M82" s="994">
        <v>0.23</v>
      </c>
      <c r="N82" s="1444">
        <v>0.315</v>
      </c>
      <c r="O82" s="645">
        <f t="shared" si="45"/>
        <v>0.27300000000000002</v>
      </c>
      <c r="P82" s="727">
        <v>82</v>
      </c>
      <c r="Q82" s="881">
        <v>85.71</v>
      </c>
      <c r="R82" s="706">
        <v>3825.3</v>
      </c>
      <c r="S82" s="765">
        <f>IF((_xlfn.XLOOKUP(D82,RUC!$B$3:$B$119,RUC!$E$3:$E$119)+ROUNDDOWN(O82,1)*100)&lt;95,95,((_xlfn.XLOOKUP(D82,RUC!$B$3:$B$119,RUC!$E$3:$E$119)+ROUNDDOWN(O82,1)*100)))</f>
        <v>110</v>
      </c>
      <c r="U82" s="1146">
        <f>_xlfn.XLOOKUP(D82,RUC!$B$3:$B$123,RUC!$F$3:$F$123)</f>
        <v>120</v>
      </c>
      <c r="V82" s="715">
        <v>1.1023000000000001</v>
      </c>
      <c r="Y82">
        <f>_xlfn.XLOOKUP(D82,RUC!$B$3:$B$123,RUC!$G$3:$G$123)</f>
        <v>20</v>
      </c>
      <c r="Z82" s="143">
        <f>_xlfn.XLOOKUP(D82,RUC!$B$3:$B$123,RUC!$H$3:$H$123)</f>
        <v>30</v>
      </c>
      <c r="AA82" s="144">
        <f t="shared" si="41"/>
        <v>50</v>
      </c>
      <c r="AB82" s="145">
        <f t="shared" si="54"/>
        <v>737.95508125340007</v>
      </c>
      <c r="AC82" s="145">
        <f>+(S82-T82)*V82-'data 1'!$F$4</f>
        <v>41.253</v>
      </c>
      <c r="AD82" s="145">
        <f t="shared" si="46"/>
        <v>37.124719231004939</v>
      </c>
      <c r="AE82" s="145">
        <f t="shared" si="42"/>
        <v>-14.884999999999998</v>
      </c>
      <c r="AF82" s="145">
        <f t="shared" si="47"/>
        <v>-98.019551337372107</v>
      </c>
      <c r="AG82" s="772">
        <f t="shared" si="43"/>
        <v>-17.526832106367173</v>
      </c>
      <c r="AH82" s="1253">
        <f t="shared" si="48"/>
        <v>25.148</v>
      </c>
      <c r="AI82" s="1253">
        <f t="shared" si="49"/>
        <v>29.341000000000001</v>
      </c>
      <c r="AJ82" s="156">
        <f t="shared" si="50"/>
        <v>68.214629197994952</v>
      </c>
      <c r="AK82" s="156">
        <f t="shared" si="51"/>
        <v>26.809218502273389</v>
      </c>
      <c r="AM82" s="716">
        <f t="shared" si="52"/>
        <v>2577.6770988181265</v>
      </c>
      <c r="AN82" s="716" t="str">
        <f>_xlfn.XLOOKUP(D82,RUC!$B$3:$B$578,RUC!$M$3:$M$578)</f>
        <v>Evelyn</v>
      </c>
      <c r="AO82" s="1167" t="s">
        <v>2279</v>
      </c>
      <c r="AP82" t="s">
        <v>2999</v>
      </c>
      <c r="AQ82" t="s">
        <v>2475</v>
      </c>
    </row>
    <row r="83" spans="1:43" ht="15" customHeight="1">
      <c r="A83" s="747" t="s">
        <v>2956</v>
      </c>
      <c r="B83" s="595">
        <v>45936</v>
      </c>
      <c r="C83" s="1447">
        <v>45930</v>
      </c>
      <c r="D83" t="s">
        <v>1967</v>
      </c>
      <c r="E83" s="762">
        <f>_xlfn.XLOOKUP(D83,RUC!$B$3:$B$123,RUC!$D$3:$D$123)</f>
        <v>20601769396</v>
      </c>
      <c r="G83" s="1082">
        <v>35</v>
      </c>
      <c r="H83" s="762" t="s">
        <v>108</v>
      </c>
      <c r="I83" s="703">
        <v>3.67</v>
      </c>
      <c r="J83" s="596">
        <v>4.7</v>
      </c>
      <c r="K83" s="703">
        <f t="shared" si="44"/>
        <v>3.4980000000000002</v>
      </c>
      <c r="L83" s="994">
        <v>0.252</v>
      </c>
      <c r="M83" s="994">
        <v>0.23699999999999999</v>
      </c>
      <c r="N83" s="1444">
        <v>0.29799999999999999</v>
      </c>
      <c r="O83" s="645">
        <f t="shared" si="45"/>
        <v>0.26800000000000002</v>
      </c>
      <c r="P83" s="727">
        <v>82</v>
      </c>
      <c r="Q83" s="881">
        <v>83.33</v>
      </c>
      <c r="R83" s="706">
        <v>3825.3</v>
      </c>
      <c r="S83" s="765">
        <f>IF((_xlfn.XLOOKUP(D83,RUC!$B$3:$B$119,RUC!$E$3:$E$119)+ROUNDDOWN(O83,1)*100)&lt;95,95,((_xlfn.XLOOKUP(D83,RUC!$B$3:$B$119,RUC!$E$3:$E$119)+ROUNDDOWN(O83,1)*100)))</f>
        <v>110</v>
      </c>
      <c r="U83" s="1146">
        <f>_xlfn.XLOOKUP(D83,RUC!$B$3:$B$123,RUC!$F$3:$F$123)</f>
        <v>120</v>
      </c>
      <c r="V83" s="715">
        <v>1.1023000000000001</v>
      </c>
      <c r="Y83">
        <f>_xlfn.XLOOKUP(D83,RUC!$B$3:$B$123,RUC!$G$3:$G$123)</f>
        <v>20</v>
      </c>
      <c r="Z83" s="143">
        <f>_xlfn.XLOOKUP(D83,RUC!$B$3:$B$123,RUC!$H$3:$H$123)</f>
        <v>30</v>
      </c>
      <c r="AA83" s="144">
        <f t="shared" si="41"/>
        <v>50</v>
      </c>
      <c r="AB83" s="145">
        <f t="shared" si="54"/>
        <v>721.20923727440027</v>
      </c>
      <c r="AC83" s="145">
        <f>+(S83-T83)*V83-'data 1'!$F$4</f>
        <v>41.253</v>
      </c>
      <c r="AD83" s="145">
        <f t="shared" si="46"/>
        <v>13.689114800003983</v>
      </c>
      <c r="AE83" s="145">
        <f t="shared" si="42"/>
        <v>-14.884999999999998</v>
      </c>
      <c r="AF83" s="145">
        <f t="shared" si="47"/>
        <v>-54.455850878832052</v>
      </c>
      <c r="AG83" s="772">
        <f t="shared" si="43"/>
        <v>2.6012639211719346</v>
      </c>
      <c r="AH83" s="1253">
        <f t="shared" si="48"/>
        <v>25.184000000000001</v>
      </c>
      <c r="AI83" s="1253">
        <f t="shared" si="49"/>
        <v>30.222000000000001</v>
      </c>
      <c r="AJ83" s="156">
        <f t="shared" si="50"/>
        <v>68.215311378395953</v>
      </c>
      <c r="AK83" s="156">
        <f t="shared" si="51"/>
        <v>26.355879958782271</v>
      </c>
      <c r="AM83" s="716">
        <f t="shared" si="52"/>
        <v>2522.7899119858521</v>
      </c>
      <c r="AN83" s="716" t="str">
        <f>_xlfn.XLOOKUP(D83,RUC!$B$3:$B$578,RUC!$M$3:$M$578)</f>
        <v>Evelyn</v>
      </c>
      <c r="AO83" s="1167" t="s">
        <v>2279</v>
      </c>
      <c r="AP83" t="s">
        <v>2999</v>
      </c>
      <c r="AQ83" t="s">
        <v>2475</v>
      </c>
    </row>
    <row r="84" spans="1:43" ht="15" customHeight="1">
      <c r="A84" s="747" t="s">
        <v>2957</v>
      </c>
      <c r="B84" s="595">
        <v>45936</v>
      </c>
      <c r="C84" s="1447">
        <v>45930</v>
      </c>
      <c r="D84" t="s">
        <v>1967</v>
      </c>
      <c r="E84" s="762">
        <f>_xlfn.XLOOKUP(D84,RUC!$B$3:$B$123,RUC!$D$3:$D$123)</f>
        <v>20601769396</v>
      </c>
      <c r="G84" s="1082">
        <v>34</v>
      </c>
      <c r="H84" s="762" t="s">
        <v>108</v>
      </c>
      <c r="I84" s="703">
        <v>3.5</v>
      </c>
      <c r="J84" s="596">
        <v>4.55</v>
      </c>
      <c r="K84" s="703">
        <f t="shared" si="44"/>
        <v>3.3410000000000002</v>
      </c>
      <c r="L84" s="762">
        <v>0.52700000000000002</v>
      </c>
      <c r="M84" s="762">
        <v>0.501</v>
      </c>
      <c r="N84" s="1196">
        <f t="shared" si="55"/>
        <v>0.501</v>
      </c>
      <c r="O84" s="645">
        <f t="shared" si="45"/>
        <v>0.501</v>
      </c>
      <c r="P84" s="727">
        <v>90</v>
      </c>
      <c r="Q84" s="881">
        <v>92.6</v>
      </c>
      <c r="R84" s="706">
        <v>3825.3</v>
      </c>
      <c r="S84" s="765">
        <f>IF((_xlfn.XLOOKUP(D84,RUC!$B$3:$B$119,RUC!$E$3:$E$119)+ROUNDDOWN(O84,1)*100)&lt;95,95,((_xlfn.XLOOKUP(D84,RUC!$B$3:$B$119,RUC!$E$3:$E$119)+ROUNDDOWN(O84,1)*100)))</f>
        <v>140</v>
      </c>
      <c r="U84" s="1146">
        <f>_xlfn.XLOOKUP(D84,RUC!$B$3:$B$123,RUC!$F$3:$F$123)</f>
        <v>120</v>
      </c>
      <c r="V84" s="715">
        <v>1.1023000000000001</v>
      </c>
      <c r="Y84">
        <f>_xlfn.XLOOKUP(D84,RUC!$B$3:$B$123,RUC!$G$3:$G$123)</f>
        <v>20</v>
      </c>
      <c r="Z84" s="143">
        <f>_xlfn.XLOOKUP(D84,RUC!$B$3:$B$123,RUC!$H$3:$H$123)</f>
        <v>30</v>
      </c>
      <c r="AA84" s="144">
        <f t="shared" si="41"/>
        <v>50</v>
      </c>
      <c r="AB84" s="145">
        <f t="shared" si="54"/>
        <v>1632.1974024710003</v>
      </c>
      <c r="AC84" s="145">
        <f>+(S84-T84)*V84-'data 1'!$F$4</f>
        <v>74.322000000000003</v>
      </c>
      <c r="AD84" s="145">
        <f t="shared" si="46"/>
        <v>55.963793707379885</v>
      </c>
      <c r="AE84" s="145">
        <f t="shared" si="42"/>
        <v>-14.884999999999998</v>
      </c>
      <c r="AF84" s="145">
        <f t="shared" si="47"/>
        <v>98.334863326440086</v>
      </c>
      <c r="AG84" s="772">
        <f t="shared" si="43"/>
        <v>230.73565703381996</v>
      </c>
      <c r="AH84" s="1253">
        <f t="shared" si="48"/>
        <v>55.899000000000001</v>
      </c>
      <c r="AI84" s="1253">
        <f t="shared" si="49"/>
        <v>60.366999999999997</v>
      </c>
      <c r="AJ84" s="156">
        <f t="shared" si="50"/>
        <v>158.5263809756199</v>
      </c>
      <c r="AK84" s="156">
        <f t="shared" si="51"/>
        <v>51.649459397100053</v>
      </c>
      <c r="AM84" s="716">
        <f t="shared" si="52"/>
        <v>5453.1715216556122</v>
      </c>
      <c r="AN84" s="716" t="str">
        <f>_xlfn.XLOOKUP(D84,RUC!$B$3:$B$578,RUC!$M$3:$M$578)</f>
        <v>Evelyn</v>
      </c>
      <c r="AO84" s="1167" t="s">
        <v>2281</v>
      </c>
      <c r="AP84" t="s">
        <v>2999</v>
      </c>
      <c r="AQ84" t="s">
        <v>2475</v>
      </c>
    </row>
    <row r="85" spans="1:43" ht="15" customHeight="1">
      <c r="A85" s="747" t="s">
        <v>2958</v>
      </c>
      <c r="B85" s="595">
        <v>45936</v>
      </c>
      <c r="C85" s="1447">
        <v>45930</v>
      </c>
      <c r="D85" t="s">
        <v>1967</v>
      </c>
      <c r="E85" s="762">
        <f>_xlfn.XLOOKUP(D85,RUC!$B$3:$B$123,RUC!$D$3:$D$123)</f>
        <v>20601769396</v>
      </c>
      <c r="G85" s="1082">
        <v>29</v>
      </c>
      <c r="H85" s="762" t="s">
        <v>108</v>
      </c>
      <c r="I85" s="703">
        <v>2.12</v>
      </c>
      <c r="J85" s="596">
        <v>5</v>
      </c>
      <c r="K85" s="703">
        <f t="shared" si="44"/>
        <v>2.0139999999999998</v>
      </c>
      <c r="L85" s="762">
        <v>0.218</v>
      </c>
      <c r="M85" s="762">
        <v>0.20300000000000001</v>
      </c>
      <c r="N85" s="1196">
        <f t="shared" si="55"/>
        <v>0.20300000000000001</v>
      </c>
      <c r="O85" s="645">
        <f t="shared" si="45"/>
        <v>0.20300000000000001</v>
      </c>
      <c r="P85" s="727">
        <v>90</v>
      </c>
      <c r="Q85" s="881">
        <v>95.09</v>
      </c>
      <c r="R85" s="706">
        <v>3825.3</v>
      </c>
      <c r="S85" s="765">
        <f>IF((_xlfn.XLOOKUP(D85,RUC!$B$3:$B$119,RUC!$E$3:$E$119)+ROUNDDOWN(O85,1)*100)&lt;95,95,((_xlfn.XLOOKUP(D85,RUC!$B$3:$B$119,RUC!$E$3:$E$119)+ROUNDDOWN(O85,1)*100)))</f>
        <v>110</v>
      </c>
      <c r="U85" s="1146">
        <f>_xlfn.XLOOKUP(D85,RUC!$B$3:$B$123,RUC!$F$3:$F$123)</f>
        <v>120</v>
      </c>
      <c r="V85" s="715">
        <v>1.1023000000000001</v>
      </c>
      <c r="Y85">
        <f>_xlfn.XLOOKUP(D85,RUC!$B$3:$B$123,RUC!$G$3:$G$123)</f>
        <v>20</v>
      </c>
      <c r="Z85" s="143">
        <f>_xlfn.XLOOKUP(D85,RUC!$B$3:$B$123,RUC!$H$3:$H$123)</f>
        <v>30</v>
      </c>
      <c r="AA85" s="144">
        <f t="shared" si="41"/>
        <v>50</v>
      </c>
      <c r="AB85" s="145">
        <f t="shared" si="54"/>
        <v>569.84314511300011</v>
      </c>
      <c r="AC85" s="145">
        <f>+(S85-T85)*V85-'data 1'!$F$4</f>
        <v>41.253</v>
      </c>
      <c r="AD85" s="145">
        <f t="shared" si="46"/>
        <v>45.320788770678035</v>
      </c>
      <c r="AE85" s="145">
        <f t="shared" si="42"/>
        <v>-14.884999999999998</v>
      </c>
      <c r="AF85" s="145">
        <f t="shared" si="47"/>
        <v>58.257157462064953</v>
      </c>
      <c r="AG85" s="772">
        <f t="shared" si="43"/>
        <v>146.94594623274298</v>
      </c>
      <c r="AH85" s="1253">
        <f t="shared" si="48"/>
        <v>14.314</v>
      </c>
      <c r="AI85" s="1253">
        <f t="shared" si="49"/>
        <v>15.053000000000001</v>
      </c>
      <c r="AJ85" s="156">
        <f t="shared" si="50"/>
        <v>67.339716591321974</v>
      </c>
      <c r="AK85" s="156">
        <f t="shared" si="51"/>
        <v>12.615575959024291</v>
      </c>
      <c r="AM85" s="716">
        <f t="shared" si="52"/>
        <v>1147.6640942575821</v>
      </c>
      <c r="AN85" s="716" t="str">
        <f>_xlfn.XLOOKUP(D85,RUC!$B$3:$B$578,RUC!$M$3:$M$578)</f>
        <v>Evelyn</v>
      </c>
      <c r="AO85" s="1167" t="s">
        <v>2279</v>
      </c>
      <c r="AP85" t="s">
        <v>2999</v>
      </c>
      <c r="AQ85" t="s">
        <v>2475</v>
      </c>
    </row>
    <row r="86" spans="1:43" ht="15" customHeight="1">
      <c r="A86" s="747" t="s">
        <v>2959</v>
      </c>
      <c r="B86" s="595">
        <v>45936</v>
      </c>
      <c r="C86" s="1447">
        <v>45930</v>
      </c>
      <c r="D86" t="s">
        <v>1967</v>
      </c>
      <c r="E86" s="762">
        <f>_xlfn.XLOOKUP(D86,RUC!$B$3:$B$123,RUC!$D$3:$D$123)</f>
        <v>20601769396</v>
      </c>
      <c r="G86" s="1082">
        <v>28</v>
      </c>
      <c r="H86" s="762" t="s">
        <v>108</v>
      </c>
      <c r="I86" s="703">
        <v>2.08</v>
      </c>
      <c r="J86" s="596">
        <v>6.25</v>
      </c>
      <c r="K86" s="703">
        <f t="shared" si="44"/>
        <v>1.95</v>
      </c>
      <c r="L86" s="762">
        <v>0.19800000000000001</v>
      </c>
      <c r="M86" s="762">
        <v>0.183</v>
      </c>
      <c r="N86" s="1196">
        <f t="shared" si="55"/>
        <v>0.183</v>
      </c>
      <c r="O86" s="645">
        <f t="shared" si="45"/>
        <v>0.183</v>
      </c>
      <c r="P86" s="727">
        <v>90</v>
      </c>
      <c r="Q86" s="881">
        <v>91.92</v>
      </c>
      <c r="R86" s="706">
        <v>3825.3</v>
      </c>
      <c r="S86" s="765">
        <f>IF((_xlfn.XLOOKUP(D86,RUC!$B$3:$B$119,RUC!$E$3:$E$119)+ROUNDDOWN(O86,1)*100)&lt;95,95,((_xlfn.XLOOKUP(D86,RUC!$B$3:$B$119,RUC!$E$3:$E$119)+ROUNDDOWN(O86,1)*100)))</f>
        <v>100</v>
      </c>
      <c r="U86" s="1146">
        <f>_xlfn.XLOOKUP(D86,RUC!$B$3:$B$123,RUC!$F$3:$F$123)</f>
        <v>120</v>
      </c>
      <c r="V86" s="715">
        <v>1.1023000000000001</v>
      </c>
      <c r="Y86">
        <f>_xlfn.XLOOKUP(D86,RUC!$B$3:$B$123,RUC!$G$3:$G$123)</f>
        <v>20</v>
      </c>
      <c r="Z86" s="143">
        <f>_xlfn.XLOOKUP(D86,RUC!$B$3:$B$123,RUC!$H$3:$H$123)</f>
        <v>30</v>
      </c>
      <c r="AA86" s="144">
        <f t="shared" si="41"/>
        <v>50</v>
      </c>
      <c r="AB86" s="145">
        <f t="shared" si="54"/>
        <v>507.34780569299994</v>
      </c>
      <c r="AC86" s="145">
        <f>+(S86-T86)*V86-'data 1'!$F$4</f>
        <v>30.230000000000004</v>
      </c>
      <c r="AD86" s="145">
        <f t="shared" si="46"/>
        <v>15.527073285504018</v>
      </c>
      <c r="AE86" s="145">
        <f t="shared" si="42"/>
        <v>-14.884999999999998</v>
      </c>
      <c r="AF86" s="145">
        <f t="shared" si="47"/>
        <v>56.315047995720057</v>
      </c>
      <c r="AG86" s="772">
        <f t="shared" si="43"/>
        <v>104.18712128122408</v>
      </c>
      <c r="AH86" s="1253">
        <f t="shared" si="48"/>
        <v>12.167999999999999</v>
      </c>
      <c r="AI86" s="1253">
        <f t="shared" si="49"/>
        <v>13.238</v>
      </c>
      <c r="AJ86" s="156">
        <f t="shared" si="50"/>
        <v>59.122821176495961</v>
      </c>
      <c r="AK86" s="156">
        <f t="shared" si="51"/>
        <v>11.011266653078248</v>
      </c>
      <c r="AM86" s="716">
        <f t="shared" si="52"/>
        <v>989.32822110134987</v>
      </c>
      <c r="AN86" s="716" t="str">
        <f>_xlfn.XLOOKUP(D86,RUC!$B$3:$B$578,RUC!$M$3:$M$578)</f>
        <v>Evelyn</v>
      </c>
      <c r="AO86" s="1167" t="s">
        <v>2281</v>
      </c>
      <c r="AP86" t="s">
        <v>2999</v>
      </c>
      <c r="AQ86" t="s">
        <v>2475</v>
      </c>
    </row>
    <row r="87" spans="1:43" ht="15" customHeight="1">
      <c r="A87" s="747" t="s">
        <v>2975</v>
      </c>
      <c r="B87" s="595">
        <v>45935</v>
      </c>
      <c r="C87" s="1447">
        <v>45930</v>
      </c>
      <c r="D87" t="s">
        <v>93</v>
      </c>
      <c r="E87" s="762">
        <f>_xlfn.XLOOKUP(D87,RUC!$B$3:$B$123,RUC!$D$3:$D$123)</f>
        <v>20169040231</v>
      </c>
      <c r="G87" s="1082">
        <v>13</v>
      </c>
      <c r="H87" s="762" t="s">
        <v>69</v>
      </c>
      <c r="I87" s="703">
        <v>1.33</v>
      </c>
      <c r="J87" s="596">
        <v>1.4</v>
      </c>
      <c r="K87" s="703">
        <f t="shared" si="44"/>
        <v>1.3109999999999999</v>
      </c>
      <c r="L87" s="762">
        <v>0.23899999999999999</v>
      </c>
      <c r="M87" s="762">
        <v>0.224</v>
      </c>
      <c r="N87" s="1196">
        <f t="shared" si="55"/>
        <v>0.224</v>
      </c>
      <c r="O87" s="645">
        <f t="shared" si="45"/>
        <v>0.224</v>
      </c>
      <c r="P87" s="727">
        <v>84</v>
      </c>
      <c r="Q87" s="881">
        <v>84.1</v>
      </c>
      <c r="R87" s="706">
        <v>3825.3</v>
      </c>
      <c r="S87" s="765">
        <f>IF((_xlfn.XLOOKUP(D87,RUC!$B$3:$B$119,RUC!$E$3:$E$119)+ROUNDDOWN(O87,1)*100)&lt;95,95,((_xlfn.XLOOKUP(D87,RUC!$B$3:$B$119,RUC!$E$3:$E$119)+ROUNDDOWN(O87,1)*100)))</f>
        <v>105</v>
      </c>
      <c r="U87" s="1146">
        <f>_xlfn.XLOOKUP(D87,RUC!$B$3:$B$123,RUC!$F$3:$F$123)</f>
        <v>120</v>
      </c>
      <c r="V87" s="715">
        <v>1.1023000000000001</v>
      </c>
      <c r="Y87">
        <f>_xlfn.XLOOKUP(D87,RUC!$B$3:$B$123,RUC!$G$3:$G$123)</f>
        <v>20</v>
      </c>
      <c r="Z87" s="143">
        <f>_xlfn.XLOOKUP(D87,RUC!$B$3:$B$123,RUC!$H$3:$H$123)</f>
        <v>30</v>
      </c>
      <c r="AA87" s="144">
        <f t="shared" ref="AA87" si="56">+Y87+Z87</f>
        <v>50</v>
      </c>
      <c r="AB87" s="145">
        <f t="shared" si="54"/>
        <v>597.65520807039991</v>
      </c>
      <c r="AC87" s="145">
        <f>+(S87-T87)*V87-'data 1'!$F$4</f>
        <v>35.741500000000002</v>
      </c>
      <c r="AD87" s="145">
        <f t="shared" si="46"/>
        <v>0.97616017340994465</v>
      </c>
      <c r="AE87" s="145">
        <f t="shared" si="42"/>
        <v>-14.884999999999998</v>
      </c>
      <c r="AF87" s="145">
        <f t="shared" si="47"/>
        <v>51.524102876849945</v>
      </c>
      <c r="AG87" s="772">
        <f t="shared" ref="AG87" si="57">AC87+AD87+AE87+AF87+70-53</f>
        <v>90.3567630502599</v>
      </c>
      <c r="AH87" s="1253">
        <f t="shared" ref="AH87" si="58">ROUND((31.1035*L87*Q87*1.1023*K87/100),3)</f>
        <v>9.0350000000000001</v>
      </c>
      <c r="AI87" s="1253">
        <f t="shared" si="49"/>
        <v>10.743</v>
      </c>
      <c r="AJ87" s="156">
        <f t="shared" si="50"/>
        <v>65.29408496218997</v>
      </c>
      <c r="AK87" s="156">
        <f t="shared" ref="AK87" si="59">31.1035*1.1023*K87*P87*O87/100</f>
        <v>8.4574427249047677</v>
      </c>
      <c r="AM87" s="716">
        <f t="shared" ref="AM87" si="60">+IF(AB87*K87&gt;0,AB87*K87,0)</f>
        <v>783.52597778029428</v>
      </c>
      <c r="AN87" s="716" t="str">
        <f>_xlfn.XLOOKUP(D87,RUC!$B$3:$B$578,RUC!$M$3:$M$578)</f>
        <v>Ronald Miranda</v>
      </c>
      <c r="AO87" s="1167" t="s">
        <v>2281</v>
      </c>
      <c r="AP87" t="s">
        <v>3002</v>
      </c>
      <c r="AQ87" t="s">
        <v>3003</v>
      </c>
    </row>
    <row r="88" spans="1:43" ht="15" customHeight="1">
      <c r="A88" s="747" t="s">
        <v>2980</v>
      </c>
      <c r="B88" s="595">
        <v>45936</v>
      </c>
      <c r="C88" s="1447">
        <v>45931</v>
      </c>
      <c r="D88" t="s">
        <v>1967</v>
      </c>
      <c r="E88" s="762">
        <f>_xlfn.XLOOKUP(D88,RUC!$B$3:$B$123,RUC!$D$3:$D$123)</f>
        <v>20601769396</v>
      </c>
      <c r="G88" s="1082">
        <v>51</v>
      </c>
      <c r="H88" s="762" t="s">
        <v>108</v>
      </c>
      <c r="I88" s="703">
        <v>3.59</v>
      </c>
      <c r="J88" s="596">
        <v>17.25</v>
      </c>
      <c r="K88" s="703">
        <f t="shared" si="44"/>
        <v>2.9710000000000001</v>
      </c>
      <c r="L88" s="762">
        <v>0.45700000000000002</v>
      </c>
      <c r="M88" s="762">
        <v>0.434</v>
      </c>
      <c r="N88" s="1196">
        <f t="shared" si="55"/>
        <v>0.434</v>
      </c>
      <c r="O88" s="645">
        <f t="shared" si="45"/>
        <v>0.434</v>
      </c>
      <c r="P88" s="727">
        <v>90</v>
      </c>
      <c r="Q88" s="881">
        <v>90.59</v>
      </c>
      <c r="R88" s="706">
        <v>3872</v>
      </c>
      <c r="S88" s="765">
        <f>IF((_xlfn.XLOOKUP(D88,RUC!$B$3:$B$119,RUC!$E$3:$E$119)+ROUNDDOWN(O88,1)*100)&lt;95,95,((_xlfn.XLOOKUP(D88,RUC!$B$3:$B$119,RUC!$E$3:$E$119)+ROUNDDOWN(O88,1)*100)))</f>
        <v>130</v>
      </c>
      <c r="U88" s="1146">
        <f>_xlfn.XLOOKUP(D88,RUC!$B$3:$B$123,RUC!$F$3:$F$123)</f>
        <v>120</v>
      </c>
      <c r="V88" s="715">
        <v>1.1023000000000001</v>
      </c>
      <c r="Y88">
        <f>_xlfn.XLOOKUP(D88,RUC!$B$3:$B$123,RUC!$G$3:$G$123)</f>
        <v>20</v>
      </c>
      <c r="Z88" s="143">
        <f>_xlfn.XLOOKUP(D88,RUC!$B$3:$B$123,RUC!$H$3:$H$123)</f>
        <v>30</v>
      </c>
      <c r="AA88" s="144">
        <f t="shared" ref="AA88:AA104" si="61">+Y88+Z88</f>
        <v>50</v>
      </c>
      <c r="AB88" s="145">
        <f t="shared" si="54"/>
        <v>1417.0410417599999</v>
      </c>
      <c r="AC88" s="145">
        <f>+(S88-T88)*V88-'data 1'!$F$4</f>
        <v>63.299000000000007</v>
      </c>
      <c r="AD88" s="145">
        <f t="shared" si="46"/>
        <v>11.151437350480066</v>
      </c>
      <c r="AE88" s="145">
        <f t="shared" si="42"/>
        <v>-14.884999999999998</v>
      </c>
      <c r="AF88" s="145">
        <f t="shared" si="47"/>
        <v>86.17290479672009</v>
      </c>
      <c r="AG88" s="772">
        <f t="shared" ref="AG88:AG97" si="62">AC88+AD88+AE88+AF88+70-53</f>
        <v>162.73834214720017</v>
      </c>
      <c r="AH88" s="1253">
        <f t="shared" ref="AH88:AH104" si="63">ROUND((31.1035*L88*Q88*1.1023*K88/100),3)</f>
        <v>42.17</v>
      </c>
      <c r="AI88" s="1253">
        <f t="shared" si="49"/>
        <v>46.551000000000002</v>
      </c>
      <c r="AJ88" s="156">
        <f t="shared" si="50"/>
        <v>113.17433412951999</v>
      </c>
      <c r="AK88" s="156">
        <f t="shared" ref="AK88:AK104" si="64">31.1035*1.1023*K88*P88*O88/100</f>
        <v>39.787253412392431</v>
      </c>
      <c r="AM88" s="716">
        <f t="shared" ref="AM88:AM104" si="65">+IF(AB88*K88&gt;0,AB88*K88,0)</f>
        <v>4210.02893506896</v>
      </c>
      <c r="AN88" s="716" t="str">
        <f>_xlfn.XLOOKUP(D88,RUC!$B$3:$B$578,RUC!$M$3:$M$578)</f>
        <v>Evelyn</v>
      </c>
      <c r="AO88" s="1167" t="s">
        <v>2281</v>
      </c>
      <c r="AP88" t="s">
        <v>3004</v>
      </c>
      <c r="AQ88" t="s">
        <v>3005</v>
      </c>
    </row>
    <row r="89" spans="1:43" ht="15" customHeight="1">
      <c r="A89" s="747" t="s">
        <v>2981</v>
      </c>
      <c r="B89" s="595">
        <v>45936</v>
      </c>
      <c r="C89" s="1447">
        <v>45931</v>
      </c>
      <c r="D89" t="s">
        <v>1967</v>
      </c>
      <c r="E89" s="762">
        <f>_xlfn.XLOOKUP(D89,RUC!$B$3:$B$123,RUC!$D$3:$D$123)</f>
        <v>20601769396</v>
      </c>
      <c r="G89" s="1082">
        <v>50</v>
      </c>
      <c r="H89" s="762" t="s">
        <v>108</v>
      </c>
      <c r="I89" s="703">
        <v>3.47</v>
      </c>
      <c r="J89" s="596">
        <v>16.05</v>
      </c>
      <c r="K89" s="703">
        <f t="shared" si="44"/>
        <v>2.9129999999999998</v>
      </c>
      <c r="L89" s="762">
        <v>0.34399999999999997</v>
      </c>
      <c r="M89" s="762">
        <v>0.32700000000000001</v>
      </c>
      <c r="N89" s="1196">
        <f t="shared" si="55"/>
        <v>0.32700000000000001</v>
      </c>
      <c r="O89" s="645">
        <f t="shared" si="45"/>
        <v>0.32700000000000001</v>
      </c>
      <c r="P89" s="727">
        <v>90</v>
      </c>
      <c r="Q89" s="881">
        <v>93.9</v>
      </c>
      <c r="R89" s="706">
        <v>3872</v>
      </c>
      <c r="S89" s="765">
        <f>IF((_xlfn.XLOOKUP(D89,RUC!$B$3:$B$119,RUC!$E$3:$E$119)+ROUNDDOWN(O89,1)*100)&lt;95,95,((_xlfn.XLOOKUP(D89,RUC!$B$3:$B$119,RUC!$E$3:$E$119)+ROUNDDOWN(O89,1)*100)))</f>
        <v>120</v>
      </c>
      <c r="U89" s="1146">
        <f>_xlfn.XLOOKUP(D89,RUC!$B$3:$B$123,RUC!$F$3:$F$123)</f>
        <v>120</v>
      </c>
      <c r="V89" s="715">
        <v>1.1023000000000001</v>
      </c>
      <c r="Y89">
        <f>_xlfn.XLOOKUP(D89,RUC!$B$3:$B$123,RUC!$G$3:$G$123)</f>
        <v>20</v>
      </c>
      <c r="Z89" s="143">
        <f>_xlfn.XLOOKUP(D89,RUC!$B$3:$B$123,RUC!$H$3:$H$123)</f>
        <v>30</v>
      </c>
      <c r="AA89" s="144">
        <f t="shared" si="61"/>
        <v>50</v>
      </c>
      <c r="AB89" s="145">
        <f t="shared" si="54"/>
        <v>1029.7836512800002</v>
      </c>
      <c r="AC89" s="145">
        <f>+(S89-T89)*V89-'data 1'!$F$4</f>
        <v>52.27600000000001</v>
      </c>
      <c r="AD89" s="145">
        <f t="shared" si="46"/>
        <v>55.486289913600075</v>
      </c>
      <c r="AE89" s="145">
        <f t="shared" si="42"/>
        <v>-14.884999999999998</v>
      </c>
      <c r="AF89" s="145">
        <f t="shared" si="47"/>
        <v>66.020247904799859</v>
      </c>
      <c r="AG89" s="772">
        <f t="shared" si="62"/>
        <v>175.89753781839994</v>
      </c>
      <c r="AH89" s="1253">
        <f t="shared" si="63"/>
        <v>32.261000000000003</v>
      </c>
      <c r="AI89" s="1253">
        <f t="shared" si="49"/>
        <v>34.356000000000002</v>
      </c>
      <c r="AJ89" s="156">
        <f t="shared" si="50"/>
        <v>88.303013126400003</v>
      </c>
      <c r="AK89" s="156">
        <f t="shared" si="64"/>
        <v>29.392722605173994</v>
      </c>
      <c r="AM89" s="716">
        <f t="shared" si="65"/>
        <v>2999.7597761786405</v>
      </c>
      <c r="AN89" s="716" t="str">
        <f>_xlfn.XLOOKUP(D89,RUC!$B$3:$B$578,RUC!$M$3:$M$578)</f>
        <v>Evelyn</v>
      </c>
      <c r="AO89" s="1167" t="s">
        <v>2281</v>
      </c>
      <c r="AP89" t="s">
        <v>3004</v>
      </c>
      <c r="AQ89" t="s">
        <v>3005</v>
      </c>
    </row>
    <row r="90" spans="1:43" ht="15" customHeight="1">
      <c r="A90" s="747" t="s">
        <v>2982</v>
      </c>
      <c r="B90" s="595">
        <v>45936</v>
      </c>
      <c r="C90" s="1447">
        <v>45931</v>
      </c>
      <c r="D90" t="s">
        <v>1967</v>
      </c>
      <c r="E90" s="762">
        <f>_xlfn.XLOOKUP(D90,RUC!$B$3:$B$123,RUC!$D$3:$D$123)</f>
        <v>20601769396</v>
      </c>
      <c r="G90" s="1082">
        <v>50</v>
      </c>
      <c r="H90" s="762" t="s">
        <v>108</v>
      </c>
      <c r="I90" s="703">
        <v>3.48</v>
      </c>
      <c r="J90" s="596">
        <v>18.55</v>
      </c>
      <c r="K90" s="703">
        <f t="shared" si="44"/>
        <v>2.8340000000000001</v>
      </c>
      <c r="L90" s="994">
        <v>0.35</v>
      </c>
      <c r="M90" s="762">
        <v>0.33300000000000002</v>
      </c>
      <c r="N90" s="1196">
        <f t="shared" si="55"/>
        <v>0.33300000000000002</v>
      </c>
      <c r="O90" s="645">
        <f t="shared" si="45"/>
        <v>0.33300000000000002</v>
      </c>
      <c r="P90" s="727">
        <v>90</v>
      </c>
      <c r="Q90" s="881">
        <v>95.43</v>
      </c>
      <c r="R90" s="706">
        <v>3872</v>
      </c>
      <c r="S90" s="765">
        <f>IF((_xlfn.XLOOKUP(D90,RUC!$B$3:$B$119,RUC!$E$3:$E$119)+ROUNDDOWN(O90,1)*100)&lt;95,95,((_xlfn.XLOOKUP(D90,RUC!$B$3:$B$119,RUC!$E$3:$E$119)+ROUNDDOWN(O90,1)*100)))</f>
        <v>120</v>
      </c>
      <c r="U90" s="1146">
        <f>_xlfn.XLOOKUP(D90,RUC!$B$3:$B$123,RUC!$F$3:$F$123)</f>
        <v>120</v>
      </c>
      <c r="V90" s="715">
        <v>1.1023000000000001</v>
      </c>
      <c r="Y90">
        <f>_xlfn.XLOOKUP(D90,RUC!$B$3:$B$123,RUC!$G$3:$G$123)</f>
        <v>20</v>
      </c>
      <c r="Z90" s="143">
        <f>_xlfn.XLOOKUP(D90,RUC!$B$3:$B$123,RUC!$H$3:$H$123)</f>
        <v>30</v>
      </c>
      <c r="AA90" s="144">
        <f t="shared" si="61"/>
        <v>50</v>
      </c>
      <c r="AB90" s="145">
        <f t="shared" si="54"/>
        <v>1052.1171311200001</v>
      </c>
      <c r="AC90" s="145">
        <f>+(S90-T90)*V90-'data 1'!$F$4</f>
        <v>52.27600000000001</v>
      </c>
      <c r="AD90" s="145">
        <f t="shared" si="46"/>
        <v>78.601441548000096</v>
      </c>
      <c r="AE90" s="145">
        <f t="shared" si="42"/>
        <v>-14.884999999999998</v>
      </c>
      <c r="AF90" s="145">
        <f t="shared" si="47"/>
        <v>67.095977183759857</v>
      </c>
      <c r="AG90" s="772">
        <f t="shared" si="62"/>
        <v>200.08841873175996</v>
      </c>
      <c r="AH90" s="1253">
        <f t="shared" si="63"/>
        <v>32.454000000000001</v>
      </c>
      <c r="AI90" s="1253">
        <f t="shared" si="49"/>
        <v>34.008000000000003</v>
      </c>
      <c r="AJ90" s="156">
        <f t="shared" si="50"/>
        <v>91.307080452000008</v>
      </c>
      <c r="AK90" s="156">
        <f t="shared" si="64"/>
        <v>29.120287483189895</v>
      </c>
      <c r="AM90" s="716">
        <f t="shared" si="65"/>
        <v>2981.6999495940804</v>
      </c>
      <c r="AN90" s="716" t="str">
        <f>_xlfn.XLOOKUP(D90,RUC!$B$3:$B$578,RUC!$M$3:$M$578)</f>
        <v>Evelyn</v>
      </c>
      <c r="AO90" s="1167" t="s">
        <v>2281</v>
      </c>
      <c r="AP90" t="s">
        <v>3004</v>
      </c>
      <c r="AQ90" t="s">
        <v>3005</v>
      </c>
    </row>
    <row r="91" spans="1:43" ht="15" customHeight="1">
      <c r="A91" s="747" t="s">
        <v>2983</v>
      </c>
      <c r="B91" s="595">
        <v>45936</v>
      </c>
      <c r="C91" s="1447">
        <v>45931</v>
      </c>
      <c r="D91" t="s">
        <v>1967</v>
      </c>
      <c r="E91" s="762">
        <f>_xlfn.XLOOKUP(D91,RUC!$B$3:$B$123,RUC!$D$3:$D$123)</f>
        <v>20601769396</v>
      </c>
      <c r="G91" s="1082">
        <v>24</v>
      </c>
      <c r="H91" s="762" t="s">
        <v>108</v>
      </c>
      <c r="I91" s="703">
        <v>1.56</v>
      </c>
      <c r="J91" s="596">
        <v>8.17</v>
      </c>
      <c r="K91" s="703">
        <f t="shared" si="44"/>
        <v>1.4330000000000001</v>
      </c>
      <c r="L91" s="762">
        <v>0.253</v>
      </c>
      <c r="M91" s="762">
        <v>0.23799999999999999</v>
      </c>
      <c r="N91" s="1196">
        <f t="shared" si="55"/>
        <v>0.23799999999999999</v>
      </c>
      <c r="O91" s="645">
        <f t="shared" si="45"/>
        <v>0.23799999999999999</v>
      </c>
      <c r="P91" s="727">
        <v>90</v>
      </c>
      <c r="Q91" s="881">
        <v>96.05</v>
      </c>
      <c r="R91" s="706">
        <v>3872</v>
      </c>
      <c r="S91" s="765">
        <f>IF((_xlfn.XLOOKUP(D91,RUC!$B$3:$B$119,RUC!$E$3:$E$119)+ROUNDDOWN(O91,1)*100)&lt;95,95,((_xlfn.XLOOKUP(D91,RUC!$B$3:$B$119,RUC!$E$3:$E$119)+ROUNDDOWN(O91,1)*100)))</f>
        <v>110</v>
      </c>
      <c r="U91" s="1146">
        <f>_xlfn.XLOOKUP(D91,RUC!$B$3:$B$123,RUC!$F$3:$F$123)</f>
        <v>120</v>
      </c>
      <c r="V91" s="715">
        <v>1.1023000000000001</v>
      </c>
      <c r="Y91">
        <f>_xlfn.XLOOKUP(D91,RUC!$B$3:$B$123,RUC!$G$3:$G$123)</f>
        <v>20</v>
      </c>
      <c r="Z91" s="143">
        <f>_xlfn.XLOOKUP(D91,RUC!$B$3:$B$123,RUC!$H$3:$H$123)</f>
        <v>30</v>
      </c>
      <c r="AA91" s="144">
        <f t="shared" si="61"/>
        <v>50</v>
      </c>
      <c r="AB91" s="145">
        <f t="shared" si="54"/>
        <v>709.52670032000003</v>
      </c>
      <c r="AC91" s="145">
        <f>+(S91-T91)*V91-'data 1'!$F$4</f>
        <v>41.253</v>
      </c>
      <c r="AD91" s="145">
        <f t="shared" si="46"/>
        <v>63.305075772399967</v>
      </c>
      <c r="AE91" s="145">
        <f t="shared" ref="AE91:AE104" si="66">+(Y91*V91-70)+V91*(Z91-IF(D91="UNTUCA",IF(+((W91-3)*2.5+(X91-3)*3.1)&gt;0,+((W91-3)*1.5+(X91-3)*3.1),0),IF(+((W91-3)*1.5+(X91-3)*3.1)&gt;0,+((W91-3)*1.5+(X91-3)*3.1),0)))</f>
        <v>-14.884999999999998</v>
      </c>
      <c r="AF91" s="145">
        <f t="shared" si="47"/>
        <v>59.586964962000053</v>
      </c>
      <c r="AG91" s="772">
        <f t="shared" si="62"/>
        <v>166.26004073440004</v>
      </c>
      <c r="AH91" s="1253">
        <f t="shared" si="63"/>
        <v>11.939</v>
      </c>
      <c r="AI91" s="1253">
        <f t="shared" si="49"/>
        <v>12.43</v>
      </c>
      <c r="AJ91" s="156">
        <f t="shared" si="50"/>
        <v>66.430784107600005</v>
      </c>
      <c r="AK91" s="156">
        <f t="shared" si="64"/>
        <v>10.52385186240423</v>
      </c>
      <c r="AM91" s="716">
        <f t="shared" si="65"/>
        <v>1016.7517615585601</v>
      </c>
      <c r="AN91" s="716" t="str">
        <f>_xlfn.XLOOKUP(D91,RUC!$B$3:$B$578,RUC!$M$3:$M$578)</f>
        <v>Evelyn</v>
      </c>
      <c r="AO91" s="1167" t="s">
        <v>2281</v>
      </c>
      <c r="AP91" t="s">
        <v>3004</v>
      </c>
      <c r="AQ91" t="s">
        <v>3005</v>
      </c>
    </row>
    <row r="92" spans="1:43" ht="15" customHeight="1">
      <c r="A92" s="747" t="s">
        <v>2984</v>
      </c>
      <c r="B92" s="595">
        <v>45936</v>
      </c>
      <c r="C92" s="1447">
        <v>45931</v>
      </c>
      <c r="D92" t="s">
        <v>1967</v>
      </c>
      <c r="E92" s="762">
        <f>_xlfn.XLOOKUP(D92,RUC!$B$3:$B$123,RUC!$D$3:$D$123)</f>
        <v>20601769396</v>
      </c>
      <c r="G92" s="1082">
        <v>45</v>
      </c>
      <c r="H92" s="762" t="s">
        <v>108</v>
      </c>
      <c r="I92" s="703">
        <v>3.42</v>
      </c>
      <c r="J92" s="596">
        <v>7.75</v>
      </c>
      <c r="K92" s="703">
        <f t="shared" si="44"/>
        <v>3.1549999999999998</v>
      </c>
      <c r="L92" s="762">
        <v>0.16500000000000001</v>
      </c>
      <c r="M92" s="994">
        <v>0.15</v>
      </c>
      <c r="N92" s="1196">
        <f t="shared" si="55"/>
        <v>0.15</v>
      </c>
      <c r="O92" s="645">
        <f t="shared" si="45"/>
        <v>0.15</v>
      </c>
      <c r="P92" s="727">
        <v>85</v>
      </c>
      <c r="Q92" s="880">
        <v>89.09</v>
      </c>
      <c r="R92" s="706">
        <v>3872</v>
      </c>
      <c r="S92" s="765">
        <f>IF((_xlfn.XLOOKUP(D92,RUC!$B$3:$B$119,RUC!$E$3:$E$119)+ROUNDDOWN(O92,1)*100)&lt;95,95,((_xlfn.XLOOKUP(D92,RUC!$B$3:$B$119,RUC!$E$3:$E$119)+ROUNDDOWN(O92,1)*100)))</f>
        <v>100</v>
      </c>
      <c r="U92" s="1146">
        <f>_xlfn.XLOOKUP(D92,RUC!$B$3:$B$123,RUC!$F$3:$F$123)</f>
        <v>120</v>
      </c>
      <c r="V92" s="715">
        <v>1.1023000000000001</v>
      </c>
      <c r="Y92">
        <f>_xlfn.XLOOKUP(D92,RUC!$B$3:$B$123,RUC!$G$3:$G$123)</f>
        <v>20</v>
      </c>
      <c r="Z92" s="143">
        <f>_xlfn.XLOOKUP(D92,RUC!$B$3:$B$123,RUC!$H$3:$H$123)</f>
        <v>30</v>
      </c>
      <c r="AA92" s="144">
        <f t="shared" si="61"/>
        <v>50</v>
      </c>
      <c r="AB92" s="145">
        <f t="shared" si="54"/>
        <v>361.973274</v>
      </c>
      <c r="AC92" s="145">
        <f>+(S92-T92)*V92-'data 1'!$F$4</f>
        <v>30.230000000000004</v>
      </c>
      <c r="AD92" s="145">
        <f t="shared" si="46"/>
        <v>27.910646055600026</v>
      </c>
      <c r="AE92" s="145">
        <f t="shared" si="66"/>
        <v>-14.884999999999998</v>
      </c>
      <c r="AF92" s="145">
        <f t="shared" si="47"/>
        <v>55.269158859600054</v>
      </c>
      <c r="AG92" s="772">
        <f t="shared" si="62"/>
        <v>115.52480491520009</v>
      </c>
      <c r="AH92" s="1253">
        <f t="shared" si="63"/>
        <v>15.901</v>
      </c>
      <c r="AI92" s="1253">
        <f t="shared" si="49"/>
        <v>17.847999999999999</v>
      </c>
      <c r="AJ92" s="156">
        <f t="shared" si="50"/>
        <v>40.185038744400003</v>
      </c>
      <c r="AK92" s="156">
        <f t="shared" si="64"/>
        <v>13.791725910463123</v>
      </c>
      <c r="AM92" s="716">
        <f t="shared" si="65"/>
        <v>1142.0256794699999</v>
      </c>
      <c r="AN92" s="716" t="str">
        <f>_xlfn.XLOOKUP(D92,RUC!$B$3:$B$578,RUC!$M$3:$M$578)</f>
        <v>Evelyn</v>
      </c>
      <c r="AO92" s="1167" t="s">
        <v>2281</v>
      </c>
      <c r="AP92" t="s">
        <v>3004</v>
      </c>
      <c r="AQ92" t="s">
        <v>3005</v>
      </c>
    </row>
    <row r="93" spans="1:43" ht="15" customHeight="1">
      <c r="A93" s="747" t="s">
        <v>3011</v>
      </c>
      <c r="B93" s="595">
        <v>45936</v>
      </c>
      <c r="C93" s="1447">
        <v>45931</v>
      </c>
      <c r="D93" t="s">
        <v>1967</v>
      </c>
      <c r="E93" s="762">
        <f>_xlfn.XLOOKUP(D93,RUC!$B$3:$B$123,RUC!$D$3:$D$123)</f>
        <v>20601769396</v>
      </c>
      <c r="G93" s="1082">
        <v>47</v>
      </c>
      <c r="H93" s="762" t="s">
        <v>108</v>
      </c>
      <c r="I93" s="703">
        <v>3.69</v>
      </c>
      <c r="J93" s="596">
        <v>9.1999999999999993</v>
      </c>
      <c r="K93" s="703">
        <f t="shared" si="44"/>
        <v>3.351</v>
      </c>
      <c r="L93" s="762">
        <v>0.191</v>
      </c>
      <c r="M93" s="762">
        <v>0.17599999999999999</v>
      </c>
      <c r="N93" s="1196">
        <f t="shared" si="55"/>
        <v>0.17599999999999999</v>
      </c>
      <c r="O93" s="645">
        <f t="shared" si="45"/>
        <v>0.17599999999999999</v>
      </c>
      <c r="P93" s="727">
        <v>90</v>
      </c>
      <c r="Q93" s="880">
        <v>93.72</v>
      </c>
      <c r="R93" s="706">
        <v>3872</v>
      </c>
      <c r="S93" s="765">
        <f>IF((_xlfn.XLOOKUP(D93,RUC!$B$3:$B$119,RUC!$E$3:$E$119)+ROUNDDOWN(O93,1)*100)&lt;95,95,((_xlfn.XLOOKUP(D93,RUC!$B$3:$B$119,RUC!$E$3:$E$119)+ROUNDDOWN(O93,1)*100)))</f>
        <v>100</v>
      </c>
      <c r="U93" s="1146">
        <f>_xlfn.XLOOKUP(D93,RUC!$B$3:$B$123,RUC!$F$3:$F$123)</f>
        <v>120</v>
      </c>
      <c r="V93" s="715">
        <v>1.1023000000000001</v>
      </c>
      <c r="Y93">
        <f>_xlfn.XLOOKUP(D93,RUC!$B$3:$B$123,RUC!$G$3:$G$123)</f>
        <v>20</v>
      </c>
      <c r="Z93" s="143">
        <f>_xlfn.XLOOKUP(D93,RUC!$B$3:$B$123,RUC!$H$3:$H$123)</f>
        <v>30</v>
      </c>
      <c r="AA93" s="144">
        <f t="shared" si="61"/>
        <v>50</v>
      </c>
      <c r="AB93" s="145">
        <f t="shared" si="54"/>
        <v>489.77040864000008</v>
      </c>
      <c r="AC93" s="145">
        <f>+(S93-T93)*V93-'data 1'!$F$4</f>
        <v>30.230000000000004</v>
      </c>
      <c r="AD93" s="145">
        <f t="shared" si="46"/>
        <v>29.385896473919992</v>
      </c>
      <c r="AE93" s="145">
        <f t="shared" si="66"/>
        <v>-14.884999999999998</v>
      </c>
      <c r="AF93" s="145">
        <f t="shared" si="47"/>
        <v>58.141492516800056</v>
      </c>
      <c r="AG93" s="772">
        <f t="shared" si="62"/>
        <v>119.87238899072005</v>
      </c>
      <c r="AH93" s="1253">
        <f t="shared" si="63"/>
        <v>20.565999999999999</v>
      </c>
      <c r="AI93" s="1253">
        <f t="shared" si="49"/>
        <v>21.943999999999999</v>
      </c>
      <c r="AJ93" s="156">
        <f t="shared" si="50"/>
        <v>48.934723126080002</v>
      </c>
      <c r="AK93" s="156">
        <f t="shared" si="64"/>
        <v>18.198629120319119</v>
      </c>
      <c r="AM93" s="716">
        <f t="shared" si="65"/>
        <v>1641.2206393526403</v>
      </c>
      <c r="AN93" s="716" t="str">
        <f>_xlfn.XLOOKUP(D93,RUC!$B$3:$B$578,RUC!$M$3:$M$578)</f>
        <v>Evelyn</v>
      </c>
      <c r="AO93" s="1167" t="s">
        <v>2281</v>
      </c>
      <c r="AP93" t="s">
        <v>3004</v>
      </c>
      <c r="AQ93" t="s">
        <v>3005</v>
      </c>
    </row>
    <row r="94" spans="1:43" ht="15" customHeight="1">
      <c r="A94" s="747" t="s">
        <v>3012</v>
      </c>
      <c r="B94" s="595">
        <v>45936</v>
      </c>
      <c r="C94" s="1447">
        <v>45931</v>
      </c>
      <c r="D94" t="s">
        <v>1967</v>
      </c>
      <c r="E94" s="762">
        <f>_xlfn.XLOOKUP(D94,RUC!$B$3:$B$123,RUC!$D$3:$D$123)</f>
        <v>20601769396</v>
      </c>
      <c r="G94" s="1082">
        <v>15</v>
      </c>
      <c r="H94" s="762" t="s">
        <v>108</v>
      </c>
      <c r="I94" s="703">
        <v>1.1299999999999999</v>
      </c>
      <c r="J94" s="596">
        <v>12.8</v>
      </c>
      <c r="K94" s="703">
        <f t="shared" si="44"/>
        <v>0.98499999999999999</v>
      </c>
      <c r="L94" s="762">
        <v>0.32900000000000001</v>
      </c>
      <c r="M94" s="762">
        <v>0.313</v>
      </c>
      <c r="N94" s="1196">
        <f t="shared" si="55"/>
        <v>0.313</v>
      </c>
      <c r="O94" s="645">
        <f t="shared" si="45"/>
        <v>0.313</v>
      </c>
      <c r="P94" s="727">
        <v>90</v>
      </c>
      <c r="Q94" s="880">
        <v>93.92</v>
      </c>
      <c r="R94" s="706">
        <v>3872</v>
      </c>
      <c r="S94" s="765">
        <f>IF((_xlfn.XLOOKUP(D94,RUC!$B$3:$B$119,RUC!$E$3:$E$119)+ROUNDDOWN(O94,1)*100)&lt;95,95,((_xlfn.XLOOKUP(D94,RUC!$B$3:$B$119,RUC!$E$3:$E$119)+ROUNDDOWN(O94,1)*100)))</f>
        <v>120</v>
      </c>
      <c r="U94" s="1146">
        <f>_xlfn.XLOOKUP(D94,RUC!$B$3:$B$123,RUC!$F$3:$F$123)</f>
        <v>120</v>
      </c>
      <c r="V94" s="715">
        <v>1.1023000000000001</v>
      </c>
      <c r="Y94">
        <f>_xlfn.XLOOKUP(D94,RUC!$B$3:$B$123,RUC!$G$3:$G$123)</f>
        <v>20</v>
      </c>
      <c r="Z94" s="143">
        <f>_xlfn.XLOOKUP(D94,RUC!$B$3:$B$123,RUC!$H$3:$H$123)</f>
        <v>30</v>
      </c>
      <c r="AA94" s="144">
        <f t="shared" si="61"/>
        <v>50</v>
      </c>
      <c r="AB94" s="145">
        <f t="shared" si="54"/>
        <v>977.67219832000001</v>
      </c>
      <c r="AC94" s="145">
        <f>+(S94-T94)*V94-'data 1'!$F$4</f>
        <v>52.27600000000001</v>
      </c>
      <c r="AD94" s="145">
        <f t="shared" si="46"/>
        <v>53.338967185280026</v>
      </c>
      <c r="AE94" s="145">
        <f t="shared" si="66"/>
        <v>-14.884999999999998</v>
      </c>
      <c r="AF94" s="145">
        <f t="shared" si="47"/>
        <v>62.149938565120067</v>
      </c>
      <c r="AG94" s="772">
        <f t="shared" si="62"/>
        <v>169.8799057504001</v>
      </c>
      <c r="AH94" s="1253">
        <f t="shared" si="63"/>
        <v>10.435</v>
      </c>
      <c r="AI94" s="1253">
        <f t="shared" si="49"/>
        <v>11.111000000000001</v>
      </c>
      <c r="AJ94" s="156">
        <f t="shared" si="50"/>
        <v>84.470578814720014</v>
      </c>
      <c r="AK94" s="156">
        <f t="shared" si="64"/>
        <v>9.5133209064797253</v>
      </c>
      <c r="AM94" s="716">
        <f t="shared" si="65"/>
        <v>963.00711534519996</v>
      </c>
      <c r="AN94" s="716" t="str">
        <f>_xlfn.XLOOKUP(D94,RUC!$B$3:$B$578,RUC!$M$3:$M$578)</f>
        <v>Evelyn</v>
      </c>
      <c r="AO94" s="1167" t="s">
        <v>2279</v>
      </c>
      <c r="AP94" t="s">
        <v>3004</v>
      </c>
      <c r="AQ94" t="s">
        <v>3005</v>
      </c>
    </row>
    <row r="95" spans="1:43" ht="15" customHeight="1">
      <c r="A95" s="747" t="s">
        <v>3013</v>
      </c>
      <c r="B95" s="595">
        <v>45936</v>
      </c>
      <c r="C95" s="1447">
        <v>45931</v>
      </c>
      <c r="D95" t="s">
        <v>1967</v>
      </c>
      <c r="E95" s="762">
        <f>_xlfn.XLOOKUP(D95,RUC!$B$3:$B$123,RUC!$D$3:$D$123)</f>
        <v>20601769396</v>
      </c>
      <c r="G95" s="1082">
        <v>31</v>
      </c>
      <c r="H95" s="762" t="s">
        <v>108</v>
      </c>
      <c r="I95" s="703">
        <v>2.2000000000000002</v>
      </c>
      <c r="J95" s="596">
        <v>17.920000000000002</v>
      </c>
      <c r="K95" s="703">
        <f t="shared" si="44"/>
        <v>1.806</v>
      </c>
      <c r="L95" s="762">
        <v>0.54100000000000004</v>
      </c>
      <c r="M95" s="762">
        <v>0.51400000000000001</v>
      </c>
      <c r="N95" s="1196">
        <f t="shared" si="55"/>
        <v>0.51400000000000001</v>
      </c>
      <c r="O95" s="645">
        <f t="shared" si="45"/>
        <v>0.51400000000000001</v>
      </c>
      <c r="P95" s="727">
        <v>90</v>
      </c>
      <c r="Q95" s="880">
        <v>95.93</v>
      </c>
      <c r="R95" s="706">
        <v>3872</v>
      </c>
      <c r="S95" s="765">
        <f>IF((_xlfn.XLOOKUP(D95,RUC!$B$3:$B$119,RUC!$E$3:$E$119)+ROUNDDOWN(O95,1)*100)&lt;95,95,((_xlfn.XLOOKUP(D95,RUC!$B$3:$B$119,RUC!$E$3:$E$119)+ROUNDDOWN(O95,1)*100)))</f>
        <v>140</v>
      </c>
      <c r="U95" s="1146">
        <f>_xlfn.XLOOKUP(D95,RUC!$B$3:$B$123,RUC!$F$3:$F$123)</f>
        <v>120</v>
      </c>
      <c r="V95" s="715">
        <v>1.1023000000000001</v>
      </c>
      <c r="Y95">
        <f>_xlfn.XLOOKUP(D95,RUC!$B$3:$B$123,RUC!$G$3:$G$123)</f>
        <v>20</v>
      </c>
      <c r="Z95" s="143">
        <f>_xlfn.XLOOKUP(D95,RUC!$B$3:$B$123,RUC!$H$3:$H$123)</f>
        <v>30</v>
      </c>
      <c r="AA95" s="144">
        <f t="shared" si="61"/>
        <v>50</v>
      </c>
      <c r="AB95" s="145">
        <f t="shared" si="54"/>
        <v>1703.79777296</v>
      </c>
      <c r="AC95" s="145">
        <f>+(S95-T95)*V95-'data 1'!$F$4</f>
        <v>74.322000000000003</v>
      </c>
      <c r="AD95" s="145">
        <f t="shared" si="46"/>
        <v>132.68279014648019</v>
      </c>
      <c r="AE95" s="145">
        <f t="shared" si="66"/>
        <v>-14.884999999999998</v>
      </c>
      <c r="AF95" s="145">
        <f t="shared" si="47"/>
        <v>107.12253605256012</v>
      </c>
      <c r="AG95" s="772">
        <f t="shared" si="62"/>
        <v>316.24232619904035</v>
      </c>
      <c r="AH95" s="1253">
        <f t="shared" si="63"/>
        <v>32.134999999999998</v>
      </c>
      <c r="AI95" s="1253">
        <f t="shared" si="49"/>
        <v>33.497999999999998</v>
      </c>
      <c r="AJ95" s="156">
        <f t="shared" si="50"/>
        <v>141.87412557352002</v>
      </c>
      <c r="AK95" s="156">
        <f t="shared" si="64"/>
        <v>28.643919444545585</v>
      </c>
      <c r="AM95" s="716">
        <f t="shared" si="65"/>
        <v>3077.0587779657599</v>
      </c>
      <c r="AN95" s="716" t="str">
        <f>_xlfn.XLOOKUP(D95,RUC!$B$3:$B$578,RUC!$M$3:$M$578)</f>
        <v>Evelyn</v>
      </c>
      <c r="AO95" s="1167" t="s">
        <v>2281</v>
      </c>
      <c r="AP95" t="s">
        <v>3004</v>
      </c>
      <c r="AQ95" t="s">
        <v>3005</v>
      </c>
    </row>
    <row r="96" spans="1:43" ht="15" customHeight="1">
      <c r="A96" s="747" t="s">
        <v>3014</v>
      </c>
      <c r="B96" s="595">
        <v>45937</v>
      </c>
      <c r="C96" s="1447">
        <v>45931</v>
      </c>
      <c r="D96" t="s">
        <v>1967</v>
      </c>
      <c r="E96" s="762">
        <f>_xlfn.XLOOKUP(D96,RUC!$B$3:$B$123,RUC!$D$3:$D$123)</f>
        <v>20601769396</v>
      </c>
      <c r="G96" s="1082">
        <v>50</v>
      </c>
      <c r="H96" s="762" t="s">
        <v>108</v>
      </c>
      <c r="I96" s="703">
        <v>3.41</v>
      </c>
      <c r="J96" s="596">
        <v>8.02</v>
      </c>
      <c r="K96" s="703">
        <f t="shared" si="44"/>
        <v>3.137</v>
      </c>
      <c r="L96" s="762">
        <v>0.47199999999999998</v>
      </c>
      <c r="M96" s="762">
        <v>0.44800000000000001</v>
      </c>
      <c r="N96" s="1196">
        <f t="shared" si="55"/>
        <v>0.44800000000000001</v>
      </c>
      <c r="O96" s="645">
        <f t="shared" si="45"/>
        <v>0.44800000000000001</v>
      </c>
      <c r="P96" s="727">
        <v>90</v>
      </c>
      <c r="Q96" s="880">
        <v>95.76</v>
      </c>
      <c r="R96" s="706">
        <v>3872</v>
      </c>
      <c r="S96" s="765">
        <f>IF((_xlfn.XLOOKUP(D96,RUC!$B$3:$B$119,RUC!$E$3:$E$119)+ROUNDDOWN(O96,1)*100)&lt;95,95,((_xlfn.XLOOKUP(D96,RUC!$B$3:$B$119,RUC!$E$3:$E$119)+ROUNDDOWN(O96,1)*100)))</f>
        <v>130</v>
      </c>
      <c r="U96" s="1146">
        <f>_xlfn.XLOOKUP(D96,RUC!$B$3:$B$123,RUC!$F$3:$F$123)</f>
        <v>120</v>
      </c>
      <c r="V96" s="715">
        <v>1.1023000000000001</v>
      </c>
      <c r="Y96">
        <f>_xlfn.XLOOKUP(D96,RUC!$B$3:$B$123,RUC!$G$3:$G$123)</f>
        <v>20</v>
      </c>
      <c r="Z96" s="143">
        <f>_xlfn.XLOOKUP(D96,RUC!$B$3:$B$123,RUC!$H$3:$H$123)</f>
        <v>30</v>
      </c>
      <c r="AA96" s="144">
        <f t="shared" si="61"/>
        <v>50</v>
      </c>
      <c r="AB96" s="145">
        <f t="shared" si="54"/>
        <v>1469.1524947200003</v>
      </c>
      <c r="AC96" s="145">
        <f>+(S96-T96)*V96-'data 1'!$F$4</f>
        <v>63.299000000000007</v>
      </c>
      <c r="AD96" s="145">
        <f t="shared" si="46"/>
        <v>112.4416265011201</v>
      </c>
      <c r="AE96" s="145">
        <f t="shared" si="66"/>
        <v>-14.884999999999998</v>
      </c>
      <c r="AF96" s="145">
        <f t="shared" si="47"/>
        <v>95.051290199039883</v>
      </c>
      <c r="AG96" s="772">
        <f t="shared" si="62"/>
        <v>272.90691670016002</v>
      </c>
      <c r="AH96" s="1253">
        <f t="shared" si="63"/>
        <v>48.613</v>
      </c>
      <c r="AI96" s="1253">
        <f t="shared" si="49"/>
        <v>50.765000000000001</v>
      </c>
      <c r="AJ96" s="156">
        <f t="shared" si="50"/>
        <v>123.55992165888</v>
      </c>
      <c r="AK96" s="156">
        <f t="shared" si="64"/>
        <v>43.365475364541126</v>
      </c>
      <c r="AM96" s="716">
        <f t="shared" si="65"/>
        <v>4608.7313759366407</v>
      </c>
      <c r="AN96" s="716" t="str">
        <f>_xlfn.XLOOKUP(D96,RUC!$B$3:$B$578,RUC!$M$3:$M$578)</f>
        <v>Evelyn</v>
      </c>
      <c r="AO96" s="1167" t="s">
        <v>2281</v>
      </c>
      <c r="AP96" t="s">
        <v>3004</v>
      </c>
      <c r="AQ96" t="s">
        <v>3005</v>
      </c>
    </row>
    <row r="97" spans="1:43" ht="15" customHeight="1">
      <c r="A97" s="747" t="s">
        <v>3017</v>
      </c>
      <c r="B97" s="595">
        <v>45937</v>
      </c>
      <c r="C97" s="1447">
        <v>45931</v>
      </c>
      <c r="D97" t="s">
        <v>1484</v>
      </c>
      <c r="E97" s="762">
        <f>_xlfn.XLOOKUP(D97,RUC!$B$3:$B$123,RUC!$D$3:$D$123)</f>
        <v>10761932735</v>
      </c>
      <c r="G97" s="1082" t="s">
        <v>2985</v>
      </c>
      <c r="H97" s="762" t="s">
        <v>69</v>
      </c>
      <c r="I97" s="703">
        <v>24.61</v>
      </c>
      <c r="J97" s="596">
        <v>17.350000000000001</v>
      </c>
      <c r="K97" s="703">
        <f t="shared" si="44"/>
        <v>20.34</v>
      </c>
      <c r="L97" s="762">
        <v>0.14199999999999999</v>
      </c>
      <c r="M97" s="762">
        <v>0.127</v>
      </c>
      <c r="N97" s="1444">
        <v>0.14799999999999999</v>
      </c>
      <c r="O97" s="645">
        <f t="shared" si="45"/>
        <v>0.13800000000000001</v>
      </c>
      <c r="P97" s="727">
        <v>85</v>
      </c>
      <c r="Q97" s="1476">
        <v>97.89</v>
      </c>
      <c r="R97" s="706">
        <v>3872</v>
      </c>
      <c r="S97" s="765">
        <f>IF((_xlfn.XLOOKUP(D97,RUC!$B$3:$B$119,RUC!$E$3:$E$119)+ROUNDDOWN(O97,1)*100)&lt;95,95,((_xlfn.XLOOKUP(D97,RUC!$B$3:$B$119,RUC!$E$3:$E$119)+ROUNDDOWN(O97,1)*100)))</f>
        <v>100</v>
      </c>
      <c r="U97" s="1146">
        <f>_xlfn.XLOOKUP(D97,RUC!$B$3:$B$123,RUC!$F$3:$F$123)</f>
        <v>120</v>
      </c>
      <c r="V97" s="715">
        <v>1.1023000000000001</v>
      </c>
      <c r="Y97">
        <f>_xlfn.XLOOKUP(D97,RUC!$B$3:$B$123,RUC!$G$3:$G$123)</f>
        <v>20</v>
      </c>
      <c r="Z97" s="143">
        <f>_xlfn.XLOOKUP(D97,RUC!$B$3:$B$123,RUC!$H$3:$H$123)</f>
        <v>30</v>
      </c>
      <c r="AA97" s="144">
        <f t="shared" si="61"/>
        <v>50</v>
      </c>
      <c r="AB97" s="145">
        <f t="shared" si="54"/>
        <v>319.78781208000004</v>
      </c>
      <c r="AC97" s="145">
        <f>+(S97-T97)*V97-'data 1'!$F$4</f>
        <v>30.230000000000004</v>
      </c>
      <c r="AD97" s="145">
        <f t="shared" si="46"/>
        <v>75.701397832479998</v>
      </c>
      <c r="AE97" s="145">
        <f t="shared" si="66"/>
        <v>-14.884999999999998</v>
      </c>
      <c r="AF97" s="145">
        <f t="shared" si="47"/>
        <v>16.194254381759901</v>
      </c>
      <c r="AG97" s="772">
        <f t="shared" si="62"/>
        <v>124.2406522142399</v>
      </c>
      <c r="AH97" s="1253">
        <f t="shared" si="63"/>
        <v>96.936000000000007</v>
      </c>
      <c r="AI97" s="1253">
        <f t="shared" si="49"/>
        <v>99.025999999999996</v>
      </c>
      <c r="AJ97" s="156">
        <f t="shared" si="50"/>
        <v>37.999524407519992</v>
      </c>
      <c r="AK97" s="156">
        <f t="shared" si="64"/>
        <v>81.800890211510122</v>
      </c>
      <c r="AM97" s="716">
        <f t="shared" si="65"/>
        <v>6504.4840977072008</v>
      </c>
      <c r="AN97" s="716" t="str">
        <f>_xlfn.XLOOKUP(D97,RUC!$B$3:$B$578,RUC!$M$3:$M$578)</f>
        <v>Richard Sapacayo</v>
      </c>
      <c r="AO97" s="1167" t="s">
        <v>2279</v>
      </c>
      <c r="AP97" t="s">
        <v>2840</v>
      </c>
      <c r="AQ97" t="s">
        <v>3006</v>
      </c>
    </row>
    <row r="98" spans="1:43" ht="15" customHeight="1">
      <c r="A98" s="747" t="s">
        <v>3019</v>
      </c>
      <c r="B98" s="595">
        <v>45940</v>
      </c>
      <c r="C98" s="1447">
        <v>45932</v>
      </c>
      <c r="D98" t="s">
        <v>119</v>
      </c>
      <c r="E98" s="762">
        <f>_xlfn.XLOOKUP(D98,RUC!$B$3:$B$123,RUC!$D$3:$D$123)</f>
        <v>10082235774</v>
      </c>
      <c r="G98" s="1082">
        <v>61</v>
      </c>
      <c r="H98" s="762" t="s">
        <v>69</v>
      </c>
      <c r="I98" s="703">
        <v>6.06</v>
      </c>
      <c r="J98" s="596">
        <v>1.3</v>
      </c>
      <c r="K98" s="703">
        <f t="shared" si="44"/>
        <v>5.9809999999999999</v>
      </c>
      <c r="L98" s="762">
        <v>0.26800000000000002</v>
      </c>
      <c r="M98" s="762">
        <v>0.26100000000000001</v>
      </c>
      <c r="N98" s="1196">
        <f t="shared" si="55"/>
        <v>0.26100000000000001</v>
      </c>
      <c r="O98" s="645">
        <f t="shared" si="45"/>
        <v>0.26100000000000001</v>
      </c>
      <c r="P98" s="727">
        <v>90</v>
      </c>
      <c r="Q98" s="1476">
        <v>94.4</v>
      </c>
      <c r="R98" s="706">
        <v>3878.1</v>
      </c>
      <c r="S98" s="1164">
        <v>105</v>
      </c>
      <c r="U98" s="1146">
        <f>_xlfn.XLOOKUP(D98,RUC!$B$3:$B$123,RUC!$F$3:$F$123)</f>
        <v>80</v>
      </c>
      <c r="V98" s="715">
        <v>1.1023000000000001</v>
      </c>
      <c r="Y98">
        <f>_xlfn.XLOOKUP(D98,RUC!$B$3:$B$123,RUC!$G$3:$G$123)</f>
        <v>0</v>
      </c>
      <c r="Z98" s="143">
        <f>_xlfn.XLOOKUP(D98,RUC!$B$3:$B$123,RUC!$H$3:$H$123)</f>
        <v>10</v>
      </c>
      <c r="AA98" s="144">
        <f t="shared" si="61"/>
        <v>10</v>
      </c>
      <c r="AB98" s="145">
        <f t="shared" si="54"/>
        <v>856.67855848700015</v>
      </c>
      <c r="AC98" s="145">
        <f>+(S98-T98)*V98-'data 1'!$F$4</f>
        <v>35.741500000000002</v>
      </c>
      <c r="AD98" s="145">
        <f t="shared" si="46"/>
        <v>49.368925268960062</v>
      </c>
      <c r="AE98" s="145">
        <f t="shared" si="66"/>
        <v>-58.977000000000004</v>
      </c>
      <c r="AF98" s="145">
        <f t="shared" si="47"/>
        <v>27.665354323040024</v>
      </c>
      <c r="AG98" s="772">
        <f t="shared" ref="AG98:AG103" si="67">AC98+AD98+AE98+AF98+70</f>
        <v>123.79877959200007</v>
      </c>
      <c r="AH98" s="1253">
        <f t="shared" si="63"/>
        <v>51.878999999999998</v>
      </c>
      <c r="AI98" s="1253">
        <f t="shared" si="49"/>
        <v>54.956000000000003</v>
      </c>
      <c r="AJ98" s="156">
        <f t="shared" si="50"/>
        <v>56.304475175040032</v>
      </c>
      <c r="AK98" s="156">
        <f t="shared" si="64"/>
        <v>48.168806802264044</v>
      </c>
      <c r="AM98" s="716">
        <f t="shared" si="65"/>
        <v>5123.7944583107474</v>
      </c>
      <c r="AN98" s="716" t="str">
        <f>_xlfn.XLOOKUP(D98,RUC!$B$3:$B$578,RUC!$M$3:$M$578)</f>
        <v>Melchor Vera</v>
      </c>
      <c r="AO98" s="1167" t="s">
        <v>2281</v>
      </c>
      <c r="AP98" t="s">
        <v>3009</v>
      </c>
      <c r="AQ98" t="s">
        <v>3010</v>
      </c>
    </row>
    <row r="99" spans="1:43" ht="15" customHeight="1">
      <c r="A99" s="747" t="s">
        <v>3020</v>
      </c>
      <c r="B99" s="595">
        <v>45940</v>
      </c>
      <c r="C99" s="1447">
        <v>45932</v>
      </c>
      <c r="D99" t="s">
        <v>119</v>
      </c>
      <c r="E99" s="762">
        <f>_xlfn.XLOOKUP(D99,RUC!$B$3:$B$123,RUC!$D$3:$D$123)</f>
        <v>10082235774</v>
      </c>
      <c r="G99" s="1082">
        <v>40</v>
      </c>
      <c r="H99" s="762" t="s">
        <v>69</v>
      </c>
      <c r="I99" s="703">
        <v>4.08</v>
      </c>
      <c r="J99" s="596">
        <v>1.5</v>
      </c>
      <c r="K99" s="703">
        <f t="shared" si="44"/>
        <v>4.0190000000000001</v>
      </c>
      <c r="L99" s="762">
        <v>0.192</v>
      </c>
      <c r="M99" s="762">
        <v>0.185</v>
      </c>
      <c r="N99" s="1196">
        <f t="shared" si="55"/>
        <v>0.185</v>
      </c>
      <c r="O99" s="645">
        <f t="shared" si="45"/>
        <v>0.185</v>
      </c>
      <c r="P99" s="727">
        <v>85</v>
      </c>
      <c r="Q99" s="1476">
        <v>80.73</v>
      </c>
      <c r="R99" s="706">
        <v>3878.1</v>
      </c>
      <c r="S99" s="1164">
        <f>IF((_xlfn.XLOOKUP(D99,RUC!$B$3:$B$119,RUC!$E$3:$E$119)+ROUNDDOWN(O99,1)*100)&lt;95,95,((_xlfn.XLOOKUP(D99,RUC!$B$3:$B$119,RUC!$E$3:$E$119)+ROUNDDOWN(O99,1)*100)))</f>
        <v>95</v>
      </c>
      <c r="U99" s="1146">
        <f>_xlfn.XLOOKUP(D99,RUC!$B$3:$B$123,RUC!$F$3:$F$123)</f>
        <v>80</v>
      </c>
      <c r="V99" s="715">
        <v>1.1023000000000001</v>
      </c>
      <c r="Y99">
        <f>_xlfn.XLOOKUP(D99,RUC!$B$3:$B$123,RUC!$G$3:$G$123)</f>
        <v>0</v>
      </c>
      <c r="Z99" s="143">
        <f>_xlfn.XLOOKUP(D99,RUC!$B$3:$B$123,RUC!$H$3:$H$123)</f>
        <v>10</v>
      </c>
      <c r="AA99" s="144">
        <f t="shared" si="61"/>
        <v>10</v>
      </c>
      <c r="AB99" s="145">
        <f t="shared" si="54"/>
        <v>542.60852531750004</v>
      </c>
      <c r="AC99" s="145">
        <f>+(S99-T99)*V99-'data 1'!$F$4</f>
        <v>24.718500000000006</v>
      </c>
      <c r="AD99" s="145">
        <f t="shared" si="46"/>
        <v>-34.323795532991973</v>
      </c>
      <c r="AE99" s="145">
        <f t="shared" si="66"/>
        <v>-58.977000000000004</v>
      </c>
      <c r="AF99" s="145">
        <f t="shared" si="47"/>
        <v>23.65915311969302</v>
      </c>
      <c r="AG99" s="772">
        <f t="shared" si="67"/>
        <v>25.076857586701053</v>
      </c>
      <c r="AH99" s="1253">
        <f t="shared" si="63"/>
        <v>21.358000000000001</v>
      </c>
      <c r="AI99" s="1253">
        <f t="shared" si="49"/>
        <v>26.456</v>
      </c>
      <c r="AJ99" s="156">
        <f t="shared" si="50"/>
        <v>34.496283436992016</v>
      </c>
      <c r="AK99" s="156">
        <f t="shared" si="64"/>
        <v>21.66794525159639</v>
      </c>
      <c r="AM99" s="716">
        <f t="shared" si="65"/>
        <v>2180.7436632510326</v>
      </c>
      <c r="AN99" s="716" t="str">
        <f>_xlfn.XLOOKUP(D99,RUC!$B$3:$B$578,RUC!$M$3:$M$578)</f>
        <v>Melchor Vera</v>
      </c>
      <c r="AO99" s="1167" t="s">
        <v>2281</v>
      </c>
      <c r="AP99" t="s">
        <v>3009</v>
      </c>
      <c r="AQ99" t="s">
        <v>3010</v>
      </c>
    </row>
    <row r="100" spans="1:43" ht="15" customHeight="1">
      <c r="A100" s="747" t="s">
        <v>3022</v>
      </c>
      <c r="B100" s="595">
        <v>45940</v>
      </c>
      <c r="C100" s="1447">
        <v>45932</v>
      </c>
      <c r="D100" t="s">
        <v>119</v>
      </c>
      <c r="E100" s="762">
        <f>_xlfn.XLOOKUP(D100,RUC!$B$3:$B$123,RUC!$D$3:$D$123)</f>
        <v>10082235774</v>
      </c>
      <c r="G100" s="1082">
        <v>67</v>
      </c>
      <c r="H100" s="762" t="s">
        <v>69</v>
      </c>
      <c r="I100" s="703">
        <v>6.74</v>
      </c>
      <c r="J100" s="596">
        <v>1.2</v>
      </c>
      <c r="K100" s="703">
        <f t="shared" si="44"/>
        <v>6.6589999999999998</v>
      </c>
      <c r="L100" s="762">
        <v>0.23300000000000001</v>
      </c>
      <c r="M100" s="762">
        <v>0.22600000000000001</v>
      </c>
      <c r="N100" s="1196">
        <f t="shared" si="55"/>
        <v>0.22600000000000001</v>
      </c>
      <c r="O100" s="645">
        <f t="shared" si="45"/>
        <v>0.22600000000000001</v>
      </c>
      <c r="P100" s="727">
        <v>85</v>
      </c>
      <c r="Q100" s="1476">
        <v>89.7</v>
      </c>
      <c r="R100" s="706">
        <v>3878.1</v>
      </c>
      <c r="S100" s="1164">
        <v>105</v>
      </c>
      <c r="U100" s="1146">
        <f>_xlfn.XLOOKUP(D100,RUC!$B$3:$B$123,RUC!$F$3:$F$123)</f>
        <v>80</v>
      </c>
      <c r="V100" s="715">
        <v>1.1023000000000001</v>
      </c>
      <c r="Y100">
        <f>_xlfn.XLOOKUP(D100,RUC!$B$3:$B$123,RUC!$G$3:$G$123)</f>
        <v>0</v>
      </c>
      <c r="Z100" s="143">
        <f>_xlfn.XLOOKUP(D100,RUC!$B$3:$B$123,RUC!$H$3:$H$123)</f>
        <v>10</v>
      </c>
      <c r="AA100" s="144">
        <f t="shared" si="61"/>
        <v>10</v>
      </c>
      <c r="AB100" s="145">
        <f t="shared" si="54"/>
        <v>677.49012552300007</v>
      </c>
      <c r="AC100" s="145">
        <f>+(S100-T100)*V100-'data 1'!$F$4</f>
        <v>35.741500000000002</v>
      </c>
      <c r="AD100" s="145">
        <f t="shared" si="46"/>
        <v>45.847956294130036</v>
      </c>
      <c r="AE100" s="145">
        <f t="shared" si="66"/>
        <v>-58.977000000000004</v>
      </c>
      <c r="AF100" s="145">
        <f t="shared" si="47"/>
        <v>26.287947910770022</v>
      </c>
      <c r="AG100" s="772">
        <f t="shared" si="67"/>
        <v>118.90040420490004</v>
      </c>
      <c r="AH100" s="1253">
        <f t="shared" si="63"/>
        <v>47.716000000000001</v>
      </c>
      <c r="AI100" s="1253">
        <f t="shared" si="49"/>
        <v>53.195</v>
      </c>
      <c r="AJ100" s="156">
        <f t="shared" si="50"/>
        <v>46.514085884370026</v>
      </c>
      <c r="AK100" s="156">
        <f t="shared" si="64"/>
        <v>43.857659252692905</v>
      </c>
      <c r="AM100" s="716">
        <f t="shared" si="65"/>
        <v>4511.4067458576574</v>
      </c>
      <c r="AN100" s="716" t="str">
        <f>_xlfn.XLOOKUP(D100,RUC!$B$3:$B$578,RUC!$M$3:$M$578)</f>
        <v>Melchor Vera</v>
      </c>
      <c r="AO100" s="1167" t="s">
        <v>2281</v>
      </c>
      <c r="AP100" t="s">
        <v>3009</v>
      </c>
      <c r="AQ100" t="s">
        <v>3010</v>
      </c>
    </row>
    <row r="101" spans="1:43" ht="15" customHeight="1">
      <c r="A101" s="747" t="s">
        <v>3024</v>
      </c>
      <c r="B101" s="595">
        <v>45940</v>
      </c>
      <c r="C101" s="1447">
        <v>45932</v>
      </c>
      <c r="D101" t="s">
        <v>119</v>
      </c>
      <c r="E101" s="762">
        <f>_xlfn.XLOOKUP(D101,RUC!$B$3:$B$123,RUC!$D$3:$D$123)</f>
        <v>10082235774</v>
      </c>
      <c r="G101" s="1082">
        <v>59</v>
      </c>
      <c r="H101" s="762" t="s">
        <v>69</v>
      </c>
      <c r="I101" s="703">
        <v>5.32</v>
      </c>
      <c r="J101" s="596">
        <v>1.1000000000000001</v>
      </c>
      <c r="K101" s="703">
        <f t="shared" si="44"/>
        <v>5.2610000000000001</v>
      </c>
      <c r="L101" s="762">
        <v>0.11899999999999999</v>
      </c>
      <c r="M101" s="762">
        <v>0.11199999999999999</v>
      </c>
      <c r="N101" s="1196">
        <f t="shared" si="55"/>
        <v>0.11199999999999999</v>
      </c>
      <c r="O101" s="645">
        <f t="shared" si="45"/>
        <v>0.112</v>
      </c>
      <c r="P101" s="727">
        <v>85</v>
      </c>
      <c r="Q101" s="1476">
        <v>95.8</v>
      </c>
      <c r="R101" s="706">
        <v>3878.1</v>
      </c>
      <c r="S101" s="1164">
        <f>IF((_xlfn.XLOOKUP(D101,RUC!$B$3:$B$119,RUC!$E$3:$E$119)+ROUNDDOWN(O101,1)*100)&lt;95,95,((_xlfn.XLOOKUP(D101,RUC!$B$3:$B$119,RUC!$E$3:$E$119)+ROUNDDOWN(O101,1)*100)))</f>
        <v>95</v>
      </c>
      <c r="U101" s="1146">
        <f>_xlfn.XLOOKUP(D101,RUC!$B$3:$B$123,RUC!$F$3:$F$123)</f>
        <v>80</v>
      </c>
      <c r="V101" s="715">
        <v>1.1023000000000001</v>
      </c>
      <c r="Y101">
        <f>_xlfn.XLOOKUP(D101,RUC!$B$3:$B$123,RUC!$G$3:$G$123)</f>
        <v>0</v>
      </c>
      <c r="Z101" s="143">
        <f>_xlfn.XLOOKUP(D101,RUC!$B$3:$B$123,RUC!$H$3:$H$123)</f>
        <v>10</v>
      </c>
      <c r="AA101" s="144">
        <f t="shared" si="61"/>
        <v>10</v>
      </c>
      <c r="AB101" s="145">
        <f t="shared" si="54"/>
        <v>282.82716397600001</v>
      </c>
      <c r="AC101" s="145">
        <f>+(S101-T101)*V101-'data 1'!$F$4</f>
        <v>24.718500000000006</v>
      </c>
      <c r="AD101" s="145">
        <f t="shared" si="46"/>
        <v>53.806769636759981</v>
      </c>
      <c r="AE101" s="145">
        <f t="shared" si="66"/>
        <v>-58.977000000000004</v>
      </c>
      <c r="AF101" s="145">
        <f t="shared" si="47"/>
        <v>28.075645594779967</v>
      </c>
      <c r="AG101" s="772">
        <f t="shared" si="67"/>
        <v>117.62391523153995</v>
      </c>
      <c r="AH101" s="1253">
        <f t="shared" si="63"/>
        <v>20.562999999999999</v>
      </c>
      <c r="AI101" s="1253">
        <f t="shared" si="49"/>
        <v>21.465</v>
      </c>
      <c r="AJ101" s="156">
        <f t="shared" si="50"/>
        <v>25.371643288740014</v>
      </c>
      <c r="AK101" s="156">
        <f t="shared" si="64"/>
        <v>17.171740605755961</v>
      </c>
      <c r="AM101" s="716">
        <f t="shared" si="65"/>
        <v>1487.953709677736</v>
      </c>
      <c r="AN101" s="716" t="str">
        <f>_xlfn.XLOOKUP(D101,RUC!$B$3:$B$578,RUC!$M$3:$M$578)</f>
        <v>Melchor Vera</v>
      </c>
      <c r="AO101" s="1167" t="s">
        <v>2281</v>
      </c>
      <c r="AP101" t="s">
        <v>3009</v>
      </c>
      <c r="AQ101" t="s">
        <v>3010</v>
      </c>
    </row>
    <row r="102" spans="1:43" ht="15" customHeight="1">
      <c r="A102" s="747" t="s">
        <v>3025</v>
      </c>
      <c r="B102" s="595">
        <v>45940</v>
      </c>
      <c r="C102" s="1447">
        <v>45932</v>
      </c>
      <c r="D102" t="s">
        <v>119</v>
      </c>
      <c r="E102" s="762">
        <f>_xlfn.XLOOKUP(D102,RUC!$B$3:$B$123,RUC!$D$3:$D$123)</f>
        <v>10082235774</v>
      </c>
      <c r="G102" s="1082">
        <v>25</v>
      </c>
      <c r="H102" s="762" t="s">
        <v>69</v>
      </c>
      <c r="I102" s="703">
        <v>2.35</v>
      </c>
      <c r="J102" s="596">
        <v>1.1499999999999999</v>
      </c>
      <c r="K102" s="703">
        <f t="shared" si="44"/>
        <v>2.323</v>
      </c>
      <c r="L102" s="762">
        <v>0.247</v>
      </c>
      <c r="M102" s="994">
        <v>0.24</v>
      </c>
      <c r="N102" s="1196">
        <f t="shared" si="55"/>
        <v>0.24</v>
      </c>
      <c r="O102" s="645">
        <f t="shared" si="45"/>
        <v>0.24</v>
      </c>
      <c r="P102" s="727">
        <v>85</v>
      </c>
      <c r="Q102" s="1476">
        <v>93.93</v>
      </c>
      <c r="R102" s="706">
        <v>3878.1</v>
      </c>
      <c r="S102" s="1164">
        <v>105</v>
      </c>
      <c r="U102" s="1146">
        <f>_xlfn.XLOOKUP(D102,RUC!$B$3:$B$123,RUC!$F$3:$F$123)</f>
        <v>80</v>
      </c>
      <c r="V102" s="715">
        <v>1.1023000000000001</v>
      </c>
      <c r="Y102">
        <f>_xlfn.XLOOKUP(D102,RUC!$B$3:$B$123,RUC!$G$3:$G$123)</f>
        <v>0</v>
      </c>
      <c r="Z102" s="143">
        <f>_xlfn.XLOOKUP(D102,RUC!$B$3:$B$123,RUC!$H$3:$H$123)</f>
        <v>10</v>
      </c>
      <c r="AA102" s="144">
        <f t="shared" si="61"/>
        <v>10</v>
      </c>
      <c r="AB102" s="145">
        <f t="shared" si="54"/>
        <v>727.31120851999992</v>
      </c>
      <c r="AC102" s="145">
        <f>+(S102-T102)*V102-'data 1'!$F$4</f>
        <v>35.741500000000002</v>
      </c>
      <c r="AD102" s="145">
        <f t="shared" si="46"/>
        <v>92.345261325473061</v>
      </c>
      <c r="AE102" s="145">
        <f t="shared" si="66"/>
        <v>-58.977000000000004</v>
      </c>
      <c r="AF102" s="145">
        <f t="shared" si="47"/>
        <v>27.527613681813026</v>
      </c>
      <c r="AG102" s="772">
        <f t="shared" si="67"/>
        <v>166.63737500728607</v>
      </c>
      <c r="AH102" s="1253">
        <f t="shared" si="63"/>
        <v>18.478000000000002</v>
      </c>
      <c r="AI102" s="1253">
        <f t="shared" si="49"/>
        <v>19.672000000000001</v>
      </c>
      <c r="AJ102" s="156">
        <f t="shared" si="50"/>
        <v>51.634193976027028</v>
      </c>
      <c r="AK102" s="156">
        <f t="shared" si="64"/>
        <v>16.247571113790599</v>
      </c>
      <c r="AM102" s="716">
        <f t="shared" si="65"/>
        <v>1689.5439373919598</v>
      </c>
      <c r="AN102" s="716" t="str">
        <f>_xlfn.XLOOKUP(D102,RUC!$B$3:$B$578,RUC!$M$3:$M$578)</f>
        <v>Melchor Vera</v>
      </c>
      <c r="AO102" s="1167" t="s">
        <v>2281</v>
      </c>
      <c r="AP102" t="s">
        <v>3009</v>
      </c>
      <c r="AQ102" t="s">
        <v>3010</v>
      </c>
    </row>
    <row r="103" spans="1:43" ht="15" customHeight="1">
      <c r="A103" s="747" t="s">
        <v>3026</v>
      </c>
      <c r="B103" s="595">
        <v>45940</v>
      </c>
      <c r="C103" s="1447">
        <v>45932</v>
      </c>
      <c r="D103" t="s">
        <v>119</v>
      </c>
      <c r="E103" s="762">
        <f>_xlfn.XLOOKUP(D103,RUC!$B$3:$B$123,RUC!$D$3:$D$123)</f>
        <v>10082235774</v>
      </c>
      <c r="G103" s="1082">
        <v>33</v>
      </c>
      <c r="H103" s="762" t="s">
        <v>69</v>
      </c>
      <c r="I103" s="703">
        <v>2.86</v>
      </c>
      <c r="J103" s="596">
        <v>1.1000000000000001</v>
      </c>
      <c r="K103" s="703">
        <f t="shared" ref="K103:K104" si="68">ROUND(+I103-(I103*(J103/100)),3)</f>
        <v>2.8290000000000002</v>
      </c>
      <c r="L103" s="762">
        <v>0.16</v>
      </c>
      <c r="M103" s="762">
        <v>0.153</v>
      </c>
      <c r="N103" s="1196">
        <f t="shared" si="55"/>
        <v>0.153</v>
      </c>
      <c r="O103" s="645">
        <f t="shared" ref="O103:O104" si="69">+ROUND((M103+N103)/2,3)</f>
        <v>0.153</v>
      </c>
      <c r="P103" s="727">
        <v>85</v>
      </c>
      <c r="Q103" s="1476">
        <v>90.63</v>
      </c>
      <c r="R103" s="706">
        <v>3878.1</v>
      </c>
      <c r="S103" s="1164">
        <f>IF((_xlfn.XLOOKUP(D103,RUC!$B$3:$B$119,RUC!$E$3:$E$119)+ROUNDDOWN(O103,1)*100)&lt;95,95,((_xlfn.XLOOKUP(D103,RUC!$B$3:$B$119,RUC!$E$3:$E$119)+ROUNDDOWN(O103,1)*100)))</f>
        <v>95</v>
      </c>
      <c r="U103" s="1146">
        <f>_xlfn.XLOOKUP(D103,RUC!$B$3:$B$123,RUC!$F$3:$F$123)</f>
        <v>80</v>
      </c>
      <c r="V103" s="715">
        <v>1.1023000000000001</v>
      </c>
      <c r="Y103">
        <f>_xlfn.XLOOKUP(D103,RUC!$B$3:$B$123,RUC!$G$3:$G$123)</f>
        <v>0</v>
      </c>
      <c r="Z103" s="143">
        <f>_xlfn.XLOOKUP(D103,RUC!$B$3:$B$123,RUC!$H$3:$H$123)</f>
        <v>10</v>
      </c>
      <c r="AA103" s="144">
        <f t="shared" si="61"/>
        <v>10</v>
      </c>
      <c r="AB103" s="145">
        <f t="shared" si="54"/>
        <v>428.73176418149995</v>
      </c>
      <c r="AC103" s="145">
        <f>+(S103-T103)*V103-'data 1'!$F$4</f>
        <v>24.718500000000006</v>
      </c>
      <c r="AD103" s="145">
        <f t="shared" ref="AD103:AD104" si="70">+(Q103-P103)*(R103-U103)*L103*V103/100</f>
        <v>37.713303835039966</v>
      </c>
      <c r="AE103" s="145">
        <f t="shared" si="66"/>
        <v>-58.977000000000004</v>
      </c>
      <c r="AF103" s="145">
        <f t="shared" ref="AF103:AF104" si="71">(L103-O103)*(R103-U103)*Q103*V103/100</f>
        <v>26.560498541283017</v>
      </c>
      <c r="AG103" s="772">
        <f t="shared" si="67"/>
        <v>100.01530237632298</v>
      </c>
      <c r="AH103" s="1253">
        <f t="shared" si="63"/>
        <v>14.065</v>
      </c>
      <c r="AI103" s="1253">
        <f t="shared" ref="AI103:AI104" si="72">ROUND((31.1035*L103*1.1023*K103),3)</f>
        <v>15.519</v>
      </c>
      <c r="AJ103" s="156">
        <f t="shared" ref="AJ103:AJ104" si="73">+((+$AJ$2-R103+U103)*L103*Q103*V103)/100</f>
        <v>32.272164084960011</v>
      </c>
      <c r="AK103" s="156">
        <f t="shared" si="64"/>
        <v>12.613986831288175</v>
      </c>
      <c r="AM103" s="716">
        <f t="shared" si="65"/>
        <v>1212.8821608694634</v>
      </c>
      <c r="AN103" s="716" t="str">
        <f>_xlfn.XLOOKUP(D103,RUC!$B$3:$B$578,RUC!$M$3:$M$578)</f>
        <v>Melchor Vera</v>
      </c>
      <c r="AO103" s="1167" t="s">
        <v>2281</v>
      </c>
      <c r="AP103" t="s">
        <v>3009</v>
      </c>
      <c r="AQ103" t="s">
        <v>3010</v>
      </c>
    </row>
    <row r="104" spans="1:43" ht="15" customHeight="1">
      <c r="A104" s="747" t="s">
        <v>3034</v>
      </c>
      <c r="B104" s="595">
        <v>45940</v>
      </c>
      <c r="C104" s="1447">
        <v>45936</v>
      </c>
      <c r="D104" t="s">
        <v>2004</v>
      </c>
      <c r="E104" s="762">
        <f>_xlfn.XLOOKUP(D104,RUC!$B$3:$B$123,RUC!$D$3:$D$123)</f>
        <v>20612921866</v>
      </c>
      <c r="G104" s="1082">
        <v>35</v>
      </c>
      <c r="H104" s="762" t="s">
        <v>69</v>
      </c>
      <c r="I104" s="703">
        <v>3.65</v>
      </c>
      <c r="J104" s="596">
        <v>1.1000000000000001</v>
      </c>
      <c r="K104" s="703">
        <f t="shared" si="68"/>
        <v>3.61</v>
      </c>
      <c r="L104" s="762">
        <v>0.13900000000000001</v>
      </c>
      <c r="M104" s="762">
        <v>0.124</v>
      </c>
      <c r="N104" s="1196">
        <f t="shared" si="55"/>
        <v>0.124</v>
      </c>
      <c r="O104" s="645">
        <f t="shared" si="69"/>
        <v>0.124</v>
      </c>
      <c r="P104" s="727">
        <v>90</v>
      </c>
      <c r="Q104" s="1479">
        <v>96.4</v>
      </c>
      <c r="R104" s="706">
        <v>3949.45</v>
      </c>
      <c r="S104" s="765">
        <f>IF((_xlfn.XLOOKUP(D104,RUC!$B$3:$B$119,RUC!$E$3:$E$119)+ROUNDDOWN(O104,1)*100)&lt;95,95,((_xlfn.XLOOKUP(D104,RUC!$B$3:$B$119,RUC!$E$3:$E$119)+ROUNDDOWN(O104,1)*100)))</f>
        <v>95</v>
      </c>
      <c r="U104" s="1146">
        <f>_xlfn.XLOOKUP(D104,RUC!$B$3:$B$123,RUC!$F$3:$F$123)</f>
        <v>100</v>
      </c>
      <c r="V104" s="715">
        <v>1.1023000000000001</v>
      </c>
      <c r="Y104">
        <f>_xlfn.XLOOKUP(D104,RUC!$B$3:$B$123,RUC!$G$3:$G$123)</f>
        <v>0</v>
      </c>
      <c r="Z104" s="143">
        <f>_xlfn.XLOOKUP(D104,RUC!$B$3:$B$123,RUC!$H$3:$H$123)</f>
        <v>30</v>
      </c>
      <c r="AA104" s="144">
        <f t="shared" si="61"/>
        <v>30</v>
      </c>
      <c r="AB104" s="145">
        <f t="shared" si="54"/>
        <v>335.759058826</v>
      </c>
      <c r="AC104" s="145">
        <f>+(S104-T104)*V104-'data 1'!$F$4</f>
        <v>24.718500000000006</v>
      </c>
      <c r="AD104" s="145">
        <f t="shared" si="70"/>
        <v>37.74794074656004</v>
      </c>
      <c r="AE104" s="145">
        <f t="shared" si="66"/>
        <v>-36.930999999999997</v>
      </c>
      <c r="AF104" s="145">
        <f t="shared" si="71"/>
        <v>61.357376708100063</v>
      </c>
      <c r="AG104" s="772">
        <f t="shared" ref="AG104" si="74">AC104+AD104+AE104+AF104+70-10</f>
        <v>146.8928174546601</v>
      </c>
      <c r="AH104" s="1253">
        <f t="shared" si="63"/>
        <v>16.585000000000001</v>
      </c>
      <c r="AI104" s="1253">
        <f t="shared" si="72"/>
        <v>17.204000000000001</v>
      </c>
      <c r="AJ104" s="156">
        <f t="shared" si="73"/>
        <v>22.236805704940029</v>
      </c>
      <c r="AK104" s="156">
        <f t="shared" si="64"/>
        <v>13.812759996031801</v>
      </c>
      <c r="AM104" s="716">
        <f t="shared" si="65"/>
        <v>1212.0902023618601</v>
      </c>
      <c r="AN104" s="716" t="str">
        <f>_xlfn.XLOOKUP(D104,RUC!$B$3:$B$578,RUC!$M$3:$M$578)</f>
        <v>Ronald Garibay</v>
      </c>
      <c r="AO104" s="1167" t="s">
        <v>2281</v>
      </c>
      <c r="AP104" t="s">
        <v>3036</v>
      </c>
      <c r="AQ104" t="s">
        <v>3037</v>
      </c>
    </row>
    <row r="105" spans="1:43" ht="15" customHeight="1">
      <c r="G105" s="1082"/>
      <c r="L105" s="762"/>
      <c r="M105" s="762"/>
      <c r="R105" s="706"/>
    </row>
    <row r="106" spans="1:43" ht="15" customHeight="1">
      <c r="G106" s="1082"/>
      <c r="L106" s="762"/>
      <c r="M106" s="762"/>
      <c r="R106" s="706"/>
    </row>
    <row r="107" spans="1:43" ht="15" customHeight="1">
      <c r="G107" s="1082"/>
      <c r="L107" s="762"/>
      <c r="M107" s="762"/>
      <c r="R107" s="706"/>
    </row>
    <row r="108" spans="1:43" ht="15" customHeight="1">
      <c r="G108" s="1082"/>
      <c r="L108" s="762"/>
      <c r="M108" s="762"/>
      <c r="R108" s="706"/>
    </row>
    <row r="109" spans="1:43" ht="15" customHeight="1">
      <c r="G109" s="1082"/>
      <c r="L109" s="762"/>
      <c r="M109" s="762"/>
      <c r="R109" s="706"/>
    </row>
    <row r="110" spans="1:43" ht="15" customHeight="1">
      <c r="G110" s="1082"/>
      <c r="L110" s="762"/>
      <c r="M110" s="762"/>
      <c r="R110" s="706"/>
    </row>
    <row r="111" spans="1:43" ht="15" customHeight="1">
      <c r="G111" s="1082"/>
      <c r="L111" s="762"/>
      <c r="M111" s="762"/>
      <c r="R111" s="706"/>
    </row>
    <row r="112" spans="1:43" ht="15" customHeight="1">
      <c r="G112" s="1082"/>
      <c r="L112" s="762"/>
      <c r="M112" s="762"/>
      <c r="R112" s="706"/>
    </row>
    <row r="113" spans="7:18" ht="15" customHeight="1">
      <c r="G113" s="1082"/>
      <c r="L113" s="762"/>
      <c r="M113" s="762"/>
      <c r="R113" s="706"/>
    </row>
    <row r="114" spans="7:18" ht="15" customHeight="1">
      <c r="G114" s="1082"/>
      <c r="L114" s="762"/>
      <c r="M114" s="762"/>
      <c r="R114" s="706"/>
    </row>
    <row r="115" spans="7:18" ht="15" customHeight="1">
      <c r="G115" s="1082"/>
      <c r="L115" s="762"/>
      <c r="M115" s="762"/>
      <c r="R115" s="706"/>
    </row>
    <row r="116" spans="7:18" ht="15" customHeight="1">
      <c r="G116" s="1082"/>
      <c r="L116" s="762"/>
      <c r="M116" s="762"/>
      <c r="R116" s="706"/>
    </row>
    <row r="117" spans="7:18" ht="15" customHeight="1">
      <c r="G117" s="1082"/>
      <c r="L117" s="762"/>
      <c r="M117" s="762"/>
      <c r="R117" s="706"/>
    </row>
    <row r="118" spans="7:18" ht="15" customHeight="1">
      <c r="G118" s="1082"/>
      <c r="L118" s="762"/>
      <c r="M118" s="762"/>
      <c r="R118" s="706"/>
    </row>
    <row r="119" spans="7:18" ht="15" customHeight="1">
      <c r="G119" s="1082"/>
      <c r="L119" s="762"/>
      <c r="M119" s="762"/>
      <c r="R119" s="706"/>
    </row>
    <row r="120" spans="7:18" ht="15" customHeight="1">
      <c r="G120" s="1082"/>
      <c r="L120" s="762"/>
      <c r="M120" s="762"/>
      <c r="R120" s="706"/>
    </row>
    <row r="121" spans="7:18" ht="15" customHeight="1">
      <c r="G121" s="1082"/>
      <c r="L121" s="762"/>
      <c r="M121" s="762"/>
      <c r="R121" s="706"/>
    </row>
    <row r="122" spans="7:18" ht="15" customHeight="1">
      <c r="G122" s="1082"/>
      <c r="L122" s="762"/>
      <c r="M122" s="762"/>
      <c r="R122" s="706"/>
    </row>
    <row r="123" spans="7:18" ht="15" customHeight="1">
      <c r="G123" s="1082"/>
      <c r="L123" s="762"/>
      <c r="M123" s="762"/>
      <c r="R123" s="706"/>
    </row>
    <row r="124" spans="7:18" ht="15" customHeight="1">
      <c r="G124" s="1082"/>
      <c r="L124" s="762"/>
      <c r="M124" s="762"/>
      <c r="R124" s="706"/>
    </row>
    <row r="125" spans="7:18" ht="15" customHeight="1">
      <c r="G125" s="1082"/>
      <c r="L125" s="762"/>
      <c r="M125" s="762"/>
      <c r="R125" s="706"/>
    </row>
    <row r="126" spans="7:18" ht="15" customHeight="1">
      <c r="G126" s="1082"/>
      <c r="L126" s="762"/>
      <c r="M126" s="762"/>
      <c r="R126" s="706"/>
    </row>
    <row r="127" spans="7:18" ht="15" customHeight="1">
      <c r="G127" s="1082"/>
      <c r="L127" s="762"/>
      <c r="M127" s="762"/>
      <c r="R127" s="706"/>
    </row>
    <row r="128" spans="7:18" ht="15" customHeight="1">
      <c r="G128" s="1082"/>
      <c r="L128" s="762"/>
      <c r="M128" s="762"/>
      <c r="R128" s="706"/>
    </row>
    <row r="129" spans="7:18" ht="15" customHeight="1">
      <c r="G129" s="1082"/>
      <c r="L129" s="762"/>
      <c r="M129" s="762"/>
      <c r="R129" s="706"/>
    </row>
    <row r="130" spans="7:18" ht="15" customHeight="1">
      <c r="G130" s="1082"/>
      <c r="L130" s="762"/>
      <c r="M130" s="762"/>
      <c r="R130" s="706"/>
    </row>
    <row r="131" spans="7:18" ht="15" customHeight="1">
      <c r="G131" s="1082"/>
      <c r="L131" s="762"/>
      <c r="M131" s="762"/>
      <c r="R131" s="706"/>
    </row>
    <row r="132" spans="7:18" ht="15" customHeight="1">
      <c r="G132" s="1082"/>
      <c r="L132" s="762"/>
      <c r="M132" s="762"/>
      <c r="R132" s="706"/>
    </row>
    <row r="133" spans="7:18" ht="15" customHeight="1">
      <c r="G133" s="1082"/>
      <c r="L133" s="762"/>
      <c r="M133" s="762"/>
      <c r="R133" s="706"/>
    </row>
    <row r="134" spans="7:18" ht="15" customHeight="1">
      <c r="G134" s="1082"/>
      <c r="L134" s="762"/>
      <c r="M134" s="762"/>
      <c r="R134" s="706"/>
    </row>
    <row r="135" spans="7:18" ht="15" customHeight="1">
      <c r="G135" s="1082"/>
      <c r="L135" s="762"/>
      <c r="M135" s="762"/>
      <c r="R135" s="706"/>
    </row>
    <row r="136" spans="7:18" ht="15" customHeight="1">
      <c r="G136" s="1082"/>
      <c r="L136" s="762"/>
      <c r="M136" s="762"/>
      <c r="R136" s="706"/>
    </row>
    <row r="137" spans="7:18" ht="15" customHeight="1">
      <c r="G137" s="1082"/>
      <c r="L137" s="762"/>
      <c r="M137" s="762"/>
      <c r="R137" s="706"/>
    </row>
    <row r="138" spans="7:18" ht="15" customHeight="1">
      <c r="G138" s="1082"/>
      <c r="L138" s="762"/>
      <c r="M138" s="762"/>
      <c r="R138" s="706"/>
    </row>
    <row r="139" spans="7:18" ht="15" customHeight="1">
      <c r="G139" s="1082"/>
      <c r="L139" s="762"/>
      <c r="M139" s="762"/>
      <c r="R139" s="706"/>
    </row>
    <row r="140" spans="7:18" ht="15" customHeight="1">
      <c r="G140" s="1082"/>
      <c r="L140" s="762"/>
      <c r="M140" s="762"/>
      <c r="R140" s="706"/>
    </row>
    <row r="141" spans="7:18" ht="15" customHeight="1">
      <c r="G141" s="1082"/>
      <c r="L141" s="762"/>
      <c r="M141" s="762"/>
      <c r="R141" s="706"/>
    </row>
    <row r="142" spans="7:18" ht="15" customHeight="1">
      <c r="G142" s="1082"/>
      <c r="L142" s="762"/>
      <c r="M142" s="762"/>
      <c r="R142" s="706"/>
    </row>
    <row r="143" spans="7:18" ht="15" customHeight="1">
      <c r="G143" s="1082"/>
      <c r="L143" s="762"/>
      <c r="M143" s="762"/>
      <c r="R143" s="706"/>
    </row>
    <row r="144" spans="7:18" ht="15" customHeight="1">
      <c r="G144" s="1082"/>
      <c r="L144" s="762"/>
      <c r="M144" s="762"/>
      <c r="R144" s="706"/>
    </row>
    <row r="145" spans="7:18" ht="15" customHeight="1">
      <c r="G145" s="1082"/>
      <c r="L145" s="762"/>
      <c r="M145" s="762"/>
      <c r="R145" s="706"/>
    </row>
    <row r="146" spans="7:18" ht="15" customHeight="1">
      <c r="G146" s="1082"/>
      <c r="L146" s="762"/>
      <c r="M146" s="762"/>
      <c r="R146" s="706"/>
    </row>
    <row r="147" spans="7:18" ht="15" customHeight="1">
      <c r="G147" s="1082"/>
      <c r="L147" s="762"/>
      <c r="M147" s="762"/>
      <c r="R147" s="706"/>
    </row>
    <row r="148" spans="7:18" ht="15" customHeight="1">
      <c r="G148" s="1082"/>
      <c r="L148" s="762"/>
      <c r="M148" s="762"/>
      <c r="R148" s="706"/>
    </row>
    <row r="149" spans="7:18" ht="15" customHeight="1">
      <c r="G149" s="1082"/>
      <c r="L149" s="762"/>
      <c r="M149" s="762"/>
      <c r="R149" s="706"/>
    </row>
    <row r="150" spans="7:18" ht="15" customHeight="1">
      <c r="G150" s="1082"/>
      <c r="L150" s="762"/>
      <c r="M150" s="762"/>
      <c r="R150" s="706"/>
    </row>
    <row r="151" spans="7:18" ht="15" customHeight="1">
      <c r="G151" s="1082"/>
      <c r="L151" s="762"/>
      <c r="M151" s="762"/>
      <c r="R151" s="706"/>
    </row>
    <row r="152" spans="7:18" ht="15" customHeight="1">
      <c r="G152" s="1082"/>
      <c r="L152" s="762"/>
      <c r="M152" s="762"/>
      <c r="R152" s="706"/>
    </row>
    <row r="153" spans="7:18" ht="15" customHeight="1">
      <c r="G153" s="1082"/>
      <c r="L153" s="762"/>
      <c r="M153" s="762"/>
      <c r="R153" s="706"/>
    </row>
    <row r="154" spans="7:18" ht="15" customHeight="1">
      <c r="G154" s="1082"/>
      <c r="L154" s="762"/>
      <c r="M154" s="762"/>
      <c r="R154" s="706"/>
    </row>
    <row r="155" spans="7:18" ht="15" customHeight="1">
      <c r="G155" s="1082"/>
      <c r="L155" s="762"/>
      <c r="M155" s="762"/>
      <c r="R155" s="706"/>
    </row>
    <row r="156" spans="7:18" ht="15" customHeight="1">
      <c r="G156" s="1082"/>
      <c r="L156" s="762"/>
      <c r="M156" s="762"/>
      <c r="R156" s="706"/>
    </row>
    <row r="157" spans="7:18" ht="15" customHeight="1">
      <c r="G157" s="1082"/>
      <c r="R157" s="706"/>
    </row>
    <row r="158" spans="7:18" ht="15" customHeight="1">
      <c r="G158" s="1082"/>
      <c r="R158" s="706"/>
    </row>
    <row r="159" spans="7:18" ht="15" customHeight="1">
      <c r="G159" s="1082"/>
      <c r="R159" s="706"/>
    </row>
    <row r="160" spans="7:18" ht="15" customHeight="1">
      <c r="G160" s="1082"/>
      <c r="R160" s="706"/>
    </row>
    <row r="161" spans="7:18" ht="15" customHeight="1">
      <c r="G161" s="1082"/>
      <c r="R161" s="706"/>
    </row>
    <row r="162" spans="7:18" ht="15" customHeight="1">
      <c r="G162" s="1082"/>
      <c r="R162" s="706"/>
    </row>
    <row r="163" spans="7:18" ht="15" customHeight="1">
      <c r="G163" s="1082"/>
      <c r="R163" s="706"/>
    </row>
    <row r="164" spans="7:18" ht="15" customHeight="1">
      <c r="G164" s="1082"/>
      <c r="R164" s="706"/>
    </row>
    <row r="165" spans="7:18" ht="15" customHeight="1">
      <c r="G165" s="1082"/>
      <c r="R165" s="706"/>
    </row>
    <row r="166" spans="7:18" ht="15" customHeight="1">
      <c r="G166" s="1082"/>
      <c r="R166" s="706"/>
    </row>
    <row r="167" spans="7:18" ht="15" customHeight="1">
      <c r="G167" s="1082"/>
      <c r="R167" s="706"/>
    </row>
    <row r="168" spans="7:18" ht="15" customHeight="1">
      <c r="G168" s="1082"/>
      <c r="R168" s="706"/>
    </row>
    <row r="169" spans="7:18" ht="15" customHeight="1">
      <c r="G169" s="1082"/>
      <c r="R169" s="706"/>
    </row>
    <row r="170" spans="7:18" ht="15" customHeight="1">
      <c r="G170" s="1082"/>
      <c r="R170" s="706"/>
    </row>
    <row r="171" spans="7:18" ht="15" customHeight="1">
      <c r="G171" s="1082"/>
      <c r="R171" s="706"/>
    </row>
    <row r="172" spans="7:18" ht="15" customHeight="1">
      <c r="G172" s="1082"/>
      <c r="R172" s="706"/>
    </row>
    <row r="173" spans="7:18" ht="15" customHeight="1">
      <c r="G173" s="1082"/>
      <c r="R173" s="706"/>
    </row>
    <row r="174" spans="7:18" ht="15" customHeight="1">
      <c r="G174" s="1082"/>
      <c r="R174" s="706"/>
    </row>
    <row r="175" spans="7:18" ht="15" customHeight="1">
      <c r="G175" s="1082"/>
      <c r="R175" s="706"/>
    </row>
    <row r="176" spans="7:18" ht="15" customHeight="1">
      <c r="G176" s="1082"/>
      <c r="R176" s="706"/>
    </row>
    <row r="177" spans="7:18" ht="15" customHeight="1">
      <c r="G177" s="1082"/>
      <c r="R177" s="706"/>
    </row>
    <row r="178" spans="7:18" ht="15" customHeight="1">
      <c r="G178" s="1082"/>
      <c r="R178" s="706"/>
    </row>
    <row r="179" spans="7:18" ht="15" customHeight="1">
      <c r="G179" s="1082"/>
      <c r="R179" s="706"/>
    </row>
    <row r="180" spans="7:18" ht="15" customHeight="1">
      <c r="G180" s="1082"/>
      <c r="R180" s="706"/>
    </row>
    <row r="181" spans="7:18" ht="15" customHeight="1">
      <c r="G181" s="1082"/>
      <c r="R181" s="706"/>
    </row>
    <row r="182" spans="7:18" ht="15" customHeight="1">
      <c r="G182" s="1082"/>
      <c r="R182" s="706"/>
    </row>
    <row r="183" spans="7:18" ht="15" customHeight="1">
      <c r="G183" s="1082"/>
      <c r="R183" s="706"/>
    </row>
    <row r="184" spans="7:18" ht="15" customHeight="1">
      <c r="G184" s="1082"/>
      <c r="R184" s="706"/>
    </row>
    <row r="185" spans="7:18" ht="15" customHeight="1">
      <c r="G185" s="1082"/>
      <c r="R185" s="706"/>
    </row>
    <row r="186" spans="7:18" ht="15" customHeight="1">
      <c r="G186" s="1082"/>
      <c r="R186" s="706"/>
    </row>
    <row r="187" spans="7:18" ht="15" customHeight="1">
      <c r="G187" s="1082"/>
      <c r="R187" s="706"/>
    </row>
    <row r="188" spans="7:18" ht="15" customHeight="1">
      <c r="G188" s="1082"/>
      <c r="R188" s="706"/>
    </row>
    <row r="189" spans="7:18" ht="15" customHeight="1">
      <c r="G189" s="1082"/>
      <c r="R189" s="706"/>
    </row>
    <row r="190" spans="7:18" ht="15" customHeight="1">
      <c r="G190" s="1082"/>
      <c r="R190" s="706"/>
    </row>
    <row r="191" spans="7:18" ht="15" customHeight="1">
      <c r="G191" s="1082"/>
      <c r="R191" s="706"/>
    </row>
    <row r="192" spans="7:18" ht="15" customHeight="1">
      <c r="G192" s="1082"/>
      <c r="R192" s="706"/>
    </row>
    <row r="193" spans="7:18" ht="15" customHeight="1">
      <c r="G193" s="1082"/>
      <c r="R193" s="706"/>
    </row>
    <row r="194" spans="7:18" ht="15" customHeight="1">
      <c r="G194" s="1082"/>
      <c r="R194" s="706"/>
    </row>
    <row r="195" spans="7:18" ht="15" customHeight="1">
      <c r="G195" s="1082"/>
      <c r="R195" s="706"/>
    </row>
    <row r="196" spans="7:18" ht="15" customHeight="1">
      <c r="G196" s="1082"/>
      <c r="R196" s="706"/>
    </row>
    <row r="197" spans="7:18" ht="15" customHeight="1">
      <c r="G197" s="1082"/>
      <c r="R197" s="706"/>
    </row>
    <row r="198" spans="7:18" ht="15" customHeight="1">
      <c r="G198" s="1082"/>
      <c r="R198" s="706"/>
    </row>
    <row r="199" spans="7:18" ht="15" customHeight="1">
      <c r="G199" s="1082"/>
      <c r="R199" s="706"/>
    </row>
    <row r="200" spans="7:18" ht="15" customHeight="1">
      <c r="G200" s="1082"/>
      <c r="R200" s="706"/>
    </row>
    <row r="201" spans="7:18" ht="15" customHeight="1">
      <c r="G201" s="1082"/>
      <c r="R201" s="706"/>
    </row>
    <row r="202" spans="7:18" ht="15" customHeight="1">
      <c r="G202" s="1082"/>
      <c r="R202" s="706"/>
    </row>
    <row r="203" spans="7:18" ht="15" customHeight="1">
      <c r="G203" s="1082"/>
      <c r="R203" s="706"/>
    </row>
    <row r="204" spans="7:18" ht="15" customHeight="1">
      <c r="G204" s="1082"/>
      <c r="R204" s="706"/>
    </row>
    <row r="205" spans="7:18" ht="15" customHeight="1">
      <c r="G205" s="1082"/>
      <c r="R205" s="706"/>
    </row>
    <row r="206" spans="7:18" ht="15" customHeight="1">
      <c r="G206" s="1082"/>
      <c r="R206" s="706"/>
    </row>
    <row r="207" spans="7:18" ht="15" customHeight="1">
      <c r="G207" s="1082"/>
      <c r="R207" s="706"/>
    </row>
    <row r="208" spans="7:18" ht="15" customHeight="1">
      <c r="G208" s="1082"/>
      <c r="R208" s="706"/>
    </row>
    <row r="209" spans="7:18" ht="15" customHeight="1">
      <c r="G209" s="1082"/>
      <c r="R209" s="706"/>
    </row>
    <row r="210" spans="7:18" ht="15" customHeight="1">
      <c r="G210" s="1082"/>
      <c r="R210" s="706"/>
    </row>
    <row r="211" spans="7:18" ht="15" customHeight="1">
      <c r="G211" s="1082"/>
      <c r="R211" s="706"/>
    </row>
    <row r="212" spans="7:18" ht="15" customHeight="1">
      <c r="G212" s="1082"/>
      <c r="R212" s="706"/>
    </row>
    <row r="213" spans="7:18" ht="15" customHeight="1">
      <c r="G213" s="1082"/>
      <c r="R213" s="706"/>
    </row>
    <row r="214" spans="7:18" ht="15" customHeight="1">
      <c r="G214" s="1082"/>
      <c r="R214" s="706"/>
    </row>
    <row r="215" spans="7:18" ht="15" customHeight="1">
      <c r="G215" s="1082"/>
      <c r="R215" s="706"/>
    </row>
    <row r="216" spans="7:18" ht="15" customHeight="1">
      <c r="G216" s="1082"/>
      <c r="R216" s="706"/>
    </row>
    <row r="217" spans="7:18" ht="15" customHeight="1">
      <c r="G217" s="1082"/>
      <c r="R217" s="706"/>
    </row>
    <row r="218" spans="7:18" ht="15" customHeight="1">
      <c r="G218" s="1082"/>
      <c r="R218" s="706"/>
    </row>
    <row r="219" spans="7:18" ht="15" customHeight="1">
      <c r="G219" s="1082"/>
      <c r="R219" s="706"/>
    </row>
    <row r="220" spans="7:18" ht="15" customHeight="1">
      <c r="G220" s="1082"/>
      <c r="R220" s="706"/>
    </row>
    <row r="221" spans="7:18" ht="15" customHeight="1">
      <c r="G221" s="1082"/>
      <c r="R221" s="706"/>
    </row>
    <row r="222" spans="7:18" ht="15" customHeight="1">
      <c r="G222" s="1082"/>
      <c r="R222" s="706"/>
    </row>
    <row r="223" spans="7:18" ht="15" customHeight="1">
      <c r="G223" s="1082"/>
      <c r="R223" s="706"/>
    </row>
    <row r="224" spans="7:18" ht="15" customHeight="1">
      <c r="G224" s="1082"/>
      <c r="R224" s="706"/>
    </row>
    <row r="225" spans="7:18" ht="15" customHeight="1">
      <c r="G225" s="1082"/>
      <c r="R225" s="706"/>
    </row>
    <row r="226" spans="7:18" ht="15" customHeight="1">
      <c r="G226" s="1082"/>
      <c r="R226" s="706"/>
    </row>
    <row r="227" spans="7:18" ht="15" customHeight="1">
      <c r="G227" s="1082"/>
      <c r="R227" s="706"/>
    </row>
    <row r="228" spans="7:18" ht="15" customHeight="1">
      <c r="G228" s="1082"/>
      <c r="R228" s="706"/>
    </row>
    <row r="229" spans="7:18" ht="15" customHeight="1">
      <c r="G229" s="1082"/>
      <c r="R229" s="706"/>
    </row>
    <row r="230" spans="7:18" ht="15" customHeight="1">
      <c r="G230" s="1082"/>
      <c r="R230" s="706"/>
    </row>
    <row r="231" spans="7:18" ht="15" customHeight="1">
      <c r="G231" s="1082"/>
      <c r="R231" s="706"/>
    </row>
    <row r="232" spans="7:18" ht="15" customHeight="1">
      <c r="G232" s="1082"/>
      <c r="R232" s="706"/>
    </row>
    <row r="233" spans="7:18" ht="15" customHeight="1">
      <c r="G233" s="1082"/>
      <c r="R233" s="706"/>
    </row>
    <row r="234" spans="7:18" ht="15" customHeight="1">
      <c r="G234" s="1082"/>
      <c r="R234" s="706"/>
    </row>
    <row r="235" spans="7:18" ht="15" customHeight="1">
      <c r="G235" s="1082"/>
      <c r="R235" s="706"/>
    </row>
    <row r="236" spans="7:18" ht="15" customHeight="1">
      <c r="G236" s="1082"/>
      <c r="R236" s="706"/>
    </row>
    <row r="237" spans="7:18" ht="15" customHeight="1">
      <c r="G237" s="1082"/>
      <c r="R237" s="706"/>
    </row>
    <row r="238" spans="7:18" ht="15" customHeight="1">
      <c r="G238" s="1082"/>
      <c r="R238" s="706"/>
    </row>
    <row r="239" spans="7:18" ht="15" customHeight="1">
      <c r="G239" s="1082"/>
      <c r="R239" s="706"/>
    </row>
    <row r="240" spans="7:18" ht="15" customHeight="1">
      <c r="G240" s="1082"/>
      <c r="R240" s="706"/>
    </row>
    <row r="241" spans="7:18" ht="15" customHeight="1">
      <c r="G241" s="1082"/>
      <c r="R241" s="706"/>
    </row>
    <row r="242" spans="7:18" ht="15" customHeight="1">
      <c r="G242" s="1082"/>
      <c r="R242" s="706"/>
    </row>
    <row r="243" spans="7:18" ht="15" customHeight="1">
      <c r="G243" s="1082"/>
      <c r="R243" s="706"/>
    </row>
    <row r="244" spans="7:18" ht="15" customHeight="1">
      <c r="G244" s="1082"/>
      <c r="R244" s="706"/>
    </row>
    <row r="245" spans="7:18" ht="15" customHeight="1">
      <c r="G245" s="1082"/>
      <c r="R245" s="706"/>
    </row>
    <row r="246" spans="7:18" ht="15" customHeight="1">
      <c r="G246" s="1082"/>
      <c r="R246" s="706"/>
    </row>
    <row r="247" spans="7:18" ht="15" customHeight="1">
      <c r="G247" s="1082"/>
      <c r="R247" s="706"/>
    </row>
    <row r="248" spans="7:18" ht="15" customHeight="1">
      <c r="G248" s="1082"/>
      <c r="R248" s="706"/>
    </row>
    <row r="249" spans="7:18" ht="15" customHeight="1">
      <c r="G249" s="1082"/>
      <c r="R249" s="706"/>
    </row>
    <row r="250" spans="7:18" ht="15" customHeight="1">
      <c r="G250" s="1082"/>
      <c r="R250" s="706"/>
    </row>
    <row r="251" spans="7:18" ht="15" customHeight="1">
      <c r="G251" s="1082"/>
      <c r="R251" s="706"/>
    </row>
    <row r="252" spans="7:18" ht="15" customHeight="1">
      <c r="G252" s="1082"/>
      <c r="R252" s="706"/>
    </row>
    <row r="253" spans="7:18" ht="15" customHeight="1">
      <c r="G253" s="1082"/>
      <c r="R253" s="706"/>
    </row>
    <row r="254" spans="7:18" ht="15" customHeight="1">
      <c r="G254" s="1082"/>
      <c r="R254" s="706"/>
    </row>
    <row r="255" spans="7:18" ht="15" customHeight="1">
      <c r="G255" s="1082"/>
      <c r="R255" s="706"/>
    </row>
    <row r="256" spans="7:18" ht="15" customHeight="1">
      <c r="G256" s="1082"/>
      <c r="R256" s="706"/>
    </row>
    <row r="257" spans="7:18" ht="15" customHeight="1">
      <c r="G257" s="1082"/>
      <c r="R257" s="706"/>
    </row>
    <row r="258" spans="7:18" ht="15" customHeight="1">
      <c r="G258" s="1082"/>
      <c r="R258" s="706"/>
    </row>
    <row r="259" spans="7:18" ht="15" customHeight="1">
      <c r="G259" s="1082"/>
      <c r="R259" s="706"/>
    </row>
    <row r="260" spans="7:18" ht="15" customHeight="1">
      <c r="G260" s="1082"/>
      <c r="R260" s="706"/>
    </row>
    <row r="261" spans="7:18" ht="15" customHeight="1">
      <c r="G261" s="1082"/>
      <c r="R261" s="706"/>
    </row>
    <row r="262" spans="7:18" ht="15" customHeight="1">
      <c r="G262" s="1082"/>
      <c r="R262" s="706"/>
    </row>
    <row r="263" spans="7:18" ht="15" customHeight="1">
      <c r="G263" s="1082"/>
      <c r="R263" s="706"/>
    </row>
    <row r="264" spans="7:18" ht="15" customHeight="1">
      <c r="G264" s="1082"/>
      <c r="R264" s="706"/>
    </row>
    <row r="265" spans="7:18" ht="15" customHeight="1">
      <c r="G265" s="1082"/>
      <c r="R265" s="706"/>
    </row>
    <row r="266" spans="7:18" ht="15" customHeight="1">
      <c r="G266" s="1082"/>
      <c r="R266" s="706"/>
    </row>
    <row r="267" spans="7:18" ht="15" customHeight="1">
      <c r="G267" s="1082"/>
      <c r="R267" s="706"/>
    </row>
    <row r="268" spans="7:18" ht="15" customHeight="1">
      <c r="G268" s="1082"/>
      <c r="R268" s="706"/>
    </row>
    <row r="269" spans="7:18" ht="15" customHeight="1">
      <c r="G269" s="1082"/>
      <c r="R269" s="706"/>
    </row>
    <row r="270" spans="7:18" ht="15" customHeight="1">
      <c r="G270" s="1082"/>
      <c r="R270" s="706"/>
    </row>
    <row r="271" spans="7:18" ht="15" customHeight="1">
      <c r="G271" s="1082"/>
      <c r="R271" s="706"/>
    </row>
    <row r="272" spans="7:18" ht="15" customHeight="1">
      <c r="G272" s="1082"/>
      <c r="R272" s="706"/>
    </row>
    <row r="273" spans="7:18" ht="15" customHeight="1">
      <c r="G273" s="1082"/>
      <c r="R273" s="706"/>
    </row>
    <row r="274" spans="7:18" ht="15" customHeight="1">
      <c r="G274" s="1082"/>
      <c r="R274" s="706"/>
    </row>
    <row r="275" spans="7:18" ht="15" customHeight="1">
      <c r="G275" s="1082"/>
      <c r="R275" s="706"/>
    </row>
    <row r="276" spans="7:18" ht="15" customHeight="1">
      <c r="G276" s="1082"/>
      <c r="R276" s="706"/>
    </row>
    <row r="277" spans="7:18" ht="15" customHeight="1">
      <c r="G277" s="1082"/>
      <c r="R277" s="706"/>
    </row>
    <row r="278" spans="7:18" ht="15" customHeight="1">
      <c r="G278" s="1082"/>
      <c r="R278" s="706"/>
    </row>
    <row r="279" spans="7:18" ht="15" customHeight="1">
      <c r="G279" s="1082"/>
      <c r="R279" s="706"/>
    </row>
    <row r="280" spans="7:18" ht="15" customHeight="1">
      <c r="G280" s="1082"/>
      <c r="R280" s="706"/>
    </row>
    <row r="281" spans="7:18" ht="15" customHeight="1">
      <c r="G281" s="1082"/>
      <c r="R281" s="706"/>
    </row>
    <row r="282" spans="7:18" ht="15" customHeight="1">
      <c r="G282" s="1082"/>
      <c r="R282" s="706"/>
    </row>
    <row r="283" spans="7:18" ht="15" customHeight="1">
      <c r="G283" s="1082"/>
      <c r="R283" s="706"/>
    </row>
    <row r="284" spans="7:18" ht="15" customHeight="1">
      <c r="G284" s="1082"/>
      <c r="R284" s="706"/>
    </row>
    <row r="285" spans="7:18" ht="15" customHeight="1">
      <c r="G285" s="1082"/>
      <c r="R285" s="706"/>
    </row>
    <row r="286" spans="7:18" ht="15" customHeight="1">
      <c r="G286" s="1082"/>
      <c r="R286" s="706"/>
    </row>
    <row r="287" spans="7:18" ht="15" customHeight="1">
      <c r="G287" s="1082"/>
      <c r="R287" s="706"/>
    </row>
    <row r="288" spans="7:18" ht="15" customHeight="1">
      <c r="G288" s="1082"/>
      <c r="R288" s="706"/>
    </row>
    <row r="289" spans="7:18" ht="15" customHeight="1">
      <c r="G289" s="1082"/>
      <c r="R289" s="706"/>
    </row>
    <row r="290" spans="7:18" ht="15" customHeight="1">
      <c r="G290" s="1082"/>
      <c r="R290" s="706"/>
    </row>
    <row r="291" spans="7:18" ht="15" customHeight="1">
      <c r="G291" s="1082"/>
      <c r="R291" s="706"/>
    </row>
    <row r="292" spans="7:18" ht="15" customHeight="1">
      <c r="G292" s="1082"/>
      <c r="R292" s="706"/>
    </row>
    <row r="293" spans="7:18" ht="15" customHeight="1">
      <c r="G293" s="1082"/>
      <c r="R293" s="706"/>
    </row>
    <row r="294" spans="7:18" ht="15" customHeight="1">
      <c r="G294" s="1082"/>
      <c r="R294" s="706"/>
    </row>
    <row r="295" spans="7:18" ht="15" customHeight="1">
      <c r="G295" s="1082"/>
      <c r="R295" s="706"/>
    </row>
    <row r="296" spans="7:18" ht="15" customHeight="1">
      <c r="G296" s="1082"/>
      <c r="R296" s="706"/>
    </row>
    <row r="297" spans="7:18" ht="15" customHeight="1">
      <c r="G297" s="1082"/>
      <c r="R297" s="706"/>
    </row>
    <row r="298" spans="7:18" ht="15" customHeight="1">
      <c r="G298" s="1082"/>
      <c r="R298" s="706"/>
    </row>
    <row r="299" spans="7:18" ht="15" customHeight="1">
      <c r="G299" s="1082"/>
      <c r="R299" s="706"/>
    </row>
    <row r="300" spans="7:18" ht="15" customHeight="1">
      <c r="G300" s="1082"/>
      <c r="R300" s="706"/>
    </row>
    <row r="301" spans="7:18" ht="15" customHeight="1">
      <c r="G301" s="1082"/>
      <c r="R301" s="706"/>
    </row>
    <row r="302" spans="7:18" ht="15" customHeight="1">
      <c r="G302" s="1082"/>
      <c r="R302" s="706"/>
    </row>
    <row r="303" spans="7:18" ht="15" customHeight="1">
      <c r="G303" s="1082"/>
      <c r="R303" s="706"/>
    </row>
    <row r="304" spans="7:18" ht="15" customHeight="1">
      <c r="G304" s="1082"/>
      <c r="R304" s="706"/>
    </row>
    <row r="305" spans="7:18" ht="15" customHeight="1">
      <c r="G305" s="1082"/>
      <c r="R305" s="706"/>
    </row>
    <row r="306" spans="7:18" ht="15" customHeight="1">
      <c r="G306" s="1082"/>
      <c r="R306" s="706"/>
    </row>
    <row r="307" spans="7:18" ht="15" customHeight="1">
      <c r="G307" s="1082"/>
      <c r="R307" s="706"/>
    </row>
    <row r="308" spans="7:18" ht="15" customHeight="1">
      <c r="G308" s="1082"/>
      <c r="R308" s="706"/>
    </row>
    <row r="309" spans="7:18" ht="15" customHeight="1">
      <c r="G309" s="1082"/>
      <c r="R309" s="706"/>
    </row>
    <row r="310" spans="7:18" ht="15" customHeight="1">
      <c r="G310" s="1082"/>
      <c r="R310" s="706"/>
    </row>
    <row r="311" spans="7:18" ht="15" customHeight="1">
      <c r="G311" s="1082"/>
      <c r="R311" s="706"/>
    </row>
    <row r="312" spans="7:18" ht="15" customHeight="1">
      <c r="G312" s="1082"/>
      <c r="R312" s="706"/>
    </row>
    <row r="313" spans="7:18" ht="15" customHeight="1">
      <c r="G313" s="1082"/>
      <c r="R313" s="706"/>
    </row>
    <row r="314" spans="7:18" ht="15" customHeight="1">
      <c r="G314" s="1082"/>
      <c r="R314" s="706"/>
    </row>
    <row r="315" spans="7:18" ht="15" customHeight="1">
      <c r="G315" s="1082"/>
      <c r="R315" s="706"/>
    </row>
    <row r="316" spans="7:18" ht="15" customHeight="1">
      <c r="G316" s="1082"/>
      <c r="R316" s="706"/>
    </row>
    <row r="317" spans="7:18" ht="15" customHeight="1">
      <c r="G317" s="1082"/>
      <c r="R317" s="706"/>
    </row>
    <row r="318" spans="7:18" ht="15" customHeight="1">
      <c r="G318" s="1082"/>
      <c r="R318" s="706"/>
    </row>
    <row r="319" spans="7:18" ht="15" customHeight="1">
      <c r="G319" s="1082"/>
      <c r="R319" s="706"/>
    </row>
    <row r="320" spans="7:18" ht="15" customHeight="1">
      <c r="G320" s="1082"/>
      <c r="R320" s="706"/>
    </row>
    <row r="321" spans="7:18" ht="15" customHeight="1">
      <c r="G321" s="1082"/>
      <c r="R321" s="706"/>
    </row>
    <row r="322" spans="7:18" ht="15" customHeight="1">
      <c r="G322" s="1082"/>
      <c r="R322" s="706"/>
    </row>
    <row r="323" spans="7:18" ht="15" customHeight="1">
      <c r="G323" s="1082"/>
      <c r="R323" s="706"/>
    </row>
    <row r="324" spans="7:18" ht="15" customHeight="1">
      <c r="G324" s="1082"/>
      <c r="R324" s="706"/>
    </row>
    <row r="325" spans="7:18" ht="15" customHeight="1">
      <c r="G325" s="1082"/>
      <c r="R325" s="706"/>
    </row>
    <row r="326" spans="7:18" ht="15" customHeight="1">
      <c r="G326" s="1082"/>
      <c r="R326" s="706"/>
    </row>
    <row r="327" spans="7:18" ht="15" customHeight="1">
      <c r="G327" s="1082"/>
      <c r="R327" s="706"/>
    </row>
    <row r="328" spans="7:18" ht="15" customHeight="1">
      <c r="G328" s="1082"/>
      <c r="R328" s="706"/>
    </row>
    <row r="329" spans="7:18" ht="15" customHeight="1">
      <c r="G329" s="1082"/>
      <c r="R329" s="706"/>
    </row>
    <row r="330" spans="7:18" ht="15" customHeight="1">
      <c r="G330" s="1082"/>
      <c r="R330" s="706"/>
    </row>
    <row r="331" spans="7:18" ht="15" customHeight="1">
      <c r="G331" s="1082"/>
      <c r="R331" s="706"/>
    </row>
    <row r="332" spans="7:18" ht="15" customHeight="1">
      <c r="G332" s="1082"/>
      <c r="R332" s="706"/>
    </row>
    <row r="333" spans="7:18" ht="15" customHeight="1">
      <c r="G333" s="1082"/>
      <c r="R333" s="706"/>
    </row>
    <row r="334" spans="7:18" ht="15" customHeight="1">
      <c r="G334" s="1082"/>
      <c r="R334" s="706"/>
    </row>
    <row r="335" spans="7:18" ht="15" customHeight="1">
      <c r="G335" s="1082"/>
      <c r="R335" s="706"/>
    </row>
    <row r="336" spans="7:18" ht="15" customHeight="1">
      <c r="G336" s="1082"/>
      <c r="R336" s="706"/>
    </row>
    <row r="337" spans="7:18" ht="15" customHeight="1">
      <c r="G337" s="1082"/>
      <c r="R337" s="706"/>
    </row>
    <row r="338" spans="7:18" ht="15" customHeight="1">
      <c r="G338" s="1082"/>
      <c r="R338" s="706"/>
    </row>
    <row r="339" spans="7:18" ht="15" customHeight="1">
      <c r="G339" s="1082"/>
      <c r="R339" s="706"/>
    </row>
    <row r="340" spans="7:18" ht="15" customHeight="1">
      <c r="G340" s="1082"/>
      <c r="R340" s="706"/>
    </row>
    <row r="341" spans="7:18" ht="15" customHeight="1">
      <c r="G341" s="1082"/>
      <c r="R341" s="706"/>
    </row>
    <row r="342" spans="7:18" ht="15" customHeight="1">
      <c r="G342" s="1082"/>
      <c r="R342" s="706"/>
    </row>
    <row r="343" spans="7:18" ht="15" customHeight="1">
      <c r="G343" s="1082"/>
      <c r="R343" s="706"/>
    </row>
    <row r="344" spans="7:18" ht="15" customHeight="1">
      <c r="G344" s="1082"/>
      <c r="R344" s="706"/>
    </row>
    <row r="345" spans="7:18" ht="15" customHeight="1">
      <c r="G345" s="1082"/>
      <c r="R345" s="706"/>
    </row>
    <row r="346" spans="7:18" ht="15" customHeight="1">
      <c r="G346" s="1082"/>
      <c r="R346" s="706"/>
    </row>
    <row r="347" spans="7:18" ht="15" customHeight="1">
      <c r="G347" s="1082"/>
      <c r="R347" s="706"/>
    </row>
    <row r="348" spans="7:18" ht="15" customHeight="1">
      <c r="G348" s="1082"/>
      <c r="R348" s="706"/>
    </row>
    <row r="349" spans="7:18" ht="15" customHeight="1">
      <c r="G349" s="1082"/>
      <c r="R349" s="706"/>
    </row>
    <row r="350" spans="7:18" ht="15" customHeight="1">
      <c r="G350" s="1082"/>
      <c r="R350" s="706"/>
    </row>
    <row r="351" spans="7:18" ht="15" customHeight="1">
      <c r="G351" s="1082"/>
      <c r="R351" s="706"/>
    </row>
    <row r="352" spans="7:18" ht="15" customHeight="1">
      <c r="G352" s="1082"/>
      <c r="R352" s="706"/>
    </row>
    <row r="353" spans="7:18" ht="15" customHeight="1">
      <c r="G353" s="1082"/>
      <c r="R353" s="706"/>
    </row>
    <row r="354" spans="7:18" ht="15" customHeight="1">
      <c r="G354" s="1082"/>
      <c r="R354" s="706"/>
    </row>
    <row r="355" spans="7:18" ht="15" customHeight="1">
      <c r="G355" s="1082"/>
      <c r="R355" s="706"/>
    </row>
    <row r="356" spans="7:18" ht="15" customHeight="1">
      <c r="G356" s="1082"/>
      <c r="R356" s="706"/>
    </row>
    <row r="357" spans="7:18" ht="15" customHeight="1">
      <c r="G357" s="1082"/>
      <c r="R357" s="706"/>
    </row>
    <row r="358" spans="7:18" ht="15" customHeight="1">
      <c r="G358" s="1082"/>
      <c r="R358" s="706"/>
    </row>
    <row r="359" spans="7:18" ht="15" customHeight="1">
      <c r="G359" s="1082"/>
      <c r="R359" s="706"/>
    </row>
    <row r="360" spans="7:18" ht="15" customHeight="1">
      <c r="G360" s="1082"/>
      <c r="R360" s="706"/>
    </row>
    <row r="361" spans="7:18" ht="15" customHeight="1">
      <c r="G361" s="1082"/>
      <c r="R361" s="706"/>
    </row>
    <row r="362" spans="7:18" ht="15" customHeight="1">
      <c r="G362" s="1082"/>
      <c r="R362" s="706"/>
    </row>
    <row r="363" spans="7:18" ht="15" customHeight="1">
      <c r="G363" s="1082"/>
      <c r="R363" s="706"/>
    </row>
    <row r="364" spans="7:18" ht="15" customHeight="1">
      <c r="G364" s="1082"/>
      <c r="R364" s="706"/>
    </row>
    <row r="365" spans="7:18" ht="15" customHeight="1">
      <c r="G365" s="1082"/>
      <c r="R365" s="706"/>
    </row>
    <row r="366" spans="7:18" ht="15" customHeight="1">
      <c r="G366" s="1082"/>
      <c r="R366" s="706"/>
    </row>
    <row r="367" spans="7:18" ht="15" customHeight="1">
      <c r="G367" s="1082"/>
      <c r="R367" s="706"/>
    </row>
    <row r="368" spans="7:18" ht="15" customHeight="1">
      <c r="G368" s="1082"/>
      <c r="R368" s="706"/>
    </row>
    <row r="369" spans="7:18" ht="15" customHeight="1">
      <c r="G369" s="1082"/>
      <c r="R369" s="706"/>
    </row>
    <row r="370" spans="7:18" ht="15" customHeight="1">
      <c r="G370" s="1082"/>
      <c r="R370" s="706"/>
    </row>
    <row r="371" spans="7:18" ht="15" customHeight="1">
      <c r="G371" s="1082"/>
      <c r="R371" s="706"/>
    </row>
    <row r="372" spans="7:18" ht="15" customHeight="1">
      <c r="G372" s="1082"/>
      <c r="R372" s="706"/>
    </row>
    <row r="373" spans="7:18" ht="15" customHeight="1">
      <c r="G373" s="1082"/>
      <c r="R373" s="706"/>
    </row>
    <row r="374" spans="7:18" ht="15" customHeight="1">
      <c r="G374" s="1082"/>
      <c r="R374" s="706"/>
    </row>
    <row r="375" spans="7:18" ht="15" customHeight="1">
      <c r="G375" s="1082"/>
      <c r="R375" s="706"/>
    </row>
    <row r="376" spans="7:18" ht="15" customHeight="1">
      <c r="G376" s="1082"/>
      <c r="R376" s="706"/>
    </row>
    <row r="377" spans="7:18" ht="15" customHeight="1">
      <c r="G377" s="1082"/>
      <c r="R377" s="706"/>
    </row>
    <row r="378" spans="7:18" ht="15" customHeight="1">
      <c r="G378" s="1082"/>
      <c r="R378" s="706"/>
    </row>
    <row r="379" spans="7:18" ht="15" customHeight="1">
      <c r="G379" s="1082"/>
      <c r="R379" s="706"/>
    </row>
    <row r="380" spans="7:18" ht="15" customHeight="1">
      <c r="G380" s="1082"/>
      <c r="R380" s="706"/>
    </row>
    <row r="381" spans="7:18" ht="15" customHeight="1">
      <c r="G381" s="1082"/>
      <c r="R381" s="706"/>
    </row>
    <row r="382" spans="7:18" ht="15" customHeight="1">
      <c r="G382" s="1082"/>
      <c r="R382" s="706"/>
    </row>
    <row r="383" spans="7:18" ht="15" customHeight="1">
      <c r="G383" s="1082"/>
      <c r="R383" s="706"/>
    </row>
    <row r="384" spans="7:18" ht="15" customHeight="1">
      <c r="G384" s="1082"/>
      <c r="R384" s="706"/>
    </row>
    <row r="385" spans="7:18" ht="15" customHeight="1">
      <c r="G385" s="1082"/>
      <c r="R385" s="706"/>
    </row>
    <row r="386" spans="7:18" ht="15" customHeight="1">
      <c r="G386" s="1082"/>
      <c r="R386" s="706"/>
    </row>
    <row r="387" spans="7:18" ht="15" customHeight="1">
      <c r="G387" s="1082"/>
      <c r="R387" s="706"/>
    </row>
    <row r="388" spans="7:18" ht="15" customHeight="1">
      <c r="G388" s="1082"/>
      <c r="R388" s="706"/>
    </row>
    <row r="389" spans="7:18" ht="15" customHeight="1">
      <c r="G389" s="1082"/>
      <c r="R389" s="706"/>
    </row>
    <row r="390" spans="7:18" ht="15" customHeight="1">
      <c r="G390" s="1082"/>
      <c r="R390" s="706"/>
    </row>
    <row r="391" spans="7:18" ht="15" customHeight="1">
      <c r="G391" s="1082"/>
      <c r="R391" s="706"/>
    </row>
    <row r="392" spans="7:18" ht="15" customHeight="1">
      <c r="G392" s="1082"/>
      <c r="R392" s="706"/>
    </row>
    <row r="393" spans="7:18" ht="15" customHeight="1">
      <c r="G393" s="1082"/>
      <c r="R393" s="706"/>
    </row>
    <row r="394" spans="7:18" ht="15" customHeight="1">
      <c r="G394" s="1082"/>
      <c r="R394" s="706"/>
    </row>
    <row r="395" spans="7:18" ht="15" customHeight="1">
      <c r="G395" s="1082"/>
      <c r="R395" s="706"/>
    </row>
    <row r="396" spans="7:18" ht="15" customHeight="1">
      <c r="G396" s="1082"/>
      <c r="R396" s="706"/>
    </row>
    <row r="397" spans="7:18" ht="15" customHeight="1">
      <c r="G397" s="1082"/>
      <c r="R397" s="706"/>
    </row>
    <row r="398" spans="7:18" ht="15" customHeight="1">
      <c r="G398" s="1082"/>
      <c r="R398" s="706"/>
    </row>
    <row r="399" spans="7:18" ht="15" customHeight="1">
      <c r="G399" s="1082"/>
      <c r="R399" s="706"/>
    </row>
    <row r="400" spans="7:18" ht="15" customHeight="1">
      <c r="G400" s="1082"/>
      <c r="R400" s="706"/>
    </row>
    <row r="401" spans="7:18" ht="15" customHeight="1">
      <c r="G401" s="1082"/>
      <c r="R401" s="706"/>
    </row>
    <row r="402" spans="7:18" ht="15" customHeight="1">
      <c r="G402" s="1082"/>
      <c r="R402" s="706"/>
    </row>
    <row r="403" spans="7:18" ht="15" customHeight="1">
      <c r="G403" s="1082"/>
      <c r="R403" s="706"/>
    </row>
    <row r="404" spans="7:18" ht="15" customHeight="1">
      <c r="G404" s="1082"/>
      <c r="R404" s="706"/>
    </row>
    <row r="405" spans="7:18" ht="15" customHeight="1">
      <c r="G405" s="1082"/>
      <c r="R405" s="706"/>
    </row>
    <row r="406" spans="7:18" ht="15" customHeight="1">
      <c r="G406" s="1082"/>
      <c r="R406" s="706"/>
    </row>
    <row r="407" spans="7:18" ht="15" customHeight="1">
      <c r="G407" s="1082"/>
      <c r="R407" s="706"/>
    </row>
    <row r="408" spans="7:18" ht="15" customHeight="1">
      <c r="G408" s="1082"/>
      <c r="R408" s="706"/>
    </row>
    <row r="409" spans="7:18" ht="15" customHeight="1">
      <c r="G409" s="1082"/>
      <c r="R409" s="706"/>
    </row>
    <row r="410" spans="7:18" ht="15" customHeight="1">
      <c r="G410" s="1082"/>
      <c r="R410" s="706"/>
    </row>
    <row r="411" spans="7:18" ht="15" customHeight="1">
      <c r="G411" s="1082"/>
      <c r="R411" s="706"/>
    </row>
    <row r="412" spans="7:18" ht="15" customHeight="1">
      <c r="G412" s="1082"/>
      <c r="R412" s="706"/>
    </row>
    <row r="413" spans="7:18" ht="15" customHeight="1">
      <c r="G413" s="1082"/>
      <c r="R413" s="706"/>
    </row>
    <row r="414" spans="7:18" ht="15" customHeight="1">
      <c r="G414" s="1082"/>
      <c r="R414" s="706"/>
    </row>
    <row r="415" spans="7:18" ht="15" customHeight="1">
      <c r="G415" s="1082"/>
      <c r="R415" s="706"/>
    </row>
    <row r="416" spans="7:18" ht="15" customHeight="1">
      <c r="G416" s="1082"/>
      <c r="R416" s="706"/>
    </row>
    <row r="417" spans="7:18" ht="15" customHeight="1">
      <c r="G417" s="1082"/>
      <c r="R417" s="706"/>
    </row>
    <row r="418" spans="7:18" ht="15" customHeight="1">
      <c r="G418" s="1082"/>
      <c r="R418" s="706"/>
    </row>
    <row r="419" spans="7:18" ht="15" customHeight="1">
      <c r="G419" s="1082"/>
      <c r="R419" s="706"/>
    </row>
    <row r="420" spans="7:18" ht="15" customHeight="1">
      <c r="G420" s="1082"/>
      <c r="R420" s="706"/>
    </row>
    <row r="421" spans="7:18" ht="15" customHeight="1">
      <c r="G421" s="1082"/>
      <c r="R421" s="706"/>
    </row>
    <row r="422" spans="7:18" ht="15" customHeight="1">
      <c r="G422" s="1082"/>
      <c r="R422" s="706"/>
    </row>
    <row r="423" spans="7:18" ht="15" customHeight="1">
      <c r="G423" s="1082"/>
      <c r="R423" s="706"/>
    </row>
    <row r="424" spans="7:18" ht="15" customHeight="1">
      <c r="G424" s="1082"/>
      <c r="R424" s="706"/>
    </row>
    <row r="425" spans="7:18" ht="15" customHeight="1">
      <c r="G425" s="1082"/>
      <c r="R425" s="706"/>
    </row>
    <row r="426" spans="7:18" ht="15" customHeight="1">
      <c r="G426" s="1082"/>
      <c r="R426" s="706"/>
    </row>
    <row r="427" spans="7:18" ht="15" customHeight="1">
      <c r="G427" s="1082"/>
      <c r="R427" s="706"/>
    </row>
    <row r="428" spans="7:18" ht="15" customHeight="1">
      <c r="G428" s="1082"/>
      <c r="R428" s="706"/>
    </row>
    <row r="429" spans="7:18" ht="15" customHeight="1">
      <c r="G429" s="1082"/>
      <c r="R429" s="706"/>
    </row>
    <row r="430" spans="7:18" ht="15" customHeight="1">
      <c r="G430" s="1082"/>
      <c r="R430" s="706"/>
    </row>
    <row r="431" spans="7:18" ht="15" customHeight="1">
      <c r="G431" s="1082"/>
      <c r="R431" s="706"/>
    </row>
    <row r="432" spans="7:18" ht="15" customHeight="1">
      <c r="G432" s="1082"/>
      <c r="R432" s="706"/>
    </row>
    <row r="433" spans="7:18" ht="15" customHeight="1">
      <c r="G433" s="1082"/>
      <c r="R433" s="706"/>
    </row>
    <row r="434" spans="7:18" ht="15" customHeight="1">
      <c r="G434" s="1082"/>
      <c r="R434" s="706"/>
    </row>
    <row r="435" spans="7:18" ht="15" customHeight="1">
      <c r="G435" s="1082"/>
      <c r="R435" s="706"/>
    </row>
    <row r="436" spans="7:18" ht="15" customHeight="1">
      <c r="G436" s="1082"/>
      <c r="R436" s="706"/>
    </row>
    <row r="437" spans="7:18" ht="15" customHeight="1">
      <c r="G437" s="1082"/>
      <c r="R437" s="706"/>
    </row>
    <row r="438" spans="7:18" ht="15" customHeight="1">
      <c r="G438" s="1082"/>
      <c r="R438" s="706"/>
    </row>
    <row r="439" spans="7:18" ht="15" customHeight="1">
      <c r="G439" s="1082"/>
      <c r="R439" s="706"/>
    </row>
    <row r="440" spans="7:18" ht="15" customHeight="1">
      <c r="G440" s="1082"/>
      <c r="R440" s="706"/>
    </row>
    <row r="441" spans="7:18" ht="15" customHeight="1">
      <c r="G441" s="1082"/>
      <c r="R441" s="706"/>
    </row>
    <row r="442" spans="7:18" ht="15" customHeight="1">
      <c r="G442" s="1082"/>
      <c r="R442" s="706"/>
    </row>
    <row r="443" spans="7:18" ht="15" customHeight="1">
      <c r="G443" s="1082"/>
      <c r="R443" s="706"/>
    </row>
    <row r="444" spans="7:18" ht="15" customHeight="1">
      <c r="G444" s="1082"/>
      <c r="R444" s="706"/>
    </row>
    <row r="445" spans="7:18" ht="15" customHeight="1">
      <c r="G445" s="1082"/>
      <c r="R445" s="706"/>
    </row>
    <row r="446" spans="7:18" ht="15" customHeight="1">
      <c r="G446" s="1082"/>
      <c r="R446" s="706"/>
    </row>
    <row r="447" spans="7:18" ht="15" customHeight="1">
      <c r="G447" s="1082"/>
      <c r="R447" s="706"/>
    </row>
    <row r="448" spans="7:18" ht="15" customHeight="1">
      <c r="G448" s="1082"/>
      <c r="R448" s="706"/>
    </row>
    <row r="449" spans="7:18" ht="15" customHeight="1">
      <c r="G449" s="1082"/>
      <c r="R449" s="706"/>
    </row>
    <row r="450" spans="7:18" ht="15" customHeight="1">
      <c r="G450" s="1082"/>
      <c r="R450" s="706"/>
    </row>
    <row r="451" spans="7:18" ht="15" customHeight="1">
      <c r="G451" s="1082"/>
      <c r="R451" s="706"/>
    </row>
    <row r="452" spans="7:18" ht="15" customHeight="1">
      <c r="G452" s="1082"/>
      <c r="R452" s="706"/>
    </row>
    <row r="453" spans="7:18" ht="15" customHeight="1">
      <c r="G453" s="1082"/>
      <c r="R453" s="706"/>
    </row>
    <row r="454" spans="7:18" ht="15" customHeight="1">
      <c r="G454" s="1082"/>
      <c r="R454" s="706"/>
    </row>
    <row r="455" spans="7:18" ht="15" customHeight="1">
      <c r="G455" s="1082"/>
      <c r="R455" s="706"/>
    </row>
    <row r="456" spans="7:18" ht="15" customHeight="1">
      <c r="G456" s="1082"/>
      <c r="R456" s="706"/>
    </row>
    <row r="457" spans="7:18" ht="15" customHeight="1">
      <c r="G457" s="1082"/>
      <c r="R457" s="706"/>
    </row>
    <row r="458" spans="7:18" ht="15" customHeight="1">
      <c r="G458" s="1082"/>
      <c r="R458" s="706"/>
    </row>
    <row r="459" spans="7:18" ht="15" customHeight="1">
      <c r="G459" s="1082"/>
      <c r="R459" s="706"/>
    </row>
    <row r="460" spans="7:18" ht="15" customHeight="1">
      <c r="G460" s="1082"/>
      <c r="R460" s="706"/>
    </row>
    <row r="461" spans="7:18" ht="15" customHeight="1">
      <c r="G461" s="1082"/>
      <c r="R461" s="706"/>
    </row>
    <row r="462" spans="7:18" ht="15" customHeight="1">
      <c r="G462" s="1082"/>
      <c r="R462" s="706"/>
    </row>
    <row r="463" spans="7:18" ht="15" customHeight="1">
      <c r="G463" s="1082"/>
      <c r="R463" s="706"/>
    </row>
    <row r="464" spans="7:18" ht="15" customHeight="1">
      <c r="G464" s="1082"/>
      <c r="R464" s="706"/>
    </row>
    <row r="465" spans="7:18" ht="15" customHeight="1">
      <c r="G465" s="1082"/>
      <c r="R465" s="706"/>
    </row>
    <row r="466" spans="7:18" ht="15" customHeight="1">
      <c r="G466" s="1082"/>
      <c r="R466" s="706"/>
    </row>
    <row r="467" spans="7:18" ht="15" customHeight="1">
      <c r="G467" s="1082"/>
      <c r="R467" s="706"/>
    </row>
    <row r="468" spans="7:18" ht="15" customHeight="1">
      <c r="G468" s="1082"/>
      <c r="R468" s="706"/>
    </row>
    <row r="469" spans="7:18" ht="15" customHeight="1">
      <c r="G469" s="1082"/>
      <c r="R469" s="706"/>
    </row>
    <row r="470" spans="7:18" ht="15" customHeight="1">
      <c r="G470" s="1082"/>
      <c r="R470" s="706"/>
    </row>
    <row r="471" spans="7:18" ht="15" customHeight="1">
      <c r="G471" s="1082"/>
      <c r="R471" s="706"/>
    </row>
    <row r="472" spans="7:18" ht="15" customHeight="1">
      <c r="G472" s="1082"/>
      <c r="R472" s="706"/>
    </row>
    <row r="473" spans="7:18" ht="15" customHeight="1">
      <c r="G473" s="1082"/>
      <c r="R473" s="706"/>
    </row>
    <row r="474" spans="7:18" ht="15" customHeight="1">
      <c r="G474" s="1082"/>
      <c r="R474" s="706"/>
    </row>
    <row r="475" spans="7:18" ht="15" customHeight="1">
      <c r="G475" s="1082"/>
      <c r="R475" s="706"/>
    </row>
    <row r="476" spans="7:18" ht="15" customHeight="1">
      <c r="G476" s="1082"/>
      <c r="R476" s="706"/>
    </row>
    <row r="477" spans="7:18" ht="15" customHeight="1">
      <c r="G477" s="1082"/>
      <c r="R477" s="706"/>
    </row>
    <row r="478" spans="7:18" ht="15" customHeight="1">
      <c r="G478" s="1082"/>
      <c r="R478" s="706"/>
    </row>
    <row r="479" spans="7:18" ht="15" customHeight="1">
      <c r="G479" s="1082"/>
      <c r="R479" s="706"/>
    </row>
    <row r="480" spans="7:18" ht="15" customHeight="1">
      <c r="G480" s="1082"/>
      <c r="R480" s="706"/>
    </row>
    <row r="481" spans="7:18" ht="15" customHeight="1">
      <c r="G481" s="1082"/>
      <c r="R481" s="706"/>
    </row>
    <row r="482" spans="7:18" ht="15" customHeight="1">
      <c r="G482" s="1082"/>
      <c r="R482" s="706"/>
    </row>
    <row r="483" spans="7:18" ht="15" customHeight="1">
      <c r="G483" s="1082"/>
      <c r="R483" s="706"/>
    </row>
    <row r="484" spans="7:18" ht="15" customHeight="1">
      <c r="G484" s="1082"/>
      <c r="R484" s="706"/>
    </row>
    <row r="485" spans="7:18" ht="15" customHeight="1">
      <c r="G485" s="1082"/>
      <c r="R485" s="706"/>
    </row>
    <row r="486" spans="7:18" ht="15" customHeight="1">
      <c r="G486" s="1082"/>
      <c r="R486" s="706"/>
    </row>
    <row r="487" spans="7:18" ht="15" customHeight="1">
      <c r="G487" s="1082"/>
      <c r="R487" s="706"/>
    </row>
    <row r="488" spans="7:18" ht="15" customHeight="1">
      <c r="G488" s="1082"/>
      <c r="R488" s="706"/>
    </row>
    <row r="489" spans="7:18" ht="15" customHeight="1">
      <c r="G489" s="1082"/>
      <c r="R489" s="706"/>
    </row>
    <row r="490" spans="7:18" ht="15" customHeight="1">
      <c r="G490" s="1082"/>
      <c r="R490" s="706"/>
    </row>
    <row r="491" spans="7:18" ht="15" customHeight="1">
      <c r="G491" s="1082"/>
      <c r="R491" s="706"/>
    </row>
    <row r="492" spans="7:18" ht="15" customHeight="1">
      <c r="G492" s="1082"/>
      <c r="R492" s="706"/>
    </row>
    <row r="493" spans="7:18" ht="15" customHeight="1">
      <c r="G493" s="1082"/>
      <c r="R493" s="706"/>
    </row>
    <row r="494" spans="7:18" ht="15" customHeight="1">
      <c r="G494" s="1082"/>
      <c r="R494" s="706"/>
    </row>
    <row r="495" spans="7:18" ht="15" customHeight="1">
      <c r="G495" s="1082"/>
      <c r="R495" s="706"/>
    </row>
    <row r="496" spans="7:18" ht="15" customHeight="1">
      <c r="G496" s="1082"/>
      <c r="R496" s="706"/>
    </row>
    <row r="497" spans="7:18" ht="15" customHeight="1">
      <c r="G497" s="1082"/>
      <c r="R497" s="706"/>
    </row>
    <row r="498" spans="7:18" ht="15" customHeight="1">
      <c r="G498" s="1082"/>
      <c r="R498" s="706"/>
    </row>
    <row r="499" spans="7:18" ht="15" customHeight="1">
      <c r="G499" s="1082"/>
      <c r="R499" s="706"/>
    </row>
    <row r="500" spans="7:18" ht="15" customHeight="1">
      <c r="G500" s="1082"/>
      <c r="R500" s="706"/>
    </row>
    <row r="501" spans="7:18" ht="15" customHeight="1">
      <c r="G501" s="1082"/>
      <c r="R501" s="706"/>
    </row>
    <row r="502" spans="7:18" ht="15" customHeight="1">
      <c r="G502" s="1082"/>
      <c r="R502" s="706"/>
    </row>
    <row r="503" spans="7:18" ht="15" customHeight="1">
      <c r="G503" s="1082"/>
      <c r="R503" s="706"/>
    </row>
    <row r="504" spans="7:18" ht="15" customHeight="1">
      <c r="G504" s="1082"/>
      <c r="R504" s="706"/>
    </row>
    <row r="505" spans="7:18" ht="15" customHeight="1">
      <c r="G505" s="1082"/>
      <c r="R505" s="706"/>
    </row>
    <row r="506" spans="7:18" ht="15" customHeight="1">
      <c r="G506" s="1082"/>
      <c r="R506" s="706"/>
    </row>
    <row r="507" spans="7:18" ht="15" customHeight="1">
      <c r="G507" s="1082"/>
      <c r="R507" s="706"/>
    </row>
    <row r="508" spans="7:18" ht="15" customHeight="1">
      <c r="G508" s="1082"/>
      <c r="R508" s="706"/>
    </row>
    <row r="509" spans="7:18" ht="15" customHeight="1">
      <c r="G509" s="1082"/>
      <c r="R509" s="706"/>
    </row>
    <row r="510" spans="7:18" ht="15" customHeight="1">
      <c r="G510" s="1082"/>
      <c r="R510" s="706"/>
    </row>
    <row r="511" spans="7:18" ht="15" customHeight="1">
      <c r="G511" s="1082"/>
      <c r="R511" s="706"/>
    </row>
    <row r="512" spans="7:18" ht="15" customHeight="1">
      <c r="G512" s="1082"/>
      <c r="R512" s="706"/>
    </row>
    <row r="513" spans="7:18" ht="15" customHeight="1">
      <c r="G513" s="1082"/>
      <c r="R513" s="706"/>
    </row>
    <row r="514" spans="7:18" ht="15" customHeight="1">
      <c r="G514" s="1082"/>
      <c r="R514" s="706"/>
    </row>
    <row r="515" spans="7:18" ht="15" customHeight="1">
      <c r="G515" s="1082"/>
      <c r="R515" s="706"/>
    </row>
    <row r="516" spans="7:18" ht="15" customHeight="1">
      <c r="G516" s="1082"/>
      <c r="R516" s="706"/>
    </row>
    <row r="517" spans="7:18" ht="15" customHeight="1">
      <c r="G517" s="1082"/>
      <c r="R517" s="706"/>
    </row>
    <row r="518" spans="7:18" ht="15" customHeight="1">
      <c r="G518" s="1082"/>
      <c r="R518" s="706"/>
    </row>
    <row r="519" spans="7:18" ht="15" customHeight="1">
      <c r="G519" s="1082"/>
      <c r="R519" s="706"/>
    </row>
    <row r="520" spans="7:18" ht="15" customHeight="1">
      <c r="G520" s="1082"/>
      <c r="R520" s="706"/>
    </row>
    <row r="521" spans="7:18" ht="15" customHeight="1">
      <c r="G521" s="1082"/>
      <c r="R521" s="706"/>
    </row>
    <row r="522" spans="7:18" ht="15" customHeight="1">
      <c r="G522" s="1082"/>
      <c r="R522" s="706"/>
    </row>
    <row r="523" spans="7:18" ht="15" customHeight="1">
      <c r="G523" s="1082"/>
      <c r="R523" s="706"/>
    </row>
    <row r="524" spans="7:18" ht="15" customHeight="1">
      <c r="G524" s="1082"/>
      <c r="R524" s="706"/>
    </row>
    <row r="525" spans="7:18" ht="15" customHeight="1">
      <c r="G525" s="1082"/>
      <c r="R525" s="706"/>
    </row>
    <row r="526" spans="7:18" ht="15" customHeight="1">
      <c r="G526" s="1082"/>
      <c r="R526" s="706"/>
    </row>
    <row r="527" spans="7:18" ht="15" customHeight="1">
      <c r="G527" s="1082"/>
      <c r="R527" s="706"/>
    </row>
    <row r="528" spans="7:18" ht="15" customHeight="1">
      <c r="G528" s="1082"/>
      <c r="R528" s="706"/>
    </row>
    <row r="529" spans="7:18" ht="15" customHeight="1">
      <c r="G529" s="1082"/>
      <c r="R529" s="706"/>
    </row>
    <row r="530" spans="7:18" ht="15" customHeight="1">
      <c r="G530" s="1082"/>
      <c r="R530" s="706"/>
    </row>
    <row r="531" spans="7:18" ht="15" customHeight="1">
      <c r="G531" s="1082"/>
      <c r="R531" s="706"/>
    </row>
    <row r="532" spans="7:18" ht="15" customHeight="1">
      <c r="G532" s="1082"/>
      <c r="R532" s="706"/>
    </row>
    <row r="533" spans="7:18" ht="15" customHeight="1">
      <c r="G533" s="1082"/>
      <c r="R533" s="706"/>
    </row>
    <row r="534" spans="7:18" ht="15" customHeight="1">
      <c r="G534" s="1082"/>
      <c r="R534" s="706"/>
    </row>
    <row r="535" spans="7:18" ht="15" customHeight="1">
      <c r="G535" s="1082"/>
      <c r="R535" s="706"/>
    </row>
    <row r="536" spans="7:18" ht="15" customHeight="1">
      <c r="G536" s="1082"/>
      <c r="R536" s="706"/>
    </row>
    <row r="537" spans="7:18" ht="15" customHeight="1">
      <c r="G537" s="1082"/>
      <c r="R537" s="706"/>
    </row>
    <row r="538" spans="7:18" ht="15" customHeight="1">
      <c r="G538" s="1082"/>
      <c r="R538" s="706"/>
    </row>
    <row r="539" spans="7:18" ht="15" customHeight="1">
      <c r="G539" s="1082"/>
      <c r="R539" s="706"/>
    </row>
    <row r="540" spans="7:18" ht="15" customHeight="1">
      <c r="G540" s="1082"/>
      <c r="R540" s="706"/>
    </row>
    <row r="541" spans="7:18" ht="15" customHeight="1">
      <c r="G541" s="1082"/>
      <c r="R541" s="706"/>
    </row>
    <row r="542" spans="7:18" ht="15" customHeight="1">
      <c r="G542" s="1082"/>
      <c r="R542" s="706"/>
    </row>
    <row r="543" spans="7:18" ht="15" customHeight="1">
      <c r="G543" s="1082"/>
      <c r="R543" s="706"/>
    </row>
    <row r="544" spans="7:18" ht="15" customHeight="1">
      <c r="G544" s="1082"/>
      <c r="R544" s="706"/>
    </row>
    <row r="545" spans="7:18" ht="15" customHeight="1">
      <c r="G545" s="1082"/>
      <c r="R545" s="706"/>
    </row>
    <row r="546" spans="7:18" ht="15" customHeight="1">
      <c r="G546" s="1082"/>
      <c r="R546" s="706"/>
    </row>
    <row r="547" spans="7:18" ht="15" customHeight="1">
      <c r="G547" s="1082"/>
      <c r="R547" s="706"/>
    </row>
    <row r="548" spans="7:18" ht="15" customHeight="1">
      <c r="G548" s="1082"/>
      <c r="R548" s="706"/>
    </row>
    <row r="549" spans="7:18" ht="15" customHeight="1">
      <c r="G549" s="1082"/>
      <c r="R549" s="706"/>
    </row>
    <row r="550" spans="7:18" ht="15" customHeight="1">
      <c r="G550" s="1082"/>
      <c r="R550" s="706"/>
    </row>
    <row r="551" spans="7:18" ht="15" customHeight="1">
      <c r="G551" s="1082"/>
      <c r="R551" s="706"/>
    </row>
    <row r="552" spans="7:18" ht="15" customHeight="1">
      <c r="G552" s="1082"/>
      <c r="R552" s="706"/>
    </row>
    <row r="553" spans="7:18" ht="15" customHeight="1">
      <c r="G553" s="1082"/>
      <c r="R553" s="706"/>
    </row>
    <row r="554" spans="7:18" ht="15" customHeight="1">
      <c r="G554" s="1082"/>
      <c r="R554" s="706"/>
    </row>
    <row r="555" spans="7:18" ht="15" customHeight="1">
      <c r="G555" s="1082"/>
      <c r="R555" s="706"/>
    </row>
    <row r="556" spans="7:18" ht="15" customHeight="1">
      <c r="G556" s="1082"/>
      <c r="R556" s="706"/>
    </row>
    <row r="557" spans="7:18" ht="15" customHeight="1">
      <c r="G557" s="1082"/>
      <c r="R557" s="706"/>
    </row>
    <row r="558" spans="7:18" ht="15" customHeight="1">
      <c r="G558" s="1082"/>
      <c r="R558" s="706"/>
    </row>
    <row r="559" spans="7:18" ht="15" customHeight="1">
      <c r="G559" s="1082"/>
      <c r="R559" s="706"/>
    </row>
    <row r="560" spans="7:18" ht="15" customHeight="1">
      <c r="G560" s="1082"/>
      <c r="R560" s="706"/>
    </row>
    <row r="561" spans="7:18" ht="15" customHeight="1">
      <c r="G561" s="1082"/>
      <c r="R561" s="706"/>
    </row>
    <row r="562" spans="7:18" ht="15" customHeight="1">
      <c r="G562" s="1082"/>
      <c r="R562" s="706"/>
    </row>
    <row r="563" spans="7:18" ht="15" customHeight="1">
      <c r="G563" s="1082"/>
      <c r="R563" s="706"/>
    </row>
    <row r="564" spans="7:18" ht="15" customHeight="1">
      <c r="G564" s="1082"/>
      <c r="R564" s="706"/>
    </row>
    <row r="565" spans="7:18" ht="15" customHeight="1">
      <c r="G565" s="1082"/>
      <c r="R565" s="706"/>
    </row>
    <row r="566" spans="7:18" ht="15" customHeight="1">
      <c r="G566" s="1082"/>
      <c r="R566" s="706"/>
    </row>
    <row r="567" spans="7:18" ht="15" customHeight="1">
      <c r="G567" s="1082"/>
      <c r="R567" s="706"/>
    </row>
    <row r="568" spans="7:18" ht="15" customHeight="1">
      <c r="G568" s="1082"/>
      <c r="R568" s="706"/>
    </row>
    <row r="569" spans="7:18" ht="15" customHeight="1">
      <c r="G569" s="1082"/>
      <c r="R569" s="706"/>
    </row>
    <row r="570" spans="7:18" ht="15" customHeight="1">
      <c r="G570" s="1082"/>
      <c r="R570" s="706"/>
    </row>
    <row r="571" spans="7:18" ht="15" customHeight="1">
      <c r="G571" s="1082"/>
      <c r="R571" s="706"/>
    </row>
    <row r="572" spans="7:18" ht="15" customHeight="1">
      <c r="G572" s="1082"/>
      <c r="R572" s="706"/>
    </row>
    <row r="573" spans="7:18" ht="15" customHeight="1">
      <c r="G573" s="1082"/>
      <c r="R573" s="706"/>
    </row>
    <row r="574" spans="7:18" ht="15" customHeight="1">
      <c r="G574" s="1082"/>
      <c r="R574" s="706"/>
    </row>
    <row r="575" spans="7:18" ht="15" customHeight="1">
      <c r="G575" s="1082"/>
      <c r="R575" s="706"/>
    </row>
    <row r="576" spans="7:18" ht="15" customHeight="1">
      <c r="G576" s="1082"/>
      <c r="R576" s="706"/>
    </row>
    <row r="577" spans="7:18" ht="15" customHeight="1">
      <c r="G577" s="1082"/>
      <c r="R577" s="706"/>
    </row>
    <row r="578" spans="7:18" ht="15" customHeight="1">
      <c r="G578" s="1082"/>
      <c r="R578" s="706"/>
    </row>
    <row r="579" spans="7:18" ht="15" customHeight="1">
      <c r="G579" s="1082"/>
      <c r="R579" s="706"/>
    </row>
    <row r="580" spans="7:18" ht="15" customHeight="1">
      <c r="G580" s="1082"/>
      <c r="R580" s="706"/>
    </row>
    <row r="581" spans="7:18" ht="15" customHeight="1">
      <c r="G581" s="1082"/>
      <c r="R581" s="706"/>
    </row>
    <row r="582" spans="7:18" ht="15" customHeight="1">
      <c r="G582" s="1082"/>
      <c r="R582" s="706"/>
    </row>
    <row r="583" spans="7:18" ht="15" customHeight="1">
      <c r="G583" s="1082"/>
      <c r="R583" s="706"/>
    </row>
    <row r="584" spans="7:18" ht="15" customHeight="1">
      <c r="G584" s="1082"/>
      <c r="R584" s="706"/>
    </row>
    <row r="585" spans="7:18" ht="15" customHeight="1">
      <c r="G585" s="1082"/>
      <c r="R585" s="706"/>
    </row>
    <row r="586" spans="7:18" ht="15" customHeight="1">
      <c r="G586" s="1082"/>
      <c r="R586" s="706"/>
    </row>
    <row r="587" spans="7:18" ht="15" customHeight="1">
      <c r="G587" s="1082"/>
      <c r="R587" s="706"/>
    </row>
    <row r="588" spans="7:18" ht="15" customHeight="1">
      <c r="G588" s="1082"/>
      <c r="R588" s="706"/>
    </row>
    <row r="589" spans="7:18" ht="15" customHeight="1">
      <c r="G589" s="1082"/>
      <c r="R589" s="706"/>
    </row>
    <row r="590" spans="7:18" ht="15" customHeight="1">
      <c r="G590" s="1082"/>
      <c r="R590" s="706"/>
    </row>
    <row r="591" spans="7:18" ht="15" customHeight="1">
      <c r="G591" s="1082"/>
      <c r="R591" s="706"/>
    </row>
    <row r="592" spans="7:18" ht="15" customHeight="1">
      <c r="G592" s="1082"/>
      <c r="R592" s="706"/>
    </row>
    <row r="593" spans="7:18" ht="15" customHeight="1">
      <c r="G593" s="1082"/>
      <c r="R593" s="706"/>
    </row>
    <row r="594" spans="7:18" ht="15" customHeight="1">
      <c r="G594" s="1082"/>
      <c r="R594" s="706"/>
    </row>
    <row r="595" spans="7:18" ht="15" customHeight="1">
      <c r="G595" s="1082"/>
      <c r="R595" s="706"/>
    </row>
    <row r="596" spans="7:18" ht="15" customHeight="1">
      <c r="G596" s="1082"/>
      <c r="R596" s="706"/>
    </row>
    <row r="597" spans="7:18" ht="15" customHeight="1">
      <c r="G597" s="1082"/>
      <c r="R597" s="706"/>
    </row>
    <row r="598" spans="7:18" ht="15" customHeight="1">
      <c r="G598" s="1082"/>
      <c r="R598" s="706"/>
    </row>
    <row r="599" spans="7:18" ht="15" customHeight="1">
      <c r="G599" s="1082"/>
      <c r="R599" s="706"/>
    </row>
    <row r="600" spans="7:18" ht="15" customHeight="1">
      <c r="G600" s="1082"/>
      <c r="R600" s="706"/>
    </row>
    <row r="601" spans="7:18" ht="15" customHeight="1">
      <c r="G601" s="1082"/>
      <c r="R601" s="706"/>
    </row>
    <row r="602" spans="7:18" ht="15" customHeight="1">
      <c r="G602" s="1082"/>
      <c r="R602" s="706"/>
    </row>
    <row r="603" spans="7:18" ht="15" customHeight="1">
      <c r="G603" s="1082"/>
      <c r="R603" s="706"/>
    </row>
    <row r="604" spans="7:18" ht="15" customHeight="1">
      <c r="G604" s="1082"/>
      <c r="R604" s="706"/>
    </row>
    <row r="605" spans="7:18" ht="15" customHeight="1">
      <c r="G605" s="1082"/>
      <c r="R605" s="706"/>
    </row>
    <row r="606" spans="7:18" ht="15" customHeight="1">
      <c r="G606" s="1082"/>
      <c r="R606" s="706"/>
    </row>
    <row r="607" spans="7:18" ht="15" customHeight="1">
      <c r="G607" s="1082"/>
      <c r="R607" s="706"/>
    </row>
    <row r="608" spans="7:18" ht="15" customHeight="1">
      <c r="G608" s="1082"/>
      <c r="R608" s="706"/>
    </row>
    <row r="609" spans="7:18" ht="15" customHeight="1">
      <c r="G609" s="1082"/>
      <c r="R609" s="706"/>
    </row>
    <row r="610" spans="7:18" ht="15" customHeight="1">
      <c r="G610" s="1082"/>
      <c r="R610" s="706"/>
    </row>
    <row r="611" spans="7:18" ht="15" customHeight="1">
      <c r="G611" s="1082"/>
      <c r="R611" s="706"/>
    </row>
    <row r="612" spans="7:18" ht="15" customHeight="1">
      <c r="G612" s="1082"/>
      <c r="R612" s="706"/>
    </row>
    <row r="613" spans="7:18" ht="15" customHeight="1">
      <c r="G613" s="1082"/>
      <c r="R613" s="706"/>
    </row>
    <row r="614" spans="7:18" ht="15" customHeight="1">
      <c r="G614" s="1082"/>
      <c r="R614" s="706"/>
    </row>
    <row r="615" spans="7:18" ht="15" customHeight="1">
      <c r="G615" s="1082"/>
      <c r="R615" s="706"/>
    </row>
    <row r="616" spans="7:18" ht="15" customHeight="1">
      <c r="G616" s="1082"/>
      <c r="R616" s="706"/>
    </row>
    <row r="617" spans="7:18" ht="15" customHeight="1">
      <c r="G617" s="1082"/>
      <c r="R617" s="706"/>
    </row>
    <row r="618" spans="7:18" ht="15" customHeight="1">
      <c r="G618" s="1082"/>
      <c r="R618" s="706"/>
    </row>
    <row r="619" spans="7:18" ht="15" customHeight="1">
      <c r="G619" s="1082"/>
      <c r="R619" s="706"/>
    </row>
    <row r="620" spans="7:18" ht="15" customHeight="1">
      <c r="G620" s="1082"/>
      <c r="R620" s="706"/>
    </row>
    <row r="621" spans="7:18" ht="15" customHeight="1">
      <c r="G621" s="1082"/>
      <c r="R621" s="706"/>
    </row>
    <row r="622" spans="7:18" ht="15" customHeight="1">
      <c r="G622" s="1082"/>
      <c r="R622" s="706"/>
    </row>
    <row r="623" spans="7:18" ht="15" customHeight="1">
      <c r="G623" s="1082"/>
      <c r="R623" s="706"/>
    </row>
    <row r="624" spans="7:18" ht="15" customHeight="1">
      <c r="G624" s="1082"/>
      <c r="R624" s="706"/>
    </row>
    <row r="625" spans="7:18" ht="15" customHeight="1">
      <c r="G625" s="1082"/>
      <c r="R625" s="706"/>
    </row>
    <row r="626" spans="7:18" ht="15" customHeight="1">
      <c r="G626" s="1082"/>
      <c r="R626" s="706"/>
    </row>
    <row r="627" spans="7:18" ht="15" customHeight="1">
      <c r="G627" s="1082"/>
      <c r="R627" s="706"/>
    </row>
    <row r="628" spans="7:18" ht="15" customHeight="1">
      <c r="G628" s="1082"/>
      <c r="R628" s="706"/>
    </row>
    <row r="629" spans="7:18" ht="15" customHeight="1">
      <c r="G629" s="1082"/>
      <c r="R629" s="706"/>
    </row>
    <row r="630" spans="7:18" ht="15" customHeight="1">
      <c r="G630" s="1082"/>
      <c r="R630" s="706"/>
    </row>
    <row r="631" spans="7:18" ht="15" customHeight="1">
      <c r="G631" s="1082"/>
      <c r="R631" s="706"/>
    </row>
    <row r="632" spans="7:18" ht="15" customHeight="1">
      <c r="G632" s="1082"/>
      <c r="R632" s="706"/>
    </row>
    <row r="633" spans="7:18" ht="15" customHeight="1">
      <c r="G633" s="1082"/>
      <c r="R633" s="706"/>
    </row>
    <row r="634" spans="7:18" ht="15" customHeight="1">
      <c r="G634" s="1082"/>
      <c r="R634" s="706"/>
    </row>
    <row r="635" spans="7:18" ht="15" customHeight="1">
      <c r="G635" s="1082"/>
      <c r="R635" s="706"/>
    </row>
    <row r="636" spans="7:18" ht="15" customHeight="1">
      <c r="G636" s="1082"/>
      <c r="R636" s="706"/>
    </row>
    <row r="637" spans="7:18" ht="15" customHeight="1">
      <c r="G637" s="1082"/>
      <c r="R637" s="706"/>
    </row>
    <row r="638" spans="7:18" ht="15" customHeight="1">
      <c r="G638" s="1082"/>
      <c r="R638" s="706"/>
    </row>
    <row r="639" spans="7:18" ht="15" customHeight="1">
      <c r="G639" s="1082"/>
      <c r="R639" s="706"/>
    </row>
    <row r="640" spans="7:18" ht="15" customHeight="1">
      <c r="G640" s="1082"/>
      <c r="R640" s="706"/>
    </row>
    <row r="641" spans="7:18" ht="15" customHeight="1">
      <c r="G641" s="1082"/>
      <c r="R641" s="706"/>
    </row>
    <row r="642" spans="7:18" ht="15" customHeight="1">
      <c r="G642" s="1082"/>
      <c r="R642" s="706"/>
    </row>
    <row r="643" spans="7:18" ht="15" customHeight="1">
      <c r="G643" s="1082"/>
      <c r="R643" s="706"/>
    </row>
    <row r="644" spans="7:18" ht="15" customHeight="1">
      <c r="G644" s="1082"/>
      <c r="R644" s="706"/>
    </row>
    <row r="645" spans="7:18" ht="15" customHeight="1">
      <c r="G645" s="1082"/>
      <c r="R645" s="706"/>
    </row>
    <row r="646" spans="7:18" ht="15" customHeight="1">
      <c r="G646" s="1082"/>
      <c r="R646" s="706"/>
    </row>
    <row r="647" spans="7:18" ht="15" customHeight="1">
      <c r="G647" s="1082"/>
      <c r="R647" s="706"/>
    </row>
    <row r="648" spans="7:18" ht="15" customHeight="1">
      <c r="G648" s="1082"/>
      <c r="R648" s="706"/>
    </row>
    <row r="649" spans="7:18" ht="15" customHeight="1">
      <c r="G649" s="1082"/>
      <c r="R649" s="706"/>
    </row>
    <row r="650" spans="7:18" ht="15" customHeight="1">
      <c r="G650" s="1082"/>
      <c r="R650" s="706"/>
    </row>
    <row r="651" spans="7:18" ht="15" customHeight="1">
      <c r="G651" s="1082"/>
      <c r="R651" s="706"/>
    </row>
    <row r="652" spans="7:18" ht="15" customHeight="1">
      <c r="G652" s="1082"/>
      <c r="R652" s="706"/>
    </row>
    <row r="653" spans="7:18" ht="15" customHeight="1">
      <c r="G653" s="1082"/>
      <c r="R653" s="706"/>
    </row>
    <row r="654" spans="7:18" ht="15" customHeight="1">
      <c r="G654" s="1082"/>
      <c r="R654" s="706"/>
    </row>
    <row r="655" spans="7:18" ht="15" customHeight="1">
      <c r="G655" s="1082"/>
      <c r="R655" s="706"/>
    </row>
    <row r="656" spans="7:18" ht="15" customHeight="1">
      <c r="G656" s="1082"/>
      <c r="R656" s="706"/>
    </row>
    <row r="657" spans="7:18" ht="15" customHeight="1">
      <c r="G657" s="1082"/>
      <c r="R657" s="706"/>
    </row>
    <row r="658" spans="7:18" ht="15" customHeight="1">
      <c r="G658" s="1082"/>
      <c r="R658" s="706"/>
    </row>
    <row r="659" spans="7:18" ht="15" customHeight="1">
      <c r="G659" s="1082"/>
      <c r="R659" s="706"/>
    </row>
    <row r="660" spans="7:18" ht="15" customHeight="1">
      <c r="G660" s="1082"/>
      <c r="R660" s="706"/>
    </row>
    <row r="661" spans="7:18" ht="15" customHeight="1">
      <c r="G661" s="1082"/>
      <c r="R661" s="706"/>
    </row>
    <row r="662" spans="7:18" ht="15" customHeight="1">
      <c r="G662" s="1082"/>
      <c r="R662" s="706"/>
    </row>
    <row r="663" spans="7:18" ht="15" customHeight="1">
      <c r="G663" s="1082"/>
      <c r="R663" s="706"/>
    </row>
    <row r="664" spans="7:18" ht="15" customHeight="1">
      <c r="G664" s="1082"/>
      <c r="R664" s="706"/>
    </row>
    <row r="665" spans="7:18" ht="15" customHeight="1">
      <c r="G665" s="1082"/>
      <c r="R665" s="706"/>
    </row>
    <row r="666" spans="7:18" ht="15" customHeight="1">
      <c r="G666" s="1082"/>
      <c r="R666" s="706"/>
    </row>
    <row r="667" spans="7:18" ht="15" customHeight="1">
      <c r="G667" s="1082"/>
      <c r="R667" s="706"/>
    </row>
    <row r="668" spans="7:18" ht="15" customHeight="1">
      <c r="G668" s="1082"/>
      <c r="R668" s="706"/>
    </row>
    <row r="669" spans="7:18" ht="15" customHeight="1">
      <c r="G669" s="1082"/>
      <c r="R669" s="706"/>
    </row>
    <row r="670" spans="7:18" ht="15" customHeight="1">
      <c r="G670" s="1082"/>
      <c r="R670" s="706"/>
    </row>
    <row r="671" spans="7:18" ht="15" customHeight="1">
      <c r="G671" s="1082"/>
      <c r="R671" s="706"/>
    </row>
    <row r="672" spans="7:18" ht="15" customHeight="1">
      <c r="G672" s="1082"/>
      <c r="R672" s="706"/>
    </row>
    <row r="673" spans="7:18" ht="15" customHeight="1">
      <c r="G673" s="1082"/>
      <c r="R673" s="706"/>
    </row>
    <row r="674" spans="7:18" ht="15" customHeight="1">
      <c r="G674" s="1082"/>
      <c r="R674" s="706"/>
    </row>
    <row r="675" spans="7:18" ht="15" customHeight="1">
      <c r="G675" s="1082"/>
      <c r="R675" s="706"/>
    </row>
    <row r="676" spans="7:18" ht="15" customHeight="1">
      <c r="G676" s="1082"/>
      <c r="R676" s="706"/>
    </row>
    <row r="677" spans="7:18" ht="15" customHeight="1">
      <c r="G677" s="1082"/>
      <c r="R677" s="706"/>
    </row>
    <row r="678" spans="7:18" ht="15" customHeight="1">
      <c r="G678" s="1082"/>
      <c r="R678" s="706"/>
    </row>
    <row r="679" spans="7:18" ht="15" customHeight="1">
      <c r="G679" s="1082"/>
      <c r="R679" s="706"/>
    </row>
    <row r="680" spans="7:18" ht="15" customHeight="1">
      <c r="G680" s="1082"/>
      <c r="R680" s="706"/>
    </row>
    <row r="681" spans="7:18" ht="15" customHeight="1">
      <c r="G681" s="1082"/>
      <c r="R681" s="706"/>
    </row>
    <row r="682" spans="7:18" ht="15" customHeight="1">
      <c r="G682" s="1082"/>
      <c r="R682" s="706"/>
    </row>
    <row r="683" spans="7:18" ht="15" customHeight="1">
      <c r="G683" s="1082"/>
      <c r="R683" s="706"/>
    </row>
    <row r="684" spans="7:18" ht="15" customHeight="1">
      <c r="G684" s="1082"/>
      <c r="R684" s="706"/>
    </row>
    <row r="685" spans="7:18" ht="15" customHeight="1">
      <c r="G685" s="1082"/>
      <c r="R685" s="706"/>
    </row>
    <row r="686" spans="7:18" ht="15" customHeight="1">
      <c r="G686" s="1082"/>
      <c r="R686" s="706"/>
    </row>
    <row r="687" spans="7:18" ht="15" customHeight="1">
      <c r="G687" s="1082"/>
      <c r="R687" s="706"/>
    </row>
    <row r="688" spans="7:18" ht="15" customHeight="1">
      <c r="G688" s="1082"/>
      <c r="R688" s="706"/>
    </row>
    <row r="689" spans="7:18" ht="15" customHeight="1">
      <c r="G689" s="1082"/>
      <c r="R689" s="706"/>
    </row>
    <row r="690" spans="7:18" ht="15" customHeight="1">
      <c r="G690" s="1082"/>
      <c r="R690" s="706"/>
    </row>
    <row r="691" spans="7:18" ht="15" customHeight="1">
      <c r="G691" s="1082"/>
      <c r="R691" s="706"/>
    </row>
    <row r="692" spans="7:18" ht="15" customHeight="1">
      <c r="G692" s="1082"/>
      <c r="R692" s="706"/>
    </row>
    <row r="693" spans="7:18" ht="15" customHeight="1">
      <c r="G693" s="1082"/>
      <c r="R693" s="706"/>
    </row>
    <row r="694" spans="7:18" ht="15" customHeight="1">
      <c r="G694" s="1082"/>
      <c r="R694" s="706"/>
    </row>
    <row r="695" spans="7:18" ht="15" customHeight="1">
      <c r="G695" s="1082"/>
      <c r="R695" s="706"/>
    </row>
    <row r="696" spans="7:18" ht="15" customHeight="1">
      <c r="G696" s="1082"/>
      <c r="R696" s="706"/>
    </row>
    <row r="697" spans="7:18" ht="15" customHeight="1">
      <c r="G697" s="1082"/>
      <c r="R697" s="706"/>
    </row>
    <row r="698" spans="7:18" ht="15" customHeight="1">
      <c r="G698" s="1082"/>
      <c r="R698" s="706"/>
    </row>
    <row r="699" spans="7:18" ht="15" customHeight="1">
      <c r="G699" s="1082"/>
      <c r="R699" s="706"/>
    </row>
    <row r="700" spans="7:18" ht="15" customHeight="1">
      <c r="G700" s="1082"/>
      <c r="R700" s="706"/>
    </row>
    <row r="701" spans="7:18" ht="15" customHeight="1">
      <c r="G701" s="1082"/>
      <c r="R701" s="706"/>
    </row>
    <row r="702" spans="7:18" ht="15" customHeight="1">
      <c r="G702" s="1082"/>
      <c r="R702" s="706"/>
    </row>
    <row r="703" spans="7:18" ht="15" customHeight="1">
      <c r="G703" s="1082"/>
      <c r="R703" s="706"/>
    </row>
    <row r="704" spans="7:18" ht="15" customHeight="1">
      <c r="G704" s="1082"/>
      <c r="R704" s="706"/>
    </row>
    <row r="705" spans="7:18" ht="15" customHeight="1">
      <c r="G705" s="1082"/>
      <c r="R705" s="706"/>
    </row>
    <row r="706" spans="7:18" ht="15" customHeight="1">
      <c r="G706" s="1082"/>
      <c r="R706" s="706"/>
    </row>
    <row r="707" spans="7:18" ht="15" customHeight="1">
      <c r="G707" s="1082"/>
      <c r="R707" s="706"/>
    </row>
    <row r="708" spans="7:18" ht="15" customHeight="1">
      <c r="G708" s="1082"/>
      <c r="R708" s="706"/>
    </row>
    <row r="709" spans="7:18" ht="15" customHeight="1">
      <c r="G709" s="1082"/>
      <c r="R709" s="706"/>
    </row>
    <row r="710" spans="7:18" ht="15" customHeight="1">
      <c r="G710" s="1082"/>
      <c r="R710" s="706"/>
    </row>
    <row r="711" spans="7:18" ht="15" customHeight="1">
      <c r="G711" s="1082"/>
      <c r="R711" s="706"/>
    </row>
    <row r="712" spans="7:18" ht="15" customHeight="1">
      <c r="G712" s="1082"/>
      <c r="R712" s="706"/>
    </row>
    <row r="713" spans="7:18" ht="15" customHeight="1">
      <c r="G713" s="1082"/>
      <c r="R713" s="706"/>
    </row>
    <row r="714" spans="7:18" ht="15" customHeight="1">
      <c r="G714" s="1082"/>
      <c r="R714" s="706"/>
    </row>
    <row r="715" spans="7:18" ht="15" customHeight="1">
      <c r="G715" s="1082"/>
      <c r="R715" s="706"/>
    </row>
    <row r="716" spans="7:18" ht="15" customHeight="1">
      <c r="G716" s="1082"/>
      <c r="R716" s="706"/>
    </row>
    <row r="717" spans="7:18" ht="15" customHeight="1">
      <c r="G717" s="1082"/>
      <c r="R717" s="706"/>
    </row>
    <row r="718" spans="7:18" ht="15" customHeight="1">
      <c r="G718" s="1082"/>
      <c r="R718" s="706"/>
    </row>
    <row r="719" spans="7:18" ht="15" customHeight="1">
      <c r="G719" s="1082"/>
      <c r="R719" s="706"/>
    </row>
    <row r="720" spans="7:18" ht="15" customHeight="1">
      <c r="G720" s="1082"/>
      <c r="R720" s="706"/>
    </row>
    <row r="721" spans="7:18" ht="15" customHeight="1">
      <c r="G721" s="1082"/>
      <c r="R721" s="706"/>
    </row>
    <row r="722" spans="7:18" ht="15" customHeight="1">
      <c r="G722" s="1082"/>
      <c r="R722" s="706"/>
    </row>
    <row r="723" spans="7:18" ht="15" customHeight="1">
      <c r="G723" s="1082"/>
      <c r="R723" s="706"/>
    </row>
    <row r="724" spans="7:18" ht="15" customHeight="1">
      <c r="G724" s="1082"/>
      <c r="R724" s="706"/>
    </row>
    <row r="725" spans="7:18" ht="15" customHeight="1">
      <c r="G725" s="1082"/>
      <c r="R725" s="706"/>
    </row>
    <row r="726" spans="7:18" ht="15" customHeight="1">
      <c r="G726" s="1082"/>
      <c r="R726" s="706"/>
    </row>
    <row r="727" spans="7:18" ht="15" customHeight="1">
      <c r="G727" s="1082"/>
      <c r="R727" s="706"/>
    </row>
    <row r="728" spans="7:18" ht="15" customHeight="1">
      <c r="G728" s="1082"/>
      <c r="R728" s="706"/>
    </row>
    <row r="729" spans="7:18" ht="15" customHeight="1">
      <c r="G729" s="1082"/>
      <c r="R729" s="706"/>
    </row>
    <row r="730" spans="7:18" ht="15" customHeight="1">
      <c r="G730" s="1082"/>
      <c r="R730" s="706"/>
    </row>
    <row r="731" spans="7:18" ht="15" customHeight="1">
      <c r="G731" s="1082"/>
      <c r="R731" s="706"/>
    </row>
    <row r="732" spans="7:18" ht="15" customHeight="1">
      <c r="G732" s="1082"/>
      <c r="R732" s="706"/>
    </row>
    <row r="733" spans="7:18" ht="15" customHeight="1">
      <c r="G733" s="1082"/>
      <c r="R733" s="706"/>
    </row>
    <row r="734" spans="7:18" ht="15" customHeight="1">
      <c r="G734" s="1082"/>
      <c r="R734" s="706"/>
    </row>
    <row r="735" spans="7:18" ht="15" customHeight="1">
      <c r="G735" s="1082"/>
      <c r="R735" s="706"/>
    </row>
    <row r="736" spans="7:18" ht="15" customHeight="1">
      <c r="G736" s="1082"/>
      <c r="R736" s="706"/>
    </row>
    <row r="737" spans="7:18" ht="15" customHeight="1">
      <c r="G737" s="1082"/>
      <c r="R737" s="706"/>
    </row>
    <row r="738" spans="7:18" ht="15" customHeight="1">
      <c r="G738" s="1082"/>
      <c r="R738" s="706"/>
    </row>
    <row r="739" spans="7:18" ht="15" customHeight="1">
      <c r="G739" s="1082"/>
      <c r="R739" s="706"/>
    </row>
    <row r="740" spans="7:18" ht="15" customHeight="1">
      <c r="G740" s="1082"/>
      <c r="R740" s="706"/>
    </row>
    <row r="741" spans="7:18" ht="15" customHeight="1">
      <c r="G741" s="1082"/>
      <c r="R741" s="706"/>
    </row>
    <row r="742" spans="7:18" ht="15" customHeight="1">
      <c r="G742" s="1082"/>
      <c r="R742" s="706"/>
    </row>
    <row r="743" spans="7:18" ht="15" customHeight="1">
      <c r="G743" s="1082"/>
      <c r="R743" s="706"/>
    </row>
    <row r="744" spans="7:18" ht="15" customHeight="1">
      <c r="G744" s="1082"/>
      <c r="R744" s="706"/>
    </row>
    <row r="745" spans="7:18" ht="15" customHeight="1">
      <c r="G745" s="1082"/>
      <c r="R745" s="706"/>
    </row>
    <row r="746" spans="7:18" ht="15" customHeight="1">
      <c r="G746" s="1082"/>
      <c r="R746" s="706"/>
    </row>
    <row r="747" spans="7:18" ht="15" customHeight="1">
      <c r="G747" s="1082"/>
      <c r="R747" s="706"/>
    </row>
    <row r="748" spans="7:18" ht="15" customHeight="1">
      <c r="G748" s="1082"/>
      <c r="R748" s="706"/>
    </row>
    <row r="749" spans="7:18" ht="15" customHeight="1">
      <c r="G749" s="1082"/>
      <c r="R749" s="706"/>
    </row>
    <row r="750" spans="7:18" ht="15" customHeight="1">
      <c r="G750" s="1082"/>
      <c r="R750" s="706"/>
    </row>
    <row r="751" spans="7:18" ht="15" customHeight="1">
      <c r="G751" s="1082"/>
      <c r="R751" s="706"/>
    </row>
    <row r="752" spans="7:18" ht="15" customHeight="1">
      <c r="G752" s="1082"/>
      <c r="R752" s="706"/>
    </row>
    <row r="753" spans="7:18" ht="15" customHeight="1">
      <c r="G753" s="1082"/>
      <c r="R753" s="706"/>
    </row>
    <row r="754" spans="7:18" ht="15" customHeight="1">
      <c r="G754" s="1082"/>
      <c r="R754" s="706"/>
    </row>
    <row r="755" spans="7:18" ht="15" customHeight="1">
      <c r="G755" s="1082"/>
      <c r="R755" s="706"/>
    </row>
    <row r="756" spans="7:18" ht="15" customHeight="1">
      <c r="G756" s="1082"/>
      <c r="R756" s="706"/>
    </row>
    <row r="757" spans="7:18" ht="15" customHeight="1">
      <c r="G757" s="1082"/>
      <c r="R757" s="706"/>
    </row>
    <row r="758" spans="7:18" ht="15" customHeight="1">
      <c r="G758" s="1082"/>
      <c r="R758" s="706"/>
    </row>
    <row r="759" spans="7:18" ht="15" customHeight="1">
      <c r="G759" s="1082"/>
      <c r="R759" s="706"/>
    </row>
    <row r="760" spans="7:18" ht="15" customHeight="1">
      <c r="G760" s="1082"/>
      <c r="R760" s="706"/>
    </row>
    <row r="761" spans="7:18" ht="15" customHeight="1">
      <c r="G761" s="1082"/>
      <c r="R761" s="706"/>
    </row>
    <row r="762" spans="7:18" ht="15" customHeight="1">
      <c r="G762" s="1082"/>
      <c r="R762" s="706"/>
    </row>
    <row r="763" spans="7:18" ht="15" customHeight="1">
      <c r="G763" s="1082"/>
      <c r="R763" s="706"/>
    </row>
    <row r="764" spans="7:18" ht="15" customHeight="1">
      <c r="G764" s="1082"/>
      <c r="R764" s="706"/>
    </row>
    <row r="765" spans="7:18" ht="15" customHeight="1">
      <c r="G765" s="1082"/>
      <c r="R765" s="706"/>
    </row>
    <row r="766" spans="7:18" ht="15" customHeight="1">
      <c r="G766" s="1082"/>
      <c r="R766" s="706"/>
    </row>
    <row r="767" spans="7:18" ht="15" customHeight="1">
      <c r="G767" s="1082"/>
      <c r="R767" s="706"/>
    </row>
    <row r="768" spans="7:18" ht="15" customHeight="1">
      <c r="G768" s="1082"/>
      <c r="R768" s="706"/>
    </row>
    <row r="769" spans="7:18" ht="15" customHeight="1">
      <c r="G769" s="1082"/>
      <c r="R769" s="706"/>
    </row>
    <row r="770" spans="7:18" ht="15" customHeight="1">
      <c r="G770" s="1082"/>
      <c r="R770" s="706"/>
    </row>
    <row r="771" spans="7:18" ht="15" customHeight="1">
      <c r="G771" s="1082"/>
      <c r="R771" s="706"/>
    </row>
    <row r="772" spans="7:18" ht="15" customHeight="1">
      <c r="G772" s="1082"/>
      <c r="R772" s="706"/>
    </row>
    <row r="773" spans="7:18" ht="15" customHeight="1">
      <c r="G773" s="1082"/>
      <c r="R773" s="706"/>
    </row>
    <row r="774" spans="7:18" ht="15" customHeight="1">
      <c r="G774" s="1082"/>
      <c r="R774" s="706"/>
    </row>
    <row r="775" spans="7:18" ht="15" customHeight="1">
      <c r="G775" s="1082"/>
      <c r="R775" s="706"/>
    </row>
    <row r="776" spans="7:18" ht="15" customHeight="1">
      <c r="G776" s="1082"/>
      <c r="R776" s="706"/>
    </row>
    <row r="777" spans="7:18" ht="15" customHeight="1">
      <c r="G777" s="1082"/>
      <c r="R777" s="706"/>
    </row>
    <row r="778" spans="7:18" ht="15" customHeight="1">
      <c r="G778" s="1082"/>
      <c r="R778" s="706"/>
    </row>
    <row r="779" spans="7:18" ht="15" customHeight="1">
      <c r="G779" s="1082"/>
      <c r="R779" s="706"/>
    </row>
    <row r="780" spans="7:18" ht="15" customHeight="1">
      <c r="G780" s="1082"/>
      <c r="R780" s="706"/>
    </row>
    <row r="781" spans="7:18" ht="15" customHeight="1">
      <c r="G781" s="1082"/>
      <c r="R781" s="706"/>
    </row>
    <row r="782" spans="7:18" ht="15" customHeight="1">
      <c r="R782" s="706"/>
    </row>
    <row r="783" spans="7:18" ht="15" customHeight="1">
      <c r="R783" s="706"/>
    </row>
    <row r="784" spans="7:18" ht="15" customHeight="1">
      <c r="R784" s="706"/>
    </row>
    <row r="785" spans="18:18" ht="15" customHeight="1">
      <c r="R785" s="706"/>
    </row>
    <row r="786" spans="18:18" ht="15" customHeight="1">
      <c r="R786" s="706"/>
    </row>
    <row r="787" spans="18:18" ht="15" customHeight="1">
      <c r="R787" s="706"/>
    </row>
    <row r="788" spans="18:18" ht="15" customHeight="1">
      <c r="R788" s="706"/>
    </row>
    <row r="789" spans="18:18" ht="15" customHeight="1">
      <c r="R789" s="706"/>
    </row>
    <row r="790" spans="18:18" ht="15" customHeight="1">
      <c r="R790" s="706"/>
    </row>
    <row r="791" spans="18:18" ht="15" customHeight="1">
      <c r="R791" s="706"/>
    </row>
    <row r="792" spans="18:18" ht="15" customHeight="1">
      <c r="R792" s="706"/>
    </row>
    <row r="793" spans="18:18" ht="15" customHeight="1">
      <c r="R793" s="706"/>
    </row>
    <row r="794" spans="18:18" ht="15" customHeight="1">
      <c r="R794" s="706"/>
    </row>
    <row r="795" spans="18:18" ht="15" customHeight="1">
      <c r="R795" s="706"/>
    </row>
    <row r="796" spans="18:18" ht="15" customHeight="1">
      <c r="R796" s="706"/>
    </row>
    <row r="797" spans="18:18" ht="15" customHeight="1">
      <c r="R797" s="706"/>
    </row>
    <row r="798" spans="18:18" ht="15" customHeight="1">
      <c r="R798" s="706"/>
    </row>
    <row r="799" spans="18:18" ht="15" customHeight="1">
      <c r="R799" s="706"/>
    </row>
    <row r="800" spans="18:18" ht="15" customHeight="1">
      <c r="R800" s="706"/>
    </row>
    <row r="801" spans="18:18" ht="15" customHeight="1">
      <c r="R801" s="706"/>
    </row>
    <row r="802" spans="18:18" ht="15" customHeight="1">
      <c r="R802" s="706"/>
    </row>
    <row r="803" spans="18:18" ht="15" customHeight="1">
      <c r="R803" s="706"/>
    </row>
    <row r="804" spans="18:18" ht="15" customHeight="1">
      <c r="R804" s="706"/>
    </row>
    <row r="805" spans="18:18" ht="15" customHeight="1">
      <c r="R805" s="706"/>
    </row>
    <row r="806" spans="18:18" ht="15" customHeight="1">
      <c r="R806" s="706"/>
    </row>
    <row r="807" spans="18:18" ht="15" customHeight="1">
      <c r="R807" s="706"/>
    </row>
    <row r="808" spans="18:18" ht="15" customHeight="1">
      <c r="R808" s="706"/>
    </row>
    <row r="809" spans="18:18" ht="15" customHeight="1">
      <c r="R809" s="706"/>
    </row>
    <row r="810" spans="18:18" ht="15" customHeight="1">
      <c r="R810" s="706"/>
    </row>
    <row r="811" spans="18:18" ht="15" customHeight="1">
      <c r="R811" s="706"/>
    </row>
    <row r="812" spans="18:18" ht="15" customHeight="1">
      <c r="R812" s="706"/>
    </row>
    <row r="813" spans="18:18" ht="15" customHeight="1">
      <c r="R813" s="706"/>
    </row>
    <row r="814" spans="18:18" ht="15" customHeight="1">
      <c r="R814" s="706"/>
    </row>
    <row r="815" spans="18:18" ht="15" customHeight="1">
      <c r="R815" s="706"/>
    </row>
    <row r="816" spans="18:18" ht="15" customHeight="1">
      <c r="R816" s="706"/>
    </row>
    <row r="817" spans="18:18" ht="15" customHeight="1">
      <c r="R817" s="706"/>
    </row>
    <row r="818" spans="18:18" ht="15" customHeight="1">
      <c r="R818" s="706"/>
    </row>
    <row r="819" spans="18:18" ht="15" customHeight="1">
      <c r="R819" s="706"/>
    </row>
    <row r="820" spans="18:18" ht="15" customHeight="1">
      <c r="R820" s="706"/>
    </row>
    <row r="821" spans="18:18" ht="15" customHeight="1">
      <c r="R821" s="706"/>
    </row>
    <row r="822" spans="18:18" ht="15" customHeight="1">
      <c r="R822" s="706"/>
    </row>
    <row r="823" spans="18:18" ht="15" customHeight="1">
      <c r="R823" s="706"/>
    </row>
    <row r="824" spans="18:18" ht="15" customHeight="1">
      <c r="R824" s="706"/>
    </row>
    <row r="825" spans="18:18" ht="15" customHeight="1">
      <c r="R825" s="706"/>
    </row>
    <row r="826" spans="18:18" ht="15" customHeight="1">
      <c r="R826" s="706"/>
    </row>
    <row r="827" spans="18:18" ht="15" customHeight="1">
      <c r="R827" s="706"/>
    </row>
    <row r="828" spans="18:18" ht="15" customHeight="1">
      <c r="R828" s="706"/>
    </row>
    <row r="829" spans="18:18" ht="15" customHeight="1">
      <c r="R829" s="706"/>
    </row>
    <row r="830" spans="18:18" ht="15" customHeight="1">
      <c r="R830" s="706"/>
    </row>
    <row r="831" spans="18:18" ht="15" customHeight="1">
      <c r="R831" s="706"/>
    </row>
    <row r="832" spans="18:18" ht="15" customHeight="1">
      <c r="R832" s="706"/>
    </row>
    <row r="833" spans="18:18" ht="15" customHeight="1">
      <c r="R833" s="706"/>
    </row>
    <row r="834" spans="18:18" ht="15" customHeight="1">
      <c r="R834" s="706"/>
    </row>
    <row r="835" spans="18:18" ht="15" customHeight="1">
      <c r="R835" s="706"/>
    </row>
    <row r="836" spans="18:18" ht="15" customHeight="1">
      <c r="R836" s="706"/>
    </row>
    <row r="837" spans="18:18" ht="15" customHeight="1">
      <c r="R837" s="706"/>
    </row>
    <row r="838" spans="18:18" ht="15" customHeight="1">
      <c r="R838" s="706"/>
    </row>
    <row r="839" spans="18:18" ht="15" customHeight="1">
      <c r="R839" s="706"/>
    </row>
    <row r="840" spans="18:18" ht="15" customHeight="1">
      <c r="R840" s="706"/>
    </row>
    <row r="841" spans="18:18" ht="15" customHeight="1">
      <c r="R841" s="706"/>
    </row>
    <row r="842" spans="18:18" ht="15" customHeight="1">
      <c r="R842" s="706"/>
    </row>
    <row r="843" spans="18:18" ht="15" customHeight="1">
      <c r="R843" s="706"/>
    </row>
    <row r="844" spans="18:18" ht="15" customHeight="1">
      <c r="R844" s="706"/>
    </row>
    <row r="845" spans="18:18" ht="15" customHeight="1">
      <c r="R845" s="706"/>
    </row>
    <row r="846" spans="18:18" ht="15" customHeight="1">
      <c r="R846" s="706"/>
    </row>
    <row r="847" spans="18:18" ht="15" customHeight="1">
      <c r="R847" s="706"/>
    </row>
    <row r="848" spans="18:18" ht="15" customHeight="1">
      <c r="R848" s="706"/>
    </row>
    <row r="849" spans="18:18" ht="15" customHeight="1">
      <c r="R849" s="706"/>
    </row>
    <row r="850" spans="18:18" ht="15" customHeight="1">
      <c r="R850" s="706"/>
    </row>
    <row r="851" spans="18:18" ht="15" customHeight="1">
      <c r="R851" s="706"/>
    </row>
    <row r="852" spans="18:18" ht="15" customHeight="1">
      <c r="R852" s="706"/>
    </row>
  </sheetData>
  <autoFilter ref="A3:AO104" xr:uid="{00000000-0009-0000-0000-00000C000000}"/>
  <mergeCells count="2">
    <mergeCell ref="AV6:BD6"/>
    <mergeCell ref="AV21:BA21"/>
  </mergeCells>
  <pageMargins left="0.7" right="0.7" top="0.75" bottom="0.75" header="0" footer="0"/>
  <pageSetup scale="14" fitToHeight="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CCDDE-5FD5-49EC-88D5-E288BD58E945}">
  <sheetPr codeName="Hoja40">
    <tabColor rgb="FF00B050"/>
    <pageSetUpPr fitToPage="1"/>
  </sheetPr>
  <dimension ref="A1:BE783"/>
  <sheetViews>
    <sheetView showGridLines="0" zoomScale="90" zoomScaleNormal="90" workbookViewId="0">
      <pane xSplit="4" ySplit="3" topLeftCell="AW4" activePane="bottomRight" state="frozen"/>
      <selection activeCell="BC24" sqref="BC24"/>
      <selection pane="topRight" activeCell="BC24" sqref="BC24"/>
      <selection pane="bottomLeft" activeCell="BC24" sqref="BC24"/>
      <selection pane="bottomRight" activeCell="BC24" sqref="BC24"/>
    </sheetView>
  </sheetViews>
  <sheetFormatPr baseColWidth="10" defaultColWidth="14.44140625" defaultRowHeight="15" customHeight="1"/>
  <cols>
    <col min="1" max="1" width="14.5546875" customWidth="1"/>
    <col min="2" max="2" width="12.44140625" customWidth="1"/>
    <col min="3" max="3" width="11.6640625" style="762" customWidth="1"/>
    <col min="4" max="4" width="42.5546875" customWidth="1"/>
    <col min="5" max="5" width="13.109375" customWidth="1"/>
    <col min="6" max="6" width="17.33203125" customWidth="1"/>
    <col min="7" max="7" width="11.6640625" customWidth="1"/>
    <col min="8" max="8" width="11.44140625" style="762" customWidth="1"/>
    <col min="9" max="9" width="11.5546875" customWidth="1"/>
    <col min="10" max="10" width="10.66406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6.332031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0.88671875" customWidth="1"/>
    <col min="43" max="43" width="12.6640625" customWidth="1"/>
    <col min="44" max="44" width="62.6640625" customWidth="1"/>
  </cols>
  <sheetData>
    <row r="1" spans="1:57" ht="15" customHeight="1" thickBot="1">
      <c r="A1" s="1198"/>
      <c r="D1" s="1075" t="s">
        <v>2275</v>
      </c>
      <c r="E1" s="1076">
        <f>+AI3</f>
        <v>5431.2429999999977</v>
      </c>
      <c r="F1" s="1075" t="s">
        <v>1906</v>
      </c>
      <c r="G1" s="1076" t="e">
        <f>+$AM3</f>
        <v>#N/A</v>
      </c>
      <c r="H1" s="1448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7" ht="15" customHeight="1" thickBot="1">
      <c r="B2" s="847"/>
      <c r="D2" s="1075" t="s">
        <v>1907</v>
      </c>
      <c r="E2" s="1076">
        <f>+AH3</f>
        <v>4955.7179999999971</v>
      </c>
      <c r="F2" s="1079" t="s">
        <v>1908</v>
      </c>
      <c r="G2" s="1080">
        <f>+Q2</f>
        <v>91.806464560735705</v>
      </c>
      <c r="H2" s="90"/>
      <c r="I2" s="1251">
        <f>SUBTOTAL(9,I4:I1569)</f>
        <v>552.74</v>
      </c>
      <c r="J2" s="81"/>
      <c r="K2" s="91">
        <f>SUBTOTAL(9,K4:K1569)</f>
        <v>530.51699999999994</v>
      </c>
      <c r="L2" s="1202">
        <f>+SUMPRODUCT(L5:L1569,K5:K1569)/K2</f>
        <v>0.29860083842742086</v>
      </c>
      <c r="M2" s="6"/>
      <c r="P2" s="94">
        <f>+SUMPRODUCT(P4:P1569,AH4:AH1569)/SUM(AH4:AH1569)</f>
        <v>86.874059823420183</v>
      </c>
      <c r="Q2" s="1201">
        <f>+SUMPRODUCT(Q4:Q1569,AH4:AH1569)/SUM(AH4:AH1569)</f>
        <v>91.806464560735705</v>
      </c>
      <c r="R2" s="1151">
        <f>+SUMPRODUCT(R4:R1569,AH4:AH1569)/SUM(AH4:AH1569)</f>
        <v>3955.0029922203016</v>
      </c>
      <c r="S2" s="6"/>
      <c r="AB2" s="83"/>
      <c r="AC2" s="83"/>
      <c r="AD2" s="83"/>
      <c r="AE2" s="83"/>
      <c r="AF2" s="83"/>
      <c r="AG2" s="1209" t="e">
        <f>SUMPRODUCT($AG4:$AG1569,$K4:$K1569)/SUM($K4:$K1569)</f>
        <v>#N/A</v>
      </c>
      <c r="AH2" s="702"/>
      <c r="AI2" s="631"/>
      <c r="AJ2" s="252">
        <v>3950</v>
      </c>
      <c r="AK2" s="98"/>
      <c r="AL2" s="88"/>
      <c r="AM2" s="99"/>
      <c r="AN2" s="1181"/>
      <c r="AO2" s="99"/>
    </row>
    <row r="3" spans="1:57" ht="15" customHeight="1" thickBot="1">
      <c r="A3" s="678" t="s">
        <v>11</v>
      </c>
      <c r="B3" s="678" t="s">
        <v>39</v>
      </c>
      <c r="C3" s="679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SUBTOTAL(9,AH4:AH1569)</f>
        <v>4955.7179999999971</v>
      </c>
      <c r="AI3" s="1252">
        <f>SUBTOTAL(9,AI4:AI1569)</f>
        <v>5431.2429999999977</v>
      </c>
      <c r="AJ3" s="1388" t="e">
        <f>SUMPRODUCT(K4:K1569,AJ4:AJ1569)/K2</f>
        <v>#N/A</v>
      </c>
      <c r="AK3" s="118">
        <f>SUBTOTAL(9,AK4:AK1569)</f>
        <v>4510.2494918566645</v>
      </c>
      <c r="AL3" s="88"/>
      <c r="AM3" s="118" t="e">
        <f>SUBTOTAL(9,AM4:AM1569)</f>
        <v>#N/A</v>
      </c>
      <c r="AN3" s="1182" t="s">
        <v>2247</v>
      </c>
      <c r="AO3" s="1168" t="s">
        <v>2283</v>
      </c>
      <c r="AP3" t="s">
        <v>2351</v>
      </c>
      <c r="AQ3" t="s">
        <v>2352</v>
      </c>
      <c r="AS3" s="1216"/>
    </row>
    <row r="4" spans="1:57" s="677" customFormat="1" ht="15.75" customHeight="1" thickBot="1">
      <c r="A4" s="720"/>
      <c r="B4" s="695"/>
      <c r="C4" s="723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57" ht="15" customHeight="1" thickBot="1">
      <c r="A5" s="1491" t="s">
        <v>2595</v>
      </c>
      <c r="B5" s="1475"/>
      <c r="C5" s="1447">
        <v>45890</v>
      </c>
      <c r="D5" t="s">
        <v>2601</v>
      </c>
      <c r="E5">
        <f>_xlfn.XLOOKUP(D5,RUC!$B$3:$B$123,RUC!$D$3:$D$123)</f>
        <v>20609542722</v>
      </c>
      <c r="G5" s="1082" t="s">
        <v>1434</v>
      </c>
      <c r="H5" s="762" t="s">
        <v>69</v>
      </c>
      <c r="I5" s="703">
        <v>41.65</v>
      </c>
      <c r="J5" s="596">
        <v>3</v>
      </c>
      <c r="K5" s="138">
        <f t="shared" ref="K5:K24" si="0">ROUND(+I5-(I5*(J5/100)),3)</f>
        <v>40.401000000000003</v>
      </c>
      <c r="L5" s="762">
        <v>7.9000000000000001E-2</v>
      </c>
      <c r="M5" s="762">
        <v>6.4000000000000001E-2</v>
      </c>
      <c r="N5" s="159">
        <v>6.4000000000000001E-2</v>
      </c>
      <c r="O5" s="645">
        <f t="shared" ref="O5:O62" si="1">+ROUND((M5+N5)/2,3)</f>
        <v>6.4000000000000001E-2</v>
      </c>
      <c r="P5" s="727">
        <v>77</v>
      </c>
      <c r="Q5" s="596">
        <v>77.5</v>
      </c>
      <c r="R5" s="706">
        <v>3338.3</v>
      </c>
      <c r="S5" s="1164">
        <v>100</v>
      </c>
      <c r="U5" s="1146">
        <f>_xlfn.XLOOKUP(D5,RUC!$B$3:$B$123,RUC!$F$3:$F$123)</f>
        <v>90</v>
      </c>
      <c r="V5" s="715">
        <v>1.1023000000000001</v>
      </c>
      <c r="Y5">
        <f>_xlfn.XLOOKUP(D5,RUC!$B$3:$B$123,RUC!$G$3:$G$123)</f>
        <v>0</v>
      </c>
      <c r="Z5" s="143">
        <f>_xlfn.XLOOKUP(D5,RUC!$B$3:$B$123,RUC!$H$3:$H$123)</f>
        <v>25</v>
      </c>
      <c r="AA5" s="144">
        <f t="shared" ref="AA5:AA24" si="2">+Y5+Z5</f>
        <v>25</v>
      </c>
      <c r="AB5" s="145">
        <v>1E-3</v>
      </c>
      <c r="AC5" s="145">
        <f>+(S5-T5)*V5-'data 1'!$F$4</f>
        <v>30.230000000000004</v>
      </c>
      <c r="AD5" s="145">
        <f t="shared" ref="AD5:AD62" si="3">+(Q5-P5)*(R5-U5)*L5*V5/100</f>
        <v>1.4143374305500001</v>
      </c>
      <c r="AE5" s="145">
        <f t="shared" ref="AE5:AE62" si="4">+(Y5*V5-70)+V5*(Z5-IF(D5="UNTUCA",IF(+((W5-3)*2.5+(X5-3)*3.1)&gt;0,+((W5-3)*1.5+(X5-3)*3.1),0),IF(+((W5-3)*1.5+(X5-3)*3.1)&gt;0,+((W5-3)*1.5+(X5-3)*3.1),0)))</f>
        <v>-42.442499999999995</v>
      </c>
      <c r="AF5" s="145">
        <f t="shared" ref="AF5:AF62" si="5">(L5-O5)*(R5-U5)*Q5*V5/100</f>
        <v>41.624487671250002</v>
      </c>
      <c r="AG5" s="772">
        <f>AC5+AD5+AE5+AF5+70-53+68.46</f>
        <v>116.2863251018</v>
      </c>
      <c r="AH5" s="1253">
        <f t="shared" ref="AH5:AH62" si="6">ROUND((31.1035*L5*Q5*1.1023*K5/100),3)</f>
        <v>84.807000000000002</v>
      </c>
      <c r="AI5" s="1253">
        <f t="shared" ref="AI5:AI62" si="7">ROUND((31.1035*L5*1.1023*K5),3)</f>
        <v>109.428</v>
      </c>
      <c r="AJ5" s="156">
        <f t="shared" ref="AJ5:AJ62" si="8">+((+$AJ$2-R5+U5)*L5*Q5*V5)/100</f>
        <v>47.356552389749986</v>
      </c>
      <c r="AK5" s="156">
        <f t="shared" ref="AK5:AK62" si="9">31.1035*1.1023*K5*P5*O5/100</f>
        <v>68.260880077324714</v>
      </c>
      <c r="AL5" s="88"/>
      <c r="AM5" s="716">
        <f t="shared" ref="AM5:AM62" si="10">+IF(AB5*K5&gt;0,AB5*K5,0)</f>
        <v>4.0401000000000006E-2</v>
      </c>
      <c r="AN5" s="716" t="str">
        <f>_xlfn.XLOOKUP(D5,RUC!$B$3:$B$578,RUC!$M$3:$M$578)</f>
        <v>Yuri Rospigliossi</v>
      </c>
      <c r="AO5" s="1167" t="s">
        <v>2279</v>
      </c>
      <c r="AP5" t="s">
        <v>2609</v>
      </c>
      <c r="AQ5" s="1263" t="s">
        <v>2614</v>
      </c>
      <c r="AW5" s="1982" t="s">
        <v>3293</v>
      </c>
      <c r="AX5" s="1983"/>
      <c r="AY5" s="1983"/>
      <c r="AZ5" s="1983"/>
      <c r="BA5" s="1983"/>
      <c r="BB5" s="1983"/>
      <c r="BC5" s="1983"/>
      <c r="BD5" s="1983"/>
      <c r="BE5" s="1984"/>
    </row>
    <row r="6" spans="1:57" ht="15" customHeight="1">
      <c r="A6" s="747" t="s">
        <v>2824</v>
      </c>
      <c r="B6" s="595">
        <v>45923</v>
      </c>
      <c r="C6" s="1447">
        <v>45911</v>
      </c>
      <c r="D6" t="s">
        <v>93</v>
      </c>
      <c r="E6" s="762">
        <f>_xlfn.XLOOKUP(D6,RUC!$B$3:$B$123,RUC!$D$3:$D$123)</f>
        <v>20169040231</v>
      </c>
      <c r="G6" s="1082">
        <v>57</v>
      </c>
      <c r="H6" s="762" t="s">
        <v>69</v>
      </c>
      <c r="I6" s="703">
        <v>6.21</v>
      </c>
      <c r="J6" s="596">
        <v>2.5</v>
      </c>
      <c r="K6" s="703">
        <f t="shared" si="0"/>
        <v>6.0549999999999997</v>
      </c>
      <c r="L6" s="762">
        <v>0.34799999999999998</v>
      </c>
      <c r="M6" s="762">
        <v>0.33100000000000002</v>
      </c>
      <c r="N6" s="764">
        <v>0.33100000000000002</v>
      </c>
      <c r="O6" s="645">
        <f t="shared" si="1"/>
        <v>0.33100000000000002</v>
      </c>
      <c r="P6" s="727">
        <v>80</v>
      </c>
      <c r="Q6" s="881">
        <v>79.599999999999994</v>
      </c>
      <c r="R6" s="706">
        <v>3629.55</v>
      </c>
      <c r="S6" s="765">
        <f>IF((_xlfn.XLOOKUP(D6,RUC!$B$3:$B$119,RUC!$E$3:$E$119)+ROUNDDOWN(O6,1)*100)&lt;95,95,((_xlfn.XLOOKUP(D6,RUC!$B$3:$B$119,RUC!$E$3:$E$119)+ROUNDDOWN(O6,1)*100)))</f>
        <v>115</v>
      </c>
      <c r="U6" s="1146">
        <f>_xlfn.XLOOKUP(D6,RUC!$B$3:$B$123,RUC!$F$3:$F$123)</f>
        <v>120</v>
      </c>
      <c r="V6" s="715">
        <v>1.1023000000000001</v>
      </c>
      <c r="Y6" s="1445">
        <v>30</v>
      </c>
      <c r="Z6" s="1454">
        <v>35</v>
      </c>
      <c r="AA6" s="144">
        <f t="shared" si="2"/>
        <v>65</v>
      </c>
      <c r="AB6" s="145">
        <f t="shared" ref="AB6:AB9" si="11">+((O6*P6*(R6-U6)/100)-S6-AA6+T6)*V6</f>
        <v>825.98518033200003</v>
      </c>
      <c r="AC6" s="145">
        <f>+(S6-T6)*V6-'data 1'!$F$4</f>
        <v>46.764500000000012</v>
      </c>
      <c r="AD6" s="145">
        <f t="shared" si="3"/>
        <v>-5.385059135280077</v>
      </c>
      <c r="AE6" s="145">
        <f t="shared" si="4"/>
        <v>1.6495000000000033</v>
      </c>
      <c r="AF6" s="145">
        <f t="shared" si="5"/>
        <v>52.349583490379885</v>
      </c>
      <c r="AG6" s="772">
        <f t="shared" ref="AG6:AG8" si="12">AC6+AD6+AE6+AF6+70-53</f>
        <v>112.37852435509984</v>
      </c>
      <c r="AH6" s="1253">
        <f t="shared" si="6"/>
        <v>57.506</v>
      </c>
      <c r="AI6" s="1253">
        <f t="shared" si="7"/>
        <v>72.244</v>
      </c>
      <c r="AJ6" s="156">
        <f t="shared" si="8"/>
        <v>134.48960975927992</v>
      </c>
      <c r="AK6" s="156">
        <f t="shared" si="9"/>
        <v>54.9719569254002</v>
      </c>
      <c r="AL6" s="88"/>
      <c r="AM6" s="716">
        <f t="shared" si="10"/>
        <v>5001.3402669102597</v>
      </c>
      <c r="AN6" s="716" t="str">
        <f>_xlfn.XLOOKUP(D6,RUC!$B$3:$B$578,RUC!$M$3:$M$578)</f>
        <v>Ronald Miranda</v>
      </c>
      <c r="AO6" s="1167" t="s">
        <v>2277</v>
      </c>
      <c r="AP6" t="s">
        <v>2838</v>
      </c>
      <c r="AQ6" t="s">
        <v>2839</v>
      </c>
      <c r="AX6" s="1469">
        <f>SUM(AX8:AX17)</f>
        <v>530.51700000000005</v>
      </c>
      <c r="AY6" s="1470">
        <f>SUMPRODUCT(AX8:AX17,AY8:AY17)/SUM(AX8:AX17)</f>
        <v>0.2986008384274208</v>
      </c>
      <c r="AZ6" s="704"/>
      <c r="BA6" s="1471">
        <f>SUMPRODUCT(BA8:BA17,$BC8:$BC17)/SUM($BC8:$BC17)/100</f>
        <v>0.91806464560735723</v>
      </c>
      <c r="BB6" s="707">
        <f>SUM(BB8:BB17)</f>
        <v>5431.2450400801899</v>
      </c>
      <c r="BC6" s="707">
        <f>SUM(BC8:BC17)</f>
        <v>4955.7179999999989</v>
      </c>
    </row>
    <row r="7" spans="1:57" ht="15" customHeight="1" thickBot="1">
      <c r="A7" s="1491" t="s">
        <v>2847</v>
      </c>
      <c r="B7" s="1475">
        <v>45923</v>
      </c>
      <c r="C7" s="1447">
        <v>45918</v>
      </c>
      <c r="D7" t="s">
        <v>119</v>
      </c>
      <c r="E7" s="762">
        <f>_xlfn.XLOOKUP(D7,RUC!$B$3:$B$123,RUC!$D$3:$D$123)</f>
        <v>10082235774</v>
      </c>
      <c r="G7" s="1082">
        <v>70</v>
      </c>
      <c r="H7" s="762" t="s">
        <v>69</v>
      </c>
      <c r="I7" s="703">
        <v>7.01</v>
      </c>
      <c r="J7" s="596">
        <v>1.05</v>
      </c>
      <c r="K7" s="703">
        <f t="shared" si="0"/>
        <v>6.9359999999999999</v>
      </c>
      <c r="L7" s="762">
        <v>7.9000000000000001E-2</v>
      </c>
      <c r="M7" s="762">
        <v>7.1999999999999995E-2</v>
      </c>
      <c r="N7" s="764">
        <v>7.1999999999999995E-2</v>
      </c>
      <c r="O7" s="645">
        <f t="shared" si="1"/>
        <v>7.1999999999999995E-2</v>
      </c>
      <c r="P7" s="727">
        <v>85</v>
      </c>
      <c r="Q7" s="881">
        <v>96.2</v>
      </c>
      <c r="R7" s="706">
        <v>3643.7</v>
      </c>
      <c r="S7" s="1164">
        <v>95</v>
      </c>
      <c r="U7" s="1146">
        <f>_xlfn.XLOOKUP(D7,RUC!$B$3:$B$123,RUC!$F$3:$F$123)</f>
        <v>80</v>
      </c>
      <c r="V7" s="715">
        <v>1.1023000000000001</v>
      </c>
      <c r="Y7">
        <f>_xlfn.XLOOKUP(D7,RUC!$B$3:$B$123,RUC!$G$3:$G$123)</f>
        <v>0</v>
      </c>
      <c r="Z7" s="143">
        <f>_xlfn.XLOOKUP(D7,RUC!$B$3:$B$123,RUC!$H$3:$H$123)</f>
        <v>10</v>
      </c>
      <c r="AA7" s="144">
        <f t="shared" si="2"/>
        <v>10</v>
      </c>
      <c r="AB7" s="145">
        <v>1E-3</v>
      </c>
      <c r="AC7" s="145">
        <f>+(S7-T7)*V7-'data 1'!$F$4</f>
        <v>24.718500000000006</v>
      </c>
      <c r="AD7" s="145">
        <f t="shared" si="3"/>
        <v>34.757302080480009</v>
      </c>
      <c r="AE7" s="145">
        <f t="shared" si="4"/>
        <v>-58.977000000000004</v>
      </c>
      <c r="AF7" s="145">
        <f t="shared" si="5"/>
        <v>26.452946678340023</v>
      </c>
      <c r="AG7" s="772">
        <f>AC7+AD7+AE7+AF7+70+124.67</f>
        <v>221.62174875882005</v>
      </c>
      <c r="AH7" s="1253">
        <f t="shared" si="6"/>
        <v>18.073</v>
      </c>
      <c r="AI7" s="1253">
        <f t="shared" si="7"/>
        <v>18.786000000000001</v>
      </c>
      <c r="AJ7" s="156">
        <f t="shared" si="8"/>
        <v>32.361353603020014</v>
      </c>
      <c r="AK7" s="156">
        <f t="shared" si="9"/>
        <v>14.553571232705758</v>
      </c>
      <c r="AL7" s="88"/>
      <c r="AM7" s="716">
        <f t="shared" si="10"/>
        <v>6.9360000000000003E-3</v>
      </c>
      <c r="AN7" s="716" t="str">
        <f>_xlfn.XLOOKUP(D7,RUC!$B$3:$B$578,RUC!$M$3:$M$578)</f>
        <v>Melchor Vera</v>
      </c>
      <c r="AO7" s="1167" t="s">
        <v>2280</v>
      </c>
      <c r="AP7" t="s">
        <v>2865</v>
      </c>
      <c r="AQ7" t="s">
        <v>2866</v>
      </c>
      <c r="AW7" s="633"/>
      <c r="AX7" s="633" t="s">
        <v>15</v>
      </c>
      <c r="AY7" s="633" t="s">
        <v>2522</v>
      </c>
      <c r="AZ7" s="1438" t="s">
        <v>2522</v>
      </c>
      <c r="BA7" s="633" t="s">
        <v>2523</v>
      </c>
      <c r="BB7" s="633" t="s">
        <v>2558</v>
      </c>
      <c r="BC7" s="633" t="s">
        <v>2559</v>
      </c>
      <c r="BD7" s="1435" t="s">
        <v>2565</v>
      </c>
      <c r="BE7" s="729" t="s">
        <v>2579</v>
      </c>
    </row>
    <row r="8" spans="1:57" ht="15" customHeight="1">
      <c r="A8" s="747" t="s">
        <v>2860</v>
      </c>
      <c r="B8" s="595">
        <v>45929</v>
      </c>
      <c r="C8" s="1447">
        <v>45918</v>
      </c>
      <c r="D8" t="s">
        <v>2444</v>
      </c>
      <c r="E8" s="762">
        <f>_xlfn.XLOOKUP(D8,RUC!$B$3:$B$123,RUC!$D$3:$D$123)</f>
        <v>20608774000</v>
      </c>
      <c r="G8" s="1082">
        <v>5</v>
      </c>
      <c r="H8" s="762" t="s">
        <v>108</v>
      </c>
      <c r="I8" s="703">
        <v>0.38</v>
      </c>
      <c r="J8" s="596">
        <v>5.85</v>
      </c>
      <c r="K8" s="703">
        <f t="shared" si="0"/>
        <v>0.35799999999999998</v>
      </c>
      <c r="L8" s="762">
        <v>2.4180000000000001</v>
      </c>
      <c r="M8" s="762">
        <v>2.2970000000000002</v>
      </c>
      <c r="N8" s="1197">
        <v>2.3420000000000001</v>
      </c>
      <c r="O8" s="645">
        <f t="shared" si="1"/>
        <v>2.3199999999999998</v>
      </c>
      <c r="P8" s="727">
        <v>83</v>
      </c>
      <c r="Q8" s="881">
        <v>83.04</v>
      </c>
      <c r="R8" s="706">
        <v>3643.7</v>
      </c>
      <c r="S8" s="765">
        <f>IF((_xlfn.XLOOKUP(D8,RUC!$B$3:$B$119,RUC!$E$3:$E$119)+ROUNDDOWN(O8,1)*100)&lt;95,95,((_xlfn.XLOOKUP(D8,RUC!$B$3:$B$119,RUC!$E$3:$E$119)+ROUNDDOWN(O8,1)*100)))</f>
        <v>315</v>
      </c>
      <c r="U8" s="1146">
        <f>_xlfn.XLOOKUP(D8,RUC!$B$3:$B$123,RUC!$F$3:$F$123)</f>
        <v>120</v>
      </c>
      <c r="V8" s="715">
        <v>1.1023000000000001</v>
      </c>
      <c r="Y8">
        <f>_xlfn.XLOOKUP(D8,RUC!$B$3:$B$123,RUC!$G$3:$G$123)</f>
        <v>20</v>
      </c>
      <c r="Z8" s="143">
        <f>_xlfn.XLOOKUP(D8,RUC!$B$3:$B$123,RUC!$H$3:$H$123)</f>
        <v>30</v>
      </c>
      <c r="AA8" s="144">
        <f t="shared" si="2"/>
        <v>50</v>
      </c>
      <c r="AB8" s="145">
        <f t="shared" si="11"/>
        <v>7077.026936455999</v>
      </c>
      <c r="AC8" s="145">
        <f>+(S8-T8)*V8-'data 1'!$F$4</f>
        <v>267.22450000000003</v>
      </c>
      <c r="AD8" s="145">
        <f t="shared" si="3"/>
        <v>3.7567735860725877</v>
      </c>
      <c r="AE8" s="145">
        <f t="shared" si="4"/>
        <v>-14.884999999999998</v>
      </c>
      <c r="AF8" s="145">
        <f t="shared" si="5"/>
        <v>316.09101428419302</v>
      </c>
      <c r="AG8" s="772">
        <f t="shared" si="12"/>
        <v>589.18728787026566</v>
      </c>
      <c r="AH8" s="1253">
        <f t="shared" si="6"/>
        <v>24.645</v>
      </c>
      <c r="AI8" s="1253">
        <f t="shared" si="7"/>
        <v>29.678999999999998</v>
      </c>
      <c r="AJ8" s="156">
        <f t="shared" si="8"/>
        <v>943.53665622652841</v>
      </c>
      <c r="AK8" s="156">
        <f t="shared" si="9"/>
        <v>23.635139676010638</v>
      </c>
      <c r="AL8" s="88"/>
      <c r="AM8" s="716">
        <f t="shared" si="10"/>
        <v>2533.5756432512476</v>
      </c>
      <c r="AN8" s="716" t="str">
        <f>_xlfn.XLOOKUP(D8,RUC!$B$3:$B$578,RUC!$M$3:$M$578)</f>
        <v>Ronald Miranda</v>
      </c>
      <c r="AO8" s="1167" t="s">
        <v>2281</v>
      </c>
      <c r="AP8" t="s">
        <v>2869</v>
      </c>
      <c r="AQ8" t="s">
        <v>2870</v>
      </c>
      <c r="AW8" s="1225" t="s">
        <v>2277</v>
      </c>
      <c r="AX8" s="1227">
        <f t="shared" ref="AX8:AX17" si="13">SUMIF($AO$4:$AO$1677,AW8,$K$4:$K$1677)</f>
        <v>106.301</v>
      </c>
      <c r="AY8" s="1227" cm="1">
        <f t="array" ref="AY8">+SUMPRODUCT(IF($AO$4:$AO$1677=AW8,$L$4:$L$1677*$K$4:$K$1677/AX8))</f>
        <v>0.30365047365499853</v>
      </c>
      <c r="AZ8" s="1228">
        <f t="shared" ref="AZ8:AZ17" si="14">31.1035*1.1023*AY8*(100-BA8)/100</f>
        <v>0.87544465111171132</v>
      </c>
      <c r="BA8" s="1229" cm="1">
        <f t="array" ref="BA8">+SUMPRODUCT(IF($AO$4:$AO$1677=AW8,($Q$4:$Q$1677*$AH$4:$AH$1677)/SUMIF($AO$4:$AO$1677,$AW8,$AH$4:$AH$1677)))</f>
        <v>91.59097465632037</v>
      </c>
      <c r="BB8" s="1441">
        <f t="shared" ref="BB8:BB17" si="15">+AY8*31.1035*1.1023*AX8</f>
        <v>1106.6757210783296</v>
      </c>
      <c r="BC8" s="1230">
        <f t="shared" ref="BC8:BC17" si="16">SUMIF($AO$4:$AO$777,$AW8,$AH$4:$AH$777)</f>
        <v>1009.4429999999999</v>
      </c>
      <c r="BD8" s="1229">
        <f>+BB8-BC8</f>
        <v>97.232721078329746</v>
      </c>
      <c r="BE8" s="1231">
        <f>+AX8</f>
        <v>106.301</v>
      </c>
    </row>
    <row r="9" spans="1:57" ht="15" customHeight="1">
      <c r="A9" s="747" t="s">
        <v>2862</v>
      </c>
      <c r="B9" s="595">
        <v>45927</v>
      </c>
      <c r="C9" s="1447">
        <v>45919</v>
      </c>
      <c r="D9" t="s">
        <v>2004</v>
      </c>
      <c r="E9" s="762">
        <f>_xlfn.XLOOKUP(D9,RUC!$B$3:$B$123,RUC!$D$3:$D$123)</f>
        <v>20612921866</v>
      </c>
      <c r="G9" s="1082">
        <v>50</v>
      </c>
      <c r="H9" s="762" t="s">
        <v>69</v>
      </c>
      <c r="I9" s="703">
        <v>5.21</v>
      </c>
      <c r="J9" s="596">
        <v>1.2</v>
      </c>
      <c r="K9" s="703">
        <f t="shared" si="0"/>
        <v>5.1470000000000002</v>
      </c>
      <c r="L9" s="994">
        <v>0.81200000000000006</v>
      </c>
      <c r="M9" s="762">
        <v>0.77100000000000002</v>
      </c>
      <c r="N9" s="764">
        <v>0.77100000000000002</v>
      </c>
      <c r="O9" s="645">
        <f t="shared" si="1"/>
        <v>0.77100000000000002</v>
      </c>
      <c r="P9" s="727">
        <v>90</v>
      </c>
      <c r="Q9" s="881">
        <v>95.32</v>
      </c>
      <c r="R9" s="706">
        <v>3663.15</v>
      </c>
      <c r="S9" s="765">
        <f>IF((_xlfn.XLOOKUP(D9,RUC!$B$3:$B$119,RUC!$E$3:$E$119)+ROUNDDOWN(O9,1)*100)&lt;95,95,((_xlfn.XLOOKUP(D9,RUC!$B$3:$B$119,RUC!$E$3:$E$119)+ROUNDDOWN(O9,1)*100)))</f>
        <v>150</v>
      </c>
      <c r="U9" s="1146">
        <f>_xlfn.XLOOKUP(D9,RUC!$B$3:$B$123,RUC!$F$3:$F$123)</f>
        <v>100</v>
      </c>
      <c r="V9" s="715">
        <v>1.1023000000000001</v>
      </c>
      <c r="Y9">
        <f>_xlfn.XLOOKUP(D9,RUC!$B$3:$B$123,RUC!$G$3:$G$123)</f>
        <v>0</v>
      </c>
      <c r="Z9" s="143">
        <f>_xlfn.XLOOKUP(D9,RUC!$B$3:$B$123,RUC!$H$3:$H$123)</f>
        <v>30</v>
      </c>
      <c r="AA9" s="144">
        <f t="shared" si="2"/>
        <v>30</v>
      </c>
      <c r="AB9" s="145">
        <f t="shared" si="11"/>
        <v>2526.9894440055</v>
      </c>
      <c r="AC9" s="145">
        <f>+(S9-T9)*V9-'data 1'!$F$4</f>
        <v>85.344999999999999</v>
      </c>
      <c r="AD9" s="145">
        <f t="shared" si="3"/>
        <v>169.66863832760779</v>
      </c>
      <c r="AE9" s="145">
        <f t="shared" si="4"/>
        <v>-36.930999999999997</v>
      </c>
      <c r="AF9" s="145">
        <f t="shared" si="5"/>
        <v>153.49767556689412</v>
      </c>
      <c r="AG9" s="772">
        <f>AC9+AD9+AE9+AF9+70-10</f>
        <v>431.58031389450196</v>
      </c>
      <c r="AH9" s="1253">
        <f t="shared" si="6"/>
        <v>136.58500000000001</v>
      </c>
      <c r="AI9" s="1253">
        <f t="shared" si="7"/>
        <v>143.291</v>
      </c>
      <c r="AJ9" s="156">
        <f t="shared" si="8"/>
        <v>330.05207809039194</v>
      </c>
      <c r="AK9" s="156">
        <f t="shared" si="9"/>
        <v>122.45037656235557</v>
      </c>
      <c r="AL9" s="88"/>
      <c r="AM9" s="716">
        <f t="shared" si="10"/>
        <v>13006.414668296309</v>
      </c>
      <c r="AN9" s="716" t="str">
        <f>_xlfn.XLOOKUP(D9,RUC!$B$3:$B$578,RUC!$M$3:$M$578)</f>
        <v>Ronald Garibay</v>
      </c>
      <c r="AO9" s="1167" t="s">
        <v>2280</v>
      </c>
      <c r="AP9" t="s">
        <v>2889</v>
      </c>
      <c r="AQ9" t="s">
        <v>2890</v>
      </c>
      <c r="AW9" s="1232" t="s">
        <v>2278</v>
      </c>
      <c r="AX9" s="1234">
        <f t="shared" si="13"/>
        <v>103.64500000000001</v>
      </c>
      <c r="AY9" s="1234" cm="1">
        <f t="array" ref="AY9">+SUMPRODUCT(IF($AO$4:$AO$1677=AW9,$L$4:$L$1677*$K$4:$K$1677/AX9))</f>
        <v>0.29825585411742012</v>
      </c>
      <c r="AZ9" s="1235">
        <f t="shared" si="14"/>
        <v>0.61556923744460312</v>
      </c>
      <c r="BA9" s="1236" cm="1">
        <f t="array" ref="BA9">+SUMPRODUCT(IF($AO$4:$AO$1677=AW9,($Q$4:$Q$1677*$AH$4:$AH$1677)/SUMIF($AO$4:$AO$1677,$AW9,$AH$4:$AH$1677)))</f>
        <v>93.98024436080766</v>
      </c>
      <c r="BB9" s="1481">
        <f t="shared" si="15"/>
        <v>1059.8548751641008</v>
      </c>
      <c r="BC9" s="1237">
        <f t="shared" si="16"/>
        <v>993.44899999999996</v>
      </c>
      <c r="BD9" s="1236">
        <f t="shared" ref="BD9:BD17" si="17">+BD8+BB9-BC9</f>
        <v>163.63859624243071</v>
      </c>
      <c r="BE9" s="1238">
        <f t="shared" ref="BE9:BE17" si="18">+BE8+AX9</f>
        <v>209.94600000000003</v>
      </c>
    </row>
    <row r="10" spans="1:57" ht="15" customHeight="1">
      <c r="A10" s="747" t="s">
        <v>2882</v>
      </c>
      <c r="B10" s="595">
        <v>45933</v>
      </c>
      <c r="C10" s="1447">
        <v>45920</v>
      </c>
      <c r="D10" t="s">
        <v>93</v>
      </c>
      <c r="E10" s="762">
        <f>_xlfn.XLOOKUP(D10,RUC!$B$3:$B$123,RUC!$D$3:$D$123)</f>
        <v>20169040231</v>
      </c>
      <c r="G10" s="1082">
        <v>100</v>
      </c>
      <c r="H10" s="762" t="s">
        <v>69</v>
      </c>
      <c r="I10" s="703">
        <v>10.029999999999999</v>
      </c>
      <c r="J10" s="596">
        <v>1.3</v>
      </c>
      <c r="K10" s="703">
        <f t="shared" si="0"/>
        <v>9.9</v>
      </c>
      <c r="L10" s="994">
        <v>0.221</v>
      </c>
      <c r="M10" s="762">
        <v>0.20599999999999999</v>
      </c>
      <c r="N10" s="1444">
        <v>0.26</v>
      </c>
      <c r="O10" s="645">
        <f t="shared" si="1"/>
        <v>0.23300000000000001</v>
      </c>
      <c r="P10" s="727">
        <v>85</v>
      </c>
      <c r="Q10" s="881">
        <v>85.4</v>
      </c>
      <c r="R10" s="706">
        <v>3663.15</v>
      </c>
      <c r="S10" s="765">
        <f>IF((_xlfn.XLOOKUP(D10,RUC!$B$3:$B$119,RUC!$E$3:$E$119)+ROUNDDOWN(O10,1)*100)&lt;95,95,((_xlfn.XLOOKUP(D10,RUC!$B$3:$B$119,RUC!$E$3:$E$119)+ROUNDDOWN(O10,1)*100)))</f>
        <v>105</v>
      </c>
      <c r="U10" s="1146">
        <f>_xlfn.XLOOKUP(D10,RUC!$B$3:$B$123,RUC!$F$3:$F$123)</f>
        <v>120</v>
      </c>
      <c r="V10" s="715">
        <v>1.1023000000000001</v>
      </c>
      <c r="Y10" s="1445">
        <v>30</v>
      </c>
      <c r="Z10" s="143">
        <f>_xlfn.XLOOKUP(D10,RUC!$B$3:$B$123,RUC!$H$3:$H$123)</f>
        <v>30</v>
      </c>
      <c r="AA10" s="144">
        <f t="shared" si="2"/>
        <v>60</v>
      </c>
      <c r="AB10" s="145">
        <f>+((O10*P10*(R10-U10)/100)-S10-AA10+T10)*V10</f>
        <v>591.62740122225</v>
      </c>
      <c r="AC10" s="145">
        <f>+(S10-T10)*V10-'data 1'!$F$4</f>
        <v>35.741500000000002</v>
      </c>
      <c r="AD10" s="145">
        <f t="shared" si="3"/>
        <v>3.4525629925800496</v>
      </c>
      <c r="AE10" s="145">
        <f t="shared" si="4"/>
        <v>-3.8619999999999948</v>
      </c>
      <c r="AF10" s="145">
        <f t="shared" si="5"/>
        <v>-40.024734782760035</v>
      </c>
      <c r="AG10" s="772">
        <f t="shared" ref="AG10:AG15" si="19">AC10+AD10+AE10+AF10+70-53</f>
        <v>12.307328209820014</v>
      </c>
      <c r="AH10" s="1253">
        <f t="shared" si="6"/>
        <v>64.061000000000007</v>
      </c>
      <c r="AI10" s="1253">
        <f t="shared" si="7"/>
        <v>75.013000000000005</v>
      </c>
      <c r="AJ10" s="156">
        <f t="shared" si="8"/>
        <v>84.64167947416999</v>
      </c>
      <c r="AK10" s="156">
        <f t="shared" si="9"/>
        <v>67.22318892269476</v>
      </c>
      <c r="AL10" s="88"/>
      <c r="AM10" s="716">
        <f t="shared" si="10"/>
        <v>5857.1112721002755</v>
      </c>
      <c r="AN10" s="716" t="str">
        <f>_xlfn.XLOOKUP(D10,RUC!$B$3:$B$578,RUC!$M$3:$M$578)</f>
        <v>Ronald Miranda</v>
      </c>
      <c r="AO10" s="1167" t="s">
        <v>2278</v>
      </c>
      <c r="AP10" t="s">
        <v>2899</v>
      </c>
      <c r="AQ10" t="s">
        <v>2900</v>
      </c>
      <c r="AW10" s="1232" t="s">
        <v>2280</v>
      </c>
      <c r="AX10" s="1234">
        <f t="shared" si="13"/>
        <v>109.55900000000001</v>
      </c>
      <c r="AY10" s="1234" cm="1">
        <f t="array" ref="AY10">+SUMPRODUCT(IF($AO$4:$AO$1677=AW10,$L$4:$L$1677*$K$4:$K$1677/AX10))</f>
        <v>0.29254150731569284</v>
      </c>
      <c r="AZ10" s="1235">
        <f t="shared" si="14"/>
        <v>0.57580544892870511</v>
      </c>
      <c r="BA10" s="1236" cm="1">
        <f t="array" ref="BA10">+SUMPRODUCT(IF($AO$4:$AO$1677=AW10,($Q$4:$Q$1677*$AH$4:$AH$1677)/SUMIF($AO$4:$AO$1677,$AW10,$AH$4:$AH$1677)))</f>
        <v>94.259110253828794</v>
      </c>
      <c r="BB10" s="1237">
        <f t="shared" si="15"/>
        <v>1098.8657153928675</v>
      </c>
      <c r="BC10" s="1237">
        <f t="shared" si="16"/>
        <v>1032.9799999999998</v>
      </c>
      <c r="BD10" s="1236">
        <f t="shared" si="17"/>
        <v>229.52431163529832</v>
      </c>
      <c r="BE10" s="1238">
        <f t="shared" si="18"/>
        <v>319.50500000000005</v>
      </c>
    </row>
    <row r="11" spans="1:57" ht="15" customHeight="1">
      <c r="A11" s="747" t="s">
        <v>2883</v>
      </c>
      <c r="B11" s="595">
        <v>45933</v>
      </c>
      <c r="C11" s="1447">
        <v>45920</v>
      </c>
      <c r="D11" t="s">
        <v>93</v>
      </c>
      <c r="E11" s="762">
        <f>_xlfn.XLOOKUP(D11,RUC!$B$3:$B$123,RUC!$D$3:$D$123)</f>
        <v>20169040231</v>
      </c>
      <c r="G11" s="1082">
        <v>100</v>
      </c>
      <c r="H11" s="762" t="s">
        <v>69</v>
      </c>
      <c r="I11" s="703">
        <v>9.91</v>
      </c>
      <c r="J11" s="596">
        <v>1.1000000000000001</v>
      </c>
      <c r="K11" s="703">
        <f t="shared" si="0"/>
        <v>9.8010000000000002</v>
      </c>
      <c r="L11" s="994">
        <v>0.19</v>
      </c>
      <c r="M11" s="762">
        <v>0.17499999999999999</v>
      </c>
      <c r="N11" s="1197">
        <v>0.217</v>
      </c>
      <c r="O11" s="645">
        <f t="shared" si="1"/>
        <v>0.19600000000000001</v>
      </c>
      <c r="P11" s="727">
        <v>90</v>
      </c>
      <c r="Q11" s="881">
        <v>97.73</v>
      </c>
      <c r="R11" s="706">
        <v>3663.15</v>
      </c>
      <c r="S11" s="765">
        <f>IF((_xlfn.XLOOKUP(D11,RUC!$B$3:$B$119,RUC!$E$3:$E$119)+ROUNDDOWN(O11,1)*100)&lt;95,95,((_xlfn.XLOOKUP(D11,RUC!$B$3:$B$119,RUC!$E$3:$E$119)+ROUNDDOWN(O11,1)*100)))</f>
        <v>95</v>
      </c>
      <c r="U11" s="1146">
        <f>_xlfn.XLOOKUP(D11,RUC!$B$3:$B$123,RUC!$F$3:$F$123)</f>
        <v>120</v>
      </c>
      <c r="V11" s="715">
        <v>1.1023000000000001</v>
      </c>
      <c r="Y11">
        <f>_xlfn.XLOOKUP(D11,RUC!$B$3:$B$123,RUC!$G$3:$G$123)</f>
        <v>20</v>
      </c>
      <c r="Z11" s="143">
        <f>_xlfn.XLOOKUP(D11,RUC!$B$3:$B$123,RUC!$H$3:$H$123)</f>
        <v>30</v>
      </c>
      <c r="AA11" s="144">
        <f t="shared" si="2"/>
        <v>50</v>
      </c>
      <c r="AB11" s="145">
        <f>+((O11*P11*(R11-U11)/100)-S11-AA11+T11)*V11</f>
        <v>529.11685281799998</v>
      </c>
      <c r="AC11" s="145">
        <f>+(S11-T11)*V11-'data 1'!$F$4</f>
        <v>24.718500000000006</v>
      </c>
      <c r="AD11" s="145">
        <f t="shared" si="3"/>
        <v>57.361756416315039</v>
      </c>
      <c r="AE11" s="145">
        <f t="shared" si="4"/>
        <v>-14.884999999999998</v>
      </c>
      <c r="AF11" s="145">
        <f t="shared" si="5"/>
        <v>-22.901740809831022</v>
      </c>
      <c r="AG11" s="772">
        <f t="shared" si="19"/>
        <v>61.293515606484036</v>
      </c>
      <c r="AH11" s="1253">
        <f t="shared" si="6"/>
        <v>62.396999999999998</v>
      </c>
      <c r="AI11" s="1253">
        <f t="shared" si="7"/>
        <v>63.845999999999997</v>
      </c>
      <c r="AJ11" s="156">
        <f t="shared" si="8"/>
        <v>83.275189083685007</v>
      </c>
      <c r="AK11" s="156">
        <f t="shared" si="9"/>
        <v>59.275883972248032</v>
      </c>
      <c r="AL11" s="88"/>
      <c r="AM11" s="716">
        <f t="shared" si="10"/>
        <v>5185.8742744692181</v>
      </c>
      <c r="AN11" s="716" t="str">
        <f>_xlfn.XLOOKUP(D11,RUC!$B$3:$B$578,RUC!$M$3:$M$578)</f>
        <v>Ronald Miranda</v>
      </c>
      <c r="AO11" s="1167" t="s">
        <v>2277</v>
      </c>
      <c r="AP11" t="s">
        <v>2899</v>
      </c>
      <c r="AQ11" t="s">
        <v>2900</v>
      </c>
      <c r="AW11" s="1232" t="s">
        <v>2279</v>
      </c>
      <c r="AX11" s="1234">
        <f t="shared" si="13"/>
        <v>108.39899999999997</v>
      </c>
      <c r="AY11" s="1234" cm="1">
        <f t="array" ref="AY11">+SUMPRODUCT(IF($AO$4:$AO$1677=AW11,$L$4:$L$1677*$K$4:$K$1677/AX11))</f>
        <v>0.30598084853181312</v>
      </c>
      <c r="AZ11" s="1235">
        <f t="shared" si="14"/>
        <v>1.1122898639018692</v>
      </c>
      <c r="BA11" s="1236" cm="1">
        <f t="array" ref="BA11">+SUMPRODUCT(IF($AO$4:$AO$1677=AW11,($Q$4:$Q$1677*$AH$4:$AH$1677)/SUMIF($AO$4:$AO$1677,$AW11,$AH$4:$AH$1677)))</f>
        <v>89.397344132447969</v>
      </c>
      <c r="BB11" s="1237">
        <f t="shared" si="15"/>
        <v>1137.178367979385</v>
      </c>
      <c r="BC11" s="1237">
        <f t="shared" si="16"/>
        <v>1007.49</v>
      </c>
      <c r="BD11" s="1236">
        <f t="shared" si="17"/>
        <v>359.21267961468334</v>
      </c>
      <c r="BE11" s="1238">
        <f t="shared" si="18"/>
        <v>427.904</v>
      </c>
    </row>
    <row r="12" spans="1:57" ht="15" customHeight="1">
      <c r="A12" s="747" t="s">
        <v>2908</v>
      </c>
      <c r="B12" s="595">
        <v>45933</v>
      </c>
      <c r="C12" s="1447">
        <v>45922</v>
      </c>
      <c r="D12" t="s">
        <v>93</v>
      </c>
      <c r="E12" s="762">
        <f>_xlfn.XLOOKUP(D12,RUC!$B$3:$B$123,RUC!$D$3:$D$123)</f>
        <v>20169040231</v>
      </c>
      <c r="G12" s="1082">
        <v>66</v>
      </c>
      <c r="H12" s="762" t="s">
        <v>69</v>
      </c>
      <c r="I12" s="703">
        <v>5.43</v>
      </c>
      <c r="J12" s="596">
        <v>1.1000000000000001</v>
      </c>
      <c r="K12" s="703">
        <f t="shared" si="0"/>
        <v>5.37</v>
      </c>
      <c r="L12" s="994">
        <v>1.141</v>
      </c>
      <c r="M12" s="762">
        <v>1.093</v>
      </c>
      <c r="N12" s="1196">
        <v>1.093</v>
      </c>
      <c r="O12" s="645">
        <f t="shared" si="1"/>
        <v>1.093</v>
      </c>
      <c r="P12" s="727">
        <v>90</v>
      </c>
      <c r="Q12" s="665">
        <v>90.53</v>
      </c>
      <c r="R12" s="706">
        <v>3719.7</v>
      </c>
      <c r="S12" s="765">
        <f>IF((_xlfn.XLOOKUP(D12,RUC!$B$3:$B$119,RUC!$E$3:$E$119)+ROUNDDOWN(O12,1)*100)&lt;95,95,((_xlfn.XLOOKUP(D12,RUC!$B$3:$B$119,RUC!$E$3:$E$119)+ROUNDDOWN(O12,1)*100)))</f>
        <v>185</v>
      </c>
      <c r="U12" s="1146">
        <f>_xlfn.XLOOKUP(D12,RUC!$B$3:$B$123,RUC!$F$3:$F$123)</f>
        <v>120</v>
      </c>
      <c r="V12" s="715">
        <v>1.1023000000000001</v>
      </c>
      <c r="Y12">
        <f>_xlfn.XLOOKUP(D12,RUC!$B$3:$B$123,RUC!$G$3:$G$123)</f>
        <v>20</v>
      </c>
      <c r="Z12" s="1454">
        <v>35</v>
      </c>
      <c r="AA12" s="144">
        <f t="shared" si="2"/>
        <v>55</v>
      </c>
      <c r="AB12" s="145">
        <f>+((O12*P12*(R12-U12)/100)-S12-AA12+T12)*V12</f>
        <v>3638.7197362470001</v>
      </c>
      <c r="AC12" s="145">
        <f>+(S12-T12)*V12-'data 1'!$F$4</f>
        <v>123.9255</v>
      </c>
      <c r="AD12" s="145">
        <f t="shared" si="3"/>
        <v>23.995379862363052</v>
      </c>
      <c r="AE12" s="145">
        <f t="shared" si="4"/>
        <v>-9.3734999999999999</v>
      </c>
      <c r="AF12" s="145">
        <f t="shared" si="5"/>
        <v>172.42485649646417</v>
      </c>
      <c r="AG12" s="772">
        <f t="shared" si="19"/>
        <v>327.97223635882722</v>
      </c>
      <c r="AH12" s="1253">
        <f t="shared" si="6"/>
        <v>190.179</v>
      </c>
      <c r="AI12" s="1253">
        <f t="shared" si="7"/>
        <v>210.072</v>
      </c>
      <c r="AJ12" s="156">
        <f t="shared" si="8"/>
        <v>398.85781841913717</v>
      </c>
      <c r="AK12" s="156">
        <f t="shared" si="9"/>
        <v>181.11149952709545</v>
      </c>
      <c r="AL12" s="88"/>
      <c r="AM12" s="716">
        <f t="shared" si="10"/>
        <v>19539.92498364639</v>
      </c>
      <c r="AN12" s="716" t="str">
        <f>_xlfn.XLOOKUP(D12,RUC!$B$3:$B$578,RUC!$M$3:$M$578)</f>
        <v>Ronald Miranda</v>
      </c>
      <c r="AO12" s="1167" t="s">
        <v>2279</v>
      </c>
      <c r="AP12" t="s">
        <v>2963</v>
      </c>
      <c r="AQ12" t="s">
        <v>2964</v>
      </c>
      <c r="AW12" s="1232" t="s">
        <v>2281</v>
      </c>
      <c r="AX12" s="1234">
        <f t="shared" si="13"/>
        <v>102.61300000000001</v>
      </c>
      <c r="AY12" s="1234" cm="1">
        <f t="array" ref="AY12">+SUMPRODUCT(IF($AO$4:$AO$1677=AW12,$L$4:$L$1677*$K$4:$K$1677/AX12))</f>
        <v>0.292391519593034</v>
      </c>
      <c r="AZ12" s="1235">
        <f t="shared" si="14"/>
        <v>1.0464536682599179</v>
      </c>
      <c r="BA12" s="1236" cm="1">
        <f t="array" ref="BA12">+SUMPRODUCT(IF($AO$4:$AO$1677=AW12,($Q$4:$Q$1677*$AH$4:$AH$1677)/SUMIF($AO$4:$AO$1677,$AW12,$AH$4:$AH$1677)))</f>
        <v>89.561306091043377</v>
      </c>
      <c r="BB12" s="1237">
        <f t="shared" si="15"/>
        <v>1028.6703604655065</v>
      </c>
      <c r="BC12" s="1237">
        <f t="shared" si="16"/>
        <v>912.35600000000022</v>
      </c>
      <c r="BD12" s="1236">
        <f t="shared" si="17"/>
        <v>475.52704008018964</v>
      </c>
      <c r="BE12" s="1238">
        <f t="shared" si="18"/>
        <v>530.51700000000005</v>
      </c>
    </row>
    <row r="13" spans="1:57" ht="15" customHeight="1">
      <c r="A13" s="747" t="s">
        <v>2909</v>
      </c>
      <c r="B13" s="595">
        <v>45933</v>
      </c>
      <c r="C13" s="1447">
        <v>45922</v>
      </c>
      <c r="D13" t="s">
        <v>93</v>
      </c>
      <c r="E13" s="762">
        <f>_xlfn.XLOOKUP(D13,RUC!$B$3:$B$123,RUC!$D$3:$D$123)</f>
        <v>20169040231</v>
      </c>
      <c r="G13" s="1082">
        <v>66</v>
      </c>
      <c r="H13" s="762" t="s">
        <v>69</v>
      </c>
      <c r="I13" s="703">
        <v>5.31</v>
      </c>
      <c r="J13" s="596">
        <v>1.3</v>
      </c>
      <c r="K13" s="703">
        <f t="shared" si="0"/>
        <v>5.2409999999999997</v>
      </c>
      <c r="L13" s="994">
        <v>0.81100000000000005</v>
      </c>
      <c r="M13" s="994">
        <v>0.77100000000000002</v>
      </c>
      <c r="N13" s="1196">
        <v>0.77100000000000002</v>
      </c>
      <c r="O13" s="645">
        <f t="shared" si="1"/>
        <v>0.77100000000000002</v>
      </c>
      <c r="P13" s="727">
        <v>87</v>
      </c>
      <c r="Q13" s="665">
        <v>87.81</v>
      </c>
      <c r="R13" s="706">
        <v>3719.7</v>
      </c>
      <c r="S13" s="765">
        <f>IF((_xlfn.XLOOKUP(D13,RUC!$B$3:$B$119,RUC!$E$3:$E$119)+ROUNDDOWN(O13,1)*100)&lt;95,95,((_xlfn.XLOOKUP(D13,RUC!$B$3:$B$119,RUC!$E$3:$E$119)+ROUNDDOWN(O13,1)*100)))</f>
        <v>155</v>
      </c>
      <c r="U13" s="1146">
        <f>_xlfn.XLOOKUP(D13,RUC!$B$3:$B$123,RUC!$F$3:$F$123)</f>
        <v>120</v>
      </c>
      <c r="V13" s="715">
        <v>1.1023000000000001</v>
      </c>
      <c r="Y13">
        <f>_xlfn.XLOOKUP(D13,RUC!$B$3:$B$123,RUC!$G$3:$G$123)</f>
        <v>20</v>
      </c>
      <c r="Z13" s="1454">
        <v>35</v>
      </c>
      <c r="AA13" s="144">
        <f t="shared" si="2"/>
        <v>55</v>
      </c>
      <c r="AB13" s="145">
        <f t="shared" ref="AB13" si="20">+((O13*P13*(R13-U13)/100)-S13-AA13+T13)*V13</f>
        <v>2430.0983586687003</v>
      </c>
      <c r="AC13" s="145">
        <f>+(S13-T13)*V13-'data 1'!$F$4</f>
        <v>90.856500000000011</v>
      </c>
      <c r="AD13" s="145">
        <f t="shared" si="3"/>
        <v>26.065855812321075</v>
      </c>
      <c r="AE13" s="145">
        <f t="shared" si="4"/>
        <v>-9.3734999999999999</v>
      </c>
      <c r="AF13" s="145">
        <f t="shared" si="5"/>
        <v>139.37025156444011</v>
      </c>
      <c r="AG13" s="772">
        <f t="shared" si="19"/>
        <v>263.91910737676119</v>
      </c>
      <c r="AH13" s="1253">
        <f t="shared" si="6"/>
        <v>127.964</v>
      </c>
      <c r="AI13" s="1253">
        <f t="shared" si="7"/>
        <v>145.72800000000001</v>
      </c>
      <c r="AJ13" s="156">
        <f t="shared" si="8"/>
        <v>274.98232275447918</v>
      </c>
      <c r="AK13" s="156">
        <f t="shared" si="9"/>
        <v>120.53047265938643</v>
      </c>
      <c r="AL13" s="88"/>
      <c r="AM13" s="716">
        <f t="shared" si="10"/>
        <v>12736.145497782658</v>
      </c>
      <c r="AN13" s="716" t="str">
        <f>_xlfn.XLOOKUP(D13,RUC!$B$3:$B$578,RUC!$M$3:$M$578)</f>
        <v>Ronald Miranda</v>
      </c>
      <c r="AO13" s="1167" t="s">
        <v>2279</v>
      </c>
      <c r="AP13" t="s">
        <v>2963</v>
      </c>
      <c r="AQ13" t="s">
        <v>2964</v>
      </c>
      <c r="AW13" s="1232" t="s">
        <v>2297</v>
      </c>
      <c r="AX13" s="1234">
        <f t="shared" si="13"/>
        <v>0</v>
      </c>
      <c r="AY13" s="1234" cm="1">
        <f t="array" ref="AY13">+SUMPRODUCT(IF($AO$4:$AO$1677=AW13,$L$4:$L$1677*$K$4:$K$1677/AX13))</f>
        <v>0</v>
      </c>
      <c r="AZ13" s="1235">
        <f t="shared" si="14"/>
        <v>0</v>
      </c>
      <c r="BA13" s="1236" cm="1">
        <f t="array" ref="BA13">+SUMPRODUCT(IF('29'!$AO$4:$AO$1569=AW13,('29'!$Q$4:$Q$1569*'29'!$AH$4:$AH$1569)/SUMIF('29'!$AO$4:$AO$1569,#REF!,'29'!$AH$4:$AH$1569)))</f>
        <v>0</v>
      </c>
      <c r="BB13" s="1237">
        <f t="shared" si="15"/>
        <v>0</v>
      </c>
      <c r="BC13" s="1237">
        <f t="shared" si="16"/>
        <v>0</v>
      </c>
      <c r="BD13" s="1236">
        <f t="shared" si="17"/>
        <v>475.52704008018964</v>
      </c>
      <c r="BE13" s="1238">
        <f t="shared" si="18"/>
        <v>530.51700000000005</v>
      </c>
    </row>
    <row r="14" spans="1:57" ht="15" customHeight="1">
      <c r="A14" s="747" t="s">
        <v>2913</v>
      </c>
      <c r="B14" s="595">
        <v>45933</v>
      </c>
      <c r="C14" s="1447">
        <v>45923</v>
      </c>
      <c r="D14" t="s">
        <v>93</v>
      </c>
      <c r="E14" s="762">
        <f>_xlfn.XLOOKUP(D14,RUC!$B$3:$B$123,RUC!$D$3:$D$123)</f>
        <v>20169040231</v>
      </c>
      <c r="G14" s="1082">
        <v>100</v>
      </c>
      <c r="H14" s="762" t="s">
        <v>69</v>
      </c>
      <c r="I14" s="703">
        <v>9.3699999999999992</v>
      </c>
      <c r="J14" s="596">
        <v>1.3</v>
      </c>
      <c r="K14" s="703">
        <f t="shared" si="0"/>
        <v>9.2479999999999993</v>
      </c>
      <c r="L14" s="994">
        <v>0.17599999999999999</v>
      </c>
      <c r="M14" s="994">
        <v>0.161</v>
      </c>
      <c r="N14" s="1196">
        <v>0.161</v>
      </c>
      <c r="O14" s="645">
        <f t="shared" si="1"/>
        <v>0.161</v>
      </c>
      <c r="P14" s="727">
        <v>89</v>
      </c>
      <c r="Q14" s="881">
        <v>93.18</v>
      </c>
      <c r="R14" s="706">
        <v>3783.8</v>
      </c>
      <c r="S14" s="765">
        <f>IF((_xlfn.XLOOKUP(D14,RUC!$B$3:$B$119,RUC!$E$3:$E$119)+ROUNDDOWN(O14,1)*100)&lt;95,95,((_xlfn.XLOOKUP(D14,RUC!$B$3:$B$119,RUC!$E$3:$E$119)+ROUNDDOWN(O14,1)*100)))</f>
        <v>95</v>
      </c>
      <c r="U14" s="1146">
        <f>_xlfn.XLOOKUP(D14,RUC!$B$3:$B$123,RUC!$F$3:$F$123)</f>
        <v>120</v>
      </c>
      <c r="V14" s="715">
        <v>1.1023000000000001</v>
      </c>
      <c r="Y14">
        <f>_xlfn.XLOOKUP(D14,RUC!$B$3:$B$123,RUC!$G$3:$G$123)</f>
        <v>20</v>
      </c>
      <c r="Z14" s="143">
        <f>_xlfn.XLOOKUP(D14,RUC!$B$3:$B$123,RUC!$H$3:$H$123)</f>
        <v>30</v>
      </c>
      <c r="AA14" s="144">
        <f t="shared" si="2"/>
        <v>50</v>
      </c>
      <c r="AB14" s="145">
        <f>+((O14*P14*(R14-U14)/100)-S14-AA14+T14)*V14</f>
        <v>418.85845977460002</v>
      </c>
      <c r="AC14" s="145">
        <f>+(S14-T14)*V14-'data 1'!$F$4</f>
        <v>24.718500000000006</v>
      </c>
      <c r="AD14" s="145">
        <f t="shared" si="3"/>
        <v>29.71122206483205</v>
      </c>
      <c r="AE14" s="145">
        <f t="shared" si="4"/>
        <v>-14.884999999999998</v>
      </c>
      <c r="AF14" s="145">
        <f t="shared" si="5"/>
        <v>56.447606404979958</v>
      </c>
      <c r="AG14" s="772">
        <f t="shared" si="19"/>
        <v>112.99232846981201</v>
      </c>
      <c r="AH14" s="1253">
        <f t="shared" si="6"/>
        <v>51.999000000000002</v>
      </c>
      <c r="AI14" s="1253">
        <f t="shared" si="7"/>
        <v>55.805</v>
      </c>
      <c r="AJ14" s="156">
        <f t="shared" si="8"/>
        <v>51.737425109567965</v>
      </c>
      <c r="AK14" s="156">
        <f t="shared" si="9"/>
        <v>45.433142090074263</v>
      </c>
      <c r="AL14" s="88"/>
      <c r="AM14" s="716">
        <f t="shared" si="10"/>
        <v>3873.6030359955007</v>
      </c>
      <c r="AN14" s="716" t="str">
        <f>_xlfn.XLOOKUP(D14,RUC!$B$3:$B$578,RUC!$M$3:$M$578)</f>
        <v>Ronald Miranda</v>
      </c>
      <c r="AO14" s="1167" t="s">
        <v>2278</v>
      </c>
      <c r="AP14" t="s">
        <v>2967</v>
      </c>
      <c r="AQ14" t="s">
        <v>2968</v>
      </c>
      <c r="AW14" s="1232" t="s">
        <v>2518</v>
      </c>
      <c r="AX14" s="1234">
        <f t="shared" si="13"/>
        <v>0</v>
      </c>
      <c r="AY14" s="1234" cm="1">
        <f t="array" ref="AY14">+SUMPRODUCT(IF($AO$4:$AO$1677=AW14,$L$4:$L$1677*$K$4:$K$1677/AX14))</f>
        <v>0</v>
      </c>
      <c r="AZ14" s="1235">
        <f t="shared" si="14"/>
        <v>0</v>
      </c>
      <c r="BA14" s="1236" cm="1">
        <f t="array" ref="BA14">+SUMPRODUCT(IF('29'!$AO$4:$AO$1569=AW14,('29'!$Q$4:$Q$1569*'29'!$AH$4:$AH$1569)/SUMIF('29'!$AO$4:$AO$1569,#REF!,'29'!$AH$4:$AH$1569)))</f>
        <v>0</v>
      </c>
      <c r="BB14" s="1237">
        <f t="shared" si="15"/>
        <v>0</v>
      </c>
      <c r="BC14" s="1237">
        <f t="shared" si="16"/>
        <v>0</v>
      </c>
      <c r="BD14" s="1236">
        <f t="shared" si="17"/>
        <v>475.52704008018964</v>
      </c>
      <c r="BE14" s="1238">
        <f t="shared" si="18"/>
        <v>530.51700000000005</v>
      </c>
    </row>
    <row r="15" spans="1:57" ht="15" customHeight="1">
      <c r="A15" s="747" t="s">
        <v>2916</v>
      </c>
      <c r="B15" s="595">
        <v>45931</v>
      </c>
      <c r="C15" s="1447">
        <v>45923</v>
      </c>
      <c r="D15" t="s">
        <v>93</v>
      </c>
      <c r="E15" s="762">
        <f>_xlfn.XLOOKUP(D15,RUC!$B$3:$B$123,RUC!$D$3:$D$123)</f>
        <v>20169040231</v>
      </c>
      <c r="G15" s="1082">
        <v>51</v>
      </c>
      <c r="H15" s="762" t="s">
        <v>69</v>
      </c>
      <c r="I15" s="703">
        <v>5.16</v>
      </c>
      <c r="J15" s="596">
        <v>1.4</v>
      </c>
      <c r="K15" s="703">
        <f t="shared" si="0"/>
        <v>5.0880000000000001</v>
      </c>
      <c r="L15" s="994">
        <v>0.60499999999999998</v>
      </c>
      <c r="M15" s="994">
        <v>0.57499999999999996</v>
      </c>
      <c r="N15" s="1196">
        <v>0.57499999999999996</v>
      </c>
      <c r="O15" s="645">
        <f t="shared" si="1"/>
        <v>0.57499999999999996</v>
      </c>
      <c r="P15" s="727">
        <v>90</v>
      </c>
      <c r="Q15" s="881">
        <v>90.41</v>
      </c>
      <c r="R15" s="706">
        <v>3783.8</v>
      </c>
      <c r="S15" s="765">
        <f>IF((_xlfn.XLOOKUP(D15,RUC!$B$3:$B$119,RUC!$E$3:$E$119)+ROUNDDOWN(O15,1)*100)&lt;95,95,((_xlfn.XLOOKUP(D15,RUC!$B$3:$B$119,RUC!$E$3:$E$119)+ROUNDDOWN(O15,1)*100)))</f>
        <v>135</v>
      </c>
      <c r="U15" s="1458">
        <v>80</v>
      </c>
      <c r="V15" s="715">
        <v>1.1023000000000001</v>
      </c>
      <c r="Y15">
        <f>_xlfn.XLOOKUP(D15,RUC!$B$3:$B$123,RUC!$G$3:$G$123)</f>
        <v>20</v>
      </c>
      <c r="Z15" s="1454">
        <v>35</v>
      </c>
      <c r="AA15" s="144">
        <f t="shared" si="2"/>
        <v>55</v>
      </c>
      <c r="AB15" s="145">
        <f t="shared" ref="AB15" si="21">+((O15*P15*(R15-U15)/100)-S15-AA15+T15)*V15</f>
        <v>1903.3595979500001</v>
      </c>
      <c r="AC15" s="145">
        <f>+(S15-T15)*V15-'data 1'!$F$4</f>
        <v>68.810500000000019</v>
      </c>
      <c r="AD15" s="145">
        <f t="shared" si="3"/>
        <v>10.127134224569916</v>
      </c>
      <c r="AE15" s="145">
        <f t="shared" si="4"/>
        <v>-9.3734999999999999</v>
      </c>
      <c r="AF15" s="145">
        <f t="shared" si="5"/>
        <v>110.73503792502011</v>
      </c>
      <c r="AG15" s="772">
        <f t="shared" si="19"/>
        <v>197.29917214959005</v>
      </c>
      <c r="AH15" s="1253">
        <f t="shared" si="6"/>
        <v>95.417000000000002</v>
      </c>
      <c r="AI15" s="1253">
        <f t="shared" si="7"/>
        <v>105.539</v>
      </c>
      <c r="AJ15" s="156">
        <f t="shared" si="8"/>
        <v>148.44299218792989</v>
      </c>
      <c r="AK15" s="156">
        <f t="shared" si="9"/>
        <v>90.274798151171979</v>
      </c>
      <c r="AL15" s="88"/>
      <c r="AM15" s="716">
        <f t="shared" si="10"/>
        <v>9684.2936343696001</v>
      </c>
      <c r="AN15" s="716" t="str">
        <f>_xlfn.XLOOKUP(D15,RUC!$B$3:$B$578,RUC!$M$3:$M$578)</f>
        <v>Ronald Miranda</v>
      </c>
      <c r="AO15" s="1167" t="s">
        <v>2280</v>
      </c>
      <c r="AP15" t="s">
        <v>2967</v>
      </c>
      <c r="AQ15" t="s">
        <v>2968</v>
      </c>
      <c r="AR15" s="1459" t="s">
        <v>2989</v>
      </c>
      <c r="AW15" s="1232" t="s">
        <v>2519</v>
      </c>
      <c r="AX15" s="1234">
        <f t="shared" si="13"/>
        <v>0</v>
      </c>
      <c r="AY15" s="1234" cm="1">
        <f t="array" ref="AY15">+SUMPRODUCT(IF($AO$4:$AO$1677=AW15,$L$4:$L$1677*$K$4:$K$1677/AX15))</f>
        <v>0</v>
      </c>
      <c r="AZ15" s="1235">
        <f t="shared" si="14"/>
        <v>0</v>
      </c>
      <c r="BA15" s="1236" cm="1">
        <f t="array" ref="BA15">+SUMPRODUCT(IF('29'!$AO$4:$AO$1569=AW15,('29'!$Q$4:$Q$1569*'29'!$AH$4:$AH$1569)/SUMIF('29'!$AO$4:$AO$1569,#REF!,'29'!$AH$4:$AH$1569)))</f>
        <v>0</v>
      </c>
      <c r="BB15" s="1237">
        <f t="shared" si="15"/>
        <v>0</v>
      </c>
      <c r="BC15" s="1237">
        <f t="shared" si="16"/>
        <v>0</v>
      </c>
      <c r="BD15" s="1236">
        <f t="shared" si="17"/>
        <v>475.52704008018964</v>
      </c>
      <c r="BE15" s="1238">
        <f t="shared" si="18"/>
        <v>530.51700000000005</v>
      </c>
    </row>
    <row r="16" spans="1:57" ht="15" customHeight="1">
      <c r="A16" s="1491" t="s">
        <v>2917</v>
      </c>
      <c r="B16" s="1475">
        <v>45931</v>
      </c>
      <c r="C16" s="1447">
        <v>45923</v>
      </c>
      <c r="D16" t="s">
        <v>2444</v>
      </c>
      <c r="E16" s="762">
        <f>_xlfn.XLOOKUP(D16,RUC!$B$3:$B$123,RUC!$D$3:$D$123)</f>
        <v>20608774000</v>
      </c>
      <c r="G16" s="1082">
        <v>12</v>
      </c>
      <c r="H16" s="762" t="s">
        <v>69</v>
      </c>
      <c r="I16" s="703">
        <v>1.04</v>
      </c>
      <c r="J16" s="596">
        <v>4.3</v>
      </c>
      <c r="K16" s="703">
        <f t="shared" si="0"/>
        <v>0.995</v>
      </c>
      <c r="L16" s="994">
        <v>9.1999999999999998E-2</v>
      </c>
      <c r="M16" s="994">
        <v>8.5999999999999993E-2</v>
      </c>
      <c r="N16" s="1196">
        <v>8.5999999999999993E-2</v>
      </c>
      <c r="O16" s="645">
        <f t="shared" si="1"/>
        <v>8.5999999999999993E-2</v>
      </c>
      <c r="P16" s="727">
        <v>79</v>
      </c>
      <c r="Q16" s="881">
        <v>79.209999999999994</v>
      </c>
      <c r="R16" s="706">
        <v>3783.8</v>
      </c>
      <c r="S16" s="765">
        <f>IF((_xlfn.XLOOKUP(D16,RUC!$B$3:$B$119,RUC!$E$3:$E$119)+ROUNDDOWN(O16,1)*100)&lt;95,95,((_xlfn.XLOOKUP(D16,RUC!$B$3:$B$119,RUC!$E$3:$E$119)+ROUNDDOWN(O16,1)*100)))</f>
        <v>95</v>
      </c>
      <c r="U16" s="1146">
        <f>_xlfn.XLOOKUP(D16,RUC!$B$3:$B$123,RUC!$F$3:$F$123)</f>
        <v>120</v>
      </c>
      <c r="V16" s="715">
        <v>1.1023000000000001</v>
      </c>
      <c r="Y16">
        <f>_xlfn.XLOOKUP(D16,RUC!$B$3:$B$123,RUC!$G$3:$G$123)</f>
        <v>20</v>
      </c>
      <c r="Z16" s="1454">
        <v>35</v>
      </c>
      <c r="AA16" s="144">
        <f t="shared" si="2"/>
        <v>55</v>
      </c>
      <c r="AB16" s="145">
        <v>1E-3</v>
      </c>
      <c r="AC16" s="145">
        <f>+(S16-T16)*V16-'data 1'!$F$4</f>
        <v>24.718500000000006</v>
      </c>
      <c r="AD16" s="145">
        <f t="shared" si="3"/>
        <v>0.78025882216797682</v>
      </c>
      <c r="AE16" s="145">
        <f t="shared" si="4"/>
        <v>-9.3734999999999999</v>
      </c>
      <c r="AF16" s="145">
        <f t="shared" si="5"/>
        <v>19.193882392524017</v>
      </c>
      <c r="AG16" s="772">
        <f>AC16+AD16+AE16+AF16+70-53+109.04</f>
        <v>161.35914121469199</v>
      </c>
      <c r="AH16" s="1253">
        <f t="shared" si="6"/>
        <v>2.4860000000000002</v>
      </c>
      <c r="AI16" s="1253">
        <f t="shared" si="7"/>
        <v>3.1379999999999999</v>
      </c>
      <c r="AJ16" s="156">
        <f t="shared" si="8"/>
        <v>22.989910336631983</v>
      </c>
      <c r="AK16" s="156">
        <f t="shared" si="9"/>
        <v>2.3177025177964143</v>
      </c>
      <c r="AL16" s="88"/>
      <c r="AM16" s="716">
        <f t="shared" si="10"/>
        <v>9.9500000000000001E-4</v>
      </c>
      <c r="AN16" s="716" t="str">
        <f>_xlfn.XLOOKUP(D16,RUC!$B$3:$B$578,RUC!$M$3:$M$578)</f>
        <v>Ronald Miranda</v>
      </c>
      <c r="AO16" s="1167" t="s">
        <v>2277</v>
      </c>
      <c r="AP16" t="s">
        <v>2969</v>
      </c>
      <c r="AQ16" t="s">
        <v>2970</v>
      </c>
      <c r="AW16" s="1232" t="s">
        <v>2520</v>
      </c>
      <c r="AX16" s="1234">
        <f t="shared" si="13"/>
        <v>0</v>
      </c>
      <c r="AY16" s="1234" cm="1">
        <f t="array" ref="AY16">+SUMPRODUCT(IF($AO$4:$AO$1677=AW16,$L$4:$L$1677*$K$4:$K$1677/AX16))</f>
        <v>0</v>
      </c>
      <c r="AZ16" s="1235">
        <f t="shared" si="14"/>
        <v>0</v>
      </c>
      <c r="BA16" s="1236" cm="1">
        <f t="array" ref="BA16">+SUMPRODUCT(IF('29'!$AO$4:$AO$1569=AW16,('29'!$Q$4:$Q$1569*'29'!$AH$4:$AH$1569)/SUMIF('29'!$AO$4:$AO$1569,#REF!,'29'!$AH$4:$AH$1569)))</f>
        <v>0</v>
      </c>
      <c r="BB16" s="1237">
        <f t="shared" si="15"/>
        <v>0</v>
      </c>
      <c r="BC16" s="1237">
        <f t="shared" si="16"/>
        <v>0</v>
      </c>
      <c r="BD16" s="1236">
        <f t="shared" si="17"/>
        <v>475.52704008018964</v>
      </c>
      <c r="BE16" s="1238">
        <f t="shared" si="18"/>
        <v>530.51700000000005</v>
      </c>
    </row>
    <row r="17" spans="1:57" ht="15" customHeight="1" thickBot="1">
      <c r="A17" s="747" t="s">
        <v>2924</v>
      </c>
      <c r="B17" s="595">
        <v>45936</v>
      </c>
      <c r="C17" s="1447">
        <v>45923</v>
      </c>
      <c r="D17" t="s">
        <v>93</v>
      </c>
      <c r="E17" s="762">
        <f>_xlfn.XLOOKUP(D17,RUC!$B$3:$B$123,RUC!$D$3:$D$123)</f>
        <v>20169040231</v>
      </c>
      <c r="G17" s="1082">
        <v>85</v>
      </c>
      <c r="H17" s="762" t="s">
        <v>69</v>
      </c>
      <c r="I17" s="703">
        <v>9.2100000000000009</v>
      </c>
      <c r="J17" s="596">
        <v>1.6</v>
      </c>
      <c r="K17" s="703">
        <f t="shared" si="0"/>
        <v>9.0630000000000006</v>
      </c>
      <c r="L17" s="994">
        <v>0.53700000000000003</v>
      </c>
      <c r="M17" s="994">
        <v>0.51</v>
      </c>
      <c r="N17" s="1196">
        <v>0.51</v>
      </c>
      <c r="O17" s="645">
        <f t="shared" si="1"/>
        <v>0.51</v>
      </c>
      <c r="P17" s="727">
        <v>85</v>
      </c>
      <c r="Q17" s="1460">
        <v>86.59</v>
      </c>
      <c r="R17" s="706">
        <v>3783.8</v>
      </c>
      <c r="S17" s="765">
        <f>IF((_xlfn.XLOOKUP(D17,RUC!$B$3:$B$119,RUC!$E$3:$E$119)+ROUNDDOWN(O17,1)*100)&lt;95,95,((_xlfn.XLOOKUP(D17,RUC!$B$3:$B$119,RUC!$E$3:$E$119)+ROUNDDOWN(O17,1)*100)))</f>
        <v>135</v>
      </c>
      <c r="U17" s="1146">
        <f>_xlfn.XLOOKUP(D17,RUC!$B$3:$B$123,RUC!$F$3:$F$123)</f>
        <v>120</v>
      </c>
      <c r="V17" s="715">
        <v>1.1023000000000001</v>
      </c>
      <c r="Y17">
        <f>_xlfn.XLOOKUP(D17,RUC!$B$3:$B$123,RUC!$G$3:$G$123)</f>
        <v>20</v>
      </c>
      <c r="Z17" s="143">
        <f>_xlfn.XLOOKUP(D17,RUC!$B$3:$B$123,RUC!$H$3:$H$123)</f>
        <v>30</v>
      </c>
      <c r="AA17" s="144">
        <f t="shared" si="2"/>
        <v>50</v>
      </c>
      <c r="AB17" s="145">
        <f>+((O17*P17*(R17-U17)/100)-S17-AA17+T17)*V17</f>
        <v>1546.8105217900004</v>
      </c>
      <c r="AC17" s="145">
        <f>+(S17-T17)*V17-'data 1'!$F$4</f>
        <v>68.810500000000019</v>
      </c>
      <c r="AD17" s="145">
        <f t="shared" si="3"/>
        <v>34.48283592814208</v>
      </c>
      <c r="AE17" s="145">
        <f t="shared" si="4"/>
        <v>-14.884999999999998</v>
      </c>
      <c r="AF17" s="145">
        <f t="shared" si="5"/>
        <v>94.419798556482093</v>
      </c>
      <c r="AG17" s="772">
        <f t="shared" ref="AG17:AG24" si="22">AC17+AD17+AE17+AF17+70-53</f>
        <v>199.82813448462417</v>
      </c>
      <c r="AH17" s="1253">
        <f t="shared" si="6"/>
        <v>144.48500000000001</v>
      </c>
      <c r="AI17" s="1253">
        <f t="shared" si="7"/>
        <v>166.86099999999999</v>
      </c>
      <c r="AJ17" s="156">
        <f t="shared" si="8"/>
        <v>146.69369980435792</v>
      </c>
      <c r="AK17" s="156">
        <f t="shared" si="9"/>
        <v>134.70079256741457</v>
      </c>
      <c r="AL17" s="88"/>
      <c r="AM17" s="716">
        <f t="shared" si="10"/>
        <v>14018.743758982775</v>
      </c>
      <c r="AN17" s="716" t="str">
        <f>_xlfn.XLOOKUP(D17,RUC!$B$3:$B$578,RUC!$M$3:$M$578)</f>
        <v>Ronald Miranda</v>
      </c>
      <c r="AO17" s="1167" t="s">
        <v>2278</v>
      </c>
      <c r="AP17" t="s">
        <v>2973</v>
      </c>
      <c r="AQ17" t="s">
        <v>2974</v>
      </c>
      <c r="AW17" s="1239" t="s">
        <v>2521</v>
      </c>
      <c r="AX17" s="1254">
        <f t="shared" si="13"/>
        <v>0</v>
      </c>
      <c r="AY17" s="1254" cm="1">
        <f t="array" ref="AY17">+SUMPRODUCT(IF('29'!$AO$4:$AO$1569=AW17,'29'!$L$4:$L$1569*'29'!$K$4:$K$1569/AX17))</f>
        <v>0</v>
      </c>
      <c r="AZ17" s="1241">
        <f t="shared" si="14"/>
        <v>0</v>
      </c>
      <c r="BA17" s="1242" cm="1">
        <f t="array" ref="BA17">+SUMPRODUCT(IF('29'!$AO$4:$AO$1569=AW17,('29'!$Q$4:$Q$1569*'29'!$AH$4:$AH$1569)/SUMIF('29'!$AO$4:$AO$1569,#REF!,'29'!$AH$4:$AH$1569)))</f>
        <v>0</v>
      </c>
      <c r="BB17" s="1243">
        <f t="shared" si="15"/>
        <v>0</v>
      </c>
      <c r="BC17" s="1243">
        <f t="shared" si="16"/>
        <v>0</v>
      </c>
      <c r="BD17" s="1242">
        <f t="shared" si="17"/>
        <v>475.52704008018964</v>
      </c>
      <c r="BE17" s="1436">
        <f t="shared" si="18"/>
        <v>530.51700000000005</v>
      </c>
    </row>
    <row r="18" spans="1:57" ht="15" customHeight="1">
      <c r="A18" s="747" t="s">
        <v>2925</v>
      </c>
      <c r="B18" s="595">
        <v>45936</v>
      </c>
      <c r="C18" s="1447">
        <v>45923</v>
      </c>
      <c r="D18" t="s">
        <v>93</v>
      </c>
      <c r="E18" s="762">
        <f>_xlfn.XLOOKUP(D18,RUC!$B$3:$B$123,RUC!$D$3:$D$123)</f>
        <v>20169040231</v>
      </c>
      <c r="G18" s="1082">
        <v>85</v>
      </c>
      <c r="H18" s="762" t="s">
        <v>69</v>
      </c>
      <c r="I18" s="703">
        <v>9.14</v>
      </c>
      <c r="J18" s="596">
        <v>1.8</v>
      </c>
      <c r="K18" s="703">
        <f t="shared" si="0"/>
        <v>8.9749999999999996</v>
      </c>
      <c r="L18" s="994">
        <v>0.69599999999999995</v>
      </c>
      <c r="M18" s="994">
        <v>0.66100000000000003</v>
      </c>
      <c r="N18" s="1196">
        <v>0.66100000000000003</v>
      </c>
      <c r="O18" s="645">
        <f t="shared" si="1"/>
        <v>0.66100000000000003</v>
      </c>
      <c r="P18" s="727">
        <v>85</v>
      </c>
      <c r="Q18" s="1460">
        <v>86.6</v>
      </c>
      <c r="R18" s="706">
        <v>3783.8</v>
      </c>
      <c r="S18" s="765">
        <f>IF((_xlfn.XLOOKUP(D18,RUC!$B$3:$B$119,RUC!$E$3:$E$119)+ROUNDDOWN(O18,1)*100)&lt;95,95,((_xlfn.XLOOKUP(D18,RUC!$B$3:$B$119,RUC!$E$3:$E$119)+ROUNDDOWN(O18,1)*100)))</f>
        <v>145</v>
      </c>
      <c r="U18" s="1146">
        <f>_xlfn.XLOOKUP(D18,RUC!$B$3:$B$123,RUC!$F$3:$F$123)</f>
        <v>120</v>
      </c>
      <c r="V18" s="715">
        <v>1.1023000000000001</v>
      </c>
      <c r="Y18">
        <f>_xlfn.XLOOKUP(D18,RUC!$B$3:$B$123,RUC!$G$3:$G$123)</f>
        <v>20</v>
      </c>
      <c r="Z18" s="143">
        <f>_xlfn.XLOOKUP(D18,RUC!$B$3:$B$123,RUC!$H$3:$H$123)</f>
        <v>30</v>
      </c>
      <c r="AA18" s="144">
        <f t="shared" si="2"/>
        <v>50</v>
      </c>
      <c r="AB18" s="145">
        <f>+((O18*P18*(R18-U18)/100)-S18-AA18+T18)*V18</f>
        <v>2054.1426968690007</v>
      </c>
      <c r="AC18" s="145">
        <f>+(S18-T18)*V18-'data 1'!$F$4</f>
        <v>79.833500000000015</v>
      </c>
      <c r="AD18" s="145">
        <f t="shared" si="3"/>
        <v>44.973924656639845</v>
      </c>
      <c r="AE18" s="145">
        <f t="shared" si="4"/>
        <v>-14.884999999999998</v>
      </c>
      <c r="AF18" s="145">
        <f t="shared" si="5"/>
        <v>122.41017028939974</v>
      </c>
      <c r="AG18" s="772">
        <f t="shared" si="22"/>
        <v>249.33259494603959</v>
      </c>
      <c r="AH18" s="1253">
        <f t="shared" si="6"/>
        <v>185.46899999999999</v>
      </c>
      <c r="AI18" s="1253">
        <f t="shared" si="7"/>
        <v>214.167</v>
      </c>
      <c r="AJ18" s="156">
        <f t="shared" si="8"/>
        <v>190.15010451935984</v>
      </c>
      <c r="AK18" s="156">
        <f t="shared" si="9"/>
        <v>172.8876263511352</v>
      </c>
      <c r="AL18" s="88"/>
      <c r="AM18" s="716">
        <f t="shared" si="10"/>
        <v>18435.930704399281</v>
      </c>
      <c r="AN18" s="716" t="str">
        <f>_xlfn.XLOOKUP(D18,RUC!$B$3:$B$578,RUC!$M$3:$M$578)</f>
        <v>Ronald Miranda</v>
      </c>
      <c r="AO18" s="1167" t="s">
        <v>2277</v>
      </c>
      <c r="AP18" t="s">
        <v>2973</v>
      </c>
      <c r="AQ18" t="s">
        <v>2974</v>
      </c>
    </row>
    <row r="19" spans="1:57" ht="15" customHeight="1" thickBot="1">
      <c r="A19" s="1491" t="s">
        <v>2932</v>
      </c>
      <c r="B19" s="1475"/>
      <c r="C19" s="1447">
        <v>45925</v>
      </c>
      <c r="D19" t="s">
        <v>119</v>
      </c>
      <c r="E19" s="762">
        <f>_xlfn.XLOOKUP(D19,RUC!$B$3:$B$123,RUC!$D$3:$D$123)</f>
        <v>10082235774</v>
      </c>
      <c r="G19" s="1082">
        <v>68</v>
      </c>
      <c r="H19" s="762" t="s">
        <v>69</v>
      </c>
      <c r="I19" s="703">
        <v>6.81</v>
      </c>
      <c r="J19" s="596">
        <v>1.3</v>
      </c>
      <c r="K19" s="703">
        <f t="shared" si="0"/>
        <v>6.7210000000000001</v>
      </c>
      <c r="L19" s="994">
        <v>0.10199999999999999</v>
      </c>
      <c r="M19" s="994">
        <v>9.4999999999999987E-2</v>
      </c>
      <c r="N19" s="1196">
        <v>9.4999999999999987E-2</v>
      </c>
      <c r="O19" s="645">
        <f t="shared" si="1"/>
        <v>9.5000000000000001E-2</v>
      </c>
      <c r="P19" s="727">
        <v>85</v>
      </c>
      <c r="Q19" s="881">
        <v>94.12</v>
      </c>
      <c r="R19" s="706">
        <v>3730.75</v>
      </c>
      <c r="S19" s="1164">
        <f>IF((_xlfn.XLOOKUP(D19,RUC!$B$3:$B$119,RUC!$E$3:$E$119)+ROUNDDOWN(O19,1)*100)&lt;95,95,((_xlfn.XLOOKUP(D19,RUC!$B$3:$B$119,RUC!$E$3:$E$119)+ROUNDDOWN(O19,1)*100)))</f>
        <v>95</v>
      </c>
      <c r="U19" s="1146">
        <f>_xlfn.XLOOKUP(D19,RUC!$B$3:$B$123,RUC!$F$3:$F$123)</f>
        <v>80</v>
      </c>
      <c r="V19" s="715">
        <v>1.1023000000000001</v>
      </c>
      <c r="Y19">
        <f>_xlfn.XLOOKUP(D19,RUC!$B$3:$B$123,RUC!$G$3:$G$123)</f>
        <v>0</v>
      </c>
      <c r="Z19" s="143">
        <f>_xlfn.XLOOKUP(D19,RUC!$B$3:$B$123,RUC!$H$3:$H$123)</f>
        <v>10</v>
      </c>
      <c r="AA19" s="144">
        <f t="shared" si="2"/>
        <v>10</v>
      </c>
      <c r="AB19" s="145">
        <v>1E-3</v>
      </c>
      <c r="AC19" s="145">
        <f>+(S19-T19)*V19-'data 1'!$F$4</f>
        <v>24.718500000000006</v>
      </c>
      <c r="AD19" s="145">
        <f t="shared" si="3"/>
        <v>37.43492017464002</v>
      </c>
      <c r="AE19" s="145">
        <f t="shared" si="4"/>
        <v>-58.977000000000004</v>
      </c>
      <c r="AF19" s="145">
        <f t="shared" si="5"/>
        <v>26.513182412989973</v>
      </c>
      <c r="AG19" s="772">
        <f>AC19+AD19+AE19+AF19+70+209.21</f>
        <v>308.89960258763</v>
      </c>
      <c r="AH19" s="1253">
        <f t="shared" si="6"/>
        <v>22.122</v>
      </c>
      <c r="AI19" s="1253">
        <f t="shared" si="7"/>
        <v>23.504000000000001</v>
      </c>
      <c r="AJ19" s="156">
        <f t="shared" si="8"/>
        <v>31.667666071859998</v>
      </c>
      <c r="AK19" s="156">
        <f t="shared" si="9"/>
        <v>18.607391516537039</v>
      </c>
      <c r="AL19" s="88"/>
      <c r="AM19" s="716">
        <f t="shared" si="10"/>
        <v>6.7210000000000004E-3</v>
      </c>
      <c r="AN19" s="716" t="str">
        <f>_xlfn.XLOOKUP(D19,RUC!$B$3:$B$578,RUC!$M$3:$M$578)</f>
        <v>Melchor Vera</v>
      </c>
      <c r="AO19" s="1167" t="s">
        <v>2279</v>
      </c>
      <c r="AP19" s="1457" t="s">
        <v>2986</v>
      </c>
      <c r="AQ19" s="1457" t="s">
        <v>2987</v>
      </c>
    </row>
    <row r="20" spans="1:57" ht="15" customHeight="1" thickBot="1">
      <c r="A20" s="747" t="s">
        <v>2939</v>
      </c>
      <c r="B20" s="595">
        <v>45934</v>
      </c>
      <c r="C20" s="1447">
        <v>45926</v>
      </c>
      <c r="D20" t="s">
        <v>1484</v>
      </c>
      <c r="E20" s="762">
        <f>_xlfn.XLOOKUP(D20,RUC!$B$3:$B$123,RUC!$D$3:$D$123)</f>
        <v>10761932735</v>
      </c>
      <c r="G20" s="1082">
        <v>135</v>
      </c>
      <c r="H20" s="762" t="s">
        <v>69</v>
      </c>
      <c r="I20" s="703">
        <v>11.14</v>
      </c>
      <c r="J20" s="596">
        <v>11.22</v>
      </c>
      <c r="K20" s="703">
        <f t="shared" si="0"/>
        <v>9.89</v>
      </c>
      <c r="L20" s="994">
        <v>0.433</v>
      </c>
      <c r="M20" s="994">
        <v>0.41099999999999998</v>
      </c>
      <c r="N20" s="1196">
        <v>0.41099999999999998</v>
      </c>
      <c r="O20" s="645">
        <f t="shared" si="1"/>
        <v>0.41099999999999998</v>
      </c>
      <c r="P20" s="727">
        <v>90</v>
      </c>
      <c r="Q20" s="1460">
        <v>96.07</v>
      </c>
      <c r="R20" s="706">
        <v>3769.85</v>
      </c>
      <c r="S20" s="765">
        <f>IF((_xlfn.XLOOKUP(D20,RUC!$B$3:$B$119,RUC!$E$3:$E$119)+ROUNDDOWN(O20,1)*100)&lt;95,95,((_xlfn.XLOOKUP(D20,RUC!$B$3:$B$119,RUC!$E$3:$E$119)+ROUNDDOWN(O20,1)*100)))</f>
        <v>130</v>
      </c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3">
        <f>_xlfn.XLOOKUP(D20,RUC!$B$3:$B$123,RUC!$H$3:$H$123)</f>
        <v>30</v>
      </c>
      <c r="AA20" s="144">
        <f t="shared" si="2"/>
        <v>50</v>
      </c>
      <c r="AB20" s="145">
        <f t="shared" ref="AB20:AB24" si="23">+((O20*P20*(R20-U20)/100)-S20-AA20+T20)*V20</f>
        <v>1289.7786493844997</v>
      </c>
      <c r="AC20" s="145">
        <f>+(S20-T20)*V20-'data 1'!$F$4</f>
        <v>63.299000000000007</v>
      </c>
      <c r="AD20" s="145">
        <f t="shared" si="3"/>
        <v>105.74294734533038</v>
      </c>
      <c r="AE20" s="145">
        <f t="shared" si="4"/>
        <v>-14.884999999999998</v>
      </c>
      <c r="AF20" s="145">
        <f t="shared" si="5"/>
        <v>85.032568050287068</v>
      </c>
      <c r="AG20" s="772">
        <f t="shared" si="22"/>
        <v>256.18951539561749</v>
      </c>
      <c r="AH20" s="1253">
        <f t="shared" si="6"/>
        <v>141.053</v>
      </c>
      <c r="AI20" s="1253">
        <f t="shared" si="7"/>
        <v>146.82300000000001</v>
      </c>
      <c r="AJ20" s="156">
        <f t="shared" si="8"/>
        <v>137.63023206466954</v>
      </c>
      <c r="AK20" s="156">
        <f t="shared" si="9"/>
        <v>125.42661224258356</v>
      </c>
      <c r="AL20" s="88"/>
      <c r="AM20" s="716">
        <f t="shared" si="10"/>
        <v>12755.910842412703</v>
      </c>
      <c r="AN20" s="716" t="str">
        <f>_xlfn.XLOOKUP(D20,RUC!$B$3:$B$578,RUC!$M$3:$M$578)</f>
        <v>Richard Sapacayo</v>
      </c>
      <c r="AO20" s="1167" t="s">
        <v>2277</v>
      </c>
      <c r="AP20" t="s">
        <v>2992</v>
      </c>
      <c r="AQ20" t="s">
        <v>2993</v>
      </c>
      <c r="AW20" s="1982" t="s">
        <v>3294</v>
      </c>
      <c r="AX20" s="1983"/>
      <c r="AY20" s="1983"/>
      <c r="AZ20" s="1983"/>
      <c r="BA20" s="1983"/>
      <c r="BB20" s="1984"/>
    </row>
    <row r="21" spans="1:57" ht="15" customHeight="1">
      <c r="A21" s="747" t="s">
        <v>2940</v>
      </c>
      <c r="B21" s="595">
        <v>45933</v>
      </c>
      <c r="C21" s="1447">
        <v>45927</v>
      </c>
      <c r="D21" t="s">
        <v>93</v>
      </c>
      <c r="E21" s="762">
        <f>_xlfn.XLOOKUP(D21,RUC!$B$3:$B$123,RUC!$D$3:$D$123)</f>
        <v>20169040231</v>
      </c>
      <c r="G21" s="1082">
        <v>118</v>
      </c>
      <c r="H21" s="762" t="s">
        <v>69</v>
      </c>
      <c r="I21" s="703">
        <v>10.75</v>
      </c>
      <c r="J21" s="596">
        <v>1.1000000000000001</v>
      </c>
      <c r="K21" s="703">
        <f t="shared" si="0"/>
        <v>10.632</v>
      </c>
      <c r="L21" s="994">
        <v>0.45200000000000001</v>
      </c>
      <c r="M21" s="994">
        <v>0.42899999999999999</v>
      </c>
      <c r="N21" s="1196">
        <f>+M21</f>
        <v>0.42899999999999999</v>
      </c>
      <c r="O21" s="645">
        <f t="shared" si="1"/>
        <v>0.42899999999999999</v>
      </c>
      <c r="P21" s="727">
        <v>85</v>
      </c>
      <c r="Q21" s="1460">
        <v>86.5</v>
      </c>
      <c r="R21" s="706">
        <v>3769.85</v>
      </c>
      <c r="S21" s="765">
        <f>IF((_xlfn.XLOOKUP(D21,RUC!$B$3:$B$119,RUC!$E$3:$E$119)+ROUNDDOWN(O21,1)*100)&lt;95,95,((_xlfn.XLOOKUP(D21,RUC!$B$3:$B$119,RUC!$E$3:$E$119)+ROUNDDOWN(O21,1)*100)))</f>
        <v>125</v>
      </c>
      <c r="U21" s="1146">
        <f>_xlfn.XLOOKUP(D21,RUC!$B$3:$B$123,RUC!$F$3:$F$123)</f>
        <v>120</v>
      </c>
      <c r="V21" s="715">
        <v>1.1023000000000001</v>
      </c>
      <c r="Y21">
        <f>_xlfn.XLOOKUP(D21,RUC!$B$3:$B$123,RUC!$G$3:$G$123)</f>
        <v>20</v>
      </c>
      <c r="Z21" s="1454">
        <v>35</v>
      </c>
      <c r="AA21" s="144">
        <f t="shared" si="2"/>
        <v>55</v>
      </c>
      <c r="AB21" s="145">
        <f t="shared" si="23"/>
        <v>1268.6566936957499</v>
      </c>
      <c r="AC21" s="145">
        <f>+(S21-T21)*V21-'data 1'!$F$4</f>
        <v>57.787499999999994</v>
      </c>
      <c r="AD21" s="145">
        <f t="shared" si="3"/>
        <v>27.277497060900004</v>
      </c>
      <c r="AE21" s="145">
        <f t="shared" si="4"/>
        <v>-9.3734999999999999</v>
      </c>
      <c r="AF21" s="145">
        <f t="shared" si="5"/>
        <v>80.042153986225074</v>
      </c>
      <c r="AG21" s="772">
        <f t="shared" si="22"/>
        <v>172.73365104712508</v>
      </c>
      <c r="AH21" s="1253">
        <f t="shared" si="6"/>
        <v>142.52099999999999</v>
      </c>
      <c r="AI21" s="1253">
        <f t="shared" si="7"/>
        <v>164.76400000000001</v>
      </c>
      <c r="AJ21" s="156">
        <f t="shared" si="8"/>
        <v>129.35782278810007</v>
      </c>
      <c r="AK21" s="156">
        <f t="shared" si="9"/>
        <v>132.92303691186234</v>
      </c>
      <c r="AL21" s="88"/>
      <c r="AM21" s="716">
        <f t="shared" si="10"/>
        <v>13488.357967373213</v>
      </c>
      <c r="AN21" s="716" t="str">
        <f>_xlfn.XLOOKUP(D21,RUC!$B$3:$B$578,RUC!$M$3:$M$578)</f>
        <v>Ronald Miranda</v>
      </c>
      <c r="AO21" s="1167" t="s">
        <v>2277</v>
      </c>
      <c r="AP21" s="1461" t="s">
        <v>2990</v>
      </c>
      <c r="AQ21" s="1461" t="s">
        <v>2991</v>
      </c>
      <c r="BB21" s="1482">
        <f>SUM(BB23:BB32)</f>
        <v>3840.1023049005794</v>
      </c>
    </row>
    <row r="22" spans="1:57" ht="15" customHeight="1" thickBot="1">
      <c r="A22" s="747" t="s">
        <v>2941</v>
      </c>
      <c r="B22" s="595">
        <v>45936</v>
      </c>
      <c r="C22" s="1447">
        <v>45927</v>
      </c>
      <c r="D22" t="s">
        <v>93</v>
      </c>
      <c r="E22" s="762">
        <f>_xlfn.XLOOKUP(D22,RUC!$B$3:$B$123,RUC!$D$3:$D$123)</f>
        <v>20169040231</v>
      </c>
      <c r="G22" s="1082">
        <v>90</v>
      </c>
      <c r="H22" s="762" t="s">
        <v>69</v>
      </c>
      <c r="I22" s="703">
        <v>8.7200000000000006</v>
      </c>
      <c r="J22" s="596">
        <v>1.6</v>
      </c>
      <c r="K22" s="703">
        <f t="shared" si="0"/>
        <v>8.58</v>
      </c>
      <c r="L22" s="994">
        <v>0.35</v>
      </c>
      <c r="M22" s="994">
        <v>0.33100000000000002</v>
      </c>
      <c r="N22" s="1196">
        <f t="shared" ref="N22:N37" si="24">+M22</f>
        <v>0.33100000000000002</v>
      </c>
      <c r="O22" s="645">
        <f t="shared" si="1"/>
        <v>0.33100000000000002</v>
      </c>
      <c r="P22" s="727">
        <v>90</v>
      </c>
      <c r="Q22" s="881">
        <v>94.86</v>
      </c>
      <c r="R22" s="706">
        <v>3769.85</v>
      </c>
      <c r="S22" s="765">
        <f>IF((_xlfn.XLOOKUP(D22,RUC!$B$3:$B$119,RUC!$E$3:$E$119)+ROUNDDOWN(O22,1)*100)&lt;95,95,((_xlfn.XLOOKUP(D22,RUC!$B$3:$B$119,RUC!$E$3:$E$119)+ROUNDDOWN(O22,1)*100)))</f>
        <v>115</v>
      </c>
      <c r="U22" s="1146">
        <f>_xlfn.XLOOKUP(D22,RUC!$B$3:$B$123,RUC!$F$3:$F$123)</f>
        <v>120</v>
      </c>
      <c r="V22" s="715">
        <v>1.1023000000000001</v>
      </c>
      <c r="Y22">
        <f>_xlfn.XLOOKUP(D22,RUC!$B$3:$B$123,RUC!$G$3:$G$123)</f>
        <v>20</v>
      </c>
      <c r="Z22" s="143">
        <f>_xlfn.XLOOKUP(D22,RUC!$B$3:$B$123,RUC!$H$3:$H$123)</f>
        <v>30</v>
      </c>
      <c r="AA22" s="144">
        <f t="shared" si="2"/>
        <v>50</v>
      </c>
      <c r="AB22" s="145">
        <f t="shared" si="23"/>
        <v>1016.6406142245003</v>
      </c>
      <c r="AC22" s="145">
        <f>+(S22-T22)*V22-'data 1'!$F$4</f>
        <v>46.764500000000012</v>
      </c>
      <c r="AD22" s="145">
        <f t="shared" si="3"/>
        <v>68.435136431549992</v>
      </c>
      <c r="AE22" s="145">
        <f t="shared" si="4"/>
        <v>-14.884999999999998</v>
      </c>
      <c r="AF22" s="145">
        <f t="shared" si="5"/>
        <v>72.512277363926856</v>
      </c>
      <c r="AG22" s="772">
        <f t="shared" si="22"/>
        <v>189.82691379547686</v>
      </c>
      <c r="AH22" s="1253">
        <f t="shared" si="6"/>
        <v>97.667000000000002</v>
      </c>
      <c r="AI22" s="1253">
        <f t="shared" si="7"/>
        <v>102.959</v>
      </c>
      <c r="AJ22" s="156">
        <f t="shared" si="8"/>
        <v>109.84728309345002</v>
      </c>
      <c r="AK22" s="156">
        <f t="shared" si="9"/>
        <v>87.632834718815104</v>
      </c>
      <c r="AL22" s="88"/>
      <c r="AM22" s="716">
        <f t="shared" si="10"/>
        <v>8722.7764700462121</v>
      </c>
      <c r="AN22" s="716" t="str">
        <f>_xlfn.XLOOKUP(D22,RUC!$B$3:$B$578,RUC!$M$3:$M$578)</f>
        <v>Ronald Miranda</v>
      </c>
      <c r="AO22" s="1167" t="s">
        <v>2280</v>
      </c>
      <c r="AP22" t="s">
        <v>2990</v>
      </c>
      <c r="AQ22" t="s">
        <v>2991</v>
      </c>
      <c r="AW22" s="633"/>
      <c r="AX22" s="633" t="s">
        <v>15</v>
      </c>
      <c r="AY22" s="633" t="s">
        <v>2522</v>
      </c>
      <c r="AZ22" s="633" t="s">
        <v>2558</v>
      </c>
      <c r="BA22" s="1483" t="s">
        <v>2598</v>
      </c>
      <c r="BB22" s="633" t="s">
        <v>2559</v>
      </c>
    </row>
    <row r="23" spans="1:57" ht="15" customHeight="1">
      <c r="A23" s="747" t="s">
        <v>2942</v>
      </c>
      <c r="B23" s="595">
        <v>45936</v>
      </c>
      <c r="C23" s="1447">
        <v>45927</v>
      </c>
      <c r="D23" t="s">
        <v>93</v>
      </c>
      <c r="E23" s="762">
        <f>_xlfn.XLOOKUP(D23,RUC!$B$3:$B$123,RUC!$D$3:$D$123)</f>
        <v>20169040231</v>
      </c>
      <c r="G23" s="1082">
        <v>80</v>
      </c>
      <c r="H23" s="762" t="s">
        <v>69</v>
      </c>
      <c r="I23" s="703">
        <v>8.08</v>
      </c>
      <c r="J23" s="596">
        <v>1.8</v>
      </c>
      <c r="K23" s="703">
        <f t="shared" si="0"/>
        <v>7.9349999999999996</v>
      </c>
      <c r="L23" s="994">
        <v>0.17899999999999999</v>
      </c>
      <c r="M23" s="994">
        <v>0.16400000000000001</v>
      </c>
      <c r="N23" s="1196">
        <f t="shared" si="24"/>
        <v>0.16400000000000001</v>
      </c>
      <c r="O23" s="645">
        <f t="shared" si="1"/>
        <v>0.16400000000000001</v>
      </c>
      <c r="P23" s="727">
        <v>90</v>
      </c>
      <c r="Q23" s="881">
        <v>96.09</v>
      </c>
      <c r="R23" s="706">
        <v>3769.85</v>
      </c>
      <c r="S23" s="765">
        <f>IF((_xlfn.XLOOKUP(D23,RUC!$B$3:$B$119,RUC!$E$3:$E$119)+ROUNDDOWN(O23,1)*100)&lt;95,95,((_xlfn.XLOOKUP(D23,RUC!$B$3:$B$119,RUC!$E$3:$E$119)+ROUNDDOWN(O23,1)*100)))</f>
        <v>95</v>
      </c>
      <c r="U23" s="1146">
        <f>_xlfn.XLOOKUP(D23,RUC!$B$3:$B$123,RUC!$F$3:$F$123)</f>
        <v>120</v>
      </c>
      <c r="V23" s="715">
        <v>1.1023000000000001</v>
      </c>
      <c r="Y23">
        <f>_xlfn.XLOOKUP(D23,RUC!$B$3:$B$123,RUC!$G$3:$G$123)</f>
        <v>20</v>
      </c>
      <c r="Z23" s="143">
        <f>_xlfn.XLOOKUP(D23,RUC!$B$3:$B$123,RUC!$H$3:$H$123)</f>
        <v>30</v>
      </c>
      <c r="AA23" s="144">
        <f t="shared" si="2"/>
        <v>50</v>
      </c>
      <c r="AB23" s="145">
        <f t="shared" si="23"/>
        <v>433.99519707799999</v>
      </c>
      <c r="AC23" s="145">
        <f>+(S23-T23)*V23-'data 1'!$F$4</f>
        <v>24.718500000000006</v>
      </c>
      <c r="AD23" s="145">
        <f t="shared" si="3"/>
        <v>43.857628792120522</v>
      </c>
      <c r="AE23" s="145">
        <f t="shared" si="4"/>
        <v>-14.884999999999998</v>
      </c>
      <c r="AF23" s="145">
        <f t="shared" si="5"/>
        <v>57.988820632342453</v>
      </c>
      <c r="AG23" s="772">
        <f t="shared" si="22"/>
        <v>128.67994942446299</v>
      </c>
      <c r="AH23" s="1253">
        <f t="shared" si="6"/>
        <v>46.793999999999997</v>
      </c>
      <c r="AI23" s="1253">
        <f t="shared" si="7"/>
        <v>48.698</v>
      </c>
      <c r="AJ23" s="156">
        <f t="shared" si="8"/>
        <v>56.907483280879518</v>
      </c>
      <c r="AK23" s="156">
        <f t="shared" si="9"/>
        <v>40.155252196488298</v>
      </c>
      <c r="AL23" s="88"/>
      <c r="AM23" s="716">
        <f t="shared" si="10"/>
        <v>3443.7518888139298</v>
      </c>
      <c r="AN23" s="716" t="str">
        <f>_xlfn.XLOOKUP(D23,RUC!$B$3:$B$578,RUC!$M$3:$M$578)</f>
        <v>Ronald Miranda</v>
      </c>
      <c r="AO23" s="1167" t="s">
        <v>2280</v>
      </c>
      <c r="AP23" t="s">
        <v>2990</v>
      </c>
      <c r="AQ23" t="s">
        <v>2991</v>
      </c>
      <c r="AW23" s="1225" t="s">
        <v>2277</v>
      </c>
      <c r="AX23" s="1227">
        <f t="shared" ref="AX23:AX32" si="25">SUMIF($AO$4:$AO$1677,AW23,$K$4:$K$1677)</f>
        <v>106.301</v>
      </c>
      <c r="AY23" s="1227">
        <v>0.14099999999999999</v>
      </c>
      <c r="AZ23" s="1229">
        <f t="shared" ref="AZ23:AZ32" si="26">AX23*AY23*31.1035*1.1023</f>
        <v>513.88451594953005</v>
      </c>
      <c r="BA23" s="1236">
        <v>67.819999999999993</v>
      </c>
      <c r="BB23" s="1255">
        <f t="shared" ref="BB23:BB32" si="27">AZ23*BA23/100</f>
        <v>348.51647871697128</v>
      </c>
      <c r="BC23" s="1518" t="s">
        <v>3318</v>
      </c>
      <c r="BD23" s="1519">
        <f>+BC6</f>
        <v>4955.7179999999989</v>
      </c>
      <c r="BE23" s="1514"/>
    </row>
    <row r="24" spans="1:57" ht="15" customHeight="1">
      <c r="A24" s="747" t="s">
        <v>2943</v>
      </c>
      <c r="B24" s="595">
        <v>45936</v>
      </c>
      <c r="C24" s="1447">
        <v>45927</v>
      </c>
      <c r="D24" t="s">
        <v>93</v>
      </c>
      <c r="E24" s="762">
        <f>_xlfn.XLOOKUP(D24,RUC!$B$3:$B$123,RUC!$D$3:$D$123)</f>
        <v>20169040231</v>
      </c>
      <c r="G24" s="1082">
        <v>80</v>
      </c>
      <c r="H24" s="762" t="s">
        <v>69</v>
      </c>
      <c r="I24" s="703">
        <v>8.11</v>
      </c>
      <c r="J24" s="596">
        <v>1.5</v>
      </c>
      <c r="K24" s="703">
        <f t="shared" si="0"/>
        <v>7.9880000000000004</v>
      </c>
      <c r="L24" s="994">
        <v>0.16500000000000001</v>
      </c>
      <c r="M24" s="994">
        <v>0.15</v>
      </c>
      <c r="N24" s="1196">
        <f t="shared" si="24"/>
        <v>0.15</v>
      </c>
      <c r="O24" s="645">
        <f t="shared" si="1"/>
        <v>0.15</v>
      </c>
      <c r="P24" s="727">
        <v>85</v>
      </c>
      <c r="Q24" s="881">
        <v>96.97</v>
      </c>
      <c r="R24" s="706">
        <v>3769.85</v>
      </c>
      <c r="S24" s="765">
        <f>IF((_xlfn.XLOOKUP(D24,RUC!$B$3:$B$119,RUC!$E$3:$E$119)+ROUNDDOWN(O24,1)*100)&lt;95,95,((_xlfn.XLOOKUP(D24,RUC!$B$3:$B$119,RUC!$E$3:$E$119)+ROUNDDOWN(O24,1)*100)))</f>
        <v>95</v>
      </c>
      <c r="U24" s="1146">
        <f>_xlfn.XLOOKUP(D24,RUC!$B$3:$B$123,RUC!$F$3:$F$123)</f>
        <v>120</v>
      </c>
      <c r="V24" s="715">
        <v>1.1023000000000001</v>
      </c>
      <c r="Y24">
        <f>_xlfn.XLOOKUP(D24,RUC!$B$3:$B$123,RUC!$G$3:$G$123)</f>
        <v>20</v>
      </c>
      <c r="Z24" s="143">
        <f>_xlfn.XLOOKUP(D24,RUC!$B$3:$B$123,RUC!$H$3:$H$123)</f>
        <v>30</v>
      </c>
      <c r="AA24" s="144">
        <f t="shared" si="2"/>
        <v>50</v>
      </c>
      <c r="AB24" s="145">
        <f t="shared" si="23"/>
        <v>353.12828101250005</v>
      </c>
      <c r="AC24" s="145">
        <f>+(S24-T24)*V24-'data 1'!$F$4</f>
        <v>24.718500000000006</v>
      </c>
      <c r="AD24" s="145">
        <f t="shared" si="3"/>
        <v>79.460797301077491</v>
      </c>
      <c r="AE24" s="145">
        <f t="shared" si="4"/>
        <v>-14.884999999999998</v>
      </c>
      <c r="AF24" s="145">
        <f t="shared" si="5"/>
        <v>58.519886946802551</v>
      </c>
      <c r="AG24" s="772">
        <f t="shared" si="22"/>
        <v>164.81418424788006</v>
      </c>
      <c r="AH24" s="1253">
        <f t="shared" si="6"/>
        <v>43.82</v>
      </c>
      <c r="AI24" s="1253">
        <f t="shared" si="7"/>
        <v>45.189</v>
      </c>
      <c r="AJ24" s="156">
        <f t="shared" si="8"/>
        <v>52.937020627672517</v>
      </c>
      <c r="AK24" s="156">
        <f t="shared" si="9"/>
        <v>34.918639167283501</v>
      </c>
      <c r="AL24" s="88"/>
      <c r="AM24" s="716">
        <f t="shared" si="10"/>
        <v>2820.7887087278505</v>
      </c>
      <c r="AN24" s="716" t="str">
        <f>_xlfn.XLOOKUP(D24,RUC!$B$3:$B$578,RUC!$M$3:$M$578)</f>
        <v>Ronald Miranda</v>
      </c>
      <c r="AO24" s="1167" t="s">
        <v>2280</v>
      </c>
      <c r="AP24" t="s">
        <v>2990</v>
      </c>
      <c r="AQ24" t="s">
        <v>2991</v>
      </c>
      <c r="AW24" s="1232" t="s">
        <v>2278</v>
      </c>
      <c r="AX24" s="1234">
        <f t="shared" si="25"/>
        <v>103.64500000000001</v>
      </c>
      <c r="AY24" s="1234">
        <v>0.97199999999999998</v>
      </c>
      <c r="AZ24" s="1236">
        <f t="shared" si="26"/>
        <v>3454.0107911978675</v>
      </c>
      <c r="BA24" s="1236">
        <v>78.86</v>
      </c>
      <c r="BB24" s="1256">
        <f t="shared" si="27"/>
        <v>2723.8329099386383</v>
      </c>
      <c r="BC24" s="1518" t="s">
        <v>3319</v>
      </c>
      <c r="BD24" s="1519">
        <f>+'28'!BC27+'28'!BC28</f>
        <v>666.87000000000012</v>
      </c>
    </row>
    <row r="25" spans="1:57" ht="14.4" customHeight="1">
      <c r="A25" s="877" t="s">
        <v>2960</v>
      </c>
      <c r="B25" s="595">
        <v>45938</v>
      </c>
      <c r="C25" s="1447">
        <v>45930</v>
      </c>
      <c r="D25" t="s">
        <v>3028</v>
      </c>
      <c r="E25" s="762">
        <f>_xlfn.XLOOKUP(D25,RUC!$B$3:$B$123,RUC!$D$3:$D$123)</f>
        <v>10737057025</v>
      </c>
      <c r="G25" s="1082"/>
      <c r="H25" s="1473"/>
      <c r="I25" s="703"/>
      <c r="J25" s="596"/>
      <c r="K25" s="703"/>
      <c r="L25" s="762"/>
      <c r="M25" s="762"/>
      <c r="N25" s="1196"/>
      <c r="O25" s="645"/>
      <c r="P25" s="727"/>
      <c r="Q25" s="881"/>
      <c r="R25" s="706"/>
      <c r="S25" s="765"/>
      <c r="U25" s="1146"/>
      <c r="V25" s="715"/>
      <c r="Z25" s="143"/>
      <c r="AA25" s="144"/>
      <c r="AB25" s="145"/>
      <c r="AC25" s="145">
        <f>+(S25-T25)*V25-'data 1'!$F$4</f>
        <v>-80</v>
      </c>
      <c r="AD25" s="145">
        <f t="shared" si="3"/>
        <v>0</v>
      </c>
      <c r="AE25" s="145">
        <f t="shared" si="4"/>
        <v>-70</v>
      </c>
      <c r="AF25" s="145">
        <f t="shared" si="5"/>
        <v>0</v>
      </c>
      <c r="AG25" s="772"/>
      <c r="AH25" s="1253">
        <f t="shared" si="6"/>
        <v>0</v>
      </c>
      <c r="AI25" s="1253">
        <f t="shared" si="7"/>
        <v>0</v>
      </c>
      <c r="AJ25" s="156">
        <f t="shared" si="8"/>
        <v>0</v>
      </c>
      <c r="AK25" s="156">
        <f t="shared" si="9"/>
        <v>0</v>
      </c>
      <c r="AL25" s="88"/>
      <c r="AM25" s="716">
        <f t="shared" si="10"/>
        <v>0</v>
      </c>
      <c r="AN25" s="716"/>
      <c r="AO25" s="1167"/>
      <c r="AW25" s="1232" t="s">
        <v>2280</v>
      </c>
      <c r="AX25" s="1234">
        <f t="shared" si="25"/>
        <v>109.55900000000001</v>
      </c>
      <c r="AY25" s="1234">
        <v>0.13900000000000001</v>
      </c>
      <c r="AZ25" s="1236">
        <f t="shared" si="26"/>
        <v>522.12192328242315</v>
      </c>
      <c r="BA25" s="1236">
        <v>84.08</v>
      </c>
      <c r="BB25" s="1256">
        <f t="shared" si="27"/>
        <v>439.00011309586137</v>
      </c>
      <c r="BC25" s="1495" t="s">
        <v>3377</v>
      </c>
      <c r="BD25" s="1496">
        <v>5025.0200000000004</v>
      </c>
    </row>
    <row r="26" spans="1:57" ht="15" customHeight="1">
      <c r="A26" s="747" t="s">
        <v>2961</v>
      </c>
      <c r="B26" s="595">
        <v>45936</v>
      </c>
      <c r="C26" s="1447">
        <v>45930</v>
      </c>
      <c r="D26" t="s">
        <v>2444</v>
      </c>
      <c r="E26" s="762">
        <f>_xlfn.XLOOKUP(D26,RUC!$B$3:$B$123,RUC!$D$3:$D$123)</f>
        <v>20608774000</v>
      </c>
      <c r="G26" s="1082">
        <v>50</v>
      </c>
      <c r="H26" s="762" t="s">
        <v>69</v>
      </c>
      <c r="I26" s="703">
        <v>4.9800000000000004</v>
      </c>
      <c r="J26" s="596">
        <v>5.65</v>
      </c>
      <c r="K26" s="703">
        <f t="shared" ref="K26:K76" si="28">ROUND(+I26-(I26*(J26/100)),3)</f>
        <v>4.6989999999999998</v>
      </c>
      <c r="L26" s="762">
        <v>0.126</v>
      </c>
      <c r="M26" s="762">
        <v>0.111</v>
      </c>
      <c r="N26" s="1196">
        <f t="shared" si="24"/>
        <v>0.111</v>
      </c>
      <c r="O26" s="645">
        <f t="shared" si="1"/>
        <v>0.111</v>
      </c>
      <c r="P26" s="727">
        <v>80</v>
      </c>
      <c r="Q26" s="881">
        <v>97.62</v>
      </c>
      <c r="R26" s="706">
        <v>3825.3</v>
      </c>
      <c r="S26" s="765">
        <f>IF((_xlfn.XLOOKUP(D26,RUC!$B$3:$B$119,RUC!$E$3:$E$119)+ROUNDDOWN(O26,1)*100)&lt;95,95,((_xlfn.XLOOKUP(D26,RUC!$B$3:$B$119,RUC!$E$3:$E$119)+ROUNDDOWN(O26,1)*100)))</f>
        <v>95</v>
      </c>
      <c r="U26" s="1146">
        <f>_xlfn.XLOOKUP(D26,RUC!$B$3:$B$123,RUC!$F$3:$F$123)</f>
        <v>120</v>
      </c>
      <c r="V26" s="715">
        <v>1.1023000000000001</v>
      </c>
      <c r="Y26">
        <f>_xlfn.XLOOKUP(D26,RUC!$B$3:$B$123,RUC!$G$3:$G$123)</f>
        <v>20</v>
      </c>
      <c r="Z26" s="1454">
        <v>35</v>
      </c>
      <c r="AA26" s="144">
        <f t="shared" ref="AA26:AA28" si="29">+Y26+Z26</f>
        <v>55</v>
      </c>
      <c r="AB26" s="145">
        <f>+((O26*P26*(R26-U26)/100)-S26-AA26+T26)*V26</f>
        <v>197.34547447200009</v>
      </c>
      <c r="AC26" s="145">
        <f>+(S26-T26)*V26-'data 1'!$F$4</f>
        <v>24.718500000000006</v>
      </c>
      <c r="AD26" s="145">
        <f t="shared" si="3"/>
        <v>90.677519840628051</v>
      </c>
      <c r="AE26" s="145">
        <f t="shared" si="4"/>
        <v>-9.3734999999999999</v>
      </c>
      <c r="AF26" s="145">
        <f t="shared" si="5"/>
        <v>59.807169118170002</v>
      </c>
      <c r="AG26" s="772">
        <f t="shared" ref="AG26:AG27" si="30">AC26+AD26+AE26+AF26+70-53</f>
        <v>182.82968895879807</v>
      </c>
      <c r="AH26" s="1253">
        <f t="shared" si="6"/>
        <v>19.815999999999999</v>
      </c>
      <c r="AI26" s="1253">
        <f t="shared" si="7"/>
        <v>20.298999999999999</v>
      </c>
      <c r="AJ26" s="156">
        <f t="shared" si="8"/>
        <v>33.177459309371983</v>
      </c>
      <c r="AK26" s="156">
        <f t="shared" si="9"/>
        <v>14.306305014089162</v>
      </c>
      <c r="AL26" s="88"/>
      <c r="AM26" s="716">
        <f t="shared" si="10"/>
        <v>927.32638454392838</v>
      </c>
      <c r="AN26" s="716" t="str">
        <f>_xlfn.XLOOKUP(D26,RUC!$B$3:$B$578,RUC!$M$3:$M$578)</f>
        <v>Ronald Miranda</v>
      </c>
      <c r="AO26" s="1167" t="s">
        <v>2279</v>
      </c>
      <c r="AP26" t="s">
        <v>3000</v>
      </c>
      <c r="AQ26" t="s">
        <v>3001</v>
      </c>
      <c r="AW26" s="1232" t="s">
        <v>2279</v>
      </c>
      <c r="AX26" s="1234">
        <f t="shared" si="25"/>
        <v>108.39899999999997</v>
      </c>
      <c r="AY26" s="1234">
        <v>0.17399999999999999</v>
      </c>
      <c r="AZ26" s="1236">
        <f t="shared" si="26"/>
        <v>646.67130958635914</v>
      </c>
      <c r="BA26" s="1236">
        <v>25</v>
      </c>
      <c r="BB26" s="1256">
        <f t="shared" si="27"/>
        <v>161.66782739658979</v>
      </c>
      <c r="BC26" s="1495" t="s">
        <v>3378</v>
      </c>
      <c r="BD26" s="1496">
        <v>488.35</v>
      </c>
    </row>
    <row r="27" spans="1:57" ht="15" customHeight="1">
      <c r="A27" s="747" t="s">
        <v>2976</v>
      </c>
      <c r="B27" s="595">
        <v>45947</v>
      </c>
      <c r="C27" s="1447">
        <v>45930</v>
      </c>
      <c r="D27" t="s">
        <v>93</v>
      </c>
      <c r="E27" s="762">
        <f>_xlfn.XLOOKUP(D27,RUC!$B$3:$B$123,RUC!$D$3:$D$123)</f>
        <v>20169040231</v>
      </c>
      <c r="G27" s="1082">
        <v>82</v>
      </c>
      <c r="H27" s="762" t="s">
        <v>69</v>
      </c>
      <c r="I27" s="703">
        <v>8.26</v>
      </c>
      <c r="J27" s="596">
        <v>1.3</v>
      </c>
      <c r="K27" s="703">
        <f t="shared" si="28"/>
        <v>8.1530000000000005</v>
      </c>
      <c r="L27" s="762">
        <v>0.129</v>
      </c>
      <c r="M27" s="762">
        <v>0.114</v>
      </c>
      <c r="N27" s="1196">
        <v>0.114</v>
      </c>
      <c r="O27" s="645">
        <f t="shared" si="1"/>
        <v>0.114</v>
      </c>
      <c r="P27" s="727">
        <v>80</v>
      </c>
      <c r="Q27" s="881">
        <v>90.08</v>
      </c>
      <c r="R27" s="706">
        <v>3825.3</v>
      </c>
      <c r="S27" s="765">
        <f>IF((_xlfn.XLOOKUP(D27,RUC!$B$3:$B$119,RUC!$E$3:$E$119)+ROUNDDOWN(O27,1)*100)&lt;95,95,((_xlfn.XLOOKUP(D27,RUC!$B$3:$B$119,RUC!$E$3:$E$119)+ROUNDDOWN(O27,1)*100)))</f>
        <v>95</v>
      </c>
      <c r="U27" s="1146">
        <f>_xlfn.XLOOKUP(D27,RUC!$B$3:$B$123,RUC!$F$3:$F$123)</f>
        <v>120</v>
      </c>
      <c r="V27" s="715">
        <v>1.1023000000000001</v>
      </c>
      <c r="Y27">
        <f>_xlfn.XLOOKUP(D27,RUC!$B$3:$B$123,RUC!$G$3:$G$123)</f>
        <v>20</v>
      </c>
      <c r="Z27" s="143">
        <f>_xlfn.XLOOKUP(D27,RUC!$B$3:$B$123,RUC!$H$3:$H$123)</f>
        <v>30</v>
      </c>
      <c r="AA27" s="144">
        <f t="shared" si="29"/>
        <v>50</v>
      </c>
      <c r="AB27" s="145">
        <f t="shared" ref="AB27" si="31">+((O27*P27*(R27-U27)/100)-S27-AA27+T27)*V27</f>
        <v>212.65941972800002</v>
      </c>
      <c r="AC27" s="145">
        <f>+(S27-T27)*V27-'data 1'!$F$4</f>
        <v>24.718500000000006</v>
      </c>
      <c r="AD27" s="145">
        <f t="shared" si="3"/>
        <v>53.109648397008002</v>
      </c>
      <c r="AE27" s="145">
        <f t="shared" si="4"/>
        <v>-14.884999999999998</v>
      </c>
      <c r="AF27" s="145">
        <f t="shared" si="5"/>
        <v>55.187766791280012</v>
      </c>
      <c r="AG27" s="772">
        <f t="shared" si="30"/>
        <v>135.13091518828801</v>
      </c>
      <c r="AH27" s="1253">
        <f t="shared" si="6"/>
        <v>32.481999999999999</v>
      </c>
      <c r="AI27" s="1253">
        <f t="shared" si="7"/>
        <v>36.058999999999997</v>
      </c>
      <c r="AJ27" s="156">
        <f t="shared" si="8"/>
        <v>31.343815666991983</v>
      </c>
      <c r="AK27" s="156">
        <f t="shared" si="9"/>
        <v>25.493023711974484</v>
      </c>
      <c r="AL27" s="88"/>
      <c r="AM27" s="716">
        <f t="shared" si="10"/>
        <v>1733.8122490423843</v>
      </c>
      <c r="AN27" s="716" t="str">
        <f>_xlfn.XLOOKUP(D27,RUC!$B$3:$B$578,RUC!$M$3:$M$578)</f>
        <v>Ronald Miranda</v>
      </c>
      <c r="AO27" s="1167" t="s">
        <v>2280</v>
      </c>
      <c r="AP27" t="s">
        <v>3002</v>
      </c>
      <c r="AQ27" t="s">
        <v>3003</v>
      </c>
      <c r="AW27" s="1232" t="s">
        <v>2281</v>
      </c>
      <c r="AX27" s="1234">
        <f t="shared" si="25"/>
        <v>102.61300000000001</v>
      </c>
      <c r="AY27" s="1234">
        <v>8.3000000000000004E-2</v>
      </c>
      <c r="AZ27" s="1236">
        <f t="shared" si="26"/>
        <v>292.00450148989603</v>
      </c>
      <c r="BA27" s="1236">
        <v>57.22</v>
      </c>
      <c r="BB27" s="1256">
        <f t="shared" si="27"/>
        <v>167.08497575251852</v>
      </c>
      <c r="BC27" s="1495" t="s">
        <v>3379</v>
      </c>
      <c r="BD27" s="1496">
        <v>86.09</v>
      </c>
    </row>
    <row r="28" spans="1:57" ht="15" customHeight="1">
      <c r="A28" s="1491" t="s">
        <v>2977</v>
      </c>
      <c r="B28" s="1475">
        <v>45947</v>
      </c>
      <c r="C28" s="1447">
        <v>45930</v>
      </c>
      <c r="D28" t="s">
        <v>93</v>
      </c>
      <c r="E28" s="762">
        <f>_xlfn.XLOOKUP(D28,RUC!$B$3:$B$123,RUC!$D$3:$D$123)</f>
        <v>20169040231</v>
      </c>
      <c r="G28" s="1082">
        <v>83</v>
      </c>
      <c r="H28" s="762" t="s">
        <v>69</v>
      </c>
      <c r="I28" s="703">
        <v>8.4600000000000009</v>
      </c>
      <c r="J28" s="596">
        <v>1.3</v>
      </c>
      <c r="K28" s="703">
        <f t="shared" si="28"/>
        <v>8.35</v>
      </c>
      <c r="L28" s="762">
        <v>0.104</v>
      </c>
      <c r="M28" s="762">
        <v>8.8999999999999996E-2</v>
      </c>
      <c r="N28" s="1196">
        <f t="shared" si="24"/>
        <v>8.8999999999999996E-2</v>
      </c>
      <c r="O28" s="645">
        <f t="shared" si="1"/>
        <v>8.8999999999999996E-2</v>
      </c>
      <c r="P28" s="727">
        <v>80</v>
      </c>
      <c r="Q28" s="881">
        <v>94.95</v>
      </c>
      <c r="R28" s="706">
        <v>3825.3</v>
      </c>
      <c r="S28" s="765">
        <f>IF((_xlfn.XLOOKUP(D28,RUC!$B$3:$B$119,RUC!$E$3:$E$119)+ROUNDDOWN(O28,1)*100)&lt;95,95,((_xlfn.XLOOKUP(D28,RUC!$B$3:$B$119,RUC!$E$3:$E$119)+ROUNDDOWN(O28,1)*100)))</f>
        <v>95</v>
      </c>
      <c r="U28" s="1146">
        <f>_xlfn.XLOOKUP(D28,RUC!$B$3:$B$123,RUC!$F$3:$F$123)</f>
        <v>120</v>
      </c>
      <c r="V28" s="715">
        <v>1.1023000000000001</v>
      </c>
      <c r="Y28">
        <f>_xlfn.XLOOKUP(D28,RUC!$B$3:$B$123,RUC!$G$3:$G$123)</f>
        <v>20</v>
      </c>
      <c r="Z28" s="143">
        <f>_xlfn.XLOOKUP(D28,RUC!$B$3:$B$123,RUC!$H$3:$H$123)</f>
        <v>30</v>
      </c>
      <c r="AA28" s="144">
        <f t="shared" si="29"/>
        <v>50</v>
      </c>
      <c r="AB28" s="145">
        <v>1E-3</v>
      </c>
      <c r="AC28" s="145">
        <f>+(S28-T28)*V28-'data 1'!$F$4</f>
        <v>24.718500000000006</v>
      </c>
      <c r="AD28" s="145">
        <f t="shared" si="3"/>
        <v>63.503507850120023</v>
      </c>
      <c r="AE28" s="145">
        <f t="shared" si="4"/>
        <v>-14.884999999999998</v>
      </c>
      <c r="AF28" s="145">
        <f t="shared" si="5"/>
        <v>58.171386066075009</v>
      </c>
      <c r="AG28" s="772">
        <f>AC28+AD28+AE28+AF28+70-53+130.97</f>
        <v>279.47839391619505</v>
      </c>
      <c r="AH28" s="1253">
        <f t="shared" si="6"/>
        <v>28.27</v>
      </c>
      <c r="AI28" s="1253">
        <f t="shared" si="7"/>
        <v>29.773</v>
      </c>
      <c r="AJ28" s="156">
        <f t="shared" si="8"/>
        <v>26.635575521879982</v>
      </c>
      <c r="AK28" s="156">
        <f t="shared" si="9"/>
        <v>20.383348903485999</v>
      </c>
      <c r="AL28" s="88"/>
      <c r="AM28" s="716">
        <f t="shared" si="10"/>
        <v>8.3499999999999998E-3</v>
      </c>
      <c r="AN28" s="716" t="str">
        <f>_xlfn.XLOOKUP(D28,RUC!$B$3:$B$578,RUC!$M$3:$M$578)</f>
        <v>Ronald Miranda</v>
      </c>
      <c r="AO28" s="1167" t="s">
        <v>2280</v>
      </c>
      <c r="AP28" t="s">
        <v>3002</v>
      </c>
      <c r="AQ28" t="s">
        <v>3003</v>
      </c>
      <c r="AW28" s="1232" t="s">
        <v>2297</v>
      </c>
      <c r="AX28" s="1234">
        <f t="shared" si="25"/>
        <v>0</v>
      </c>
      <c r="AY28" s="631"/>
      <c r="AZ28" s="1236">
        <f t="shared" si="26"/>
        <v>0</v>
      </c>
      <c r="BA28" s="631"/>
      <c r="BB28" s="1256">
        <f t="shared" si="27"/>
        <v>0</v>
      </c>
      <c r="BC28" s="891" t="s">
        <v>3206</v>
      </c>
      <c r="BD28" s="1249">
        <f>-BD23-BD24+BD25+BD26+BD27</f>
        <v>-23.127999999998366</v>
      </c>
    </row>
    <row r="29" spans="1:57" ht="15" customHeight="1">
      <c r="A29" s="877" t="s">
        <v>2978</v>
      </c>
      <c r="B29" s="595">
        <v>45938</v>
      </c>
      <c r="C29" s="1447">
        <v>45930</v>
      </c>
      <c r="D29" t="s">
        <v>3028</v>
      </c>
      <c r="E29" s="762">
        <f>_xlfn.XLOOKUP(D29,RUC!$B$3:$B$123,RUC!$D$3:$D$123)</f>
        <v>10737057025</v>
      </c>
      <c r="G29" s="1082"/>
      <c r="I29" s="703"/>
      <c r="J29" s="596"/>
      <c r="K29" s="703"/>
      <c r="L29" s="762"/>
      <c r="M29" s="762"/>
      <c r="N29" s="1196"/>
      <c r="O29" s="645"/>
      <c r="P29" s="727"/>
      <c r="R29" s="706"/>
      <c r="S29" s="765"/>
      <c r="U29" s="1146"/>
      <c r="V29" s="715"/>
      <c r="Z29" s="143"/>
      <c r="AA29" s="144"/>
      <c r="AB29" s="145"/>
      <c r="AC29" s="145">
        <f>+(S29-T29)*V29-'data 1'!$F$4</f>
        <v>-80</v>
      </c>
      <c r="AD29" s="145">
        <f t="shared" si="3"/>
        <v>0</v>
      </c>
      <c r="AE29" s="145">
        <f t="shared" si="4"/>
        <v>-70</v>
      </c>
      <c r="AF29" s="145">
        <f t="shared" si="5"/>
        <v>0</v>
      </c>
      <c r="AG29" s="772"/>
      <c r="AH29" s="1253">
        <f t="shared" si="6"/>
        <v>0</v>
      </c>
      <c r="AI29" s="1253">
        <f t="shared" si="7"/>
        <v>0</v>
      </c>
      <c r="AJ29" s="156">
        <f t="shared" si="8"/>
        <v>0</v>
      </c>
      <c r="AK29" s="156">
        <f t="shared" si="9"/>
        <v>0</v>
      </c>
      <c r="AL29" s="88"/>
      <c r="AM29" s="716">
        <f t="shared" si="10"/>
        <v>0</v>
      </c>
      <c r="AN29" s="716"/>
      <c r="AO29" s="1167"/>
      <c r="AW29" s="1232" t="s">
        <v>2518</v>
      </c>
      <c r="AX29" s="1234">
        <f t="shared" si="25"/>
        <v>0</v>
      </c>
      <c r="AY29" s="631"/>
      <c r="AZ29" s="1236">
        <f t="shared" si="26"/>
        <v>0</v>
      </c>
      <c r="BA29" s="631"/>
      <c r="BB29" s="1256">
        <f t="shared" si="27"/>
        <v>0</v>
      </c>
    </row>
    <row r="30" spans="1:57" ht="15" customHeight="1">
      <c r="A30" s="747" t="s">
        <v>3015</v>
      </c>
      <c r="B30" s="595">
        <v>45937</v>
      </c>
      <c r="C30" s="1447">
        <v>45931</v>
      </c>
      <c r="D30" t="s">
        <v>1967</v>
      </c>
      <c r="E30" s="762">
        <f>_xlfn.XLOOKUP(D30,RUC!$B$3:$B$123,RUC!$D$3:$D$123)</f>
        <v>20601769396</v>
      </c>
      <c r="G30" s="1082">
        <v>50</v>
      </c>
      <c r="H30" s="762" t="s">
        <v>108</v>
      </c>
      <c r="I30" s="703">
        <v>3.04</v>
      </c>
      <c r="J30" s="596">
        <v>15.28</v>
      </c>
      <c r="K30" s="703">
        <f t="shared" si="28"/>
        <v>2.5750000000000002</v>
      </c>
      <c r="L30" s="762">
        <v>0.54600000000000004</v>
      </c>
      <c r="M30" s="762">
        <v>0.51900000000000002</v>
      </c>
      <c r="N30" s="1196">
        <f t="shared" si="24"/>
        <v>0.51900000000000002</v>
      </c>
      <c r="O30" s="645">
        <f t="shared" si="1"/>
        <v>0.51900000000000002</v>
      </c>
      <c r="P30" s="727">
        <v>90</v>
      </c>
      <c r="Q30" s="1476">
        <v>92.31</v>
      </c>
      <c r="R30" s="706">
        <v>3872</v>
      </c>
      <c r="S30" s="765">
        <f>IF((_xlfn.XLOOKUP(D30,RUC!$B$3:$B$119,RUC!$E$3:$E$119)+ROUNDDOWN(O30,1)*100)&lt;95,95,((_xlfn.XLOOKUP(D30,RUC!$B$3:$B$119,RUC!$E$3:$E$119)+ROUNDDOWN(O30,1)*100)))</f>
        <v>140</v>
      </c>
      <c r="U30" s="1146">
        <f>_xlfn.XLOOKUP(D30,RUC!$B$3:$B$123,RUC!$F$3:$F$123)</f>
        <v>120</v>
      </c>
      <c r="V30" s="715">
        <v>1.1023000000000001</v>
      </c>
      <c r="Y30">
        <f>_xlfn.XLOOKUP(D30,RUC!$B$3:$B$123,RUC!$G$3:$G$123)</f>
        <v>20</v>
      </c>
      <c r="Z30" s="143">
        <f>_xlfn.XLOOKUP(D30,RUC!$B$3:$B$123,RUC!$H$3:$H$123)</f>
        <v>30</v>
      </c>
      <c r="AA30" s="144">
        <f t="shared" ref="AA30:AA80" si="32">+Y30+Z30</f>
        <v>50</v>
      </c>
      <c r="AB30" s="145">
        <f t="shared" ref="AB30:AB81" si="33">+((O30*P30*(R30-U30)/100)-S30-AA30+T30)*V30</f>
        <v>1722.4090061600002</v>
      </c>
      <c r="AC30" s="145">
        <f>+(S30-T30)*V30-'data 1'!$F$4</f>
        <v>74.322000000000003</v>
      </c>
      <c r="AD30" s="145">
        <f t="shared" si="3"/>
        <v>52.163564412960049</v>
      </c>
      <c r="AE30" s="145">
        <f t="shared" si="4"/>
        <v>-14.884999999999998</v>
      </c>
      <c r="AF30" s="145">
        <f t="shared" si="5"/>
        <v>103.0801762015201</v>
      </c>
      <c r="AG30" s="772">
        <f t="shared" ref="AG30:AG31" si="34">AC30+AD30+AE30+AF30+70-53</f>
        <v>231.68074061448016</v>
      </c>
      <c r="AH30" s="1253">
        <f t="shared" si="6"/>
        <v>44.497</v>
      </c>
      <c r="AI30" s="1253">
        <f t="shared" si="7"/>
        <v>48.204000000000001</v>
      </c>
      <c r="AJ30" s="156">
        <f t="shared" si="8"/>
        <v>110.00347161804002</v>
      </c>
      <c r="AK30" s="156">
        <f t="shared" si="9"/>
        <v>41.237864752249131</v>
      </c>
      <c r="AL30" s="88"/>
      <c r="AM30" s="716">
        <f t="shared" si="10"/>
        <v>4435.2031908620011</v>
      </c>
      <c r="AN30" s="716" t="str">
        <f>_xlfn.XLOOKUP(D30,RUC!$B$3:$B$578,RUC!$M$3:$M$578)</f>
        <v>Evelyn</v>
      </c>
      <c r="AO30" s="1167" t="s">
        <v>2277</v>
      </c>
      <c r="AP30" t="s">
        <v>3004</v>
      </c>
      <c r="AQ30" t="s">
        <v>3005</v>
      </c>
      <c r="AW30" s="1232" t="s">
        <v>2519</v>
      </c>
      <c r="AX30" s="1234">
        <f t="shared" si="25"/>
        <v>0</v>
      </c>
      <c r="AY30" s="631"/>
      <c r="AZ30" s="1236">
        <f t="shared" si="26"/>
        <v>0</v>
      </c>
      <c r="BA30" s="631"/>
      <c r="BB30" s="1256">
        <f t="shared" si="27"/>
        <v>0</v>
      </c>
    </row>
    <row r="31" spans="1:57" ht="15" customHeight="1">
      <c r="A31" s="747" t="s">
        <v>3016</v>
      </c>
      <c r="B31" s="595">
        <v>45937</v>
      </c>
      <c r="C31" s="1447">
        <v>45931</v>
      </c>
      <c r="D31" t="s">
        <v>1967</v>
      </c>
      <c r="E31" s="762">
        <f>_xlfn.XLOOKUP(D31,RUC!$B$3:$B$123,RUC!$D$3:$D$123)</f>
        <v>20601769396</v>
      </c>
      <c r="G31" s="1082">
        <v>50</v>
      </c>
      <c r="H31" s="762" t="s">
        <v>108</v>
      </c>
      <c r="I31" s="703">
        <v>3.45</v>
      </c>
      <c r="J31" s="596">
        <v>16.12</v>
      </c>
      <c r="K31" s="703">
        <f t="shared" si="28"/>
        <v>2.8940000000000001</v>
      </c>
      <c r="L31" s="762">
        <v>0.60399999999999998</v>
      </c>
      <c r="M31" s="762">
        <v>0.57399999999999995</v>
      </c>
      <c r="N31" s="1196">
        <f t="shared" si="24"/>
        <v>0.57399999999999995</v>
      </c>
      <c r="O31" s="645">
        <f t="shared" si="1"/>
        <v>0.57399999999999995</v>
      </c>
      <c r="P31" s="727">
        <v>90</v>
      </c>
      <c r="Q31" s="1476">
        <v>95.53</v>
      </c>
      <c r="R31" s="706">
        <v>3872</v>
      </c>
      <c r="S31" s="765">
        <f>IF((_xlfn.XLOOKUP(D31,RUC!$B$3:$B$119,RUC!$E$3:$E$119)+ROUNDDOWN(O31,1)*100)&lt;95,95,((_xlfn.XLOOKUP(D31,RUC!$B$3:$B$119,RUC!$E$3:$E$119)+ROUNDDOWN(O31,1)*100)))</f>
        <v>140</v>
      </c>
      <c r="U31" s="1146">
        <f>_xlfn.XLOOKUP(D31,RUC!$B$3:$B$123,RUC!$F$3:$F$123)</f>
        <v>120</v>
      </c>
      <c r="V31" s="715">
        <v>1.1023000000000001</v>
      </c>
      <c r="Y31">
        <f>_xlfn.XLOOKUP(D31,RUC!$B$3:$B$123,RUC!$G$3:$G$123)</f>
        <v>20</v>
      </c>
      <c r="Z31" s="143">
        <f>_xlfn.XLOOKUP(D31,RUC!$B$3:$B$123,RUC!$H$3:$H$123)</f>
        <v>30</v>
      </c>
      <c r="AA31" s="144">
        <f t="shared" si="32"/>
        <v>50</v>
      </c>
      <c r="AB31" s="145">
        <f t="shared" si="33"/>
        <v>1927.1325713599999</v>
      </c>
      <c r="AC31" s="145">
        <f>+(S31-T31)*V31-'data 1'!$F$4</f>
        <v>74.322000000000003</v>
      </c>
      <c r="AD31" s="145">
        <f t="shared" si="3"/>
        <v>138.14167163552003</v>
      </c>
      <c r="AE31" s="145">
        <f t="shared" si="4"/>
        <v>-14.884999999999998</v>
      </c>
      <c r="AF31" s="145">
        <f t="shared" si="5"/>
        <v>118.52874050640011</v>
      </c>
      <c r="AG31" s="772">
        <f t="shared" si="34"/>
        <v>333.10741214192012</v>
      </c>
      <c r="AH31" s="1253">
        <f t="shared" si="6"/>
        <v>57.250999999999998</v>
      </c>
      <c r="AI31" s="1253">
        <f t="shared" si="7"/>
        <v>59.93</v>
      </c>
      <c r="AJ31" s="156">
        <f t="shared" si="8"/>
        <v>125.93362770648002</v>
      </c>
      <c r="AK31" s="156">
        <f t="shared" si="9"/>
        <v>51.258040264427216</v>
      </c>
      <c r="AL31" s="88"/>
      <c r="AM31" s="716">
        <f t="shared" si="10"/>
        <v>5577.1216615158401</v>
      </c>
      <c r="AN31" s="716" t="str">
        <f>_xlfn.XLOOKUP(D31,RUC!$B$3:$B$578,RUC!$M$3:$M$578)</f>
        <v>Evelyn</v>
      </c>
      <c r="AO31" s="1167" t="s">
        <v>2277</v>
      </c>
      <c r="AP31" t="s">
        <v>3004</v>
      </c>
      <c r="AQ31" t="s">
        <v>3005</v>
      </c>
      <c r="AW31" s="1232" t="s">
        <v>2520</v>
      </c>
      <c r="AX31" s="1234">
        <f t="shared" si="25"/>
        <v>0</v>
      </c>
      <c r="AY31" s="631"/>
      <c r="AZ31" s="1236">
        <f t="shared" si="26"/>
        <v>0</v>
      </c>
      <c r="BA31" s="631"/>
      <c r="BB31" s="1256">
        <f t="shared" si="27"/>
        <v>0</v>
      </c>
    </row>
    <row r="32" spans="1:57" ht="15" customHeight="1" thickBot="1">
      <c r="A32" s="747" t="s">
        <v>3018</v>
      </c>
      <c r="B32" s="595">
        <v>45938</v>
      </c>
      <c r="C32" s="1447">
        <v>45931</v>
      </c>
      <c r="D32" t="s">
        <v>3027</v>
      </c>
      <c r="E32" s="762">
        <f>_xlfn.XLOOKUP(D32,RUC!$B$3:$B$123,RUC!$D$3:$D$123)</f>
        <v>10486077447</v>
      </c>
      <c r="G32" s="1082" t="s">
        <v>2985</v>
      </c>
      <c r="H32" s="762" t="s">
        <v>108</v>
      </c>
      <c r="I32" s="703">
        <v>29.99</v>
      </c>
      <c r="J32" s="596">
        <v>1.2</v>
      </c>
      <c r="K32" s="703">
        <f t="shared" si="28"/>
        <v>29.63</v>
      </c>
      <c r="L32" s="762">
        <v>9.4E-2</v>
      </c>
      <c r="M32" s="762">
        <v>7.3999999999999996E-2</v>
      </c>
      <c r="N32" s="1444">
        <v>0.14499999999999999</v>
      </c>
      <c r="O32" s="645">
        <f t="shared" si="1"/>
        <v>0.11</v>
      </c>
      <c r="P32" s="727">
        <v>80</v>
      </c>
      <c r="Q32" s="1476">
        <v>98.88</v>
      </c>
      <c r="R32" s="706">
        <v>3872</v>
      </c>
      <c r="S32" s="765">
        <f>IF((_xlfn.XLOOKUP(D32,RUC!$B$3:$B$119,RUC!$E$3:$E$119)+ROUNDDOWN(O32,1)*100)&lt;95,95,((_xlfn.XLOOKUP(D32,RUC!$B$3:$B$119,RUC!$E$3:$E$119)+ROUNDDOWN(O32,1)*100)))</f>
        <v>95</v>
      </c>
      <c r="U32" s="1146">
        <f>_xlfn.XLOOKUP(D32,RUC!$B$3:$B$123,RUC!$F$3:$F$123)</f>
        <v>100</v>
      </c>
      <c r="V32" s="715">
        <v>1.1023000000000001</v>
      </c>
      <c r="Y32">
        <f>_xlfn.XLOOKUP(D32,RUC!$B$3:$B$123,RUC!$G$3:$G$123)</f>
        <v>0</v>
      </c>
      <c r="Z32" s="143">
        <f>_xlfn.XLOOKUP(D32,RUC!$B$3:$B$123,RUC!$H$3:$H$123)</f>
        <v>30</v>
      </c>
      <c r="AA32" s="144">
        <f t="shared" si="32"/>
        <v>30</v>
      </c>
      <c r="AB32" s="145">
        <f t="shared" si="33"/>
        <v>228.10555280000005</v>
      </c>
      <c r="AC32" s="145">
        <f>+(S32-T32)*V32-'data 1'!$F$4</f>
        <v>24.718500000000006</v>
      </c>
      <c r="AD32" s="145">
        <f t="shared" si="3"/>
        <v>73.790649848319987</v>
      </c>
      <c r="AE32" s="145">
        <f t="shared" si="4"/>
        <v>-36.930999999999997</v>
      </c>
      <c r="AF32" s="145">
        <f t="shared" si="5"/>
        <v>-65.78091829248001</v>
      </c>
      <c r="AG32" s="772">
        <f>AC32+AD32+AE32+AF32+70</f>
        <v>65.797231555839986</v>
      </c>
      <c r="AH32" s="1253">
        <f t="shared" si="6"/>
        <v>94.423000000000002</v>
      </c>
      <c r="AI32" s="1253">
        <f t="shared" si="7"/>
        <v>95.492000000000004</v>
      </c>
      <c r="AJ32" s="156">
        <f t="shared" si="8"/>
        <v>18.237114343680002</v>
      </c>
      <c r="AK32" s="156">
        <f t="shared" si="9"/>
        <v>89.397092217091995</v>
      </c>
      <c r="AL32" s="88"/>
      <c r="AM32" s="716">
        <f t="shared" si="10"/>
        <v>6758.7675294640012</v>
      </c>
      <c r="AN32" s="716" t="str">
        <f>_xlfn.XLOOKUP(D32,RUC!$B$3:$B$578,RUC!$M$3:$M$578)</f>
        <v>Martin</v>
      </c>
      <c r="AO32" s="1167" t="s">
        <v>2277</v>
      </c>
      <c r="AP32" t="s">
        <v>3007</v>
      </c>
      <c r="AQ32" t="s">
        <v>3008</v>
      </c>
      <c r="AW32" s="1239" t="s">
        <v>2521</v>
      </c>
      <c r="AX32" s="1254">
        <f t="shared" si="25"/>
        <v>0</v>
      </c>
      <c r="AY32" s="1257"/>
      <c r="AZ32" s="1242">
        <f t="shared" si="26"/>
        <v>0</v>
      </c>
      <c r="BA32" s="1257"/>
      <c r="BB32" s="1258">
        <f t="shared" si="27"/>
        <v>0</v>
      </c>
    </row>
    <row r="33" spans="1:43" ht="15" customHeight="1">
      <c r="A33" s="747" t="s">
        <v>3021</v>
      </c>
      <c r="B33" s="595">
        <v>45940</v>
      </c>
      <c r="C33" s="1447">
        <v>45932</v>
      </c>
      <c r="D33" t="s">
        <v>119</v>
      </c>
      <c r="E33" s="762">
        <f>_xlfn.XLOOKUP(D33,RUC!$B$3:$B$123,RUC!$D$3:$D$123)</f>
        <v>10082235774</v>
      </c>
      <c r="G33" s="1082">
        <v>63</v>
      </c>
      <c r="H33" s="762" t="s">
        <v>69</v>
      </c>
      <c r="I33" s="703">
        <v>6.22</v>
      </c>
      <c r="J33" s="596">
        <v>1.3</v>
      </c>
      <c r="K33" s="703">
        <f t="shared" si="28"/>
        <v>6.1390000000000002</v>
      </c>
      <c r="L33" s="762">
        <v>0.17599999999999999</v>
      </c>
      <c r="M33" s="762">
        <v>0.16899999999999998</v>
      </c>
      <c r="N33" s="1196">
        <f t="shared" si="24"/>
        <v>0.16899999999999998</v>
      </c>
      <c r="O33" s="645">
        <f t="shared" si="1"/>
        <v>0.16900000000000001</v>
      </c>
      <c r="P33" s="727">
        <v>85</v>
      </c>
      <c r="Q33" s="1476">
        <v>89.2</v>
      </c>
      <c r="R33" s="706">
        <v>3878.1</v>
      </c>
      <c r="S33" s="1164">
        <f>IF((_xlfn.XLOOKUP(D33,RUC!$B$3:$B$119,RUC!$E$3:$E$119)+ROUNDDOWN(O33,1)*100)&lt;95,95,((_xlfn.XLOOKUP(D33,RUC!$B$3:$B$119,RUC!$E$3:$E$119)+ROUNDDOWN(O33,1)*100)))</f>
        <v>95</v>
      </c>
      <c r="U33" s="1146">
        <f>_xlfn.XLOOKUP(D33,RUC!$B$3:$B$123,RUC!$F$3:$F$123)</f>
        <v>80</v>
      </c>
      <c r="V33" s="715">
        <v>1.1023000000000001</v>
      </c>
      <c r="Y33">
        <f>_xlfn.XLOOKUP(D33,RUC!$B$3:$B$123,RUC!$G$3:$G$123)</f>
        <v>0</v>
      </c>
      <c r="Z33" s="143">
        <f>_xlfn.XLOOKUP(D33,RUC!$B$3:$B$123,RUC!$H$3:$H$123)</f>
        <v>10</v>
      </c>
      <c r="AA33" s="144">
        <f t="shared" si="32"/>
        <v>10</v>
      </c>
      <c r="AB33" s="145">
        <f t="shared" si="33"/>
        <v>485.67014474950008</v>
      </c>
      <c r="AC33" s="145">
        <f>+(S33-T33)*V33-'data 1'!$F$4</f>
        <v>24.718500000000006</v>
      </c>
      <c r="AD33" s="145">
        <f t="shared" si="3"/>
        <v>30.947684496960019</v>
      </c>
      <c r="AE33" s="145">
        <f t="shared" si="4"/>
        <v>-58.977000000000004</v>
      </c>
      <c r="AF33" s="145">
        <f t="shared" si="5"/>
        <v>26.141415313719921</v>
      </c>
      <c r="AG33" s="772">
        <f>AC33+AD33+AE33+AF33+70</f>
        <v>92.830599810679942</v>
      </c>
      <c r="AH33" s="1253">
        <f t="shared" si="6"/>
        <v>33.042999999999999</v>
      </c>
      <c r="AI33" s="1253">
        <f t="shared" si="7"/>
        <v>37.043999999999997</v>
      </c>
      <c r="AJ33" s="156">
        <f t="shared" si="8"/>
        <v>26.286641575040022</v>
      </c>
      <c r="AK33" s="156">
        <f t="shared" si="9"/>
        <v>30.235164303375168</v>
      </c>
      <c r="AL33" s="88"/>
      <c r="AM33" s="716">
        <f t="shared" si="10"/>
        <v>2981.529018617181</v>
      </c>
      <c r="AN33" s="716" t="str">
        <f>_xlfn.XLOOKUP(D33,RUC!$B$3:$B$578,RUC!$M$3:$M$578)</f>
        <v>Melchor Vera</v>
      </c>
      <c r="AO33" s="1167" t="s">
        <v>2278</v>
      </c>
      <c r="AP33" t="s">
        <v>3009</v>
      </c>
      <c r="AQ33" t="s">
        <v>3010</v>
      </c>
    </row>
    <row r="34" spans="1:43" ht="15" customHeight="1">
      <c r="A34" s="747" t="s">
        <v>3023</v>
      </c>
      <c r="B34" s="595">
        <v>45940</v>
      </c>
      <c r="C34" s="1447">
        <v>45932</v>
      </c>
      <c r="D34" t="s">
        <v>119</v>
      </c>
      <c r="E34" s="762">
        <f>_xlfn.XLOOKUP(D34,RUC!$B$3:$B$123,RUC!$D$3:$D$123)</f>
        <v>10082235774</v>
      </c>
      <c r="G34" s="1082">
        <v>34</v>
      </c>
      <c r="H34" s="762" t="s">
        <v>69</v>
      </c>
      <c r="I34" s="703">
        <v>2.93</v>
      </c>
      <c r="J34" s="596">
        <v>1.2</v>
      </c>
      <c r="K34" s="703">
        <f t="shared" si="28"/>
        <v>2.895</v>
      </c>
      <c r="L34" s="762">
        <v>0.114</v>
      </c>
      <c r="M34" s="762">
        <v>0.107</v>
      </c>
      <c r="N34" s="1196">
        <f t="shared" si="24"/>
        <v>0.107</v>
      </c>
      <c r="O34" s="645">
        <f t="shared" si="1"/>
        <v>0.107</v>
      </c>
      <c r="P34" s="727">
        <v>85</v>
      </c>
      <c r="Q34" s="1476">
        <v>98.25</v>
      </c>
      <c r="R34" s="706">
        <v>3878.1</v>
      </c>
      <c r="S34" s="1164">
        <f>IF((_xlfn.XLOOKUP(D34,RUC!$B$3:$B$119,RUC!$E$3:$E$119)+ROUNDDOWN(O34,1)*100)&lt;95,95,((_xlfn.XLOOKUP(D34,RUC!$B$3:$B$119,RUC!$E$3:$E$119)+ROUNDDOWN(O34,1)*100)))</f>
        <v>95</v>
      </c>
      <c r="U34" s="1146">
        <f>_xlfn.XLOOKUP(D34,RUC!$B$3:$B$123,RUC!$F$3:$F$123)</f>
        <v>80</v>
      </c>
      <c r="V34" s="715">
        <v>1.1023000000000001</v>
      </c>
      <c r="Y34">
        <f>_xlfn.XLOOKUP(D34,RUC!$B$3:$B$123,RUC!$G$3:$G$123)</f>
        <v>0</v>
      </c>
      <c r="Z34" s="143">
        <f>_xlfn.XLOOKUP(D34,RUC!$B$3:$B$123,RUC!$H$3:$H$123)</f>
        <v>10</v>
      </c>
      <c r="AA34" s="144">
        <f t="shared" si="32"/>
        <v>10</v>
      </c>
      <c r="AB34" s="145">
        <f t="shared" si="33"/>
        <v>265.03392004849997</v>
      </c>
      <c r="AC34" s="145">
        <f>+(S34-T34)*V34-'data 1'!$F$4</f>
        <v>24.718500000000006</v>
      </c>
      <c r="AD34" s="145">
        <f t="shared" si="3"/>
        <v>63.239282241150001</v>
      </c>
      <c r="AE34" s="145">
        <f t="shared" si="4"/>
        <v>-58.977000000000004</v>
      </c>
      <c r="AF34" s="145">
        <f t="shared" si="5"/>
        <v>28.793655320325023</v>
      </c>
      <c r="AG34" s="772">
        <f t="shared" ref="AG34" si="35">AC34+AD34+AE34+AF34+70</f>
        <v>127.77443756147503</v>
      </c>
      <c r="AH34" s="1253">
        <f t="shared" si="6"/>
        <v>11.117000000000001</v>
      </c>
      <c r="AI34" s="1253">
        <f t="shared" si="7"/>
        <v>11.315</v>
      </c>
      <c r="AJ34" s="156">
        <f t="shared" si="8"/>
        <v>18.754046636850013</v>
      </c>
      <c r="AK34" s="156">
        <f t="shared" si="9"/>
        <v>9.0273512449120137</v>
      </c>
      <c r="AL34" s="88"/>
      <c r="AM34" s="716">
        <f t="shared" si="10"/>
        <v>767.27319854040741</v>
      </c>
      <c r="AN34" s="716" t="str">
        <f>_xlfn.XLOOKUP(D34,RUC!$B$3:$B$578,RUC!$M$3:$M$578)</f>
        <v>Melchor Vera</v>
      </c>
      <c r="AO34" s="1167" t="s">
        <v>2277</v>
      </c>
      <c r="AP34" t="s">
        <v>3009</v>
      </c>
      <c r="AQ34" t="s">
        <v>3010</v>
      </c>
    </row>
    <row r="35" spans="1:43" ht="15" customHeight="1">
      <c r="A35" s="747" t="s">
        <v>3030</v>
      </c>
      <c r="B35" s="595">
        <v>45940</v>
      </c>
      <c r="C35" s="1447">
        <v>45933</v>
      </c>
      <c r="D35" t="s">
        <v>93</v>
      </c>
      <c r="E35" s="762">
        <f>_xlfn.XLOOKUP(D35,RUC!$B$3:$B$123,RUC!$D$3:$D$123)</f>
        <v>20169040231</v>
      </c>
      <c r="G35" s="1082">
        <v>78</v>
      </c>
      <c r="H35" s="762" t="s">
        <v>69</v>
      </c>
      <c r="I35" s="703">
        <v>7.29</v>
      </c>
      <c r="J35" s="596">
        <v>1.8</v>
      </c>
      <c r="K35" s="703">
        <f t="shared" si="28"/>
        <v>7.1589999999999998</v>
      </c>
      <c r="L35" s="762">
        <v>0.26100000000000001</v>
      </c>
      <c r="M35" s="762">
        <v>0.246</v>
      </c>
      <c r="N35" s="1196">
        <f t="shared" si="24"/>
        <v>0.246</v>
      </c>
      <c r="O35" s="645">
        <f t="shared" si="1"/>
        <v>0.246</v>
      </c>
      <c r="P35" s="727">
        <v>88</v>
      </c>
      <c r="Q35" s="880">
        <v>88.12</v>
      </c>
      <c r="R35" s="706">
        <v>3885.7</v>
      </c>
      <c r="S35" s="765">
        <f>IF((_xlfn.XLOOKUP(D35,RUC!$B$3:$B$119,RUC!$E$3:$E$119)+ROUNDDOWN(O35,1)*100)&lt;95,95,((_xlfn.XLOOKUP(D35,RUC!$B$3:$B$119,RUC!$E$3:$E$119)+ROUNDDOWN(O35,1)*100)))</f>
        <v>105</v>
      </c>
      <c r="U35" s="1146">
        <f>_xlfn.XLOOKUP(D35,RUC!$B$3:$B$123,RUC!$F$3:$F$123)</f>
        <v>120</v>
      </c>
      <c r="V35" s="715">
        <v>1.1023000000000001</v>
      </c>
      <c r="Y35">
        <f>_xlfn.XLOOKUP(D35,RUC!$B$3:$B$123,RUC!$G$3:$G$123)</f>
        <v>20</v>
      </c>
      <c r="Z35" s="1454">
        <v>35</v>
      </c>
      <c r="AA35" s="144">
        <f t="shared" si="32"/>
        <v>55</v>
      </c>
      <c r="AB35" s="145">
        <f t="shared" si="33"/>
        <v>722.22556669279993</v>
      </c>
      <c r="AC35" s="145">
        <f>+(S35-T35)*V35-'data 1'!$F$4</f>
        <v>35.741500000000002</v>
      </c>
      <c r="AD35" s="145">
        <f t="shared" si="3"/>
        <v>1.3000716236520495</v>
      </c>
      <c r="AE35" s="145">
        <f t="shared" si="4"/>
        <v>-9.3734999999999999</v>
      </c>
      <c r="AF35" s="145">
        <f t="shared" si="5"/>
        <v>54.867007411980047</v>
      </c>
      <c r="AG35" s="772">
        <f t="shared" ref="AG35:AG37" si="36">AC35+AD35+AE35+AF35+70-53</f>
        <v>99.535079035632094</v>
      </c>
      <c r="AH35" s="1253">
        <f t="shared" si="6"/>
        <v>56.451999999999998</v>
      </c>
      <c r="AI35" s="1253">
        <f t="shared" si="7"/>
        <v>64.061999999999998</v>
      </c>
      <c r="AJ35" s="156">
        <f t="shared" si="8"/>
        <v>46.724013253548058</v>
      </c>
      <c r="AK35" s="156">
        <f t="shared" si="9"/>
        <v>53.134819663453172</v>
      </c>
      <c r="AL35" s="88"/>
      <c r="AM35" s="716">
        <f t="shared" si="10"/>
        <v>5170.4128319537549</v>
      </c>
      <c r="AN35" s="716" t="str">
        <f>_xlfn.XLOOKUP(D35,RUC!$B$3:$B$578,RUC!$M$3:$M$578)</f>
        <v>Ronald Miranda</v>
      </c>
      <c r="AO35" s="1167" t="s">
        <v>2277</v>
      </c>
      <c r="AP35" t="s">
        <v>3033</v>
      </c>
      <c r="AQ35" t="s">
        <v>2452</v>
      </c>
    </row>
    <row r="36" spans="1:43" ht="15" customHeight="1">
      <c r="A36" s="747" t="s">
        <v>3031</v>
      </c>
      <c r="B36" s="595">
        <v>45940</v>
      </c>
      <c r="C36" s="1447">
        <v>45933</v>
      </c>
      <c r="D36" t="s">
        <v>93</v>
      </c>
      <c r="E36" s="762">
        <f>_xlfn.XLOOKUP(D36,RUC!$B$3:$B$123,RUC!$D$3:$D$123)</f>
        <v>20169040231</v>
      </c>
      <c r="G36" s="1082">
        <v>78</v>
      </c>
      <c r="H36" s="762" t="s">
        <v>69</v>
      </c>
      <c r="I36" s="703">
        <v>7.28</v>
      </c>
      <c r="J36" s="596">
        <v>1.85</v>
      </c>
      <c r="K36" s="703">
        <f t="shared" si="28"/>
        <v>7.1449999999999996</v>
      </c>
      <c r="L36" s="762">
        <v>0.27200000000000002</v>
      </c>
      <c r="M36" s="762">
        <v>0.25700000000000001</v>
      </c>
      <c r="N36" s="1196">
        <f t="shared" si="24"/>
        <v>0.25700000000000001</v>
      </c>
      <c r="O36" s="645">
        <f t="shared" si="1"/>
        <v>0.25700000000000001</v>
      </c>
      <c r="P36" s="727">
        <v>89</v>
      </c>
      <c r="Q36" s="880">
        <v>89.34</v>
      </c>
      <c r="R36" s="706">
        <v>3885.7</v>
      </c>
      <c r="S36" s="765">
        <f>IF((_xlfn.XLOOKUP(D36,RUC!$B$3:$B$119,RUC!$E$3:$E$119)+ROUNDDOWN(O36,1)*100)&lt;95,95,((_xlfn.XLOOKUP(D36,RUC!$B$3:$B$119,RUC!$E$3:$E$119)+ROUNDDOWN(O36,1)*100)))</f>
        <v>105</v>
      </c>
      <c r="U36" s="1146">
        <f>_xlfn.XLOOKUP(D36,RUC!$B$3:$B$123,RUC!$F$3:$F$123)</f>
        <v>120</v>
      </c>
      <c r="V36" s="715">
        <v>1.1023000000000001</v>
      </c>
      <c r="Y36">
        <f>_xlfn.XLOOKUP(D36,RUC!$B$3:$B$123,RUC!$G$3:$G$123)</f>
        <v>20</v>
      </c>
      <c r="Z36" s="1454">
        <v>35</v>
      </c>
      <c r="AA36" s="144">
        <f t="shared" si="32"/>
        <v>55</v>
      </c>
      <c r="AB36" s="145">
        <f t="shared" si="33"/>
        <v>773.07447279030009</v>
      </c>
      <c r="AC36" s="145">
        <f>+(S36-T36)*V36-'data 1'!$F$4</f>
        <v>35.741500000000002</v>
      </c>
      <c r="AD36" s="145">
        <f t="shared" si="3"/>
        <v>3.8387810905280384</v>
      </c>
      <c r="AE36" s="145">
        <f t="shared" si="4"/>
        <v>-9.3734999999999999</v>
      </c>
      <c r="AF36" s="145">
        <f t="shared" si="5"/>
        <v>55.626627805110054</v>
      </c>
      <c r="AG36" s="772">
        <f t="shared" si="36"/>
        <v>102.83340889563809</v>
      </c>
      <c r="AH36" s="1253">
        <f t="shared" si="6"/>
        <v>59.529000000000003</v>
      </c>
      <c r="AI36" s="1253">
        <f t="shared" si="7"/>
        <v>66.632000000000005</v>
      </c>
      <c r="AJ36" s="156">
        <f t="shared" si="8"/>
        <v>49.367370408672059</v>
      </c>
      <c r="AK36" s="156">
        <f t="shared" si="9"/>
        <v>56.03178169799358</v>
      </c>
      <c r="AL36" s="88"/>
      <c r="AM36" s="716">
        <f t="shared" si="10"/>
        <v>5523.6171080866934</v>
      </c>
      <c r="AN36" s="716" t="str">
        <f>_xlfn.XLOOKUP(D36,RUC!$B$3:$B$578,RUC!$M$3:$M$578)</f>
        <v>Ronald Miranda</v>
      </c>
      <c r="AO36" s="1167" t="s">
        <v>2277</v>
      </c>
      <c r="AP36" t="s">
        <v>3033</v>
      </c>
      <c r="AQ36" t="s">
        <v>2452</v>
      </c>
    </row>
    <row r="37" spans="1:43" ht="15" customHeight="1">
      <c r="A37" s="747" t="s">
        <v>3032</v>
      </c>
      <c r="B37" s="595">
        <v>45940</v>
      </c>
      <c r="C37" s="1447">
        <v>45933</v>
      </c>
      <c r="D37" t="s">
        <v>93</v>
      </c>
      <c r="E37" s="762">
        <f>_xlfn.XLOOKUP(D37,RUC!$B$3:$B$123,RUC!$D$3:$D$123)</f>
        <v>20169040231</v>
      </c>
      <c r="G37" s="1082">
        <v>70</v>
      </c>
      <c r="H37" s="762" t="s">
        <v>69</v>
      </c>
      <c r="I37" s="703">
        <v>6.43</v>
      </c>
      <c r="J37" s="596">
        <v>1.3</v>
      </c>
      <c r="K37" s="703">
        <f t="shared" si="28"/>
        <v>6.3460000000000001</v>
      </c>
      <c r="L37" s="762">
        <v>0.86899999999999999</v>
      </c>
      <c r="M37" s="762">
        <v>0.82599999999999996</v>
      </c>
      <c r="N37" s="1196">
        <f t="shared" si="24"/>
        <v>0.82599999999999996</v>
      </c>
      <c r="O37" s="645">
        <f t="shared" si="1"/>
        <v>0.82599999999999996</v>
      </c>
      <c r="P37" s="727">
        <v>90</v>
      </c>
      <c r="Q37" s="880">
        <v>97.35</v>
      </c>
      <c r="R37" s="706">
        <v>3885.7</v>
      </c>
      <c r="S37" s="765">
        <f>IF((_xlfn.XLOOKUP(D37,RUC!$B$3:$B$119,RUC!$E$3:$E$119)+ROUNDDOWN(O37,1)*100)&lt;95,95,((_xlfn.XLOOKUP(D37,RUC!$B$3:$B$119,RUC!$E$3:$E$119)+ROUNDDOWN(O37,1)*100)))</f>
        <v>165</v>
      </c>
      <c r="U37" s="1146">
        <f>_xlfn.XLOOKUP(D37,RUC!$B$3:$B$123,RUC!$F$3:$F$123)</f>
        <v>120</v>
      </c>
      <c r="V37" s="715">
        <v>1.1023000000000001</v>
      </c>
      <c r="Y37">
        <f>_xlfn.XLOOKUP(D37,RUC!$B$3:$B$123,RUC!$G$3:$G$123)</f>
        <v>20</v>
      </c>
      <c r="Z37" s="1454">
        <v>35</v>
      </c>
      <c r="AA37" s="144">
        <f t="shared" si="32"/>
        <v>55</v>
      </c>
      <c r="AB37" s="145">
        <f t="shared" si="33"/>
        <v>2843.2961871739994</v>
      </c>
      <c r="AC37" s="145">
        <f>+(S37-T37)*V37-'data 1'!$F$4</f>
        <v>101.87950000000001</v>
      </c>
      <c r="AD37" s="145">
        <f t="shared" si="3"/>
        <v>265.12619639236482</v>
      </c>
      <c r="AE37" s="145">
        <f t="shared" si="4"/>
        <v>-9.3734999999999999</v>
      </c>
      <c r="AF37" s="145">
        <f t="shared" si="5"/>
        <v>173.76005173015514</v>
      </c>
      <c r="AG37" s="772">
        <f t="shared" si="36"/>
        <v>548.39224812251996</v>
      </c>
      <c r="AH37" s="1253">
        <f t="shared" si="6"/>
        <v>184.06200000000001</v>
      </c>
      <c r="AI37" s="1253">
        <f t="shared" si="7"/>
        <v>189.07300000000001</v>
      </c>
      <c r="AJ37" s="156">
        <f t="shared" si="8"/>
        <v>171.86240105413518</v>
      </c>
      <c r="AK37" s="156">
        <f t="shared" si="9"/>
        <v>161.74530894504403</v>
      </c>
      <c r="AL37" s="88"/>
      <c r="AM37" s="716">
        <f t="shared" si="10"/>
        <v>18043.557603806199</v>
      </c>
      <c r="AN37" s="716" t="str">
        <f>_xlfn.XLOOKUP(D37,RUC!$B$3:$B$578,RUC!$M$3:$M$578)</f>
        <v>Ronald Miranda</v>
      </c>
      <c r="AO37" s="1167" t="s">
        <v>2280</v>
      </c>
      <c r="AP37" t="s">
        <v>3033</v>
      </c>
      <c r="AQ37" t="s">
        <v>2452</v>
      </c>
    </row>
    <row r="38" spans="1:43" ht="15" customHeight="1">
      <c r="A38" s="747" t="s">
        <v>3035</v>
      </c>
      <c r="B38" s="595">
        <v>45940</v>
      </c>
      <c r="C38" s="1447">
        <v>45936</v>
      </c>
      <c r="D38" t="s">
        <v>2004</v>
      </c>
      <c r="E38" s="762">
        <f>_xlfn.XLOOKUP(D38,RUC!$B$3:$B$123,RUC!$D$3:$D$123)</f>
        <v>20612921866</v>
      </c>
      <c r="G38" s="1082">
        <v>78</v>
      </c>
      <c r="H38" s="762" t="s">
        <v>69</v>
      </c>
      <c r="I38" s="703">
        <v>7.74</v>
      </c>
      <c r="J38" s="596">
        <v>1.1000000000000001</v>
      </c>
      <c r="K38" s="703">
        <f t="shared" si="28"/>
        <v>7.6550000000000002</v>
      </c>
      <c r="L38" s="762">
        <v>0.36599999999999999</v>
      </c>
      <c r="M38" s="762">
        <v>0.34799999999999998</v>
      </c>
      <c r="N38" s="1480">
        <v>0.41899999999999998</v>
      </c>
      <c r="O38" s="645">
        <f t="shared" si="1"/>
        <v>0.38400000000000001</v>
      </c>
      <c r="P38" s="727">
        <v>90</v>
      </c>
      <c r="Q38" s="1478">
        <v>98.63</v>
      </c>
      <c r="R38" s="706">
        <v>3949.45</v>
      </c>
      <c r="S38" s="765">
        <f>IF((_xlfn.XLOOKUP(D38,RUC!$B$3:$B$119,RUC!$E$3:$E$119)+ROUNDDOWN(O38,1)*100)&lt;95,95,((_xlfn.XLOOKUP(D38,RUC!$B$3:$B$119,RUC!$E$3:$E$119)+ROUNDDOWN(O38,1)*100)))</f>
        <v>110</v>
      </c>
      <c r="U38" s="1146">
        <f>_xlfn.XLOOKUP(D38,RUC!$B$3:$B$123,RUC!$F$3:$F$123)</f>
        <v>100</v>
      </c>
      <c r="V38" s="715">
        <v>1.1023000000000001</v>
      </c>
      <c r="Y38">
        <f>_xlfn.XLOOKUP(D38,RUC!$B$3:$B$123,RUC!$G$3:$G$123)</f>
        <v>0</v>
      </c>
      <c r="Z38" s="143">
        <f>_xlfn.XLOOKUP(D38,RUC!$B$3:$B$123,RUC!$H$3:$H$123)</f>
        <v>30</v>
      </c>
      <c r="AA38" s="144">
        <f t="shared" si="32"/>
        <v>30</v>
      </c>
      <c r="AB38" s="145">
        <f t="shared" si="33"/>
        <v>1312.1447628160001</v>
      </c>
      <c r="AC38" s="145">
        <f>+(S38-T38)*V38-'data 1'!$F$4</f>
        <v>41.253</v>
      </c>
      <c r="AD38" s="145">
        <f t="shared" si="3"/>
        <v>134.02640589396293</v>
      </c>
      <c r="AE38" s="145">
        <f t="shared" si="4"/>
        <v>-36.930999999999997</v>
      </c>
      <c r="AF38" s="145">
        <f t="shared" si="5"/>
        <v>-75.33209209194905</v>
      </c>
      <c r="AG38" s="772">
        <f t="shared" ref="AG38" si="37">AC38+AD38+AE38+AF38+70-10</f>
        <v>123.01631380201388</v>
      </c>
      <c r="AH38" s="1253">
        <f t="shared" si="6"/>
        <v>94.742000000000004</v>
      </c>
      <c r="AI38" s="1253">
        <f t="shared" si="7"/>
        <v>96.058000000000007</v>
      </c>
      <c r="AJ38" s="156">
        <f t="shared" si="8"/>
        <v>40.010317790037078</v>
      </c>
      <c r="AK38" s="156">
        <f t="shared" si="9"/>
        <v>90.704325492662406</v>
      </c>
      <c r="AL38" s="88"/>
      <c r="AM38" s="716">
        <f t="shared" si="10"/>
        <v>10044.468159356482</v>
      </c>
      <c r="AN38" s="716" t="str">
        <f>_xlfn.XLOOKUP(D38,RUC!$B$3:$B$578,RUC!$M$3:$M$578)</f>
        <v>Ronald Garibay</v>
      </c>
      <c r="AO38" s="1167" t="s">
        <v>2277</v>
      </c>
      <c r="AP38" t="s">
        <v>3036</v>
      </c>
      <c r="AQ38" t="s">
        <v>3037</v>
      </c>
    </row>
    <row r="39" spans="1:43" ht="15" customHeight="1">
      <c r="A39" s="747" t="s">
        <v>3038</v>
      </c>
      <c r="B39" s="595">
        <v>45943</v>
      </c>
      <c r="C39" s="1447">
        <v>45938</v>
      </c>
      <c r="D39" t="s">
        <v>1966</v>
      </c>
      <c r="E39" s="762">
        <f>_xlfn.XLOOKUP(D39,RUC!$B$3:$B$123,RUC!$D$3:$D$123)</f>
        <v>20612791148</v>
      </c>
      <c r="G39" s="1082">
        <v>150</v>
      </c>
      <c r="H39" s="762" t="s">
        <v>69</v>
      </c>
      <c r="I39" s="703">
        <v>12.75</v>
      </c>
      <c r="J39" s="596">
        <v>1.2</v>
      </c>
      <c r="K39" s="703">
        <f t="shared" si="28"/>
        <v>12.597</v>
      </c>
      <c r="L39" s="762">
        <v>0.46400000000000002</v>
      </c>
      <c r="M39" s="762">
        <v>0.441</v>
      </c>
      <c r="N39" s="1196">
        <f t="shared" ref="N39" si="38">+M39</f>
        <v>0.441</v>
      </c>
      <c r="O39" s="645">
        <f t="shared" si="1"/>
        <v>0.441</v>
      </c>
      <c r="P39" s="727">
        <v>90</v>
      </c>
      <c r="Q39" s="1476">
        <v>98.28</v>
      </c>
      <c r="R39" s="706">
        <v>4040.05</v>
      </c>
      <c r="S39" s="765">
        <f>IF((_xlfn.XLOOKUP(D39,RUC!$B$3:$B$119,RUC!$E$3:$E$119)+ROUNDDOWN(O39,1)*100)&lt;95,95,((_xlfn.XLOOKUP(D39,RUC!$B$3:$B$119,RUC!$E$3:$E$119)+ROUNDDOWN(O39,1)*100)))</f>
        <v>130</v>
      </c>
      <c r="U39" s="1146">
        <f>_xlfn.XLOOKUP(D39,RUC!$B$3:$B$123,RUC!$F$3:$F$123)</f>
        <v>120</v>
      </c>
      <c r="V39" s="715">
        <v>1.1023000000000001</v>
      </c>
      <c r="Y39">
        <f>_xlfn.XLOOKUP(D39,RUC!$B$3:$B$123,RUC!$G$3:$G$123)</f>
        <v>20</v>
      </c>
      <c r="Z39" s="143">
        <f>_xlfn.XLOOKUP(D39,RUC!$B$3:$B$123,RUC!$H$3:$H$123)</f>
        <v>30</v>
      </c>
      <c r="AA39" s="144">
        <f t="shared" si="32"/>
        <v>50</v>
      </c>
      <c r="AB39" s="145">
        <f t="shared" si="33"/>
        <v>1516.6191255435001</v>
      </c>
      <c r="AC39" s="145">
        <f>+(S39-T39)*V39-'data 1'!$F$4</f>
        <v>63.299000000000007</v>
      </c>
      <c r="AD39" s="145">
        <f t="shared" si="3"/>
        <v>166.01209538140807</v>
      </c>
      <c r="AE39" s="145">
        <f t="shared" si="4"/>
        <v>-14.884999999999998</v>
      </c>
      <c r="AF39" s="145">
        <f t="shared" si="5"/>
        <v>97.675219911906098</v>
      </c>
      <c r="AG39" s="772">
        <f t="shared" ref="AG39:AG69" si="39">AC39+AD39+AE39+AF39+70-53</f>
        <v>329.1013152933142</v>
      </c>
      <c r="AH39" s="1253">
        <f t="shared" si="6"/>
        <v>196.952</v>
      </c>
      <c r="AI39" s="1253">
        <f t="shared" si="7"/>
        <v>200.398</v>
      </c>
      <c r="AJ39" s="156">
        <f t="shared" si="8"/>
        <v>15.05496542659191</v>
      </c>
      <c r="AK39" s="156">
        <f t="shared" si="9"/>
        <v>171.41834490321588</v>
      </c>
      <c r="AL39" s="88"/>
      <c r="AM39" s="716">
        <f t="shared" si="10"/>
        <v>19104.851124471472</v>
      </c>
      <c r="AN39" s="716" t="str">
        <f>_xlfn.XLOOKUP(D39,RUC!$B$3:$B$578,RUC!$M$3:$M$578)</f>
        <v xml:space="preserve">Walter Achulla </v>
      </c>
      <c r="AO39" s="1167" t="s">
        <v>2278</v>
      </c>
      <c r="AP39" t="s">
        <v>3063</v>
      </c>
      <c r="AQ39" t="s">
        <v>3064</v>
      </c>
    </row>
    <row r="40" spans="1:43" ht="15" customHeight="1">
      <c r="A40" s="747" t="s">
        <v>3039</v>
      </c>
      <c r="B40" s="595">
        <v>45943</v>
      </c>
      <c r="C40" s="1447">
        <v>45939</v>
      </c>
      <c r="D40" t="s">
        <v>1966</v>
      </c>
      <c r="E40" s="762">
        <f>_xlfn.XLOOKUP(D40,RUC!$B$3:$B$123,RUC!$D$3:$D$123)</f>
        <v>20612791148</v>
      </c>
      <c r="G40" s="1082">
        <v>155</v>
      </c>
      <c r="H40" s="762" t="s">
        <v>69</v>
      </c>
      <c r="I40" s="703">
        <v>13.16</v>
      </c>
      <c r="J40" s="596">
        <v>1.2</v>
      </c>
      <c r="K40" s="703">
        <f t="shared" si="28"/>
        <v>13.002000000000001</v>
      </c>
      <c r="L40" s="762">
        <v>0.41599999999999998</v>
      </c>
      <c r="M40" s="762">
        <v>0.39500000000000002</v>
      </c>
      <c r="N40" s="1444">
        <v>0.46600000000000003</v>
      </c>
      <c r="O40" s="645">
        <f t="shared" si="1"/>
        <v>0.43099999999999999</v>
      </c>
      <c r="P40" s="727">
        <v>90</v>
      </c>
      <c r="Q40" s="1476">
        <v>97.6</v>
      </c>
      <c r="R40" s="706">
        <v>4019.25</v>
      </c>
      <c r="S40" s="765">
        <f>IF((_xlfn.XLOOKUP(D40,RUC!$B$3:$B$119,RUC!$E$3:$E$119)+ROUNDDOWN(O40,1)*100)&lt;95,95,((_xlfn.XLOOKUP(D40,RUC!$B$3:$B$119,RUC!$E$3:$E$119)+ROUNDDOWN(O40,1)*100)))</f>
        <v>130</v>
      </c>
      <c r="U40" s="1146">
        <f>_xlfn.XLOOKUP(D40,RUC!$B$3:$B$123,RUC!$F$3:$F$123)</f>
        <v>120</v>
      </c>
      <c r="V40" s="715">
        <v>1.1023000000000001</v>
      </c>
      <c r="Y40">
        <f>_xlfn.XLOOKUP(D40,RUC!$B$3:$B$123,RUC!$G$3:$G$123)</f>
        <v>20</v>
      </c>
      <c r="Z40" s="143">
        <f>_xlfn.XLOOKUP(D40,RUC!$B$3:$B$123,RUC!$H$3:$H$123)</f>
        <v>30</v>
      </c>
      <c r="AA40" s="144">
        <f t="shared" si="32"/>
        <v>50</v>
      </c>
      <c r="AB40" s="145">
        <f t="shared" si="33"/>
        <v>1468.8357763725</v>
      </c>
      <c r="AC40" s="145">
        <f>+(S40-T40)*V40-'data 1'!$F$4</f>
        <v>63.299000000000007</v>
      </c>
      <c r="AD40" s="145">
        <f t="shared" si="3"/>
        <v>135.89009778239989</v>
      </c>
      <c r="AE40" s="145">
        <f t="shared" si="4"/>
        <v>-14.884999999999998</v>
      </c>
      <c r="AF40" s="145">
        <f t="shared" si="5"/>
        <v>-62.924817546000057</v>
      </c>
      <c r="AG40" s="772">
        <f t="shared" si="39"/>
        <v>138.37928023639984</v>
      </c>
      <c r="AH40" s="1253">
        <f t="shared" si="6"/>
        <v>180.99299999999999</v>
      </c>
      <c r="AI40" s="1253">
        <f t="shared" si="7"/>
        <v>185.44399999999999</v>
      </c>
      <c r="AJ40" s="156">
        <f t="shared" si="8"/>
        <v>22.7132354176</v>
      </c>
      <c r="AK40" s="156">
        <f t="shared" si="9"/>
        <v>172.91752492378419</v>
      </c>
      <c r="AL40" s="88"/>
      <c r="AM40" s="716">
        <f t="shared" si="10"/>
        <v>19097.802764395248</v>
      </c>
      <c r="AN40" s="716" t="str">
        <f>_xlfn.XLOOKUP(D40,RUC!$B$3:$B$578,RUC!$M$3:$M$578)</f>
        <v xml:space="preserve">Walter Achulla </v>
      </c>
      <c r="AO40" s="1167" t="s">
        <v>2278</v>
      </c>
      <c r="AP40" t="s">
        <v>3065</v>
      </c>
      <c r="AQ40" t="s">
        <v>3066</v>
      </c>
    </row>
    <row r="41" spans="1:43" ht="15" customHeight="1">
      <c r="A41" s="747" t="s">
        <v>3040</v>
      </c>
      <c r="B41" s="595">
        <v>45944</v>
      </c>
      <c r="C41" s="1447">
        <v>45939</v>
      </c>
      <c r="D41" t="s">
        <v>2608</v>
      </c>
      <c r="E41" s="762" t="e">
        <f>_xlfn.XLOOKUP(D41,RUC!$B$3:$B$123,RUC!$D$3:$D$123)</f>
        <v>#N/A</v>
      </c>
      <c r="G41" s="1082">
        <v>9</v>
      </c>
      <c r="H41" s="762" t="s">
        <v>108</v>
      </c>
      <c r="I41" s="703">
        <v>0.57999999999999996</v>
      </c>
      <c r="J41" s="596">
        <v>1.2</v>
      </c>
      <c r="K41" s="703">
        <f t="shared" si="28"/>
        <v>0.57299999999999995</v>
      </c>
      <c r="L41" s="762">
        <v>0.40899999999999997</v>
      </c>
      <c r="M41" s="762">
        <v>0.38900000000000001</v>
      </c>
      <c r="N41" s="1196">
        <f t="shared" ref="N41:N91" si="40">+M41</f>
        <v>0.38900000000000001</v>
      </c>
      <c r="O41" s="645">
        <f t="shared" si="1"/>
        <v>0.38900000000000001</v>
      </c>
      <c r="P41" s="727">
        <v>90</v>
      </c>
      <c r="Q41" s="1476">
        <v>97.56</v>
      </c>
      <c r="R41" s="706">
        <v>4019.25</v>
      </c>
      <c r="S41" s="765" t="e">
        <f>IF((_xlfn.XLOOKUP(D41,RUC!$B$3:$B$119,RUC!$E$3:$E$119)+ROUNDDOWN(O41,1)*100)&lt;95,95,((_xlfn.XLOOKUP(D41,RUC!$B$3:$B$119,RUC!$E$3:$E$119)+ROUNDDOWN(O41,1)*100)))</f>
        <v>#N/A</v>
      </c>
      <c r="U41" s="1146" t="e">
        <f>_xlfn.XLOOKUP(D41,RUC!$B$3:$B$123,RUC!$F$3:$F$123)</f>
        <v>#N/A</v>
      </c>
      <c r="V41" s="715">
        <v>1.1023000000000001</v>
      </c>
      <c r="Y41" t="e">
        <f>_xlfn.XLOOKUP(D41,RUC!$B$3:$B$123,RUC!$G$3:$G$123)</f>
        <v>#N/A</v>
      </c>
      <c r="Z41" s="143" t="e">
        <f>_xlfn.XLOOKUP(D41,RUC!$B$3:$B$123,RUC!$H$3:$H$123)</f>
        <v>#N/A</v>
      </c>
      <c r="AA41" s="144" t="e">
        <f t="shared" si="32"/>
        <v>#N/A</v>
      </c>
      <c r="AB41" s="145" t="e">
        <f t="shared" si="33"/>
        <v>#N/A</v>
      </c>
      <c r="AC41" s="145" t="e">
        <f>+(S41-T41)*V41-'data 1'!$F$4</f>
        <v>#N/A</v>
      </c>
      <c r="AD41" s="145" t="e">
        <f t="shared" si="3"/>
        <v>#N/A</v>
      </c>
      <c r="AE41" s="145" t="e">
        <f t="shared" si="4"/>
        <v>#N/A</v>
      </c>
      <c r="AF41" s="145" t="e">
        <f t="shared" si="5"/>
        <v>#N/A</v>
      </c>
      <c r="AG41" s="772" t="e">
        <f t="shared" si="39"/>
        <v>#N/A</v>
      </c>
      <c r="AH41" s="1253">
        <f t="shared" si="6"/>
        <v>7.8390000000000004</v>
      </c>
      <c r="AI41" s="1253">
        <f t="shared" si="7"/>
        <v>8.0350000000000001</v>
      </c>
      <c r="AJ41" s="156" t="e">
        <f t="shared" si="8"/>
        <v>#N/A</v>
      </c>
      <c r="AK41" s="156">
        <f t="shared" si="9"/>
        <v>6.8778991261627649</v>
      </c>
      <c r="AL41" s="88"/>
      <c r="AM41" s="716" t="e">
        <f t="shared" si="10"/>
        <v>#N/A</v>
      </c>
      <c r="AN41" s="716" t="e">
        <f>_xlfn.XLOOKUP(D41,RUC!$B$3:$B$578,RUC!$M$3:$M$578)</f>
        <v>#N/A</v>
      </c>
      <c r="AO41" s="1167" t="s">
        <v>2278</v>
      </c>
      <c r="AP41" t="s">
        <v>3074</v>
      </c>
      <c r="AQ41" t="s">
        <v>3073</v>
      </c>
    </row>
    <row r="42" spans="1:43" ht="15" customHeight="1">
      <c r="A42" s="747" t="s">
        <v>3041</v>
      </c>
      <c r="B42" s="595">
        <v>45944</v>
      </c>
      <c r="C42" s="1447">
        <v>45939</v>
      </c>
      <c r="D42" t="s">
        <v>2608</v>
      </c>
      <c r="E42" s="762" t="e">
        <f>_xlfn.XLOOKUP(D42,RUC!$B$3:$B$123,RUC!$D$3:$D$123)</f>
        <v>#N/A</v>
      </c>
      <c r="G42" s="1082">
        <v>11</v>
      </c>
      <c r="H42" s="762" t="s">
        <v>108</v>
      </c>
      <c r="I42" s="703">
        <v>0.67</v>
      </c>
      <c r="J42" s="596">
        <v>1.2</v>
      </c>
      <c r="K42" s="703">
        <f t="shared" si="28"/>
        <v>0.66200000000000003</v>
      </c>
      <c r="L42" s="762">
        <v>0.747</v>
      </c>
      <c r="M42" s="994">
        <v>0.71</v>
      </c>
      <c r="N42" s="1196">
        <f t="shared" si="40"/>
        <v>0.71</v>
      </c>
      <c r="O42" s="645">
        <f t="shared" si="1"/>
        <v>0.71</v>
      </c>
      <c r="P42" s="727">
        <v>90</v>
      </c>
      <c r="Q42" s="1476">
        <v>96.79</v>
      </c>
      <c r="R42" s="706">
        <v>4019.25</v>
      </c>
      <c r="S42" s="765" t="e">
        <f>IF((_xlfn.XLOOKUP(D42,RUC!$B$3:$B$119,RUC!$E$3:$E$119)+ROUNDDOWN(O42,1)*100)&lt;95,95,((_xlfn.XLOOKUP(D42,RUC!$B$3:$B$119,RUC!$E$3:$E$119)+ROUNDDOWN(O42,1)*100)))</f>
        <v>#N/A</v>
      </c>
      <c r="U42" s="1146" t="e">
        <f>_xlfn.XLOOKUP(D42,RUC!$B$3:$B$123,RUC!$F$3:$F$123)</f>
        <v>#N/A</v>
      </c>
      <c r="V42" s="715">
        <v>1.1023000000000001</v>
      </c>
      <c r="Y42" t="e">
        <f>_xlfn.XLOOKUP(D42,RUC!$B$3:$B$123,RUC!$G$3:$G$123)</f>
        <v>#N/A</v>
      </c>
      <c r="Z42" s="143" t="e">
        <f>_xlfn.XLOOKUP(D42,RUC!$B$3:$B$123,RUC!$H$3:$H$123)</f>
        <v>#N/A</v>
      </c>
      <c r="AA42" s="144" t="e">
        <f t="shared" si="32"/>
        <v>#N/A</v>
      </c>
      <c r="AB42" s="145" t="e">
        <f t="shared" si="33"/>
        <v>#N/A</v>
      </c>
      <c r="AC42" s="145" t="e">
        <f>+(S42-T42)*V42-'data 1'!$F$4</f>
        <v>#N/A</v>
      </c>
      <c r="AD42" s="145" t="e">
        <f t="shared" si="3"/>
        <v>#N/A</v>
      </c>
      <c r="AE42" s="145" t="e">
        <f t="shared" si="4"/>
        <v>#N/A</v>
      </c>
      <c r="AF42" s="145" t="e">
        <f t="shared" si="5"/>
        <v>#N/A</v>
      </c>
      <c r="AG42" s="772" t="e">
        <f t="shared" si="39"/>
        <v>#N/A</v>
      </c>
      <c r="AH42" s="1253">
        <f t="shared" si="6"/>
        <v>16.41</v>
      </c>
      <c r="AI42" s="1253">
        <f t="shared" si="7"/>
        <v>16.954999999999998</v>
      </c>
      <c r="AJ42" s="156" t="e">
        <f t="shared" si="8"/>
        <v>#N/A</v>
      </c>
      <c r="AK42" s="156">
        <f t="shared" si="9"/>
        <v>14.503336282134901</v>
      </c>
      <c r="AL42" s="88"/>
      <c r="AM42" s="716" t="e">
        <f t="shared" si="10"/>
        <v>#N/A</v>
      </c>
      <c r="AN42" s="716" t="e">
        <f>_xlfn.XLOOKUP(D42,RUC!$B$3:$B$578,RUC!$M$3:$M$578)</f>
        <v>#N/A</v>
      </c>
      <c r="AO42" s="1167" t="s">
        <v>2278</v>
      </c>
      <c r="AP42" t="s">
        <v>3074</v>
      </c>
      <c r="AQ42" t="s">
        <v>3073</v>
      </c>
    </row>
    <row r="43" spans="1:43" ht="15" customHeight="1">
      <c r="A43" s="747" t="s">
        <v>3042</v>
      </c>
      <c r="B43" s="595">
        <v>45944</v>
      </c>
      <c r="C43" s="1447">
        <v>45939</v>
      </c>
      <c r="D43" t="s">
        <v>2608</v>
      </c>
      <c r="E43" s="762" t="e">
        <f>_xlfn.XLOOKUP(D43,RUC!$B$3:$B$123,RUC!$D$3:$D$123)</f>
        <v>#N/A</v>
      </c>
      <c r="G43" s="1082">
        <v>10</v>
      </c>
      <c r="H43" s="762" t="s">
        <v>108</v>
      </c>
      <c r="I43" s="703">
        <v>0.62</v>
      </c>
      <c r="J43" s="596">
        <v>1.6</v>
      </c>
      <c r="K43" s="703">
        <f t="shared" si="28"/>
        <v>0.61</v>
      </c>
      <c r="L43" s="762">
        <v>0.14699999999999999</v>
      </c>
      <c r="M43" s="762">
        <v>0.13200000000000001</v>
      </c>
      <c r="N43" s="1196">
        <f t="shared" si="40"/>
        <v>0.13200000000000001</v>
      </c>
      <c r="O43" s="645">
        <f t="shared" si="1"/>
        <v>0.13200000000000001</v>
      </c>
      <c r="P43" s="727">
        <v>85</v>
      </c>
      <c r="Q43" s="1476">
        <v>97.96</v>
      </c>
      <c r="R43" s="706">
        <v>4019.25</v>
      </c>
      <c r="S43" s="765" t="e">
        <f>IF((_xlfn.XLOOKUP(D43,RUC!$B$3:$B$119,RUC!$E$3:$E$119)+ROUNDDOWN(O43,1)*100)&lt;95,95,((_xlfn.XLOOKUP(D43,RUC!$B$3:$B$119,RUC!$E$3:$E$119)+ROUNDDOWN(O43,1)*100)))</f>
        <v>#N/A</v>
      </c>
      <c r="U43" s="1146" t="e">
        <f>_xlfn.XLOOKUP(D43,RUC!$B$3:$B$123,RUC!$F$3:$F$123)</f>
        <v>#N/A</v>
      </c>
      <c r="V43" s="715">
        <v>1.1023000000000001</v>
      </c>
      <c r="Y43" t="e">
        <f>_xlfn.XLOOKUP(D43,RUC!$B$3:$B$123,RUC!$G$3:$G$123)</f>
        <v>#N/A</v>
      </c>
      <c r="Z43" s="143" t="e">
        <f>_xlfn.XLOOKUP(D43,RUC!$B$3:$B$123,RUC!$H$3:$H$123)</f>
        <v>#N/A</v>
      </c>
      <c r="AA43" s="144" t="e">
        <f t="shared" si="32"/>
        <v>#N/A</v>
      </c>
      <c r="AB43" s="145" t="e">
        <f t="shared" si="33"/>
        <v>#N/A</v>
      </c>
      <c r="AC43" s="145" t="e">
        <f>+(S43-T43)*V43-'data 1'!$F$4</f>
        <v>#N/A</v>
      </c>
      <c r="AD43" s="145" t="e">
        <f t="shared" si="3"/>
        <v>#N/A</v>
      </c>
      <c r="AE43" s="145" t="e">
        <f t="shared" si="4"/>
        <v>#N/A</v>
      </c>
      <c r="AF43" s="145" t="e">
        <f t="shared" si="5"/>
        <v>#N/A</v>
      </c>
      <c r="AG43" s="772" t="e">
        <f t="shared" si="39"/>
        <v>#N/A</v>
      </c>
      <c r="AH43" s="1253">
        <f t="shared" si="6"/>
        <v>3.012</v>
      </c>
      <c r="AI43" s="1253">
        <f t="shared" si="7"/>
        <v>3.0739999999999998</v>
      </c>
      <c r="AJ43" s="156" t="e">
        <f t="shared" si="8"/>
        <v>#N/A</v>
      </c>
      <c r="AK43" s="156">
        <f t="shared" si="9"/>
        <v>2.3465605289181002</v>
      </c>
      <c r="AL43" s="88"/>
      <c r="AM43" s="716" t="e">
        <f t="shared" si="10"/>
        <v>#N/A</v>
      </c>
      <c r="AN43" s="716" t="e">
        <f>_xlfn.XLOOKUP(D43,RUC!$B$3:$B$578,RUC!$M$3:$M$578)</f>
        <v>#N/A</v>
      </c>
      <c r="AO43" s="1167" t="s">
        <v>2278</v>
      </c>
      <c r="AP43" t="s">
        <v>3074</v>
      </c>
      <c r="AQ43" t="s">
        <v>3073</v>
      </c>
    </row>
    <row r="44" spans="1:43" ht="15" customHeight="1">
      <c r="A44" s="747" t="s">
        <v>3043</v>
      </c>
      <c r="B44" s="595">
        <v>45944</v>
      </c>
      <c r="C44" s="1447">
        <v>45939</v>
      </c>
      <c r="D44" t="s">
        <v>2608</v>
      </c>
      <c r="E44" s="762" t="e">
        <f>_xlfn.XLOOKUP(D44,RUC!$B$3:$B$123,RUC!$D$3:$D$123)</f>
        <v>#N/A</v>
      </c>
      <c r="G44" s="1082">
        <v>17</v>
      </c>
      <c r="H44" s="762" t="s">
        <v>108</v>
      </c>
      <c r="I44" s="703">
        <v>1.1200000000000001</v>
      </c>
      <c r="J44" s="596">
        <v>1.3</v>
      </c>
      <c r="K44" s="703">
        <f t="shared" si="28"/>
        <v>1.105</v>
      </c>
      <c r="L44" s="762">
        <v>0.85199999999999998</v>
      </c>
      <c r="M44" s="762">
        <v>0.80900000000000005</v>
      </c>
      <c r="N44" s="1196">
        <f t="shared" si="40"/>
        <v>0.80900000000000005</v>
      </c>
      <c r="O44" s="645">
        <f t="shared" si="1"/>
        <v>0.80900000000000005</v>
      </c>
      <c r="P44" s="727">
        <v>90</v>
      </c>
      <c r="Q44" s="1476">
        <v>96.36</v>
      </c>
      <c r="R44" s="706">
        <v>4019.25</v>
      </c>
      <c r="S44" s="765" t="e">
        <f>IF((_xlfn.XLOOKUP(D44,RUC!$B$3:$B$119,RUC!$E$3:$E$119)+ROUNDDOWN(O44,1)*100)&lt;95,95,((_xlfn.XLOOKUP(D44,RUC!$B$3:$B$119,RUC!$E$3:$E$119)+ROUNDDOWN(O44,1)*100)))</f>
        <v>#N/A</v>
      </c>
      <c r="U44" s="1146" t="e">
        <f>_xlfn.XLOOKUP(D44,RUC!$B$3:$B$123,RUC!$F$3:$F$123)</f>
        <v>#N/A</v>
      </c>
      <c r="V44" s="715">
        <v>1.1023000000000001</v>
      </c>
      <c r="Y44" t="e">
        <f>_xlfn.XLOOKUP(D44,RUC!$B$3:$B$123,RUC!$G$3:$G$123)</f>
        <v>#N/A</v>
      </c>
      <c r="Z44" s="143" t="e">
        <f>_xlfn.XLOOKUP(D44,RUC!$B$3:$B$123,RUC!$H$3:$H$123)</f>
        <v>#N/A</v>
      </c>
      <c r="AA44" s="144" t="e">
        <f t="shared" si="32"/>
        <v>#N/A</v>
      </c>
      <c r="AB44" s="145" t="e">
        <f t="shared" si="33"/>
        <v>#N/A</v>
      </c>
      <c r="AC44" s="145" t="e">
        <f>+(S44-T44)*V44-'data 1'!$F$4</f>
        <v>#N/A</v>
      </c>
      <c r="AD44" s="145" t="e">
        <f t="shared" si="3"/>
        <v>#N/A</v>
      </c>
      <c r="AE44" s="145" t="e">
        <f t="shared" si="4"/>
        <v>#N/A</v>
      </c>
      <c r="AF44" s="145" t="e">
        <f t="shared" si="5"/>
        <v>#N/A</v>
      </c>
      <c r="AG44" s="772" t="e">
        <f t="shared" si="39"/>
        <v>#N/A</v>
      </c>
      <c r="AH44" s="1253">
        <f t="shared" si="6"/>
        <v>31.103000000000002</v>
      </c>
      <c r="AI44" s="1253">
        <f t="shared" si="7"/>
        <v>32.277999999999999</v>
      </c>
      <c r="AJ44" s="156" t="e">
        <f t="shared" si="8"/>
        <v>#N/A</v>
      </c>
      <c r="AK44" s="156">
        <f t="shared" si="9"/>
        <v>27.584326098321526</v>
      </c>
      <c r="AL44" s="88"/>
      <c r="AM44" s="716" t="e">
        <f t="shared" si="10"/>
        <v>#N/A</v>
      </c>
      <c r="AN44" s="716" t="e">
        <f>_xlfn.XLOOKUP(D44,RUC!$B$3:$B$578,RUC!$M$3:$M$578)</f>
        <v>#N/A</v>
      </c>
      <c r="AO44" s="1167" t="s">
        <v>2278</v>
      </c>
      <c r="AP44" t="s">
        <v>3074</v>
      </c>
      <c r="AQ44" t="s">
        <v>3073</v>
      </c>
    </row>
    <row r="45" spans="1:43" ht="15" customHeight="1">
      <c r="A45" s="747" t="s">
        <v>3044</v>
      </c>
      <c r="B45" s="595">
        <v>45944</v>
      </c>
      <c r="C45" s="1447">
        <v>45939</v>
      </c>
      <c r="D45" t="s">
        <v>2608</v>
      </c>
      <c r="E45" s="762" t="e">
        <f>_xlfn.XLOOKUP(D45,RUC!$B$3:$B$123,RUC!$D$3:$D$123)</f>
        <v>#N/A</v>
      </c>
      <c r="G45" s="1082">
        <v>18</v>
      </c>
      <c r="H45" s="762" t="s">
        <v>108</v>
      </c>
      <c r="I45" s="703">
        <v>1.2</v>
      </c>
      <c r="J45" s="596">
        <v>1.2</v>
      </c>
      <c r="K45" s="703">
        <f t="shared" si="28"/>
        <v>1.1859999999999999</v>
      </c>
      <c r="L45" s="762">
        <v>0.498</v>
      </c>
      <c r="M45" s="762">
        <v>0.47299999999999998</v>
      </c>
      <c r="N45" s="1196">
        <f t="shared" si="40"/>
        <v>0.47299999999999998</v>
      </c>
      <c r="O45" s="645">
        <f t="shared" si="1"/>
        <v>0.47299999999999998</v>
      </c>
      <c r="P45" s="727">
        <v>90</v>
      </c>
      <c r="Q45" s="1476">
        <v>95.98</v>
      </c>
      <c r="R45" s="706">
        <v>4019.25</v>
      </c>
      <c r="S45" s="765" t="e">
        <f>IF((_xlfn.XLOOKUP(D45,RUC!$B$3:$B$119,RUC!$E$3:$E$119)+ROUNDDOWN(O45,1)*100)&lt;95,95,((_xlfn.XLOOKUP(D45,RUC!$B$3:$B$119,RUC!$E$3:$E$119)+ROUNDDOWN(O45,1)*100)))</f>
        <v>#N/A</v>
      </c>
      <c r="U45" s="1146" t="e">
        <f>_xlfn.XLOOKUP(D45,RUC!$B$3:$B$123,RUC!$F$3:$F$123)</f>
        <v>#N/A</v>
      </c>
      <c r="V45" s="715">
        <v>1.1023000000000001</v>
      </c>
      <c r="Y45" t="e">
        <f>_xlfn.XLOOKUP(D45,RUC!$B$3:$B$123,RUC!$G$3:$G$123)</f>
        <v>#N/A</v>
      </c>
      <c r="Z45" s="143" t="e">
        <f>_xlfn.XLOOKUP(D45,RUC!$B$3:$B$123,RUC!$H$3:$H$123)</f>
        <v>#N/A</v>
      </c>
      <c r="AA45" s="144" t="e">
        <f t="shared" si="32"/>
        <v>#N/A</v>
      </c>
      <c r="AB45" s="145" t="e">
        <f t="shared" si="33"/>
        <v>#N/A</v>
      </c>
      <c r="AC45" s="145" t="e">
        <f>+(S45-T45)*V45-'data 1'!$F$4</f>
        <v>#N/A</v>
      </c>
      <c r="AD45" s="145" t="e">
        <f t="shared" si="3"/>
        <v>#N/A</v>
      </c>
      <c r="AE45" s="145" t="e">
        <f t="shared" si="4"/>
        <v>#N/A</v>
      </c>
      <c r="AF45" s="145" t="e">
        <f t="shared" si="5"/>
        <v>#N/A</v>
      </c>
      <c r="AG45" s="772" t="e">
        <f t="shared" si="39"/>
        <v>#N/A</v>
      </c>
      <c r="AH45" s="1253">
        <f t="shared" si="6"/>
        <v>19.436</v>
      </c>
      <c r="AI45" s="1253">
        <f t="shared" si="7"/>
        <v>20.25</v>
      </c>
      <c r="AJ45" s="156" t="e">
        <f t="shared" si="8"/>
        <v>#N/A</v>
      </c>
      <c r="AK45" s="156">
        <f t="shared" si="9"/>
        <v>17.310013575761605</v>
      </c>
      <c r="AL45" s="88"/>
      <c r="AM45" s="716" t="e">
        <f t="shared" si="10"/>
        <v>#N/A</v>
      </c>
      <c r="AN45" s="716" t="e">
        <f>_xlfn.XLOOKUP(D45,RUC!$B$3:$B$578,RUC!$M$3:$M$578)</f>
        <v>#N/A</v>
      </c>
      <c r="AO45" s="1167" t="s">
        <v>2278</v>
      </c>
      <c r="AP45" t="s">
        <v>3074</v>
      </c>
      <c r="AQ45" t="s">
        <v>3073</v>
      </c>
    </row>
    <row r="46" spans="1:43" ht="15" customHeight="1">
      <c r="A46" s="747" t="s">
        <v>3045</v>
      </c>
      <c r="B46" s="595">
        <v>45944</v>
      </c>
      <c r="C46" s="1447">
        <v>45939</v>
      </c>
      <c r="D46" t="s">
        <v>2608</v>
      </c>
      <c r="E46" s="762" t="e">
        <f>_xlfn.XLOOKUP(D46,RUC!$B$3:$B$123,RUC!$D$3:$D$123)</f>
        <v>#N/A</v>
      </c>
      <c r="G46" s="1082">
        <v>38</v>
      </c>
      <c r="H46" s="762" t="s">
        <v>108</v>
      </c>
      <c r="I46" s="703">
        <v>2.98</v>
      </c>
      <c r="J46" s="596">
        <v>1.2</v>
      </c>
      <c r="K46" s="703">
        <f t="shared" si="28"/>
        <v>2.944</v>
      </c>
      <c r="L46" s="762">
        <v>0.36299999999999999</v>
      </c>
      <c r="M46" s="762">
        <v>0.34499999999999997</v>
      </c>
      <c r="N46" s="1196">
        <f t="shared" si="40"/>
        <v>0.34499999999999997</v>
      </c>
      <c r="O46" s="645">
        <f t="shared" si="1"/>
        <v>0.34499999999999997</v>
      </c>
      <c r="P46" s="727">
        <v>90</v>
      </c>
      <c r="Q46" s="1476">
        <v>96.97</v>
      </c>
      <c r="R46" s="706">
        <v>4019.25</v>
      </c>
      <c r="S46" s="765" t="e">
        <f>IF((_xlfn.XLOOKUP(D46,RUC!$B$3:$B$119,RUC!$E$3:$E$119)+ROUNDDOWN(O46,1)*100)&lt;95,95,((_xlfn.XLOOKUP(D46,RUC!$B$3:$B$119,RUC!$E$3:$E$119)+ROUNDDOWN(O46,1)*100)))</f>
        <v>#N/A</v>
      </c>
      <c r="U46" s="1146" t="e">
        <f>_xlfn.XLOOKUP(D46,RUC!$B$3:$B$123,RUC!$F$3:$F$123)</f>
        <v>#N/A</v>
      </c>
      <c r="V46" s="715">
        <v>1.1023000000000001</v>
      </c>
      <c r="Y46" t="e">
        <f>_xlfn.XLOOKUP(D46,RUC!$B$3:$B$123,RUC!$G$3:$G$123)</f>
        <v>#N/A</v>
      </c>
      <c r="Z46" s="143" t="e">
        <f>_xlfn.XLOOKUP(D46,RUC!$B$3:$B$123,RUC!$H$3:$H$123)</f>
        <v>#N/A</v>
      </c>
      <c r="AA46" s="144" t="e">
        <f t="shared" si="32"/>
        <v>#N/A</v>
      </c>
      <c r="AB46" s="145" t="e">
        <f t="shared" si="33"/>
        <v>#N/A</v>
      </c>
      <c r="AC46" s="145" t="e">
        <f>+(S46-T46)*V46-'data 1'!$F$4</f>
        <v>#N/A</v>
      </c>
      <c r="AD46" s="145" t="e">
        <f t="shared" si="3"/>
        <v>#N/A</v>
      </c>
      <c r="AE46" s="145" t="e">
        <f t="shared" si="4"/>
        <v>#N/A</v>
      </c>
      <c r="AF46" s="145" t="e">
        <f t="shared" si="5"/>
        <v>#N/A</v>
      </c>
      <c r="AG46" s="772" t="e">
        <f t="shared" si="39"/>
        <v>#N/A</v>
      </c>
      <c r="AH46" s="1253">
        <f t="shared" si="6"/>
        <v>35.53</v>
      </c>
      <c r="AI46" s="1253">
        <f t="shared" si="7"/>
        <v>36.64</v>
      </c>
      <c r="AJ46" s="156" t="e">
        <f t="shared" si="8"/>
        <v>#N/A</v>
      </c>
      <c r="AK46" s="156">
        <f t="shared" si="9"/>
        <v>31.340684641161598</v>
      </c>
      <c r="AL46" s="88"/>
      <c r="AM46" s="716" t="e">
        <f t="shared" si="10"/>
        <v>#N/A</v>
      </c>
      <c r="AN46" s="716" t="e">
        <f>_xlfn.XLOOKUP(D46,RUC!$B$3:$B$578,RUC!$M$3:$M$578)</f>
        <v>#N/A</v>
      </c>
      <c r="AO46" s="1167" t="s">
        <v>2278</v>
      </c>
      <c r="AP46" t="s">
        <v>3074</v>
      </c>
      <c r="AQ46" t="s">
        <v>3073</v>
      </c>
    </row>
    <row r="47" spans="1:43" ht="15" customHeight="1">
      <c r="A47" s="747" t="s">
        <v>3046</v>
      </c>
      <c r="B47" s="595">
        <v>45949</v>
      </c>
      <c r="C47" s="1447">
        <v>45939</v>
      </c>
      <c r="D47" t="s">
        <v>3062</v>
      </c>
      <c r="E47" s="762">
        <f>_xlfn.XLOOKUP(D47,RUC!$B$3:$B$123,RUC!$D$3:$D$123)</f>
        <v>20610807004</v>
      </c>
      <c r="G47" s="1082">
        <v>28</v>
      </c>
      <c r="H47" s="762" t="s">
        <v>108</v>
      </c>
      <c r="I47" s="703">
        <v>1.91</v>
      </c>
      <c r="J47" s="596">
        <v>10.7</v>
      </c>
      <c r="K47" s="703">
        <f t="shared" si="28"/>
        <v>1.706</v>
      </c>
      <c r="L47" s="762">
        <v>0.29799999999999999</v>
      </c>
      <c r="M47" s="762">
        <v>0.28299999999999997</v>
      </c>
      <c r="N47" s="1196">
        <f t="shared" si="40"/>
        <v>0.28299999999999997</v>
      </c>
      <c r="O47" s="645">
        <f t="shared" si="1"/>
        <v>0.28299999999999997</v>
      </c>
      <c r="P47" s="727">
        <v>81</v>
      </c>
      <c r="Q47" s="1476">
        <v>81.540000000000006</v>
      </c>
      <c r="R47" s="706">
        <v>4019.25</v>
      </c>
      <c r="S47" s="765">
        <f>IF((_xlfn.XLOOKUP(D47,RUC!$B$3:$B$119,RUC!$E$3:$E$119)+ROUNDDOWN(O47,1)*100)&lt;95,95,((_xlfn.XLOOKUP(D47,RUC!$B$3:$B$119,RUC!$E$3:$E$119)+ROUNDDOWN(O47,1)*100)))</f>
        <v>105</v>
      </c>
      <c r="U47" s="1146">
        <f>_xlfn.XLOOKUP(D47,RUC!$B$3:$B$123,RUC!$F$3:$F$123)</f>
        <v>120</v>
      </c>
      <c r="V47" s="715">
        <v>1.1023000000000001</v>
      </c>
      <c r="Y47">
        <f>_xlfn.XLOOKUP(D47,RUC!$B$3:$B$123,RUC!$G$3:$G$123)</f>
        <v>20</v>
      </c>
      <c r="Z47" s="143">
        <f>_xlfn.XLOOKUP(D47,RUC!$B$3:$B$123,RUC!$H$3:$H$123)</f>
        <v>30</v>
      </c>
      <c r="AA47" s="144">
        <f t="shared" si="32"/>
        <v>50</v>
      </c>
      <c r="AB47" s="145">
        <f t="shared" si="33"/>
        <v>814.40688292824996</v>
      </c>
      <c r="AC47" s="145">
        <f>+(S47-T47)*V47-'data 1'!$F$4</f>
        <v>35.741500000000002</v>
      </c>
      <c r="AD47" s="145">
        <f t="shared" si="3"/>
        <v>6.916572158130081</v>
      </c>
      <c r="AE47" s="145">
        <f t="shared" si="4"/>
        <v>-14.884999999999998</v>
      </c>
      <c r="AF47" s="145">
        <f t="shared" si="5"/>
        <v>52.570590396525049</v>
      </c>
      <c r="AG47" s="772">
        <f t="shared" si="39"/>
        <v>97.34366255465514</v>
      </c>
      <c r="AH47" s="1253">
        <f t="shared" si="6"/>
        <v>14.212999999999999</v>
      </c>
      <c r="AI47" s="1253">
        <f t="shared" si="7"/>
        <v>17.43</v>
      </c>
      <c r="AJ47" s="156">
        <f t="shared" si="8"/>
        <v>13.593235004370001</v>
      </c>
      <c r="AK47" s="156">
        <f t="shared" si="9"/>
        <v>13.407862591608756</v>
      </c>
      <c r="AL47" s="88"/>
      <c r="AM47" s="716">
        <f t="shared" si="10"/>
        <v>1389.3781422755944</v>
      </c>
      <c r="AN47" s="716" t="str">
        <f>_xlfn.XLOOKUP(D47,RUC!$B$3:$B$578,RUC!$M$3:$M$578)</f>
        <v>Renzo</v>
      </c>
      <c r="AO47" s="1167" t="s">
        <v>2280</v>
      </c>
      <c r="AP47" t="s">
        <v>3067</v>
      </c>
      <c r="AQ47" t="s">
        <v>3068</v>
      </c>
    </row>
    <row r="48" spans="1:43" ht="15" customHeight="1">
      <c r="A48" s="747" t="s">
        <v>3047</v>
      </c>
      <c r="B48" s="595">
        <v>45949</v>
      </c>
      <c r="C48" s="1447">
        <v>45939</v>
      </c>
      <c r="D48" t="s">
        <v>3062</v>
      </c>
      <c r="E48" s="762">
        <f>_xlfn.XLOOKUP(D48,RUC!$B$3:$B$123,RUC!$D$3:$D$123)</f>
        <v>20610807004</v>
      </c>
      <c r="G48" s="1082">
        <v>28</v>
      </c>
      <c r="H48" s="762" t="s">
        <v>108</v>
      </c>
      <c r="I48" s="703">
        <v>1.97</v>
      </c>
      <c r="J48" s="596">
        <v>10.5</v>
      </c>
      <c r="K48" s="703">
        <f t="shared" si="28"/>
        <v>1.7629999999999999</v>
      </c>
      <c r="L48" s="762">
        <v>0.23599999999999999</v>
      </c>
      <c r="M48" s="762">
        <v>0.221</v>
      </c>
      <c r="N48" s="1196">
        <f t="shared" si="40"/>
        <v>0.221</v>
      </c>
      <c r="O48" s="645">
        <f t="shared" si="1"/>
        <v>0.221</v>
      </c>
      <c r="P48" s="727">
        <v>88</v>
      </c>
      <c r="Q48" s="1476">
        <v>88.56</v>
      </c>
      <c r="R48" s="706">
        <v>4019.25</v>
      </c>
      <c r="S48" s="765">
        <f>IF((_xlfn.XLOOKUP(D48,RUC!$B$3:$B$119,RUC!$E$3:$E$119)+ROUNDDOWN(O48,1)*100)&lt;95,95,((_xlfn.XLOOKUP(D48,RUC!$B$3:$B$119,RUC!$E$3:$E$119)+ROUNDDOWN(O48,1)*100)))</f>
        <v>105</v>
      </c>
      <c r="U48" s="1146">
        <f>_xlfn.XLOOKUP(D48,RUC!$B$3:$B$123,RUC!$F$3:$F$123)</f>
        <v>120</v>
      </c>
      <c r="V48" s="715">
        <v>1.1023000000000001</v>
      </c>
      <c r="Y48">
        <f>_xlfn.XLOOKUP(D48,RUC!$B$3:$B$123,RUC!$G$3:$G$123)</f>
        <v>20</v>
      </c>
      <c r="Z48" s="143">
        <f>_xlfn.XLOOKUP(D48,RUC!$B$3:$B$123,RUC!$H$3:$H$123)</f>
        <v>30</v>
      </c>
      <c r="AA48" s="144">
        <f t="shared" si="32"/>
        <v>50</v>
      </c>
      <c r="AB48" s="145">
        <f t="shared" si="33"/>
        <v>665.04640412200001</v>
      </c>
      <c r="AC48" s="145">
        <f>+(S48-T48)*V48-'data 1'!$F$4</f>
        <v>35.741500000000002</v>
      </c>
      <c r="AD48" s="145">
        <f t="shared" si="3"/>
        <v>5.6804261522400221</v>
      </c>
      <c r="AE48" s="145">
        <f t="shared" si="4"/>
        <v>-14.884999999999998</v>
      </c>
      <c r="AF48" s="145">
        <f t="shared" si="5"/>
        <v>57.096535265099945</v>
      </c>
      <c r="AG48" s="772">
        <f t="shared" si="39"/>
        <v>100.63346141733996</v>
      </c>
      <c r="AH48" s="1253">
        <f t="shared" si="6"/>
        <v>12.632999999999999</v>
      </c>
      <c r="AI48" s="1253">
        <f t="shared" si="7"/>
        <v>14.265000000000001</v>
      </c>
      <c r="AJ48" s="156">
        <f t="shared" si="8"/>
        <v>11.691910031759999</v>
      </c>
      <c r="AK48" s="156">
        <f t="shared" si="9"/>
        <v>11.755370658420532</v>
      </c>
      <c r="AL48" s="88"/>
      <c r="AM48" s="716">
        <f t="shared" si="10"/>
        <v>1172.4768104670859</v>
      </c>
      <c r="AN48" s="716" t="str">
        <f>_xlfn.XLOOKUP(D48,RUC!$B$3:$B$578,RUC!$M$3:$M$578)</f>
        <v>Renzo</v>
      </c>
      <c r="AO48" s="1167" t="s">
        <v>2280</v>
      </c>
      <c r="AP48" t="s">
        <v>3067</v>
      </c>
      <c r="AQ48" t="s">
        <v>3068</v>
      </c>
    </row>
    <row r="49" spans="1:43" ht="15" customHeight="1">
      <c r="A49" s="747" t="s">
        <v>3048</v>
      </c>
      <c r="B49" s="595">
        <v>45949</v>
      </c>
      <c r="C49" s="1447">
        <v>45939</v>
      </c>
      <c r="D49" t="s">
        <v>3062</v>
      </c>
      <c r="E49" s="762">
        <f>_xlfn.XLOOKUP(D49,RUC!$B$3:$B$123,RUC!$D$3:$D$123)</f>
        <v>20610807004</v>
      </c>
      <c r="G49" s="1082">
        <v>25</v>
      </c>
      <c r="H49" s="762" t="s">
        <v>108</v>
      </c>
      <c r="I49" s="703">
        <v>2.13</v>
      </c>
      <c r="J49" s="596">
        <v>6.9</v>
      </c>
      <c r="K49" s="703">
        <f t="shared" si="28"/>
        <v>1.9830000000000001</v>
      </c>
      <c r="L49" s="994">
        <v>0.24</v>
      </c>
      <c r="M49" s="762">
        <v>0.215</v>
      </c>
      <c r="N49" s="1196">
        <f t="shared" si="40"/>
        <v>0.215</v>
      </c>
      <c r="O49" s="645">
        <f t="shared" si="1"/>
        <v>0.215</v>
      </c>
      <c r="P49" s="727">
        <v>85</v>
      </c>
      <c r="Q49" s="1476">
        <v>86.09</v>
      </c>
      <c r="R49" s="706">
        <v>4019.25</v>
      </c>
      <c r="S49" s="765">
        <f>IF((_xlfn.XLOOKUP(D49,RUC!$B$3:$B$119,RUC!$E$3:$E$119)+ROUNDDOWN(O49,1)*100)&lt;95,95,((_xlfn.XLOOKUP(D49,RUC!$B$3:$B$119,RUC!$E$3:$E$119)+ROUNDDOWN(O49,1)*100)))</f>
        <v>105</v>
      </c>
      <c r="U49" s="1146">
        <f>_xlfn.XLOOKUP(D49,RUC!$B$3:$B$123,RUC!$F$3:$F$123)</f>
        <v>120</v>
      </c>
      <c r="V49" s="715">
        <v>1.1023000000000001</v>
      </c>
      <c r="Y49">
        <f>_xlfn.XLOOKUP(D49,RUC!$B$3:$B$123,RUC!$G$3:$G$123)</f>
        <v>20</v>
      </c>
      <c r="Z49" s="143">
        <f>_xlfn.XLOOKUP(D49,RUC!$B$3:$B$123,RUC!$H$3:$H$123)</f>
        <v>30</v>
      </c>
      <c r="AA49" s="144">
        <f t="shared" si="32"/>
        <v>50</v>
      </c>
      <c r="AB49" s="145">
        <f t="shared" si="33"/>
        <v>614.62918350625</v>
      </c>
      <c r="AC49" s="145">
        <f>+(S49-T49)*V49-'data 1'!$F$4</f>
        <v>35.741500000000002</v>
      </c>
      <c r="AD49" s="145">
        <f t="shared" si="3"/>
        <v>11.243942807400035</v>
      </c>
      <c r="AE49" s="145">
        <f t="shared" si="4"/>
        <v>-14.884999999999998</v>
      </c>
      <c r="AF49" s="145">
        <f t="shared" si="5"/>
        <v>92.50678863618748</v>
      </c>
      <c r="AG49" s="772">
        <f t="shared" si="39"/>
        <v>141.60723144358752</v>
      </c>
      <c r="AH49" s="1253">
        <f t="shared" si="6"/>
        <v>14.047000000000001</v>
      </c>
      <c r="AI49" s="1253">
        <f t="shared" si="7"/>
        <v>16.317</v>
      </c>
      <c r="AJ49" s="156">
        <f t="shared" si="8"/>
        <v>11.558455452600001</v>
      </c>
      <c r="AK49" s="156">
        <f t="shared" si="9"/>
        <v>12.424793202950665</v>
      </c>
      <c r="AL49" s="88"/>
      <c r="AM49" s="716">
        <f t="shared" si="10"/>
        <v>1218.8096708928938</v>
      </c>
      <c r="AN49" s="716" t="str">
        <f>_xlfn.XLOOKUP(D49,RUC!$B$3:$B$578,RUC!$M$3:$M$578)</f>
        <v>Renzo</v>
      </c>
      <c r="AO49" s="1167" t="s">
        <v>2280</v>
      </c>
      <c r="AP49" t="s">
        <v>3067</v>
      </c>
      <c r="AQ49" t="s">
        <v>3068</v>
      </c>
    </row>
    <row r="50" spans="1:43" ht="15" customHeight="1">
      <c r="A50" s="747" t="s">
        <v>3049</v>
      </c>
      <c r="B50" s="595">
        <v>45949</v>
      </c>
      <c r="C50" s="1447">
        <v>45939</v>
      </c>
      <c r="D50" t="s">
        <v>3062</v>
      </c>
      <c r="E50" s="762">
        <f>_xlfn.XLOOKUP(D50,RUC!$B$3:$B$123,RUC!$D$3:$D$123)</f>
        <v>20610807004</v>
      </c>
      <c r="G50" s="1082">
        <v>30</v>
      </c>
      <c r="H50" s="762" t="s">
        <v>108</v>
      </c>
      <c r="I50" s="703">
        <v>1.92</v>
      </c>
      <c r="J50" s="596">
        <v>16.72</v>
      </c>
      <c r="K50" s="703">
        <f t="shared" si="28"/>
        <v>1.599</v>
      </c>
      <c r="L50" s="762">
        <v>0.36899999999999999</v>
      </c>
      <c r="M50" s="762">
        <v>0.35099999999999998</v>
      </c>
      <c r="N50" s="1196">
        <f t="shared" si="40"/>
        <v>0.35099999999999998</v>
      </c>
      <c r="O50" s="645">
        <f t="shared" si="1"/>
        <v>0.35099999999999998</v>
      </c>
      <c r="P50" s="727">
        <v>85</v>
      </c>
      <c r="Q50" s="1476">
        <v>86.18</v>
      </c>
      <c r="R50" s="706">
        <v>4019.25</v>
      </c>
      <c r="S50" s="765">
        <f>IF((_xlfn.XLOOKUP(D50,RUC!$B$3:$B$119,RUC!$E$3:$E$119)+ROUNDDOWN(O50,1)*100)&lt;95,95,((_xlfn.XLOOKUP(D50,RUC!$B$3:$B$119,RUC!$E$3:$E$119)+ROUNDDOWN(O50,1)*100)))</f>
        <v>115</v>
      </c>
      <c r="U50" s="1146">
        <f>_xlfn.XLOOKUP(D50,RUC!$B$3:$B$123,RUC!$F$3:$F$123)</f>
        <v>120</v>
      </c>
      <c r="V50" s="715">
        <v>1.1023000000000001</v>
      </c>
      <c r="Y50">
        <f>_xlfn.XLOOKUP(D50,RUC!$B$3:$B$123,RUC!$G$3:$G$123)</f>
        <v>20</v>
      </c>
      <c r="Z50" s="143">
        <f>_xlfn.XLOOKUP(D50,RUC!$B$3:$B$123,RUC!$H$3:$H$123)</f>
        <v>30</v>
      </c>
      <c r="AA50" s="144">
        <f t="shared" si="32"/>
        <v>50</v>
      </c>
      <c r="AB50" s="145">
        <f t="shared" si="33"/>
        <v>1100.4715460962498</v>
      </c>
      <c r="AC50" s="145">
        <f>+(S50-T50)*V50-'data 1'!$F$4</f>
        <v>46.764500000000012</v>
      </c>
      <c r="AD50" s="145">
        <f t="shared" si="3"/>
        <v>18.714975448005106</v>
      </c>
      <c r="AE50" s="145">
        <f t="shared" si="4"/>
        <v>-14.884999999999998</v>
      </c>
      <c r="AF50" s="145">
        <f t="shared" si="5"/>
        <v>66.674517739110073</v>
      </c>
      <c r="AG50" s="772">
        <f t="shared" si="39"/>
        <v>134.2689931871152</v>
      </c>
      <c r="AH50" s="1253">
        <f t="shared" si="6"/>
        <v>17.434000000000001</v>
      </c>
      <c r="AI50" s="1253">
        <f t="shared" si="7"/>
        <v>20.228999999999999</v>
      </c>
      <c r="AJ50" s="156">
        <f t="shared" si="8"/>
        <v>17.789703505245001</v>
      </c>
      <c r="AK50" s="156">
        <f t="shared" si="9"/>
        <v>16.356243794023282</v>
      </c>
      <c r="AL50" s="88"/>
      <c r="AM50" s="716">
        <f t="shared" si="10"/>
        <v>1759.6540022079034</v>
      </c>
      <c r="AN50" s="716" t="str">
        <f>_xlfn.XLOOKUP(D50,RUC!$B$3:$B$578,RUC!$M$3:$M$578)</f>
        <v>Renzo</v>
      </c>
      <c r="AO50" s="1167" t="s">
        <v>2280</v>
      </c>
      <c r="AP50" t="s">
        <v>3067</v>
      </c>
      <c r="AQ50" t="s">
        <v>3068</v>
      </c>
    </row>
    <row r="51" spans="1:43" ht="15" customHeight="1">
      <c r="A51" s="747" t="s">
        <v>3050</v>
      </c>
      <c r="B51" s="595">
        <v>45949</v>
      </c>
      <c r="C51" s="1447">
        <v>45939</v>
      </c>
      <c r="D51" t="s">
        <v>3062</v>
      </c>
      <c r="E51" s="762">
        <f>_xlfn.XLOOKUP(D51,RUC!$B$3:$B$123,RUC!$D$3:$D$123)</f>
        <v>20610807004</v>
      </c>
      <c r="G51" s="1082">
        <v>30</v>
      </c>
      <c r="H51" s="762" t="s">
        <v>108</v>
      </c>
      <c r="I51" s="703">
        <v>2.5299999999999998</v>
      </c>
      <c r="J51" s="596">
        <v>4.5999999999999996</v>
      </c>
      <c r="K51" s="703">
        <f t="shared" si="28"/>
        <v>2.4140000000000001</v>
      </c>
      <c r="L51" s="762">
        <v>0.151</v>
      </c>
      <c r="M51" s="762">
        <v>0.122</v>
      </c>
      <c r="N51" s="1196">
        <f t="shared" si="40"/>
        <v>0.122</v>
      </c>
      <c r="O51" s="645">
        <f t="shared" si="1"/>
        <v>0.122</v>
      </c>
      <c r="P51" s="727">
        <v>78</v>
      </c>
      <c r="Q51" s="1476">
        <v>78.83</v>
      </c>
      <c r="R51" s="706">
        <v>4019.25</v>
      </c>
      <c r="S51" s="765">
        <f>IF((_xlfn.XLOOKUP(D51,RUC!$B$3:$B$119,RUC!$E$3:$E$119)+ROUNDDOWN(O51,1)*100)&lt;95,95,((_xlfn.XLOOKUP(D51,RUC!$B$3:$B$119,RUC!$E$3:$E$119)+ROUNDDOWN(O51,1)*100)))</f>
        <v>95</v>
      </c>
      <c r="U51" s="1146">
        <f>_xlfn.XLOOKUP(D51,RUC!$B$3:$B$123,RUC!$F$3:$F$123)</f>
        <v>120</v>
      </c>
      <c r="V51" s="715">
        <v>1.1023000000000001</v>
      </c>
      <c r="Y51">
        <f>_xlfn.XLOOKUP(D51,RUC!$B$3:$B$123,RUC!$G$3:$G$123)</f>
        <v>20</v>
      </c>
      <c r="Z51" s="143">
        <f>_xlfn.XLOOKUP(D51,RUC!$B$3:$B$123,RUC!$H$3:$H$123)</f>
        <v>30</v>
      </c>
      <c r="AA51" s="144">
        <f t="shared" si="32"/>
        <v>50</v>
      </c>
      <c r="AB51" s="145">
        <f t="shared" si="33"/>
        <v>249.17781404899998</v>
      </c>
      <c r="AC51" s="145">
        <f>+(S51-T51)*V51-'data 1'!$F$4</f>
        <v>24.718500000000006</v>
      </c>
      <c r="AD51" s="145">
        <f t="shared" si="3"/>
        <v>5.3868629665574881</v>
      </c>
      <c r="AE51" s="145">
        <f t="shared" si="4"/>
        <v>-14.884999999999998</v>
      </c>
      <c r="AF51" s="145">
        <f t="shared" si="5"/>
        <v>98.258563966792494</v>
      </c>
      <c r="AG51" s="772">
        <f t="shared" si="39"/>
        <v>130.47892693334998</v>
      </c>
      <c r="AH51" s="1253">
        <f t="shared" si="6"/>
        <v>9.8520000000000003</v>
      </c>
      <c r="AI51" s="1253">
        <f t="shared" si="7"/>
        <v>12.497999999999999</v>
      </c>
      <c r="AJ51" s="156">
        <f t="shared" si="8"/>
        <v>6.6589281344425002</v>
      </c>
      <c r="AK51" s="156">
        <f t="shared" si="9"/>
        <v>7.8759104297869316</v>
      </c>
      <c r="AL51" s="88"/>
      <c r="AM51" s="716">
        <f t="shared" si="10"/>
        <v>601.51524311428602</v>
      </c>
      <c r="AN51" s="716" t="str">
        <f>_xlfn.XLOOKUP(D51,RUC!$B$3:$B$578,RUC!$M$3:$M$578)</f>
        <v>Renzo</v>
      </c>
      <c r="AO51" s="1167" t="s">
        <v>2280</v>
      </c>
      <c r="AP51" t="s">
        <v>3067</v>
      </c>
      <c r="AQ51" t="s">
        <v>3068</v>
      </c>
    </row>
    <row r="52" spans="1:43" ht="15" customHeight="1">
      <c r="A52" s="747" t="s">
        <v>3051</v>
      </c>
      <c r="B52" s="595">
        <v>45949</v>
      </c>
      <c r="C52" s="1447">
        <v>45939</v>
      </c>
      <c r="D52" t="s">
        <v>3062</v>
      </c>
      <c r="E52" s="762">
        <f>_xlfn.XLOOKUP(D52,RUC!$B$3:$B$123,RUC!$D$3:$D$123)</f>
        <v>20610807004</v>
      </c>
      <c r="G52" s="1082">
        <v>30</v>
      </c>
      <c r="H52" s="762" t="s">
        <v>108</v>
      </c>
      <c r="I52" s="703">
        <v>2.61</v>
      </c>
      <c r="J52" s="596">
        <v>3.4</v>
      </c>
      <c r="K52" s="703">
        <f t="shared" si="28"/>
        <v>2.5209999999999999</v>
      </c>
      <c r="L52" s="762">
        <v>0.187</v>
      </c>
      <c r="M52" s="762">
        <v>0.17199999999999999</v>
      </c>
      <c r="N52" s="1196">
        <f t="shared" si="40"/>
        <v>0.17199999999999999</v>
      </c>
      <c r="O52" s="645">
        <f t="shared" si="1"/>
        <v>0.17199999999999999</v>
      </c>
      <c r="P52" s="727">
        <v>90</v>
      </c>
      <c r="Q52" s="1476">
        <v>98.93</v>
      </c>
      <c r="R52" s="706">
        <v>4019.25</v>
      </c>
      <c r="S52" s="765">
        <f>IF((_xlfn.XLOOKUP(D52,RUC!$B$3:$B$119,RUC!$E$3:$E$119)+ROUNDDOWN(O52,1)*100)&lt;95,95,((_xlfn.XLOOKUP(D52,RUC!$B$3:$B$119,RUC!$E$3:$E$119)+ROUNDDOWN(O52,1)*100)))</f>
        <v>95</v>
      </c>
      <c r="U52" s="1146">
        <f>_xlfn.XLOOKUP(D52,RUC!$B$3:$B$123,RUC!$F$3:$F$123)</f>
        <v>120</v>
      </c>
      <c r="V52" s="715">
        <v>1.1023000000000001</v>
      </c>
      <c r="Y52">
        <f>_xlfn.XLOOKUP(D52,RUC!$B$3:$B$123,RUC!$G$3:$G$123)</f>
        <v>20</v>
      </c>
      <c r="Z52" s="143">
        <f>_xlfn.XLOOKUP(D52,RUC!$B$3:$B$123,RUC!$H$3:$H$123)</f>
        <v>30</v>
      </c>
      <c r="AA52" s="144">
        <f t="shared" si="32"/>
        <v>50</v>
      </c>
      <c r="AB52" s="145">
        <f t="shared" si="33"/>
        <v>505.51907896999995</v>
      </c>
      <c r="AC52" s="145">
        <f>+(S52-T52)*V52-'data 1'!$F$4</f>
        <v>24.718500000000006</v>
      </c>
      <c r="AD52" s="145">
        <f t="shared" si="3"/>
        <v>71.775124363552564</v>
      </c>
      <c r="AE52" s="145">
        <f t="shared" si="4"/>
        <v>-14.884999999999998</v>
      </c>
      <c r="AF52" s="145">
        <f t="shared" si="5"/>
        <v>63.782297129362568</v>
      </c>
      <c r="AG52" s="772">
        <f t="shared" si="39"/>
        <v>162.39092149291514</v>
      </c>
      <c r="AH52" s="1253">
        <f t="shared" si="6"/>
        <v>15.99</v>
      </c>
      <c r="AI52" s="1253">
        <f t="shared" si="7"/>
        <v>16.163</v>
      </c>
      <c r="AJ52" s="156">
        <f t="shared" si="8"/>
        <v>10.349168777447501</v>
      </c>
      <c r="AK52" s="156">
        <f t="shared" si="9"/>
        <v>13.37990011482294</v>
      </c>
      <c r="AL52" s="88"/>
      <c r="AM52" s="716">
        <f t="shared" si="10"/>
        <v>1274.4135980833698</v>
      </c>
      <c r="AN52" s="716" t="str">
        <f>_xlfn.XLOOKUP(D52,RUC!$B$3:$B$578,RUC!$M$3:$M$578)</f>
        <v>Renzo</v>
      </c>
      <c r="AO52" s="1167" t="s">
        <v>2280</v>
      </c>
      <c r="AP52" t="s">
        <v>3067</v>
      </c>
      <c r="AQ52" t="s">
        <v>3068</v>
      </c>
    </row>
    <row r="53" spans="1:43" ht="15" customHeight="1">
      <c r="A53" s="747" t="s">
        <v>3052</v>
      </c>
      <c r="B53" s="595">
        <v>45949</v>
      </c>
      <c r="C53" s="1447">
        <v>45939</v>
      </c>
      <c r="D53" t="s">
        <v>3062</v>
      </c>
      <c r="E53" s="762">
        <f>_xlfn.XLOOKUP(D53,RUC!$B$3:$B$123,RUC!$D$3:$D$123)</f>
        <v>20610807004</v>
      </c>
      <c r="G53" s="1082">
        <v>26</v>
      </c>
      <c r="H53" s="762" t="s">
        <v>108</v>
      </c>
      <c r="I53" s="703">
        <v>1.82</v>
      </c>
      <c r="J53" s="596">
        <v>6.5</v>
      </c>
      <c r="K53" s="703">
        <f t="shared" si="28"/>
        <v>1.702</v>
      </c>
      <c r="L53" s="762">
        <v>0.34599999999999997</v>
      </c>
      <c r="M53" s="762">
        <v>0.32900000000000001</v>
      </c>
      <c r="N53" s="1196">
        <f t="shared" si="40"/>
        <v>0.32900000000000001</v>
      </c>
      <c r="O53" s="645">
        <f t="shared" si="1"/>
        <v>0.32900000000000001</v>
      </c>
      <c r="P53" s="727">
        <v>74</v>
      </c>
      <c r="Q53" s="1476">
        <v>74.86</v>
      </c>
      <c r="R53" s="706">
        <v>4019.25</v>
      </c>
      <c r="S53" s="765">
        <f>IF((_xlfn.XLOOKUP(D53,RUC!$B$3:$B$119,RUC!$E$3:$E$119)+ROUNDDOWN(O53,1)*100)&lt;95,95,((_xlfn.XLOOKUP(D53,RUC!$B$3:$B$119,RUC!$E$3:$E$119)+ROUNDDOWN(O53,1)*100)))</f>
        <v>115</v>
      </c>
      <c r="U53" s="1146">
        <f>_xlfn.XLOOKUP(D53,RUC!$B$3:$B$123,RUC!$F$3:$F$123)</f>
        <v>120</v>
      </c>
      <c r="V53" s="715">
        <v>1.1023000000000001</v>
      </c>
      <c r="Y53">
        <f>_xlfn.XLOOKUP(D53,RUC!$B$3:$B$123,RUC!$G$3:$G$123)</f>
        <v>20</v>
      </c>
      <c r="Z53" s="143">
        <f>_xlfn.XLOOKUP(D53,RUC!$B$3:$B$123,RUC!$H$3:$H$123)</f>
        <v>30</v>
      </c>
      <c r="AA53" s="144">
        <f t="shared" si="32"/>
        <v>50</v>
      </c>
      <c r="AB53" s="145">
        <f t="shared" si="33"/>
        <v>864.5464617314999</v>
      </c>
      <c r="AC53" s="145">
        <f>+(S53-T53)*V53-'data 1'!$F$4</f>
        <v>46.764500000000012</v>
      </c>
      <c r="AD53" s="145">
        <f t="shared" si="3"/>
        <v>12.78955512908999</v>
      </c>
      <c r="AE53" s="145">
        <f t="shared" si="4"/>
        <v>-14.884999999999998</v>
      </c>
      <c r="AF53" s="145">
        <f t="shared" si="5"/>
        <v>54.699030946304873</v>
      </c>
      <c r="AG53" s="772">
        <f t="shared" si="39"/>
        <v>116.36808607539487</v>
      </c>
      <c r="AH53" s="1253">
        <f t="shared" si="6"/>
        <v>15.115</v>
      </c>
      <c r="AI53" s="1253">
        <f t="shared" si="7"/>
        <v>20.190000000000001</v>
      </c>
      <c r="AJ53" s="156">
        <f t="shared" si="8"/>
        <v>14.489779465910001</v>
      </c>
      <c r="AK53" s="156">
        <f t="shared" si="9"/>
        <v>14.206799218059407</v>
      </c>
      <c r="AL53" s="88"/>
      <c r="AM53" s="716">
        <f t="shared" si="10"/>
        <v>1471.4580778670129</v>
      </c>
      <c r="AN53" s="716" t="str">
        <f>_xlfn.XLOOKUP(D53,RUC!$B$3:$B$578,RUC!$M$3:$M$578)</f>
        <v>Renzo</v>
      </c>
      <c r="AO53" s="1167" t="s">
        <v>2280</v>
      </c>
      <c r="AP53" t="s">
        <v>3067</v>
      </c>
      <c r="AQ53" t="s">
        <v>3068</v>
      </c>
    </row>
    <row r="54" spans="1:43" ht="15" customHeight="1">
      <c r="A54" s="747" t="s">
        <v>3053</v>
      </c>
      <c r="B54" s="595">
        <v>45949</v>
      </c>
      <c r="C54" s="1447">
        <v>45939</v>
      </c>
      <c r="D54" t="s">
        <v>3062</v>
      </c>
      <c r="E54" s="762">
        <f>_xlfn.XLOOKUP(D54,RUC!$B$3:$B$123,RUC!$D$3:$D$123)</f>
        <v>20610807004</v>
      </c>
      <c r="G54" s="1082">
        <v>27</v>
      </c>
      <c r="H54" s="762" t="s">
        <v>108</v>
      </c>
      <c r="I54" s="703">
        <v>2.14</v>
      </c>
      <c r="J54" s="596">
        <v>11.6</v>
      </c>
      <c r="K54" s="703">
        <f t="shared" si="28"/>
        <v>1.8919999999999999</v>
      </c>
      <c r="L54" s="762">
        <v>0.439</v>
      </c>
      <c r="M54" s="762">
        <v>0.41699999999999998</v>
      </c>
      <c r="N54" s="1196">
        <f t="shared" si="40"/>
        <v>0.41699999999999998</v>
      </c>
      <c r="O54" s="645">
        <f t="shared" si="1"/>
        <v>0.41699999999999998</v>
      </c>
      <c r="P54" s="727">
        <v>90</v>
      </c>
      <c r="Q54" s="1476">
        <v>90.21</v>
      </c>
      <c r="R54" s="706">
        <v>4019.25</v>
      </c>
      <c r="S54" s="765">
        <f>IF((_xlfn.XLOOKUP(D54,RUC!$B$3:$B$119,RUC!$E$3:$E$119)+ROUNDDOWN(O54,1)*100)&lt;95,95,((_xlfn.XLOOKUP(D54,RUC!$B$3:$B$119,RUC!$E$3:$E$119)+ROUNDDOWN(O54,1)*100)))</f>
        <v>125</v>
      </c>
      <c r="U54" s="1146">
        <f>_xlfn.XLOOKUP(D54,RUC!$B$3:$B$123,RUC!$F$3:$F$123)</f>
        <v>120</v>
      </c>
      <c r="V54" s="715">
        <v>1.1023000000000001</v>
      </c>
      <c r="Y54">
        <f>_xlfn.XLOOKUP(D54,RUC!$B$3:$B$123,RUC!$G$3:$G$123)</f>
        <v>20</v>
      </c>
      <c r="Z54" s="143">
        <f>_xlfn.XLOOKUP(D54,RUC!$B$3:$B$123,RUC!$H$3:$H$123)</f>
        <v>30</v>
      </c>
      <c r="AA54" s="144">
        <f t="shared" si="32"/>
        <v>50</v>
      </c>
      <c r="AB54" s="145">
        <f t="shared" si="33"/>
        <v>1420.1906711075001</v>
      </c>
      <c r="AC54" s="145">
        <f>+(S54-T54)*V54-'data 1'!$F$4</f>
        <v>57.787499999999994</v>
      </c>
      <c r="AD54" s="145">
        <f t="shared" si="3"/>
        <v>3.9624582852223824</v>
      </c>
      <c r="AE54" s="145">
        <f t="shared" si="4"/>
        <v>-14.884999999999998</v>
      </c>
      <c r="AF54" s="145">
        <f t="shared" si="5"/>
        <v>85.30181106430507</v>
      </c>
      <c r="AG54" s="772">
        <f t="shared" si="39"/>
        <v>149.16676934952744</v>
      </c>
      <c r="AH54" s="1253">
        <f t="shared" si="6"/>
        <v>25.689</v>
      </c>
      <c r="AI54" s="1253">
        <f t="shared" si="7"/>
        <v>28.477</v>
      </c>
      <c r="AJ54" s="156">
        <f t="shared" si="8"/>
        <v>22.154148223777501</v>
      </c>
      <c r="AK54" s="156">
        <f t="shared" si="9"/>
        <v>24.344943207732182</v>
      </c>
      <c r="AL54" s="88"/>
      <c r="AM54" s="716">
        <f t="shared" si="10"/>
        <v>2687.0007497353899</v>
      </c>
      <c r="AN54" s="716" t="str">
        <f>_xlfn.XLOOKUP(D54,RUC!$B$3:$B$578,RUC!$M$3:$M$578)</f>
        <v>Renzo</v>
      </c>
      <c r="AO54" s="1167" t="s">
        <v>2280</v>
      </c>
      <c r="AP54" t="s">
        <v>3067</v>
      </c>
      <c r="AQ54" t="s">
        <v>3068</v>
      </c>
    </row>
    <row r="55" spans="1:43" ht="15" customHeight="1">
      <c r="A55" s="747" t="s">
        <v>3055</v>
      </c>
      <c r="B55" s="595">
        <v>45949</v>
      </c>
      <c r="C55" s="1447">
        <v>45939</v>
      </c>
      <c r="D55" t="s">
        <v>3062</v>
      </c>
      <c r="E55" s="762">
        <f>_xlfn.XLOOKUP(D55,RUC!$B$3:$B$123,RUC!$D$3:$D$123)</f>
        <v>20610807004</v>
      </c>
      <c r="G55" s="1082">
        <v>30</v>
      </c>
      <c r="H55" s="762" t="s">
        <v>108</v>
      </c>
      <c r="I55" s="703">
        <v>2.35</v>
      </c>
      <c r="J55" s="596">
        <v>11.1</v>
      </c>
      <c r="K55" s="703">
        <f t="shared" si="28"/>
        <v>2.089</v>
      </c>
      <c r="L55" s="762">
        <v>0.45600000000000002</v>
      </c>
      <c r="M55" s="762">
        <v>0.433</v>
      </c>
      <c r="N55" s="1196">
        <f t="shared" si="40"/>
        <v>0.433</v>
      </c>
      <c r="O55" s="645">
        <f t="shared" si="1"/>
        <v>0.433</v>
      </c>
      <c r="P55" s="727">
        <v>90</v>
      </c>
      <c r="Q55" s="1476">
        <v>93.86</v>
      </c>
      <c r="R55" s="706">
        <v>4019.25</v>
      </c>
      <c r="S55" s="765">
        <f>IF((_xlfn.XLOOKUP(D55,RUC!$B$3:$B$119,RUC!$E$3:$E$119)+ROUNDDOWN(O55,1)*100)&lt;95,95,((_xlfn.XLOOKUP(D55,RUC!$B$3:$B$119,RUC!$E$3:$E$119)+ROUNDDOWN(O55,1)*100)))</f>
        <v>125</v>
      </c>
      <c r="U55" s="1146">
        <f>_xlfn.XLOOKUP(D55,RUC!$B$3:$B$123,RUC!$F$3:$F$123)</f>
        <v>120</v>
      </c>
      <c r="V55" s="715">
        <v>1.1023000000000001</v>
      </c>
      <c r="Y55">
        <f>_xlfn.XLOOKUP(D55,RUC!$B$3:$B$123,RUC!$G$3:$G$123)</f>
        <v>20</v>
      </c>
      <c r="Z55" s="143">
        <f>_xlfn.XLOOKUP(D55,RUC!$B$3:$B$123,RUC!$H$3:$H$123)</f>
        <v>30</v>
      </c>
      <c r="AA55" s="144">
        <f t="shared" si="32"/>
        <v>50</v>
      </c>
      <c r="AB55" s="145">
        <f t="shared" si="33"/>
        <v>1482.0839342674999</v>
      </c>
      <c r="AC55" s="145">
        <f>+(S55-T55)*V55-'data 1'!$F$4</f>
        <v>57.787499999999994</v>
      </c>
      <c r="AD55" s="145">
        <f t="shared" si="3"/>
        <v>75.654198669239989</v>
      </c>
      <c r="AE55" s="145">
        <f t="shared" si="4"/>
        <v>-14.884999999999998</v>
      </c>
      <c r="AF55" s="145">
        <f t="shared" si="5"/>
        <v>92.787457392045084</v>
      </c>
      <c r="AG55" s="772">
        <f t="shared" si="39"/>
        <v>228.3441560612851</v>
      </c>
      <c r="AH55" s="1253">
        <f t="shared" si="6"/>
        <v>30.654</v>
      </c>
      <c r="AI55" s="1253">
        <f t="shared" si="7"/>
        <v>32.659999999999997</v>
      </c>
      <c r="AJ55" s="156">
        <f t="shared" si="8"/>
        <v>23.943147806759999</v>
      </c>
      <c r="AK55" s="156">
        <f t="shared" si="9"/>
        <v>27.91116184552456</v>
      </c>
      <c r="AL55" s="88"/>
      <c r="AM55" s="716">
        <f t="shared" si="10"/>
        <v>3096.0733386848074</v>
      </c>
      <c r="AN55" s="716" t="str">
        <f>_xlfn.XLOOKUP(D55,RUC!$B$3:$B$578,RUC!$M$3:$M$578)</f>
        <v>Renzo</v>
      </c>
      <c r="AO55" s="1167" t="s">
        <v>2280</v>
      </c>
      <c r="AP55" t="s">
        <v>3067</v>
      </c>
      <c r="AQ55" t="s">
        <v>3068</v>
      </c>
    </row>
    <row r="56" spans="1:43" ht="15" customHeight="1">
      <c r="A56" s="747" t="s">
        <v>3056</v>
      </c>
      <c r="B56" s="595">
        <v>45949</v>
      </c>
      <c r="C56" s="1447">
        <v>45939</v>
      </c>
      <c r="D56" t="s">
        <v>3062</v>
      </c>
      <c r="E56" s="762">
        <f>_xlfn.XLOOKUP(D56,RUC!$B$3:$B$123,RUC!$D$3:$D$123)</f>
        <v>20610807004</v>
      </c>
      <c r="G56" s="1082">
        <v>30</v>
      </c>
      <c r="H56" s="762" t="s">
        <v>108</v>
      </c>
      <c r="I56" s="703">
        <v>2.34</v>
      </c>
      <c r="J56" s="596">
        <v>3.9</v>
      </c>
      <c r="K56" s="703">
        <f t="shared" si="28"/>
        <v>2.2490000000000001</v>
      </c>
      <c r="L56" s="762">
        <v>0.13600000000000001</v>
      </c>
      <c r="M56" s="762">
        <v>0.121</v>
      </c>
      <c r="N56" s="1196">
        <f t="shared" si="40"/>
        <v>0.121</v>
      </c>
      <c r="O56" s="645">
        <f t="shared" si="1"/>
        <v>0.121</v>
      </c>
      <c r="P56" s="727">
        <v>78</v>
      </c>
      <c r="Q56" s="1476">
        <v>78.680000000000007</v>
      </c>
      <c r="R56" s="706">
        <v>4019.25</v>
      </c>
      <c r="S56" s="765">
        <f>IF((_xlfn.XLOOKUP(D56,RUC!$B$3:$B$119,RUC!$E$3:$E$119)+ROUNDDOWN(O56,1)*100)&lt;95,95,((_xlfn.XLOOKUP(D56,RUC!$B$3:$B$119,RUC!$E$3:$E$119)+ROUNDDOWN(O56,1)*100)))</f>
        <v>95</v>
      </c>
      <c r="U56" s="1146">
        <f>_xlfn.XLOOKUP(D56,RUC!$B$3:$B$123,RUC!$F$3:$F$123)</f>
        <v>120</v>
      </c>
      <c r="V56" s="715">
        <v>1.1023000000000001</v>
      </c>
      <c r="Y56">
        <f>_xlfn.XLOOKUP(D56,RUC!$B$3:$B$123,RUC!$G$3:$G$123)</f>
        <v>20</v>
      </c>
      <c r="Z56" s="143">
        <f>_xlfn.XLOOKUP(D56,RUC!$B$3:$B$123,RUC!$H$3:$H$123)</f>
        <v>30</v>
      </c>
      <c r="AA56" s="144">
        <f t="shared" si="32"/>
        <v>50</v>
      </c>
      <c r="AB56" s="145">
        <f t="shared" si="33"/>
        <v>245.82526229449994</v>
      </c>
      <c r="AC56" s="145">
        <f>+(S56-T56)*V56-'data 1'!$F$4</f>
        <v>24.718500000000006</v>
      </c>
      <c r="AD56" s="145">
        <f t="shared" si="3"/>
        <v>3.9749229007200402</v>
      </c>
      <c r="AE56" s="145">
        <f t="shared" si="4"/>
        <v>-14.884999999999998</v>
      </c>
      <c r="AF56" s="145">
        <f t="shared" si="5"/>
        <v>50.726686931550049</v>
      </c>
      <c r="AG56" s="772">
        <f t="shared" si="39"/>
        <v>81.535109832270109</v>
      </c>
      <c r="AH56" s="1253">
        <f t="shared" si="6"/>
        <v>8.2509999999999994</v>
      </c>
      <c r="AI56" s="1253">
        <f t="shared" si="7"/>
        <v>10.487</v>
      </c>
      <c r="AJ56" s="156">
        <f t="shared" si="8"/>
        <v>5.9860330952800016</v>
      </c>
      <c r="AK56" s="156">
        <f t="shared" si="9"/>
        <v>7.2774377244335913</v>
      </c>
      <c r="AL56" s="88"/>
      <c r="AM56" s="716">
        <f t="shared" si="10"/>
        <v>552.86101490033036</v>
      </c>
      <c r="AN56" s="716" t="str">
        <f>_xlfn.XLOOKUP(D56,RUC!$B$3:$B$578,RUC!$M$3:$M$578)</f>
        <v>Renzo</v>
      </c>
      <c r="AO56" s="1167" t="s">
        <v>2280</v>
      </c>
      <c r="AP56" t="s">
        <v>3067</v>
      </c>
      <c r="AQ56" t="s">
        <v>3068</v>
      </c>
    </row>
    <row r="57" spans="1:43" ht="15" customHeight="1">
      <c r="A57" s="747" t="s">
        <v>3057</v>
      </c>
      <c r="B57" s="595">
        <v>45950</v>
      </c>
      <c r="C57" s="1447">
        <v>45940</v>
      </c>
      <c r="D57" t="s">
        <v>93</v>
      </c>
      <c r="E57" s="762">
        <f>_xlfn.XLOOKUP(D57,RUC!$B$3:$B$123,RUC!$D$3:$D$123)</f>
        <v>20169040231</v>
      </c>
      <c r="G57" s="1082">
        <v>47</v>
      </c>
      <c r="H57" s="762" t="s">
        <v>69</v>
      </c>
      <c r="I57" s="703">
        <v>4.3099999999999996</v>
      </c>
      <c r="J57" s="596">
        <v>1.2</v>
      </c>
      <c r="K57" s="703">
        <f t="shared" si="28"/>
        <v>4.258</v>
      </c>
      <c r="L57" s="762">
        <v>0.159</v>
      </c>
      <c r="M57" s="762">
        <v>0.153</v>
      </c>
      <c r="N57" s="1196">
        <f t="shared" si="40"/>
        <v>0.153</v>
      </c>
      <c r="O57" s="645">
        <f t="shared" si="1"/>
        <v>0.153</v>
      </c>
      <c r="P57" s="727">
        <v>90</v>
      </c>
      <c r="Q57" s="1476">
        <v>98.81</v>
      </c>
      <c r="R57" s="706">
        <v>3974.5</v>
      </c>
      <c r="S57" s="765">
        <f>IF((_xlfn.XLOOKUP(D57,RUC!$B$3:$B$119,RUC!$E$3:$E$119)+ROUNDDOWN(O57,1)*100)&lt;95,95,((_xlfn.XLOOKUP(D57,RUC!$B$3:$B$119,RUC!$E$3:$E$119)+ROUNDDOWN(O57,1)*100)))</f>
        <v>95</v>
      </c>
      <c r="U57" s="1146">
        <f>_xlfn.XLOOKUP(D57,RUC!$B$3:$B$123,RUC!$F$3:$F$123)</f>
        <v>120</v>
      </c>
      <c r="V57" s="715">
        <v>1.1023000000000001</v>
      </c>
      <c r="Y57">
        <f>_xlfn.XLOOKUP(D57,RUC!$B$3:$B$123,RUC!$G$3:$G$123)</f>
        <v>20</v>
      </c>
      <c r="Z57" s="1454">
        <v>35</v>
      </c>
      <c r="AA57" s="144">
        <f t="shared" si="32"/>
        <v>55</v>
      </c>
      <c r="AB57" s="145">
        <f t="shared" si="33"/>
        <v>419.716873695</v>
      </c>
      <c r="AC57" s="145">
        <f>+(S57-T57)*V57-'data 1'!$F$4</f>
        <v>24.718500000000006</v>
      </c>
      <c r="AD57" s="145">
        <f t="shared" si="3"/>
        <v>59.516980541265021</v>
      </c>
      <c r="AE57" s="145">
        <f t="shared" si="4"/>
        <v>-9.3734999999999999</v>
      </c>
      <c r="AF57" s="145">
        <f t="shared" si="5"/>
        <v>25.189526684010026</v>
      </c>
      <c r="AG57" s="772">
        <f t="shared" si="39"/>
        <v>117.05150722527503</v>
      </c>
      <c r="AH57" s="1253">
        <f t="shared" si="6"/>
        <v>22.936</v>
      </c>
      <c r="AI57" s="1253">
        <f t="shared" si="7"/>
        <v>23.212</v>
      </c>
      <c r="AJ57" s="156">
        <f t="shared" si="8"/>
        <v>16.538693645235</v>
      </c>
      <c r="AK57" s="156">
        <f t="shared" si="9"/>
        <v>20.10243500503713</v>
      </c>
      <c r="AL57" s="88"/>
      <c r="AM57" s="716">
        <f t="shared" si="10"/>
        <v>1787.1544481933099</v>
      </c>
      <c r="AN57" s="716" t="str">
        <f>_xlfn.XLOOKUP(D57,RUC!$B$3:$B$578,RUC!$M$3:$M$578)</f>
        <v>Ronald Miranda</v>
      </c>
      <c r="AO57" s="1167" t="s">
        <v>2281</v>
      </c>
      <c r="AP57" t="s">
        <v>3069</v>
      </c>
      <c r="AQ57" t="s">
        <v>3070</v>
      </c>
    </row>
    <row r="58" spans="1:43" ht="15" customHeight="1">
      <c r="A58" s="747" t="s">
        <v>3058</v>
      </c>
      <c r="B58" s="595">
        <v>45948</v>
      </c>
      <c r="C58" s="1447">
        <v>45940</v>
      </c>
      <c r="D58" t="s">
        <v>2444</v>
      </c>
      <c r="E58" s="762">
        <f>_xlfn.XLOOKUP(D58,RUC!$B$3:$B$123,RUC!$D$3:$D$123)</f>
        <v>20608774000</v>
      </c>
      <c r="G58" s="1082">
        <v>21</v>
      </c>
      <c r="H58" s="762" t="s">
        <v>108</v>
      </c>
      <c r="I58" s="703">
        <v>1.51</v>
      </c>
      <c r="J58" s="718">
        <v>32.35</v>
      </c>
      <c r="K58" s="703">
        <f t="shared" si="28"/>
        <v>1.022</v>
      </c>
      <c r="L58" s="994">
        <v>0.93</v>
      </c>
      <c r="M58" s="762">
        <v>0.88400000000000001</v>
      </c>
      <c r="N58" s="1196">
        <f t="shared" si="40"/>
        <v>0.88400000000000001</v>
      </c>
      <c r="O58" s="645">
        <f t="shared" si="1"/>
        <v>0.88400000000000001</v>
      </c>
      <c r="P58" s="727">
        <v>98</v>
      </c>
      <c r="Q58" s="1476">
        <v>98.28</v>
      </c>
      <c r="R58" s="706">
        <v>3974.5</v>
      </c>
      <c r="S58" s="765">
        <f>IF((_xlfn.XLOOKUP(D58,RUC!$B$3:$B$119,RUC!$E$3:$E$119)+ROUNDDOWN(O58,1)*100)&lt;95,95,((_xlfn.XLOOKUP(D58,RUC!$B$3:$B$119,RUC!$E$3:$E$119)+ROUNDDOWN(O58,1)*100)))</f>
        <v>165</v>
      </c>
      <c r="T58" s="596">
        <v>44.6</v>
      </c>
      <c r="U58" s="1146">
        <f>_xlfn.XLOOKUP(D58,RUC!$B$3:$B$123,RUC!$F$3:$F$123)</f>
        <v>120</v>
      </c>
      <c r="V58" s="715">
        <v>1.1023000000000001</v>
      </c>
      <c r="Y58">
        <f>_xlfn.XLOOKUP(D58,RUC!$B$3:$B$123,RUC!$G$3:$G$123)</f>
        <v>20</v>
      </c>
      <c r="Z58" s="1454">
        <v>38</v>
      </c>
      <c r="AA58" s="144">
        <f t="shared" si="32"/>
        <v>58</v>
      </c>
      <c r="AB58" s="145">
        <f t="shared" si="33"/>
        <v>3484.183394012</v>
      </c>
      <c r="AC58" s="145">
        <f>+(S58-T58)*V58-'data 1'!$F$4</f>
        <v>52.716920000000016</v>
      </c>
      <c r="AD58" s="145">
        <f t="shared" si="3"/>
        <v>11.063915171400044</v>
      </c>
      <c r="AE58" s="145">
        <f t="shared" si="4"/>
        <v>-6.0666000000000011</v>
      </c>
      <c r="AF58" s="145">
        <f t="shared" si="5"/>
        <v>192.08384339508018</v>
      </c>
      <c r="AG58" s="772">
        <f t="shared" si="39"/>
        <v>266.79807856648023</v>
      </c>
      <c r="AH58" s="1253">
        <f t="shared" si="6"/>
        <v>32.026000000000003</v>
      </c>
      <c r="AI58" s="1253">
        <f t="shared" si="7"/>
        <v>32.587000000000003</v>
      </c>
      <c r="AJ58" s="156">
        <f t="shared" si="8"/>
        <v>96.216881178599991</v>
      </c>
      <c r="AK58" s="156">
        <f t="shared" si="9"/>
        <v>30.355563957736475</v>
      </c>
      <c r="AL58" s="88"/>
      <c r="AM58" s="716">
        <f t="shared" si="10"/>
        <v>3560.8354286802642</v>
      </c>
      <c r="AN58" s="716" t="str">
        <f>_xlfn.XLOOKUP(D58,RUC!$B$3:$B$578,RUC!$M$3:$M$578)</f>
        <v>Ronald Miranda</v>
      </c>
      <c r="AO58" s="1167" t="s">
        <v>2280</v>
      </c>
      <c r="AP58" t="s">
        <v>3071</v>
      </c>
      <c r="AQ58" t="s">
        <v>3072</v>
      </c>
    </row>
    <row r="59" spans="1:43" ht="15" customHeight="1">
      <c r="A59" s="747" t="s">
        <v>3059</v>
      </c>
      <c r="B59" s="595">
        <v>45948</v>
      </c>
      <c r="C59" s="1447">
        <v>45940</v>
      </c>
      <c r="D59" t="s">
        <v>2444</v>
      </c>
      <c r="E59" s="762">
        <f>_xlfn.XLOOKUP(D59,RUC!$B$3:$B$123,RUC!$D$3:$D$123)</f>
        <v>20608774000</v>
      </c>
      <c r="G59" s="1082">
        <v>40</v>
      </c>
      <c r="H59" s="762" t="s">
        <v>108</v>
      </c>
      <c r="I59" s="703">
        <v>2.97</v>
      </c>
      <c r="J59" s="718">
        <v>33.65</v>
      </c>
      <c r="K59" s="703">
        <f t="shared" si="28"/>
        <v>1.9710000000000001</v>
      </c>
      <c r="L59" s="762">
        <v>0.88200000000000001</v>
      </c>
      <c r="M59" s="762">
        <v>0.83799999999999997</v>
      </c>
      <c r="N59" s="1196">
        <f t="shared" si="40"/>
        <v>0.83799999999999997</v>
      </c>
      <c r="O59" s="645">
        <f t="shared" si="1"/>
        <v>0.83799999999999997</v>
      </c>
      <c r="P59" s="727">
        <v>72</v>
      </c>
      <c r="Q59" s="1476">
        <v>72</v>
      </c>
      <c r="R59" s="706">
        <v>3974.5</v>
      </c>
      <c r="S59" s="765">
        <f>IF((_xlfn.XLOOKUP(D59,RUC!$B$3:$B$119,RUC!$E$3:$E$119)+ROUNDDOWN(O59,1)*100)&lt;95,95,((_xlfn.XLOOKUP(D59,RUC!$B$3:$B$119,RUC!$E$3:$E$119)+ROUNDDOWN(O59,1)*100)))</f>
        <v>165</v>
      </c>
      <c r="T59" s="596">
        <v>44.6</v>
      </c>
      <c r="U59" s="1146">
        <f>_xlfn.XLOOKUP(D59,RUC!$B$3:$B$123,RUC!$F$3:$F$123)</f>
        <v>120</v>
      </c>
      <c r="V59" s="715">
        <v>1.1023000000000001</v>
      </c>
      <c r="Y59">
        <f>_xlfn.XLOOKUP(D59,RUC!$B$3:$B$123,RUC!$G$3:$G$123)</f>
        <v>20</v>
      </c>
      <c r="Z59" s="1454">
        <v>38</v>
      </c>
      <c r="AA59" s="144">
        <f t="shared" si="32"/>
        <v>58</v>
      </c>
      <c r="AB59" s="145">
        <f t="shared" si="33"/>
        <v>2366.9149095759999</v>
      </c>
      <c r="AC59" s="145">
        <f>+(S59-T59)*V59-'data 1'!$F$4</f>
        <v>52.716920000000016</v>
      </c>
      <c r="AD59" s="145">
        <f t="shared" si="3"/>
        <v>0</v>
      </c>
      <c r="AE59" s="145">
        <f t="shared" si="4"/>
        <v>-6.0666000000000011</v>
      </c>
      <c r="AF59" s="145">
        <f t="shared" si="5"/>
        <v>134.60247028800012</v>
      </c>
      <c r="AG59" s="772">
        <f t="shared" si="39"/>
        <v>198.25279028800014</v>
      </c>
      <c r="AH59" s="1253">
        <f t="shared" si="6"/>
        <v>42.914000000000001</v>
      </c>
      <c r="AI59" s="1253">
        <f t="shared" si="7"/>
        <v>59.601999999999997</v>
      </c>
      <c r="AJ59" s="156">
        <f t="shared" si="8"/>
        <v>66.850438535999999</v>
      </c>
      <c r="AK59" s="156">
        <f t="shared" si="9"/>
        <v>40.772956947414407</v>
      </c>
      <c r="AL59" s="88"/>
      <c r="AM59" s="716">
        <f t="shared" si="10"/>
        <v>4665.1892867742963</v>
      </c>
      <c r="AN59" s="716" t="str">
        <f>_xlfn.XLOOKUP(D59,RUC!$B$3:$B$578,RUC!$M$3:$M$578)</f>
        <v>Ronald Miranda</v>
      </c>
      <c r="AO59" s="1167" t="s">
        <v>2281</v>
      </c>
      <c r="AP59" t="s">
        <v>3071</v>
      </c>
      <c r="AQ59" t="s">
        <v>3072</v>
      </c>
    </row>
    <row r="60" spans="1:43" ht="15" customHeight="1">
      <c r="A60" s="747" t="s">
        <v>3060</v>
      </c>
      <c r="B60" s="595">
        <v>45948</v>
      </c>
      <c r="C60" s="1447">
        <v>45940</v>
      </c>
      <c r="D60" t="s">
        <v>2444</v>
      </c>
      <c r="E60" s="762">
        <f>_xlfn.XLOOKUP(D60,RUC!$B$3:$B$123,RUC!$D$3:$D$123)</f>
        <v>20608774000</v>
      </c>
      <c r="G60" s="1082">
        <v>40</v>
      </c>
      <c r="H60" s="762" t="s">
        <v>108</v>
      </c>
      <c r="I60" s="703">
        <v>2.83</v>
      </c>
      <c r="J60" s="718">
        <v>33.9</v>
      </c>
      <c r="K60" s="703">
        <f t="shared" si="28"/>
        <v>1.871</v>
      </c>
      <c r="L60" s="762">
        <v>0.84499999999999997</v>
      </c>
      <c r="M60" s="762">
        <v>0.80300000000000005</v>
      </c>
      <c r="N60" s="1196">
        <f t="shared" si="40"/>
        <v>0.80300000000000005</v>
      </c>
      <c r="O60" s="645">
        <f t="shared" si="1"/>
        <v>0.80300000000000005</v>
      </c>
      <c r="P60" s="727">
        <v>67</v>
      </c>
      <c r="Q60" s="1476">
        <v>67.930000000000007</v>
      </c>
      <c r="R60" s="706">
        <v>3974.5</v>
      </c>
      <c r="S60" s="765">
        <f>IF((_xlfn.XLOOKUP(D60,RUC!$B$3:$B$119,RUC!$E$3:$E$119)+ROUNDDOWN(O60,1)*100)&lt;95,95,((_xlfn.XLOOKUP(D60,RUC!$B$3:$B$119,RUC!$E$3:$E$119)+ROUNDDOWN(O60,1)*100)))</f>
        <v>165</v>
      </c>
      <c r="T60" s="596">
        <v>44.6</v>
      </c>
      <c r="U60" s="1146">
        <f>_xlfn.XLOOKUP(D60,RUC!$B$3:$B$123,RUC!$F$3:$F$123)</f>
        <v>120</v>
      </c>
      <c r="V60" s="715">
        <v>1.1023000000000001</v>
      </c>
      <c r="Y60">
        <f>_xlfn.XLOOKUP(D60,RUC!$B$3:$B$123,RUC!$G$3:$G$123)</f>
        <v>20</v>
      </c>
      <c r="Z60" s="1454">
        <v>38</v>
      </c>
      <c r="AA60" s="144">
        <f t="shared" si="32"/>
        <v>58</v>
      </c>
      <c r="AB60" s="145">
        <f t="shared" si="33"/>
        <v>2089.2548264535003</v>
      </c>
      <c r="AC60" s="145">
        <f>+(S60-T60)*V60-'data 1'!$F$4</f>
        <v>52.716920000000016</v>
      </c>
      <c r="AD60" s="145">
        <f t="shared" si="3"/>
        <v>33.389315427975248</v>
      </c>
      <c r="AE60" s="145">
        <f t="shared" si="4"/>
        <v>-6.0666000000000011</v>
      </c>
      <c r="AF60" s="145">
        <f t="shared" si="5"/>
        <v>121.22125122470982</v>
      </c>
      <c r="AG60" s="772">
        <f t="shared" si="39"/>
        <v>218.26088665268509</v>
      </c>
      <c r="AH60" s="1253">
        <f t="shared" si="6"/>
        <v>36.820999999999998</v>
      </c>
      <c r="AI60" s="1253">
        <f t="shared" si="7"/>
        <v>54.204999999999998</v>
      </c>
      <c r="AJ60" s="156">
        <f t="shared" si="8"/>
        <v>60.425673892025003</v>
      </c>
      <c r="AK60" s="156">
        <f t="shared" si="9"/>
        <v>34.51224451996432</v>
      </c>
      <c r="AL60" s="88"/>
      <c r="AM60" s="716">
        <f t="shared" si="10"/>
        <v>3908.9957802944991</v>
      </c>
      <c r="AN60" s="716" t="str">
        <f>_xlfn.XLOOKUP(D60,RUC!$B$3:$B$578,RUC!$M$3:$M$578)</f>
        <v>Ronald Miranda</v>
      </c>
      <c r="AO60" s="1167" t="s">
        <v>2279</v>
      </c>
      <c r="AP60" t="s">
        <v>3071</v>
      </c>
      <c r="AQ60" t="s">
        <v>3072</v>
      </c>
    </row>
    <row r="61" spans="1:43" ht="15" customHeight="1">
      <c r="A61" s="747" t="s">
        <v>3078</v>
      </c>
      <c r="B61" s="595">
        <v>45950</v>
      </c>
      <c r="C61" s="1447">
        <v>45941</v>
      </c>
      <c r="D61" t="s">
        <v>1484</v>
      </c>
      <c r="E61" s="762">
        <f>_xlfn.XLOOKUP(D61,RUC!$B$3:$B$123,RUC!$D$3:$D$123)</f>
        <v>10761932735</v>
      </c>
      <c r="G61" s="1082" t="s">
        <v>2985</v>
      </c>
      <c r="H61" s="762" t="s">
        <v>69</v>
      </c>
      <c r="I61" s="703">
        <v>10.81</v>
      </c>
      <c r="J61">
        <v>11.2</v>
      </c>
      <c r="K61" s="703">
        <f t="shared" si="28"/>
        <v>9.5990000000000002</v>
      </c>
      <c r="L61" s="762">
        <v>0.23300000000000001</v>
      </c>
      <c r="M61" s="762">
        <v>0.218</v>
      </c>
      <c r="N61" s="1196">
        <f t="shared" si="40"/>
        <v>0.218</v>
      </c>
      <c r="O61" s="645">
        <f t="shared" si="1"/>
        <v>0.218</v>
      </c>
      <c r="P61" s="727">
        <v>90</v>
      </c>
      <c r="Q61" s="1476">
        <v>97</v>
      </c>
      <c r="R61" s="706">
        <v>3974.5</v>
      </c>
      <c r="S61" s="765">
        <f>IF((_xlfn.XLOOKUP(D61,RUC!$B$3:$B$119,RUC!$E$3:$E$119)+ROUNDDOWN(O61,1)*100)&lt;95,95,((_xlfn.XLOOKUP(D61,RUC!$B$3:$B$119,RUC!$E$3:$E$119)+ROUNDDOWN(O61,1)*100)))</f>
        <v>110</v>
      </c>
      <c r="U61" s="1146">
        <f>_xlfn.XLOOKUP(D61,RUC!$B$3:$B$123,RUC!$F$3:$F$123)</f>
        <v>120</v>
      </c>
      <c r="V61" s="715">
        <v>1.1023000000000001</v>
      </c>
      <c r="Y61">
        <f>_xlfn.XLOOKUP(D61,RUC!$B$3:$B$123,RUC!$G$3:$G$123)</f>
        <v>20</v>
      </c>
      <c r="Z61" s="143">
        <f>_xlfn.XLOOKUP(D61,RUC!$B$3:$B$123,RUC!$H$3:$H$123)</f>
        <v>30</v>
      </c>
      <c r="AA61" s="144">
        <f t="shared" si="32"/>
        <v>50</v>
      </c>
      <c r="AB61" s="145">
        <f t="shared" si="33"/>
        <v>657.24957167000014</v>
      </c>
      <c r="AC61" s="145">
        <f>+(S61-T61)*V61-'data 1'!$F$4</f>
        <v>41.253</v>
      </c>
      <c r="AD61" s="145">
        <f t="shared" si="3"/>
        <v>69.29817835850001</v>
      </c>
      <c r="AE61" s="145">
        <f t="shared" si="4"/>
        <v>-14.884999999999998</v>
      </c>
      <c r="AF61" s="145">
        <f t="shared" si="5"/>
        <v>61.820263342500056</v>
      </c>
      <c r="AG61" s="772">
        <f t="shared" si="39"/>
        <v>174.48644170100007</v>
      </c>
      <c r="AH61" s="1253">
        <f t="shared" si="6"/>
        <v>74.381</v>
      </c>
      <c r="AI61" s="1253">
        <f t="shared" si="7"/>
        <v>76.682000000000002</v>
      </c>
      <c r="AJ61" s="156">
        <f t="shared" si="8"/>
        <v>23.791993596500003</v>
      </c>
      <c r="AK61" s="156">
        <f t="shared" si="9"/>
        <v>64.570487306800601</v>
      </c>
      <c r="AL61" s="88"/>
      <c r="AM61" s="716">
        <f t="shared" si="10"/>
        <v>6308.9386384603313</v>
      </c>
      <c r="AN61" s="716" t="str">
        <f>_xlfn.XLOOKUP(D61,RUC!$B$3:$B$578,RUC!$M$3:$M$578)</f>
        <v>Richard Sapacayo</v>
      </c>
      <c r="AO61" s="1167" t="s">
        <v>2280</v>
      </c>
      <c r="AP61" t="s">
        <v>3092</v>
      </c>
      <c r="AQ61" t="s">
        <v>3093</v>
      </c>
    </row>
    <row r="62" spans="1:43" ht="15" customHeight="1">
      <c r="A62" s="747" t="s">
        <v>3079</v>
      </c>
      <c r="B62" s="595">
        <v>45950</v>
      </c>
      <c r="C62" s="1447">
        <v>45941</v>
      </c>
      <c r="D62" t="s">
        <v>1484</v>
      </c>
      <c r="E62" s="762">
        <f>_xlfn.XLOOKUP(D62,RUC!$B$3:$B$123,RUC!$D$3:$D$123)</f>
        <v>10761932735</v>
      </c>
      <c r="G62" s="1082" t="s">
        <v>2985</v>
      </c>
      <c r="H62" s="762" t="s">
        <v>69</v>
      </c>
      <c r="I62" s="703">
        <v>16.940000000000001</v>
      </c>
      <c r="J62" s="596">
        <v>14.42</v>
      </c>
      <c r="K62" s="703">
        <f t="shared" si="28"/>
        <v>14.497</v>
      </c>
      <c r="L62" s="762">
        <v>0.16400000000000001</v>
      </c>
      <c r="M62" s="762">
        <v>0.14899999999999999</v>
      </c>
      <c r="N62" s="1444">
        <v>0.16300000000000001</v>
      </c>
      <c r="O62" s="645">
        <f t="shared" si="1"/>
        <v>0.156</v>
      </c>
      <c r="P62" s="727">
        <v>90</v>
      </c>
      <c r="Q62" s="1476">
        <v>97.56</v>
      </c>
      <c r="R62" s="706">
        <v>3974.5</v>
      </c>
      <c r="S62" s="765">
        <f>IF((_xlfn.XLOOKUP(D62,RUC!$B$3:$B$119,RUC!$E$3:$E$119)+ROUNDDOWN(O62,1)*100)&lt;95,95,((_xlfn.XLOOKUP(D62,RUC!$B$3:$B$119,RUC!$E$3:$E$119)+ROUNDDOWN(O62,1)*100)))</f>
        <v>100</v>
      </c>
      <c r="U62" s="1146">
        <f>_xlfn.XLOOKUP(D62,RUC!$B$3:$B$123,RUC!$F$3:$F$123)</f>
        <v>120</v>
      </c>
      <c r="V62" s="715">
        <v>1.1023000000000001</v>
      </c>
      <c r="Y62">
        <f>_xlfn.XLOOKUP(D62,RUC!$B$3:$B$123,RUC!$G$3:$G$123)</f>
        <v>20</v>
      </c>
      <c r="Z62" s="143">
        <f>_xlfn.XLOOKUP(D62,RUC!$B$3:$B$123,RUC!$H$3:$H$123)</f>
        <v>30</v>
      </c>
      <c r="AA62" s="144">
        <f t="shared" si="32"/>
        <v>50</v>
      </c>
      <c r="AB62" s="145">
        <f t="shared" si="33"/>
        <v>431.18867513999999</v>
      </c>
      <c r="AC62" s="145">
        <f>+(S62-T62)*V62-'data 1'!$F$4</f>
        <v>30.230000000000004</v>
      </c>
      <c r="AD62" s="145">
        <f t="shared" si="3"/>
        <v>52.678512235440024</v>
      </c>
      <c r="AE62" s="145">
        <f t="shared" si="4"/>
        <v>-14.884999999999998</v>
      </c>
      <c r="AF62" s="145">
        <f t="shared" si="5"/>
        <v>33.161154043680035</v>
      </c>
      <c r="AG62" s="772">
        <f t="shared" si="39"/>
        <v>118.18466627912005</v>
      </c>
      <c r="AH62" s="1253">
        <f t="shared" si="6"/>
        <v>79.525000000000006</v>
      </c>
      <c r="AI62" s="1253">
        <f t="shared" si="7"/>
        <v>81.513999999999996</v>
      </c>
      <c r="AJ62" s="156">
        <f t="shared" si="8"/>
        <v>16.842975568560004</v>
      </c>
      <c r="AK62" s="156">
        <f t="shared" si="9"/>
        <v>69.78375198674334</v>
      </c>
      <c r="AL62" s="88"/>
      <c r="AM62" s="716">
        <f t="shared" si="10"/>
        <v>6250.9422235045795</v>
      </c>
      <c r="AN62" s="716" t="str">
        <f>_xlfn.XLOOKUP(D62,RUC!$B$3:$B$578,RUC!$M$3:$M$578)</f>
        <v>Richard Sapacayo</v>
      </c>
      <c r="AO62" s="1167" t="s">
        <v>2280</v>
      </c>
      <c r="AP62" t="s">
        <v>3092</v>
      </c>
      <c r="AQ62" t="s">
        <v>3093</v>
      </c>
    </row>
    <row r="63" spans="1:43" ht="15" customHeight="1">
      <c r="A63" s="747" t="s">
        <v>3080</v>
      </c>
      <c r="B63" s="595">
        <v>45950</v>
      </c>
      <c r="C63" s="1447">
        <v>45942</v>
      </c>
      <c r="D63" t="s">
        <v>119</v>
      </c>
      <c r="E63" s="762">
        <f>_xlfn.XLOOKUP(D63,RUC!$B$3:$B$123,RUC!$D$3:$D$123)</f>
        <v>10082235774</v>
      </c>
      <c r="G63" s="1082">
        <v>80</v>
      </c>
      <c r="H63" s="762" t="s">
        <v>69</v>
      </c>
      <c r="I63" s="703">
        <v>7.75</v>
      </c>
      <c r="J63" s="596">
        <v>1.5</v>
      </c>
      <c r="K63" s="703">
        <f t="shared" si="28"/>
        <v>7.6340000000000003</v>
      </c>
      <c r="L63" s="762">
        <v>0.221</v>
      </c>
      <c r="M63" s="762">
        <v>0.20599999999999999</v>
      </c>
      <c r="N63" s="1196">
        <f t="shared" si="40"/>
        <v>0.20599999999999999</v>
      </c>
      <c r="O63" s="645">
        <f t="shared" ref="O63:O92" si="41">+ROUND((M63+N63)/2,3)</f>
        <v>0.20599999999999999</v>
      </c>
      <c r="P63" s="727">
        <v>85</v>
      </c>
      <c r="Q63" s="1476">
        <v>94.57</v>
      </c>
      <c r="R63" s="706">
        <v>4095.95</v>
      </c>
      <c r="S63" s="1164">
        <v>105</v>
      </c>
      <c r="U63" s="1146">
        <f>_xlfn.XLOOKUP(D63,RUC!$B$3:$B$123,RUC!$F$3:$F$123)</f>
        <v>80</v>
      </c>
      <c r="V63" s="715">
        <v>1.1023000000000001</v>
      </c>
      <c r="Y63">
        <f>_xlfn.XLOOKUP(D63,RUC!$B$3:$B$123,RUC!$G$3:$G$123)</f>
        <v>0</v>
      </c>
      <c r="Z63" s="143">
        <f>_xlfn.XLOOKUP(D63,RUC!$B$3:$B$123,RUC!$H$3:$H$123)</f>
        <v>10</v>
      </c>
      <c r="AA63" s="144">
        <f t="shared" si="32"/>
        <v>10</v>
      </c>
      <c r="AB63" s="145">
        <f t="shared" si="33"/>
        <v>648.36497304349996</v>
      </c>
      <c r="AC63" s="145">
        <f>+(S63-T63)*V63-'data 1'!$F$4</f>
        <v>35.741500000000002</v>
      </c>
      <c r="AD63" s="145">
        <f t="shared" ref="AD63:AD92" si="42">+(Q63-P63)*(R63-U63)*L63*V63/100</f>
        <v>93.625104603244438</v>
      </c>
      <c r="AE63" s="145">
        <f t="shared" ref="AE63:AE92" si="43">+(Y63*V63-70)+V63*(Z63-IF(D63="UNTUCA",IF(+((W63-3)*2.5+(X63-3)*3.1)&gt;0,+((W63-3)*1.5+(X63-3)*3.1),0),IF(+((W63-3)*1.5+(X63-3)*3.1)&gt;0,+((W63-3)*1.5+(X63-3)*3.1),0)))</f>
        <v>-58.977000000000004</v>
      </c>
      <c r="AF63" s="145">
        <f t="shared" ref="AF63:AF92" si="44">(L63-O63)*(R63-U63)*Q63*V63/100</f>
        <v>62.796111592567549</v>
      </c>
      <c r="AG63" s="772">
        <f>AC63+AD63+AE63+AF63+70</f>
        <v>203.18571619581198</v>
      </c>
      <c r="AH63" s="1253">
        <f t="shared" ref="AH63:AH92" si="45">ROUND((31.1035*L63*Q63*1.1023*K63/100),3)</f>
        <v>54.701999999999998</v>
      </c>
      <c r="AI63" s="1253">
        <f t="shared" ref="AI63:AI92" si="46">ROUND((31.1035*L63*1.1023*K63),3)</f>
        <v>57.843000000000004</v>
      </c>
      <c r="AJ63" s="156">
        <f t="shared" ref="AJ63:AJ92" si="47">+((+$AJ$2-R63+U63)*L63*Q63*V63)/100</f>
        <v>-15.193585355994459</v>
      </c>
      <c r="AK63" s="156">
        <f t="shared" ref="AK63:AK92" si="48">31.1035*1.1023*K63*P63*O63/100</f>
        <v>45.829737630634874</v>
      </c>
      <c r="AL63" s="88"/>
      <c r="AM63" s="716">
        <f t="shared" ref="AM63:AM92" si="49">+IF(AB63*K63&gt;0,AB63*K63,0)</f>
        <v>4949.618204214079</v>
      </c>
      <c r="AN63" s="716" t="str">
        <f>_xlfn.XLOOKUP(D63,RUC!$B$3:$B$578,RUC!$M$3:$M$578)</f>
        <v>Melchor Vera</v>
      </c>
      <c r="AO63" s="1167" t="s">
        <v>2278</v>
      </c>
      <c r="AP63" t="s">
        <v>3094</v>
      </c>
      <c r="AQ63" t="s">
        <v>3095</v>
      </c>
    </row>
    <row r="64" spans="1:43" ht="15" customHeight="1">
      <c r="A64" s="747" t="s">
        <v>3081</v>
      </c>
      <c r="B64" s="595">
        <v>45950</v>
      </c>
      <c r="C64" s="1447">
        <v>45942</v>
      </c>
      <c r="D64" t="s">
        <v>119</v>
      </c>
      <c r="E64" s="762">
        <f>_xlfn.XLOOKUP(D64,RUC!$B$3:$B$123,RUC!$D$3:$D$123)</f>
        <v>10082235774</v>
      </c>
      <c r="G64" s="1082">
        <v>70</v>
      </c>
      <c r="H64" s="762" t="s">
        <v>69</v>
      </c>
      <c r="I64" s="703">
        <v>6.93</v>
      </c>
      <c r="J64" s="596">
        <v>1.25</v>
      </c>
      <c r="K64" s="703">
        <f t="shared" si="28"/>
        <v>6.843</v>
      </c>
      <c r="L64" s="762">
        <v>0.193</v>
      </c>
      <c r="M64" s="762">
        <v>0.182</v>
      </c>
      <c r="N64" s="1444">
        <v>0.20899999999999999</v>
      </c>
      <c r="O64" s="645">
        <f t="shared" si="41"/>
        <v>0.19600000000000001</v>
      </c>
      <c r="P64" s="727">
        <v>85</v>
      </c>
      <c r="Q64" s="1476">
        <v>90.86</v>
      </c>
      <c r="R64" s="706">
        <v>4095.95</v>
      </c>
      <c r="S64" s="1164">
        <v>95</v>
      </c>
      <c r="U64" s="1146">
        <f>_xlfn.XLOOKUP(D64,RUC!$B$3:$B$123,RUC!$F$3:$F$123)</f>
        <v>80</v>
      </c>
      <c r="V64" s="715">
        <v>1.1023000000000001</v>
      </c>
      <c r="Y64">
        <f>_xlfn.XLOOKUP(D64,RUC!$B$3:$B$123,RUC!$G$3:$G$123)</f>
        <v>0</v>
      </c>
      <c r="Z64" s="143">
        <f>_xlfn.XLOOKUP(D64,RUC!$B$3:$B$123,RUC!$H$3:$H$123)</f>
        <v>10</v>
      </c>
      <c r="AA64" s="144">
        <f t="shared" si="32"/>
        <v>10</v>
      </c>
      <c r="AB64" s="145">
        <f t="shared" si="33"/>
        <v>621.76032872100006</v>
      </c>
      <c r="AC64" s="145">
        <f>+(S64-T64)*V64-'data 1'!$F$4</f>
        <v>24.718500000000006</v>
      </c>
      <c r="AD64" s="145">
        <f t="shared" si="42"/>
        <v>50.066015501012998</v>
      </c>
      <c r="AE64" s="145">
        <f t="shared" si="43"/>
        <v>-58.977000000000004</v>
      </c>
      <c r="AF64" s="145">
        <f t="shared" si="44"/>
        <v>-12.06652151697301</v>
      </c>
      <c r="AG64" s="772">
        <f t="shared" ref="AG64:AG68" si="50">AC64+AD64+AE64+AF64+70</f>
        <v>73.740993984039989</v>
      </c>
      <c r="AH64" s="1253">
        <f t="shared" si="45"/>
        <v>41.142000000000003</v>
      </c>
      <c r="AI64" s="1253">
        <f t="shared" si="46"/>
        <v>45.280999999999999</v>
      </c>
      <c r="AJ64" s="156">
        <f t="shared" si="47"/>
        <v>-12.748076142262967</v>
      </c>
      <c r="AK64" s="156">
        <f t="shared" si="48"/>
        <v>39.086844076996591</v>
      </c>
      <c r="AL64" s="88"/>
      <c r="AM64" s="716">
        <f t="shared" si="49"/>
        <v>4254.7059294378032</v>
      </c>
      <c r="AN64" s="716" t="str">
        <f>_xlfn.XLOOKUP(D64,RUC!$B$3:$B$578,RUC!$M$3:$M$578)</f>
        <v>Melchor Vera</v>
      </c>
      <c r="AO64" s="1167" t="s">
        <v>2278</v>
      </c>
      <c r="AP64" t="s">
        <v>3094</v>
      </c>
      <c r="AQ64" t="s">
        <v>3095</v>
      </c>
    </row>
    <row r="65" spans="1:43" ht="15" customHeight="1">
      <c r="A65" s="747" t="s">
        <v>3082</v>
      </c>
      <c r="B65" s="595">
        <v>45950</v>
      </c>
      <c r="C65" s="1447">
        <v>45942</v>
      </c>
      <c r="D65" t="s">
        <v>119</v>
      </c>
      <c r="E65" s="762">
        <f>_xlfn.XLOOKUP(D65,RUC!$B$3:$B$123,RUC!$D$3:$D$123)</f>
        <v>10082235774</v>
      </c>
      <c r="G65" s="1082">
        <v>74</v>
      </c>
      <c r="H65" s="762" t="s">
        <v>69</v>
      </c>
      <c r="I65" s="703">
        <v>7.19</v>
      </c>
      <c r="J65" s="596">
        <v>1</v>
      </c>
      <c r="K65" s="703">
        <f t="shared" si="28"/>
        <v>7.1180000000000003</v>
      </c>
      <c r="L65" s="762">
        <v>0.191</v>
      </c>
      <c r="M65" s="762">
        <v>0.17599999999999999</v>
      </c>
      <c r="N65" s="1196">
        <f t="shared" si="40"/>
        <v>0.17599999999999999</v>
      </c>
      <c r="O65" s="645">
        <f t="shared" si="41"/>
        <v>0.17599999999999999</v>
      </c>
      <c r="P65" s="727">
        <v>85</v>
      </c>
      <c r="Q65" s="1476">
        <v>90.58</v>
      </c>
      <c r="R65" s="706">
        <v>4095.95</v>
      </c>
      <c r="S65" s="1164">
        <v>95</v>
      </c>
      <c r="U65" s="1146">
        <f>_xlfn.XLOOKUP(D65,RUC!$B$3:$B$123,RUC!$F$3:$F$123)</f>
        <v>80</v>
      </c>
      <c r="V65" s="715">
        <v>1.1023000000000001</v>
      </c>
      <c r="Y65">
        <f>_xlfn.XLOOKUP(D65,RUC!$B$3:$B$123,RUC!$G$3:$G$123)</f>
        <v>0</v>
      </c>
      <c r="Z65" s="143">
        <f>_xlfn.XLOOKUP(D65,RUC!$B$3:$B$123,RUC!$H$3:$H$123)</f>
        <v>10</v>
      </c>
      <c r="AA65" s="144">
        <f t="shared" si="32"/>
        <v>10</v>
      </c>
      <c r="AB65" s="145">
        <f t="shared" si="33"/>
        <v>546.505040076</v>
      </c>
      <c r="AC65" s="145">
        <f>+(S65-T65)*V65-'data 1'!$F$4</f>
        <v>24.718500000000006</v>
      </c>
      <c r="AD65" s="145">
        <f t="shared" si="42"/>
        <v>47.179753842392991</v>
      </c>
      <c r="AE65" s="145">
        <f t="shared" si="43"/>
        <v>-58.977000000000004</v>
      </c>
      <c r="AF65" s="145">
        <f t="shared" si="44"/>
        <v>60.146682754095053</v>
      </c>
      <c r="AG65" s="772">
        <f t="shared" si="50"/>
        <v>143.06793659648804</v>
      </c>
      <c r="AH65" s="1253">
        <f t="shared" si="45"/>
        <v>42.220999999999997</v>
      </c>
      <c r="AI65" s="1253">
        <f t="shared" si="46"/>
        <v>46.612000000000002</v>
      </c>
      <c r="AJ65" s="156">
        <f t="shared" si="47"/>
        <v>-12.577093539142966</v>
      </c>
      <c r="AK65" s="156">
        <f t="shared" si="48"/>
        <v>36.508891464129043</v>
      </c>
      <c r="AL65" s="88"/>
      <c r="AM65" s="716">
        <f t="shared" si="49"/>
        <v>3890.0228752609682</v>
      </c>
      <c r="AN65" s="716" t="str">
        <f>_xlfn.XLOOKUP(D65,RUC!$B$3:$B$578,RUC!$M$3:$M$578)</f>
        <v>Melchor Vera</v>
      </c>
      <c r="AO65" s="1167" t="s">
        <v>2278</v>
      </c>
      <c r="AP65" t="s">
        <v>3094</v>
      </c>
      <c r="AQ65" t="s">
        <v>3095</v>
      </c>
    </row>
    <row r="66" spans="1:43" ht="15" customHeight="1">
      <c r="A66" s="747" t="s">
        <v>3083</v>
      </c>
      <c r="B66" s="595">
        <v>45950</v>
      </c>
      <c r="C66" s="1447">
        <v>45942</v>
      </c>
      <c r="D66" t="s">
        <v>119</v>
      </c>
      <c r="E66" s="762">
        <f>_xlfn.XLOOKUP(D66,RUC!$B$3:$B$123,RUC!$D$3:$D$123)</f>
        <v>10082235774</v>
      </c>
      <c r="G66" s="1082">
        <v>76</v>
      </c>
      <c r="H66" s="762" t="s">
        <v>69</v>
      </c>
      <c r="I66" s="703">
        <v>6.51</v>
      </c>
      <c r="J66" s="596">
        <v>1.1499999999999999</v>
      </c>
      <c r="K66" s="703">
        <f t="shared" si="28"/>
        <v>6.4349999999999996</v>
      </c>
      <c r="L66" s="762">
        <v>0.13700000000000001</v>
      </c>
      <c r="M66" s="762">
        <v>0.122</v>
      </c>
      <c r="N66" s="1196">
        <f t="shared" si="40"/>
        <v>0.122</v>
      </c>
      <c r="O66" s="645">
        <f t="shared" si="41"/>
        <v>0.122</v>
      </c>
      <c r="P66" s="727">
        <v>85</v>
      </c>
      <c r="Q66" s="1476">
        <v>97.81</v>
      </c>
      <c r="R66" s="706">
        <v>4095.95</v>
      </c>
      <c r="S66" s="1164">
        <v>95</v>
      </c>
      <c r="U66" s="1146">
        <f>_xlfn.XLOOKUP(D66,RUC!$B$3:$B$123,RUC!$F$3:$F$123)</f>
        <v>80</v>
      </c>
      <c r="V66" s="715">
        <v>1.1023000000000001</v>
      </c>
      <c r="Y66">
        <f>_xlfn.XLOOKUP(D66,RUC!$B$3:$B$123,RUC!$G$3:$G$123)</f>
        <v>0</v>
      </c>
      <c r="Z66" s="143">
        <f>_xlfn.XLOOKUP(D66,RUC!$B$3:$B$123,RUC!$H$3:$H$123)</f>
        <v>10</v>
      </c>
      <c r="AA66" s="144">
        <f t="shared" si="32"/>
        <v>10</v>
      </c>
      <c r="AB66" s="145">
        <f t="shared" si="33"/>
        <v>343.31576073449992</v>
      </c>
      <c r="AC66" s="145">
        <f>+(S66-T66)*V66-'data 1'!$F$4</f>
        <v>24.718500000000006</v>
      </c>
      <c r="AD66" s="145">
        <f t="shared" si="42"/>
        <v>77.688690537244526</v>
      </c>
      <c r="AE66" s="145">
        <f t="shared" si="43"/>
        <v>-58.977000000000004</v>
      </c>
      <c r="AF66" s="145">
        <f t="shared" si="44"/>
        <v>64.947527491477558</v>
      </c>
      <c r="AG66" s="772">
        <f t="shared" si="50"/>
        <v>178.37771802872209</v>
      </c>
      <c r="AH66" s="1253">
        <f t="shared" si="45"/>
        <v>29.564</v>
      </c>
      <c r="AI66" s="1253">
        <f t="shared" si="46"/>
        <v>30.225999999999999</v>
      </c>
      <c r="AJ66" s="156">
        <f t="shared" si="47"/>
        <v>-9.7413339809944741</v>
      </c>
      <c r="AK66" s="156">
        <f t="shared" si="48"/>
        <v>22.878965156951473</v>
      </c>
      <c r="AL66" s="88"/>
      <c r="AM66" s="716">
        <f t="shared" si="49"/>
        <v>2209.2369203265071</v>
      </c>
      <c r="AN66" s="716" t="str">
        <f>_xlfn.XLOOKUP(D66,RUC!$B$3:$B$578,RUC!$M$3:$M$578)</f>
        <v>Melchor Vera</v>
      </c>
      <c r="AO66" s="1167" t="s">
        <v>2278</v>
      </c>
      <c r="AP66" t="s">
        <v>3094</v>
      </c>
      <c r="AQ66" t="s">
        <v>3095</v>
      </c>
    </row>
    <row r="67" spans="1:43" ht="15" customHeight="1">
      <c r="A67" s="747" t="s">
        <v>3084</v>
      </c>
      <c r="B67" s="595">
        <v>45950</v>
      </c>
      <c r="C67" s="1447">
        <v>45942</v>
      </c>
      <c r="D67" t="s">
        <v>119</v>
      </c>
      <c r="E67" s="762">
        <f>_xlfn.XLOOKUP(D67,RUC!$B$3:$B$123,RUC!$D$3:$D$123)</f>
        <v>10082235774</v>
      </c>
      <c r="G67" s="1082">
        <v>71</v>
      </c>
      <c r="H67" s="762" t="s">
        <v>69</v>
      </c>
      <c r="I67" s="703">
        <v>6.06</v>
      </c>
      <c r="J67" s="596">
        <v>1.45</v>
      </c>
      <c r="K67" s="703">
        <f t="shared" si="28"/>
        <v>5.9720000000000004</v>
      </c>
      <c r="L67" s="762">
        <v>0.14299999999999999</v>
      </c>
      <c r="M67" s="762">
        <v>0.13100000000000001</v>
      </c>
      <c r="N67" s="1444">
        <v>0.23</v>
      </c>
      <c r="O67" s="645">
        <f t="shared" si="41"/>
        <v>0.18099999999999999</v>
      </c>
      <c r="P67" s="727">
        <v>85</v>
      </c>
      <c r="Q67" s="1476">
        <v>97.95</v>
      </c>
      <c r="R67" s="706">
        <v>4095.95</v>
      </c>
      <c r="S67" s="1164">
        <v>95</v>
      </c>
      <c r="U67" s="1146">
        <f>_xlfn.XLOOKUP(D67,RUC!$B$3:$B$123,RUC!$F$3:$F$123)</f>
        <v>80</v>
      </c>
      <c r="V67" s="715">
        <v>1.1023000000000001</v>
      </c>
      <c r="Y67">
        <f>_xlfn.XLOOKUP(D67,RUC!$B$3:$B$123,RUC!$G$3:$G$123)</f>
        <v>0</v>
      </c>
      <c r="Z67" s="143">
        <f>_xlfn.XLOOKUP(D67,RUC!$B$3:$B$123,RUC!$H$3:$H$123)</f>
        <v>10</v>
      </c>
      <c r="AA67" s="144">
        <f t="shared" si="32"/>
        <v>10</v>
      </c>
      <c r="AB67" s="145">
        <f t="shared" si="33"/>
        <v>565.31886223725007</v>
      </c>
      <c r="AC67" s="145">
        <f>+(S67-T67)*V67-'data 1'!$F$4</f>
        <v>24.718500000000006</v>
      </c>
      <c r="AD67" s="145">
        <f t="shared" si="42"/>
        <v>81.977356633672514</v>
      </c>
      <c r="AE67" s="145">
        <f t="shared" si="43"/>
        <v>-58.977000000000004</v>
      </c>
      <c r="AF67" s="145">
        <f t="shared" si="44"/>
        <v>-164.76924109738505</v>
      </c>
      <c r="AG67" s="772">
        <f t="shared" si="50"/>
        <v>-47.050384463712533</v>
      </c>
      <c r="AH67" s="1253">
        <f t="shared" si="45"/>
        <v>28.678999999999998</v>
      </c>
      <c r="AI67" s="1253">
        <f t="shared" si="46"/>
        <v>29.28</v>
      </c>
      <c r="AJ67" s="156">
        <f t="shared" si="47"/>
        <v>-10.182515622922471</v>
      </c>
      <c r="AK67" s="156">
        <f t="shared" si="48"/>
        <v>31.501147114313216</v>
      </c>
      <c r="AL67" s="88"/>
      <c r="AM67" s="716">
        <f t="shared" si="49"/>
        <v>3376.0842452808579</v>
      </c>
      <c r="AN67" s="716" t="str">
        <f>_xlfn.XLOOKUP(D67,RUC!$B$3:$B$578,RUC!$M$3:$M$578)</f>
        <v>Melchor Vera</v>
      </c>
      <c r="AO67" s="1167" t="s">
        <v>2278</v>
      </c>
      <c r="AP67" t="s">
        <v>3094</v>
      </c>
      <c r="AQ67" t="s">
        <v>3095</v>
      </c>
    </row>
    <row r="68" spans="1:43" ht="15" customHeight="1">
      <c r="A68" s="747" t="s">
        <v>3085</v>
      </c>
      <c r="B68" s="595">
        <v>45950</v>
      </c>
      <c r="C68" s="1447">
        <v>45942</v>
      </c>
      <c r="D68" t="s">
        <v>119</v>
      </c>
      <c r="E68" s="762">
        <f>_xlfn.XLOOKUP(D68,RUC!$B$3:$B$123,RUC!$D$3:$D$123)</f>
        <v>10082235774</v>
      </c>
      <c r="G68" s="1082">
        <v>30</v>
      </c>
      <c r="H68" s="762" t="s">
        <v>69</v>
      </c>
      <c r="I68" s="703">
        <v>2.64</v>
      </c>
      <c r="J68" s="596">
        <v>1</v>
      </c>
      <c r="K68" s="703">
        <f t="shared" si="28"/>
        <v>2.6139999999999999</v>
      </c>
      <c r="L68" s="762">
        <v>0.14299999999999999</v>
      </c>
      <c r="M68" s="762">
        <v>0.128</v>
      </c>
      <c r="N68" s="1196">
        <f t="shared" si="40"/>
        <v>0.128</v>
      </c>
      <c r="O68" s="645">
        <f t="shared" si="41"/>
        <v>0.128</v>
      </c>
      <c r="P68" s="727">
        <v>85</v>
      </c>
      <c r="Q68" s="1476">
        <v>95.8</v>
      </c>
      <c r="R68" s="706">
        <v>4095.95</v>
      </c>
      <c r="S68" s="1164">
        <v>95</v>
      </c>
      <c r="U68" s="1146">
        <f>_xlfn.XLOOKUP(D68,RUC!$B$3:$B$123,RUC!$F$3:$F$123)</f>
        <v>80</v>
      </c>
      <c r="V68" s="715">
        <v>1.1023000000000001</v>
      </c>
      <c r="Y68">
        <f>_xlfn.XLOOKUP(D68,RUC!$B$3:$B$123,RUC!$G$3:$G$123)</f>
        <v>0</v>
      </c>
      <c r="Z68" s="143">
        <f>_xlfn.XLOOKUP(D68,RUC!$B$3:$B$123,RUC!$H$3:$H$123)</f>
        <v>10</v>
      </c>
      <c r="AA68" s="144">
        <f t="shared" si="32"/>
        <v>10</v>
      </c>
      <c r="AB68" s="145">
        <f t="shared" si="33"/>
        <v>365.89234732800003</v>
      </c>
      <c r="AC68" s="145">
        <f>+(S68-T68)*V68-'data 1'!$F$4</f>
        <v>24.718500000000006</v>
      </c>
      <c r="AD68" s="145">
        <f t="shared" si="42"/>
        <v>68.367216343139972</v>
      </c>
      <c r="AE68" s="145">
        <f t="shared" si="43"/>
        <v>-58.977000000000004</v>
      </c>
      <c r="AF68" s="145">
        <f t="shared" si="44"/>
        <v>63.612852813449948</v>
      </c>
      <c r="AG68" s="772">
        <f t="shared" si="50"/>
        <v>167.72156915658991</v>
      </c>
      <c r="AH68" s="1253">
        <f t="shared" si="45"/>
        <v>12.278</v>
      </c>
      <c r="AI68" s="1253">
        <f t="shared" si="46"/>
        <v>12.816000000000001</v>
      </c>
      <c r="AJ68" s="156">
        <f t="shared" si="47"/>
        <v>-9.9590096648899706</v>
      </c>
      <c r="AK68" s="156">
        <f t="shared" si="48"/>
        <v>9.750874074661759</v>
      </c>
      <c r="AL68" s="88"/>
      <c r="AM68" s="716">
        <f t="shared" si="49"/>
        <v>956.44259591539208</v>
      </c>
      <c r="AN68" s="716" t="str">
        <f>_xlfn.XLOOKUP(D68,RUC!$B$3:$B$578,RUC!$M$3:$M$578)</f>
        <v>Melchor Vera</v>
      </c>
      <c r="AO68" s="1167" t="s">
        <v>2278</v>
      </c>
      <c r="AP68" t="s">
        <v>3094</v>
      </c>
      <c r="AQ68" t="s">
        <v>3095</v>
      </c>
    </row>
    <row r="69" spans="1:43" ht="15" customHeight="1">
      <c r="A69" s="747" t="s">
        <v>3089</v>
      </c>
      <c r="B69" s="595">
        <v>45950</v>
      </c>
      <c r="C69" s="1447">
        <v>45944</v>
      </c>
      <c r="D69" t="s">
        <v>1484</v>
      </c>
      <c r="E69" s="762">
        <f>_xlfn.XLOOKUP(D69,RUC!$B$3:$B$123,RUC!$D$3:$D$123)</f>
        <v>10761932735</v>
      </c>
      <c r="G69" s="1082">
        <v>91</v>
      </c>
      <c r="H69" s="762" t="s">
        <v>69</v>
      </c>
      <c r="I69" s="703">
        <v>8.7899999999999991</v>
      </c>
      <c r="J69" s="596">
        <v>7.3</v>
      </c>
      <c r="K69" s="703">
        <f t="shared" si="28"/>
        <v>8.1479999999999997</v>
      </c>
      <c r="L69" s="762">
        <v>0.39100000000000001</v>
      </c>
      <c r="M69" s="994">
        <v>0.371</v>
      </c>
      <c r="N69" s="1444">
        <v>0.40100000000000002</v>
      </c>
      <c r="O69" s="645">
        <f t="shared" si="41"/>
        <v>0.38600000000000001</v>
      </c>
      <c r="P69" s="727">
        <v>90</v>
      </c>
      <c r="Q69" s="1476">
        <v>98.98</v>
      </c>
      <c r="R69" s="706">
        <v>4126.3</v>
      </c>
      <c r="S69" s="765">
        <f>IF((_xlfn.XLOOKUP(D69,RUC!$B$3:$B$119,RUC!$E$3:$E$119)+ROUNDDOWN(O69,1)*100)&lt;95,95,((_xlfn.XLOOKUP(D69,RUC!$B$3:$B$119,RUC!$E$3:$E$119)+ROUNDDOWN(O69,1)*100)))</f>
        <v>120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3">
        <f>_xlfn.XLOOKUP(D69,RUC!$B$3:$B$123,RUC!$H$3:$H$123)</f>
        <v>30</v>
      </c>
      <c r="AA69" s="144">
        <f t="shared" si="32"/>
        <v>50</v>
      </c>
      <c r="AB69" s="145">
        <f t="shared" si="33"/>
        <v>1346.7775958260004</v>
      </c>
      <c r="AC69" s="145">
        <f>+(S69-T69)*V69-'data 1'!$F$4</f>
        <v>52.27600000000001</v>
      </c>
      <c r="AD69" s="145">
        <f t="shared" si="42"/>
        <v>155.05878210398208</v>
      </c>
      <c r="AE69" s="145">
        <f t="shared" si="43"/>
        <v>-14.884999999999998</v>
      </c>
      <c r="AF69" s="145">
        <f t="shared" si="44"/>
        <v>21.855499081010024</v>
      </c>
      <c r="AG69" s="772">
        <f t="shared" si="39"/>
        <v>231.30528118499211</v>
      </c>
      <c r="AH69" s="1253">
        <f t="shared" si="45"/>
        <v>108.11499999999999</v>
      </c>
      <c r="AI69" s="1253">
        <f t="shared" si="46"/>
        <v>109.229</v>
      </c>
      <c r="AJ69" s="156">
        <f t="shared" si="47"/>
        <v>-24.017754931982083</v>
      </c>
      <c r="AK69" s="156">
        <f t="shared" si="48"/>
        <v>97.048740552228352</v>
      </c>
      <c r="AL69" s="88"/>
      <c r="AM69" s="716">
        <f t="shared" si="49"/>
        <v>10973.543850790251</v>
      </c>
      <c r="AN69" s="716" t="str">
        <f>_xlfn.XLOOKUP(D69,RUC!$B$3:$B$578,RUC!$M$3:$M$578)</f>
        <v>Richard Sapacayo</v>
      </c>
      <c r="AO69" s="1167" t="s">
        <v>2279</v>
      </c>
      <c r="AP69" t="s">
        <v>3121</v>
      </c>
      <c r="AQ69" t="s">
        <v>3122</v>
      </c>
    </row>
    <row r="70" spans="1:43" ht="15" customHeight="1">
      <c r="A70" s="747" t="s">
        <v>3098</v>
      </c>
      <c r="B70" s="595">
        <v>45951</v>
      </c>
      <c r="C70" s="1447">
        <v>45946</v>
      </c>
      <c r="D70" t="s">
        <v>2004</v>
      </c>
      <c r="E70" s="762">
        <f>_xlfn.XLOOKUP(D70,RUC!$B$3:$B$123,RUC!$D$3:$D$123)</f>
        <v>20612921866</v>
      </c>
      <c r="G70" s="1082">
        <v>50</v>
      </c>
      <c r="H70" s="762" t="s">
        <v>69</v>
      </c>
      <c r="I70" s="703">
        <v>5.92</v>
      </c>
      <c r="J70" s="596">
        <v>2</v>
      </c>
      <c r="K70" s="703">
        <f t="shared" si="28"/>
        <v>5.8019999999999996</v>
      </c>
      <c r="L70" s="762">
        <v>0.45800000000000002</v>
      </c>
      <c r="M70" s="994">
        <v>0.435</v>
      </c>
      <c r="N70" s="1196">
        <f t="shared" si="40"/>
        <v>0.435</v>
      </c>
      <c r="O70" s="645">
        <f t="shared" si="41"/>
        <v>0.435</v>
      </c>
      <c r="P70" s="727">
        <v>90</v>
      </c>
      <c r="Q70" s="1476">
        <v>96.72</v>
      </c>
      <c r="R70" s="706">
        <v>4261.95</v>
      </c>
      <c r="S70" s="765">
        <f>IF((_xlfn.XLOOKUP(D70,RUC!$B$3:$B$119,RUC!$E$3:$E$119)+ROUNDDOWN(O70,1)*100)&lt;95,95,((_xlfn.XLOOKUP(D70,RUC!$B$3:$B$119,RUC!$E$3:$E$119)+ROUNDDOWN(O70,1)*100)))</f>
        <v>120</v>
      </c>
      <c r="U70" s="1146">
        <f>_xlfn.XLOOKUP(D70,RUC!$B$3:$B$123,RUC!$F$3:$F$123)</f>
        <v>100</v>
      </c>
      <c r="V70" s="715">
        <v>1.1023000000000001</v>
      </c>
      <c r="Y70">
        <f>_xlfn.XLOOKUP(D70,RUC!$B$3:$B$123,RUC!$G$3:$G$123)</f>
        <v>0</v>
      </c>
      <c r="Z70" s="143">
        <f>_xlfn.XLOOKUP(D70,RUC!$B$3:$B$123,RUC!$H$3:$H$123)</f>
        <v>30</v>
      </c>
      <c r="AA70" s="144">
        <f t="shared" si="32"/>
        <v>30</v>
      </c>
      <c r="AB70" s="145">
        <f t="shared" si="33"/>
        <v>1630.7463953775</v>
      </c>
      <c r="AC70" s="145">
        <f>+(S70-T70)*V70-'data 1'!$F$4</f>
        <v>52.27600000000001</v>
      </c>
      <c r="AD70" s="145">
        <f t="shared" si="42"/>
        <v>141.19893366633599</v>
      </c>
      <c r="AE70" s="145">
        <f t="shared" si="43"/>
        <v>-36.930999999999997</v>
      </c>
      <c r="AF70" s="145">
        <f t="shared" si="44"/>
        <v>102.05652808431608</v>
      </c>
      <c r="AG70" s="772">
        <f>AC70+AD70+AE70+AF70+70-10</f>
        <v>318.60046175065207</v>
      </c>
      <c r="AH70" s="1253">
        <f t="shared" si="45"/>
        <v>88.119</v>
      </c>
      <c r="AI70" s="1253">
        <f t="shared" si="46"/>
        <v>91.106999999999999</v>
      </c>
      <c r="AJ70" s="156">
        <f t="shared" si="47"/>
        <v>-103.49395748733592</v>
      </c>
      <c r="AK70" s="156">
        <f t="shared" si="48"/>
        <v>77.878676103978165</v>
      </c>
      <c r="AL70" s="88"/>
      <c r="AM70" s="716">
        <f t="shared" si="49"/>
        <v>9461.5905859802551</v>
      </c>
      <c r="AN70" s="716" t="str">
        <f>_xlfn.XLOOKUP(D70,RUC!$B$3:$B$578,RUC!$M$3:$M$578)</f>
        <v>Ronald Garibay</v>
      </c>
      <c r="AO70" s="1167" t="s">
        <v>2279</v>
      </c>
      <c r="AP70" s="1487" t="s">
        <v>3123</v>
      </c>
      <c r="AQ70" s="1487" t="s">
        <v>3124</v>
      </c>
    </row>
    <row r="71" spans="1:43" ht="15" customHeight="1">
      <c r="A71" s="747" t="s">
        <v>3099</v>
      </c>
      <c r="B71" s="595">
        <v>45951</v>
      </c>
      <c r="C71" s="1447">
        <v>45946</v>
      </c>
      <c r="D71" t="s">
        <v>2004</v>
      </c>
      <c r="E71" s="762">
        <f>_xlfn.XLOOKUP(D71,RUC!$B$3:$B$123,RUC!$D$3:$D$123)</f>
        <v>20612921866</v>
      </c>
      <c r="G71" s="1082">
        <v>50</v>
      </c>
      <c r="H71" s="762" t="s">
        <v>69</v>
      </c>
      <c r="I71" s="703">
        <v>4.71</v>
      </c>
      <c r="J71" s="596">
        <v>2</v>
      </c>
      <c r="K71" s="703">
        <f t="shared" si="28"/>
        <v>4.6159999999999997</v>
      </c>
      <c r="L71" s="762">
        <v>0.45600000000000002</v>
      </c>
      <c r="M71" s="994">
        <v>0.433</v>
      </c>
      <c r="N71" s="1196">
        <f t="shared" si="40"/>
        <v>0.433</v>
      </c>
      <c r="O71" s="645">
        <f t="shared" si="41"/>
        <v>0.433</v>
      </c>
      <c r="P71" s="727">
        <v>90</v>
      </c>
      <c r="Q71" s="1476">
        <v>95.83</v>
      </c>
      <c r="R71" s="706">
        <v>4261.95</v>
      </c>
      <c r="S71" s="765">
        <f>IF((_xlfn.XLOOKUP(D71,RUC!$B$3:$B$119,RUC!$E$3:$E$119)+ROUNDDOWN(O71,1)*100)&lt;95,95,((_xlfn.XLOOKUP(D71,RUC!$B$3:$B$119,RUC!$E$3:$E$119)+ROUNDDOWN(O71,1)*100)))</f>
        <v>120</v>
      </c>
      <c r="U71" s="1146">
        <f>_xlfn.XLOOKUP(D71,RUC!$B$3:$B$123,RUC!$F$3:$F$123)</f>
        <v>100</v>
      </c>
      <c r="V71" s="715">
        <v>1.1023000000000001</v>
      </c>
      <c r="Y71">
        <f>_xlfn.XLOOKUP(D71,RUC!$B$3:$B$123,RUC!$G$3:$G$123)</f>
        <v>0</v>
      </c>
      <c r="Z71" s="143">
        <f>_xlfn.XLOOKUP(D71,RUC!$B$3:$B$123,RUC!$H$3:$H$123)</f>
        <v>30</v>
      </c>
      <c r="AA71" s="144">
        <f t="shared" si="32"/>
        <v>30</v>
      </c>
      <c r="AB71" s="145">
        <f t="shared" si="33"/>
        <v>1622.4885039045</v>
      </c>
      <c r="AC71" s="145">
        <f>+(S71-T71)*V71-'data 1'!$F$4</f>
        <v>52.27600000000001</v>
      </c>
      <c r="AD71" s="145">
        <f t="shared" si="42"/>
        <v>121.96355179522797</v>
      </c>
      <c r="AE71" s="145">
        <f t="shared" si="43"/>
        <v>-36.930999999999997</v>
      </c>
      <c r="AF71" s="145">
        <f t="shared" si="44"/>
        <v>101.11742231513658</v>
      </c>
      <c r="AG71" s="772">
        <f>AC71+AD71+AE71+AF71+70-10</f>
        <v>298.42597411036456</v>
      </c>
      <c r="AH71" s="1253">
        <f t="shared" si="45"/>
        <v>69.158000000000001</v>
      </c>
      <c r="AI71" s="1253">
        <f t="shared" si="46"/>
        <v>72.167000000000002</v>
      </c>
      <c r="AJ71" s="156">
        <f t="shared" si="47"/>
        <v>-102.0938447312279</v>
      </c>
      <c r="AK71" s="156">
        <f t="shared" si="48"/>
        <v>61.674448577760351</v>
      </c>
      <c r="AL71" s="88"/>
      <c r="AM71" s="716">
        <f t="shared" si="49"/>
        <v>7489.4069340231717</v>
      </c>
      <c r="AN71" s="716" t="str">
        <f>_xlfn.XLOOKUP(D71,RUC!$B$3:$B$578,RUC!$M$3:$M$578)</f>
        <v>Ronald Garibay</v>
      </c>
      <c r="AO71" s="1167" t="s">
        <v>2279</v>
      </c>
      <c r="AP71" s="1487" t="s">
        <v>3123</v>
      </c>
      <c r="AQ71" s="1487" t="s">
        <v>3124</v>
      </c>
    </row>
    <row r="72" spans="1:43" ht="15" customHeight="1">
      <c r="A72" s="747" t="s">
        <v>3102</v>
      </c>
      <c r="B72" s="595">
        <v>45955</v>
      </c>
      <c r="C72" s="1447">
        <v>45946</v>
      </c>
      <c r="D72" t="s">
        <v>93</v>
      </c>
      <c r="E72" s="762">
        <f>_xlfn.XLOOKUP(D72,RUC!$B$3:$B$123,RUC!$D$3:$D$123)</f>
        <v>20169040231</v>
      </c>
      <c r="G72" s="1082">
        <v>82</v>
      </c>
      <c r="H72" s="762" t="s">
        <v>69</v>
      </c>
      <c r="I72" s="703">
        <v>8.35</v>
      </c>
      <c r="J72" s="596">
        <v>1.7</v>
      </c>
      <c r="K72" s="703">
        <f t="shared" si="28"/>
        <v>8.2080000000000002</v>
      </c>
      <c r="L72" s="994">
        <v>0.37</v>
      </c>
      <c r="M72" s="994">
        <v>0.35199999999999998</v>
      </c>
      <c r="N72" s="1196">
        <f t="shared" si="40"/>
        <v>0.35199999999999998</v>
      </c>
      <c r="O72" s="645">
        <f t="shared" si="41"/>
        <v>0.35199999999999998</v>
      </c>
      <c r="P72" s="727">
        <v>78</v>
      </c>
      <c r="Q72" s="1476">
        <v>78.44</v>
      </c>
      <c r="R72" s="706">
        <v>4261.95</v>
      </c>
      <c r="S72" s="765">
        <f>IF((_xlfn.XLOOKUP(D72,RUC!$B$3:$B$119,RUC!$E$3:$E$119)+ROUNDDOWN(O72,1)*100)&lt;95,95,((_xlfn.XLOOKUP(D72,RUC!$B$3:$B$119,RUC!$E$3:$E$119)+ROUNDDOWN(O72,1)*100)))</f>
        <v>115</v>
      </c>
      <c r="U72" s="1146">
        <f>_xlfn.XLOOKUP(D72,RUC!$B$3:$B$123,RUC!$F$3:$F$123)</f>
        <v>120</v>
      </c>
      <c r="V72" s="715">
        <v>1.1023000000000001</v>
      </c>
      <c r="Y72">
        <f>_xlfn.XLOOKUP(D72,RUC!$B$3:$B$123,RUC!$G$3:$G$123)</f>
        <v>20</v>
      </c>
      <c r="Z72" s="1454">
        <v>35</v>
      </c>
      <c r="AA72" s="144">
        <f t="shared" si="32"/>
        <v>55</v>
      </c>
      <c r="AB72" s="145">
        <f t="shared" si="33"/>
        <v>1066.1597629216001</v>
      </c>
      <c r="AC72" s="145">
        <f>+(S72-T72)*V72-'data 1'!$F$4</f>
        <v>46.764500000000012</v>
      </c>
      <c r="AD72" s="145">
        <f t="shared" si="42"/>
        <v>7.4329131775799624</v>
      </c>
      <c r="AE72" s="145">
        <f t="shared" si="43"/>
        <v>-9.3734999999999999</v>
      </c>
      <c r="AF72" s="145">
        <f t="shared" si="44"/>
        <v>64.463628831012059</v>
      </c>
      <c r="AG72" s="772">
        <f t="shared" ref="AG72:AG84" si="51">AC72+AD72+AE72+AF72+70-53</f>
        <v>126.28754200859203</v>
      </c>
      <c r="AH72" s="1253">
        <f t="shared" si="45"/>
        <v>81.674000000000007</v>
      </c>
      <c r="AI72" s="1253">
        <f t="shared" si="46"/>
        <v>104.123</v>
      </c>
      <c r="AJ72" s="156">
        <f t="shared" si="47"/>
        <v>-61.408322368579938</v>
      </c>
      <c r="AK72" s="156">
        <f t="shared" si="48"/>
        <v>77.265155541809662</v>
      </c>
      <c r="AL72" s="88"/>
      <c r="AM72" s="716">
        <f t="shared" si="49"/>
        <v>8751.0393340604933</v>
      </c>
      <c r="AN72" s="716" t="str">
        <f>_xlfn.XLOOKUP(D72,RUC!$B$3:$B$578,RUC!$M$3:$M$578)</f>
        <v>Ronald Miranda</v>
      </c>
      <c r="AO72" s="1167" t="s">
        <v>2281</v>
      </c>
      <c r="AP72" s="1489" t="s">
        <v>3130</v>
      </c>
      <c r="AQ72" s="1489" t="s">
        <v>3131</v>
      </c>
    </row>
    <row r="73" spans="1:43" ht="15" customHeight="1">
      <c r="A73" s="747" t="s">
        <v>3103</v>
      </c>
      <c r="B73" s="595">
        <v>45955</v>
      </c>
      <c r="C73" s="1447">
        <v>45946</v>
      </c>
      <c r="D73" t="s">
        <v>93</v>
      </c>
      <c r="E73" s="762">
        <f>_xlfn.XLOOKUP(D73,RUC!$B$3:$B$123,RUC!$D$3:$D$123)</f>
        <v>20169040231</v>
      </c>
      <c r="G73" s="1082">
        <v>80</v>
      </c>
      <c r="H73" s="762" t="s">
        <v>69</v>
      </c>
      <c r="I73" s="703">
        <v>7.51</v>
      </c>
      <c r="J73" s="596">
        <v>1.6</v>
      </c>
      <c r="K73" s="703">
        <f t="shared" si="28"/>
        <v>7.39</v>
      </c>
      <c r="L73" s="994">
        <v>0.439</v>
      </c>
      <c r="M73" s="994">
        <v>0.41699999999999998</v>
      </c>
      <c r="N73" s="1196">
        <f t="shared" si="40"/>
        <v>0.41699999999999998</v>
      </c>
      <c r="O73" s="645">
        <f t="shared" si="41"/>
        <v>0.41699999999999998</v>
      </c>
      <c r="P73" s="727">
        <v>90</v>
      </c>
      <c r="Q73" s="1476">
        <v>98.63</v>
      </c>
      <c r="R73" s="706">
        <v>4261.95</v>
      </c>
      <c r="S73" s="765">
        <f>IF((_xlfn.XLOOKUP(D73,RUC!$B$3:$B$119,RUC!$E$3:$E$119)+ROUNDDOWN(O73,1)*100)&lt;95,95,((_xlfn.XLOOKUP(D73,RUC!$B$3:$B$119,RUC!$E$3:$E$119)+ROUNDDOWN(O73,1)*100)))</f>
        <v>125</v>
      </c>
      <c r="U73" s="1146">
        <f>_xlfn.XLOOKUP(D73,RUC!$B$3:$B$123,RUC!$F$3:$F$123)</f>
        <v>120</v>
      </c>
      <c r="V73" s="715">
        <v>1.1023000000000001</v>
      </c>
      <c r="Y73">
        <f>_xlfn.XLOOKUP(D73,RUC!$B$3:$B$123,RUC!$G$3:$G$123)</f>
        <v>20</v>
      </c>
      <c r="Z73" s="1454">
        <v>35</v>
      </c>
      <c r="AA73" s="144">
        <f t="shared" si="32"/>
        <v>55</v>
      </c>
      <c r="AB73" s="145">
        <f t="shared" si="33"/>
        <v>1515.0825083205</v>
      </c>
      <c r="AC73" s="145">
        <f>+(S73-T73)*V73-'data 1'!$F$4</f>
        <v>57.787499999999994</v>
      </c>
      <c r="AD73" s="145">
        <f t="shared" si="42"/>
        <v>172.97366017926441</v>
      </c>
      <c r="AE73" s="145">
        <f t="shared" si="43"/>
        <v>-9.3734999999999999</v>
      </c>
      <c r="AF73" s="145">
        <f t="shared" si="44"/>
        <v>99.068679284421066</v>
      </c>
      <c r="AG73" s="772">
        <f t="shared" si="51"/>
        <v>337.45633946368548</v>
      </c>
      <c r="AH73" s="1253">
        <f t="shared" si="45"/>
        <v>109.705</v>
      </c>
      <c r="AI73" s="1253">
        <f t="shared" si="46"/>
        <v>111.229</v>
      </c>
      <c r="AJ73" s="156">
        <f t="shared" si="47"/>
        <v>-91.613922318264414</v>
      </c>
      <c r="AK73" s="156">
        <f t="shared" si="48"/>
        <v>95.089392338869345</v>
      </c>
      <c r="AL73" s="88"/>
      <c r="AM73" s="716">
        <f t="shared" si="49"/>
        <v>11196.459736488494</v>
      </c>
      <c r="AN73" s="716" t="str">
        <f>_xlfn.XLOOKUP(D73,RUC!$B$3:$B$578,RUC!$M$3:$M$578)</f>
        <v>Ronald Miranda</v>
      </c>
      <c r="AO73" s="1167" t="s">
        <v>2281</v>
      </c>
      <c r="AP73" s="1489" t="s">
        <v>3130</v>
      </c>
      <c r="AQ73" s="1489" t="s">
        <v>3131</v>
      </c>
    </row>
    <row r="74" spans="1:43" ht="15" customHeight="1">
      <c r="A74" s="747" t="s">
        <v>3104</v>
      </c>
      <c r="B74" s="595">
        <v>45955</v>
      </c>
      <c r="C74" s="1447">
        <v>45946</v>
      </c>
      <c r="D74" t="s">
        <v>93</v>
      </c>
      <c r="E74" s="762">
        <f>_xlfn.XLOOKUP(D74,RUC!$B$3:$B$123,RUC!$D$3:$D$123)</f>
        <v>20169040231</v>
      </c>
      <c r="G74" s="1082">
        <v>80</v>
      </c>
      <c r="H74" s="762" t="s">
        <v>69</v>
      </c>
      <c r="I74" s="703">
        <v>7.12</v>
      </c>
      <c r="J74" s="596">
        <v>1.2</v>
      </c>
      <c r="K74" s="703">
        <f t="shared" si="28"/>
        <v>7.0350000000000001</v>
      </c>
      <c r="L74" s="994">
        <v>0.38800000000000001</v>
      </c>
      <c r="M74" s="994">
        <v>0.36899999999999999</v>
      </c>
      <c r="N74" s="1196">
        <f t="shared" si="40"/>
        <v>0.36899999999999999</v>
      </c>
      <c r="O74" s="645">
        <f t="shared" si="41"/>
        <v>0.36899999999999999</v>
      </c>
      <c r="P74" s="727">
        <v>90</v>
      </c>
      <c r="Q74" s="1476">
        <v>96.91</v>
      </c>
      <c r="R74" s="706">
        <v>4261.95</v>
      </c>
      <c r="S74" s="765">
        <f>IF((_xlfn.XLOOKUP(D74,RUC!$B$3:$B$119,RUC!$E$3:$E$119)+ROUNDDOWN(O74,1)*100)&lt;95,95,((_xlfn.XLOOKUP(D74,RUC!$B$3:$B$119,RUC!$E$3:$E$119)+ROUNDDOWN(O74,1)*100)))</f>
        <v>115</v>
      </c>
      <c r="U74" s="1146">
        <f>_xlfn.XLOOKUP(D74,RUC!$B$3:$B$123,RUC!$F$3:$F$123)</f>
        <v>120</v>
      </c>
      <c r="V74" s="715">
        <v>1.1023000000000001</v>
      </c>
      <c r="Y74">
        <f>_xlfn.XLOOKUP(D74,RUC!$B$3:$B$123,RUC!$G$3:$G$123)</f>
        <v>20</v>
      </c>
      <c r="Z74" s="1454">
        <v>35</v>
      </c>
      <c r="AA74" s="144">
        <f t="shared" si="32"/>
        <v>55</v>
      </c>
      <c r="AB74" s="145">
        <f t="shared" si="33"/>
        <v>1328.8685001685003</v>
      </c>
      <c r="AC74" s="145">
        <f>+(S74-T74)*V74-'data 1'!$F$4</f>
        <v>46.764500000000012</v>
      </c>
      <c r="AD74" s="145">
        <f t="shared" si="42"/>
        <v>122.40930505003794</v>
      </c>
      <c r="AE74" s="145">
        <f t="shared" si="43"/>
        <v>-9.3734999999999999</v>
      </c>
      <c r="AF74" s="145">
        <f t="shared" si="44"/>
        <v>84.067252486156562</v>
      </c>
      <c r="AG74" s="772">
        <f t="shared" si="51"/>
        <v>260.86755753619451</v>
      </c>
      <c r="AH74" s="1253">
        <f t="shared" si="45"/>
        <v>90.692999999999998</v>
      </c>
      <c r="AI74" s="1253">
        <f t="shared" si="46"/>
        <v>93.584999999999994</v>
      </c>
      <c r="AJ74" s="156">
        <f t="shared" si="47"/>
        <v>-79.558803494037932</v>
      </c>
      <c r="AK74" s="156">
        <f t="shared" si="48"/>
        <v>80.10175780783419</v>
      </c>
      <c r="AL74" s="88"/>
      <c r="AM74" s="716">
        <f t="shared" si="49"/>
        <v>9348.589898685399</v>
      </c>
      <c r="AN74" s="716" t="str">
        <f>_xlfn.XLOOKUP(D74,RUC!$B$3:$B$578,RUC!$M$3:$M$578)</f>
        <v>Ronald Miranda</v>
      </c>
      <c r="AO74" s="1167" t="s">
        <v>2281</v>
      </c>
      <c r="AP74" s="1489" t="s">
        <v>3130</v>
      </c>
      <c r="AQ74" s="1489" t="s">
        <v>3131</v>
      </c>
    </row>
    <row r="75" spans="1:43" ht="15" customHeight="1">
      <c r="A75" s="747" t="s">
        <v>3105</v>
      </c>
      <c r="B75" s="595">
        <v>45951</v>
      </c>
      <c r="C75" s="1447">
        <v>45946</v>
      </c>
      <c r="D75" t="s">
        <v>93</v>
      </c>
      <c r="E75" s="762">
        <f>_xlfn.XLOOKUP(D75,RUC!$B$3:$B$123,RUC!$D$3:$D$123)</f>
        <v>20169040231</v>
      </c>
      <c r="G75" s="1082">
        <v>53</v>
      </c>
      <c r="H75" s="762" t="s">
        <v>69</v>
      </c>
      <c r="I75" s="703">
        <v>4.71</v>
      </c>
      <c r="J75" s="596">
        <v>2.2000000000000002</v>
      </c>
      <c r="K75" s="703">
        <f t="shared" si="28"/>
        <v>4.6059999999999999</v>
      </c>
      <c r="L75" s="762">
        <v>0.255</v>
      </c>
      <c r="M75" s="994">
        <v>0.24</v>
      </c>
      <c r="N75" s="1196">
        <f t="shared" si="40"/>
        <v>0.24</v>
      </c>
      <c r="O75" s="645">
        <f t="shared" si="41"/>
        <v>0.24</v>
      </c>
      <c r="P75" s="727">
        <v>90</v>
      </c>
      <c r="Q75" s="1476">
        <v>95.29</v>
      </c>
      <c r="R75" s="706">
        <v>4261.95</v>
      </c>
      <c r="S75" s="765">
        <f>IF((_xlfn.XLOOKUP(D75,RUC!$B$3:$B$119,RUC!$E$3:$E$119)+ROUNDDOWN(O75,1)*100)&lt;95,95,((_xlfn.XLOOKUP(D75,RUC!$B$3:$B$119,RUC!$E$3:$E$119)+ROUNDDOWN(O75,1)*100)))</f>
        <v>105</v>
      </c>
      <c r="U75" s="1146">
        <f>_xlfn.XLOOKUP(D75,RUC!$B$3:$B$123,RUC!$F$3:$F$123)</f>
        <v>120</v>
      </c>
      <c r="V75" s="715">
        <v>1.1023000000000001</v>
      </c>
      <c r="Y75">
        <f>_xlfn.XLOOKUP(D75,RUC!$B$3:$B$123,RUC!$G$3:$G$123)</f>
        <v>20</v>
      </c>
      <c r="Z75" s="1454">
        <v>35</v>
      </c>
      <c r="AA75" s="144">
        <f t="shared" si="32"/>
        <v>55</v>
      </c>
      <c r="AB75" s="145">
        <f t="shared" si="33"/>
        <v>809.81704075999983</v>
      </c>
      <c r="AC75" s="145">
        <f>+(S75-T75)*V75-'data 1'!$F$4</f>
        <v>35.741500000000002</v>
      </c>
      <c r="AD75" s="145">
        <f t="shared" si="42"/>
        <v>61.588625496907568</v>
      </c>
      <c r="AE75" s="145">
        <f t="shared" si="43"/>
        <v>-9.3734999999999999</v>
      </c>
      <c r="AF75" s="145">
        <f t="shared" si="44"/>
        <v>65.259425370847566</v>
      </c>
      <c r="AG75" s="772">
        <f t="shared" si="51"/>
        <v>170.21605086775514</v>
      </c>
      <c r="AH75" s="1253">
        <f t="shared" si="45"/>
        <v>38.372999999999998</v>
      </c>
      <c r="AI75" s="1253">
        <f t="shared" si="46"/>
        <v>40.268999999999998</v>
      </c>
      <c r="AJ75" s="156">
        <f t="shared" si="47"/>
        <v>-51.413294196907458</v>
      </c>
      <c r="AK75" s="156">
        <f t="shared" si="48"/>
        <v>34.110395429392803</v>
      </c>
      <c r="AL75" s="88"/>
      <c r="AM75" s="716">
        <f t="shared" si="49"/>
        <v>3730.0172897405591</v>
      </c>
      <c r="AN75" s="716" t="str">
        <f>_xlfn.XLOOKUP(D75,RUC!$B$3:$B$578,RUC!$M$3:$M$578)</f>
        <v>Ronald Miranda</v>
      </c>
      <c r="AO75" s="1167" t="s">
        <v>2281</v>
      </c>
      <c r="AP75" s="1489" t="s">
        <v>3130</v>
      </c>
      <c r="AQ75" s="1489" t="s">
        <v>3131</v>
      </c>
    </row>
    <row r="76" spans="1:43" ht="15" customHeight="1">
      <c r="A76" s="747" t="s">
        <v>3109</v>
      </c>
      <c r="B76" s="595">
        <v>45951</v>
      </c>
      <c r="C76" s="1447">
        <v>45947</v>
      </c>
      <c r="D76" t="s">
        <v>93</v>
      </c>
      <c r="E76" s="762">
        <f>_xlfn.XLOOKUP(D76,RUC!$B$3:$B$123,RUC!$D$3:$D$123)</f>
        <v>20169040231</v>
      </c>
      <c r="G76" s="1082">
        <v>70</v>
      </c>
      <c r="H76" s="762" t="s">
        <v>69</v>
      </c>
      <c r="I76" s="703">
        <v>6.29</v>
      </c>
      <c r="J76" s="596">
        <v>1.2</v>
      </c>
      <c r="K76" s="703">
        <f t="shared" si="28"/>
        <v>6.2149999999999999</v>
      </c>
      <c r="L76" s="762">
        <v>0.19700000000000001</v>
      </c>
      <c r="M76" s="994">
        <v>0.19</v>
      </c>
      <c r="N76" s="1196">
        <f t="shared" si="40"/>
        <v>0.19</v>
      </c>
      <c r="O76" s="645">
        <f t="shared" si="41"/>
        <v>0.19</v>
      </c>
      <c r="P76" s="727">
        <v>90</v>
      </c>
      <c r="Q76" s="1490">
        <v>90.86</v>
      </c>
      <c r="R76" s="706">
        <v>4224.75</v>
      </c>
      <c r="S76" s="765">
        <f>IF((_xlfn.XLOOKUP(D76,RUC!$B$3:$B$119,RUC!$E$3:$E$119)+ROUNDDOWN(O76,1)*100)&lt;95,95,((_xlfn.XLOOKUP(D76,RUC!$B$3:$B$119,RUC!$E$3:$E$119)+ROUNDDOWN(O76,1)*100)))</f>
        <v>95</v>
      </c>
      <c r="U76" s="1146">
        <f>_xlfn.XLOOKUP(D76,RUC!$B$3:$B$123,RUC!$F$3:$F$123)</f>
        <v>120</v>
      </c>
      <c r="V76" s="715">
        <v>1.1023000000000001</v>
      </c>
      <c r="Y76">
        <f>_xlfn.XLOOKUP(D76,RUC!$B$3:$B$123,RUC!$G$3:$G$123)</f>
        <v>20</v>
      </c>
      <c r="Z76" s="1454">
        <v>35</v>
      </c>
      <c r="AA76" s="144">
        <f t="shared" si="32"/>
        <v>55</v>
      </c>
      <c r="AB76" s="145">
        <f t="shared" si="33"/>
        <v>608.37287317500011</v>
      </c>
      <c r="AC76" s="145">
        <f>+(S76-T76)*V76-'data 1'!$F$4</f>
        <v>24.718500000000006</v>
      </c>
      <c r="AD76" s="145">
        <f t="shared" si="42"/>
        <v>7.6656890101349964</v>
      </c>
      <c r="AE76" s="145">
        <f t="shared" si="43"/>
        <v>-9.3734999999999999</v>
      </c>
      <c r="AF76" s="145">
        <f t="shared" si="44"/>
        <v>28.777780216185029</v>
      </c>
      <c r="AG76" s="772">
        <f t="shared" si="51"/>
        <v>68.788469226320032</v>
      </c>
      <c r="AH76" s="1253">
        <f t="shared" si="45"/>
        <v>38.140999999999998</v>
      </c>
      <c r="AI76" s="1253">
        <f t="shared" si="46"/>
        <v>41.976999999999997</v>
      </c>
      <c r="AJ76" s="156">
        <f t="shared" si="47"/>
        <v>-30.532996205635005</v>
      </c>
      <c r="AK76" s="156">
        <f t="shared" si="48"/>
        <v>36.437310430958249</v>
      </c>
      <c r="AL76" s="88"/>
      <c r="AM76" s="716">
        <f t="shared" si="49"/>
        <v>3781.0374067826256</v>
      </c>
      <c r="AN76" s="716" t="str">
        <f>_xlfn.XLOOKUP(D76,RUC!$B$3:$B$578,RUC!$M$3:$M$578)</f>
        <v>Ronald Miranda</v>
      </c>
      <c r="AO76" s="1167" t="s">
        <v>2281</v>
      </c>
      <c r="AP76" t="s">
        <v>3134</v>
      </c>
      <c r="AQ76" t="s">
        <v>3135</v>
      </c>
    </row>
    <row r="77" spans="1:43" ht="15" customHeight="1">
      <c r="A77" s="747" t="s">
        <v>3111</v>
      </c>
      <c r="B77" s="595">
        <v>45953</v>
      </c>
      <c r="C77" s="1447">
        <v>45947</v>
      </c>
      <c r="D77" t="s">
        <v>93</v>
      </c>
      <c r="E77" s="762">
        <f>_xlfn.XLOOKUP(D77,RUC!$B$3:$B$123,RUC!$D$3:$D$123)</f>
        <v>20169040231</v>
      </c>
      <c r="G77" s="1082">
        <v>84</v>
      </c>
      <c r="H77" s="762" t="s">
        <v>69</v>
      </c>
      <c r="I77" s="703">
        <v>8.59</v>
      </c>
      <c r="J77" s="596">
        <v>2</v>
      </c>
      <c r="K77" s="703">
        <f t="shared" ref="K77:K93" si="52">ROUND(+I77-(I77*(J77/100)),3)</f>
        <v>8.4179999999999993</v>
      </c>
      <c r="L77" s="762">
        <v>0.16300000000000001</v>
      </c>
      <c r="M77" s="994">
        <v>0.14799999999999999</v>
      </c>
      <c r="N77" s="1196">
        <f t="shared" si="40"/>
        <v>0.14799999999999999</v>
      </c>
      <c r="O77" s="645">
        <f t="shared" si="41"/>
        <v>0.14799999999999999</v>
      </c>
      <c r="P77" s="727">
        <v>85</v>
      </c>
      <c r="Q77" s="1476">
        <v>92.02</v>
      </c>
      <c r="R77" s="706">
        <v>4224.75</v>
      </c>
      <c r="S77" s="765">
        <f>IF((_xlfn.XLOOKUP(D77,RUC!$B$3:$B$119,RUC!$E$3:$E$119)+ROUNDDOWN(O77,1)*100)&lt;95,95,((_xlfn.XLOOKUP(D77,RUC!$B$3:$B$119,RUC!$E$3:$E$119)+ROUNDDOWN(O77,1)*100)))</f>
        <v>95</v>
      </c>
      <c r="U77" s="1146">
        <f>_xlfn.XLOOKUP(D77,RUC!$B$3:$B$123,RUC!$F$3:$F$123)</f>
        <v>120</v>
      </c>
      <c r="V77" s="715">
        <v>1.1023000000000001</v>
      </c>
      <c r="Y77">
        <f>_xlfn.XLOOKUP(D77,RUC!$B$3:$B$123,RUC!$G$3:$G$123)</f>
        <v>20</v>
      </c>
      <c r="Z77" s="1454">
        <v>35</v>
      </c>
      <c r="AA77" s="144">
        <f t="shared" si="32"/>
        <v>55</v>
      </c>
      <c r="AB77" s="145">
        <f t="shared" si="33"/>
        <v>403.85797336499996</v>
      </c>
      <c r="AC77" s="145">
        <f>+(S77-T77)*V77-'data 1'!$F$4</f>
        <v>24.718500000000006</v>
      </c>
      <c r="AD77" s="145">
        <f t="shared" si="42"/>
        <v>51.77394231340498</v>
      </c>
      <c r="AE77" s="145">
        <f t="shared" si="43"/>
        <v>-9.3734999999999999</v>
      </c>
      <c r="AF77" s="145">
        <f t="shared" si="44"/>
        <v>62.453963762775054</v>
      </c>
      <c r="AG77" s="772">
        <f t="shared" si="51"/>
        <v>146.57290607618003</v>
      </c>
      <c r="AH77" s="1253">
        <f t="shared" si="45"/>
        <v>43.29</v>
      </c>
      <c r="AI77" s="1253">
        <f t="shared" si="46"/>
        <v>47.043999999999997</v>
      </c>
      <c r="AJ77" s="156">
        <f t="shared" si="47"/>
        <v>-25.585876451155006</v>
      </c>
      <c r="AK77" s="156">
        <f t="shared" si="48"/>
        <v>36.30769109289642</v>
      </c>
      <c r="AL77" s="88"/>
      <c r="AM77" s="716">
        <f t="shared" si="49"/>
        <v>3399.6764197865696</v>
      </c>
      <c r="AN77" s="716" t="str">
        <f>_xlfn.XLOOKUP(D77,RUC!$B$3:$B$578,RUC!$M$3:$M$578)</f>
        <v>Ronald Miranda</v>
      </c>
      <c r="AO77" s="1167" t="s">
        <v>2281</v>
      </c>
      <c r="AP77" s="1492" t="s">
        <v>3134</v>
      </c>
      <c r="AQ77" t="s">
        <v>3135</v>
      </c>
    </row>
    <row r="78" spans="1:43" ht="15" customHeight="1">
      <c r="A78" s="747" t="s">
        <v>3112</v>
      </c>
      <c r="B78" s="595">
        <v>45953</v>
      </c>
      <c r="C78" s="1447">
        <v>45947</v>
      </c>
      <c r="D78" t="s">
        <v>93</v>
      </c>
      <c r="E78" s="762">
        <f>_xlfn.XLOOKUP(D78,RUC!$B$3:$B$123,RUC!$D$3:$D$123)</f>
        <v>20169040231</v>
      </c>
      <c r="G78" s="1082">
        <v>84</v>
      </c>
      <c r="H78" s="762" t="s">
        <v>69</v>
      </c>
      <c r="I78" s="703">
        <v>8.19</v>
      </c>
      <c r="J78" s="596">
        <v>1.3</v>
      </c>
      <c r="K78" s="703">
        <f t="shared" si="52"/>
        <v>8.0839999999999996</v>
      </c>
      <c r="L78" s="762">
        <v>0.214</v>
      </c>
      <c r="M78" s="994">
        <v>0.19900000000000001</v>
      </c>
      <c r="N78" s="1196">
        <f t="shared" si="40"/>
        <v>0.19900000000000001</v>
      </c>
      <c r="O78" s="645">
        <f t="shared" si="41"/>
        <v>0.19900000000000001</v>
      </c>
      <c r="P78" s="727">
        <v>85</v>
      </c>
      <c r="Q78" s="1476">
        <v>86.45</v>
      </c>
      <c r="R78" s="706">
        <v>4224.75</v>
      </c>
      <c r="S78" s="765">
        <f>IF((_xlfn.XLOOKUP(D78,RUC!$B$3:$B$119,RUC!$E$3:$E$119)+ROUNDDOWN(O78,1)*100)&lt;95,95,((_xlfn.XLOOKUP(D78,RUC!$B$3:$B$119,RUC!$E$3:$E$119)+ROUNDDOWN(O78,1)*100)))</f>
        <v>95</v>
      </c>
      <c r="U78" s="1146">
        <f>_xlfn.XLOOKUP(D78,RUC!$B$3:$B$123,RUC!$F$3:$F$123)</f>
        <v>120</v>
      </c>
      <c r="V78" s="715">
        <v>1.1023000000000001</v>
      </c>
      <c r="Y78">
        <f>_xlfn.XLOOKUP(D78,RUC!$B$3:$B$123,RUC!$G$3:$G$123)</f>
        <v>20</v>
      </c>
      <c r="Z78" s="1454">
        <v>35</v>
      </c>
      <c r="AA78" s="144">
        <f t="shared" si="32"/>
        <v>55</v>
      </c>
      <c r="AB78" s="145">
        <f t="shared" si="33"/>
        <v>600.00224121375004</v>
      </c>
      <c r="AC78" s="145">
        <f>+(S78-T78)*V78-'data 1'!$F$4</f>
        <v>24.718500000000006</v>
      </c>
      <c r="AD78" s="145">
        <f t="shared" si="42"/>
        <v>14.040038365275029</v>
      </c>
      <c r="AE78" s="145">
        <f t="shared" si="43"/>
        <v>-9.3734999999999999</v>
      </c>
      <c r="AF78" s="145">
        <f t="shared" si="44"/>
        <v>58.673605382437451</v>
      </c>
      <c r="AG78" s="772">
        <f t="shared" si="51"/>
        <v>105.05864374771249</v>
      </c>
      <c r="AH78" s="1253">
        <f t="shared" si="45"/>
        <v>51.276000000000003</v>
      </c>
      <c r="AI78" s="1253">
        <f t="shared" si="46"/>
        <v>59.313000000000002</v>
      </c>
      <c r="AJ78" s="156">
        <f t="shared" si="47"/>
        <v>-31.55798286777501</v>
      </c>
      <c r="AK78" s="156">
        <f t="shared" si="48"/>
        <v>46.882134473907236</v>
      </c>
      <c r="AL78" s="88"/>
      <c r="AM78" s="716">
        <f t="shared" si="49"/>
        <v>4850.4181179719553</v>
      </c>
      <c r="AN78" s="716" t="str">
        <f>_xlfn.XLOOKUP(D78,RUC!$B$3:$B$578,RUC!$M$3:$M$578)</f>
        <v>Ronald Miranda</v>
      </c>
      <c r="AO78" s="1167" t="s">
        <v>2281</v>
      </c>
      <c r="AP78" s="1492" t="s">
        <v>3134</v>
      </c>
      <c r="AQ78" t="s">
        <v>3135</v>
      </c>
    </row>
    <row r="79" spans="1:43" ht="15" customHeight="1">
      <c r="A79" s="747" t="s">
        <v>3113</v>
      </c>
      <c r="B79" s="595">
        <v>45951</v>
      </c>
      <c r="C79" s="1447">
        <v>45947</v>
      </c>
      <c r="D79" t="s">
        <v>93</v>
      </c>
      <c r="E79" s="762">
        <f>_xlfn.XLOOKUP(D79,RUC!$B$3:$B$123,RUC!$D$3:$D$123)</f>
        <v>20169040231</v>
      </c>
      <c r="G79" s="1082">
        <v>27</v>
      </c>
      <c r="H79" s="762" t="s">
        <v>108</v>
      </c>
      <c r="I79" s="703">
        <v>2.1800000000000002</v>
      </c>
      <c r="J79" s="596">
        <v>25.73</v>
      </c>
      <c r="K79" s="703">
        <f t="shared" si="52"/>
        <v>1.619</v>
      </c>
      <c r="L79" s="762">
        <v>1.6850000000000001</v>
      </c>
      <c r="M79" s="994">
        <v>1.601</v>
      </c>
      <c r="N79" s="1480">
        <v>1.8009999999999999</v>
      </c>
      <c r="O79" s="645">
        <f t="shared" si="41"/>
        <v>1.7010000000000001</v>
      </c>
      <c r="P79" s="727">
        <v>78</v>
      </c>
      <c r="Q79" s="1476">
        <v>78.28</v>
      </c>
      <c r="R79" s="706">
        <v>4224.75</v>
      </c>
      <c r="S79" s="765">
        <f>IF((_xlfn.XLOOKUP(D79,RUC!$B$3:$B$119,RUC!$E$3:$E$119)+ROUNDDOWN(O79,1)*100)&lt;95,95,((_xlfn.XLOOKUP(D79,RUC!$B$3:$B$119,RUC!$E$3:$E$119)+ROUNDDOWN(O79,1)*100)))</f>
        <v>255</v>
      </c>
      <c r="U79" s="1146">
        <f>_xlfn.XLOOKUP(D79,RUC!$B$3:$B$123,RUC!$F$3:$F$123)</f>
        <v>120</v>
      </c>
      <c r="V79" s="715">
        <v>1.1023000000000001</v>
      </c>
      <c r="Y79" s="1445">
        <v>40</v>
      </c>
      <c r="Z79" s="1454">
        <v>35</v>
      </c>
      <c r="AA79" s="144">
        <f t="shared" si="32"/>
        <v>75</v>
      </c>
      <c r="AB79" s="145">
        <f t="shared" si="33"/>
        <v>5639.4772559715002</v>
      </c>
      <c r="AC79" s="145">
        <f>+(S79-T79)*V79-'data 1'!$F$4</f>
        <v>201.0865</v>
      </c>
      <c r="AD79" s="145">
        <f t="shared" si="42"/>
        <v>21.34737383415009</v>
      </c>
      <c r="AE79" s="145">
        <f t="shared" si="43"/>
        <v>12.672499999999999</v>
      </c>
      <c r="AF79" s="145">
        <f t="shared" si="44"/>
        <v>-56.670535777440051</v>
      </c>
      <c r="AG79" s="772">
        <f t="shared" si="51"/>
        <v>195.43583805671003</v>
      </c>
      <c r="AH79" s="1253">
        <f t="shared" si="45"/>
        <v>73.215999999999994</v>
      </c>
      <c r="AI79" s="1253">
        <f t="shared" si="46"/>
        <v>93.531000000000006</v>
      </c>
      <c r="AJ79" s="156">
        <f t="shared" si="47"/>
        <v>-224.99931053165</v>
      </c>
      <c r="AK79" s="156">
        <f t="shared" si="48"/>
        <v>73.646961627148997</v>
      </c>
      <c r="AL79" s="88"/>
      <c r="AM79" s="716">
        <f t="shared" si="49"/>
        <v>9130.3136774178583</v>
      </c>
      <c r="AN79" s="716" t="str">
        <f>_xlfn.XLOOKUP(D79,RUC!$B$3:$B$578,RUC!$M$3:$M$578)</f>
        <v>Ronald Miranda</v>
      </c>
      <c r="AO79" s="1167" t="s">
        <v>2279</v>
      </c>
      <c r="AP79" s="1492" t="s">
        <v>3134</v>
      </c>
      <c r="AQ79" t="s">
        <v>3135</v>
      </c>
    </row>
    <row r="80" spans="1:43" ht="14.25" customHeight="1">
      <c r="A80" s="747" t="s">
        <v>3114</v>
      </c>
      <c r="B80" s="595">
        <v>45951</v>
      </c>
      <c r="C80" s="1447">
        <v>45947</v>
      </c>
      <c r="D80" t="s">
        <v>93</v>
      </c>
      <c r="E80" s="762">
        <f>_xlfn.XLOOKUP(D80,RUC!$B$3:$B$123,RUC!$D$3:$D$123)</f>
        <v>20169040231</v>
      </c>
      <c r="G80" s="1082">
        <v>5</v>
      </c>
      <c r="H80" s="762" t="s">
        <v>108</v>
      </c>
      <c r="I80" s="703">
        <v>0.37</v>
      </c>
      <c r="J80" s="596">
        <v>9.43</v>
      </c>
      <c r="K80" s="703">
        <f t="shared" si="52"/>
        <v>0.33500000000000002</v>
      </c>
      <c r="L80" s="994">
        <v>6.6</v>
      </c>
      <c r="M80" s="994">
        <v>6.27</v>
      </c>
      <c r="N80" s="1480">
        <v>6.907</v>
      </c>
      <c r="O80" s="645">
        <f t="shared" si="41"/>
        <v>6.5890000000000004</v>
      </c>
      <c r="P80" s="727">
        <v>81</v>
      </c>
      <c r="Q80" s="1476">
        <v>81.61</v>
      </c>
      <c r="R80" s="706">
        <v>4224.75</v>
      </c>
      <c r="S80" s="765">
        <f>IF((_xlfn.XLOOKUP(D80,RUC!$B$3:$B$119,RUC!$E$3:$E$119)+ROUNDDOWN(O80,1)*100)&lt;95,95,((_xlfn.XLOOKUP(D80,RUC!$B$3:$B$119,RUC!$E$3:$E$119)+ROUNDDOWN(O80,1)*100)))</f>
        <v>735</v>
      </c>
      <c r="U80" s="1146">
        <f>_xlfn.XLOOKUP(D80,RUC!$B$3:$B$123,RUC!$F$3:$F$123)</f>
        <v>120</v>
      </c>
      <c r="V80" s="715">
        <v>1.1023000000000001</v>
      </c>
      <c r="Y80" s="1445">
        <v>40</v>
      </c>
      <c r="Z80" s="1454">
        <v>35</v>
      </c>
      <c r="AA80" s="144">
        <f t="shared" si="32"/>
        <v>75</v>
      </c>
      <c r="AB80" s="145">
        <f t="shared" si="33"/>
        <v>23255.686261658251</v>
      </c>
      <c r="AC80" s="145">
        <f>+(S80-T80)*V80-'data 1'!$F$4</f>
        <v>730.19050000000004</v>
      </c>
      <c r="AD80" s="145">
        <f t="shared" si="42"/>
        <v>182.16305014049985</v>
      </c>
      <c r="AE80" s="145">
        <f t="shared" si="43"/>
        <v>12.672499999999999</v>
      </c>
      <c r="AF80" s="145">
        <f t="shared" si="44"/>
        <v>40.618378475314664</v>
      </c>
      <c r="AG80" s="772">
        <f t="shared" si="51"/>
        <v>982.6444286158146</v>
      </c>
      <c r="AH80" s="1253">
        <f t="shared" si="45"/>
        <v>61.863999999999997</v>
      </c>
      <c r="AI80" s="1253">
        <f t="shared" si="46"/>
        <v>75.805000000000007</v>
      </c>
      <c r="AJ80" s="156">
        <f t="shared" si="47"/>
        <v>-918.79321309049988</v>
      </c>
      <c r="AK80" s="156">
        <f t="shared" si="48"/>
        <v>61.299707572104474</v>
      </c>
      <c r="AL80" s="88"/>
      <c r="AM80" s="716">
        <f t="shared" si="49"/>
        <v>7790.654897655515</v>
      </c>
      <c r="AN80" s="716" t="str">
        <f>_xlfn.XLOOKUP(D80,RUC!$B$3:$B$578,RUC!$M$3:$M$578)</f>
        <v>Ronald Miranda</v>
      </c>
      <c r="AO80" s="1167" t="s">
        <v>2279</v>
      </c>
      <c r="AP80" s="1492" t="s">
        <v>3134</v>
      </c>
      <c r="AQ80" t="s">
        <v>3135</v>
      </c>
    </row>
    <row r="81" spans="1:44" ht="15" customHeight="1">
      <c r="A81" s="747" t="s">
        <v>3115</v>
      </c>
      <c r="B81" s="595">
        <v>45953</v>
      </c>
      <c r="C81" s="1447">
        <v>45947</v>
      </c>
      <c r="D81" t="s">
        <v>93</v>
      </c>
      <c r="E81" s="762">
        <f>_xlfn.XLOOKUP(D81,RUC!$B$3:$B$123,RUC!$D$3:$D$123)</f>
        <v>20169040231</v>
      </c>
      <c r="G81" s="1082">
        <v>12</v>
      </c>
      <c r="H81" s="762" t="s">
        <v>69</v>
      </c>
      <c r="I81" s="703">
        <v>1.1299999999999999</v>
      </c>
      <c r="J81" s="596">
        <v>1.3</v>
      </c>
      <c r="K81" s="703">
        <f t="shared" si="52"/>
        <v>1.115</v>
      </c>
      <c r="L81" s="762">
        <v>0.16600000000000001</v>
      </c>
      <c r="M81" s="994">
        <v>0.151</v>
      </c>
      <c r="N81" s="1196">
        <f t="shared" si="40"/>
        <v>0.151</v>
      </c>
      <c r="O81" s="645">
        <f t="shared" si="41"/>
        <v>0.151</v>
      </c>
      <c r="P81" s="727">
        <v>90</v>
      </c>
      <c r="Q81" s="1476">
        <v>90.96</v>
      </c>
      <c r="R81" s="706">
        <v>4224.75</v>
      </c>
      <c r="S81" s="765">
        <f>IF((_xlfn.XLOOKUP(D81,RUC!$B$3:$B$119,RUC!$E$3:$E$119)+ROUNDDOWN(O81,1)*100)&lt;95,95,((_xlfn.XLOOKUP(D81,RUC!$B$3:$B$119,RUC!$E$3:$E$119)+ROUNDDOWN(O81,1)*100)))</f>
        <v>95</v>
      </c>
      <c r="U81" s="1146">
        <f>_xlfn.XLOOKUP(D81,RUC!$B$3:$B$123,RUC!$F$3:$F$123)</f>
        <v>120</v>
      </c>
      <c r="V81" s="715">
        <v>1.1023000000000001</v>
      </c>
      <c r="Y81">
        <f>_xlfn.XLOOKUP(D81,RUC!$B$3:$B$123,RUC!$G$3:$G$123)</f>
        <v>20</v>
      </c>
      <c r="Z81" s="1454">
        <v>35</v>
      </c>
      <c r="AA81" s="144">
        <f t="shared" ref="AA81:AA85" si="53">+Y81+Z81</f>
        <v>55</v>
      </c>
      <c r="AB81" s="145">
        <f t="shared" si="33"/>
        <v>449.55709920749996</v>
      </c>
      <c r="AC81" s="145">
        <f>+(S81-T81)*V81-'data 1'!$F$4</f>
        <v>24.718500000000006</v>
      </c>
      <c r="AD81" s="145">
        <f t="shared" si="42"/>
        <v>7.2105076180799541</v>
      </c>
      <c r="AE81" s="145">
        <f t="shared" si="43"/>
        <v>-9.3734999999999999</v>
      </c>
      <c r="AF81" s="145">
        <f t="shared" si="44"/>
        <v>61.734541880700064</v>
      </c>
      <c r="AG81" s="772">
        <f t="shared" si="51"/>
        <v>101.29004949878004</v>
      </c>
      <c r="AH81" s="1253">
        <f t="shared" si="45"/>
        <v>5.7720000000000002</v>
      </c>
      <c r="AI81" s="1253">
        <f t="shared" si="46"/>
        <v>6.3460000000000001</v>
      </c>
      <c r="AJ81" s="156">
        <f t="shared" si="47"/>
        <v>-25.756627957079999</v>
      </c>
      <c r="AK81" s="156">
        <f t="shared" si="48"/>
        <v>5.1952134231344242</v>
      </c>
      <c r="AL81" s="88"/>
      <c r="AM81" s="716">
        <f t="shared" si="49"/>
        <v>501.25616561636247</v>
      </c>
      <c r="AN81" s="716" t="str">
        <f>_xlfn.XLOOKUP(D81,RUC!$B$3:$B$578,RUC!$M$3:$M$578)</f>
        <v>Ronald Miranda</v>
      </c>
      <c r="AO81" s="1167" t="s">
        <v>2281</v>
      </c>
      <c r="AP81" s="1492" t="s">
        <v>3134</v>
      </c>
      <c r="AQ81" t="s">
        <v>3135</v>
      </c>
    </row>
    <row r="82" spans="1:44" ht="15" customHeight="1">
      <c r="A82" s="747" t="s">
        <v>3116</v>
      </c>
      <c r="B82" s="595">
        <v>45951</v>
      </c>
      <c r="C82" s="1447">
        <v>45947</v>
      </c>
      <c r="D82" t="s">
        <v>93</v>
      </c>
      <c r="E82" s="762">
        <f>_xlfn.XLOOKUP(D82,RUC!$B$3:$B$123,RUC!$D$3:$D$123)</f>
        <v>20169040231</v>
      </c>
      <c r="G82" s="1082">
        <v>44</v>
      </c>
      <c r="H82" s="762" t="s">
        <v>69</v>
      </c>
      <c r="I82" s="703">
        <v>3.67</v>
      </c>
      <c r="J82" s="596">
        <v>1.3</v>
      </c>
      <c r="K82" s="703">
        <f t="shared" si="52"/>
        <v>3.6219999999999999</v>
      </c>
      <c r="L82" s="762">
        <v>0.88400000000000001</v>
      </c>
      <c r="M82" s="994">
        <v>0.84</v>
      </c>
      <c r="N82" s="1480">
        <v>1.0580000000000001</v>
      </c>
      <c r="O82" s="645">
        <f t="shared" si="41"/>
        <v>0.94899999999999995</v>
      </c>
      <c r="P82" s="727">
        <v>74</v>
      </c>
      <c r="Q82" s="1476">
        <v>74.77</v>
      </c>
      <c r="R82" s="706">
        <v>4224.75</v>
      </c>
      <c r="S82" s="765">
        <f>IF((_xlfn.XLOOKUP(D82,RUC!$B$3:$B$119,RUC!$E$3:$E$119)+ROUNDDOWN(O82,1)*100)&lt;95,95,((_xlfn.XLOOKUP(D82,RUC!$B$3:$B$119,RUC!$E$3:$E$119)+ROUNDDOWN(O82,1)*100)))</f>
        <v>175</v>
      </c>
      <c r="U82" s="1146">
        <f>_xlfn.XLOOKUP(D82,RUC!$B$3:$B$123,RUC!$F$3:$F$123)</f>
        <v>120</v>
      </c>
      <c r="V82" s="715">
        <v>1.1023000000000001</v>
      </c>
      <c r="Y82" s="1445">
        <v>40</v>
      </c>
      <c r="Z82" s="1454">
        <v>35</v>
      </c>
      <c r="AA82" s="144">
        <f t="shared" si="53"/>
        <v>75</v>
      </c>
      <c r="AB82" s="145">
        <f t="shared" ref="AB82:AB85" si="54">+((O82*P82*(R82-U82)/100)-S82-AA82+T82)*V82</f>
        <v>2901.9168924904998</v>
      </c>
      <c r="AC82" s="145">
        <f>+(S82-T82)*V82-'data 1'!$F$4</f>
        <v>112.9025</v>
      </c>
      <c r="AD82" s="145">
        <f t="shared" si="42"/>
        <v>30.798496018289843</v>
      </c>
      <c r="AE82" s="145">
        <f t="shared" si="43"/>
        <v>12.672499999999999</v>
      </c>
      <c r="AF82" s="145">
        <f t="shared" si="44"/>
        <v>-219.90102628796234</v>
      </c>
      <c r="AG82" s="772">
        <f t="shared" si="51"/>
        <v>-46.527530269672468</v>
      </c>
      <c r="AH82" s="1253">
        <f t="shared" si="45"/>
        <v>82.08</v>
      </c>
      <c r="AI82" s="1253">
        <f t="shared" si="46"/>
        <v>109.777</v>
      </c>
      <c r="AJ82" s="156">
        <f t="shared" si="47"/>
        <v>-112.74832813829002</v>
      </c>
      <c r="AK82" s="156">
        <f t="shared" si="48"/>
        <v>87.207823448638649</v>
      </c>
      <c r="AL82" s="88"/>
      <c r="AM82" s="716">
        <f t="shared" si="49"/>
        <v>10510.742984600591</v>
      </c>
      <c r="AN82" s="716" t="str">
        <f>_xlfn.XLOOKUP(D82,RUC!$B$3:$B$578,RUC!$M$3:$M$578)</f>
        <v>Ronald Miranda</v>
      </c>
      <c r="AO82" s="1167" t="s">
        <v>2281</v>
      </c>
      <c r="AP82" s="1492" t="s">
        <v>3134</v>
      </c>
      <c r="AQ82" t="s">
        <v>3135</v>
      </c>
      <c r="AR82" s="1497" t="s">
        <v>3208</v>
      </c>
    </row>
    <row r="83" spans="1:44" ht="15" customHeight="1">
      <c r="A83" s="747" t="s">
        <v>3117</v>
      </c>
      <c r="B83" s="595">
        <v>45954</v>
      </c>
      <c r="C83" s="1447">
        <v>45947</v>
      </c>
      <c r="D83" t="s">
        <v>1484</v>
      </c>
      <c r="E83" s="762">
        <f>_xlfn.XLOOKUP(D83,RUC!$B$3:$B$123,RUC!$D$3:$D$123)</f>
        <v>10761932735</v>
      </c>
      <c r="G83" s="1082">
        <v>47</v>
      </c>
      <c r="H83" s="762" t="s">
        <v>69</v>
      </c>
      <c r="I83" s="703">
        <v>4.3600000000000003</v>
      </c>
      <c r="J83" s="596">
        <v>8.15</v>
      </c>
      <c r="K83" s="703">
        <f t="shared" si="52"/>
        <v>4.0049999999999999</v>
      </c>
      <c r="L83" s="994">
        <v>0.39</v>
      </c>
      <c r="M83" s="994">
        <v>0.371</v>
      </c>
      <c r="N83" s="1196">
        <f t="shared" si="40"/>
        <v>0.371</v>
      </c>
      <c r="O83" s="645">
        <f t="shared" si="41"/>
        <v>0.371</v>
      </c>
      <c r="P83" s="727">
        <v>90</v>
      </c>
      <c r="Q83" s="1476">
        <v>96.67</v>
      </c>
      <c r="R83" s="706">
        <v>4224.75</v>
      </c>
      <c r="S83" s="765">
        <f>IF((_xlfn.XLOOKUP(D83,RUC!$B$3:$B$119,RUC!$E$3:$E$119)+ROUNDDOWN(O83,1)*100)&lt;95,95,((_xlfn.XLOOKUP(D83,RUC!$B$3:$B$119,RUC!$E$3:$E$119)+ROUNDDOWN(O83,1)*100)))</f>
        <v>120</v>
      </c>
      <c r="U83" s="1146">
        <f>_xlfn.XLOOKUP(D83,RUC!$B$3:$B$123,RUC!$F$3:$F$123)</f>
        <v>120</v>
      </c>
      <c r="V83" s="715">
        <v>1.1023000000000001</v>
      </c>
      <c r="Y83">
        <f>_xlfn.XLOOKUP(D83,RUC!$B$3:$B$123,RUC!$G$3:$G$123)</f>
        <v>20</v>
      </c>
      <c r="Z83" s="143">
        <f>_xlfn.XLOOKUP(D83,RUC!$B$3:$B$123,RUC!$H$3:$H$123)</f>
        <v>30</v>
      </c>
      <c r="AA83" s="144">
        <f t="shared" si="53"/>
        <v>50</v>
      </c>
      <c r="AB83" s="145">
        <f t="shared" si="54"/>
        <v>1323.3949523575002</v>
      </c>
      <c r="AC83" s="145">
        <f>+(S83-T83)*V83-'data 1'!$F$4</f>
        <v>52.27600000000001</v>
      </c>
      <c r="AD83" s="145">
        <f t="shared" si="42"/>
        <v>117.70013470702503</v>
      </c>
      <c r="AE83" s="145">
        <f t="shared" si="43"/>
        <v>-14.884999999999998</v>
      </c>
      <c r="AF83" s="145">
        <f t="shared" si="44"/>
        <v>83.105896444252579</v>
      </c>
      <c r="AG83" s="772">
        <f t="shared" si="51"/>
        <v>255.19703115127766</v>
      </c>
      <c r="AH83" s="1253">
        <f t="shared" si="45"/>
        <v>51.768999999999998</v>
      </c>
      <c r="AI83" s="1253">
        <f t="shared" si="46"/>
        <v>53.552</v>
      </c>
      <c r="AJ83" s="156">
        <f t="shared" si="47"/>
        <v>-64.311226277025014</v>
      </c>
      <c r="AK83" s="156">
        <f t="shared" si="48"/>
        <v>45.848803734929476</v>
      </c>
      <c r="AL83" s="88"/>
      <c r="AM83" s="716">
        <f t="shared" si="49"/>
        <v>5300.1967841917885</v>
      </c>
      <c r="AN83" s="716" t="str">
        <f>_xlfn.XLOOKUP(D83,RUC!$B$3:$B$578,RUC!$M$3:$M$578)</f>
        <v>Richard Sapacayo</v>
      </c>
      <c r="AO83" s="1167" t="s">
        <v>2281</v>
      </c>
      <c r="AP83" t="s">
        <v>3185</v>
      </c>
      <c r="AQ83" t="s">
        <v>2375</v>
      </c>
    </row>
    <row r="84" spans="1:44" ht="15" customHeight="1">
      <c r="A84" s="747" t="s">
        <v>3118</v>
      </c>
      <c r="B84" s="595">
        <v>45954</v>
      </c>
      <c r="C84" s="1447">
        <v>45947</v>
      </c>
      <c r="D84" t="s">
        <v>1484</v>
      </c>
      <c r="E84" s="762">
        <f>_xlfn.XLOOKUP(D84,RUC!$B$3:$B$123,RUC!$D$3:$D$123)</f>
        <v>10761932735</v>
      </c>
      <c r="G84" s="1082" t="s">
        <v>2985</v>
      </c>
      <c r="H84" s="762" t="s">
        <v>69</v>
      </c>
      <c r="I84" s="703">
        <v>35.67</v>
      </c>
      <c r="J84" s="596">
        <v>10.050000000000001</v>
      </c>
      <c r="K84" s="703">
        <f t="shared" si="52"/>
        <v>32.085000000000001</v>
      </c>
      <c r="L84" s="762">
        <v>0.191</v>
      </c>
      <c r="M84" s="994">
        <v>0.17599999999999999</v>
      </c>
      <c r="N84" s="1196">
        <f t="shared" si="40"/>
        <v>0.17599999999999999</v>
      </c>
      <c r="O84" s="645">
        <f t="shared" si="41"/>
        <v>0.17599999999999999</v>
      </c>
      <c r="P84" s="727">
        <v>90</v>
      </c>
      <c r="Q84" s="1494">
        <v>92.15</v>
      </c>
      <c r="R84" s="706">
        <v>4224.75</v>
      </c>
      <c r="S84" s="765">
        <f>IF((_xlfn.XLOOKUP(D84,RUC!$B$3:$B$119,RUC!$E$3:$E$119)+ROUNDDOWN(O84,1)*100)&lt;95,95,((_xlfn.XLOOKUP(D84,RUC!$B$3:$B$119,RUC!$E$3:$E$119)+ROUNDDOWN(O84,1)*100)))</f>
        <v>100</v>
      </c>
      <c r="U84" s="1146">
        <f>_xlfn.XLOOKUP(D84,RUC!$B$3:$B$123,RUC!$F$3:$F$123)</f>
        <v>120</v>
      </c>
      <c r="V84" s="715">
        <v>1.1023000000000001</v>
      </c>
      <c r="Y84">
        <f>_xlfn.XLOOKUP(D84,RUC!$B$3:$B$123,RUC!$G$3:$G$123)</f>
        <v>20</v>
      </c>
      <c r="Z84" s="143">
        <f>_xlfn.XLOOKUP(D84,RUC!$B$3:$B$123,RUC!$H$3:$H$123)</f>
        <v>30</v>
      </c>
      <c r="AA84" s="144">
        <f t="shared" si="53"/>
        <v>50</v>
      </c>
      <c r="AB84" s="145">
        <f t="shared" si="54"/>
        <v>551.36208252000006</v>
      </c>
      <c r="AC84" s="145">
        <f>+(S84-T84)*V84-'data 1'!$F$4</f>
        <v>30.230000000000004</v>
      </c>
      <c r="AD84" s="145">
        <f t="shared" si="42"/>
        <v>18.580540621012553</v>
      </c>
      <c r="AE84" s="145">
        <f t="shared" si="43"/>
        <v>-14.884999999999998</v>
      </c>
      <c r="AF84" s="145">
        <f t="shared" si="44"/>
        <v>62.542194748312561</v>
      </c>
      <c r="AG84" s="772">
        <f t="shared" si="51"/>
        <v>113.46773536932511</v>
      </c>
      <c r="AH84" s="1253">
        <f t="shared" si="45"/>
        <v>193.61500000000001</v>
      </c>
      <c r="AI84" s="1253">
        <f t="shared" si="46"/>
        <v>210.10900000000001</v>
      </c>
      <c r="AJ84" s="156">
        <f t="shared" si="47"/>
        <v>-30.023351576012502</v>
      </c>
      <c r="AK84" s="156">
        <f t="shared" si="48"/>
        <v>174.24739341254519</v>
      </c>
      <c r="AL84" s="88"/>
      <c r="AM84" s="716">
        <f t="shared" si="49"/>
        <v>17690.452417654204</v>
      </c>
      <c r="AN84" s="716" t="str">
        <f>_xlfn.XLOOKUP(D84,RUC!$B$3:$B$578,RUC!$M$3:$M$578)</f>
        <v>Richard Sapacayo</v>
      </c>
      <c r="AO84" s="1167" t="s">
        <v>2281</v>
      </c>
      <c r="AP84" t="s">
        <v>3185</v>
      </c>
      <c r="AQ84" t="s">
        <v>2375</v>
      </c>
    </row>
    <row r="85" spans="1:44" ht="15" customHeight="1">
      <c r="A85" s="747" t="s">
        <v>3119</v>
      </c>
      <c r="B85" s="595">
        <v>45953</v>
      </c>
      <c r="C85" s="1447">
        <v>45948</v>
      </c>
      <c r="D85" t="s">
        <v>2004</v>
      </c>
      <c r="E85" s="762">
        <f>_xlfn.XLOOKUP(D85,RUC!$B$3:$B$123,RUC!$D$3:$D$123)</f>
        <v>20612921866</v>
      </c>
      <c r="G85" s="1082">
        <v>13</v>
      </c>
      <c r="H85" s="762" t="s">
        <v>69</v>
      </c>
      <c r="I85" s="703">
        <v>1.47</v>
      </c>
      <c r="J85" s="596">
        <v>1.2</v>
      </c>
      <c r="K85" s="703">
        <f t="shared" si="52"/>
        <v>1.452</v>
      </c>
      <c r="L85" s="762">
        <v>0.13800000000000001</v>
      </c>
      <c r="M85" s="994">
        <v>0.123</v>
      </c>
      <c r="N85" s="1196">
        <f t="shared" si="40"/>
        <v>0.123</v>
      </c>
      <c r="O85" s="645">
        <f t="shared" si="41"/>
        <v>0.123</v>
      </c>
      <c r="P85" s="727">
        <v>90</v>
      </c>
      <c r="Q85" s="1494">
        <v>95.65</v>
      </c>
      <c r="R85" s="706">
        <v>4224.75</v>
      </c>
      <c r="S85" s="765">
        <f>IF((_xlfn.XLOOKUP(D85,RUC!$B$3:$B$119,RUC!$E$3:$E$119)+ROUNDDOWN(O85,1)*100)&lt;95,95,((_xlfn.XLOOKUP(D85,RUC!$B$3:$B$119,RUC!$E$3:$E$119)+ROUNDDOWN(O85,1)*100)))</f>
        <v>95</v>
      </c>
      <c r="U85" s="1146">
        <f>_xlfn.XLOOKUP(D85,RUC!$B$3:$B$123,RUC!$F$3:$F$123)</f>
        <v>100</v>
      </c>
      <c r="V85" s="715">
        <v>1.1023000000000001</v>
      </c>
      <c r="Y85">
        <f>_xlfn.XLOOKUP(D85,RUC!$B$3:$B$123,RUC!$G$3:$G$123)</f>
        <v>0</v>
      </c>
      <c r="Z85" s="143">
        <f>_xlfn.XLOOKUP(D85,RUC!$B$3:$B$123,RUC!$H$3:$H$123)</f>
        <v>30</v>
      </c>
      <c r="AA85" s="144">
        <f t="shared" si="53"/>
        <v>30</v>
      </c>
      <c r="AB85" s="145">
        <f t="shared" si="54"/>
        <v>365.53351009750003</v>
      </c>
      <c r="AC85" s="145">
        <f>+(S85-T85)*V85-'data 1'!$F$4</f>
        <v>24.718500000000006</v>
      </c>
      <c r="AD85" s="145">
        <f t="shared" si="42"/>
        <v>35.450712879225044</v>
      </c>
      <c r="AE85" s="145">
        <f t="shared" si="43"/>
        <v>-36.930999999999997</v>
      </c>
      <c r="AF85" s="145">
        <f t="shared" si="44"/>
        <v>65.233949343937567</v>
      </c>
      <c r="AG85" s="772">
        <f t="shared" ref="AG85:AG86" si="55">AC85+AD85+AE85+AF85+70-10</f>
        <v>148.47216222316263</v>
      </c>
      <c r="AH85" s="1253">
        <f t="shared" si="45"/>
        <v>6.5709999999999997</v>
      </c>
      <c r="AI85" s="1253">
        <f t="shared" si="46"/>
        <v>6.87</v>
      </c>
      <c r="AJ85" s="156">
        <f t="shared" si="47"/>
        <v>-25.42617621922501</v>
      </c>
      <c r="AK85" s="156">
        <f t="shared" si="48"/>
        <v>5.5109098477600194</v>
      </c>
      <c r="AL85" s="88"/>
      <c r="AM85" s="716">
        <f t="shared" si="49"/>
        <v>530.75465666157004</v>
      </c>
      <c r="AN85" s="716" t="str">
        <f>_xlfn.XLOOKUP(D85,RUC!$B$3:$B$578,RUC!$M$3:$M$578)</f>
        <v>Ronald Garibay</v>
      </c>
      <c r="AO85" s="1167" t="s">
        <v>2281</v>
      </c>
      <c r="AP85" t="s">
        <v>3186</v>
      </c>
      <c r="AQ85" t="s">
        <v>3187</v>
      </c>
    </row>
    <row r="86" spans="1:44" ht="15" customHeight="1">
      <c r="A86" s="747" t="s">
        <v>3120</v>
      </c>
      <c r="B86" s="595">
        <v>45953</v>
      </c>
      <c r="C86" s="1447">
        <v>45948</v>
      </c>
      <c r="D86" t="s">
        <v>2004</v>
      </c>
      <c r="E86" s="762">
        <f>_xlfn.XLOOKUP(D86,RUC!$B$3:$B$123,RUC!$D$3:$D$123)</f>
        <v>20612921866</v>
      </c>
      <c r="G86" s="1082">
        <v>14</v>
      </c>
      <c r="H86" s="762" t="s">
        <v>116</v>
      </c>
      <c r="I86" s="703">
        <v>1.78</v>
      </c>
      <c r="J86" s="596">
        <v>1.3</v>
      </c>
      <c r="K86" s="703">
        <f t="shared" si="52"/>
        <v>1.7569999999999999</v>
      </c>
      <c r="L86" s="762">
        <v>0.17899999999999999</v>
      </c>
      <c r="M86" s="994">
        <v>0.16400000000000001</v>
      </c>
      <c r="N86" s="1196">
        <f t="shared" si="40"/>
        <v>0.16400000000000001</v>
      </c>
      <c r="O86" s="645">
        <f t="shared" si="41"/>
        <v>0.16400000000000001</v>
      </c>
      <c r="P86" s="727">
        <v>90</v>
      </c>
      <c r="Q86" s="1493">
        <v>96.65</v>
      </c>
      <c r="R86" s="706">
        <v>4224.75</v>
      </c>
      <c r="S86" s="765">
        <f>IF((_xlfn.XLOOKUP(D86,RUC!$B$3:$B$119,RUC!$E$3:$E$119)+ROUNDDOWN(O86,1)*100)&lt;95,95,((_xlfn.XLOOKUP(D86,RUC!$B$3:$B$119,RUC!$E$3:$E$119)+ROUNDDOWN(O86,1)*100)))</f>
        <v>95</v>
      </c>
      <c r="U86" s="1146">
        <f>_xlfn.XLOOKUP(D86,RUC!$B$3:$B$123,RUC!$F$3:$F$123)</f>
        <v>100</v>
      </c>
      <c r="V86" s="715">
        <v>1.1023000000000001</v>
      </c>
      <c r="Y86">
        <f>_xlfn.XLOOKUP(D86,RUC!$B$3:$B$123,RUC!$G$3:$G$123)</f>
        <v>0</v>
      </c>
      <c r="Z86" s="143">
        <f>_xlfn.XLOOKUP(D86,RUC!$B$3:$B$123,RUC!$H$3:$H$123)</f>
        <v>30</v>
      </c>
      <c r="AA86" s="144">
        <f>+Y86+Z86</f>
        <v>30</v>
      </c>
      <c r="AB86" s="145">
        <f>+((O86*P86*(R86-U86)/100)-S86-AA86+T86)*V86</f>
        <v>533.30718013000001</v>
      </c>
      <c r="AC86" s="145">
        <f>+(S86-T86)*V86-'data 1'!$F$4</f>
        <v>24.718500000000006</v>
      </c>
      <c r="AD86" s="145">
        <f t="shared" si="42"/>
        <v>54.121785399237545</v>
      </c>
      <c r="AE86" s="145">
        <f t="shared" si="43"/>
        <v>-36.930999999999997</v>
      </c>
      <c r="AF86" s="145">
        <f t="shared" si="44"/>
        <v>65.915956132687441</v>
      </c>
      <c r="AG86" s="772">
        <f t="shared" si="55"/>
        <v>167.825241531925</v>
      </c>
      <c r="AH86" s="1253">
        <f t="shared" si="45"/>
        <v>10.422000000000001</v>
      </c>
      <c r="AI86" s="1253">
        <f t="shared" si="46"/>
        <v>10.782999999999999</v>
      </c>
      <c r="AJ86" s="156">
        <f t="shared" si="47"/>
        <v>-33.325132219237496</v>
      </c>
      <c r="AK86" s="156">
        <f t="shared" si="48"/>
        <v>8.8913393962482612</v>
      </c>
      <c r="AL86" s="88"/>
      <c r="AM86" s="716">
        <f t="shared" si="49"/>
        <v>937.02071548840991</v>
      </c>
      <c r="AN86" s="716" t="str">
        <f>_xlfn.XLOOKUP(D86,RUC!$B$3:$B$578,RUC!$M$3:$M$578)</f>
        <v>Ronald Garibay</v>
      </c>
      <c r="AO86" s="1167" t="s">
        <v>2281</v>
      </c>
      <c r="AP86" t="s">
        <v>3186</v>
      </c>
      <c r="AQ86" t="s">
        <v>3187</v>
      </c>
    </row>
    <row r="87" spans="1:44" ht="15" customHeight="1">
      <c r="A87" s="747" t="s">
        <v>3138</v>
      </c>
      <c r="B87" s="595">
        <v>45954</v>
      </c>
      <c r="C87" s="1447">
        <v>45949</v>
      </c>
      <c r="D87" t="s">
        <v>119</v>
      </c>
      <c r="E87" s="762">
        <f>_xlfn.XLOOKUP(D87,RUC!$B$3:$B$123,RUC!$D$3:$D$123)</f>
        <v>10082235774</v>
      </c>
      <c r="G87" s="1082">
        <v>44</v>
      </c>
      <c r="H87" s="762" t="s">
        <v>69</v>
      </c>
      <c r="I87" s="703">
        <v>4.03</v>
      </c>
      <c r="J87" s="596">
        <v>1.3</v>
      </c>
      <c r="K87" s="703">
        <f t="shared" si="52"/>
        <v>3.9780000000000002</v>
      </c>
      <c r="L87" s="762">
        <v>0.152</v>
      </c>
      <c r="M87" s="994">
        <v>0.14499999999999999</v>
      </c>
      <c r="N87" s="1196">
        <f t="shared" si="40"/>
        <v>0.14499999999999999</v>
      </c>
      <c r="O87" s="645">
        <f t="shared" si="41"/>
        <v>0.14499999999999999</v>
      </c>
      <c r="P87" s="727">
        <v>85</v>
      </c>
      <c r="Q87" s="596">
        <v>97.37</v>
      </c>
      <c r="R87" s="706">
        <v>4294.3500000000004</v>
      </c>
      <c r="S87" s="1164">
        <f>IF((_xlfn.XLOOKUP(D87,RUC!$B$3:$B$119,RUC!$E$3:$E$119)+ROUNDDOWN(O87,1)*100)&lt;95,95,((_xlfn.XLOOKUP(D87,RUC!$B$3:$B$119,RUC!$E$3:$E$119)+ROUNDDOWN(O87,1)*100)))</f>
        <v>95</v>
      </c>
      <c r="U87" s="1146">
        <f>_xlfn.XLOOKUP(D87,RUC!$B$3:$B$123,RUC!$F$3:$F$123)</f>
        <v>80</v>
      </c>
      <c r="V87" s="715">
        <v>1.1023000000000001</v>
      </c>
      <c r="Y87">
        <f>_xlfn.XLOOKUP(D87,RUC!$B$3:$B$123,RUC!$G$3:$G$123)</f>
        <v>0</v>
      </c>
      <c r="Z87" s="143">
        <f>_xlfn.XLOOKUP(D87,RUC!$B$3:$B$123,RUC!$H$3:$H$123)</f>
        <v>10</v>
      </c>
      <c r="AA87" s="144">
        <f t="shared" ref="AA87:AA93" si="56">+Y87+Z87</f>
        <v>10</v>
      </c>
      <c r="AB87" s="145">
        <f t="shared" ref="AB87:AB93" si="57">+((O87*P87*(R87-U87)/100)-S87-AA87+T87)*V87</f>
        <v>456.8136641162501</v>
      </c>
      <c r="AC87" s="145">
        <f>+(S87-T87)*V87-'data 1'!$F$4</f>
        <v>24.718500000000006</v>
      </c>
      <c r="AD87" s="145">
        <f t="shared" si="42"/>
        <v>87.346135641212044</v>
      </c>
      <c r="AE87" s="145">
        <f t="shared" si="43"/>
        <v>-58.977000000000004</v>
      </c>
      <c r="AF87" s="145">
        <f t="shared" si="44"/>
        <v>31.663113534279535</v>
      </c>
      <c r="AG87" s="772">
        <f>AC87+AD87+AE87+AF87+70</f>
        <v>154.75074917549159</v>
      </c>
      <c r="AH87" s="1253">
        <f t="shared" si="45"/>
        <v>20.186</v>
      </c>
      <c r="AI87" s="1253">
        <f t="shared" si="46"/>
        <v>20.731000000000002</v>
      </c>
      <c r="AJ87" s="156">
        <f t="shared" si="47"/>
        <v>-43.126864083212055</v>
      </c>
      <c r="AK87" s="156">
        <f t="shared" si="48"/>
        <v>16.809731478952425</v>
      </c>
      <c r="AL87" s="88"/>
      <c r="AM87" s="716">
        <f t="shared" si="49"/>
        <v>1817.204755854443</v>
      </c>
      <c r="AN87" s="716" t="str">
        <f>_xlfn.XLOOKUP(D87,RUC!$B$3:$B$578,RUC!$M$3:$M$578)</f>
        <v>Melchor Vera</v>
      </c>
      <c r="AO87" s="1167" t="s">
        <v>2279</v>
      </c>
      <c r="AP87" t="s">
        <v>3188</v>
      </c>
      <c r="AQ87" t="s">
        <v>3189</v>
      </c>
    </row>
    <row r="88" spans="1:44" ht="15" customHeight="1">
      <c r="A88" s="747" t="s">
        <v>3139</v>
      </c>
      <c r="B88" s="595">
        <v>45954</v>
      </c>
      <c r="C88" s="1447">
        <v>45949</v>
      </c>
      <c r="D88" t="s">
        <v>119</v>
      </c>
      <c r="E88" s="762">
        <f>_xlfn.XLOOKUP(D88,RUC!$B$3:$B$123,RUC!$D$3:$D$123)</f>
        <v>10082235774</v>
      </c>
      <c r="G88" s="1082">
        <v>44</v>
      </c>
      <c r="H88" s="762" t="s">
        <v>69</v>
      </c>
      <c r="I88" s="703">
        <v>3.78</v>
      </c>
      <c r="J88" s="596">
        <v>1.25</v>
      </c>
      <c r="K88" s="703">
        <f t="shared" si="52"/>
        <v>3.7330000000000001</v>
      </c>
      <c r="L88" s="762">
        <v>0.109</v>
      </c>
      <c r="M88" s="994">
        <v>0.10199999999999999</v>
      </c>
      <c r="N88" s="1196">
        <f t="shared" si="40"/>
        <v>0.10199999999999999</v>
      </c>
      <c r="O88" s="645">
        <f t="shared" si="41"/>
        <v>0.10199999999999999</v>
      </c>
      <c r="P88" s="727">
        <v>85</v>
      </c>
      <c r="Q88" s="596">
        <v>94.5</v>
      </c>
      <c r="R88" s="706">
        <v>4294.3500000000004</v>
      </c>
      <c r="S88" s="1164">
        <f>IF((_xlfn.XLOOKUP(D88,RUC!$B$3:$B$119,RUC!$E$3:$E$119)+ROUNDDOWN(O88,1)*100)&lt;95,95,((_xlfn.XLOOKUP(D88,RUC!$B$3:$B$119,RUC!$E$3:$E$119)+ROUNDDOWN(O88,1)*100)))</f>
        <v>95</v>
      </c>
      <c r="U88" s="1146">
        <f>_xlfn.XLOOKUP(D88,RUC!$B$3:$B$123,RUC!$F$3:$F$123)</f>
        <v>80</v>
      </c>
      <c r="V88" s="715">
        <v>1.1023000000000001</v>
      </c>
      <c r="Y88">
        <f>_xlfn.XLOOKUP(D88,RUC!$B$3:$B$123,RUC!$G$3:$G$123)</f>
        <v>0</v>
      </c>
      <c r="Z88" s="143">
        <f>_xlfn.XLOOKUP(D88,RUC!$B$3:$B$123,RUC!$H$3:$H$123)</f>
        <v>10</v>
      </c>
      <c r="AA88" s="144">
        <f t="shared" si="56"/>
        <v>10</v>
      </c>
      <c r="AB88" s="145">
        <f t="shared" si="57"/>
        <v>287.02144303350008</v>
      </c>
      <c r="AC88" s="145">
        <f>+(S88-T88)*V88-'data 1'!$F$4</f>
        <v>24.718500000000006</v>
      </c>
      <c r="AD88" s="145">
        <f t="shared" si="42"/>
        <v>48.103924741774996</v>
      </c>
      <c r="AE88" s="145">
        <f t="shared" si="43"/>
        <v>-58.977000000000004</v>
      </c>
      <c r="AF88" s="145">
        <f t="shared" si="44"/>
        <v>30.72983700307503</v>
      </c>
      <c r="AG88" s="772">
        <f t="shared" ref="AG88:AG92" si="58">AC88+AD88+AE88+AF88+70</f>
        <v>114.57526174485002</v>
      </c>
      <c r="AH88" s="1253">
        <f t="shared" si="45"/>
        <v>13.183</v>
      </c>
      <c r="AI88" s="1253">
        <f t="shared" si="46"/>
        <v>13.951000000000001</v>
      </c>
      <c r="AJ88" s="156">
        <f t="shared" si="47"/>
        <v>-30.014936480025042</v>
      </c>
      <c r="AK88" s="156">
        <f t="shared" si="48"/>
        <v>11.096503556309356</v>
      </c>
      <c r="AL88" s="88"/>
      <c r="AM88" s="716">
        <f t="shared" si="49"/>
        <v>1071.4510468440558</v>
      </c>
      <c r="AN88" s="716" t="str">
        <f>_xlfn.XLOOKUP(D88,RUC!$B$3:$B$578,RUC!$M$3:$M$578)</f>
        <v>Melchor Vera</v>
      </c>
      <c r="AO88" s="1167" t="s">
        <v>2279</v>
      </c>
      <c r="AP88" t="s">
        <v>3188</v>
      </c>
      <c r="AQ88" t="s">
        <v>3189</v>
      </c>
    </row>
    <row r="89" spans="1:44" ht="15" customHeight="1">
      <c r="A89" s="747" t="s">
        <v>3140</v>
      </c>
      <c r="B89" s="595">
        <v>45954</v>
      </c>
      <c r="C89" s="1447">
        <v>45949</v>
      </c>
      <c r="D89" t="s">
        <v>119</v>
      </c>
      <c r="E89" s="762">
        <f>_xlfn.XLOOKUP(D89,RUC!$B$3:$B$123,RUC!$D$3:$D$123)</f>
        <v>10082235774</v>
      </c>
      <c r="G89" s="1082">
        <v>49</v>
      </c>
      <c r="H89" s="762" t="s">
        <v>69</v>
      </c>
      <c r="I89" s="703">
        <v>4.28</v>
      </c>
      <c r="J89" s="596">
        <v>1.2</v>
      </c>
      <c r="K89" s="703">
        <f t="shared" si="52"/>
        <v>4.2290000000000001</v>
      </c>
      <c r="L89" s="762">
        <v>0.127</v>
      </c>
      <c r="M89" s="994">
        <v>0.12</v>
      </c>
      <c r="N89" s="1196">
        <f t="shared" si="40"/>
        <v>0.12</v>
      </c>
      <c r="O89" s="645">
        <f t="shared" si="41"/>
        <v>0.12</v>
      </c>
      <c r="P89" s="727">
        <v>85</v>
      </c>
      <c r="Q89" s="596">
        <v>96.85</v>
      </c>
      <c r="R89" s="706">
        <v>4294.3500000000004</v>
      </c>
      <c r="S89" s="1164">
        <f>IF((_xlfn.XLOOKUP(D89,RUC!$B$3:$B$119,RUC!$E$3:$E$119)+ROUNDDOWN(O89,1)*100)&lt;95,95,((_xlfn.XLOOKUP(D89,RUC!$B$3:$B$119,RUC!$E$3:$E$119)+ROUNDDOWN(O89,1)*100)))</f>
        <v>95</v>
      </c>
      <c r="U89" s="1146">
        <f>_xlfn.XLOOKUP(D89,RUC!$B$3:$B$123,RUC!$F$3:$F$123)</f>
        <v>80</v>
      </c>
      <c r="V89" s="715">
        <v>1.1023000000000001</v>
      </c>
      <c r="Y89">
        <f>_xlfn.XLOOKUP(D89,RUC!$B$3:$B$123,RUC!$G$3:$G$123)</f>
        <v>0</v>
      </c>
      <c r="Z89" s="143">
        <f>_xlfn.XLOOKUP(D89,RUC!$B$3:$B$123,RUC!$H$3:$H$123)</f>
        <v>10</v>
      </c>
      <c r="AA89" s="144">
        <f t="shared" si="56"/>
        <v>10</v>
      </c>
      <c r="AB89" s="145">
        <f t="shared" si="57"/>
        <v>358.09725651000008</v>
      </c>
      <c r="AC89" s="145">
        <f>+(S89-T89)*V89-'data 1'!$F$4</f>
        <v>24.718500000000006</v>
      </c>
      <c r="AD89" s="145">
        <f t="shared" si="42"/>
        <v>69.912121236247472</v>
      </c>
      <c r="AE89" s="145">
        <f t="shared" si="43"/>
        <v>-58.977000000000004</v>
      </c>
      <c r="AF89" s="145">
        <f t="shared" si="44"/>
        <v>31.49401813489753</v>
      </c>
      <c r="AG89" s="772">
        <f t="shared" si="58"/>
        <v>137.147639371145</v>
      </c>
      <c r="AH89" s="1253">
        <f t="shared" si="45"/>
        <v>17.834</v>
      </c>
      <c r="AI89" s="1253">
        <f t="shared" si="46"/>
        <v>18.414000000000001</v>
      </c>
      <c r="AJ89" s="156">
        <f t="shared" si="47"/>
        <v>-35.841193918497552</v>
      </c>
      <c r="AK89" s="156">
        <f t="shared" si="48"/>
        <v>14.789276418471902</v>
      </c>
      <c r="AL89" s="88"/>
      <c r="AM89" s="716">
        <f t="shared" si="49"/>
        <v>1514.3932977807904</v>
      </c>
      <c r="AN89" s="716" t="str">
        <f>_xlfn.XLOOKUP(D89,RUC!$B$3:$B$578,RUC!$M$3:$M$578)</f>
        <v>Melchor Vera</v>
      </c>
      <c r="AO89" s="1167" t="s">
        <v>2279</v>
      </c>
      <c r="AP89" t="s">
        <v>3188</v>
      </c>
      <c r="AQ89" t="s">
        <v>3189</v>
      </c>
    </row>
    <row r="90" spans="1:44" ht="15" customHeight="1">
      <c r="A90" s="747" t="s">
        <v>3142</v>
      </c>
      <c r="B90" s="595">
        <v>45954</v>
      </c>
      <c r="C90" s="1447">
        <v>45949</v>
      </c>
      <c r="D90" t="s">
        <v>119</v>
      </c>
      <c r="E90" s="762">
        <f>_xlfn.XLOOKUP(D90,RUC!$B$3:$B$123,RUC!$D$3:$D$123)</f>
        <v>10082235774</v>
      </c>
      <c r="G90" s="1082">
        <v>37</v>
      </c>
      <c r="H90" s="762" t="s">
        <v>69</v>
      </c>
      <c r="I90" s="703">
        <v>3.33</v>
      </c>
      <c r="J90" s="596">
        <v>1.5</v>
      </c>
      <c r="K90" s="703">
        <f t="shared" si="52"/>
        <v>3.28</v>
      </c>
      <c r="L90" s="762">
        <v>0.26600000000000001</v>
      </c>
      <c r="M90" s="994">
        <v>0.25900000000000001</v>
      </c>
      <c r="N90" s="1196">
        <f t="shared" si="40"/>
        <v>0.25900000000000001</v>
      </c>
      <c r="O90" s="645">
        <f t="shared" si="41"/>
        <v>0.25900000000000001</v>
      </c>
      <c r="P90" s="727">
        <v>90</v>
      </c>
      <c r="Q90" s="596">
        <v>95.11</v>
      </c>
      <c r="R90" s="706">
        <v>4294.3500000000004</v>
      </c>
      <c r="S90" s="1164">
        <v>105</v>
      </c>
      <c r="U90" s="1146">
        <f>_xlfn.XLOOKUP(D90,RUC!$B$3:$B$123,RUC!$F$3:$F$123)</f>
        <v>80</v>
      </c>
      <c r="V90" s="715">
        <v>1.1023000000000001</v>
      </c>
      <c r="Y90">
        <f>_xlfn.XLOOKUP(D90,RUC!$B$3:$B$123,RUC!$G$3:$G$123)</f>
        <v>0</v>
      </c>
      <c r="Z90" s="143">
        <f>_xlfn.XLOOKUP(D90,RUC!$B$3:$B$123,RUC!$H$3:$H$123)</f>
        <v>10</v>
      </c>
      <c r="AA90" s="144">
        <f t="shared" si="56"/>
        <v>10</v>
      </c>
      <c r="AB90" s="145">
        <f t="shared" si="57"/>
        <v>956.09642296550021</v>
      </c>
      <c r="AC90" s="145">
        <f>+(S90-T90)*V90-'data 1'!$F$4</f>
        <v>35.741500000000002</v>
      </c>
      <c r="AD90" s="145">
        <f t="shared" si="42"/>
        <v>63.144124330762999</v>
      </c>
      <c r="AE90" s="145">
        <f t="shared" si="43"/>
        <v>-58.977000000000004</v>
      </c>
      <c r="AF90" s="145">
        <f t="shared" si="44"/>
        <v>30.928198913888533</v>
      </c>
      <c r="AG90" s="772">
        <f t="shared" si="58"/>
        <v>140.83682324465153</v>
      </c>
      <c r="AH90" s="1253">
        <f t="shared" si="45"/>
        <v>28.451000000000001</v>
      </c>
      <c r="AI90" s="1253">
        <f t="shared" si="46"/>
        <v>29.913</v>
      </c>
      <c r="AJ90" s="156">
        <f t="shared" si="47"/>
        <v>-73.720273956763108</v>
      </c>
      <c r="AK90" s="156">
        <f t="shared" si="48"/>
        <v>26.213510570612399</v>
      </c>
      <c r="AL90" s="88"/>
      <c r="AM90" s="716">
        <f t="shared" si="49"/>
        <v>3135.9962673268406</v>
      </c>
      <c r="AN90" s="716" t="str">
        <f>_xlfn.XLOOKUP(D90,RUC!$B$3:$B$578,RUC!$M$3:$M$578)</f>
        <v>Melchor Vera</v>
      </c>
      <c r="AO90" s="1167" t="s">
        <v>2279</v>
      </c>
      <c r="AP90" t="s">
        <v>3188</v>
      </c>
      <c r="AQ90" t="s">
        <v>3189</v>
      </c>
    </row>
    <row r="91" spans="1:44" ht="15" customHeight="1">
      <c r="A91" s="747" t="s">
        <v>3143</v>
      </c>
      <c r="B91" s="595">
        <v>45954</v>
      </c>
      <c r="C91" s="1447">
        <v>45949</v>
      </c>
      <c r="D91" t="s">
        <v>119</v>
      </c>
      <c r="E91" s="762">
        <f>_xlfn.XLOOKUP(D91,RUC!$B$3:$B$123,RUC!$D$3:$D$123)</f>
        <v>10082235774</v>
      </c>
      <c r="G91" s="1082">
        <v>41</v>
      </c>
      <c r="H91" s="762" t="s">
        <v>69</v>
      </c>
      <c r="I91" s="703">
        <v>4.0199999999999996</v>
      </c>
      <c r="J91" s="596">
        <v>1.1000000000000001</v>
      </c>
      <c r="K91" s="703">
        <f t="shared" si="52"/>
        <v>3.976</v>
      </c>
      <c r="L91" s="762">
        <v>0.13100000000000001</v>
      </c>
      <c r="M91" s="994">
        <v>0.124</v>
      </c>
      <c r="N91" s="1196">
        <f t="shared" si="40"/>
        <v>0.124</v>
      </c>
      <c r="O91" s="645">
        <f t="shared" si="41"/>
        <v>0.124</v>
      </c>
      <c r="P91" s="727">
        <v>85</v>
      </c>
      <c r="Q91" s="596">
        <v>90.84</v>
      </c>
      <c r="R91" s="706">
        <v>4294.3500000000004</v>
      </c>
      <c r="S91" s="1164">
        <f>IF((_xlfn.XLOOKUP(D91,RUC!$B$3:$B$119,RUC!$E$3:$E$119)+ROUNDDOWN(O91,1)*100)&lt;95,95,((_xlfn.XLOOKUP(D91,RUC!$B$3:$B$119,RUC!$E$3:$E$119)+ROUNDDOWN(O91,1)*100)))</f>
        <v>95</v>
      </c>
      <c r="U91" s="1146">
        <f>_xlfn.XLOOKUP(D91,RUC!$B$3:$B$123,RUC!$F$3:$F$123)</f>
        <v>80</v>
      </c>
      <c r="V91" s="715">
        <v>1.1023000000000001</v>
      </c>
      <c r="Y91">
        <f>_xlfn.XLOOKUP(D91,RUC!$B$3:$B$123,RUC!$G$3:$G$123)</f>
        <v>0</v>
      </c>
      <c r="Z91" s="143">
        <f>_xlfn.XLOOKUP(D91,RUC!$B$3:$B$123,RUC!$H$3:$H$123)</f>
        <v>10</v>
      </c>
      <c r="AA91" s="144">
        <f t="shared" si="56"/>
        <v>10</v>
      </c>
      <c r="AB91" s="145">
        <f t="shared" si="57"/>
        <v>373.89188172700005</v>
      </c>
      <c r="AC91" s="145">
        <f>+(S91-T91)*V91-'data 1'!$F$4</f>
        <v>24.718500000000006</v>
      </c>
      <c r="AD91" s="145">
        <f t="shared" si="42"/>
        <v>35.539764929452033</v>
      </c>
      <c r="AE91" s="145">
        <f t="shared" si="43"/>
        <v>-58.977000000000004</v>
      </c>
      <c r="AF91" s="145">
        <f t="shared" si="44"/>
        <v>29.539665538194029</v>
      </c>
      <c r="AG91" s="772">
        <f t="shared" si="58"/>
        <v>100.82093046764606</v>
      </c>
      <c r="AH91" s="1253">
        <f t="shared" si="45"/>
        <v>16.222000000000001</v>
      </c>
      <c r="AI91" s="1253">
        <f t="shared" si="46"/>
        <v>17.858000000000001</v>
      </c>
      <c r="AJ91" s="156">
        <f t="shared" si="47"/>
        <v>-34.675884152202045</v>
      </c>
      <c r="AK91" s="156">
        <f t="shared" si="48"/>
        <v>14.367991284268719</v>
      </c>
      <c r="AL91" s="88"/>
      <c r="AM91" s="716">
        <f t="shared" si="49"/>
        <v>1486.5941217465522</v>
      </c>
      <c r="AN91" s="716" t="str">
        <f>_xlfn.XLOOKUP(D91,RUC!$B$3:$B$578,RUC!$M$3:$M$578)</f>
        <v>Melchor Vera</v>
      </c>
      <c r="AO91" s="1167" t="s">
        <v>2279</v>
      </c>
      <c r="AP91" t="s">
        <v>3188</v>
      </c>
      <c r="AQ91" t="s">
        <v>3189</v>
      </c>
    </row>
    <row r="92" spans="1:44" ht="15" customHeight="1">
      <c r="A92" s="747" t="s">
        <v>3146</v>
      </c>
      <c r="B92" s="595">
        <v>45954</v>
      </c>
      <c r="C92" s="1447">
        <v>45949</v>
      </c>
      <c r="D92" t="s">
        <v>119</v>
      </c>
      <c r="E92" s="762">
        <f>_xlfn.XLOOKUP(D92,RUC!$B$3:$B$123,RUC!$D$3:$D$123)</f>
        <v>10082235774</v>
      </c>
      <c r="G92" s="1082">
        <v>48</v>
      </c>
      <c r="H92" s="762" t="s">
        <v>69</v>
      </c>
      <c r="I92" s="703">
        <v>4.4400000000000004</v>
      </c>
      <c r="J92" s="596">
        <v>1.35</v>
      </c>
      <c r="K92" s="703">
        <f t="shared" si="52"/>
        <v>4.38</v>
      </c>
      <c r="L92" s="762">
        <v>0.20799999999999999</v>
      </c>
      <c r="M92" s="762">
        <v>0.20100000000000001</v>
      </c>
      <c r="N92" s="1196">
        <f t="shared" ref="N92" si="59">+M92</f>
        <v>0.20100000000000001</v>
      </c>
      <c r="O92" s="645">
        <f t="shared" si="41"/>
        <v>0.20100000000000001</v>
      </c>
      <c r="P92" s="727">
        <v>85</v>
      </c>
      <c r="Q92">
        <v>94.23</v>
      </c>
      <c r="R92" s="706">
        <v>4294.3500000000004</v>
      </c>
      <c r="S92" s="1164">
        <v>105</v>
      </c>
      <c r="U92" s="1146">
        <f>_xlfn.XLOOKUP(D92,RUC!$B$3:$B$123,RUC!$F$3:$F$123)</f>
        <v>80</v>
      </c>
      <c r="V92" s="715">
        <v>1.1023000000000001</v>
      </c>
      <c r="Y92">
        <f>_xlfn.XLOOKUP(D92,RUC!$B$3:$B$123,RUC!$G$3:$G$123)</f>
        <v>0</v>
      </c>
      <c r="Z92" s="143">
        <f>_xlfn.XLOOKUP(D92,RUC!$B$3:$B$123,RUC!$H$3:$H$123)</f>
        <v>10</v>
      </c>
      <c r="AA92" s="144">
        <f t="shared" si="56"/>
        <v>10</v>
      </c>
      <c r="AB92" s="145">
        <f t="shared" si="57"/>
        <v>666.91541715425024</v>
      </c>
      <c r="AC92" s="145">
        <f>+(S92-T92)*V92-'data 1'!$F$4</f>
        <v>35.741500000000002</v>
      </c>
      <c r="AD92" s="145">
        <f t="shared" si="42"/>
        <v>89.185744931192062</v>
      </c>
      <c r="AE92" s="145">
        <f t="shared" si="43"/>
        <v>-58.977000000000004</v>
      </c>
      <c r="AF92" s="145">
        <f t="shared" si="44"/>
        <v>30.642037468780408</v>
      </c>
      <c r="AG92" s="772">
        <f t="shared" si="58"/>
        <v>166.59228239997248</v>
      </c>
      <c r="AH92" s="1253">
        <f t="shared" si="45"/>
        <v>29.433</v>
      </c>
      <c r="AI92" s="1253">
        <f t="shared" si="46"/>
        <v>31.234999999999999</v>
      </c>
      <c r="AJ92" s="156">
        <f t="shared" si="47"/>
        <v>-57.11256275119208</v>
      </c>
      <c r="AK92" s="156">
        <f t="shared" si="48"/>
        <v>25.656544441740152</v>
      </c>
      <c r="AL92" s="88"/>
      <c r="AM92" s="716">
        <f t="shared" si="49"/>
        <v>2921.0895271356158</v>
      </c>
      <c r="AN92" s="716" t="str">
        <f>_xlfn.XLOOKUP(D92,RUC!$B$3:$B$578,RUC!$M$3:$M$578)</f>
        <v>Melchor Vera</v>
      </c>
      <c r="AO92" s="1167" t="s">
        <v>2279</v>
      </c>
      <c r="AP92" t="s">
        <v>3188</v>
      </c>
      <c r="AQ92" t="s">
        <v>3189</v>
      </c>
    </row>
    <row r="93" spans="1:44" ht="15" customHeight="1">
      <c r="A93" s="747" t="s">
        <v>3169</v>
      </c>
      <c r="B93" s="595">
        <v>45957</v>
      </c>
      <c r="C93" s="1447">
        <v>45950</v>
      </c>
      <c r="D93" t="s">
        <v>93</v>
      </c>
      <c r="E93" s="762">
        <f>_xlfn.XLOOKUP(D93,RUC!$B$3:$B$123,RUC!$D$3:$D$123)</f>
        <v>20169040231</v>
      </c>
      <c r="G93" s="1082">
        <v>22</v>
      </c>
      <c r="H93" s="762" t="s">
        <v>69</v>
      </c>
      <c r="I93" s="703">
        <v>2.06</v>
      </c>
      <c r="J93" s="596">
        <v>1.26</v>
      </c>
      <c r="K93" s="703">
        <f t="shared" si="52"/>
        <v>2.0339999999999998</v>
      </c>
      <c r="L93" s="762">
        <v>0.30399999999999999</v>
      </c>
      <c r="M93" s="762">
        <v>0.28899999999999998</v>
      </c>
      <c r="N93" s="1196">
        <f t="shared" ref="N93" si="60">+M93</f>
        <v>0.28899999999999998</v>
      </c>
      <c r="O93" s="645">
        <f t="shared" ref="O93" si="61">+ROUND((M93+N93)/2,3)</f>
        <v>0.28899999999999998</v>
      </c>
      <c r="P93" s="727">
        <v>87</v>
      </c>
      <c r="Q93" s="1499">
        <v>87.17</v>
      </c>
      <c r="R93" s="706">
        <v>4294.3500000000004</v>
      </c>
      <c r="S93" s="765">
        <f>IF((_xlfn.XLOOKUP(D93,RUC!$B$3:$B$119,RUC!$E$3:$E$119)+ROUNDDOWN(O93,1)*100)&lt;95,95,((_xlfn.XLOOKUP(D93,RUC!$B$3:$B$119,RUC!$E$3:$E$119)+ROUNDDOWN(O93,1)*100)))</f>
        <v>105</v>
      </c>
      <c r="U93" s="1146">
        <f>_xlfn.XLOOKUP(D93,RUC!$B$3:$B$123,RUC!$F$3:$F$123)</f>
        <v>120</v>
      </c>
      <c r="V93" s="715">
        <v>1.1023000000000001</v>
      </c>
      <c r="Y93">
        <f>_xlfn.XLOOKUP(D93,RUC!$B$3:$B$123,RUC!$G$3:$G$123)</f>
        <v>20</v>
      </c>
      <c r="Z93" s="1454">
        <v>35</v>
      </c>
      <c r="AA93" s="144">
        <f t="shared" si="56"/>
        <v>55</v>
      </c>
      <c r="AB93" s="145">
        <f t="shared" si="57"/>
        <v>980.55848323714997</v>
      </c>
      <c r="AC93" s="145">
        <f>+(S93-T93)*V93-'data 1'!$F$4</f>
        <v>35.741500000000002</v>
      </c>
      <c r="AD93" s="145">
        <f t="shared" ref="AD93" si="62">+(Q93-P93)*(R93-U93)*L93*V93/100</f>
        <v>2.3779962873840241</v>
      </c>
      <c r="AE93" s="145">
        <f t="shared" ref="AE93" si="63">+(Y93*V93-70)+V93*(Z93-IF(D93="UNTUCA",IF(+((W93-3)*2.5+(X93-3)*3.1)&gt;0,+((W93-3)*1.5+(X93-3)*3.1),0),IF(+((W93-3)*1.5+(X93-3)*3.1)&gt;0,+((W93-3)*1.5+(X93-3)*3.1),0)))</f>
        <v>-9.3734999999999999</v>
      </c>
      <c r="AF93" s="145">
        <f t="shared" ref="AF93" si="64">(L93-O93)*(R93-U93)*Q93*V93/100</f>
        <v>60.165422708377562</v>
      </c>
      <c r="AG93" s="772">
        <f t="shared" ref="AG93" si="65">AC93+AD93+AE93+AF93+70-53</f>
        <v>105.91141899576158</v>
      </c>
      <c r="AH93" s="1253">
        <f t="shared" ref="AH93" si="66">ROUND((31.1035*L93*Q93*1.1023*K93/100),3)</f>
        <v>18.48</v>
      </c>
      <c r="AI93" s="1253">
        <f t="shared" ref="AI93" si="67">ROUND((31.1035*L93*1.1023*K93),3)</f>
        <v>21.2</v>
      </c>
      <c r="AJ93" s="156">
        <f t="shared" ref="AJ93" si="68">+((+$AJ$2-R93+U93)*L93*Q93*V93)/100</f>
        <v>-65.533974961784111</v>
      </c>
      <c r="AK93" s="156">
        <f t="shared" ref="AK93" si="69">31.1035*1.1023*K93*P93*O93/100</f>
        <v>17.533842988814989</v>
      </c>
      <c r="AL93" s="88"/>
      <c r="AM93" s="716">
        <f t="shared" ref="AM93" si="70">+IF(AB93*K93&gt;0,AB93*K93,0)</f>
        <v>1994.4559549043629</v>
      </c>
      <c r="AN93" s="716" t="str">
        <f>_xlfn.XLOOKUP(D93,RUC!$B$3:$B$578,RUC!$M$3:$M$578)</f>
        <v>Ronald Miranda</v>
      </c>
      <c r="AO93" s="1167" t="s">
        <v>2281</v>
      </c>
      <c r="AP93" t="s">
        <v>3197</v>
      </c>
      <c r="AQ93" t="s">
        <v>2894</v>
      </c>
    </row>
    <row r="94" spans="1:44" ht="15" customHeight="1">
      <c r="G94" s="1082"/>
      <c r="R94" s="706"/>
      <c r="V94" s="715"/>
    </row>
    <row r="95" spans="1:44" ht="15" customHeight="1">
      <c r="G95" s="1082"/>
      <c r="R95" s="706"/>
    </row>
    <row r="96" spans="1:44" ht="15" customHeight="1">
      <c r="G96" s="1082"/>
      <c r="R96" s="706"/>
    </row>
    <row r="97" spans="7:56" ht="15" customHeight="1">
      <c r="G97" s="1082"/>
      <c r="R97" s="706"/>
    </row>
    <row r="98" spans="7:56" ht="15" customHeight="1">
      <c r="G98" s="1082"/>
      <c r="R98" s="706"/>
      <c r="AV98" s="677"/>
      <c r="AW98" s="677"/>
      <c r="AX98" s="677"/>
      <c r="AY98" s="677"/>
      <c r="AZ98" s="677"/>
      <c r="BA98" s="677"/>
      <c r="BB98" s="677"/>
      <c r="BC98" s="677"/>
      <c r="BD98" s="677"/>
    </row>
    <row r="99" spans="7:56" ht="15" customHeight="1">
      <c r="G99" s="1082"/>
      <c r="R99" s="706"/>
    </row>
    <row r="100" spans="7:56" ht="15" customHeight="1">
      <c r="G100" s="1082"/>
      <c r="R100" s="706"/>
    </row>
    <row r="101" spans="7:56" ht="15" customHeight="1">
      <c r="G101" s="1082"/>
      <c r="R101" s="706"/>
    </row>
    <row r="102" spans="7:56" ht="15" customHeight="1">
      <c r="G102" s="1082"/>
      <c r="R102" s="706"/>
    </row>
    <row r="103" spans="7:56" ht="15" customHeight="1">
      <c r="G103" s="1082"/>
      <c r="R103" s="706"/>
    </row>
    <row r="104" spans="7:56" ht="15" customHeight="1">
      <c r="G104" s="1082"/>
      <c r="R104" s="706"/>
    </row>
    <row r="105" spans="7:56" ht="15" customHeight="1">
      <c r="G105" s="1082"/>
      <c r="R105" s="706"/>
    </row>
    <row r="106" spans="7:56" ht="15" customHeight="1">
      <c r="G106" s="1082"/>
      <c r="R106" s="706"/>
    </row>
    <row r="107" spans="7:56" ht="15" customHeight="1">
      <c r="G107" s="1082"/>
      <c r="R107" s="706"/>
    </row>
    <row r="108" spans="7:56" ht="15" customHeight="1">
      <c r="G108" s="1082"/>
      <c r="R108" s="706"/>
    </row>
    <row r="109" spans="7:56" ht="15" customHeight="1">
      <c r="G109" s="1082"/>
      <c r="R109" s="706"/>
    </row>
    <row r="110" spans="7:56" ht="15" customHeight="1">
      <c r="G110" s="1082"/>
      <c r="R110" s="706"/>
    </row>
    <row r="111" spans="7:56" ht="15" customHeight="1">
      <c r="G111" s="1082"/>
      <c r="R111" s="706"/>
    </row>
    <row r="112" spans="7:56" ht="15" customHeight="1">
      <c r="G112" s="1082"/>
      <c r="R112" s="706"/>
    </row>
    <row r="113" spans="7:18" ht="15" customHeight="1">
      <c r="G113" s="1082"/>
      <c r="R113" s="706"/>
    </row>
    <row r="114" spans="7:18" ht="15" customHeight="1">
      <c r="G114" s="1082"/>
      <c r="R114" s="706"/>
    </row>
    <row r="115" spans="7:18" ht="15" customHeight="1">
      <c r="G115" s="1082"/>
      <c r="R115" s="706"/>
    </row>
    <row r="116" spans="7:18" ht="15" customHeight="1">
      <c r="G116" s="1082"/>
      <c r="R116" s="706"/>
    </row>
    <row r="117" spans="7:18" ht="15" customHeight="1">
      <c r="G117" s="1082"/>
      <c r="R117" s="706"/>
    </row>
    <row r="118" spans="7:18" ht="15" customHeight="1">
      <c r="G118" s="1082"/>
      <c r="R118" s="706"/>
    </row>
    <row r="119" spans="7:18" ht="15" customHeight="1">
      <c r="G119" s="1082"/>
      <c r="R119" s="706"/>
    </row>
    <row r="120" spans="7:18" ht="15" customHeight="1">
      <c r="G120" s="1082"/>
      <c r="R120" s="706"/>
    </row>
    <row r="121" spans="7:18" ht="15" customHeight="1">
      <c r="G121" s="1082"/>
      <c r="R121" s="706"/>
    </row>
    <row r="122" spans="7:18" ht="15" customHeight="1">
      <c r="G122" s="1082"/>
      <c r="R122" s="706"/>
    </row>
    <row r="123" spans="7:18" ht="15" customHeight="1">
      <c r="G123" s="1082"/>
      <c r="R123" s="706"/>
    </row>
    <row r="124" spans="7:18" ht="15" customHeight="1">
      <c r="G124" s="1082"/>
      <c r="R124" s="706"/>
    </row>
    <row r="125" spans="7:18" ht="15" customHeight="1">
      <c r="G125" s="1082"/>
      <c r="R125" s="706"/>
    </row>
    <row r="126" spans="7:18" ht="15" customHeight="1">
      <c r="G126" s="1082"/>
      <c r="R126" s="706"/>
    </row>
    <row r="127" spans="7:18" ht="15" customHeight="1">
      <c r="G127" s="1082"/>
      <c r="R127" s="706"/>
    </row>
    <row r="128" spans="7:18" ht="15" customHeight="1">
      <c r="G128" s="1082"/>
      <c r="R128" s="706"/>
    </row>
    <row r="129" spans="7:18" ht="15" customHeight="1">
      <c r="G129" s="1082"/>
      <c r="R129" s="706"/>
    </row>
    <row r="130" spans="7:18" ht="15" customHeight="1">
      <c r="G130" s="1082"/>
      <c r="R130" s="706"/>
    </row>
    <row r="131" spans="7:18" ht="15" customHeight="1">
      <c r="G131" s="1082"/>
      <c r="R131" s="706"/>
    </row>
    <row r="132" spans="7:18" ht="15" customHeight="1">
      <c r="G132" s="1082"/>
      <c r="R132" s="706"/>
    </row>
    <row r="133" spans="7:18" ht="15" customHeight="1">
      <c r="G133" s="1082"/>
      <c r="R133" s="706"/>
    </row>
    <row r="134" spans="7:18" ht="15" customHeight="1">
      <c r="G134" s="1082"/>
      <c r="R134" s="706"/>
    </row>
    <row r="135" spans="7:18" ht="15" customHeight="1">
      <c r="G135" s="1082"/>
      <c r="R135" s="706"/>
    </row>
    <row r="136" spans="7:18" ht="15" customHeight="1">
      <c r="G136" s="1082"/>
      <c r="R136" s="706"/>
    </row>
    <row r="137" spans="7:18" ht="15" customHeight="1">
      <c r="G137" s="1082"/>
      <c r="R137" s="706"/>
    </row>
    <row r="138" spans="7:18" ht="15" customHeight="1">
      <c r="G138" s="1082"/>
      <c r="R138" s="706"/>
    </row>
    <row r="139" spans="7:18" ht="15" customHeight="1">
      <c r="G139" s="1082"/>
      <c r="R139" s="706"/>
    </row>
    <row r="140" spans="7:18" ht="15" customHeight="1">
      <c r="G140" s="1082"/>
      <c r="R140" s="706"/>
    </row>
    <row r="141" spans="7:18" ht="15" customHeight="1">
      <c r="G141" s="1082"/>
      <c r="R141" s="706"/>
    </row>
    <row r="142" spans="7:18" ht="15" customHeight="1">
      <c r="G142" s="1082"/>
      <c r="R142" s="706"/>
    </row>
    <row r="143" spans="7:18" ht="15" customHeight="1">
      <c r="G143" s="1082"/>
      <c r="R143" s="706"/>
    </row>
    <row r="144" spans="7:18" ht="15" customHeight="1">
      <c r="G144" s="1082"/>
      <c r="R144" s="706"/>
    </row>
    <row r="145" spans="7:18" ht="15" customHeight="1">
      <c r="G145" s="1082"/>
      <c r="R145" s="706"/>
    </row>
    <row r="146" spans="7:18" ht="15" customHeight="1">
      <c r="G146" s="1082"/>
      <c r="R146" s="706"/>
    </row>
    <row r="147" spans="7:18" ht="15" customHeight="1">
      <c r="G147" s="1082"/>
      <c r="R147" s="706"/>
    </row>
    <row r="148" spans="7:18" ht="15" customHeight="1">
      <c r="G148" s="1082"/>
      <c r="R148" s="706"/>
    </row>
    <row r="149" spans="7:18" ht="15" customHeight="1">
      <c r="G149" s="1082"/>
      <c r="R149" s="706"/>
    </row>
    <row r="150" spans="7:18" ht="15" customHeight="1">
      <c r="G150" s="1082"/>
      <c r="R150" s="706"/>
    </row>
    <row r="151" spans="7:18" ht="15" customHeight="1">
      <c r="G151" s="1082"/>
      <c r="R151" s="706"/>
    </row>
    <row r="152" spans="7:18" ht="15" customHeight="1">
      <c r="G152" s="1082"/>
      <c r="R152" s="706"/>
    </row>
    <row r="153" spans="7:18" ht="15" customHeight="1">
      <c r="G153" s="1082"/>
      <c r="R153" s="706"/>
    </row>
    <row r="154" spans="7:18" ht="15" customHeight="1">
      <c r="G154" s="1082"/>
      <c r="R154" s="706"/>
    </row>
    <row r="155" spans="7:18" ht="15" customHeight="1">
      <c r="G155" s="1082"/>
      <c r="R155" s="706"/>
    </row>
    <row r="156" spans="7:18" ht="15" customHeight="1">
      <c r="G156" s="1082"/>
      <c r="R156" s="706"/>
    </row>
    <row r="157" spans="7:18" ht="15" customHeight="1">
      <c r="G157" s="1082"/>
      <c r="R157" s="706"/>
    </row>
    <row r="158" spans="7:18" ht="15" customHeight="1">
      <c r="G158" s="1082"/>
      <c r="R158" s="706"/>
    </row>
    <row r="159" spans="7:18" ht="15" customHeight="1">
      <c r="G159" s="1082"/>
      <c r="R159" s="706"/>
    </row>
    <row r="160" spans="7:18" ht="15" customHeight="1">
      <c r="G160" s="1082"/>
      <c r="R160" s="706"/>
    </row>
    <row r="161" spans="7:18" ht="15" customHeight="1">
      <c r="G161" s="1082"/>
      <c r="R161" s="706"/>
    </row>
    <row r="162" spans="7:18" ht="15" customHeight="1">
      <c r="G162" s="1082"/>
      <c r="R162" s="706"/>
    </row>
    <row r="163" spans="7:18" ht="15" customHeight="1">
      <c r="G163" s="1082"/>
      <c r="R163" s="706"/>
    </row>
    <row r="164" spans="7:18" ht="15" customHeight="1">
      <c r="G164" s="1082"/>
      <c r="R164" s="706"/>
    </row>
    <row r="165" spans="7:18" ht="15" customHeight="1">
      <c r="G165" s="1082"/>
      <c r="R165" s="706"/>
    </row>
    <row r="166" spans="7:18" ht="15" customHeight="1">
      <c r="G166" s="1082"/>
      <c r="R166" s="706"/>
    </row>
    <row r="167" spans="7:18" ht="15" customHeight="1">
      <c r="G167" s="1082"/>
      <c r="R167" s="706"/>
    </row>
    <row r="168" spans="7:18" ht="15" customHeight="1">
      <c r="G168" s="1082"/>
      <c r="R168" s="706"/>
    </row>
    <row r="169" spans="7:18" ht="15" customHeight="1">
      <c r="G169" s="1082"/>
      <c r="R169" s="706"/>
    </row>
    <row r="170" spans="7:18" ht="15" customHeight="1">
      <c r="G170" s="1082"/>
      <c r="R170" s="706"/>
    </row>
    <row r="171" spans="7:18" ht="15" customHeight="1">
      <c r="G171" s="1082"/>
      <c r="R171" s="706"/>
    </row>
    <row r="172" spans="7:18" ht="15" customHeight="1">
      <c r="G172" s="1082"/>
      <c r="R172" s="706"/>
    </row>
    <row r="173" spans="7:18" ht="15" customHeight="1">
      <c r="G173" s="1082"/>
      <c r="R173" s="706"/>
    </row>
    <row r="174" spans="7:18" ht="15" customHeight="1">
      <c r="G174" s="1082"/>
      <c r="R174" s="706"/>
    </row>
    <row r="175" spans="7:18" ht="15" customHeight="1">
      <c r="G175" s="1082"/>
      <c r="R175" s="706"/>
    </row>
    <row r="176" spans="7:18" ht="15" customHeight="1">
      <c r="G176" s="1082"/>
      <c r="R176" s="706"/>
    </row>
    <row r="177" spans="7:18" ht="15" customHeight="1">
      <c r="G177" s="1082"/>
      <c r="R177" s="706"/>
    </row>
    <row r="178" spans="7:18" ht="15" customHeight="1">
      <c r="G178" s="1082"/>
      <c r="R178" s="706"/>
    </row>
    <row r="179" spans="7:18" ht="15" customHeight="1">
      <c r="G179" s="1082"/>
      <c r="R179" s="706"/>
    </row>
    <row r="180" spans="7:18" ht="15" customHeight="1">
      <c r="G180" s="1082"/>
      <c r="R180" s="706"/>
    </row>
    <row r="181" spans="7:18" ht="15" customHeight="1">
      <c r="G181" s="1082"/>
      <c r="R181" s="706"/>
    </row>
    <row r="182" spans="7:18" ht="15" customHeight="1">
      <c r="G182" s="1082"/>
      <c r="R182" s="706"/>
    </row>
    <row r="183" spans="7:18" ht="15" customHeight="1">
      <c r="G183" s="1082"/>
      <c r="R183" s="706"/>
    </row>
    <row r="184" spans="7:18" ht="15" customHeight="1">
      <c r="G184" s="1082"/>
      <c r="R184" s="706"/>
    </row>
    <row r="185" spans="7:18" ht="15" customHeight="1">
      <c r="G185" s="1082"/>
      <c r="R185" s="706"/>
    </row>
    <row r="186" spans="7:18" ht="15" customHeight="1">
      <c r="G186" s="1082"/>
      <c r="R186" s="706"/>
    </row>
    <row r="187" spans="7:18" ht="15" customHeight="1">
      <c r="G187" s="1082"/>
      <c r="R187" s="706"/>
    </row>
    <row r="188" spans="7:18" ht="15" customHeight="1">
      <c r="G188" s="1082"/>
      <c r="R188" s="706"/>
    </row>
    <row r="189" spans="7:18" ht="15" customHeight="1">
      <c r="G189" s="1082"/>
      <c r="R189" s="706"/>
    </row>
    <row r="190" spans="7:18" ht="15" customHeight="1">
      <c r="G190" s="1082"/>
      <c r="R190" s="706"/>
    </row>
    <row r="191" spans="7:18" ht="15" customHeight="1">
      <c r="G191" s="1082"/>
      <c r="R191" s="706"/>
    </row>
    <row r="192" spans="7:18" ht="15" customHeight="1">
      <c r="G192" s="1082"/>
      <c r="R192" s="706"/>
    </row>
    <row r="193" spans="7:18" ht="15" customHeight="1">
      <c r="G193" s="1082"/>
      <c r="R193" s="706"/>
    </row>
    <row r="194" spans="7:18" ht="15" customHeight="1">
      <c r="G194" s="1082"/>
      <c r="R194" s="706"/>
    </row>
    <row r="195" spans="7:18" ht="15" customHeight="1">
      <c r="G195" s="1082"/>
      <c r="R195" s="706"/>
    </row>
    <row r="196" spans="7:18" ht="15" customHeight="1">
      <c r="G196" s="1082"/>
      <c r="R196" s="706"/>
    </row>
    <row r="197" spans="7:18" ht="15" customHeight="1">
      <c r="G197" s="1082"/>
      <c r="R197" s="706"/>
    </row>
    <row r="198" spans="7:18" ht="15" customHeight="1">
      <c r="G198" s="1082"/>
      <c r="R198" s="706"/>
    </row>
    <row r="199" spans="7:18" ht="15" customHeight="1">
      <c r="G199" s="1082"/>
      <c r="R199" s="706"/>
    </row>
    <row r="200" spans="7:18" ht="15" customHeight="1">
      <c r="G200" s="1082"/>
      <c r="R200" s="706"/>
    </row>
    <row r="201" spans="7:18" ht="15" customHeight="1">
      <c r="G201" s="1082"/>
      <c r="R201" s="706"/>
    </row>
    <row r="202" spans="7:18" ht="15" customHeight="1">
      <c r="G202" s="1082"/>
      <c r="R202" s="706"/>
    </row>
    <row r="203" spans="7:18" ht="15" customHeight="1">
      <c r="G203" s="1082"/>
      <c r="R203" s="706"/>
    </row>
    <row r="204" spans="7:18" ht="15" customHeight="1">
      <c r="G204" s="1082"/>
      <c r="R204" s="706"/>
    </row>
    <row r="205" spans="7:18" ht="15" customHeight="1">
      <c r="G205" s="1082"/>
      <c r="R205" s="706"/>
    </row>
    <row r="206" spans="7:18" ht="15" customHeight="1">
      <c r="G206" s="1082"/>
      <c r="R206" s="706"/>
    </row>
    <row r="207" spans="7:18" ht="15" customHeight="1">
      <c r="G207" s="1082"/>
      <c r="R207" s="706"/>
    </row>
    <row r="208" spans="7:18" ht="15" customHeight="1">
      <c r="G208" s="1082"/>
      <c r="R208" s="706"/>
    </row>
    <row r="209" spans="7:18" ht="15" customHeight="1">
      <c r="G209" s="1082"/>
      <c r="R209" s="706"/>
    </row>
    <row r="210" spans="7:18" ht="15" customHeight="1">
      <c r="G210" s="1082"/>
      <c r="R210" s="706"/>
    </row>
    <row r="211" spans="7:18" ht="15" customHeight="1">
      <c r="G211" s="1082"/>
      <c r="R211" s="706"/>
    </row>
    <row r="212" spans="7:18" ht="15" customHeight="1">
      <c r="G212" s="1082"/>
      <c r="R212" s="706"/>
    </row>
    <row r="213" spans="7:18" ht="15" customHeight="1">
      <c r="G213" s="1082"/>
      <c r="R213" s="706"/>
    </row>
    <row r="214" spans="7:18" ht="15" customHeight="1">
      <c r="G214" s="1082"/>
      <c r="R214" s="706"/>
    </row>
    <row r="215" spans="7:18" ht="15" customHeight="1">
      <c r="G215" s="1082"/>
      <c r="R215" s="706"/>
    </row>
    <row r="216" spans="7:18" ht="15" customHeight="1">
      <c r="G216" s="1082"/>
      <c r="R216" s="706"/>
    </row>
    <row r="217" spans="7:18" ht="15" customHeight="1">
      <c r="G217" s="1082"/>
      <c r="R217" s="706"/>
    </row>
    <row r="218" spans="7:18" ht="15" customHeight="1">
      <c r="G218" s="1082"/>
      <c r="R218" s="706"/>
    </row>
    <row r="219" spans="7:18" ht="15" customHeight="1">
      <c r="G219" s="1082"/>
      <c r="R219" s="706"/>
    </row>
    <row r="220" spans="7:18" ht="15" customHeight="1">
      <c r="G220" s="1082"/>
      <c r="R220" s="706"/>
    </row>
    <row r="221" spans="7:18" ht="15" customHeight="1">
      <c r="G221" s="1082"/>
      <c r="R221" s="706"/>
    </row>
    <row r="222" spans="7:18" ht="15" customHeight="1">
      <c r="G222" s="1082"/>
      <c r="R222" s="706"/>
    </row>
    <row r="223" spans="7:18" ht="15" customHeight="1">
      <c r="G223" s="1082"/>
      <c r="R223" s="706"/>
    </row>
    <row r="224" spans="7:18" ht="15" customHeight="1">
      <c r="G224" s="1082"/>
      <c r="R224" s="706"/>
    </row>
    <row r="225" spans="7:18" ht="15" customHeight="1">
      <c r="G225" s="1082"/>
      <c r="R225" s="706"/>
    </row>
    <row r="226" spans="7:18" ht="15" customHeight="1">
      <c r="G226" s="1082"/>
      <c r="R226" s="706"/>
    </row>
    <row r="227" spans="7:18" ht="15" customHeight="1">
      <c r="G227" s="1082"/>
      <c r="R227" s="706"/>
    </row>
    <row r="228" spans="7:18" ht="15" customHeight="1">
      <c r="G228" s="1082"/>
      <c r="R228" s="706"/>
    </row>
    <row r="229" spans="7:18" ht="15" customHeight="1">
      <c r="G229" s="1082"/>
      <c r="R229" s="706"/>
    </row>
    <row r="230" spans="7:18" ht="15" customHeight="1">
      <c r="G230" s="1082"/>
      <c r="R230" s="706"/>
    </row>
    <row r="231" spans="7:18" ht="15" customHeight="1">
      <c r="G231" s="1082"/>
      <c r="R231" s="706"/>
    </row>
    <row r="232" spans="7:18" ht="15" customHeight="1">
      <c r="G232" s="1082"/>
      <c r="R232" s="706"/>
    </row>
    <row r="233" spans="7:18" ht="15" customHeight="1">
      <c r="G233" s="1082"/>
      <c r="R233" s="706"/>
    </row>
    <row r="234" spans="7:18" ht="15" customHeight="1">
      <c r="G234" s="1082"/>
      <c r="R234" s="706"/>
    </row>
    <row r="235" spans="7:18" ht="15" customHeight="1">
      <c r="G235" s="1082"/>
      <c r="R235" s="706"/>
    </row>
    <row r="236" spans="7:18" ht="15" customHeight="1">
      <c r="G236" s="1082"/>
      <c r="R236" s="706"/>
    </row>
    <row r="237" spans="7:18" ht="15" customHeight="1">
      <c r="G237" s="1082"/>
      <c r="R237" s="706"/>
    </row>
    <row r="238" spans="7:18" ht="15" customHeight="1">
      <c r="G238" s="1082"/>
      <c r="R238" s="706"/>
    </row>
    <row r="239" spans="7:18" ht="15" customHeight="1">
      <c r="G239" s="1082"/>
      <c r="R239" s="706"/>
    </row>
    <row r="240" spans="7:18" ht="15" customHeight="1">
      <c r="G240" s="1082"/>
      <c r="R240" s="706"/>
    </row>
    <row r="241" spans="7:18" ht="15" customHeight="1">
      <c r="G241" s="1082"/>
      <c r="R241" s="706"/>
    </row>
    <row r="242" spans="7:18" ht="15" customHeight="1">
      <c r="G242" s="1082"/>
      <c r="R242" s="706"/>
    </row>
    <row r="243" spans="7:18" ht="15" customHeight="1">
      <c r="G243" s="1082"/>
      <c r="R243" s="706"/>
    </row>
    <row r="244" spans="7:18" ht="15" customHeight="1">
      <c r="G244" s="1082"/>
      <c r="R244" s="706"/>
    </row>
    <row r="245" spans="7:18" ht="15" customHeight="1">
      <c r="G245" s="1082"/>
      <c r="R245" s="706"/>
    </row>
    <row r="246" spans="7:18" ht="15" customHeight="1">
      <c r="G246" s="1082"/>
      <c r="R246" s="706"/>
    </row>
    <row r="247" spans="7:18" ht="15" customHeight="1">
      <c r="G247" s="1082"/>
      <c r="R247" s="706"/>
    </row>
    <row r="248" spans="7:18" ht="15" customHeight="1">
      <c r="G248" s="1082"/>
      <c r="R248" s="706"/>
    </row>
    <row r="249" spans="7:18" ht="15" customHeight="1">
      <c r="G249" s="1082"/>
      <c r="R249" s="706"/>
    </row>
    <row r="250" spans="7:18" ht="15" customHeight="1">
      <c r="G250" s="1082"/>
      <c r="R250" s="706"/>
    </row>
    <row r="251" spans="7:18" ht="15" customHeight="1">
      <c r="G251" s="1082"/>
      <c r="R251" s="706"/>
    </row>
    <row r="252" spans="7:18" ht="15" customHeight="1">
      <c r="G252" s="1082"/>
      <c r="R252" s="706"/>
    </row>
    <row r="253" spans="7:18" ht="15" customHeight="1">
      <c r="G253" s="1082"/>
      <c r="R253" s="706"/>
    </row>
    <row r="254" spans="7:18" ht="15" customHeight="1">
      <c r="G254" s="1082"/>
      <c r="R254" s="706"/>
    </row>
    <row r="255" spans="7:18" ht="15" customHeight="1">
      <c r="G255" s="1082"/>
      <c r="R255" s="706"/>
    </row>
    <row r="256" spans="7:18" ht="15" customHeight="1">
      <c r="G256" s="1082"/>
      <c r="R256" s="706"/>
    </row>
    <row r="257" spans="7:18" ht="15" customHeight="1">
      <c r="G257" s="1082"/>
      <c r="R257" s="706"/>
    </row>
    <row r="258" spans="7:18" ht="15" customHeight="1">
      <c r="G258" s="1082"/>
      <c r="R258" s="706"/>
    </row>
    <row r="259" spans="7:18" ht="15" customHeight="1">
      <c r="G259" s="1082"/>
      <c r="R259" s="706"/>
    </row>
    <row r="260" spans="7:18" ht="15" customHeight="1">
      <c r="G260" s="1082"/>
      <c r="R260" s="706"/>
    </row>
    <row r="261" spans="7:18" ht="15" customHeight="1">
      <c r="G261" s="1082"/>
      <c r="R261" s="706"/>
    </row>
    <row r="262" spans="7:18" ht="15" customHeight="1">
      <c r="G262" s="1082"/>
      <c r="R262" s="706"/>
    </row>
    <row r="263" spans="7:18" ht="15" customHeight="1">
      <c r="G263" s="1082"/>
      <c r="R263" s="706"/>
    </row>
    <row r="264" spans="7:18" ht="15" customHeight="1">
      <c r="G264" s="1082"/>
      <c r="R264" s="706"/>
    </row>
    <row r="265" spans="7:18" ht="15" customHeight="1">
      <c r="G265" s="1082"/>
      <c r="R265" s="706"/>
    </row>
    <row r="266" spans="7:18" ht="15" customHeight="1">
      <c r="G266" s="1082"/>
      <c r="R266" s="706"/>
    </row>
    <row r="267" spans="7:18" ht="15" customHeight="1">
      <c r="G267" s="1082"/>
      <c r="R267" s="706"/>
    </row>
    <row r="268" spans="7:18" ht="15" customHeight="1">
      <c r="G268" s="1082"/>
      <c r="R268" s="706"/>
    </row>
    <row r="269" spans="7:18" ht="15" customHeight="1">
      <c r="G269" s="1082"/>
      <c r="R269" s="706"/>
    </row>
    <row r="270" spans="7:18" ht="15" customHeight="1">
      <c r="G270" s="1082"/>
      <c r="R270" s="706"/>
    </row>
    <row r="271" spans="7:18" ht="15" customHeight="1">
      <c r="G271" s="1082"/>
      <c r="R271" s="706"/>
    </row>
    <row r="272" spans="7:18" ht="15" customHeight="1">
      <c r="G272" s="1082"/>
      <c r="R272" s="706"/>
    </row>
    <row r="273" spans="7:18" ht="15" customHeight="1">
      <c r="G273" s="1082"/>
      <c r="R273" s="706"/>
    </row>
    <row r="274" spans="7:18" ht="15" customHeight="1">
      <c r="G274" s="1082"/>
      <c r="R274" s="706"/>
    </row>
    <row r="275" spans="7:18" ht="15" customHeight="1">
      <c r="G275" s="1082"/>
      <c r="R275" s="706"/>
    </row>
    <row r="276" spans="7:18" ht="15" customHeight="1">
      <c r="G276" s="1082"/>
      <c r="R276" s="706"/>
    </row>
    <row r="277" spans="7:18" ht="15" customHeight="1">
      <c r="G277" s="1082"/>
      <c r="R277" s="706"/>
    </row>
    <row r="278" spans="7:18" ht="15" customHeight="1">
      <c r="G278" s="1082"/>
      <c r="R278" s="706"/>
    </row>
    <row r="279" spans="7:18" ht="15" customHeight="1">
      <c r="G279" s="1082"/>
      <c r="R279" s="706"/>
    </row>
    <row r="280" spans="7:18" ht="15" customHeight="1">
      <c r="G280" s="1082"/>
      <c r="R280" s="706"/>
    </row>
    <row r="281" spans="7:18" ht="15" customHeight="1">
      <c r="G281" s="1082"/>
      <c r="R281" s="706"/>
    </row>
    <row r="282" spans="7:18" ht="15" customHeight="1">
      <c r="G282" s="1082"/>
      <c r="R282" s="706"/>
    </row>
    <row r="283" spans="7:18" ht="15" customHeight="1">
      <c r="G283" s="1082"/>
      <c r="R283" s="706"/>
    </row>
    <row r="284" spans="7:18" ht="15" customHeight="1">
      <c r="G284" s="1082"/>
      <c r="R284" s="706"/>
    </row>
    <row r="285" spans="7:18" ht="15" customHeight="1">
      <c r="G285" s="1082"/>
      <c r="R285" s="706"/>
    </row>
    <row r="286" spans="7:18" ht="15" customHeight="1">
      <c r="G286" s="1082"/>
      <c r="R286" s="706"/>
    </row>
    <row r="287" spans="7:18" ht="15" customHeight="1">
      <c r="G287" s="1082"/>
      <c r="R287" s="706"/>
    </row>
    <row r="288" spans="7:18" ht="15" customHeight="1">
      <c r="G288" s="1082"/>
      <c r="R288" s="706"/>
    </row>
    <row r="289" spans="7:18" ht="15" customHeight="1">
      <c r="G289" s="1082"/>
      <c r="R289" s="706"/>
    </row>
    <row r="290" spans="7:18" ht="15" customHeight="1">
      <c r="G290" s="1082"/>
      <c r="R290" s="706"/>
    </row>
    <row r="291" spans="7:18" ht="15" customHeight="1">
      <c r="G291" s="1082"/>
      <c r="R291" s="706"/>
    </row>
    <row r="292" spans="7:18" ht="15" customHeight="1">
      <c r="G292" s="1082"/>
      <c r="R292" s="706"/>
    </row>
    <row r="293" spans="7:18" ht="15" customHeight="1">
      <c r="G293" s="1082"/>
      <c r="R293" s="706"/>
    </row>
    <row r="294" spans="7:18" ht="15" customHeight="1">
      <c r="G294" s="1082"/>
      <c r="R294" s="706"/>
    </row>
    <row r="295" spans="7:18" ht="15" customHeight="1">
      <c r="G295" s="1082"/>
      <c r="R295" s="706"/>
    </row>
    <row r="296" spans="7:18" ht="15" customHeight="1">
      <c r="G296" s="1082"/>
      <c r="R296" s="706"/>
    </row>
    <row r="297" spans="7:18" ht="15" customHeight="1">
      <c r="G297" s="1082"/>
      <c r="R297" s="706"/>
    </row>
    <row r="298" spans="7:18" ht="15" customHeight="1">
      <c r="G298" s="1082"/>
      <c r="R298" s="706"/>
    </row>
    <row r="299" spans="7:18" ht="15" customHeight="1">
      <c r="G299" s="1082"/>
      <c r="R299" s="706"/>
    </row>
    <row r="300" spans="7:18" ht="15" customHeight="1">
      <c r="G300" s="1082"/>
      <c r="R300" s="706"/>
    </row>
    <row r="301" spans="7:18" ht="15" customHeight="1">
      <c r="G301" s="1082"/>
      <c r="R301" s="706"/>
    </row>
    <row r="302" spans="7:18" ht="15" customHeight="1">
      <c r="G302" s="1082"/>
      <c r="R302" s="706"/>
    </row>
    <row r="303" spans="7:18" ht="15" customHeight="1">
      <c r="G303" s="1082"/>
      <c r="R303" s="706"/>
    </row>
    <row r="304" spans="7:18" ht="15" customHeight="1">
      <c r="G304" s="1082"/>
      <c r="R304" s="706"/>
    </row>
    <row r="305" spans="7:18" ht="15" customHeight="1">
      <c r="G305" s="1082"/>
      <c r="R305" s="706"/>
    </row>
    <row r="306" spans="7:18" ht="15" customHeight="1">
      <c r="G306" s="1082"/>
      <c r="R306" s="706"/>
    </row>
    <row r="307" spans="7:18" ht="15" customHeight="1">
      <c r="G307" s="1082"/>
      <c r="R307" s="706"/>
    </row>
    <row r="308" spans="7:18" ht="15" customHeight="1">
      <c r="G308" s="1082"/>
      <c r="R308" s="706"/>
    </row>
    <row r="309" spans="7:18" ht="15" customHeight="1">
      <c r="G309" s="1082"/>
      <c r="R309" s="706"/>
    </row>
    <row r="310" spans="7:18" ht="15" customHeight="1">
      <c r="G310" s="1082"/>
      <c r="R310" s="706"/>
    </row>
    <row r="311" spans="7:18" ht="15" customHeight="1">
      <c r="G311" s="1082"/>
      <c r="R311" s="706"/>
    </row>
    <row r="312" spans="7:18" ht="15" customHeight="1">
      <c r="G312" s="1082"/>
      <c r="R312" s="706"/>
    </row>
    <row r="313" spans="7:18" ht="15" customHeight="1">
      <c r="G313" s="1082"/>
      <c r="R313" s="706"/>
    </row>
    <row r="314" spans="7:18" ht="15" customHeight="1">
      <c r="G314" s="1082"/>
      <c r="R314" s="706"/>
    </row>
    <row r="315" spans="7:18" ht="15" customHeight="1">
      <c r="G315" s="1082"/>
      <c r="R315" s="706"/>
    </row>
    <row r="316" spans="7:18" ht="15" customHeight="1">
      <c r="G316" s="1082"/>
      <c r="R316" s="706"/>
    </row>
    <row r="317" spans="7:18" ht="15" customHeight="1">
      <c r="G317" s="1082"/>
      <c r="R317" s="706"/>
    </row>
    <row r="318" spans="7:18" ht="15" customHeight="1">
      <c r="G318" s="1082"/>
      <c r="R318" s="706"/>
    </row>
    <row r="319" spans="7:18" ht="15" customHeight="1">
      <c r="G319" s="1082"/>
      <c r="R319" s="706"/>
    </row>
    <row r="320" spans="7:18" ht="15" customHeight="1">
      <c r="G320" s="1082"/>
      <c r="R320" s="706"/>
    </row>
    <row r="321" spans="7:18" ht="15" customHeight="1">
      <c r="G321" s="1082"/>
      <c r="R321" s="706"/>
    </row>
    <row r="322" spans="7:18" ht="15" customHeight="1">
      <c r="G322" s="1082"/>
      <c r="R322" s="706"/>
    </row>
    <row r="323" spans="7:18" ht="15" customHeight="1">
      <c r="G323" s="1082"/>
      <c r="R323" s="706"/>
    </row>
    <row r="324" spans="7:18" ht="15" customHeight="1">
      <c r="G324" s="1082"/>
      <c r="R324" s="706"/>
    </row>
    <row r="325" spans="7:18" ht="15" customHeight="1">
      <c r="G325" s="1082"/>
      <c r="R325" s="706"/>
    </row>
    <row r="326" spans="7:18" ht="15" customHeight="1">
      <c r="G326" s="1082"/>
      <c r="R326" s="706"/>
    </row>
    <row r="327" spans="7:18" ht="15" customHeight="1">
      <c r="G327" s="1082"/>
      <c r="R327" s="706"/>
    </row>
    <row r="328" spans="7:18" ht="15" customHeight="1">
      <c r="G328" s="1082"/>
      <c r="R328" s="706"/>
    </row>
    <row r="329" spans="7:18" ht="15" customHeight="1">
      <c r="G329" s="1082"/>
      <c r="R329" s="706"/>
    </row>
    <row r="330" spans="7:18" ht="15" customHeight="1">
      <c r="G330" s="1082"/>
      <c r="R330" s="706"/>
    </row>
    <row r="331" spans="7:18" ht="15" customHeight="1">
      <c r="G331" s="1082"/>
      <c r="R331" s="706"/>
    </row>
    <row r="332" spans="7:18" ht="15" customHeight="1">
      <c r="G332" s="1082"/>
      <c r="R332" s="706"/>
    </row>
    <row r="333" spans="7:18" ht="15" customHeight="1">
      <c r="G333" s="1082"/>
      <c r="R333" s="706"/>
    </row>
    <row r="334" spans="7:18" ht="15" customHeight="1">
      <c r="G334" s="1082"/>
      <c r="R334" s="706"/>
    </row>
    <row r="335" spans="7:18" ht="15" customHeight="1">
      <c r="G335" s="1082"/>
      <c r="R335" s="706"/>
    </row>
    <row r="336" spans="7:18" ht="15" customHeight="1">
      <c r="G336" s="1082"/>
      <c r="R336" s="706"/>
    </row>
    <row r="337" spans="7:18" ht="15" customHeight="1">
      <c r="G337" s="1082"/>
      <c r="R337" s="706"/>
    </row>
    <row r="338" spans="7:18" ht="15" customHeight="1">
      <c r="G338" s="1082"/>
      <c r="R338" s="706"/>
    </row>
    <row r="339" spans="7:18" ht="15" customHeight="1">
      <c r="G339" s="1082"/>
      <c r="R339" s="706"/>
    </row>
    <row r="340" spans="7:18" ht="15" customHeight="1">
      <c r="G340" s="1082"/>
      <c r="R340" s="706"/>
    </row>
    <row r="341" spans="7:18" ht="15" customHeight="1">
      <c r="G341" s="1082"/>
      <c r="R341" s="706"/>
    </row>
    <row r="342" spans="7:18" ht="15" customHeight="1">
      <c r="G342" s="1082"/>
      <c r="R342" s="706"/>
    </row>
    <row r="343" spans="7:18" ht="15" customHeight="1">
      <c r="G343" s="1082"/>
      <c r="R343" s="706"/>
    </row>
    <row r="344" spans="7:18" ht="15" customHeight="1">
      <c r="G344" s="1082"/>
      <c r="R344" s="706"/>
    </row>
    <row r="345" spans="7:18" ht="15" customHeight="1">
      <c r="G345" s="1082"/>
      <c r="R345" s="706"/>
    </row>
    <row r="346" spans="7:18" ht="15" customHeight="1">
      <c r="G346" s="1082"/>
      <c r="R346" s="706"/>
    </row>
    <row r="347" spans="7:18" ht="15" customHeight="1">
      <c r="G347" s="1082"/>
      <c r="R347" s="706"/>
    </row>
    <row r="348" spans="7:18" ht="15" customHeight="1">
      <c r="G348" s="1082"/>
      <c r="R348" s="706"/>
    </row>
    <row r="349" spans="7:18" ht="15" customHeight="1">
      <c r="G349" s="1082"/>
      <c r="R349" s="706"/>
    </row>
    <row r="350" spans="7:18" ht="15" customHeight="1">
      <c r="G350" s="1082"/>
      <c r="R350" s="706"/>
    </row>
    <row r="351" spans="7:18" ht="15" customHeight="1">
      <c r="G351" s="1082"/>
      <c r="R351" s="706"/>
    </row>
    <row r="352" spans="7:18" ht="15" customHeight="1">
      <c r="G352" s="1082"/>
      <c r="R352" s="706"/>
    </row>
    <row r="353" spans="7:18" ht="15" customHeight="1">
      <c r="G353" s="1082"/>
      <c r="R353" s="706"/>
    </row>
    <row r="354" spans="7:18" ht="15" customHeight="1">
      <c r="G354" s="1082"/>
      <c r="R354" s="706"/>
    </row>
    <row r="355" spans="7:18" ht="15" customHeight="1">
      <c r="G355" s="1082"/>
      <c r="R355" s="706"/>
    </row>
    <row r="356" spans="7:18" ht="15" customHeight="1">
      <c r="G356" s="1082"/>
      <c r="R356" s="706"/>
    </row>
    <row r="357" spans="7:18" ht="15" customHeight="1">
      <c r="G357" s="1082"/>
      <c r="R357" s="706"/>
    </row>
    <row r="358" spans="7:18" ht="15" customHeight="1">
      <c r="G358" s="1082"/>
      <c r="R358" s="706"/>
    </row>
    <row r="359" spans="7:18" ht="15" customHeight="1">
      <c r="G359" s="1082"/>
      <c r="R359" s="706"/>
    </row>
    <row r="360" spans="7:18" ht="15" customHeight="1">
      <c r="G360" s="1082"/>
      <c r="R360" s="706"/>
    </row>
    <row r="361" spans="7:18" ht="15" customHeight="1">
      <c r="G361" s="1082"/>
      <c r="R361" s="706"/>
    </row>
    <row r="362" spans="7:18" ht="15" customHeight="1">
      <c r="G362" s="1082"/>
      <c r="R362" s="706"/>
    </row>
    <row r="363" spans="7:18" ht="15" customHeight="1">
      <c r="G363" s="1082"/>
      <c r="R363" s="706"/>
    </row>
    <row r="364" spans="7:18" ht="15" customHeight="1">
      <c r="G364" s="1082"/>
      <c r="R364" s="706"/>
    </row>
    <row r="365" spans="7:18" ht="15" customHeight="1">
      <c r="G365" s="1082"/>
      <c r="R365" s="706"/>
    </row>
    <row r="366" spans="7:18" ht="15" customHeight="1">
      <c r="G366" s="1082"/>
      <c r="R366" s="706"/>
    </row>
    <row r="367" spans="7:18" ht="15" customHeight="1">
      <c r="G367" s="1082"/>
      <c r="R367" s="706"/>
    </row>
    <row r="368" spans="7:18" ht="15" customHeight="1">
      <c r="G368" s="1082"/>
      <c r="R368" s="706"/>
    </row>
    <row r="369" spans="7:18" ht="15" customHeight="1">
      <c r="G369" s="1082"/>
      <c r="R369" s="706"/>
    </row>
    <row r="370" spans="7:18" ht="15" customHeight="1">
      <c r="G370" s="1082"/>
      <c r="R370" s="706"/>
    </row>
    <row r="371" spans="7:18" ht="15" customHeight="1">
      <c r="G371" s="1082"/>
      <c r="R371" s="706"/>
    </row>
    <row r="372" spans="7:18" ht="15" customHeight="1">
      <c r="G372" s="1082"/>
      <c r="R372" s="706"/>
    </row>
    <row r="373" spans="7:18" ht="15" customHeight="1">
      <c r="G373" s="1082"/>
      <c r="R373" s="706"/>
    </row>
    <row r="374" spans="7:18" ht="15" customHeight="1">
      <c r="G374" s="1082"/>
      <c r="R374" s="706"/>
    </row>
    <row r="375" spans="7:18" ht="15" customHeight="1">
      <c r="G375" s="1082"/>
      <c r="R375" s="706"/>
    </row>
    <row r="376" spans="7:18" ht="15" customHeight="1">
      <c r="G376" s="1082"/>
      <c r="R376" s="706"/>
    </row>
    <row r="377" spans="7:18" ht="15" customHeight="1">
      <c r="G377" s="1082"/>
      <c r="R377" s="706"/>
    </row>
    <row r="378" spans="7:18" ht="15" customHeight="1">
      <c r="G378" s="1082"/>
      <c r="R378" s="706"/>
    </row>
    <row r="379" spans="7:18" ht="15" customHeight="1">
      <c r="G379" s="1082"/>
      <c r="R379" s="706"/>
    </row>
    <row r="380" spans="7:18" ht="15" customHeight="1">
      <c r="G380" s="1082"/>
      <c r="R380" s="706"/>
    </row>
    <row r="381" spans="7:18" ht="15" customHeight="1">
      <c r="G381" s="1082"/>
      <c r="R381" s="706"/>
    </row>
    <row r="382" spans="7:18" ht="15" customHeight="1">
      <c r="G382" s="1082"/>
      <c r="R382" s="706"/>
    </row>
    <row r="383" spans="7:18" ht="15" customHeight="1">
      <c r="G383" s="1082"/>
      <c r="R383" s="706"/>
    </row>
    <row r="384" spans="7:18" ht="15" customHeight="1">
      <c r="G384" s="1082"/>
      <c r="R384" s="706"/>
    </row>
    <row r="385" spans="7:18" ht="15" customHeight="1">
      <c r="G385" s="1082"/>
      <c r="R385" s="706"/>
    </row>
    <row r="386" spans="7:18" ht="15" customHeight="1">
      <c r="G386" s="1082"/>
      <c r="R386" s="706"/>
    </row>
    <row r="387" spans="7:18" ht="15" customHeight="1">
      <c r="G387" s="1082"/>
      <c r="R387" s="706"/>
    </row>
    <row r="388" spans="7:18" ht="15" customHeight="1">
      <c r="G388" s="1082"/>
      <c r="R388" s="706"/>
    </row>
    <row r="389" spans="7:18" ht="15" customHeight="1">
      <c r="G389" s="1082"/>
      <c r="R389" s="706"/>
    </row>
    <row r="390" spans="7:18" ht="15" customHeight="1">
      <c r="G390" s="1082"/>
      <c r="R390" s="706"/>
    </row>
    <row r="391" spans="7:18" ht="15" customHeight="1">
      <c r="G391" s="1082"/>
      <c r="R391" s="706"/>
    </row>
    <row r="392" spans="7:18" ht="15" customHeight="1">
      <c r="G392" s="1082"/>
      <c r="R392" s="706"/>
    </row>
    <row r="393" spans="7:18" ht="15" customHeight="1">
      <c r="G393" s="1082"/>
      <c r="R393" s="706"/>
    </row>
    <row r="394" spans="7:18" ht="15" customHeight="1">
      <c r="G394" s="1082"/>
      <c r="R394" s="706"/>
    </row>
    <row r="395" spans="7:18" ht="15" customHeight="1">
      <c r="G395" s="1082"/>
      <c r="R395" s="706"/>
    </row>
    <row r="396" spans="7:18" ht="15" customHeight="1">
      <c r="G396" s="1082"/>
      <c r="R396" s="706"/>
    </row>
    <row r="397" spans="7:18" ht="15" customHeight="1">
      <c r="G397" s="1082"/>
      <c r="R397" s="706"/>
    </row>
    <row r="398" spans="7:18" ht="15" customHeight="1">
      <c r="G398" s="1082"/>
      <c r="R398" s="706"/>
    </row>
    <row r="399" spans="7:18" ht="15" customHeight="1">
      <c r="G399" s="1082"/>
      <c r="R399" s="706"/>
    </row>
    <row r="400" spans="7:18" ht="15" customHeight="1">
      <c r="G400" s="1082"/>
      <c r="R400" s="706"/>
    </row>
    <row r="401" spans="7:18" ht="15" customHeight="1">
      <c r="G401" s="1082"/>
      <c r="R401" s="706"/>
    </row>
    <row r="402" spans="7:18" ht="15" customHeight="1">
      <c r="G402" s="1082"/>
      <c r="R402" s="706"/>
    </row>
    <row r="403" spans="7:18" ht="15" customHeight="1">
      <c r="G403" s="1082"/>
      <c r="R403" s="706"/>
    </row>
    <row r="404" spans="7:18" ht="15" customHeight="1">
      <c r="G404" s="1082"/>
      <c r="R404" s="706"/>
    </row>
    <row r="405" spans="7:18" ht="15" customHeight="1">
      <c r="G405" s="1082"/>
      <c r="R405" s="706"/>
    </row>
    <row r="406" spans="7:18" ht="15" customHeight="1">
      <c r="G406" s="1082"/>
      <c r="R406" s="706"/>
    </row>
    <row r="407" spans="7:18" ht="15" customHeight="1">
      <c r="G407" s="1082"/>
      <c r="R407" s="706"/>
    </row>
    <row r="408" spans="7:18" ht="15" customHeight="1">
      <c r="G408" s="1082"/>
      <c r="R408" s="706"/>
    </row>
    <row r="409" spans="7:18" ht="15" customHeight="1">
      <c r="G409" s="1082"/>
      <c r="R409" s="706"/>
    </row>
    <row r="410" spans="7:18" ht="15" customHeight="1">
      <c r="G410" s="1082"/>
      <c r="R410" s="706"/>
    </row>
    <row r="411" spans="7:18" ht="15" customHeight="1">
      <c r="G411" s="1082"/>
      <c r="R411" s="706"/>
    </row>
    <row r="412" spans="7:18" ht="15" customHeight="1">
      <c r="G412" s="1082"/>
      <c r="R412" s="706"/>
    </row>
    <row r="413" spans="7:18" ht="15" customHeight="1">
      <c r="G413" s="1082"/>
      <c r="R413" s="706"/>
    </row>
    <row r="414" spans="7:18" ht="15" customHeight="1">
      <c r="G414" s="1082"/>
      <c r="R414" s="706"/>
    </row>
    <row r="415" spans="7:18" ht="15" customHeight="1">
      <c r="G415" s="1082"/>
      <c r="R415" s="706"/>
    </row>
    <row r="416" spans="7:18" ht="15" customHeight="1">
      <c r="G416" s="1082"/>
      <c r="R416" s="706"/>
    </row>
    <row r="417" spans="7:18" ht="15" customHeight="1">
      <c r="G417" s="1082"/>
      <c r="R417" s="706"/>
    </row>
    <row r="418" spans="7:18" ht="15" customHeight="1">
      <c r="G418" s="1082"/>
      <c r="R418" s="706"/>
    </row>
    <row r="419" spans="7:18" ht="15" customHeight="1">
      <c r="G419" s="1082"/>
      <c r="R419" s="706"/>
    </row>
    <row r="420" spans="7:18" ht="15" customHeight="1">
      <c r="G420" s="1082"/>
      <c r="R420" s="706"/>
    </row>
    <row r="421" spans="7:18" ht="15" customHeight="1">
      <c r="G421" s="1082"/>
      <c r="R421" s="706"/>
    </row>
    <row r="422" spans="7:18" ht="15" customHeight="1">
      <c r="G422" s="1082"/>
      <c r="R422" s="706"/>
    </row>
    <row r="423" spans="7:18" ht="15" customHeight="1">
      <c r="G423" s="1082"/>
      <c r="R423" s="706"/>
    </row>
    <row r="424" spans="7:18" ht="15" customHeight="1">
      <c r="G424" s="1082"/>
      <c r="R424" s="706"/>
    </row>
    <row r="425" spans="7:18" ht="15" customHeight="1">
      <c r="G425" s="1082"/>
      <c r="R425" s="706"/>
    </row>
    <row r="426" spans="7:18" ht="15" customHeight="1">
      <c r="G426" s="1082"/>
      <c r="R426" s="706"/>
    </row>
    <row r="427" spans="7:18" ht="15" customHeight="1">
      <c r="G427" s="1082"/>
      <c r="R427" s="706"/>
    </row>
    <row r="428" spans="7:18" ht="15" customHeight="1">
      <c r="G428" s="1082"/>
      <c r="R428" s="706"/>
    </row>
    <row r="429" spans="7:18" ht="15" customHeight="1">
      <c r="G429" s="1082"/>
      <c r="R429" s="706"/>
    </row>
    <row r="430" spans="7:18" ht="15" customHeight="1">
      <c r="G430" s="1082"/>
      <c r="R430" s="706"/>
    </row>
    <row r="431" spans="7:18" ht="15" customHeight="1">
      <c r="G431" s="1082"/>
      <c r="R431" s="706"/>
    </row>
    <row r="432" spans="7:18" ht="15" customHeight="1">
      <c r="G432" s="1082"/>
      <c r="R432" s="706"/>
    </row>
    <row r="433" spans="7:18" ht="15" customHeight="1">
      <c r="G433" s="1082"/>
      <c r="R433" s="706"/>
    </row>
    <row r="434" spans="7:18" ht="15" customHeight="1">
      <c r="G434" s="1082"/>
      <c r="R434" s="706"/>
    </row>
    <row r="435" spans="7:18" ht="15" customHeight="1">
      <c r="G435" s="1082"/>
      <c r="R435" s="706"/>
    </row>
    <row r="436" spans="7:18" ht="15" customHeight="1">
      <c r="G436" s="1082"/>
      <c r="R436" s="706"/>
    </row>
    <row r="437" spans="7:18" ht="15" customHeight="1">
      <c r="G437" s="1082"/>
      <c r="R437" s="706"/>
    </row>
    <row r="438" spans="7:18" ht="15" customHeight="1">
      <c r="G438" s="1082"/>
      <c r="R438" s="706"/>
    </row>
    <row r="439" spans="7:18" ht="15" customHeight="1">
      <c r="G439" s="1082"/>
      <c r="R439" s="706"/>
    </row>
    <row r="440" spans="7:18" ht="15" customHeight="1">
      <c r="G440" s="1082"/>
      <c r="R440" s="706"/>
    </row>
    <row r="441" spans="7:18" ht="15" customHeight="1">
      <c r="G441" s="1082"/>
      <c r="R441" s="706"/>
    </row>
    <row r="442" spans="7:18" ht="15" customHeight="1">
      <c r="G442" s="1082"/>
      <c r="R442" s="706"/>
    </row>
    <row r="443" spans="7:18" ht="15" customHeight="1">
      <c r="G443" s="1082"/>
      <c r="R443" s="706"/>
    </row>
    <row r="444" spans="7:18" ht="15" customHeight="1">
      <c r="G444" s="1082"/>
      <c r="R444" s="706"/>
    </row>
    <row r="445" spans="7:18" ht="15" customHeight="1">
      <c r="G445" s="1082"/>
      <c r="R445" s="706"/>
    </row>
    <row r="446" spans="7:18" ht="15" customHeight="1">
      <c r="G446" s="1082"/>
      <c r="R446" s="706"/>
    </row>
    <row r="447" spans="7:18" ht="15" customHeight="1">
      <c r="G447" s="1082"/>
      <c r="R447" s="706"/>
    </row>
    <row r="448" spans="7:18" ht="15" customHeight="1">
      <c r="G448" s="1082"/>
      <c r="R448" s="706"/>
    </row>
    <row r="449" spans="7:18" ht="15" customHeight="1">
      <c r="G449" s="1082"/>
      <c r="R449" s="706"/>
    </row>
    <row r="450" spans="7:18" ht="15" customHeight="1">
      <c r="G450" s="1082"/>
      <c r="R450" s="706"/>
    </row>
    <row r="451" spans="7:18" ht="15" customHeight="1">
      <c r="G451" s="1082"/>
      <c r="R451" s="706"/>
    </row>
    <row r="452" spans="7:18" ht="15" customHeight="1">
      <c r="G452" s="1082"/>
      <c r="R452" s="706"/>
    </row>
    <row r="453" spans="7:18" ht="15" customHeight="1">
      <c r="G453" s="1082"/>
      <c r="R453" s="706"/>
    </row>
    <row r="454" spans="7:18" ht="15" customHeight="1">
      <c r="G454" s="1082"/>
      <c r="R454" s="706"/>
    </row>
    <row r="455" spans="7:18" ht="15" customHeight="1">
      <c r="G455" s="1082"/>
      <c r="R455" s="706"/>
    </row>
    <row r="456" spans="7:18" ht="15" customHeight="1">
      <c r="G456" s="1082"/>
      <c r="R456" s="706"/>
    </row>
    <row r="457" spans="7:18" ht="15" customHeight="1">
      <c r="G457" s="1082"/>
      <c r="R457" s="706"/>
    </row>
    <row r="458" spans="7:18" ht="15" customHeight="1">
      <c r="G458" s="1082"/>
      <c r="R458" s="706"/>
    </row>
    <row r="459" spans="7:18" ht="15" customHeight="1">
      <c r="G459" s="1082"/>
      <c r="R459" s="706"/>
    </row>
    <row r="460" spans="7:18" ht="15" customHeight="1">
      <c r="G460" s="1082"/>
      <c r="R460" s="706"/>
    </row>
    <row r="461" spans="7:18" ht="15" customHeight="1">
      <c r="G461" s="1082"/>
      <c r="R461" s="706"/>
    </row>
    <row r="462" spans="7:18" ht="15" customHeight="1">
      <c r="G462" s="1082"/>
      <c r="R462" s="706"/>
    </row>
    <row r="463" spans="7:18" ht="15" customHeight="1">
      <c r="G463" s="1082"/>
      <c r="R463" s="706"/>
    </row>
    <row r="464" spans="7:18" ht="15" customHeight="1">
      <c r="G464" s="1082"/>
      <c r="R464" s="706"/>
    </row>
    <row r="465" spans="7:18" ht="15" customHeight="1">
      <c r="G465" s="1082"/>
      <c r="R465" s="706"/>
    </row>
    <row r="466" spans="7:18" ht="15" customHeight="1">
      <c r="G466" s="1082"/>
      <c r="R466" s="706"/>
    </row>
    <row r="467" spans="7:18" ht="15" customHeight="1">
      <c r="G467" s="1082"/>
      <c r="R467" s="706"/>
    </row>
    <row r="468" spans="7:18" ht="15" customHeight="1">
      <c r="G468" s="1082"/>
      <c r="R468" s="706"/>
    </row>
    <row r="469" spans="7:18" ht="15" customHeight="1">
      <c r="G469" s="1082"/>
      <c r="R469" s="706"/>
    </row>
    <row r="470" spans="7:18" ht="15" customHeight="1">
      <c r="G470" s="1082"/>
      <c r="R470" s="706"/>
    </row>
    <row r="471" spans="7:18" ht="15" customHeight="1">
      <c r="G471" s="1082"/>
      <c r="R471" s="706"/>
    </row>
    <row r="472" spans="7:18" ht="15" customHeight="1">
      <c r="G472" s="1082"/>
      <c r="R472" s="706"/>
    </row>
    <row r="473" spans="7:18" ht="15" customHeight="1">
      <c r="G473" s="1082"/>
      <c r="R473" s="706"/>
    </row>
    <row r="474" spans="7:18" ht="15" customHeight="1">
      <c r="G474" s="1082"/>
      <c r="R474" s="706"/>
    </row>
    <row r="475" spans="7:18" ht="15" customHeight="1">
      <c r="G475" s="1082"/>
      <c r="R475" s="706"/>
    </row>
    <row r="476" spans="7:18" ht="15" customHeight="1">
      <c r="G476" s="1082"/>
      <c r="R476" s="706"/>
    </row>
    <row r="477" spans="7:18" ht="15" customHeight="1">
      <c r="G477" s="1082"/>
      <c r="R477" s="706"/>
    </row>
    <row r="478" spans="7:18" ht="15" customHeight="1">
      <c r="G478" s="1082"/>
      <c r="R478" s="706"/>
    </row>
    <row r="479" spans="7:18" ht="15" customHeight="1">
      <c r="G479" s="1082"/>
      <c r="R479" s="706"/>
    </row>
    <row r="480" spans="7:18" ht="15" customHeight="1">
      <c r="G480" s="1082"/>
      <c r="R480" s="706"/>
    </row>
    <row r="481" spans="7:18" ht="15" customHeight="1">
      <c r="G481" s="1082"/>
      <c r="R481" s="706"/>
    </row>
    <row r="482" spans="7:18" ht="15" customHeight="1">
      <c r="G482" s="1082"/>
      <c r="R482" s="706"/>
    </row>
    <row r="483" spans="7:18" ht="15" customHeight="1">
      <c r="G483" s="1082"/>
      <c r="R483" s="706"/>
    </row>
    <row r="484" spans="7:18" ht="15" customHeight="1">
      <c r="G484" s="1082"/>
      <c r="R484" s="706"/>
    </row>
    <row r="485" spans="7:18" ht="15" customHeight="1">
      <c r="G485" s="1082"/>
      <c r="R485" s="706"/>
    </row>
    <row r="486" spans="7:18" ht="15" customHeight="1">
      <c r="G486" s="1082"/>
      <c r="R486" s="706"/>
    </row>
    <row r="487" spans="7:18" ht="15" customHeight="1">
      <c r="G487" s="1082"/>
      <c r="R487" s="706"/>
    </row>
    <row r="488" spans="7:18" ht="15" customHeight="1">
      <c r="G488" s="1082"/>
      <c r="R488" s="706"/>
    </row>
    <row r="489" spans="7:18" ht="15" customHeight="1">
      <c r="G489" s="1082"/>
      <c r="R489" s="706"/>
    </row>
    <row r="490" spans="7:18" ht="15" customHeight="1">
      <c r="G490" s="1082"/>
      <c r="R490" s="706"/>
    </row>
    <row r="491" spans="7:18" ht="15" customHeight="1">
      <c r="G491" s="1082"/>
      <c r="R491" s="706"/>
    </row>
    <row r="492" spans="7:18" ht="15" customHeight="1">
      <c r="G492" s="1082"/>
      <c r="R492" s="706"/>
    </row>
    <row r="493" spans="7:18" ht="15" customHeight="1">
      <c r="G493" s="1082"/>
      <c r="R493" s="706"/>
    </row>
    <row r="494" spans="7:18" ht="15" customHeight="1">
      <c r="G494" s="1082"/>
      <c r="R494" s="706"/>
    </row>
    <row r="495" spans="7:18" ht="15" customHeight="1">
      <c r="G495" s="1082"/>
      <c r="R495" s="706"/>
    </row>
    <row r="496" spans="7:18" ht="15" customHeight="1">
      <c r="G496" s="1082"/>
      <c r="R496" s="706"/>
    </row>
    <row r="497" spans="7:18" ht="15" customHeight="1">
      <c r="G497" s="1082"/>
      <c r="R497" s="706"/>
    </row>
    <row r="498" spans="7:18" ht="15" customHeight="1">
      <c r="G498" s="1082"/>
      <c r="R498" s="706"/>
    </row>
    <row r="499" spans="7:18" ht="15" customHeight="1">
      <c r="G499" s="1082"/>
      <c r="R499" s="706"/>
    </row>
    <row r="500" spans="7:18" ht="15" customHeight="1">
      <c r="G500" s="1082"/>
      <c r="R500" s="706"/>
    </row>
    <row r="501" spans="7:18" ht="15" customHeight="1">
      <c r="G501" s="1082"/>
      <c r="R501" s="706"/>
    </row>
    <row r="502" spans="7:18" ht="15" customHeight="1">
      <c r="G502" s="1082"/>
      <c r="R502" s="706"/>
    </row>
    <row r="503" spans="7:18" ht="15" customHeight="1">
      <c r="G503" s="1082"/>
      <c r="R503" s="706"/>
    </row>
    <row r="504" spans="7:18" ht="15" customHeight="1">
      <c r="G504" s="1082"/>
      <c r="R504" s="706"/>
    </row>
    <row r="505" spans="7:18" ht="15" customHeight="1">
      <c r="G505" s="1082"/>
      <c r="R505" s="706"/>
    </row>
    <row r="506" spans="7:18" ht="15" customHeight="1">
      <c r="G506" s="1082"/>
      <c r="R506" s="706"/>
    </row>
    <row r="507" spans="7:18" ht="15" customHeight="1">
      <c r="G507" s="1082"/>
      <c r="R507" s="706"/>
    </row>
    <row r="508" spans="7:18" ht="15" customHeight="1">
      <c r="G508" s="1082"/>
      <c r="R508" s="706"/>
    </row>
    <row r="509" spans="7:18" ht="15" customHeight="1">
      <c r="G509" s="1082"/>
      <c r="R509" s="706"/>
    </row>
    <row r="510" spans="7:18" ht="15" customHeight="1">
      <c r="G510" s="1082"/>
      <c r="R510" s="706"/>
    </row>
    <row r="511" spans="7:18" ht="15" customHeight="1">
      <c r="G511" s="1082"/>
      <c r="R511" s="706"/>
    </row>
    <row r="512" spans="7:18" ht="15" customHeight="1">
      <c r="G512" s="1082"/>
      <c r="R512" s="706"/>
    </row>
    <row r="513" spans="7:18" ht="15" customHeight="1">
      <c r="G513" s="1082"/>
      <c r="R513" s="706"/>
    </row>
    <row r="514" spans="7:18" ht="15" customHeight="1">
      <c r="G514" s="1082"/>
      <c r="R514" s="706"/>
    </row>
    <row r="515" spans="7:18" ht="15" customHeight="1">
      <c r="G515" s="1082"/>
      <c r="R515" s="706"/>
    </row>
    <row r="516" spans="7:18" ht="15" customHeight="1">
      <c r="G516" s="1082"/>
      <c r="R516" s="706"/>
    </row>
    <row r="517" spans="7:18" ht="15" customHeight="1">
      <c r="G517" s="1082"/>
      <c r="R517" s="706"/>
    </row>
    <row r="518" spans="7:18" ht="15" customHeight="1">
      <c r="G518" s="1082"/>
      <c r="R518" s="706"/>
    </row>
    <row r="519" spans="7:18" ht="15" customHeight="1">
      <c r="G519" s="1082"/>
      <c r="R519" s="706"/>
    </row>
    <row r="520" spans="7:18" ht="15" customHeight="1">
      <c r="G520" s="1082"/>
      <c r="R520" s="706"/>
    </row>
    <row r="521" spans="7:18" ht="15" customHeight="1">
      <c r="G521" s="1082"/>
      <c r="R521" s="706"/>
    </row>
    <row r="522" spans="7:18" ht="15" customHeight="1">
      <c r="G522" s="1082"/>
      <c r="R522" s="706"/>
    </row>
    <row r="523" spans="7:18" ht="15" customHeight="1">
      <c r="G523" s="1082"/>
      <c r="R523" s="706"/>
    </row>
    <row r="524" spans="7:18" ht="15" customHeight="1">
      <c r="G524" s="1082"/>
      <c r="R524" s="706"/>
    </row>
    <row r="525" spans="7:18" ht="15" customHeight="1">
      <c r="G525" s="1082"/>
      <c r="R525" s="706"/>
    </row>
    <row r="526" spans="7:18" ht="15" customHeight="1">
      <c r="G526" s="1082"/>
      <c r="R526" s="706"/>
    </row>
    <row r="527" spans="7:18" ht="15" customHeight="1">
      <c r="G527" s="1082"/>
      <c r="R527" s="706"/>
    </row>
    <row r="528" spans="7:18" ht="15" customHeight="1">
      <c r="G528" s="1082"/>
      <c r="R528" s="706"/>
    </row>
    <row r="529" spans="7:18" ht="15" customHeight="1">
      <c r="G529" s="1082"/>
      <c r="R529" s="706"/>
    </row>
    <row r="530" spans="7:18" ht="15" customHeight="1">
      <c r="G530" s="1082"/>
      <c r="R530" s="706"/>
    </row>
    <row r="531" spans="7:18" ht="15" customHeight="1">
      <c r="G531" s="1082"/>
      <c r="R531" s="706"/>
    </row>
    <row r="532" spans="7:18" ht="15" customHeight="1">
      <c r="G532" s="1082"/>
      <c r="R532" s="706"/>
    </row>
    <row r="533" spans="7:18" ht="15" customHeight="1">
      <c r="G533" s="1082"/>
      <c r="R533" s="706"/>
    </row>
    <row r="534" spans="7:18" ht="15" customHeight="1">
      <c r="G534" s="1082"/>
      <c r="R534" s="706"/>
    </row>
    <row r="535" spans="7:18" ht="15" customHeight="1">
      <c r="G535" s="1082"/>
      <c r="R535" s="706"/>
    </row>
    <row r="536" spans="7:18" ht="15" customHeight="1">
      <c r="G536" s="1082"/>
      <c r="R536" s="706"/>
    </row>
    <row r="537" spans="7:18" ht="15" customHeight="1">
      <c r="G537" s="1082"/>
      <c r="R537" s="706"/>
    </row>
    <row r="538" spans="7:18" ht="15" customHeight="1">
      <c r="G538" s="1082"/>
      <c r="R538" s="706"/>
    </row>
    <row r="539" spans="7:18" ht="15" customHeight="1">
      <c r="G539" s="1082"/>
      <c r="R539" s="706"/>
    </row>
    <row r="540" spans="7:18" ht="15" customHeight="1">
      <c r="G540" s="1082"/>
      <c r="R540" s="706"/>
    </row>
    <row r="541" spans="7:18" ht="15" customHeight="1">
      <c r="G541" s="1082"/>
      <c r="R541" s="706"/>
    </row>
    <row r="542" spans="7:18" ht="15" customHeight="1">
      <c r="G542" s="1082"/>
      <c r="R542" s="706"/>
    </row>
    <row r="543" spans="7:18" ht="15" customHeight="1">
      <c r="G543" s="1082"/>
      <c r="R543" s="706"/>
    </row>
    <row r="544" spans="7:18" ht="15" customHeight="1">
      <c r="G544" s="1082"/>
      <c r="R544" s="706"/>
    </row>
    <row r="545" spans="7:18" ht="15" customHeight="1">
      <c r="G545" s="1082"/>
      <c r="R545" s="706"/>
    </row>
    <row r="546" spans="7:18" ht="15" customHeight="1">
      <c r="G546" s="1082"/>
      <c r="R546" s="706"/>
    </row>
    <row r="547" spans="7:18" ht="15" customHeight="1">
      <c r="G547" s="1082"/>
      <c r="R547" s="706"/>
    </row>
    <row r="548" spans="7:18" ht="15" customHeight="1">
      <c r="G548" s="1082"/>
      <c r="R548" s="706"/>
    </row>
    <row r="549" spans="7:18" ht="15" customHeight="1">
      <c r="G549" s="1082"/>
      <c r="R549" s="706"/>
    </row>
    <row r="550" spans="7:18" ht="15" customHeight="1">
      <c r="G550" s="1082"/>
      <c r="R550" s="706"/>
    </row>
    <row r="551" spans="7:18" ht="15" customHeight="1">
      <c r="G551" s="1082"/>
      <c r="R551" s="706"/>
    </row>
    <row r="552" spans="7:18" ht="15" customHeight="1">
      <c r="G552" s="1082"/>
      <c r="R552" s="706"/>
    </row>
    <row r="553" spans="7:18" ht="15" customHeight="1">
      <c r="G553" s="1082"/>
      <c r="R553" s="706"/>
    </row>
    <row r="554" spans="7:18" ht="15" customHeight="1">
      <c r="G554" s="1082"/>
      <c r="R554" s="706"/>
    </row>
    <row r="555" spans="7:18" ht="15" customHeight="1">
      <c r="G555" s="1082"/>
      <c r="R555" s="706"/>
    </row>
    <row r="556" spans="7:18" ht="15" customHeight="1">
      <c r="G556" s="1082"/>
      <c r="R556" s="706"/>
    </row>
    <row r="557" spans="7:18" ht="15" customHeight="1">
      <c r="G557" s="1082"/>
      <c r="R557" s="706"/>
    </row>
    <row r="558" spans="7:18" ht="15" customHeight="1">
      <c r="G558" s="1082"/>
      <c r="R558" s="706"/>
    </row>
    <row r="559" spans="7:18" ht="15" customHeight="1">
      <c r="G559" s="1082"/>
      <c r="R559" s="706"/>
    </row>
    <row r="560" spans="7:18" ht="15" customHeight="1">
      <c r="G560" s="1082"/>
      <c r="R560" s="706"/>
    </row>
    <row r="561" spans="7:18" ht="15" customHeight="1">
      <c r="G561" s="1082"/>
      <c r="R561" s="706"/>
    </row>
    <row r="562" spans="7:18" ht="15" customHeight="1">
      <c r="G562" s="1082"/>
      <c r="R562" s="706"/>
    </row>
    <row r="563" spans="7:18" ht="15" customHeight="1">
      <c r="G563" s="1082"/>
      <c r="R563" s="706"/>
    </row>
    <row r="564" spans="7:18" ht="15" customHeight="1">
      <c r="G564" s="1082"/>
      <c r="R564" s="706"/>
    </row>
    <row r="565" spans="7:18" ht="15" customHeight="1">
      <c r="G565" s="1082"/>
      <c r="R565" s="706"/>
    </row>
    <row r="566" spans="7:18" ht="15" customHeight="1">
      <c r="G566" s="1082"/>
      <c r="R566" s="706"/>
    </row>
    <row r="567" spans="7:18" ht="15" customHeight="1">
      <c r="G567" s="1082"/>
      <c r="R567" s="706"/>
    </row>
    <row r="568" spans="7:18" ht="15" customHeight="1">
      <c r="G568" s="1082"/>
      <c r="R568" s="706"/>
    </row>
    <row r="569" spans="7:18" ht="15" customHeight="1">
      <c r="G569" s="1082"/>
      <c r="R569" s="706"/>
    </row>
    <row r="570" spans="7:18" ht="15" customHeight="1">
      <c r="G570" s="1082"/>
      <c r="R570" s="706"/>
    </row>
    <row r="571" spans="7:18" ht="15" customHeight="1">
      <c r="G571" s="1082"/>
      <c r="R571" s="706"/>
    </row>
    <row r="572" spans="7:18" ht="15" customHeight="1">
      <c r="G572" s="1082"/>
      <c r="R572" s="706"/>
    </row>
    <row r="573" spans="7:18" ht="15" customHeight="1">
      <c r="G573" s="1082"/>
      <c r="R573" s="706"/>
    </row>
    <row r="574" spans="7:18" ht="15" customHeight="1">
      <c r="G574" s="1082"/>
      <c r="R574" s="706"/>
    </row>
    <row r="575" spans="7:18" ht="15" customHeight="1">
      <c r="G575" s="1082"/>
      <c r="R575" s="706"/>
    </row>
    <row r="576" spans="7:18" ht="15" customHeight="1">
      <c r="G576" s="1082"/>
      <c r="R576" s="706"/>
    </row>
    <row r="577" spans="7:18" ht="15" customHeight="1">
      <c r="G577" s="1082"/>
      <c r="R577" s="706"/>
    </row>
    <row r="578" spans="7:18" ht="15" customHeight="1">
      <c r="G578" s="1082"/>
      <c r="R578" s="706"/>
    </row>
    <row r="579" spans="7:18" ht="15" customHeight="1">
      <c r="G579" s="1082"/>
      <c r="R579" s="706"/>
    </row>
    <row r="580" spans="7:18" ht="15" customHeight="1">
      <c r="G580" s="1082"/>
      <c r="R580" s="706"/>
    </row>
    <row r="581" spans="7:18" ht="15" customHeight="1">
      <c r="G581" s="1082"/>
      <c r="R581" s="706"/>
    </row>
    <row r="582" spans="7:18" ht="15" customHeight="1">
      <c r="G582" s="1082"/>
      <c r="R582" s="706"/>
    </row>
    <row r="583" spans="7:18" ht="15" customHeight="1">
      <c r="G583" s="1082"/>
      <c r="R583" s="706"/>
    </row>
    <row r="584" spans="7:18" ht="15" customHeight="1">
      <c r="G584" s="1082"/>
      <c r="R584" s="706"/>
    </row>
    <row r="585" spans="7:18" ht="15" customHeight="1">
      <c r="G585" s="1082"/>
      <c r="R585" s="706"/>
    </row>
    <row r="586" spans="7:18" ht="15" customHeight="1">
      <c r="G586" s="1082"/>
      <c r="R586" s="706"/>
    </row>
    <row r="587" spans="7:18" ht="15" customHeight="1">
      <c r="G587" s="1082"/>
      <c r="R587" s="706"/>
    </row>
    <row r="588" spans="7:18" ht="15" customHeight="1">
      <c r="G588" s="1082"/>
      <c r="R588" s="706"/>
    </row>
    <row r="589" spans="7:18" ht="15" customHeight="1">
      <c r="G589" s="1082"/>
      <c r="R589" s="706"/>
    </row>
    <row r="590" spans="7:18" ht="15" customHeight="1">
      <c r="G590" s="1082"/>
      <c r="R590" s="706"/>
    </row>
    <row r="591" spans="7:18" ht="15" customHeight="1">
      <c r="G591" s="1082"/>
      <c r="R591" s="706"/>
    </row>
    <row r="592" spans="7:18" ht="15" customHeight="1">
      <c r="G592" s="1082"/>
      <c r="R592" s="706"/>
    </row>
    <row r="593" spans="7:18" ht="15" customHeight="1">
      <c r="G593" s="1082"/>
      <c r="R593" s="706"/>
    </row>
    <row r="594" spans="7:18" ht="15" customHeight="1">
      <c r="G594" s="1082"/>
      <c r="R594" s="706"/>
    </row>
    <row r="595" spans="7:18" ht="15" customHeight="1">
      <c r="G595" s="1082"/>
      <c r="R595" s="706"/>
    </row>
    <row r="596" spans="7:18" ht="15" customHeight="1">
      <c r="G596" s="1082"/>
      <c r="R596" s="706"/>
    </row>
    <row r="597" spans="7:18" ht="15" customHeight="1">
      <c r="G597" s="1082"/>
      <c r="R597" s="706"/>
    </row>
    <row r="598" spans="7:18" ht="15" customHeight="1">
      <c r="G598" s="1082"/>
      <c r="R598" s="706"/>
    </row>
    <row r="599" spans="7:18" ht="15" customHeight="1">
      <c r="G599" s="1082"/>
      <c r="R599" s="706"/>
    </row>
    <row r="600" spans="7:18" ht="15" customHeight="1">
      <c r="G600" s="1082"/>
      <c r="R600" s="706"/>
    </row>
    <row r="601" spans="7:18" ht="15" customHeight="1">
      <c r="G601" s="1082"/>
      <c r="R601" s="706"/>
    </row>
    <row r="602" spans="7:18" ht="15" customHeight="1">
      <c r="G602" s="1082"/>
      <c r="R602" s="706"/>
    </row>
    <row r="603" spans="7:18" ht="15" customHeight="1">
      <c r="G603" s="1082"/>
      <c r="R603" s="706"/>
    </row>
    <row r="604" spans="7:18" ht="15" customHeight="1">
      <c r="G604" s="1082"/>
      <c r="R604" s="706"/>
    </row>
    <row r="605" spans="7:18" ht="15" customHeight="1">
      <c r="G605" s="1082"/>
      <c r="R605" s="706"/>
    </row>
    <row r="606" spans="7:18" ht="15" customHeight="1">
      <c r="G606" s="1082"/>
      <c r="R606" s="706"/>
    </row>
    <row r="607" spans="7:18" ht="15" customHeight="1">
      <c r="G607" s="1082"/>
      <c r="R607" s="706"/>
    </row>
    <row r="608" spans="7:18" ht="15" customHeight="1">
      <c r="G608" s="1082"/>
      <c r="R608" s="706"/>
    </row>
    <row r="609" spans="7:18" ht="15" customHeight="1">
      <c r="G609" s="1082"/>
      <c r="R609" s="706"/>
    </row>
    <row r="610" spans="7:18" ht="15" customHeight="1">
      <c r="G610" s="1082"/>
      <c r="R610" s="706"/>
    </row>
    <row r="611" spans="7:18" ht="15" customHeight="1">
      <c r="G611" s="1082"/>
      <c r="R611" s="706"/>
    </row>
    <row r="612" spans="7:18" ht="15" customHeight="1">
      <c r="G612" s="1082"/>
      <c r="R612" s="706"/>
    </row>
    <row r="613" spans="7:18" ht="15" customHeight="1">
      <c r="G613" s="1082"/>
      <c r="R613" s="706"/>
    </row>
    <row r="614" spans="7:18" ht="15" customHeight="1">
      <c r="G614" s="1082"/>
      <c r="R614" s="706"/>
    </row>
    <row r="615" spans="7:18" ht="15" customHeight="1">
      <c r="G615" s="1082"/>
      <c r="R615" s="706"/>
    </row>
    <row r="616" spans="7:18" ht="15" customHeight="1">
      <c r="G616" s="1082"/>
      <c r="R616" s="706"/>
    </row>
    <row r="617" spans="7:18" ht="15" customHeight="1">
      <c r="G617" s="1082"/>
      <c r="R617" s="706"/>
    </row>
    <row r="618" spans="7:18" ht="15" customHeight="1">
      <c r="G618" s="1082"/>
      <c r="R618" s="706"/>
    </row>
    <row r="619" spans="7:18" ht="15" customHeight="1">
      <c r="G619" s="1082"/>
      <c r="R619" s="706"/>
    </row>
    <row r="620" spans="7:18" ht="15" customHeight="1">
      <c r="G620" s="1082"/>
      <c r="R620" s="706"/>
    </row>
    <row r="621" spans="7:18" ht="15" customHeight="1">
      <c r="G621" s="1082"/>
      <c r="R621" s="706"/>
    </row>
    <row r="622" spans="7:18" ht="15" customHeight="1">
      <c r="G622" s="1082"/>
      <c r="R622" s="706"/>
    </row>
    <row r="623" spans="7:18" ht="15" customHeight="1">
      <c r="G623" s="1082"/>
      <c r="R623" s="706"/>
    </row>
    <row r="624" spans="7:18" ht="15" customHeight="1">
      <c r="G624" s="1082"/>
      <c r="R624" s="706"/>
    </row>
    <row r="625" spans="7:18" ht="15" customHeight="1">
      <c r="G625" s="1082"/>
      <c r="R625" s="706"/>
    </row>
    <row r="626" spans="7:18" ht="15" customHeight="1">
      <c r="G626" s="1082"/>
      <c r="R626" s="706"/>
    </row>
    <row r="627" spans="7:18" ht="15" customHeight="1">
      <c r="G627" s="1082"/>
      <c r="R627" s="706"/>
    </row>
    <row r="628" spans="7:18" ht="15" customHeight="1">
      <c r="G628" s="1082"/>
      <c r="R628" s="706"/>
    </row>
    <row r="629" spans="7:18" ht="15" customHeight="1">
      <c r="G629" s="1082"/>
      <c r="R629" s="706"/>
    </row>
    <row r="630" spans="7:18" ht="15" customHeight="1">
      <c r="G630" s="1082"/>
      <c r="R630" s="706"/>
    </row>
    <row r="631" spans="7:18" ht="15" customHeight="1">
      <c r="G631" s="1082"/>
      <c r="R631" s="706"/>
    </row>
    <row r="632" spans="7:18" ht="15" customHeight="1">
      <c r="G632" s="1082"/>
      <c r="R632" s="706"/>
    </row>
    <row r="633" spans="7:18" ht="15" customHeight="1">
      <c r="G633" s="1082"/>
      <c r="R633" s="706"/>
    </row>
    <row r="634" spans="7:18" ht="15" customHeight="1">
      <c r="G634" s="1082"/>
      <c r="R634" s="706"/>
    </row>
    <row r="635" spans="7:18" ht="15" customHeight="1">
      <c r="G635" s="1082"/>
      <c r="R635" s="706"/>
    </row>
    <row r="636" spans="7:18" ht="15" customHeight="1">
      <c r="G636" s="1082"/>
      <c r="R636" s="706"/>
    </row>
    <row r="637" spans="7:18" ht="15" customHeight="1">
      <c r="G637" s="1082"/>
      <c r="R637" s="706"/>
    </row>
    <row r="638" spans="7:18" ht="15" customHeight="1">
      <c r="G638" s="1082"/>
      <c r="R638" s="706"/>
    </row>
    <row r="639" spans="7:18" ht="15" customHeight="1">
      <c r="G639" s="1082"/>
      <c r="R639" s="706"/>
    </row>
    <row r="640" spans="7:18" ht="15" customHeight="1">
      <c r="G640" s="1082"/>
      <c r="R640" s="706"/>
    </row>
    <row r="641" spans="7:18" ht="15" customHeight="1">
      <c r="G641" s="1082"/>
      <c r="R641" s="706"/>
    </row>
    <row r="642" spans="7:18" ht="15" customHeight="1">
      <c r="G642" s="1082"/>
      <c r="R642" s="706"/>
    </row>
    <row r="643" spans="7:18" ht="15" customHeight="1">
      <c r="G643" s="1082"/>
      <c r="R643" s="706"/>
    </row>
    <row r="644" spans="7:18" ht="15" customHeight="1">
      <c r="G644" s="1082"/>
      <c r="R644" s="706"/>
    </row>
    <row r="645" spans="7:18" ht="15" customHeight="1">
      <c r="G645" s="1082"/>
      <c r="R645" s="706"/>
    </row>
    <row r="646" spans="7:18" ht="15" customHeight="1">
      <c r="G646" s="1082"/>
      <c r="R646" s="706"/>
    </row>
    <row r="647" spans="7:18" ht="15" customHeight="1">
      <c r="G647" s="1082"/>
      <c r="R647" s="706"/>
    </row>
    <row r="648" spans="7:18" ht="15" customHeight="1">
      <c r="G648" s="1082"/>
      <c r="R648" s="706"/>
    </row>
    <row r="649" spans="7:18" ht="15" customHeight="1">
      <c r="G649" s="1082"/>
      <c r="R649" s="706"/>
    </row>
    <row r="650" spans="7:18" ht="15" customHeight="1">
      <c r="G650" s="1082"/>
      <c r="R650" s="706"/>
    </row>
    <row r="651" spans="7:18" ht="15" customHeight="1">
      <c r="G651" s="1082"/>
      <c r="R651" s="706"/>
    </row>
    <row r="652" spans="7:18" ht="15" customHeight="1">
      <c r="G652" s="1082"/>
      <c r="R652" s="706"/>
    </row>
    <row r="653" spans="7:18" ht="15" customHeight="1">
      <c r="G653" s="1082"/>
      <c r="R653" s="706"/>
    </row>
    <row r="654" spans="7:18" ht="15" customHeight="1">
      <c r="G654" s="1082"/>
      <c r="R654" s="706"/>
    </row>
    <row r="655" spans="7:18" ht="15" customHeight="1">
      <c r="G655" s="1082"/>
      <c r="R655" s="706"/>
    </row>
    <row r="656" spans="7:18" ht="15" customHeight="1">
      <c r="G656" s="1082"/>
      <c r="R656" s="706"/>
    </row>
    <row r="657" spans="7:18" ht="15" customHeight="1">
      <c r="G657" s="1082"/>
      <c r="R657" s="706"/>
    </row>
    <row r="658" spans="7:18" ht="15" customHeight="1">
      <c r="G658" s="1082"/>
      <c r="R658" s="706"/>
    </row>
    <row r="659" spans="7:18" ht="15" customHeight="1">
      <c r="G659" s="1082"/>
      <c r="R659" s="706"/>
    </row>
    <row r="660" spans="7:18" ht="15" customHeight="1">
      <c r="G660" s="1082"/>
      <c r="R660" s="706"/>
    </row>
    <row r="661" spans="7:18" ht="15" customHeight="1">
      <c r="G661" s="1082"/>
      <c r="R661" s="706"/>
    </row>
    <row r="662" spans="7:18" ht="15" customHeight="1">
      <c r="G662" s="1082"/>
      <c r="R662" s="706"/>
    </row>
    <row r="663" spans="7:18" ht="15" customHeight="1">
      <c r="G663" s="1082"/>
      <c r="R663" s="706"/>
    </row>
    <row r="664" spans="7:18" ht="15" customHeight="1">
      <c r="G664" s="1082"/>
      <c r="R664" s="706"/>
    </row>
    <row r="665" spans="7:18" ht="15" customHeight="1">
      <c r="G665" s="1082"/>
      <c r="R665" s="706"/>
    </row>
    <row r="666" spans="7:18" ht="15" customHeight="1">
      <c r="G666" s="1082"/>
      <c r="R666" s="706"/>
    </row>
    <row r="667" spans="7:18" ht="15" customHeight="1">
      <c r="G667" s="1082"/>
      <c r="R667" s="706"/>
    </row>
    <row r="668" spans="7:18" ht="15" customHeight="1">
      <c r="G668" s="1082"/>
      <c r="R668" s="706"/>
    </row>
    <row r="669" spans="7:18" ht="15" customHeight="1">
      <c r="G669" s="1082"/>
      <c r="R669" s="706"/>
    </row>
    <row r="670" spans="7:18" ht="15" customHeight="1">
      <c r="G670" s="1082"/>
      <c r="R670" s="706"/>
    </row>
    <row r="671" spans="7:18" ht="15" customHeight="1">
      <c r="G671" s="1082"/>
      <c r="R671" s="706"/>
    </row>
    <row r="672" spans="7:18" ht="15" customHeight="1">
      <c r="G672" s="1082"/>
      <c r="R672" s="706"/>
    </row>
    <row r="673" spans="7:18" ht="15" customHeight="1">
      <c r="G673" s="1082"/>
      <c r="R673" s="706"/>
    </row>
    <row r="674" spans="7:18" ht="15" customHeight="1">
      <c r="G674" s="1082"/>
      <c r="R674" s="706"/>
    </row>
    <row r="675" spans="7:18" ht="15" customHeight="1">
      <c r="G675" s="1082"/>
      <c r="R675" s="706"/>
    </row>
    <row r="676" spans="7:18" ht="15" customHeight="1">
      <c r="G676" s="1082"/>
      <c r="R676" s="706"/>
    </row>
    <row r="677" spans="7:18" ht="15" customHeight="1">
      <c r="G677" s="1082"/>
      <c r="R677" s="706"/>
    </row>
    <row r="678" spans="7:18" ht="15" customHeight="1">
      <c r="G678" s="1082"/>
      <c r="R678" s="706"/>
    </row>
    <row r="679" spans="7:18" ht="15" customHeight="1">
      <c r="G679" s="1082"/>
      <c r="R679" s="706"/>
    </row>
    <row r="680" spans="7:18" ht="15" customHeight="1">
      <c r="G680" s="1082"/>
      <c r="R680" s="706"/>
    </row>
    <row r="681" spans="7:18" ht="15" customHeight="1">
      <c r="G681" s="1082"/>
      <c r="R681" s="706"/>
    </row>
    <row r="682" spans="7:18" ht="15" customHeight="1">
      <c r="G682" s="1082"/>
      <c r="R682" s="706"/>
    </row>
    <row r="683" spans="7:18" ht="15" customHeight="1">
      <c r="G683" s="1082"/>
      <c r="R683" s="706"/>
    </row>
    <row r="684" spans="7:18" ht="15" customHeight="1">
      <c r="G684" s="1082"/>
      <c r="R684" s="706"/>
    </row>
    <row r="685" spans="7:18" ht="15" customHeight="1">
      <c r="G685" s="1082"/>
      <c r="R685" s="706"/>
    </row>
    <row r="686" spans="7:18" ht="15" customHeight="1">
      <c r="G686" s="1082"/>
      <c r="R686" s="706"/>
    </row>
    <row r="687" spans="7:18" ht="15" customHeight="1">
      <c r="G687" s="1082"/>
      <c r="R687" s="706"/>
    </row>
    <row r="688" spans="7:18" ht="15" customHeight="1">
      <c r="G688" s="1082"/>
      <c r="R688" s="706"/>
    </row>
    <row r="689" spans="7:18" ht="15" customHeight="1">
      <c r="G689" s="1082"/>
      <c r="R689" s="706"/>
    </row>
    <row r="690" spans="7:18" ht="15" customHeight="1">
      <c r="G690" s="1082"/>
      <c r="R690" s="706"/>
    </row>
    <row r="691" spans="7:18" ht="15" customHeight="1">
      <c r="G691" s="1082"/>
      <c r="R691" s="706"/>
    </row>
    <row r="692" spans="7:18" ht="15" customHeight="1">
      <c r="G692" s="1082"/>
      <c r="R692" s="706"/>
    </row>
    <row r="693" spans="7:18" ht="15" customHeight="1">
      <c r="G693" s="1082"/>
      <c r="R693" s="706"/>
    </row>
    <row r="694" spans="7:18" ht="15" customHeight="1">
      <c r="G694" s="1082"/>
      <c r="R694" s="706"/>
    </row>
    <row r="695" spans="7:18" ht="15" customHeight="1">
      <c r="G695" s="1082"/>
      <c r="R695" s="706"/>
    </row>
    <row r="696" spans="7:18" ht="15" customHeight="1">
      <c r="G696" s="1082"/>
      <c r="R696" s="706"/>
    </row>
    <row r="697" spans="7:18" ht="15" customHeight="1">
      <c r="G697" s="1082"/>
      <c r="R697" s="706"/>
    </row>
    <row r="698" spans="7:18" ht="15" customHeight="1">
      <c r="G698" s="1082"/>
      <c r="R698" s="706"/>
    </row>
    <row r="699" spans="7:18" ht="15" customHeight="1">
      <c r="G699" s="1082"/>
      <c r="R699" s="706"/>
    </row>
    <row r="700" spans="7:18" ht="15" customHeight="1">
      <c r="G700" s="1082"/>
      <c r="R700" s="706"/>
    </row>
    <row r="701" spans="7:18" ht="15" customHeight="1">
      <c r="G701" s="1082"/>
      <c r="R701" s="706"/>
    </row>
    <row r="702" spans="7:18" ht="15" customHeight="1">
      <c r="G702" s="1082"/>
      <c r="R702" s="706"/>
    </row>
    <row r="703" spans="7:18" ht="15" customHeight="1">
      <c r="G703" s="1082"/>
      <c r="R703" s="706"/>
    </row>
    <row r="704" spans="7:18" ht="15" customHeight="1">
      <c r="G704" s="1082"/>
      <c r="R704" s="706"/>
    </row>
    <row r="705" spans="7:18" ht="15" customHeight="1">
      <c r="G705" s="1082"/>
      <c r="R705" s="706"/>
    </row>
    <row r="706" spans="7:18" ht="15" customHeight="1">
      <c r="G706" s="1082"/>
      <c r="R706" s="706"/>
    </row>
    <row r="707" spans="7:18" ht="15" customHeight="1">
      <c r="G707" s="1082"/>
      <c r="R707" s="706"/>
    </row>
    <row r="708" spans="7:18" ht="15" customHeight="1">
      <c r="G708" s="1082"/>
      <c r="R708" s="706"/>
    </row>
    <row r="709" spans="7:18" ht="15" customHeight="1">
      <c r="G709" s="1082"/>
      <c r="R709" s="706"/>
    </row>
    <row r="710" spans="7:18" ht="15" customHeight="1">
      <c r="G710" s="1082"/>
      <c r="R710" s="706"/>
    </row>
    <row r="711" spans="7:18" ht="15" customHeight="1">
      <c r="G711" s="1082"/>
      <c r="R711" s="706"/>
    </row>
    <row r="712" spans="7:18" ht="15" customHeight="1">
      <c r="G712" s="1082"/>
      <c r="R712" s="706"/>
    </row>
    <row r="713" spans="7:18" ht="15" customHeight="1">
      <c r="R713" s="706"/>
    </row>
    <row r="714" spans="7:18" ht="15" customHeight="1">
      <c r="R714" s="706"/>
    </row>
    <row r="715" spans="7:18" ht="15" customHeight="1">
      <c r="R715" s="706"/>
    </row>
    <row r="716" spans="7:18" ht="15" customHeight="1">
      <c r="R716" s="706"/>
    </row>
    <row r="717" spans="7:18" ht="15" customHeight="1">
      <c r="R717" s="706"/>
    </row>
    <row r="718" spans="7:18" ht="15" customHeight="1">
      <c r="R718" s="706"/>
    </row>
    <row r="719" spans="7:18" ht="15" customHeight="1">
      <c r="R719" s="706"/>
    </row>
    <row r="720" spans="7:18" ht="15" customHeight="1">
      <c r="R720" s="706"/>
    </row>
    <row r="721" spans="18:18" ht="15" customHeight="1">
      <c r="R721" s="706"/>
    </row>
    <row r="722" spans="18:18" ht="15" customHeight="1">
      <c r="R722" s="706"/>
    </row>
    <row r="723" spans="18:18" ht="15" customHeight="1">
      <c r="R723" s="706"/>
    </row>
    <row r="724" spans="18:18" ht="15" customHeight="1">
      <c r="R724" s="706"/>
    </row>
    <row r="725" spans="18:18" ht="15" customHeight="1">
      <c r="R725" s="706"/>
    </row>
    <row r="726" spans="18:18" ht="15" customHeight="1">
      <c r="R726" s="706"/>
    </row>
    <row r="727" spans="18:18" ht="15" customHeight="1">
      <c r="R727" s="706"/>
    </row>
    <row r="728" spans="18:18" ht="15" customHeight="1">
      <c r="R728" s="706"/>
    </row>
    <row r="729" spans="18:18" ht="15" customHeight="1">
      <c r="R729" s="706"/>
    </row>
    <row r="730" spans="18:18" ht="15" customHeight="1">
      <c r="R730" s="706"/>
    </row>
    <row r="731" spans="18:18" ht="15" customHeight="1">
      <c r="R731" s="706"/>
    </row>
    <row r="732" spans="18:18" ht="15" customHeight="1">
      <c r="R732" s="706"/>
    </row>
    <row r="733" spans="18:18" ht="15" customHeight="1">
      <c r="R733" s="706"/>
    </row>
    <row r="734" spans="18:18" ht="15" customHeight="1">
      <c r="R734" s="706"/>
    </row>
    <row r="735" spans="18:18" ht="15" customHeight="1">
      <c r="R735" s="706"/>
    </row>
    <row r="736" spans="18:18" ht="15" customHeight="1">
      <c r="R736" s="706"/>
    </row>
    <row r="737" spans="18:18" ht="15" customHeight="1">
      <c r="R737" s="706"/>
    </row>
    <row r="738" spans="18:18" ht="15" customHeight="1">
      <c r="R738" s="706"/>
    </row>
    <row r="739" spans="18:18" ht="15" customHeight="1">
      <c r="R739" s="706"/>
    </row>
    <row r="740" spans="18:18" ht="15" customHeight="1">
      <c r="R740" s="706"/>
    </row>
    <row r="741" spans="18:18" ht="15" customHeight="1">
      <c r="R741" s="706"/>
    </row>
    <row r="742" spans="18:18" ht="15" customHeight="1">
      <c r="R742" s="706"/>
    </row>
    <row r="743" spans="18:18" ht="15" customHeight="1">
      <c r="R743" s="706"/>
    </row>
    <row r="744" spans="18:18" ht="15" customHeight="1">
      <c r="R744" s="706"/>
    </row>
    <row r="745" spans="18:18" ht="15" customHeight="1">
      <c r="R745" s="706"/>
    </row>
    <row r="746" spans="18:18" ht="15" customHeight="1">
      <c r="R746" s="706"/>
    </row>
    <row r="747" spans="18:18" ht="15" customHeight="1">
      <c r="R747" s="706"/>
    </row>
    <row r="748" spans="18:18" ht="15" customHeight="1">
      <c r="R748" s="706"/>
    </row>
    <row r="749" spans="18:18" ht="15" customHeight="1">
      <c r="R749" s="706"/>
    </row>
    <row r="750" spans="18:18" ht="15" customHeight="1">
      <c r="R750" s="706"/>
    </row>
    <row r="751" spans="18:18" ht="15" customHeight="1">
      <c r="R751" s="706"/>
    </row>
    <row r="752" spans="18:18" ht="15" customHeight="1">
      <c r="R752" s="706"/>
    </row>
    <row r="753" spans="18:18" ht="15" customHeight="1">
      <c r="R753" s="706"/>
    </row>
    <row r="754" spans="18:18" ht="15" customHeight="1">
      <c r="R754" s="706"/>
    </row>
    <row r="755" spans="18:18" ht="15" customHeight="1">
      <c r="R755" s="706"/>
    </row>
    <row r="756" spans="18:18" ht="15" customHeight="1">
      <c r="R756" s="706"/>
    </row>
    <row r="757" spans="18:18" ht="15" customHeight="1">
      <c r="R757" s="706"/>
    </row>
    <row r="758" spans="18:18" ht="15" customHeight="1">
      <c r="R758" s="706"/>
    </row>
    <row r="759" spans="18:18" ht="15" customHeight="1">
      <c r="R759" s="706"/>
    </row>
    <row r="760" spans="18:18" ht="15" customHeight="1">
      <c r="R760" s="706"/>
    </row>
    <row r="761" spans="18:18" ht="15" customHeight="1">
      <c r="R761" s="706"/>
    </row>
    <row r="762" spans="18:18" ht="15" customHeight="1">
      <c r="R762" s="706"/>
    </row>
    <row r="763" spans="18:18" ht="15" customHeight="1">
      <c r="R763" s="706"/>
    </row>
    <row r="764" spans="18:18" ht="15" customHeight="1">
      <c r="R764" s="706"/>
    </row>
    <row r="765" spans="18:18" ht="15" customHeight="1">
      <c r="R765" s="706"/>
    </row>
    <row r="766" spans="18:18" ht="15" customHeight="1">
      <c r="R766" s="706"/>
    </row>
    <row r="767" spans="18:18" ht="15" customHeight="1">
      <c r="R767" s="706"/>
    </row>
    <row r="768" spans="18:18" ht="15" customHeight="1">
      <c r="R768" s="706"/>
    </row>
    <row r="769" spans="18:18" ht="15" customHeight="1">
      <c r="R769" s="706"/>
    </row>
    <row r="770" spans="18:18" ht="15" customHeight="1">
      <c r="R770" s="706"/>
    </row>
    <row r="771" spans="18:18" ht="15" customHeight="1">
      <c r="R771" s="706"/>
    </row>
    <row r="772" spans="18:18" ht="15" customHeight="1">
      <c r="R772" s="706"/>
    </row>
    <row r="773" spans="18:18" ht="15" customHeight="1">
      <c r="R773" s="706"/>
    </row>
    <row r="774" spans="18:18" ht="15" customHeight="1">
      <c r="R774" s="706"/>
    </row>
    <row r="775" spans="18:18" ht="15" customHeight="1">
      <c r="R775" s="706"/>
    </row>
    <row r="776" spans="18:18" ht="15" customHeight="1">
      <c r="R776" s="706"/>
    </row>
    <row r="777" spans="18:18" ht="15" customHeight="1">
      <c r="R777" s="706"/>
    </row>
    <row r="778" spans="18:18" ht="15" customHeight="1">
      <c r="R778" s="706"/>
    </row>
    <row r="779" spans="18:18" ht="15" customHeight="1">
      <c r="R779" s="706"/>
    </row>
    <row r="780" spans="18:18" ht="15" customHeight="1">
      <c r="R780" s="706"/>
    </row>
    <row r="781" spans="18:18" ht="15" customHeight="1">
      <c r="R781" s="706"/>
    </row>
    <row r="782" spans="18:18" ht="15" customHeight="1">
      <c r="R782" s="706"/>
    </row>
    <row r="783" spans="18:18" ht="15" customHeight="1">
      <c r="R783" s="706"/>
    </row>
  </sheetData>
  <autoFilter ref="A3:AO93" xr:uid="{00000000-0009-0000-0000-00000C000000}"/>
  <mergeCells count="2">
    <mergeCell ref="AW5:BE5"/>
    <mergeCell ref="AW20:BB20"/>
  </mergeCells>
  <pageMargins left="0.7" right="0.7" top="0.75" bottom="0.75" header="0" footer="0"/>
  <pageSetup scale="14" fitToHeight="0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35">
    <tabColor rgb="FF00B050"/>
    <pageSetUpPr fitToPage="1"/>
  </sheetPr>
  <dimension ref="A1:AL559"/>
  <sheetViews>
    <sheetView showGridLines="0" workbookViewId="0">
      <pane xSplit="1" ySplit="3" topLeftCell="F4" activePane="bottomRight" state="frozen"/>
      <selection pane="topRight" activeCell="B1" sqref="B1"/>
      <selection pane="bottomLeft" activeCell="A4" sqref="A4"/>
      <selection pane="bottomRight" activeCell="T18" sqref="T18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style="773" customWidth="1"/>
    <col min="34" max="34" width="20.33203125" customWidth="1"/>
    <col min="35" max="35" width="14.44140625" customWidth="1"/>
    <col min="36" max="36" width="17.5546875" customWidth="1"/>
    <col min="37" max="37" width="5.109375" customWidth="1"/>
    <col min="38" max="38" width="14.44140625" customWidth="1"/>
  </cols>
  <sheetData>
    <row r="1" spans="1:38" ht="15" customHeight="1" thickBot="1">
      <c r="D1" s="1075" t="s">
        <v>1906</v>
      </c>
      <c r="E1" s="1076">
        <f>+AL3</f>
        <v>509439.3178163931</v>
      </c>
      <c r="F1" s="79"/>
      <c r="G1" s="80"/>
      <c r="H1" s="81"/>
      <c r="I1" s="843"/>
      <c r="K1" s="1061"/>
      <c r="L1" s="1007"/>
      <c r="AB1" s="83"/>
      <c r="AC1" s="758"/>
      <c r="AD1" s="83"/>
      <c r="AE1" s="83"/>
      <c r="AF1" s="83"/>
      <c r="AG1" s="768" t="s">
        <v>34</v>
      </c>
      <c r="AH1" s="701" t="s">
        <v>1001</v>
      </c>
      <c r="AI1" s="699" t="s">
        <v>36</v>
      </c>
      <c r="AJ1" s="87" t="s">
        <v>37</v>
      </c>
      <c r="AK1" s="88"/>
      <c r="AL1" s="89" t="s">
        <v>38</v>
      </c>
    </row>
    <row r="2" spans="1:38" ht="15" customHeight="1" thickBot="1">
      <c r="D2" s="1075" t="s">
        <v>1907</v>
      </c>
      <c r="E2" s="1076">
        <f>+AH3</f>
        <v>6647.391843913827</v>
      </c>
      <c r="F2" s="1079" t="s">
        <v>1908</v>
      </c>
      <c r="G2" s="1080">
        <f>+Q2</f>
        <v>89.769276623073452</v>
      </c>
      <c r="H2" s="90"/>
      <c r="I2" s="91">
        <f>SUBTOTAL(9,I4:I8854)</f>
        <v>506.49</v>
      </c>
      <c r="J2" s="81"/>
      <c r="K2" s="91">
        <f>SUBTOTAL(9,K4:K8854)</f>
        <v>474.261348</v>
      </c>
      <c r="L2" s="93">
        <f>SUMPRODUCT(L5:L8854,K5:K8854)/K2</f>
        <v>0.45541262207815425</v>
      </c>
      <c r="M2" s="6"/>
      <c r="P2" s="6"/>
      <c r="Q2" s="94">
        <f>+SUMPRODUCT(Q5:Q8854,AH5:AH8854)/SUM(AH5:AH8854)</f>
        <v>89.769276623073452</v>
      </c>
      <c r="R2" s="89">
        <f>+SUMPRODUCT(R5:R8854,AH5:AH8854)/SUM(AH5:AH8854)</f>
        <v>2867.5056962669873</v>
      </c>
      <c r="S2" s="6"/>
      <c r="AB2" s="83"/>
      <c r="AC2" s="83"/>
      <c r="AD2" s="83"/>
      <c r="AE2" s="83"/>
      <c r="AF2" s="83"/>
      <c r="AG2" s="769">
        <f>SUMPRODUCT($AG5:$AG8854,$K5:$K8854)/SUM($K5:$K8854)</f>
        <v>51.895949846478331</v>
      </c>
      <c r="AH2" s="702"/>
      <c r="AI2" s="252">
        <v>3000</v>
      </c>
      <c r="AJ2" s="98"/>
      <c r="AK2" s="88"/>
      <c r="AL2" s="99"/>
    </row>
    <row r="3" spans="1:38" ht="15" customHeight="1" thickBot="1">
      <c r="A3" s="678" t="s">
        <v>11</v>
      </c>
      <c r="B3" s="678" t="s">
        <v>39</v>
      </c>
      <c r="C3" s="678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18">
        <f>SUBTOTAL(9,AH5:AH8854)</f>
        <v>6647.391843913827</v>
      </c>
      <c r="AI3" s="700">
        <f>SUMPRODUCT(K5:K8854,AI5:AI8854)/K2</f>
        <v>104.63258230536252</v>
      </c>
      <c r="AJ3" s="118">
        <f>SUBTOTAL(9,AJ5:AJ8854)</f>
        <v>6628.6087261337125</v>
      </c>
      <c r="AK3" s="88"/>
      <c r="AL3" s="118">
        <f>SUBTOTAL(9,AL5:AL8854)</f>
        <v>509439.3178163931</v>
      </c>
    </row>
    <row r="4" spans="1:38" s="677" customFormat="1" ht="15.75" customHeight="1">
      <c r="A4" s="720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4"/>
      <c r="AJ4" s="675"/>
      <c r="AK4" s="676"/>
      <c r="AL4" s="732"/>
    </row>
    <row r="5" spans="1:38" ht="15.75" customHeight="1">
      <c r="A5" s="857" t="s">
        <v>1647</v>
      </c>
      <c r="B5" s="717">
        <v>45702</v>
      </c>
      <c r="C5" s="595">
        <v>45678</v>
      </c>
      <c r="D5" t="s">
        <v>1586</v>
      </c>
      <c r="E5" t="e">
        <f>_xlfn.XLOOKUP(D5,RUC!$B$3:$B$123,RUC!$D$3:$D$123)</f>
        <v>#N/A</v>
      </c>
      <c r="G5" s="80">
        <v>50</v>
      </c>
      <c r="H5" t="s">
        <v>69</v>
      </c>
      <c r="I5" s="596">
        <v>6.29</v>
      </c>
      <c r="J5" s="596">
        <v>1.2</v>
      </c>
      <c r="K5" s="138">
        <f t="shared" ref="K5:K36" si="0">+I5-(I5*(J5/100))</f>
        <v>6.2145200000000003</v>
      </c>
      <c r="L5" s="139">
        <v>0.59699999999999998</v>
      </c>
      <c r="M5" s="752">
        <v>0.57299999999999995</v>
      </c>
      <c r="N5" s="598">
        <v>0.65700000000000003</v>
      </c>
      <c r="O5" s="645">
        <f t="shared" ref="O5:O19" si="1">+ROUND((M5+N5)/2,3)</f>
        <v>0.61499999999999999</v>
      </c>
      <c r="P5" s="629">
        <v>90</v>
      </c>
      <c r="Q5" s="760">
        <v>89.98</v>
      </c>
      <c r="R5" s="706">
        <v>2737.8</v>
      </c>
      <c r="S5" s="765">
        <f t="shared" ref="S5:S10" si="2">IF((85+ROUNDDOWN(O5,1)*100)&lt;95,95,(85+ROUNDDOWN(O5,1)*100))</f>
        <v>145</v>
      </c>
      <c r="U5" s="1024">
        <v>90</v>
      </c>
      <c r="V5" s="715">
        <v>1.1023000000000001</v>
      </c>
      <c r="Z5" s="1034">
        <v>25</v>
      </c>
      <c r="AA5" s="144">
        <f t="shared" ref="AA5:AA36" si="3">+Y5+Z5</f>
        <v>25</v>
      </c>
      <c r="AB5" s="145">
        <f t="shared" ref="AB5:AB52" si="4">+((O5*P5*(R5-U5)/100)-S5-AA5+T5)*V5</f>
        <v>1428.0928117900003</v>
      </c>
      <c r="AC5" s="145">
        <f>+(S5-T5)*V5-'data 1'!$F$4</f>
        <v>79.833500000000015</v>
      </c>
      <c r="AD5" s="145">
        <f t="shared" ref="AD5:AD36" si="5">+(Q5-P5)*(R5-U5)*L5*V5/100</f>
        <v>-0.34848919083593066</v>
      </c>
      <c r="AE5" s="145">
        <f t="shared" ref="AE5:AE36" si="6">+(Y5*V5-70)+V5*(Z5-IF(D5="UNTUCA",IF(+((W5-3)*2.5+(X5-3)*3.1)&gt;0,+((W5-3)*1.5+(X5-3)*3.1),0),IF(+((W5-3)*1.5+(X5-3)*3.1)&gt;0,+((W5-3)*1.5+(X5-3)*3.1),0)))</f>
        <v>-42.442499999999995</v>
      </c>
      <c r="AF5" s="145">
        <f t="shared" ref="AF5:AF36" si="7">(L5-O5)*(R5-U5)*Q5*V5/100</f>
        <v>-47.271945816216046</v>
      </c>
      <c r="AG5" s="772">
        <f t="shared" ref="AG5:AG10" si="8">+IF(D5="RONALD WILLIAN GARIBAY ESCUDERO",AC5+AD5+AE5+AF5+70,AC5+AD5+AE5+AF5)+70-30-5-3</f>
        <v>21.770564992948039</v>
      </c>
      <c r="AH5" s="146">
        <f t="shared" ref="AH5:AH36" si="9">31.1035*L5*Q5*1.1023*K5/100</f>
        <v>114.45558231448086</v>
      </c>
      <c r="AI5" s="156">
        <f t="shared" ref="AI5:AI36" si="10">+((+$AI$2-R5+U5)*L5*Q5*V5)/100</f>
        <v>208.5496565688359</v>
      </c>
      <c r="AJ5" s="156">
        <f t="shared" ref="AJ5:AJ36" si="11">31.1035*1.1023*K5*P5*O5/100</f>
        <v>117.932711663573</v>
      </c>
      <c r="AK5" s="88"/>
      <c r="AL5" s="716">
        <f t="shared" ref="AL5:AL36" si="12">+IF(AB5*K5&gt;0,AB5*K5,0)</f>
        <v>8874.9113407251934</v>
      </c>
    </row>
    <row r="6" spans="1:38" ht="15.75" customHeight="1">
      <c r="A6" s="857" t="s">
        <v>1648</v>
      </c>
      <c r="B6" s="717">
        <v>45702</v>
      </c>
      <c r="C6" s="595">
        <v>45678</v>
      </c>
      <c r="D6" t="s">
        <v>1586</v>
      </c>
      <c r="E6" t="e">
        <f>_xlfn.XLOOKUP(D6,RUC!$B$3:$B$123,RUC!$D$3:$D$123)</f>
        <v>#N/A</v>
      </c>
      <c r="G6" s="80">
        <v>50</v>
      </c>
      <c r="H6" t="s">
        <v>69</v>
      </c>
      <c r="I6" s="596">
        <v>7.06</v>
      </c>
      <c r="J6" s="596">
        <v>1.3</v>
      </c>
      <c r="K6" s="138">
        <f t="shared" si="0"/>
        <v>6.9682199999999996</v>
      </c>
      <c r="L6" s="139">
        <v>0.67600000000000005</v>
      </c>
      <c r="M6" s="139">
        <v>0.64900000000000002</v>
      </c>
      <c r="N6" s="159">
        <v>0.64900000000000002</v>
      </c>
      <c r="O6" s="645">
        <f t="shared" si="1"/>
        <v>0.64900000000000002</v>
      </c>
      <c r="P6" s="629">
        <v>90</v>
      </c>
      <c r="Q6" s="760">
        <v>89.92</v>
      </c>
      <c r="R6" s="706">
        <v>2737.8</v>
      </c>
      <c r="S6" s="765">
        <f t="shared" si="2"/>
        <v>145</v>
      </c>
      <c r="U6" s="1024">
        <v>90</v>
      </c>
      <c r="V6" s="715">
        <v>1.1023000000000001</v>
      </c>
      <c r="Z6" s="1034">
        <v>25</v>
      </c>
      <c r="AA6" s="144">
        <f t="shared" si="3"/>
        <v>25</v>
      </c>
      <c r="AB6" s="145">
        <f t="shared" si="4"/>
        <v>1517.4041119540002</v>
      </c>
      <c r="AC6" s="145">
        <f>+(S6-T6)*V6-'data 1'!$F$4</f>
        <v>79.833500000000015</v>
      </c>
      <c r="AD6" s="145">
        <f t="shared" si="5"/>
        <v>-1.5784167035519667</v>
      </c>
      <c r="AE6" s="145">
        <f t="shared" si="6"/>
        <v>-42.442499999999995</v>
      </c>
      <c r="AF6" s="145">
        <f t="shared" si="7"/>
        <v>70.860636271296073</v>
      </c>
      <c r="AG6" s="772">
        <f t="shared" si="8"/>
        <v>138.67321956774413</v>
      </c>
      <c r="AH6" s="146">
        <f t="shared" si="9"/>
        <v>145.2225027801629</v>
      </c>
      <c r="AI6" s="156">
        <f t="shared" si="10"/>
        <v>235.98921368755188</v>
      </c>
      <c r="AJ6" s="156">
        <f t="shared" si="11"/>
        <v>139.54623681585005</v>
      </c>
      <c r="AK6" s="88"/>
      <c r="AL6" s="716">
        <f t="shared" si="12"/>
        <v>10573.605681000103</v>
      </c>
    </row>
    <row r="7" spans="1:38" ht="15.75" customHeight="1">
      <c r="A7" s="857" t="s">
        <v>1649</v>
      </c>
      <c r="B7" s="717">
        <v>45702</v>
      </c>
      <c r="C7" s="595">
        <v>45678</v>
      </c>
      <c r="D7" t="s">
        <v>1586</v>
      </c>
      <c r="E7" t="e">
        <f>_xlfn.XLOOKUP(D7,RUC!$B$3:$B$123,RUC!$D$3:$D$123)</f>
        <v>#N/A</v>
      </c>
      <c r="G7" s="80">
        <v>50</v>
      </c>
      <c r="H7" t="s">
        <v>69</v>
      </c>
      <c r="I7" s="596">
        <v>6.51</v>
      </c>
      <c r="J7" s="596">
        <v>1.5</v>
      </c>
      <c r="K7" s="138">
        <f t="shared" si="0"/>
        <v>6.41235</v>
      </c>
      <c r="L7" s="752">
        <v>0.54700000000000004</v>
      </c>
      <c r="M7" s="752">
        <v>0.52500000000000002</v>
      </c>
      <c r="N7" s="598">
        <v>0.65900000000000003</v>
      </c>
      <c r="O7" s="645">
        <f t="shared" si="1"/>
        <v>0.59199999999999997</v>
      </c>
      <c r="P7" s="629">
        <v>90</v>
      </c>
      <c r="Q7" s="760">
        <v>90.29</v>
      </c>
      <c r="R7" s="706">
        <v>2737.8</v>
      </c>
      <c r="S7" s="765">
        <f t="shared" si="2"/>
        <v>135</v>
      </c>
      <c r="U7" s="1024">
        <v>90</v>
      </c>
      <c r="V7" s="715">
        <v>1.1023000000000001</v>
      </c>
      <c r="Z7" s="1034">
        <v>25</v>
      </c>
      <c r="AA7" s="144">
        <f t="shared" si="3"/>
        <v>25</v>
      </c>
      <c r="AB7" s="145">
        <f t="shared" si="4"/>
        <v>1378.6993440319998</v>
      </c>
      <c r="AC7" s="145">
        <f>+(S7-T7)*V7-'data 1'!$F$4</f>
        <v>68.810500000000019</v>
      </c>
      <c r="AD7" s="145">
        <f t="shared" si="5"/>
        <v>4.6298861258221002</v>
      </c>
      <c r="AE7" s="145">
        <f t="shared" si="6"/>
        <v>-42.442499999999995</v>
      </c>
      <c r="AF7" s="145">
        <f t="shared" si="7"/>
        <v>-118.58701899716985</v>
      </c>
      <c r="AG7" s="772">
        <f t="shared" si="8"/>
        <v>-55.589132871347729</v>
      </c>
      <c r="AH7" s="146">
        <f t="shared" si="9"/>
        <v>108.58085764828756</v>
      </c>
      <c r="AI7" s="156">
        <f t="shared" si="10"/>
        <v>191.74150788217793</v>
      </c>
      <c r="AJ7" s="156">
        <f t="shared" si="11"/>
        <v>117.13603101565604</v>
      </c>
      <c r="AK7" s="88"/>
      <c r="AL7" s="716">
        <f t="shared" si="12"/>
        <v>8840.7027387035942</v>
      </c>
    </row>
    <row r="8" spans="1:38" ht="15.75" customHeight="1">
      <c r="A8" s="857" t="s">
        <v>1650</v>
      </c>
      <c r="B8" s="717">
        <v>45702</v>
      </c>
      <c r="C8" s="595">
        <v>45678</v>
      </c>
      <c r="D8" t="s">
        <v>1586</v>
      </c>
      <c r="E8" t="e">
        <f>_xlfn.XLOOKUP(D8,RUC!$B$3:$B$123,RUC!$D$3:$D$123)</f>
        <v>#N/A</v>
      </c>
      <c r="G8" s="80">
        <v>50</v>
      </c>
      <c r="H8" t="s">
        <v>69</v>
      </c>
      <c r="I8" s="596">
        <v>6.63</v>
      </c>
      <c r="J8" s="596">
        <v>1.8</v>
      </c>
      <c r="K8" s="138">
        <f t="shared" si="0"/>
        <v>6.5106599999999997</v>
      </c>
      <c r="L8" s="139">
        <v>0.68200000000000005</v>
      </c>
      <c r="M8" s="139">
        <v>0.65500000000000003</v>
      </c>
      <c r="N8" s="159">
        <v>0.65500000000000003</v>
      </c>
      <c r="O8" s="645">
        <f t="shared" si="1"/>
        <v>0.65500000000000003</v>
      </c>
      <c r="P8" s="629">
        <v>90</v>
      </c>
      <c r="Q8" s="760">
        <v>90.02</v>
      </c>
      <c r="R8" s="706">
        <v>2737.8</v>
      </c>
      <c r="S8" s="765">
        <f t="shared" si="2"/>
        <v>145</v>
      </c>
      <c r="U8" s="1024">
        <v>90</v>
      </c>
      <c r="V8" s="715">
        <v>1.1023000000000001</v>
      </c>
      <c r="Z8" s="1034">
        <v>25</v>
      </c>
      <c r="AA8" s="144">
        <f t="shared" si="3"/>
        <v>25</v>
      </c>
      <c r="AB8" s="145">
        <f t="shared" si="4"/>
        <v>1533.1649296300004</v>
      </c>
      <c r="AC8" s="145">
        <f>+(S8-T8)*V8-'data 1'!$F$4</f>
        <v>79.833500000000015</v>
      </c>
      <c r="AD8" s="145">
        <f t="shared" si="5"/>
        <v>0.39810657981592079</v>
      </c>
      <c r="AE8" s="145">
        <f t="shared" si="6"/>
        <v>-42.442499999999995</v>
      </c>
      <c r="AF8" s="145">
        <f t="shared" si="7"/>
        <v>70.93944035967607</v>
      </c>
      <c r="AG8" s="772">
        <f t="shared" si="8"/>
        <v>140.72854693949199</v>
      </c>
      <c r="AH8" s="146">
        <f t="shared" si="9"/>
        <v>137.04319297674027</v>
      </c>
      <c r="AI8" s="156">
        <f t="shared" si="10"/>
        <v>238.3485654081839</v>
      </c>
      <c r="AJ8" s="156">
        <f t="shared" si="11"/>
        <v>131.58848743907086</v>
      </c>
      <c r="AK8" s="88"/>
      <c r="AL8" s="716">
        <f t="shared" si="12"/>
        <v>9981.9155807448587</v>
      </c>
    </row>
    <row r="9" spans="1:38" ht="15.75" customHeight="1">
      <c r="A9" s="857" t="s">
        <v>1651</v>
      </c>
      <c r="B9" s="717">
        <v>45702</v>
      </c>
      <c r="C9" s="595">
        <v>45678</v>
      </c>
      <c r="D9" t="s">
        <v>1586</v>
      </c>
      <c r="E9" t="e">
        <f>_xlfn.XLOOKUP(D9,RUC!$B$3:$B$123,RUC!$D$3:$D$123)</f>
        <v>#N/A</v>
      </c>
      <c r="G9" s="80">
        <v>50</v>
      </c>
      <c r="H9" t="s">
        <v>69</v>
      </c>
      <c r="I9" s="596">
        <v>6.54</v>
      </c>
      <c r="J9" s="596">
        <v>1.1499999999999999</v>
      </c>
      <c r="K9" s="138">
        <f t="shared" si="0"/>
        <v>6.4647899999999998</v>
      </c>
      <c r="L9" s="139">
        <v>0.49399999999999999</v>
      </c>
      <c r="M9" s="139">
        <v>0.47399999999999998</v>
      </c>
      <c r="N9" s="159">
        <v>0.47399999999999998</v>
      </c>
      <c r="O9" s="645">
        <f t="shared" si="1"/>
        <v>0.47399999999999998</v>
      </c>
      <c r="P9" s="629">
        <v>90</v>
      </c>
      <c r="Q9" s="760">
        <v>90.23</v>
      </c>
      <c r="R9" s="706">
        <v>2737.8</v>
      </c>
      <c r="S9" s="765">
        <f t="shared" si="2"/>
        <v>125</v>
      </c>
      <c r="U9" s="1024">
        <v>90</v>
      </c>
      <c r="V9" s="715">
        <v>1.1023000000000001</v>
      </c>
      <c r="Z9" s="1034">
        <v>25</v>
      </c>
      <c r="AA9" s="144">
        <f t="shared" si="3"/>
        <v>25</v>
      </c>
      <c r="AB9" s="145">
        <f t="shared" si="4"/>
        <v>1079.7595964040001</v>
      </c>
      <c r="AC9" s="145">
        <f>+(S9-T9)*V9-'data 1'!$F$4</f>
        <v>57.787499999999994</v>
      </c>
      <c r="AD9" s="145">
        <f t="shared" si="5"/>
        <v>3.3161927858280573</v>
      </c>
      <c r="AE9" s="145">
        <f t="shared" si="6"/>
        <v>-42.442499999999995</v>
      </c>
      <c r="AF9" s="145">
        <f t="shared" si="7"/>
        <v>52.670317737240055</v>
      </c>
      <c r="AG9" s="772">
        <f t="shared" si="8"/>
        <v>103.33151052306812</v>
      </c>
      <c r="AH9" s="146">
        <f t="shared" si="9"/>
        <v>98.796463181485194</v>
      </c>
      <c r="AI9" s="156">
        <f t="shared" si="10"/>
        <v>173.04819167017192</v>
      </c>
      <c r="AJ9" s="156">
        <f t="shared" si="11"/>
        <v>94.554965904096605</v>
      </c>
      <c r="AK9" s="88"/>
      <c r="AL9" s="716">
        <f t="shared" si="12"/>
        <v>6980.4190412366161</v>
      </c>
    </row>
    <row r="10" spans="1:38" ht="15.75" customHeight="1">
      <c r="A10" s="857" t="s">
        <v>1652</v>
      </c>
      <c r="B10" s="717">
        <v>45702</v>
      </c>
      <c r="C10" s="595">
        <v>45678</v>
      </c>
      <c r="D10" t="s">
        <v>1586</v>
      </c>
      <c r="E10" t="e">
        <f>_xlfn.XLOOKUP(D10,RUC!$B$3:$B$123,RUC!$D$3:$D$123)</f>
        <v>#N/A</v>
      </c>
      <c r="G10" s="80">
        <v>50</v>
      </c>
      <c r="H10" t="s">
        <v>69</v>
      </c>
      <c r="I10" s="596">
        <v>6.89</v>
      </c>
      <c r="J10" s="596">
        <v>1.2</v>
      </c>
      <c r="K10" s="138">
        <f t="shared" si="0"/>
        <v>6.8073199999999998</v>
      </c>
      <c r="L10" s="752">
        <v>0.35899999999999999</v>
      </c>
      <c r="M10" s="752">
        <v>0.34499999999999997</v>
      </c>
      <c r="N10" s="598">
        <v>0.50600000000000001</v>
      </c>
      <c r="O10" s="645">
        <f t="shared" si="1"/>
        <v>0.42599999999999999</v>
      </c>
      <c r="P10" s="629">
        <v>90</v>
      </c>
      <c r="Q10" s="760">
        <v>90.12</v>
      </c>
      <c r="R10" s="706">
        <v>2737.8</v>
      </c>
      <c r="S10" s="765">
        <f t="shared" si="2"/>
        <v>125</v>
      </c>
      <c r="U10" s="1024">
        <v>90</v>
      </c>
      <c r="V10" s="715">
        <v>1.1023000000000001</v>
      </c>
      <c r="Z10" s="1034">
        <v>25</v>
      </c>
      <c r="AA10" s="144">
        <f t="shared" si="3"/>
        <v>25</v>
      </c>
      <c r="AB10" s="145">
        <f t="shared" si="4"/>
        <v>953.67305499600002</v>
      </c>
      <c r="AC10" s="145">
        <f>+(S10-T10)*V10-'data 1'!$F$4</f>
        <v>57.787499999999994</v>
      </c>
      <c r="AD10" s="145">
        <f t="shared" si="5"/>
        <v>1.2573630101520477</v>
      </c>
      <c r="AE10" s="145">
        <f t="shared" si="6"/>
        <v>-42.442499999999995</v>
      </c>
      <c r="AF10" s="145">
        <f t="shared" si="7"/>
        <v>-176.23045844517605</v>
      </c>
      <c r="AG10" s="772">
        <f t="shared" si="8"/>
        <v>-127.62809543502402</v>
      </c>
      <c r="AH10" s="146">
        <f t="shared" si="9"/>
        <v>75.509373578519799</v>
      </c>
      <c r="AI10" s="156">
        <f t="shared" si="10"/>
        <v>125.60438189584795</v>
      </c>
      <c r="AJ10" s="156">
        <f t="shared" si="11"/>
        <v>89.482342423053666</v>
      </c>
      <c r="AK10" s="88"/>
      <c r="AL10" s="716">
        <f t="shared" si="12"/>
        <v>6491.9576607353711</v>
      </c>
    </row>
    <row r="11" spans="1:38" ht="15.75" customHeight="1">
      <c r="A11" s="857" t="s">
        <v>1716</v>
      </c>
      <c r="B11" s="595">
        <v>45695</v>
      </c>
      <c r="C11" s="595">
        <v>45690</v>
      </c>
      <c r="D11" t="s">
        <v>1718</v>
      </c>
      <c r="E11">
        <f>_xlfn.XLOOKUP(D11,RUC!$B$3:$B$123,RUC!$D$3:$D$123)</f>
        <v>20548542422</v>
      </c>
      <c r="G11" s="80" t="s">
        <v>1434</v>
      </c>
      <c r="H11" t="s">
        <v>69</v>
      </c>
      <c r="I11" s="596">
        <v>31.35</v>
      </c>
      <c r="J11" s="596">
        <v>1.2</v>
      </c>
      <c r="K11" s="138">
        <f t="shared" si="0"/>
        <v>30.973800000000001</v>
      </c>
      <c r="L11" s="139">
        <v>0.64200000000000002</v>
      </c>
      <c r="M11" s="139">
        <v>0.61599999999999999</v>
      </c>
      <c r="N11" s="149">
        <v>0.71799999999999997</v>
      </c>
      <c r="O11" s="645">
        <f t="shared" si="1"/>
        <v>0.66700000000000004</v>
      </c>
      <c r="P11" s="727">
        <v>90</v>
      </c>
      <c r="Q11" s="1035">
        <v>89.87</v>
      </c>
      <c r="R11" s="706">
        <v>2826.1</v>
      </c>
      <c r="S11" s="765">
        <v>135</v>
      </c>
      <c r="U11" s="1050">
        <v>100</v>
      </c>
      <c r="V11" s="715">
        <v>1.1023000000000001</v>
      </c>
      <c r="Z11" s="143">
        <f>IF(IF(D11="UNTUCA",IF(+((W11-3)*1.5+(X11-3)*3.1)&gt;0,+((W11-3)*1.5+(X11-3)*3.1),0),IF(+((W11-3)*1.5+(X11-3)*3.1)&gt;0,+((W11-3)*1.5+(X11-3)*3.1),0))&lt;30,30,IF(D11="UNTUCA",IF(+((W11-3)*1.5+(X11-3)*3.1)&gt;0,+((W11-3)*1.5+(X11-3)*3.1),0),IF(+((W11-3)*1.5+(X11-3)*3.1)&gt;0,+((W11-3)*1.5+(X11-3)*3.1),0)))</f>
        <v>30</v>
      </c>
      <c r="AA11" s="144">
        <f t="shared" si="3"/>
        <v>30</v>
      </c>
      <c r="AB11" s="145">
        <f t="shared" si="4"/>
        <v>1622.0100120090001</v>
      </c>
      <c r="AC11" s="145">
        <f>+(S11-T11)*V11-'data 1'!$F$4</f>
        <v>68.810500000000019</v>
      </c>
      <c r="AD11" s="145">
        <f t="shared" si="5"/>
        <v>-2.507956333037912</v>
      </c>
      <c r="AE11" s="145">
        <f t="shared" si="6"/>
        <v>-36.930999999999997</v>
      </c>
      <c r="AF11" s="145">
        <f t="shared" si="7"/>
        <v>-67.514388824025062</v>
      </c>
      <c r="AG11" s="772">
        <f t="shared" ref="AG11:AG25" si="13">+IF(D11="RONALD WILLIAN GARIBAY ESCUDERO",AC11+AD11+AE11+AF11+70,AC11+AD11+AE11+AF11)+70-53</f>
        <v>-21.142845157062951</v>
      </c>
      <c r="AH11" s="146">
        <f t="shared" si="9"/>
        <v>612.70768669821064</v>
      </c>
      <c r="AI11" s="156">
        <f t="shared" si="10"/>
        <v>174.19737625903809</v>
      </c>
      <c r="AJ11" s="156">
        <f t="shared" si="11"/>
        <v>637.48783605556901</v>
      </c>
      <c r="AK11" s="88"/>
      <c r="AL11" s="716">
        <f t="shared" si="12"/>
        <v>50239.813709964365</v>
      </c>
    </row>
    <row r="12" spans="1:38" ht="15" customHeight="1">
      <c r="A12" s="857" t="s">
        <v>1744</v>
      </c>
      <c r="B12" s="717">
        <v>45699</v>
      </c>
      <c r="C12" s="595">
        <v>45692</v>
      </c>
      <c r="D12" t="s">
        <v>1586</v>
      </c>
      <c r="E12" t="e">
        <f>_xlfn.XLOOKUP(D12,RUC!$B$3:$B$123,RUC!$D$3:$D$123)</f>
        <v>#N/A</v>
      </c>
      <c r="G12" s="80">
        <v>43</v>
      </c>
      <c r="H12" t="s">
        <v>69</v>
      </c>
      <c r="I12" s="596">
        <v>5.1100000000000003</v>
      </c>
      <c r="J12" s="596">
        <v>1.2</v>
      </c>
      <c r="K12" s="138">
        <f t="shared" si="0"/>
        <v>5.0486800000000001</v>
      </c>
      <c r="L12" s="139">
        <v>1.9510000000000001</v>
      </c>
      <c r="M12" s="139">
        <v>1.8720000000000001</v>
      </c>
      <c r="N12" s="598">
        <v>1.9350000000000001</v>
      </c>
      <c r="O12" s="645">
        <f t="shared" si="1"/>
        <v>1.9039999999999999</v>
      </c>
      <c r="P12" s="727">
        <v>90</v>
      </c>
      <c r="Q12" s="1035">
        <v>89.55</v>
      </c>
      <c r="R12" s="706">
        <v>2843.55</v>
      </c>
      <c r="S12" s="842">
        <v>190</v>
      </c>
      <c r="U12" s="1024">
        <v>90</v>
      </c>
      <c r="V12" s="715">
        <v>1.1023000000000001</v>
      </c>
      <c r="Z12" s="1062">
        <v>25</v>
      </c>
      <c r="AA12" s="144">
        <f t="shared" si="3"/>
        <v>25</v>
      </c>
      <c r="AB12" s="145">
        <f t="shared" si="4"/>
        <v>4964.1896195439995</v>
      </c>
      <c r="AC12" s="145">
        <f>+(S12-T12)*V12-'data 1'!$F$4</f>
        <v>129.43700000000001</v>
      </c>
      <c r="AD12" s="145">
        <f t="shared" si="5"/>
        <v>-26.647873469617664</v>
      </c>
      <c r="AE12" s="145">
        <f t="shared" si="6"/>
        <v>-42.442499999999995</v>
      </c>
      <c r="AF12" s="145">
        <f t="shared" si="7"/>
        <v>127.74862150760293</v>
      </c>
      <c r="AG12" s="772">
        <f t="shared" si="13"/>
        <v>205.0952480379853</v>
      </c>
      <c r="AH12" s="146">
        <f t="shared" si="9"/>
        <v>302.41948784898801</v>
      </c>
      <c r="AI12" s="156">
        <f t="shared" si="10"/>
        <v>474.62596099611721</v>
      </c>
      <c r="AJ12" s="156">
        <f t="shared" si="11"/>
        <v>296.61722495845351</v>
      </c>
      <c r="AK12" s="88"/>
      <c r="AL12" s="716">
        <f t="shared" si="12"/>
        <v>25062.604848399398</v>
      </c>
    </row>
    <row r="13" spans="1:38" ht="15" customHeight="1">
      <c r="A13" s="857" t="s">
        <v>1749</v>
      </c>
      <c r="B13" s="717">
        <v>45699</v>
      </c>
      <c r="C13" s="595">
        <v>45693</v>
      </c>
      <c r="D13" t="s">
        <v>1586</v>
      </c>
      <c r="E13" t="e">
        <f>_xlfn.XLOOKUP(D13,RUC!$B$3:$B$123,RUC!$D$3:$D$123)</f>
        <v>#N/A</v>
      </c>
      <c r="G13" s="80">
        <v>50</v>
      </c>
      <c r="H13" t="s">
        <v>69</v>
      </c>
      <c r="I13" s="596">
        <v>6.65</v>
      </c>
      <c r="J13" s="596">
        <v>1.1000000000000001</v>
      </c>
      <c r="K13" s="138">
        <f t="shared" si="0"/>
        <v>6.5768500000000003</v>
      </c>
      <c r="L13" s="139">
        <v>0.52700000000000002</v>
      </c>
      <c r="M13" s="139">
        <v>0.50600000000000001</v>
      </c>
      <c r="N13" s="598">
        <v>0.55900000000000005</v>
      </c>
      <c r="O13" s="645">
        <f t="shared" si="1"/>
        <v>0.53300000000000003</v>
      </c>
      <c r="P13" s="727">
        <v>90</v>
      </c>
      <c r="Q13" s="1035">
        <v>90.03</v>
      </c>
      <c r="R13" s="706">
        <v>2871.15</v>
      </c>
      <c r="S13" s="842">
        <f>IF((85+ROUNDDOWN(O13,1)*100)&lt;95,95,(85+ROUNDDOWN(O13,1)*100))</f>
        <v>135</v>
      </c>
      <c r="U13" s="1024">
        <v>90</v>
      </c>
      <c r="V13" s="715">
        <v>1.1023000000000001</v>
      </c>
      <c r="Z13" s="1062">
        <v>25</v>
      </c>
      <c r="AA13" s="144">
        <f t="shared" si="3"/>
        <v>25</v>
      </c>
      <c r="AB13" s="145">
        <f t="shared" si="4"/>
        <v>1294.2298911065002</v>
      </c>
      <c r="AC13" s="145">
        <f>+(S13-T13)*V13-'data 1'!$F$4</f>
        <v>68.810500000000019</v>
      </c>
      <c r="AD13" s="145">
        <f t="shared" si="5"/>
        <v>0.48468110607451848</v>
      </c>
      <c r="AE13" s="145">
        <f t="shared" si="6"/>
        <v>-42.442499999999995</v>
      </c>
      <c r="AF13" s="145">
        <f t="shared" si="7"/>
        <v>-16.560091073961015</v>
      </c>
      <c r="AG13" s="772">
        <f t="shared" si="13"/>
        <v>27.292590032113523</v>
      </c>
      <c r="AH13" s="146">
        <f t="shared" si="9"/>
        <v>106.98548788630765</v>
      </c>
      <c r="AI13" s="156">
        <f t="shared" si="10"/>
        <v>114.45749156042548</v>
      </c>
      <c r="AJ13" s="156">
        <f t="shared" si="11"/>
        <v>108.16748315406942</v>
      </c>
      <c r="AK13" s="88"/>
      <c r="AL13" s="716">
        <f t="shared" si="12"/>
        <v>8511.9558593237871</v>
      </c>
    </row>
    <row r="14" spans="1:38" ht="15" customHeight="1">
      <c r="A14" s="857" t="s">
        <v>1752</v>
      </c>
      <c r="B14" s="717">
        <v>45699</v>
      </c>
      <c r="C14" s="595">
        <v>45693</v>
      </c>
      <c r="D14" t="s">
        <v>1586</v>
      </c>
      <c r="E14" t="e">
        <f>_xlfn.XLOOKUP(D14,RUC!$B$3:$B$123,RUC!$D$3:$D$123)</f>
        <v>#N/A</v>
      </c>
      <c r="G14" s="80">
        <v>50</v>
      </c>
      <c r="H14" t="s">
        <v>69</v>
      </c>
      <c r="I14" s="596">
        <v>7.03</v>
      </c>
      <c r="J14" s="596">
        <v>1.2</v>
      </c>
      <c r="K14" s="138">
        <f t="shared" si="0"/>
        <v>6.94564</v>
      </c>
      <c r="L14" s="139">
        <v>0.56399999999999995</v>
      </c>
      <c r="M14" s="139">
        <v>0.54100000000000004</v>
      </c>
      <c r="N14" s="159">
        <v>0.54100000000000004</v>
      </c>
      <c r="O14" s="645">
        <f t="shared" si="1"/>
        <v>0.54100000000000004</v>
      </c>
      <c r="P14" s="727">
        <v>90</v>
      </c>
      <c r="Q14" s="1035">
        <v>90.11</v>
      </c>
      <c r="R14" s="706">
        <v>2871.15</v>
      </c>
      <c r="S14" s="842">
        <f>IF((85+ROUNDDOWN(O14,1)*100)&lt;95,95,(85+ROUNDDOWN(O14,1)*100))</f>
        <v>135</v>
      </c>
      <c r="U14" s="1024">
        <v>90</v>
      </c>
      <c r="V14" s="715">
        <v>1.1023000000000001</v>
      </c>
      <c r="Z14" s="1062">
        <v>25</v>
      </c>
      <c r="AA14" s="144">
        <f t="shared" si="3"/>
        <v>25</v>
      </c>
      <c r="AB14" s="145">
        <f t="shared" si="4"/>
        <v>1316.3026549505005</v>
      </c>
      <c r="AC14" s="145">
        <f>+(S14-T14)*V14-'data 1'!$F$4</f>
        <v>68.810500000000019</v>
      </c>
      <c r="AD14" s="145">
        <f t="shared" si="5"/>
        <v>1.9019364845579902</v>
      </c>
      <c r="AE14" s="145">
        <f t="shared" si="6"/>
        <v>-42.442499999999995</v>
      </c>
      <c r="AF14" s="145">
        <f t="shared" si="7"/>
        <v>63.536757291118263</v>
      </c>
      <c r="AG14" s="772">
        <f t="shared" si="13"/>
        <v>108.80669377567628</v>
      </c>
      <c r="AH14" s="146">
        <f t="shared" si="9"/>
        <v>121.02453775441511</v>
      </c>
      <c r="AI14" s="156">
        <f t="shared" si="10"/>
        <v>122.60225327344195</v>
      </c>
      <c r="AJ14" s="156">
        <f t="shared" si="11"/>
        <v>115.94742641701264</v>
      </c>
      <c r="AK14" s="88"/>
      <c r="AL14" s="716">
        <f t="shared" si="12"/>
        <v>9142.5643723303947</v>
      </c>
    </row>
    <row r="15" spans="1:38" ht="15" customHeight="1">
      <c r="A15" s="857" t="s">
        <v>1754</v>
      </c>
      <c r="B15" s="717">
        <v>45699</v>
      </c>
      <c r="C15" s="595">
        <v>45693</v>
      </c>
      <c r="D15" t="s">
        <v>1586</v>
      </c>
      <c r="E15" t="e">
        <f>_xlfn.XLOOKUP(D15,RUC!$B$3:$B$123,RUC!$D$3:$D$123)</f>
        <v>#N/A</v>
      </c>
      <c r="G15" s="80">
        <v>50</v>
      </c>
      <c r="H15" t="s">
        <v>69</v>
      </c>
      <c r="I15" s="596">
        <v>6.7</v>
      </c>
      <c r="J15" s="596">
        <v>1.2</v>
      </c>
      <c r="K15" s="138">
        <f t="shared" si="0"/>
        <v>6.6196000000000002</v>
      </c>
      <c r="L15" s="139">
        <v>0.49</v>
      </c>
      <c r="M15" s="139">
        <v>0.47</v>
      </c>
      <c r="N15" s="139">
        <v>0.47</v>
      </c>
      <c r="O15" s="645">
        <f t="shared" si="1"/>
        <v>0.47</v>
      </c>
      <c r="P15" s="727">
        <v>90</v>
      </c>
      <c r="Q15" s="1035">
        <v>90.25</v>
      </c>
      <c r="R15" s="706">
        <v>2871.15</v>
      </c>
      <c r="S15" s="842">
        <f>IF((85+ROUNDDOWN(O15,1)*100)&lt;95,95,(85+ROUNDDOWN(O15,1)*100))</f>
        <v>125</v>
      </c>
      <c r="U15" s="1024">
        <v>90</v>
      </c>
      <c r="V15" s="715">
        <v>1.1023000000000001</v>
      </c>
      <c r="Z15" s="1062">
        <v>25</v>
      </c>
      <c r="AA15" s="144">
        <f t="shared" si="3"/>
        <v>25</v>
      </c>
      <c r="AB15" s="145">
        <f t="shared" si="4"/>
        <v>1131.4298758350001</v>
      </c>
      <c r="AC15" s="145">
        <f>+(S15-T15)*V15-'data 1'!$F$4</f>
        <v>57.787499999999994</v>
      </c>
      <c r="AD15" s="145">
        <f t="shared" si="5"/>
        <v>3.7554355151250003</v>
      </c>
      <c r="AE15" s="145">
        <f t="shared" si="6"/>
        <v>-42.442499999999995</v>
      </c>
      <c r="AF15" s="145">
        <f t="shared" si="7"/>
        <v>55.335192692250054</v>
      </c>
      <c r="AG15" s="772">
        <f t="shared" si="13"/>
        <v>91.435628207375061</v>
      </c>
      <c r="AH15" s="146">
        <f t="shared" si="9"/>
        <v>100.36542019303032</v>
      </c>
      <c r="AI15" s="156">
        <f t="shared" si="10"/>
        <v>106.68163153987496</v>
      </c>
      <c r="AJ15" s="156">
        <f t="shared" si="11"/>
        <v>96.002199653234953</v>
      </c>
      <c r="AK15" s="88"/>
      <c r="AL15" s="716">
        <f t="shared" si="12"/>
        <v>7489.6132060773671</v>
      </c>
    </row>
    <row r="16" spans="1:38" ht="15" customHeight="1">
      <c r="A16" s="857" t="s">
        <v>1756</v>
      </c>
      <c r="B16" s="717">
        <v>45698</v>
      </c>
      <c r="C16" s="595">
        <v>45693</v>
      </c>
      <c r="D16" t="s">
        <v>1689</v>
      </c>
      <c r="E16">
        <f>_xlfn.XLOOKUP(D16,RUC!$B$3:$B$123,RUC!$D$3:$D$123)</f>
        <v>10306762465</v>
      </c>
      <c r="G16" s="80">
        <v>100</v>
      </c>
      <c r="H16" t="s">
        <v>69</v>
      </c>
      <c r="I16" s="596">
        <v>8.1999999999999993</v>
      </c>
      <c r="J16" s="596">
        <v>1.2</v>
      </c>
      <c r="K16" s="138">
        <f t="shared" si="0"/>
        <v>8.1015999999999995</v>
      </c>
      <c r="L16" s="139">
        <v>1.2410000000000001</v>
      </c>
      <c r="M16" s="139">
        <v>1.1910000000000001</v>
      </c>
      <c r="N16" s="598">
        <v>1.2310000000000001</v>
      </c>
      <c r="O16" s="645">
        <f t="shared" si="1"/>
        <v>1.2110000000000001</v>
      </c>
      <c r="P16" s="727">
        <v>90</v>
      </c>
      <c r="Q16" s="1035">
        <v>89.75</v>
      </c>
      <c r="R16" s="706">
        <v>2871.15</v>
      </c>
      <c r="S16" s="765">
        <f>IF((90+ROUNDDOWN(O16,1)*100)&lt;95,95,(90+ROUNDDOWN(O16,1)*100))</f>
        <v>210</v>
      </c>
      <c r="U16" s="1050">
        <v>120</v>
      </c>
      <c r="V16" s="715">
        <v>1.1023000000000001</v>
      </c>
      <c r="Y16">
        <v>20</v>
      </c>
      <c r="Z16" s="143">
        <f>IF(IF(D16="UNTUCA",IF(+((W16-3)*1.5+(X16-3)*3.1)&gt;0,+((W16-3)*1.5+(X16-3)*3.1),0),IF(+((W16-3)*1.5+(X16-3)*3.1)&gt;0,+((W16-3)*1.5+(X16-3)*3.1),0))&lt;30,30,IF(D16="UNTUCA",IF(+((W16-3)*1.5+(X16-3)*3.1)&gt;0,+((W16-3)*1.5+(X16-3)*3.1),0),IF(+((W16-3)*1.5+(X16-3)*3.1)&gt;0,+((W16-3)*1.5+(X16-3)*3.1),0)))</f>
        <v>30</v>
      </c>
      <c r="AA16" s="144">
        <f t="shared" si="3"/>
        <v>50</v>
      </c>
      <c r="AB16" s="145">
        <f t="shared" si="4"/>
        <v>3018.6247237855005</v>
      </c>
      <c r="AC16" s="145">
        <f>+(S16-T16)*V16-'data 1'!$F$4</f>
        <v>151.483</v>
      </c>
      <c r="AD16" s="145">
        <f t="shared" si="5"/>
        <v>-9.4086186811125021</v>
      </c>
      <c r="AE16" s="145">
        <f t="shared" si="6"/>
        <v>-14.884999999999998</v>
      </c>
      <c r="AF16" s="145">
        <f t="shared" si="7"/>
        <v>81.652556966625085</v>
      </c>
      <c r="AG16" s="772">
        <f t="shared" si="13"/>
        <v>225.84193828551258</v>
      </c>
      <c r="AH16" s="146">
        <f t="shared" si="9"/>
        <v>309.37563308981566</v>
      </c>
      <c r="AI16" s="156">
        <f t="shared" si="10"/>
        <v>305.5228462306124</v>
      </c>
      <c r="AJ16" s="156">
        <f t="shared" si="11"/>
        <v>302.73770816022659</v>
      </c>
      <c r="AK16" s="88"/>
      <c r="AL16" s="716">
        <f t="shared" si="12"/>
        <v>24455.690062220609</v>
      </c>
    </row>
    <row r="17" spans="1:38" ht="15" customHeight="1">
      <c r="A17" s="857" t="s">
        <v>1768</v>
      </c>
      <c r="B17" s="595">
        <v>45699</v>
      </c>
      <c r="C17" s="595">
        <v>45694</v>
      </c>
      <c r="D17" t="s">
        <v>145</v>
      </c>
      <c r="E17" t="e">
        <f>_xlfn.XLOOKUP(D17,RUC!$B$3:$B$123,RUC!$D$3:$D$123)</f>
        <v>#N/A</v>
      </c>
      <c r="G17" s="80">
        <v>100</v>
      </c>
      <c r="H17" t="s">
        <v>69</v>
      </c>
      <c r="I17" s="596">
        <v>8.02</v>
      </c>
      <c r="J17" s="596">
        <v>1.2</v>
      </c>
      <c r="K17" s="138">
        <f t="shared" si="0"/>
        <v>7.9237599999999997</v>
      </c>
      <c r="L17" s="139">
        <v>0.53400000000000003</v>
      </c>
      <c r="M17" s="139">
        <v>0.51300000000000001</v>
      </c>
      <c r="N17" s="159">
        <v>0.51300000000000001</v>
      </c>
      <c r="O17" s="645">
        <f t="shared" si="1"/>
        <v>0.51300000000000001</v>
      </c>
      <c r="P17" s="727">
        <v>90</v>
      </c>
      <c r="Q17" s="596">
        <v>89.82</v>
      </c>
      <c r="R17" s="706">
        <v>2838.95</v>
      </c>
      <c r="S17" s="765">
        <f>IF((90+ROUNDDOWN(O17,1)*100)&lt;95,95,(90+ROUNDDOWN(O17,1)*100))</f>
        <v>140</v>
      </c>
      <c r="U17" s="1050">
        <v>120</v>
      </c>
      <c r="V17" s="715">
        <v>1.1023000000000001</v>
      </c>
      <c r="Y17">
        <v>20</v>
      </c>
      <c r="Z17" s="143">
        <f>IF(IF(D17="UNTUCA",IF(+((W17-3)*1.5+(X17-3)*3.1)&gt;0,+((W17-3)*1.5+(X17-3)*3.1),0),IF(+((W17-3)*1.5+(X17-3)*3.1)&gt;0,+((W17-3)*1.5+(X17-3)*3.1),0))&lt;30,30,IF(D17="UNTUCA",IF(+((W17-3)*1.5+(X17-3)*3.1)&gt;0,+((W17-3)*1.5+(X17-3)*3.1),0),IF(+((W17-3)*1.5+(X17-3)*3.1)&gt;0,+((W17-3)*1.5+(X17-3)*3.1),0)))</f>
        <v>30</v>
      </c>
      <c r="AA17" s="144">
        <f t="shared" si="3"/>
        <v>50</v>
      </c>
      <c r="AB17" s="145">
        <f t="shared" si="4"/>
        <v>1174.3234166945001</v>
      </c>
      <c r="AC17" s="145">
        <f>+(S17-T17)*V17-'data 1'!$F$4</f>
        <v>74.322000000000003</v>
      </c>
      <c r="AD17" s="145">
        <f t="shared" si="5"/>
        <v>-2.8808111599021093</v>
      </c>
      <c r="AE17" s="145">
        <f t="shared" si="6"/>
        <v>-14.884999999999998</v>
      </c>
      <c r="AF17" s="145">
        <f t="shared" si="7"/>
        <v>56.531872929987038</v>
      </c>
      <c r="AG17" s="772">
        <f t="shared" si="13"/>
        <v>130.08806177008495</v>
      </c>
      <c r="AH17" s="146">
        <f t="shared" si="9"/>
        <v>130.3030825690995</v>
      </c>
      <c r="AI17" s="156">
        <f t="shared" si="10"/>
        <v>148.59277892890208</v>
      </c>
      <c r="AJ17" s="156">
        <f t="shared" si="11"/>
        <v>125.42966336783689</v>
      </c>
      <c r="AK17" s="88"/>
      <c r="AL17" s="716">
        <f t="shared" si="12"/>
        <v>9305.0569162672127</v>
      </c>
    </row>
    <row r="18" spans="1:38" ht="15" customHeight="1">
      <c r="A18" s="857" t="s">
        <v>1771</v>
      </c>
      <c r="B18" s="595">
        <v>45699</v>
      </c>
      <c r="C18" s="595">
        <v>45695</v>
      </c>
      <c r="D18" t="s">
        <v>1484</v>
      </c>
      <c r="E18">
        <f>_xlfn.XLOOKUP(D18,RUC!$B$3:$B$123,RUC!$D$3:$D$123)</f>
        <v>10761932735</v>
      </c>
      <c r="G18" s="80">
        <v>19</v>
      </c>
      <c r="H18" t="s">
        <v>116</v>
      </c>
      <c r="I18" s="596">
        <v>1.08</v>
      </c>
      <c r="J18" s="596">
        <v>11.85</v>
      </c>
      <c r="K18" s="138">
        <f t="shared" si="0"/>
        <v>0.95202000000000009</v>
      </c>
      <c r="L18" s="139">
        <v>0.26</v>
      </c>
      <c r="M18" s="139">
        <v>0.25</v>
      </c>
      <c r="N18" s="159">
        <v>0.25</v>
      </c>
      <c r="O18" s="645">
        <f t="shared" si="1"/>
        <v>0.25</v>
      </c>
      <c r="P18" s="727">
        <v>90</v>
      </c>
      <c r="Q18" s="596">
        <v>90.05</v>
      </c>
      <c r="R18" s="706">
        <v>2874.65</v>
      </c>
      <c r="S18" s="765">
        <f>IF((90+ROUNDDOWN(O18,1)*100)&lt;95,95,(90+ROUNDDOWN(O18,1)*100))</f>
        <v>110</v>
      </c>
      <c r="U18" s="1050">
        <v>100</v>
      </c>
      <c r="V18" s="715">
        <v>1.1023000000000001</v>
      </c>
      <c r="Z18" s="143">
        <f>IF(IF(D18="UNTUCA",IF(+((W18-3)*1.5+(X18-3)*3.1)&gt;0,+((W18-3)*1.5+(X18-3)*3.1),0),IF(+((W18-3)*1.5+(X18-3)*3.1)&gt;0,+((W18-3)*1.5+(X18-3)*3.1),0))&lt;30,30,IF(D18="UNTUCA",IF(+((W18-3)*1.5+(X18-3)*3.1)&gt;0,+((W18-3)*1.5+(X18-3)*3.1),0),IF(+((W18-3)*1.5+(X18-3)*3.1)&gt;0,+((W18-3)*1.5+(X18-3)*3.1),0)))</f>
        <v>30</v>
      </c>
      <c r="AA18" s="144">
        <f t="shared" si="3"/>
        <v>30</v>
      </c>
      <c r="AB18" s="145">
        <f t="shared" si="4"/>
        <v>533.83975637499998</v>
      </c>
      <c r="AC18" s="145">
        <f>+(S18-T18)*V18-'data 1'!$F$4</f>
        <v>41.253</v>
      </c>
      <c r="AD18" s="145">
        <f t="shared" si="5"/>
        <v>0.39760457034997743</v>
      </c>
      <c r="AE18" s="145">
        <f t="shared" si="6"/>
        <v>-36.930999999999997</v>
      </c>
      <c r="AF18" s="145">
        <f t="shared" si="7"/>
        <v>27.541762738475025</v>
      </c>
      <c r="AG18" s="772">
        <f t="shared" si="13"/>
        <v>49.261367308825001</v>
      </c>
      <c r="AH18" s="146">
        <f t="shared" si="9"/>
        <v>7.6420910295055515</v>
      </c>
      <c r="AI18" s="156">
        <f t="shared" si="10"/>
        <v>58.158665799649981</v>
      </c>
      <c r="AJ18" s="156">
        <f t="shared" si="11"/>
        <v>7.3440844045562255</v>
      </c>
      <c r="AK18" s="88"/>
      <c r="AL18" s="716">
        <f t="shared" si="12"/>
        <v>508.22612486412754</v>
      </c>
    </row>
    <row r="19" spans="1:38" ht="15" customHeight="1">
      <c r="A19" s="857" t="s">
        <v>1774</v>
      </c>
      <c r="B19" s="595">
        <v>45699</v>
      </c>
      <c r="C19" s="595">
        <v>45695</v>
      </c>
      <c r="D19" t="s">
        <v>1484</v>
      </c>
      <c r="E19">
        <f>_xlfn.XLOOKUP(D19,RUC!$B$3:$B$123,RUC!$D$3:$D$123)</f>
        <v>10761932735</v>
      </c>
      <c r="G19" s="80">
        <v>39</v>
      </c>
      <c r="H19" t="s">
        <v>116</v>
      </c>
      <c r="I19" s="596">
        <v>2.94</v>
      </c>
      <c r="J19" s="596">
        <v>8.5</v>
      </c>
      <c r="K19" s="138">
        <f t="shared" si="0"/>
        <v>2.6901000000000002</v>
      </c>
      <c r="L19" s="139">
        <v>0.434</v>
      </c>
      <c r="M19" s="139">
        <v>0.41699999999999998</v>
      </c>
      <c r="N19" s="159">
        <v>0.41699999999999998</v>
      </c>
      <c r="O19" s="645">
        <f t="shared" si="1"/>
        <v>0.41699999999999998</v>
      </c>
      <c r="P19" s="727">
        <v>90</v>
      </c>
      <c r="Q19" s="596">
        <v>89.9</v>
      </c>
      <c r="R19" s="706">
        <v>2874.65</v>
      </c>
      <c r="S19" s="765">
        <f>IF((90+ROUNDDOWN(O19,1)*100)&lt;95,95,(90+ROUNDDOWN(O19,1)*100))</f>
        <v>130</v>
      </c>
      <c r="U19" s="1050">
        <v>100</v>
      </c>
      <c r="V19" s="715">
        <v>1.1023000000000001</v>
      </c>
      <c r="Z19" s="143">
        <f>IF(IF(D19="UNTUCA",IF(+((W19-3)*1.5+(X19-3)*3.1)&gt;0,+((W19-3)*1.5+(X19-3)*3.1),0),IF(+((W19-3)*1.5+(X19-3)*3.1)&gt;0,+((W19-3)*1.5+(X19-3)*3.1),0))&lt;30,30,IF(D19="UNTUCA",IF(+((W19-3)*1.5+(X19-3)*3.1)&gt;0,+((W19-3)*1.5+(X19-3)*3.1),0),IF(+((W19-3)*1.5+(X19-3)*3.1)&gt;0,+((W19-3)*1.5+(X19-3)*3.1),0)))</f>
        <v>30</v>
      </c>
      <c r="AA19" s="144">
        <f t="shared" si="3"/>
        <v>30</v>
      </c>
      <c r="AB19" s="145">
        <f t="shared" si="4"/>
        <v>971.48580963350003</v>
      </c>
      <c r="AC19" s="145">
        <f>+(S19-T19)*V19-'data 1'!$F$4</f>
        <v>63.299000000000007</v>
      </c>
      <c r="AD19" s="145">
        <f t="shared" si="5"/>
        <v>-1.3273875656299245</v>
      </c>
      <c r="AE19" s="145">
        <f t="shared" si="6"/>
        <v>-36.930999999999997</v>
      </c>
      <c r="AF19" s="145">
        <f t="shared" si="7"/>
        <v>46.743004989685048</v>
      </c>
      <c r="AG19" s="772">
        <f t="shared" si="13"/>
        <v>88.783617424055137</v>
      </c>
      <c r="AH19" s="146">
        <f t="shared" si="9"/>
        <v>35.985448099706247</v>
      </c>
      <c r="AI19" s="156">
        <f t="shared" si="10"/>
        <v>96.918523898629971</v>
      </c>
      <c r="AJ19" s="156">
        <f t="shared" si="11"/>
        <v>34.614340234207376</v>
      </c>
      <c r="AK19" s="88"/>
      <c r="AL19" s="716">
        <f t="shared" si="12"/>
        <v>2613.3939764950787</v>
      </c>
    </row>
    <row r="20" spans="1:38" ht="15" customHeight="1">
      <c r="A20" s="857" t="s">
        <v>1776</v>
      </c>
      <c r="B20" s="595">
        <v>45698</v>
      </c>
      <c r="C20" s="595">
        <v>45695</v>
      </c>
      <c r="D20" t="s">
        <v>154</v>
      </c>
      <c r="E20">
        <f>_xlfn.XLOOKUP(D20,RUC!$B$3:$B$123,RUC!$D$3:$D$123)</f>
        <v>10416085884</v>
      </c>
      <c r="G20" s="80" t="s">
        <v>1434</v>
      </c>
      <c r="H20" t="s">
        <v>69</v>
      </c>
      <c r="I20" s="596">
        <v>34.65</v>
      </c>
      <c r="J20" s="596">
        <v>4.5999999999999996</v>
      </c>
      <c r="K20" s="138">
        <f t="shared" si="0"/>
        <v>33.056100000000001</v>
      </c>
      <c r="L20" s="139">
        <v>0.58399999999999996</v>
      </c>
      <c r="M20" s="139">
        <v>0.56100000000000005</v>
      </c>
      <c r="N20" s="598">
        <v>0.64200000000000002</v>
      </c>
      <c r="O20" s="647">
        <v>0.60099999999999998</v>
      </c>
      <c r="P20" s="727">
        <v>90</v>
      </c>
      <c r="Q20" s="596">
        <v>89.2</v>
      </c>
      <c r="R20" s="706">
        <v>2838.95</v>
      </c>
      <c r="S20" s="842">
        <v>130</v>
      </c>
      <c r="U20" s="1050">
        <v>90</v>
      </c>
      <c r="V20" s="715">
        <v>1.1023000000000001</v>
      </c>
      <c r="Z20" s="709">
        <v>15</v>
      </c>
      <c r="AA20" s="144">
        <f t="shared" si="3"/>
        <v>15</v>
      </c>
      <c r="AB20" s="145">
        <f t="shared" si="4"/>
        <v>1479.1841467264999</v>
      </c>
      <c r="AC20" s="145">
        <f>+(S20-T20)*V20-'data 1'!$F$4</f>
        <v>63.299000000000007</v>
      </c>
      <c r="AD20" s="145">
        <f t="shared" si="5"/>
        <v>-14.156942957119947</v>
      </c>
      <c r="AE20" s="145">
        <f t="shared" si="6"/>
        <v>-53.465499999999999</v>
      </c>
      <c r="AF20" s="145">
        <f t="shared" si="7"/>
        <v>-45.949461258940048</v>
      </c>
      <c r="AG20" s="772">
        <f t="shared" si="13"/>
        <v>-33.272904216059985</v>
      </c>
      <c r="AH20" s="146">
        <f t="shared" si="9"/>
        <v>590.38917292656811</v>
      </c>
      <c r="AI20" s="156">
        <f t="shared" si="10"/>
        <v>144.1576634811201</v>
      </c>
      <c r="AJ20" s="156">
        <f t="shared" si="11"/>
        <v>613.02426369091427</v>
      </c>
      <c r="AK20" s="88"/>
      <c r="AL20" s="716">
        <f t="shared" si="12"/>
        <v>48896.059072605851</v>
      </c>
    </row>
    <row r="21" spans="1:38" ht="15" customHeight="1">
      <c r="A21" s="857" t="s">
        <v>1790</v>
      </c>
      <c r="B21" s="595">
        <v>45699</v>
      </c>
      <c r="C21" s="595">
        <v>45696</v>
      </c>
      <c r="D21" t="s">
        <v>145</v>
      </c>
      <c r="E21" t="e">
        <f>_xlfn.XLOOKUP(D21,RUC!$B$3:$B$123,RUC!$D$3:$D$123)</f>
        <v>#N/A</v>
      </c>
      <c r="G21" s="80">
        <v>100</v>
      </c>
      <c r="H21" t="s">
        <v>69</v>
      </c>
      <c r="I21" s="596">
        <v>7.06</v>
      </c>
      <c r="J21" s="596">
        <v>1.2</v>
      </c>
      <c r="K21" s="138">
        <f t="shared" si="0"/>
        <v>6.9752799999999997</v>
      </c>
      <c r="L21" s="139">
        <v>0.13100000000000001</v>
      </c>
      <c r="M21" s="139">
        <v>0.121</v>
      </c>
      <c r="N21" s="159">
        <v>0.121</v>
      </c>
      <c r="O21" s="645">
        <f t="shared" ref="O21:O61" si="14">+ROUND((M21+N21)/2,3)</f>
        <v>0.121</v>
      </c>
      <c r="P21" s="727">
        <v>85</v>
      </c>
      <c r="Q21" s="596">
        <v>90.27</v>
      </c>
      <c r="R21" s="706">
        <v>2874.65</v>
      </c>
      <c r="S21" s="765">
        <f t="shared" ref="S21:S27" si="15">IF((90+ROUNDDOWN(O21,1)*100)&lt;95,95,(90+ROUNDDOWN(O21,1)*100))</f>
        <v>100</v>
      </c>
      <c r="U21" s="1050">
        <v>120</v>
      </c>
      <c r="V21" s="715">
        <v>1.1023000000000001</v>
      </c>
      <c r="Y21">
        <v>20</v>
      </c>
      <c r="Z21" s="143">
        <f t="shared" ref="Z21:Z30" si="16">IF(IF(D21="UNTUCA",IF(+((W21-3)*1.5+(X21-3)*3.1)&gt;0,+((W21-3)*1.5+(X21-3)*3.1),0),IF(+((W21-3)*1.5+(X21-3)*3.1)&gt;0,+((W21-3)*1.5+(X21-3)*3.1),0))&lt;30,30,IF(D21="UNTUCA",IF(+((W21-3)*1.5+(X21-3)*3.1)&gt;0,+((W21-3)*1.5+(X21-3)*3.1),0),IF(+((W21-3)*1.5+(X21-3)*3.1)&gt;0,+((W21-3)*1.5+(X21-3)*3.1),0)))</f>
        <v>30</v>
      </c>
      <c r="AA21" s="144">
        <f t="shared" si="3"/>
        <v>50</v>
      </c>
      <c r="AB21" s="145">
        <f t="shared" si="4"/>
        <v>146.95395398075004</v>
      </c>
      <c r="AC21" s="145">
        <f>+(S21-T21)*V21-'data 1'!$F$4</f>
        <v>30.230000000000004</v>
      </c>
      <c r="AD21" s="145">
        <f t="shared" si="5"/>
        <v>20.96274466307149</v>
      </c>
      <c r="AE21" s="145">
        <f t="shared" si="6"/>
        <v>-14.884999999999998</v>
      </c>
      <c r="AF21" s="145">
        <f t="shared" si="7"/>
        <v>27.410040423765025</v>
      </c>
      <c r="AG21" s="772">
        <f t="shared" si="13"/>
        <v>80.717785086836528</v>
      </c>
      <c r="AH21" s="146">
        <f t="shared" si="9"/>
        <v>28.280393824834782</v>
      </c>
      <c r="AI21" s="156">
        <f t="shared" si="10"/>
        <v>31.981630978678485</v>
      </c>
      <c r="AJ21" s="156">
        <f t="shared" si="11"/>
        <v>24.596596173179002</v>
      </c>
      <c r="AK21" s="88"/>
      <c r="AL21" s="716">
        <f t="shared" si="12"/>
        <v>1025.044976122846</v>
      </c>
    </row>
    <row r="22" spans="1:38" ht="15" customHeight="1">
      <c r="A22" s="857" t="s">
        <v>1791</v>
      </c>
      <c r="B22" s="595">
        <v>45710</v>
      </c>
      <c r="C22" s="595">
        <v>45696</v>
      </c>
      <c r="D22" t="s">
        <v>66</v>
      </c>
      <c r="E22">
        <f>_xlfn.XLOOKUP(D22,RUC!$B$3:$B$123,RUC!$D$3:$D$123)</f>
        <v>10457401928</v>
      </c>
      <c r="G22" s="80" t="s">
        <v>1434</v>
      </c>
      <c r="H22" t="s">
        <v>69</v>
      </c>
      <c r="I22" s="596">
        <v>37.43</v>
      </c>
      <c r="J22" s="596">
        <v>16.64</v>
      </c>
      <c r="K22" s="138">
        <f t="shared" si="0"/>
        <v>31.201647999999999</v>
      </c>
      <c r="L22" s="139">
        <v>0.33100000000000002</v>
      </c>
      <c r="M22" s="139">
        <v>0.318</v>
      </c>
      <c r="N22" s="598">
        <v>0.32400000000000001</v>
      </c>
      <c r="O22" s="645">
        <f t="shared" si="14"/>
        <v>0.32100000000000001</v>
      </c>
      <c r="P22" s="727">
        <v>90</v>
      </c>
      <c r="Q22" s="596">
        <v>89</v>
      </c>
      <c r="R22" s="706">
        <v>2874.65</v>
      </c>
      <c r="S22" s="765">
        <f t="shared" si="15"/>
        <v>120</v>
      </c>
      <c r="U22" s="1050">
        <v>100</v>
      </c>
      <c r="V22" s="715">
        <v>1.1023000000000001</v>
      </c>
      <c r="Z22" s="143">
        <f t="shared" si="16"/>
        <v>30</v>
      </c>
      <c r="AA22" s="144">
        <f t="shared" si="3"/>
        <v>30</v>
      </c>
      <c r="AB22" s="145">
        <f t="shared" si="4"/>
        <v>718.25469518550005</v>
      </c>
      <c r="AC22" s="145">
        <f>+(S22-T22)*V22-'data 1'!$F$4</f>
        <v>52.27600000000001</v>
      </c>
      <c r="AD22" s="145">
        <f t="shared" si="5"/>
        <v>-10.123624060450002</v>
      </c>
      <c r="AE22" s="145">
        <f t="shared" si="6"/>
        <v>-36.930999999999997</v>
      </c>
      <c r="AF22" s="145">
        <f t="shared" si="7"/>
        <v>27.220620585500029</v>
      </c>
      <c r="AG22" s="772">
        <f t="shared" si="13"/>
        <v>49.441996525050044</v>
      </c>
      <c r="AH22" s="146">
        <f t="shared" si="9"/>
        <v>315.14077794656782</v>
      </c>
      <c r="AI22" s="156">
        <f t="shared" si="10"/>
        <v>73.17712961994998</v>
      </c>
      <c r="AJ22" s="156">
        <f t="shared" si="11"/>
        <v>309.05384007862938</v>
      </c>
      <c r="AK22" s="88"/>
      <c r="AL22" s="716">
        <f t="shared" si="12"/>
        <v>22410.730173525266</v>
      </c>
    </row>
    <row r="23" spans="1:38" ht="15" customHeight="1">
      <c r="A23" s="857" t="s">
        <v>1792</v>
      </c>
      <c r="B23" s="595">
        <v>45709</v>
      </c>
      <c r="C23" s="595">
        <v>45696</v>
      </c>
      <c r="D23" t="s">
        <v>1484</v>
      </c>
      <c r="E23">
        <f>_xlfn.XLOOKUP(D23,RUC!$B$3:$B$123,RUC!$D$3:$D$123)</f>
        <v>10761932735</v>
      </c>
      <c r="G23" s="80" t="s">
        <v>1434</v>
      </c>
      <c r="H23" t="s">
        <v>69</v>
      </c>
      <c r="I23" s="596">
        <v>38.6</v>
      </c>
      <c r="J23" s="596">
        <v>18.45</v>
      </c>
      <c r="K23" s="138">
        <f t="shared" si="0"/>
        <v>31.478300000000001</v>
      </c>
      <c r="L23" s="139">
        <v>0.41399999999999998</v>
      </c>
      <c r="M23" s="139">
        <v>0.39700000000000002</v>
      </c>
      <c r="N23" s="159">
        <v>0.39700000000000002</v>
      </c>
      <c r="O23" s="645">
        <f t="shared" si="14"/>
        <v>0.39700000000000002</v>
      </c>
      <c r="P23" s="727">
        <v>90</v>
      </c>
      <c r="Q23" s="596">
        <v>89</v>
      </c>
      <c r="R23" s="706">
        <v>2874.65</v>
      </c>
      <c r="S23" s="765">
        <f t="shared" si="15"/>
        <v>120</v>
      </c>
      <c r="U23" s="1050">
        <v>100</v>
      </c>
      <c r="V23" s="715">
        <v>1.1023000000000001</v>
      </c>
      <c r="Z23" s="143">
        <f t="shared" si="16"/>
        <v>30</v>
      </c>
      <c r="AA23" s="144">
        <f t="shared" si="3"/>
        <v>30</v>
      </c>
      <c r="AB23" s="145">
        <f t="shared" si="4"/>
        <v>927.45586912350029</v>
      </c>
      <c r="AC23" s="145">
        <f>+(S23-T23)*V23-'data 1'!$F$4</f>
        <v>52.27600000000001</v>
      </c>
      <c r="AD23" s="145">
        <f t="shared" si="5"/>
        <v>-12.6621763173</v>
      </c>
      <c r="AE23" s="145">
        <f t="shared" si="6"/>
        <v>-36.930999999999997</v>
      </c>
      <c r="AF23" s="145">
        <f t="shared" si="7"/>
        <v>46.275054995349905</v>
      </c>
      <c r="AG23" s="772">
        <f t="shared" si="13"/>
        <v>65.957878678049923</v>
      </c>
      <c r="AH23" s="146">
        <f t="shared" si="9"/>
        <v>397.65888191688902</v>
      </c>
      <c r="AI23" s="156">
        <f t="shared" si="10"/>
        <v>91.526681760299965</v>
      </c>
      <c r="AJ23" s="156">
        <f t="shared" si="11"/>
        <v>385.61449956278682</v>
      </c>
      <c r="AK23" s="88"/>
      <c r="AL23" s="716">
        <f t="shared" si="12"/>
        <v>29194.734085030279</v>
      </c>
    </row>
    <row r="24" spans="1:38" ht="15" customHeight="1">
      <c r="A24" s="857" t="s">
        <v>1793</v>
      </c>
      <c r="B24" s="595">
        <v>45707</v>
      </c>
      <c r="C24" s="595">
        <v>45697</v>
      </c>
      <c r="D24" t="s">
        <v>1177</v>
      </c>
      <c r="E24">
        <f>_xlfn.XLOOKUP(D24,RUC!$B$3:$B$123,RUC!$D$3:$D$123)</f>
        <v>20606094010</v>
      </c>
      <c r="G24" s="80">
        <v>48</v>
      </c>
      <c r="H24" t="s">
        <v>69</v>
      </c>
      <c r="I24" s="596">
        <v>5.41</v>
      </c>
      <c r="J24" s="596">
        <v>1.2</v>
      </c>
      <c r="K24" s="138">
        <f t="shared" si="0"/>
        <v>5.3450800000000003</v>
      </c>
      <c r="L24" s="139">
        <v>0.245</v>
      </c>
      <c r="M24" s="139">
        <v>0.23499999999999999</v>
      </c>
      <c r="N24" s="598">
        <v>0.28100000000000003</v>
      </c>
      <c r="O24" s="645">
        <f t="shared" si="14"/>
        <v>0.25800000000000001</v>
      </c>
      <c r="P24" s="727">
        <v>90</v>
      </c>
      <c r="Q24" s="596">
        <v>90.1</v>
      </c>
      <c r="R24" s="706">
        <v>2904.45</v>
      </c>
      <c r="S24" s="765">
        <f t="shared" si="15"/>
        <v>110</v>
      </c>
      <c r="U24" s="1050">
        <v>120</v>
      </c>
      <c r="V24" s="715">
        <v>1.1023000000000001</v>
      </c>
      <c r="Y24">
        <v>20</v>
      </c>
      <c r="Z24" s="143">
        <f t="shared" si="16"/>
        <v>30</v>
      </c>
      <c r="AA24" s="144">
        <f t="shared" si="3"/>
        <v>50</v>
      </c>
      <c r="AB24" s="145">
        <f t="shared" si="4"/>
        <v>536.32328236699993</v>
      </c>
      <c r="AC24" s="145">
        <f>+(S24-T24)*V24-'data 1'!$F$4</f>
        <v>41.253</v>
      </c>
      <c r="AD24" s="145">
        <f t="shared" si="5"/>
        <v>0.75197831257495706</v>
      </c>
      <c r="AE24" s="145">
        <f t="shared" si="6"/>
        <v>-14.884999999999998</v>
      </c>
      <c r="AF24" s="145">
        <f t="shared" si="7"/>
        <v>-35.950701939555032</v>
      </c>
      <c r="AG24" s="772">
        <f t="shared" si="13"/>
        <v>8.169276373019926</v>
      </c>
      <c r="AH24" s="146">
        <f t="shared" si="9"/>
        <v>40.453318546583617</v>
      </c>
      <c r="AI24" s="156">
        <f t="shared" si="10"/>
        <v>52.449180869925051</v>
      </c>
      <c r="AJ24" s="156">
        <f t="shared" si="11"/>
        <v>42.552540562715869</v>
      </c>
      <c r="AK24" s="88"/>
      <c r="AL24" s="716">
        <f t="shared" si="12"/>
        <v>2866.6908501142043</v>
      </c>
    </row>
    <row r="25" spans="1:38" ht="15" customHeight="1">
      <c r="A25" s="857" t="s">
        <v>1794</v>
      </c>
      <c r="B25" s="595">
        <v>45707</v>
      </c>
      <c r="C25" s="595">
        <v>45697</v>
      </c>
      <c r="D25" t="s">
        <v>1177</v>
      </c>
      <c r="E25">
        <f>_xlfn.XLOOKUP(D25,RUC!$B$3:$B$123,RUC!$D$3:$D$123)</f>
        <v>20606094010</v>
      </c>
      <c r="G25" s="80">
        <v>27</v>
      </c>
      <c r="H25" t="s">
        <v>69</v>
      </c>
      <c r="I25" s="596">
        <v>2.15</v>
      </c>
      <c r="J25" s="596">
        <v>1.3</v>
      </c>
      <c r="K25" s="138">
        <f t="shared" si="0"/>
        <v>2.1220499999999998</v>
      </c>
      <c r="L25" s="139">
        <v>0.35199999999999998</v>
      </c>
      <c r="M25" s="139">
        <v>0.33800000000000002</v>
      </c>
      <c r="N25" s="598">
        <v>0.374</v>
      </c>
      <c r="O25" s="645">
        <f t="shared" si="14"/>
        <v>0.35599999999999998</v>
      </c>
      <c r="P25" s="727">
        <v>90</v>
      </c>
      <c r="Q25" s="596">
        <v>90.03</v>
      </c>
      <c r="R25" s="706">
        <v>2904.45</v>
      </c>
      <c r="S25" s="765">
        <f t="shared" si="15"/>
        <v>120</v>
      </c>
      <c r="U25" s="1050">
        <v>120</v>
      </c>
      <c r="V25" s="715">
        <v>1.1023000000000001</v>
      </c>
      <c r="Y25">
        <v>20</v>
      </c>
      <c r="Z25" s="143">
        <f t="shared" si="16"/>
        <v>30</v>
      </c>
      <c r="AA25" s="144">
        <f t="shared" si="3"/>
        <v>50</v>
      </c>
      <c r="AB25" s="145">
        <f t="shared" si="4"/>
        <v>796.01247489399998</v>
      </c>
      <c r="AC25" s="145">
        <f>+(S25-T25)*V25-'data 1'!$F$4</f>
        <v>52.27600000000001</v>
      </c>
      <c r="AD25" s="145">
        <f t="shared" si="5"/>
        <v>0.32411799921601231</v>
      </c>
      <c r="AE25" s="145">
        <f t="shared" si="6"/>
        <v>-14.884999999999998</v>
      </c>
      <c r="AF25" s="145">
        <f t="shared" si="7"/>
        <v>-11.053160405082011</v>
      </c>
      <c r="AG25" s="772">
        <f t="shared" si="13"/>
        <v>43.661957594134009</v>
      </c>
      <c r="AH25" s="146">
        <f t="shared" si="9"/>
        <v>23.056564443498324</v>
      </c>
      <c r="AI25" s="156">
        <f t="shared" si="10"/>
        <v>75.297012992784062</v>
      </c>
      <c r="AJ25" s="156">
        <f t="shared" si="11"/>
        <v>23.310800590765396</v>
      </c>
      <c r="AK25" s="88"/>
      <c r="AL25" s="716">
        <f t="shared" si="12"/>
        <v>1689.1782723488125</v>
      </c>
    </row>
    <row r="26" spans="1:38" ht="15" customHeight="1">
      <c r="A26" s="857" t="s">
        <v>1804</v>
      </c>
      <c r="B26" s="595">
        <v>45700</v>
      </c>
      <c r="C26" s="595">
        <v>45698</v>
      </c>
      <c r="D26" t="s">
        <v>1689</v>
      </c>
      <c r="E26">
        <f>_xlfn.XLOOKUP(D26,RUC!$B$3:$B$123,RUC!$D$3:$D$123)</f>
        <v>10306762465</v>
      </c>
      <c r="G26" s="80">
        <v>100</v>
      </c>
      <c r="H26" t="s">
        <v>69</v>
      </c>
      <c r="I26" s="596">
        <v>7.39</v>
      </c>
      <c r="J26" s="596">
        <v>1.3</v>
      </c>
      <c r="K26" s="138">
        <f t="shared" si="0"/>
        <v>7.2939299999999996</v>
      </c>
      <c r="L26" s="139">
        <v>0.749</v>
      </c>
      <c r="M26" s="139">
        <v>0.71099999999999997</v>
      </c>
      <c r="N26" s="159">
        <v>0.71099999999999997</v>
      </c>
      <c r="O26" s="645">
        <f t="shared" si="14"/>
        <v>0.71099999999999997</v>
      </c>
      <c r="P26" s="727">
        <v>90</v>
      </c>
      <c r="Q26">
        <v>89.87</v>
      </c>
      <c r="R26" s="706">
        <v>2904.45</v>
      </c>
      <c r="S26" s="765">
        <f t="shared" si="15"/>
        <v>160</v>
      </c>
      <c r="U26" s="1050">
        <v>120</v>
      </c>
      <c r="V26" s="715">
        <v>1.1023000000000001</v>
      </c>
      <c r="Y26">
        <v>20</v>
      </c>
      <c r="Z26" s="143">
        <f t="shared" si="16"/>
        <v>30</v>
      </c>
      <c r="AA26" s="144">
        <f t="shared" si="3"/>
        <v>50</v>
      </c>
      <c r="AB26" s="145">
        <f t="shared" si="4"/>
        <v>1732.5615804765</v>
      </c>
      <c r="AC26" s="145">
        <f>+(S26-T26)*V26-'data 1'!$F$4</f>
        <v>96.367999999999995</v>
      </c>
      <c r="AD26" s="145">
        <f t="shared" si="5"/>
        <v>-2.9885766651193957</v>
      </c>
      <c r="AE26" s="145">
        <f t="shared" si="6"/>
        <v>-14.884999999999998</v>
      </c>
      <c r="AF26" s="145">
        <f t="shared" si="7"/>
        <v>104.81841045479108</v>
      </c>
      <c r="AG26" s="772">
        <f>+IF(D26="RONALD WILLIAN GARIBAY ESCUDERO",AC26+AD26+AE26+AF26+70,AC26+AD26+AE26+AF26)+70-29</f>
        <v>224.31283378967169</v>
      </c>
      <c r="AH26" s="146">
        <f t="shared" si="9"/>
        <v>168.33220786961209</v>
      </c>
      <c r="AI26" s="156">
        <f t="shared" si="10"/>
        <v>159.93532382161965</v>
      </c>
      <c r="AJ26" s="156">
        <f t="shared" si="11"/>
        <v>160.02313357205739</v>
      </c>
      <c r="AK26" s="88"/>
      <c r="AL26" s="716">
        <f t="shared" si="12"/>
        <v>12637.182888684956</v>
      </c>
    </row>
    <row r="27" spans="1:38" ht="15" customHeight="1">
      <c r="A27" s="857" t="s">
        <v>1806</v>
      </c>
      <c r="B27" s="595">
        <v>45708</v>
      </c>
      <c r="C27" s="595">
        <v>45700</v>
      </c>
      <c r="D27" t="s">
        <v>145</v>
      </c>
      <c r="E27" t="e">
        <f>_xlfn.XLOOKUP(D27,RUC!$B$3:$B$123,RUC!$D$3:$D$123)</f>
        <v>#N/A</v>
      </c>
      <c r="G27" s="80">
        <v>105</v>
      </c>
      <c r="H27" t="s">
        <v>69</v>
      </c>
      <c r="I27" s="596">
        <v>8.3699999999999992</v>
      </c>
      <c r="J27" s="596">
        <v>1.8</v>
      </c>
      <c r="K27" s="138">
        <f t="shared" si="0"/>
        <v>8.219339999999999</v>
      </c>
      <c r="L27" s="139">
        <v>0.188</v>
      </c>
      <c r="M27" s="139">
        <v>0.17699999999999999</v>
      </c>
      <c r="N27" s="159">
        <v>0.17699999999999999</v>
      </c>
      <c r="O27" s="645">
        <f t="shared" si="14"/>
        <v>0.17699999999999999</v>
      </c>
      <c r="P27" s="727">
        <v>90</v>
      </c>
      <c r="Q27">
        <v>90.26</v>
      </c>
      <c r="R27" s="706">
        <v>2891.5</v>
      </c>
      <c r="S27" s="765">
        <f t="shared" si="15"/>
        <v>100</v>
      </c>
      <c r="U27" s="1066">
        <v>120</v>
      </c>
      <c r="V27" s="715">
        <v>1.1023000000000001</v>
      </c>
      <c r="Y27">
        <v>20</v>
      </c>
      <c r="Z27" s="143">
        <f t="shared" si="16"/>
        <v>30</v>
      </c>
      <c r="AA27" s="144">
        <f t="shared" si="3"/>
        <v>50</v>
      </c>
      <c r="AB27" s="145">
        <f t="shared" si="4"/>
        <v>321.32039488500004</v>
      </c>
      <c r="AC27" s="145">
        <f>+(S27-T27)*V27-'data 1'!$F$4</f>
        <v>30.230000000000004</v>
      </c>
      <c r="AD27" s="145">
        <f t="shared" si="5"/>
        <v>1.4932959511600294</v>
      </c>
      <c r="AE27" s="145">
        <f t="shared" si="6"/>
        <v>-14.884999999999998</v>
      </c>
      <c r="AF27" s="145">
        <f t="shared" si="7"/>
        <v>30.332115754270035</v>
      </c>
      <c r="AG27" s="772">
        <f>+IF(D27="RONALD WILLIAN GARIBAY ESCUDERO",AC27+AD27+AE27+AF27+70,AC27+AD27+AE27+AF27)+70-53</f>
        <v>64.17041170543007</v>
      </c>
      <c r="AH27" s="146">
        <f t="shared" si="9"/>
        <v>47.81885726557848</v>
      </c>
      <c r="AI27" s="156">
        <f t="shared" si="10"/>
        <v>42.740459828840002</v>
      </c>
      <c r="AJ27" s="156">
        <f t="shared" si="11"/>
        <v>44.891259543391499</v>
      </c>
      <c r="AK27" s="88"/>
      <c r="AL27" s="716">
        <f t="shared" si="12"/>
        <v>2641.041574494076</v>
      </c>
    </row>
    <row r="28" spans="1:38" ht="15" customHeight="1">
      <c r="A28" s="857" t="s">
        <v>1807</v>
      </c>
      <c r="B28" s="595">
        <v>45705</v>
      </c>
      <c r="C28" s="595">
        <v>45700</v>
      </c>
      <c r="D28" t="s">
        <v>1402</v>
      </c>
      <c r="E28">
        <f>_xlfn.XLOOKUP(D28,RUC!$B$3:$B$123,RUC!$D$3:$D$123)</f>
        <v>20606526599</v>
      </c>
      <c r="G28" s="80">
        <v>230</v>
      </c>
      <c r="H28" t="s">
        <v>69</v>
      </c>
      <c r="I28" s="596">
        <v>19.41</v>
      </c>
      <c r="J28" s="596">
        <v>4</v>
      </c>
      <c r="K28" s="138">
        <f t="shared" si="0"/>
        <v>18.633600000000001</v>
      </c>
      <c r="L28" s="139">
        <v>0.187</v>
      </c>
      <c r="M28" s="139">
        <v>0.17599999999999999</v>
      </c>
      <c r="N28" s="159">
        <v>0.17599999999999999</v>
      </c>
      <c r="O28" s="645">
        <f t="shared" si="14"/>
        <v>0.17599999999999999</v>
      </c>
      <c r="P28" s="727">
        <v>90</v>
      </c>
      <c r="Q28">
        <v>90.22</v>
      </c>
      <c r="R28" s="706">
        <v>2891.5</v>
      </c>
      <c r="S28" s="765">
        <f>IF((80+ROUNDDOWN(O28,1)*100)&lt;95,95,(80+ROUNDDOWN(O28,1)*100))</f>
        <v>95</v>
      </c>
      <c r="U28" s="1066">
        <v>120</v>
      </c>
      <c r="V28" s="715">
        <v>1.1023000000000001</v>
      </c>
      <c r="Z28" s="143">
        <f t="shared" si="16"/>
        <v>30</v>
      </c>
      <c r="AA28" s="144">
        <f t="shared" si="3"/>
        <v>30</v>
      </c>
      <c r="AB28" s="145">
        <f t="shared" si="4"/>
        <v>346.12837287999997</v>
      </c>
      <c r="AC28" s="145">
        <f>+(S28-T28)*V28-'data 1'!$F$4</f>
        <v>24.718500000000006</v>
      </c>
      <c r="AD28" s="145">
        <f t="shared" si="5"/>
        <v>1.2568370587299935</v>
      </c>
      <c r="AE28" s="145">
        <f t="shared" si="6"/>
        <v>-36.930999999999997</v>
      </c>
      <c r="AF28" s="145">
        <f t="shared" si="7"/>
        <v>30.31867364669003</v>
      </c>
      <c r="AG28" s="772">
        <f>+IF(D28="RONALD WILLIAN GARIBAY ESCUDERO",AC28+AD28+AE28+AF28+70,AC28+AD28+AE28+AF28)+70-53</f>
        <v>36.363010705420038</v>
      </c>
      <c r="AH28" s="146">
        <f t="shared" si="9"/>
        <v>107.78299988819974</v>
      </c>
      <c r="AI28" s="156">
        <f t="shared" si="10"/>
        <v>42.494276666270004</v>
      </c>
      <c r="AJ28" s="156">
        <f t="shared" si="11"/>
        <v>101.19545675212724</v>
      </c>
      <c r="AK28" s="88"/>
      <c r="AL28" s="716">
        <f t="shared" si="12"/>
        <v>6449.6176488967676</v>
      </c>
    </row>
    <row r="29" spans="1:38" ht="15" customHeight="1">
      <c r="A29" s="857" t="s">
        <v>1808</v>
      </c>
      <c r="B29" s="595">
        <v>45705</v>
      </c>
      <c r="C29" s="595">
        <v>45700</v>
      </c>
      <c r="D29" t="s">
        <v>1402</v>
      </c>
      <c r="E29">
        <f>_xlfn.XLOOKUP(D29,RUC!$B$3:$B$123,RUC!$D$3:$D$123)</f>
        <v>20606526599</v>
      </c>
      <c r="G29" s="80">
        <v>60</v>
      </c>
      <c r="H29" t="s">
        <v>69</v>
      </c>
      <c r="I29" s="596">
        <v>4.99</v>
      </c>
      <c r="J29" s="596">
        <v>3.5</v>
      </c>
      <c r="K29" s="138">
        <f t="shared" si="0"/>
        <v>4.8153500000000005</v>
      </c>
      <c r="L29" s="139">
        <v>0.247</v>
      </c>
      <c r="M29" s="139">
        <v>0.23499999999999999</v>
      </c>
      <c r="N29" s="159">
        <v>0.23499999999999999</v>
      </c>
      <c r="O29" s="645">
        <f t="shared" si="14"/>
        <v>0.23499999999999999</v>
      </c>
      <c r="P29" s="727">
        <v>90</v>
      </c>
      <c r="Q29">
        <v>90.11</v>
      </c>
      <c r="R29" s="706">
        <v>2915.3</v>
      </c>
      <c r="S29" s="765">
        <f>IF((80+ROUNDDOWN(O29,1)*100)&lt;95,95,(80+ROUNDDOWN(O29,1)*100))</f>
        <v>100</v>
      </c>
      <c r="U29" s="1066">
        <v>120</v>
      </c>
      <c r="V29" s="715">
        <v>1.1023000000000001</v>
      </c>
      <c r="Z29" s="143">
        <f t="shared" si="16"/>
        <v>30</v>
      </c>
      <c r="AA29" s="144">
        <f t="shared" si="3"/>
        <v>30</v>
      </c>
      <c r="AB29" s="145">
        <f t="shared" si="4"/>
        <v>508.38731868500008</v>
      </c>
      <c r="AC29" s="145">
        <f>+(S29-T29)*V29-'data 1'!$F$4</f>
        <v>30.230000000000004</v>
      </c>
      <c r="AD29" s="145">
        <f t="shared" si="5"/>
        <v>0.83717812192299557</v>
      </c>
      <c r="AE29" s="145">
        <f t="shared" si="6"/>
        <v>-36.930999999999997</v>
      </c>
      <c r="AF29" s="145">
        <f t="shared" si="7"/>
        <v>33.318271873308028</v>
      </c>
      <c r="AG29" s="772">
        <f>+IF(D29="RONALD WILLIAN GARIBAY ESCUDERO",AC29+AD29+AE29+AF29+70,AC29+AD29+AE29+AF29)+70-53</f>
        <v>44.45444999523103</v>
      </c>
      <c r="AH29" s="146">
        <f t="shared" si="9"/>
        <v>36.745729288089223</v>
      </c>
      <c r="AI29" s="156">
        <f t="shared" si="10"/>
        <v>50.22125867107696</v>
      </c>
      <c r="AJ29" s="156">
        <f t="shared" si="11"/>
        <v>34.917834317799027</v>
      </c>
      <c r="AK29" s="88"/>
      <c r="AL29" s="716">
        <f t="shared" si="12"/>
        <v>2448.0628750298156</v>
      </c>
    </row>
    <row r="30" spans="1:38" ht="15" customHeight="1">
      <c r="A30" s="857" t="s">
        <v>1809</v>
      </c>
      <c r="B30" s="595">
        <v>45706</v>
      </c>
      <c r="C30" s="595">
        <v>45701</v>
      </c>
      <c r="D30" t="s">
        <v>1689</v>
      </c>
      <c r="E30">
        <f>_xlfn.XLOOKUP(D30,RUC!$B$3:$B$123,RUC!$D$3:$D$123)</f>
        <v>10306762465</v>
      </c>
      <c r="G30" s="80">
        <v>86</v>
      </c>
      <c r="H30" t="s">
        <v>69</v>
      </c>
      <c r="I30" s="596">
        <v>6.94</v>
      </c>
      <c r="J30" s="596">
        <v>1.8</v>
      </c>
      <c r="K30" s="138">
        <f t="shared" si="0"/>
        <v>6.81508</v>
      </c>
      <c r="L30" s="139">
        <v>1.012</v>
      </c>
      <c r="M30" s="139">
        <v>0.96099999999999997</v>
      </c>
      <c r="N30" s="598">
        <v>1.075</v>
      </c>
      <c r="O30" s="645">
        <f t="shared" si="14"/>
        <v>1.018</v>
      </c>
      <c r="P30" s="727">
        <v>90</v>
      </c>
      <c r="Q30">
        <v>89.78</v>
      </c>
      <c r="R30" s="706">
        <v>2915.3</v>
      </c>
      <c r="S30" s="765">
        <f>IF((90+ROUNDDOWN(O30,1)*100)&lt;95,95,(90+ROUNDDOWN(O30,1)*100))</f>
        <v>190</v>
      </c>
      <c r="U30" s="1066">
        <v>120</v>
      </c>
      <c r="V30" s="715">
        <v>1.1023000000000001</v>
      </c>
      <c r="Y30">
        <v>20</v>
      </c>
      <c r="Z30" s="143">
        <f t="shared" si="16"/>
        <v>30</v>
      </c>
      <c r="AA30" s="144">
        <f t="shared" si="3"/>
        <v>50</v>
      </c>
      <c r="AB30" s="145">
        <f t="shared" si="4"/>
        <v>2558.4976698780006</v>
      </c>
      <c r="AC30" s="145">
        <f>+(S30-T30)*V30-'data 1'!$F$4</f>
        <v>129.43700000000001</v>
      </c>
      <c r="AD30" s="145">
        <f t="shared" si="5"/>
        <v>-6.8601154606159653</v>
      </c>
      <c r="AE30" s="145">
        <f t="shared" si="6"/>
        <v>-14.884999999999998</v>
      </c>
      <c r="AF30" s="145">
        <f t="shared" si="7"/>
        <v>-16.598127004692017</v>
      </c>
      <c r="AG30" s="772">
        <f>+IF(D30="RONALD WILLIAN GARIBAY ESCUDERO",AC30+AD30+AE30+AF30+70,AC30+AD30+AE30+AF30)+70-29</f>
        <v>132.09375753469203</v>
      </c>
      <c r="AH30" s="146">
        <f t="shared" si="9"/>
        <v>212.29518348689692</v>
      </c>
      <c r="AI30" s="156">
        <f t="shared" si="10"/>
        <v>205.01128304861581</v>
      </c>
      <c r="AJ30" s="156">
        <f t="shared" si="11"/>
        <v>214.07715028336168</v>
      </c>
      <c r="AK30" s="88"/>
      <c r="AL30" s="716">
        <f t="shared" si="12"/>
        <v>17436.366300032165</v>
      </c>
    </row>
    <row r="31" spans="1:38" ht="15" customHeight="1">
      <c r="A31" s="857" t="s">
        <v>1810</v>
      </c>
      <c r="B31" s="595">
        <v>45706</v>
      </c>
      <c r="C31" s="595">
        <v>45701</v>
      </c>
      <c r="D31" t="s">
        <v>1586</v>
      </c>
      <c r="E31" t="e">
        <f>_xlfn.XLOOKUP(D31,RUC!$B$3:$B$123,RUC!$D$3:$D$123)</f>
        <v>#N/A</v>
      </c>
      <c r="G31" s="80">
        <v>50</v>
      </c>
      <c r="H31" t="s">
        <v>69</v>
      </c>
      <c r="I31" s="596">
        <v>6.28</v>
      </c>
      <c r="J31" s="596">
        <v>1</v>
      </c>
      <c r="K31" s="138">
        <f t="shared" si="0"/>
        <v>6.2172000000000001</v>
      </c>
      <c r="L31" s="139">
        <v>0.46600000000000003</v>
      </c>
      <c r="M31" s="139">
        <v>0.442</v>
      </c>
      <c r="N31" s="598">
        <v>0.51600000000000001</v>
      </c>
      <c r="O31" s="645">
        <f t="shared" si="14"/>
        <v>0.47899999999999998</v>
      </c>
      <c r="P31" s="727">
        <v>90</v>
      </c>
      <c r="Q31">
        <v>90.11</v>
      </c>
      <c r="R31" s="706">
        <v>2915.3</v>
      </c>
      <c r="S31" s="765">
        <f t="shared" ref="S31:S38" si="17">IF((85+ROUNDDOWN(O31,1)*100)&lt;95,95,(85+ROUNDDOWN(O31,1)*100))</f>
        <v>125</v>
      </c>
      <c r="U31" s="1024">
        <v>90</v>
      </c>
      <c r="V31" s="715">
        <v>1.1023000000000001</v>
      </c>
      <c r="Z31" s="1062">
        <v>25</v>
      </c>
      <c r="AA31" s="144">
        <f t="shared" si="3"/>
        <v>25</v>
      </c>
      <c r="AB31" s="145">
        <f t="shared" si="4"/>
        <v>1177.241882709</v>
      </c>
      <c r="AC31" s="145">
        <f>+(S31-T31)*V31-'data 1'!$F$4</f>
        <v>57.787499999999994</v>
      </c>
      <c r="AD31" s="145">
        <f t="shared" si="5"/>
        <v>1.5964046301939923</v>
      </c>
      <c r="AE31" s="145">
        <f t="shared" si="6"/>
        <v>-42.442499999999995</v>
      </c>
      <c r="AF31" s="145">
        <f t="shared" si="7"/>
        <v>-36.48217471611688</v>
      </c>
      <c r="AG31" s="772">
        <f t="shared" ref="AG31:AG40" si="18">+IF(D31="RONALD WILLIAN GARIBAY ESCUDERO",AC31+AD31+AE31+AF31+70,AC31+AD31+AE31+AF31)+70-53</f>
        <v>-2.5407700859228868</v>
      </c>
      <c r="AH31" s="146">
        <f t="shared" si="9"/>
        <v>89.508198018858536</v>
      </c>
      <c r="AI31" s="156">
        <f t="shared" si="10"/>
        <v>80.863329423805922</v>
      </c>
      <c r="AJ31" s="156">
        <f t="shared" si="11"/>
        <v>91.892894297360712</v>
      </c>
      <c r="AK31" s="88"/>
      <c r="AL31" s="716">
        <f t="shared" si="12"/>
        <v>7319.1482331783955</v>
      </c>
    </row>
    <row r="32" spans="1:38" ht="15" customHeight="1">
      <c r="A32" s="857" t="s">
        <v>1811</v>
      </c>
      <c r="B32" s="595">
        <v>45706</v>
      </c>
      <c r="C32" s="595">
        <v>45701</v>
      </c>
      <c r="D32" t="s">
        <v>1586</v>
      </c>
      <c r="E32" t="e">
        <f>_xlfn.XLOOKUP(D32,RUC!$B$3:$B$123,RUC!$D$3:$D$123)</f>
        <v>#N/A</v>
      </c>
      <c r="G32" s="80">
        <v>50</v>
      </c>
      <c r="H32" t="s">
        <v>69</v>
      </c>
      <c r="I32" s="596">
        <v>6.57</v>
      </c>
      <c r="J32" s="596">
        <v>1</v>
      </c>
      <c r="K32" s="138">
        <f t="shared" si="0"/>
        <v>6.5043000000000006</v>
      </c>
      <c r="L32" s="139">
        <v>0.69199999999999995</v>
      </c>
      <c r="M32" s="139">
        <v>0.65700000000000003</v>
      </c>
      <c r="N32" s="598">
        <v>0.73799999999999999</v>
      </c>
      <c r="O32" s="645">
        <f t="shared" si="14"/>
        <v>0.69799999999999995</v>
      </c>
      <c r="P32" s="727">
        <v>90</v>
      </c>
      <c r="Q32">
        <v>89.9</v>
      </c>
      <c r="R32" s="706">
        <v>2915.3</v>
      </c>
      <c r="S32" s="765">
        <f t="shared" si="17"/>
        <v>145</v>
      </c>
      <c r="U32" s="1024">
        <v>90</v>
      </c>
      <c r="V32" s="715">
        <v>1.1023000000000001</v>
      </c>
      <c r="Z32" s="1062">
        <v>25</v>
      </c>
      <c r="AA32" s="144">
        <f t="shared" si="3"/>
        <v>25</v>
      </c>
      <c r="AB32" s="145">
        <f t="shared" si="4"/>
        <v>1769.0299689579999</v>
      </c>
      <c r="AC32" s="145">
        <f>+(S32-T32)*V32-'data 1'!$F$4</f>
        <v>79.833500000000015</v>
      </c>
      <c r="AD32" s="145">
        <f t="shared" si="5"/>
        <v>-2.1551151074798773</v>
      </c>
      <c r="AE32" s="145">
        <f t="shared" si="6"/>
        <v>-42.442499999999995</v>
      </c>
      <c r="AF32" s="145">
        <f t="shared" si="7"/>
        <v>-16.798686256860016</v>
      </c>
      <c r="AG32" s="772">
        <f t="shared" si="18"/>
        <v>35.437198635660138</v>
      </c>
      <c r="AH32" s="146">
        <f t="shared" si="9"/>
        <v>138.73160784957389</v>
      </c>
      <c r="AI32" s="156">
        <f t="shared" si="10"/>
        <v>119.80046357547988</v>
      </c>
      <c r="AJ32" s="156">
        <f t="shared" si="11"/>
        <v>140.09013877188897</v>
      </c>
      <c r="AK32" s="88"/>
      <c r="AL32" s="716">
        <f t="shared" si="12"/>
        <v>11506.30162709352</v>
      </c>
    </row>
    <row r="33" spans="1:38" ht="15" customHeight="1">
      <c r="A33" s="857" t="s">
        <v>1812</v>
      </c>
      <c r="B33" s="595">
        <v>45706</v>
      </c>
      <c r="C33" s="595">
        <v>45701</v>
      </c>
      <c r="D33" t="s">
        <v>1586</v>
      </c>
      <c r="E33" t="e">
        <f>_xlfn.XLOOKUP(D33,RUC!$B$3:$B$123,RUC!$D$3:$D$123)</f>
        <v>#N/A</v>
      </c>
      <c r="G33" s="80">
        <v>50</v>
      </c>
      <c r="H33" t="s">
        <v>69</v>
      </c>
      <c r="I33" s="596">
        <v>6.41</v>
      </c>
      <c r="J33" s="596">
        <v>1</v>
      </c>
      <c r="K33" s="138">
        <f t="shared" si="0"/>
        <v>6.3459000000000003</v>
      </c>
      <c r="L33" s="139">
        <v>0.81799999999999995</v>
      </c>
      <c r="M33" s="139">
        <v>0.77700000000000002</v>
      </c>
      <c r="N33" s="598">
        <v>0.85699999999999998</v>
      </c>
      <c r="O33" s="645">
        <f t="shared" si="14"/>
        <v>0.81699999999999995</v>
      </c>
      <c r="P33" s="727">
        <v>90</v>
      </c>
      <c r="Q33">
        <v>89.55</v>
      </c>
      <c r="R33" s="706">
        <v>2915.3</v>
      </c>
      <c r="S33" s="765">
        <f t="shared" si="17"/>
        <v>165</v>
      </c>
      <c r="U33" s="1024">
        <v>90</v>
      </c>
      <c r="V33" s="715">
        <v>1.1023000000000001</v>
      </c>
      <c r="Z33" s="1062">
        <v>25</v>
      </c>
      <c r="AA33" s="144">
        <f t="shared" si="3"/>
        <v>25</v>
      </c>
      <c r="AB33" s="145">
        <f t="shared" si="4"/>
        <v>2080.5285181070003</v>
      </c>
      <c r="AC33" s="145">
        <f>+(S33-T33)*V33-'data 1'!$F$4</f>
        <v>101.87950000000001</v>
      </c>
      <c r="AD33" s="145">
        <f t="shared" si="5"/>
        <v>-11.463842067390074</v>
      </c>
      <c r="AE33" s="145">
        <f t="shared" si="6"/>
        <v>-42.442499999999995</v>
      </c>
      <c r="AF33" s="145">
        <f t="shared" si="7"/>
        <v>2.7888808941450027</v>
      </c>
      <c r="AG33" s="772">
        <f t="shared" si="18"/>
        <v>67.762038826754946</v>
      </c>
      <c r="AH33" s="146">
        <f t="shared" si="9"/>
        <v>159.37536311064412</v>
      </c>
      <c r="AI33" s="156">
        <f t="shared" si="10"/>
        <v>141.06250968938986</v>
      </c>
      <c r="AJ33" s="156">
        <f t="shared" si="11"/>
        <v>159.98042985268177</v>
      </c>
      <c r="AK33" s="88"/>
      <c r="AL33" s="716">
        <f t="shared" si="12"/>
        <v>13202.825923055214</v>
      </c>
    </row>
    <row r="34" spans="1:38" ht="15" customHeight="1">
      <c r="A34" s="857" t="s">
        <v>1813</v>
      </c>
      <c r="B34" s="595">
        <v>45706</v>
      </c>
      <c r="C34" s="595">
        <v>45701</v>
      </c>
      <c r="D34" t="s">
        <v>1586</v>
      </c>
      <c r="E34" t="e">
        <f>_xlfn.XLOOKUP(D34,RUC!$B$3:$B$123,RUC!$D$3:$D$123)</f>
        <v>#N/A</v>
      </c>
      <c r="G34" s="80">
        <v>50</v>
      </c>
      <c r="H34" t="s">
        <v>69</v>
      </c>
      <c r="I34" s="596">
        <v>7.26</v>
      </c>
      <c r="J34" s="596">
        <v>1</v>
      </c>
      <c r="K34" s="138">
        <f t="shared" si="0"/>
        <v>7.1874000000000002</v>
      </c>
      <c r="L34" s="139">
        <v>0.97899999999999998</v>
      </c>
      <c r="M34" s="139">
        <v>0.93</v>
      </c>
      <c r="N34" s="598">
        <v>1.0129999999999999</v>
      </c>
      <c r="O34" s="645">
        <f t="shared" si="14"/>
        <v>0.97199999999999998</v>
      </c>
      <c r="P34" s="727">
        <v>90</v>
      </c>
      <c r="Q34">
        <v>89.43</v>
      </c>
      <c r="R34" s="706">
        <v>2915.3</v>
      </c>
      <c r="S34" s="765">
        <f t="shared" si="17"/>
        <v>175</v>
      </c>
      <c r="U34" s="1024">
        <v>90</v>
      </c>
      <c r="V34" s="715">
        <v>1.1023000000000001</v>
      </c>
      <c r="Z34" s="1062">
        <v>25</v>
      </c>
      <c r="AA34" s="144">
        <f t="shared" si="3"/>
        <v>25</v>
      </c>
      <c r="AB34" s="145">
        <f t="shared" si="4"/>
        <v>2503.9543006120007</v>
      </c>
      <c r="AC34" s="145">
        <f>+(S34-T34)*V34-'data 1'!$F$4</f>
        <v>112.9025</v>
      </c>
      <c r="AD34" s="145">
        <f t="shared" si="5"/>
        <v>-17.378885598656794</v>
      </c>
      <c r="AE34" s="145">
        <f t="shared" si="6"/>
        <v>-42.442499999999995</v>
      </c>
      <c r="AF34" s="145">
        <f t="shared" si="7"/>
        <v>19.496005902219018</v>
      </c>
      <c r="AG34" s="772">
        <f t="shared" si="18"/>
        <v>89.577120303562225</v>
      </c>
      <c r="AH34" s="146">
        <f t="shared" si="9"/>
        <v>215.74801423990604</v>
      </c>
      <c r="AI34" s="156">
        <f t="shared" si="10"/>
        <v>168.60041331965684</v>
      </c>
      <c r="AJ34" s="156">
        <f t="shared" si="11"/>
        <v>215.57066375213464</v>
      </c>
      <c r="AK34" s="88"/>
      <c r="AL34" s="716">
        <f t="shared" si="12"/>
        <v>17996.921140218696</v>
      </c>
    </row>
    <row r="35" spans="1:38" ht="15" customHeight="1">
      <c r="A35" s="857" t="s">
        <v>1814</v>
      </c>
      <c r="B35" s="595">
        <v>45706</v>
      </c>
      <c r="C35" s="595">
        <v>45701</v>
      </c>
      <c r="D35" t="s">
        <v>1586</v>
      </c>
      <c r="E35" t="e">
        <f>_xlfn.XLOOKUP(D35,RUC!$B$3:$B$123,RUC!$D$3:$D$123)</f>
        <v>#N/A</v>
      </c>
      <c r="G35" s="80">
        <v>50</v>
      </c>
      <c r="H35" t="s">
        <v>69</v>
      </c>
      <c r="I35" s="596">
        <v>7</v>
      </c>
      <c r="J35" s="596">
        <v>1</v>
      </c>
      <c r="K35" s="138">
        <f t="shared" si="0"/>
        <v>6.93</v>
      </c>
      <c r="L35" s="139">
        <v>0.52600000000000002</v>
      </c>
      <c r="M35" s="139">
        <v>0.499</v>
      </c>
      <c r="N35" s="598">
        <v>0.56399999999999995</v>
      </c>
      <c r="O35" s="645">
        <f t="shared" si="14"/>
        <v>0.53200000000000003</v>
      </c>
      <c r="P35" s="727">
        <v>90</v>
      </c>
      <c r="Q35">
        <v>89.92</v>
      </c>
      <c r="R35" s="706">
        <v>2915.3</v>
      </c>
      <c r="S35" s="765">
        <f t="shared" si="17"/>
        <v>135</v>
      </c>
      <c r="U35" s="1024">
        <v>90</v>
      </c>
      <c r="V35" s="715">
        <v>1.1023000000000001</v>
      </c>
      <c r="Z35" s="1062">
        <v>25</v>
      </c>
      <c r="AA35" s="144">
        <f t="shared" si="3"/>
        <v>25</v>
      </c>
      <c r="AB35" s="145">
        <f t="shared" si="4"/>
        <v>1314.772337372</v>
      </c>
      <c r="AC35" s="145">
        <f>+(S35-T35)*V35-'data 1'!$F$4</f>
        <v>68.810500000000019</v>
      </c>
      <c r="AD35" s="145">
        <f t="shared" si="5"/>
        <v>-1.3105093023519723</v>
      </c>
      <c r="AE35" s="145">
        <f t="shared" si="6"/>
        <v>-42.442499999999995</v>
      </c>
      <c r="AF35" s="145">
        <f t="shared" si="7"/>
        <v>-16.802423450688018</v>
      </c>
      <c r="AG35" s="772">
        <f t="shared" si="18"/>
        <v>25.255067246960039</v>
      </c>
      <c r="AH35" s="146">
        <f t="shared" si="9"/>
        <v>112.37878860223944</v>
      </c>
      <c r="AI35" s="156">
        <f t="shared" si="10"/>
        <v>91.082460636351897</v>
      </c>
      <c r="AJ35" s="156">
        <f t="shared" si="11"/>
        <v>113.76179752249622</v>
      </c>
      <c r="AK35" s="88"/>
      <c r="AL35" s="716">
        <f t="shared" si="12"/>
        <v>9111.3722979879603</v>
      </c>
    </row>
    <row r="36" spans="1:38" ht="15" customHeight="1">
      <c r="A36" s="857" t="s">
        <v>1815</v>
      </c>
      <c r="B36" s="595">
        <v>45706</v>
      </c>
      <c r="C36" s="595">
        <v>45701</v>
      </c>
      <c r="D36" t="s">
        <v>1586</v>
      </c>
      <c r="E36" t="e">
        <f>_xlfn.XLOOKUP(D36,RUC!$B$3:$B$123,RUC!$D$3:$D$123)</f>
        <v>#N/A</v>
      </c>
      <c r="G36" s="80">
        <v>50</v>
      </c>
      <c r="H36" t="s">
        <v>69</v>
      </c>
      <c r="I36" s="596">
        <v>6.53</v>
      </c>
      <c r="J36" s="596">
        <v>1</v>
      </c>
      <c r="K36" s="138">
        <f t="shared" si="0"/>
        <v>6.4647000000000006</v>
      </c>
      <c r="L36" s="139">
        <v>0.63300000000000001</v>
      </c>
      <c r="M36" s="139">
        <v>0.60099999999999998</v>
      </c>
      <c r="N36" s="598">
        <v>0.69</v>
      </c>
      <c r="O36" s="645">
        <f t="shared" si="14"/>
        <v>0.64600000000000002</v>
      </c>
      <c r="P36" s="727">
        <v>90</v>
      </c>
      <c r="Q36">
        <v>90.07</v>
      </c>
      <c r="R36" s="706">
        <v>2915.3</v>
      </c>
      <c r="S36" s="765">
        <f t="shared" si="17"/>
        <v>145</v>
      </c>
      <c r="U36" s="1024">
        <v>90</v>
      </c>
      <c r="V36" s="715">
        <v>1.1023000000000001</v>
      </c>
      <c r="Z36" s="1062">
        <v>25</v>
      </c>
      <c r="AA36" s="144">
        <f t="shared" si="3"/>
        <v>25</v>
      </c>
      <c r="AB36" s="145">
        <f t="shared" si="4"/>
        <v>1623.2794096660002</v>
      </c>
      <c r="AC36" s="145">
        <f>+(S36-T36)*V36-'data 1'!$F$4</f>
        <v>79.833500000000015</v>
      </c>
      <c r="AD36" s="145">
        <f t="shared" si="5"/>
        <v>1.3799588209888656</v>
      </c>
      <c r="AE36" s="145">
        <f t="shared" si="6"/>
        <v>-42.442499999999995</v>
      </c>
      <c r="AF36" s="145">
        <f t="shared" si="7"/>
        <v>-36.465980209529036</v>
      </c>
      <c r="AG36" s="772">
        <f t="shared" si="18"/>
        <v>19.304978611459845</v>
      </c>
      <c r="AH36" s="146">
        <f t="shared" si="9"/>
        <v>126.36922379575292</v>
      </c>
      <c r="AI36" s="156">
        <f t="shared" si="10"/>
        <v>109.79348872601088</v>
      </c>
      <c r="AJ36" s="156">
        <f t="shared" si="11"/>
        <v>128.8642565609419</v>
      </c>
      <c r="AK36" s="88"/>
      <c r="AL36" s="716">
        <f t="shared" si="12"/>
        <v>10494.014399667793</v>
      </c>
    </row>
    <row r="37" spans="1:38" ht="15" customHeight="1">
      <c r="A37" s="857" t="s">
        <v>1816</v>
      </c>
      <c r="B37" s="595">
        <v>45706</v>
      </c>
      <c r="C37" s="595">
        <v>45701</v>
      </c>
      <c r="D37" t="s">
        <v>1586</v>
      </c>
      <c r="E37" t="e">
        <f>_xlfn.XLOOKUP(D37,RUC!$B$3:$B$123,RUC!$D$3:$D$123)</f>
        <v>#N/A</v>
      </c>
      <c r="G37" s="80">
        <v>50</v>
      </c>
      <c r="H37" t="s">
        <v>69</v>
      </c>
      <c r="I37" s="596">
        <v>5.39</v>
      </c>
      <c r="J37" s="596">
        <v>1</v>
      </c>
      <c r="K37" s="138">
        <f t="shared" ref="K37:K61" si="19">+I37-(I37*(J37/100))</f>
        <v>5.3361000000000001</v>
      </c>
      <c r="L37" s="139">
        <v>0.38600000000000001</v>
      </c>
      <c r="M37" s="139">
        <v>0.36699999999999999</v>
      </c>
      <c r="N37" s="598">
        <v>0.44400000000000001</v>
      </c>
      <c r="O37" s="645">
        <f t="shared" si="14"/>
        <v>0.40600000000000003</v>
      </c>
      <c r="P37" s="727">
        <v>90</v>
      </c>
      <c r="Q37">
        <v>90.28</v>
      </c>
      <c r="R37" s="706">
        <v>2915.3</v>
      </c>
      <c r="S37" s="765">
        <f t="shared" si="17"/>
        <v>125</v>
      </c>
      <c r="U37" s="1024">
        <v>90</v>
      </c>
      <c r="V37" s="715">
        <v>1.1023000000000001</v>
      </c>
      <c r="Z37" s="1062">
        <v>25</v>
      </c>
      <c r="AA37" s="144">
        <f t="shared" ref="AA37:AA61" si="20">+Y37+Z37</f>
        <v>25</v>
      </c>
      <c r="AB37" s="145">
        <f t="shared" si="4"/>
        <v>972.63052062600013</v>
      </c>
      <c r="AC37" s="145">
        <f>+(S37-T37)*V37-'data 1'!$F$4</f>
        <v>57.787499999999994</v>
      </c>
      <c r="AD37" s="145">
        <f t="shared" ref="AD37:AD61" si="21">+(Q37-P37)*(R37-U37)*L37*V37/100</f>
        <v>3.3659659077520145</v>
      </c>
      <c r="AE37" s="145">
        <f t="shared" ref="AE37:AE61" si="22">+(Y37*V37-70)+V37*(Z37-IF(D37="UNTUCA",IF(+((W37-3)*2.5+(X37-3)*3.1)&gt;0,+((W37-3)*1.5+(X37-3)*3.1),0),IF(+((W37-3)*1.5+(X37-3)*3.1)&gt;0,+((W37-3)*1.5+(X37-3)*3.1),0)))</f>
        <v>-42.442499999999995</v>
      </c>
      <c r="AF37" s="145">
        <f t="shared" ref="AF37:AF61" si="23">(L37-O37)*(R37-U37)*Q37*V37/100</f>
        <v>-56.23230979864006</v>
      </c>
      <c r="AG37" s="772">
        <f t="shared" si="18"/>
        <v>-20.521343890888048</v>
      </c>
      <c r="AH37" s="146">
        <f t="shared" ref="AH37:AH61" si="24">31.1035*L37*Q37*1.1023*K37/100</f>
        <v>63.754652677025213</v>
      </c>
      <c r="AI37" s="156">
        <f t="shared" ref="AI37:AI61" si="25">+((+$AI$2-R37+U37)*L37*Q37*V37)/100</f>
        <v>67.107578406247939</v>
      </c>
      <c r="AJ37" s="156">
        <f t="shared" ref="AJ37:AJ61" si="26">31.1035*1.1023*K37*P37*O37/100</f>
        <v>66.85002470203527</v>
      </c>
      <c r="AK37" s="88"/>
      <c r="AL37" s="716">
        <f t="shared" ref="AL37:AL61" si="27">+IF(AB37*K37&gt;0,AB37*K37,0)</f>
        <v>5190.0537211123992</v>
      </c>
    </row>
    <row r="38" spans="1:38" ht="15" customHeight="1">
      <c r="A38" s="857" t="s">
        <v>1817</v>
      </c>
      <c r="B38" s="595">
        <v>45706</v>
      </c>
      <c r="C38" s="595">
        <v>45701</v>
      </c>
      <c r="D38" t="s">
        <v>1586</v>
      </c>
      <c r="E38" t="e">
        <f>_xlfn.XLOOKUP(D38,RUC!$B$3:$B$123,RUC!$D$3:$D$123)</f>
        <v>#N/A</v>
      </c>
      <c r="G38" s="80">
        <v>50</v>
      </c>
      <c r="H38" t="s">
        <v>69</v>
      </c>
      <c r="I38" s="596">
        <v>5.41</v>
      </c>
      <c r="J38" s="596">
        <v>1</v>
      </c>
      <c r="K38" s="138">
        <f t="shared" si="19"/>
        <v>5.3559000000000001</v>
      </c>
      <c r="L38" s="139">
        <v>0.23499999999999999</v>
      </c>
      <c r="M38" s="139">
        <v>0.223</v>
      </c>
      <c r="N38" s="598">
        <v>0.29699999999999999</v>
      </c>
      <c r="O38" s="645">
        <f t="shared" si="14"/>
        <v>0.26</v>
      </c>
      <c r="P38" s="727">
        <v>90</v>
      </c>
      <c r="Q38">
        <v>90.22</v>
      </c>
      <c r="R38" s="706">
        <v>2915.3</v>
      </c>
      <c r="S38" s="765">
        <f t="shared" si="17"/>
        <v>105</v>
      </c>
      <c r="U38" s="1024">
        <v>90</v>
      </c>
      <c r="V38" s="715">
        <v>1.1023000000000001</v>
      </c>
      <c r="Z38" s="1062">
        <v>25</v>
      </c>
      <c r="AA38" s="144">
        <f t="shared" si="20"/>
        <v>25</v>
      </c>
      <c r="AB38" s="145">
        <f t="shared" si="4"/>
        <v>585.45379646000015</v>
      </c>
      <c r="AC38" s="145">
        <f>+(S38-T38)*V38-'data 1'!$F$4</f>
        <v>35.741500000000002</v>
      </c>
      <c r="AD38" s="145">
        <f t="shared" si="21"/>
        <v>1.6101076742299918</v>
      </c>
      <c r="AE38" s="145">
        <f t="shared" si="22"/>
        <v>-42.442499999999995</v>
      </c>
      <c r="AF38" s="145">
        <f t="shared" si="23"/>
        <v>-70.243672325450063</v>
      </c>
      <c r="AG38" s="772">
        <f t="shared" si="18"/>
        <v>-58.334564651220063</v>
      </c>
      <c r="AH38" s="146">
        <f t="shared" si="24"/>
        <v>38.932492984550514</v>
      </c>
      <c r="AI38" s="156">
        <f t="shared" si="25"/>
        <v>40.828497440769958</v>
      </c>
      <c r="AJ38" s="156">
        <f t="shared" si="26"/>
        <v>42.969211706536825</v>
      </c>
      <c r="AK38" s="88"/>
      <c r="AL38" s="716">
        <f t="shared" si="27"/>
        <v>3135.6319884601148</v>
      </c>
    </row>
    <row r="39" spans="1:38" ht="15" customHeight="1">
      <c r="A39" s="857" t="s">
        <v>1819</v>
      </c>
      <c r="B39" s="595">
        <v>45708</v>
      </c>
      <c r="C39" s="595">
        <v>45702</v>
      </c>
      <c r="D39" t="s">
        <v>1402</v>
      </c>
      <c r="E39">
        <f>_xlfn.XLOOKUP(D39,RUC!$B$3:$B$123,RUC!$D$3:$D$123)</f>
        <v>20606526599</v>
      </c>
      <c r="G39" s="80">
        <v>130</v>
      </c>
      <c r="H39" t="s">
        <v>69</v>
      </c>
      <c r="I39" s="596">
        <v>10.74</v>
      </c>
      <c r="J39" s="596">
        <v>1.4</v>
      </c>
      <c r="K39" s="138">
        <f t="shared" si="19"/>
        <v>10.589640000000001</v>
      </c>
      <c r="L39" s="139">
        <v>0.183</v>
      </c>
      <c r="M39" s="139">
        <v>0.17199999999999999</v>
      </c>
      <c r="N39" s="159">
        <v>0.21299999999999999</v>
      </c>
      <c r="O39" s="645">
        <f t="shared" si="14"/>
        <v>0.193</v>
      </c>
      <c r="P39" s="727">
        <v>90</v>
      </c>
      <c r="Q39">
        <v>90.22</v>
      </c>
      <c r="R39" s="706">
        <v>2921.5</v>
      </c>
      <c r="S39" s="765">
        <f>IF((90+ROUNDDOWN(O39,1)*100)&lt;95,95,(90+ROUNDDOWN(O39,1)*100))</f>
        <v>100</v>
      </c>
      <c r="U39" s="1066">
        <v>120</v>
      </c>
      <c r="V39" s="715">
        <v>1.1023000000000001</v>
      </c>
      <c r="Z39" s="143">
        <f>IF(IF(D39="UNTUCA",IF(+((W39-3)*1.5+(X39-3)*3.1)&gt;0,+((W39-3)*1.5+(X39-3)*3.1),0),IF(+((W39-3)*1.5+(X39-3)*3.1)&gt;0,+((W39-3)*1.5+(X39-3)*3.1),0))&lt;30,30,IF(D39="UNTUCA",IF(+((W39-3)*1.5+(X39-3)*3.1)&gt;0,+((W39-3)*1.5+(X39-3)*3.1),0),IF(+((W39-3)*1.5+(X39-3)*3.1)&gt;0,+((W39-3)*1.5+(X39-3)*3.1),0)))</f>
        <v>30</v>
      </c>
      <c r="AA39" s="144">
        <f t="shared" si="20"/>
        <v>30</v>
      </c>
      <c r="AB39" s="145">
        <f t="shared" si="4"/>
        <v>393.10283226500002</v>
      </c>
      <c r="AC39" s="145">
        <f>+(S39-T39)*V39-'data 1'!$F$4</f>
        <v>30.230000000000004</v>
      </c>
      <c r="AD39" s="145">
        <f t="shared" si="21"/>
        <v>1.2432664229699937</v>
      </c>
      <c r="AE39" s="145">
        <f t="shared" si="22"/>
        <v>-36.930999999999997</v>
      </c>
      <c r="AF39" s="145">
        <f t="shared" si="23"/>
        <v>-27.860779105900029</v>
      </c>
      <c r="AG39" s="772">
        <f t="shared" si="18"/>
        <v>-16.318512682930027</v>
      </c>
      <c r="AH39" s="146">
        <f t="shared" si="24"/>
        <v>59.943787230571772</v>
      </c>
      <c r="AI39" s="156">
        <f t="shared" si="25"/>
        <v>36.12553030203</v>
      </c>
      <c r="AJ39" s="156">
        <f t="shared" si="26"/>
        <v>63.065244532492613</v>
      </c>
      <c r="AK39" s="88"/>
      <c r="AL39" s="716">
        <f t="shared" si="27"/>
        <v>4162.8174766667353</v>
      </c>
    </row>
    <row r="40" spans="1:38" ht="15" customHeight="1">
      <c r="A40" s="857" t="s">
        <v>1820</v>
      </c>
      <c r="B40" s="595">
        <v>45707</v>
      </c>
      <c r="C40" s="595">
        <v>45702</v>
      </c>
      <c r="D40" t="s">
        <v>1402</v>
      </c>
      <c r="E40">
        <f>_xlfn.XLOOKUP(D40,RUC!$B$3:$B$123,RUC!$D$3:$D$123)</f>
        <v>20606526599</v>
      </c>
      <c r="G40" s="80">
        <v>162</v>
      </c>
      <c r="H40" t="s">
        <v>69</v>
      </c>
      <c r="I40" s="596">
        <v>12.71</v>
      </c>
      <c r="J40" s="596">
        <v>1.3</v>
      </c>
      <c r="K40" s="138">
        <f t="shared" si="19"/>
        <v>12.544770000000002</v>
      </c>
      <c r="L40" s="139">
        <v>0.32700000000000001</v>
      </c>
      <c r="M40" s="139">
        <v>0.311</v>
      </c>
      <c r="N40" s="159">
        <v>0.311</v>
      </c>
      <c r="O40" s="645">
        <f t="shared" si="14"/>
        <v>0.311</v>
      </c>
      <c r="P40" s="727">
        <v>90</v>
      </c>
      <c r="Q40">
        <v>90.07</v>
      </c>
      <c r="R40" s="706">
        <v>2921.5</v>
      </c>
      <c r="S40" s="765">
        <f>IF((90+ROUNDDOWN(O40,1)*100)&lt;95,95,(90+ROUNDDOWN(O40,1)*100))</f>
        <v>120</v>
      </c>
      <c r="U40" s="1066">
        <v>120</v>
      </c>
      <c r="V40" s="715">
        <v>1.1023000000000001</v>
      </c>
      <c r="Z40" s="143">
        <f>IF(IF(D40="UNTUCA",IF(+((W40-3)*1.5+(X40-3)*3.1)&gt;0,+((W40-3)*1.5+(X40-3)*3.1),0),IF(+((W40-3)*1.5+(X40-3)*3.1)&gt;0,+((W40-3)*1.5+(X40-3)*3.1),0))&lt;30,30,IF(D40="UNTUCA",IF(+((W40-3)*1.5+(X40-3)*3.1)&gt;0,+((W40-3)*1.5+(X40-3)*3.1),0),IF(+((W40-3)*1.5+(X40-3)*3.1)&gt;0,+((W40-3)*1.5+(X40-3)*3.1),0)))</f>
        <v>30</v>
      </c>
      <c r="AA40" s="144">
        <f t="shared" si="20"/>
        <v>30</v>
      </c>
      <c r="AB40" s="145">
        <f t="shared" si="4"/>
        <v>699.01235665500008</v>
      </c>
      <c r="AC40" s="145">
        <f>+(S40-T40)*V40-'data 1'!$F$4</f>
        <v>52.27600000000001</v>
      </c>
      <c r="AD40" s="145">
        <f t="shared" si="21"/>
        <v>0.70686459070493124</v>
      </c>
      <c r="AE40" s="145">
        <f t="shared" si="22"/>
        <v>-36.930999999999997</v>
      </c>
      <c r="AF40" s="145">
        <f t="shared" si="23"/>
        <v>44.503132326640042</v>
      </c>
      <c r="AG40" s="772">
        <f t="shared" si="18"/>
        <v>77.554996917344994</v>
      </c>
      <c r="AH40" s="146">
        <f t="shared" si="24"/>
        <v>126.67755950012084</v>
      </c>
      <c r="AI40" s="156">
        <f t="shared" si="25"/>
        <v>64.444852484295012</v>
      </c>
      <c r="AJ40" s="156">
        <f t="shared" si="26"/>
        <v>120.3856358546948</v>
      </c>
      <c r="AK40" s="88"/>
      <c r="AL40" s="716">
        <f t="shared" si="27"/>
        <v>8768.9492413949465</v>
      </c>
    </row>
    <row r="41" spans="1:38" ht="15" customHeight="1">
      <c r="A41" s="857" t="s">
        <v>1821</v>
      </c>
      <c r="B41" s="595">
        <v>45705</v>
      </c>
      <c r="C41" s="595">
        <v>45703</v>
      </c>
      <c r="D41" t="s">
        <v>1010</v>
      </c>
      <c r="E41">
        <f>_xlfn.XLOOKUP(D41,RUC!$B$3:$B$123,RUC!$D$3:$D$123)</f>
        <v>20606102519</v>
      </c>
      <c r="G41" s="80">
        <v>112</v>
      </c>
      <c r="H41" t="s">
        <v>69</v>
      </c>
      <c r="I41" s="596">
        <v>9.36</v>
      </c>
      <c r="J41" s="596">
        <v>3.5</v>
      </c>
      <c r="K41" s="138">
        <f t="shared" si="19"/>
        <v>9.0323999999999991</v>
      </c>
      <c r="L41" s="139">
        <v>0.39900000000000002</v>
      </c>
      <c r="M41" s="139">
        <v>0.379</v>
      </c>
      <c r="N41" s="159">
        <v>0.379</v>
      </c>
      <c r="O41" s="645">
        <f t="shared" si="14"/>
        <v>0.379</v>
      </c>
      <c r="P41" s="727">
        <v>90</v>
      </c>
      <c r="Q41">
        <v>89.77</v>
      </c>
      <c r="R41" s="706">
        <v>2921.5</v>
      </c>
      <c r="S41" s="765">
        <f>IF((90+ROUNDDOWN(O41,1)*100)&lt;95,95,(90+ROUNDDOWN(O41,1)*100))</f>
        <v>120</v>
      </c>
      <c r="U41" s="1066">
        <v>120</v>
      </c>
      <c r="V41" s="715">
        <v>1.1023000000000001</v>
      </c>
      <c r="Y41">
        <v>20</v>
      </c>
      <c r="Z41" s="143">
        <f>IF(IF(D41="UNTUCA",IF(+((W41-3)*1.5+(X41-3)*3.1)&gt;0,+((W41-3)*1.5+(X41-3)*3.1),0),IF(+((W41-3)*1.5+(X41-3)*3.1)&gt;0,+((W41-3)*1.5+(X41-3)*3.1),0))&lt;30,30,IF(D41="UNTUCA",IF(+((W41-3)*1.5+(X41-3)*3.1)&gt;0,+((W41-3)*1.5+(X41-3)*3.1),0),IF(+((W41-3)*1.5+(X41-3)*3.1)&gt;0,+((W41-3)*1.5+(X41-3)*3.1),0)))</f>
        <v>30</v>
      </c>
      <c r="AA41" s="144">
        <f t="shared" si="20"/>
        <v>50</v>
      </c>
      <c r="AB41" s="145">
        <f t="shared" si="4"/>
        <v>865.957675795</v>
      </c>
      <c r="AC41" s="145">
        <f>+(S41-T41)*V41-'data 1'!$F$4</f>
        <v>52.27600000000001</v>
      </c>
      <c r="AD41" s="145">
        <f t="shared" si="21"/>
        <v>-2.8339433590650493</v>
      </c>
      <c r="AE41" s="145">
        <f t="shared" si="22"/>
        <v>-14.884999999999998</v>
      </c>
      <c r="AF41" s="145">
        <f t="shared" si="23"/>
        <v>55.443629801300048</v>
      </c>
      <c r="AG41" s="772">
        <f>+IF(D41="RONALD WILLIAN GARIBAY ESCUDERO",AC41+AD41+AE41+AF41+70,AC41+AD41+AE41+AF41)+70</f>
        <v>160.00068644223501</v>
      </c>
      <c r="AH41" s="146">
        <f t="shared" si="24"/>
        <v>110.92165791367343</v>
      </c>
      <c r="AI41" s="156">
        <f t="shared" si="25"/>
        <v>78.372633334065014</v>
      </c>
      <c r="AJ41" s="156">
        <f t="shared" si="26"/>
        <v>105.63162254068391</v>
      </c>
      <c r="AK41" s="88"/>
      <c r="AL41" s="716">
        <f t="shared" si="27"/>
        <v>7821.6761108507571</v>
      </c>
    </row>
    <row r="42" spans="1:38" ht="15" customHeight="1">
      <c r="A42" s="857" t="s">
        <v>1827</v>
      </c>
      <c r="B42" s="595">
        <v>45706</v>
      </c>
      <c r="C42" s="595">
        <v>45704</v>
      </c>
      <c r="D42" t="s">
        <v>1177</v>
      </c>
      <c r="E42">
        <f>_xlfn.XLOOKUP(D42,RUC!$B$3:$B$123,RUC!$D$3:$D$123)</f>
        <v>20606094010</v>
      </c>
      <c r="G42" s="80">
        <v>90</v>
      </c>
      <c r="H42" t="s">
        <v>69</v>
      </c>
      <c r="I42" s="596">
        <v>7.91</v>
      </c>
      <c r="J42" s="596">
        <v>2.6</v>
      </c>
      <c r="K42" s="138">
        <f t="shared" si="19"/>
        <v>7.7043400000000002</v>
      </c>
      <c r="L42" s="139">
        <v>0.498</v>
      </c>
      <c r="M42" s="139">
        <v>0.47299999999999998</v>
      </c>
      <c r="N42" s="159">
        <v>0.47299999999999998</v>
      </c>
      <c r="O42" s="645">
        <f t="shared" si="14"/>
        <v>0.47299999999999998</v>
      </c>
      <c r="P42" s="727">
        <v>90</v>
      </c>
      <c r="Q42">
        <v>89.92</v>
      </c>
      <c r="R42" s="706">
        <v>2900.55</v>
      </c>
      <c r="S42" s="765">
        <f>IF((90+ROUNDDOWN(O42,1)*100)&lt;95,95,(90+ROUNDDOWN(O42,1)*100))</f>
        <v>130</v>
      </c>
      <c r="U42" s="1066">
        <v>120</v>
      </c>
      <c r="V42" s="715">
        <v>1.1023000000000001</v>
      </c>
      <c r="Y42">
        <v>20</v>
      </c>
      <c r="Z42" s="143">
        <f>IF(IF(D42="UNTUCA",IF(+((W42-3)*1.5+(X42-3)*3.1)&gt;0,+((W42-3)*1.5+(X42-3)*3.1),0),IF(+((W42-3)*1.5+(X42-3)*3.1)&gt;0,+((W42-3)*1.5+(X42-3)*3.1),0))&lt;30,30,IF(D42="UNTUCA",IF(+((W42-3)*1.5+(X42-3)*3.1)&gt;0,+((W42-3)*1.5+(X42-3)*3.1),0),IF(+((W42-3)*1.5+(X42-3)*3.1)&gt;0,+((W42-3)*1.5+(X42-3)*3.1),0)))</f>
        <v>30</v>
      </c>
      <c r="AA42" s="144">
        <f t="shared" si="20"/>
        <v>50</v>
      </c>
      <c r="AB42" s="145">
        <f t="shared" si="4"/>
        <v>1106.3566128105001</v>
      </c>
      <c r="AC42" s="145">
        <f>+(S42-T42)*V42-'data 1'!$F$4</f>
        <v>63.299000000000007</v>
      </c>
      <c r="AD42" s="145">
        <f t="shared" si="21"/>
        <v>-1.2210961055759741</v>
      </c>
      <c r="AE42" s="145">
        <f t="shared" si="22"/>
        <v>-14.884999999999998</v>
      </c>
      <c r="AF42" s="145">
        <f t="shared" si="23"/>
        <v>68.901205957200077</v>
      </c>
      <c r="AG42" s="772">
        <f>+IF(D42="RONALD WILLIAN GARIBAY ESCUDERO",AC42+AD42+AE42+AF42+70,AC42+AD42+AE42+AF42)+70-29</f>
        <v>157.09410985162413</v>
      </c>
      <c r="AH42" s="146">
        <f t="shared" si="24"/>
        <v>118.28512975971807</v>
      </c>
      <c r="AI42" s="156">
        <f t="shared" si="25"/>
        <v>108.32308837257591</v>
      </c>
      <c r="AJ42" s="156">
        <f t="shared" si="26"/>
        <v>112.44707419248164</v>
      </c>
      <c r="AK42" s="88"/>
      <c r="AL42" s="716">
        <f t="shared" si="27"/>
        <v>8523.747506340449</v>
      </c>
    </row>
    <row r="43" spans="1:38" ht="15" customHeight="1">
      <c r="A43" s="857" t="s">
        <v>1829</v>
      </c>
      <c r="B43" s="595">
        <v>45709</v>
      </c>
      <c r="C43" s="595">
        <v>45706</v>
      </c>
      <c r="D43" t="s">
        <v>119</v>
      </c>
      <c r="E43">
        <f>_xlfn.XLOOKUP(D43,RUC!$B$3:$B$123,RUC!$D$3:$D$123)</f>
        <v>10082235774</v>
      </c>
      <c r="G43" s="80">
        <v>18</v>
      </c>
      <c r="H43" t="s">
        <v>69</v>
      </c>
      <c r="I43" s="596">
        <v>1.81</v>
      </c>
      <c r="J43" s="596">
        <v>3.5</v>
      </c>
      <c r="K43" s="138">
        <f t="shared" si="19"/>
        <v>1.74665</v>
      </c>
      <c r="L43" s="139">
        <v>0.191</v>
      </c>
      <c r="M43" s="139">
        <v>0.188</v>
      </c>
      <c r="N43" s="159">
        <v>0.188</v>
      </c>
      <c r="O43" s="645">
        <f t="shared" si="14"/>
        <v>0.188</v>
      </c>
      <c r="P43" s="727">
        <v>85</v>
      </c>
      <c r="Q43">
        <v>90.22</v>
      </c>
      <c r="R43" s="706">
        <v>2927.1</v>
      </c>
      <c r="S43" s="802">
        <v>95</v>
      </c>
      <c r="U43" s="1024">
        <v>80</v>
      </c>
      <c r="V43" s="715">
        <v>1.1023000000000001</v>
      </c>
      <c r="Z43" s="160">
        <v>10</v>
      </c>
      <c r="AA43" s="144">
        <f t="shared" si="20"/>
        <v>10</v>
      </c>
      <c r="AB43" s="145">
        <f t="shared" si="4"/>
        <v>385.76816113400002</v>
      </c>
      <c r="AC43" s="145">
        <f>+(S43-T43)*V43-'data 1'!$F$4</f>
        <v>24.718500000000006</v>
      </c>
      <c r="AD43" s="145">
        <f t="shared" si="21"/>
        <v>31.290060221765994</v>
      </c>
      <c r="AE43" s="145">
        <f t="shared" si="22"/>
        <v>-58.977000000000004</v>
      </c>
      <c r="AF43" s="145">
        <f t="shared" si="23"/>
        <v>8.4942806559780077</v>
      </c>
      <c r="AG43" s="772">
        <f t="shared" ref="AG43:AG48" si="28">+IF(D43="RONALD WILLIAN GARIBAY ESCUDERO",AC43+AD43+AE43+AF43+70,AC43+AD43+AE43+AF43)+70</f>
        <v>75.525840877744002</v>
      </c>
      <c r="AH43" s="146">
        <f t="shared" si="24"/>
        <v>10.319321602742207</v>
      </c>
      <c r="AI43" s="156">
        <f t="shared" si="25"/>
        <v>29.043134282734023</v>
      </c>
      <c r="AJ43" s="156">
        <f t="shared" si="26"/>
        <v>9.5695547713976961</v>
      </c>
      <c r="AK43" s="88"/>
      <c r="AL43" s="716">
        <f t="shared" si="27"/>
        <v>673.80195864470113</v>
      </c>
    </row>
    <row r="44" spans="1:38" ht="15" customHeight="1">
      <c r="A44" s="857" t="s">
        <v>1830</v>
      </c>
      <c r="B44" s="595">
        <v>45709</v>
      </c>
      <c r="C44" s="595">
        <v>45706</v>
      </c>
      <c r="D44" t="s">
        <v>119</v>
      </c>
      <c r="E44">
        <f>_xlfn.XLOOKUP(D44,RUC!$B$3:$B$123,RUC!$D$3:$D$123)</f>
        <v>10082235774</v>
      </c>
      <c r="G44" s="80">
        <v>32</v>
      </c>
      <c r="H44" t="s">
        <v>69</v>
      </c>
      <c r="I44" s="596">
        <v>3.14</v>
      </c>
      <c r="J44" s="596">
        <v>2.95</v>
      </c>
      <c r="K44" s="138">
        <f t="shared" si="19"/>
        <v>3.0473699999999999</v>
      </c>
      <c r="L44" s="139">
        <v>0.434</v>
      </c>
      <c r="M44" s="139">
        <v>0.42699999999999999</v>
      </c>
      <c r="N44" s="159">
        <v>0.42699999999999999</v>
      </c>
      <c r="O44" s="645">
        <f t="shared" si="14"/>
        <v>0.42699999999999999</v>
      </c>
      <c r="P44" s="727">
        <v>90</v>
      </c>
      <c r="Q44">
        <v>89.88</v>
      </c>
      <c r="R44" s="706">
        <v>2927.1</v>
      </c>
      <c r="S44" s="802">
        <v>115</v>
      </c>
      <c r="U44" s="1024">
        <v>80</v>
      </c>
      <c r="V44" s="715">
        <v>1.1023000000000001</v>
      </c>
      <c r="Z44" s="160">
        <v>10</v>
      </c>
      <c r="AA44" s="144">
        <f t="shared" si="20"/>
        <v>10</v>
      </c>
      <c r="AB44" s="145">
        <f t="shared" si="4"/>
        <v>1068.2836062189999</v>
      </c>
      <c r="AC44" s="145">
        <f>+(S44-T44)*V44-'data 1'!$F$4</f>
        <v>46.764500000000012</v>
      </c>
      <c r="AD44" s="145">
        <f t="shared" si="21"/>
        <v>-1.6344570182640619</v>
      </c>
      <c r="AE44" s="145">
        <f t="shared" si="22"/>
        <v>-58.977000000000004</v>
      </c>
      <c r="AF44" s="145">
        <f t="shared" si="23"/>
        <v>19.745295269028016</v>
      </c>
      <c r="AG44" s="772">
        <f t="shared" si="28"/>
        <v>75.898338250763956</v>
      </c>
      <c r="AH44" s="146">
        <f t="shared" si="24"/>
        <v>40.755577399780286</v>
      </c>
      <c r="AI44" s="156">
        <f t="shared" si="25"/>
        <v>65.744599800264041</v>
      </c>
      <c r="AJ44" s="156">
        <f t="shared" si="26"/>
        <v>40.151765063955125</v>
      </c>
      <c r="AK44" s="88"/>
      <c r="AL44" s="716">
        <f t="shared" si="27"/>
        <v>3255.4554130835936</v>
      </c>
    </row>
    <row r="45" spans="1:38" ht="15" customHeight="1">
      <c r="A45" s="857" t="s">
        <v>1831</v>
      </c>
      <c r="B45" s="595">
        <v>45709</v>
      </c>
      <c r="C45" s="595">
        <v>45706</v>
      </c>
      <c r="D45" t="s">
        <v>119</v>
      </c>
      <c r="E45">
        <f>_xlfn.XLOOKUP(D45,RUC!$B$3:$B$123,RUC!$D$3:$D$123)</f>
        <v>10082235774</v>
      </c>
      <c r="G45" s="80">
        <v>36</v>
      </c>
      <c r="H45" t="s">
        <v>69</v>
      </c>
      <c r="I45" s="596">
        <v>3.19</v>
      </c>
      <c r="J45" s="596">
        <v>3.35</v>
      </c>
      <c r="K45" s="138">
        <f t="shared" si="19"/>
        <v>3.083135</v>
      </c>
      <c r="L45" s="139">
        <v>0.24199999999999999</v>
      </c>
      <c r="M45" s="139">
        <v>0.23799999999999999</v>
      </c>
      <c r="N45" s="159">
        <v>0.23799999999999999</v>
      </c>
      <c r="O45" s="645">
        <f t="shared" si="14"/>
        <v>0.23799999999999999</v>
      </c>
      <c r="P45" s="727">
        <v>85</v>
      </c>
      <c r="Q45">
        <v>90.08</v>
      </c>
      <c r="R45" s="706">
        <v>2927.1</v>
      </c>
      <c r="S45" s="802">
        <v>105</v>
      </c>
      <c r="U45" s="1024">
        <v>80</v>
      </c>
      <c r="V45" s="715">
        <v>1.1023000000000001</v>
      </c>
      <c r="Z45" s="160">
        <v>10</v>
      </c>
      <c r="AA45" s="144">
        <f t="shared" si="20"/>
        <v>10</v>
      </c>
      <c r="AB45" s="145">
        <f t="shared" si="4"/>
        <v>508.12539015900006</v>
      </c>
      <c r="AC45" s="145">
        <f>+(S45-T45)*V45-'data 1'!$F$4</f>
        <v>35.741500000000002</v>
      </c>
      <c r="AD45" s="145">
        <f t="shared" si="21"/>
        <v>38.581721965687983</v>
      </c>
      <c r="AE45" s="145">
        <f t="shared" si="22"/>
        <v>-58.977000000000004</v>
      </c>
      <c r="AF45" s="145">
        <f t="shared" si="23"/>
        <v>11.308132734656009</v>
      </c>
      <c r="AG45" s="772">
        <f t="shared" si="28"/>
        <v>96.654354700344001</v>
      </c>
      <c r="AH45" s="146">
        <f t="shared" si="24"/>
        <v>23.043336093575739</v>
      </c>
      <c r="AI45" s="156">
        <f t="shared" si="25"/>
        <v>36.741005393312022</v>
      </c>
      <c r="AJ45" s="156">
        <f t="shared" si="26"/>
        <v>21.384420880844083</v>
      </c>
      <c r="AK45" s="88"/>
      <c r="AL45" s="716">
        <f t="shared" si="27"/>
        <v>1566.6191747878686</v>
      </c>
    </row>
    <row r="46" spans="1:38" ht="15" customHeight="1">
      <c r="A46" s="857" t="s">
        <v>1832</v>
      </c>
      <c r="B46" s="595">
        <v>45709</v>
      </c>
      <c r="C46" s="595">
        <v>45706</v>
      </c>
      <c r="D46" t="s">
        <v>119</v>
      </c>
      <c r="E46">
        <f>_xlfn.XLOOKUP(D46,RUC!$B$3:$B$123,RUC!$D$3:$D$123)</f>
        <v>10082235774</v>
      </c>
      <c r="G46" s="80">
        <v>37</v>
      </c>
      <c r="H46" t="s">
        <v>69</v>
      </c>
      <c r="I46" s="596">
        <v>3.51</v>
      </c>
      <c r="J46" s="596">
        <v>3.4</v>
      </c>
      <c r="K46" s="138">
        <f t="shared" si="19"/>
        <v>3.3906599999999996</v>
      </c>
      <c r="L46" s="139">
        <v>0.41299999999999998</v>
      </c>
      <c r="M46" s="139">
        <v>0.40600000000000003</v>
      </c>
      <c r="N46" s="159">
        <v>0.40600000000000003</v>
      </c>
      <c r="O46" s="645">
        <f t="shared" si="14"/>
        <v>0.40600000000000003</v>
      </c>
      <c r="P46" s="727">
        <v>90</v>
      </c>
      <c r="Q46">
        <v>89.92</v>
      </c>
      <c r="R46" s="706">
        <v>2927.1</v>
      </c>
      <c r="S46" s="802">
        <v>115</v>
      </c>
      <c r="U46" s="1024">
        <v>80</v>
      </c>
      <c r="V46" s="715">
        <v>1.1023000000000001</v>
      </c>
      <c r="Z46" s="160">
        <v>10</v>
      </c>
      <c r="AA46" s="144">
        <f t="shared" si="20"/>
        <v>10</v>
      </c>
      <c r="AB46" s="145">
        <f t="shared" si="4"/>
        <v>1008.968633782</v>
      </c>
      <c r="AC46" s="145">
        <f>+(S46-T46)*V46-'data 1'!$F$4</f>
        <v>46.764500000000012</v>
      </c>
      <c r="AD46" s="145">
        <f t="shared" si="21"/>
        <v>-1.0369135922319779</v>
      </c>
      <c r="AE46" s="145">
        <f t="shared" si="22"/>
        <v>-58.977000000000004</v>
      </c>
      <c r="AF46" s="145">
        <f t="shared" si="23"/>
        <v>19.75408267235186</v>
      </c>
      <c r="AG46" s="772">
        <f t="shared" si="28"/>
        <v>76.504669080119896</v>
      </c>
      <c r="AH46" s="146">
        <f t="shared" si="24"/>
        <v>43.171750851407758</v>
      </c>
      <c r="AI46" s="156">
        <f t="shared" si="25"/>
        <v>62.591252571232033</v>
      </c>
      <c r="AJ46" s="156">
        <f t="shared" si="26"/>
        <v>42.477784291186993</v>
      </c>
      <c r="AK46" s="88"/>
      <c r="AL46" s="716">
        <f t="shared" si="27"/>
        <v>3421.0695878192755</v>
      </c>
    </row>
    <row r="47" spans="1:38" ht="15" customHeight="1">
      <c r="A47" s="857" t="s">
        <v>1833</v>
      </c>
      <c r="B47" s="595">
        <v>45709</v>
      </c>
      <c r="C47" s="595">
        <v>45706</v>
      </c>
      <c r="D47" t="s">
        <v>119</v>
      </c>
      <c r="E47">
        <f>_xlfn.XLOOKUP(D47,RUC!$B$3:$B$123,RUC!$D$3:$D$123)</f>
        <v>10082235774</v>
      </c>
      <c r="G47" s="80">
        <v>29</v>
      </c>
      <c r="H47" t="s">
        <v>69</v>
      </c>
      <c r="I47" s="596">
        <v>2.72</v>
      </c>
      <c r="J47" s="596">
        <v>3.4</v>
      </c>
      <c r="K47" s="138">
        <f t="shared" si="19"/>
        <v>2.6275200000000001</v>
      </c>
      <c r="L47" s="139">
        <v>0.29799999999999999</v>
      </c>
      <c r="M47" s="139">
        <v>0.29299999999999998</v>
      </c>
      <c r="N47" s="159">
        <v>0.29299999999999998</v>
      </c>
      <c r="O47" s="645">
        <f t="shared" si="14"/>
        <v>0.29299999999999998</v>
      </c>
      <c r="P47" s="727">
        <v>90</v>
      </c>
      <c r="Q47">
        <v>90.16</v>
      </c>
      <c r="R47" s="706">
        <v>2927.1</v>
      </c>
      <c r="S47" s="802">
        <v>105</v>
      </c>
      <c r="U47" s="1024">
        <v>80</v>
      </c>
      <c r="V47" s="715">
        <v>1.1023000000000001</v>
      </c>
      <c r="Z47" s="160">
        <v>10</v>
      </c>
      <c r="AA47" s="144">
        <f t="shared" si="20"/>
        <v>10</v>
      </c>
      <c r="AB47" s="145">
        <f t="shared" si="4"/>
        <v>700.82059162099983</v>
      </c>
      <c r="AC47" s="145">
        <f>+(S47-T47)*V47-'data 1'!$F$4</f>
        <v>35.741500000000002</v>
      </c>
      <c r="AD47" s="145">
        <f t="shared" si="21"/>
        <v>1.4963692517439682</v>
      </c>
      <c r="AE47" s="145">
        <f t="shared" si="22"/>
        <v>-58.977000000000004</v>
      </c>
      <c r="AF47" s="145">
        <f t="shared" si="23"/>
        <v>14.147719351640012</v>
      </c>
      <c r="AG47" s="772">
        <f t="shared" si="28"/>
        <v>62.408588603383983</v>
      </c>
      <c r="AH47" s="146">
        <f t="shared" si="24"/>
        <v>24.203895368221673</v>
      </c>
      <c r="AI47" s="156">
        <f t="shared" si="25"/>
        <v>45.283236562256022</v>
      </c>
      <c r="AJ47" s="156">
        <f t="shared" si="26"/>
        <v>23.755557638769162</v>
      </c>
      <c r="AK47" s="88"/>
      <c r="AL47" s="716">
        <f t="shared" si="27"/>
        <v>1841.4201208960096</v>
      </c>
    </row>
    <row r="48" spans="1:38" ht="15" customHeight="1">
      <c r="A48" s="857" t="s">
        <v>1834</v>
      </c>
      <c r="B48" s="595">
        <v>45709</v>
      </c>
      <c r="C48" s="595">
        <v>45706</v>
      </c>
      <c r="D48" t="s">
        <v>119</v>
      </c>
      <c r="E48">
        <f>_xlfn.XLOOKUP(D48,RUC!$B$3:$B$123,RUC!$D$3:$D$123)</f>
        <v>10082235774</v>
      </c>
      <c r="G48" s="80">
        <v>26</v>
      </c>
      <c r="H48" t="s">
        <v>69</v>
      </c>
      <c r="I48" s="596">
        <v>2.44</v>
      </c>
      <c r="J48" s="596">
        <v>3.35</v>
      </c>
      <c r="K48" s="138">
        <f t="shared" si="19"/>
        <v>2.35826</v>
      </c>
      <c r="L48" s="139">
        <v>0.28899999999999998</v>
      </c>
      <c r="M48" s="139">
        <v>0.28499999999999998</v>
      </c>
      <c r="N48" s="159">
        <v>0.28499999999999998</v>
      </c>
      <c r="O48" s="645">
        <f t="shared" si="14"/>
        <v>0.28499999999999998</v>
      </c>
      <c r="P48" s="727">
        <v>90</v>
      </c>
      <c r="Q48">
        <v>90.27</v>
      </c>
      <c r="R48" s="706">
        <v>2927.1</v>
      </c>
      <c r="S48" s="802">
        <v>105</v>
      </c>
      <c r="U48" s="1024">
        <v>80</v>
      </c>
      <c r="V48" s="715">
        <v>1.1023000000000001</v>
      </c>
      <c r="Z48" s="160">
        <v>10</v>
      </c>
      <c r="AA48" s="144">
        <f t="shared" si="20"/>
        <v>10</v>
      </c>
      <c r="AB48" s="145">
        <f t="shared" si="4"/>
        <v>678.22441164499992</v>
      </c>
      <c r="AC48" s="145">
        <f>+(S48-T48)*V48-'data 1'!$F$4</f>
        <v>35.741500000000002</v>
      </c>
      <c r="AD48" s="145">
        <f t="shared" si="21"/>
        <v>2.4488610048989639</v>
      </c>
      <c r="AE48" s="145">
        <f t="shared" si="22"/>
        <v>-58.977000000000004</v>
      </c>
      <c r="AF48" s="145">
        <f t="shared" si="23"/>
        <v>11.33198425796401</v>
      </c>
      <c r="AG48" s="772">
        <f t="shared" si="28"/>
        <v>60.545345262862973</v>
      </c>
      <c r="AH48" s="146">
        <f t="shared" si="24"/>
        <v>21.0931790502</v>
      </c>
      <c r="AI48" s="156">
        <f t="shared" si="25"/>
        <v>43.969201432101016</v>
      </c>
      <c r="AJ48" s="156">
        <f t="shared" si="26"/>
        <v>20.739014890646402</v>
      </c>
      <c r="AK48" s="88"/>
      <c r="AL48" s="716">
        <f t="shared" si="27"/>
        <v>1599.4295010059375</v>
      </c>
    </row>
    <row r="49" spans="1:38" ht="15" customHeight="1">
      <c r="A49" s="857" t="s">
        <v>1835</v>
      </c>
      <c r="B49" s="595">
        <v>45709</v>
      </c>
      <c r="C49" s="595">
        <v>45706</v>
      </c>
      <c r="D49" t="s">
        <v>119</v>
      </c>
      <c r="E49">
        <f>_xlfn.XLOOKUP(D49,RUC!$B$3:$B$123,RUC!$D$3:$D$123)</f>
        <v>10082235774</v>
      </c>
      <c r="G49" s="80">
        <v>31</v>
      </c>
      <c r="H49" t="s">
        <v>69</v>
      </c>
      <c r="I49" s="596">
        <v>3.08</v>
      </c>
      <c r="J49" s="596">
        <v>3.5</v>
      </c>
      <c r="K49" s="138">
        <f t="shared" si="19"/>
        <v>2.9722</v>
      </c>
      <c r="L49" s="139">
        <v>0.48799999999999999</v>
      </c>
      <c r="M49" s="139">
        <v>0.48</v>
      </c>
      <c r="N49" s="159">
        <v>0.48</v>
      </c>
      <c r="O49" s="645">
        <f t="shared" si="14"/>
        <v>0.48</v>
      </c>
      <c r="P49" s="727">
        <v>90</v>
      </c>
      <c r="Q49">
        <v>89.95</v>
      </c>
      <c r="R49" s="706">
        <v>2927.1</v>
      </c>
      <c r="S49" s="802">
        <v>115</v>
      </c>
      <c r="U49" s="1024">
        <v>80</v>
      </c>
      <c r="V49" s="715">
        <v>1.1023000000000001</v>
      </c>
      <c r="Z49" s="160">
        <v>10</v>
      </c>
      <c r="AA49" s="144">
        <f t="shared" si="20"/>
        <v>10</v>
      </c>
      <c r="AB49" s="145">
        <f t="shared" si="4"/>
        <v>1217.9832985599999</v>
      </c>
      <c r="AC49" s="145">
        <f>+(S49-T49)*V49-'data 1'!$F$4</f>
        <v>46.764500000000012</v>
      </c>
      <c r="AD49" s="145">
        <f t="shared" si="21"/>
        <v>-0.76575943251995637</v>
      </c>
      <c r="AE49" s="145">
        <f t="shared" si="22"/>
        <v>-58.977000000000004</v>
      </c>
      <c r="AF49" s="145">
        <f t="shared" si="23"/>
        <v>22.583626542680022</v>
      </c>
      <c r="AG49" s="772">
        <f>+IF(D49="RONALD WILLIAN GARIBAY ESCUDERO",AC49+AD49+AE49+AF49+70,AC49+AD49+AE49+AF49)+70</f>
        <v>79.605367110160074</v>
      </c>
      <c r="AH49" s="146">
        <f t="shared" si="24"/>
        <v>44.730946595674247</v>
      </c>
      <c r="AI49" s="156">
        <f t="shared" si="25"/>
        <v>73.982377296520056</v>
      </c>
      <c r="AJ49" s="156">
        <f t="shared" si="26"/>
        <v>44.022109116474724</v>
      </c>
      <c r="AK49" s="88"/>
      <c r="AL49" s="716">
        <f t="shared" si="27"/>
        <v>3620.0899599800314</v>
      </c>
    </row>
    <row r="50" spans="1:38" ht="15" customHeight="1">
      <c r="A50" s="857" t="s">
        <v>1839</v>
      </c>
      <c r="B50" s="595">
        <v>45712</v>
      </c>
      <c r="C50" s="595">
        <v>45707</v>
      </c>
      <c r="D50" t="s">
        <v>145</v>
      </c>
      <c r="E50" t="e">
        <f>_xlfn.XLOOKUP(D50,RUC!$B$3:$B$123,RUC!$D$3:$D$123)</f>
        <v>#N/A</v>
      </c>
      <c r="G50" s="80">
        <v>70</v>
      </c>
      <c r="H50" t="s">
        <v>69</v>
      </c>
      <c r="I50" s="596">
        <v>7.23</v>
      </c>
      <c r="J50" s="596">
        <v>1.1000000000000001</v>
      </c>
      <c r="K50" s="138">
        <f t="shared" si="19"/>
        <v>7.1504700000000003</v>
      </c>
      <c r="L50" s="139">
        <v>0.433</v>
      </c>
      <c r="M50" s="139">
        <v>0.41099999999999998</v>
      </c>
      <c r="N50" s="598">
        <v>0.48299999999999998</v>
      </c>
      <c r="O50" s="645">
        <f t="shared" si="14"/>
        <v>0.44700000000000001</v>
      </c>
      <c r="P50" s="727">
        <v>90</v>
      </c>
      <c r="Q50">
        <v>90.07</v>
      </c>
      <c r="R50" s="706">
        <v>2927.1</v>
      </c>
      <c r="S50" s="765">
        <f>IF((90+ROUNDDOWN(O50,1)*100)&lt;95,95,(90+ROUNDDOWN(O50,1)*100))</f>
        <v>130</v>
      </c>
      <c r="U50" s="1066">
        <v>120</v>
      </c>
      <c r="V50" s="715">
        <v>1.1023000000000001</v>
      </c>
      <c r="Y50">
        <v>20</v>
      </c>
      <c r="Z50" s="143">
        <f t="shared" ref="Z50:Z54" si="29">IF(IF(D50="UNTUCA",IF(+((W50-3)*1.5+(X50-3)*3.1)&gt;0,+((W50-3)*1.5+(X50-3)*3.1),0),IF(+((W50-3)*1.5+(X50-3)*3.1)&gt;0,+((W50-3)*1.5+(X50-3)*3.1),0))&lt;30,30,IF(D50="UNTUCA",IF(+((W50-3)*1.5+(X50-3)*3.1)&gt;0,+((W50-3)*1.5+(X50-3)*3.1),0),IF(+((W50-3)*1.5+(X50-3)*3.1)&gt;0,+((W50-3)*1.5+(X50-3)*3.1),0)))</f>
        <v>30</v>
      </c>
      <c r="AA50" s="144">
        <f t="shared" si="20"/>
        <v>50</v>
      </c>
      <c r="AB50" s="145">
        <f t="shared" si="4"/>
        <v>1046.4093445590001</v>
      </c>
      <c r="AC50" s="145">
        <f>+(S50-T50)*V50-'data 1'!$F$4</f>
        <v>63.299000000000007</v>
      </c>
      <c r="AD50" s="145">
        <f t="shared" si="21"/>
        <v>0.93787212462290881</v>
      </c>
      <c r="AE50" s="145">
        <f t="shared" si="22"/>
        <v>-14.884999999999998</v>
      </c>
      <c r="AF50" s="145">
        <f t="shared" si="23"/>
        <v>-39.018079568034032</v>
      </c>
      <c r="AG50" s="772">
        <f t="shared" ref="AG50:AG58" si="30">+IF(D50="RONALD WILLIAN GARIBAY ESCUDERO",AC50+AD50+AE50+AF50+70,AC50+AD50+AE50+AF50)+70-53</f>
        <v>27.33379255658889</v>
      </c>
      <c r="AH50" s="146">
        <f t="shared" si="24"/>
        <v>95.611849074634506</v>
      </c>
      <c r="AI50" s="156">
        <f t="shared" si="25"/>
        <v>82.927790464377054</v>
      </c>
      <c r="AJ50" s="156">
        <f t="shared" si="26"/>
        <v>98.62651574494015</v>
      </c>
      <c r="AK50" s="88"/>
      <c r="AL50" s="716">
        <f t="shared" si="27"/>
        <v>7482.3186259887943</v>
      </c>
    </row>
    <row r="51" spans="1:38" ht="15" customHeight="1">
      <c r="A51" s="857" t="s">
        <v>1841</v>
      </c>
      <c r="B51" s="595">
        <v>45712</v>
      </c>
      <c r="C51" s="595">
        <v>45708</v>
      </c>
      <c r="D51" t="s">
        <v>66</v>
      </c>
      <c r="E51">
        <f>_xlfn.XLOOKUP(D51,RUC!$B$3:$B$123,RUC!$D$3:$D$123)</f>
        <v>10457401928</v>
      </c>
      <c r="G51" s="80">
        <v>39</v>
      </c>
      <c r="H51" t="s">
        <v>69</v>
      </c>
      <c r="I51" s="596">
        <v>2.95</v>
      </c>
      <c r="J51" s="596">
        <v>8</v>
      </c>
      <c r="K51" s="138">
        <f t="shared" si="19"/>
        <v>2.714</v>
      </c>
      <c r="L51" s="139">
        <v>0.42699999999999999</v>
      </c>
      <c r="M51" s="139">
        <v>0.40600000000000003</v>
      </c>
      <c r="N51" s="598">
        <v>0.40600000000000003</v>
      </c>
      <c r="O51" s="645">
        <f t="shared" si="14"/>
        <v>0.40600000000000003</v>
      </c>
      <c r="P51" s="727">
        <v>90</v>
      </c>
      <c r="Q51">
        <v>90.12</v>
      </c>
      <c r="R51" s="706">
        <v>2932.05</v>
      </c>
      <c r="S51" s="765">
        <f>IF((90+ROUNDDOWN(O51,1)*100)&lt;95,95,(90+ROUNDDOWN(O51,1)*100))</f>
        <v>130</v>
      </c>
      <c r="U51" s="1066">
        <v>120</v>
      </c>
      <c r="V51" s="715">
        <v>1.1023000000000001</v>
      </c>
      <c r="Y51">
        <v>20</v>
      </c>
      <c r="Z51" s="143">
        <f t="shared" si="29"/>
        <v>30</v>
      </c>
      <c r="AA51" s="144">
        <f t="shared" si="20"/>
        <v>50</v>
      </c>
      <c r="AB51" s="145">
        <f t="shared" si="4"/>
        <v>934.22468006099996</v>
      </c>
      <c r="AC51" s="145">
        <f>+(S51-T51)*V51-'data 1'!$F$4</f>
        <v>63.299000000000007</v>
      </c>
      <c r="AD51" s="145">
        <f t="shared" si="21"/>
        <v>1.5882979191660604</v>
      </c>
      <c r="AE51" s="145">
        <f t="shared" si="22"/>
        <v>-14.884999999999998</v>
      </c>
      <c r="AF51" s="145">
        <f t="shared" si="23"/>
        <v>58.662872325917903</v>
      </c>
      <c r="AG51" s="772">
        <f t="shared" si="30"/>
        <v>125.66517024508397</v>
      </c>
      <c r="AH51" s="146">
        <f t="shared" si="24"/>
        <v>35.807002837666239</v>
      </c>
      <c r="AI51" s="156">
        <f t="shared" si="25"/>
        <v>79.724388266333932</v>
      </c>
      <c r="AJ51" s="156">
        <f t="shared" si="26"/>
        <v>34.000668473477582</v>
      </c>
      <c r="AK51" s="88"/>
      <c r="AL51" s="716">
        <f t="shared" si="27"/>
        <v>2535.4857816855538</v>
      </c>
    </row>
    <row r="52" spans="1:38" ht="15" customHeight="1">
      <c r="A52" s="857" t="s">
        <v>1842</v>
      </c>
      <c r="B52" s="595">
        <v>45716</v>
      </c>
      <c r="C52" s="595">
        <v>45708</v>
      </c>
      <c r="D52" t="s">
        <v>1484</v>
      </c>
      <c r="E52">
        <f>_xlfn.XLOOKUP(D52,RUC!$B$3:$B$123,RUC!$D$3:$D$123)</f>
        <v>10761932735</v>
      </c>
      <c r="G52" s="80">
        <v>215</v>
      </c>
      <c r="H52" t="s">
        <v>69</v>
      </c>
      <c r="I52" s="596">
        <v>18.57</v>
      </c>
      <c r="J52" s="596">
        <v>15.5</v>
      </c>
      <c r="K52" s="138">
        <f t="shared" si="19"/>
        <v>15.691649999999999</v>
      </c>
      <c r="L52" s="139">
        <v>0.2</v>
      </c>
      <c r="M52" s="139">
        <v>0.188</v>
      </c>
      <c r="N52" s="139">
        <v>0.188</v>
      </c>
      <c r="O52" s="645">
        <f t="shared" si="14"/>
        <v>0.188</v>
      </c>
      <c r="P52" s="727">
        <v>90</v>
      </c>
      <c r="Q52">
        <v>90.14</v>
      </c>
      <c r="R52" s="706">
        <v>2932.05</v>
      </c>
      <c r="S52" s="765">
        <f>IF((90+ROUNDDOWN(O52,1)*100)&lt;95,95,(90+ROUNDDOWN(O52,1)*100))</f>
        <v>100</v>
      </c>
      <c r="U52" s="1066">
        <v>120</v>
      </c>
      <c r="V52" s="715">
        <v>1.1023000000000001</v>
      </c>
      <c r="Y52">
        <v>10</v>
      </c>
      <c r="Z52" s="143">
        <f t="shared" si="29"/>
        <v>30</v>
      </c>
      <c r="AA52" s="144">
        <f t="shared" si="20"/>
        <v>40</v>
      </c>
      <c r="AB52" s="145">
        <f t="shared" si="4"/>
        <v>370.15108337800007</v>
      </c>
      <c r="AC52" s="145">
        <f>+(S52-T52)*V52-'data 1'!$F$4</f>
        <v>30.230000000000004</v>
      </c>
      <c r="AD52" s="145">
        <f t="shared" si="21"/>
        <v>0.86792236020000357</v>
      </c>
      <c r="AE52" s="145">
        <f t="shared" si="22"/>
        <v>-25.908000000000001</v>
      </c>
      <c r="AF52" s="145">
        <f t="shared" si="23"/>
        <v>33.529080663612035</v>
      </c>
      <c r="AG52" s="772">
        <f t="shared" si="30"/>
        <v>55.719003023812036</v>
      </c>
      <c r="AH52" s="146">
        <f t="shared" si="24"/>
        <v>96.989614097691387</v>
      </c>
      <c r="AI52" s="156">
        <f t="shared" si="25"/>
        <v>37.349920939799972</v>
      </c>
      <c r="AJ52" s="156">
        <f t="shared" si="26"/>
        <v>91.028637149597202</v>
      </c>
      <c r="AK52" s="88"/>
      <c r="AL52" s="716">
        <f t="shared" si="27"/>
        <v>5808.281247488394</v>
      </c>
    </row>
    <row r="53" spans="1:38" ht="15" customHeight="1">
      <c r="A53" s="857" t="s">
        <v>1844</v>
      </c>
      <c r="B53" s="1073"/>
      <c r="C53" s="595">
        <v>45708</v>
      </c>
      <c r="D53" t="s">
        <v>66</v>
      </c>
      <c r="E53">
        <f>_xlfn.XLOOKUP(D53,RUC!$B$3:$B$123,RUC!$D$3:$D$123)</f>
        <v>10457401928</v>
      </c>
      <c r="G53" s="80">
        <v>45</v>
      </c>
      <c r="H53" t="s">
        <v>69</v>
      </c>
      <c r="I53" s="596">
        <v>3.75</v>
      </c>
      <c r="J53" s="596">
        <v>18.649999999999999</v>
      </c>
      <c r="K53" s="138">
        <f t="shared" si="19"/>
        <v>3.0506250000000001</v>
      </c>
      <c r="L53" s="139">
        <v>7.0000000000000007E-2</v>
      </c>
      <c r="M53" s="139">
        <v>0.06</v>
      </c>
      <c r="N53" s="598">
        <v>8.2000000000000003E-2</v>
      </c>
      <c r="O53" s="645">
        <f t="shared" si="14"/>
        <v>7.0999999999999994E-2</v>
      </c>
      <c r="P53" s="727">
        <v>85</v>
      </c>
      <c r="Q53">
        <v>90.15</v>
      </c>
      <c r="R53" s="706">
        <v>2932.05</v>
      </c>
      <c r="S53" s="765">
        <f>IF((90+ROUNDDOWN(O53,1)*100)&lt;95,95,(90+ROUNDDOWN(O53,1)*100))</f>
        <v>95</v>
      </c>
      <c r="U53" s="1066">
        <v>120</v>
      </c>
      <c r="V53" s="715">
        <v>1.1023000000000001</v>
      </c>
      <c r="Y53">
        <v>20</v>
      </c>
      <c r="Z53" s="143">
        <f t="shared" si="29"/>
        <v>30</v>
      </c>
      <c r="AA53" s="144">
        <f t="shared" si="20"/>
        <v>50</v>
      </c>
      <c r="AB53" s="1068">
        <v>0</v>
      </c>
      <c r="AC53" s="145">
        <f>+(S53-T53)*V53-'data 1'!$F$4</f>
        <v>24.718500000000006</v>
      </c>
      <c r="AD53" s="145">
        <f t="shared" si="21"/>
        <v>11.174500387575016</v>
      </c>
      <c r="AE53" s="145">
        <f t="shared" si="22"/>
        <v>-14.884999999999998</v>
      </c>
      <c r="AF53" s="145">
        <f t="shared" si="23"/>
        <v>-2.7944000275724643</v>
      </c>
      <c r="AG53" s="772">
        <f>+IF(D53="RONALD WILLIAN GARIBAY ESCUDERO",AC53+AD53+AE53+AF53+70,AC53+AD53+AE53+AF53)+70-53+27.23</f>
        <v>62.443600360002563</v>
      </c>
      <c r="AH53" s="146">
        <f t="shared" si="24"/>
        <v>6.6002694464635736</v>
      </c>
      <c r="AI53" s="156">
        <f t="shared" si="25"/>
        <v>13.073922569924992</v>
      </c>
      <c r="AJ53" s="156">
        <f t="shared" si="26"/>
        <v>6.3121188668738863</v>
      </c>
      <c r="AK53" s="88"/>
      <c r="AL53" s="716">
        <f t="shared" si="27"/>
        <v>0</v>
      </c>
    </row>
    <row r="54" spans="1:38" ht="15" customHeight="1">
      <c r="A54" s="857" t="s">
        <v>1846</v>
      </c>
      <c r="B54" s="595">
        <v>45712</v>
      </c>
      <c r="C54" s="595">
        <v>45708</v>
      </c>
      <c r="D54" t="s">
        <v>66</v>
      </c>
      <c r="E54">
        <f>_xlfn.XLOOKUP(D54,RUC!$B$3:$B$123,RUC!$D$3:$D$123)</f>
        <v>10457401928</v>
      </c>
      <c r="G54" s="80">
        <v>175</v>
      </c>
      <c r="H54" t="s">
        <v>69</v>
      </c>
      <c r="I54" s="596">
        <v>14.45</v>
      </c>
      <c r="J54" s="596">
        <v>20.5</v>
      </c>
      <c r="K54" s="138">
        <f t="shared" si="19"/>
        <v>11.48775</v>
      </c>
      <c r="L54" s="139">
        <v>0.113</v>
      </c>
      <c r="M54" s="139">
        <v>0.10199999999999999</v>
      </c>
      <c r="N54" s="598">
        <v>0.128</v>
      </c>
      <c r="O54" s="645">
        <f t="shared" si="14"/>
        <v>0.115</v>
      </c>
      <c r="P54" s="727">
        <v>85</v>
      </c>
      <c r="Q54">
        <v>90.22</v>
      </c>
      <c r="R54" s="706">
        <v>2932.05</v>
      </c>
      <c r="S54" s="765">
        <f>IF((90+ROUNDDOWN(O54,1)*100)&lt;95,95,(90+ROUNDDOWN(O54,1)*100))</f>
        <v>100</v>
      </c>
      <c r="U54" s="1066">
        <v>120</v>
      </c>
      <c r="V54" s="715">
        <v>1.1023000000000001</v>
      </c>
      <c r="Y54">
        <v>20</v>
      </c>
      <c r="Z54" s="143">
        <f t="shared" si="29"/>
        <v>30</v>
      </c>
      <c r="AA54" s="144">
        <f t="shared" si="20"/>
        <v>50</v>
      </c>
      <c r="AB54" s="145">
        <f>+((O54*P54*(R54-U54)/100)-S54-AA54+T54)*V54</f>
        <v>137.65289539125004</v>
      </c>
      <c r="AC54" s="145">
        <f>+(S54-T54)*V54-'data 1'!$F$4</f>
        <v>30.230000000000004</v>
      </c>
      <c r="AD54" s="145">
        <f t="shared" si="21"/>
        <v>18.284024406698997</v>
      </c>
      <c r="AE54" s="145">
        <f t="shared" si="22"/>
        <v>-14.884999999999998</v>
      </c>
      <c r="AF54" s="145">
        <f t="shared" si="23"/>
        <v>-5.5931396669460058</v>
      </c>
      <c r="AG54" s="772">
        <f t="shared" si="30"/>
        <v>45.035884739753001</v>
      </c>
      <c r="AH54" s="146">
        <f t="shared" si="24"/>
        <v>40.153676085199756</v>
      </c>
      <c r="AI54" s="156">
        <f t="shared" si="25"/>
        <v>21.121434157550979</v>
      </c>
      <c r="AJ54" s="156">
        <f t="shared" si="26"/>
        <v>38.500007232353134</v>
      </c>
      <c r="AK54" s="88"/>
      <c r="AL54" s="716">
        <f t="shared" si="27"/>
        <v>1581.3220490308327</v>
      </c>
    </row>
    <row r="55" spans="1:38" ht="15" customHeight="1">
      <c r="A55" s="857" t="s">
        <v>1863</v>
      </c>
      <c r="B55" s="595">
        <v>45716</v>
      </c>
      <c r="C55" s="595">
        <v>45712</v>
      </c>
      <c r="D55" t="s">
        <v>154</v>
      </c>
      <c r="E55">
        <f>_xlfn.XLOOKUP(D55,RUC!$B$3:$B$123,RUC!$D$3:$D$123)</f>
        <v>10416085884</v>
      </c>
      <c r="G55" s="80" t="s">
        <v>1434</v>
      </c>
      <c r="H55" t="s">
        <v>69</v>
      </c>
      <c r="I55" s="596">
        <v>27.38</v>
      </c>
      <c r="J55" s="596">
        <v>16.350000000000001</v>
      </c>
      <c r="K55" s="138">
        <f t="shared" si="19"/>
        <v>22.903369999999999</v>
      </c>
      <c r="L55" s="139">
        <v>0.187</v>
      </c>
      <c r="M55" s="139">
        <v>0.17499999999999999</v>
      </c>
      <c r="N55" s="159">
        <v>0.221</v>
      </c>
      <c r="O55" s="645">
        <f t="shared" si="14"/>
        <v>0.19800000000000001</v>
      </c>
      <c r="P55" s="727">
        <v>90</v>
      </c>
      <c r="Q55">
        <v>90.11</v>
      </c>
      <c r="R55" s="706">
        <v>2931.9</v>
      </c>
      <c r="S55" s="1070">
        <v>85</v>
      </c>
      <c r="U55" s="1066">
        <v>90</v>
      </c>
      <c r="V55" s="715">
        <v>1.1023000000000001</v>
      </c>
      <c r="Z55" s="1071">
        <v>15</v>
      </c>
      <c r="AA55" s="144">
        <f t="shared" si="20"/>
        <v>15</v>
      </c>
      <c r="AB55" s="145">
        <f>+((O55*P55*(R55-U55)/100)-S55-AA55+T55)*V55</f>
        <v>448.00401913400009</v>
      </c>
      <c r="AC55" s="145">
        <f>+(S55-T55)*V55-'data 1'!$F$4</f>
        <v>13.69550000000001</v>
      </c>
      <c r="AD55" s="145">
        <f t="shared" si="21"/>
        <v>0.64438124430899668</v>
      </c>
      <c r="AE55" s="145">
        <f t="shared" si="22"/>
        <v>-53.465499999999999</v>
      </c>
      <c r="AF55" s="145">
        <f t="shared" si="23"/>
        <v>-31.050905842077029</v>
      </c>
      <c r="AG55" s="772">
        <f>+IF(D55="RONALD WILLIAN GARIBAY ESCUDERO",AC55+AD55+AE55+AF55+70,AC55+AD55+AE55+AF55)+70</f>
        <v>-0.17652459776802232</v>
      </c>
      <c r="AH55" s="146">
        <f t="shared" si="24"/>
        <v>132.31925731559994</v>
      </c>
      <c r="AI55" s="156">
        <f t="shared" si="25"/>
        <v>29.366100014690982</v>
      </c>
      <c r="AJ55" s="156">
        <f t="shared" si="26"/>
        <v>139.93171538790619</v>
      </c>
      <c r="AK55" s="88"/>
      <c r="AL55" s="716">
        <f t="shared" si="27"/>
        <v>10260.801811713083</v>
      </c>
    </row>
    <row r="56" spans="1:38" ht="15" customHeight="1">
      <c r="A56" s="857" t="s">
        <v>1876</v>
      </c>
      <c r="B56" s="717">
        <v>45717</v>
      </c>
      <c r="C56" s="595">
        <v>45714</v>
      </c>
      <c r="D56" t="s">
        <v>129</v>
      </c>
      <c r="E56" t="e">
        <f>_xlfn.XLOOKUP(D56,RUC!$B$3:$B$123,RUC!$D$3:$D$123)</f>
        <v>#N/A</v>
      </c>
      <c r="G56" s="80">
        <v>57</v>
      </c>
      <c r="H56" t="s">
        <v>69</v>
      </c>
      <c r="I56" s="596">
        <v>5.51</v>
      </c>
      <c r="J56" s="596">
        <v>1.1000000000000001</v>
      </c>
      <c r="K56" s="138">
        <f t="shared" si="19"/>
        <v>5.4493900000000002</v>
      </c>
      <c r="L56" s="139">
        <v>0.44500000000000001</v>
      </c>
      <c r="M56" s="139">
        <v>0.41799999999999998</v>
      </c>
      <c r="N56" s="598">
        <v>0.44800000000000001</v>
      </c>
      <c r="O56" s="645">
        <f t="shared" si="14"/>
        <v>0.433</v>
      </c>
      <c r="P56" s="727">
        <v>90</v>
      </c>
      <c r="Q56">
        <v>89.91</v>
      </c>
      <c r="R56" s="706">
        <v>2901</v>
      </c>
      <c r="S56" s="802">
        <f>IF((80+ROUNDDOWN(O56,1)*100)&lt;95,95,(80+ROUNDDOWN(O56,1)*100))</f>
        <v>120</v>
      </c>
      <c r="U56" s="1066">
        <v>100</v>
      </c>
      <c r="V56" s="715">
        <v>1.1023000000000001</v>
      </c>
      <c r="Z56" s="143">
        <f t="shared" ref="Z56:Z58" si="31">IF(IF(D56="UNTUCA",IF(+((W56-3)*1.5+(X56-3)*3.1)&gt;0,+((W56-3)*1.5+(X56-3)*3.1),0),IF(+((W56-3)*1.5+(X56-3)*3.1)&gt;0,+((W56-3)*1.5+(X56-3)*3.1),0))&lt;30,30,IF(D56="UNTUCA",IF(+((W56-3)*1.5+(X56-3)*3.1)&gt;0,+((W56-3)*1.5+(X56-3)*3.1),0),IF(+((W56-3)*1.5+(X56-3)*3.1)&gt;0,+((W56-3)*1.5+(X56-3)*3.1),0)))</f>
        <v>30</v>
      </c>
      <c r="AA56" s="144">
        <f t="shared" si="20"/>
        <v>30</v>
      </c>
      <c r="AB56" s="145">
        <f t="shared" ref="AB56:AB63" si="32">+((O56*P56*(R56-U56)/100)-S56-AA56+T56)*V56</f>
        <v>1037.8702343100001</v>
      </c>
      <c r="AC56" s="145">
        <f>+(S56-T56)*V56-'data 1'!$F$4</f>
        <v>52.27600000000001</v>
      </c>
      <c r="AD56" s="145">
        <f t="shared" si="21"/>
        <v>-1.2365606911500471</v>
      </c>
      <c r="AE56" s="145">
        <f t="shared" si="22"/>
        <v>-36.930999999999997</v>
      </c>
      <c r="AF56" s="145">
        <f t="shared" si="23"/>
        <v>33.31211138316003</v>
      </c>
      <c r="AG56" s="772">
        <f t="shared" si="30"/>
        <v>134.42055069201001</v>
      </c>
      <c r="AH56" s="146">
        <f t="shared" si="24"/>
        <v>74.752370342168987</v>
      </c>
      <c r="AI56" s="156">
        <f t="shared" si="25"/>
        <v>87.76490609115001</v>
      </c>
      <c r="AJ56" s="156">
        <f t="shared" si="26"/>
        <v>72.809385471222171</v>
      </c>
      <c r="AK56" s="88"/>
      <c r="AL56" s="716">
        <f t="shared" si="27"/>
        <v>5655.759676146572</v>
      </c>
    </row>
    <row r="57" spans="1:38" ht="15" customHeight="1">
      <c r="A57" s="857" t="s">
        <v>1877</v>
      </c>
      <c r="B57" s="717">
        <v>45717</v>
      </c>
      <c r="C57" s="595">
        <v>45714</v>
      </c>
      <c r="D57" t="s">
        <v>129</v>
      </c>
      <c r="E57" t="e">
        <f>_xlfn.XLOOKUP(D57,RUC!$B$3:$B$123,RUC!$D$3:$D$123)</f>
        <v>#N/A</v>
      </c>
      <c r="G57" s="80">
        <v>8</v>
      </c>
      <c r="H57" t="s">
        <v>69</v>
      </c>
      <c r="I57" s="596">
        <v>0.82</v>
      </c>
      <c r="J57" s="596">
        <v>1.2</v>
      </c>
      <c r="K57" s="138">
        <f t="shared" si="19"/>
        <v>0.81015999999999999</v>
      </c>
      <c r="L57" s="139">
        <v>0.45</v>
      </c>
      <c r="M57" s="139">
        <v>0.42299999999999999</v>
      </c>
      <c r="N57" s="159">
        <v>0.42299999999999999</v>
      </c>
      <c r="O57" s="645">
        <f t="shared" si="14"/>
        <v>0.42299999999999999</v>
      </c>
      <c r="P57" s="727">
        <v>90</v>
      </c>
      <c r="Q57">
        <v>89.94</v>
      </c>
      <c r="R57" s="706">
        <v>2901</v>
      </c>
      <c r="S57" s="802">
        <f>IF((80+ROUNDDOWN(O57,1)*100)&lt;95,95,(80+ROUNDDOWN(O57,1)*100))</f>
        <v>120</v>
      </c>
      <c r="U57" s="1066">
        <v>100</v>
      </c>
      <c r="V57" s="715">
        <v>1.1023000000000001</v>
      </c>
      <c r="Z57" s="143">
        <f t="shared" si="31"/>
        <v>30</v>
      </c>
      <c r="AA57" s="144">
        <f t="shared" si="20"/>
        <v>30</v>
      </c>
      <c r="AB57" s="145">
        <f t="shared" si="32"/>
        <v>1010.08235361</v>
      </c>
      <c r="AC57" s="145">
        <f>+(S57-T57)*V57-'data 1'!$F$4</f>
        <v>52.27600000000001</v>
      </c>
      <c r="AD57" s="145">
        <f t="shared" si="21"/>
        <v>-0.83363642100003166</v>
      </c>
      <c r="AE57" s="145">
        <f t="shared" si="22"/>
        <v>-36.930999999999997</v>
      </c>
      <c r="AF57" s="145">
        <f t="shared" si="23"/>
        <v>74.977259704740064</v>
      </c>
      <c r="AG57" s="772">
        <f t="shared" si="30"/>
        <v>176.48862328374005</v>
      </c>
      <c r="AH57" s="146">
        <f t="shared" si="24"/>
        <v>11.242043547452843</v>
      </c>
      <c r="AI57" s="156">
        <f t="shared" si="25"/>
        <v>88.780641921000012</v>
      </c>
      <c r="AJ57" s="156">
        <f t="shared" si="26"/>
        <v>10.57457064837125</v>
      </c>
      <c r="AK57" s="88"/>
      <c r="AL57" s="716">
        <f t="shared" si="27"/>
        <v>818.32831960067767</v>
      </c>
    </row>
    <row r="58" spans="1:38" ht="15" customHeight="1">
      <c r="A58" s="857" t="s">
        <v>1879</v>
      </c>
      <c r="B58" s="717">
        <v>45717</v>
      </c>
      <c r="C58" s="595">
        <v>45714</v>
      </c>
      <c r="D58" t="s">
        <v>129</v>
      </c>
      <c r="E58" t="e">
        <f>_xlfn.XLOOKUP(D58,RUC!$B$3:$B$123,RUC!$D$3:$D$123)</f>
        <v>#N/A</v>
      </c>
      <c r="G58" s="80">
        <v>23</v>
      </c>
      <c r="H58" t="s">
        <v>69</v>
      </c>
      <c r="I58" s="596">
        <v>2.77</v>
      </c>
      <c r="J58" s="596">
        <v>2.25</v>
      </c>
      <c r="K58" s="138">
        <f t="shared" si="19"/>
        <v>2.7076750000000001</v>
      </c>
      <c r="L58" s="139">
        <v>0.13300000000000001</v>
      </c>
      <c r="M58" s="139">
        <v>0.123</v>
      </c>
      <c r="N58" s="598">
        <v>0.14899999999999999</v>
      </c>
      <c r="O58" s="645">
        <f t="shared" si="14"/>
        <v>0.13600000000000001</v>
      </c>
      <c r="P58" s="727">
        <v>90</v>
      </c>
      <c r="Q58">
        <v>90.27</v>
      </c>
      <c r="R58" s="706">
        <v>2901</v>
      </c>
      <c r="S58" s="802">
        <f>IF((80+ROUNDDOWN(O58,1)*100)&lt;95,95,(80+ROUNDDOWN(O58,1)*100))</f>
        <v>95</v>
      </c>
      <c r="U58" s="1066">
        <v>100</v>
      </c>
      <c r="V58" s="715">
        <v>1.1023000000000001</v>
      </c>
      <c r="Z58" s="143">
        <f t="shared" si="31"/>
        <v>30</v>
      </c>
      <c r="AA58" s="144">
        <f t="shared" si="20"/>
        <v>30</v>
      </c>
      <c r="AB58" s="145">
        <f t="shared" si="32"/>
        <v>240.12767752000002</v>
      </c>
      <c r="AC58" s="145">
        <f>+(S58-T58)*V58-'data 1'!$F$4</f>
        <v>24.718500000000006</v>
      </c>
      <c r="AD58" s="145">
        <f t="shared" si="21"/>
        <v>1.1087364399299837</v>
      </c>
      <c r="AE58" s="145">
        <f t="shared" si="22"/>
        <v>-36.930999999999997</v>
      </c>
      <c r="AF58" s="145">
        <f t="shared" si="23"/>
        <v>-8.3613733026300068</v>
      </c>
      <c r="AG58" s="772">
        <f t="shared" si="30"/>
        <v>67.534863137299993</v>
      </c>
      <c r="AH58" s="146">
        <f t="shared" si="24"/>
        <v>11.145529041560069</v>
      </c>
      <c r="AI58" s="156">
        <f t="shared" si="25"/>
        <v>26.33588804007</v>
      </c>
      <c r="AJ58" s="156">
        <f t="shared" si="26"/>
        <v>11.362843422005932</v>
      </c>
      <c r="AK58" s="88"/>
      <c r="AL58" s="716">
        <f t="shared" si="27"/>
        <v>650.18770922896601</v>
      </c>
    </row>
    <row r="59" spans="1:38" ht="15" customHeight="1">
      <c r="A59" s="857" t="s">
        <v>1883</v>
      </c>
      <c r="B59" s="595">
        <v>45717</v>
      </c>
      <c r="C59" s="595">
        <v>45715</v>
      </c>
      <c r="D59" t="s">
        <v>119</v>
      </c>
      <c r="E59">
        <f>_xlfn.XLOOKUP(D59,RUC!$B$3:$B$123,RUC!$D$3:$D$123)</f>
        <v>10082235774</v>
      </c>
      <c r="G59" s="80">
        <v>48</v>
      </c>
      <c r="H59" t="s">
        <v>69</v>
      </c>
      <c r="I59" s="596">
        <v>4.96</v>
      </c>
      <c r="J59" s="596">
        <v>2.5</v>
      </c>
      <c r="K59" s="138">
        <f t="shared" si="19"/>
        <v>4.8360000000000003</v>
      </c>
      <c r="L59" s="139">
        <v>0.40200000000000002</v>
      </c>
      <c r="M59" s="139">
        <v>0.39600000000000002</v>
      </c>
      <c r="N59" s="159">
        <v>0.39600000000000002</v>
      </c>
      <c r="O59" s="645">
        <f t="shared" si="14"/>
        <v>0.39600000000000002</v>
      </c>
      <c r="P59" s="727">
        <v>90</v>
      </c>
      <c r="Q59">
        <v>90.09</v>
      </c>
      <c r="R59" s="706">
        <v>2880.8</v>
      </c>
      <c r="S59" s="802">
        <v>110</v>
      </c>
      <c r="U59" s="1024">
        <v>80</v>
      </c>
      <c r="V59" s="715">
        <v>1.1023000000000001</v>
      </c>
      <c r="Z59" s="160">
        <v>10</v>
      </c>
      <c r="AA59" s="144">
        <f t="shared" si="20"/>
        <v>10</v>
      </c>
      <c r="AB59" s="145">
        <f t="shared" si="32"/>
        <v>968.04550377600015</v>
      </c>
      <c r="AC59" s="145">
        <f>+(S59-T59)*V59-'data 1'!$F$4</f>
        <v>41.253</v>
      </c>
      <c r="AD59" s="145">
        <f t="shared" si="21"/>
        <v>1.1169930417120426</v>
      </c>
      <c r="AE59" s="145">
        <f t="shared" si="22"/>
        <v>-58.977000000000004</v>
      </c>
      <c r="AF59" s="145">
        <f t="shared" si="23"/>
        <v>16.688209473936016</v>
      </c>
      <c r="AG59" s="772">
        <f>+IF(D59="RONALD WILLIAN GARIBAY ESCUDERO",AC59+AD59+AE59+AF59+70,AC59+AD59+AE59+AF59)+70</f>
        <v>70.081202515648059</v>
      </c>
      <c r="AH59" s="146">
        <f t="shared" si="24"/>
        <v>60.047924562051072</v>
      </c>
      <c r="AI59" s="156">
        <f t="shared" si="25"/>
        <v>79.522821666287939</v>
      </c>
      <c r="AJ59" s="156">
        <f t="shared" si="26"/>
        <v>59.092594287732737</v>
      </c>
      <c r="AK59" s="88"/>
      <c r="AL59" s="716">
        <f t="shared" si="27"/>
        <v>4681.4680562607373</v>
      </c>
    </row>
    <row r="60" spans="1:38" ht="15" customHeight="1">
      <c r="A60" s="857" t="s">
        <v>1884</v>
      </c>
      <c r="B60" s="595">
        <v>45717</v>
      </c>
      <c r="C60" s="595">
        <v>45715</v>
      </c>
      <c r="D60" t="s">
        <v>119</v>
      </c>
      <c r="E60">
        <f>_xlfn.XLOOKUP(D60,RUC!$B$3:$B$123,RUC!$D$3:$D$123)</f>
        <v>10082235774</v>
      </c>
      <c r="G60" s="80">
        <v>47</v>
      </c>
      <c r="H60" t="s">
        <v>69</v>
      </c>
      <c r="I60" s="596">
        <v>4.47</v>
      </c>
      <c r="J60" s="596">
        <v>2.1</v>
      </c>
      <c r="K60" s="138">
        <f t="shared" si="19"/>
        <v>4.3761299999999999</v>
      </c>
      <c r="L60" s="139">
        <v>0.25</v>
      </c>
      <c r="M60" s="139">
        <v>0.246</v>
      </c>
      <c r="N60" s="159">
        <v>0.246</v>
      </c>
      <c r="O60" s="645">
        <f t="shared" si="14"/>
        <v>0.246</v>
      </c>
      <c r="P60" s="727">
        <v>85</v>
      </c>
      <c r="Q60">
        <v>90.21</v>
      </c>
      <c r="R60" s="706">
        <v>2880.8</v>
      </c>
      <c r="S60" s="802">
        <v>105</v>
      </c>
      <c r="U60" s="1024">
        <v>80</v>
      </c>
      <c r="V60" s="715">
        <v>1.1023000000000001</v>
      </c>
      <c r="Z60" s="160">
        <v>10</v>
      </c>
      <c r="AA60" s="144">
        <f t="shared" si="20"/>
        <v>10</v>
      </c>
      <c r="AB60" s="145">
        <f t="shared" si="32"/>
        <v>518.79449674400007</v>
      </c>
      <c r="AC60" s="145">
        <f>+(S60-T60)*V60-'data 1'!$F$4</f>
        <v>35.741500000000002</v>
      </c>
      <c r="AD60" s="145">
        <f t="shared" si="21"/>
        <v>40.212366965999955</v>
      </c>
      <c r="AE60" s="145">
        <f t="shared" si="22"/>
        <v>-58.977000000000004</v>
      </c>
      <c r="AF60" s="145">
        <f t="shared" si="23"/>
        <v>11.140292127456009</v>
      </c>
      <c r="AG60" s="772">
        <f t="shared" ref="AG60:AG63" si="33">+IF(D60="RONALD WILLIAN GARIBAY ESCUDERO",AC60+AD60+AE60+AF60+70,AC60+AD60+AE60+AF60)+70</f>
        <v>98.117159093455967</v>
      </c>
      <c r="AH60" s="146">
        <f t="shared" si="24"/>
        <v>33.837165512114261</v>
      </c>
      <c r="AI60" s="156">
        <f t="shared" si="25"/>
        <v>49.520364533999953</v>
      </c>
      <c r="AJ60" s="156">
        <f t="shared" si="26"/>
        <v>31.372802609835244</v>
      </c>
      <c r="AK60" s="88"/>
      <c r="AL60" s="716">
        <f t="shared" si="27"/>
        <v>2270.312161036321</v>
      </c>
    </row>
    <row r="61" spans="1:38" ht="15" customHeight="1">
      <c r="A61" s="857" t="s">
        <v>1885</v>
      </c>
      <c r="B61" s="595">
        <v>45717</v>
      </c>
      <c r="C61" s="595">
        <v>45715</v>
      </c>
      <c r="D61" t="s">
        <v>119</v>
      </c>
      <c r="E61">
        <f>_xlfn.XLOOKUP(D61,RUC!$B$3:$B$123,RUC!$D$3:$D$123)</f>
        <v>10082235774</v>
      </c>
      <c r="G61" s="80">
        <v>48</v>
      </c>
      <c r="H61" t="s">
        <v>69</v>
      </c>
      <c r="I61" s="596">
        <v>4.54</v>
      </c>
      <c r="J61" s="596">
        <v>2.1</v>
      </c>
      <c r="K61" s="138">
        <f t="shared" si="19"/>
        <v>4.4446599999999998</v>
      </c>
      <c r="L61" s="139">
        <v>0.29699999999999999</v>
      </c>
      <c r="M61" s="139">
        <v>0.29299999999999998</v>
      </c>
      <c r="N61" s="159">
        <v>0.29299999999999998</v>
      </c>
      <c r="O61" s="645">
        <f t="shared" si="14"/>
        <v>0.29299999999999998</v>
      </c>
      <c r="P61" s="727">
        <v>90</v>
      </c>
      <c r="Q61">
        <v>90.15</v>
      </c>
      <c r="R61" s="706">
        <v>2880.8</v>
      </c>
      <c r="S61" s="802">
        <v>105</v>
      </c>
      <c r="U61" s="1024">
        <v>80</v>
      </c>
      <c r="V61" s="715">
        <v>1.1023000000000001</v>
      </c>
      <c r="Z61" s="160">
        <v>10</v>
      </c>
      <c r="AA61" s="144">
        <f t="shared" si="20"/>
        <v>10</v>
      </c>
      <c r="AB61" s="145">
        <f t="shared" si="32"/>
        <v>687.36226920799993</v>
      </c>
      <c r="AC61" s="145">
        <f>+(S61-T61)*V61-'data 1'!$F$4</f>
        <v>35.741500000000002</v>
      </c>
      <c r="AD61" s="145">
        <f t="shared" si="21"/>
        <v>1.3754018797200522</v>
      </c>
      <c r="AE61" s="145">
        <f t="shared" si="22"/>
        <v>-58.977000000000004</v>
      </c>
      <c r="AF61" s="145">
        <f t="shared" si="23"/>
        <v>11.132882555040013</v>
      </c>
      <c r="AG61" s="772">
        <f t="shared" si="33"/>
        <v>59.272784434760062</v>
      </c>
      <c r="AH61" s="146">
        <f t="shared" si="24"/>
        <v>40.800904819653482</v>
      </c>
      <c r="AI61" s="156">
        <f t="shared" si="25"/>
        <v>58.791064238279951</v>
      </c>
      <c r="AJ61" s="156">
        <f t="shared" si="26"/>
        <v>40.184423644627529</v>
      </c>
      <c r="AK61" s="88"/>
      <c r="AL61" s="716">
        <f t="shared" si="27"/>
        <v>3055.0915834580287</v>
      </c>
    </row>
    <row r="62" spans="1:38" ht="15" customHeight="1">
      <c r="A62" s="857" t="s">
        <v>1886</v>
      </c>
      <c r="B62" s="595">
        <v>45717</v>
      </c>
      <c r="C62" s="595">
        <v>45715</v>
      </c>
      <c r="D62" t="s">
        <v>119</v>
      </c>
      <c r="E62">
        <f>_xlfn.XLOOKUP(D62,RUC!$B$3:$B$123,RUC!$D$3:$D$123)</f>
        <v>10082235774</v>
      </c>
      <c r="G62" s="80">
        <v>48</v>
      </c>
      <c r="H62" t="s">
        <v>69</v>
      </c>
      <c r="I62" s="596">
        <v>4.66</v>
      </c>
      <c r="J62" s="596">
        <v>2.2999999999999998</v>
      </c>
      <c r="K62" s="138">
        <f t="shared" ref="K62:K63" si="34">+I62-(I62*(J62/100))</f>
        <v>4.5528200000000005</v>
      </c>
      <c r="L62" s="139">
        <v>0.30499999999999999</v>
      </c>
      <c r="M62" s="139">
        <v>0.3</v>
      </c>
      <c r="N62" s="159">
        <v>0.3</v>
      </c>
      <c r="O62" s="645">
        <f t="shared" ref="O62:O63" si="35">+ROUND((M62+N62)/2,3)</f>
        <v>0.3</v>
      </c>
      <c r="P62" s="727">
        <v>90</v>
      </c>
      <c r="Q62">
        <v>90.17</v>
      </c>
      <c r="R62" s="706">
        <v>2880.8</v>
      </c>
      <c r="S62" s="802">
        <v>110</v>
      </c>
      <c r="U62" s="1024">
        <v>80</v>
      </c>
      <c r="V62" s="715">
        <v>1.1023000000000001</v>
      </c>
      <c r="Z62" s="160">
        <v>10</v>
      </c>
      <c r="AA62" s="144">
        <f t="shared" ref="AA62:AA63" si="36">+Y62+Z62</f>
        <v>10</v>
      </c>
      <c r="AB62" s="145">
        <f t="shared" si="32"/>
        <v>701.30089680000003</v>
      </c>
      <c r="AC62" s="145">
        <f>+(S62-T62)*V62-'data 1'!$F$4</f>
        <v>41.253</v>
      </c>
      <c r="AD62" s="145">
        <f t="shared" ref="AD62:AD63" si="37">+(Q62-P62)*(R62-U62)*L62*V62/100</f>
        <v>1.6007763740400163</v>
      </c>
      <c r="AE62" s="145">
        <f t="shared" ref="AE62:AE63" si="38">+(Y62*V62-70)+V62*(Z62-IF(D62="UNTUCA",IF(+((W62-3)*2.5+(X62-3)*3.1)&gt;0,+((W62-3)*1.5+(X62-3)*3.1),0),IF(+((W62-3)*1.5+(X62-3)*3.1)&gt;0,+((W62-3)*1.5+(X62-3)*3.1),0)))</f>
        <v>-58.977000000000004</v>
      </c>
      <c r="AF62" s="145">
        <f t="shared" ref="AF62:AF63" si="39">(L62-O62)*(R62-U62)*Q62*V62/100</f>
        <v>13.919190515640015</v>
      </c>
      <c r="AG62" s="772">
        <f t="shared" si="33"/>
        <v>67.795966889680031</v>
      </c>
      <c r="AH62" s="146">
        <f t="shared" ref="AH62:AH63" si="40">31.1035*L62*Q62*1.1023*K62/100</f>
        <v>42.929067877203082</v>
      </c>
      <c r="AI62" s="156">
        <f t="shared" ref="AI62:AI63" si="41">+((+$AI$2-R62+U62)*L62*Q62*V62)/100</f>
        <v>60.388056195959955</v>
      </c>
      <c r="AJ62" s="156">
        <f t="shared" ref="AJ62:AJ63" si="42">31.1035*1.1023*K62*P62*O62/100</f>
        <v>42.145704113886275</v>
      </c>
      <c r="AK62" s="88"/>
      <c r="AL62" s="716">
        <f t="shared" ref="AL62:AL63" si="43">+IF(AB62*K62&gt;0,AB62*K62,0)</f>
        <v>3192.8967489689767</v>
      </c>
    </row>
    <row r="63" spans="1:38" ht="15" customHeight="1">
      <c r="A63" s="857" t="s">
        <v>1887</v>
      </c>
      <c r="B63" s="595">
        <v>45717</v>
      </c>
      <c r="C63" s="595">
        <v>45715</v>
      </c>
      <c r="D63" t="s">
        <v>119</v>
      </c>
      <c r="E63">
        <f>_xlfn.XLOOKUP(D63,RUC!$B$3:$B$123,RUC!$D$3:$D$123)</f>
        <v>10082235774</v>
      </c>
      <c r="G63" s="80">
        <v>41</v>
      </c>
      <c r="H63" t="s">
        <v>69</v>
      </c>
      <c r="I63" s="596">
        <v>3.57</v>
      </c>
      <c r="J63" s="596">
        <v>2.4500000000000002</v>
      </c>
      <c r="K63" s="138">
        <f t="shared" si="34"/>
        <v>3.4825349999999999</v>
      </c>
      <c r="L63" s="139">
        <v>0.21199999999999999</v>
      </c>
      <c r="M63" s="139">
        <v>0.20899999999999999</v>
      </c>
      <c r="N63" s="159">
        <v>0.20899999999999999</v>
      </c>
      <c r="O63" s="645">
        <f t="shared" si="35"/>
        <v>0.20899999999999999</v>
      </c>
      <c r="P63" s="727">
        <v>85</v>
      </c>
      <c r="Q63">
        <v>90.23</v>
      </c>
      <c r="R63" s="706">
        <v>2880.8</v>
      </c>
      <c r="S63" s="802">
        <v>105</v>
      </c>
      <c r="U63" s="1024">
        <v>80</v>
      </c>
      <c r="V63" s="715">
        <v>1.1023000000000001</v>
      </c>
      <c r="Z63" s="160">
        <v>10</v>
      </c>
      <c r="AA63" s="144">
        <f t="shared" si="36"/>
        <v>10</v>
      </c>
      <c r="AB63" s="145">
        <f t="shared" si="32"/>
        <v>421.6982248760001</v>
      </c>
      <c r="AC63" s="145">
        <f>+(S63-T63)*V63-'data 1'!$F$4</f>
        <v>35.741500000000002</v>
      </c>
      <c r="AD63" s="145">
        <f t="shared" si="37"/>
        <v>34.230989633184031</v>
      </c>
      <c r="AE63" s="145">
        <f t="shared" si="38"/>
        <v>-58.977000000000004</v>
      </c>
      <c r="AF63" s="145">
        <f t="shared" si="39"/>
        <v>8.3570714886960076</v>
      </c>
      <c r="AG63" s="772">
        <f t="shared" si="33"/>
        <v>89.352561121880044</v>
      </c>
      <c r="AH63" s="146">
        <f t="shared" si="40"/>
        <v>22.839751658056784</v>
      </c>
      <c r="AI63" s="156">
        <f t="shared" si="41"/>
        <v>42.002579238815962</v>
      </c>
      <c r="AJ63" s="156">
        <f t="shared" si="42"/>
        <v>21.211421346986352</v>
      </c>
      <c r="AK63" s="88"/>
      <c r="AL63" s="716">
        <f t="shared" si="43"/>
        <v>1468.5788275685409</v>
      </c>
    </row>
    <row r="64" spans="1:38" ht="15" customHeight="1">
      <c r="B64" s="595"/>
      <c r="C64" s="595"/>
      <c r="G64" s="80"/>
      <c r="L64" s="139"/>
      <c r="M64" s="139"/>
      <c r="N64" s="159"/>
      <c r="R64" s="706"/>
    </row>
    <row r="65" spans="2:18" ht="15" customHeight="1">
      <c r="B65" s="595"/>
      <c r="C65" s="595"/>
      <c r="G65" s="80"/>
      <c r="L65" s="139"/>
      <c r="M65" s="139"/>
      <c r="N65" s="159"/>
      <c r="R65" s="706"/>
    </row>
    <row r="66" spans="2:18" ht="15" customHeight="1">
      <c r="B66" s="595"/>
      <c r="C66" s="595"/>
      <c r="G66" s="80"/>
      <c r="L66" s="139"/>
      <c r="M66" s="139"/>
      <c r="N66" s="159"/>
      <c r="R66" s="706"/>
    </row>
    <row r="67" spans="2:18" ht="15" customHeight="1">
      <c r="B67" s="595"/>
      <c r="C67" s="595"/>
      <c r="G67" s="80"/>
      <c r="L67" s="139"/>
      <c r="M67" s="139"/>
      <c r="N67" s="159"/>
      <c r="R67" s="706"/>
    </row>
    <row r="68" spans="2:18" ht="15" customHeight="1">
      <c r="B68" s="595"/>
      <c r="C68" s="595"/>
      <c r="G68" s="80"/>
      <c r="L68" s="139"/>
      <c r="M68" s="139"/>
      <c r="N68" s="159"/>
      <c r="R68" s="706"/>
    </row>
    <row r="69" spans="2:18" ht="15" customHeight="1">
      <c r="B69" s="595"/>
      <c r="C69" s="595"/>
      <c r="D69" s="706"/>
      <c r="G69" s="80"/>
      <c r="L69" s="139"/>
      <c r="M69" s="139"/>
      <c r="N69" s="159"/>
      <c r="R69" s="706"/>
    </row>
    <row r="70" spans="2:18" ht="15" customHeight="1">
      <c r="B70" s="595"/>
      <c r="C70" s="595"/>
      <c r="G70" s="80"/>
      <c r="L70" s="139"/>
      <c r="M70" s="139"/>
      <c r="N70" s="159"/>
      <c r="R70" s="706"/>
    </row>
    <row r="71" spans="2:18" ht="15" customHeight="1">
      <c r="B71" s="595"/>
      <c r="C71" s="595"/>
      <c r="G71" s="80"/>
      <c r="L71" s="139"/>
      <c r="M71" s="139"/>
      <c r="N71" s="159"/>
      <c r="R71" s="706"/>
    </row>
    <row r="72" spans="2:18" ht="15" customHeight="1">
      <c r="B72" s="595"/>
      <c r="C72" s="595"/>
      <c r="G72" s="80"/>
      <c r="L72" s="139"/>
      <c r="M72" s="139"/>
      <c r="N72" s="159"/>
      <c r="R72" s="706"/>
    </row>
    <row r="73" spans="2:18" ht="15" customHeight="1">
      <c r="B73" s="595"/>
      <c r="C73" s="595"/>
      <c r="G73" s="80"/>
      <c r="L73" s="139"/>
      <c r="M73" s="139"/>
      <c r="N73" s="159"/>
      <c r="R73" s="706"/>
    </row>
    <row r="74" spans="2:18" ht="15" customHeight="1">
      <c r="B74" s="595"/>
      <c r="C74" s="595"/>
      <c r="G74" s="80"/>
      <c r="L74" s="139"/>
      <c r="M74" s="139"/>
      <c r="N74" s="159"/>
      <c r="R74" s="706"/>
    </row>
    <row r="75" spans="2:18" ht="15" customHeight="1">
      <c r="B75" s="595"/>
      <c r="C75" s="595"/>
      <c r="G75" s="80"/>
      <c r="L75" s="139"/>
      <c r="M75" s="139"/>
      <c r="N75" s="159"/>
      <c r="R75" s="706"/>
    </row>
    <row r="76" spans="2:18" ht="15" customHeight="1">
      <c r="B76" s="595"/>
      <c r="C76" s="595"/>
      <c r="G76" s="80"/>
      <c r="L76" s="139"/>
      <c r="M76" s="139"/>
      <c r="N76" s="159"/>
      <c r="R76" s="706"/>
    </row>
    <row r="77" spans="2:18" ht="15" customHeight="1">
      <c r="B77" s="595"/>
      <c r="C77" s="595"/>
      <c r="G77" s="80"/>
      <c r="L77" s="139"/>
      <c r="M77" s="139"/>
      <c r="N77" s="159"/>
      <c r="R77" s="706"/>
    </row>
    <row r="78" spans="2:18" ht="15" customHeight="1">
      <c r="B78" s="595"/>
      <c r="C78" s="595"/>
      <c r="G78" s="80"/>
      <c r="L78" s="139"/>
      <c r="M78" s="139"/>
      <c r="N78" s="159"/>
      <c r="R78" s="706"/>
    </row>
    <row r="79" spans="2:18" ht="15" customHeight="1">
      <c r="B79" s="595"/>
      <c r="C79" s="595"/>
      <c r="G79" s="80"/>
      <c r="L79" s="139"/>
      <c r="M79" s="139"/>
      <c r="N79" s="159"/>
      <c r="R79" s="706"/>
    </row>
    <row r="80" spans="2:18" ht="15" customHeight="1">
      <c r="B80" s="595"/>
      <c r="C80" s="595"/>
      <c r="G80" s="80"/>
      <c r="L80" s="139"/>
      <c r="M80" s="139"/>
      <c r="N80" s="159"/>
      <c r="R80" s="706"/>
    </row>
    <row r="81" spans="2:18" ht="15" customHeight="1">
      <c r="B81" s="595"/>
      <c r="C81" s="595"/>
      <c r="G81" s="80"/>
      <c r="L81" s="139"/>
      <c r="M81" s="139"/>
      <c r="N81" s="159"/>
      <c r="R81" s="706"/>
    </row>
    <row r="82" spans="2:18" ht="15" customHeight="1">
      <c r="B82" s="595"/>
      <c r="C82" s="595"/>
      <c r="G82" s="80"/>
      <c r="L82" s="139"/>
      <c r="M82" s="139"/>
      <c r="N82" s="159"/>
      <c r="R82" s="706"/>
    </row>
    <row r="83" spans="2:18" ht="15" customHeight="1">
      <c r="B83" s="595"/>
      <c r="C83" s="595"/>
      <c r="G83" s="80"/>
      <c r="L83" s="139"/>
      <c r="M83" s="139"/>
      <c r="N83" s="159"/>
      <c r="R83" s="706"/>
    </row>
    <row r="84" spans="2:18" ht="15" customHeight="1">
      <c r="B84" s="595"/>
      <c r="C84" s="595"/>
      <c r="G84" s="80"/>
      <c r="L84" s="139"/>
      <c r="M84" s="139"/>
      <c r="N84" s="159"/>
      <c r="R84" s="706"/>
    </row>
    <row r="85" spans="2:18" ht="15" customHeight="1">
      <c r="B85" s="595"/>
      <c r="C85" s="595"/>
      <c r="G85" s="80"/>
      <c r="L85" s="139"/>
      <c r="M85" s="139"/>
      <c r="N85" s="159"/>
      <c r="R85" s="706"/>
    </row>
    <row r="86" spans="2:18" ht="15" customHeight="1">
      <c r="B86" s="595"/>
      <c r="C86" s="595"/>
      <c r="G86" s="80"/>
      <c r="L86" s="139"/>
      <c r="M86" s="139"/>
      <c r="N86" s="159"/>
      <c r="R86" s="706"/>
    </row>
    <row r="87" spans="2:18" ht="15" customHeight="1">
      <c r="B87" s="595"/>
      <c r="C87" s="595"/>
      <c r="G87" s="80"/>
      <c r="L87" s="139"/>
      <c r="M87" s="139"/>
      <c r="N87" s="159"/>
      <c r="R87" s="706"/>
    </row>
    <row r="88" spans="2:18" ht="15" customHeight="1">
      <c r="B88" s="595"/>
      <c r="C88" s="595"/>
      <c r="G88" s="80"/>
      <c r="L88" s="139"/>
      <c r="M88" s="139"/>
      <c r="N88" s="159"/>
      <c r="R88" s="706"/>
    </row>
    <row r="89" spans="2:18" ht="15" customHeight="1">
      <c r="B89" s="595"/>
      <c r="C89" s="595"/>
      <c r="G89" s="80"/>
      <c r="L89" s="139"/>
      <c r="M89" s="139"/>
      <c r="N89" s="159"/>
      <c r="R89" s="706"/>
    </row>
    <row r="90" spans="2:18" ht="15" customHeight="1">
      <c r="B90" s="595"/>
      <c r="C90" s="595"/>
      <c r="G90" s="80"/>
      <c r="L90" s="139"/>
      <c r="M90" s="139"/>
      <c r="N90" s="159"/>
      <c r="R90" s="706"/>
    </row>
    <row r="91" spans="2:18" ht="15" customHeight="1">
      <c r="B91" s="595"/>
      <c r="C91" s="595"/>
      <c r="G91" s="80"/>
      <c r="L91" s="139"/>
      <c r="M91" s="139"/>
      <c r="N91" s="159"/>
      <c r="R91" s="706"/>
    </row>
    <row r="92" spans="2:18" ht="15" customHeight="1">
      <c r="B92" s="595"/>
      <c r="C92" s="595"/>
      <c r="G92" s="80"/>
      <c r="L92" s="139"/>
      <c r="M92" s="139"/>
      <c r="N92" s="159"/>
      <c r="R92" s="706"/>
    </row>
    <row r="93" spans="2:18" ht="15" customHeight="1">
      <c r="B93" s="595"/>
      <c r="C93" s="595"/>
      <c r="G93" s="80"/>
      <c r="L93" s="139"/>
      <c r="M93" s="139"/>
      <c r="N93" s="159"/>
      <c r="R93" s="706"/>
    </row>
    <row r="94" spans="2:18" ht="15" customHeight="1">
      <c r="B94" s="595"/>
      <c r="C94" s="595"/>
      <c r="G94" s="80"/>
      <c r="L94" s="139"/>
      <c r="M94" s="139"/>
      <c r="N94" s="159"/>
      <c r="R94" s="706"/>
    </row>
    <row r="95" spans="2:18" ht="15" customHeight="1">
      <c r="B95" s="595"/>
      <c r="C95" s="595"/>
      <c r="G95" s="80"/>
      <c r="L95" s="139"/>
      <c r="M95" s="139"/>
      <c r="N95" s="159"/>
      <c r="R95" s="706"/>
    </row>
    <row r="96" spans="2:18" ht="15" customHeight="1">
      <c r="B96" s="595"/>
      <c r="C96" s="595"/>
      <c r="G96" s="80"/>
      <c r="L96" s="139"/>
      <c r="M96" s="139"/>
      <c r="N96" s="159"/>
      <c r="R96" s="706"/>
    </row>
    <row r="97" spans="2:18" ht="15" customHeight="1">
      <c r="B97" s="595"/>
      <c r="C97" s="595"/>
      <c r="G97" s="80"/>
      <c r="L97" s="139"/>
      <c r="M97" s="139"/>
      <c r="N97" s="159"/>
      <c r="R97" s="706"/>
    </row>
    <row r="98" spans="2:18" ht="15" customHeight="1">
      <c r="B98" s="595"/>
      <c r="C98" s="595"/>
      <c r="G98" s="80"/>
      <c r="L98" s="139"/>
      <c r="M98" s="139"/>
      <c r="N98" s="159"/>
      <c r="R98" s="706"/>
    </row>
    <row r="99" spans="2:18" ht="15" customHeight="1">
      <c r="B99" s="595"/>
      <c r="C99" s="595"/>
      <c r="G99" s="80"/>
      <c r="L99" s="139"/>
      <c r="M99" s="139"/>
      <c r="N99" s="159"/>
      <c r="R99" s="706"/>
    </row>
    <row r="100" spans="2:18" ht="15" customHeight="1">
      <c r="B100" s="595"/>
      <c r="C100" s="595"/>
      <c r="G100" s="80"/>
      <c r="L100" s="139"/>
      <c r="M100" s="139"/>
      <c r="N100" s="159"/>
      <c r="R100" s="706"/>
    </row>
    <row r="101" spans="2:18" ht="15" customHeight="1">
      <c r="B101" s="595"/>
      <c r="C101" s="595"/>
      <c r="G101" s="80"/>
      <c r="L101" s="139"/>
      <c r="M101" s="139"/>
      <c r="N101" s="159"/>
      <c r="R101" s="706"/>
    </row>
    <row r="102" spans="2:18" ht="15" customHeight="1">
      <c r="B102" s="595"/>
      <c r="C102" s="595"/>
      <c r="G102" s="80"/>
      <c r="L102" s="139"/>
      <c r="M102" s="139"/>
      <c r="N102" s="159"/>
      <c r="R102" s="706"/>
    </row>
    <row r="103" spans="2:18" ht="15" customHeight="1">
      <c r="B103" s="595"/>
      <c r="C103" s="595"/>
      <c r="G103" s="80"/>
      <c r="L103" s="139"/>
      <c r="M103" s="139"/>
      <c r="N103" s="159"/>
      <c r="R103" s="706"/>
    </row>
    <row r="104" spans="2:18" ht="15" customHeight="1">
      <c r="B104" s="595"/>
      <c r="C104" s="595"/>
      <c r="G104" s="80"/>
      <c r="L104" s="139"/>
      <c r="M104" s="139"/>
      <c r="N104" s="159"/>
      <c r="R104" s="706"/>
    </row>
    <row r="105" spans="2:18" ht="15" customHeight="1">
      <c r="B105" s="595"/>
      <c r="C105" s="595"/>
      <c r="G105" s="80"/>
      <c r="L105" s="139"/>
      <c r="M105" s="139"/>
      <c r="N105" s="159"/>
      <c r="R105" s="706"/>
    </row>
    <row r="106" spans="2:18" ht="15" customHeight="1">
      <c r="B106" s="595"/>
      <c r="C106" s="595"/>
      <c r="G106" s="80"/>
      <c r="L106" s="139"/>
      <c r="M106" s="139"/>
      <c r="N106" s="159"/>
      <c r="R106" s="706"/>
    </row>
    <row r="107" spans="2:18" ht="15" customHeight="1">
      <c r="B107" s="595"/>
      <c r="C107" s="595"/>
      <c r="G107" s="80"/>
      <c r="L107" s="139"/>
      <c r="M107" s="139"/>
      <c r="N107" s="159"/>
      <c r="R107" s="706"/>
    </row>
    <row r="108" spans="2:18" ht="15" customHeight="1">
      <c r="B108" s="595"/>
      <c r="C108" s="595"/>
      <c r="G108" s="80"/>
      <c r="L108" s="139"/>
      <c r="M108" s="139"/>
      <c r="N108" s="159"/>
      <c r="R108" s="706"/>
    </row>
    <row r="109" spans="2:18" ht="15" customHeight="1">
      <c r="B109" s="595"/>
      <c r="C109" s="595"/>
      <c r="G109" s="80"/>
      <c r="L109" s="139"/>
      <c r="M109" s="139"/>
      <c r="N109" s="159"/>
      <c r="R109" s="706"/>
    </row>
    <row r="110" spans="2:18" ht="15" customHeight="1">
      <c r="B110" s="595"/>
      <c r="C110" s="595"/>
      <c r="G110" s="80"/>
      <c r="L110" s="139"/>
      <c r="M110" s="139"/>
      <c r="N110" s="159"/>
      <c r="R110" s="706"/>
    </row>
    <row r="111" spans="2:18" ht="15" customHeight="1">
      <c r="B111" s="595"/>
      <c r="C111" s="595"/>
      <c r="G111" s="80"/>
      <c r="L111" s="139"/>
      <c r="M111" s="139"/>
      <c r="N111" s="159"/>
      <c r="R111" s="706"/>
    </row>
    <row r="112" spans="2:18" ht="15" customHeight="1">
      <c r="B112" s="595"/>
      <c r="C112" s="595"/>
      <c r="G112" s="80"/>
      <c r="L112" s="139"/>
      <c r="M112" s="139"/>
      <c r="N112" s="159"/>
      <c r="R112" s="706"/>
    </row>
    <row r="113" spans="2:18" ht="15" customHeight="1">
      <c r="B113" s="595"/>
      <c r="C113" s="595"/>
      <c r="G113" s="80"/>
      <c r="L113" s="139"/>
      <c r="M113" s="139"/>
      <c r="N113" s="159"/>
      <c r="R113" s="706"/>
    </row>
    <row r="114" spans="2:18" ht="15" customHeight="1">
      <c r="B114" s="595"/>
      <c r="C114" s="595"/>
      <c r="G114" s="80"/>
      <c r="L114" s="139"/>
      <c r="M114" s="139"/>
      <c r="N114" s="159"/>
      <c r="R114" s="706"/>
    </row>
    <row r="115" spans="2:18" ht="15" customHeight="1">
      <c r="B115" s="595"/>
      <c r="C115" s="595"/>
      <c r="G115" s="80"/>
      <c r="L115" s="139"/>
      <c r="M115" s="139"/>
      <c r="N115" s="159"/>
      <c r="R115" s="706"/>
    </row>
    <row r="116" spans="2:18" ht="15" customHeight="1">
      <c r="B116" s="595"/>
      <c r="C116" s="595"/>
      <c r="G116" s="80"/>
      <c r="L116" s="139"/>
      <c r="M116" s="139"/>
      <c r="N116" s="159"/>
      <c r="R116" s="706"/>
    </row>
    <row r="117" spans="2:18" ht="15" customHeight="1">
      <c r="B117" s="595"/>
      <c r="C117" s="595"/>
      <c r="G117" s="80"/>
      <c r="L117" s="139"/>
      <c r="M117" s="139"/>
      <c r="N117" s="159"/>
      <c r="R117" s="706"/>
    </row>
    <row r="118" spans="2:18" ht="15" customHeight="1">
      <c r="B118" s="595"/>
      <c r="C118" s="595"/>
      <c r="G118" s="80"/>
      <c r="L118" s="139"/>
      <c r="M118" s="139"/>
      <c r="N118" s="159"/>
      <c r="R118" s="706"/>
    </row>
    <row r="119" spans="2:18" ht="15" customHeight="1">
      <c r="B119" s="595"/>
      <c r="C119" s="595"/>
      <c r="G119" s="80"/>
      <c r="L119" s="139"/>
      <c r="M119" s="139"/>
      <c r="N119" s="159"/>
      <c r="R119" s="706"/>
    </row>
    <row r="120" spans="2:18" ht="15" customHeight="1">
      <c r="B120" s="595"/>
      <c r="C120" s="595"/>
      <c r="G120" s="80"/>
      <c r="L120" s="139"/>
      <c r="M120" s="139"/>
      <c r="N120" s="159"/>
      <c r="R120" s="706"/>
    </row>
    <row r="121" spans="2:18" ht="15" customHeight="1">
      <c r="B121" s="595"/>
      <c r="C121" s="595"/>
      <c r="G121" s="80"/>
      <c r="L121" s="139"/>
      <c r="M121" s="139"/>
      <c r="N121" s="159"/>
      <c r="R121" s="706"/>
    </row>
    <row r="122" spans="2:18" ht="15" customHeight="1">
      <c r="B122" s="595"/>
      <c r="C122" s="595"/>
      <c r="G122" s="80"/>
      <c r="L122" s="139"/>
      <c r="M122" s="139"/>
      <c r="N122" s="159"/>
      <c r="R122" s="706"/>
    </row>
    <row r="123" spans="2:18" ht="15" customHeight="1">
      <c r="B123" s="595"/>
      <c r="C123" s="595"/>
      <c r="G123" s="80"/>
      <c r="L123" s="139"/>
      <c r="M123" s="139"/>
      <c r="N123" s="159"/>
      <c r="R123" s="706"/>
    </row>
    <row r="124" spans="2:18" ht="15" customHeight="1">
      <c r="B124" s="595"/>
      <c r="C124" s="595"/>
      <c r="G124" s="80"/>
      <c r="L124" s="139"/>
      <c r="M124" s="139"/>
      <c r="N124" s="159"/>
      <c r="R124" s="706"/>
    </row>
    <row r="125" spans="2:18" ht="15" customHeight="1">
      <c r="B125" s="595"/>
      <c r="C125" s="595"/>
      <c r="G125" s="80"/>
      <c r="L125" s="139"/>
      <c r="M125" s="139"/>
      <c r="N125" s="159"/>
      <c r="R125" s="706"/>
    </row>
    <row r="126" spans="2:18" ht="15" customHeight="1">
      <c r="B126" s="595"/>
      <c r="C126" s="595"/>
      <c r="G126" s="80"/>
      <c r="L126" s="139"/>
      <c r="M126" s="139"/>
      <c r="N126" s="159"/>
      <c r="R126" s="706"/>
    </row>
    <row r="127" spans="2:18" ht="15" customHeight="1">
      <c r="B127" s="595"/>
      <c r="C127" s="595"/>
      <c r="G127" s="80"/>
      <c r="L127" s="139"/>
      <c r="M127" s="139"/>
      <c r="N127" s="159"/>
      <c r="R127" s="706"/>
    </row>
    <row r="128" spans="2:18" ht="15" customHeight="1">
      <c r="B128" s="595"/>
      <c r="C128" s="595"/>
      <c r="G128" s="80"/>
      <c r="L128" s="139"/>
      <c r="M128" s="139"/>
      <c r="N128" s="159"/>
      <c r="R128" s="706"/>
    </row>
    <row r="129" spans="2:18" ht="15" customHeight="1">
      <c r="B129" s="595"/>
      <c r="C129" s="595"/>
      <c r="G129" s="80"/>
      <c r="L129" s="139"/>
      <c r="M129" s="139"/>
      <c r="N129" s="159"/>
      <c r="R129" s="706"/>
    </row>
    <row r="130" spans="2:18" ht="15" customHeight="1">
      <c r="B130" s="595"/>
      <c r="C130" s="595"/>
      <c r="G130" s="80"/>
      <c r="L130" s="139"/>
      <c r="M130" s="139"/>
      <c r="N130" s="159"/>
      <c r="R130" s="706"/>
    </row>
    <row r="131" spans="2:18" ht="15" customHeight="1">
      <c r="B131" s="595"/>
      <c r="C131" s="595"/>
      <c r="G131" s="80"/>
      <c r="L131" s="139"/>
      <c r="M131" s="139"/>
      <c r="N131" s="159"/>
      <c r="R131" s="706"/>
    </row>
    <row r="132" spans="2:18" ht="15" customHeight="1">
      <c r="B132" s="595"/>
      <c r="C132" s="595"/>
      <c r="G132" s="80"/>
      <c r="L132" s="139"/>
      <c r="M132" s="139"/>
      <c r="N132" s="159"/>
      <c r="R132" s="706"/>
    </row>
    <row r="133" spans="2:18" ht="15" customHeight="1">
      <c r="B133" s="595"/>
      <c r="C133" s="595"/>
      <c r="G133" s="80"/>
      <c r="L133" s="139"/>
      <c r="M133" s="139"/>
      <c r="N133" s="159"/>
      <c r="R133" s="706"/>
    </row>
    <row r="134" spans="2:18" ht="15" customHeight="1">
      <c r="B134" s="595"/>
      <c r="C134" s="595"/>
      <c r="G134" s="80"/>
      <c r="L134" s="139"/>
      <c r="M134" s="139"/>
      <c r="N134" s="159"/>
      <c r="R134" s="706"/>
    </row>
    <row r="135" spans="2:18" ht="15" customHeight="1">
      <c r="B135" s="595"/>
      <c r="C135" s="595"/>
      <c r="G135" s="80"/>
      <c r="L135" s="139"/>
      <c r="M135" s="139"/>
      <c r="N135" s="159"/>
      <c r="R135" s="706"/>
    </row>
    <row r="136" spans="2:18" ht="15" customHeight="1">
      <c r="B136" s="595"/>
      <c r="C136" s="595"/>
      <c r="G136" s="80"/>
      <c r="L136" s="139"/>
      <c r="M136" s="139"/>
      <c r="N136" s="159"/>
      <c r="R136" s="706"/>
    </row>
    <row r="137" spans="2:18" ht="15" customHeight="1">
      <c r="B137" s="595"/>
      <c r="C137" s="595"/>
      <c r="G137" s="80"/>
      <c r="L137" s="139"/>
      <c r="M137" s="139"/>
      <c r="N137" s="159"/>
      <c r="R137" s="706"/>
    </row>
    <row r="138" spans="2:18" ht="15" customHeight="1">
      <c r="B138" s="595"/>
      <c r="C138" s="595"/>
      <c r="G138" s="80"/>
      <c r="L138" s="139"/>
      <c r="M138" s="139"/>
      <c r="N138" s="159"/>
      <c r="R138" s="706"/>
    </row>
    <row r="139" spans="2:18" ht="15" customHeight="1">
      <c r="B139" s="595"/>
      <c r="C139" s="595"/>
      <c r="G139" s="80"/>
      <c r="L139" s="139"/>
      <c r="M139" s="139"/>
      <c r="N139" s="159"/>
      <c r="R139" s="706"/>
    </row>
    <row r="140" spans="2:18" ht="15" customHeight="1">
      <c r="B140" s="595"/>
      <c r="C140" s="595"/>
      <c r="G140" s="80"/>
      <c r="L140" s="139"/>
      <c r="M140" s="139"/>
      <c r="N140" s="159"/>
      <c r="R140" s="706"/>
    </row>
    <row r="141" spans="2:18" ht="15" customHeight="1">
      <c r="B141" s="595"/>
      <c r="C141" s="595"/>
      <c r="G141" s="80"/>
      <c r="L141" s="139"/>
      <c r="M141" s="139"/>
      <c r="N141" s="159"/>
      <c r="R141" s="706"/>
    </row>
    <row r="142" spans="2:18" ht="15" customHeight="1">
      <c r="B142" s="595"/>
      <c r="C142" s="595"/>
      <c r="G142" s="80"/>
      <c r="L142" s="139"/>
      <c r="M142" s="139"/>
      <c r="N142" s="159"/>
      <c r="R142" s="706"/>
    </row>
    <row r="143" spans="2:18" ht="15" customHeight="1">
      <c r="B143" s="595"/>
      <c r="C143" s="595"/>
      <c r="G143" s="80"/>
      <c r="L143" s="139"/>
      <c r="M143" s="139"/>
      <c r="N143" s="159"/>
      <c r="R143" s="706"/>
    </row>
    <row r="144" spans="2:18" ht="15" customHeight="1">
      <c r="B144" s="595"/>
      <c r="C144" s="595"/>
      <c r="G144" s="80"/>
      <c r="L144" s="139"/>
      <c r="M144" s="139"/>
      <c r="N144" s="159"/>
      <c r="R144" s="706"/>
    </row>
    <row r="145" spans="2:18" ht="15" customHeight="1">
      <c r="B145" s="595"/>
      <c r="C145" s="595"/>
      <c r="G145" s="80"/>
      <c r="L145" s="139"/>
      <c r="M145" s="139"/>
      <c r="N145" s="159"/>
      <c r="R145" s="706"/>
    </row>
    <row r="146" spans="2:18" ht="15" customHeight="1">
      <c r="B146" s="595"/>
      <c r="C146" s="595"/>
      <c r="G146" s="80"/>
      <c r="L146" s="139"/>
      <c r="M146" s="139"/>
      <c r="N146" s="159"/>
      <c r="R146" s="706"/>
    </row>
    <row r="147" spans="2:18" ht="15" customHeight="1">
      <c r="B147" s="595"/>
      <c r="C147" s="595"/>
      <c r="G147" s="80"/>
      <c r="L147" s="139"/>
      <c r="M147" s="139"/>
      <c r="N147" s="159"/>
      <c r="R147" s="706"/>
    </row>
    <row r="148" spans="2:18" ht="15" customHeight="1">
      <c r="B148" s="595"/>
      <c r="C148" s="595"/>
      <c r="G148" s="80"/>
      <c r="L148" s="139"/>
      <c r="M148" s="139"/>
      <c r="N148" s="159"/>
      <c r="R148" s="706"/>
    </row>
    <row r="149" spans="2:18" ht="15" customHeight="1">
      <c r="B149" s="595"/>
      <c r="C149" s="595"/>
      <c r="G149" s="80"/>
      <c r="L149" s="139"/>
      <c r="M149" s="139"/>
      <c r="N149" s="159"/>
      <c r="R149" s="706"/>
    </row>
    <row r="150" spans="2:18" ht="15" customHeight="1">
      <c r="B150" s="595"/>
      <c r="C150" s="595"/>
      <c r="G150" s="80"/>
      <c r="L150" s="139"/>
      <c r="M150" s="139"/>
      <c r="N150" s="159"/>
      <c r="R150" s="706"/>
    </row>
    <row r="151" spans="2:18" ht="15" customHeight="1">
      <c r="B151" s="595"/>
      <c r="C151" s="595"/>
      <c r="G151" s="80"/>
      <c r="L151" s="139"/>
      <c r="M151" s="139"/>
      <c r="N151" s="159"/>
      <c r="R151" s="706"/>
    </row>
    <row r="152" spans="2:18" ht="15" customHeight="1">
      <c r="B152" s="595"/>
      <c r="C152" s="595"/>
      <c r="G152" s="80"/>
      <c r="L152" s="139"/>
      <c r="M152" s="139"/>
      <c r="N152" s="159"/>
      <c r="R152" s="706"/>
    </row>
    <row r="153" spans="2:18" ht="15" customHeight="1">
      <c r="B153" s="595"/>
      <c r="C153" s="595"/>
      <c r="G153" s="80"/>
      <c r="L153" s="139"/>
      <c r="M153" s="139"/>
      <c r="N153" s="159"/>
      <c r="R153" s="706"/>
    </row>
    <row r="154" spans="2:18" ht="15" customHeight="1">
      <c r="B154" s="595"/>
      <c r="C154" s="595"/>
      <c r="G154" s="80"/>
      <c r="L154" s="139"/>
      <c r="M154" s="139"/>
      <c r="N154" s="159"/>
      <c r="R154" s="706"/>
    </row>
    <row r="155" spans="2:18" ht="15" customHeight="1">
      <c r="B155" s="595"/>
      <c r="C155" s="595"/>
      <c r="G155" s="80"/>
      <c r="L155" s="139"/>
      <c r="M155" s="139"/>
      <c r="N155" s="159"/>
      <c r="R155" s="706"/>
    </row>
    <row r="156" spans="2:18" ht="15" customHeight="1">
      <c r="B156" s="595"/>
      <c r="C156" s="595"/>
      <c r="G156" s="80"/>
      <c r="L156" s="139"/>
      <c r="M156" s="139"/>
      <c r="N156" s="159"/>
      <c r="R156" s="706"/>
    </row>
    <row r="157" spans="2:18" ht="15" customHeight="1">
      <c r="B157" s="595"/>
      <c r="C157" s="595"/>
      <c r="G157" s="80"/>
      <c r="L157" s="139"/>
      <c r="M157" s="139"/>
      <c r="N157" s="159"/>
      <c r="R157" s="706"/>
    </row>
    <row r="158" spans="2:18" ht="15" customHeight="1">
      <c r="B158" s="595"/>
      <c r="C158" s="595"/>
      <c r="G158" s="80"/>
      <c r="L158" s="139"/>
      <c r="M158" s="139"/>
      <c r="N158" s="159"/>
      <c r="R158" s="706"/>
    </row>
    <row r="159" spans="2:18" ht="15" customHeight="1">
      <c r="B159" s="595"/>
      <c r="C159" s="595"/>
      <c r="G159" s="80"/>
      <c r="L159" s="139"/>
      <c r="M159" s="139"/>
      <c r="N159" s="159"/>
      <c r="R159" s="706"/>
    </row>
    <row r="160" spans="2:18" ht="15" customHeight="1">
      <c r="B160" s="595"/>
      <c r="C160" s="595"/>
      <c r="G160" s="80"/>
      <c r="L160" s="139"/>
      <c r="M160" s="139"/>
      <c r="N160" s="159"/>
      <c r="R160" s="706"/>
    </row>
    <row r="161" spans="2:18" ht="15" customHeight="1">
      <c r="B161" s="595"/>
      <c r="C161" s="595"/>
      <c r="G161" s="80"/>
      <c r="L161" s="139"/>
      <c r="M161" s="139"/>
      <c r="N161" s="159"/>
      <c r="R161" s="706"/>
    </row>
    <row r="162" spans="2:18" ht="15" customHeight="1">
      <c r="B162" s="595"/>
      <c r="C162" s="595"/>
      <c r="G162" s="80"/>
      <c r="L162" s="139"/>
      <c r="M162" s="139"/>
      <c r="N162" s="159"/>
      <c r="R162" s="706"/>
    </row>
    <row r="163" spans="2:18" ht="15" customHeight="1">
      <c r="B163" s="595"/>
      <c r="C163" s="595"/>
      <c r="G163" s="80"/>
      <c r="L163" s="139"/>
      <c r="M163" s="139"/>
      <c r="N163" s="159"/>
      <c r="R163" s="706"/>
    </row>
    <row r="164" spans="2:18" ht="15" customHeight="1">
      <c r="B164" s="595"/>
      <c r="C164" s="595"/>
      <c r="G164" s="80"/>
      <c r="L164" s="139"/>
      <c r="M164" s="139"/>
      <c r="N164" s="159"/>
      <c r="R164" s="706"/>
    </row>
    <row r="165" spans="2:18" ht="15" customHeight="1">
      <c r="B165" s="595"/>
      <c r="C165" s="595"/>
      <c r="G165" s="80"/>
      <c r="L165" s="139"/>
      <c r="M165" s="139"/>
      <c r="N165" s="159"/>
      <c r="R165" s="706"/>
    </row>
    <row r="166" spans="2:18" ht="15" customHeight="1">
      <c r="B166" s="595"/>
      <c r="C166" s="595"/>
      <c r="G166" s="80"/>
      <c r="L166" s="139"/>
      <c r="M166" s="139"/>
      <c r="N166" s="159"/>
      <c r="R166" s="706"/>
    </row>
    <row r="167" spans="2:18" ht="15" customHeight="1">
      <c r="B167" s="595"/>
      <c r="C167" s="595"/>
      <c r="G167" s="80"/>
      <c r="L167" s="139"/>
      <c r="M167" s="139"/>
      <c r="N167" s="159"/>
      <c r="R167" s="706"/>
    </row>
    <row r="168" spans="2:18" ht="15" customHeight="1">
      <c r="B168" s="595"/>
      <c r="C168" s="595"/>
      <c r="G168" s="80"/>
      <c r="L168" s="139"/>
      <c r="M168" s="139"/>
      <c r="N168" s="159"/>
      <c r="R168" s="706"/>
    </row>
    <row r="169" spans="2:18" ht="15" customHeight="1">
      <c r="B169" s="595"/>
      <c r="C169" s="595"/>
      <c r="G169" s="80"/>
      <c r="L169" s="139"/>
      <c r="M169" s="139"/>
      <c r="N169" s="159"/>
      <c r="R169" s="706"/>
    </row>
    <row r="170" spans="2:18" ht="15" customHeight="1">
      <c r="B170" s="595"/>
      <c r="C170" s="595"/>
      <c r="G170" s="80"/>
      <c r="L170" s="139"/>
      <c r="M170" s="139"/>
      <c r="N170" s="159"/>
      <c r="R170" s="706"/>
    </row>
    <row r="171" spans="2:18" ht="15" customHeight="1">
      <c r="B171" s="595"/>
      <c r="C171" s="595"/>
      <c r="G171" s="80"/>
      <c r="L171" s="139"/>
      <c r="M171" s="139"/>
      <c r="N171" s="159"/>
      <c r="R171" s="706"/>
    </row>
    <row r="172" spans="2:18" ht="15" customHeight="1">
      <c r="B172" s="595"/>
      <c r="C172" s="595"/>
      <c r="G172" s="80"/>
      <c r="L172" s="139"/>
      <c r="M172" s="139"/>
      <c r="N172" s="159"/>
      <c r="R172" s="706"/>
    </row>
    <row r="173" spans="2:18" ht="15" customHeight="1">
      <c r="B173" s="595"/>
      <c r="C173" s="595"/>
      <c r="G173" s="80"/>
      <c r="L173" s="139"/>
      <c r="M173" s="139"/>
      <c r="N173" s="159"/>
      <c r="R173" s="706"/>
    </row>
    <row r="174" spans="2:18" ht="15" customHeight="1">
      <c r="B174" s="595"/>
      <c r="C174" s="595"/>
      <c r="G174" s="80"/>
      <c r="L174" s="139"/>
      <c r="M174" s="139"/>
      <c r="N174" s="159"/>
      <c r="R174" s="706"/>
    </row>
    <row r="175" spans="2:18" ht="15" customHeight="1">
      <c r="B175" s="595"/>
      <c r="C175" s="595"/>
      <c r="G175" s="80"/>
      <c r="L175" s="139"/>
      <c r="M175" s="139"/>
      <c r="N175" s="159"/>
      <c r="R175" s="706"/>
    </row>
    <row r="176" spans="2:18" ht="15" customHeight="1">
      <c r="B176" s="595"/>
      <c r="C176" s="595"/>
      <c r="G176" s="80"/>
      <c r="L176" s="139"/>
      <c r="M176" s="139"/>
      <c r="N176" s="159"/>
      <c r="R176" s="706"/>
    </row>
    <row r="177" spans="2:18" ht="15" customHeight="1">
      <c r="B177" s="595"/>
      <c r="C177" s="595"/>
      <c r="G177" s="80"/>
      <c r="L177" s="139"/>
      <c r="M177" s="139"/>
      <c r="N177" s="159"/>
      <c r="R177" s="706"/>
    </row>
    <row r="178" spans="2:18" ht="15" customHeight="1">
      <c r="B178" s="595"/>
      <c r="C178" s="595"/>
      <c r="G178" s="80"/>
      <c r="L178" s="139"/>
      <c r="M178" s="139"/>
      <c r="N178" s="159"/>
      <c r="R178" s="706"/>
    </row>
    <row r="179" spans="2:18" ht="15" customHeight="1">
      <c r="B179" s="595"/>
      <c r="C179" s="595"/>
      <c r="G179" s="80"/>
      <c r="L179" s="139"/>
      <c r="M179" s="139"/>
      <c r="N179" s="159"/>
      <c r="R179" s="706"/>
    </row>
    <row r="180" spans="2:18" ht="15" customHeight="1">
      <c r="B180" s="595"/>
      <c r="C180" s="595"/>
      <c r="G180" s="80"/>
      <c r="L180" s="139"/>
      <c r="M180" s="139"/>
      <c r="N180" s="159"/>
      <c r="R180" s="706"/>
    </row>
    <row r="181" spans="2:18" ht="15" customHeight="1">
      <c r="B181" s="595"/>
      <c r="C181" s="595"/>
      <c r="G181" s="80"/>
      <c r="L181" s="139"/>
      <c r="M181" s="139"/>
      <c r="N181" s="159"/>
      <c r="R181" s="706"/>
    </row>
    <row r="182" spans="2:18" ht="15" customHeight="1">
      <c r="B182" s="595"/>
      <c r="C182" s="595"/>
      <c r="G182" s="80"/>
      <c r="L182" s="139"/>
      <c r="M182" s="139"/>
      <c r="N182" s="159"/>
      <c r="R182" s="706"/>
    </row>
    <row r="183" spans="2:18" ht="15" customHeight="1">
      <c r="B183" s="595"/>
      <c r="C183" s="595"/>
      <c r="G183" s="80"/>
      <c r="L183" s="139"/>
      <c r="M183" s="139"/>
      <c r="N183" s="159"/>
      <c r="R183" s="706"/>
    </row>
    <row r="184" spans="2:18" ht="15" customHeight="1">
      <c r="B184" s="595"/>
      <c r="C184" s="595"/>
      <c r="G184" s="80"/>
      <c r="L184" s="139"/>
      <c r="M184" s="139"/>
      <c r="N184" s="159"/>
      <c r="R184" s="706"/>
    </row>
    <row r="185" spans="2:18" ht="15" customHeight="1">
      <c r="B185" s="595"/>
      <c r="C185" s="595"/>
      <c r="G185" s="80"/>
      <c r="L185" s="139"/>
      <c r="M185" s="139"/>
      <c r="N185" s="159"/>
      <c r="R185" s="706"/>
    </row>
    <row r="186" spans="2:18" ht="15" customHeight="1">
      <c r="B186" s="595"/>
      <c r="C186" s="595"/>
      <c r="G186" s="80"/>
      <c r="L186" s="139"/>
      <c r="M186" s="139"/>
      <c r="N186" s="159"/>
      <c r="R186" s="706"/>
    </row>
    <row r="187" spans="2:18" ht="15" customHeight="1">
      <c r="B187" s="595"/>
      <c r="C187" s="595"/>
      <c r="G187" s="80"/>
      <c r="L187" s="139"/>
      <c r="M187" s="139"/>
      <c r="N187" s="159"/>
      <c r="R187" s="706"/>
    </row>
    <row r="188" spans="2:18" ht="15" customHeight="1">
      <c r="B188" s="595"/>
      <c r="C188" s="595"/>
      <c r="G188" s="80"/>
      <c r="L188" s="139"/>
      <c r="M188" s="139"/>
      <c r="N188" s="159"/>
      <c r="R188" s="706"/>
    </row>
    <row r="189" spans="2:18" ht="15" customHeight="1">
      <c r="B189" s="595"/>
      <c r="C189" s="595"/>
      <c r="G189" s="80"/>
      <c r="L189" s="139"/>
      <c r="M189" s="139"/>
      <c r="N189" s="159"/>
      <c r="R189" s="706"/>
    </row>
    <row r="190" spans="2:18" ht="15" customHeight="1">
      <c r="B190" s="595"/>
      <c r="C190" s="595"/>
      <c r="G190" s="80"/>
      <c r="L190" s="139"/>
      <c r="M190" s="139"/>
      <c r="N190" s="159"/>
      <c r="R190" s="706"/>
    </row>
    <row r="191" spans="2:18" ht="15" customHeight="1">
      <c r="B191" s="595"/>
      <c r="C191" s="595"/>
      <c r="G191" s="80"/>
      <c r="L191" s="139"/>
      <c r="M191" s="139"/>
      <c r="N191" s="159"/>
      <c r="R191" s="706"/>
    </row>
    <row r="192" spans="2:18" ht="15" customHeight="1">
      <c r="B192" s="595"/>
      <c r="C192" s="595"/>
      <c r="G192" s="80"/>
      <c r="L192" s="139"/>
      <c r="M192" s="139"/>
      <c r="N192" s="159"/>
      <c r="R192" s="706"/>
    </row>
    <row r="193" spans="2:18" ht="15" customHeight="1">
      <c r="B193" s="595"/>
      <c r="C193" s="595"/>
      <c r="G193" s="80"/>
      <c r="L193" s="139"/>
      <c r="M193" s="139"/>
      <c r="N193" s="159"/>
      <c r="R193" s="706"/>
    </row>
    <row r="194" spans="2:18" ht="15" customHeight="1">
      <c r="B194" s="595"/>
      <c r="C194" s="595"/>
      <c r="G194" s="80"/>
      <c r="L194" s="139"/>
      <c r="M194" s="139"/>
      <c r="N194" s="159"/>
      <c r="R194" s="706"/>
    </row>
    <row r="195" spans="2:18" ht="15" customHeight="1">
      <c r="B195" s="595"/>
      <c r="C195" s="595"/>
      <c r="G195" s="80"/>
      <c r="L195" s="139"/>
      <c r="M195" s="139"/>
      <c r="N195" s="159"/>
      <c r="R195" s="706"/>
    </row>
    <row r="196" spans="2:18" ht="15" customHeight="1">
      <c r="B196" s="595"/>
      <c r="C196" s="595"/>
      <c r="G196" s="80"/>
      <c r="L196" s="139"/>
      <c r="M196" s="139"/>
      <c r="N196" s="159"/>
      <c r="R196" s="706"/>
    </row>
    <row r="197" spans="2:18" ht="15" customHeight="1">
      <c r="B197" s="595"/>
      <c r="C197" s="595"/>
      <c r="G197" s="80"/>
      <c r="L197" s="139"/>
      <c r="M197" s="139"/>
      <c r="N197" s="159"/>
      <c r="R197" s="706"/>
    </row>
    <row r="198" spans="2:18" ht="15" customHeight="1">
      <c r="B198" s="595"/>
      <c r="C198" s="595"/>
      <c r="G198" s="80"/>
      <c r="L198" s="139"/>
      <c r="M198" s="139"/>
      <c r="N198" s="159"/>
      <c r="R198" s="706"/>
    </row>
    <row r="199" spans="2:18" ht="15" customHeight="1">
      <c r="B199" s="595"/>
      <c r="C199" s="595"/>
      <c r="G199" s="80"/>
      <c r="L199" s="139"/>
      <c r="M199" s="139"/>
      <c r="N199" s="159"/>
      <c r="R199" s="706"/>
    </row>
    <row r="200" spans="2:18" ht="15" customHeight="1">
      <c r="B200" s="595"/>
      <c r="C200" s="595"/>
      <c r="G200" s="80"/>
      <c r="L200" s="139"/>
      <c r="M200" s="139"/>
      <c r="N200" s="159"/>
      <c r="R200" s="706"/>
    </row>
    <row r="201" spans="2:18" ht="15" customHeight="1">
      <c r="B201" s="595"/>
      <c r="C201" s="595"/>
      <c r="G201" s="80"/>
      <c r="L201" s="139"/>
      <c r="M201" s="139"/>
      <c r="N201" s="159"/>
      <c r="R201" s="706"/>
    </row>
    <row r="202" spans="2:18" ht="15" customHeight="1">
      <c r="B202" s="595"/>
      <c r="C202" s="595"/>
      <c r="G202" s="80"/>
      <c r="L202" s="139"/>
      <c r="M202" s="139"/>
      <c r="N202" s="159"/>
      <c r="R202" s="706"/>
    </row>
    <row r="203" spans="2:18" ht="15" customHeight="1">
      <c r="B203" s="595"/>
      <c r="C203" s="595"/>
      <c r="G203" s="80"/>
      <c r="L203" s="139"/>
      <c r="M203" s="139"/>
      <c r="N203" s="159"/>
      <c r="R203" s="706"/>
    </row>
    <row r="204" spans="2:18" ht="15" customHeight="1">
      <c r="B204" s="595"/>
      <c r="C204" s="595"/>
      <c r="G204" s="80"/>
      <c r="L204" s="139"/>
      <c r="M204" s="139"/>
      <c r="N204" s="159"/>
      <c r="R204" s="706"/>
    </row>
    <row r="205" spans="2:18" ht="15" customHeight="1">
      <c r="B205" s="595"/>
      <c r="C205" s="595"/>
      <c r="G205" s="80"/>
      <c r="L205" s="139"/>
      <c r="M205" s="139"/>
      <c r="N205" s="159"/>
      <c r="R205" s="706"/>
    </row>
    <row r="206" spans="2:18" ht="15" customHeight="1">
      <c r="B206" s="595"/>
      <c r="C206" s="595"/>
      <c r="G206" s="80"/>
      <c r="L206" s="139"/>
      <c r="M206" s="139"/>
      <c r="N206" s="159"/>
      <c r="R206" s="706"/>
    </row>
    <row r="207" spans="2:18" ht="15" customHeight="1">
      <c r="B207" s="595"/>
      <c r="C207" s="595"/>
      <c r="G207" s="80"/>
      <c r="L207" s="139"/>
      <c r="M207" s="139"/>
      <c r="N207" s="159"/>
      <c r="R207" s="706"/>
    </row>
    <row r="208" spans="2:18" ht="15" customHeight="1">
      <c r="B208" s="595"/>
      <c r="C208" s="595"/>
      <c r="G208" s="80"/>
      <c r="L208" s="139"/>
      <c r="M208" s="139"/>
      <c r="N208" s="159"/>
      <c r="R208" s="706"/>
    </row>
    <row r="209" spans="2:18" ht="15" customHeight="1">
      <c r="B209" s="595"/>
      <c r="C209" s="595"/>
      <c r="G209" s="80"/>
      <c r="L209" s="139"/>
      <c r="M209" s="139"/>
      <c r="N209" s="159"/>
      <c r="R209" s="706"/>
    </row>
    <row r="210" spans="2:18" ht="15" customHeight="1">
      <c r="B210" s="595"/>
      <c r="C210" s="595"/>
      <c r="G210" s="80"/>
      <c r="L210" s="139"/>
      <c r="M210" s="139"/>
      <c r="N210" s="159"/>
      <c r="R210" s="706"/>
    </row>
    <row r="211" spans="2:18" ht="15" customHeight="1">
      <c r="B211" s="595"/>
      <c r="C211" s="595"/>
      <c r="G211" s="80"/>
      <c r="L211" s="139"/>
      <c r="M211" s="139"/>
      <c r="N211" s="159"/>
      <c r="R211" s="706"/>
    </row>
    <row r="212" spans="2:18" ht="15" customHeight="1">
      <c r="B212" s="595"/>
      <c r="C212" s="595"/>
      <c r="G212" s="80"/>
      <c r="L212" s="139"/>
      <c r="M212" s="139"/>
      <c r="N212" s="159"/>
      <c r="R212" s="706"/>
    </row>
    <row r="213" spans="2:18" ht="15" customHeight="1">
      <c r="B213" s="595"/>
      <c r="C213" s="595"/>
      <c r="G213" s="80"/>
      <c r="L213" s="139"/>
      <c r="M213" s="139"/>
      <c r="N213" s="159"/>
      <c r="R213" s="706"/>
    </row>
    <row r="214" spans="2:18" ht="15" customHeight="1">
      <c r="B214" s="595"/>
      <c r="C214" s="595"/>
      <c r="G214" s="80"/>
      <c r="L214" s="139"/>
      <c r="M214" s="139"/>
      <c r="N214" s="159"/>
      <c r="R214" s="706"/>
    </row>
    <row r="215" spans="2:18" ht="15" customHeight="1">
      <c r="B215" s="595"/>
      <c r="C215" s="595"/>
      <c r="G215" s="80"/>
      <c r="L215" s="139"/>
      <c r="M215" s="139"/>
      <c r="N215" s="159"/>
      <c r="R215" s="706"/>
    </row>
    <row r="216" spans="2:18" ht="15" customHeight="1">
      <c r="B216" s="595"/>
      <c r="C216" s="595"/>
      <c r="G216" s="80"/>
      <c r="L216" s="139"/>
      <c r="M216" s="139"/>
      <c r="N216" s="159"/>
      <c r="R216" s="706"/>
    </row>
    <row r="217" spans="2:18" ht="15" customHeight="1">
      <c r="B217" s="595"/>
      <c r="C217" s="595"/>
      <c r="G217" s="80"/>
      <c r="L217" s="139"/>
      <c r="M217" s="139"/>
      <c r="N217" s="159"/>
      <c r="R217" s="706"/>
    </row>
    <row r="218" spans="2:18" ht="15" customHeight="1">
      <c r="B218" s="595"/>
      <c r="C218" s="595"/>
      <c r="G218" s="80"/>
      <c r="L218" s="139"/>
      <c r="M218" s="139"/>
      <c r="N218" s="159"/>
      <c r="R218" s="706"/>
    </row>
    <row r="219" spans="2:18" ht="15" customHeight="1">
      <c r="B219" s="595"/>
      <c r="C219" s="595"/>
      <c r="G219" s="80"/>
      <c r="L219" s="139"/>
      <c r="M219" s="139"/>
      <c r="N219" s="159"/>
      <c r="R219" s="706"/>
    </row>
    <row r="220" spans="2:18" ht="15" customHeight="1">
      <c r="B220" s="595"/>
      <c r="C220" s="595"/>
      <c r="G220" s="80"/>
      <c r="L220" s="139"/>
      <c r="M220" s="139"/>
      <c r="N220" s="159"/>
      <c r="R220" s="706"/>
    </row>
    <row r="221" spans="2:18" ht="15" customHeight="1">
      <c r="B221" s="595"/>
      <c r="C221" s="595"/>
      <c r="G221" s="80"/>
      <c r="L221" s="139"/>
      <c r="M221" s="139"/>
      <c r="N221" s="159"/>
      <c r="R221" s="706"/>
    </row>
    <row r="222" spans="2:18" ht="15" customHeight="1">
      <c r="B222" s="595"/>
      <c r="C222" s="595"/>
      <c r="G222" s="80"/>
      <c r="L222" s="139"/>
      <c r="M222" s="139"/>
      <c r="N222" s="159"/>
      <c r="R222" s="706"/>
    </row>
    <row r="223" spans="2:18" ht="15" customHeight="1">
      <c r="B223" s="595"/>
      <c r="C223" s="595"/>
      <c r="G223" s="80"/>
      <c r="L223" s="139"/>
      <c r="M223" s="139"/>
      <c r="N223" s="159"/>
      <c r="R223" s="706"/>
    </row>
    <row r="224" spans="2:18" ht="15" customHeight="1">
      <c r="B224" s="595"/>
      <c r="C224" s="595"/>
      <c r="G224" s="80"/>
      <c r="L224" s="139"/>
      <c r="M224" s="139"/>
      <c r="N224" s="159"/>
      <c r="R224" s="706"/>
    </row>
    <row r="225" spans="2:18" ht="15" customHeight="1">
      <c r="B225" s="595"/>
      <c r="C225" s="595"/>
      <c r="G225" s="80"/>
      <c r="L225" s="139"/>
      <c r="M225" s="139"/>
      <c r="N225" s="159"/>
      <c r="R225" s="706"/>
    </row>
    <row r="226" spans="2:18" ht="15" customHeight="1">
      <c r="B226" s="595"/>
      <c r="C226" s="595"/>
      <c r="G226" s="80"/>
      <c r="L226" s="139"/>
      <c r="M226" s="139"/>
      <c r="N226" s="159"/>
      <c r="R226" s="706"/>
    </row>
    <row r="227" spans="2:18" ht="15" customHeight="1">
      <c r="B227" s="595"/>
      <c r="C227" s="595"/>
      <c r="G227" s="80"/>
      <c r="L227" s="139"/>
      <c r="M227" s="139"/>
      <c r="N227" s="159"/>
      <c r="R227" s="706"/>
    </row>
    <row r="228" spans="2:18" ht="15" customHeight="1">
      <c r="B228" s="595"/>
      <c r="C228" s="595"/>
      <c r="G228" s="80"/>
      <c r="L228" s="139"/>
      <c r="M228" s="139"/>
      <c r="N228" s="159"/>
      <c r="R228" s="706"/>
    </row>
    <row r="229" spans="2:18" ht="15" customHeight="1">
      <c r="B229" s="595"/>
      <c r="C229" s="595"/>
      <c r="G229" s="80"/>
      <c r="L229" s="139"/>
      <c r="M229" s="139"/>
      <c r="N229" s="159"/>
      <c r="R229" s="706"/>
    </row>
    <row r="230" spans="2:18" ht="15" customHeight="1">
      <c r="B230" s="595"/>
      <c r="C230" s="595"/>
      <c r="G230" s="80"/>
      <c r="L230" s="139"/>
      <c r="M230" s="139"/>
      <c r="N230" s="159"/>
      <c r="R230" s="706"/>
    </row>
    <row r="231" spans="2:18" ht="15" customHeight="1">
      <c r="B231" s="595"/>
      <c r="C231" s="595"/>
      <c r="G231" s="80"/>
      <c r="L231" s="139"/>
      <c r="M231" s="139"/>
      <c r="N231" s="159"/>
      <c r="R231" s="706"/>
    </row>
    <row r="232" spans="2:18" ht="15" customHeight="1">
      <c r="B232" s="595"/>
      <c r="C232" s="595"/>
      <c r="G232" s="80"/>
      <c r="L232" s="139"/>
      <c r="M232" s="139"/>
      <c r="N232" s="159"/>
      <c r="R232" s="706"/>
    </row>
    <row r="233" spans="2:18" ht="15" customHeight="1">
      <c r="B233" s="595"/>
      <c r="C233" s="595"/>
      <c r="G233" s="80"/>
      <c r="L233" s="139"/>
      <c r="M233" s="139"/>
      <c r="N233" s="159"/>
      <c r="R233" s="706"/>
    </row>
    <row r="234" spans="2:18" ht="15" customHeight="1">
      <c r="B234" s="595"/>
      <c r="C234" s="595"/>
      <c r="G234" s="80"/>
      <c r="L234" s="139"/>
      <c r="M234" s="139"/>
      <c r="N234" s="159"/>
      <c r="R234" s="706"/>
    </row>
    <row r="235" spans="2:18" ht="15" customHeight="1">
      <c r="B235" s="595"/>
      <c r="C235" s="595"/>
      <c r="G235" s="80"/>
      <c r="L235" s="139"/>
      <c r="M235" s="139"/>
      <c r="N235" s="159"/>
      <c r="R235" s="706"/>
    </row>
    <row r="236" spans="2:18" ht="15" customHeight="1">
      <c r="B236" s="595"/>
      <c r="C236" s="595"/>
      <c r="G236" s="80"/>
      <c r="L236" s="139"/>
      <c r="M236" s="139"/>
      <c r="N236" s="159"/>
      <c r="R236" s="706"/>
    </row>
    <row r="237" spans="2:18" ht="15" customHeight="1">
      <c r="B237" s="595"/>
      <c r="C237" s="595"/>
      <c r="G237" s="80"/>
      <c r="L237" s="139"/>
      <c r="M237" s="139"/>
      <c r="N237" s="159"/>
      <c r="R237" s="706"/>
    </row>
    <row r="238" spans="2:18" ht="15" customHeight="1">
      <c r="B238" s="595"/>
      <c r="C238" s="595"/>
      <c r="G238" s="80"/>
      <c r="L238" s="139"/>
      <c r="M238" s="139"/>
      <c r="N238" s="159"/>
      <c r="R238" s="706"/>
    </row>
    <row r="239" spans="2:18" ht="15" customHeight="1">
      <c r="B239" s="595"/>
      <c r="C239" s="595"/>
      <c r="G239" s="80"/>
      <c r="L239" s="139"/>
      <c r="M239" s="139"/>
      <c r="N239" s="159"/>
      <c r="R239" s="706"/>
    </row>
    <row r="240" spans="2:18" ht="15" customHeight="1">
      <c r="B240" s="595"/>
      <c r="C240" s="595"/>
      <c r="G240" s="80"/>
      <c r="L240" s="139"/>
      <c r="M240" s="139"/>
      <c r="N240" s="159"/>
      <c r="R240" s="706"/>
    </row>
    <row r="241" spans="2:18" ht="15" customHeight="1">
      <c r="B241" s="595"/>
      <c r="C241" s="595"/>
      <c r="G241" s="80"/>
      <c r="L241" s="139"/>
      <c r="M241" s="139"/>
      <c r="N241" s="159"/>
      <c r="R241" s="706"/>
    </row>
    <row r="242" spans="2:18" ht="15" customHeight="1">
      <c r="B242" s="595"/>
      <c r="C242" s="595"/>
      <c r="G242" s="80"/>
      <c r="L242" s="139"/>
      <c r="M242" s="139"/>
      <c r="N242" s="159"/>
      <c r="R242" s="706"/>
    </row>
    <row r="243" spans="2:18" ht="15" customHeight="1">
      <c r="B243" s="595"/>
      <c r="C243" s="595"/>
      <c r="G243" s="80"/>
      <c r="L243" s="139"/>
      <c r="M243" s="139"/>
      <c r="N243" s="159"/>
      <c r="R243" s="706"/>
    </row>
    <row r="244" spans="2:18" ht="15" customHeight="1">
      <c r="B244" s="595"/>
      <c r="C244" s="595"/>
      <c r="G244" s="80"/>
      <c r="L244" s="139"/>
      <c r="M244" s="139"/>
      <c r="N244" s="159"/>
      <c r="R244" s="706"/>
    </row>
    <row r="245" spans="2:18" ht="15" customHeight="1">
      <c r="B245" s="595"/>
      <c r="C245" s="595"/>
      <c r="G245" s="80"/>
      <c r="L245" s="139"/>
      <c r="M245" s="139"/>
      <c r="N245" s="159"/>
      <c r="R245" s="706"/>
    </row>
    <row r="246" spans="2:18" ht="15" customHeight="1">
      <c r="B246" s="595"/>
      <c r="C246" s="595"/>
      <c r="G246" s="80"/>
      <c r="L246" s="139"/>
      <c r="M246" s="139"/>
      <c r="N246" s="159"/>
      <c r="R246" s="706"/>
    </row>
    <row r="247" spans="2:18" ht="15" customHeight="1">
      <c r="B247" s="595"/>
      <c r="C247" s="595"/>
      <c r="G247" s="80"/>
      <c r="L247" s="139"/>
      <c r="M247" s="139"/>
      <c r="N247" s="159"/>
      <c r="R247" s="706"/>
    </row>
    <row r="248" spans="2:18" ht="15" customHeight="1">
      <c r="B248" s="595"/>
      <c r="C248" s="595"/>
      <c r="G248" s="80"/>
      <c r="L248" s="139"/>
      <c r="M248" s="139"/>
      <c r="N248" s="159"/>
      <c r="R248" s="706"/>
    </row>
    <row r="249" spans="2:18" ht="15" customHeight="1">
      <c r="B249" s="595"/>
      <c r="C249" s="595"/>
      <c r="G249" s="80"/>
      <c r="L249" s="139"/>
      <c r="M249" s="139"/>
      <c r="N249" s="159"/>
      <c r="R249" s="706"/>
    </row>
    <row r="250" spans="2:18" ht="15" customHeight="1">
      <c r="B250" s="595"/>
      <c r="C250" s="595"/>
      <c r="G250" s="80"/>
      <c r="L250" s="139"/>
      <c r="M250" s="139"/>
      <c r="N250" s="159"/>
      <c r="R250" s="706"/>
    </row>
    <row r="251" spans="2:18" ht="15" customHeight="1">
      <c r="B251" s="595"/>
      <c r="C251" s="595"/>
      <c r="G251" s="80"/>
      <c r="L251" s="139"/>
      <c r="M251" s="139"/>
      <c r="N251" s="159"/>
      <c r="R251" s="706"/>
    </row>
    <row r="252" spans="2:18" ht="15" customHeight="1">
      <c r="B252" s="595"/>
      <c r="C252" s="595"/>
      <c r="G252" s="80"/>
      <c r="L252" s="139"/>
      <c r="M252" s="139"/>
      <c r="N252" s="159"/>
      <c r="R252" s="706"/>
    </row>
    <row r="253" spans="2:18" ht="15" customHeight="1">
      <c r="B253" s="595"/>
      <c r="C253" s="595"/>
      <c r="G253" s="80"/>
      <c r="L253" s="139"/>
      <c r="M253" s="139"/>
      <c r="N253" s="159"/>
      <c r="R253" s="706"/>
    </row>
    <row r="254" spans="2:18" ht="15" customHeight="1">
      <c r="B254" s="595"/>
      <c r="C254" s="595"/>
      <c r="G254" s="80"/>
      <c r="L254" s="139"/>
      <c r="M254" s="139"/>
      <c r="N254" s="159"/>
      <c r="R254" s="706"/>
    </row>
    <row r="255" spans="2:18" ht="15" customHeight="1">
      <c r="B255" s="595"/>
      <c r="C255" s="595"/>
      <c r="G255" s="80"/>
      <c r="L255" s="139"/>
      <c r="M255" s="139"/>
      <c r="N255" s="159"/>
      <c r="R255" s="706"/>
    </row>
    <row r="256" spans="2:18" ht="15" customHeight="1">
      <c r="B256" s="595"/>
      <c r="C256" s="595"/>
      <c r="G256" s="80"/>
      <c r="L256" s="139"/>
      <c r="M256" s="139"/>
      <c r="N256" s="159"/>
      <c r="R256" s="706"/>
    </row>
    <row r="257" spans="2:18" ht="15" customHeight="1">
      <c r="B257" s="595"/>
      <c r="C257" s="595"/>
      <c r="G257" s="80"/>
      <c r="L257" s="139"/>
      <c r="M257" s="139"/>
      <c r="N257" s="159"/>
      <c r="R257" s="706"/>
    </row>
    <row r="258" spans="2:18" ht="15" customHeight="1">
      <c r="B258" s="595"/>
      <c r="C258" s="595"/>
      <c r="G258" s="80"/>
      <c r="L258" s="139"/>
      <c r="M258" s="139"/>
      <c r="N258" s="159"/>
      <c r="R258" s="706"/>
    </row>
    <row r="259" spans="2:18" ht="15" customHeight="1">
      <c r="B259" s="595"/>
      <c r="C259" s="595"/>
      <c r="G259" s="80"/>
      <c r="L259" s="139"/>
      <c r="M259" s="139"/>
      <c r="N259" s="159"/>
      <c r="R259" s="706"/>
    </row>
    <row r="260" spans="2:18" ht="15" customHeight="1">
      <c r="B260" s="595"/>
      <c r="C260" s="595"/>
      <c r="G260" s="80"/>
      <c r="L260" s="139"/>
      <c r="M260" s="139"/>
      <c r="N260" s="159"/>
      <c r="R260" s="706"/>
    </row>
    <row r="261" spans="2:18" ht="15" customHeight="1">
      <c r="B261" s="595"/>
      <c r="C261" s="595"/>
      <c r="G261" s="80"/>
      <c r="L261" s="139"/>
      <c r="M261" s="139"/>
      <c r="N261" s="159"/>
      <c r="R261" s="706"/>
    </row>
    <row r="262" spans="2:18" ht="15" customHeight="1">
      <c r="B262" s="595"/>
      <c r="C262" s="595"/>
      <c r="G262" s="80"/>
      <c r="L262" s="139"/>
      <c r="M262" s="139"/>
      <c r="N262" s="159"/>
      <c r="R262" s="706"/>
    </row>
    <row r="263" spans="2:18" ht="15" customHeight="1">
      <c r="B263" s="595"/>
      <c r="C263" s="595"/>
      <c r="G263" s="80"/>
      <c r="L263" s="139"/>
      <c r="M263" s="139"/>
      <c r="N263" s="159"/>
      <c r="R263" s="706"/>
    </row>
    <row r="264" spans="2:18" ht="15" customHeight="1">
      <c r="B264" s="595"/>
      <c r="C264" s="595"/>
      <c r="G264" s="80"/>
      <c r="L264" s="139"/>
      <c r="M264" s="139"/>
      <c r="N264" s="159"/>
      <c r="R264" s="706"/>
    </row>
    <row r="265" spans="2:18" ht="15" customHeight="1">
      <c r="B265" s="595"/>
      <c r="C265" s="595"/>
      <c r="G265" s="80"/>
      <c r="L265" s="139"/>
      <c r="M265" s="139"/>
      <c r="N265" s="159"/>
      <c r="R265" s="706"/>
    </row>
    <row r="266" spans="2:18" ht="15" customHeight="1">
      <c r="B266" s="595"/>
      <c r="C266" s="595"/>
      <c r="G266" s="80"/>
      <c r="L266" s="139"/>
      <c r="M266" s="139"/>
      <c r="N266" s="159"/>
      <c r="R266" s="706"/>
    </row>
    <row r="267" spans="2:18" ht="15" customHeight="1">
      <c r="B267" s="595"/>
      <c r="C267" s="595"/>
      <c r="G267" s="80"/>
      <c r="L267" s="139"/>
      <c r="M267" s="139"/>
      <c r="N267" s="159"/>
      <c r="R267" s="706"/>
    </row>
    <row r="268" spans="2:18" ht="15" customHeight="1">
      <c r="B268" s="595"/>
      <c r="C268" s="595"/>
      <c r="G268" s="80"/>
      <c r="L268" s="139"/>
      <c r="M268" s="139"/>
      <c r="N268" s="159"/>
      <c r="R268" s="706"/>
    </row>
    <row r="269" spans="2:18" ht="15" customHeight="1">
      <c r="B269" s="595"/>
      <c r="C269" s="595"/>
      <c r="G269" s="80"/>
      <c r="L269" s="139"/>
      <c r="M269" s="139"/>
      <c r="N269" s="159"/>
      <c r="R269" s="706"/>
    </row>
    <row r="270" spans="2:18" ht="15" customHeight="1">
      <c r="B270" s="595"/>
      <c r="C270" s="595"/>
      <c r="G270" s="80"/>
      <c r="L270" s="139"/>
      <c r="M270" s="139"/>
      <c r="N270" s="159"/>
      <c r="R270" s="706"/>
    </row>
    <row r="271" spans="2:18" ht="15" customHeight="1">
      <c r="B271" s="595"/>
      <c r="C271" s="595"/>
      <c r="G271" s="80"/>
      <c r="L271" s="139"/>
      <c r="M271" s="139"/>
      <c r="N271" s="159"/>
      <c r="R271" s="706"/>
    </row>
    <row r="272" spans="2:18" ht="15" customHeight="1">
      <c r="B272" s="595"/>
      <c r="C272" s="595"/>
      <c r="G272" s="80"/>
      <c r="L272" s="139"/>
      <c r="M272" s="139"/>
      <c r="N272" s="159"/>
      <c r="R272" s="706"/>
    </row>
    <row r="273" spans="2:18" ht="15" customHeight="1">
      <c r="B273" s="595"/>
      <c r="C273" s="595"/>
      <c r="G273" s="80"/>
      <c r="L273" s="139"/>
      <c r="M273" s="139"/>
      <c r="N273" s="159"/>
      <c r="R273" s="706"/>
    </row>
    <row r="274" spans="2:18" ht="15" customHeight="1">
      <c r="B274" s="595"/>
      <c r="C274" s="595"/>
      <c r="G274" s="80"/>
      <c r="L274" s="139"/>
      <c r="M274" s="139"/>
      <c r="N274" s="159"/>
      <c r="R274" s="706"/>
    </row>
    <row r="275" spans="2:18" ht="15" customHeight="1">
      <c r="B275" s="595"/>
      <c r="C275" s="595"/>
      <c r="G275" s="80"/>
      <c r="L275" s="139"/>
      <c r="M275" s="139"/>
      <c r="N275" s="159"/>
      <c r="R275" s="706"/>
    </row>
    <row r="276" spans="2:18" ht="15" customHeight="1">
      <c r="B276" s="595"/>
      <c r="C276" s="595"/>
      <c r="G276" s="80"/>
      <c r="L276" s="139"/>
      <c r="M276" s="139"/>
      <c r="N276" s="159"/>
      <c r="R276" s="706"/>
    </row>
    <row r="277" spans="2:18" ht="15" customHeight="1">
      <c r="B277" s="595"/>
      <c r="C277" s="595"/>
      <c r="G277" s="80"/>
      <c r="L277" s="139"/>
      <c r="M277" s="139"/>
      <c r="N277" s="159"/>
      <c r="R277" s="706"/>
    </row>
    <row r="278" spans="2:18" ht="15" customHeight="1">
      <c r="B278" s="595"/>
      <c r="C278" s="595"/>
      <c r="G278" s="80"/>
      <c r="L278" s="139"/>
      <c r="M278" s="139"/>
      <c r="N278" s="159"/>
      <c r="R278" s="706"/>
    </row>
    <row r="279" spans="2:18" ht="15" customHeight="1">
      <c r="B279" s="595"/>
      <c r="C279" s="595"/>
      <c r="G279" s="80"/>
      <c r="L279" s="139"/>
      <c r="M279" s="139"/>
      <c r="N279" s="159"/>
      <c r="R279" s="706"/>
    </row>
    <row r="280" spans="2:18" ht="15" customHeight="1">
      <c r="B280" s="595"/>
      <c r="C280" s="595"/>
      <c r="G280" s="80"/>
      <c r="L280" s="139"/>
      <c r="M280" s="139"/>
      <c r="N280" s="159"/>
      <c r="R280" s="706"/>
    </row>
    <row r="281" spans="2:18" ht="15" customHeight="1">
      <c r="B281" s="595"/>
      <c r="C281" s="595"/>
      <c r="G281" s="80"/>
      <c r="L281" s="139"/>
      <c r="M281" s="139"/>
      <c r="N281" s="159"/>
      <c r="R281" s="706"/>
    </row>
    <row r="282" spans="2:18" ht="15" customHeight="1">
      <c r="B282" s="595"/>
      <c r="C282" s="595"/>
      <c r="G282" s="80"/>
      <c r="L282" s="139"/>
      <c r="M282" s="139"/>
      <c r="N282" s="159"/>
      <c r="R282" s="706"/>
    </row>
    <row r="283" spans="2:18" ht="15" customHeight="1">
      <c r="B283" s="595"/>
      <c r="C283" s="595"/>
      <c r="G283" s="80"/>
      <c r="L283" s="139"/>
      <c r="M283" s="139"/>
      <c r="N283" s="159"/>
      <c r="R283" s="706"/>
    </row>
    <row r="284" spans="2:18" ht="15" customHeight="1">
      <c r="B284" s="595"/>
      <c r="C284" s="595"/>
      <c r="G284" s="80"/>
      <c r="L284" s="139"/>
      <c r="M284" s="139"/>
      <c r="N284" s="159"/>
      <c r="R284" s="706"/>
    </row>
    <row r="285" spans="2:18" ht="15" customHeight="1">
      <c r="B285" s="595"/>
      <c r="C285" s="595"/>
      <c r="G285" s="80"/>
      <c r="L285" s="139"/>
      <c r="M285" s="139"/>
      <c r="N285" s="159"/>
      <c r="R285" s="706"/>
    </row>
    <row r="286" spans="2:18" ht="15" customHeight="1">
      <c r="B286" s="595"/>
      <c r="C286" s="595"/>
      <c r="G286" s="80"/>
      <c r="L286" s="139"/>
      <c r="M286" s="139"/>
      <c r="N286" s="159"/>
      <c r="R286" s="706"/>
    </row>
    <row r="287" spans="2:18" ht="15" customHeight="1">
      <c r="B287" s="595"/>
      <c r="C287" s="595"/>
      <c r="G287" s="80"/>
      <c r="L287" s="139"/>
      <c r="M287" s="139"/>
      <c r="N287" s="159"/>
      <c r="R287" s="706"/>
    </row>
    <row r="288" spans="2:18" ht="15" customHeight="1">
      <c r="B288" s="595"/>
      <c r="C288" s="595"/>
      <c r="G288" s="80"/>
      <c r="L288" s="139"/>
      <c r="M288" s="139"/>
      <c r="N288" s="159"/>
      <c r="R288" s="706"/>
    </row>
    <row r="289" spans="2:18" ht="15" customHeight="1">
      <c r="B289" s="595"/>
      <c r="C289" s="595"/>
      <c r="G289" s="80"/>
      <c r="L289" s="139"/>
      <c r="M289" s="139"/>
      <c r="N289" s="159"/>
      <c r="R289" s="706"/>
    </row>
    <row r="290" spans="2:18" ht="15" customHeight="1">
      <c r="B290" s="595"/>
      <c r="C290" s="595"/>
      <c r="G290" s="80"/>
      <c r="L290" s="139"/>
      <c r="M290" s="139"/>
      <c r="N290" s="159"/>
      <c r="R290" s="706"/>
    </row>
    <row r="291" spans="2:18" ht="15" customHeight="1">
      <c r="B291" s="595"/>
      <c r="C291" s="595"/>
      <c r="G291" s="80"/>
      <c r="L291" s="139"/>
      <c r="M291" s="139"/>
      <c r="N291" s="159"/>
      <c r="R291" s="706"/>
    </row>
    <row r="292" spans="2:18" ht="15" customHeight="1">
      <c r="B292" s="595"/>
      <c r="C292" s="595"/>
      <c r="G292" s="80"/>
      <c r="L292" s="139"/>
      <c r="M292" s="139"/>
      <c r="N292" s="159"/>
      <c r="R292" s="706"/>
    </row>
    <row r="293" spans="2:18" ht="15" customHeight="1">
      <c r="B293" s="595"/>
      <c r="C293" s="595"/>
      <c r="G293" s="80"/>
      <c r="L293" s="139"/>
      <c r="M293" s="139"/>
      <c r="N293" s="159"/>
      <c r="R293" s="706"/>
    </row>
    <row r="294" spans="2:18" ht="15" customHeight="1">
      <c r="B294" s="595"/>
      <c r="C294" s="595"/>
      <c r="G294" s="80"/>
      <c r="L294" s="139"/>
      <c r="M294" s="139"/>
      <c r="N294" s="159"/>
      <c r="R294" s="706"/>
    </row>
    <row r="295" spans="2:18" ht="15" customHeight="1">
      <c r="B295" s="595"/>
      <c r="C295" s="595"/>
      <c r="G295" s="80"/>
      <c r="L295" s="139"/>
      <c r="M295" s="139"/>
      <c r="N295" s="159"/>
      <c r="R295" s="706"/>
    </row>
    <row r="296" spans="2:18" ht="15" customHeight="1">
      <c r="B296" s="595"/>
      <c r="C296" s="595"/>
      <c r="G296" s="80"/>
      <c r="L296" s="139"/>
      <c r="M296" s="139"/>
      <c r="N296" s="159"/>
      <c r="R296" s="706"/>
    </row>
    <row r="297" spans="2:18" ht="15" customHeight="1">
      <c r="B297" s="595"/>
      <c r="C297" s="595"/>
      <c r="G297" s="80"/>
      <c r="L297" s="139"/>
      <c r="M297" s="139"/>
      <c r="N297" s="159"/>
      <c r="R297" s="706"/>
    </row>
    <row r="298" spans="2:18" ht="15" customHeight="1">
      <c r="B298" s="595"/>
      <c r="C298" s="595"/>
      <c r="G298" s="80"/>
      <c r="L298" s="139"/>
      <c r="M298" s="139"/>
      <c r="N298" s="159"/>
      <c r="R298" s="706"/>
    </row>
    <row r="299" spans="2:18" ht="15" customHeight="1">
      <c r="B299" s="595"/>
      <c r="C299" s="595"/>
      <c r="G299" s="80"/>
      <c r="L299" s="139"/>
      <c r="M299" s="139"/>
      <c r="N299" s="159"/>
      <c r="R299" s="706"/>
    </row>
    <row r="300" spans="2:18" ht="15" customHeight="1">
      <c r="B300" s="595"/>
      <c r="C300" s="595"/>
      <c r="G300" s="80"/>
      <c r="L300" s="139"/>
      <c r="M300" s="139"/>
      <c r="N300" s="159"/>
      <c r="R300" s="706"/>
    </row>
    <row r="301" spans="2:18" ht="15" customHeight="1">
      <c r="B301" s="595"/>
      <c r="C301" s="595"/>
      <c r="G301" s="80"/>
      <c r="L301" s="139"/>
      <c r="M301" s="139"/>
      <c r="N301" s="159"/>
      <c r="R301" s="706"/>
    </row>
    <row r="302" spans="2:18" ht="15" customHeight="1">
      <c r="B302" s="595"/>
      <c r="C302" s="595"/>
      <c r="G302" s="80"/>
      <c r="L302" s="139"/>
      <c r="M302" s="139"/>
      <c r="N302" s="159"/>
      <c r="R302" s="706"/>
    </row>
    <row r="303" spans="2:18" ht="15" customHeight="1">
      <c r="B303" s="595"/>
      <c r="C303" s="595"/>
      <c r="G303" s="80"/>
      <c r="L303" s="139"/>
      <c r="M303" s="139"/>
      <c r="N303" s="159"/>
      <c r="R303" s="706"/>
    </row>
    <row r="304" spans="2:18" ht="15" customHeight="1">
      <c r="B304" s="595"/>
      <c r="C304" s="595"/>
      <c r="G304" s="80"/>
      <c r="L304" s="139"/>
      <c r="M304" s="139"/>
      <c r="N304" s="159"/>
      <c r="R304" s="706"/>
    </row>
    <row r="305" spans="2:18" ht="15" customHeight="1">
      <c r="B305" s="595"/>
      <c r="C305" s="595"/>
      <c r="G305" s="80"/>
      <c r="L305" s="139"/>
      <c r="M305" s="139"/>
      <c r="N305" s="159"/>
      <c r="R305" s="706"/>
    </row>
    <row r="306" spans="2:18" ht="15" customHeight="1">
      <c r="B306" s="595"/>
      <c r="C306" s="595"/>
      <c r="G306" s="80"/>
      <c r="L306" s="139"/>
      <c r="M306" s="139"/>
      <c r="N306" s="159"/>
      <c r="R306" s="706"/>
    </row>
    <row r="307" spans="2:18" ht="15" customHeight="1">
      <c r="B307" s="595"/>
      <c r="C307" s="595"/>
      <c r="G307" s="80"/>
      <c r="L307" s="139"/>
      <c r="M307" s="139"/>
      <c r="N307" s="159"/>
      <c r="R307" s="706"/>
    </row>
    <row r="308" spans="2:18" ht="15" customHeight="1">
      <c r="B308" s="595"/>
      <c r="C308" s="595"/>
      <c r="G308" s="80"/>
      <c r="L308" s="139"/>
      <c r="M308" s="139"/>
      <c r="N308" s="159"/>
      <c r="R308" s="706"/>
    </row>
    <row r="309" spans="2:18" ht="15" customHeight="1">
      <c r="B309" s="595"/>
      <c r="C309" s="595"/>
      <c r="G309" s="80"/>
      <c r="L309" s="139"/>
      <c r="M309" s="139"/>
      <c r="N309" s="159"/>
      <c r="R309" s="706"/>
    </row>
    <row r="310" spans="2:18" ht="15" customHeight="1">
      <c r="B310" s="595"/>
      <c r="C310" s="595"/>
      <c r="G310" s="80"/>
      <c r="L310" s="139"/>
      <c r="M310" s="139"/>
      <c r="N310" s="159"/>
      <c r="R310" s="706"/>
    </row>
    <row r="311" spans="2:18" ht="15" customHeight="1">
      <c r="B311" s="595"/>
      <c r="C311" s="595"/>
      <c r="G311" s="80"/>
      <c r="L311" s="139"/>
      <c r="M311" s="139"/>
      <c r="N311" s="159"/>
      <c r="R311" s="706"/>
    </row>
    <row r="312" spans="2:18" ht="15" customHeight="1">
      <c r="B312" s="595"/>
      <c r="C312" s="595"/>
      <c r="G312" s="80"/>
      <c r="L312" s="139"/>
      <c r="M312" s="139"/>
      <c r="N312" s="159"/>
      <c r="R312" s="706"/>
    </row>
    <row r="313" spans="2:18" ht="15" customHeight="1">
      <c r="B313" s="595"/>
      <c r="C313" s="595"/>
      <c r="G313" s="80"/>
      <c r="L313" s="139"/>
      <c r="M313" s="139"/>
      <c r="N313" s="159"/>
      <c r="R313" s="706"/>
    </row>
    <row r="314" spans="2:18" ht="15" customHeight="1">
      <c r="B314" s="595"/>
      <c r="C314" s="595"/>
      <c r="G314" s="80"/>
      <c r="L314" s="139"/>
      <c r="M314" s="139"/>
      <c r="N314" s="159"/>
      <c r="R314" s="706"/>
    </row>
    <row r="315" spans="2:18" ht="15" customHeight="1">
      <c r="B315" s="595"/>
      <c r="C315" s="595"/>
      <c r="G315" s="80"/>
      <c r="L315" s="139"/>
      <c r="M315" s="139"/>
      <c r="N315" s="159"/>
      <c r="R315" s="706"/>
    </row>
    <row r="316" spans="2:18" ht="15" customHeight="1">
      <c r="B316" s="595"/>
      <c r="C316" s="595"/>
      <c r="G316" s="80"/>
      <c r="L316" s="139"/>
      <c r="M316" s="139"/>
      <c r="N316" s="159"/>
      <c r="R316" s="706"/>
    </row>
    <row r="317" spans="2:18" ht="15" customHeight="1">
      <c r="B317" s="595"/>
      <c r="C317" s="595"/>
      <c r="G317" s="80"/>
      <c r="L317" s="139"/>
      <c r="M317" s="139"/>
      <c r="N317" s="159"/>
      <c r="R317" s="706"/>
    </row>
    <row r="318" spans="2:18" ht="15" customHeight="1">
      <c r="B318" s="595"/>
      <c r="C318" s="595"/>
      <c r="G318" s="80"/>
      <c r="L318" s="139"/>
      <c r="M318" s="139"/>
      <c r="N318" s="159"/>
      <c r="R318" s="706"/>
    </row>
    <row r="319" spans="2:18" ht="15" customHeight="1">
      <c r="B319" s="595"/>
      <c r="C319" s="595"/>
      <c r="G319" s="80"/>
      <c r="L319" s="139"/>
      <c r="M319" s="139"/>
      <c r="N319" s="159"/>
      <c r="R319" s="706"/>
    </row>
    <row r="320" spans="2:18" ht="15" customHeight="1">
      <c r="B320" s="595"/>
      <c r="C320" s="595"/>
      <c r="G320" s="80"/>
      <c r="L320" s="139"/>
      <c r="M320" s="139"/>
      <c r="N320" s="159"/>
      <c r="R320" s="706"/>
    </row>
    <row r="321" spans="2:18" ht="15" customHeight="1">
      <c r="B321" s="595"/>
      <c r="C321" s="595"/>
      <c r="G321" s="80"/>
      <c r="L321" s="139"/>
      <c r="M321" s="139"/>
      <c r="N321" s="159"/>
      <c r="R321" s="706"/>
    </row>
    <row r="322" spans="2:18" ht="15" customHeight="1">
      <c r="B322" s="595"/>
      <c r="C322" s="595"/>
      <c r="G322" s="80"/>
      <c r="L322" s="139"/>
      <c r="M322" s="139"/>
      <c r="N322" s="159"/>
      <c r="R322" s="706"/>
    </row>
    <row r="323" spans="2:18" ht="15" customHeight="1">
      <c r="B323" s="595"/>
      <c r="C323" s="595"/>
      <c r="G323" s="80"/>
      <c r="L323" s="139"/>
      <c r="M323" s="139"/>
      <c r="N323" s="159"/>
      <c r="R323" s="706"/>
    </row>
    <row r="324" spans="2:18" ht="15" customHeight="1">
      <c r="B324" s="595"/>
      <c r="C324" s="595"/>
      <c r="G324" s="80"/>
      <c r="L324" s="139"/>
      <c r="M324" s="139"/>
      <c r="N324" s="159"/>
      <c r="R324" s="706"/>
    </row>
    <row r="325" spans="2:18" ht="15" customHeight="1">
      <c r="B325" s="595"/>
      <c r="C325" s="595"/>
      <c r="G325" s="80"/>
      <c r="L325" s="139"/>
      <c r="M325" s="139"/>
      <c r="N325" s="159"/>
      <c r="R325" s="706"/>
    </row>
    <row r="326" spans="2:18" ht="15" customHeight="1">
      <c r="B326" s="595"/>
      <c r="C326" s="595"/>
      <c r="G326" s="80"/>
      <c r="L326" s="139"/>
      <c r="M326" s="139"/>
      <c r="N326" s="159"/>
      <c r="R326" s="706"/>
    </row>
    <row r="327" spans="2:18" ht="15" customHeight="1">
      <c r="B327" s="595"/>
      <c r="C327" s="595"/>
      <c r="G327" s="80"/>
      <c r="L327" s="139"/>
      <c r="M327" s="139"/>
      <c r="N327" s="159"/>
      <c r="R327" s="706"/>
    </row>
    <row r="328" spans="2:18" ht="15" customHeight="1">
      <c r="B328" s="595"/>
      <c r="C328" s="595"/>
      <c r="G328" s="80"/>
      <c r="L328" s="139"/>
      <c r="M328" s="139"/>
      <c r="N328" s="159"/>
      <c r="R328" s="706"/>
    </row>
    <row r="329" spans="2:18" ht="15" customHeight="1">
      <c r="B329" s="595"/>
      <c r="C329" s="595"/>
      <c r="G329" s="80"/>
      <c r="L329" s="139"/>
      <c r="M329" s="139"/>
      <c r="N329" s="159"/>
      <c r="R329" s="706"/>
    </row>
    <row r="330" spans="2:18" ht="15" customHeight="1">
      <c r="B330" s="595"/>
      <c r="C330" s="595"/>
      <c r="G330" s="80"/>
      <c r="L330" s="139"/>
      <c r="M330" s="139"/>
      <c r="N330" s="159"/>
      <c r="R330" s="706"/>
    </row>
    <row r="331" spans="2:18" ht="15" customHeight="1">
      <c r="B331" s="595"/>
      <c r="C331" s="595"/>
      <c r="G331" s="80"/>
      <c r="L331" s="139"/>
      <c r="M331" s="139"/>
      <c r="N331" s="159"/>
      <c r="R331" s="706"/>
    </row>
    <row r="332" spans="2:18" ht="15" customHeight="1">
      <c r="B332" s="595"/>
      <c r="C332" s="595"/>
      <c r="G332" s="80"/>
      <c r="L332" s="139"/>
      <c r="M332" s="139"/>
      <c r="N332" s="159"/>
      <c r="R332" s="706"/>
    </row>
    <row r="333" spans="2:18" ht="15" customHeight="1">
      <c r="B333" s="595"/>
      <c r="C333" s="595"/>
      <c r="G333" s="80"/>
      <c r="L333" s="139"/>
      <c r="M333" s="139"/>
      <c r="N333" s="159"/>
      <c r="R333" s="706"/>
    </row>
    <row r="334" spans="2:18" ht="15" customHeight="1">
      <c r="B334" s="595"/>
      <c r="C334" s="595"/>
      <c r="G334" s="80"/>
      <c r="L334" s="139"/>
      <c r="M334" s="139"/>
      <c r="N334" s="159"/>
      <c r="R334" s="706"/>
    </row>
    <row r="335" spans="2:18" ht="15" customHeight="1">
      <c r="B335" s="595"/>
      <c r="C335" s="595"/>
      <c r="G335" s="80"/>
      <c r="L335" s="139"/>
      <c r="M335" s="139"/>
      <c r="N335" s="159"/>
      <c r="R335" s="706"/>
    </row>
    <row r="336" spans="2:18" ht="15" customHeight="1">
      <c r="B336" s="595"/>
      <c r="C336" s="595"/>
      <c r="G336" s="80"/>
      <c r="L336" s="139"/>
      <c r="M336" s="139"/>
      <c r="N336" s="159"/>
      <c r="R336" s="706"/>
    </row>
    <row r="337" spans="2:18" ht="15" customHeight="1">
      <c r="B337" s="595"/>
      <c r="C337" s="595"/>
      <c r="G337" s="80"/>
      <c r="L337" s="139"/>
      <c r="M337" s="139"/>
      <c r="N337" s="159"/>
      <c r="R337" s="706"/>
    </row>
    <row r="338" spans="2:18" ht="15" customHeight="1">
      <c r="B338" s="595"/>
      <c r="C338" s="595"/>
      <c r="G338" s="80"/>
      <c r="L338" s="139"/>
      <c r="M338" s="139"/>
      <c r="N338" s="159"/>
      <c r="R338" s="706"/>
    </row>
    <row r="339" spans="2:18" ht="15" customHeight="1">
      <c r="B339" s="595"/>
      <c r="C339" s="595"/>
      <c r="G339" s="80"/>
      <c r="L339" s="139"/>
      <c r="M339" s="139"/>
      <c r="N339" s="159"/>
      <c r="R339" s="706"/>
    </row>
    <row r="340" spans="2:18" ht="15" customHeight="1">
      <c r="B340" s="595"/>
      <c r="C340" s="595"/>
      <c r="G340" s="80"/>
      <c r="L340" s="139"/>
      <c r="M340" s="139"/>
      <c r="N340" s="159"/>
      <c r="R340" s="706"/>
    </row>
    <row r="341" spans="2:18" ht="15" customHeight="1">
      <c r="B341" s="595"/>
      <c r="C341" s="595"/>
      <c r="G341" s="80"/>
      <c r="L341" s="139"/>
      <c r="M341" s="139"/>
      <c r="N341" s="159"/>
      <c r="R341" s="706"/>
    </row>
    <row r="342" spans="2:18" ht="15" customHeight="1">
      <c r="B342" s="595"/>
      <c r="C342" s="595"/>
      <c r="G342" s="80"/>
      <c r="L342" s="139"/>
      <c r="M342" s="139"/>
      <c r="N342" s="159"/>
      <c r="R342" s="706"/>
    </row>
    <row r="343" spans="2:18" ht="15" customHeight="1">
      <c r="B343" s="595"/>
      <c r="C343" s="595"/>
      <c r="G343" s="80"/>
      <c r="L343" s="139"/>
      <c r="M343" s="139"/>
      <c r="N343" s="159"/>
      <c r="R343" s="706"/>
    </row>
    <row r="344" spans="2:18" ht="15" customHeight="1">
      <c r="B344" s="595"/>
      <c r="C344" s="595"/>
      <c r="G344" s="80"/>
      <c r="L344" s="139"/>
      <c r="M344" s="139"/>
      <c r="N344" s="159"/>
      <c r="R344" s="706"/>
    </row>
    <row r="345" spans="2:18" ht="15" customHeight="1">
      <c r="B345" s="595"/>
      <c r="C345" s="595"/>
      <c r="G345" s="80"/>
      <c r="L345" s="139"/>
      <c r="M345" s="139"/>
      <c r="N345" s="159"/>
      <c r="R345" s="706"/>
    </row>
    <row r="346" spans="2:18" ht="15" customHeight="1">
      <c r="B346" s="595"/>
      <c r="C346" s="595"/>
      <c r="G346" s="80"/>
      <c r="L346" s="139"/>
      <c r="M346" s="139"/>
      <c r="N346" s="159"/>
      <c r="R346" s="706"/>
    </row>
    <row r="347" spans="2:18" ht="15" customHeight="1">
      <c r="B347" s="595"/>
      <c r="C347" s="595"/>
      <c r="G347" s="80"/>
      <c r="L347" s="139"/>
      <c r="M347" s="139"/>
      <c r="N347" s="159"/>
      <c r="R347" s="706"/>
    </row>
    <row r="348" spans="2:18" ht="15" customHeight="1">
      <c r="B348" s="595"/>
      <c r="C348" s="595"/>
      <c r="G348" s="80"/>
      <c r="L348" s="139"/>
      <c r="M348" s="139"/>
      <c r="N348" s="159"/>
      <c r="R348" s="706"/>
    </row>
    <row r="349" spans="2:18" ht="15" customHeight="1">
      <c r="B349" s="595"/>
      <c r="C349" s="595"/>
      <c r="G349" s="80"/>
      <c r="L349" s="139"/>
      <c r="M349" s="139"/>
      <c r="N349" s="159"/>
      <c r="R349" s="706"/>
    </row>
    <row r="350" spans="2:18" ht="15" customHeight="1">
      <c r="B350" s="595"/>
      <c r="C350" s="595"/>
      <c r="G350" s="80"/>
      <c r="L350" s="139"/>
      <c r="M350" s="139"/>
      <c r="N350" s="159"/>
      <c r="R350" s="706"/>
    </row>
    <row r="351" spans="2:18" ht="15" customHeight="1">
      <c r="B351" s="595"/>
      <c r="C351" s="595"/>
      <c r="G351" s="80"/>
      <c r="L351" s="139"/>
      <c r="M351" s="139"/>
      <c r="N351" s="159"/>
      <c r="R351" s="706"/>
    </row>
    <row r="352" spans="2:18" ht="15" customHeight="1">
      <c r="B352" s="595"/>
      <c r="C352" s="595"/>
      <c r="G352" s="80"/>
      <c r="L352" s="139"/>
      <c r="M352" s="139"/>
      <c r="N352" s="159"/>
      <c r="R352" s="706"/>
    </row>
    <row r="353" spans="2:18" ht="15" customHeight="1">
      <c r="B353" s="595"/>
      <c r="C353" s="595"/>
      <c r="G353" s="80"/>
      <c r="L353" s="139"/>
      <c r="M353" s="139"/>
      <c r="N353" s="159"/>
      <c r="R353" s="706"/>
    </row>
    <row r="354" spans="2:18" ht="15" customHeight="1">
      <c r="B354" s="595"/>
      <c r="C354" s="595"/>
      <c r="G354" s="80"/>
      <c r="L354" s="139"/>
      <c r="M354" s="139"/>
      <c r="N354" s="159"/>
      <c r="R354" s="706"/>
    </row>
    <row r="355" spans="2:18" ht="15" customHeight="1">
      <c r="B355" s="595"/>
      <c r="C355" s="595"/>
      <c r="G355" s="80"/>
      <c r="L355" s="139"/>
      <c r="M355" s="139"/>
      <c r="N355" s="159"/>
      <c r="R355" s="706"/>
    </row>
    <row r="356" spans="2:18" ht="15" customHeight="1">
      <c r="B356" s="595"/>
      <c r="C356" s="595"/>
      <c r="G356" s="80"/>
      <c r="L356" s="139"/>
      <c r="M356" s="139"/>
      <c r="N356" s="159"/>
      <c r="R356" s="706"/>
    </row>
    <row r="357" spans="2:18" ht="15" customHeight="1">
      <c r="B357" s="595"/>
      <c r="C357" s="595"/>
      <c r="G357" s="80"/>
      <c r="L357" s="139"/>
      <c r="M357" s="139"/>
      <c r="N357" s="159"/>
      <c r="R357" s="706"/>
    </row>
    <row r="358" spans="2:18" ht="15" customHeight="1">
      <c r="B358" s="595"/>
      <c r="C358" s="595"/>
      <c r="G358" s="80"/>
      <c r="L358" s="139"/>
      <c r="M358" s="139"/>
      <c r="N358" s="159"/>
      <c r="R358" s="706"/>
    </row>
    <row r="359" spans="2:18" ht="15" customHeight="1">
      <c r="B359" s="595"/>
      <c r="C359" s="595"/>
      <c r="G359" s="80"/>
      <c r="L359" s="139"/>
      <c r="M359" s="139"/>
      <c r="N359" s="159"/>
      <c r="R359" s="706"/>
    </row>
    <row r="360" spans="2:18" ht="15" customHeight="1">
      <c r="B360" s="595"/>
      <c r="C360" s="595"/>
      <c r="G360" s="80"/>
      <c r="L360" s="139"/>
      <c r="M360" s="139"/>
      <c r="N360" s="159"/>
      <c r="R360" s="706"/>
    </row>
    <row r="361" spans="2:18" ht="15" customHeight="1">
      <c r="B361" s="595"/>
      <c r="C361" s="595"/>
      <c r="G361" s="80"/>
      <c r="L361" s="139"/>
      <c r="M361" s="139"/>
      <c r="N361" s="159"/>
      <c r="R361" s="706"/>
    </row>
    <row r="362" spans="2:18" ht="15" customHeight="1">
      <c r="B362" s="595"/>
      <c r="C362" s="595"/>
      <c r="G362" s="80"/>
      <c r="L362" s="139"/>
      <c r="M362" s="139"/>
      <c r="N362" s="159"/>
      <c r="R362" s="706"/>
    </row>
    <row r="363" spans="2:18" ht="15" customHeight="1">
      <c r="B363" s="595"/>
      <c r="C363" s="595"/>
      <c r="G363" s="80"/>
      <c r="L363" s="139"/>
      <c r="M363" s="139"/>
      <c r="N363" s="159"/>
      <c r="R363" s="706"/>
    </row>
    <row r="364" spans="2:18" ht="15" customHeight="1">
      <c r="B364" s="595"/>
      <c r="C364" s="595"/>
      <c r="G364" s="80"/>
      <c r="L364" s="139"/>
      <c r="M364" s="139"/>
      <c r="N364" s="159"/>
      <c r="R364" s="706"/>
    </row>
    <row r="365" spans="2:18" ht="15" customHeight="1">
      <c r="B365" s="595"/>
      <c r="C365" s="595"/>
      <c r="G365" s="80"/>
      <c r="L365" s="139"/>
      <c r="M365" s="139"/>
      <c r="N365" s="159"/>
      <c r="R365" s="706"/>
    </row>
    <row r="366" spans="2:18" ht="15" customHeight="1">
      <c r="B366" s="595"/>
      <c r="C366" s="595"/>
      <c r="G366" s="80"/>
      <c r="L366" s="139"/>
      <c r="M366" s="139"/>
      <c r="N366" s="159"/>
      <c r="R366" s="706"/>
    </row>
    <row r="367" spans="2:18" ht="15" customHeight="1">
      <c r="B367" s="595"/>
      <c r="C367" s="595"/>
      <c r="G367" s="80"/>
      <c r="L367" s="139"/>
      <c r="M367" s="139"/>
      <c r="N367" s="159"/>
    </row>
    <row r="368" spans="2:18" ht="15" customHeight="1">
      <c r="B368" s="595"/>
      <c r="C368" s="595"/>
      <c r="G368" s="80"/>
      <c r="L368" s="139"/>
      <c r="M368" s="139"/>
      <c r="N368" s="159"/>
    </row>
    <row r="369" spans="2:14" ht="15" customHeight="1">
      <c r="B369" s="595"/>
      <c r="C369" s="595"/>
      <c r="G369" s="80"/>
      <c r="L369" s="139"/>
      <c r="M369" s="139"/>
      <c r="N369" s="159"/>
    </row>
    <row r="370" spans="2:14" ht="15" customHeight="1">
      <c r="B370" s="595"/>
      <c r="C370" s="595"/>
      <c r="G370" s="80"/>
      <c r="L370" s="139"/>
      <c r="M370" s="139"/>
      <c r="N370" s="159"/>
    </row>
    <row r="371" spans="2:14" ht="15" customHeight="1">
      <c r="B371" s="595"/>
      <c r="C371" s="595"/>
      <c r="G371" s="80"/>
      <c r="L371" s="139"/>
      <c r="M371" s="139"/>
      <c r="N371" s="159"/>
    </row>
    <row r="372" spans="2:14" ht="15" customHeight="1">
      <c r="B372" s="595"/>
      <c r="C372" s="595"/>
      <c r="G372" s="80"/>
      <c r="L372" s="139"/>
      <c r="M372" s="139"/>
      <c r="N372" s="159"/>
    </row>
    <row r="373" spans="2:14" ht="15" customHeight="1">
      <c r="B373" s="595"/>
      <c r="C373" s="595"/>
      <c r="G373" s="80"/>
      <c r="L373" s="139"/>
      <c r="M373" s="139"/>
      <c r="N373" s="159"/>
    </row>
    <row r="374" spans="2:14" ht="15" customHeight="1">
      <c r="B374" s="595"/>
      <c r="C374" s="595"/>
      <c r="G374" s="80"/>
      <c r="L374" s="139"/>
      <c r="M374" s="139"/>
      <c r="N374" s="159"/>
    </row>
    <row r="375" spans="2:14" ht="15" customHeight="1">
      <c r="B375" s="595"/>
      <c r="C375" s="595"/>
      <c r="G375" s="80"/>
      <c r="L375" s="139"/>
      <c r="M375" s="139"/>
      <c r="N375" s="159"/>
    </row>
    <row r="376" spans="2:14" ht="15" customHeight="1">
      <c r="B376" s="595"/>
      <c r="C376" s="595"/>
      <c r="G376" s="80"/>
      <c r="L376" s="139"/>
      <c r="M376" s="139"/>
      <c r="N376" s="159"/>
    </row>
    <row r="377" spans="2:14" ht="15" customHeight="1">
      <c r="B377" s="595"/>
      <c r="C377" s="595"/>
      <c r="G377" s="80"/>
      <c r="L377" s="139"/>
      <c r="M377" s="139"/>
      <c r="N377" s="159"/>
    </row>
    <row r="378" spans="2:14" ht="15" customHeight="1">
      <c r="B378" s="595"/>
      <c r="C378" s="595"/>
      <c r="G378" s="80"/>
      <c r="L378" s="139"/>
      <c r="M378" s="139"/>
      <c r="N378" s="159"/>
    </row>
    <row r="379" spans="2:14" ht="15" customHeight="1">
      <c r="B379" s="595"/>
      <c r="C379" s="595"/>
      <c r="G379" s="80"/>
      <c r="L379" s="139"/>
      <c r="M379" s="139"/>
      <c r="N379" s="159"/>
    </row>
    <row r="380" spans="2:14" ht="15" customHeight="1">
      <c r="B380" s="595"/>
      <c r="C380" s="595"/>
      <c r="G380" s="80"/>
      <c r="L380" s="139"/>
      <c r="M380" s="139"/>
      <c r="N380" s="159"/>
    </row>
    <row r="381" spans="2:14" ht="15" customHeight="1">
      <c r="B381" s="595"/>
      <c r="C381" s="595"/>
      <c r="G381" s="80"/>
      <c r="L381" s="139"/>
      <c r="M381" s="139"/>
      <c r="N381" s="159"/>
    </row>
    <row r="382" spans="2:14" ht="15" customHeight="1">
      <c r="B382" s="595"/>
      <c r="C382" s="595"/>
      <c r="G382" s="80"/>
      <c r="L382" s="139"/>
      <c r="M382" s="139"/>
      <c r="N382" s="159"/>
    </row>
    <row r="383" spans="2:14" ht="15" customHeight="1">
      <c r="B383" s="595"/>
      <c r="C383" s="595"/>
      <c r="G383" s="80"/>
      <c r="L383" s="139"/>
      <c r="M383" s="139"/>
      <c r="N383" s="159"/>
    </row>
    <row r="384" spans="2:14" ht="15" customHeight="1">
      <c r="B384" s="595"/>
      <c r="C384" s="595"/>
      <c r="G384" s="80"/>
      <c r="L384" s="139"/>
      <c r="M384" s="139"/>
      <c r="N384" s="159"/>
    </row>
    <row r="385" spans="2:14" ht="15" customHeight="1">
      <c r="B385" s="595"/>
      <c r="C385" s="595"/>
      <c r="G385" s="80"/>
      <c r="L385" s="139"/>
      <c r="M385" s="139"/>
      <c r="N385" s="159"/>
    </row>
    <row r="386" spans="2:14" ht="15" customHeight="1">
      <c r="B386" s="595"/>
      <c r="C386" s="595"/>
      <c r="G386" s="80"/>
      <c r="L386" s="139"/>
      <c r="M386" s="139"/>
      <c r="N386" s="159"/>
    </row>
    <row r="387" spans="2:14" ht="15" customHeight="1">
      <c r="B387" s="595"/>
      <c r="C387" s="595"/>
      <c r="G387" s="80"/>
      <c r="L387" s="139"/>
      <c r="M387" s="139"/>
      <c r="N387" s="159"/>
    </row>
    <row r="388" spans="2:14" ht="15" customHeight="1">
      <c r="B388" s="595"/>
      <c r="C388" s="595"/>
      <c r="G388" s="80"/>
      <c r="L388" s="139"/>
      <c r="M388" s="139"/>
      <c r="N388" s="159"/>
    </row>
    <row r="389" spans="2:14" ht="15" customHeight="1">
      <c r="B389" s="595"/>
      <c r="C389" s="595"/>
      <c r="G389" s="80"/>
      <c r="L389" s="139"/>
      <c r="M389" s="139"/>
      <c r="N389" s="159"/>
    </row>
    <row r="390" spans="2:14" ht="15" customHeight="1">
      <c r="B390" s="595"/>
      <c r="C390" s="595"/>
      <c r="G390" s="80"/>
      <c r="L390" s="139"/>
      <c r="M390" s="139"/>
      <c r="N390" s="159"/>
    </row>
    <row r="391" spans="2:14" ht="15" customHeight="1">
      <c r="B391" s="595"/>
      <c r="C391" s="595"/>
      <c r="G391" s="80"/>
      <c r="L391" s="139"/>
      <c r="M391" s="139"/>
      <c r="N391" s="159"/>
    </row>
    <row r="392" spans="2:14" ht="15" customHeight="1">
      <c r="B392" s="595"/>
      <c r="C392" s="595"/>
      <c r="G392" s="80"/>
      <c r="L392" s="139"/>
      <c r="M392" s="139"/>
      <c r="N392" s="159"/>
    </row>
    <row r="393" spans="2:14" ht="15" customHeight="1">
      <c r="B393" s="595"/>
      <c r="C393" s="595"/>
      <c r="G393" s="80"/>
      <c r="L393" s="139"/>
      <c r="M393" s="139"/>
      <c r="N393" s="159"/>
    </row>
    <row r="394" spans="2:14" ht="15" customHeight="1">
      <c r="B394" s="595"/>
      <c r="C394" s="595"/>
      <c r="G394" s="80"/>
      <c r="L394" s="139"/>
      <c r="M394" s="139"/>
      <c r="N394" s="159"/>
    </row>
    <row r="395" spans="2:14" ht="15" customHeight="1">
      <c r="B395" s="595"/>
      <c r="C395" s="595"/>
      <c r="G395" s="80"/>
      <c r="L395" s="139"/>
      <c r="M395" s="139"/>
      <c r="N395" s="159"/>
    </row>
    <row r="396" spans="2:14" ht="15" customHeight="1">
      <c r="B396" s="595"/>
      <c r="C396" s="595"/>
      <c r="G396" s="80"/>
      <c r="L396" s="139"/>
      <c r="M396" s="139"/>
      <c r="N396" s="159"/>
    </row>
    <row r="397" spans="2:14" ht="15" customHeight="1">
      <c r="B397" s="595"/>
      <c r="C397" s="595"/>
      <c r="G397" s="80"/>
      <c r="L397" s="139"/>
      <c r="M397" s="139"/>
      <c r="N397" s="159"/>
    </row>
    <row r="398" spans="2:14" ht="15" customHeight="1">
      <c r="B398" s="595"/>
      <c r="C398" s="595"/>
      <c r="G398" s="80"/>
      <c r="L398" s="139"/>
      <c r="M398" s="139"/>
      <c r="N398" s="159"/>
    </row>
    <row r="399" spans="2:14" ht="15" customHeight="1">
      <c r="B399" s="595"/>
      <c r="C399" s="595"/>
      <c r="M399" s="139"/>
      <c r="N399" s="159"/>
    </row>
    <row r="400" spans="2:14" ht="15" customHeight="1">
      <c r="B400" s="595"/>
      <c r="C400" s="595"/>
      <c r="M400" s="139"/>
      <c r="N400" s="159"/>
    </row>
    <row r="401" spans="2:14" ht="15" customHeight="1">
      <c r="B401" s="595"/>
      <c r="C401" s="595"/>
      <c r="M401" s="139"/>
      <c r="N401" s="159"/>
    </row>
    <row r="402" spans="2:14" ht="15" customHeight="1">
      <c r="B402" s="595"/>
      <c r="C402" s="595"/>
      <c r="M402" s="139"/>
      <c r="N402" s="159"/>
    </row>
    <row r="403" spans="2:14" ht="15" customHeight="1">
      <c r="B403" s="595"/>
      <c r="C403" s="595"/>
      <c r="M403" s="139"/>
      <c r="N403" s="159"/>
    </row>
    <row r="404" spans="2:14" ht="15" customHeight="1">
      <c r="B404" s="595"/>
      <c r="C404" s="595"/>
      <c r="M404" s="139"/>
      <c r="N404" s="159"/>
    </row>
    <row r="405" spans="2:14" ht="15" customHeight="1">
      <c r="B405" s="595"/>
      <c r="C405" s="595"/>
      <c r="M405" s="139"/>
      <c r="N405" s="159"/>
    </row>
    <row r="406" spans="2:14" ht="15" customHeight="1">
      <c r="B406" s="595"/>
      <c r="C406" s="595"/>
      <c r="M406" s="139"/>
      <c r="N406" s="159"/>
    </row>
    <row r="407" spans="2:14" ht="15" customHeight="1">
      <c r="B407" s="595"/>
      <c r="C407" s="595"/>
      <c r="M407" s="139"/>
      <c r="N407" s="159"/>
    </row>
    <row r="408" spans="2:14" ht="15" customHeight="1">
      <c r="B408" s="595"/>
      <c r="C408" s="595"/>
      <c r="M408" s="139"/>
      <c r="N408" s="159"/>
    </row>
    <row r="409" spans="2:14" ht="15" customHeight="1">
      <c r="B409" s="595"/>
      <c r="C409" s="595"/>
      <c r="M409" s="139"/>
      <c r="N409" s="159"/>
    </row>
    <row r="410" spans="2:14" ht="15" customHeight="1">
      <c r="B410" s="595"/>
      <c r="C410" s="595"/>
      <c r="M410" s="139"/>
      <c r="N410" s="159"/>
    </row>
    <row r="411" spans="2:14" ht="15" customHeight="1">
      <c r="B411" s="595"/>
      <c r="C411" s="595"/>
      <c r="M411" s="139"/>
      <c r="N411" s="159"/>
    </row>
    <row r="412" spans="2:14" ht="15" customHeight="1">
      <c r="B412" s="595"/>
      <c r="C412" s="595"/>
      <c r="M412" s="139"/>
      <c r="N412" s="159"/>
    </row>
    <row r="413" spans="2:14" ht="15" customHeight="1">
      <c r="B413" s="595"/>
      <c r="C413" s="595"/>
      <c r="M413" s="139"/>
      <c r="N413" s="159"/>
    </row>
    <row r="414" spans="2:14" ht="15" customHeight="1">
      <c r="B414" s="595"/>
      <c r="C414" s="595"/>
      <c r="M414" s="139"/>
      <c r="N414" s="159"/>
    </row>
    <row r="415" spans="2:14" ht="15" customHeight="1">
      <c r="B415" s="595"/>
      <c r="C415" s="595"/>
      <c r="M415" s="139"/>
      <c r="N415" s="159"/>
    </row>
    <row r="416" spans="2:14" ht="15" customHeight="1">
      <c r="B416" s="595"/>
      <c r="C416" s="595"/>
      <c r="M416" s="139"/>
      <c r="N416" s="159"/>
    </row>
    <row r="417" spans="2:14" ht="15" customHeight="1">
      <c r="B417" s="595"/>
      <c r="C417" s="595"/>
      <c r="M417" s="139"/>
      <c r="N417" s="159"/>
    </row>
    <row r="418" spans="2:14" ht="15" customHeight="1">
      <c r="B418" s="595"/>
      <c r="C418" s="595"/>
      <c r="M418" s="139"/>
      <c r="N418" s="159"/>
    </row>
    <row r="419" spans="2:14" ht="15" customHeight="1">
      <c r="B419" s="595"/>
      <c r="C419" s="595"/>
      <c r="M419" s="139"/>
      <c r="N419" s="159"/>
    </row>
    <row r="420" spans="2:14" ht="15" customHeight="1">
      <c r="B420" s="595"/>
      <c r="C420" s="595"/>
      <c r="M420" s="139"/>
      <c r="N420" s="159"/>
    </row>
    <row r="421" spans="2:14" ht="15" customHeight="1">
      <c r="B421" s="595"/>
      <c r="C421" s="595"/>
      <c r="M421" s="139"/>
      <c r="N421" s="159"/>
    </row>
    <row r="422" spans="2:14" ht="15" customHeight="1">
      <c r="B422" s="595"/>
      <c r="C422" s="595"/>
      <c r="M422" s="139"/>
      <c r="N422" s="159"/>
    </row>
    <row r="423" spans="2:14" ht="15" customHeight="1">
      <c r="B423" s="595"/>
      <c r="C423" s="595"/>
      <c r="M423" s="139"/>
      <c r="N423" s="159"/>
    </row>
    <row r="424" spans="2:14" ht="15" customHeight="1">
      <c r="B424" s="595"/>
      <c r="C424" s="595"/>
      <c r="M424" s="139"/>
      <c r="N424" s="159"/>
    </row>
    <row r="425" spans="2:14" ht="15" customHeight="1">
      <c r="B425" s="595"/>
      <c r="C425" s="595"/>
      <c r="M425" s="139"/>
      <c r="N425" s="159"/>
    </row>
    <row r="426" spans="2:14" ht="15" customHeight="1">
      <c r="B426" s="595"/>
      <c r="C426" s="595"/>
      <c r="M426" s="139"/>
      <c r="N426" s="159"/>
    </row>
    <row r="427" spans="2:14" ht="15" customHeight="1">
      <c r="B427" s="595"/>
      <c r="C427" s="595"/>
      <c r="M427" s="139"/>
      <c r="N427" s="159"/>
    </row>
    <row r="428" spans="2:14" ht="15" customHeight="1">
      <c r="B428" s="595"/>
      <c r="C428" s="595"/>
      <c r="M428" s="139"/>
      <c r="N428" s="159"/>
    </row>
    <row r="429" spans="2:14" ht="15" customHeight="1">
      <c r="B429" s="595"/>
      <c r="C429" s="595"/>
      <c r="M429" s="139"/>
      <c r="N429" s="159"/>
    </row>
    <row r="430" spans="2:14" ht="15" customHeight="1">
      <c r="B430" s="595"/>
      <c r="C430" s="595"/>
      <c r="M430" s="139"/>
      <c r="N430" s="159"/>
    </row>
    <row r="431" spans="2:14" ht="15" customHeight="1">
      <c r="B431" s="595"/>
      <c r="C431" s="595"/>
      <c r="M431" s="139"/>
      <c r="N431" s="159"/>
    </row>
    <row r="432" spans="2:14" ht="15" customHeight="1">
      <c r="B432" s="595"/>
      <c r="C432" s="595"/>
      <c r="M432" s="139"/>
      <c r="N432" s="159"/>
    </row>
    <row r="433" spans="2:14" ht="15" customHeight="1">
      <c r="B433" s="595"/>
      <c r="C433" s="595"/>
      <c r="M433" s="139"/>
      <c r="N433" s="159"/>
    </row>
    <row r="434" spans="2:14" ht="15" customHeight="1">
      <c r="B434" s="595"/>
      <c r="C434" s="595"/>
      <c r="M434" s="139"/>
      <c r="N434" s="159"/>
    </row>
    <row r="435" spans="2:14" ht="15" customHeight="1">
      <c r="B435" s="595"/>
      <c r="C435" s="595"/>
      <c r="M435" s="139"/>
      <c r="N435" s="159"/>
    </row>
    <row r="436" spans="2:14" ht="15" customHeight="1">
      <c r="B436" s="595"/>
      <c r="C436" s="595"/>
      <c r="M436" s="139"/>
      <c r="N436" s="159"/>
    </row>
    <row r="437" spans="2:14" ht="15" customHeight="1">
      <c r="B437" s="595"/>
      <c r="C437" s="595"/>
      <c r="M437" s="139"/>
      <c r="N437" s="159"/>
    </row>
    <row r="438" spans="2:14" ht="15" customHeight="1">
      <c r="B438" s="595"/>
      <c r="C438" s="595"/>
      <c r="M438" s="139"/>
      <c r="N438" s="159"/>
    </row>
    <row r="439" spans="2:14" ht="15" customHeight="1">
      <c r="B439" s="595"/>
      <c r="C439" s="595"/>
      <c r="M439" s="139"/>
      <c r="N439" s="159"/>
    </row>
    <row r="440" spans="2:14" ht="15" customHeight="1">
      <c r="B440" s="595"/>
      <c r="C440" s="595"/>
      <c r="M440" s="139"/>
      <c r="N440" s="159"/>
    </row>
    <row r="441" spans="2:14" ht="15" customHeight="1">
      <c r="B441" s="595"/>
      <c r="C441" s="595"/>
      <c r="M441" s="139"/>
      <c r="N441" s="159"/>
    </row>
    <row r="442" spans="2:14" ht="15" customHeight="1">
      <c r="B442" s="595"/>
      <c r="C442" s="595"/>
      <c r="M442" s="139"/>
      <c r="N442" s="159"/>
    </row>
    <row r="443" spans="2:14" ht="15" customHeight="1">
      <c r="B443" s="595"/>
      <c r="C443" s="595"/>
      <c r="M443" s="139"/>
      <c r="N443" s="159"/>
    </row>
    <row r="444" spans="2:14" ht="15" customHeight="1">
      <c r="B444" s="595"/>
      <c r="C444" s="595"/>
      <c r="M444" s="139"/>
      <c r="N444" s="159"/>
    </row>
    <row r="445" spans="2:14" ht="15" customHeight="1">
      <c r="B445" s="595"/>
      <c r="C445" s="595"/>
      <c r="M445" s="139"/>
      <c r="N445" s="159"/>
    </row>
    <row r="446" spans="2:14" ht="15" customHeight="1">
      <c r="B446" s="595"/>
      <c r="C446" s="595"/>
      <c r="M446" s="139"/>
      <c r="N446" s="159"/>
    </row>
    <row r="447" spans="2:14" ht="15" customHeight="1">
      <c r="B447" s="595"/>
      <c r="C447" s="595"/>
      <c r="M447" s="139"/>
      <c r="N447" s="159"/>
    </row>
    <row r="448" spans="2:14" ht="15" customHeight="1">
      <c r="B448" s="595"/>
      <c r="C448" s="595"/>
      <c r="M448" s="139"/>
      <c r="N448" s="159"/>
    </row>
    <row r="449" spans="2:14" ht="15" customHeight="1">
      <c r="B449" s="595"/>
      <c r="C449" s="595"/>
      <c r="M449" s="139"/>
      <c r="N449" s="159"/>
    </row>
    <row r="450" spans="2:14" ht="15" customHeight="1">
      <c r="B450" s="595"/>
      <c r="C450" s="595"/>
      <c r="M450" s="139"/>
      <c r="N450" s="159"/>
    </row>
    <row r="451" spans="2:14" ht="15" customHeight="1">
      <c r="B451" s="595"/>
      <c r="C451" s="595"/>
      <c r="M451" s="139"/>
      <c r="N451" s="159"/>
    </row>
    <row r="452" spans="2:14" ht="15" customHeight="1">
      <c r="B452" s="595"/>
      <c r="C452" s="595"/>
      <c r="M452" s="139"/>
      <c r="N452" s="159"/>
    </row>
    <row r="453" spans="2:14" ht="15" customHeight="1">
      <c r="B453" s="595"/>
      <c r="C453" s="595"/>
      <c r="M453" s="139"/>
      <c r="N453" s="159"/>
    </row>
    <row r="454" spans="2:14" ht="15" customHeight="1">
      <c r="B454" s="595"/>
      <c r="C454" s="595"/>
      <c r="M454" s="139"/>
      <c r="N454" s="159"/>
    </row>
    <row r="455" spans="2:14" ht="15" customHeight="1">
      <c r="B455" s="595"/>
      <c r="C455" s="595"/>
      <c r="M455" s="139"/>
      <c r="N455" s="159"/>
    </row>
    <row r="456" spans="2:14" ht="15" customHeight="1">
      <c r="B456" s="595"/>
      <c r="C456" s="595"/>
      <c r="M456" s="139"/>
      <c r="N456" s="159"/>
    </row>
    <row r="457" spans="2:14" ht="15" customHeight="1">
      <c r="B457" s="595"/>
      <c r="C457" s="595"/>
      <c r="M457" s="139"/>
      <c r="N457" s="159"/>
    </row>
    <row r="458" spans="2:14" ht="15" customHeight="1">
      <c r="M458" s="139"/>
      <c r="N458" s="159"/>
    </row>
    <row r="459" spans="2:14" ht="15" customHeight="1">
      <c r="M459" s="139"/>
      <c r="N459" s="159"/>
    </row>
    <row r="460" spans="2:14" ht="15" customHeight="1">
      <c r="M460" s="139"/>
      <c r="N460" s="159"/>
    </row>
    <row r="461" spans="2:14" ht="15" customHeight="1">
      <c r="M461" s="139"/>
      <c r="N461" s="159"/>
    </row>
    <row r="462" spans="2:14" ht="15" customHeight="1">
      <c r="M462" s="139"/>
      <c r="N462" s="159"/>
    </row>
    <row r="463" spans="2:14" ht="15" customHeight="1">
      <c r="M463" s="139"/>
      <c r="N463" s="159"/>
    </row>
    <row r="464" spans="2:14" ht="15" customHeight="1">
      <c r="M464" s="139"/>
      <c r="N464" s="159"/>
    </row>
    <row r="465" spans="13:14" ht="15" customHeight="1">
      <c r="M465" s="139"/>
      <c r="N465" s="159"/>
    </row>
    <row r="466" spans="13:14" ht="15" customHeight="1">
      <c r="M466" s="139"/>
      <c r="N466" s="159"/>
    </row>
    <row r="467" spans="13:14" ht="15" customHeight="1">
      <c r="M467" s="139"/>
      <c r="N467" s="159"/>
    </row>
    <row r="468" spans="13:14" ht="15" customHeight="1">
      <c r="M468" s="139"/>
      <c r="N468" s="159"/>
    </row>
    <row r="469" spans="13:14" ht="15" customHeight="1">
      <c r="M469" s="139"/>
      <c r="N469" s="159"/>
    </row>
    <row r="470" spans="13:14" ht="15" customHeight="1">
      <c r="M470" s="139"/>
      <c r="N470" s="159"/>
    </row>
    <row r="471" spans="13:14" ht="15" customHeight="1">
      <c r="M471" s="139"/>
      <c r="N471" s="159"/>
    </row>
    <row r="472" spans="13:14" ht="15" customHeight="1">
      <c r="M472" s="139"/>
      <c r="N472" s="159"/>
    </row>
    <row r="473" spans="13:14" ht="15" customHeight="1">
      <c r="M473" s="139"/>
      <c r="N473" s="159"/>
    </row>
    <row r="474" spans="13:14" ht="15" customHeight="1">
      <c r="M474" s="139"/>
      <c r="N474" s="159"/>
    </row>
    <row r="475" spans="13:14" ht="15" customHeight="1">
      <c r="M475" s="139"/>
      <c r="N475" s="159"/>
    </row>
    <row r="476" spans="13:14" ht="15" customHeight="1">
      <c r="M476" s="139"/>
      <c r="N476" s="159"/>
    </row>
    <row r="477" spans="13:14" ht="15" customHeight="1">
      <c r="M477" s="139"/>
      <c r="N477" s="159"/>
    </row>
    <row r="478" spans="13:14" ht="15" customHeight="1">
      <c r="M478" s="139"/>
      <c r="N478" s="159"/>
    </row>
    <row r="479" spans="13:14" ht="15" customHeight="1">
      <c r="M479" s="139"/>
      <c r="N479" s="159"/>
    </row>
    <row r="480" spans="13:14" ht="15" customHeight="1">
      <c r="M480" s="139"/>
      <c r="N480" s="159"/>
    </row>
    <row r="481" spans="13:14" ht="15" customHeight="1">
      <c r="M481" s="139"/>
      <c r="N481" s="159"/>
    </row>
    <row r="482" spans="13:14" ht="15" customHeight="1">
      <c r="M482" s="139"/>
      <c r="N482" s="159"/>
    </row>
    <row r="483" spans="13:14" ht="15" customHeight="1">
      <c r="M483" s="139"/>
      <c r="N483" s="159"/>
    </row>
    <row r="484" spans="13:14" ht="15" customHeight="1">
      <c r="M484" s="139"/>
      <c r="N484" s="159"/>
    </row>
    <row r="485" spans="13:14" ht="15" customHeight="1">
      <c r="M485" s="139"/>
      <c r="N485" s="159"/>
    </row>
    <row r="486" spans="13:14" ht="15" customHeight="1">
      <c r="M486" s="139"/>
      <c r="N486" s="159"/>
    </row>
    <row r="487" spans="13:14" ht="15" customHeight="1">
      <c r="M487" s="139"/>
      <c r="N487" s="159"/>
    </row>
    <row r="488" spans="13:14" ht="15" customHeight="1">
      <c r="M488" s="139"/>
      <c r="N488" s="159"/>
    </row>
    <row r="489" spans="13:14" ht="15" customHeight="1">
      <c r="M489" s="139"/>
      <c r="N489" s="159"/>
    </row>
    <row r="490" spans="13:14" ht="15" customHeight="1">
      <c r="M490" s="139"/>
      <c r="N490" s="159"/>
    </row>
    <row r="491" spans="13:14" ht="15" customHeight="1">
      <c r="M491" s="139"/>
      <c r="N491" s="159"/>
    </row>
    <row r="492" spans="13:14" ht="15" customHeight="1">
      <c r="M492" s="139"/>
      <c r="N492" s="159"/>
    </row>
    <row r="493" spans="13:14" ht="15" customHeight="1">
      <c r="M493" s="139"/>
      <c r="N493" s="159"/>
    </row>
    <row r="494" spans="13:14" ht="15" customHeight="1">
      <c r="M494" s="139"/>
      <c r="N494" s="159"/>
    </row>
    <row r="495" spans="13:14" ht="15" customHeight="1">
      <c r="M495" s="139"/>
      <c r="N495" s="159"/>
    </row>
    <row r="496" spans="13:14" ht="15" customHeight="1">
      <c r="M496" s="139"/>
      <c r="N496" s="159"/>
    </row>
    <row r="497" spans="13:14" ht="15" customHeight="1">
      <c r="M497" s="139"/>
      <c r="N497" s="159"/>
    </row>
    <row r="498" spans="13:14" ht="15" customHeight="1">
      <c r="M498" s="139"/>
      <c r="N498" s="159"/>
    </row>
    <row r="499" spans="13:14" ht="15" customHeight="1">
      <c r="M499" s="139"/>
      <c r="N499" s="159"/>
    </row>
    <row r="500" spans="13:14" ht="15" customHeight="1">
      <c r="M500" s="139"/>
      <c r="N500" s="159"/>
    </row>
    <row r="501" spans="13:14" ht="15" customHeight="1">
      <c r="M501" s="139"/>
      <c r="N501" s="159"/>
    </row>
    <row r="502" spans="13:14" ht="15" customHeight="1">
      <c r="M502" s="139"/>
      <c r="N502" s="159"/>
    </row>
    <row r="503" spans="13:14" ht="15" customHeight="1">
      <c r="M503" s="139"/>
      <c r="N503" s="159"/>
    </row>
    <row r="504" spans="13:14" ht="15" customHeight="1">
      <c r="M504" s="139"/>
      <c r="N504" s="159"/>
    </row>
    <row r="505" spans="13:14" ht="15" customHeight="1">
      <c r="M505" s="139"/>
      <c r="N505" s="159"/>
    </row>
    <row r="506" spans="13:14" ht="15" customHeight="1">
      <c r="M506" s="139"/>
      <c r="N506" s="159"/>
    </row>
    <row r="507" spans="13:14" ht="15" customHeight="1">
      <c r="M507" s="139"/>
      <c r="N507" s="159"/>
    </row>
    <row r="508" spans="13:14" ht="15" customHeight="1">
      <c r="M508" s="139"/>
      <c r="N508" s="159"/>
    </row>
    <row r="509" spans="13:14" ht="15" customHeight="1">
      <c r="M509" s="139"/>
      <c r="N509" s="159"/>
    </row>
    <row r="510" spans="13:14" ht="15" customHeight="1">
      <c r="M510" s="139"/>
      <c r="N510" s="159"/>
    </row>
    <row r="511" spans="13:14" ht="15" customHeight="1">
      <c r="M511" s="139"/>
      <c r="N511" s="159"/>
    </row>
    <row r="512" spans="13:14" ht="15" customHeight="1">
      <c r="M512" s="139"/>
      <c r="N512" s="159"/>
    </row>
    <row r="513" spans="13:14" ht="15" customHeight="1">
      <c r="M513" s="139"/>
      <c r="N513" s="159"/>
    </row>
    <row r="514" spans="13:14" ht="15" customHeight="1">
      <c r="M514" s="139"/>
      <c r="N514" s="159"/>
    </row>
    <row r="515" spans="13:14" ht="15" customHeight="1">
      <c r="M515" s="139"/>
      <c r="N515" s="159"/>
    </row>
    <row r="516" spans="13:14" ht="15" customHeight="1">
      <c r="M516" s="139"/>
      <c r="N516" s="159"/>
    </row>
    <row r="517" spans="13:14" ht="15" customHeight="1">
      <c r="M517" s="139"/>
      <c r="N517" s="159"/>
    </row>
    <row r="518" spans="13:14" ht="15" customHeight="1">
      <c r="M518" s="139"/>
      <c r="N518" s="159"/>
    </row>
    <row r="519" spans="13:14" ht="15" customHeight="1">
      <c r="M519" s="139"/>
      <c r="N519" s="159"/>
    </row>
    <row r="520" spans="13:14" ht="15" customHeight="1">
      <c r="M520" s="139"/>
      <c r="N520" s="159"/>
    </row>
    <row r="521" spans="13:14" ht="15" customHeight="1">
      <c r="M521" s="139"/>
      <c r="N521" s="159"/>
    </row>
    <row r="522" spans="13:14" ht="15" customHeight="1">
      <c r="M522" s="139"/>
      <c r="N522" s="159"/>
    </row>
    <row r="523" spans="13:14" ht="15" customHeight="1">
      <c r="M523" s="139"/>
      <c r="N523" s="159"/>
    </row>
    <row r="524" spans="13:14" ht="15" customHeight="1">
      <c r="M524" s="139"/>
      <c r="N524" s="159"/>
    </row>
    <row r="525" spans="13:14" ht="15" customHeight="1">
      <c r="M525" s="139"/>
      <c r="N525" s="159"/>
    </row>
    <row r="526" spans="13:14" ht="15" customHeight="1">
      <c r="M526" s="139"/>
      <c r="N526" s="159"/>
    </row>
    <row r="527" spans="13:14" ht="15" customHeight="1">
      <c r="M527" s="139"/>
      <c r="N527" s="159"/>
    </row>
    <row r="528" spans="13:14" ht="15" customHeight="1">
      <c r="M528" s="139"/>
      <c r="N528" s="159"/>
    </row>
    <row r="529" spans="13:14" ht="15" customHeight="1">
      <c r="M529" s="139"/>
      <c r="N529" s="159"/>
    </row>
    <row r="530" spans="13:14" ht="15" customHeight="1">
      <c r="M530" s="139"/>
      <c r="N530" s="159"/>
    </row>
    <row r="531" spans="13:14" ht="15" customHeight="1">
      <c r="M531" s="139"/>
      <c r="N531" s="159"/>
    </row>
    <row r="532" spans="13:14" ht="15" customHeight="1">
      <c r="M532" s="139"/>
      <c r="N532" s="159"/>
    </row>
    <row r="533" spans="13:14" ht="15" customHeight="1">
      <c r="M533" s="139"/>
      <c r="N533" s="159"/>
    </row>
    <row r="534" spans="13:14" ht="15" customHeight="1">
      <c r="M534" s="139"/>
      <c r="N534" s="159"/>
    </row>
    <row r="535" spans="13:14" ht="15" customHeight="1">
      <c r="M535" s="139"/>
      <c r="N535" s="159"/>
    </row>
    <row r="536" spans="13:14" ht="15" customHeight="1">
      <c r="M536" s="139"/>
      <c r="N536" s="159"/>
    </row>
    <row r="537" spans="13:14" ht="15" customHeight="1">
      <c r="M537" s="139"/>
      <c r="N537" s="159"/>
    </row>
    <row r="538" spans="13:14" ht="15" customHeight="1">
      <c r="M538" s="139"/>
      <c r="N538" s="159"/>
    </row>
    <row r="539" spans="13:14" ht="15" customHeight="1">
      <c r="M539" s="139"/>
      <c r="N539" s="159"/>
    </row>
    <row r="540" spans="13:14" ht="15" customHeight="1">
      <c r="M540" s="139"/>
      <c r="N540" s="159"/>
    </row>
    <row r="541" spans="13:14" ht="15" customHeight="1">
      <c r="M541" s="139"/>
      <c r="N541" s="159"/>
    </row>
    <row r="542" spans="13:14" ht="15" customHeight="1">
      <c r="M542" s="139"/>
      <c r="N542" s="159"/>
    </row>
    <row r="543" spans="13:14" ht="15" customHeight="1">
      <c r="M543" s="139"/>
      <c r="N543" s="159"/>
    </row>
    <row r="544" spans="13:14" ht="15" customHeight="1">
      <c r="M544" s="139"/>
      <c r="N544" s="159"/>
    </row>
    <row r="545" spans="13:14" ht="15" customHeight="1">
      <c r="M545" s="139"/>
      <c r="N545" s="159"/>
    </row>
    <row r="546" spans="13:14" ht="15" customHeight="1">
      <c r="M546" s="139"/>
      <c r="N546" s="159"/>
    </row>
    <row r="547" spans="13:14" ht="15" customHeight="1">
      <c r="M547" s="139"/>
      <c r="N547" s="159"/>
    </row>
    <row r="548" spans="13:14" ht="15" customHeight="1">
      <c r="M548" s="139"/>
      <c r="N548" s="159"/>
    </row>
    <row r="549" spans="13:14" ht="15" customHeight="1">
      <c r="M549" s="139"/>
      <c r="N549" s="159"/>
    </row>
    <row r="550" spans="13:14" ht="15" customHeight="1">
      <c r="M550" s="139"/>
      <c r="N550" s="159"/>
    </row>
    <row r="551" spans="13:14" ht="15" customHeight="1">
      <c r="M551" s="139"/>
      <c r="N551" s="159"/>
    </row>
    <row r="552" spans="13:14" ht="15" customHeight="1">
      <c r="M552" s="139"/>
      <c r="N552" s="159"/>
    </row>
    <row r="553" spans="13:14" ht="15" customHeight="1">
      <c r="M553" s="139"/>
      <c r="N553" s="159"/>
    </row>
    <row r="554" spans="13:14" ht="15" customHeight="1">
      <c r="N554" s="159"/>
    </row>
    <row r="555" spans="13:14" ht="15" customHeight="1">
      <c r="N555" s="159"/>
    </row>
    <row r="556" spans="13:14" ht="15" customHeight="1">
      <c r="N556" s="159"/>
    </row>
    <row r="557" spans="13:14" ht="15" customHeight="1">
      <c r="N557" s="159"/>
    </row>
    <row r="558" spans="13:14" ht="15" customHeight="1">
      <c r="N558" s="159"/>
    </row>
    <row r="559" spans="13:14" ht="15" customHeight="1">
      <c r="N559" s="159"/>
    </row>
  </sheetData>
  <autoFilter ref="A3:AL4" xr:uid="{00000000-0009-0000-0000-00000E000000}">
    <sortState xmlns:xlrd2="http://schemas.microsoft.com/office/spreadsheetml/2017/richdata2" ref="A4:AL19">
      <sortCondition ref="A3:A4"/>
    </sortState>
  </autoFilter>
  <pageMargins left="0.7" right="0.7" top="0.75" bottom="0.75" header="0" footer="0"/>
  <pageSetup scale="17" fitToHeight="0" orientation="portrait" horizontalDpi="360" verticalDpi="360" r:id="rId1"/>
  <ignoredErrors>
    <ignoredError sqref="AI3" formula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41">
    <tabColor rgb="FF00B050"/>
    <pageSetUpPr fitToPage="1"/>
  </sheetPr>
  <dimension ref="A1:AN304"/>
  <sheetViews>
    <sheetView showGridLines="0" zoomScale="96" zoomScaleNormal="96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3" sqref="A3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1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4" width="20.33203125" customWidth="1"/>
    <col min="35" max="35" width="14.44140625" customWidth="1"/>
    <col min="36" max="36" width="17.5546875" customWidth="1"/>
    <col min="37" max="37" width="5.109375" customWidth="1"/>
    <col min="38" max="38" width="14.44140625" customWidth="1"/>
    <col min="39" max="39" width="15.33203125" customWidth="1"/>
    <col min="40" max="40" width="14.44140625" customWidth="1"/>
  </cols>
  <sheetData>
    <row r="1" spans="1:40" ht="15" customHeight="1" thickBot="1">
      <c r="A1" s="677"/>
      <c r="D1" s="1075" t="s">
        <v>2275</v>
      </c>
      <c r="E1" s="1076">
        <f>+E2/+(Q2/100)</f>
        <v>6233.5266410532831</v>
      </c>
      <c r="F1" s="1075" t="s">
        <v>1906</v>
      </c>
      <c r="G1" s="1076">
        <f>+$AL3</f>
        <v>452966.81542518805</v>
      </c>
      <c r="H1" s="81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699" t="s">
        <v>36</v>
      </c>
      <c r="AJ1" s="87" t="s">
        <v>37</v>
      </c>
      <c r="AK1" s="88"/>
      <c r="AL1" s="89" t="s">
        <v>38</v>
      </c>
      <c r="AM1" s="1180"/>
      <c r="AN1" s="89"/>
    </row>
    <row r="2" spans="1:40" ht="15" customHeight="1" thickBot="1">
      <c r="B2" s="847"/>
      <c r="D2" s="1075" t="s">
        <v>1907</v>
      </c>
      <c r="E2" s="1076">
        <f>+AH3</f>
        <v>5823.3770953491257</v>
      </c>
      <c r="F2" s="1079" t="s">
        <v>1908</v>
      </c>
      <c r="G2" s="1080">
        <f>+Q2</f>
        <v>93.420264814415646</v>
      </c>
      <c r="H2" s="90"/>
      <c r="I2" s="91">
        <f>SUBTOTAL(9,I4:I8599)</f>
        <v>755.68000000000052</v>
      </c>
      <c r="J2" s="81"/>
      <c r="K2" s="91">
        <f>SUBTOTAL(9,K4:K8599)</f>
        <v>666.35937200000001</v>
      </c>
      <c r="L2" s="93">
        <f>SUMPRODUCT(L5:L8599,K5:K8599)/K2</f>
        <v>0.27306314538861176</v>
      </c>
      <c r="M2" s="6"/>
      <c r="P2" s="94">
        <f>+SUMPRODUCT(P5:P8599,AG5:AG8599)/SUM(AG5:AG8599)</f>
        <v>89.62537598540311</v>
      </c>
      <c r="Q2" s="94">
        <f>+SUMPRODUCT(Q5:Q8599,AH5:AH8599)/SUM(AH5:AH8599)</f>
        <v>93.420264814415646</v>
      </c>
      <c r="R2" s="1151">
        <f>+SUMPRODUCT(R5:R8599,AH5:AH8599)/SUM(AH5:AH8599)</f>
        <v>3339.5120687499052</v>
      </c>
      <c r="S2" s="6"/>
      <c r="AB2" s="83"/>
      <c r="AC2" s="83"/>
      <c r="AD2" s="83"/>
      <c r="AE2" s="83"/>
      <c r="AF2" s="83"/>
      <c r="AG2" s="769">
        <f>SUMPRODUCT($AG5:$AG8599,$K5:$K8599)/SUM($K5:$K8599)</f>
        <v>100.25586967744364</v>
      </c>
      <c r="AH2" s="702"/>
      <c r="AI2" s="252">
        <v>3350</v>
      </c>
      <c r="AJ2" s="98"/>
      <c r="AK2" s="88"/>
      <c r="AL2" s="99"/>
      <c r="AM2" s="1181"/>
      <c r="AN2" s="99"/>
    </row>
    <row r="3" spans="1:40" ht="15" customHeight="1" thickBot="1">
      <c r="A3" s="678" t="s">
        <v>11</v>
      </c>
      <c r="B3" s="678" t="s">
        <v>39</v>
      </c>
      <c r="C3" s="678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18">
        <f>SUBTOTAL(9,AH5:AH8599)</f>
        <v>5823.3770953491257</v>
      </c>
      <c r="AI3" s="700">
        <f>SUMPRODUCT(K5:K8599,AI5:AI8599)/K2</f>
        <v>32.642709350691142</v>
      </c>
      <c r="AJ3" s="118">
        <f>SUBTOTAL(9,AJ5:AJ8599)</f>
        <v>5390.937430817422</v>
      </c>
      <c r="AK3" s="88"/>
      <c r="AL3" s="118">
        <f>SUBTOTAL(9,AL5:AL8599)</f>
        <v>452966.81542518805</v>
      </c>
      <c r="AM3" s="1182" t="s">
        <v>2247</v>
      </c>
      <c r="AN3" s="1168" t="s">
        <v>2283</v>
      </c>
    </row>
    <row r="4" spans="1:40" s="677" customFormat="1" ht="15.75" customHeight="1">
      <c r="A4" s="720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4"/>
      <c r="AJ4" s="675"/>
      <c r="AK4" s="676"/>
      <c r="AL4" s="732"/>
      <c r="AM4" s="732"/>
      <c r="AN4" s="732"/>
    </row>
    <row r="5" spans="1:40" ht="15" customHeight="1">
      <c r="A5" s="747" t="s">
        <v>2100</v>
      </c>
      <c r="B5" s="595">
        <v>45766</v>
      </c>
      <c r="C5" s="595">
        <v>45762</v>
      </c>
      <c r="D5" t="s">
        <v>1967</v>
      </c>
      <c r="E5">
        <f>_xlfn.XLOOKUP(D5,RUC!$B$3:$B$123,RUC!$D$3:$D$123)</f>
        <v>20601769396</v>
      </c>
      <c r="G5" s="80">
        <v>42</v>
      </c>
      <c r="H5" t="s">
        <v>108</v>
      </c>
      <c r="I5">
        <v>3.18</v>
      </c>
      <c r="J5">
        <v>15.6</v>
      </c>
      <c r="K5" s="138">
        <f>+I5-(I5*(J5/100))</f>
        <v>2.6839200000000001</v>
      </c>
      <c r="L5" s="139">
        <v>0.32200000000000001</v>
      </c>
      <c r="M5" s="139">
        <v>0.30299999999999999</v>
      </c>
      <c r="N5" s="159">
        <v>0.30299999999999999</v>
      </c>
      <c r="O5" s="645">
        <f>+ROUND((M5+N5)/2,3)</f>
        <v>0.30299999999999999</v>
      </c>
      <c r="P5" s="727">
        <v>90</v>
      </c>
      <c r="Q5" s="596">
        <v>90.1</v>
      </c>
      <c r="R5" s="706">
        <v>3219.6</v>
      </c>
      <c r="S5" s="765">
        <f>IF((90+ROUNDDOWN(O5,1)*100)&lt;95,95,(90+ROUNDDOWN(O5,1)*100))</f>
        <v>120</v>
      </c>
      <c r="U5" s="1066">
        <v>120</v>
      </c>
      <c r="V5" s="715">
        <v>1.1023000000000001</v>
      </c>
      <c r="Y5">
        <v>20</v>
      </c>
      <c r="Z5" s="143">
        <f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>+Y5+Z5</f>
        <v>50</v>
      </c>
      <c r="AB5" s="145">
        <f>+((O5*P5*(R5-U5)/100)-S5-AA5+T5)*V5</f>
        <v>744.340112116</v>
      </c>
      <c r="AC5" s="145">
        <f>+(S5-T5)*V5-'data 1'!$F$4</f>
        <v>52.27600000000001</v>
      </c>
      <c r="AD5" s="145">
        <f>+(Q5-P5)*(R5-U5)*L5*V5/100</f>
        <v>1.1001738837599375</v>
      </c>
      <c r="AE5" s="145">
        <f>+(Y5*V5-70)+V5*(Z5-IF(D5="UNTUCA",IF(+((W5-3)*2.5+(X5-3)*3.1)&gt;0,+((W5-3)*1.5+(X5-3)*3.1),0),IF(+((W5-3)*1.5+(X5-3)*3.1)&gt;0,+((W5-3)*1.5+(X5-3)*3.1),0)))</f>
        <v>-14.884999999999998</v>
      </c>
      <c r="AF5" s="145">
        <f>(L5-O5)*(R5-U5)*Q5*V5/100</f>
        <v>58.49030036052006</v>
      </c>
      <c r="AG5" s="772">
        <f>+IF(D5="RONALD WILLIAN GARIBAY ESCUDERO",AC5+AD5+AE5+AF5+70,AC5+AD5+AE5+AF5)+70-53</f>
        <v>113.98147424428001</v>
      </c>
      <c r="AH5" s="146">
        <f>31.1035*L5*Q5*1.1023*K5/100</f>
        <v>26.696805568716055</v>
      </c>
      <c r="AI5" s="156">
        <f>+((+$AI$2-R5+U5)*L5*Q5*V5)/100</f>
        <v>80.078290742240029</v>
      </c>
      <c r="AJ5" s="156">
        <f>31.1035*1.1023*K5*P5*O5/100</f>
        <v>25.093646392169045</v>
      </c>
      <c r="AK5" s="88"/>
      <c r="AL5" s="716">
        <f t="shared" ref="AL5:AL57" si="0">+IF(AB5*K5&gt;0,AB5*K5,0)</f>
        <v>1997.7493137103747</v>
      </c>
      <c r="AM5" s="716" t="str">
        <f>_xlfn.XLOOKUP(D5,RUC!$B$3:$B$72,RUC!$M$3:$M$72)</f>
        <v>Evelyn</v>
      </c>
      <c r="AN5" s="1167" t="s">
        <v>2277</v>
      </c>
    </row>
    <row r="6" spans="1:40" ht="15" customHeight="1">
      <c r="A6" s="747" t="s">
        <v>2101</v>
      </c>
      <c r="B6" s="595">
        <v>45766</v>
      </c>
      <c r="C6" s="595">
        <v>45762</v>
      </c>
      <c r="D6" t="s">
        <v>1967</v>
      </c>
      <c r="E6">
        <f>_xlfn.XLOOKUP(D6,RUC!$B$3:$B$123,RUC!$D$3:$D$123)</f>
        <v>20601769396</v>
      </c>
      <c r="G6" s="80">
        <v>38</v>
      </c>
      <c r="H6" t="s">
        <v>108</v>
      </c>
      <c r="I6">
        <v>2.81</v>
      </c>
      <c r="J6">
        <v>12.6</v>
      </c>
      <c r="K6" s="138">
        <f>+I6-(I6*(J6/100))</f>
        <v>2.45594</v>
      </c>
      <c r="L6" s="139">
        <v>0.40100000000000002</v>
      </c>
      <c r="M6" s="139">
        <v>0.377</v>
      </c>
      <c r="N6" s="159">
        <v>0.377</v>
      </c>
      <c r="O6" s="645">
        <f>+ROUND((M6+N6)/2,3)</f>
        <v>0.377</v>
      </c>
      <c r="P6" s="727">
        <v>90</v>
      </c>
      <c r="Q6" s="596">
        <v>90.2</v>
      </c>
      <c r="R6" s="706">
        <v>3219.6</v>
      </c>
      <c r="S6" s="765">
        <f>IF((90+ROUNDDOWN(O6,1)*100)&lt;95,95,(90+ROUNDDOWN(O6,1)*100))</f>
        <v>120</v>
      </c>
      <c r="U6" s="1066">
        <v>120</v>
      </c>
      <c r="V6" s="715">
        <v>1.1023000000000001</v>
      </c>
      <c r="Y6">
        <v>20</v>
      </c>
      <c r="Z6" s="143">
        <f>IF(IF(D6="UNTUCA",IF(+((W6-3)*1.5+(X6-3)*3.1)&gt;0,+((W6-3)*1.5+(X6-3)*3.1),0),IF(+((W6-3)*1.5+(X6-3)*3.1)&gt;0,+((W6-3)*1.5+(X6-3)*3.1),0))&lt;30,30,IF(D6="UNTUCA",IF(+((W6-3)*1.5+(X6-3)*3.1)&gt;0,+((W6-3)*1.5+(X6-3)*3.1),0),IF(+((W6-3)*1.5+(X6-3)*3.1)&gt;0,+((W6-3)*1.5+(X6-3)*3.1),0)))</f>
        <v>30</v>
      </c>
      <c r="AA6" s="144">
        <f>+Y6+Z6</f>
        <v>50</v>
      </c>
      <c r="AB6" s="145">
        <f>+((O6*P6*(R6-U6)/100)-S6-AA6+T6)*V6</f>
        <v>971.89160484399997</v>
      </c>
      <c r="AC6" s="145">
        <f>+(S6-T6)*V6-'data 1'!$F$4</f>
        <v>52.27600000000001</v>
      </c>
      <c r="AD6" s="145">
        <f>+(Q6-P6)*(R6-U6)*L6*V6/100</f>
        <v>2.7401846421600391</v>
      </c>
      <c r="AE6" s="145">
        <f>+(Y6*V6-70)+V6*(Z6-IF(D6="UNTUCA",IF(+((W6-3)*2.5+(X6-3)*3.1)&gt;0,+((W6-3)*1.5+(X6-3)*3.1),0),IF(+((W6-3)*1.5+(X6-3)*3.1)&gt;0,+((W6-3)*1.5+(X6-3)*3.1),0)))</f>
        <v>-14.884999999999998</v>
      </c>
      <c r="AF6" s="145">
        <f>(L6-O6)*(R6-U6)*Q6*V6/100</f>
        <v>73.96448520384007</v>
      </c>
      <c r="AG6" s="772">
        <f>+IF(D6="RONALD WILLIAN GARIBAY ESCUDERO",AC6+AD6+AE6+AF6+70,AC6+AD6+AE6+AF6)+70-53</f>
        <v>131.09566984600013</v>
      </c>
      <c r="AH6" s="146">
        <f>31.1035*L6*Q6*1.1023*K6/100</f>
        <v>30.456341394694753</v>
      </c>
      <c r="AI6" s="156">
        <f>+((+$AI$2-R6+U6)*L6*Q6*V6)/100</f>
        <v>99.835510295840052</v>
      </c>
      <c r="AJ6" s="156">
        <f>31.1035*1.1023*K6*P6*O6/100</f>
        <v>28.570029016206522</v>
      </c>
      <c r="AK6" s="88"/>
      <c r="AL6" s="716">
        <f t="shared" si="0"/>
        <v>2386.9074680005733</v>
      </c>
      <c r="AM6" s="716" t="str">
        <f>_xlfn.XLOOKUP(D6,RUC!$B$3:$B$72,RUC!$M$3:$M$72)</f>
        <v>Evelyn</v>
      </c>
      <c r="AN6" s="1167" t="s">
        <v>2277</v>
      </c>
    </row>
    <row r="7" spans="1:40" ht="15" customHeight="1">
      <c r="A7" s="747" t="s">
        <v>2102</v>
      </c>
      <c r="B7" s="595">
        <v>45766</v>
      </c>
      <c r="C7" s="595">
        <v>45762</v>
      </c>
      <c r="D7" t="s">
        <v>1967</v>
      </c>
      <c r="E7">
        <f>_xlfn.XLOOKUP(D7,RUC!$B$3:$B$123,RUC!$D$3:$D$123)</f>
        <v>20601769396</v>
      </c>
      <c r="G7" s="80">
        <v>37</v>
      </c>
      <c r="H7" t="s">
        <v>108</v>
      </c>
      <c r="I7">
        <v>2.58</v>
      </c>
      <c r="J7">
        <v>14.35</v>
      </c>
      <c r="K7" s="138">
        <f>+I7-(I7*(J7/100))</f>
        <v>2.2097700000000002</v>
      </c>
      <c r="L7" s="139">
        <v>0.35399999999999998</v>
      </c>
      <c r="M7" s="139">
        <v>0.33300000000000002</v>
      </c>
      <c r="N7" s="159">
        <v>0.33300000000000002</v>
      </c>
      <c r="O7" s="645">
        <f>+ROUND((M7+N7)/2,3)</f>
        <v>0.33300000000000002</v>
      </c>
      <c r="P7" s="727">
        <v>90</v>
      </c>
      <c r="Q7" s="596">
        <v>90.1</v>
      </c>
      <c r="R7" s="706">
        <v>3219.6</v>
      </c>
      <c r="S7" s="765">
        <f>IF((90+ROUNDDOWN(O7,1)*100)&lt;95,95,(90+ROUNDDOWN(O7,1)*100))</f>
        <v>120</v>
      </c>
      <c r="U7" s="1066">
        <v>120</v>
      </c>
      <c r="V7" s="715">
        <v>1.1023000000000001</v>
      </c>
      <c r="Y7">
        <v>20</v>
      </c>
      <c r="Z7" s="143">
        <f>IF(IF(D7="UNTUCA",IF(+((W7-3)*1.5+(X7-3)*3.1)&gt;0,+((W7-3)*1.5+(X7-3)*3.1),0),IF(+((W7-3)*1.5+(X7-3)*3.1)&gt;0,+((W7-3)*1.5+(X7-3)*3.1),0))&lt;30,30,IF(D7="UNTUCA",IF(+((W7-3)*1.5+(X7-3)*3.1)&gt;0,+((W7-3)*1.5+(X7-3)*3.1),0),IF(+((W7-3)*1.5+(X7-3)*3.1)&gt;0,+((W7-3)*1.5+(X7-3)*3.1),0)))</f>
        <v>30</v>
      </c>
      <c r="AA7" s="144">
        <f>+Y7+Z7</f>
        <v>50</v>
      </c>
      <c r="AB7" s="145">
        <f>+((O7*P7*(R7-U7)/100)-S7-AA7+T7)*V7</f>
        <v>836.59071727599996</v>
      </c>
      <c r="AC7" s="145">
        <f>+(S7-T7)*V7-'data 1'!$F$4</f>
        <v>52.27600000000001</v>
      </c>
      <c r="AD7" s="145">
        <f>+(Q7-P7)*(R7-U7)*L7*V7/100</f>
        <v>1.2095079343199311</v>
      </c>
      <c r="AE7" s="145">
        <f>+(Y7*V7-70)+V7*(Z7-IF(D7="UNTUCA",IF(+((W7-3)*2.5+(X7-3)*3.1)&gt;0,+((W7-3)*1.5+(X7-3)*3.1),0),IF(+((W7-3)*1.5+(X7-3)*3.1)&gt;0,+((W7-3)*1.5+(X7-3)*3.1),0)))</f>
        <v>-14.884999999999998</v>
      </c>
      <c r="AF7" s="145">
        <f>(L7-O7)*(R7-U7)*Q7*V7/100</f>
        <v>64.647174082679882</v>
      </c>
      <c r="AG7" s="772">
        <f>+IF(D7="RONALD WILLIAN GARIBAY ESCUDERO",AC7+AD7+AE7+AF7+70,AC7+AD7+AE7+AF7)+70-53</f>
        <v>120.24768201699982</v>
      </c>
      <c r="AH7" s="146">
        <f>31.1035*L7*Q7*1.1023*K7/100</f>
        <v>24.164855112638516</v>
      </c>
      <c r="AI7" s="156">
        <f>+((+$AI$2-R7+U7)*L7*Q7*V7)/100</f>
        <v>88.036381747680025</v>
      </c>
      <c r="AJ7" s="156">
        <f>31.1035*1.1023*K7*P7*O7/100</f>
        <v>22.706117738789182</v>
      </c>
      <c r="AK7" s="88"/>
      <c r="AL7" s="716">
        <f t="shared" si="0"/>
        <v>1848.6730693149866</v>
      </c>
      <c r="AM7" s="716" t="str">
        <f>_xlfn.XLOOKUP(D7,RUC!$B$3:$B$72,RUC!$M$3:$M$72)</f>
        <v>Evelyn</v>
      </c>
      <c r="AN7" s="1167" t="s">
        <v>2277</v>
      </c>
    </row>
    <row r="8" spans="1:40" ht="15" customHeight="1">
      <c r="A8" s="877" t="s">
        <v>2111</v>
      </c>
      <c r="B8" s="595"/>
      <c r="C8" s="595"/>
      <c r="G8" s="80"/>
      <c r="K8" s="138"/>
      <c r="L8" s="139"/>
      <c r="M8" s="139"/>
      <c r="N8" s="598"/>
      <c r="O8" s="645"/>
      <c r="P8" s="727"/>
      <c r="Q8" s="596"/>
      <c r="R8" s="706"/>
      <c r="S8" s="765"/>
      <c r="U8" s="1066"/>
      <c r="V8" s="715"/>
      <c r="Z8" s="143"/>
      <c r="AA8" s="144"/>
      <c r="AB8" s="145"/>
      <c r="AC8" s="145"/>
      <c r="AD8" s="145"/>
      <c r="AE8" s="145"/>
      <c r="AF8" s="145"/>
      <c r="AG8" s="772"/>
      <c r="AH8" s="146"/>
      <c r="AI8" s="156"/>
      <c r="AJ8" s="156"/>
      <c r="AK8" s="88"/>
      <c r="AL8" s="716"/>
      <c r="AM8" s="716"/>
      <c r="AN8" s="1167" t="s">
        <v>2282</v>
      </c>
    </row>
    <row r="9" spans="1:40" ht="15" customHeight="1">
      <c r="A9" s="877" t="s">
        <v>2112</v>
      </c>
      <c r="B9" s="595"/>
      <c r="C9" s="595"/>
      <c r="G9" s="80"/>
      <c r="K9" s="138"/>
      <c r="L9" s="139"/>
      <c r="M9" s="139"/>
      <c r="N9" s="598"/>
      <c r="O9" s="645"/>
      <c r="P9" s="727"/>
      <c r="Q9" s="596"/>
      <c r="R9" s="706"/>
      <c r="S9" s="839"/>
      <c r="U9" s="1066"/>
      <c r="V9" s="715"/>
      <c r="Z9" s="143"/>
      <c r="AA9" s="144"/>
      <c r="AB9" s="145"/>
      <c r="AC9" s="145"/>
      <c r="AD9" s="145"/>
      <c r="AE9" s="145"/>
      <c r="AF9" s="145"/>
      <c r="AG9" s="772"/>
      <c r="AH9" s="146"/>
      <c r="AI9" s="156"/>
      <c r="AJ9" s="156"/>
      <c r="AK9" s="88"/>
      <c r="AL9" s="716"/>
      <c r="AM9" s="716"/>
      <c r="AN9" s="1167" t="s">
        <v>2282</v>
      </c>
    </row>
    <row r="10" spans="1:40" ht="15" customHeight="1">
      <c r="A10" s="877" t="s">
        <v>2113</v>
      </c>
      <c r="B10" s="595"/>
      <c r="C10" s="595"/>
      <c r="G10" s="80"/>
      <c r="J10" s="596"/>
      <c r="K10" s="138"/>
      <c r="L10" s="139"/>
      <c r="M10" s="139"/>
      <c r="N10" s="598"/>
      <c r="O10" s="645"/>
      <c r="P10" s="727"/>
      <c r="Q10" s="596"/>
      <c r="R10" s="706"/>
      <c r="S10" s="765"/>
      <c r="U10" s="1066"/>
      <c r="V10" s="715"/>
      <c r="Z10" s="143"/>
      <c r="AA10" s="144"/>
      <c r="AB10" s="145"/>
      <c r="AC10" s="145"/>
      <c r="AD10" s="145"/>
      <c r="AE10" s="145"/>
      <c r="AF10" s="145"/>
      <c r="AG10" s="772"/>
      <c r="AH10" s="146"/>
      <c r="AI10" s="156"/>
      <c r="AJ10" s="156"/>
      <c r="AK10" s="88"/>
      <c r="AL10" s="716"/>
      <c r="AM10" s="716"/>
      <c r="AN10" s="1167" t="s">
        <v>2282</v>
      </c>
    </row>
    <row r="11" spans="1:40" ht="15" customHeight="1">
      <c r="A11" s="877" t="s">
        <v>2114</v>
      </c>
      <c r="B11" s="595"/>
      <c r="C11" s="595"/>
      <c r="G11" s="80"/>
      <c r="J11" s="596"/>
      <c r="K11" s="138"/>
      <c r="L11" s="139"/>
      <c r="M11" s="139"/>
      <c r="N11" s="598"/>
      <c r="O11" s="645"/>
      <c r="P11" s="727"/>
      <c r="Q11" s="596"/>
      <c r="R11" s="706"/>
      <c r="S11" s="765"/>
      <c r="U11" s="1066"/>
      <c r="V11" s="715"/>
      <c r="Z11" s="143"/>
      <c r="AA11" s="144"/>
      <c r="AB11" s="145"/>
      <c r="AC11" s="145"/>
      <c r="AD11" s="145"/>
      <c r="AE11" s="145"/>
      <c r="AF11" s="145"/>
      <c r="AG11" s="772"/>
      <c r="AH11" s="146"/>
      <c r="AI11" s="156"/>
      <c r="AJ11" s="156"/>
      <c r="AK11" s="88"/>
      <c r="AL11" s="716"/>
      <c r="AM11" s="716"/>
      <c r="AN11" s="1167" t="s">
        <v>2282</v>
      </c>
    </row>
    <row r="12" spans="1:40" ht="15" customHeight="1">
      <c r="A12" s="747" t="s">
        <v>2115</v>
      </c>
      <c r="B12" s="595">
        <v>45797</v>
      </c>
      <c r="C12" s="595">
        <v>45779</v>
      </c>
      <c r="D12" t="s">
        <v>1484</v>
      </c>
      <c r="E12">
        <f>_xlfn.XLOOKUP(D12,RUC!$B$3:$B$123,RUC!$D$3:$D$123)</f>
        <v>10761932735</v>
      </c>
      <c r="G12" s="80">
        <v>73</v>
      </c>
      <c r="H12" t="s">
        <v>69</v>
      </c>
      <c r="I12">
        <v>5.64</v>
      </c>
      <c r="J12" s="596">
        <v>28.05</v>
      </c>
      <c r="K12" s="138">
        <f t="shared" ref="K12:K20" si="1">+I12-(I12*(J12/100))</f>
        <v>4.0579799999999997</v>
      </c>
      <c r="L12" s="139">
        <v>0.23400000000000001</v>
      </c>
      <c r="M12" s="139">
        <v>0.218</v>
      </c>
      <c r="N12" s="159">
        <v>0.218</v>
      </c>
      <c r="O12" s="645">
        <f t="shared" ref="O12:O20" si="2">+ROUND((M12+N12)/2,3)</f>
        <v>0.218</v>
      </c>
      <c r="P12" s="727">
        <v>90</v>
      </c>
      <c r="Q12" s="596">
        <v>91.78</v>
      </c>
      <c r="R12" s="706">
        <v>3249.7</v>
      </c>
      <c r="S12" s="765">
        <f>IF((90+ROUNDDOWN(O12,1)*100)&lt;95,95,(90+ROUNDDOWN(O12,1)*100))</f>
        <v>110</v>
      </c>
      <c r="U12" s="1066">
        <v>140</v>
      </c>
      <c r="V12" s="715">
        <v>1.1023000000000001</v>
      </c>
      <c r="Z12" s="143">
        <f>IF(IF(D12="UNTUCA",IF(+((W12-3)*1.5+(X12-3)*3.1)&gt;0,+((W12-3)*1.5+(X12-3)*3.1),0),IF(+((W12-3)*1.5+(X12-3)*3.1)&gt;0,+((W12-3)*1.5+(X12-3)*3.1),0))&lt;30,30,IF(D12="UNTUCA",IF(+((W12-3)*1.5+(X12-3)*3.1)&gt;0,+((W12-3)*1.5+(X12-3)*3.1),0),IF(+((W12-3)*1.5+(X12-3)*3.1)&gt;0,+((W12-3)*1.5+(X12-3)*3.1),0)))</f>
        <v>30</v>
      </c>
      <c r="AA12" s="144">
        <f t="shared" ref="AA12:AA20" si="3">+Y12+Z12</f>
        <v>30</v>
      </c>
      <c r="AB12" s="145">
        <f t="shared" ref="AB12:AB20" si="4">+((O12*P12*(R12-U12)/100)-S12-AA12+T12)*V12</f>
        <v>518.21673722200012</v>
      </c>
      <c r="AC12" s="145">
        <f>+(S12-T12)*V12-'data 1'!$F$4</f>
        <v>41.253</v>
      </c>
      <c r="AD12" s="145">
        <f t="shared" ref="AD12:AD20" si="5">+(Q12-P12)*(R12-U12)*L12*V12/100</f>
        <v>14.27756548561201</v>
      </c>
      <c r="AE12" s="145">
        <f t="shared" ref="AE12:AE20" si="6">+(Y12*V12-70)+V12*(Z12-IF(D12="UNTUCA",IF(+((W12-3)*2.5+(X12-3)*3.1)&gt;0,+((W12-3)*1.5+(X12-3)*3.1),0),IF(+((W12-3)*1.5+(X12-3)*3.1)&gt;0,+((W12-3)*1.5+(X12-3)*3.1),0)))</f>
        <v>-36.930999999999997</v>
      </c>
      <c r="AF12" s="145">
        <f t="shared" ref="AF12:AF20" si="7">(L12-O12)*(R12-U12)*Q12*V12/100</f>
        <v>50.336885057888047</v>
      </c>
      <c r="AG12" s="772">
        <f>+IF(D12="RONALD WILLIAN GARIBAY ESCUDERO",AC12+AD12+AE12+AF12+70,AC12+AD12+AE12+AF12)+70-53</f>
        <v>85.936450543500058</v>
      </c>
      <c r="AH12" s="146">
        <f t="shared" ref="AH12:AH20" si="8">31.1035*L12*Q12*1.1023*K12/100</f>
        <v>29.880157497233892</v>
      </c>
      <c r="AI12" s="156">
        <f t="shared" ref="AI12:AI20" si="9">+((+$AI$2-R12+U12)*L12*Q12*V12)/100</f>
        <v>56.887583894388051</v>
      </c>
      <c r="AJ12" s="156">
        <f t="shared" ref="AJ12:AJ20" si="10">31.1035*1.1023*K12*P12*O12/100</f>
        <v>27.297192007631075</v>
      </c>
      <c r="AK12" s="88"/>
      <c r="AL12" s="716">
        <f t="shared" si="0"/>
        <v>2102.9131553121319</v>
      </c>
      <c r="AM12" s="716" t="str">
        <f>_xlfn.XLOOKUP(D12,RUC!$B$3:$B$72,RUC!$M$3:$M$72)</f>
        <v>Richard Sapacayo</v>
      </c>
      <c r="AN12" s="1167" t="s">
        <v>2278</v>
      </c>
    </row>
    <row r="13" spans="1:40" ht="15" customHeight="1">
      <c r="A13" s="747" t="s">
        <v>2116</v>
      </c>
      <c r="B13" s="595">
        <v>45797</v>
      </c>
      <c r="C13" s="595">
        <v>45779</v>
      </c>
      <c r="D13" t="s">
        <v>1484</v>
      </c>
      <c r="E13">
        <f>_xlfn.XLOOKUP(D13,RUC!$B$3:$B$123,RUC!$D$3:$D$123)</f>
        <v>10761932735</v>
      </c>
      <c r="G13" s="80">
        <v>18</v>
      </c>
      <c r="H13" t="s">
        <v>69</v>
      </c>
      <c r="I13">
        <v>1.17</v>
      </c>
      <c r="J13" s="596">
        <v>25.55</v>
      </c>
      <c r="K13" s="138">
        <f t="shared" si="1"/>
        <v>0.87106499999999998</v>
      </c>
      <c r="L13" s="139">
        <v>0.216</v>
      </c>
      <c r="M13" s="139">
        <v>0.20100000000000001</v>
      </c>
      <c r="N13" s="159">
        <v>0.20100000000000001</v>
      </c>
      <c r="O13" s="645">
        <f t="shared" si="2"/>
        <v>0.20100000000000001</v>
      </c>
      <c r="P13" s="727">
        <v>90</v>
      </c>
      <c r="Q13" s="596">
        <v>91.43</v>
      </c>
      <c r="R13" s="706">
        <v>3249.7</v>
      </c>
      <c r="S13" s="765">
        <f>IF((90+ROUNDDOWN(O13,1)*100)&lt;95,95,(90+ROUNDDOWN(O13,1)*100))</f>
        <v>110</v>
      </c>
      <c r="U13" s="1066">
        <v>140</v>
      </c>
      <c r="V13" s="715">
        <v>1.1023000000000001</v>
      </c>
      <c r="Z13" s="143">
        <f>IF(IF(D13="UNTUCA",IF(+((W13-3)*1.5+(X13-3)*3.1)&gt;0,+((W13-3)*1.5+(X13-3)*3.1),0),IF(+((W13-3)*1.5+(X13-3)*3.1)&gt;0,+((W13-3)*1.5+(X13-3)*3.1),0))&lt;30,30,IF(D13="UNTUCA",IF(+((W13-3)*1.5+(X13-3)*3.1)&gt;0,+((W13-3)*1.5+(X13-3)*3.1),0),IF(+((W13-3)*1.5+(X13-3)*3.1)&gt;0,+((W13-3)*1.5+(X13-3)*3.1),0)))</f>
        <v>30</v>
      </c>
      <c r="AA13" s="144">
        <f t="shared" si="3"/>
        <v>30</v>
      </c>
      <c r="AB13" s="145">
        <f t="shared" si="4"/>
        <v>465.77105587899996</v>
      </c>
      <c r="AC13" s="145">
        <f>+(S13-T13)*V13-'data 1'!$F$4</f>
        <v>41.253</v>
      </c>
      <c r="AD13" s="145">
        <f t="shared" si="5"/>
        <v>10.587857551128049</v>
      </c>
      <c r="AE13" s="145">
        <f t="shared" si="6"/>
        <v>-36.930999999999997</v>
      </c>
      <c r="AF13" s="145">
        <f t="shared" si="7"/>
        <v>47.010869070494962</v>
      </c>
      <c r="AG13" s="772">
        <f>+IF(D13="RONALD WILLIAN GARIBAY ESCUDERO",AC13+AD13+AE13+AF13+70,AC13+AD13+AE13+AF13)+70-53</f>
        <v>78.920726621623032</v>
      </c>
      <c r="AH13" s="146">
        <f t="shared" si="8"/>
        <v>5.8979638187229497</v>
      </c>
      <c r="AI13" s="156">
        <f t="shared" si="9"/>
        <v>52.311364588872046</v>
      </c>
      <c r="AJ13" s="156">
        <f t="shared" si="10"/>
        <v>5.4025425989067806</v>
      </c>
      <c r="AK13" s="88"/>
      <c r="AL13" s="716">
        <f t="shared" si="0"/>
        <v>405.71686478924107</v>
      </c>
      <c r="AM13" s="716" t="str">
        <f>_xlfn.XLOOKUP(D13,RUC!$B$3:$B$72,RUC!$M$3:$M$72)</f>
        <v>Richard Sapacayo</v>
      </c>
      <c r="AN13" s="1167" t="s">
        <v>2277</v>
      </c>
    </row>
    <row r="14" spans="1:40" ht="15" customHeight="1">
      <c r="A14" s="747" t="s">
        <v>2117</v>
      </c>
      <c r="B14" s="595">
        <v>45797</v>
      </c>
      <c r="C14" s="595">
        <v>45779</v>
      </c>
      <c r="D14" t="s">
        <v>1484</v>
      </c>
      <c r="E14">
        <f>_xlfn.XLOOKUP(D14,RUC!$B$3:$B$123,RUC!$D$3:$D$123)</f>
        <v>10761932735</v>
      </c>
      <c r="G14" s="80">
        <v>78</v>
      </c>
      <c r="H14" t="s">
        <v>69</v>
      </c>
      <c r="I14">
        <v>5.82</v>
      </c>
      <c r="J14" s="596">
        <v>23.85</v>
      </c>
      <c r="K14" s="138">
        <f t="shared" si="1"/>
        <v>4.4319300000000004</v>
      </c>
      <c r="L14" s="139">
        <v>0.32400000000000001</v>
      </c>
      <c r="M14" s="139">
        <v>0.30499999999999999</v>
      </c>
      <c r="N14" s="159">
        <v>0.30499999999999999</v>
      </c>
      <c r="O14" s="645">
        <f t="shared" si="2"/>
        <v>0.30499999999999999</v>
      </c>
      <c r="P14" s="727">
        <v>90</v>
      </c>
      <c r="Q14" s="596">
        <v>91.07</v>
      </c>
      <c r="R14" s="706">
        <v>3249.7</v>
      </c>
      <c r="S14" s="765">
        <f>IF((90+ROUNDDOWN(O14,1)*100)&lt;95,95,(90+ROUNDDOWN(O14,1)*100))</f>
        <v>120</v>
      </c>
      <c r="U14" s="1066">
        <v>140</v>
      </c>
      <c r="V14" s="715">
        <v>1.1023000000000001</v>
      </c>
      <c r="Z14" s="143">
        <f>IF(IF(D14="UNTUCA",IF(+((W14-3)*1.5+(X14-3)*3.1)&gt;0,+((W14-3)*1.5+(X14-3)*3.1),0),IF(+((W14-3)*1.5+(X14-3)*3.1)&gt;0,+((W14-3)*1.5+(X14-3)*3.1),0))&lt;30,30,IF(D14="UNTUCA",IF(+((W14-3)*1.5+(X14-3)*3.1)&gt;0,+((W14-3)*1.5+(X14-3)*3.1),0),IF(+((W14-3)*1.5+(X14-3)*3.1)&gt;0,+((W14-3)*1.5+(X14-3)*3.1),0)))</f>
        <v>30</v>
      </c>
      <c r="AA14" s="144">
        <f t="shared" si="3"/>
        <v>30</v>
      </c>
      <c r="AB14" s="145">
        <f t="shared" si="4"/>
        <v>775.59222409500012</v>
      </c>
      <c r="AC14" s="145">
        <f>+(S14-T14)*V14-'data 1'!$F$4</f>
        <v>52.27600000000001</v>
      </c>
      <c r="AD14" s="145">
        <f t="shared" si="5"/>
        <v>11.883574384307927</v>
      </c>
      <c r="AE14" s="145">
        <f t="shared" si="6"/>
        <v>-36.930999999999997</v>
      </c>
      <c r="AF14" s="145">
        <f t="shared" si="7"/>
        <v>59.312637776623049</v>
      </c>
      <c r="AG14" s="772">
        <f>+IF(D14="RONALD WILLIAN GARIBAY ESCUDERO",AC14+AD14+AE14+AF14+70,AC14+AD14+AE14+AF14)+70-53</f>
        <v>103.541212160931</v>
      </c>
      <c r="AH14" s="146">
        <f t="shared" si="8"/>
        <v>44.835530048211446</v>
      </c>
      <c r="AI14" s="156">
        <f t="shared" si="9"/>
        <v>78.158087713692069</v>
      </c>
      <c r="AJ14" s="156">
        <f t="shared" si="10"/>
        <v>41.71039574168983</v>
      </c>
      <c r="AK14" s="88"/>
      <c r="AL14" s="716">
        <f t="shared" si="0"/>
        <v>3437.3704457333542</v>
      </c>
      <c r="AM14" s="716" t="str">
        <f>_xlfn.XLOOKUP(D14,RUC!$B$3:$B$72,RUC!$M$3:$M$72)</f>
        <v>Richard Sapacayo</v>
      </c>
      <c r="AN14" s="1167" t="s">
        <v>2277</v>
      </c>
    </row>
    <row r="15" spans="1:40" ht="15" customHeight="1">
      <c r="A15" s="747" t="s">
        <v>2118</v>
      </c>
      <c r="B15" s="595">
        <v>45797</v>
      </c>
      <c r="C15" s="595">
        <v>45779</v>
      </c>
      <c r="D15" t="s">
        <v>1484</v>
      </c>
      <c r="E15">
        <f>_xlfn.XLOOKUP(D15,RUC!$B$3:$B$123,RUC!$D$3:$D$123)</f>
        <v>10761932735</v>
      </c>
      <c r="G15" s="80" t="s">
        <v>1434</v>
      </c>
      <c r="H15" t="s">
        <v>69</v>
      </c>
      <c r="I15">
        <v>11.54</v>
      </c>
      <c r="J15" s="596">
        <v>21.08</v>
      </c>
      <c r="K15" s="138">
        <f t="shared" si="1"/>
        <v>9.1073679999999992</v>
      </c>
      <c r="L15" s="139">
        <v>0.18099999999999999</v>
      </c>
      <c r="M15" s="139">
        <v>0.16600000000000001</v>
      </c>
      <c r="N15" s="159">
        <v>0.16600000000000001</v>
      </c>
      <c r="O15" s="645">
        <f t="shared" si="2"/>
        <v>0.16600000000000001</v>
      </c>
      <c r="P15" s="727">
        <v>90</v>
      </c>
      <c r="Q15" s="596">
        <v>89</v>
      </c>
      <c r="R15" s="706">
        <v>3249.7</v>
      </c>
      <c r="S15" s="765">
        <f>IF((90+ROUNDDOWN(O15,1)*100)&lt;95,95,(90+ROUNDDOWN(O15,1)*100))</f>
        <v>100</v>
      </c>
      <c r="U15" s="1066">
        <v>140</v>
      </c>
      <c r="V15" s="715">
        <v>1.1023000000000001</v>
      </c>
      <c r="Z15" s="143">
        <f>IF(IF(D15="UNTUCA",IF(+((W15-3)*1.5+(X15-3)*3.1)&gt;0,+((W15-3)*1.5+(X15-3)*3.1),0),IF(+((W15-3)*1.5+(X15-3)*3.1)&gt;0,+((W15-3)*1.5+(X15-3)*3.1),0))&lt;30,30,IF(D15="UNTUCA",IF(+((W15-3)*1.5+(X15-3)*3.1)&gt;0,+((W15-3)*1.5+(X15-3)*3.1),0),IF(+((W15-3)*1.5+(X15-3)*3.1)&gt;0,+((W15-3)*1.5+(X15-3)*3.1),0)))</f>
        <v>30</v>
      </c>
      <c r="AA15" s="144">
        <f t="shared" si="3"/>
        <v>30</v>
      </c>
      <c r="AB15" s="145">
        <f t="shared" si="4"/>
        <v>368.817653114</v>
      </c>
      <c r="AC15" s="145">
        <f>+(S15-T15)*V15-'data 1'!$F$4</f>
        <v>30.230000000000004</v>
      </c>
      <c r="AD15" s="145">
        <f t="shared" si="5"/>
        <v>-6.2043583810999996</v>
      </c>
      <c r="AE15" s="145">
        <f t="shared" si="6"/>
        <v>-36.930999999999997</v>
      </c>
      <c r="AF15" s="145">
        <f t="shared" si="7"/>
        <v>45.761427838499955</v>
      </c>
      <c r="AG15" s="772">
        <f>+IF(D15="RONALD WILLIAN GARIBAY ESCUDERO",AC15+AD15+AE15+AF15+70,AC15+AD15+AE15+AF15)+70-53</f>
        <v>49.856069457399968</v>
      </c>
      <c r="AH15" s="146">
        <f t="shared" si="8"/>
        <v>50.300295473198005</v>
      </c>
      <c r="AI15" s="156">
        <f t="shared" si="9"/>
        <v>42.669952532100034</v>
      </c>
      <c r="AJ15" s="156">
        <f t="shared" si="10"/>
        <v>46.650097111526378</v>
      </c>
      <c r="AK15" s="88"/>
      <c r="AL15" s="716">
        <f t="shared" si="0"/>
        <v>3358.9580918055435</v>
      </c>
      <c r="AM15" s="716" t="str">
        <f>_xlfn.XLOOKUP(D15,RUC!$B$3:$B$72,RUC!$M$3:$M$72)</f>
        <v>Richard Sapacayo</v>
      </c>
      <c r="AN15" s="1167" t="s">
        <v>2277</v>
      </c>
    </row>
    <row r="16" spans="1:40" ht="15" customHeight="1">
      <c r="A16" s="747" t="s">
        <v>2127</v>
      </c>
      <c r="B16" s="595">
        <v>45795</v>
      </c>
      <c r="C16" s="595">
        <v>45783</v>
      </c>
      <c r="D16" t="s">
        <v>154</v>
      </c>
      <c r="E16">
        <f>_xlfn.XLOOKUP(D16,RUC!$B$3:$B$123,RUC!$D$3:$D$123)</f>
        <v>10416085884</v>
      </c>
      <c r="G16" s="80" t="s">
        <v>1434</v>
      </c>
      <c r="H16" t="s">
        <v>69</v>
      </c>
      <c r="I16" s="596">
        <v>33.770000000000003</v>
      </c>
      <c r="J16" s="596">
        <v>9.65</v>
      </c>
      <c r="K16" s="138">
        <f t="shared" si="1"/>
        <v>30.511195000000004</v>
      </c>
      <c r="L16" s="879">
        <v>0.31</v>
      </c>
      <c r="M16" s="879">
        <v>0.31</v>
      </c>
      <c r="N16" s="879">
        <v>0.31</v>
      </c>
      <c r="O16" s="645">
        <f t="shared" si="2"/>
        <v>0.31</v>
      </c>
      <c r="P16" s="727">
        <v>90</v>
      </c>
      <c r="Q16" s="596">
        <v>91.51</v>
      </c>
      <c r="R16" s="706">
        <v>3391.45</v>
      </c>
      <c r="S16" s="765">
        <v>110</v>
      </c>
      <c r="U16" s="1066">
        <v>90</v>
      </c>
      <c r="V16" s="715">
        <v>1.1023000000000001</v>
      </c>
      <c r="Z16" s="143">
        <f t="shared" ref="Z16:Z20" si="11">IF(IF(D16="UNTUCA",IF(+((W16-3)*1.5+(X16-3)*3.1)&gt;0,+((W16-3)*1.5+(X16-3)*3.1),0),IF(+((W16-3)*1.5+(X16-3)*3.1)&gt;0,+((W16-3)*1.5+(X16-3)*3.1),0))&lt;30,30,IF(D16="UNTUCA",IF(+((W16-3)*1.5+(X16-3)*3.1)&gt;0,+((W16-3)*1.5+(X16-3)*3.1),0),IF(+((W16-3)*1.5+(X16-3)*3.1)&gt;0,+((W16-3)*1.5+(X16-3)*3.1),0)))</f>
        <v>30</v>
      </c>
      <c r="AA16" s="144">
        <f t="shared" si="3"/>
        <v>30</v>
      </c>
      <c r="AB16" s="145">
        <f t="shared" si="4"/>
        <v>861.01154546499993</v>
      </c>
      <c r="AC16" s="145">
        <f>+(S16-T16)*V16-'data 1'!$F$4</f>
        <v>41.253</v>
      </c>
      <c r="AD16" s="145">
        <f t="shared" si="5"/>
        <v>17.035040596135058</v>
      </c>
      <c r="AE16" s="145">
        <f t="shared" si="6"/>
        <v>-36.930999999999997</v>
      </c>
      <c r="AF16" s="145">
        <f t="shared" si="7"/>
        <v>0</v>
      </c>
      <c r="AG16" s="772">
        <f t="shared" ref="AG16:AG20" si="12">+IF(D16="RONALD WILLIAN GARIBAY ESCUDERO",AC16+AD16+AE16+AF16+70,AC16+AD16+AE16+AF16)+70-53</f>
        <v>38.357040596135064</v>
      </c>
      <c r="AH16" s="146">
        <f t="shared" si="8"/>
        <v>296.75533544297673</v>
      </c>
      <c r="AI16" s="156">
        <f t="shared" si="9"/>
        <v>15.181661043865061</v>
      </c>
      <c r="AJ16" s="156">
        <f t="shared" si="10"/>
        <v>291.85859676393738</v>
      </c>
      <c r="AK16" s="88"/>
      <c r="AL16" s="716">
        <f t="shared" si="0"/>
        <v>26270.491160933983</v>
      </c>
      <c r="AM16" s="716" t="str">
        <f>_xlfn.XLOOKUP(D16,RUC!$B$3:$B$72,RUC!$M$3:$M$72)</f>
        <v>Alfred Torres</v>
      </c>
      <c r="AN16" s="1167" t="s">
        <v>2277</v>
      </c>
    </row>
    <row r="17" spans="1:40" ht="15" customHeight="1">
      <c r="A17" s="747" t="s">
        <v>2128</v>
      </c>
      <c r="B17" s="595">
        <v>45795</v>
      </c>
      <c r="C17" s="595">
        <v>45783</v>
      </c>
      <c r="D17" t="s">
        <v>154</v>
      </c>
      <c r="E17">
        <f>_xlfn.XLOOKUP(D17,RUC!$B$3:$B$123,RUC!$D$3:$D$123)</f>
        <v>10416085884</v>
      </c>
      <c r="G17" s="80" t="s">
        <v>1434</v>
      </c>
      <c r="H17" t="s">
        <v>69</v>
      </c>
      <c r="I17" s="596">
        <v>32.130000000000003</v>
      </c>
      <c r="J17" s="596">
        <v>17.100000000000001</v>
      </c>
      <c r="K17" s="138">
        <f t="shared" si="1"/>
        <v>26.635770000000001</v>
      </c>
      <c r="L17" s="879">
        <v>0.21099999999999999</v>
      </c>
      <c r="M17" s="879">
        <v>0.21099999999999999</v>
      </c>
      <c r="N17" s="879">
        <v>0.21099999999999999</v>
      </c>
      <c r="O17" s="645">
        <f t="shared" si="2"/>
        <v>0.21099999999999999</v>
      </c>
      <c r="P17" s="727">
        <v>90</v>
      </c>
      <c r="Q17" s="596">
        <v>93.83</v>
      </c>
      <c r="R17" s="706">
        <v>3391.45</v>
      </c>
      <c r="S17" s="765">
        <v>100</v>
      </c>
      <c r="U17" s="1066">
        <v>90</v>
      </c>
      <c r="V17" s="715">
        <v>1.1023000000000001</v>
      </c>
      <c r="Z17" s="143">
        <f t="shared" si="11"/>
        <v>30</v>
      </c>
      <c r="AA17" s="144">
        <f t="shared" si="3"/>
        <v>30</v>
      </c>
      <c r="AB17" s="145">
        <f t="shared" si="4"/>
        <v>547.78286481650002</v>
      </c>
      <c r="AC17" s="145">
        <f>+(S17-T17)*V17-'data 1'!$F$4</f>
        <v>30.230000000000004</v>
      </c>
      <c r="AD17" s="145">
        <f t="shared" si="5"/>
        <v>29.409372691635486</v>
      </c>
      <c r="AE17" s="145">
        <f t="shared" si="6"/>
        <v>-36.930999999999997</v>
      </c>
      <c r="AF17" s="145">
        <f t="shared" si="7"/>
        <v>0</v>
      </c>
      <c r="AG17" s="772">
        <f t="shared" si="12"/>
        <v>39.708372691635489</v>
      </c>
      <c r="AH17" s="146">
        <f t="shared" si="8"/>
        <v>180.80002950000301</v>
      </c>
      <c r="AI17" s="156">
        <f t="shared" si="9"/>
        <v>10.595298908364539</v>
      </c>
      <c r="AJ17" s="156">
        <f t="shared" si="10"/>
        <v>173.42004321645817</v>
      </c>
      <c r="AK17" s="88"/>
      <c r="AL17" s="716">
        <f t="shared" si="0"/>
        <v>14590.618397193388</v>
      </c>
      <c r="AM17" s="716" t="str">
        <f>_xlfn.XLOOKUP(D17,RUC!$B$3:$B$72,RUC!$M$3:$M$72)</f>
        <v>Alfred Torres</v>
      </c>
      <c r="AN17" s="1167" t="s">
        <v>2278</v>
      </c>
    </row>
    <row r="18" spans="1:40" ht="15" customHeight="1">
      <c r="A18" s="747" t="s">
        <v>2129</v>
      </c>
      <c r="B18" s="595">
        <v>45793</v>
      </c>
      <c r="C18" s="595">
        <v>45787</v>
      </c>
      <c r="D18" t="s">
        <v>154</v>
      </c>
      <c r="E18">
        <f>_xlfn.XLOOKUP(D18,RUC!$B$3:$B$123,RUC!$D$3:$D$123)</f>
        <v>10416085884</v>
      </c>
      <c r="G18" s="80">
        <v>200</v>
      </c>
      <c r="H18" t="s">
        <v>69</v>
      </c>
      <c r="I18" s="596">
        <v>8.91</v>
      </c>
      <c r="J18" s="596">
        <v>4.9000000000000004</v>
      </c>
      <c r="K18" s="138">
        <f t="shared" si="1"/>
        <v>8.4734099999999994</v>
      </c>
      <c r="L18" s="139">
        <v>0.33100000000000002</v>
      </c>
      <c r="M18" s="139">
        <v>0.311</v>
      </c>
      <c r="N18" s="159">
        <v>0.311</v>
      </c>
      <c r="O18" s="645">
        <f t="shared" si="2"/>
        <v>0.311</v>
      </c>
      <c r="P18" s="727">
        <v>90</v>
      </c>
      <c r="Q18" s="596">
        <v>96.46</v>
      </c>
      <c r="R18" s="706">
        <v>3324.55</v>
      </c>
      <c r="S18" s="765">
        <v>110</v>
      </c>
      <c r="U18" s="1066">
        <v>90</v>
      </c>
      <c r="V18" s="715">
        <v>1.1023000000000001</v>
      </c>
      <c r="Z18" s="143">
        <f t="shared" si="11"/>
        <v>30</v>
      </c>
      <c r="AA18" s="144">
        <f t="shared" si="3"/>
        <v>30</v>
      </c>
      <c r="AB18" s="145">
        <f t="shared" si="4"/>
        <v>843.64590575350007</v>
      </c>
      <c r="AC18" s="145">
        <f>+(S18-T18)*V18-'data 1'!$F$4</f>
        <v>41.253</v>
      </c>
      <c r="AD18" s="145">
        <f t="shared" si="5"/>
        <v>76.238472817308946</v>
      </c>
      <c r="AE18" s="145">
        <f t="shared" si="6"/>
        <v>-36.930999999999997</v>
      </c>
      <c r="AF18" s="145">
        <f t="shared" si="7"/>
        <v>68.784554618780064</v>
      </c>
      <c r="AG18" s="772">
        <f t="shared" si="12"/>
        <v>166.34502743608903</v>
      </c>
      <c r="AH18" s="146">
        <f t="shared" si="8"/>
        <v>92.756113134981192</v>
      </c>
      <c r="AI18" s="156">
        <f t="shared" si="9"/>
        <v>40.632074492190938</v>
      </c>
      <c r="AJ18" s="156">
        <f t="shared" si="10"/>
        <v>81.314910572894462</v>
      </c>
      <c r="AK18" s="88"/>
      <c r="AL18" s="716">
        <f t="shared" si="0"/>
        <v>7148.5576542707649</v>
      </c>
      <c r="AM18" s="716" t="str">
        <f>_xlfn.XLOOKUP(D18,RUC!$B$3:$B$72,RUC!$M$3:$M$72)</f>
        <v>Alfred Torres</v>
      </c>
      <c r="AN18" s="1167" t="s">
        <v>2278</v>
      </c>
    </row>
    <row r="19" spans="1:40" ht="15" customHeight="1">
      <c r="A19" s="747" t="s">
        <v>2130</v>
      </c>
      <c r="B19" s="595">
        <v>45793</v>
      </c>
      <c r="C19" s="595">
        <v>45787</v>
      </c>
      <c r="D19" t="s">
        <v>154</v>
      </c>
      <c r="E19">
        <f>_xlfn.XLOOKUP(D19,RUC!$B$3:$B$123,RUC!$D$3:$D$123)</f>
        <v>10416085884</v>
      </c>
      <c r="G19" s="80" t="s">
        <v>1434</v>
      </c>
      <c r="H19" t="s">
        <v>69</v>
      </c>
      <c r="I19" s="596">
        <v>2.08</v>
      </c>
      <c r="J19" s="596">
        <v>8.5</v>
      </c>
      <c r="K19" s="138">
        <f t="shared" si="1"/>
        <v>1.9032</v>
      </c>
      <c r="L19" s="139">
        <v>0.191</v>
      </c>
      <c r="M19" s="139">
        <v>0.17599999999999999</v>
      </c>
      <c r="N19" s="159">
        <v>0.17599999999999999</v>
      </c>
      <c r="O19" s="645">
        <f t="shared" si="2"/>
        <v>0.17599999999999999</v>
      </c>
      <c r="P19" s="727">
        <v>90</v>
      </c>
      <c r="Q19" s="596">
        <v>94.76</v>
      </c>
      <c r="R19" s="706">
        <v>3324.55</v>
      </c>
      <c r="S19" s="765">
        <f>IF((90+ROUNDDOWN(O19,1)*100)&lt;95,95,(90+ROUNDDOWN(O19,1)*100))</f>
        <v>100</v>
      </c>
      <c r="U19" s="1066">
        <v>90</v>
      </c>
      <c r="V19" s="715">
        <v>1.1023000000000001</v>
      </c>
      <c r="Z19" s="143">
        <f t="shared" si="11"/>
        <v>30</v>
      </c>
      <c r="AA19" s="144">
        <f t="shared" si="3"/>
        <v>30</v>
      </c>
      <c r="AB19" s="145">
        <f t="shared" si="4"/>
        <v>421.46740325600013</v>
      </c>
      <c r="AC19" s="145">
        <f>+(S19-T19)*V19-'data 1'!$F$4</f>
        <v>30.230000000000004</v>
      </c>
      <c r="AD19" s="145">
        <f t="shared" si="5"/>
        <v>32.41559489799404</v>
      </c>
      <c r="AE19" s="145">
        <f t="shared" si="6"/>
        <v>-36.930999999999997</v>
      </c>
      <c r="AF19" s="145">
        <f t="shared" si="7"/>
        <v>50.679227625510045</v>
      </c>
      <c r="AG19" s="772">
        <f t="shared" si="12"/>
        <v>93.393822523504099</v>
      </c>
      <c r="AH19" s="146">
        <f t="shared" si="8"/>
        <v>11.810054930769054</v>
      </c>
      <c r="AI19" s="156">
        <f t="shared" si="9"/>
        <v>23.033087846505964</v>
      </c>
      <c r="AJ19" s="156">
        <f t="shared" si="10"/>
        <v>10.335908965022783</v>
      </c>
      <c r="AK19" s="88"/>
      <c r="AL19" s="716">
        <f t="shared" si="0"/>
        <v>802.13676187681949</v>
      </c>
      <c r="AM19" s="716" t="str">
        <f>_xlfn.XLOOKUP(D19,RUC!$B$3:$B$72,RUC!$M$3:$M$72)</f>
        <v>Alfred Torres</v>
      </c>
      <c r="AN19" s="1167" t="s">
        <v>2277</v>
      </c>
    </row>
    <row r="20" spans="1:40" ht="15" customHeight="1">
      <c r="A20" s="747" t="s">
        <v>2132</v>
      </c>
      <c r="B20" s="595">
        <v>45732</v>
      </c>
      <c r="C20" s="595">
        <v>45787</v>
      </c>
      <c r="D20" t="s">
        <v>154</v>
      </c>
      <c r="E20">
        <f>_xlfn.XLOOKUP(D20,RUC!$B$3:$B$123,RUC!$D$3:$D$123)</f>
        <v>10416085884</v>
      </c>
      <c r="G20" s="80" t="s">
        <v>1434</v>
      </c>
      <c r="H20" t="s">
        <v>69</v>
      </c>
      <c r="I20" s="596">
        <v>24.14</v>
      </c>
      <c r="J20" s="596">
        <v>8.6</v>
      </c>
      <c r="K20" s="138">
        <f t="shared" si="1"/>
        <v>22.063960000000002</v>
      </c>
      <c r="L20" s="139">
        <v>0.17</v>
      </c>
      <c r="M20" s="139">
        <v>0.154</v>
      </c>
      <c r="N20" s="159">
        <v>0.154</v>
      </c>
      <c r="O20" s="645">
        <f t="shared" si="2"/>
        <v>0.154</v>
      </c>
      <c r="P20" s="727">
        <v>90</v>
      </c>
      <c r="Q20" s="596">
        <v>98.23</v>
      </c>
      <c r="R20" s="706">
        <v>3324.55</v>
      </c>
      <c r="S20" s="765">
        <f>IF((90+ROUNDDOWN(O20,1)*100)&lt;95,95,(90+ROUNDDOWN(O20,1)*100))</f>
        <v>100</v>
      </c>
      <c r="U20" s="1066">
        <v>90</v>
      </c>
      <c r="V20" s="715">
        <v>1.1023000000000001</v>
      </c>
      <c r="Z20" s="143">
        <f t="shared" si="11"/>
        <v>30</v>
      </c>
      <c r="AA20" s="144">
        <f t="shared" si="3"/>
        <v>30</v>
      </c>
      <c r="AB20" s="145">
        <f t="shared" si="4"/>
        <v>350.871602849</v>
      </c>
      <c r="AC20" s="145">
        <f>+(S20-T20)*V20-'data 1'!$F$4</f>
        <v>30.230000000000004</v>
      </c>
      <c r="AD20" s="145">
        <f t="shared" si="5"/>
        <v>49.884133509815037</v>
      </c>
      <c r="AE20" s="145">
        <f t="shared" si="6"/>
        <v>-36.930999999999997</v>
      </c>
      <c r="AF20" s="145">
        <f t="shared" si="7"/>
        <v>56.037377567512067</v>
      </c>
      <c r="AG20" s="772">
        <f t="shared" si="12"/>
        <v>116.2205110773271</v>
      </c>
      <c r="AH20" s="146">
        <f t="shared" si="8"/>
        <v>126.32392065391157</v>
      </c>
      <c r="AI20" s="156">
        <f t="shared" si="9"/>
        <v>21.251364000184971</v>
      </c>
      <c r="AJ20" s="156">
        <f t="shared" si="10"/>
        <v>104.84694027002737</v>
      </c>
      <c r="AK20" s="88"/>
      <c r="AL20" s="716">
        <f t="shared" si="0"/>
        <v>7741.6170103962222</v>
      </c>
      <c r="AM20" s="716" t="str">
        <f>_xlfn.XLOOKUP(D20,RUC!$B$3:$B$72,RUC!$M$3:$M$72)</f>
        <v>Alfred Torres</v>
      </c>
      <c r="AN20" s="1167" t="s">
        <v>2279</v>
      </c>
    </row>
    <row r="21" spans="1:40" ht="15" customHeight="1">
      <c r="A21" s="877" t="s">
        <v>2149</v>
      </c>
      <c r="B21" s="595">
        <v>45798</v>
      </c>
      <c r="C21" s="595">
        <v>45791</v>
      </c>
      <c r="D21" t="s">
        <v>1586</v>
      </c>
      <c r="E21" t="e">
        <f>_xlfn.XLOOKUP(D21,RUC!$B$3:$B$123,RUC!$D$3:$D$123)</f>
        <v>#N/A</v>
      </c>
      <c r="G21" s="80"/>
      <c r="I21" s="596"/>
      <c r="J21" s="596"/>
      <c r="K21" s="138"/>
      <c r="L21" s="139"/>
      <c r="M21" s="139"/>
      <c r="N21" s="598"/>
      <c r="O21" s="645"/>
      <c r="P21" s="727"/>
      <c r="Q21" s="596"/>
      <c r="R21" s="706"/>
      <c r="S21" s="802"/>
      <c r="U21" s="1091"/>
      <c r="V21" s="715"/>
      <c r="Z21" s="1034"/>
      <c r="AA21" s="144"/>
      <c r="AB21" s="145"/>
      <c r="AC21" s="145"/>
      <c r="AD21" s="145"/>
      <c r="AE21" s="145"/>
      <c r="AF21" s="145"/>
      <c r="AG21" s="772"/>
      <c r="AH21" s="146"/>
      <c r="AI21" s="156"/>
      <c r="AJ21" s="156"/>
      <c r="AK21" s="88"/>
      <c r="AL21" s="716">
        <f t="shared" si="0"/>
        <v>0</v>
      </c>
      <c r="AM21" s="716" t="e">
        <f>_xlfn.XLOOKUP(D21,RUC!$B$3:$B$72,RUC!$M$3:$M$72)</f>
        <v>#N/A</v>
      </c>
      <c r="AN21" s="1167" t="s">
        <v>2282</v>
      </c>
    </row>
    <row r="22" spans="1:40" ht="15" customHeight="1">
      <c r="A22" s="877" t="s">
        <v>2150</v>
      </c>
      <c r="B22" s="595">
        <v>45798</v>
      </c>
      <c r="C22" s="595">
        <v>45791</v>
      </c>
      <c r="D22" t="s">
        <v>1586</v>
      </c>
      <c r="E22" t="e">
        <f>_xlfn.XLOOKUP(D22,RUC!$B$3:$B$123,RUC!$D$3:$D$123)</f>
        <v>#N/A</v>
      </c>
      <c r="G22" s="80"/>
      <c r="I22" s="596"/>
      <c r="J22" s="596"/>
      <c r="K22" s="138"/>
      <c r="L22" s="139"/>
      <c r="M22" s="139"/>
      <c r="N22" s="598"/>
      <c r="O22" s="645"/>
      <c r="P22" s="727"/>
      <c r="Q22" s="596"/>
      <c r="R22" s="706"/>
      <c r="S22" s="802"/>
      <c r="U22" s="1091"/>
      <c r="V22" s="715"/>
      <c r="Z22" s="1034"/>
      <c r="AA22" s="144"/>
      <c r="AB22" s="145"/>
      <c r="AC22" s="145"/>
      <c r="AD22" s="145"/>
      <c r="AE22" s="145"/>
      <c r="AF22" s="145"/>
      <c r="AG22" s="772"/>
      <c r="AH22" s="146"/>
      <c r="AI22" s="156"/>
      <c r="AJ22" s="156"/>
      <c r="AK22" s="88"/>
      <c r="AL22" s="716">
        <f t="shared" si="0"/>
        <v>0</v>
      </c>
      <c r="AM22" s="716" t="e">
        <f>_xlfn.XLOOKUP(D22,RUC!$B$3:$B$72,RUC!$M$3:$M$72)</f>
        <v>#N/A</v>
      </c>
      <c r="AN22" s="1167" t="s">
        <v>2282</v>
      </c>
    </row>
    <row r="23" spans="1:40" ht="15" customHeight="1">
      <c r="A23" s="877" t="s">
        <v>2151</v>
      </c>
      <c r="B23" s="595">
        <v>45798</v>
      </c>
      <c r="C23" s="595">
        <v>45791</v>
      </c>
      <c r="D23" t="s">
        <v>1586</v>
      </c>
      <c r="E23" t="e">
        <f>_xlfn.XLOOKUP(D23,RUC!$B$3:$B$123,RUC!$D$3:$D$123)</f>
        <v>#N/A</v>
      </c>
      <c r="G23" s="80"/>
      <c r="I23" s="596"/>
      <c r="J23" s="596"/>
      <c r="K23" s="138"/>
      <c r="L23" s="139"/>
      <c r="M23" s="139"/>
      <c r="N23" s="598"/>
      <c r="O23" s="645"/>
      <c r="P23" s="727"/>
      <c r="Q23" s="596"/>
      <c r="R23" s="706"/>
      <c r="S23" s="802"/>
      <c r="U23" s="1091"/>
      <c r="V23" s="715"/>
      <c r="Z23" s="1034"/>
      <c r="AA23" s="144"/>
      <c r="AB23" s="145"/>
      <c r="AC23" s="145"/>
      <c r="AD23" s="145"/>
      <c r="AE23" s="145"/>
      <c r="AF23" s="145"/>
      <c r="AG23" s="772"/>
      <c r="AH23" s="146"/>
      <c r="AI23" s="156"/>
      <c r="AJ23" s="156"/>
      <c r="AK23" s="88"/>
      <c r="AL23" s="716">
        <f t="shared" si="0"/>
        <v>0</v>
      </c>
      <c r="AM23" s="716" t="e">
        <f>_xlfn.XLOOKUP(D23,RUC!$B$3:$B$72,RUC!$M$3:$M$72)</f>
        <v>#N/A</v>
      </c>
      <c r="AN23" s="1167" t="s">
        <v>2282</v>
      </c>
    </row>
    <row r="24" spans="1:40" ht="15" customHeight="1">
      <c r="A24" s="877" t="s">
        <v>2152</v>
      </c>
      <c r="B24" s="595">
        <v>45798</v>
      </c>
      <c r="C24" s="595">
        <v>45791</v>
      </c>
      <c r="D24" t="s">
        <v>1586</v>
      </c>
      <c r="E24" t="e">
        <f>_xlfn.XLOOKUP(D24,RUC!$B$3:$B$123,RUC!$D$3:$D$123)</f>
        <v>#N/A</v>
      </c>
      <c r="G24" s="80"/>
      <c r="I24" s="596"/>
      <c r="J24" s="596"/>
      <c r="K24" s="138"/>
      <c r="L24" s="139"/>
      <c r="M24" s="139"/>
      <c r="N24" s="598"/>
      <c r="O24" s="645"/>
      <c r="P24" s="727"/>
      <c r="Q24" s="596"/>
      <c r="R24" s="706"/>
      <c r="S24" s="802"/>
      <c r="U24" s="1091"/>
      <c r="V24" s="715"/>
      <c r="Z24" s="1034"/>
      <c r="AA24" s="144"/>
      <c r="AB24" s="145"/>
      <c r="AC24" s="145"/>
      <c r="AD24" s="145"/>
      <c r="AE24" s="145"/>
      <c r="AF24" s="145"/>
      <c r="AG24" s="772"/>
      <c r="AH24" s="146"/>
      <c r="AI24" s="156"/>
      <c r="AJ24" s="156"/>
      <c r="AK24" s="88"/>
      <c r="AL24" s="716">
        <f t="shared" si="0"/>
        <v>0</v>
      </c>
      <c r="AM24" s="716" t="e">
        <f>_xlfn.XLOOKUP(D24,RUC!$B$3:$B$72,RUC!$M$3:$M$72)</f>
        <v>#N/A</v>
      </c>
      <c r="AN24" s="1167" t="s">
        <v>2282</v>
      </c>
    </row>
    <row r="25" spans="1:40" ht="15" customHeight="1">
      <c r="A25" s="877" t="s">
        <v>2153</v>
      </c>
      <c r="B25" s="595">
        <v>45798</v>
      </c>
      <c r="C25" s="595">
        <v>45791</v>
      </c>
      <c r="D25" t="s">
        <v>1586</v>
      </c>
      <c r="E25" t="e">
        <f>_xlfn.XLOOKUP(D25,RUC!$B$3:$B$123,RUC!$D$3:$D$123)</f>
        <v>#N/A</v>
      </c>
      <c r="G25" s="80"/>
      <c r="I25" s="596"/>
      <c r="J25" s="596"/>
      <c r="K25" s="138"/>
      <c r="L25" s="139"/>
      <c r="M25" s="139"/>
      <c r="N25" s="598"/>
      <c r="O25" s="645"/>
      <c r="P25" s="727"/>
      <c r="Q25" s="596"/>
      <c r="R25" s="706"/>
      <c r="S25" s="802"/>
      <c r="U25" s="1091"/>
      <c r="V25" s="715"/>
      <c r="Z25" s="1034"/>
      <c r="AA25" s="144"/>
      <c r="AB25" s="145"/>
      <c r="AC25" s="145"/>
      <c r="AD25" s="145"/>
      <c r="AE25" s="145"/>
      <c r="AF25" s="145"/>
      <c r="AG25" s="772"/>
      <c r="AH25" s="146"/>
      <c r="AI25" s="156"/>
      <c r="AJ25" s="156"/>
      <c r="AK25" s="88"/>
      <c r="AL25" s="716">
        <f t="shared" si="0"/>
        <v>0</v>
      </c>
      <c r="AM25" s="716" t="e">
        <f>_xlfn.XLOOKUP(D25,RUC!$B$3:$B$72,RUC!$M$3:$M$72)</f>
        <v>#N/A</v>
      </c>
      <c r="AN25" s="1167" t="s">
        <v>2282</v>
      </c>
    </row>
    <row r="26" spans="1:40" ht="15" customHeight="1">
      <c r="A26" s="877" t="s">
        <v>2154</v>
      </c>
      <c r="B26" s="595">
        <v>45798</v>
      </c>
      <c r="C26" s="595">
        <v>45791</v>
      </c>
      <c r="D26" t="s">
        <v>1586</v>
      </c>
      <c r="E26" t="e">
        <f>_xlfn.XLOOKUP(D26,RUC!$B$3:$B$123,RUC!$D$3:$D$123)</f>
        <v>#N/A</v>
      </c>
      <c r="G26" s="80"/>
      <c r="I26" s="596"/>
      <c r="J26" s="596"/>
      <c r="K26" s="138"/>
      <c r="L26" s="139"/>
      <c r="M26" s="139"/>
      <c r="N26" s="139"/>
      <c r="O26" s="645"/>
      <c r="P26" s="727"/>
      <c r="Q26" s="596"/>
      <c r="R26" s="706"/>
      <c r="S26" s="802"/>
      <c r="U26" s="1091"/>
      <c r="V26" s="715"/>
      <c r="Z26" s="1034"/>
      <c r="AA26" s="144"/>
      <c r="AB26" s="145"/>
      <c r="AC26" s="145"/>
      <c r="AD26" s="145"/>
      <c r="AE26" s="145"/>
      <c r="AF26" s="145"/>
      <c r="AG26" s="772"/>
      <c r="AH26" s="146"/>
      <c r="AI26" s="156"/>
      <c r="AJ26" s="156"/>
      <c r="AK26" s="88"/>
      <c r="AL26" s="716">
        <f t="shared" si="0"/>
        <v>0</v>
      </c>
      <c r="AM26" s="716" t="e">
        <f>_xlfn.XLOOKUP(D26,RUC!$B$3:$B$72,RUC!$M$3:$M$72)</f>
        <v>#N/A</v>
      </c>
      <c r="AN26" s="1167" t="s">
        <v>2282</v>
      </c>
    </row>
    <row r="27" spans="1:40" ht="15" customHeight="1">
      <c r="A27" s="877" t="s">
        <v>2155</v>
      </c>
      <c r="B27" s="595">
        <v>45798</v>
      </c>
      <c r="C27" s="595">
        <v>45791</v>
      </c>
      <c r="D27" t="s">
        <v>1586</v>
      </c>
      <c r="E27" t="e">
        <f>_xlfn.XLOOKUP(D27,RUC!$B$3:$B$123,RUC!$D$3:$D$123)</f>
        <v>#N/A</v>
      </c>
      <c r="G27" s="80"/>
      <c r="I27" s="596"/>
      <c r="J27" s="596"/>
      <c r="K27" s="138"/>
      <c r="L27" s="139"/>
      <c r="M27" s="139"/>
      <c r="N27" s="149"/>
      <c r="O27" s="645"/>
      <c r="P27" s="727"/>
      <c r="Q27" s="596"/>
      <c r="R27" s="706"/>
      <c r="S27" s="802"/>
      <c r="U27" s="1091"/>
      <c r="V27" s="715"/>
      <c r="Z27" s="1034"/>
      <c r="AA27" s="144"/>
      <c r="AB27" s="145"/>
      <c r="AC27" s="145"/>
      <c r="AD27" s="145"/>
      <c r="AE27" s="145"/>
      <c r="AF27" s="145"/>
      <c r="AG27" s="772"/>
      <c r="AH27" s="146"/>
      <c r="AI27" s="156"/>
      <c r="AJ27" s="156"/>
      <c r="AK27" s="88"/>
      <c r="AL27" s="716">
        <f t="shared" si="0"/>
        <v>0</v>
      </c>
      <c r="AM27" s="716" t="e">
        <f>_xlfn.XLOOKUP(D27,RUC!$B$3:$B$72,RUC!$M$3:$M$72)</f>
        <v>#N/A</v>
      </c>
      <c r="AN27" s="1167" t="s">
        <v>2282</v>
      </c>
    </row>
    <row r="28" spans="1:40" ht="15" customHeight="1">
      <c r="A28" s="1169" t="s">
        <v>2156</v>
      </c>
      <c r="B28" s="595">
        <v>45798</v>
      </c>
      <c r="C28" s="595">
        <v>45794</v>
      </c>
      <c r="D28" t="s">
        <v>154</v>
      </c>
      <c r="E28">
        <f>_xlfn.XLOOKUP(D28,RUC!$B$3:$B$123,RUC!$D$3:$D$123)</f>
        <v>10416085884</v>
      </c>
      <c r="G28" s="80" t="s">
        <v>1434</v>
      </c>
      <c r="H28" t="s">
        <v>69</v>
      </c>
      <c r="I28" s="596">
        <v>32.1</v>
      </c>
      <c r="J28" s="596">
        <v>11</v>
      </c>
      <c r="K28" s="138">
        <f t="shared" ref="K28:K73" si="13">+I28-(I28*(J28/100))</f>
        <v>28.569000000000003</v>
      </c>
      <c r="L28" s="139">
        <v>0.11600000000000001</v>
      </c>
      <c r="M28" s="139">
        <v>0.104</v>
      </c>
      <c r="N28" s="159">
        <v>0.104</v>
      </c>
      <c r="O28" s="645">
        <f t="shared" ref="O28:O36" si="14">+ROUND((M28+N28)/2,3)</f>
        <v>0.104</v>
      </c>
      <c r="P28" s="727">
        <v>85</v>
      </c>
      <c r="Q28" s="596">
        <v>93.97</v>
      </c>
      <c r="R28" s="706">
        <v>3182.95</v>
      </c>
      <c r="S28" s="802">
        <v>110</v>
      </c>
      <c r="U28" s="1066">
        <v>90</v>
      </c>
      <c r="V28" s="715">
        <v>1.1023000000000001</v>
      </c>
      <c r="Z28" s="143">
        <f>IF(IF(D28="UNTUCA",IF(+((W28-3)*1.5+(X28-3)*3.1)&gt;0,+((W28-3)*1.5+(X28-3)*3.1),0),IF(+((W28-3)*1.5+(X28-3)*3.1)&gt;0,+((W28-3)*1.5+(X28-3)*3.1),0))&lt;30,30,IF(D28="UNTUCA",IF(+((W28-3)*1.5+(X28-3)*3.1)&gt;0,+((W28-3)*1.5+(X28-3)*3.1),0),IF(+((W28-3)*1.5+(X28-3)*3.1)&gt;0,+((W28-3)*1.5+(X28-3)*3.1),0)))</f>
        <v>30</v>
      </c>
      <c r="AA28" s="144">
        <f t="shared" ref="AA28:AA73" si="15">+Y28+Z28</f>
        <v>30</v>
      </c>
      <c r="AB28" s="145">
        <f t="shared" ref="AB28:AB73" si="16">+((O28*P28*(R28-U28)/100)-S28-AA28+T28)*V28</f>
        <v>147.06531659399997</v>
      </c>
      <c r="AC28" s="145">
        <f>+(S28-T28)*V28-'data 1'!$F$4</f>
        <v>41.253</v>
      </c>
      <c r="AD28" s="145">
        <f t="shared" ref="AD28:AD73" si="17">+(Q28-P28)*(R28-U28)*L28*V28/100</f>
        <v>35.475060029681998</v>
      </c>
      <c r="AE28" s="145">
        <f t="shared" ref="AE28:AE73" si="18">+(Y28*V28-70)+V28*(Z28-IF(D28="UNTUCA",IF(+((W28-3)*2.5+(X28-3)*3.1)&gt;0,+((W28-3)*1.5+(X28-3)*3.1),0),IF(+((W28-3)*1.5+(X28-3)*3.1)&gt;0,+((W28-3)*1.5+(X28-3)*3.1),0)))</f>
        <v>-36.930999999999997</v>
      </c>
      <c r="AF28" s="145">
        <f t="shared" ref="AF28:AF73" si="19">(L28-O28)*(R28-U28)*Q28*V28/100</f>
        <v>38.445293403174027</v>
      </c>
      <c r="AG28" s="772">
        <f t="shared" ref="AG28:AG62" si="20">+IF(D28="RONALD WILLIAN GARIBAY ESCUDERO",AC28+AD28+AE28+AF28+70,AC28+AD28+AE28+AF28)+70-53</f>
        <v>95.242353432856021</v>
      </c>
      <c r="AH28" s="146">
        <f t="shared" ref="AH28:AH73" si="21">31.1035*L28*Q28*1.1023*K28/100</f>
        <v>106.7705117769553</v>
      </c>
      <c r="AI28" s="156">
        <f t="shared" ref="AI28:AI73" si="22">+((+$AI$2-R28+U28)*L28*Q28*V28)/100</f>
        <v>30.886210835318025</v>
      </c>
      <c r="AJ28" s="156">
        <f t="shared" ref="AJ28:AJ73" si="23">31.1035*1.1023*K28*P28*O28/100</f>
        <v>86.5877338061198</v>
      </c>
      <c r="AK28" s="88"/>
      <c r="AL28" s="716">
        <f t="shared" si="0"/>
        <v>4201.5090297739853</v>
      </c>
      <c r="AM28" s="716" t="str">
        <f>_xlfn.XLOOKUP(D28,RUC!$B$3:$B$72,RUC!$M$3:$M$72)</f>
        <v>Alfred Torres</v>
      </c>
      <c r="AN28" s="1167" t="s">
        <v>2280</v>
      </c>
    </row>
    <row r="29" spans="1:40" ht="15" customHeight="1">
      <c r="A29" s="747" t="s">
        <v>2160</v>
      </c>
      <c r="B29" s="595">
        <v>45801</v>
      </c>
      <c r="C29" s="595">
        <v>45797</v>
      </c>
      <c r="D29" t="s">
        <v>1967</v>
      </c>
      <c r="E29">
        <f>_xlfn.XLOOKUP(D29,RUC!$B$3:$B$123,RUC!$D$3:$D$123)</f>
        <v>20601769396</v>
      </c>
      <c r="G29" s="80">
        <v>40</v>
      </c>
      <c r="H29" t="s">
        <v>2005</v>
      </c>
      <c r="I29" s="596">
        <v>3.31</v>
      </c>
      <c r="J29" s="596">
        <v>7.2</v>
      </c>
      <c r="K29" s="138">
        <f t="shared" si="13"/>
        <v>3.0716800000000002</v>
      </c>
      <c r="L29" s="139">
        <v>0.26500000000000001</v>
      </c>
      <c r="M29" s="139">
        <v>0.249</v>
      </c>
      <c r="N29" s="159">
        <v>0.249</v>
      </c>
      <c r="O29" s="645">
        <f t="shared" si="14"/>
        <v>0.249</v>
      </c>
      <c r="P29" s="727">
        <v>90</v>
      </c>
      <c r="Q29" s="596">
        <v>92.83</v>
      </c>
      <c r="R29" s="706">
        <v>3261.55</v>
      </c>
      <c r="S29" s="765">
        <f>IF((90+ROUNDDOWN(O29,1)*100)&lt;95,95,(90+ROUNDDOWN(O29,1)*100))</f>
        <v>110</v>
      </c>
      <c r="U29" s="1146">
        <v>120</v>
      </c>
      <c r="V29" s="715">
        <v>1.1023000000000001</v>
      </c>
      <c r="Y29">
        <v>20</v>
      </c>
      <c r="Z29" s="143">
        <f>IF(IF(D29="UNTUCA",IF(+((W29-3)*1.5+(X29-3)*3.1)&gt;0,+((W29-3)*1.5+(X29-3)*3.1),0),IF(+((W29-3)*1.5+(X29-3)*3.1)&gt;0,+((W29-3)*1.5+(X29-3)*3.1),0))&lt;30,30,IF(D29="UNTUCA",IF(+((W29-3)*1.5+(X29-3)*3.1)&gt;0,+((W29-3)*1.5+(X29-3)*3.1),0),IF(+((W29-3)*1.5+(X29-3)*3.1)&gt;0,+((W29-3)*1.5+(X29-3)*3.1),0)))</f>
        <v>30</v>
      </c>
      <c r="AA29" s="144">
        <f t="shared" si="15"/>
        <v>50</v>
      </c>
      <c r="AB29" s="145">
        <f t="shared" si="16"/>
        <v>599.67473961650012</v>
      </c>
      <c r="AC29" s="145">
        <f>+(S29-T29)*V29-'data 1'!$F$4</f>
        <v>41.253</v>
      </c>
      <c r="AD29" s="145">
        <f t="shared" si="17"/>
        <v>25.97024777221749</v>
      </c>
      <c r="AE29" s="145">
        <f t="shared" si="18"/>
        <v>-14.884999999999998</v>
      </c>
      <c r="AF29" s="145">
        <f t="shared" si="19"/>
        <v>51.434215095832052</v>
      </c>
      <c r="AG29" s="772">
        <f t="shared" si="20"/>
        <v>120.77246286804956</v>
      </c>
      <c r="AH29" s="146">
        <f t="shared" si="21"/>
        <v>25.907127571423921</v>
      </c>
      <c r="AI29" s="156">
        <f t="shared" si="22"/>
        <v>56.524396122782456</v>
      </c>
      <c r="AJ29" s="156">
        <f t="shared" si="23"/>
        <v>23.60080930553152</v>
      </c>
      <c r="AK29" s="88"/>
      <c r="AL29" s="716">
        <f t="shared" si="0"/>
        <v>1842.0089041852111</v>
      </c>
      <c r="AM29" s="716" t="str">
        <f>_xlfn.XLOOKUP(D29,RUC!$B$3:$B$72,RUC!$M$3:$M$72)</f>
        <v>Evelyn</v>
      </c>
      <c r="AN29" s="1167" t="s">
        <v>2277</v>
      </c>
    </row>
    <row r="30" spans="1:40" ht="15" customHeight="1">
      <c r="A30" s="747" t="s">
        <v>2161</v>
      </c>
      <c r="B30" s="595">
        <v>45801</v>
      </c>
      <c r="C30" s="595">
        <v>45797</v>
      </c>
      <c r="D30" t="s">
        <v>1967</v>
      </c>
      <c r="E30">
        <f>_xlfn.XLOOKUP(D30,RUC!$B$3:$B$123,RUC!$D$3:$D$123)</f>
        <v>20601769396</v>
      </c>
      <c r="G30" s="80">
        <v>40</v>
      </c>
      <c r="H30" t="s">
        <v>2005</v>
      </c>
      <c r="I30" s="596">
        <v>3.25</v>
      </c>
      <c r="J30" s="596">
        <v>7.9</v>
      </c>
      <c r="K30" s="138">
        <f t="shared" si="13"/>
        <v>2.9932500000000002</v>
      </c>
      <c r="L30" s="139">
        <v>0.26300000000000001</v>
      </c>
      <c r="M30" s="139">
        <v>0.247</v>
      </c>
      <c r="N30" s="159">
        <v>0.247</v>
      </c>
      <c r="O30" s="645">
        <f t="shared" si="14"/>
        <v>0.247</v>
      </c>
      <c r="P30" s="727">
        <v>90</v>
      </c>
      <c r="Q30" s="596">
        <v>89.73</v>
      </c>
      <c r="R30" s="706">
        <v>3261.55</v>
      </c>
      <c r="S30" s="765">
        <f>IF((90+ROUNDDOWN(O30,1)*100)&lt;95,95,(90+ROUNDDOWN(O30,1)*100))</f>
        <v>110</v>
      </c>
      <c r="U30" s="1146">
        <v>120</v>
      </c>
      <c r="V30" s="715">
        <v>1.1023000000000001</v>
      </c>
      <c r="Y30">
        <v>20</v>
      </c>
      <c r="Z30" s="143">
        <f>IF(IF(D30="UNTUCA",IF(+((W30-3)*1.5+(X30-3)*3.1)&gt;0,+((W30-3)*1.5+(X30-3)*3.1),0),IF(+((W30-3)*1.5+(X30-3)*3.1)&gt;0,+((W30-3)*1.5+(X30-3)*3.1),0))&lt;30,30,IF(D30="UNTUCA",IF(+((W30-3)*1.5+(X30-3)*3.1)&gt;0,+((W30-3)*1.5+(X30-3)*3.1),0),IF(+((W30-3)*1.5+(X30-3)*3.1)&gt;0,+((W30-3)*1.5+(X30-3)*3.1),0)))</f>
        <v>30</v>
      </c>
      <c r="AA30" s="144">
        <f t="shared" si="15"/>
        <v>50</v>
      </c>
      <c r="AB30" s="145">
        <f t="shared" si="16"/>
        <v>593.44146459950025</v>
      </c>
      <c r="AC30" s="145">
        <f>+(S30-T30)*V30-'data 1'!$F$4</f>
        <v>41.253</v>
      </c>
      <c r="AD30" s="145">
        <f t="shared" si="17"/>
        <v>-2.4590269942064644</v>
      </c>
      <c r="AE30" s="145">
        <f t="shared" si="18"/>
        <v>-14.884999999999998</v>
      </c>
      <c r="AF30" s="145">
        <f t="shared" si="19"/>
        <v>49.716601535592055</v>
      </c>
      <c r="AG30" s="772">
        <f t="shared" si="20"/>
        <v>90.625574541385589</v>
      </c>
      <c r="AH30" s="146">
        <f t="shared" si="21"/>
        <v>24.218401606384774</v>
      </c>
      <c r="AI30" s="156">
        <f t="shared" si="22"/>
        <v>54.224445938206465</v>
      </c>
      <c r="AJ30" s="156">
        <f t="shared" si="23"/>
        <v>22.813479208641276</v>
      </c>
      <c r="AK30" s="88"/>
      <c r="AL30" s="716">
        <f t="shared" si="0"/>
        <v>1776.3186639124542</v>
      </c>
      <c r="AM30" s="716" t="str">
        <f>_xlfn.XLOOKUP(D30,RUC!$B$3:$B$72,RUC!$M$3:$M$72)</f>
        <v>Evelyn</v>
      </c>
      <c r="AN30" s="1167" t="s">
        <v>2297</v>
      </c>
    </row>
    <row r="31" spans="1:40" ht="15" customHeight="1">
      <c r="A31" s="747" t="s">
        <v>2162</v>
      </c>
      <c r="B31" s="595">
        <v>45803</v>
      </c>
      <c r="C31" s="595">
        <v>45797</v>
      </c>
      <c r="D31" t="s">
        <v>1671</v>
      </c>
      <c r="E31">
        <f>_xlfn.XLOOKUP(D31,RUC!$B$3:$B$123,RUC!$D$3:$D$123)</f>
        <v>20517242919</v>
      </c>
      <c r="G31" s="80">
        <v>40</v>
      </c>
      <c r="H31" t="s">
        <v>69</v>
      </c>
      <c r="I31" s="596">
        <v>4.01</v>
      </c>
      <c r="J31" s="1148">
        <v>4</v>
      </c>
      <c r="K31" s="138">
        <f t="shared" si="13"/>
        <v>3.8495999999999997</v>
      </c>
      <c r="L31" s="139">
        <v>0.22500000000000001</v>
      </c>
      <c r="M31" s="139">
        <v>0.221</v>
      </c>
      <c r="N31" s="159">
        <v>0.221</v>
      </c>
      <c r="O31" s="645">
        <f t="shared" si="14"/>
        <v>0.221</v>
      </c>
      <c r="P31" s="727">
        <v>90</v>
      </c>
      <c r="Q31">
        <v>90.65</v>
      </c>
      <c r="R31" s="706">
        <v>3261.55</v>
      </c>
      <c r="S31" s="802">
        <v>105</v>
      </c>
      <c r="U31" s="1091">
        <v>80</v>
      </c>
      <c r="V31" s="715">
        <v>1.1023000000000001</v>
      </c>
      <c r="Z31" s="1034">
        <v>10</v>
      </c>
      <c r="AA31" s="144">
        <f t="shared" si="15"/>
        <v>10</v>
      </c>
      <c r="AB31" s="145">
        <f t="shared" si="16"/>
        <v>570.78228817850004</v>
      </c>
      <c r="AC31" s="145">
        <f>+(S31-T31)*V31-'data 1'!$F$4</f>
        <v>35.741500000000002</v>
      </c>
      <c r="AD31" s="145">
        <f t="shared" si="17"/>
        <v>5.1290205013125467</v>
      </c>
      <c r="AE31" s="145">
        <f t="shared" si="18"/>
        <v>-58.977000000000004</v>
      </c>
      <c r="AF31" s="145">
        <f t="shared" si="19"/>
        <v>12.716463820690015</v>
      </c>
      <c r="AG31" s="772">
        <f t="shared" si="20"/>
        <v>11.60998432200256</v>
      </c>
      <c r="AH31" s="146">
        <f t="shared" si="21"/>
        <v>26.919996648186224</v>
      </c>
      <c r="AI31" s="156">
        <f t="shared" si="22"/>
        <v>37.872253648687462</v>
      </c>
      <c r="AJ31" s="156">
        <f t="shared" si="23"/>
        <v>26.251822434634992</v>
      </c>
      <c r="AK31" s="88"/>
      <c r="AL31" s="716">
        <f t="shared" si="0"/>
        <v>2197.2834965719535</v>
      </c>
      <c r="AM31" s="716" t="str">
        <f>_xlfn.XLOOKUP(D31,RUC!$B$3:$B$72,RUC!$M$3:$M$72)</f>
        <v>Melchor Vera</v>
      </c>
      <c r="AN31" s="1167" t="s">
        <v>2277</v>
      </c>
    </row>
    <row r="32" spans="1:40" ht="15" customHeight="1">
      <c r="A32" s="747" t="s">
        <v>2163</v>
      </c>
      <c r="B32" s="595">
        <v>45801</v>
      </c>
      <c r="C32" s="595">
        <v>45797</v>
      </c>
      <c r="D32" t="s">
        <v>1967</v>
      </c>
      <c r="E32">
        <f>_xlfn.XLOOKUP(D32,RUC!$B$3:$B$123,RUC!$D$3:$D$123)</f>
        <v>20601769396</v>
      </c>
      <c r="G32" s="80">
        <v>45</v>
      </c>
      <c r="H32" t="s">
        <v>116</v>
      </c>
      <c r="I32" s="596">
        <v>3.77</v>
      </c>
      <c r="J32" s="596">
        <v>7.9</v>
      </c>
      <c r="K32" s="138">
        <f t="shared" si="13"/>
        <v>3.4721700000000002</v>
      </c>
      <c r="L32" s="139">
        <v>0.27700000000000002</v>
      </c>
      <c r="M32" s="139">
        <v>0.26</v>
      </c>
      <c r="N32" s="159">
        <v>0.26</v>
      </c>
      <c r="O32" s="645">
        <f t="shared" si="14"/>
        <v>0.26</v>
      </c>
      <c r="P32" s="727">
        <v>90</v>
      </c>
      <c r="Q32">
        <v>90.97</v>
      </c>
      <c r="R32" s="706">
        <v>3261.55</v>
      </c>
      <c r="S32" s="765">
        <f>IF((90+ROUNDDOWN(O32,1)*100)&lt;95,95,(90+ROUNDDOWN(O32,1)*100))</f>
        <v>110</v>
      </c>
      <c r="U32" s="1146">
        <v>120</v>
      </c>
      <c r="V32" s="715">
        <v>1.1023000000000001</v>
      </c>
      <c r="Y32">
        <v>20</v>
      </c>
      <c r="Z32" s="143">
        <f>IF(IF(D32="UNTUCA",IF(+((W32-3)*1.5+(X32-3)*3.1)&gt;0,+((W32-3)*1.5+(X32-3)*3.1),0),IF(+((W32-3)*1.5+(X32-3)*3.1)&gt;0,+((W32-3)*1.5+(X32-3)*3.1),0))&lt;30,30,IF(D32="UNTUCA",IF(+((W32-3)*1.5+(X32-3)*3.1)&gt;0,+((W32-3)*1.5+(X32-3)*3.1),0),IF(+((W32-3)*1.5+(X32-3)*3.1)&gt;0,+((W32-3)*1.5+(X32-3)*3.1),0)))</f>
        <v>30</v>
      </c>
      <c r="AA32" s="144">
        <f t="shared" si="15"/>
        <v>50</v>
      </c>
      <c r="AB32" s="145">
        <f t="shared" si="16"/>
        <v>633.95775221000008</v>
      </c>
      <c r="AC32" s="145">
        <f>+(S32-T32)*V32-'data 1'!$F$4</f>
        <v>41.253</v>
      </c>
      <c r="AD32" s="145">
        <f t="shared" si="17"/>
        <v>9.3045481350984911</v>
      </c>
      <c r="AE32" s="145">
        <f t="shared" si="18"/>
        <v>-14.884999999999998</v>
      </c>
      <c r="AF32" s="145">
        <f t="shared" si="19"/>
        <v>53.55387489466856</v>
      </c>
      <c r="AG32" s="772">
        <f t="shared" si="20"/>
        <v>106.22642302976706</v>
      </c>
      <c r="AH32" s="146">
        <f t="shared" si="21"/>
        <v>29.997703862527953</v>
      </c>
      <c r="AI32" s="156">
        <f t="shared" si="22"/>
        <v>57.90014757490146</v>
      </c>
      <c r="AJ32" s="156">
        <f t="shared" si="23"/>
        <v>27.856458823183033</v>
      </c>
      <c r="AK32" s="88"/>
      <c r="AL32" s="716">
        <f t="shared" si="0"/>
        <v>2201.2090884909962</v>
      </c>
      <c r="AM32" s="716" t="str">
        <f>_xlfn.XLOOKUP(D32,RUC!$B$3:$B$72,RUC!$M$3:$M$72)</f>
        <v>Evelyn</v>
      </c>
      <c r="AN32" s="1167" t="s">
        <v>2277</v>
      </c>
    </row>
    <row r="33" spans="1:40" ht="15" customHeight="1">
      <c r="A33" s="747" t="s">
        <v>2165</v>
      </c>
      <c r="B33" s="595">
        <v>45803</v>
      </c>
      <c r="C33" s="595">
        <v>45797</v>
      </c>
      <c r="D33" t="s">
        <v>1671</v>
      </c>
      <c r="E33">
        <f>_xlfn.XLOOKUP(D33,RUC!$B$3:$B$123,RUC!$D$3:$D$123)</f>
        <v>20517242919</v>
      </c>
      <c r="G33" s="80">
        <v>44</v>
      </c>
      <c r="H33" t="s">
        <v>69</v>
      </c>
      <c r="I33" s="596">
        <v>4.47</v>
      </c>
      <c r="J33" s="596">
        <v>4</v>
      </c>
      <c r="K33" s="138">
        <f t="shared" si="13"/>
        <v>4.2911999999999999</v>
      </c>
      <c r="L33" s="139">
        <v>0.24</v>
      </c>
      <c r="M33" s="139">
        <v>0.23599999999999999</v>
      </c>
      <c r="N33" s="159">
        <v>0.23599999999999999</v>
      </c>
      <c r="O33" s="645">
        <f t="shared" si="14"/>
        <v>0.23599999999999999</v>
      </c>
      <c r="P33" s="727">
        <v>90</v>
      </c>
      <c r="Q33">
        <v>90.83</v>
      </c>
      <c r="R33" s="706">
        <v>3261.55</v>
      </c>
      <c r="S33" s="802">
        <v>105</v>
      </c>
      <c r="U33" s="1091">
        <v>80</v>
      </c>
      <c r="V33" s="715">
        <v>1.1023000000000001</v>
      </c>
      <c r="Z33" s="1034">
        <v>10</v>
      </c>
      <c r="AA33" s="144">
        <f t="shared" si="15"/>
        <v>10</v>
      </c>
      <c r="AB33" s="145">
        <f t="shared" si="16"/>
        <v>618.12709280600006</v>
      </c>
      <c r="AC33" s="145">
        <f>+(S33-T33)*V33-'data 1'!$F$4</f>
        <v>35.741500000000002</v>
      </c>
      <c r="AD33" s="145">
        <f t="shared" si="17"/>
        <v>6.9859889494799869</v>
      </c>
      <c r="AE33" s="145">
        <f t="shared" si="18"/>
        <v>-58.977000000000004</v>
      </c>
      <c r="AF33" s="145">
        <f t="shared" si="19"/>
        <v>12.741714383158014</v>
      </c>
      <c r="AG33" s="772">
        <f t="shared" si="20"/>
        <v>13.492203332637999</v>
      </c>
      <c r="AH33" s="146">
        <f t="shared" si="21"/>
        <v>32.072172665977277</v>
      </c>
      <c r="AI33" s="156">
        <f t="shared" si="22"/>
        <v>40.477285370519958</v>
      </c>
      <c r="AJ33" s="156">
        <f t="shared" si="23"/>
        <v>31.249447109313987</v>
      </c>
      <c r="AK33" s="88"/>
      <c r="AL33" s="716">
        <f t="shared" si="0"/>
        <v>2652.5069806491074</v>
      </c>
      <c r="AM33" s="716" t="str">
        <f>_xlfn.XLOOKUP(D33,RUC!$B$3:$B$72,RUC!$M$3:$M$72)</f>
        <v>Melchor Vera</v>
      </c>
      <c r="AN33" s="1167" t="s">
        <v>2277</v>
      </c>
    </row>
    <row r="34" spans="1:40" ht="15" customHeight="1">
      <c r="A34" s="747" t="s">
        <v>2166</v>
      </c>
      <c r="B34" s="595">
        <v>45803</v>
      </c>
      <c r="C34" s="595">
        <v>45797</v>
      </c>
      <c r="D34" t="s">
        <v>1671</v>
      </c>
      <c r="E34">
        <f>_xlfn.XLOOKUP(D34,RUC!$B$3:$B$123,RUC!$D$3:$D$123)</f>
        <v>20517242919</v>
      </c>
      <c r="G34" s="80">
        <v>44</v>
      </c>
      <c r="H34" t="s">
        <v>69</v>
      </c>
      <c r="I34" s="596">
        <v>4.41</v>
      </c>
      <c r="J34" s="596">
        <v>2.7</v>
      </c>
      <c r="K34" s="138">
        <f t="shared" si="13"/>
        <v>4.2909300000000004</v>
      </c>
      <c r="L34" s="139">
        <v>0.27500000000000002</v>
      </c>
      <c r="M34" s="139">
        <v>0.27100000000000002</v>
      </c>
      <c r="N34" s="159">
        <v>0.27100000000000002</v>
      </c>
      <c r="O34" s="645">
        <f t="shared" si="14"/>
        <v>0.27100000000000002</v>
      </c>
      <c r="P34" s="727">
        <v>90</v>
      </c>
      <c r="Q34">
        <v>89.45</v>
      </c>
      <c r="R34" s="706">
        <v>3261.55</v>
      </c>
      <c r="S34" s="802">
        <v>105</v>
      </c>
      <c r="U34" s="1091">
        <v>80</v>
      </c>
      <c r="V34" s="715">
        <v>1.1023000000000001</v>
      </c>
      <c r="Z34" s="1034">
        <v>10</v>
      </c>
      <c r="AA34" s="144">
        <f t="shared" si="15"/>
        <v>10</v>
      </c>
      <c r="AB34" s="145">
        <f t="shared" si="16"/>
        <v>728.5983036035002</v>
      </c>
      <c r="AC34" s="145">
        <f>+(S34-T34)*V34-'data 1'!$F$4</f>
        <v>35.741500000000002</v>
      </c>
      <c r="AD34" s="145">
        <f t="shared" si="17"/>
        <v>-5.304371629562473</v>
      </c>
      <c r="AE34" s="145">
        <f t="shared" si="18"/>
        <v>-58.977000000000004</v>
      </c>
      <c r="AF34" s="145">
        <f t="shared" si="19"/>
        <v>12.548126737570014</v>
      </c>
      <c r="AG34" s="772">
        <f t="shared" si="20"/>
        <v>1.008255108007539</v>
      </c>
      <c r="AH34" s="146">
        <f t="shared" si="21"/>
        <v>36.188746283263271</v>
      </c>
      <c r="AI34" s="156">
        <f t="shared" si="22"/>
        <v>45.675557979562456</v>
      </c>
      <c r="AJ34" s="156">
        <f t="shared" si="23"/>
        <v>35.88164121545978</v>
      </c>
      <c r="AK34" s="88"/>
      <c r="AL34" s="716">
        <f t="shared" si="0"/>
        <v>3126.3643188813676</v>
      </c>
      <c r="AM34" s="716" t="str">
        <f>_xlfn.XLOOKUP(D34,RUC!$B$3:$B$72,RUC!$M$3:$M$72)</f>
        <v>Melchor Vera</v>
      </c>
      <c r="AN34" s="1167" t="s">
        <v>2297</v>
      </c>
    </row>
    <row r="35" spans="1:40" ht="15" customHeight="1">
      <c r="A35" s="747" t="s">
        <v>2167</v>
      </c>
      <c r="B35" s="595">
        <v>45803</v>
      </c>
      <c r="C35" s="595">
        <v>45797</v>
      </c>
      <c r="D35" t="s">
        <v>1671</v>
      </c>
      <c r="E35">
        <f>_xlfn.XLOOKUP(D35,RUC!$B$3:$B$123,RUC!$D$3:$D$123)</f>
        <v>20517242919</v>
      </c>
      <c r="G35" s="80">
        <v>62</v>
      </c>
      <c r="H35" t="s">
        <v>69</v>
      </c>
      <c r="I35" s="596">
        <v>6.14</v>
      </c>
      <c r="J35" s="596">
        <v>3.15</v>
      </c>
      <c r="K35" s="138">
        <f t="shared" si="13"/>
        <v>5.9465899999999996</v>
      </c>
      <c r="L35" s="139">
        <v>0.23</v>
      </c>
      <c r="M35" s="139">
        <v>0.22700000000000001</v>
      </c>
      <c r="N35" s="159">
        <v>0.22700000000000001</v>
      </c>
      <c r="O35" s="645">
        <f t="shared" si="14"/>
        <v>0.22700000000000001</v>
      </c>
      <c r="P35" s="727">
        <v>90</v>
      </c>
      <c r="Q35">
        <v>92.17</v>
      </c>
      <c r="R35" s="706">
        <v>3261.55</v>
      </c>
      <c r="S35" s="802">
        <v>105</v>
      </c>
      <c r="U35" s="1091">
        <v>80</v>
      </c>
      <c r="V35" s="715">
        <v>1.1023000000000001</v>
      </c>
      <c r="Z35" s="1034">
        <v>10</v>
      </c>
      <c r="AA35" s="144">
        <f t="shared" si="15"/>
        <v>10</v>
      </c>
      <c r="AB35" s="145">
        <f t="shared" si="16"/>
        <v>589.72021002950009</v>
      </c>
      <c r="AC35" s="145">
        <f>+(S35-T35)*V35-'data 1'!$F$4</f>
        <v>35.741500000000002</v>
      </c>
      <c r="AD35" s="145">
        <f t="shared" si="17"/>
        <v>17.50354962191502</v>
      </c>
      <c r="AE35" s="145">
        <f t="shared" si="18"/>
        <v>-58.977000000000004</v>
      </c>
      <c r="AF35" s="145">
        <f t="shared" si="19"/>
        <v>9.6972680944815099</v>
      </c>
      <c r="AG35" s="772">
        <f t="shared" si="20"/>
        <v>20.965317716396527</v>
      </c>
      <c r="AH35" s="146">
        <f t="shared" si="21"/>
        <v>43.220967963229377</v>
      </c>
      <c r="AI35" s="156">
        <f t="shared" si="22"/>
        <v>39.363005078084967</v>
      </c>
      <c r="AJ35" s="156">
        <f t="shared" si="23"/>
        <v>41.652918071464171</v>
      </c>
      <c r="AK35" s="88"/>
      <c r="AL35" s="716">
        <f t="shared" si="0"/>
        <v>3506.8243037593247</v>
      </c>
      <c r="AM35" s="716" t="str">
        <f>_xlfn.XLOOKUP(D35,RUC!$B$3:$B$72,RUC!$M$3:$M$72)</f>
        <v>Melchor Vera</v>
      </c>
      <c r="AN35" s="1167" t="s">
        <v>2277</v>
      </c>
    </row>
    <row r="36" spans="1:40" ht="15" customHeight="1">
      <c r="A36" s="747" t="s">
        <v>2168</v>
      </c>
      <c r="B36" s="595">
        <v>45803</v>
      </c>
      <c r="C36" s="595">
        <v>45797</v>
      </c>
      <c r="D36" t="s">
        <v>1671</v>
      </c>
      <c r="E36">
        <f>_xlfn.XLOOKUP(D36,RUC!$B$3:$B$123,RUC!$D$3:$D$123)</f>
        <v>20517242919</v>
      </c>
      <c r="G36" s="80">
        <v>57</v>
      </c>
      <c r="H36" t="s">
        <v>69</v>
      </c>
      <c r="I36" s="596">
        <v>4.8499999999999996</v>
      </c>
      <c r="J36" s="596">
        <v>4.05</v>
      </c>
      <c r="K36" s="138">
        <f t="shared" si="13"/>
        <v>4.653575</v>
      </c>
      <c r="L36" s="139">
        <v>0.16700000000000001</v>
      </c>
      <c r="M36" s="139">
        <v>0.16400000000000001</v>
      </c>
      <c r="N36" s="598">
        <v>0.189</v>
      </c>
      <c r="O36" s="645">
        <f t="shared" si="14"/>
        <v>0.17699999999999999</v>
      </c>
      <c r="P36" s="727">
        <v>85</v>
      </c>
      <c r="Q36">
        <v>88.02</v>
      </c>
      <c r="R36" s="706">
        <v>3261.55</v>
      </c>
      <c r="S36" s="802">
        <v>95</v>
      </c>
      <c r="U36" s="1091">
        <v>80</v>
      </c>
      <c r="V36" s="715">
        <v>1.1023000000000001</v>
      </c>
      <c r="Z36" s="1034">
        <v>10</v>
      </c>
      <c r="AA36" s="144">
        <f t="shared" si="15"/>
        <v>10</v>
      </c>
      <c r="AB36" s="145">
        <f t="shared" si="16"/>
        <v>411.89004490425003</v>
      </c>
      <c r="AC36" s="145">
        <f>+(S36-T36)*V36-'data 1'!$F$4</f>
        <v>24.718500000000006</v>
      </c>
      <c r="AD36" s="145">
        <f t="shared" si="17"/>
        <v>17.687317604320981</v>
      </c>
      <c r="AE36" s="145">
        <f t="shared" si="18"/>
        <v>-58.977000000000004</v>
      </c>
      <c r="AF36" s="145">
        <f t="shared" si="19"/>
        <v>-30.868812617129947</v>
      </c>
      <c r="AG36" s="772">
        <f t="shared" si="20"/>
        <v>-30.439995012808964</v>
      </c>
      <c r="AH36" s="146">
        <f t="shared" si="21"/>
        <v>23.452741802609488</v>
      </c>
      <c r="AI36" s="156">
        <f t="shared" si="22"/>
        <v>27.294092440928971</v>
      </c>
      <c r="AJ36" s="156">
        <f t="shared" si="23"/>
        <v>24.004241035329464</v>
      </c>
      <c r="AK36" s="88"/>
      <c r="AL36" s="716">
        <f t="shared" si="0"/>
        <v>1916.7612157152953</v>
      </c>
      <c r="AM36" s="716" t="str">
        <f>_xlfn.XLOOKUP(D36,RUC!$B$3:$B$72,RUC!$M$3:$M$72)</f>
        <v>Melchor Vera</v>
      </c>
      <c r="AN36" s="1167" t="s">
        <v>2297</v>
      </c>
    </row>
    <row r="37" spans="1:40" ht="15" customHeight="1">
      <c r="A37" s="747" t="s">
        <v>2170</v>
      </c>
      <c r="B37" s="595">
        <v>45803</v>
      </c>
      <c r="C37" s="595">
        <v>45799</v>
      </c>
      <c r="D37" t="s">
        <v>154</v>
      </c>
      <c r="E37">
        <f>_xlfn.XLOOKUP(D37,RUC!$B$3:$B$123,RUC!$D$3:$D$123)</f>
        <v>10416085884</v>
      </c>
      <c r="G37" s="80" t="s">
        <v>1434</v>
      </c>
      <c r="H37" t="s">
        <v>69</v>
      </c>
      <c r="I37" s="596">
        <v>28.07</v>
      </c>
      <c r="J37" s="596">
        <v>2.5</v>
      </c>
      <c r="K37" s="138">
        <f t="shared" si="13"/>
        <v>27.36825</v>
      </c>
      <c r="L37" s="139">
        <v>0.20100000000000001</v>
      </c>
      <c r="M37" s="139">
        <v>0.185</v>
      </c>
      <c r="N37" s="598">
        <v>0.22</v>
      </c>
      <c r="O37" s="1147">
        <v>0.20200000000000001</v>
      </c>
      <c r="P37" s="727">
        <v>90</v>
      </c>
      <c r="Q37">
        <v>92.04</v>
      </c>
      <c r="R37" s="706">
        <v>3284</v>
      </c>
      <c r="S37" s="802">
        <v>100</v>
      </c>
      <c r="U37" s="1146">
        <v>90</v>
      </c>
      <c r="V37" s="715">
        <v>1.1023000000000001</v>
      </c>
      <c r="Y37">
        <v>20</v>
      </c>
      <c r="Z37" s="143">
        <f t="shared" ref="Z37:Z45" si="24">IF(IF(D37="UNTUCA",IF(+((W37-3)*1.5+(X37-3)*3.1)&gt;0,+((W37-3)*1.5+(X37-3)*3.1),0),IF(+((W37-3)*1.5+(X37-3)*3.1)&gt;0,+((W37-3)*1.5+(X37-3)*3.1),0))&lt;30,30,IF(D37="UNTUCA",IF(+((W37-3)*1.5+(X37-3)*3.1)&gt;0,+((W37-3)*1.5+(X37-3)*3.1),0),IF(+((W37-3)*1.5+(X37-3)*3.1)&gt;0,+((W37-3)*1.5+(X37-3)*3.1),0)))</f>
        <v>30</v>
      </c>
      <c r="AA37" s="144">
        <f t="shared" si="15"/>
        <v>50</v>
      </c>
      <c r="AB37" s="145">
        <f t="shared" si="16"/>
        <v>474.72665915999994</v>
      </c>
      <c r="AC37" s="145">
        <f>+(S37-T37)*V37-'data 1'!$F$4</f>
        <v>30.230000000000004</v>
      </c>
      <c r="AD37" s="145">
        <f t="shared" si="17"/>
        <v>14.436467718480046</v>
      </c>
      <c r="AE37" s="145">
        <f t="shared" si="18"/>
        <v>-14.884999999999998</v>
      </c>
      <c r="AF37" s="145">
        <f t="shared" si="19"/>
        <v>-3.2404948024800029</v>
      </c>
      <c r="AG37" s="772">
        <f t="shared" si="20"/>
        <v>43.540972916000044</v>
      </c>
      <c r="AH37" s="146">
        <f t="shared" si="21"/>
        <v>173.59162355981996</v>
      </c>
      <c r="AI37" s="156">
        <f t="shared" si="22"/>
        <v>31.812446783520002</v>
      </c>
      <c r="AJ37" s="156">
        <f t="shared" si="23"/>
        <v>170.58858879859324</v>
      </c>
      <c r="AK37" s="88"/>
      <c r="AL37" s="716">
        <f t="shared" si="0"/>
        <v>12992.437889555667</v>
      </c>
      <c r="AM37" s="716" t="str">
        <f>_xlfn.XLOOKUP(D37,RUC!$B$3:$B$72,RUC!$M$3:$M$72)</f>
        <v>Alfred Torres</v>
      </c>
      <c r="AN37" s="1167" t="s">
        <v>2279</v>
      </c>
    </row>
    <row r="38" spans="1:40" ht="15" customHeight="1">
      <c r="A38" s="747" t="s">
        <v>2171</v>
      </c>
      <c r="B38" s="595">
        <v>45806</v>
      </c>
      <c r="C38" s="595">
        <v>45802</v>
      </c>
      <c r="D38" t="s">
        <v>1967</v>
      </c>
      <c r="E38">
        <f>_xlfn.XLOOKUP(D38,RUC!$B$3:$B$123,RUC!$D$3:$D$123)</f>
        <v>20601769396</v>
      </c>
      <c r="G38" s="80">
        <v>50</v>
      </c>
      <c r="H38" t="s">
        <v>2005</v>
      </c>
      <c r="I38" s="596">
        <v>3.62</v>
      </c>
      <c r="J38" s="596">
        <v>22</v>
      </c>
      <c r="K38" s="138">
        <f t="shared" si="13"/>
        <v>2.8235999999999999</v>
      </c>
      <c r="L38" s="139">
        <v>0.22500000000000001</v>
      </c>
      <c r="M38" s="139">
        <v>0.20899999999999999</v>
      </c>
      <c r="N38" s="159">
        <v>0.20899999999999999</v>
      </c>
      <c r="O38" s="645">
        <f t="shared" ref="O38:O65" si="25">+ROUND((M38+N38)/2,3)</f>
        <v>0.20899999999999999</v>
      </c>
      <c r="P38" s="727">
        <v>90</v>
      </c>
      <c r="Q38" s="596">
        <v>92.89</v>
      </c>
      <c r="R38" s="706">
        <v>3296.7</v>
      </c>
      <c r="S38" s="765">
        <f t="shared" ref="S38:S43" si="26">IF((90+ROUNDDOWN(O38,1)*100)&lt;95,95,(90+ROUNDDOWN(O38,1)*100))</f>
        <v>110</v>
      </c>
      <c r="U38" s="1146">
        <v>120</v>
      </c>
      <c r="V38" s="715">
        <v>1.1023000000000001</v>
      </c>
      <c r="Y38">
        <v>20</v>
      </c>
      <c r="Z38" s="143">
        <f t="shared" si="24"/>
        <v>30</v>
      </c>
      <c r="AA38" s="144">
        <f t="shared" si="15"/>
        <v>50</v>
      </c>
      <c r="AB38" s="145">
        <f t="shared" si="16"/>
        <v>482.29733272099992</v>
      </c>
      <c r="AC38" s="145">
        <f>+(S38-T38)*V38-'data 1'!$F$4</f>
        <v>41.253</v>
      </c>
      <c r="AD38" s="145">
        <f t="shared" si="17"/>
        <v>22.769650856024999</v>
      </c>
      <c r="AE38" s="145">
        <f t="shared" si="18"/>
        <v>-14.884999999999998</v>
      </c>
      <c r="AF38" s="145">
        <f t="shared" si="19"/>
        <v>52.043315475984045</v>
      </c>
      <c r="AG38" s="772">
        <f t="shared" si="20"/>
        <v>118.18096633200904</v>
      </c>
      <c r="AH38" s="146">
        <f t="shared" si="21"/>
        <v>20.233160355432066</v>
      </c>
      <c r="AI38" s="156">
        <f t="shared" si="22"/>
        <v>39.925452881475046</v>
      </c>
      <c r="AJ38" s="156">
        <f t="shared" si="23"/>
        <v>18.209626501390037</v>
      </c>
      <c r="AK38" s="88"/>
      <c r="AL38" s="716">
        <f t="shared" si="0"/>
        <v>1361.8147486710154</v>
      </c>
      <c r="AM38" s="716" t="str">
        <f>_xlfn.XLOOKUP(D38,RUC!$B$3:$B$72,RUC!$M$3:$M$72)</f>
        <v>Evelyn</v>
      </c>
      <c r="AN38" s="1167" t="s">
        <v>2278</v>
      </c>
    </row>
    <row r="39" spans="1:40" ht="15" customHeight="1">
      <c r="A39" s="747" t="s">
        <v>2172</v>
      </c>
      <c r="B39" s="595">
        <v>45806</v>
      </c>
      <c r="C39" s="595">
        <v>45802</v>
      </c>
      <c r="D39" t="s">
        <v>1967</v>
      </c>
      <c r="E39">
        <f>_xlfn.XLOOKUP(D39,RUC!$B$3:$B$123,RUC!$D$3:$D$123)</f>
        <v>20601769396</v>
      </c>
      <c r="G39" s="80">
        <v>50</v>
      </c>
      <c r="H39" t="s">
        <v>2005</v>
      </c>
      <c r="I39" s="596">
        <v>3.69</v>
      </c>
      <c r="J39" s="596">
        <v>18</v>
      </c>
      <c r="K39" s="138">
        <f t="shared" si="13"/>
        <v>3.0257999999999998</v>
      </c>
      <c r="L39" s="139">
        <v>0.26600000000000001</v>
      </c>
      <c r="M39" s="139">
        <v>0.25</v>
      </c>
      <c r="N39" s="159">
        <v>0.25</v>
      </c>
      <c r="O39" s="645">
        <f t="shared" si="25"/>
        <v>0.25</v>
      </c>
      <c r="P39" s="727">
        <v>90</v>
      </c>
      <c r="Q39" s="596">
        <v>92.48</v>
      </c>
      <c r="R39" s="706">
        <v>3296.7</v>
      </c>
      <c r="S39" s="765">
        <f t="shared" si="26"/>
        <v>110</v>
      </c>
      <c r="U39" s="1146">
        <v>120</v>
      </c>
      <c r="V39" s="715">
        <v>1.1023000000000001</v>
      </c>
      <c r="Y39">
        <v>20</v>
      </c>
      <c r="Z39" s="143">
        <f t="shared" si="24"/>
        <v>30</v>
      </c>
      <c r="AA39" s="144">
        <f t="shared" si="15"/>
        <v>50</v>
      </c>
      <c r="AB39" s="145">
        <f t="shared" si="16"/>
        <v>611.50919225000007</v>
      </c>
      <c r="AC39" s="145">
        <f>+(S39-T39)*V39-'data 1'!$F$4</f>
        <v>41.253</v>
      </c>
      <c r="AD39" s="145">
        <f t="shared" si="17"/>
        <v>23.099858941488037</v>
      </c>
      <c r="AE39" s="145">
        <f t="shared" si="18"/>
        <v>-14.884999999999998</v>
      </c>
      <c r="AF39" s="145">
        <f t="shared" si="19"/>
        <v>51.813605503488048</v>
      </c>
      <c r="AG39" s="772">
        <f t="shared" si="20"/>
        <v>118.28146444497608</v>
      </c>
      <c r="AH39" s="146">
        <f t="shared" si="21"/>
        <v>25.519886911448825</v>
      </c>
      <c r="AI39" s="156">
        <f t="shared" si="22"/>
        <v>46.992421848512059</v>
      </c>
      <c r="AJ39" s="156">
        <f t="shared" si="23"/>
        <v>23.341663611380248</v>
      </c>
      <c r="AK39" s="88"/>
      <c r="AL39" s="716">
        <f t="shared" si="0"/>
        <v>1850.30451391005</v>
      </c>
      <c r="AM39" s="716" t="str">
        <f>_xlfn.XLOOKUP(D39,RUC!$B$3:$B$72,RUC!$M$3:$M$72)</f>
        <v>Evelyn</v>
      </c>
      <c r="AN39" s="1167" t="s">
        <v>2278</v>
      </c>
    </row>
    <row r="40" spans="1:40" ht="15" customHeight="1">
      <c r="A40" s="747" t="s">
        <v>2173</v>
      </c>
      <c r="B40" s="595">
        <v>45806</v>
      </c>
      <c r="C40" s="595">
        <v>45802</v>
      </c>
      <c r="D40" t="s">
        <v>1967</v>
      </c>
      <c r="E40">
        <f>_xlfn.XLOOKUP(D40,RUC!$B$3:$B$123,RUC!$D$3:$D$123)</f>
        <v>20601769396</v>
      </c>
      <c r="G40" s="80">
        <v>50</v>
      </c>
      <c r="H40" t="s">
        <v>2005</v>
      </c>
      <c r="I40" s="596">
        <v>3.38</v>
      </c>
      <c r="J40" s="596">
        <v>20</v>
      </c>
      <c r="K40" s="138">
        <f t="shared" si="13"/>
        <v>2.7039999999999997</v>
      </c>
      <c r="L40" s="139">
        <v>0.26600000000000001</v>
      </c>
      <c r="M40" s="139">
        <v>0.25</v>
      </c>
      <c r="N40" s="159">
        <v>0.25</v>
      </c>
      <c r="O40" s="645">
        <f t="shared" si="25"/>
        <v>0.25</v>
      </c>
      <c r="P40" s="727">
        <v>90</v>
      </c>
      <c r="Q40" s="596">
        <v>91.73</v>
      </c>
      <c r="R40" s="706">
        <v>3296.7</v>
      </c>
      <c r="S40" s="765">
        <f t="shared" si="26"/>
        <v>110</v>
      </c>
      <c r="U40" s="1146">
        <v>120</v>
      </c>
      <c r="V40" s="715">
        <v>1.1023000000000001</v>
      </c>
      <c r="Y40">
        <v>20</v>
      </c>
      <c r="Z40" s="143">
        <f t="shared" si="24"/>
        <v>30</v>
      </c>
      <c r="AA40" s="144">
        <f t="shared" si="15"/>
        <v>50</v>
      </c>
      <c r="AB40" s="145">
        <f t="shared" si="16"/>
        <v>611.50919225000007</v>
      </c>
      <c r="AC40" s="145">
        <f>+(S40-T40)*V40-'data 1'!$F$4</f>
        <v>41.253</v>
      </c>
      <c r="AD40" s="145">
        <f t="shared" si="17"/>
        <v>16.114014503538041</v>
      </c>
      <c r="AE40" s="145">
        <f t="shared" si="18"/>
        <v>-14.884999999999998</v>
      </c>
      <c r="AF40" s="145">
        <f t="shared" si="19"/>
        <v>51.39340433428805</v>
      </c>
      <c r="AG40" s="772">
        <f t="shared" si="20"/>
        <v>110.87541883782609</v>
      </c>
      <c r="AH40" s="146">
        <f t="shared" si="21"/>
        <v>22.620843059917519</v>
      </c>
      <c r="AI40" s="156">
        <f t="shared" si="22"/>
        <v>46.61131981146206</v>
      </c>
      <c r="AJ40" s="156">
        <f t="shared" si="23"/>
        <v>20.859230089619999</v>
      </c>
      <c r="AK40" s="88"/>
      <c r="AL40" s="716">
        <f t="shared" si="0"/>
        <v>1653.5208558439999</v>
      </c>
      <c r="AM40" s="716" t="str">
        <f>_xlfn.XLOOKUP(D40,RUC!$B$3:$B$72,RUC!$M$3:$M$72)</f>
        <v>Evelyn</v>
      </c>
      <c r="AN40" s="1167" t="s">
        <v>2278</v>
      </c>
    </row>
    <row r="41" spans="1:40" ht="15" customHeight="1">
      <c r="A41" s="747" t="s">
        <v>2174</v>
      </c>
      <c r="B41" s="595">
        <v>45805</v>
      </c>
      <c r="C41" s="595">
        <v>45802</v>
      </c>
      <c r="D41" t="s">
        <v>1967</v>
      </c>
      <c r="E41">
        <f>_xlfn.XLOOKUP(D41,RUC!$B$3:$B$123,RUC!$D$3:$D$123)</f>
        <v>20601769396</v>
      </c>
      <c r="G41" s="80">
        <v>50</v>
      </c>
      <c r="H41" t="s">
        <v>2005</v>
      </c>
      <c r="I41" s="596">
        <v>3.52</v>
      </c>
      <c r="J41" s="596">
        <v>17</v>
      </c>
      <c r="K41" s="138">
        <f t="shared" si="13"/>
        <v>2.9215999999999998</v>
      </c>
      <c r="L41" s="139">
        <v>0.22</v>
      </c>
      <c r="M41" s="139">
        <v>0.20499999999999999</v>
      </c>
      <c r="N41" s="159">
        <v>0.20499999999999999</v>
      </c>
      <c r="O41" s="645">
        <f t="shared" si="25"/>
        <v>0.20499999999999999</v>
      </c>
      <c r="P41" s="727">
        <v>90</v>
      </c>
      <c r="Q41" s="596">
        <v>90.91</v>
      </c>
      <c r="R41" s="706">
        <v>3296.7</v>
      </c>
      <c r="S41" s="765">
        <f t="shared" si="26"/>
        <v>110</v>
      </c>
      <c r="U41" s="1146">
        <v>120</v>
      </c>
      <c r="V41" s="715">
        <v>1.1023000000000001</v>
      </c>
      <c r="Y41">
        <v>20</v>
      </c>
      <c r="Z41" s="143">
        <f t="shared" si="24"/>
        <v>30</v>
      </c>
      <c r="AA41" s="144">
        <f t="shared" si="15"/>
        <v>50</v>
      </c>
      <c r="AB41" s="145">
        <f t="shared" si="16"/>
        <v>469.69129764499996</v>
      </c>
      <c r="AC41" s="145">
        <f>+(S41-T41)*V41-'data 1'!$F$4</f>
        <v>41.253</v>
      </c>
      <c r="AD41" s="145">
        <f t="shared" si="17"/>
        <v>7.0103561728199733</v>
      </c>
      <c r="AE41" s="145">
        <f t="shared" si="18"/>
        <v>-14.884999999999998</v>
      </c>
      <c r="AF41" s="145">
        <f t="shared" si="19"/>
        <v>47.750610364965041</v>
      </c>
      <c r="AG41" s="772">
        <f t="shared" si="20"/>
        <v>98.128966537785004</v>
      </c>
      <c r="AH41" s="146">
        <f t="shared" si="21"/>
        <v>20.03383828175545</v>
      </c>
      <c r="AI41" s="156">
        <f t="shared" si="22"/>
        <v>38.206100057180038</v>
      </c>
      <c r="AJ41" s="156">
        <f t="shared" si="23"/>
        <v>18.48103100460936</v>
      </c>
      <c r="AK41" s="88"/>
      <c r="AL41" s="716">
        <f t="shared" si="0"/>
        <v>1372.2500951996317</v>
      </c>
      <c r="AM41" s="716" t="str">
        <f>_xlfn.XLOOKUP(D41,RUC!$B$3:$B$72,RUC!$M$3:$M$72)</f>
        <v>Evelyn</v>
      </c>
      <c r="AN41" s="1167" t="s">
        <v>2278</v>
      </c>
    </row>
    <row r="42" spans="1:40" ht="15" customHeight="1">
      <c r="A42" s="747" t="s">
        <v>2175</v>
      </c>
      <c r="B42" s="595">
        <v>45805</v>
      </c>
      <c r="C42" s="595">
        <v>45802</v>
      </c>
      <c r="D42" t="s">
        <v>1967</v>
      </c>
      <c r="E42">
        <f>_xlfn.XLOOKUP(D42,RUC!$B$3:$B$123,RUC!$D$3:$D$123)</f>
        <v>20601769396</v>
      </c>
      <c r="G42" s="80">
        <v>50</v>
      </c>
      <c r="H42" t="s">
        <v>2005</v>
      </c>
      <c r="I42" s="596">
        <v>3.81</v>
      </c>
      <c r="J42" s="596">
        <v>20</v>
      </c>
      <c r="K42" s="138">
        <f t="shared" si="13"/>
        <v>3.048</v>
      </c>
      <c r="L42" s="139">
        <v>0.247</v>
      </c>
      <c r="M42" s="139">
        <v>0.23200000000000001</v>
      </c>
      <c r="N42" s="159">
        <v>0.23200000000000001</v>
      </c>
      <c r="O42" s="645">
        <f t="shared" si="25"/>
        <v>0.23200000000000001</v>
      </c>
      <c r="P42" s="727">
        <v>90</v>
      </c>
      <c r="Q42" s="596">
        <v>90.69</v>
      </c>
      <c r="R42" s="706">
        <v>3296.7</v>
      </c>
      <c r="S42" s="765">
        <f t="shared" si="26"/>
        <v>110</v>
      </c>
      <c r="U42" s="1146">
        <v>120</v>
      </c>
      <c r="V42" s="715">
        <v>1.1023000000000001</v>
      </c>
      <c r="Y42">
        <v>20</v>
      </c>
      <c r="Z42" s="143">
        <f t="shared" si="24"/>
        <v>30</v>
      </c>
      <c r="AA42" s="144">
        <f t="shared" si="15"/>
        <v>50</v>
      </c>
      <c r="AB42" s="145">
        <f t="shared" si="16"/>
        <v>554.78203440799996</v>
      </c>
      <c r="AC42" s="145">
        <f>+(S42-T42)*V42-'data 1'!$F$4</f>
        <v>41.253</v>
      </c>
      <c r="AD42" s="145">
        <f t="shared" si="17"/>
        <v>5.9679071055629791</v>
      </c>
      <c r="AE42" s="145">
        <f t="shared" si="18"/>
        <v>-14.884999999999998</v>
      </c>
      <c r="AF42" s="145">
        <f t="shared" si="19"/>
        <v>47.63505504343496</v>
      </c>
      <c r="AG42" s="772">
        <f t="shared" si="20"/>
        <v>96.970962148997955</v>
      </c>
      <c r="AH42" s="146">
        <f t="shared" si="21"/>
        <v>23.408866619923536</v>
      </c>
      <c r="AI42" s="156">
        <f t="shared" si="22"/>
        <v>42.791225582937052</v>
      </c>
      <c r="AJ42" s="156">
        <f t="shared" si="23"/>
        <v>21.819988947712321</v>
      </c>
      <c r="AK42" s="88"/>
      <c r="AL42" s="716">
        <f t="shared" si="0"/>
        <v>1690.9756408755838</v>
      </c>
      <c r="AM42" s="716" t="str">
        <f>_xlfn.XLOOKUP(D42,RUC!$B$3:$B$72,RUC!$M$3:$M$72)</f>
        <v>Evelyn</v>
      </c>
      <c r="AN42" s="1167" t="s">
        <v>2278</v>
      </c>
    </row>
    <row r="43" spans="1:40" ht="15" customHeight="1">
      <c r="A43" s="1152" t="s">
        <v>2176</v>
      </c>
      <c r="B43" s="595">
        <v>45805</v>
      </c>
      <c r="C43" s="595">
        <v>45802</v>
      </c>
      <c r="D43" t="s">
        <v>1967</v>
      </c>
      <c r="E43">
        <f>_xlfn.XLOOKUP(D43,RUC!$B$3:$B$123,RUC!$D$3:$D$123)</f>
        <v>20601769396</v>
      </c>
      <c r="G43" s="80">
        <v>50</v>
      </c>
      <c r="H43" t="s">
        <v>2005</v>
      </c>
      <c r="I43" s="596">
        <v>3.53</v>
      </c>
      <c r="J43" s="596">
        <v>21</v>
      </c>
      <c r="K43" s="138">
        <f t="shared" si="13"/>
        <v>2.7887</v>
      </c>
      <c r="L43" s="139">
        <v>0.26700000000000002</v>
      </c>
      <c r="M43" s="139">
        <v>0.251</v>
      </c>
      <c r="N43" s="159">
        <v>0.251</v>
      </c>
      <c r="O43" s="645">
        <f t="shared" si="25"/>
        <v>0.251</v>
      </c>
      <c r="P43" s="727">
        <v>90</v>
      </c>
      <c r="Q43" s="596">
        <v>91.74</v>
      </c>
      <c r="R43" s="706">
        <v>3296.7</v>
      </c>
      <c r="S43" s="765">
        <f t="shared" si="26"/>
        <v>110</v>
      </c>
      <c r="U43" s="1146">
        <v>120</v>
      </c>
      <c r="V43" s="715">
        <v>1.1023000000000001</v>
      </c>
      <c r="Y43">
        <v>20</v>
      </c>
      <c r="Z43" s="143">
        <f t="shared" si="24"/>
        <v>30</v>
      </c>
      <c r="AA43" s="144">
        <f t="shared" si="15"/>
        <v>50</v>
      </c>
      <c r="AB43" s="145">
        <f t="shared" si="16"/>
        <v>614.66070101899993</v>
      </c>
      <c r="AC43" s="145">
        <f>+(S43-T43)*V43-'data 1'!$F$4</f>
        <v>41.253</v>
      </c>
      <c r="AD43" s="145">
        <f t="shared" si="17"/>
        <v>16.268088265577951</v>
      </c>
      <c r="AE43" s="145">
        <f t="shared" si="18"/>
        <v>-14.884999999999998</v>
      </c>
      <c r="AF43" s="145">
        <f t="shared" si="19"/>
        <v>51.39900701654404</v>
      </c>
      <c r="AG43" s="772">
        <f t="shared" si="20"/>
        <v>111.035095282122</v>
      </c>
      <c r="AH43" s="146">
        <f t="shared" si="21"/>
        <v>23.419674953421875</v>
      </c>
      <c r="AI43" s="156">
        <f t="shared" si="22"/>
        <v>46.791650800422055</v>
      </c>
      <c r="AJ43" s="156">
        <f t="shared" si="23"/>
        <v>21.598674367872409</v>
      </c>
      <c r="AK43" s="88"/>
      <c r="AL43" s="716">
        <f t="shared" si="0"/>
        <v>1714.104296931685</v>
      </c>
      <c r="AM43" s="716" t="str">
        <f>_xlfn.XLOOKUP(D43,RUC!$B$3:$B$72,RUC!$M$3:$M$72)</f>
        <v>Evelyn</v>
      </c>
      <c r="AN43" s="1167" t="s">
        <v>2278</v>
      </c>
    </row>
    <row r="44" spans="1:40" ht="15" customHeight="1">
      <c r="A44" s="747" t="s">
        <v>2177</v>
      </c>
      <c r="B44" s="595">
        <v>45785</v>
      </c>
      <c r="C44" s="595">
        <v>45803</v>
      </c>
      <c r="D44" t="s">
        <v>1433</v>
      </c>
      <c r="E44">
        <f>_xlfn.XLOOKUP(D44,RUC!$B$3:$B$123,RUC!$D$3:$D$123)</f>
        <v>10473108823</v>
      </c>
      <c r="G44" s="80" t="s">
        <v>1434</v>
      </c>
      <c r="H44" t="s">
        <v>69</v>
      </c>
      <c r="I44" s="596">
        <v>35.909999999999997</v>
      </c>
      <c r="J44" s="596">
        <v>29</v>
      </c>
      <c r="K44" s="138">
        <f t="shared" si="13"/>
        <v>25.496099999999998</v>
      </c>
      <c r="L44" s="139">
        <v>0.33700000000000002</v>
      </c>
      <c r="M44" s="139">
        <v>0.3</v>
      </c>
      <c r="N44" s="159">
        <v>0.3</v>
      </c>
      <c r="O44" s="645">
        <f t="shared" si="25"/>
        <v>0.3</v>
      </c>
      <c r="P44" s="727">
        <v>90</v>
      </c>
      <c r="Q44" s="596">
        <v>92.88</v>
      </c>
      <c r="R44" s="706">
        <v>3296.7</v>
      </c>
      <c r="S44" s="841">
        <v>110</v>
      </c>
      <c r="U44" s="1146">
        <v>90</v>
      </c>
      <c r="V44" s="715">
        <v>1.1023000000000001</v>
      </c>
      <c r="Z44" s="143">
        <f t="shared" si="24"/>
        <v>30</v>
      </c>
      <c r="AA44" s="144">
        <f t="shared" si="15"/>
        <v>30</v>
      </c>
      <c r="AB44" s="145">
        <f t="shared" si="16"/>
        <v>800.05926069999998</v>
      </c>
      <c r="AC44" s="145">
        <f>+(S44-T44)*V44-'data 1'!$F$4</f>
        <v>41.253</v>
      </c>
      <c r="AD44" s="145">
        <f t="shared" si="17"/>
        <v>34.306825051295952</v>
      </c>
      <c r="AE44" s="145">
        <f t="shared" si="18"/>
        <v>-36.930999999999997</v>
      </c>
      <c r="AF44" s="145">
        <f t="shared" si="19"/>
        <v>121.47364686189609</v>
      </c>
      <c r="AG44" s="772">
        <f t="shared" si="20"/>
        <v>177.10247191319203</v>
      </c>
      <c r="AH44" s="146">
        <f t="shared" si="21"/>
        <v>273.61186775250303</v>
      </c>
      <c r="AI44" s="156">
        <f t="shared" si="22"/>
        <v>49.442236243704066</v>
      </c>
      <c r="AJ44" s="156">
        <f t="shared" si="23"/>
        <v>236.01879421063336</v>
      </c>
      <c r="AK44" s="88"/>
      <c r="AL44" s="716">
        <f t="shared" si="0"/>
        <v>20398.390916733268</v>
      </c>
      <c r="AM44" s="716" t="str">
        <f>_xlfn.XLOOKUP(D44,RUC!$B$3:$B$72,RUC!$M$3:$M$72)</f>
        <v>Alfred Torres</v>
      </c>
      <c r="AN44" s="1167" t="s">
        <v>2278</v>
      </c>
    </row>
    <row r="45" spans="1:40" ht="15" customHeight="1">
      <c r="A45" s="747" t="s">
        <v>2178</v>
      </c>
      <c r="B45" s="595">
        <v>45785</v>
      </c>
      <c r="C45" s="595">
        <v>45803</v>
      </c>
      <c r="D45" t="s">
        <v>1433</v>
      </c>
      <c r="E45">
        <f>_xlfn.XLOOKUP(D45,RUC!$B$3:$B$123,RUC!$D$3:$D$123)</f>
        <v>10473108823</v>
      </c>
      <c r="G45" s="80" t="s">
        <v>1434</v>
      </c>
      <c r="H45" t="s">
        <v>69</v>
      </c>
      <c r="I45" s="596">
        <v>32.36</v>
      </c>
      <c r="J45" s="596">
        <v>26</v>
      </c>
      <c r="K45" s="138">
        <f t="shared" si="13"/>
        <v>23.946399999999997</v>
      </c>
      <c r="L45" s="139">
        <v>0.20699999999999999</v>
      </c>
      <c r="M45" s="139">
        <v>0.185</v>
      </c>
      <c r="N45" s="598">
        <v>0.215</v>
      </c>
      <c r="O45" s="645">
        <f t="shared" si="25"/>
        <v>0.2</v>
      </c>
      <c r="P45" s="727">
        <v>90</v>
      </c>
      <c r="Q45" s="596">
        <v>93.72</v>
      </c>
      <c r="R45" s="706">
        <v>3296.7</v>
      </c>
      <c r="S45" s="802">
        <v>100</v>
      </c>
      <c r="U45" s="1146">
        <v>90</v>
      </c>
      <c r="V45" s="715">
        <v>1.1023000000000001</v>
      </c>
      <c r="Z45" s="143">
        <f t="shared" si="24"/>
        <v>30</v>
      </c>
      <c r="AA45" s="144">
        <f t="shared" si="15"/>
        <v>30</v>
      </c>
      <c r="AB45" s="145">
        <f t="shared" si="16"/>
        <v>492.95517380000007</v>
      </c>
      <c r="AC45" s="145">
        <f>+(S45-T45)*V45-'data 1'!$F$4</f>
        <v>30.230000000000004</v>
      </c>
      <c r="AD45" s="145">
        <f t="shared" si="17"/>
        <v>27.218953555163992</v>
      </c>
      <c r="AE45" s="145">
        <f t="shared" si="18"/>
        <v>-36.930999999999997</v>
      </c>
      <c r="AF45" s="145">
        <f t="shared" si="19"/>
        <v>23.189343787763928</v>
      </c>
      <c r="AG45" s="772">
        <f t="shared" si="20"/>
        <v>60.70729734292793</v>
      </c>
      <c r="AH45" s="146">
        <f t="shared" si="21"/>
        <v>159.27658198634742</v>
      </c>
      <c r="AI45" s="156">
        <f t="shared" si="22"/>
        <v>30.644223643836039</v>
      </c>
      <c r="AJ45" s="156">
        <f t="shared" si="23"/>
        <v>147.7820909520936</v>
      </c>
      <c r="AK45" s="88"/>
      <c r="AL45" s="716">
        <f t="shared" si="0"/>
        <v>11804.50177388432</v>
      </c>
      <c r="AM45" s="716" t="str">
        <f>_xlfn.XLOOKUP(D45,RUC!$B$3:$B$72,RUC!$M$3:$M$72)</f>
        <v>Alfred Torres</v>
      </c>
      <c r="AN45" s="1167" t="s">
        <v>2280</v>
      </c>
    </row>
    <row r="46" spans="1:40" ht="15" customHeight="1">
      <c r="A46" s="747" t="s">
        <v>2179</v>
      </c>
      <c r="B46" s="595">
        <v>45688</v>
      </c>
      <c r="C46" s="595">
        <v>45804</v>
      </c>
      <c r="D46" t="s">
        <v>1402</v>
      </c>
      <c r="E46">
        <f>_xlfn.XLOOKUP(D46,RUC!$B$3:$B$123,RUC!$D$3:$D$123)</f>
        <v>20606526599</v>
      </c>
      <c r="G46" s="80" t="s">
        <v>1434</v>
      </c>
      <c r="H46" t="s">
        <v>116</v>
      </c>
      <c r="I46" s="596">
        <v>8.35</v>
      </c>
      <c r="J46" s="596">
        <v>1.7</v>
      </c>
      <c r="K46" s="138">
        <f t="shared" si="13"/>
        <v>8.2080500000000001</v>
      </c>
      <c r="L46" s="139">
        <v>0.19700000000000001</v>
      </c>
      <c r="M46" s="139">
        <v>0.182</v>
      </c>
      <c r="N46" s="159">
        <v>0.182</v>
      </c>
      <c r="O46" s="645">
        <f t="shared" si="25"/>
        <v>0.182</v>
      </c>
      <c r="P46" s="727">
        <v>85</v>
      </c>
      <c r="Q46" s="596">
        <v>85.79</v>
      </c>
      <c r="R46" s="706">
        <v>3296.7</v>
      </c>
      <c r="S46" s="802">
        <v>95</v>
      </c>
      <c r="U46" s="1146">
        <v>120</v>
      </c>
      <c r="V46" s="715">
        <v>1.1023000000000001</v>
      </c>
      <c r="Y46">
        <v>20</v>
      </c>
      <c r="Z46" s="1150">
        <v>25</v>
      </c>
      <c r="AA46" s="144">
        <f t="shared" si="15"/>
        <v>45</v>
      </c>
      <c r="AB46" s="145">
        <f t="shared" si="16"/>
        <v>387.3873406269999</v>
      </c>
      <c r="AC46" s="145">
        <f>+(S46-T46)*V46-'data 1'!$F$4</f>
        <v>24.718500000000006</v>
      </c>
      <c r="AD46" s="145">
        <f t="shared" si="17"/>
        <v>5.449658996883044</v>
      </c>
      <c r="AE46" s="145">
        <f t="shared" si="18"/>
        <v>-20.3965</v>
      </c>
      <c r="AF46" s="145">
        <f t="shared" si="19"/>
        <v>45.061322882085044</v>
      </c>
      <c r="AG46" s="772">
        <f t="shared" si="20"/>
        <v>71.832981878968098</v>
      </c>
      <c r="AH46" s="146">
        <f t="shared" si="21"/>
        <v>47.561107237792747</v>
      </c>
      <c r="AI46" s="156">
        <f t="shared" si="22"/>
        <v>32.285035190117043</v>
      </c>
      <c r="AJ46" s="156">
        <f t="shared" si="23"/>
        <v>43.535082950674244</v>
      </c>
      <c r="AK46" s="88"/>
      <c r="AL46" s="716">
        <f t="shared" si="0"/>
        <v>3179.6946612334464</v>
      </c>
      <c r="AM46" s="716" t="str">
        <f>_xlfn.XLOOKUP(D46,RUC!$B$3:$B$72,RUC!$M$3:$M$72)</f>
        <v>Yuri Rospigliossi</v>
      </c>
      <c r="AN46" s="1167" t="s">
        <v>2278</v>
      </c>
    </row>
    <row r="47" spans="1:40" ht="15" customHeight="1">
      <c r="A47" s="747" t="s">
        <v>2180</v>
      </c>
      <c r="B47" s="595">
        <v>45688</v>
      </c>
      <c r="C47" s="595">
        <v>45804</v>
      </c>
      <c r="D47" t="s">
        <v>1402</v>
      </c>
      <c r="E47">
        <f>_xlfn.XLOOKUP(D47,RUC!$B$3:$B$123,RUC!$D$3:$D$123)</f>
        <v>20606526599</v>
      </c>
      <c r="G47" s="80" t="s">
        <v>1434</v>
      </c>
      <c r="H47" t="s">
        <v>116</v>
      </c>
      <c r="I47" s="596">
        <v>8.19</v>
      </c>
      <c r="J47" s="596">
        <v>1.1000000000000001</v>
      </c>
      <c r="K47" s="138">
        <f t="shared" si="13"/>
        <v>8.0999099999999995</v>
      </c>
      <c r="L47" s="139">
        <v>0.38400000000000001</v>
      </c>
      <c r="M47" s="139">
        <v>0.36</v>
      </c>
      <c r="N47" s="159">
        <v>0.36</v>
      </c>
      <c r="O47" s="645">
        <f t="shared" si="25"/>
        <v>0.36</v>
      </c>
      <c r="P47" s="727">
        <v>90</v>
      </c>
      <c r="Q47" s="596">
        <v>94.78</v>
      </c>
      <c r="R47" s="706">
        <v>3296.7</v>
      </c>
      <c r="S47" s="802">
        <v>110</v>
      </c>
      <c r="U47" s="1146">
        <v>120</v>
      </c>
      <c r="V47" s="715">
        <v>1.1023000000000001</v>
      </c>
      <c r="Y47">
        <v>20</v>
      </c>
      <c r="Z47" s="143">
        <f t="shared" ref="Z47:Z71" si="27">IF(IF(D47="UNTUCA",IF(+((W47-3)*1.5+(X47-3)*3.1)&gt;0,+((W47-3)*1.5+(X47-3)*3.1),0),IF(+((W47-3)*1.5+(X47-3)*3.1)&gt;0,+((W47-3)*1.5+(X47-3)*3.1),0))&lt;30,30,IF(D47="UNTUCA",IF(+((W47-3)*1.5+(X47-3)*3.1)&gt;0,+((W47-3)*1.5+(X47-3)*3.1),0),IF(+((W47-3)*1.5+(X47-3)*3.1)&gt;0,+((W47-3)*1.5+(X47-3)*3.1),0)))</f>
        <v>30</v>
      </c>
      <c r="AA47" s="144">
        <f t="shared" si="15"/>
        <v>50</v>
      </c>
      <c r="AB47" s="145">
        <f t="shared" si="16"/>
        <v>958.17515683999977</v>
      </c>
      <c r="AC47" s="145">
        <f>+(S47-T47)*V47-'data 1'!$F$4</f>
        <v>41.253</v>
      </c>
      <c r="AD47" s="145">
        <f t="shared" si="17"/>
        <v>64.273970840832007</v>
      </c>
      <c r="AE47" s="145">
        <f t="shared" si="18"/>
        <v>-14.884999999999998</v>
      </c>
      <c r="AF47" s="145">
        <f t="shared" si="19"/>
        <v>79.65333363355208</v>
      </c>
      <c r="AG47" s="772">
        <f t="shared" si="20"/>
        <v>187.2953044743841</v>
      </c>
      <c r="AH47" s="146">
        <f t="shared" si="21"/>
        <v>101.0734735939306</v>
      </c>
      <c r="AI47" s="156">
        <f t="shared" si="22"/>
        <v>69.525848679168078</v>
      </c>
      <c r="AJ47" s="156">
        <f t="shared" si="23"/>
        <v>89.977572636504448</v>
      </c>
      <c r="AK47" s="88"/>
      <c r="AL47" s="716">
        <f t="shared" si="0"/>
        <v>7761.1325346398817</v>
      </c>
      <c r="AM47" s="716" t="str">
        <f>_xlfn.XLOOKUP(D47,RUC!$B$3:$B$72,RUC!$M$3:$M$72)</f>
        <v>Yuri Rospigliossi</v>
      </c>
      <c r="AN47" s="1167" t="s">
        <v>2278</v>
      </c>
    </row>
    <row r="48" spans="1:40" ht="15" customHeight="1">
      <c r="A48" s="747" t="s">
        <v>2181</v>
      </c>
      <c r="B48" s="595">
        <v>45809</v>
      </c>
      <c r="C48" s="595">
        <v>45804</v>
      </c>
      <c r="D48" t="s">
        <v>1402</v>
      </c>
      <c r="E48">
        <f>_xlfn.XLOOKUP(D48,RUC!$B$3:$B$123,RUC!$D$3:$D$123)</f>
        <v>20606526599</v>
      </c>
      <c r="G48" s="80">
        <v>163</v>
      </c>
      <c r="H48" t="s">
        <v>69</v>
      </c>
      <c r="I48" s="596">
        <v>13.85</v>
      </c>
      <c r="J48" s="596">
        <v>2.4</v>
      </c>
      <c r="K48" s="138">
        <f t="shared" si="13"/>
        <v>13.5176</v>
      </c>
      <c r="L48" s="139">
        <v>0.16700000000000001</v>
      </c>
      <c r="M48" s="139">
        <v>0.152</v>
      </c>
      <c r="N48" s="159">
        <v>0.152</v>
      </c>
      <c r="O48" s="645">
        <f t="shared" si="25"/>
        <v>0.152</v>
      </c>
      <c r="P48" s="727">
        <v>85</v>
      </c>
      <c r="Q48">
        <v>92.31</v>
      </c>
      <c r="R48" s="706">
        <v>3296.7</v>
      </c>
      <c r="S48" s="765">
        <f t="shared" ref="S48:S61" si="28">IF((90+ROUNDDOWN(O48,1)*100)&lt;95,95,(90+ROUNDDOWN(O48,1)*100))</f>
        <v>100</v>
      </c>
      <c r="U48" s="1146">
        <v>120</v>
      </c>
      <c r="V48" s="715">
        <v>1.1023000000000001</v>
      </c>
      <c r="Y48">
        <v>20</v>
      </c>
      <c r="Z48" s="143">
        <f t="shared" si="27"/>
        <v>30</v>
      </c>
      <c r="AA48" s="144">
        <f t="shared" si="15"/>
        <v>50</v>
      </c>
      <c r="AB48" s="145">
        <f t="shared" si="16"/>
        <v>287.07159217200001</v>
      </c>
      <c r="AC48" s="145">
        <f>+(S48-T48)*V48-'data 1'!$F$4</f>
        <v>30.230000000000004</v>
      </c>
      <c r="AD48" s="145">
        <f t="shared" si="17"/>
        <v>42.747415110357018</v>
      </c>
      <c r="AE48" s="145">
        <f t="shared" si="18"/>
        <v>-14.884999999999998</v>
      </c>
      <c r="AF48" s="145">
        <f t="shared" si="19"/>
        <v>48.485962411065039</v>
      </c>
      <c r="AG48" s="772">
        <f t="shared" si="20"/>
        <v>123.57837752142206</v>
      </c>
      <c r="AH48" s="146">
        <f t="shared" si="21"/>
        <v>71.445335908390021</v>
      </c>
      <c r="AI48" s="156">
        <f t="shared" si="22"/>
        <v>29.448528068643036</v>
      </c>
      <c r="AJ48" s="156">
        <f t="shared" si="23"/>
        <v>59.878536066404656</v>
      </c>
      <c r="AK48" s="88"/>
      <c r="AL48" s="716">
        <f t="shared" si="0"/>
        <v>3880.5189543442275</v>
      </c>
      <c r="AM48" s="716" t="str">
        <f>_xlfn.XLOOKUP(D48,RUC!$B$3:$B$72,RUC!$M$3:$M$72)</f>
        <v>Yuri Rospigliossi</v>
      </c>
      <c r="AN48" s="1167" t="s">
        <v>2280</v>
      </c>
    </row>
    <row r="49" spans="1:40" ht="15" customHeight="1">
      <c r="A49" s="747" t="s">
        <v>2182</v>
      </c>
      <c r="B49" s="595">
        <v>45810</v>
      </c>
      <c r="C49" s="595">
        <v>45805</v>
      </c>
      <c r="D49" t="s">
        <v>1967</v>
      </c>
      <c r="E49">
        <f>_xlfn.XLOOKUP(D49,RUC!$B$3:$B$123,RUC!$D$3:$D$123)</f>
        <v>20601769396</v>
      </c>
      <c r="G49" s="80">
        <v>50</v>
      </c>
      <c r="H49" t="s">
        <v>116</v>
      </c>
      <c r="I49" s="596">
        <v>3.72</v>
      </c>
      <c r="J49" s="596">
        <v>10.9</v>
      </c>
      <c r="K49" s="138">
        <f t="shared" si="13"/>
        <v>3.3145200000000004</v>
      </c>
      <c r="L49" s="139">
        <v>0.23400000000000001</v>
      </c>
      <c r="M49" s="139">
        <v>0.219</v>
      </c>
      <c r="N49" s="139">
        <v>0.219</v>
      </c>
      <c r="O49" s="645">
        <f t="shared" si="25"/>
        <v>0.219</v>
      </c>
      <c r="P49" s="727">
        <v>90</v>
      </c>
      <c r="Q49">
        <v>94.07</v>
      </c>
      <c r="R49" s="706">
        <v>3300.85</v>
      </c>
      <c r="S49" s="765">
        <f t="shared" si="28"/>
        <v>110</v>
      </c>
      <c r="U49" s="1146">
        <v>120</v>
      </c>
      <c r="V49" s="715">
        <v>1.1023000000000001</v>
      </c>
      <c r="Y49">
        <v>20</v>
      </c>
      <c r="Z49" s="143">
        <f t="shared" si="27"/>
        <v>30</v>
      </c>
      <c r="AA49" s="144">
        <f t="shared" si="15"/>
        <v>50</v>
      </c>
      <c r="AB49" s="145">
        <f t="shared" si="16"/>
        <v>514.71406323050007</v>
      </c>
      <c r="AC49" s="145">
        <f>+(S49-T49)*V49-'data 1'!$F$4</f>
        <v>41.253</v>
      </c>
      <c r="AD49" s="145">
        <f t="shared" si="17"/>
        <v>33.392832845228945</v>
      </c>
      <c r="AE49" s="145">
        <f t="shared" si="18"/>
        <v>-14.884999999999998</v>
      </c>
      <c r="AF49" s="145">
        <f t="shared" si="19"/>
        <v>49.47495410052754</v>
      </c>
      <c r="AG49" s="772">
        <f t="shared" si="20"/>
        <v>126.23578694575647</v>
      </c>
      <c r="AH49" s="146">
        <f t="shared" si="21"/>
        <v>25.014781550911586</v>
      </c>
      <c r="AI49" s="156">
        <f t="shared" si="22"/>
        <v>41.04297291077102</v>
      </c>
      <c r="AJ49" s="156">
        <f t="shared" si="23"/>
        <v>22.398366027138692</v>
      </c>
      <c r="AK49" s="88"/>
      <c r="AL49" s="716">
        <f t="shared" si="0"/>
        <v>1706.0300568587572</v>
      </c>
      <c r="AM49" s="716" t="str">
        <f>_xlfn.XLOOKUP(D49,RUC!$B$3:$B$72,RUC!$M$3:$M$72)</f>
        <v>Evelyn</v>
      </c>
      <c r="AN49" s="1167" t="s">
        <v>2281</v>
      </c>
    </row>
    <row r="50" spans="1:40" ht="15" customHeight="1">
      <c r="A50" s="747" t="s">
        <v>2183</v>
      </c>
      <c r="B50" s="595">
        <v>45810</v>
      </c>
      <c r="C50" s="595">
        <v>45805</v>
      </c>
      <c r="D50" t="s">
        <v>1967</v>
      </c>
      <c r="E50">
        <f>_xlfn.XLOOKUP(D50,RUC!$B$3:$B$123,RUC!$D$3:$D$123)</f>
        <v>20601769396</v>
      </c>
      <c r="G50" s="80">
        <v>50</v>
      </c>
      <c r="H50" t="s">
        <v>116</v>
      </c>
      <c r="I50" s="596">
        <v>3.64</v>
      </c>
      <c r="J50" s="596">
        <v>13.8</v>
      </c>
      <c r="K50" s="138">
        <f t="shared" si="13"/>
        <v>3.13768</v>
      </c>
      <c r="L50" s="139">
        <v>0.27100000000000002</v>
      </c>
      <c r="M50" s="139">
        <v>0.26700000000000002</v>
      </c>
      <c r="N50" s="139">
        <v>0.26700000000000002</v>
      </c>
      <c r="O50" s="645">
        <f t="shared" si="25"/>
        <v>0.26700000000000002</v>
      </c>
      <c r="P50" s="727">
        <v>90</v>
      </c>
      <c r="Q50">
        <v>93.66</v>
      </c>
      <c r="R50" s="706">
        <v>3300.85</v>
      </c>
      <c r="S50" s="765">
        <f t="shared" si="28"/>
        <v>110</v>
      </c>
      <c r="U50" s="1146">
        <v>120</v>
      </c>
      <c r="V50" s="715">
        <v>1.1023000000000001</v>
      </c>
      <c r="Y50">
        <v>20</v>
      </c>
      <c r="Z50" s="143">
        <f t="shared" si="27"/>
        <v>30</v>
      </c>
      <c r="AA50" s="144">
        <f t="shared" si="15"/>
        <v>50</v>
      </c>
      <c r="AB50" s="145">
        <f t="shared" si="16"/>
        <v>666.18410448650013</v>
      </c>
      <c r="AC50" s="145">
        <f>+(S50-T50)*V50-'data 1'!$F$4</f>
        <v>41.253</v>
      </c>
      <c r="AD50" s="145">
        <f t="shared" si="17"/>
        <v>34.777100722262972</v>
      </c>
      <c r="AE50" s="145">
        <f t="shared" si="18"/>
        <v>-14.884999999999998</v>
      </c>
      <c r="AF50" s="145">
        <f t="shared" si="19"/>
        <v>13.13581857781201</v>
      </c>
      <c r="AG50" s="772">
        <f t="shared" si="20"/>
        <v>91.28091930007497</v>
      </c>
      <c r="AH50" s="146">
        <f t="shared" si="21"/>
        <v>27.304936008733158</v>
      </c>
      <c r="AI50" s="156">
        <f t="shared" si="22"/>
        <v>47.32550466623703</v>
      </c>
      <c r="AJ50" s="156">
        <f t="shared" si="23"/>
        <v>25.850651303326782</v>
      </c>
      <c r="AK50" s="88"/>
      <c r="AL50" s="716">
        <f t="shared" si="0"/>
        <v>2090.2725409652016</v>
      </c>
      <c r="AM50" s="716" t="str">
        <f>_xlfn.XLOOKUP(D50,RUC!$B$3:$B$72,RUC!$M$3:$M$72)</f>
        <v>Evelyn</v>
      </c>
      <c r="AN50" s="1167" t="s">
        <v>2278</v>
      </c>
    </row>
    <row r="51" spans="1:40" ht="15" customHeight="1">
      <c r="A51" s="747" t="s">
        <v>2184</v>
      </c>
      <c r="B51" s="595">
        <v>45810</v>
      </c>
      <c r="C51" s="595">
        <v>45805</v>
      </c>
      <c r="D51" t="s">
        <v>1967</v>
      </c>
      <c r="E51">
        <f>_xlfn.XLOOKUP(D51,RUC!$B$3:$B$123,RUC!$D$3:$D$123)</f>
        <v>20601769396</v>
      </c>
      <c r="G51" s="80">
        <v>50</v>
      </c>
      <c r="H51" t="s">
        <v>116</v>
      </c>
      <c r="I51" s="596">
        <v>3.74</v>
      </c>
      <c r="J51" s="596">
        <v>9.5</v>
      </c>
      <c r="K51" s="138">
        <f t="shared" si="13"/>
        <v>3.3847</v>
      </c>
      <c r="L51" s="139">
        <v>0.222</v>
      </c>
      <c r="M51" s="139">
        <v>0.222</v>
      </c>
      <c r="N51" s="139">
        <v>0.222</v>
      </c>
      <c r="O51" s="645">
        <f t="shared" si="25"/>
        <v>0.222</v>
      </c>
      <c r="P51" s="727">
        <v>90</v>
      </c>
      <c r="Q51">
        <v>92.36</v>
      </c>
      <c r="R51" s="706">
        <v>3300.85</v>
      </c>
      <c r="S51" s="765">
        <f t="shared" si="28"/>
        <v>110</v>
      </c>
      <c r="U51" s="1146">
        <v>120</v>
      </c>
      <c r="V51" s="715">
        <v>1.1023000000000001</v>
      </c>
      <c r="Y51">
        <v>20</v>
      </c>
      <c r="Z51" s="143">
        <f t="shared" si="27"/>
        <v>30</v>
      </c>
      <c r="AA51" s="144">
        <f t="shared" si="15"/>
        <v>50</v>
      </c>
      <c r="AB51" s="145">
        <f t="shared" si="16"/>
        <v>524.18094080899994</v>
      </c>
      <c r="AC51" s="145">
        <f>+(S51-T51)*V51-'data 1'!$F$4</f>
        <v>41.253</v>
      </c>
      <c r="AD51" s="145">
        <f t="shared" si="17"/>
        <v>18.369950003435996</v>
      </c>
      <c r="AE51" s="145">
        <f t="shared" si="18"/>
        <v>-14.884999999999998</v>
      </c>
      <c r="AF51" s="145">
        <f t="shared" si="19"/>
        <v>0</v>
      </c>
      <c r="AG51" s="772">
        <f t="shared" si="20"/>
        <v>61.737950003435998</v>
      </c>
      <c r="AH51" s="146">
        <f t="shared" si="21"/>
        <v>23.793928344746146</v>
      </c>
      <c r="AI51" s="156">
        <f t="shared" si="22"/>
        <v>38.23038822356402</v>
      </c>
      <c r="AJ51" s="156">
        <f t="shared" si="23"/>
        <v>23.185941435980432</v>
      </c>
      <c r="AK51" s="88"/>
      <c r="AL51" s="716">
        <f t="shared" si="0"/>
        <v>1774.1952303562221</v>
      </c>
      <c r="AM51" s="716" t="str">
        <f>_xlfn.XLOOKUP(D51,RUC!$B$3:$B$72,RUC!$M$3:$M$72)</f>
        <v>Evelyn</v>
      </c>
      <c r="AN51" s="1167" t="s">
        <v>2279</v>
      </c>
    </row>
    <row r="52" spans="1:40" ht="15" customHeight="1">
      <c r="A52" s="747" t="s">
        <v>2185</v>
      </c>
      <c r="B52" s="595">
        <v>45809</v>
      </c>
      <c r="C52" s="595">
        <v>45806</v>
      </c>
      <c r="D52" t="s">
        <v>1177</v>
      </c>
      <c r="E52">
        <f>_xlfn.XLOOKUP(D52,RUC!$B$3:$B$123,RUC!$D$3:$D$123)</f>
        <v>20606094010</v>
      </c>
      <c r="G52" s="80" t="s">
        <v>1434</v>
      </c>
      <c r="H52" t="s">
        <v>108</v>
      </c>
      <c r="I52" s="596">
        <v>33.950000000000003</v>
      </c>
      <c r="J52" s="596">
        <v>18.600000000000001</v>
      </c>
      <c r="K52" s="138">
        <f t="shared" si="13"/>
        <v>27.635300000000001</v>
      </c>
      <c r="L52" s="139">
        <v>0.25700000000000001</v>
      </c>
      <c r="M52" s="139">
        <v>0.24199999999999999</v>
      </c>
      <c r="N52" s="159">
        <v>0.24199999999999999</v>
      </c>
      <c r="O52" s="645">
        <f t="shared" si="25"/>
        <v>0.24199999999999999</v>
      </c>
      <c r="P52" s="727">
        <v>90</v>
      </c>
      <c r="Q52" s="596">
        <v>91.67</v>
      </c>
      <c r="R52" s="706">
        <v>3300.85</v>
      </c>
      <c r="S52" s="765">
        <f t="shared" si="28"/>
        <v>110</v>
      </c>
      <c r="U52" s="1146">
        <v>120</v>
      </c>
      <c r="V52" s="715">
        <v>1.1023000000000001</v>
      </c>
      <c r="Y52">
        <v>20</v>
      </c>
      <c r="Z52" s="143">
        <f t="shared" si="27"/>
        <v>30</v>
      </c>
      <c r="AA52" s="144">
        <f t="shared" si="15"/>
        <v>50</v>
      </c>
      <c r="AB52" s="145">
        <f t="shared" si="16"/>
        <v>587.293457999</v>
      </c>
      <c r="AC52" s="145">
        <f>+(S52-T52)*V52-'data 1'!$F$4</f>
        <v>41.253</v>
      </c>
      <c r="AD52" s="145">
        <f t="shared" si="17"/>
        <v>15.048478473764515</v>
      </c>
      <c r="AE52" s="145">
        <f t="shared" si="18"/>
        <v>-14.884999999999998</v>
      </c>
      <c r="AF52" s="145">
        <f t="shared" si="19"/>
        <v>48.212703756727542</v>
      </c>
      <c r="AG52" s="772">
        <f t="shared" si="20"/>
        <v>106.62918223049206</v>
      </c>
      <c r="AH52" s="146">
        <f t="shared" si="21"/>
        <v>223.22025887492222</v>
      </c>
      <c r="AI52" s="156">
        <f t="shared" si="22"/>
        <v>43.927062724235526</v>
      </c>
      <c r="AJ52" s="156">
        <f t="shared" si="23"/>
        <v>206.36266519756435</v>
      </c>
      <c r="AK52" s="88"/>
      <c r="AL52" s="716">
        <f t="shared" si="0"/>
        <v>16230.030899839765</v>
      </c>
      <c r="AM52" s="716" t="str">
        <f>_xlfn.XLOOKUP(D52,RUC!$B$3:$B$72,RUC!$M$3:$M$72)</f>
        <v>Yuri Rospigliossi</v>
      </c>
      <c r="AN52" s="1167" t="s">
        <v>2277</v>
      </c>
    </row>
    <row r="53" spans="1:40" ht="15" customHeight="1">
      <c r="A53" s="747" t="s">
        <v>2186</v>
      </c>
      <c r="B53" s="595">
        <v>45813</v>
      </c>
      <c r="C53" s="595">
        <v>45809</v>
      </c>
      <c r="D53" t="s">
        <v>1967</v>
      </c>
      <c r="E53">
        <f>_xlfn.XLOOKUP(D53,RUC!$B$3:$B$123,RUC!$D$3:$D$123)</f>
        <v>20601769396</v>
      </c>
      <c r="G53" s="80">
        <v>41</v>
      </c>
      <c r="H53" t="s">
        <v>116</v>
      </c>
      <c r="I53" s="596">
        <v>2.67</v>
      </c>
      <c r="J53" s="596">
        <v>14.55</v>
      </c>
      <c r="K53" s="138">
        <f t="shared" si="13"/>
        <v>2.2815149999999997</v>
      </c>
      <c r="L53" s="139">
        <v>0.34399999999999997</v>
      </c>
      <c r="M53" s="139">
        <v>0.32300000000000001</v>
      </c>
      <c r="N53" s="159">
        <v>0.32300000000000001</v>
      </c>
      <c r="O53" s="645">
        <f t="shared" si="25"/>
        <v>0.32300000000000001</v>
      </c>
      <c r="P53" s="727">
        <v>90</v>
      </c>
      <c r="Q53" s="596">
        <v>91.53</v>
      </c>
      <c r="R53" s="706">
        <v>3277.55</v>
      </c>
      <c r="S53" s="765">
        <f t="shared" si="28"/>
        <v>120</v>
      </c>
      <c r="U53" s="1146">
        <v>120</v>
      </c>
      <c r="V53" s="715">
        <v>1.1023000000000001</v>
      </c>
      <c r="Y53">
        <v>20</v>
      </c>
      <c r="Z53" s="143">
        <f t="shared" si="27"/>
        <v>30</v>
      </c>
      <c r="AA53" s="144">
        <f t="shared" si="15"/>
        <v>50</v>
      </c>
      <c r="AB53" s="145">
        <f t="shared" si="16"/>
        <v>824.40993300550008</v>
      </c>
      <c r="AC53" s="145">
        <f>+(S53-T53)*V53-'data 1'!$F$4</f>
        <v>52.27600000000001</v>
      </c>
      <c r="AD53" s="145">
        <f t="shared" si="17"/>
        <v>18.318922155468016</v>
      </c>
      <c r="AE53" s="145">
        <f t="shared" si="18"/>
        <v>-14.884999999999998</v>
      </c>
      <c r="AF53" s="145">
        <f t="shared" si="19"/>
        <v>66.901029492874386</v>
      </c>
      <c r="AG53" s="772">
        <f t="shared" si="20"/>
        <v>139.61095164834242</v>
      </c>
      <c r="AH53" s="146">
        <f t="shared" si="21"/>
        <v>24.62942668643257</v>
      </c>
      <c r="AI53" s="156">
        <f t="shared" si="22"/>
        <v>66.794334596531925</v>
      </c>
      <c r="AJ53" s="156">
        <f t="shared" si="23"/>
        <v>22.739317702881593</v>
      </c>
      <c r="AK53" s="88"/>
      <c r="AL53" s="716">
        <f t="shared" si="0"/>
        <v>1880.9036283010432</v>
      </c>
      <c r="AM53" s="716" t="str">
        <f>_xlfn.XLOOKUP(D53,RUC!$B$3:$B$72,RUC!$M$3:$M$72)</f>
        <v>Evelyn</v>
      </c>
      <c r="AN53" s="1167" t="s">
        <v>2279</v>
      </c>
    </row>
    <row r="54" spans="1:40" ht="15" customHeight="1">
      <c r="A54" s="747" t="s">
        <v>2187</v>
      </c>
      <c r="B54" s="595">
        <v>45813</v>
      </c>
      <c r="C54" s="595">
        <v>45809</v>
      </c>
      <c r="D54" t="s">
        <v>1967</v>
      </c>
      <c r="E54">
        <f>_xlfn.XLOOKUP(D54,RUC!$B$3:$B$123,RUC!$D$3:$D$123)</f>
        <v>20601769396</v>
      </c>
      <c r="G54" s="80">
        <v>41</v>
      </c>
      <c r="H54" t="s">
        <v>116</v>
      </c>
      <c r="I54" s="596">
        <v>2.73</v>
      </c>
      <c r="J54" s="596">
        <v>13.7</v>
      </c>
      <c r="K54" s="138">
        <f t="shared" si="13"/>
        <v>2.3559900000000003</v>
      </c>
      <c r="L54" s="139">
        <v>0.247</v>
      </c>
      <c r="M54" s="139">
        <v>0.23200000000000001</v>
      </c>
      <c r="N54" s="159">
        <v>0.23200000000000001</v>
      </c>
      <c r="O54" s="645">
        <f t="shared" si="25"/>
        <v>0.23200000000000001</v>
      </c>
      <c r="P54" s="727">
        <v>90</v>
      </c>
      <c r="Q54" s="596">
        <v>92.11</v>
      </c>
      <c r="R54" s="706">
        <v>3277.55</v>
      </c>
      <c r="S54" s="765">
        <f t="shared" si="28"/>
        <v>110</v>
      </c>
      <c r="U54" s="1146">
        <v>120</v>
      </c>
      <c r="V54" s="715">
        <v>1.1023000000000001</v>
      </c>
      <c r="Y54">
        <v>20</v>
      </c>
      <c r="Z54" s="143">
        <f t="shared" si="27"/>
        <v>30</v>
      </c>
      <c r="AA54" s="144">
        <f t="shared" si="15"/>
        <v>50</v>
      </c>
      <c r="AB54" s="145">
        <f t="shared" si="16"/>
        <v>550.37446581200027</v>
      </c>
      <c r="AC54" s="145">
        <f>+(S54-T54)*V54-'data 1'!$F$4</f>
        <v>41.253</v>
      </c>
      <c r="AD54" s="145">
        <f t="shared" si="17"/>
        <v>18.139672936170495</v>
      </c>
      <c r="AE54" s="145">
        <f t="shared" si="18"/>
        <v>-14.884999999999998</v>
      </c>
      <c r="AF54" s="145">
        <f t="shared" si="19"/>
        <v>48.089258998522467</v>
      </c>
      <c r="AG54" s="772">
        <f t="shared" si="20"/>
        <v>109.59693193469298</v>
      </c>
      <c r="AH54" s="146">
        <f t="shared" si="21"/>
        <v>18.377492221228973</v>
      </c>
      <c r="AI54" s="156">
        <f t="shared" si="22"/>
        <v>48.263793972829461</v>
      </c>
      <c r="AJ54" s="156">
        <f t="shared" si="23"/>
        <v>16.866035354632796</v>
      </c>
      <c r="AK54" s="88"/>
      <c r="AL54" s="716">
        <f t="shared" si="0"/>
        <v>1296.6767377084147</v>
      </c>
      <c r="AM54" s="716" t="str">
        <f>_xlfn.XLOOKUP(D54,RUC!$B$3:$B$72,RUC!$M$3:$M$72)</f>
        <v>Evelyn</v>
      </c>
      <c r="AN54" s="1167" t="s">
        <v>2279</v>
      </c>
    </row>
    <row r="55" spans="1:40" ht="15" customHeight="1">
      <c r="A55" s="747" t="s">
        <v>2188</v>
      </c>
      <c r="B55" s="595">
        <v>45813</v>
      </c>
      <c r="C55" s="595">
        <v>45809</v>
      </c>
      <c r="D55" t="s">
        <v>1967</v>
      </c>
      <c r="E55">
        <f>_xlfn.XLOOKUP(D55,RUC!$B$3:$B$123,RUC!$D$3:$D$123)</f>
        <v>20601769396</v>
      </c>
      <c r="G55" s="80">
        <v>41</v>
      </c>
      <c r="H55" t="s">
        <v>116</v>
      </c>
      <c r="I55" s="596">
        <v>2.72</v>
      </c>
      <c r="J55" s="596">
        <v>15.15</v>
      </c>
      <c r="K55" s="138">
        <f t="shared" si="13"/>
        <v>2.3079200000000002</v>
      </c>
      <c r="L55" s="139">
        <v>0.17499999999999999</v>
      </c>
      <c r="M55" s="139">
        <v>0.16400000000000001</v>
      </c>
      <c r="N55" s="159">
        <v>0.16400000000000001</v>
      </c>
      <c r="O55" s="645">
        <f t="shared" si="25"/>
        <v>0.16400000000000001</v>
      </c>
      <c r="P55" s="727">
        <v>85</v>
      </c>
      <c r="Q55" s="596">
        <v>93.37</v>
      </c>
      <c r="R55" s="706">
        <v>3277.55</v>
      </c>
      <c r="S55" s="765">
        <f t="shared" si="28"/>
        <v>100</v>
      </c>
      <c r="U55" s="1146">
        <v>120</v>
      </c>
      <c r="V55" s="715">
        <v>1.1023000000000001</v>
      </c>
      <c r="Y55">
        <v>20</v>
      </c>
      <c r="Z55" s="143">
        <f t="shared" si="27"/>
        <v>30</v>
      </c>
      <c r="AA55" s="144">
        <f t="shared" si="15"/>
        <v>50</v>
      </c>
      <c r="AB55" s="145">
        <f t="shared" si="16"/>
        <v>319.84609068100008</v>
      </c>
      <c r="AC55" s="145">
        <f>+(S55-T55)*V55-'data 1'!$F$4</f>
        <v>30.230000000000004</v>
      </c>
      <c r="AD55" s="145">
        <f t="shared" si="17"/>
        <v>50.981610478837531</v>
      </c>
      <c r="AE55" s="145">
        <f t="shared" si="18"/>
        <v>-14.884999999999998</v>
      </c>
      <c r="AF55" s="145">
        <f t="shared" si="19"/>
        <v>35.747863235705445</v>
      </c>
      <c r="AG55" s="772">
        <f t="shared" si="20"/>
        <v>119.07447371454299</v>
      </c>
      <c r="AH55" s="146">
        <f t="shared" si="21"/>
        <v>12.929306397785401</v>
      </c>
      <c r="AI55" s="156">
        <f t="shared" si="22"/>
        <v>34.662759214912469</v>
      </c>
      <c r="AJ55" s="156">
        <f t="shared" si="23"/>
        <v>11.030433830696827</v>
      </c>
      <c r="AK55" s="88"/>
      <c r="AL55" s="716">
        <f t="shared" si="0"/>
        <v>738.17918960449379</v>
      </c>
      <c r="AM55" s="716" t="str">
        <f>_xlfn.XLOOKUP(D55,RUC!$B$3:$B$72,RUC!$M$3:$M$72)</f>
        <v>Evelyn</v>
      </c>
      <c r="AN55" s="1167" t="s">
        <v>2281</v>
      </c>
    </row>
    <row r="56" spans="1:40" ht="15" customHeight="1">
      <c r="A56" s="1058" t="s">
        <v>2189</v>
      </c>
      <c r="B56" s="595">
        <v>45818</v>
      </c>
      <c r="C56" s="595">
        <v>45810</v>
      </c>
      <c r="D56" t="s">
        <v>1967</v>
      </c>
      <c r="E56">
        <f>_xlfn.XLOOKUP(D56,RUC!$B$3:$B$123,RUC!$D$3:$D$123)</f>
        <v>20601769396</v>
      </c>
      <c r="G56" s="80">
        <v>40</v>
      </c>
      <c r="H56" t="s">
        <v>116</v>
      </c>
      <c r="I56" s="596">
        <v>3.32</v>
      </c>
      <c r="J56" s="596">
        <v>17.95</v>
      </c>
      <c r="K56" s="138">
        <f t="shared" si="13"/>
        <v>2.7240599999999997</v>
      </c>
      <c r="L56" s="139">
        <v>0.32800000000000001</v>
      </c>
      <c r="M56" s="139">
        <v>0.308</v>
      </c>
      <c r="N56" s="598">
        <v>0.38500000000000001</v>
      </c>
      <c r="O56" s="645">
        <f t="shared" si="25"/>
        <v>0.34699999999999998</v>
      </c>
      <c r="P56" s="727">
        <v>88</v>
      </c>
      <c r="Q56" s="596">
        <v>88.81</v>
      </c>
      <c r="R56" s="706">
        <v>3370.85</v>
      </c>
      <c r="S56" s="765">
        <f t="shared" si="28"/>
        <v>120</v>
      </c>
      <c r="U56" s="1146">
        <v>120</v>
      </c>
      <c r="V56" s="715">
        <v>1.1023000000000001</v>
      </c>
      <c r="Y56">
        <v>20</v>
      </c>
      <c r="Z56" s="143">
        <f t="shared" si="27"/>
        <v>30</v>
      </c>
      <c r="AA56" s="144">
        <f t="shared" si="15"/>
        <v>50</v>
      </c>
      <c r="AB56" s="145">
        <f t="shared" si="16"/>
        <v>906.83967457879987</v>
      </c>
      <c r="AC56" s="145">
        <f>+(S56-T56)*V56-'data 1'!$F$4</f>
        <v>52.27600000000001</v>
      </c>
      <c r="AD56" s="145">
        <f t="shared" si="17"/>
        <v>9.5204088820440287</v>
      </c>
      <c r="AE56" s="145">
        <f t="shared" si="18"/>
        <v>-14.884999999999998</v>
      </c>
      <c r="AF56" s="145">
        <f t="shared" si="19"/>
        <v>-60.466134987474376</v>
      </c>
      <c r="AG56" s="772">
        <f t="shared" si="20"/>
        <v>3.4452738945696666</v>
      </c>
      <c r="AH56" s="146">
        <f t="shared" si="21"/>
        <v>27.205796934699649</v>
      </c>
      <c r="AI56" s="156">
        <f t="shared" si="22"/>
        <v>31.83671427075603</v>
      </c>
      <c r="AJ56" s="156">
        <f t="shared" si="23"/>
        <v>28.51923588580404</v>
      </c>
      <c r="AK56" s="88"/>
      <c r="AL56" s="716">
        <f t="shared" si="0"/>
        <v>2470.2856839331253</v>
      </c>
      <c r="AM56" s="716" t="str">
        <f>_xlfn.XLOOKUP(D56,RUC!$B$3:$B$72,RUC!$M$3:$M$72)</f>
        <v>Evelyn</v>
      </c>
      <c r="AN56" s="1167" t="s">
        <v>2297</v>
      </c>
    </row>
    <row r="57" spans="1:40" ht="15" customHeight="1">
      <c r="A57" s="1058" t="s">
        <v>2190</v>
      </c>
      <c r="B57" s="595">
        <v>45818</v>
      </c>
      <c r="C57" s="595">
        <v>45810</v>
      </c>
      <c r="D57" t="s">
        <v>1967</v>
      </c>
      <c r="E57">
        <f>_xlfn.XLOOKUP(D57,RUC!$B$3:$B$123,RUC!$D$3:$D$123)</f>
        <v>20601769396</v>
      </c>
      <c r="G57" s="80">
        <v>40</v>
      </c>
      <c r="H57" t="s">
        <v>116</v>
      </c>
      <c r="I57" s="596">
        <v>3.33</v>
      </c>
      <c r="J57" s="596">
        <v>17.100000000000001</v>
      </c>
      <c r="K57" s="138">
        <f t="shared" si="13"/>
        <v>2.76057</v>
      </c>
      <c r="L57" s="708">
        <v>0.25600000000000001</v>
      </c>
      <c r="M57" s="708">
        <v>0.27500000000000002</v>
      </c>
      <c r="N57" s="879">
        <v>0.27500000000000002</v>
      </c>
      <c r="O57" s="645">
        <f t="shared" si="25"/>
        <v>0.27500000000000002</v>
      </c>
      <c r="P57" s="727">
        <v>90</v>
      </c>
      <c r="Q57" s="596">
        <v>88.92</v>
      </c>
      <c r="R57" s="706">
        <v>3370.85</v>
      </c>
      <c r="S57" s="765">
        <f t="shared" si="28"/>
        <v>110</v>
      </c>
      <c r="U57" s="1146">
        <v>120</v>
      </c>
      <c r="V57" s="715">
        <v>1.1023000000000001</v>
      </c>
      <c r="Y57">
        <v>20</v>
      </c>
      <c r="Z57" s="143">
        <f t="shared" si="27"/>
        <v>30</v>
      </c>
      <c r="AA57" s="144">
        <f t="shared" si="15"/>
        <v>50</v>
      </c>
      <c r="AB57" s="145">
        <f t="shared" si="16"/>
        <v>710.52645886250014</v>
      </c>
      <c r="AC57" s="145">
        <f>+(S57-T57)*V57-'data 1'!$F$4</f>
        <v>41.253</v>
      </c>
      <c r="AD57" s="145">
        <f t="shared" si="17"/>
        <v>-9.9074173731839839</v>
      </c>
      <c r="AE57" s="145">
        <f t="shared" si="18"/>
        <v>-14.884999999999998</v>
      </c>
      <c r="AF57" s="145">
        <f t="shared" si="19"/>
        <v>-60.541028297334059</v>
      </c>
      <c r="AG57" s="772">
        <f t="shared" si="20"/>
        <v>-27.080445670518039</v>
      </c>
      <c r="AH57" s="146">
        <f t="shared" si="21"/>
        <v>21.545037417581167</v>
      </c>
      <c r="AI57" s="156">
        <f t="shared" si="22"/>
        <v>24.878944157184026</v>
      </c>
      <c r="AJ57" s="156">
        <f t="shared" si="23"/>
        <v>23.425185388074155</v>
      </c>
      <c r="AK57" s="88"/>
      <c r="AL57" s="716">
        <f t="shared" si="0"/>
        <v>1961.458026542052</v>
      </c>
      <c r="AM57" s="716" t="str">
        <f>_xlfn.XLOOKUP(D57,RUC!$B$3:$B$72,RUC!$M$3:$M$72)</f>
        <v>Evelyn</v>
      </c>
      <c r="AN57" s="1167" t="s">
        <v>2297</v>
      </c>
    </row>
    <row r="58" spans="1:40" ht="15" customHeight="1">
      <c r="A58" s="747" t="s">
        <v>2193</v>
      </c>
      <c r="B58" s="595">
        <v>45814</v>
      </c>
      <c r="C58" s="595">
        <v>45810</v>
      </c>
      <c r="D58" t="s">
        <v>1967</v>
      </c>
      <c r="E58">
        <f>_xlfn.XLOOKUP(D58,RUC!$B$3:$B$123,RUC!$D$3:$D$123)</f>
        <v>20601769396</v>
      </c>
      <c r="G58" s="80">
        <v>42</v>
      </c>
      <c r="H58" t="s">
        <v>116</v>
      </c>
      <c r="I58" s="596">
        <v>4.1500000000000004</v>
      </c>
      <c r="J58" s="596">
        <v>6.75</v>
      </c>
      <c r="K58" s="138">
        <f t="shared" si="13"/>
        <v>3.8698750000000004</v>
      </c>
      <c r="L58" s="139">
        <v>0.39300000000000002</v>
      </c>
      <c r="M58" s="139">
        <v>0.25700000000000001</v>
      </c>
      <c r="N58" s="598">
        <v>0.55800000000000005</v>
      </c>
      <c r="O58" s="645">
        <f t="shared" si="25"/>
        <v>0.40799999999999997</v>
      </c>
      <c r="P58" s="727">
        <v>88</v>
      </c>
      <c r="Q58" s="596">
        <v>89.46</v>
      </c>
      <c r="R58" s="706">
        <v>3370.85</v>
      </c>
      <c r="S58" s="765">
        <f t="shared" si="28"/>
        <v>130</v>
      </c>
      <c r="U58" s="1146">
        <v>120</v>
      </c>
      <c r="V58" s="715">
        <v>1.1023000000000001</v>
      </c>
      <c r="Y58">
        <v>20</v>
      </c>
      <c r="Z58" s="143">
        <f t="shared" si="27"/>
        <v>30</v>
      </c>
      <c r="AA58" s="144">
        <f t="shared" si="15"/>
        <v>50</v>
      </c>
      <c r="AB58" s="145">
        <f t="shared" si="16"/>
        <v>1088.1742283231999</v>
      </c>
      <c r="AC58" s="145">
        <f>+(S58-T58)*V58-'data 1'!$F$4</f>
        <v>63.299000000000007</v>
      </c>
      <c r="AD58" s="145">
        <f t="shared" si="17"/>
        <v>20.560901115398917</v>
      </c>
      <c r="AE58" s="145">
        <f t="shared" si="18"/>
        <v>-14.884999999999998</v>
      </c>
      <c r="AF58" s="145">
        <f t="shared" si="19"/>
        <v>-48.085805024144868</v>
      </c>
      <c r="AG58" s="772">
        <f t="shared" si="20"/>
        <v>37.889096091254061</v>
      </c>
      <c r="AH58" s="146">
        <f t="shared" si="21"/>
        <v>46.647400894038839</v>
      </c>
      <c r="AI58" s="156">
        <f t="shared" si="22"/>
        <v>38.425008316401033</v>
      </c>
      <c r="AJ58" s="156">
        <f t="shared" si="23"/>
        <v>47.637486829360959</v>
      </c>
      <c r="AK58" s="88"/>
      <c r="AL58" s="716">
        <f t="shared" ref="AL58:AL99" si="29">+IF(AB58*K58&gt;0,AB58*K58,0)</f>
        <v>4211.0982418322437</v>
      </c>
      <c r="AM58" s="716" t="str">
        <f>_xlfn.XLOOKUP(D58,RUC!$B$3:$B$72,RUC!$M$3:$M$72)</f>
        <v>Evelyn</v>
      </c>
      <c r="AN58" s="1167" t="s">
        <v>2297</v>
      </c>
    </row>
    <row r="59" spans="1:40" ht="15" customHeight="1">
      <c r="A59" s="747" t="s">
        <v>2195</v>
      </c>
      <c r="B59" s="595">
        <v>45814</v>
      </c>
      <c r="C59" s="595">
        <v>45810</v>
      </c>
      <c r="D59" t="s">
        <v>1967</v>
      </c>
      <c r="E59">
        <f>_xlfn.XLOOKUP(D59,RUC!$B$3:$B$123,RUC!$D$3:$D$123)</f>
        <v>20601769396</v>
      </c>
      <c r="G59" s="80">
        <v>38</v>
      </c>
      <c r="H59" t="s">
        <v>69</v>
      </c>
      <c r="I59" s="596">
        <v>3.69</v>
      </c>
      <c r="J59" s="596">
        <v>5.3</v>
      </c>
      <c r="K59" s="138">
        <f t="shared" si="13"/>
        <v>3.4944299999999999</v>
      </c>
      <c r="L59" s="139">
        <v>0.40200000000000002</v>
      </c>
      <c r="M59" s="139">
        <v>0.378</v>
      </c>
      <c r="N59" s="598">
        <v>0.44800000000000001</v>
      </c>
      <c r="O59" s="645">
        <f t="shared" si="25"/>
        <v>0.41299999999999998</v>
      </c>
      <c r="P59" s="727">
        <v>88</v>
      </c>
      <c r="Q59" s="596">
        <v>88.99</v>
      </c>
      <c r="R59" s="706">
        <v>3370.85</v>
      </c>
      <c r="S59" s="765">
        <f t="shared" si="28"/>
        <v>130</v>
      </c>
      <c r="U59" s="1146">
        <v>120</v>
      </c>
      <c r="V59" s="715">
        <v>1.1023000000000001</v>
      </c>
      <c r="Y59">
        <v>20</v>
      </c>
      <c r="Z59" s="143">
        <f t="shared" si="27"/>
        <v>30</v>
      </c>
      <c r="AA59" s="144">
        <f t="shared" si="15"/>
        <v>50</v>
      </c>
      <c r="AB59" s="145">
        <f t="shared" si="16"/>
        <v>1103.9412409252</v>
      </c>
      <c r="AC59" s="145">
        <f>+(S59-T59)*V59-'data 1'!$F$4</f>
        <v>63.299000000000007</v>
      </c>
      <c r="AD59" s="145">
        <f t="shared" si="17"/>
        <v>14.261262898508928</v>
      </c>
      <c r="AE59" s="145">
        <f t="shared" si="18"/>
        <v>-14.884999999999998</v>
      </c>
      <c r="AF59" s="145">
        <f t="shared" si="19"/>
        <v>-35.077661286299346</v>
      </c>
      <c r="AG59" s="772">
        <f t="shared" si="20"/>
        <v>44.597601612209587</v>
      </c>
      <c r="AH59" s="146">
        <f t="shared" si="21"/>
        <v>42.860050093150775</v>
      </c>
      <c r="AI59" s="156">
        <f t="shared" si="22"/>
        <v>39.098472059691041</v>
      </c>
      <c r="AJ59" s="156">
        <f t="shared" si="23"/>
        <v>43.542979019540802</v>
      </c>
      <c r="AK59" s="88"/>
      <c r="AL59" s="716">
        <f t="shared" si="29"/>
        <v>3857.6453905262465</v>
      </c>
      <c r="AM59" s="716" t="str">
        <f>_xlfn.XLOOKUP(D59,RUC!$B$3:$B$72,RUC!$M$3:$M$72)</f>
        <v>Evelyn</v>
      </c>
      <c r="AN59" s="1167" t="s">
        <v>2297</v>
      </c>
    </row>
    <row r="60" spans="1:40" ht="15" customHeight="1">
      <c r="A60" s="747" t="s">
        <v>2197</v>
      </c>
      <c r="B60" s="595">
        <v>45814</v>
      </c>
      <c r="C60" s="595">
        <v>45810</v>
      </c>
      <c r="D60" t="s">
        <v>1967</v>
      </c>
      <c r="E60">
        <f>_xlfn.XLOOKUP(D60,RUC!$B$3:$B$123,RUC!$D$3:$D$123)</f>
        <v>20601769396</v>
      </c>
      <c r="G60" s="80">
        <v>38</v>
      </c>
      <c r="H60" t="s">
        <v>116</v>
      </c>
      <c r="I60" s="596">
        <v>3.87</v>
      </c>
      <c r="J60" s="596">
        <v>7.35</v>
      </c>
      <c r="K60" s="138">
        <f t="shared" si="13"/>
        <v>3.5855550000000003</v>
      </c>
      <c r="L60" s="139">
        <v>0.79800000000000004</v>
      </c>
      <c r="M60" s="139">
        <v>0.75</v>
      </c>
      <c r="N60" s="159">
        <v>0.75</v>
      </c>
      <c r="O60" s="645">
        <f t="shared" si="25"/>
        <v>0.75</v>
      </c>
      <c r="P60" s="727">
        <v>88</v>
      </c>
      <c r="Q60" s="596">
        <v>89.64</v>
      </c>
      <c r="R60" s="706">
        <v>3370.85</v>
      </c>
      <c r="S60" s="765">
        <f t="shared" si="28"/>
        <v>160</v>
      </c>
      <c r="U60" s="1146">
        <v>120</v>
      </c>
      <c r="V60" s="715">
        <v>1.1023000000000001</v>
      </c>
      <c r="Y60">
        <v>20</v>
      </c>
      <c r="Z60" s="143">
        <f t="shared" si="27"/>
        <v>30</v>
      </c>
      <c r="AA60" s="144">
        <f t="shared" si="15"/>
        <v>50</v>
      </c>
      <c r="AB60" s="145">
        <f t="shared" si="16"/>
        <v>2133.5688903000005</v>
      </c>
      <c r="AC60" s="145">
        <f>+(S60-T60)*V60-'data 1'!$F$4</f>
        <v>96.367999999999995</v>
      </c>
      <c r="AD60" s="145">
        <f t="shared" si="17"/>
        <v>46.896828937476023</v>
      </c>
      <c r="AE60" s="145">
        <f t="shared" si="18"/>
        <v>-14.884999999999998</v>
      </c>
      <c r="AF60" s="145">
        <f t="shared" si="19"/>
        <v>154.18418287017613</v>
      </c>
      <c r="AG60" s="772">
        <f t="shared" si="20"/>
        <v>299.56401180765215</v>
      </c>
      <c r="AH60" s="146">
        <f t="shared" si="21"/>
        <v>87.936706750673352</v>
      </c>
      <c r="AI60" s="156">
        <f t="shared" si="22"/>
        <v>78.180287859324068</v>
      </c>
      <c r="AJ60" s="156">
        <f t="shared" si="23"/>
        <v>81.135215402747733</v>
      </c>
      <c r="AK60" s="88"/>
      <c r="AL60" s="716">
        <f t="shared" si="29"/>
        <v>7650.0286024596189</v>
      </c>
      <c r="AM60" s="716" t="str">
        <f>_xlfn.XLOOKUP(D60,RUC!$B$3:$B$72,RUC!$M$3:$M$72)</f>
        <v>Evelyn</v>
      </c>
      <c r="AN60" s="1167" t="s">
        <v>2297</v>
      </c>
    </row>
    <row r="61" spans="1:40" ht="15" customHeight="1">
      <c r="A61" s="747" t="s">
        <v>2198</v>
      </c>
      <c r="B61" s="595">
        <v>45814</v>
      </c>
      <c r="C61" s="595">
        <v>45810</v>
      </c>
      <c r="D61" t="s">
        <v>1967</v>
      </c>
      <c r="E61">
        <f>_xlfn.XLOOKUP(D61,RUC!$B$3:$B$123,RUC!$D$3:$D$123)</f>
        <v>20601769396</v>
      </c>
      <c r="G61" s="80">
        <v>38</v>
      </c>
      <c r="H61" t="s">
        <v>116</v>
      </c>
      <c r="I61" s="596">
        <v>3.85</v>
      </c>
      <c r="J61" s="596">
        <v>7.5</v>
      </c>
      <c r="K61" s="138">
        <f t="shared" si="13"/>
        <v>3.5612500000000002</v>
      </c>
      <c r="L61" s="139">
        <v>0.8</v>
      </c>
      <c r="M61" s="139">
        <v>0.752</v>
      </c>
      <c r="N61" s="598">
        <v>0.91900000000000004</v>
      </c>
      <c r="O61" s="645">
        <f t="shared" si="25"/>
        <v>0.83599999999999997</v>
      </c>
      <c r="P61" s="727">
        <v>90</v>
      </c>
      <c r="Q61" s="596">
        <v>89.86</v>
      </c>
      <c r="R61" s="706">
        <v>3370.85</v>
      </c>
      <c r="S61" s="765">
        <f t="shared" si="28"/>
        <v>170</v>
      </c>
      <c r="U61" s="1146">
        <v>120</v>
      </c>
      <c r="V61" s="715">
        <v>1.1023000000000001</v>
      </c>
      <c r="Y61">
        <v>20</v>
      </c>
      <c r="Z61" s="143">
        <f t="shared" si="27"/>
        <v>30</v>
      </c>
      <c r="AA61" s="144">
        <f t="shared" si="15"/>
        <v>50</v>
      </c>
      <c r="AB61" s="145">
        <f t="shared" si="16"/>
        <v>2453.6531549420001</v>
      </c>
      <c r="AC61" s="145">
        <f>+(S61-T61)*V61-'data 1'!$F$4</f>
        <v>107.39100000000002</v>
      </c>
      <c r="AD61" s="145">
        <f t="shared" si="17"/>
        <v>-4.0134213896000173</v>
      </c>
      <c r="AE61" s="145">
        <f t="shared" si="18"/>
        <v>-14.884999999999998</v>
      </c>
      <c r="AF61" s="145">
        <f t="shared" si="19"/>
        <v>-115.92194337946773</v>
      </c>
      <c r="AG61" s="772">
        <f t="shared" si="20"/>
        <v>-10.429364769067718</v>
      </c>
      <c r="AH61" s="146">
        <f t="shared" si="21"/>
        <v>87.774412800228788</v>
      </c>
      <c r="AI61" s="156">
        <f t="shared" si="22"/>
        <v>78.568584189600088</v>
      </c>
      <c r="AJ61" s="156">
        <f t="shared" si="23"/>
        <v>91.867165856460232</v>
      </c>
      <c r="AK61" s="88"/>
      <c r="AL61" s="716">
        <f t="shared" si="29"/>
        <v>8738.0722980371993</v>
      </c>
      <c r="AM61" s="716" t="str">
        <f>_xlfn.XLOOKUP(D61,RUC!$B$3:$B$72,RUC!$M$3:$M$72)</f>
        <v>Evelyn</v>
      </c>
      <c r="AN61" s="1167" t="s">
        <v>2297</v>
      </c>
    </row>
    <row r="62" spans="1:40" ht="15" customHeight="1">
      <c r="A62" s="747" t="s">
        <v>2199</v>
      </c>
      <c r="B62" s="595">
        <v>45816</v>
      </c>
      <c r="C62" s="595">
        <v>45811</v>
      </c>
      <c r="D62" t="s">
        <v>1433</v>
      </c>
      <c r="E62">
        <f>_xlfn.XLOOKUP(D62,RUC!$B$3:$B$123,RUC!$D$3:$D$123)</f>
        <v>10473108823</v>
      </c>
      <c r="G62" s="80" t="s">
        <v>1434</v>
      </c>
      <c r="H62" t="s">
        <v>69</v>
      </c>
      <c r="I62" s="596">
        <v>34.1</v>
      </c>
      <c r="J62" s="596">
        <v>26.35</v>
      </c>
      <c r="K62" s="138">
        <f t="shared" si="13"/>
        <v>25.114650000000001</v>
      </c>
      <c r="L62" s="139">
        <v>0.22049999999999997</v>
      </c>
      <c r="M62" s="139">
        <v>0.19500000000000001</v>
      </c>
      <c r="N62" s="598">
        <v>0.23</v>
      </c>
      <c r="O62" s="645">
        <f t="shared" si="25"/>
        <v>0.21299999999999999</v>
      </c>
      <c r="P62" s="727">
        <v>88</v>
      </c>
      <c r="Q62" s="596">
        <v>88.66</v>
      </c>
      <c r="R62" s="706">
        <v>3334.75</v>
      </c>
      <c r="S62" s="802">
        <v>100</v>
      </c>
      <c r="U62" s="1146">
        <v>90</v>
      </c>
      <c r="V62" s="715">
        <v>1.1023000000000001</v>
      </c>
      <c r="Z62" s="143">
        <f t="shared" si="27"/>
        <v>30</v>
      </c>
      <c r="AA62" s="144">
        <f t="shared" si="15"/>
        <v>30</v>
      </c>
      <c r="AB62" s="145">
        <f t="shared" si="16"/>
        <v>527.115384662</v>
      </c>
      <c r="AC62" s="145">
        <f>+(S62-T62)*V62-'data 1'!$F$4</f>
        <v>30.230000000000004</v>
      </c>
      <c r="AD62" s="145">
        <f t="shared" si="17"/>
        <v>5.2051539372524722</v>
      </c>
      <c r="AE62" s="145">
        <f t="shared" si="18"/>
        <v>-36.930999999999997</v>
      </c>
      <c r="AF62" s="145">
        <f t="shared" si="19"/>
        <v>23.78318635728743</v>
      </c>
      <c r="AG62" s="772">
        <f t="shared" si="20"/>
        <v>39.287340294539916</v>
      </c>
      <c r="AH62" s="146">
        <f t="shared" si="21"/>
        <v>168.33426234558311</v>
      </c>
      <c r="AI62" s="156">
        <f t="shared" si="22"/>
        <v>22.680792882247502</v>
      </c>
      <c r="AJ62" s="156">
        <f t="shared" si="23"/>
        <v>161.39812125435293</v>
      </c>
      <c r="AK62" s="88"/>
      <c r="AL62" s="716">
        <f t="shared" si="29"/>
        <v>13238.318395401498</v>
      </c>
      <c r="AM62" s="716" t="str">
        <f>_xlfn.XLOOKUP(D62,RUC!$B$3:$B$72,RUC!$M$3:$M$72)</f>
        <v>Alfred Torres</v>
      </c>
      <c r="AN62" s="1167" t="s">
        <v>2297</v>
      </c>
    </row>
    <row r="63" spans="1:40" ht="15" customHeight="1">
      <c r="A63" s="747" t="s">
        <v>2201</v>
      </c>
      <c r="B63" s="595">
        <v>45816</v>
      </c>
      <c r="C63" s="595">
        <v>45812</v>
      </c>
      <c r="D63" t="s">
        <v>2004</v>
      </c>
      <c r="E63">
        <f>_xlfn.XLOOKUP(D63,RUC!$B$3:$B$123,RUC!$D$3:$D$123)</f>
        <v>20612921866</v>
      </c>
      <c r="G63" s="80" t="s">
        <v>1434</v>
      </c>
      <c r="H63" t="s">
        <v>69</v>
      </c>
      <c r="I63" s="596">
        <v>21.29</v>
      </c>
      <c r="J63" s="596">
        <v>1.8</v>
      </c>
      <c r="K63" s="138">
        <f t="shared" si="13"/>
        <v>20.906779999999998</v>
      </c>
      <c r="L63" s="139">
        <v>0.50049999999999994</v>
      </c>
      <c r="M63" s="139">
        <v>0.47046999999999994</v>
      </c>
      <c r="N63" s="598">
        <v>0.52300000000000002</v>
      </c>
      <c r="O63" s="645">
        <f t="shared" si="25"/>
        <v>0.497</v>
      </c>
      <c r="P63" s="727">
        <v>90</v>
      </c>
      <c r="Q63" s="596">
        <v>95</v>
      </c>
      <c r="R63" s="706">
        <v>3364.6</v>
      </c>
      <c r="S63" s="765">
        <f>IF((90+ROUNDDOWN(O63,1)*100)&lt;95,95,(80+ROUNDDOWN(O63,1)*100))</f>
        <v>120</v>
      </c>
      <c r="U63" s="1146">
        <v>100</v>
      </c>
      <c r="V63" s="715">
        <v>1.1023000000000001</v>
      </c>
      <c r="Z63" s="143">
        <f t="shared" si="27"/>
        <v>30</v>
      </c>
      <c r="AA63" s="144">
        <f t="shared" si="15"/>
        <v>30</v>
      </c>
      <c r="AB63" s="145">
        <f t="shared" si="16"/>
        <v>1444.294725834</v>
      </c>
      <c r="AC63" s="145">
        <f>+(S63-T63)*V63-'data 1'!$F$4</f>
        <v>52.27600000000001</v>
      </c>
      <c r="AD63" s="145">
        <f t="shared" si="17"/>
        <v>90.054178714499997</v>
      </c>
      <c r="AE63" s="145">
        <f t="shared" si="18"/>
        <v>-36.930999999999997</v>
      </c>
      <c r="AF63" s="145">
        <f t="shared" si="19"/>
        <v>11.965240528499821</v>
      </c>
      <c r="AG63" s="772">
        <f>+IF(D63="RONALD WILLIAN GARIBAY ESCUDERO",AC63+AD63+AE63+AF63+70,AC63+AD63+AE63+AF63)</f>
        <v>117.36441924299982</v>
      </c>
      <c r="AH63" s="146">
        <f t="shared" si="21"/>
        <v>340.81908456454852</v>
      </c>
      <c r="AI63" s="156">
        <f t="shared" si="22"/>
        <v>44.75951429950004</v>
      </c>
      <c r="AJ63" s="156">
        <f t="shared" si="23"/>
        <v>320.62332725321534</v>
      </c>
      <c r="AK63" s="88"/>
      <c r="AL63" s="716">
        <f t="shared" si="29"/>
        <v>30195.552088171753</v>
      </c>
      <c r="AM63" s="716" t="str">
        <f>_xlfn.XLOOKUP(D63,RUC!$B$3:$B$72,RUC!$M$3:$M$72)</f>
        <v>Ronald Garibay</v>
      </c>
      <c r="AN63" s="1167" t="s">
        <v>2280</v>
      </c>
    </row>
    <row r="64" spans="1:40" ht="15" customHeight="1">
      <c r="A64" s="747" t="s">
        <v>2202</v>
      </c>
      <c r="B64" s="595">
        <v>45818</v>
      </c>
      <c r="C64" s="595">
        <v>45813</v>
      </c>
      <c r="D64" t="s">
        <v>2004</v>
      </c>
      <c r="E64">
        <f>_xlfn.XLOOKUP(D64,RUC!$B$3:$B$123,RUC!$D$3:$D$123)</f>
        <v>20612921866</v>
      </c>
      <c r="G64" s="80" t="s">
        <v>1434</v>
      </c>
      <c r="H64" t="s">
        <v>69</v>
      </c>
      <c r="I64" s="596">
        <v>16.52</v>
      </c>
      <c r="J64" s="596">
        <v>2.1</v>
      </c>
      <c r="K64" s="138">
        <f t="shared" si="13"/>
        <v>16.173079999999999</v>
      </c>
      <c r="L64" s="139">
        <v>0.47399999999999998</v>
      </c>
      <c r="M64" s="139">
        <v>0.44600000000000001</v>
      </c>
      <c r="N64" s="159">
        <v>0.51900000000000002</v>
      </c>
      <c r="O64" s="645">
        <f t="shared" si="25"/>
        <v>0.48299999999999998</v>
      </c>
      <c r="P64" s="727">
        <v>90</v>
      </c>
      <c r="Q64" s="596">
        <v>96.41</v>
      </c>
      <c r="R64" s="706">
        <v>3374.6</v>
      </c>
      <c r="S64" s="765">
        <f>IF((80+ROUNDDOWN(O64,1)*100)&lt;95,95,(80+ROUNDDOWN(O64,1)*100))</f>
        <v>120</v>
      </c>
      <c r="U64" s="1146">
        <v>100</v>
      </c>
      <c r="V64" s="715">
        <v>1.1023000000000001</v>
      </c>
      <c r="Z64" s="143">
        <f t="shared" si="27"/>
        <v>30</v>
      </c>
      <c r="AA64" s="144">
        <f t="shared" si="15"/>
        <v>30</v>
      </c>
      <c r="AB64" s="145">
        <f t="shared" si="16"/>
        <v>1403.7444598259999</v>
      </c>
      <c r="AC64" s="145">
        <f>+(S64-T64)*V64-'data 1'!$F$4</f>
        <v>52.27600000000001</v>
      </c>
      <c r="AD64" s="145">
        <f t="shared" si="17"/>
        <v>109.67166481177193</v>
      </c>
      <c r="AE64" s="145">
        <f t="shared" si="18"/>
        <v>-36.930999999999997</v>
      </c>
      <c r="AF64" s="145">
        <f t="shared" si="19"/>
        <v>-31.320065180502024</v>
      </c>
      <c r="AG64" s="772">
        <f>+IF(D64="RONALD WILLIAN GARIBAY ESCUDERO",AC64+AD64+AE64+AF64+70,AC64+AD64+AE64+AF64)</f>
        <v>93.696599631269919</v>
      </c>
      <c r="AH64" s="146">
        <f t="shared" si="21"/>
        <v>253.39744325463363</v>
      </c>
      <c r="AI64" s="156">
        <f t="shared" si="22"/>
        <v>37.981453257228047</v>
      </c>
      <c r="AJ64" s="156">
        <f t="shared" si="23"/>
        <v>241.04129074007778</v>
      </c>
      <c r="AK64" s="88"/>
      <c r="AL64" s="716">
        <f t="shared" si="29"/>
        <v>22702.871448322679</v>
      </c>
      <c r="AM64" s="716" t="str">
        <f>_xlfn.XLOOKUP(D64,RUC!$B$3:$B$72,RUC!$M$3:$M$72)</f>
        <v>Ronald Garibay</v>
      </c>
      <c r="AN64" s="1167" t="s">
        <v>2280</v>
      </c>
    </row>
    <row r="65" spans="1:40" ht="15" customHeight="1">
      <c r="A65" s="747" t="s">
        <v>2203</v>
      </c>
      <c r="B65" s="595">
        <v>45818</v>
      </c>
      <c r="C65" s="595">
        <v>45814</v>
      </c>
      <c r="D65" t="s">
        <v>1402</v>
      </c>
      <c r="E65">
        <f>_xlfn.XLOOKUP(D65,RUC!$B$3:$B$123,RUC!$D$3:$D$123)</f>
        <v>20606526599</v>
      </c>
      <c r="G65" s="80">
        <v>100</v>
      </c>
      <c r="H65" t="s">
        <v>69</v>
      </c>
      <c r="I65" s="596">
        <v>8.1199999999999992</v>
      </c>
      <c r="J65" s="596">
        <v>1.1499999999999999</v>
      </c>
      <c r="K65" s="138">
        <f t="shared" si="13"/>
        <v>8.0266199999999994</v>
      </c>
      <c r="L65" s="139">
        <v>0.39800000000000002</v>
      </c>
      <c r="M65" s="139">
        <v>0.374</v>
      </c>
      <c r="N65" s="598">
        <v>0.437</v>
      </c>
      <c r="O65" s="645">
        <f t="shared" si="25"/>
        <v>0.40600000000000003</v>
      </c>
      <c r="P65" s="727">
        <v>90</v>
      </c>
      <c r="Q65" s="596">
        <v>95.48</v>
      </c>
      <c r="R65" s="706">
        <v>3374.6</v>
      </c>
      <c r="S65" s="765">
        <f>IF((90+ROUNDDOWN(O65,1)*100)&lt;95,95,(90+ROUNDDOWN(O65,1)*100))</f>
        <v>130</v>
      </c>
      <c r="U65" s="1146">
        <v>120</v>
      </c>
      <c r="V65" s="715">
        <v>1.1023000000000001</v>
      </c>
      <c r="Y65">
        <v>20</v>
      </c>
      <c r="Z65" s="143">
        <f t="shared" si="27"/>
        <v>30</v>
      </c>
      <c r="AA65" s="144">
        <f t="shared" si="15"/>
        <v>50</v>
      </c>
      <c r="AB65" s="145">
        <f t="shared" si="16"/>
        <v>1112.4751549319999</v>
      </c>
      <c r="AC65" s="145">
        <f>+(S65-T65)*V65-'data 1'!$F$4</f>
        <v>63.299000000000007</v>
      </c>
      <c r="AD65" s="145">
        <f t="shared" si="17"/>
        <v>78.245804118032069</v>
      </c>
      <c r="AE65" s="145">
        <f t="shared" si="18"/>
        <v>-14.884999999999998</v>
      </c>
      <c r="AF65" s="145">
        <f t="shared" si="19"/>
        <v>-27.403108158272019</v>
      </c>
      <c r="AG65" s="772">
        <f t="shared" ref="AG65:AG88" si="30">+IF(D65="RONALD WILLIAN GARIBAY ESCUDERO",AC65+AD65+AE65+AF65+70,AC65+AD65+AE65+AF65)+70-53</f>
        <v>116.25669595976007</v>
      </c>
      <c r="AH65" s="146">
        <f t="shared" si="21"/>
        <v>104.57725897948545</v>
      </c>
      <c r="AI65" s="156">
        <f t="shared" si="22"/>
        <v>39.961673257968044</v>
      </c>
      <c r="AJ65" s="156">
        <f t="shared" si="23"/>
        <v>100.55653853448217</v>
      </c>
      <c r="AK65" s="88"/>
      <c r="AL65" s="716">
        <f t="shared" si="29"/>
        <v>8929.4153280802875</v>
      </c>
      <c r="AM65" s="716" t="str">
        <f>_xlfn.XLOOKUP(D65,RUC!$B$3:$B$72,RUC!$M$3:$M$72)</f>
        <v>Yuri Rospigliossi</v>
      </c>
      <c r="AN65" s="1167" t="s">
        <v>2279</v>
      </c>
    </row>
    <row r="66" spans="1:40" ht="15" customHeight="1">
      <c r="A66" s="747" t="s">
        <v>2204</v>
      </c>
      <c r="B66" s="595">
        <v>45818</v>
      </c>
      <c r="C66" s="595">
        <v>45814</v>
      </c>
      <c r="D66" t="s">
        <v>154</v>
      </c>
      <c r="E66">
        <f>_xlfn.XLOOKUP(D66,RUC!$B$3:$B$123,RUC!$D$3:$D$123)</f>
        <v>10416085884</v>
      </c>
      <c r="G66" s="80">
        <v>18</v>
      </c>
      <c r="H66" t="s">
        <v>69</v>
      </c>
      <c r="I66" s="596">
        <v>1.29</v>
      </c>
      <c r="J66" s="596">
        <v>9.1</v>
      </c>
      <c r="K66" s="138">
        <f t="shared" si="13"/>
        <v>1.1726100000000002</v>
      </c>
      <c r="L66" s="139">
        <v>0.379</v>
      </c>
      <c r="M66" s="139">
        <v>0.35599999999999998</v>
      </c>
      <c r="N66" s="598">
        <v>0.437</v>
      </c>
      <c r="O66" s="1147">
        <v>0.39600000000000002</v>
      </c>
      <c r="P66" s="727">
        <v>90</v>
      </c>
      <c r="Q66" s="596">
        <v>96.57</v>
      </c>
      <c r="R66" s="706">
        <v>3374.6</v>
      </c>
      <c r="S66" s="802">
        <v>110</v>
      </c>
      <c r="U66" s="1146">
        <v>90</v>
      </c>
      <c r="V66" s="715">
        <v>1.1023000000000001</v>
      </c>
      <c r="Z66" s="143">
        <f t="shared" si="27"/>
        <v>30</v>
      </c>
      <c r="AA66" s="144">
        <f t="shared" si="15"/>
        <v>30</v>
      </c>
      <c r="AB66" s="145">
        <f t="shared" si="16"/>
        <v>1136.0650363120001</v>
      </c>
      <c r="AC66" s="145">
        <f>+(S66-T66)*V66-'data 1'!$F$4</f>
        <v>41.253</v>
      </c>
      <c r="AD66" s="145">
        <f t="shared" si="17"/>
        <v>90.154389226373908</v>
      </c>
      <c r="AE66" s="145">
        <f t="shared" si="18"/>
        <v>-36.930999999999997</v>
      </c>
      <c r="AF66" s="145">
        <f t="shared" si="19"/>
        <v>-59.43926749840206</v>
      </c>
      <c r="AG66" s="772">
        <f t="shared" si="30"/>
        <v>52.037121727971851</v>
      </c>
      <c r="AH66" s="146">
        <f t="shared" si="21"/>
        <v>14.714452391576309</v>
      </c>
      <c r="AI66" s="156">
        <f t="shared" si="22"/>
        <v>26.385115347126039</v>
      </c>
      <c r="AJ66" s="156">
        <f t="shared" si="23"/>
        <v>14.328487797299065</v>
      </c>
      <c r="AK66" s="88"/>
      <c r="AL66" s="716">
        <f t="shared" si="29"/>
        <v>1332.1612222298145</v>
      </c>
      <c r="AM66" s="716" t="str">
        <f>_xlfn.XLOOKUP(D66,RUC!$B$3:$B$72,RUC!$M$3:$M$72)</f>
        <v>Alfred Torres</v>
      </c>
      <c r="AN66" s="1167" t="s">
        <v>2279</v>
      </c>
    </row>
    <row r="67" spans="1:40" ht="15" customHeight="1">
      <c r="A67" s="747" t="s">
        <v>2205</v>
      </c>
      <c r="B67" s="595">
        <v>45818</v>
      </c>
      <c r="C67" s="595">
        <v>45814</v>
      </c>
      <c r="D67" t="s">
        <v>1402</v>
      </c>
      <c r="E67">
        <f>_xlfn.XLOOKUP(D67,RUC!$B$3:$B$123,RUC!$D$3:$D$123)</f>
        <v>20606526599</v>
      </c>
      <c r="G67" s="80">
        <v>100</v>
      </c>
      <c r="H67" t="s">
        <v>69</v>
      </c>
      <c r="I67" s="596">
        <v>8.39</v>
      </c>
      <c r="J67" s="596">
        <v>1.05</v>
      </c>
      <c r="K67" s="138">
        <f t="shared" si="13"/>
        <v>8.3019050000000014</v>
      </c>
      <c r="L67" s="139">
        <v>0.25600000000000001</v>
      </c>
      <c r="M67" s="139">
        <v>0.23799999999999999</v>
      </c>
      <c r="N67" s="159">
        <v>0.23799999999999999</v>
      </c>
      <c r="O67" s="645">
        <f t="shared" ref="O67:O108" si="31">+ROUND((M67+N67)/2,3)</f>
        <v>0.23799999999999999</v>
      </c>
      <c r="P67" s="727">
        <v>90</v>
      </c>
      <c r="Q67" s="596">
        <v>98.05</v>
      </c>
      <c r="R67" s="706">
        <v>3374.6</v>
      </c>
      <c r="S67" s="765">
        <f>IF((90+ROUNDDOWN(O67,1)*100)&lt;95,95,(90+ROUNDDOWN(O67,1)*100))</f>
        <v>110</v>
      </c>
      <c r="U67" s="1146">
        <v>120</v>
      </c>
      <c r="V67" s="715">
        <v>1.1023000000000001</v>
      </c>
      <c r="Y67">
        <v>20</v>
      </c>
      <c r="Z67" s="143">
        <f t="shared" si="27"/>
        <v>30</v>
      </c>
      <c r="AA67" s="144">
        <f t="shared" si="15"/>
        <v>50</v>
      </c>
      <c r="AB67" s="145">
        <f t="shared" si="16"/>
        <v>592.08426323599986</v>
      </c>
      <c r="AC67" s="145">
        <f>+(S67-T67)*V67-'data 1'!$F$4</f>
        <v>41.253</v>
      </c>
      <c r="AD67" s="145">
        <f t="shared" si="17"/>
        <v>73.93213931263999</v>
      </c>
      <c r="AE67" s="145">
        <f t="shared" si="18"/>
        <v>-14.884999999999998</v>
      </c>
      <c r="AF67" s="145">
        <f t="shared" si="19"/>
        <v>63.31659194142005</v>
      </c>
      <c r="AG67" s="772">
        <f t="shared" si="30"/>
        <v>180.61673125406006</v>
      </c>
      <c r="AH67" s="146">
        <f t="shared" si="21"/>
        <v>71.445419726563898</v>
      </c>
      <c r="AI67" s="156">
        <f t="shared" si="22"/>
        <v>26.395855695360027</v>
      </c>
      <c r="AJ67" s="156">
        <f t="shared" si="23"/>
        <v>60.968610185452199</v>
      </c>
      <c r="AK67" s="88"/>
      <c r="AL67" s="716">
        <f t="shared" si="29"/>
        <v>4915.4273053802644</v>
      </c>
      <c r="AM67" s="716" t="str">
        <f>_xlfn.XLOOKUP(D67,RUC!$B$3:$B$72,RUC!$M$3:$M$72)</f>
        <v>Yuri Rospigliossi</v>
      </c>
      <c r="AN67" s="1167" t="s">
        <v>2281</v>
      </c>
    </row>
    <row r="68" spans="1:40" ht="15" customHeight="1">
      <c r="A68" s="747" t="s">
        <v>2206</v>
      </c>
      <c r="B68" s="595">
        <v>45818</v>
      </c>
      <c r="C68" s="595">
        <v>45814</v>
      </c>
      <c r="D68" t="s">
        <v>154</v>
      </c>
      <c r="E68">
        <f>_xlfn.XLOOKUP(D68,RUC!$B$3:$B$123,RUC!$D$3:$D$123)</f>
        <v>10416085884</v>
      </c>
      <c r="G68" s="80" t="s">
        <v>1434</v>
      </c>
      <c r="H68" t="s">
        <v>69</v>
      </c>
      <c r="I68" s="596">
        <v>15.95</v>
      </c>
      <c r="J68" s="596">
        <v>14.95</v>
      </c>
      <c r="K68" s="138">
        <f t="shared" si="13"/>
        <v>13.565474999999999</v>
      </c>
      <c r="L68" s="139">
        <v>0.28000000000000003</v>
      </c>
      <c r="M68" s="139">
        <v>0.26300000000000001</v>
      </c>
      <c r="N68" s="159">
        <v>0.26300000000000001</v>
      </c>
      <c r="O68" s="645">
        <f t="shared" si="31"/>
        <v>0.26300000000000001</v>
      </c>
      <c r="P68" s="727">
        <v>90</v>
      </c>
      <c r="Q68" s="596">
        <v>95.36</v>
      </c>
      <c r="R68" s="706">
        <v>3374.6</v>
      </c>
      <c r="S68" s="802">
        <v>100</v>
      </c>
      <c r="U68" s="1146">
        <v>90</v>
      </c>
      <c r="V68" s="715">
        <v>1.1023000000000001</v>
      </c>
      <c r="Z68" s="143">
        <f t="shared" si="27"/>
        <v>30</v>
      </c>
      <c r="AA68" s="144">
        <f t="shared" si="15"/>
        <v>30</v>
      </c>
      <c r="AB68" s="145">
        <f t="shared" si="16"/>
        <v>713.70047108600011</v>
      </c>
      <c r="AC68" s="145">
        <f>+(S68-T68)*V68-'data 1'!$F$4</f>
        <v>30.230000000000004</v>
      </c>
      <c r="AD68" s="145">
        <f t="shared" si="17"/>
        <v>54.338183616640009</v>
      </c>
      <c r="AE68" s="145">
        <f t="shared" si="18"/>
        <v>-36.930999999999997</v>
      </c>
      <c r="AF68" s="145">
        <f t="shared" si="19"/>
        <v>58.694507079296052</v>
      </c>
      <c r="AG68" s="772">
        <f t="shared" si="30"/>
        <v>123.33169069593606</v>
      </c>
      <c r="AH68" s="146">
        <f t="shared" si="21"/>
        <v>124.18477316076788</v>
      </c>
      <c r="AI68" s="156">
        <f t="shared" si="22"/>
        <v>19.248718863360029</v>
      </c>
      <c r="AJ68" s="156">
        <f t="shared" si="23"/>
        <v>110.08859587410771</v>
      </c>
      <c r="AK68" s="88"/>
      <c r="AL68" s="716">
        <f t="shared" si="29"/>
        <v>9681.6858980053566</v>
      </c>
      <c r="AM68" s="716" t="str">
        <f>_xlfn.XLOOKUP(D68,RUC!$B$3:$B$72,RUC!$M$3:$M$72)</f>
        <v>Alfred Torres</v>
      </c>
      <c r="AN68" s="1167" t="s">
        <v>2279</v>
      </c>
    </row>
    <row r="69" spans="1:40" ht="15" customHeight="1">
      <c r="A69" s="747" t="s">
        <v>2207</v>
      </c>
      <c r="B69" s="595">
        <v>45818</v>
      </c>
      <c r="C69" s="595">
        <v>45814</v>
      </c>
      <c r="D69" t="s">
        <v>1402</v>
      </c>
      <c r="E69">
        <f>_xlfn.XLOOKUP(D69,RUC!$B$3:$B$123,RUC!$D$3:$D$123)</f>
        <v>20606526599</v>
      </c>
      <c r="G69" s="80">
        <v>100</v>
      </c>
      <c r="H69" t="s">
        <v>69</v>
      </c>
      <c r="I69" s="596">
        <v>8.24</v>
      </c>
      <c r="J69" s="596">
        <v>1.1499999999999999</v>
      </c>
      <c r="K69" s="138">
        <f t="shared" si="13"/>
        <v>8.1452399999999994</v>
      </c>
      <c r="L69" s="139">
        <v>0.23100000000000001</v>
      </c>
      <c r="M69" s="139">
        <v>0.214</v>
      </c>
      <c r="N69" s="159">
        <v>0.214</v>
      </c>
      <c r="O69" s="645">
        <f t="shared" si="31"/>
        <v>0.214</v>
      </c>
      <c r="P69" s="727">
        <v>90</v>
      </c>
      <c r="Q69" s="596">
        <v>93.49</v>
      </c>
      <c r="R69" s="706">
        <v>3374.6</v>
      </c>
      <c r="S69" s="765">
        <f>IF((90+ROUNDDOWN(O69,1)*100)&lt;95,95,(90+ROUNDDOWN(O69,1)*100))</f>
        <v>110</v>
      </c>
      <c r="U69" s="1146">
        <v>120</v>
      </c>
      <c r="V69" s="715">
        <v>1.1023000000000001</v>
      </c>
      <c r="Y69">
        <v>20</v>
      </c>
      <c r="Z69" s="143">
        <f t="shared" si="27"/>
        <v>30</v>
      </c>
      <c r="AA69" s="144">
        <f t="shared" si="15"/>
        <v>50</v>
      </c>
      <c r="AB69" s="145">
        <f t="shared" si="16"/>
        <v>514.59327870799996</v>
      </c>
      <c r="AC69" s="145">
        <f>+(S69-T69)*V69-'data 1'!$F$4</f>
        <v>41.253</v>
      </c>
      <c r="AD69" s="145">
        <f t="shared" si="17"/>
        <v>28.922433711401958</v>
      </c>
      <c r="AE69" s="145">
        <f t="shared" si="18"/>
        <v>-14.884999999999998</v>
      </c>
      <c r="AF69" s="145">
        <f t="shared" si="19"/>
        <v>57.017938166614051</v>
      </c>
      <c r="AG69" s="772">
        <f t="shared" si="30"/>
        <v>129.308371878016</v>
      </c>
      <c r="AH69" s="146">
        <f t="shared" si="21"/>
        <v>60.310106349233003</v>
      </c>
      <c r="AI69" s="156">
        <f t="shared" si="22"/>
        <v>22.710428146098025</v>
      </c>
      <c r="AJ69" s="156">
        <f t="shared" si="23"/>
        <v>53.785998747289575</v>
      </c>
      <c r="AK69" s="88"/>
      <c r="AL69" s="716">
        <f t="shared" si="29"/>
        <v>4191.4857574635489</v>
      </c>
      <c r="AM69" s="716" t="str">
        <f>_xlfn.XLOOKUP(D69,RUC!$B$3:$B$72,RUC!$M$3:$M$72)</f>
        <v>Yuri Rospigliossi</v>
      </c>
      <c r="AN69" s="1167" t="s">
        <v>2281</v>
      </c>
    </row>
    <row r="70" spans="1:40" ht="15" customHeight="1">
      <c r="A70" s="747" t="s">
        <v>2208</v>
      </c>
      <c r="B70" s="595">
        <v>45818</v>
      </c>
      <c r="C70" s="595">
        <v>45814</v>
      </c>
      <c r="D70" t="s">
        <v>154</v>
      </c>
      <c r="E70">
        <f>_xlfn.XLOOKUP(D70,RUC!$B$3:$B$123,RUC!$D$3:$D$123)</f>
        <v>10416085884</v>
      </c>
      <c r="G70" s="80" t="s">
        <v>1434</v>
      </c>
      <c r="H70" t="s">
        <v>69</v>
      </c>
      <c r="I70" s="596">
        <v>11.21</v>
      </c>
      <c r="J70" s="596">
        <v>12.5</v>
      </c>
      <c r="K70" s="138">
        <f t="shared" si="13"/>
        <v>9.8087499999999999</v>
      </c>
      <c r="L70" s="139">
        <v>0.21199999999999999</v>
      </c>
      <c r="M70" s="139">
        <v>0.19500000000000001</v>
      </c>
      <c r="N70" s="159">
        <v>0.19500000000000001</v>
      </c>
      <c r="O70" s="645">
        <f t="shared" si="31"/>
        <v>0.19500000000000001</v>
      </c>
      <c r="P70" s="727">
        <v>90</v>
      </c>
      <c r="Q70" s="596">
        <v>95.75</v>
      </c>
      <c r="R70" s="706">
        <v>3374.6</v>
      </c>
      <c r="S70" s="802">
        <v>100</v>
      </c>
      <c r="U70" s="1146">
        <v>90</v>
      </c>
      <c r="V70" s="715">
        <v>1.1023000000000001</v>
      </c>
      <c r="Z70" s="143">
        <f t="shared" si="27"/>
        <v>30</v>
      </c>
      <c r="AA70" s="144">
        <f t="shared" si="15"/>
        <v>30</v>
      </c>
      <c r="AB70" s="145">
        <f t="shared" si="16"/>
        <v>492.11885879000005</v>
      </c>
      <c r="AC70" s="145">
        <f>+(S70-T70)*V70-'data 1'!$F$4</f>
        <v>30.230000000000004</v>
      </c>
      <c r="AD70" s="145">
        <f t="shared" si="17"/>
        <v>44.135291730200009</v>
      </c>
      <c r="AE70" s="145">
        <f t="shared" si="18"/>
        <v>-36.930999999999997</v>
      </c>
      <c r="AF70" s="145">
        <f t="shared" si="19"/>
        <v>58.934553825949962</v>
      </c>
      <c r="AG70" s="772">
        <f t="shared" si="30"/>
        <v>113.36884555614998</v>
      </c>
      <c r="AH70" s="146">
        <f t="shared" si="21"/>
        <v>68.264887439193458</v>
      </c>
      <c r="AI70" s="156">
        <f t="shared" si="22"/>
        <v>14.633634355800019</v>
      </c>
      <c r="AJ70" s="156">
        <f t="shared" si="23"/>
        <v>59.020088406219287</v>
      </c>
      <c r="AK70" s="88"/>
      <c r="AL70" s="716">
        <f t="shared" si="29"/>
        <v>4827.0708561564124</v>
      </c>
      <c r="AM70" s="716" t="str">
        <f>_xlfn.XLOOKUP(D70,RUC!$B$3:$B$72,RUC!$M$3:$M$72)</f>
        <v>Alfred Torres</v>
      </c>
      <c r="AN70" s="1167" t="s">
        <v>2297</v>
      </c>
    </row>
    <row r="71" spans="1:40" ht="15" customHeight="1">
      <c r="A71" s="747" t="s">
        <v>2209</v>
      </c>
      <c r="B71" s="595">
        <v>45818</v>
      </c>
      <c r="C71" s="595">
        <v>45814</v>
      </c>
      <c r="D71" t="s">
        <v>1402</v>
      </c>
      <c r="E71">
        <f>_xlfn.XLOOKUP(D71,RUC!$B$3:$B$123,RUC!$D$3:$D$123)</f>
        <v>20606526599</v>
      </c>
      <c r="G71" s="80">
        <v>100</v>
      </c>
      <c r="H71" t="s">
        <v>69</v>
      </c>
      <c r="I71" s="596">
        <v>8.3800000000000008</v>
      </c>
      <c r="J71" s="596">
        <v>1.2</v>
      </c>
      <c r="K71" s="138">
        <f t="shared" si="13"/>
        <v>8.279440000000001</v>
      </c>
      <c r="L71" s="139">
        <v>0.5</v>
      </c>
      <c r="M71" s="139">
        <v>0.47</v>
      </c>
      <c r="N71" s="598">
        <v>0.55400000000000005</v>
      </c>
      <c r="O71" s="645">
        <f t="shared" si="31"/>
        <v>0.51200000000000001</v>
      </c>
      <c r="P71" s="727">
        <v>90</v>
      </c>
      <c r="Q71" s="596">
        <v>94.99</v>
      </c>
      <c r="R71" s="706">
        <v>3374.6</v>
      </c>
      <c r="S71" s="765">
        <f>IF((90+ROUNDDOWN(O71,1)*100)&lt;95,95,(90+ROUNDDOWN(O71,1)*100))</f>
        <v>140</v>
      </c>
      <c r="U71" s="1146">
        <v>120</v>
      </c>
      <c r="V71" s="715">
        <v>1.1023000000000001</v>
      </c>
      <c r="Y71">
        <v>20</v>
      </c>
      <c r="Z71" s="143">
        <f t="shared" si="27"/>
        <v>30</v>
      </c>
      <c r="AA71" s="144">
        <f t="shared" si="15"/>
        <v>50</v>
      </c>
      <c r="AB71" s="145">
        <f t="shared" si="16"/>
        <v>1443.704003264</v>
      </c>
      <c r="AC71" s="145">
        <f>+(S71-T71)*V71-'data 1'!$F$4</f>
        <v>74.322000000000003</v>
      </c>
      <c r="AD71" s="145">
        <f t="shared" si="17"/>
        <v>89.509262220999915</v>
      </c>
      <c r="AE71" s="145">
        <f t="shared" si="18"/>
        <v>-14.884999999999998</v>
      </c>
      <c r="AF71" s="145">
        <f t="shared" si="19"/>
        <v>-40.893714557304037</v>
      </c>
      <c r="AG71" s="772">
        <f t="shared" si="30"/>
        <v>125.05254766369589</v>
      </c>
      <c r="AH71" s="146">
        <f t="shared" si="21"/>
        <v>134.8211180967669</v>
      </c>
      <c r="AI71" s="156">
        <f t="shared" si="22"/>
        <v>49.945466529000043</v>
      </c>
      <c r="AJ71" s="156">
        <f t="shared" si="23"/>
        <v>130.8044451394677</v>
      </c>
      <c r="AK71" s="88"/>
      <c r="AL71" s="716">
        <f t="shared" si="29"/>
        <v>11953.060672784093</v>
      </c>
      <c r="AM71" s="716" t="str">
        <f>_xlfn.XLOOKUP(D71,RUC!$B$3:$B$72,RUC!$M$3:$M$72)</f>
        <v>Yuri Rospigliossi</v>
      </c>
      <c r="AN71" s="1167" t="s">
        <v>2279</v>
      </c>
    </row>
    <row r="72" spans="1:40" ht="15" customHeight="1">
      <c r="A72" s="747" t="s">
        <v>2211</v>
      </c>
      <c r="B72" s="595">
        <v>45821</v>
      </c>
      <c r="C72" s="595">
        <v>45815</v>
      </c>
      <c r="D72" t="s">
        <v>1671</v>
      </c>
      <c r="E72">
        <f>_xlfn.XLOOKUP(D72,RUC!$B$3:$B$123,RUC!$D$3:$D$123)</f>
        <v>20517242919</v>
      </c>
      <c r="G72" s="80">
        <v>63</v>
      </c>
      <c r="H72" t="s">
        <v>69</v>
      </c>
      <c r="I72" s="596">
        <v>5.84</v>
      </c>
      <c r="J72" s="596">
        <v>2.1</v>
      </c>
      <c r="K72" s="138">
        <f t="shared" si="13"/>
        <v>5.7173600000000002</v>
      </c>
      <c r="L72" s="139">
        <v>0.19</v>
      </c>
      <c r="M72" s="139">
        <v>0.187</v>
      </c>
      <c r="N72" s="159">
        <v>0.187</v>
      </c>
      <c r="O72" s="645">
        <f t="shared" si="31"/>
        <v>0.187</v>
      </c>
      <c r="P72" s="727">
        <v>85</v>
      </c>
      <c r="Q72" s="596">
        <v>96.32</v>
      </c>
      <c r="R72" s="706">
        <v>3339.9</v>
      </c>
      <c r="S72" s="802">
        <v>95</v>
      </c>
      <c r="U72" s="1091">
        <v>80</v>
      </c>
      <c r="V72" s="715">
        <v>1.1023000000000001</v>
      </c>
      <c r="Z72" s="1034">
        <v>10</v>
      </c>
      <c r="AA72" s="144">
        <f t="shared" si="15"/>
        <v>10</v>
      </c>
      <c r="AB72" s="145">
        <f t="shared" si="16"/>
        <v>455.42748604150006</v>
      </c>
      <c r="AC72" s="145">
        <f>+(S72-T72)*V72-'data 1'!$F$4</f>
        <v>24.718500000000006</v>
      </c>
      <c r="AD72" s="145">
        <f t="shared" si="17"/>
        <v>77.286584157159965</v>
      </c>
      <c r="AE72" s="145">
        <f t="shared" si="18"/>
        <v>-58.977000000000004</v>
      </c>
      <c r="AF72" s="145">
        <f t="shared" si="19"/>
        <v>10.383453300192009</v>
      </c>
      <c r="AG72" s="772">
        <f t="shared" si="30"/>
        <v>70.411537457351983</v>
      </c>
      <c r="AH72" s="146">
        <f t="shared" si="21"/>
        <v>35.873577013793053</v>
      </c>
      <c r="AI72" s="156">
        <f t="shared" si="22"/>
        <v>18.175847627839982</v>
      </c>
      <c r="AJ72" s="156">
        <f t="shared" si="23"/>
        <v>31.157681993915062</v>
      </c>
      <c r="AK72" s="88"/>
      <c r="AL72" s="716">
        <f t="shared" si="29"/>
        <v>2603.8428915942309</v>
      </c>
      <c r="AM72" s="716" t="str">
        <f>_xlfn.XLOOKUP(D72,RUC!$B$3:$B$72,RUC!$M$3:$M$72)</f>
        <v>Melchor Vera</v>
      </c>
      <c r="AN72" s="1167" t="s">
        <v>2297</v>
      </c>
    </row>
    <row r="73" spans="1:40" ht="15" customHeight="1">
      <c r="A73" s="747" t="s">
        <v>2219</v>
      </c>
      <c r="B73" s="595">
        <v>45824</v>
      </c>
      <c r="C73" s="595">
        <v>45817</v>
      </c>
      <c r="D73" t="s">
        <v>1484</v>
      </c>
      <c r="E73">
        <f>_xlfn.XLOOKUP(D73,RUC!$B$3:$B$123,RUC!$D$3:$D$123)</f>
        <v>10761932735</v>
      </c>
      <c r="G73" s="80">
        <v>22</v>
      </c>
      <c r="H73" t="s">
        <v>108</v>
      </c>
      <c r="I73" s="596">
        <v>1.92</v>
      </c>
      <c r="J73" s="596">
        <v>15.1</v>
      </c>
      <c r="K73" s="138">
        <f t="shared" si="13"/>
        <v>1.63008</v>
      </c>
      <c r="L73" s="139">
        <v>0.35899999999999999</v>
      </c>
      <c r="M73" s="139">
        <v>0.33700000000000002</v>
      </c>
      <c r="N73" s="159">
        <v>0.33700000000000002</v>
      </c>
      <c r="O73" s="645">
        <f t="shared" si="31"/>
        <v>0.33700000000000002</v>
      </c>
      <c r="P73" s="727">
        <v>90</v>
      </c>
      <c r="Q73" s="596">
        <v>95.82</v>
      </c>
      <c r="R73" s="706">
        <v>3319.3</v>
      </c>
      <c r="S73" s="765">
        <f t="shared" ref="S73:S82" si="32">IF((90+ROUNDDOWN(O73,1)*100)&lt;95,95,(90+ROUNDDOWN(O73,1)*100))</f>
        <v>120</v>
      </c>
      <c r="U73" s="1146">
        <f>_xlfn.XLOOKUP(D73,RUC!$B$3:$B$123,RUC!$F$3:$F$123)</f>
        <v>120</v>
      </c>
      <c r="V73" s="715">
        <v>1.1023000000000001</v>
      </c>
      <c r="Y73">
        <f>_xlfn.XLOOKUP(D73,RUC!$B$3:$B$123,RUC!$G$3:$G$123)</f>
        <v>20</v>
      </c>
      <c r="Z73" s="143">
        <f t="shared" ref="Z73:Z82" si="33">IF(IF(D73="UNTUCA",IF(+((W73-3)*1.5+(X73-3)*3.1)&gt;0,+((W73-3)*1.5+(X73-3)*3.1),0),IF(+((W73-3)*1.5+(X73-3)*3.1)&gt;0,+((W73-3)*1.5+(X73-3)*3.1),0))&lt;30,30,IF(D73="UNTUCA",IF(+((W73-3)*1.5+(X73-3)*3.1)&gt;0,+((W73-3)*1.5+(X73-3)*3.1),0),IF(+((W73-3)*1.5+(X73-3)*3.1)&gt;0,+((W73-3)*1.5+(X73-3)*3.1),0)))</f>
        <v>30</v>
      </c>
      <c r="AA73" s="144">
        <f t="shared" si="15"/>
        <v>50</v>
      </c>
      <c r="AB73" s="145">
        <f t="shared" si="16"/>
        <v>882.22325868700023</v>
      </c>
      <c r="AC73" s="145">
        <f>+(S73-T73)*V73-'data 1'!$F$4</f>
        <v>52.27600000000001</v>
      </c>
      <c r="AD73" s="145">
        <f t="shared" si="17"/>
        <v>73.6838325029819</v>
      </c>
      <c r="AE73" s="145">
        <f t="shared" si="18"/>
        <v>-14.884999999999998</v>
      </c>
      <c r="AF73" s="145">
        <f t="shared" si="19"/>
        <v>74.341893896555888</v>
      </c>
      <c r="AG73" s="772">
        <f t="shared" si="30"/>
        <v>202.41672639953779</v>
      </c>
      <c r="AH73" s="146">
        <f t="shared" si="21"/>
        <v>19.225099816137948</v>
      </c>
      <c r="AI73" s="156">
        <f t="shared" si="22"/>
        <v>57.143083917017933</v>
      </c>
      <c r="AJ73" s="156">
        <f t="shared" si="23"/>
        <v>16.950807759426596</v>
      </c>
      <c r="AK73" s="88"/>
      <c r="AL73" s="716">
        <f t="shared" si="29"/>
        <v>1438.0944895205052</v>
      </c>
      <c r="AM73" s="716" t="str">
        <f>_xlfn.XLOOKUP(D73,RUC!$B$3:$B$72,RUC!$M$3:$M$72)</f>
        <v>Richard Sapacayo</v>
      </c>
      <c r="AN73" s="1167" t="s">
        <v>2279</v>
      </c>
    </row>
    <row r="74" spans="1:40" ht="15" customHeight="1">
      <c r="A74" s="747" t="s">
        <v>2220</v>
      </c>
      <c r="B74" s="595">
        <v>45824</v>
      </c>
      <c r="C74" s="595">
        <v>45817</v>
      </c>
      <c r="D74" t="s">
        <v>1484</v>
      </c>
      <c r="E74">
        <f>_xlfn.XLOOKUP(D74,RUC!$B$3:$B$123,RUC!$D$3:$D$123)</f>
        <v>10761932735</v>
      </c>
      <c r="G74" s="80">
        <v>23</v>
      </c>
      <c r="H74" t="s">
        <v>108</v>
      </c>
      <c r="I74" s="596">
        <v>1.65</v>
      </c>
      <c r="J74" s="596">
        <v>9.6</v>
      </c>
      <c r="K74" s="138">
        <f t="shared" ref="K74:K108" si="34">+I74-(I74*(J74/100))</f>
        <v>1.4916</v>
      </c>
      <c r="L74" s="139">
        <v>0.154</v>
      </c>
      <c r="M74" s="139">
        <v>0.13900000000000001</v>
      </c>
      <c r="N74" s="598">
        <v>0.14699999999999999</v>
      </c>
      <c r="O74" s="645">
        <f t="shared" si="31"/>
        <v>0.14299999999999999</v>
      </c>
      <c r="P74" s="727">
        <v>85</v>
      </c>
      <c r="Q74" s="596">
        <v>91.56</v>
      </c>
      <c r="R74" s="706">
        <v>3319.3</v>
      </c>
      <c r="S74" s="765">
        <f t="shared" si="32"/>
        <v>100</v>
      </c>
      <c r="T74" s="1146"/>
      <c r="U74" s="1146">
        <f>_xlfn.XLOOKUP(D74,RUC!$B$3:$B$123,RUC!$F$3:$F$123)</f>
        <v>120</v>
      </c>
      <c r="V74" s="715">
        <v>1.1023000000000001</v>
      </c>
      <c r="Y74">
        <f>_xlfn.XLOOKUP(D74,RUC!$B$3:$B$123,RUC!$G$3:$G$123)</f>
        <v>20</v>
      </c>
      <c r="Z74" s="143">
        <f t="shared" si="33"/>
        <v>30</v>
      </c>
      <c r="AA74" s="144">
        <f t="shared" ref="AA74:AA108" si="35">+Y74+Z74</f>
        <v>50</v>
      </c>
      <c r="AB74" s="145">
        <f t="shared" ref="AB74:AB108" si="36">+((O74*P74*(R74-U74)/100)-S74-AA74+T74)*V74</f>
        <v>263.31181880450004</v>
      </c>
      <c r="AC74" s="145">
        <f>+(S74-T74)*V74-'data 1'!$F$4</f>
        <v>30.230000000000004</v>
      </c>
      <c r="AD74" s="145">
        <f t="shared" ref="AD74:AD108" si="37">+(Q74-P74)*(R74-U74)*L74*V74/100</f>
        <v>35.627006551136013</v>
      </c>
      <c r="AE74" s="145">
        <f t="shared" ref="AE74:AE108" si="38">+(Y74*V74-70)+V74*(Z74-IF(D74="UNTUCA",IF(+((W74-3)*2.5+(X74-3)*3.1)&gt;0,+((W74-3)*1.5+(X74-3)*3.1),0),IF(+((W74-3)*1.5+(X74-3)*3.1)&gt;0,+((W74-3)*1.5+(X74-3)*3.1),0)))</f>
        <v>-14.884999999999998</v>
      </c>
      <c r="AF74" s="145">
        <f t="shared" ref="AF74:AF108" si="39">(L74-O74)*(R74-U74)*Q74*V74/100</f>
        <v>35.518387628724035</v>
      </c>
      <c r="AG74" s="772">
        <f t="shared" si="30"/>
        <v>103.49039417986006</v>
      </c>
      <c r="AH74" s="146">
        <f t="shared" ref="AH74:AH108" si="40">31.1035*L74*Q74*1.1023*K74/100</f>
        <v>7.210874695172139</v>
      </c>
      <c r="AI74" s="156">
        <f t="shared" ref="AI74:AI108" si="41">+((+$AI$2-R74+U74)*L74*Q74*V74)/100</f>
        <v>23.422840689863971</v>
      </c>
      <c r="AJ74" s="156">
        <f t="shared" ref="AJ74:AJ108" si="42">31.1035*1.1023*K74*P74*O74/100</f>
        <v>6.2160773093094397</v>
      </c>
      <c r="AK74" s="88"/>
      <c r="AL74" s="716">
        <f t="shared" si="29"/>
        <v>392.75590892879228</v>
      </c>
      <c r="AM74" s="716" t="str">
        <f>_xlfn.XLOOKUP(D74,RUC!$B$3:$B$72,RUC!$M$3:$M$72)</f>
        <v>Richard Sapacayo</v>
      </c>
      <c r="AN74" s="1167" t="s">
        <v>2297</v>
      </c>
    </row>
    <row r="75" spans="1:40" ht="15" customHeight="1">
      <c r="A75" s="747" t="s">
        <v>2221</v>
      </c>
      <c r="B75" s="595">
        <v>45824</v>
      </c>
      <c r="C75" s="595">
        <v>45817</v>
      </c>
      <c r="D75" t="s">
        <v>1484</v>
      </c>
      <c r="E75">
        <f>_xlfn.XLOOKUP(D75,RUC!$B$3:$B$123,RUC!$D$3:$D$123)</f>
        <v>10761932735</v>
      </c>
      <c r="G75" s="80">
        <v>68</v>
      </c>
      <c r="H75" t="s">
        <v>69</v>
      </c>
      <c r="I75" s="596">
        <v>5.07</v>
      </c>
      <c r="J75" s="596">
        <v>3.2</v>
      </c>
      <c r="K75" s="138">
        <f t="shared" si="34"/>
        <v>4.9077600000000006</v>
      </c>
      <c r="L75" s="139">
        <v>0.38100000000000001</v>
      </c>
      <c r="M75" s="139">
        <v>0.35799999999999998</v>
      </c>
      <c r="N75" s="598">
        <v>0.38100000000000001</v>
      </c>
      <c r="O75" s="645">
        <f t="shared" si="31"/>
        <v>0.37</v>
      </c>
      <c r="P75" s="727">
        <v>90</v>
      </c>
      <c r="Q75" s="596">
        <v>96.33</v>
      </c>
      <c r="R75" s="706">
        <v>3319.3</v>
      </c>
      <c r="S75" s="765">
        <f t="shared" si="32"/>
        <v>120</v>
      </c>
      <c r="T75" s="1146"/>
      <c r="U75" s="1146">
        <f>_xlfn.XLOOKUP(D75,RUC!$B$3:$B$123,RUC!$F$3:$F$123)</f>
        <v>120</v>
      </c>
      <c r="V75" s="715">
        <v>1.1023000000000001</v>
      </c>
      <c r="Y75">
        <f>_xlfn.XLOOKUP(D75,RUC!$B$3:$B$123,RUC!$G$3:$G$123)</f>
        <v>20</v>
      </c>
      <c r="Z75" s="143">
        <f t="shared" si="33"/>
        <v>30</v>
      </c>
      <c r="AA75" s="144">
        <f t="shared" si="35"/>
        <v>50</v>
      </c>
      <c r="AB75" s="145">
        <f t="shared" si="36"/>
        <v>986.96293387000003</v>
      </c>
      <c r="AC75" s="145">
        <f>+(S75-T75)*V75-'data 1'!$F$4</f>
        <v>52.27600000000001</v>
      </c>
      <c r="AD75" s="145">
        <f t="shared" si="37"/>
        <v>85.051790178146987</v>
      </c>
      <c r="AE75" s="145">
        <f t="shared" si="38"/>
        <v>-14.884999999999998</v>
      </c>
      <c r="AF75" s="145">
        <f t="shared" si="39"/>
        <v>37.368788556957035</v>
      </c>
      <c r="AG75" s="772">
        <f t="shared" si="30"/>
        <v>176.81157873510404</v>
      </c>
      <c r="AH75" s="146">
        <f t="shared" si="40"/>
        <v>61.755966347740149</v>
      </c>
      <c r="AI75" s="156">
        <f t="shared" si="41"/>
        <v>60.967669687352938</v>
      </c>
      <c r="AJ75" s="156">
        <f t="shared" si="42"/>
        <v>56.032063866737246</v>
      </c>
      <c r="AK75" s="88"/>
      <c r="AL75" s="716">
        <f t="shared" si="29"/>
        <v>4843.7772083298323</v>
      </c>
      <c r="AM75" s="716" t="str">
        <f>_xlfn.XLOOKUP(D75,RUC!$B$3:$B$72,RUC!$M$3:$M$72)</f>
        <v>Richard Sapacayo</v>
      </c>
      <c r="AN75" s="1167" t="s">
        <v>2281</v>
      </c>
    </row>
    <row r="76" spans="1:40" ht="15" customHeight="1">
      <c r="A76" s="747" t="s">
        <v>2224</v>
      </c>
      <c r="B76" s="595">
        <v>45824</v>
      </c>
      <c r="C76" s="595">
        <v>45817</v>
      </c>
      <c r="D76" t="s">
        <v>1484</v>
      </c>
      <c r="E76">
        <f>_xlfn.XLOOKUP(D76,RUC!$B$3:$B$123,RUC!$D$3:$D$123)</f>
        <v>10761932735</v>
      </c>
      <c r="G76" s="80">
        <v>107</v>
      </c>
      <c r="H76" t="s">
        <v>69</v>
      </c>
      <c r="I76" s="596">
        <v>7.76</v>
      </c>
      <c r="J76" s="596">
        <v>4.9000000000000004</v>
      </c>
      <c r="K76" s="138">
        <f t="shared" si="34"/>
        <v>7.3797600000000001</v>
      </c>
      <c r="L76" s="139">
        <v>0.221</v>
      </c>
      <c r="M76" s="139">
        <v>0.20499999999999999</v>
      </c>
      <c r="N76" s="598">
        <v>0.246</v>
      </c>
      <c r="O76" s="645">
        <f t="shared" si="31"/>
        <v>0.22600000000000001</v>
      </c>
      <c r="P76" s="727">
        <v>90</v>
      </c>
      <c r="Q76" s="596">
        <v>90</v>
      </c>
      <c r="R76" s="706">
        <v>3319.3</v>
      </c>
      <c r="S76" s="765">
        <f t="shared" si="32"/>
        <v>110</v>
      </c>
      <c r="T76" s="1146"/>
      <c r="U76" s="1146">
        <f>_xlfn.XLOOKUP(D76,RUC!$B$3:$B$123,RUC!$F$3:$F$123)</f>
        <v>120</v>
      </c>
      <c r="V76" s="715">
        <v>1.1023000000000001</v>
      </c>
      <c r="Y76">
        <f>_xlfn.XLOOKUP(D76,RUC!$B$3:$B$123,RUC!$G$3:$G$123)</f>
        <v>20</v>
      </c>
      <c r="Z76" s="143">
        <f t="shared" si="33"/>
        <v>30</v>
      </c>
      <c r="AA76" s="144">
        <f t="shared" si="35"/>
        <v>50</v>
      </c>
      <c r="AB76" s="145">
        <f t="shared" si="36"/>
        <v>540.94007852599998</v>
      </c>
      <c r="AC76" s="145">
        <f>+(S76-T76)*V76-'data 1'!$F$4</f>
        <v>41.253</v>
      </c>
      <c r="AD76" s="145">
        <f t="shared" si="37"/>
        <v>0</v>
      </c>
      <c r="AE76" s="145">
        <f t="shared" si="38"/>
        <v>-14.884999999999998</v>
      </c>
      <c r="AF76" s="145">
        <f t="shared" si="39"/>
        <v>-15.869647755000015</v>
      </c>
      <c r="AG76" s="772">
        <f t="shared" si="30"/>
        <v>27.498352244999992</v>
      </c>
      <c r="AH76" s="146">
        <f t="shared" si="40"/>
        <v>50.325267334326156</v>
      </c>
      <c r="AI76" s="156">
        <f t="shared" si="41"/>
        <v>33.040593728999966</v>
      </c>
      <c r="AJ76" s="156">
        <f t="shared" si="42"/>
        <v>51.463848043247552</v>
      </c>
      <c r="AK76" s="88"/>
      <c r="AL76" s="716">
        <f t="shared" si="29"/>
        <v>3992.0079539030335</v>
      </c>
      <c r="AM76" s="716" t="str">
        <f>_xlfn.XLOOKUP(D76,RUC!$B$3:$B$72,RUC!$M$3:$M$72)</f>
        <v>Richard Sapacayo</v>
      </c>
      <c r="AN76" s="1167" t="s">
        <v>2281</v>
      </c>
    </row>
    <row r="77" spans="1:40" ht="15" customHeight="1">
      <c r="A77" s="747" t="s">
        <v>2225</v>
      </c>
      <c r="B77" s="595">
        <v>45821</v>
      </c>
      <c r="C77" s="595">
        <v>45818</v>
      </c>
      <c r="D77" t="s">
        <v>1967</v>
      </c>
      <c r="E77">
        <f>_xlfn.XLOOKUP(D77,RUC!$B$3:$B$123,RUC!$D$3:$D$123)</f>
        <v>20601769396</v>
      </c>
      <c r="G77" s="80">
        <v>49</v>
      </c>
      <c r="H77" t="s">
        <v>108</v>
      </c>
      <c r="I77" s="596">
        <v>3.39</v>
      </c>
      <c r="J77" s="596">
        <v>20.2</v>
      </c>
      <c r="K77" s="138">
        <f t="shared" si="34"/>
        <v>2.7052200000000002</v>
      </c>
      <c r="L77" s="139">
        <v>0.36199999999999999</v>
      </c>
      <c r="M77" s="139">
        <v>0.34</v>
      </c>
      <c r="N77" s="159">
        <v>0.34</v>
      </c>
      <c r="O77" s="645">
        <f t="shared" si="31"/>
        <v>0.34</v>
      </c>
      <c r="P77" s="727">
        <v>90</v>
      </c>
      <c r="Q77" s="596">
        <v>96.13</v>
      </c>
      <c r="R77" s="706">
        <v>3337.7</v>
      </c>
      <c r="S77" s="765">
        <f t="shared" si="32"/>
        <v>120</v>
      </c>
      <c r="T77" s="1146"/>
      <c r="U77" s="1146">
        <f>_xlfn.XLOOKUP(D77,RUC!$B$3:$B$123,RUC!$F$3:$F$123)</f>
        <v>120</v>
      </c>
      <c r="V77" s="715">
        <v>1.1023000000000001</v>
      </c>
      <c r="Y77">
        <f>_xlfn.XLOOKUP(D77,RUC!$B$3:$B$123,RUC!$G$3:$G$123)</f>
        <v>20</v>
      </c>
      <c r="Z77" s="143">
        <f t="shared" si="33"/>
        <v>30</v>
      </c>
      <c r="AA77" s="144">
        <f t="shared" si="35"/>
        <v>50</v>
      </c>
      <c r="AB77" s="145">
        <f t="shared" si="36"/>
        <v>897.95143725999992</v>
      </c>
      <c r="AC77" s="145">
        <f>+(S77-T77)*V77-'data 1'!$F$4</f>
        <v>52.27600000000001</v>
      </c>
      <c r="AD77" s="145">
        <f t="shared" si="37"/>
        <v>78.707189177325944</v>
      </c>
      <c r="AE77" s="145">
        <f t="shared" si="38"/>
        <v>-14.884999999999998</v>
      </c>
      <c r="AF77" s="145">
        <f t="shared" si="39"/>
        <v>75.01134989750588</v>
      </c>
      <c r="AG77" s="772">
        <f t="shared" si="30"/>
        <v>208.10953907483184</v>
      </c>
      <c r="AH77" s="146">
        <f t="shared" si="40"/>
        <v>32.275960230831977</v>
      </c>
      <c r="AI77" s="156">
        <f t="shared" si="41"/>
        <v>50.748962077674065</v>
      </c>
      <c r="AJ77" s="156">
        <f t="shared" si="42"/>
        <v>28.381352342950031</v>
      </c>
      <c r="AK77" s="88"/>
      <c r="AL77" s="716">
        <f t="shared" si="29"/>
        <v>2429.1561871044973</v>
      </c>
      <c r="AM77" s="716" t="str">
        <f>_xlfn.XLOOKUP(D77,RUC!$B$3:$B$72,RUC!$M$3:$M$72)</f>
        <v>Evelyn</v>
      </c>
      <c r="AN77" s="1167" t="s">
        <v>2279</v>
      </c>
    </row>
    <row r="78" spans="1:40" ht="15" customHeight="1">
      <c r="A78" s="747" t="s">
        <v>2226</v>
      </c>
      <c r="B78" s="595">
        <v>45821</v>
      </c>
      <c r="C78" s="595">
        <v>45818</v>
      </c>
      <c r="D78" t="s">
        <v>1967</v>
      </c>
      <c r="E78">
        <f>_xlfn.XLOOKUP(D78,RUC!$B$3:$B$123,RUC!$D$3:$D$123)</f>
        <v>20601769396</v>
      </c>
      <c r="G78" s="80">
        <v>50</v>
      </c>
      <c r="H78" t="s">
        <v>108</v>
      </c>
      <c r="I78" s="596">
        <v>3.24</v>
      </c>
      <c r="J78" s="596">
        <v>22.9</v>
      </c>
      <c r="K78" s="138">
        <f t="shared" si="34"/>
        <v>2.4980400000000005</v>
      </c>
      <c r="L78" s="139">
        <v>0.35299999999999998</v>
      </c>
      <c r="M78" s="139">
        <v>0.33200000000000002</v>
      </c>
      <c r="N78" s="159">
        <v>0.33200000000000002</v>
      </c>
      <c r="O78" s="645">
        <f t="shared" si="31"/>
        <v>0.33200000000000002</v>
      </c>
      <c r="P78" s="727">
        <v>90</v>
      </c>
      <c r="Q78" s="596">
        <v>93.77</v>
      </c>
      <c r="R78" s="706">
        <v>3337.7</v>
      </c>
      <c r="S78" s="765">
        <f t="shared" si="32"/>
        <v>120</v>
      </c>
      <c r="T78" s="1146"/>
      <c r="U78" s="1146">
        <f>_xlfn.XLOOKUP(D78,RUC!$B$3:$B$123,RUC!$F$3:$F$123)</f>
        <v>120</v>
      </c>
      <c r="V78" s="715">
        <v>1.1023000000000001</v>
      </c>
      <c r="Y78">
        <f>_xlfn.XLOOKUP(D78,RUC!$B$3:$B$123,RUC!$G$3:$G$123)</f>
        <v>20</v>
      </c>
      <c r="Z78" s="143">
        <f t="shared" si="33"/>
        <v>30</v>
      </c>
      <c r="AA78" s="144">
        <f t="shared" si="35"/>
        <v>50</v>
      </c>
      <c r="AB78" s="145">
        <f t="shared" si="36"/>
        <v>872.41396814800009</v>
      </c>
      <c r="AC78" s="145">
        <f>+(S78-T78)*V78-'data 1'!$F$4</f>
        <v>52.27600000000001</v>
      </c>
      <c r="AD78" s="145">
        <f t="shared" si="37"/>
        <v>47.202110095750953</v>
      </c>
      <c r="AE78" s="145">
        <f t="shared" si="38"/>
        <v>-14.884999999999998</v>
      </c>
      <c r="AF78" s="145">
        <f t="shared" si="39"/>
        <v>69.843913960106875</v>
      </c>
      <c r="AG78" s="772">
        <f t="shared" si="30"/>
        <v>171.43702405585785</v>
      </c>
      <c r="AH78" s="146">
        <f t="shared" si="40"/>
        <v>28.349609357816881</v>
      </c>
      <c r="AI78" s="156">
        <f t="shared" si="41"/>
        <v>48.272331247749065</v>
      </c>
      <c r="AJ78" s="156">
        <f t="shared" si="42"/>
        <v>25.591105704409301</v>
      </c>
      <c r="AK78" s="88"/>
      <c r="AL78" s="716">
        <f t="shared" si="29"/>
        <v>2179.3249889924305</v>
      </c>
      <c r="AM78" s="716" t="str">
        <f>_xlfn.XLOOKUP(D78,RUC!$B$3:$B$72,RUC!$M$3:$M$72)</f>
        <v>Evelyn</v>
      </c>
      <c r="AN78" s="1167" t="s">
        <v>2281</v>
      </c>
    </row>
    <row r="79" spans="1:40" ht="15" customHeight="1">
      <c r="A79" s="747" t="s">
        <v>2227</v>
      </c>
      <c r="B79" s="595">
        <v>45821</v>
      </c>
      <c r="C79" s="595">
        <v>45818</v>
      </c>
      <c r="D79" t="s">
        <v>1967</v>
      </c>
      <c r="E79">
        <f>_xlfn.XLOOKUP(D79,RUC!$B$3:$B$123,RUC!$D$3:$D$123)</f>
        <v>20601769396</v>
      </c>
      <c r="G79" s="80">
        <v>50</v>
      </c>
      <c r="H79" t="s">
        <v>108</v>
      </c>
      <c r="I79" s="596">
        <v>3.5</v>
      </c>
      <c r="J79" s="596">
        <v>19.399999999999999</v>
      </c>
      <c r="K79" s="138">
        <f t="shared" si="34"/>
        <v>2.8210000000000002</v>
      </c>
      <c r="L79" s="139">
        <v>0.22900000000000001</v>
      </c>
      <c r="M79" s="139">
        <v>0.21299999999999999</v>
      </c>
      <c r="N79" s="159">
        <v>0.21299999999999999</v>
      </c>
      <c r="O79" s="645">
        <f t="shared" si="31"/>
        <v>0.21299999999999999</v>
      </c>
      <c r="P79" s="727">
        <v>90</v>
      </c>
      <c r="Q79" s="596">
        <v>93.87</v>
      </c>
      <c r="R79" s="706">
        <v>3337.7</v>
      </c>
      <c r="S79" s="765">
        <f t="shared" si="32"/>
        <v>110</v>
      </c>
      <c r="T79" s="1146"/>
      <c r="U79" s="1146">
        <f>_xlfn.XLOOKUP(D79,RUC!$B$3:$B$123,RUC!$F$3:$F$123)</f>
        <v>120</v>
      </c>
      <c r="V79" s="715">
        <v>1.1023000000000001</v>
      </c>
      <c r="Y79">
        <f>_xlfn.XLOOKUP(D79,RUC!$B$3:$B$123,RUC!$G$3:$G$123)</f>
        <v>20</v>
      </c>
      <c r="Z79" s="143">
        <f t="shared" si="33"/>
        <v>30</v>
      </c>
      <c r="AA79" s="144">
        <f t="shared" si="35"/>
        <v>50</v>
      </c>
      <c r="AB79" s="145">
        <f t="shared" si="36"/>
        <v>503.56711510700001</v>
      </c>
      <c r="AC79" s="145">
        <f>+(S79-T79)*V79-'data 1'!$F$4</f>
        <v>41.253</v>
      </c>
      <c r="AD79" s="145">
        <f t="shared" si="37"/>
        <v>31.433432293233039</v>
      </c>
      <c r="AE79" s="145">
        <f t="shared" si="38"/>
        <v>-14.884999999999998</v>
      </c>
      <c r="AF79" s="145">
        <f t="shared" si="39"/>
        <v>53.271160567632052</v>
      </c>
      <c r="AG79" s="772">
        <f t="shared" si="30"/>
        <v>128.07259286086509</v>
      </c>
      <c r="AH79" s="146">
        <f t="shared" si="40"/>
        <v>20.790955823841479</v>
      </c>
      <c r="AI79" s="156">
        <f t="shared" si="41"/>
        <v>31.34887439726705</v>
      </c>
      <c r="AJ79" s="156">
        <f t="shared" si="42"/>
        <v>18.541047576390884</v>
      </c>
      <c r="AK79" s="88"/>
      <c r="AL79" s="716">
        <f t="shared" si="29"/>
        <v>1420.5628317168471</v>
      </c>
      <c r="AM79" s="716" t="str">
        <f>_xlfn.XLOOKUP(D79,RUC!$B$3:$B$72,RUC!$M$3:$M$72)</f>
        <v>Evelyn</v>
      </c>
      <c r="AN79" s="1167" t="s">
        <v>2281</v>
      </c>
    </row>
    <row r="80" spans="1:40" ht="15" customHeight="1">
      <c r="A80" s="747" t="s">
        <v>2228</v>
      </c>
      <c r="B80" s="595">
        <v>45821</v>
      </c>
      <c r="C80" s="595">
        <v>45818</v>
      </c>
      <c r="D80" t="s">
        <v>1967</v>
      </c>
      <c r="E80">
        <f>_xlfn.XLOOKUP(D80,RUC!$B$3:$B$123,RUC!$D$3:$D$123)</f>
        <v>20601769396</v>
      </c>
      <c r="G80" s="80">
        <v>50</v>
      </c>
      <c r="H80" t="s">
        <v>108</v>
      </c>
      <c r="I80" s="596">
        <v>3.32</v>
      </c>
      <c r="J80" s="596">
        <v>28.8</v>
      </c>
      <c r="K80" s="138">
        <f t="shared" si="34"/>
        <v>2.3638399999999997</v>
      </c>
      <c r="L80" s="139">
        <v>0.27</v>
      </c>
      <c r="M80" s="139">
        <v>0.254</v>
      </c>
      <c r="N80" s="159">
        <v>0.254</v>
      </c>
      <c r="O80" s="645">
        <f t="shared" si="31"/>
        <v>0.254</v>
      </c>
      <c r="P80" s="727">
        <v>90</v>
      </c>
      <c r="Q80" s="596">
        <v>94.81</v>
      </c>
      <c r="R80" s="706">
        <v>3337.7</v>
      </c>
      <c r="S80" s="765">
        <f t="shared" si="32"/>
        <v>110</v>
      </c>
      <c r="T80" s="1146"/>
      <c r="U80" s="1146">
        <f>_xlfn.XLOOKUP(D80,RUC!$B$3:$B$123,RUC!$F$3:$F$123)</f>
        <v>120</v>
      </c>
      <c r="V80" s="715">
        <v>1.1023000000000001</v>
      </c>
      <c r="Y80">
        <f>_xlfn.XLOOKUP(D80,RUC!$B$3:$B$123,RUC!$G$3:$G$123)</f>
        <v>20</v>
      </c>
      <c r="Z80" s="143">
        <f t="shared" si="33"/>
        <v>30</v>
      </c>
      <c r="AA80" s="144">
        <f t="shared" si="35"/>
        <v>50</v>
      </c>
      <c r="AB80" s="145">
        <f t="shared" si="36"/>
        <v>634.44664430599994</v>
      </c>
      <c r="AC80" s="145">
        <f>+(S80-T80)*V80-'data 1'!$F$4</f>
        <v>41.253</v>
      </c>
      <c r="AD80" s="145">
        <f t="shared" si="37"/>
        <v>46.063209910770027</v>
      </c>
      <c r="AE80" s="145">
        <f t="shared" si="38"/>
        <v>-14.884999999999998</v>
      </c>
      <c r="AF80" s="145">
        <f t="shared" si="39"/>
        <v>53.804609922416049</v>
      </c>
      <c r="AG80" s="772">
        <f t="shared" si="30"/>
        <v>143.2358198331861</v>
      </c>
      <c r="AH80" s="146">
        <f t="shared" si="40"/>
        <v>20.746510364924724</v>
      </c>
      <c r="AI80" s="156">
        <f t="shared" si="41"/>
        <v>37.331682394230057</v>
      </c>
      <c r="AJ80" s="156">
        <f t="shared" si="42"/>
        <v>18.526926247902402</v>
      </c>
      <c r="AK80" s="88"/>
      <c r="AL80" s="716">
        <f t="shared" si="29"/>
        <v>1499.7303556762947</v>
      </c>
      <c r="AM80" s="716" t="str">
        <f>_xlfn.XLOOKUP(D80,RUC!$B$3:$B$72,RUC!$M$3:$M$72)</f>
        <v>Evelyn</v>
      </c>
      <c r="AN80" s="1167" t="s">
        <v>2281</v>
      </c>
    </row>
    <row r="81" spans="1:40" ht="15" customHeight="1">
      <c r="A81" s="747" t="s">
        <v>2229</v>
      </c>
      <c r="B81" s="595">
        <v>45821</v>
      </c>
      <c r="C81" s="595">
        <v>45818</v>
      </c>
      <c r="D81" t="s">
        <v>1967</v>
      </c>
      <c r="E81">
        <f>_xlfn.XLOOKUP(D81,RUC!$B$3:$B$123,RUC!$D$3:$D$123)</f>
        <v>20601769396</v>
      </c>
      <c r="G81" s="80">
        <v>50</v>
      </c>
      <c r="H81" t="s">
        <v>108</v>
      </c>
      <c r="I81" s="596">
        <v>3.29</v>
      </c>
      <c r="J81" s="596">
        <v>21.8</v>
      </c>
      <c r="K81" s="138">
        <f t="shared" si="34"/>
        <v>2.5727799999999998</v>
      </c>
      <c r="L81" s="139">
        <v>0.28899999999999998</v>
      </c>
      <c r="M81" s="139">
        <v>0.27100000000000002</v>
      </c>
      <c r="N81" s="159">
        <v>0.27100000000000002</v>
      </c>
      <c r="O81" s="645">
        <f t="shared" si="31"/>
        <v>0.27100000000000002</v>
      </c>
      <c r="P81" s="727">
        <v>90</v>
      </c>
      <c r="Q81" s="596">
        <v>94.8</v>
      </c>
      <c r="R81" s="706">
        <v>3337.7</v>
      </c>
      <c r="S81" s="765">
        <f t="shared" si="32"/>
        <v>110</v>
      </c>
      <c r="T81" s="1146"/>
      <c r="U81" s="1146">
        <f>_xlfn.XLOOKUP(D81,RUC!$B$3:$B$123,RUC!$F$3:$F$123)</f>
        <v>120</v>
      </c>
      <c r="V81" s="715">
        <v>1.1023000000000001</v>
      </c>
      <c r="Y81">
        <f>_xlfn.XLOOKUP(D81,RUC!$B$3:$B$123,RUC!$G$3:$G$123)</f>
        <v>20</v>
      </c>
      <c r="Z81" s="143">
        <f t="shared" si="33"/>
        <v>30</v>
      </c>
      <c r="AA81" s="144">
        <f t="shared" si="35"/>
        <v>50</v>
      </c>
      <c r="AB81" s="145">
        <f t="shared" si="36"/>
        <v>688.713766169</v>
      </c>
      <c r="AC81" s="145">
        <f>+(S81-T81)*V81-'data 1'!$F$4</f>
        <v>41.253</v>
      </c>
      <c r="AD81" s="145">
        <f t="shared" si="37"/>
        <v>49.202190489119964</v>
      </c>
      <c r="AE81" s="145">
        <f t="shared" si="38"/>
        <v>-14.884999999999998</v>
      </c>
      <c r="AF81" s="145">
        <f t="shared" si="39"/>
        <v>60.523801795439866</v>
      </c>
      <c r="AG81" s="772">
        <f t="shared" si="30"/>
        <v>153.09399228455982</v>
      </c>
      <c r="AH81" s="146">
        <f t="shared" si="40"/>
        <v>24.166730577535755</v>
      </c>
      <c r="AI81" s="156">
        <f t="shared" si="41"/>
        <v>39.954512099880048</v>
      </c>
      <c r="AJ81" s="156">
        <f t="shared" si="42"/>
        <v>21.51411672674935</v>
      </c>
      <c r="AK81" s="88"/>
      <c r="AL81" s="716">
        <f t="shared" si="29"/>
        <v>1771.9090033242796</v>
      </c>
      <c r="AM81" s="716" t="str">
        <f>_xlfn.XLOOKUP(D81,RUC!$B$3:$B$72,RUC!$M$3:$M$72)</f>
        <v>Evelyn</v>
      </c>
      <c r="AN81" s="1167" t="s">
        <v>2281</v>
      </c>
    </row>
    <row r="82" spans="1:40" ht="15" customHeight="1">
      <c r="A82" s="747" t="s">
        <v>2230</v>
      </c>
      <c r="B82" s="595">
        <v>45821</v>
      </c>
      <c r="C82" s="595">
        <v>45818</v>
      </c>
      <c r="D82" t="s">
        <v>1967</v>
      </c>
      <c r="E82">
        <f>_xlfn.XLOOKUP(D82,RUC!$B$3:$B$123,RUC!$D$3:$D$123)</f>
        <v>20601769396</v>
      </c>
      <c r="G82" s="80">
        <v>50</v>
      </c>
      <c r="H82" t="s">
        <v>108</v>
      </c>
      <c r="I82" s="596">
        <v>3.14</v>
      </c>
      <c r="J82" s="596">
        <v>18.95</v>
      </c>
      <c r="K82" s="138">
        <f t="shared" si="34"/>
        <v>2.5449700000000002</v>
      </c>
      <c r="L82" s="139">
        <v>0.34</v>
      </c>
      <c r="M82" s="139">
        <v>0.31900000000000001</v>
      </c>
      <c r="N82" s="159">
        <v>0.31900000000000001</v>
      </c>
      <c r="O82" s="645">
        <f t="shared" si="31"/>
        <v>0.31900000000000001</v>
      </c>
      <c r="P82" s="727">
        <v>90</v>
      </c>
      <c r="Q82" s="596">
        <v>96.76</v>
      </c>
      <c r="R82" s="706">
        <v>3337.7</v>
      </c>
      <c r="S82" s="765">
        <f t="shared" si="32"/>
        <v>120</v>
      </c>
      <c r="T82" s="1146"/>
      <c r="U82" s="1146">
        <f>_xlfn.XLOOKUP(D82,RUC!$B$3:$B$123,RUC!$F$3:$F$123)</f>
        <v>120</v>
      </c>
      <c r="V82" s="715">
        <v>1.1023000000000001</v>
      </c>
      <c r="Y82">
        <f>_xlfn.XLOOKUP(D82,RUC!$B$3:$B$123,RUC!$G$3:$G$123)</f>
        <v>20</v>
      </c>
      <c r="Z82" s="143">
        <f t="shared" si="33"/>
        <v>30</v>
      </c>
      <c r="AA82" s="144">
        <f t="shared" si="35"/>
        <v>50</v>
      </c>
      <c r="AB82" s="145">
        <f t="shared" si="36"/>
        <v>830.91558084100006</v>
      </c>
      <c r="AC82" s="145">
        <f>+(S82-T82)*V82-'data 1'!$F$4</f>
        <v>52.27600000000001</v>
      </c>
      <c r="AD82" s="145">
        <f t="shared" si="37"/>
        <v>81.521276398640069</v>
      </c>
      <c r="AE82" s="145">
        <f t="shared" si="38"/>
        <v>-14.884999999999998</v>
      </c>
      <c r="AF82" s="145">
        <f t="shared" si="39"/>
        <v>72.070994078916058</v>
      </c>
      <c r="AG82" s="772">
        <f t="shared" si="30"/>
        <v>207.98327047755612</v>
      </c>
      <c r="AH82" s="146">
        <f t="shared" si="40"/>
        <v>28.705592359880793</v>
      </c>
      <c r="AI82" s="156">
        <f t="shared" si="41"/>
        <v>47.977148061360069</v>
      </c>
      <c r="AJ82" s="156">
        <f t="shared" si="42"/>
        <v>25.050992043752199</v>
      </c>
      <c r="AK82" s="88"/>
      <c r="AL82" s="716">
        <f t="shared" si="29"/>
        <v>2114.6552257729199</v>
      </c>
      <c r="AM82" s="716" t="str">
        <f>_xlfn.XLOOKUP(D82,RUC!$B$3:$B$72,RUC!$M$3:$M$72)</f>
        <v>Evelyn</v>
      </c>
      <c r="AN82" s="1167" t="s">
        <v>2281</v>
      </c>
    </row>
    <row r="83" spans="1:40" ht="15" customHeight="1">
      <c r="A83" s="747" t="s">
        <v>2241</v>
      </c>
      <c r="B83" s="595">
        <v>45825</v>
      </c>
      <c r="C83" s="595">
        <v>45820</v>
      </c>
      <c r="D83" t="s">
        <v>1484</v>
      </c>
      <c r="E83">
        <f>_xlfn.XLOOKUP(D83,RUC!$B$3:$B$123,RUC!$D$3:$D$123)</f>
        <v>10761932735</v>
      </c>
      <c r="G83" s="80" t="s">
        <v>1434</v>
      </c>
      <c r="H83" t="s">
        <v>69</v>
      </c>
      <c r="I83" s="596">
        <v>18.95</v>
      </c>
      <c r="J83" s="596">
        <v>16.28</v>
      </c>
      <c r="K83" s="138">
        <f t="shared" si="34"/>
        <v>15.864939999999999</v>
      </c>
      <c r="L83" s="139">
        <v>0.224</v>
      </c>
      <c r="M83" s="139">
        <v>0.20599999999999999</v>
      </c>
      <c r="N83" s="159">
        <v>0.20599999999999999</v>
      </c>
      <c r="O83" s="645">
        <f t="shared" si="31"/>
        <v>0.20599999999999999</v>
      </c>
      <c r="P83" s="727">
        <v>90</v>
      </c>
      <c r="Q83" s="596">
        <v>95.72</v>
      </c>
      <c r="R83" s="706">
        <v>3391.4</v>
      </c>
      <c r="S83" s="765">
        <f t="shared" ref="S83:S88" si="43">IF((90+ROUNDDOWN(O83,1)*100)&lt;95,95,(90+ROUNDDOWN(O83,1)*100))</f>
        <v>110</v>
      </c>
      <c r="T83" s="1146"/>
      <c r="U83" s="1146">
        <f>_xlfn.XLOOKUP(D83,RUC!$B$3:$B$123,RUC!$F$3:$F$123)</f>
        <v>120</v>
      </c>
      <c r="V83" s="715">
        <v>1.1023000000000001</v>
      </c>
      <c r="Y83">
        <f>_xlfn.XLOOKUP(D83,RUC!$B$3:$B$123,RUC!$G$3:$G$123)</f>
        <v>20</v>
      </c>
      <c r="Z83" s="143">
        <f>_xlfn.XLOOKUP(D83,RUC!$B$3:$B$123,RUC!$H$3:$H$123)</f>
        <v>30</v>
      </c>
      <c r="AA83" s="144">
        <f t="shared" si="35"/>
        <v>50</v>
      </c>
      <c r="AB83" s="145">
        <f t="shared" si="36"/>
        <v>492.19630638800004</v>
      </c>
      <c r="AC83" s="145">
        <f>+(S83-T83)*V83-'data 1'!$F$4</f>
        <v>41.253</v>
      </c>
      <c r="AD83" s="145">
        <f t="shared" si="37"/>
        <v>46.203779638015988</v>
      </c>
      <c r="AE83" s="145">
        <f t="shared" si="38"/>
        <v>-14.884999999999998</v>
      </c>
      <c r="AF83" s="145">
        <f t="shared" si="39"/>
        <v>62.131044084912062</v>
      </c>
      <c r="AG83" s="772">
        <f t="shared" si="30"/>
        <v>151.70282372292803</v>
      </c>
      <c r="AH83" s="146">
        <f t="shared" si="40"/>
        <v>116.62676022375985</v>
      </c>
      <c r="AI83" s="156">
        <f t="shared" si="41"/>
        <v>18.57689223398398</v>
      </c>
      <c r="AJ83" s="156">
        <f t="shared" si="42"/>
        <v>100.84566474335986</v>
      </c>
      <c r="AK83" s="88"/>
      <c r="AL83" s="716">
        <f t="shared" si="29"/>
        <v>7808.6648690672364</v>
      </c>
      <c r="AM83" s="716" t="str">
        <f>_xlfn.XLOOKUP(D83,RUC!$B$3:$B$72,RUC!$M$3:$M$72)</f>
        <v>Richard Sapacayo</v>
      </c>
      <c r="AN83" s="1167" t="s">
        <v>2281</v>
      </c>
    </row>
    <row r="84" spans="1:40" ht="15" customHeight="1">
      <c r="A84" s="747" t="s">
        <v>2243</v>
      </c>
      <c r="B84" s="595">
        <v>45825</v>
      </c>
      <c r="C84" s="595">
        <v>45820</v>
      </c>
      <c r="D84" t="s">
        <v>1484</v>
      </c>
      <c r="E84">
        <f>_xlfn.XLOOKUP(D84,RUC!$B$3:$B$123,RUC!$D$3:$D$123)</f>
        <v>10761932735</v>
      </c>
      <c r="G84" s="80" t="s">
        <v>1434</v>
      </c>
      <c r="H84" t="s">
        <v>69</v>
      </c>
      <c r="I84" s="596">
        <v>22.44</v>
      </c>
      <c r="J84" s="596">
        <v>17.8</v>
      </c>
      <c r="K84" s="138">
        <f t="shared" si="34"/>
        <v>18.445679999999999</v>
      </c>
      <c r="L84" s="139">
        <v>0.23100000000000001</v>
      </c>
      <c r="M84" s="139">
        <v>0.21199999999999999</v>
      </c>
      <c r="N84" s="598">
        <v>0.252</v>
      </c>
      <c r="O84" s="645">
        <f t="shared" si="31"/>
        <v>0.23200000000000001</v>
      </c>
      <c r="P84" s="727">
        <v>90</v>
      </c>
      <c r="Q84" s="596">
        <v>93.56</v>
      </c>
      <c r="R84" s="706">
        <v>3391.4</v>
      </c>
      <c r="S84" s="765">
        <f t="shared" si="43"/>
        <v>110</v>
      </c>
      <c r="T84" s="1146"/>
      <c r="U84" s="1146">
        <f>_xlfn.XLOOKUP(D84,RUC!$B$3:$B$123,RUC!$F$3:$F$123)</f>
        <v>120</v>
      </c>
      <c r="V84" s="715">
        <v>1.1023000000000001</v>
      </c>
      <c r="Y84">
        <f>_xlfn.XLOOKUP(D84,RUC!$B$3:$B$123,RUC!$G$3:$G$123)</f>
        <v>20</v>
      </c>
      <c r="Z84" s="143">
        <f>_xlfn.XLOOKUP(D84,RUC!$B$3:$B$123,RUC!$H$3:$H$123)</f>
        <v>30</v>
      </c>
      <c r="AA84" s="144">
        <f t="shared" si="35"/>
        <v>50</v>
      </c>
      <c r="AB84" s="145">
        <f t="shared" si="36"/>
        <v>576.57820913600017</v>
      </c>
      <c r="AC84" s="145">
        <f>+(S84-T84)*V84-'data 1'!$F$4</f>
        <v>41.253</v>
      </c>
      <c r="AD84" s="145">
        <f t="shared" si="37"/>
        <v>29.654829719592023</v>
      </c>
      <c r="AE84" s="145">
        <f t="shared" si="38"/>
        <v>-14.884999999999998</v>
      </c>
      <c r="AF84" s="145">
        <f t="shared" si="39"/>
        <v>-3.3738336842320029</v>
      </c>
      <c r="AG84" s="772">
        <f t="shared" si="30"/>
        <v>69.648996035360028</v>
      </c>
      <c r="AH84" s="146">
        <f t="shared" si="40"/>
        <v>136.68030285342823</v>
      </c>
      <c r="AI84" s="156">
        <f t="shared" si="41"/>
        <v>18.725117280407982</v>
      </c>
      <c r="AJ84" s="156">
        <f t="shared" si="42"/>
        <v>132.0487315397107</v>
      </c>
      <c r="AK84" s="88"/>
      <c r="AL84" s="716">
        <f t="shared" si="29"/>
        <v>10635.377140695735</v>
      </c>
      <c r="AM84" s="716" t="str">
        <f>_xlfn.XLOOKUP(D84,RUC!$B$3:$B$72,RUC!$M$3:$M$72)</f>
        <v>Richard Sapacayo</v>
      </c>
      <c r="AN84" s="1167" t="s">
        <v>2281</v>
      </c>
    </row>
    <row r="85" spans="1:40" ht="15" customHeight="1">
      <c r="A85" s="747" t="s">
        <v>2249</v>
      </c>
      <c r="B85" s="595">
        <v>45829</v>
      </c>
      <c r="C85" s="595">
        <v>45826</v>
      </c>
      <c r="D85" t="s">
        <v>1402</v>
      </c>
      <c r="E85">
        <f>_xlfn.XLOOKUP(D85,RUC!$B$3:$B$123,RUC!$D$3:$D$123)</f>
        <v>20606526599</v>
      </c>
      <c r="G85" s="80">
        <v>100</v>
      </c>
      <c r="H85" t="s">
        <v>69</v>
      </c>
      <c r="I85" s="703">
        <v>7.97</v>
      </c>
      <c r="J85" s="703">
        <v>1.45</v>
      </c>
      <c r="K85" s="138">
        <f t="shared" si="34"/>
        <v>7.8544349999999996</v>
      </c>
      <c r="L85" s="139">
        <v>0.57299999999999995</v>
      </c>
      <c r="M85" s="139">
        <v>0.53900000000000003</v>
      </c>
      <c r="N85" s="159">
        <v>0.53900000000000003</v>
      </c>
      <c r="O85" s="645">
        <f t="shared" si="31"/>
        <v>0.53900000000000003</v>
      </c>
      <c r="P85" s="727">
        <v>90</v>
      </c>
      <c r="Q85" s="596">
        <v>96.51</v>
      </c>
      <c r="R85" s="706">
        <v>3391.5</v>
      </c>
      <c r="S85" s="765">
        <f t="shared" si="43"/>
        <v>140</v>
      </c>
      <c r="T85" s="1146"/>
      <c r="U85" s="1146">
        <f>_xlfn.XLOOKUP(D85,RUC!$B$3:$B$123,RUC!$F$3:$F$123)</f>
        <v>120</v>
      </c>
      <c r="V85" s="715">
        <v>1.1023000000000001</v>
      </c>
      <c r="Y85">
        <f>_xlfn.XLOOKUP(D85,RUC!$B$3:$B$123,RUC!$G$3:$G$123)</f>
        <v>20</v>
      </c>
      <c r="Z85" s="143">
        <f>_xlfn.XLOOKUP(D85,RUC!$B$3:$B$123,RUC!$H$3:$H$123)</f>
        <v>30</v>
      </c>
      <c r="AA85" s="144">
        <f t="shared" si="35"/>
        <v>50</v>
      </c>
      <c r="AB85" s="145">
        <f t="shared" si="36"/>
        <v>1539.9182256950005</v>
      </c>
      <c r="AC85" s="145">
        <f>+(S85-T85)*V85-'data 1'!$F$4</f>
        <v>74.322000000000003</v>
      </c>
      <c r="AD85" s="145">
        <f t="shared" si="37"/>
        <v>134.51860118623509</v>
      </c>
      <c r="AE85" s="145">
        <f t="shared" si="38"/>
        <v>-14.884999999999998</v>
      </c>
      <c r="AF85" s="145">
        <f t="shared" si="39"/>
        <v>118.33084469762974</v>
      </c>
      <c r="AG85" s="772">
        <f t="shared" si="30"/>
        <v>329.28644588386487</v>
      </c>
      <c r="AH85" s="146">
        <f t="shared" si="40"/>
        <v>148.9192899667508</v>
      </c>
      <c r="AI85" s="156">
        <f t="shared" si="41"/>
        <v>47.851593170264998</v>
      </c>
      <c r="AJ85" s="156">
        <f t="shared" si="42"/>
        <v>130.63371990111222</v>
      </c>
      <c r="AK85" s="88"/>
      <c r="AL85" s="716">
        <f t="shared" si="29"/>
        <v>12095.187609036711</v>
      </c>
      <c r="AM85" s="716" t="str">
        <f>_xlfn.XLOOKUP(D85,RUC!$B$3:$B$72,RUC!$M$3:$M$72)</f>
        <v>Yuri Rospigliossi</v>
      </c>
      <c r="AN85" s="1167" t="s">
        <v>2281</v>
      </c>
    </row>
    <row r="86" spans="1:40" ht="15" customHeight="1">
      <c r="A86" s="747" t="s">
        <v>2250</v>
      </c>
      <c r="B86" s="595">
        <v>45829</v>
      </c>
      <c r="C86" s="595">
        <v>45826</v>
      </c>
      <c r="D86" t="s">
        <v>1402</v>
      </c>
      <c r="E86">
        <f>_xlfn.XLOOKUP(D86,RUC!$B$3:$B$123,RUC!$D$3:$D$123)</f>
        <v>20606526599</v>
      </c>
      <c r="G86" s="80">
        <v>100</v>
      </c>
      <c r="H86" t="s">
        <v>69</v>
      </c>
      <c r="I86" s="703">
        <v>8.07</v>
      </c>
      <c r="J86" s="703">
        <v>1.25</v>
      </c>
      <c r="K86" s="138">
        <f t="shared" si="34"/>
        <v>7.969125</v>
      </c>
      <c r="L86" s="139">
        <v>0.20499999999999999</v>
      </c>
      <c r="M86" s="139">
        <v>0.188</v>
      </c>
      <c r="N86" s="159">
        <v>0.188</v>
      </c>
      <c r="O86" s="645">
        <f t="shared" si="31"/>
        <v>0.188</v>
      </c>
      <c r="P86" s="727">
        <v>90</v>
      </c>
      <c r="Q86" s="596">
        <v>92.18</v>
      </c>
      <c r="R86" s="706">
        <v>3391.5</v>
      </c>
      <c r="S86" s="765">
        <f t="shared" si="43"/>
        <v>100</v>
      </c>
      <c r="T86" s="1146"/>
      <c r="U86" s="1146">
        <f>_xlfn.XLOOKUP(D86,RUC!$B$3:$B$123,RUC!$F$3:$F$123)</f>
        <v>120</v>
      </c>
      <c r="V86" s="715">
        <v>1.1023000000000001</v>
      </c>
      <c r="Y86">
        <f>_xlfn.XLOOKUP(D86,RUC!$B$3:$B$123,RUC!$G$3:$G$123)</f>
        <v>20</v>
      </c>
      <c r="Z86" s="143">
        <f>_xlfn.XLOOKUP(D86,RUC!$B$3:$B$123,RUC!$H$3:$H$123)</f>
        <v>30</v>
      </c>
      <c r="AA86" s="144">
        <f t="shared" si="35"/>
        <v>50</v>
      </c>
      <c r="AB86" s="145">
        <f t="shared" si="36"/>
        <v>444.81971694000009</v>
      </c>
      <c r="AC86" s="145">
        <f>+(S86-T86)*V86-'data 1'!$F$4</f>
        <v>30.230000000000004</v>
      </c>
      <c r="AD86" s="145">
        <f t="shared" si="37"/>
        <v>16.115993617050052</v>
      </c>
      <c r="AE86" s="145">
        <f t="shared" si="38"/>
        <v>-14.884999999999998</v>
      </c>
      <c r="AF86" s="145">
        <f t="shared" si="39"/>
        <v>56.510917336169967</v>
      </c>
      <c r="AG86" s="772">
        <f t="shared" si="30"/>
        <v>104.97191095322003</v>
      </c>
      <c r="AH86" s="146">
        <f t="shared" si="40"/>
        <v>51.630968674473372</v>
      </c>
      <c r="AI86" s="156">
        <f t="shared" si="41"/>
        <v>16.351591502950001</v>
      </c>
      <c r="AJ86" s="156">
        <f t="shared" si="42"/>
        <v>46.229592683037396</v>
      </c>
      <c r="AK86" s="88"/>
      <c r="AL86" s="716">
        <f t="shared" si="29"/>
        <v>3544.8239267594781</v>
      </c>
      <c r="AM86" s="716" t="str">
        <f>_xlfn.XLOOKUP(D86,RUC!$B$3:$B$72,RUC!$M$3:$M$72)</f>
        <v>Yuri Rospigliossi</v>
      </c>
      <c r="AN86" s="1167" t="s">
        <v>2297</v>
      </c>
    </row>
    <row r="87" spans="1:40" ht="15" customHeight="1">
      <c r="A87" s="747" t="s">
        <v>2251</v>
      </c>
      <c r="B87" s="595">
        <v>45829</v>
      </c>
      <c r="C87" s="595">
        <v>45826</v>
      </c>
      <c r="D87" t="s">
        <v>1402</v>
      </c>
      <c r="E87">
        <f>_xlfn.XLOOKUP(D87,RUC!$B$3:$B$123,RUC!$D$3:$D$123)</f>
        <v>20606526599</v>
      </c>
      <c r="G87" s="80">
        <v>100</v>
      </c>
      <c r="H87" t="s">
        <v>69</v>
      </c>
      <c r="I87" s="703">
        <v>8.0500000000000007</v>
      </c>
      <c r="J87" s="703">
        <v>1.1499999999999999</v>
      </c>
      <c r="K87" s="138">
        <f t="shared" si="34"/>
        <v>7.9574250000000006</v>
      </c>
      <c r="L87" s="139">
        <v>0.23</v>
      </c>
      <c r="M87" s="139">
        <v>0.21299999999999999</v>
      </c>
      <c r="N87" s="598">
        <v>0.25600000000000001</v>
      </c>
      <c r="O87" s="645">
        <f t="shared" si="31"/>
        <v>0.23499999999999999</v>
      </c>
      <c r="P87" s="727">
        <v>90</v>
      </c>
      <c r="Q87" s="596">
        <v>97.39</v>
      </c>
      <c r="R87" s="706">
        <v>3391.5</v>
      </c>
      <c r="S87" s="765">
        <f t="shared" si="43"/>
        <v>110</v>
      </c>
      <c r="T87" s="1146"/>
      <c r="U87" s="1146">
        <f>_xlfn.XLOOKUP(D87,RUC!$B$3:$B$123,RUC!$F$3:$F$123)</f>
        <v>120</v>
      </c>
      <c r="V87" s="715">
        <v>1.1023000000000001</v>
      </c>
      <c r="Y87">
        <f>_xlfn.XLOOKUP(D87,RUC!$B$3:$B$123,RUC!$G$3:$G$123)</f>
        <v>20</v>
      </c>
      <c r="Z87" s="143">
        <f>_xlfn.XLOOKUP(D87,RUC!$B$3:$B$123,RUC!$H$3:$H$123)</f>
        <v>30</v>
      </c>
      <c r="AA87" s="144">
        <f t="shared" si="35"/>
        <v>50</v>
      </c>
      <c r="AB87" s="145">
        <f t="shared" si="36"/>
        <v>586.33789617499997</v>
      </c>
      <c r="AC87" s="145">
        <f>+(S87-T87)*V87-'data 1'!$F$4</f>
        <v>41.253</v>
      </c>
      <c r="AD87" s="145">
        <f t="shared" si="37"/>
        <v>61.294147126650017</v>
      </c>
      <c r="AE87" s="145">
        <f t="shared" si="38"/>
        <v>-14.884999999999998</v>
      </c>
      <c r="AF87" s="145">
        <f t="shared" si="39"/>
        <v>-17.560266484274919</v>
      </c>
      <c r="AG87" s="772">
        <f t="shared" si="30"/>
        <v>87.101880642375079</v>
      </c>
      <c r="AH87" s="146">
        <f t="shared" si="40"/>
        <v>61.111624026632761</v>
      </c>
      <c r="AI87" s="156">
        <f t="shared" si="41"/>
        <v>19.38258360835</v>
      </c>
      <c r="AJ87" s="156">
        <f t="shared" si="42"/>
        <v>57.702149946797618</v>
      </c>
      <c r="AK87" s="88"/>
      <c r="AL87" s="716">
        <f t="shared" si="29"/>
        <v>4665.7398334703494</v>
      </c>
      <c r="AM87" s="716" t="str">
        <f>_xlfn.XLOOKUP(D87,RUC!$B$3:$B$72,RUC!$M$3:$M$72)</f>
        <v>Yuri Rospigliossi</v>
      </c>
      <c r="AN87" s="1167" t="s">
        <v>2281</v>
      </c>
    </row>
    <row r="88" spans="1:40" ht="15" customHeight="1">
      <c r="A88" s="747" t="s">
        <v>2252</v>
      </c>
      <c r="B88" s="595">
        <v>45829</v>
      </c>
      <c r="C88" s="595">
        <v>45826</v>
      </c>
      <c r="D88" t="s">
        <v>1402</v>
      </c>
      <c r="E88">
        <f>_xlfn.XLOOKUP(D88,RUC!$B$3:$B$123,RUC!$D$3:$D$123)</f>
        <v>20606526599</v>
      </c>
      <c r="G88" s="80">
        <v>100</v>
      </c>
      <c r="H88" t="s">
        <v>69</v>
      </c>
      <c r="I88" s="703">
        <v>8.6199999999999992</v>
      </c>
      <c r="J88" s="703">
        <v>1.3</v>
      </c>
      <c r="K88" s="138">
        <f t="shared" si="34"/>
        <v>8.5079399999999996</v>
      </c>
      <c r="L88" s="139">
        <v>0.35699999999999998</v>
      </c>
      <c r="M88" s="139">
        <v>0.33600000000000002</v>
      </c>
      <c r="N88" s="159">
        <v>0.371</v>
      </c>
      <c r="O88" s="645">
        <f t="shared" si="31"/>
        <v>0.35399999999999998</v>
      </c>
      <c r="P88" s="727">
        <v>90</v>
      </c>
      <c r="Q88" s="596">
        <v>96.64</v>
      </c>
      <c r="R88" s="706">
        <v>3391.5</v>
      </c>
      <c r="S88" s="765">
        <f t="shared" si="43"/>
        <v>120</v>
      </c>
      <c r="T88" s="1146"/>
      <c r="U88" s="1146">
        <f>_xlfn.XLOOKUP(D88,RUC!$B$3:$B$123,RUC!$F$3:$F$123)</f>
        <v>120</v>
      </c>
      <c r="V88" s="715">
        <v>1.1023000000000001</v>
      </c>
      <c r="Y88">
        <f>_xlfn.XLOOKUP(D88,RUC!$B$3:$B$123,RUC!$G$3:$G$123)</f>
        <v>20</v>
      </c>
      <c r="Z88" s="143">
        <f>_xlfn.XLOOKUP(D88,RUC!$B$3:$B$123,RUC!$H$3:$H$123)</f>
        <v>30</v>
      </c>
      <c r="AA88" s="144">
        <f t="shared" si="35"/>
        <v>50</v>
      </c>
      <c r="AB88" s="145">
        <f t="shared" si="36"/>
        <v>961.53617976999999</v>
      </c>
      <c r="AC88" s="145">
        <f>+(S88-T88)*V88-'data 1'!$F$4</f>
        <v>52.27600000000001</v>
      </c>
      <c r="AD88" s="145">
        <f t="shared" si="37"/>
        <v>85.483644102360017</v>
      </c>
      <c r="AE88" s="145">
        <f t="shared" si="38"/>
        <v>-14.884999999999998</v>
      </c>
      <c r="AF88" s="145">
        <f t="shared" si="39"/>
        <v>10.45502096544001</v>
      </c>
      <c r="AG88" s="772">
        <f t="shared" si="30"/>
        <v>150.32966506780005</v>
      </c>
      <c r="AH88" s="146">
        <f t="shared" si="40"/>
        <v>100.6372185706275</v>
      </c>
      <c r="AI88" s="156">
        <f t="shared" si="41"/>
        <v>29.853455096640001</v>
      </c>
      <c r="AJ88" s="156">
        <f t="shared" si="42"/>
        <v>92.934990575788873</v>
      </c>
      <c r="AK88" s="88"/>
      <c r="AL88" s="716">
        <f t="shared" si="29"/>
        <v>8180.6921253123737</v>
      </c>
      <c r="AM88" s="716" t="str">
        <f>_xlfn.XLOOKUP(D88,RUC!$B$3:$B$72,RUC!$M$3:$M$72)</f>
        <v>Yuri Rospigliossi</v>
      </c>
      <c r="AN88" s="1167" t="s">
        <v>2279</v>
      </c>
    </row>
    <row r="89" spans="1:40" ht="15" customHeight="1">
      <c r="A89" s="747" t="s">
        <v>2253</v>
      </c>
      <c r="B89" s="595">
        <v>45832</v>
      </c>
      <c r="C89" s="595">
        <v>45827</v>
      </c>
      <c r="D89" t="s">
        <v>1671</v>
      </c>
      <c r="E89">
        <f>_xlfn.XLOOKUP(D89,RUC!$B$3:$B$123,RUC!$D$3:$D$123)</f>
        <v>20517242919</v>
      </c>
      <c r="G89" s="80">
        <v>53</v>
      </c>
      <c r="H89" t="s">
        <v>69</v>
      </c>
      <c r="I89" s="703">
        <v>4.91</v>
      </c>
      <c r="J89" s="703">
        <v>3.9</v>
      </c>
      <c r="K89" s="138">
        <f t="shared" si="34"/>
        <v>4.7185100000000002</v>
      </c>
      <c r="L89" s="139">
        <v>0.31</v>
      </c>
      <c r="M89" s="139">
        <v>0.30499999999999999</v>
      </c>
      <c r="N89" s="159">
        <v>0.30499999999999999</v>
      </c>
      <c r="O89" s="645">
        <f t="shared" si="31"/>
        <v>0.30499999999999999</v>
      </c>
      <c r="P89" s="727">
        <v>90</v>
      </c>
      <c r="Q89" s="596">
        <v>95.25</v>
      </c>
      <c r="R89" s="1162">
        <v>3368.9</v>
      </c>
      <c r="S89" s="1164">
        <v>110</v>
      </c>
      <c r="T89" s="1146"/>
      <c r="U89" s="1146">
        <f>_xlfn.XLOOKUP(D89,RUC!$B$3:$B$123,RUC!$F$3:$F$123)</f>
        <v>80</v>
      </c>
      <c r="V89" s="715">
        <v>1.1023000000000001</v>
      </c>
      <c r="Y89">
        <f>_xlfn.XLOOKUP(D89,RUC!$B$3:$B$123,RUC!$G$3:$G$123)</f>
        <v>0</v>
      </c>
      <c r="Z89" s="143">
        <f>_xlfn.XLOOKUP(D89,RUC!$B$3:$B$123,RUC!$H$3:$H$123)</f>
        <v>10</v>
      </c>
      <c r="AA89" s="144">
        <f t="shared" si="35"/>
        <v>10</v>
      </c>
      <c r="AB89" s="145">
        <f t="shared" si="36"/>
        <v>862.88380201500001</v>
      </c>
      <c r="AC89" s="145">
        <f>+(S89-T89)*V89-'data 1'!$F$4</f>
        <v>41.253</v>
      </c>
      <c r="AD89" s="145">
        <f t="shared" si="37"/>
        <v>59.002643999250004</v>
      </c>
      <c r="AE89" s="145">
        <f t="shared" si="38"/>
        <v>-58.977000000000004</v>
      </c>
      <c r="AF89" s="145">
        <f t="shared" si="39"/>
        <v>17.265750663375016</v>
      </c>
      <c r="AG89" s="772">
        <f t="shared" ref="AG89:AG96" si="44">AC89+AD89+AE89+AF89+70</f>
        <v>128.544394662625</v>
      </c>
      <c r="AH89" s="146">
        <f t="shared" si="40"/>
        <v>47.768392563753771</v>
      </c>
      <c r="AI89" s="156">
        <f t="shared" si="41"/>
        <v>19.886927745749968</v>
      </c>
      <c r="AJ89" s="156">
        <f t="shared" si="42"/>
        <v>44.407497277962612</v>
      </c>
      <c r="AK89" s="88"/>
      <c r="AL89" s="716">
        <f t="shared" si="29"/>
        <v>4071.5258486457979</v>
      </c>
      <c r="AM89" s="716" t="str">
        <f>_xlfn.XLOOKUP(D89,RUC!$B$3:$B$72,RUC!$M$3:$M$72)</f>
        <v>Melchor Vera</v>
      </c>
      <c r="AN89" s="1167" t="s">
        <v>2281</v>
      </c>
    </row>
    <row r="90" spans="1:40" ht="15" customHeight="1">
      <c r="A90" s="747" t="s">
        <v>2254</v>
      </c>
      <c r="B90" s="595">
        <v>45832</v>
      </c>
      <c r="C90" s="595">
        <v>45827</v>
      </c>
      <c r="D90" t="s">
        <v>1671</v>
      </c>
      <c r="E90">
        <f>_xlfn.XLOOKUP(D90,RUC!$B$3:$B$123,RUC!$D$3:$D$123)</f>
        <v>20517242919</v>
      </c>
      <c r="G90" s="80">
        <v>36</v>
      </c>
      <c r="H90" t="s">
        <v>69</v>
      </c>
      <c r="I90" s="703">
        <v>3.34</v>
      </c>
      <c r="J90" s="703">
        <v>2.2999999999999998</v>
      </c>
      <c r="K90" s="138">
        <f t="shared" si="34"/>
        <v>3.2631799999999997</v>
      </c>
      <c r="L90" s="139">
        <v>0.182</v>
      </c>
      <c r="M90" s="139">
        <v>0.17899999999999999</v>
      </c>
      <c r="N90" s="159">
        <v>0.17899999999999999</v>
      </c>
      <c r="O90" s="645">
        <f t="shared" si="31"/>
        <v>0.17899999999999999</v>
      </c>
      <c r="P90" s="727">
        <v>90</v>
      </c>
      <c r="Q90" s="596">
        <v>92.08</v>
      </c>
      <c r="R90" s="1162">
        <v>3368.9</v>
      </c>
      <c r="S90" s="1164">
        <v>95</v>
      </c>
      <c r="T90" s="1146"/>
      <c r="U90" s="1146">
        <f>_xlfn.XLOOKUP(D90,RUC!$B$3:$B$123,RUC!$F$3:$F$123)</f>
        <v>80</v>
      </c>
      <c r="V90" s="715">
        <v>1.1023000000000001</v>
      </c>
      <c r="Y90">
        <f>_xlfn.XLOOKUP(D90,RUC!$B$3:$B$123,RUC!$G$3:$G$123)</f>
        <v>0</v>
      </c>
      <c r="Z90" s="143">
        <f>_xlfn.XLOOKUP(D90,RUC!$B$3:$B$123,RUC!$H$3:$H$123)</f>
        <v>10</v>
      </c>
      <c r="AA90" s="144">
        <f t="shared" si="35"/>
        <v>10</v>
      </c>
      <c r="AB90" s="145">
        <f t="shared" si="36"/>
        <v>468.30310511699997</v>
      </c>
      <c r="AC90" s="145">
        <f>+(S90-T90)*V90-'data 1'!$F$4</f>
        <v>24.718500000000006</v>
      </c>
      <c r="AD90" s="145">
        <f t="shared" si="37"/>
        <v>13.72414188163199</v>
      </c>
      <c r="AE90" s="145">
        <f t="shared" si="38"/>
        <v>-58.977000000000004</v>
      </c>
      <c r="AF90" s="145">
        <f t="shared" si="39"/>
        <v>10.014679187928008</v>
      </c>
      <c r="AG90" s="772">
        <f t="shared" si="44"/>
        <v>59.480321069560006</v>
      </c>
      <c r="AH90" s="146">
        <f t="shared" si="40"/>
        <v>18.74937513265192</v>
      </c>
      <c r="AI90" s="156">
        <f t="shared" si="41"/>
        <v>11.286978980367984</v>
      </c>
      <c r="AJ90" s="156">
        <f t="shared" si="42"/>
        <v>18.023770144154536</v>
      </c>
      <c r="AK90" s="88"/>
      <c r="AL90" s="716">
        <f t="shared" si="29"/>
        <v>1528.157326555692</v>
      </c>
      <c r="AM90" s="716" t="str">
        <f>_xlfn.XLOOKUP(D90,RUC!$B$3:$B$72,RUC!$M$3:$M$72)</f>
        <v>Melchor Vera</v>
      </c>
      <c r="AN90" s="1167" t="s">
        <v>2297</v>
      </c>
    </row>
    <row r="91" spans="1:40" ht="15" customHeight="1">
      <c r="A91" s="747" t="s">
        <v>2255</v>
      </c>
      <c r="B91" s="595">
        <v>45832</v>
      </c>
      <c r="C91" s="595">
        <v>45827</v>
      </c>
      <c r="D91" t="s">
        <v>1671</v>
      </c>
      <c r="E91">
        <f>_xlfn.XLOOKUP(D91,RUC!$B$3:$B$123,RUC!$D$3:$D$123)</f>
        <v>20517242919</v>
      </c>
      <c r="G91" s="80">
        <v>64</v>
      </c>
      <c r="H91" t="s">
        <v>69</v>
      </c>
      <c r="I91" s="703">
        <v>5.72</v>
      </c>
      <c r="J91" s="703">
        <v>2.2000000000000002</v>
      </c>
      <c r="K91" s="138">
        <f t="shared" si="34"/>
        <v>5.5941599999999996</v>
      </c>
      <c r="L91" s="139">
        <v>0.20599999999999999</v>
      </c>
      <c r="M91" s="139">
        <v>0.20300000000000001</v>
      </c>
      <c r="N91" s="159">
        <v>0.20300000000000001</v>
      </c>
      <c r="O91" s="645">
        <f t="shared" si="31"/>
        <v>0.20300000000000001</v>
      </c>
      <c r="P91" s="727">
        <v>90</v>
      </c>
      <c r="Q91" s="596">
        <v>92.92</v>
      </c>
      <c r="R91" s="1162">
        <v>3368.9</v>
      </c>
      <c r="S91" s="1164">
        <v>105</v>
      </c>
      <c r="T91" s="1146"/>
      <c r="U91" s="1146">
        <f>_xlfn.XLOOKUP(D91,RUC!$B$3:$B$123,RUC!$F$3:$F$123)</f>
        <v>80</v>
      </c>
      <c r="V91" s="715">
        <v>1.1023000000000001</v>
      </c>
      <c r="Y91">
        <f>_xlfn.XLOOKUP(D91,RUC!$B$3:$B$123,RUC!$G$3:$G$123)</f>
        <v>0</v>
      </c>
      <c r="Z91" s="143">
        <f>_xlfn.XLOOKUP(D91,RUC!$B$3:$B$123,RUC!$H$3:$H$123)</f>
        <v>10</v>
      </c>
      <c r="AA91" s="144">
        <f t="shared" si="35"/>
        <v>10</v>
      </c>
      <c r="AB91" s="145">
        <f t="shared" si="36"/>
        <v>535.58776166899997</v>
      </c>
      <c r="AC91" s="145">
        <f>+(S91-T91)*V91-'data 1'!$F$4</f>
        <v>35.741500000000002</v>
      </c>
      <c r="AD91" s="145">
        <f t="shared" si="37"/>
        <v>21.807232207944011</v>
      </c>
      <c r="AE91" s="145">
        <f t="shared" si="38"/>
        <v>-58.977000000000004</v>
      </c>
      <c r="AF91" s="145">
        <f t="shared" si="39"/>
        <v>10.106038120571917</v>
      </c>
      <c r="AG91" s="772">
        <f t="shared" si="44"/>
        <v>78.677770328515919</v>
      </c>
      <c r="AH91" s="146">
        <f t="shared" si="40"/>
        <v>36.713042272384506</v>
      </c>
      <c r="AI91" s="156">
        <f t="shared" si="41"/>
        <v>12.891915170055981</v>
      </c>
      <c r="AJ91" s="156">
        <f t="shared" si="42"/>
        <v>35.041484809799066</v>
      </c>
      <c r="AK91" s="88"/>
      <c r="AL91" s="716">
        <f t="shared" si="29"/>
        <v>2996.1636328182526</v>
      </c>
      <c r="AM91" s="716" t="str">
        <f>_xlfn.XLOOKUP(D91,RUC!$B$3:$B$72,RUC!$M$3:$M$72)</f>
        <v>Melchor Vera</v>
      </c>
      <c r="AN91" s="1167" t="s">
        <v>2297</v>
      </c>
    </row>
    <row r="92" spans="1:40" ht="15" customHeight="1">
      <c r="A92" s="747" t="s">
        <v>2256</v>
      </c>
      <c r="B92" s="595">
        <v>45832</v>
      </c>
      <c r="C92" s="595">
        <v>45827</v>
      </c>
      <c r="D92" t="s">
        <v>1671</v>
      </c>
      <c r="E92">
        <f>_xlfn.XLOOKUP(D92,RUC!$B$3:$B$123,RUC!$D$3:$D$123)</f>
        <v>20517242919</v>
      </c>
      <c r="G92" s="80">
        <v>63</v>
      </c>
      <c r="H92" t="s">
        <v>69</v>
      </c>
      <c r="I92" s="703">
        <v>5.61</v>
      </c>
      <c r="J92" s="703">
        <v>1.85</v>
      </c>
      <c r="K92" s="138">
        <f t="shared" si="34"/>
        <v>5.5062150000000001</v>
      </c>
      <c r="L92" s="139">
        <v>0.183</v>
      </c>
      <c r="M92" s="139">
        <v>0.18</v>
      </c>
      <c r="N92" s="159">
        <v>0.18</v>
      </c>
      <c r="O92" s="645">
        <f t="shared" si="31"/>
        <v>0.18</v>
      </c>
      <c r="P92" s="727">
        <v>90</v>
      </c>
      <c r="Q92" s="596">
        <v>92.04</v>
      </c>
      <c r="R92" s="1162">
        <v>3368.9</v>
      </c>
      <c r="S92" s="1164">
        <v>95</v>
      </c>
      <c r="T92" s="1146"/>
      <c r="U92" s="1146">
        <f>_xlfn.XLOOKUP(D92,RUC!$B$3:$B$123,RUC!$F$3:$F$123)</f>
        <v>80</v>
      </c>
      <c r="V92" s="715">
        <v>1.1023000000000001</v>
      </c>
      <c r="Y92">
        <f>_xlfn.XLOOKUP(D92,RUC!$B$3:$B$123,RUC!$G$3:$G$123)</f>
        <v>0</v>
      </c>
      <c r="Z92" s="143">
        <f>_xlfn.XLOOKUP(D92,RUC!$B$3:$B$123,RUC!$H$3:$H$123)</f>
        <v>10</v>
      </c>
      <c r="AA92" s="144">
        <f t="shared" si="35"/>
        <v>10</v>
      </c>
      <c r="AB92" s="145">
        <f t="shared" si="36"/>
        <v>471.56592413999999</v>
      </c>
      <c r="AC92" s="145">
        <f>+(S92-T92)*V92-'data 1'!$F$4</f>
        <v>24.718500000000006</v>
      </c>
      <c r="AD92" s="145">
        <f t="shared" si="37"/>
        <v>13.534173307404044</v>
      </c>
      <c r="AE92" s="145">
        <f t="shared" si="38"/>
        <v>-58.977000000000004</v>
      </c>
      <c r="AF92" s="145">
        <f t="shared" si="39"/>
        <v>10.01032876256401</v>
      </c>
      <c r="AG92" s="772">
        <f t="shared" si="44"/>
        <v>59.286002069968056</v>
      </c>
      <c r="AH92" s="146">
        <f t="shared" si="40"/>
        <v>31.797277290991794</v>
      </c>
      <c r="AI92" s="156">
        <f t="shared" si="41"/>
        <v>11.344065289595985</v>
      </c>
      <c r="AJ92" s="156">
        <f t="shared" si="42"/>
        <v>30.582800309800383</v>
      </c>
      <c r="AK92" s="88"/>
      <c r="AL92" s="716">
        <f t="shared" si="29"/>
        <v>2596.5433649885299</v>
      </c>
      <c r="AM92" s="716" t="str">
        <f>_xlfn.XLOOKUP(D92,RUC!$B$3:$B$72,RUC!$M$3:$M$72)</f>
        <v>Melchor Vera</v>
      </c>
      <c r="AN92" s="1167" t="s">
        <v>2297</v>
      </c>
    </row>
    <row r="93" spans="1:40" ht="15" customHeight="1">
      <c r="A93" s="747" t="s">
        <v>2257</v>
      </c>
      <c r="B93" s="595">
        <v>45832</v>
      </c>
      <c r="C93" s="595">
        <v>45827</v>
      </c>
      <c r="D93" t="s">
        <v>1671</v>
      </c>
      <c r="E93">
        <f>_xlfn.XLOOKUP(D93,RUC!$B$3:$B$123,RUC!$D$3:$D$123)</f>
        <v>20517242919</v>
      </c>
      <c r="G93" s="80">
        <v>60</v>
      </c>
      <c r="H93" t="s">
        <v>69</v>
      </c>
      <c r="I93" s="703">
        <v>5.98</v>
      </c>
      <c r="J93" s="703">
        <v>1.65</v>
      </c>
      <c r="K93" s="138">
        <f t="shared" si="34"/>
        <v>5.8813300000000002</v>
      </c>
      <c r="L93" s="139">
        <v>0.22700000000000001</v>
      </c>
      <c r="M93" s="139">
        <v>0.224</v>
      </c>
      <c r="N93" s="159">
        <v>0.224</v>
      </c>
      <c r="O93" s="645">
        <f t="shared" si="31"/>
        <v>0.224</v>
      </c>
      <c r="P93" s="727">
        <v>90</v>
      </c>
      <c r="Q93" s="596">
        <v>90.31</v>
      </c>
      <c r="R93" s="1162">
        <v>3368.9</v>
      </c>
      <c r="S93" s="1164">
        <v>105</v>
      </c>
      <c r="T93" s="1146"/>
      <c r="U93" s="1146">
        <f>_xlfn.XLOOKUP(D93,RUC!$B$3:$B$123,RUC!$F$3:$F$123)</f>
        <v>80</v>
      </c>
      <c r="V93" s="715">
        <v>1.1023000000000001</v>
      </c>
      <c r="Y93">
        <f>_xlfn.XLOOKUP(D93,RUC!$B$3:$B$123,RUC!$G$3:$G$123)</f>
        <v>0</v>
      </c>
      <c r="Z93" s="143">
        <f>_xlfn.XLOOKUP(D93,RUC!$B$3:$B$123,RUC!$H$3:$H$123)</f>
        <v>10</v>
      </c>
      <c r="AA93" s="144">
        <f t="shared" si="35"/>
        <v>10</v>
      </c>
      <c r="AB93" s="145">
        <f t="shared" si="36"/>
        <v>604.10696115200005</v>
      </c>
      <c r="AC93" s="145">
        <f>+(S93-T93)*V93-'data 1'!$F$4</f>
        <v>35.741500000000002</v>
      </c>
      <c r="AD93" s="145">
        <f t="shared" si="37"/>
        <v>2.5511619405390191</v>
      </c>
      <c r="AE93" s="145">
        <f t="shared" si="38"/>
        <v>-58.977000000000004</v>
      </c>
      <c r="AF93" s="145">
        <f t="shared" si="39"/>
        <v>9.8221728655710088</v>
      </c>
      <c r="AG93" s="772">
        <f t="shared" si="44"/>
        <v>59.137834806110021</v>
      </c>
      <c r="AH93" s="146">
        <f t="shared" si="40"/>
        <v>41.337700748142645</v>
      </c>
      <c r="AI93" s="156">
        <f t="shared" si="41"/>
        <v>13.807107846960982</v>
      </c>
      <c r="AJ93" s="156">
        <f t="shared" si="42"/>
        <v>40.651366150101481</v>
      </c>
      <c r="AK93" s="88"/>
      <c r="AL93" s="716">
        <f t="shared" si="29"/>
        <v>3552.9523938320926</v>
      </c>
      <c r="AM93" s="716" t="str">
        <f>_xlfn.XLOOKUP(D93,RUC!$B$3:$B$72,RUC!$M$3:$M$72)</f>
        <v>Melchor Vera</v>
      </c>
      <c r="AN93" s="1167" t="s">
        <v>2297</v>
      </c>
    </row>
    <row r="94" spans="1:40" ht="15" customHeight="1">
      <c r="A94" s="747" t="s">
        <v>2258</v>
      </c>
      <c r="B94" s="595">
        <v>45832</v>
      </c>
      <c r="C94" s="595">
        <v>45827</v>
      </c>
      <c r="D94" t="s">
        <v>1671</v>
      </c>
      <c r="E94">
        <f>_xlfn.XLOOKUP(D94,RUC!$B$3:$B$123,RUC!$D$3:$D$123)</f>
        <v>20517242919</v>
      </c>
      <c r="G94" s="80">
        <v>37</v>
      </c>
      <c r="H94" t="s">
        <v>69</v>
      </c>
      <c r="I94" s="703">
        <v>3.16</v>
      </c>
      <c r="J94" s="703">
        <v>1.8</v>
      </c>
      <c r="K94" s="138">
        <f t="shared" si="34"/>
        <v>3.1031200000000001</v>
      </c>
      <c r="L94" s="139">
        <v>0.16800000000000001</v>
      </c>
      <c r="M94" s="139">
        <v>0.16500000000000001</v>
      </c>
      <c r="N94" s="159">
        <v>0.16500000000000001</v>
      </c>
      <c r="O94" s="645">
        <f t="shared" si="31"/>
        <v>0.16500000000000001</v>
      </c>
      <c r="P94" s="727">
        <v>90</v>
      </c>
      <c r="Q94" s="596">
        <v>98.21</v>
      </c>
      <c r="R94" s="1162">
        <v>3368.9</v>
      </c>
      <c r="S94" s="1164">
        <v>95</v>
      </c>
      <c r="T94" s="1146"/>
      <c r="U94" s="1146">
        <f>_xlfn.XLOOKUP(D94,RUC!$B$3:$B$123,RUC!$F$3:$F$123)</f>
        <v>80</v>
      </c>
      <c r="V94" s="715">
        <v>1.1023000000000001</v>
      </c>
      <c r="Y94">
        <f>_xlfn.XLOOKUP(D94,RUC!$B$3:$B$123,RUC!$G$3:$G$123)</f>
        <v>0</v>
      </c>
      <c r="Z94" s="143">
        <f>_xlfn.XLOOKUP(D94,RUC!$B$3:$B$123,RUC!$H$3:$H$123)</f>
        <v>10</v>
      </c>
      <c r="AA94" s="144">
        <f t="shared" si="35"/>
        <v>10</v>
      </c>
      <c r="AB94" s="145">
        <f t="shared" si="36"/>
        <v>422.62363879500009</v>
      </c>
      <c r="AC94" s="145">
        <f>+(S94-T94)*V94-'data 1'!$F$4</f>
        <v>24.718500000000006</v>
      </c>
      <c r="AD94" s="145">
        <f t="shared" si="37"/>
        <v>50.003789133815964</v>
      </c>
      <c r="AE94" s="145">
        <f t="shared" si="38"/>
        <v>-58.977000000000004</v>
      </c>
      <c r="AF94" s="145">
        <f t="shared" si="39"/>
        <v>10.68138187496101</v>
      </c>
      <c r="AG94" s="772">
        <f t="shared" si="44"/>
        <v>96.426671008776964</v>
      </c>
      <c r="AH94" s="146">
        <f t="shared" si="40"/>
        <v>17.553860085294907</v>
      </c>
      <c r="AI94" s="156">
        <f t="shared" si="41"/>
        <v>11.112352526183983</v>
      </c>
      <c r="AJ94" s="156">
        <f t="shared" si="42"/>
        <v>15.799163494808827</v>
      </c>
      <c r="AK94" s="88"/>
      <c r="AL94" s="716">
        <f t="shared" si="29"/>
        <v>1311.4518660175406</v>
      </c>
      <c r="AM94" s="716" t="str">
        <f>_xlfn.XLOOKUP(D94,RUC!$B$3:$B$72,RUC!$M$3:$M$72)</f>
        <v>Melchor Vera</v>
      </c>
      <c r="AN94" s="1167" t="s">
        <v>2297</v>
      </c>
    </row>
    <row r="95" spans="1:40" ht="15" customHeight="1">
      <c r="A95" s="747" t="s">
        <v>2259</v>
      </c>
      <c r="B95" s="595">
        <v>45832</v>
      </c>
      <c r="C95" s="595">
        <v>45827</v>
      </c>
      <c r="D95" t="s">
        <v>1671</v>
      </c>
      <c r="E95">
        <f>_xlfn.XLOOKUP(D95,RUC!$B$3:$B$123,RUC!$D$3:$D$123)</f>
        <v>20517242919</v>
      </c>
      <c r="G95" s="80">
        <v>43</v>
      </c>
      <c r="H95" t="s">
        <v>69</v>
      </c>
      <c r="I95" s="703">
        <v>4.1900000000000004</v>
      </c>
      <c r="J95" s="703">
        <v>1.35</v>
      </c>
      <c r="K95" s="138">
        <f t="shared" si="34"/>
        <v>4.1334350000000004</v>
      </c>
      <c r="L95" s="139">
        <v>0.20499999999999999</v>
      </c>
      <c r="M95" s="139">
        <v>0.20100000000000001</v>
      </c>
      <c r="N95" s="159">
        <v>0.20100000000000001</v>
      </c>
      <c r="O95" s="645">
        <f t="shared" si="31"/>
        <v>0.20100000000000001</v>
      </c>
      <c r="P95" s="727">
        <v>90</v>
      </c>
      <c r="Q95" s="596">
        <v>91.09</v>
      </c>
      <c r="R95" s="1162">
        <v>3368.9</v>
      </c>
      <c r="S95" s="1164">
        <v>105</v>
      </c>
      <c r="T95" s="1146"/>
      <c r="U95" s="1146">
        <f>_xlfn.XLOOKUP(D95,RUC!$B$3:$B$123,RUC!$F$3:$F$123)</f>
        <v>80</v>
      </c>
      <c r="V95" s="715">
        <v>1.1023000000000001</v>
      </c>
      <c r="Y95">
        <f>_xlfn.XLOOKUP(D95,RUC!$B$3:$B$123,RUC!$G$3:$G$123)</f>
        <v>0</v>
      </c>
      <c r="Z95" s="143">
        <f>_xlfn.XLOOKUP(D95,RUC!$B$3:$B$123,RUC!$H$3:$H$123)</f>
        <v>10</v>
      </c>
      <c r="AA95" s="144">
        <f t="shared" si="35"/>
        <v>10</v>
      </c>
      <c r="AB95" s="145">
        <f t="shared" si="36"/>
        <v>529.06212362299993</v>
      </c>
      <c r="AC95" s="145">
        <f>+(S95-T95)*V95-'data 1'!$F$4</f>
        <v>35.741500000000002</v>
      </c>
      <c r="AD95" s="145">
        <f t="shared" si="37"/>
        <v>8.1008545632150248</v>
      </c>
      <c r="AE95" s="145">
        <f t="shared" si="38"/>
        <v>-58.977000000000004</v>
      </c>
      <c r="AF95" s="145">
        <f t="shared" si="39"/>
        <v>13.209341546891922</v>
      </c>
      <c r="AG95" s="772">
        <f t="shared" si="44"/>
        <v>68.074696110106942</v>
      </c>
      <c r="AH95" s="146">
        <f t="shared" si="40"/>
        <v>26.463345382188077</v>
      </c>
      <c r="AI95" s="156">
        <f t="shared" si="41"/>
        <v>12.576667544284982</v>
      </c>
      <c r="AJ95" s="156">
        <f t="shared" si="42"/>
        <v>25.636500912460324</v>
      </c>
      <c r="AK95" s="88"/>
      <c r="AL95" s="716">
        <f t="shared" si="29"/>
        <v>2186.8438989576348</v>
      </c>
      <c r="AM95" s="716" t="str">
        <f>_xlfn.XLOOKUP(D95,RUC!$B$3:$B$72,RUC!$M$3:$M$72)</f>
        <v>Melchor Vera</v>
      </c>
      <c r="AN95" s="1167" t="s">
        <v>2297</v>
      </c>
    </row>
    <row r="96" spans="1:40" ht="15" customHeight="1">
      <c r="A96" s="747" t="s">
        <v>2260</v>
      </c>
      <c r="B96" s="595">
        <v>45832</v>
      </c>
      <c r="C96" s="595">
        <v>45827</v>
      </c>
      <c r="D96" t="s">
        <v>1671</v>
      </c>
      <c r="E96">
        <f>_xlfn.XLOOKUP(D96,RUC!$B$3:$B$123,RUC!$D$3:$D$123)</f>
        <v>20517242919</v>
      </c>
      <c r="G96" s="80">
        <v>65</v>
      </c>
      <c r="H96" t="s">
        <v>69</v>
      </c>
      <c r="I96" s="703">
        <v>6.04</v>
      </c>
      <c r="J96" s="703">
        <v>2.15</v>
      </c>
      <c r="K96" s="138">
        <f t="shared" si="34"/>
        <v>5.9101400000000002</v>
      </c>
      <c r="L96" s="139">
        <v>0.224</v>
      </c>
      <c r="M96" s="139">
        <v>0.221</v>
      </c>
      <c r="N96" s="159">
        <v>0.20100000000000001</v>
      </c>
      <c r="O96" s="645">
        <f t="shared" si="31"/>
        <v>0.21099999999999999</v>
      </c>
      <c r="P96" s="727">
        <v>90</v>
      </c>
      <c r="Q96" s="596">
        <v>95.98</v>
      </c>
      <c r="R96" s="1162">
        <v>3368.9</v>
      </c>
      <c r="S96" s="1164">
        <v>105</v>
      </c>
      <c r="T96" s="1146"/>
      <c r="U96" s="1146">
        <f>_xlfn.XLOOKUP(D96,RUC!$B$3:$B$123,RUC!$F$3:$F$123)</f>
        <v>80</v>
      </c>
      <c r="V96" s="715">
        <v>1.1023000000000001</v>
      </c>
      <c r="Y96">
        <f>_xlfn.XLOOKUP(D96,RUC!$B$3:$B$123,RUC!$G$3:$G$123)</f>
        <v>0</v>
      </c>
      <c r="Z96" s="143">
        <f>_xlfn.XLOOKUP(D96,RUC!$B$3:$B$123,RUC!$H$3:$H$123)</f>
        <v>10</v>
      </c>
      <c r="AA96" s="144">
        <f t="shared" si="35"/>
        <v>10</v>
      </c>
      <c r="AB96" s="145">
        <f t="shared" si="36"/>
        <v>561.69031385300002</v>
      </c>
      <c r="AC96" s="145">
        <f>+(S96-T96)*V96-'data 1'!$F$4</f>
        <v>35.741500000000002</v>
      </c>
      <c r="AD96" s="145">
        <f t="shared" si="37"/>
        <v>48.562348196544036</v>
      </c>
      <c r="AE96" s="145">
        <f t="shared" si="38"/>
        <v>-58.977000000000004</v>
      </c>
      <c r="AF96" s="145">
        <f t="shared" si="39"/>
        <v>45.234997863978045</v>
      </c>
      <c r="AG96" s="772">
        <f t="shared" si="44"/>
        <v>140.56184606052207</v>
      </c>
      <c r="AH96" s="146">
        <f t="shared" si="40"/>
        <v>43.564787684984829</v>
      </c>
      <c r="AI96" s="156">
        <f t="shared" si="41"/>
        <v>14.480040667455981</v>
      </c>
      <c r="AJ96" s="156">
        <f t="shared" si="42"/>
        <v>38.479711088334149</v>
      </c>
      <c r="AK96" s="88"/>
      <c r="AL96" s="716">
        <f t="shared" si="29"/>
        <v>3319.6683915151698</v>
      </c>
      <c r="AM96" s="716" t="str">
        <f>_xlfn.XLOOKUP(D96,RUC!$B$3:$B$72,RUC!$M$3:$M$72)</f>
        <v>Melchor Vera</v>
      </c>
      <c r="AN96" s="1167" t="s">
        <v>2297</v>
      </c>
    </row>
    <row r="97" spans="1:40" ht="15" customHeight="1">
      <c r="A97" s="747" t="s">
        <v>2261</v>
      </c>
      <c r="B97" s="595">
        <v>45832</v>
      </c>
      <c r="C97" s="595">
        <v>45828</v>
      </c>
      <c r="D97" t="s">
        <v>2004</v>
      </c>
      <c r="E97">
        <f>_xlfn.XLOOKUP(D97,RUC!$B$3:$B$123,RUC!$D$3:$D$123)</f>
        <v>20612921866</v>
      </c>
      <c r="G97" s="80">
        <v>67</v>
      </c>
      <c r="H97" t="s">
        <v>69</v>
      </c>
      <c r="I97" s="596">
        <v>6.98</v>
      </c>
      <c r="J97" s="596">
        <v>2.25</v>
      </c>
      <c r="K97" s="138">
        <f t="shared" si="34"/>
        <v>6.8229500000000005</v>
      </c>
      <c r="L97" s="139">
        <v>0.20200000000000001</v>
      </c>
      <c r="M97" s="139">
        <v>0.186</v>
      </c>
      <c r="N97" s="159">
        <v>0.186</v>
      </c>
      <c r="O97" s="645">
        <f t="shared" si="31"/>
        <v>0.186</v>
      </c>
      <c r="P97" s="727">
        <v>90</v>
      </c>
      <c r="Q97" s="596">
        <v>97</v>
      </c>
      <c r="R97" s="706">
        <v>3368.25</v>
      </c>
      <c r="S97" s="765">
        <f t="shared" ref="S97:S108" si="45">IF((90+ROUNDDOWN(O97,1)*100)&lt;95,95,(90+ROUNDDOWN(O97,1)*100))</f>
        <v>100</v>
      </c>
      <c r="T97" s="1146"/>
      <c r="U97" s="1146">
        <f>_xlfn.XLOOKUP(D97,RUC!$B$3:$B$123,RUC!$F$3:$F$123)</f>
        <v>100</v>
      </c>
      <c r="V97" s="715">
        <v>1.1023000000000001</v>
      </c>
      <c r="Y97">
        <f>_xlfn.XLOOKUP(D97,RUC!$B$3:$B$123,RUC!$G$3:$G$123)</f>
        <v>0</v>
      </c>
      <c r="Z97" s="143">
        <f>_xlfn.XLOOKUP(D97,RUC!$B$3:$B$123,RUC!$H$3:$H$123)</f>
        <v>30</v>
      </c>
      <c r="AA97" s="144">
        <f t="shared" si="35"/>
        <v>30</v>
      </c>
      <c r="AB97" s="145">
        <f t="shared" si="36"/>
        <v>459.77489661500005</v>
      </c>
      <c r="AC97" s="145">
        <f>+(S97-T97)*V97-'data 1'!$F$4</f>
        <v>30.230000000000004</v>
      </c>
      <c r="AD97" s="145">
        <f t="shared" si="37"/>
        <v>50.940650526500001</v>
      </c>
      <c r="AE97" s="145">
        <f t="shared" si="38"/>
        <v>-36.930999999999997</v>
      </c>
      <c r="AF97" s="145">
        <f t="shared" si="39"/>
        <v>55.912227452000053</v>
      </c>
      <c r="AG97" s="772">
        <f>AC97+AD97+AE97+AF97+70-10</f>
        <v>160.15187797850007</v>
      </c>
      <c r="AH97" s="146">
        <f t="shared" si="40"/>
        <v>45.835752076262779</v>
      </c>
      <c r="AI97" s="156">
        <f t="shared" si="41"/>
        <v>17.656746118500003</v>
      </c>
      <c r="AJ97" s="156">
        <f t="shared" si="42"/>
        <v>39.15946155744814</v>
      </c>
      <c r="AK97" s="88"/>
      <c r="AL97" s="716">
        <f t="shared" si="29"/>
        <v>3137.0211308593148</v>
      </c>
      <c r="AM97" s="716" t="str">
        <f>_xlfn.XLOOKUP(D97,RUC!$B$3:$B$72,RUC!$M$3:$M$72)</f>
        <v>Ronald Garibay</v>
      </c>
      <c r="AN97" s="1167" t="s">
        <v>2297</v>
      </c>
    </row>
    <row r="98" spans="1:40" ht="15" customHeight="1">
      <c r="A98" s="747" t="s">
        <v>2262</v>
      </c>
      <c r="B98" s="595">
        <v>45832</v>
      </c>
      <c r="C98" s="595">
        <v>45828</v>
      </c>
      <c r="D98" t="s">
        <v>2004</v>
      </c>
      <c r="E98">
        <f>_xlfn.XLOOKUP(D98,RUC!$B$3:$B$123,RUC!$D$3:$D$123)</f>
        <v>20612921866</v>
      </c>
      <c r="G98" s="80">
        <v>68</v>
      </c>
      <c r="H98" t="s">
        <v>69</v>
      </c>
      <c r="I98" s="596">
        <v>7.16</v>
      </c>
      <c r="J98" s="596">
        <v>1.6</v>
      </c>
      <c r="K98" s="138">
        <f t="shared" si="34"/>
        <v>7.0454400000000001</v>
      </c>
      <c r="L98" s="139">
        <v>0.17499999999999999</v>
      </c>
      <c r="M98" s="139">
        <v>0.159</v>
      </c>
      <c r="N98" s="159">
        <v>0.159</v>
      </c>
      <c r="O98" s="645">
        <f t="shared" si="31"/>
        <v>0.159</v>
      </c>
      <c r="P98" s="727">
        <v>90</v>
      </c>
      <c r="Q98" s="596">
        <v>89.71</v>
      </c>
      <c r="R98" s="706">
        <v>3368.25</v>
      </c>
      <c r="S98" s="765">
        <f t="shared" si="45"/>
        <v>100</v>
      </c>
      <c r="T98" s="1146"/>
      <c r="U98" s="1146">
        <f>_xlfn.XLOOKUP(D98,RUC!$B$3:$B$123,RUC!$F$3:$F$123)</f>
        <v>100</v>
      </c>
      <c r="V98" s="715">
        <v>1.1023000000000001</v>
      </c>
      <c r="Y98">
        <f>_xlfn.XLOOKUP(D98,RUC!$B$3:$B$123,RUC!$G$3:$G$123)</f>
        <v>0</v>
      </c>
      <c r="Z98" s="143">
        <f>_xlfn.XLOOKUP(D98,RUC!$B$3:$B$123,RUC!$H$3:$H$123)</f>
        <v>30</v>
      </c>
      <c r="AA98" s="144">
        <f t="shared" si="35"/>
        <v>30</v>
      </c>
      <c r="AB98" s="145">
        <f t="shared" si="36"/>
        <v>372.23191162250004</v>
      </c>
      <c r="AC98" s="145">
        <f>+(S98-T98)*V98-'data 1'!$F$4</f>
        <v>30.230000000000004</v>
      </c>
      <c r="AD98" s="145">
        <f t="shared" si="37"/>
        <v>-1.8283154273125397</v>
      </c>
      <c r="AE98" s="145">
        <f t="shared" si="38"/>
        <v>-36.930999999999997</v>
      </c>
      <c r="AF98" s="145">
        <f t="shared" si="39"/>
        <v>51.710164172359967</v>
      </c>
      <c r="AG98" s="772">
        <f>AC98+AD98+AE98+AF98+70-10</f>
        <v>103.18084874504743</v>
      </c>
      <c r="AH98" s="146">
        <f t="shared" si="40"/>
        <v>37.922424500796872</v>
      </c>
      <c r="AI98" s="156">
        <f t="shared" si="41"/>
        <v>14.147069077312496</v>
      </c>
      <c r="AJ98" s="156">
        <f t="shared" si="42"/>
        <v>34.566612711206162</v>
      </c>
      <c r="AK98" s="88"/>
      <c r="AL98" s="716">
        <f t="shared" si="29"/>
        <v>2622.5375994216265</v>
      </c>
      <c r="AM98" s="716" t="str">
        <f>_xlfn.XLOOKUP(D98,RUC!$B$3:$B$72,RUC!$M$3:$M$72)</f>
        <v>Ronald Garibay</v>
      </c>
      <c r="AN98" s="1167" t="s">
        <v>2297</v>
      </c>
    </row>
    <row r="99" spans="1:40" ht="15" customHeight="1">
      <c r="A99" s="747" t="s">
        <v>2263</v>
      </c>
      <c r="B99" s="595">
        <v>45833</v>
      </c>
      <c r="C99" s="595">
        <v>45828</v>
      </c>
      <c r="D99" t="s">
        <v>1967</v>
      </c>
      <c r="E99">
        <f>_xlfn.XLOOKUP(D99,RUC!$B$3:$B$123,RUC!$D$3:$D$123)</f>
        <v>20601769396</v>
      </c>
      <c r="G99" s="80">
        <v>62</v>
      </c>
      <c r="H99" t="s">
        <v>108</v>
      </c>
      <c r="I99" s="596">
        <v>5.69</v>
      </c>
      <c r="J99" s="596">
        <v>5.95</v>
      </c>
      <c r="K99" s="138">
        <f t="shared" si="34"/>
        <v>5.351445</v>
      </c>
      <c r="L99" s="139">
        <v>0.27700000000000002</v>
      </c>
      <c r="M99" s="139">
        <v>0.26</v>
      </c>
      <c r="N99" s="159">
        <v>0.26</v>
      </c>
      <c r="O99" s="645">
        <f t="shared" si="31"/>
        <v>0.26</v>
      </c>
      <c r="P99" s="727">
        <v>88</v>
      </c>
      <c r="Q99" s="596">
        <v>89.47</v>
      </c>
      <c r="R99" s="706">
        <v>3368.25</v>
      </c>
      <c r="S99" s="765">
        <f t="shared" si="45"/>
        <v>110</v>
      </c>
      <c r="T99" s="1146"/>
      <c r="U99" s="1146">
        <f>_xlfn.XLOOKUP(D99,RUC!$B$3:$B$123,RUC!$F$3:$F$123)</f>
        <v>120</v>
      </c>
      <c r="V99" s="715">
        <v>1.1023000000000001</v>
      </c>
      <c r="Y99">
        <f>_xlfn.XLOOKUP(D99,RUC!$B$3:$B$123,RUC!$G$3:$G$123)</f>
        <v>20</v>
      </c>
      <c r="Z99" s="143">
        <f>_xlfn.XLOOKUP(D99,RUC!$B$3:$B$123,RUC!$H$3:$H$123)</f>
        <v>30</v>
      </c>
      <c r="AA99" s="144">
        <f t="shared" si="35"/>
        <v>50</v>
      </c>
      <c r="AB99" s="145">
        <f t="shared" si="36"/>
        <v>642.86091908000003</v>
      </c>
      <c r="AC99" s="145">
        <f>+(S99-T99)*V99-'data 1'!$F$4</f>
        <v>41.253</v>
      </c>
      <c r="AD99" s="145">
        <f t="shared" si="37"/>
        <v>14.579625155602491</v>
      </c>
      <c r="AE99" s="145">
        <f t="shared" si="38"/>
        <v>-14.884999999999998</v>
      </c>
      <c r="AF99" s="145">
        <f t="shared" si="39"/>
        <v>54.45974622515255</v>
      </c>
      <c r="AG99" s="772">
        <f t="shared" ref="AG99:AG108" si="46">+IF(D99="RONALD WILLIAN GARIBAY ESCUDERO",AC99+AD99+AE99+AF99+70,AC99+AD99+AE99+AF99)+70-53</f>
        <v>112.40737138075505</v>
      </c>
      <c r="AH99" s="146">
        <f t="shared" si="40"/>
        <v>45.471296998864617</v>
      </c>
      <c r="AI99" s="156">
        <f t="shared" si="41"/>
        <v>27.796584267897501</v>
      </c>
      <c r="AJ99" s="156">
        <f t="shared" si="42"/>
        <v>41.979393102099536</v>
      </c>
      <c r="AK99" s="88"/>
      <c r="AL99" s="716">
        <f t="shared" si="29"/>
        <v>3440.2348511060709</v>
      </c>
      <c r="AM99" s="716" t="str">
        <f>_xlfn.XLOOKUP(D99,RUC!$B$3:$B$72,RUC!$M$3:$M$72)</f>
        <v>Evelyn</v>
      </c>
      <c r="AN99" s="1167" t="s">
        <v>2297</v>
      </c>
    </row>
    <row r="100" spans="1:40" ht="15" customHeight="1">
      <c r="A100" s="747" t="s">
        <v>2264</v>
      </c>
      <c r="B100" s="595">
        <v>45833</v>
      </c>
      <c r="C100" s="595">
        <v>45828</v>
      </c>
      <c r="D100" t="s">
        <v>1967</v>
      </c>
      <c r="E100">
        <f>_xlfn.XLOOKUP(D100,RUC!$B$3:$B$123,RUC!$D$3:$D$123)</f>
        <v>20601769396</v>
      </c>
      <c r="G100" s="80">
        <v>16</v>
      </c>
      <c r="H100" t="s">
        <v>69</v>
      </c>
      <c r="I100" s="596">
        <v>1.1299999999999999</v>
      </c>
      <c r="J100" s="596">
        <v>4.55</v>
      </c>
      <c r="K100" s="138">
        <f t="shared" si="34"/>
        <v>1.0785849999999999</v>
      </c>
      <c r="L100" s="139">
        <v>0.30549999999999999</v>
      </c>
      <c r="M100" s="139">
        <v>0.28699999999999998</v>
      </c>
      <c r="N100" s="159">
        <v>0.28699999999999998</v>
      </c>
      <c r="O100" s="645">
        <f t="shared" si="31"/>
        <v>0.28699999999999998</v>
      </c>
      <c r="P100" s="727">
        <v>90</v>
      </c>
      <c r="Q100" s="596">
        <v>92.83</v>
      </c>
      <c r="R100" s="706">
        <v>3368.25</v>
      </c>
      <c r="S100" s="765">
        <f t="shared" si="45"/>
        <v>110</v>
      </c>
      <c r="T100" s="1146"/>
      <c r="U100" s="1146">
        <f>_xlfn.XLOOKUP(D100,RUC!$B$3:$B$123,RUC!$F$3:$F$123)</f>
        <v>120</v>
      </c>
      <c r="V100" s="715">
        <v>1.1023000000000001</v>
      </c>
      <c r="Y100">
        <f>_xlfn.XLOOKUP(D100,RUC!$B$3:$B$123,RUC!$G$3:$G$123)</f>
        <v>20</v>
      </c>
      <c r="Z100" s="143">
        <f>_xlfn.XLOOKUP(D100,RUC!$B$3:$B$123,RUC!$H$3:$H$123)</f>
        <v>30</v>
      </c>
      <c r="AA100" s="144">
        <f t="shared" si="35"/>
        <v>50</v>
      </c>
      <c r="AB100" s="145">
        <f t="shared" si="36"/>
        <v>748.48702534250003</v>
      </c>
      <c r="AC100" s="145">
        <f>+(S100-T100)*V100-'data 1'!$F$4</f>
        <v>41.253</v>
      </c>
      <c r="AD100" s="145">
        <f t="shared" si="37"/>
        <v>30.95614730875873</v>
      </c>
      <c r="AE100" s="145">
        <f t="shared" si="38"/>
        <v>-14.884999999999998</v>
      </c>
      <c r="AF100" s="145">
        <f t="shared" si="39"/>
        <v>61.490685328961305</v>
      </c>
      <c r="AG100" s="772">
        <f t="shared" si="46"/>
        <v>135.81483263772003</v>
      </c>
      <c r="AH100" s="146">
        <f t="shared" si="40"/>
        <v>10.487283552828339</v>
      </c>
      <c r="AI100" s="156">
        <f t="shared" si="41"/>
        <v>31.807811598241251</v>
      </c>
      <c r="AJ100" s="156">
        <f t="shared" si="42"/>
        <v>9.5518578712175568</v>
      </c>
      <c r="AK100" s="88"/>
      <c r="AL100" s="716">
        <f t="shared" ref="AL100:AL108" si="47">+IF(AB100*K100&gt;0,AB100*K100,0)</f>
        <v>807.30687822904031</v>
      </c>
      <c r="AM100" s="716" t="str">
        <f>_xlfn.XLOOKUP(D100,RUC!$B$3:$B$72,RUC!$M$3:$M$72)</f>
        <v>Evelyn</v>
      </c>
      <c r="AN100" s="1167" t="s">
        <v>2297</v>
      </c>
    </row>
    <row r="101" spans="1:40" ht="15" customHeight="1">
      <c r="A101" s="747" t="s">
        <v>2265</v>
      </c>
      <c r="B101" s="595">
        <v>45833</v>
      </c>
      <c r="C101" s="595">
        <v>45828</v>
      </c>
      <c r="D101" t="s">
        <v>1967</v>
      </c>
      <c r="E101">
        <f>_xlfn.XLOOKUP(D101,RUC!$B$3:$B$123,RUC!$D$3:$D$123)</f>
        <v>20601769396</v>
      </c>
      <c r="G101" s="80">
        <v>40</v>
      </c>
      <c r="H101" t="s">
        <v>108</v>
      </c>
      <c r="I101" s="596">
        <v>3.09</v>
      </c>
      <c r="J101" s="596">
        <v>3.09</v>
      </c>
      <c r="K101" s="138">
        <f t="shared" si="34"/>
        <v>2.9945189999999999</v>
      </c>
      <c r="L101" s="139">
        <v>0.433</v>
      </c>
      <c r="M101" s="139">
        <v>0.40699999999999997</v>
      </c>
      <c r="N101" s="159">
        <v>0.40699999999999997</v>
      </c>
      <c r="O101" s="645">
        <f t="shared" si="31"/>
        <v>0.40699999999999997</v>
      </c>
      <c r="P101" s="727">
        <v>90</v>
      </c>
      <c r="Q101" s="596">
        <v>95.56</v>
      </c>
      <c r="R101" s="706">
        <v>3368.25</v>
      </c>
      <c r="S101" s="765">
        <f t="shared" si="45"/>
        <v>130</v>
      </c>
      <c r="T101" s="1146"/>
      <c r="U101" s="1146">
        <f>_xlfn.XLOOKUP(D101,RUC!$B$3:$B$123,RUC!$F$3:$F$123)</f>
        <v>120</v>
      </c>
      <c r="V101" s="715">
        <v>1.1023000000000001</v>
      </c>
      <c r="Y101">
        <f>_xlfn.XLOOKUP(D101,RUC!$B$3:$B$123,RUC!$G$3:$G$123)</f>
        <v>20</v>
      </c>
      <c r="Z101" s="143">
        <f>_xlfn.XLOOKUP(D101,RUC!$B$3:$B$123,RUC!$H$3:$H$123)</f>
        <v>30</v>
      </c>
      <c r="AA101" s="144">
        <f t="shared" si="35"/>
        <v>50</v>
      </c>
      <c r="AB101" s="145">
        <f t="shared" si="36"/>
        <v>1113.1399906425002</v>
      </c>
      <c r="AC101" s="145">
        <f>+(S101-T101)*V101-'data 1'!$F$4</f>
        <v>63.299000000000007</v>
      </c>
      <c r="AD101" s="145">
        <f t="shared" si="37"/>
        <v>86.200928238930032</v>
      </c>
      <c r="AE101" s="145">
        <f t="shared" si="38"/>
        <v>-14.884999999999998</v>
      </c>
      <c r="AF101" s="145">
        <f t="shared" si="39"/>
        <v>88.960813076460084</v>
      </c>
      <c r="AG101" s="772">
        <f t="shared" si="46"/>
        <v>240.57574131539013</v>
      </c>
      <c r="AH101" s="146">
        <f t="shared" si="40"/>
        <v>42.481532929387285</v>
      </c>
      <c r="AI101" s="156">
        <f t="shared" si="41"/>
        <v>46.408578137570004</v>
      </c>
      <c r="AJ101" s="156">
        <f t="shared" si="42"/>
        <v>37.607378487125274</v>
      </c>
      <c r="AK101" s="88"/>
      <c r="AL101" s="716">
        <f t="shared" si="47"/>
        <v>3333.3188516387891</v>
      </c>
      <c r="AM101" s="716" t="str">
        <f>_xlfn.XLOOKUP(D101,RUC!$B$3:$B$72,RUC!$M$3:$M$72)</f>
        <v>Evelyn</v>
      </c>
      <c r="AN101" s="1167" t="s">
        <v>2297</v>
      </c>
    </row>
    <row r="102" spans="1:40" ht="15" customHeight="1">
      <c r="A102" s="747" t="s">
        <v>2266</v>
      </c>
      <c r="B102" s="595">
        <v>45833</v>
      </c>
      <c r="C102" s="595">
        <v>45828</v>
      </c>
      <c r="D102" t="s">
        <v>1967</v>
      </c>
      <c r="E102">
        <f>_xlfn.XLOOKUP(D102,RUC!$B$3:$B$123,RUC!$D$3:$D$123)</f>
        <v>20601769396</v>
      </c>
      <c r="G102" s="80">
        <v>39</v>
      </c>
      <c r="H102" t="s">
        <v>108</v>
      </c>
      <c r="I102" s="596">
        <v>3.07</v>
      </c>
      <c r="J102" s="596">
        <v>12.5</v>
      </c>
      <c r="K102" s="138">
        <f t="shared" si="34"/>
        <v>2.6862499999999998</v>
      </c>
      <c r="L102" s="139">
        <v>0.45700000000000002</v>
      </c>
      <c r="M102" s="139">
        <v>0.43</v>
      </c>
      <c r="N102" s="159">
        <v>0.43</v>
      </c>
      <c r="O102" s="645">
        <f t="shared" si="31"/>
        <v>0.43</v>
      </c>
      <c r="P102" s="727">
        <v>90</v>
      </c>
      <c r="Q102" s="596">
        <v>92.34</v>
      </c>
      <c r="R102" s="706">
        <v>3368.25</v>
      </c>
      <c r="S102" s="765">
        <f t="shared" si="45"/>
        <v>130</v>
      </c>
      <c r="T102" s="1146"/>
      <c r="U102" s="1146">
        <f>_xlfn.XLOOKUP(D102,RUC!$B$3:$B$123,RUC!$F$3:$F$123)</f>
        <v>120</v>
      </c>
      <c r="V102" s="715">
        <v>1.1023000000000001</v>
      </c>
      <c r="Y102">
        <f>_xlfn.XLOOKUP(D102,RUC!$B$3:$B$123,RUC!$G$3:$G$123)</f>
        <v>20</v>
      </c>
      <c r="Z102" s="143">
        <f>_xlfn.XLOOKUP(D102,RUC!$B$3:$B$123,RUC!$H$3:$H$123)</f>
        <v>30</v>
      </c>
      <c r="AA102" s="144">
        <f t="shared" si="35"/>
        <v>50</v>
      </c>
      <c r="AB102" s="145">
        <f t="shared" si="36"/>
        <v>1187.2572923250002</v>
      </c>
      <c r="AC102" s="145">
        <f>+(S102-T102)*V102-'data 1'!$F$4</f>
        <v>63.299000000000007</v>
      </c>
      <c r="AD102" s="145">
        <f t="shared" si="37"/>
        <v>38.28964254745506</v>
      </c>
      <c r="AE102" s="145">
        <f t="shared" si="38"/>
        <v>-14.884999999999998</v>
      </c>
      <c r="AF102" s="145">
        <f t="shared" si="39"/>
        <v>89.269456139505095</v>
      </c>
      <c r="AG102" s="772">
        <f t="shared" si="46"/>
        <v>192.97309868696016</v>
      </c>
      <c r="AH102" s="146">
        <f t="shared" si="40"/>
        <v>38.865259165443248</v>
      </c>
      <c r="AI102" s="156">
        <f t="shared" si="41"/>
        <v>47.330413164045005</v>
      </c>
      <c r="AJ102" s="156">
        <f t="shared" si="42"/>
        <v>35.642360852283936</v>
      </c>
      <c r="AK102" s="88"/>
      <c r="AL102" s="716">
        <f t="shared" si="47"/>
        <v>3189.2699015080316</v>
      </c>
      <c r="AM102" s="716" t="str">
        <f>_xlfn.XLOOKUP(D102,RUC!$B$3:$B$72,RUC!$M$3:$M$72)</f>
        <v>Evelyn</v>
      </c>
      <c r="AN102" s="1167" t="s">
        <v>2297</v>
      </c>
    </row>
    <row r="103" spans="1:40" ht="15" customHeight="1">
      <c r="A103" s="747" t="s">
        <v>2267</v>
      </c>
      <c r="B103" s="595">
        <v>45833</v>
      </c>
      <c r="C103" s="595">
        <v>45828</v>
      </c>
      <c r="D103" t="s">
        <v>1967</v>
      </c>
      <c r="E103">
        <f>_xlfn.XLOOKUP(D103,RUC!$B$3:$B$123,RUC!$D$3:$D$123)</f>
        <v>20601769396</v>
      </c>
      <c r="G103" s="80">
        <v>16</v>
      </c>
      <c r="H103" t="s">
        <v>108</v>
      </c>
      <c r="I103" s="596">
        <v>1.25</v>
      </c>
      <c r="J103" s="596">
        <v>7.9</v>
      </c>
      <c r="K103" s="138">
        <f t="shared" si="34"/>
        <v>1.1512500000000001</v>
      </c>
      <c r="L103" s="139">
        <v>0.46400000000000002</v>
      </c>
      <c r="M103" s="139">
        <v>0.436</v>
      </c>
      <c r="N103" s="159">
        <v>0.436</v>
      </c>
      <c r="O103" s="645">
        <f t="shared" si="31"/>
        <v>0.436</v>
      </c>
      <c r="P103" s="727">
        <v>90</v>
      </c>
      <c r="Q103" s="596">
        <v>91.59</v>
      </c>
      <c r="R103" s="706">
        <v>3368.25</v>
      </c>
      <c r="S103" s="765">
        <f t="shared" si="45"/>
        <v>130</v>
      </c>
      <c r="T103" s="1146"/>
      <c r="U103" s="1146">
        <f>_xlfn.XLOOKUP(D103,RUC!$B$3:$B$123,RUC!$F$3:$F$123)</f>
        <v>120</v>
      </c>
      <c r="V103" s="715">
        <v>1.1023000000000001</v>
      </c>
      <c r="Y103">
        <f>_xlfn.XLOOKUP(D103,RUC!$B$3:$B$123,RUC!$G$3:$G$123)</f>
        <v>20</v>
      </c>
      <c r="Z103" s="143">
        <f>_xlfn.XLOOKUP(D103,RUC!$B$3:$B$123,RUC!$H$3:$H$123)</f>
        <v>30</v>
      </c>
      <c r="AA103" s="144">
        <f t="shared" si="35"/>
        <v>50</v>
      </c>
      <c r="AB103" s="145">
        <f t="shared" si="36"/>
        <v>1206.5922405900001</v>
      </c>
      <c r="AC103" s="145">
        <f>+(S103-T103)*V103-'data 1'!$F$4</f>
        <v>63.299000000000007</v>
      </c>
      <c r="AD103" s="145">
        <f t="shared" si="37"/>
        <v>26.415835985160061</v>
      </c>
      <c r="AE103" s="145">
        <f t="shared" si="38"/>
        <v>-14.884999999999998</v>
      </c>
      <c r="AF103" s="145">
        <f t="shared" si="39"/>
        <v>91.823817638070082</v>
      </c>
      <c r="AG103" s="772">
        <f t="shared" si="46"/>
        <v>183.65365362323013</v>
      </c>
      <c r="AH103" s="146">
        <f t="shared" si="40"/>
        <v>16.774313370252031</v>
      </c>
      <c r="AI103" s="156">
        <f t="shared" si="41"/>
        <v>47.665073262840004</v>
      </c>
      <c r="AJ103" s="156">
        <f t="shared" si="42"/>
        <v>15.488441194281528</v>
      </c>
      <c r="AK103" s="88"/>
      <c r="AL103" s="716">
        <f t="shared" si="47"/>
        <v>1389.0893169792378</v>
      </c>
      <c r="AM103" s="716" t="str">
        <f>_xlfn.XLOOKUP(D103,RUC!$B$3:$B$72,RUC!$M$3:$M$72)</f>
        <v>Evelyn</v>
      </c>
      <c r="AN103" s="1167" t="s">
        <v>2297</v>
      </c>
    </row>
    <row r="104" spans="1:40" ht="15" customHeight="1">
      <c r="A104" s="747" t="s">
        <v>2268</v>
      </c>
      <c r="B104" s="595">
        <v>45835</v>
      </c>
      <c r="C104" s="595">
        <v>45828</v>
      </c>
      <c r="D104" t="s">
        <v>1967</v>
      </c>
      <c r="E104">
        <f>_xlfn.XLOOKUP(D104,RUC!$B$3:$B$123,RUC!$D$3:$D$123)</f>
        <v>20601769396</v>
      </c>
      <c r="G104" s="80">
        <v>43</v>
      </c>
      <c r="H104" t="s">
        <v>108</v>
      </c>
      <c r="I104" s="596">
        <v>3.91</v>
      </c>
      <c r="J104" s="596">
        <v>7.65</v>
      </c>
      <c r="K104" s="138">
        <f t="shared" si="34"/>
        <v>3.6108850000000001</v>
      </c>
      <c r="L104" s="139">
        <v>0.17749999999999999</v>
      </c>
      <c r="M104" s="139">
        <v>0.161525</v>
      </c>
      <c r="N104" s="159">
        <v>0.16200000000000001</v>
      </c>
      <c r="O104" s="645">
        <f t="shared" si="31"/>
        <v>0.16200000000000001</v>
      </c>
      <c r="P104" s="727">
        <v>90</v>
      </c>
      <c r="Q104" s="596">
        <v>91.01</v>
      </c>
      <c r="R104" s="706">
        <v>3368.25</v>
      </c>
      <c r="S104" s="765">
        <f t="shared" si="45"/>
        <v>100</v>
      </c>
      <c r="T104" s="1146"/>
      <c r="U104" s="1146">
        <f>_xlfn.XLOOKUP(D104,RUC!$B$3:$B$123,RUC!$F$3:$F$123)</f>
        <v>120</v>
      </c>
      <c r="V104" s="715">
        <v>1.1023000000000001</v>
      </c>
      <c r="Y104">
        <f>_xlfn.XLOOKUP(D104,RUC!$B$3:$B$123,RUC!$G$3:$G$123)</f>
        <v>20</v>
      </c>
      <c r="Z104" s="143">
        <f>_xlfn.XLOOKUP(D104,RUC!$B$3:$B$123,RUC!$H$3:$H$123)</f>
        <v>30</v>
      </c>
      <c r="AA104" s="144">
        <f t="shared" si="35"/>
        <v>50</v>
      </c>
      <c r="AB104" s="145">
        <f t="shared" si="36"/>
        <v>356.698603155</v>
      </c>
      <c r="AC104" s="145">
        <f>+(S104-T104)*V104-'data 1'!$F$4</f>
        <v>30.230000000000004</v>
      </c>
      <c r="AD104" s="145">
        <f t="shared" si="37"/>
        <v>6.419023796681282</v>
      </c>
      <c r="AE104" s="145">
        <f t="shared" si="38"/>
        <v>-14.884999999999998</v>
      </c>
      <c r="AF104" s="145">
        <f t="shared" si="39"/>
        <v>50.509150823636212</v>
      </c>
      <c r="AG104" s="772">
        <f t="shared" si="46"/>
        <v>89.273174620317491</v>
      </c>
      <c r="AH104" s="146">
        <f t="shared" si="40"/>
        <v>19.999088314140355</v>
      </c>
      <c r="AI104" s="156">
        <f t="shared" si="41"/>
        <v>18.118477335818753</v>
      </c>
      <c r="AJ104" s="156">
        <f t="shared" si="42"/>
        <v>18.050126521937159</v>
      </c>
      <c r="AK104" s="88"/>
      <c r="AL104" s="716">
        <f t="shared" si="47"/>
        <v>1287.9976356533423</v>
      </c>
      <c r="AM104" s="716" t="str">
        <f>_xlfn.XLOOKUP(D104,RUC!$B$3:$B$72,RUC!$M$3:$M$72)</f>
        <v>Evelyn</v>
      </c>
      <c r="AN104" s="1167" t="s">
        <v>2297</v>
      </c>
    </row>
    <row r="105" spans="1:40" ht="15" customHeight="1">
      <c r="A105" s="747" t="s">
        <v>2271</v>
      </c>
      <c r="B105" s="595">
        <v>45835</v>
      </c>
      <c r="C105" s="595">
        <v>45828</v>
      </c>
      <c r="D105" t="s">
        <v>1967</v>
      </c>
      <c r="E105">
        <f>_xlfn.XLOOKUP(D105,RUC!$B$3:$B$123,RUC!$D$3:$D$123)</f>
        <v>20601769396</v>
      </c>
      <c r="G105" s="80">
        <v>30</v>
      </c>
      <c r="H105" t="s">
        <v>108</v>
      </c>
      <c r="I105" s="596">
        <v>2.75</v>
      </c>
      <c r="J105" s="596">
        <v>11.2</v>
      </c>
      <c r="K105" s="138">
        <f t="shared" si="34"/>
        <v>2.4420000000000002</v>
      </c>
      <c r="L105" s="139">
        <v>0.27450000000000002</v>
      </c>
      <c r="M105" s="139">
        <v>0.25800000000000001</v>
      </c>
      <c r="N105" s="159">
        <v>0.25800000000000001</v>
      </c>
      <c r="O105" s="645">
        <f t="shared" si="31"/>
        <v>0.25800000000000001</v>
      </c>
      <c r="P105" s="727">
        <v>90</v>
      </c>
      <c r="Q105" s="596">
        <v>93.41</v>
      </c>
      <c r="R105" s="706">
        <v>3368.25</v>
      </c>
      <c r="S105" s="765">
        <f t="shared" si="45"/>
        <v>110</v>
      </c>
      <c r="T105" s="1146"/>
      <c r="U105" s="1146">
        <f>_xlfn.XLOOKUP(D105,RUC!$B$3:$B$123,RUC!$F$3:$F$123)</f>
        <v>120</v>
      </c>
      <c r="V105" s="715">
        <v>1.1023000000000001</v>
      </c>
      <c r="Y105">
        <f>_xlfn.XLOOKUP(D105,RUC!$B$3:$B$123,RUC!$G$3:$G$123)</f>
        <v>20</v>
      </c>
      <c r="Z105" s="143">
        <f>_xlfn.XLOOKUP(D105,RUC!$B$3:$B$123,RUC!$H$3:$H$123)</f>
        <v>30</v>
      </c>
      <c r="AA105" s="144">
        <f t="shared" si="35"/>
        <v>50</v>
      </c>
      <c r="AB105" s="145">
        <f t="shared" si="36"/>
        <v>655.03477539499988</v>
      </c>
      <c r="AC105" s="145">
        <f>+(S105-T105)*V105-'data 1'!$F$4</f>
        <v>41.253</v>
      </c>
      <c r="AD105" s="145">
        <f t="shared" si="37"/>
        <v>33.515521571688716</v>
      </c>
      <c r="AE105" s="145">
        <f t="shared" si="38"/>
        <v>-14.884999999999998</v>
      </c>
      <c r="AF105" s="145">
        <f t="shared" si="39"/>
        <v>55.185701921583806</v>
      </c>
      <c r="AG105" s="772">
        <f t="shared" si="46"/>
        <v>132.06922349327255</v>
      </c>
      <c r="AH105" s="146">
        <f t="shared" si="40"/>
        <v>21.46794380266995</v>
      </c>
      <c r="AI105" s="156">
        <f t="shared" si="41"/>
        <v>28.758746071811252</v>
      </c>
      <c r="AJ105" s="156">
        <f t="shared" si="42"/>
        <v>19.440925870922825</v>
      </c>
      <c r="AK105" s="88"/>
      <c r="AL105" s="716">
        <f t="shared" si="47"/>
        <v>1599.5949215145897</v>
      </c>
      <c r="AM105" s="716" t="str">
        <f>_xlfn.XLOOKUP(D105,RUC!$B$3:$B$72,RUC!$M$3:$M$72)</f>
        <v>Evelyn</v>
      </c>
      <c r="AN105" s="1167" t="s">
        <v>2297</v>
      </c>
    </row>
    <row r="106" spans="1:40" ht="15" customHeight="1">
      <c r="A106" s="747" t="s">
        <v>2272</v>
      </c>
      <c r="B106" s="595">
        <v>45835</v>
      </c>
      <c r="C106" s="595">
        <v>45828</v>
      </c>
      <c r="D106" t="s">
        <v>1967</v>
      </c>
      <c r="E106">
        <f>_xlfn.XLOOKUP(D106,RUC!$B$3:$B$123,RUC!$D$3:$D$123)</f>
        <v>20601769396</v>
      </c>
      <c r="G106" s="80">
        <v>30</v>
      </c>
      <c r="H106" t="s">
        <v>108</v>
      </c>
      <c r="I106" s="596">
        <v>2.77</v>
      </c>
      <c r="J106" s="596">
        <v>10.050000000000001</v>
      </c>
      <c r="K106" s="138">
        <f t="shared" si="34"/>
        <v>2.4916149999999999</v>
      </c>
      <c r="L106" s="139">
        <v>0.38250000000000001</v>
      </c>
      <c r="M106" s="139">
        <v>0.36</v>
      </c>
      <c r="N106" s="159">
        <v>0.36</v>
      </c>
      <c r="O106" s="645">
        <f t="shared" si="31"/>
        <v>0.36</v>
      </c>
      <c r="P106" s="727">
        <v>90</v>
      </c>
      <c r="Q106" s="596">
        <v>94.67</v>
      </c>
      <c r="R106" s="706">
        <v>3368.25</v>
      </c>
      <c r="S106" s="765">
        <f t="shared" si="45"/>
        <v>120</v>
      </c>
      <c r="T106" s="1146"/>
      <c r="U106" s="1146">
        <f>_xlfn.XLOOKUP(D106,RUC!$B$3:$B$123,RUC!$F$3:$F$123)</f>
        <v>120</v>
      </c>
      <c r="V106" s="715">
        <v>1.1023000000000001</v>
      </c>
      <c r="Y106">
        <f>_xlfn.XLOOKUP(D106,RUC!$B$3:$B$123,RUC!$G$3:$G$123)</f>
        <v>20</v>
      </c>
      <c r="Z106" s="143">
        <f>_xlfn.XLOOKUP(D106,RUC!$B$3:$B$123,RUC!$H$3:$H$123)</f>
        <v>30</v>
      </c>
      <c r="AA106" s="144">
        <f t="shared" si="35"/>
        <v>50</v>
      </c>
      <c r="AB106" s="145">
        <f t="shared" si="36"/>
        <v>972.70589590000009</v>
      </c>
      <c r="AC106" s="145">
        <f>+(S106-T106)*V106-'data 1'!$F$4</f>
        <v>52.27600000000001</v>
      </c>
      <c r="AD106" s="145">
        <f t="shared" si="37"/>
        <v>63.958397614931272</v>
      </c>
      <c r="AE106" s="145">
        <f t="shared" si="38"/>
        <v>-14.884999999999998</v>
      </c>
      <c r="AF106" s="145">
        <f t="shared" si="39"/>
        <v>76.268314676981319</v>
      </c>
      <c r="AG106" s="772">
        <f t="shared" si="46"/>
        <v>194.6177122919126</v>
      </c>
      <c r="AH106" s="146">
        <f t="shared" si="40"/>
        <v>30.933839126975407</v>
      </c>
      <c r="AI106" s="156">
        <f t="shared" si="41"/>
        <v>40.614212980068757</v>
      </c>
      <c r="AJ106" s="156">
        <f t="shared" si="42"/>
        <v>27.678019835369042</v>
      </c>
      <c r="AK106" s="88"/>
      <c r="AL106" s="716">
        <f t="shared" si="47"/>
        <v>2423.6086008128786</v>
      </c>
      <c r="AM106" s="716" t="str">
        <f>_xlfn.XLOOKUP(D106,RUC!$B$3:$B$72,RUC!$M$3:$M$72)</f>
        <v>Evelyn</v>
      </c>
      <c r="AN106" s="1167" t="s">
        <v>2297</v>
      </c>
    </row>
    <row r="107" spans="1:40" ht="15" customHeight="1">
      <c r="A107" s="747" t="s">
        <v>2273</v>
      </c>
      <c r="B107" s="595">
        <v>45835</v>
      </c>
      <c r="C107" s="595">
        <v>45828</v>
      </c>
      <c r="D107" t="s">
        <v>1967</v>
      </c>
      <c r="E107">
        <f>_xlfn.XLOOKUP(D107,RUC!$B$3:$B$123,RUC!$D$3:$D$123)</f>
        <v>20601769396</v>
      </c>
      <c r="G107" s="80">
        <v>30</v>
      </c>
      <c r="H107" t="s">
        <v>108</v>
      </c>
      <c r="I107" s="596">
        <v>2.74</v>
      </c>
      <c r="J107" s="596">
        <v>8.0500000000000007</v>
      </c>
      <c r="K107" s="138">
        <f t="shared" si="34"/>
        <v>2.5194300000000003</v>
      </c>
      <c r="L107" s="139">
        <v>0.34699999999999998</v>
      </c>
      <c r="M107" s="139">
        <v>0.32600000000000001</v>
      </c>
      <c r="N107" s="159">
        <v>0.32600000000000001</v>
      </c>
      <c r="O107" s="645">
        <f t="shared" si="31"/>
        <v>0.32600000000000001</v>
      </c>
      <c r="P107" s="727">
        <v>90</v>
      </c>
      <c r="Q107" s="596">
        <v>95.68</v>
      </c>
      <c r="R107" s="706">
        <v>3368.25</v>
      </c>
      <c r="S107" s="765">
        <f t="shared" si="45"/>
        <v>120</v>
      </c>
      <c r="T107" s="1146"/>
      <c r="U107" s="1146">
        <f>_xlfn.XLOOKUP(D107,RUC!$B$3:$B$123,RUC!$F$3:$F$123)</f>
        <v>120</v>
      </c>
      <c r="V107" s="715">
        <v>1.1023000000000001</v>
      </c>
      <c r="Y107">
        <f>_xlfn.XLOOKUP(D107,RUC!$B$3:$B$123,RUC!$G$3:$G$123)</f>
        <v>20</v>
      </c>
      <c r="Z107" s="143">
        <f>_xlfn.XLOOKUP(D107,RUC!$B$3:$B$123,RUC!$H$3:$H$123)</f>
        <v>30</v>
      </c>
      <c r="AA107" s="144">
        <f t="shared" si="35"/>
        <v>50</v>
      </c>
      <c r="AB107" s="145">
        <f t="shared" si="36"/>
        <v>863.14118906500005</v>
      </c>
      <c r="AC107" s="145">
        <f>+(S107-T107)*V107-'data 1'!$F$4</f>
        <v>52.27600000000001</v>
      </c>
      <c r="AD107" s="145">
        <f t="shared" si="37"/>
        <v>70.571128948860093</v>
      </c>
      <c r="AE107" s="145">
        <f t="shared" si="38"/>
        <v>-14.884999999999998</v>
      </c>
      <c r="AF107" s="145">
        <f t="shared" si="39"/>
        <v>71.94319416647987</v>
      </c>
      <c r="AG107" s="772">
        <f t="shared" si="46"/>
        <v>196.90532311533997</v>
      </c>
      <c r="AH107" s="146">
        <f t="shared" si="40"/>
        <v>28.678868135815488</v>
      </c>
      <c r="AI107" s="156">
        <f t="shared" si="41"/>
        <v>37.237873026640003</v>
      </c>
      <c r="AJ107" s="156">
        <f t="shared" si="42"/>
        <v>25.343784972025702</v>
      </c>
      <c r="AK107" s="88"/>
      <c r="AL107" s="716">
        <f t="shared" si="47"/>
        <v>2174.6238059660332</v>
      </c>
      <c r="AM107" s="716" t="str">
        <f>_xlfn.XLOOKUP(D107,RUC!$B$3:$B$72,RUC!$M$3:$M$72)</f>
        <v>Evelyn</v>
      </c>
      <c r="AN107" s="1167" t="s">
        <v>2297</v>
      </c>
    </row>
    <row r="108" spans="1:40" ht="15" customHeight="1">
      <c r="A108" s="747" t="s">
        <v>2274</v>
      </c>
      <c r="B108" s="595">
        <v>45835</v>
      </c>
      <c r="C108" s="595">
        <v>45828</v>
      </c>
      <c r="D108" t="s">
        <v>1967</v>
      </c>
      <c r="E108">
        <f>_xlfn.XLOOKUP(D108,RUC!$B$3:$B$123,RUC!$D$3:$D$123)</f>
        <v>20601769396</v>
      </c>
      <c r="G108" s="80">
        <v>30</v>
      </c>
      <c r="H108" t="s">
        <v>108</v>
      </c>
      <c r="I108" s="596">
        <v>2.74</v>
      </c>
      <c r="J108" s="596">
        <v>11.55</v>
      </c>
      <c r="K108" s="138">
        <f t="shared" si="34"/>
        <v>2.4235300000000004</v>
      </c>
      <c r="L108" s="139">
        <v>0.42099999999999999</v>
      </c>
      <c r="M108" s="139">
        <v>0.39600000000000002</v>
      </c>
      <c r="N108" s="159">
        <v>0.39600000000000002</v>
      </c>
      <c r="O108" s="645">
        <f t="shared" si="31"/>
        <v>0.39600000000000002</v>
      </c>
      <c r="P108" s="727">
        <v>90</v>
      </c>
      <c r="Q108" s="596">
        <v>97.62</v>
      </c>
      <c r="R108" s="706">
        <v>3368.25</v>
      </c>
      <c r="S108" s="765">
        <f t="shared" si="45"/>
        <v>120</v>
      </c>
      <c r="T108" s="1146"/>
      <c r="U108" s="1146">
        <f>_xlfn.XLOOKUP(D108,RUC!$B$3:$B$123,RUC!$F$3:$F$123)</f>
        <v>120</v>
      </c>
      <c r="V108" s="715">
        <v>1.1023000000000001</v>
      </c>
      <c r="Y108">
        <f>_xlfn.XLOOKUP(D108,RUC!$B$3:$B$123,RUC!$G$3:$G$123)</f>
        <v>20</v>
      </c>
      <c r="Z108" s="143">
        <f>_xlfn.XLOOKUP(D108,RUC!$B$3:$B$123,RUC!$H$3:$H$123)</f>
        <v>30</v>
      </c>
      <c r="AA108" s="144">
        <f t="shared" si="35"/>
        <v>50</v>
      </c>
      <c r="AB108" s="145">
        <f t="shared" si="36"/>
        <v>1088.7155854900002</v>
      </c>
      <c r="AC108" s="145">
        <f>+(S108-T108)*V108-'data 1'!$F$4</f>
        <v>52.27600000000001</v>
      </c>
      <c r="AD108" s="145">
        <f t="shared" si="37"/>
        <v>114.86463098719507</v>
      </c>
      <c r="AE108" s="145">
        <f t="shared" si="38"/>
        <v>-14.884999999999998</v>
      </c>
      <c r="AF108" s="145">
        <f t="shared" si="39"/>
        <v>87.383224519874915</v>
      </c>
      <c r="AG108" s="772">
        <f t="shared" si="46"/>
        <v>256.63885550707005</v>
      </c>
      <c r="AH108" s="146">
        <f t="shared" si="40"/>
        <v>34.149029716838875</v>
      </c>
      <c r="AI108" s="156">
        <f t="shared" si="41"/>
        <v>46.095138526305</v>
      </c>
      <c r="AJ108" s="156">
        <f t="shared" si="42"/>
        <v>29.613869940891007</v>
      </c>
      <c r="AK108" s="88"/>
      <c r="AL108" s="716">
        <f t="shared" si="47"/>
        <v>2638.5348829025806</v>
      </c>
      <c r="AM108" s="716" t="str">
        <f>_xlfn.XLOOKUP(D108,RUC!$B$3:$B$72,RUC!$M$3:$M$72)</f>
        <v>Evelyn</v>
      </c>
      <c r="AN108" s="1167" t="s">
        <v>2297</v>
      </c>
    </row>
    <row r="109" spans="1:40" ht="15" customHeight="1">
      <c r="B109" s="595"/>
      <c r="C109" s="595"/>
      <c r="G109" s="80"/>
      <c r="L109" s="139"/>
      <c r="M109" s="139"/>
      <c r="N109" s="159"/>
      <c r="R109" s="706"/>
    </row>
    <row r="110" spans="1:40" ht="15" customHeight="1">
      <c r="B110" s="595"/>
      <c r="C110" s="595"/>
      <c r="G110" s="80"/>
      <c r="L110" s="139"/>
      <c r="M110" s="139"/>
      <c r="N110" s="159"/>
      <c r="R110" s="706"/>
    </row>
    <row r="111" spans="1:40" ht="15" customHeight="1">
      <c r="B111" s="595"/>
      <c r="C111" s="595"/>
      <c r="G111" s="80"/>
      <c r="L111" s="139"/>
      <c r="M111" s="139"/>
      <c r="N111" s="159"/>
      <c r="R111" s="706"/>
    </row>
    <row r="112" spans="1:40" ht="15" customHeight="1">
      <c r="B112" s="595"/>
      <c r="C112" s="595"/>
      <c r="G112" s="80"/>
      <c r="L112" s="139"/>
      <c r="M112" s="139"/>
      <c r="N112" s="159"/>
    </row>
    <row r="113" spans="2:14" ht="15" customHeight="1">
      <c r="B113" s="595"/>
      <c r="C113" s="595"/>
      <c r="G113" s="80"/>
      <c r="L113" s="139"/>
      <c r="M113" s="139"/>
      <c r="N113" s="159"/>
    </row>
    <row r="114" spans="2:14" ht="15" customHeight="1">
      <c r="B114" s="595"/>
      <c r="C114" s="595"/>
      <c r="G114" s="80"/>
      <c r="L114" s="139"/>
      <c r="M114" s="139"/>
      <c r="N114" s="159"/>
    </row>
    <row r="115" spans="2:14" ht="15" customHeight="1">
      <c r="B115" s="595"/>
      <c r="C115" s="595"/>
      <c r="G115" s="80"/>
      <c r="L115" s="139"/>
      <c r="M115" s="139"/>
      <c r="N115" s="159"/>
    </row>
    <row r="116" spans="2:14" ht="15" customHeight="1">
      <c r="B116" s="595"/>
      <c r="C116" s="595"/>
      <c r="G116" s="80"/>
      <c r="L116" s="139"/>
      <c r="M116" s="139"/>
      <c r="N116" s="159"/>
    </row>
    <row r="117" spans="2:14" ht="15" customHeight="1">
      <c r="B117" s="595"/>
      <c r="C117" s="595"/>
      <c r="G117" s="80"/>
      <c r="L117" s="139"/>
      <c r="M117" s="139"/>
      <c r="N117" s="159"/>
    </row>
    <row r="118" spans="2:14" ht="15" customHeight="1">
      <c r="B118" s="595"/>
      <c r="C118" s="595"/>
      <c r="G118" s="80"/>
      <c r="L118" s="139"/>
      <c r="M118" s="139"/>
      <c r="N118" s="159"/>
    </row>
    <row r="119" spans="2:14" ht="15" customHeight="1">
      <c r="B119" s="595"/>
      <c r="C119" s="595"/>
      <c r="G119" s="80"/>
      <c r="L119" s="139"/>
      <c r="M119" s="139"/>
      <c r="N119" s="159"/>
    </row>
    <row r="120" spans="2:14" ht="15" customHeight="1">
      <c r="B120" s="595"/>
      <c r="C120" s="595"/>
      <c r="G120" s="80"/>
      <c r="L120" s="139"/>
      <c r="M120" s="139"/>
      <c r="N120" s="159"/>
    </row>
    <row r="121" spans="2:14" ht="15" customHeight="1">
      <c r="B121" s="595"/>
      <c r="C121" s="595"/>
      <c r="G121" s="80"/>
      <c r="L121" s="139"/>
      <c r="M121" s="139"/>
      <c r="N121" s="159"/>
    </row>
    <row r="122" spans="2:14" ht="15" customHeight="1">
      <c r="B122" s="595"/>
      <c r="C122" s="595"/>
      <c r="G122" s="80"/>
      <c r="L122" s="139"/>
      <c r="M122" s="139"/>
      <c r="N122" s="159"/>
    </row>
    <row r="123" spans="2:14" ht="15" customHeight="1">
      <c r="B123" s="595"/>
      <c r="C123" s="595"/>
      <c r="G123" s="80"/>
      <c r="L123" s="139"/>
      <c r="M123" s="139"/>
      <c r="N123" s="159"/>
    </row>
    <row r="124" spans="2:14" ht="15" customHeight="1">
      <c r="B124" s="595"/>
      <c r="C124" s="595"/>
      <c r="G124" s="80"/>
      <c r="L124" s="139"/>
      <c r="M124" s="139"/>
      <c r="N124" s="159"/>
    </row>
    <row r="125" spans="2:14" ht="15" customHeight="1">
      <c r="B125" s="595"/>
      <c r="C125" s="595"/>
      <c r="G125" s="80"/>
      <c r="L125" s="139"/>
      <c r="M125" s="139"/>
      <c r="N125" s="159"/>
    </row>
    <row r="126" spans="2:14" ht="15" customHeight="1">
      <c r="B126" s="595"/>
      <c r="C126" s="595"/>
      <c r="G126" s="80"/>
      <c r="L126" s="139"/>
      <c r="M126" s="139"/>
      <c r="N126" s="159"/>
    </row>
    <row r="127" spans="2:14" ht="15" customHeight="1">
      <c r="B127" s="595"/>
      <c r="C127" s="595"/>
      <c r="G127" s="80"/>
      <c r="L127" s="139"/>
      <c r="M127" s="139"/>
      <c r="N127" s="159"/>
    </row>
    <row r="128" spans="2:14" ht="15" customHeight="1">
      <c r="B128" s="595"/>
      <c r="C128" s="595"/>
      <c r="G128" s="80"/>
      <c r="L128" s="139"/>
      <c r="M128" s="139"/>
      <c r="N128" s="159"/>
    </row>
    <row r="129" spans="2:14" ht="15" customHeight="1">
      <c r="B129" s="595"/>
      <c r="C129" s="595"/>
      <c r="G129" s="80"/>
      <c r="L129" s="139"/>
      <c r="M129" s="139"/>
      <c r="N129" s="159"/>
    </row>
    <row r="130" spans="2:14" ht="15" customHeight="1">
      <c r="B130" s="595"/>
      <c r="C130" s="595"/>
      <c r="G130" s="80"/>
      <c r="L130" s="139"/>
      <c r="M130" s="139"/>
      <c r="N130" s="159"/>
    </row>
    <row r="131" spans="2:14" ht="15" customHeight="1">
      <c r="B131" s="595"/>
      <c r="C131" s="595"/>
      <c r="G131" s="80"/>
      <c r="L131" s="139"/>
      <c r="M131" s="139"/>
      <c r="N131" s="159"/>
    </row>
    <row r="132" spans="2:14" ht="15" customHeight="1">
      <c r="B132" s="595"/>
      <c r="C132" s="595"/>
      <c r="G132" s="80"/>
      <c r="L132" s="139"/>
      <c r="M132" s="139"/>
      <c r="N132" s="159"/>
    </row>
    <row r="133" spans="2:14" ht="15" customHeight="1">
      <c r="B133" s="595"/>
      <c r="C133" s="595"/>
      <c r="G133" s="80"/>
      <c r="L133" s="139"/>
      <c r="M133" s="139"/>
      <c r="N133" s="159"/>
    </row>
    <row r="134" spans="2:14" ht="15" customHeight="1">
      <c r="B134" s="595"/>
      <c r="C134" s="595"/>
      <c r="G134" s="80"/>
      <c r="L134" s="139"/>
      <c r="M134" s="139"/>
      <c r="N134" s="159"/>
    </row>
    <row r="135" spans="2:14" ht="15" customHeight="1">
      <c r="B135" s="595"/>
      <c r="C135" s="595"/>
      <c r="G135" s="80"/>
      <c r="L135" s="139"/>
      <c r="M135" s="139"/>
      <c r="N135" s="159"/>
    </row>
    <row r="136" spans="2:14" ht="15" customHeight="1">
      <c r="B136" s="595"/>
      <c r="C136" s="595"/>
      <c r="G136" s="80"/>
      <c r="L136" s="139"/>
      <c r="M136" s="139"/>
      <c r="N136" s="159"/>
    </row>
    <row r="137" spans="2:14" ht="15" customHeight="1">
      <c r="B137" s="595"/>
      <c r="C137" s="595"/>
      <c r="G137" s="80"/>
      <c r="L137" s="139"/>
      <c r="M137" s="139"/>
      <c r="N137" s="159"/>
    </row>
    <row r="138" spans="2:14" ht="15" customHeight="1">
      <c r="B138" s="595"/>
      <c r="C138" s="595"/>
      <c r="G138" s="80"/>
      <c r="L138" s="139"/>
      <c r="M138" s="139"/>
      <c r="N138" s="159"/>
    </row>
    <row r="139" spans="2:14" ht="15" customHeight="1">
      <c r="B139" s="595"/>
      <c r="C139" s="595"/>
      <c r="G139" s="80"/>
      <c r="L139" s="139"/>
      <c r="M139" s="139"/>
      <c r="N139" s="159"/>
    </row>
    <row r="140" spans="2:14" ht="15" customHeight="1">
      <c r="B140" s="595"/>
      <c r="C140" s="595"/>
      <c r="G140" s="80"/>
      <c r="L140" s="139"/>
      <c r="M140" s="139"/>
      <c r="N140" s="159"/>
    </row>
    <row r="141" spans="2:14" ht="15" customHeight="1">
      <c r="B141" s="595"/>
      <c r="C141" s="595"/>
      <c r="G141" s="80"/>
      <c r="L141" s="139"/>
      <c r="M141" s="139"/>
      <c r="N141" s="159"/>
    </row>
    <row r="142" spans="2:14" ht="15" customHeight="1">
      <c r="B142" s="595"/>
      <c r="C142" s="595"/>
      <c r="G142" s="80"/>
      <c r="L142" s="139"/>
      <c r="M142" s="139"/>
      <c r="N142" s="159"/>
    </row>
    <row r="143" spans="2:14" ht="15" customHeight="1">
      <c r="B143" s="595"/>
      <c r="C143" s="595"/>
      <c r="G143" s="80"/>
      <c r="L143" s="139"/>
      <c r="M143" s="139"/>
      <c r="N143" s="159"/>
    </row>
    <row r="144" spans="2:14" ht="15" customHeight="1">
      <c r="B144" s="595"/>
      <c r="C144" s="595"/>
      <c r="M144" s="139"/>
      <c r="N144" s="159"/>
    </row>
    <row r="145" spans="2:14" ht="15" customHeight="1">
      <c r="B145" s="595"/>
      <c r="C145" s="595"/>
      <c r="M145" s="139"/>
      <c r="N145" s="159"/>
    </row>
    <row r="146" spans="2:14" ht="15" customHeight="1">
      <c r="B146" s="595"/>
      <c r="C146" s="595"/>
      <c r="M146" s="139"/>
      <c r="N146" s="159"/>
    </row>
    <row r="147" spans="2:14" ht="15" customHeight="1">
      <c r="B147" s="595"/>
      <c r="C147" s="595"/>
      <c r="M147" s="139"/>
      <c r="N147" s="159"/>
    </row>
    <row r="148" spans="2:14" ht="15" customHeight="1">
      <c r="B148" s="595"/>
      <c r="C148" s="595"/>
      <c r="M148" s="139"/>
      <c r="N148" s="159"/>
    </row>
    <row r="149" spans="2:14" ht="15" customHeight="1">
      <c r="B149" s="595"/>
      <c r="C149" s="595"/>
      <c r="M149" s="139"/>
      <c r="N149" s="159"/>
    </row>
    <row r="150" spans="2:14" ht="15" customHeight="1">
      <c r="B150" s="595"/>
      <c r="C150" s="595"/>
      <c r="M150" s="139"/>
      <c r="N150" s="159"/>
    </row>
    <row r="151" spans="2:14" ht="15" customHeight="1">
      <c r="B151" s="595"/>
      <c r="C151" s="595"/>
      <c r="M151" s="139"/>
      <c r="N151" s="159"/>
    </row>
    <row r="152" spans="2:14" ht="15" customHeight="1">
      <c r="B152" s="595"/>
      <c r="C152" s="595"/>
      <c r="M152" s="139"/>
      <c r="N152" s="159"/>
    </row>
    <row r="153" spans="2:14" ht="15" customHeight="1">
      <c r="B153" s="595"/>
      <c r="C153" s="595"/>
      <c r="M153" s="139"/>
      <c r="N153" s="159"/>
    </row>
    <row r="154" spans="2:14" ht="15" customHeight="1">
      <c r="B154" s="595"/>
      <c r="C154" s="595"/>
      <c r="M154" s="139"/>
      <c r="N154" s="159"/>
    </row>
    <row r="155" spans="2:14" ht="15" customHeight="1">
      <c r="B155" s="595"/>
      <c r="C155" s="595"/>
      <c r="M155" s="139"/>
      <c r="N155" s="159"/>
    </row>
    <row r="156" spans="2:14" ht="15" customHeight="1">
      <c r="B156" s="595"/>
      <c r="C156" s="595"/>
      <c r="M156" s="139"/>
      <c r="N156" s="159"/>
    </row>
    <row r="157" spans="2:14" ht="15" customHeight="1">
      <c r="B157" s="595"/>
      <c r="C157" s="595"/>
      <c r="M157" s="139"/>
      <c r="N157" s="159"/>
    </row>
    <row r="158" spans="2:14" ht="15" customHeight="1">
      <c r="B158" s="595"/>
      <c r="C158" s="595"/>
      <c r="M158" s="139"/>
      <c r="N158" s="159"/>
    </row>
    <row r="159" spans="2:14" ht="15" customHeight="1">
      <c r="B159" s="595"/>
      <c r="C159" s="595"/>
      <c r="M159" s="139"/>
      <c r="N159" s="159"/>
    </row>
    <row r="160" spans="2:14" ht="15" customHeight="1">
      <c r="B160" s="595"/>
      <c r="C160" s="595"/>
      <c r="M160" s="139"/>
      <c r="N160" s="159"/>
    </row>
    <row r="161" spans="2:14" ht="15" customHeight="1">
      <c r="B161" s="595"/>
      <c r="C161" s="595"/>
      <c r="M161" s="139"/>
      <c r="N161" s="159"/>
    </row>
    <row r="162" spans="2:14" ht="15" customHeight="1">
      <c r="B162" s="595"/>
      <c r="C162" s="595"/>
      <c r="M162" s="139"/>
      <c r="N162" s="159"/>
    </row>
    <row r="163" spans="2:14" ht="15" customHeight="1">
      <c r="B163" s="595"/>
      <c r="C163" s="595"/>
      <c r="M163" s="139"/>
      <c r="N163" s="159"/>
    </row>
    <row r="164" spans="2:14" ht="15" customHeight="1">
      <c r="B164" s="595"/>
      <c r="C164" s="595"/>
      <c r="M164" s="139"/>
      <c r="N164" s="159"/>
    </row>
    <row r="165" spans="2:14" ht="15" customHeight="1">
      <c r="B165" s="595"/>
      <c r="C165" s="595"/>
      <c r="M165" s="139"/>
      <c r="N165" s="159"/>
    </row>
    <row r="166" spans="2:14" ht="15" customHeight="1">
      <c r="B166" s="595"/>
      <c r="C166" s="595"/>
      <c r="M166" s="139"/>
      <c r="N166" s="159"/>
    </row>
    <row r="167" spans="2:14" ht="15" customHeight="1">
      <c r="B167" s="595"/>
      <c r="C167" s="595"/>
      <c r="M167" s="139"/>
      <c r="N167" s="159"/>
    </row>
    <row r="168" spans="2:14" ht="15" customHeight="1">
      <c r="B168" s="595"/>
      <c r="C168" s="595"/>
      <c r="M168" s="139"/>
      <c r="N168" s="159"/>
    </row>
    <row r="169" spans="2:14" ht="15" customHeight="1">
      <c r="B169" s="595"/>
      <c r="C169" s="595"/>
      <c r="M169" s="139"/>
      <c r="N169" s="159"/>
    </row>
    <row r="170" spans="2:14" ht="15" customHeight="1">
      <c r="B170" s="595"/>
      <c r="C170" s="595"/>
      <c r="M170" s="139"/>
      <c r="N170" s="159"/>
    </row>
    <row r="171" spans="2:14" ht="15" customHeight="1">
      <c r="B171" s="595"/>
      <c r="C171" s="595"/>
      <c r="M171" s="139"/>
      <c r="N171" s="159"/>
    </row>
    <row r="172" spans="2:14" ht="15" customHeight="1">
      <c r="B172" s="595"/>
      <c r="C172" s="595"/>
      <c r="M172" s="139"/>
      <c r="N172" s="159"/>
    </row>
    <row r="173" spans="2:14" ht="15" customHeight="1">
      <c r="B173" s="595"/>
      <c r="C173" s="595"/>
      <c r="M173" s="139"/>
      <c r="N173" s="159"/>
    </row>
    <row r="174" spans="2:14" ht="15" customHeight="1">
      <c r="B174" s="595"/>
      <c r="C174" s="595"/>
      <c r="M174" s="139"/>
      <c r="N174" s="159"/>
    </row>
    <row r="175" spans="2:14" ht="15" customHeight="1">
      <c r="B175" s="595"/>
      <c r="C175" s="595"/>
      <c r="M175" s="139"/>
      <c r="N175" s="159"/>
    </row>
    <row r="176" spans="2:14" ht="15" customHeight="1">
      <c r="B176" s="595"/>
      <c r="C176" s="595"/>
      <c r="M176" s="139"/>
      <c r="N176" s="159"/>
    </row>
    <row r="177" spans="2:14" ht="15" customHeight="1">
      <c r="B177" s="595"/>
      <c r="C177" s="595"/>
      <c r="M177" s="139"/>
      <c r="N177" s="159"/>
    </row>
    <row r="178" spans="2:14" ht="15" customHeight="1">
      <c r="B178" s="595"/>
      <c r="C178" s="595"/>
      <c r="M178" s="139"/>
      <c r="N178" s="159"/>
    </row>
    <row r="179" spans="2:14" ht="15" customHeight="1">
      <c r="B179" s="595"/>
      <c r="C179" s="595"/>
      <c r="M179" s="139"/>
      <c r="N179" s="159"/>
    </row>
    <row r="180" spans="2:14" ht="15" customHeight="1">
      <c r="B180" s="595"/>
      <c r="C180" s="595"/>
      <c r="M180" s="139"/>
      <c r="N180" s="159"/>
    </row>
    <row r="181" spans="2:14" ht="15" customHeight="1">
      <c r="B181" s="595"/>
      <c r="C181" s="595"/>
      <c r="M181" s="139"/>
      <c r="N181" s="159"/>
    </row>
    <row r="182" spans="2:14" ht="15" customHeight="1">
      <c r="B182" s="595"/>
      <c r="C182" s="595"/>
      <c r="M182" s="139"/>
      <c r="N182" s="159"/>
    </row>
    <row r="183" spans="2:14" ht="15" customHeight="1">
      <c r="B183" s="595"/>
      <c r="C183" s="595"/>
      <c r="M183" s="139"/>
      <c r="N183" s="159"/>
    </row>
    <row r="184" spans="2:14" ht="15" customHeight="1">
      <c r="B184" s="595"/>
      <c r="C184" s="595"/>
      <c r="M184" s="139"/>
      <c r="N184" s="159"/>
    </row>
    <row r="185" spans="2:14" ht="15" customHeight="1">
      <c r="B185" s="595"/>
      <c r="C185" s="595"/>
      <c r="M185" s="139"/>
      <c r="N185" s="159"/>
    </row>
    <row r="186" spans="2:14" ht="15" customHeight="1">
      <c r="B186" s="595"/>
      <c r="C186" s="595"/>
      <c r="M186" s="139"/>
      <c r="N186" s="159"/>
    </row>
    <row r="187" spans="2:14" ht="15" customHeight="1">
      <c r="B187" s="595"/>
      <c r="C187" s="595"/>
      <c r="M187" s="139"/>
      <c r="N187" s="159"/>
    </row>
    <row r="188" spans="2:14" ht="15" customHeight="1">
      <c r="B188" s="595"/>
      <c r="C188" s="595"/>
      <c r="M188" s="139"/>
      <c r="N188" s="159"/>
    </row>
    <row r="189" spans="2:14" ht="15" customHeight="1">
      <c r="B189" s="595"/>
      <c r="C189" s="595"/>
      <c r="M189" s="139"/>
      <c r="N189" s="159"/>
    </row>
    <row r="190" spans="2:14" ht="15" customHeight="1">
      <c r="B190" s="595"/>
      <c r="C190" s="595"/>
      <c r="M190" s="139"/>
      <c r="N190" s="159"/>
    </row>
    <row r="191" spans="2:14" ht="15" customHeight="1">
      <c r="B191" s="595"/>
      <c r="C191" s="595"/>
      <c r="M191" s="139"/>
      <c r="N191" s="159"/>
    </row>
    <row r="192" spans="2:14" ht="15" customHeight="1">
      <c r="B192" s="595"/>
      <c r="C192" s="595"/>
      <c r="M192" s="139"/>
      <c r="N192" s="159"/>
    </row>
    <row r="193" spans="2:14" ht="15" customHeight="1">
      <c r="B193" s="595"/>
      <c r="C193" s="595"/>
      <c r="M193" s="139"/>
      <c r="N193" s="159"/>
    </row>
    <row r="194" spans="2:14" ht="15" customHeight="1">
      <c r="B194" s="595"/>
      <c r="C194" s="595"/>
      <c r="M194" s="139"/>
      <c r="N194" s="159"/>
    </row>
    <row r="195" spans="2:14" ht="15" customHeight="1">
      <c r="B195" s="595"/>
      <c r="C195" s="595"/>
      <c r="M195" s="139"/>
      <c r="N195" s="159"/>
    </row>
    <row r="196" spans="2:14" ht="15" customHeight="1">
      <c r="B196" s="595"/>
      <c r="C196" s="595"/>
      <c r="M196" s="139"/>
      <c r="N196" s="159"/>
    </row>
    <row r="197" spans="2:14" ht="15" customHeight="1">
      <c r="B197" s="595"/>
      <c r="C197" s="595"/>
      <c r="M197" s="139"/>
      <c r="N197" s="159"/>
    </row>
    <row r="198" spans="2:14" ht="15" customHeight="1">
      <c r="B198" s="595"/>
      <c r="C198" s="595"/>
      <c r="M198" s="139"/>
      <c r="N198" s="159"/>
    </row>
    <row r="199" spans="2:14" ht="15" customHeight="1">
      <c r="B199" s="595"/>
      <c r="C199" s="595"/>
      <c r="M199" s="139"/>
      <c r="N199" s="159"/>
    </row>
    <row r="200" spans="2:14" ht="15" customHeight="1">
      <c r="B200" s="595"/>
      <c r="C200" s="595"/>
      <c r="M200" s="139"/>
      <c r="N200" s="159"/>
    </row>
    <row r="201" spans="2:14" ht="15" customHeight="1">
      <c r="B201" s="595"/>
      <c r="C201" s="595"/>
      <c r="M201" s="139"/>
      <c r="N201" s="159"/>
    </row>
    <row r="202" spans="2:14" ht="15" customHeight="1">
      <c r="B202" s="595"/>
      <c r="C202" s="595"/>
      <c r="M202" s="139"/>
      <c r="N202" s="159"/>
    </row>
    <row r="203" spans="2:14" ht="15" customHeight="1">
      <c r="M203" s="139"/>
      <c r="N203" s="159"/>
    </row>
    <row r="204" spans="2:14" ht="15" customHeight="1">
      <c r="M204" s="139"/>
      <c r="N204" s="159"/>
    </row>
    <row r="205" spans="2:14" ht="15" customHeight="1">
      <c r="M205" s="139"/>
      <c r="N205" s="159"/>
    </row>
    <row r="206" spans="2:14" ht="15" customHeight="1">
      <c r="M206" s="139"/>
      <c r="N206" s="159"/>
    </row>
    <row r="207" spans="2:14" ht="15" customHeight="1">
      <c r="M207" s="139"/>
      <c r="N207" s="159"/>
    </row>
    <row r="208" spans="2:14" ht="15" customHeight="1">
      <c r="M208" s="139"/>
      <c r="N208" s="159"/>
    </row>
    <row r="209" spans="13:14" ht="15" customHeight="1">
      <c r="M209" s="139"/>
      <c r="N209" s="159"/>
    </row>
    <row r="210" spans="13:14" ht="15" customHeight="1">
      <c r="M210" s="139"/>
      <c r="N210" s="159"/>
    </row>
    <row r="211" spans="13:14" ht="15" customHeight="1">
      <c r="M211" s="139"/>
      <c r="N211" s="159"/>
    </row>
    <row r="212" spans="13:14" ht="15" customHeight="1">
      <c r="M212" s="139"/>
      <c r="N212" s="159"/>
    </row>
    <row r="213" spans="13:14" ht="15" customHeight="1">
      <c r="M213" s="139"/>
      <c r="N213" s="159"/>
    </row>
    <row r="214" spans="13:14" ht="15" customHeight="1">
      <c r="M214" s="139"/>
      <c r="N214" s="159"/>
    </row>
    <row r="215" spans="13:14" ht="15" customHeight="1">
      <c r="M215" s="139"/>
      <c r="N215" s="159"/>
    </row>
    <row r="216" spans="13:14" ht="15" customHeight="1">
      <c r="M216" s="139"/>
      <c r="N216" s="159"/>
    </row>
    <row r="217" spans="13:14" ht="15" customHeight="1">
      <c r="M217" s="139"/>
      <c r="N217" s="159"/>
    </row>
    <row r="218" spans="13:14" ht="15" customHeight="1">
      <c r="M218" s="139"/>
      <c r="N218" s="159"/>
    </row>
    <row r="219" spans="13:14" ht="15" customHeight="1">
      <c r="M219" s="139"/>
      <c r="N219" s="159"/>
    </row>
    <row r="220" spans="13:14" ht="15" customHeight="1">
      <c r="M220" s="139"/>
      <c r="N220" s="159"/>
    </row>
    <row r="221" spans="13:14" ht="15" customHeight="1">
      <c r="M221" s="139"/>
      <c r="N221" s="159"/>
    </row>
    <row r="222" spans="13:14" ht="15" customHeight="1">
      <c r="M222" s="139"/>
      <c r="N222" s="159"/>
    </row>
    <row r="223" spans="13:14" ht="15" customHeight="1">
      <c r="M223" s="139"/>
      <c r="N223" s="159"/>
    </row>
    <row r="224" spans="13:14" ht="15" customHeight="1">
      <c r="M224" s="139"/>
      <c r="N224" s="159"/>
    </row>
    <row r="225" spans="13:14" ht="15" customHeight="1">
      <c r="M225" s="139"/>
      <c r="N225" s="159"/>
    </row>
    <row r="226" spans="13:14" ht="15" customHeight="1">
      <c r="M226" s="139"/>
      <c r="N226" s="159"/>
    </row>
    <row r="227" spans="13:14" ht="15" customHeight="1">
      <c r="M227" s="139"/>
      <c r="N227" s="159"/>
    </row>
    <row r="228" spans="13:14" ht="15" customHeight="1">
      <c r="M228" s="139"/>
      <c r="N228" s="159"/>
    </row>
    <row r="229" spans="13:14" ht="15" customHeight="1">
      <c r="M229" s="139"/>
      <c r="N229" s="159"/>
    </row>
    <row r="230" spans="13:14" ht="15" customHeight="1">
      <c r="M230" s="139"/>
      <c r="N230" s="159"/>
    </row>
    <row r="231" spans="13:14" ht="15" customHeight="1">
      <c r="M231" s="139"/>
      <c r="N231" s="159"/>
    </row>
    <row r="232" spans="13:14" ht="15" customHeight="1">
      <c r="M232" s="139"/>
      <c r="N232" s="159"/>
    </row>
    <row r="233" spans="13:14" ht="15" customHeight="1">
      <c r="M233" s="139"/>
      <c r="N233" s="159"/>
    </row>
    <row r="234" spans="13:14" ht="15" customHeight="1">
      <c r="M234" s="139"/>
      <c r="N234" s="159"/>
    </row>
    <row r="235" spans="13:14" ht="15" customHeight="1">
      <c r="M235" s="139"/>
      <c r="N235" s="159"/>
    </row>
    <row r="236" spans="13:14" ht="15" customHeight="1">
      <c r="M236" s="139"/>
      <c r="N236" s="159"/>
    </row>
    <row r="237" spans="13:14" ht="15" customHeight="1">
      <c r="M237" s="139"/>
      <c r="N237" s="159"/>
    </row>
    <row r="238" spans="13:14" ht="15" customHeight="1">
      <c r="M238" s="139"/>
      <c r="N238" s="159"/>
    </row>
    <row r="239" spans="13:14" ht="15" customHeight="1">
      <c r="M239" s="139"/>
      <c r="N239" s="159"/>
    </row>
    <row r="240" spans="13:14" ht="15" customHeight="1">
      <c r="M240" s="139"/>
      <c r="N240" s="159"/>
    </row>
    <row r="241" spans="13:14" ht="15" customHeight="1">
      <c r="M241" s="139"/>
      <c r="N241" s="159"/>
    </row>
    <row r="242" spans="13:14" ht="15" customHeight="1">
      <c r="M242" s="139"/>
      <c r="N242" s="159"/>
    </row>
    <row r="243" spans="13:14" ht="15" customHeight="1">
      <c r="M243" s="139"/>
      <c r="N243" s="159"/>
    </row>
    <row r="244" spans="13:14" ht="15" customHeight="1">
      <c r="M244" s="139"/>
      <c r="N244" s="159"/>
    </row>
    <row r="245" spans="13:14" ht="15" customHeight="1">
      <c r="M245" s="139"/>
      <c r="N245" s="159"/>
    </row>
    <row r="246" spans="13:14" ht="15" customHeight="1">
      <c r="M246" s="139"/>
      <c r="N246" s="159"/>
    </row>
    <row r="247" spans="13:14" ht="15" customHeight="1">
      <c r="M247" s="139"/>
      <c r="N247" s="159"/>
    </row>
    <row r="248" spans="13:14" ht="15" customHeight="1">
      <c r="M248" s="139"/>
      <c r="N248" s="159"/>
    </row>
    <row r="249" spans="13:14" ht="15" customHeight="1">
      <c r="M249" s="139"/>
      <c r="N249" s="159"/>
    </row>
    <row r="250" spans="13:14" ht="15" customHeight="1">
      <c r="M250" s="139"/>
      <c r="N250" s="159"/>
    </row>
    <row r="251" spans="13:14" ht="15" customHeight="1">
      <c r="M251" s="139"/>
      <c r="N251" s="159"/>
    </row>
    <row r="252" spans="13:14" ht="15" customHeight="1">
      <c r="M252" s="139"/>
      <c r="N252" s="159"/>
    </row>
    <row r="253" spans="13:14" ht="15" customHeight="1">
      <c r="M253" s="139"/>
      <c r="N253" s="159"/>
    </row>
    <row r="254" spans="13:14" ht="15" customHeight="1">
      <c r="M254" s="139"/>
      <c r="N254" s="159"/>
    </row>
    <row r="255" spans="13:14" ht="15" customHeight="1">
      <c r="M255" s="139"/>
      <c r="N255" s="159"/>
    </row>
    <row r="256" spans="13:14" ht="15" customHeight="1">
      <c r="M256" s="139"/>
      <c r="N256" s="159"/>
    </row>
    <row r="257" spans="13:14" ht="15" customHeight="1">
      <c r="M257" s="139"/>
      <c r="N257" s="159"/>
    </row>
    <row r="258" spans="13:14" ht="15" customHeight="1">
      <c r="M258" s="139"/>
      <c r="N258" s="159"/>
    </row>
    <row r="259" spans="13:14" ht="15" customHeight="1">
      <c r="M259" s="139"/>
      <c r="N259" s="159"/>
    </row>
    <row r="260" spans="13:14" ht="15" customHeight="1">
      <c r="M260" s="139"/>
      <c r="N260" s="159"/>
    </row>
    <row r="261" spans="13:14" ht="15" customHeight="1">
      <c r="M261" s="139"/>
      <c r="N261" s="159"/>
    </row>
    <row r="262" spans="13:14" ht="15" customHeight="1">
      <c r="M262" s="139"/>
      <c r="N262" s="159"/>
    </row>
    <row r="263" spans="13:14" ht="15" customHeight="1">
      <c r="M263" s="139"/>
      <c r="N263" s="159"/>
    </row>
    <row r="264" spans="13:14" ht="15" customHeight="1">
      <c r="M264" s="139"/>
      <c r="N264" s="159"/>
    </row>
    <row r="265" spans="13:14" ht="15" customHeight="1">
      <c r="M265" s="139"/>
      <c r="N265" s="159"/>
    </row>
    <row r="266" spans="13:14" ht="15" customHeight="1">
      <c r="M266" s="139"/>
      <c r="N266" s="159"/>
    </row>
    <row r="267" spans="13:14" ht="15" customHeight="1">
      <c r="M267" s="139"/>
      <c r="N267" s="159"/>
    </row>
    <row r="268" spans="13:14" ht="15" customHeight="1">
      <c r="M268" s="139"/>
      <c r="N268" s="159"/>
    </row>
    <row r="269" spans="13:14" ht="15" customHeight="1">
      <c r="M269" s="139"/>
      <c r="N269" s="159"/>
    </row>
    <row r="270" spans="13:14" ht="15" customHeight="1">
      <c r="M270" s="139"/>
      <c r="N270" s="159"/>
    </row>
    <row r="271" spans="13:14" ht="15" customHeight="1">
      <c r="M271" s="139"/>
      <c r="N271" s="159"/>
    </row>
    <row r="272" spans="13:14" ht="15" customHeight="1">
      <c r="M272" s="139"/>
      <c r="N272" s="159"/>
    </row>
    <row r="273" spans="13:14" ht="15" customHeight="1">
      <c r="M273" s="139"/>
      <c r="N273" s="159"/>
    </row>
    <row r="274" spans="13:14" ht="15" customHeight="1">
      <c r="M274" s="139"/>
      <c r="N274" s="159"/>
    </row>
    <row r="275" spans="13:14" ht="15" customHeight="1">
      <c r="M275" s="139"/>
      <c r="N275" s="159"/>
    </row>
    <row r="276" spans="13:14" ht="15" customHeight="1">
      <c r="M276" s="139"/>
      <c r="N276" s="159"/>
    </row>
    <row r="277" spans="13:14" ht="15" customHeight="1">
      <c r="M277" s="139"/>
      <c r="N277" s="159"/>
    </row>
    <row r="278" spans="13:14" ht="15" customHeight="1">
      <c r="M278" s="139"/>
      <c r="N278" s="159"/>
    </row>
    <row r="279" spans="13:14" ht="15" customHeight="1">
      <c r="M279" s="139"/>
      <c r="N279" s="159"/>
    </row>
    <row r="280" spans="13:14" ht="15" customHeight="1">
      <c r="M280" s="139"/>
      <c r="N280" s="159"/>
    </row>
    <row r="281" spans="13:14" ht="15" customHeight="1">
      <c r="M281" s="139"/>
      <c r="N281" s="159"/>
    </row>
    <row r="282" spans="13:14" ht="15" customHeight="1">
      <c r="M282" s="139"/>
      <c r="N282" s="159"/>
    </row>
    <row r="283" spans="13:14" ht="15" customHeight="1">
      <c r="M283" s="139"/>
      <c r="N283" s="159"/>
    </row>
    <row r="284" spans="13:14" ht="15" customHeight="1">
      <c r="M284" s="139"/>
      <c r="N284" s="159"/>
    </row>
    <row r="285" spans="13:14" ht="15" customHeight="1">
      <c r="M285" s="139"/>
      <c r="N285" s="159"/>
    </row>
    <row r="286" spans="13:14" ht="15" customHeight="1">
      <c r="M286" s="139"/>
      <c r="N286" s="159"/>
    </row>
    <row r="287" spans="13:14" ht="15" customHeight="1">
      <c r="M287" s="139"/>
      <c r="N287" s="159"/>
    </row>
    <row r="288" spans="13:14" ht="15" customHeight="1">
      <c r="M288" s="139"/>
      <c r="N288" s="159"/>
    </row>
    <row r="289" spans="13:14" ht="15" customHeight="1">
      <c r="M289" s="139"/>
      <c r="N289" s="159"/>
    </row>
    <row r="290" spans="13:14" ht="15" customHeight="1">
      <c r="M290" s="139"/>
      <c r="N290" s="159"/>
    </row>
    <row r="291" spans="13:14" ht="15" customHeight="1">
      <c r="M291" s="139"/>
      <c r="N291" s="159"/>
    </row>
    <row r="292" spans="13:14" ht="15" customHeight="1">
      <c r="M292" s="139"/>
      <c r="N292" s="159"/>
    </row>
    <row r="293" spans="13:14" ht="15" customHeight="1">
      <c r="M293" s="139"/>
      <c r="N293" s="159"/>
    </row>
    <row r="294" spans="13:14" ht="15" customHeight="1">
      <c r="M294" s="139"/>
      <c r="N294" s="159"/>
    </row>
    <row r="295" spans="13:14" ht="15" customHeight="1">
      <c r="M295" s="139"/>
      <c r="N295" s="159"/>
    </row>
    <row r="296" spans="13:14" ht="15" customHeight="1">
      <c r="M296" s="139"/>
      <c r="N296" s="159"/>
    </row>
    <row r="297" spans="13:14" ht="15" customHeight="1">
      <c r="M297" s="139"/>
      <c r="N297" s="159"/>
    </row>
    <row r="298" spans="13:14" ht="15" customHeight="1">
      <c r="M298" s="139"/>
      <c r="N298" s="159"/>
    </row>
    <row r="299" spans="13:14" ht="15" customHeight="1">
      <c r="N299" s="159"/>
    </row>
    <row r="300" spans="13:14" ht="15" customHeight="1">
      <c r="N300" s="159"/>
    </row>
    <row r="301" spans="13:14" ht="15" customHeight="1">
      <c r="N301" s="159"/>
    </row>
    <row r="302" spans="13:14" ht="15" customHeight="1">
      <c r="N302" s="159"/>
    </row>
    <row r="303" spans="13:14" ht="15" customHeight="1">
      <c r="N303" s="159"/>
    </row>
    <row r="304" spans="13:14" ht="15" customHeight="1">
      <c r="N304" s="159"/>
    </row>
  </sheetData>
  <autoFilter ref="A3:AN108" xr:uid="{00000000-0009-0000-0000-00000F000000}"/>
  <pageMargins left="0.7" right="0.7" top="0.75" bottom="0.75" header="0" footer="0"/>
  <pageSetup scale="16" fitToHeight="0" orientation="portrait" horizontalDpi="360" verticalDpi="360" r:id="rId1"/>
  <ignoredErrors>
    <ignoredError sqref="AI3" formula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5E86E-9022-45CC-9596-63A8B0ED982A}">
  <sheetPr codeName="Hoja42">
    <tabColor rgb="FF00B050"/>
    <pageSetUpPr fitToPage="1"/>
  </sheetPr>
  <dimension ref="A1:BD733"/>
  <sheetViews>
    <sheetView showGridLines="0" zoomScale="80" zoomScaleNormal="80" workbookViewId="0">
      <pane xSplit="4" ySplit="3" topLeftCell="AS4" activePane="bottomRight" state="frozen"/>
      <selection activeCell="BC24" sqref="BC24"/>
      <selection pane="topRight" activeCell="BC24" sqref="BC24"/>
      <selection pane="bottomLeft" activeCell="BC24" sqref="BC24"/>
      <selection pane="bottomRight" activeCell="BC24" sqref="BC24"/>
    </sheetView>
  </sheetViews>
  <sheetFormatPr baseColWidth="10" defaultColWidth="14.44140625" defaultRowHeight="15" customHeight="1"/>
  <cols>
    <col min="1" max="1" width="14.5546875" customWidth="1"/>
    <col min="2" max="2" width="12.44140625" customWidth="1"/>
    <col min="3" max="3" width="11.6640625" style="762" customWidth="1"/>
    <col min="4" max="4" width="42.5546875" customWidth="1"/>
    <col min="5" max="5" width="13.109375" customWidth="1"/>
    <col min="6" max="6" width="17.33203125" customWidth="1"/>
    <col min="7" max="7" width="11.6640625" customWidth="1"/>
    <col min="8" max="8" width="11.44140625" style="762" customWidth="1"/>
    <col min="9" max="9" width="11.5546875" customWidth="1"/>
    <col min="10" max="10" width="10.66406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6.332031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0.88671875" customWidth="1"/>
    <col min="43" max="43" width="12.6640625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5588.6090000000022</v>
      </c>
      <c r="F1" s="1075" t="s">
        <v>1906</v>
      </c>
      <c r="G1" s="1076">
        <f>+$AM3</f>
        <v>470867.55360673688</v>
      </c>
      <c r="H1" s="1448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B2" s="847"/>
      <c r="D2" s="1075" t="s">
        <v>1907</v>
      </c>
      <c r="E2" s="1076">
        <f>+AH3</f>
        <v>4807.2480000000032</v>
      </c>
      <c r="F2" s="1079" t="s">
        <v>1908</v>
      </c>
      <c r="G2" s="1080">
        <f>+Q2</f>
        <v>87.880387069691324</v>
      </c>
      <c r="H2" s="90"/>
      <c r="I2" s="1251">
        <f>SUBTOTAL(9,I4:I1519)</f>
        <v>548.95000000000016</v>
      </c>
      <c r="J2" s="81"/>
      <c r="K2" s="91">
        <f>SUBTOTAL(9,K4:K1519)</f>
        <v>521.29800000000023</v>
      </c>
      <c r="L2" s="1202">
        <f>+SUMPRODUCT(L5:L1519,K5:K1519)/K2</f>
        <v>0.31268616223350165</v>
      </c>
      <c r="M2" s="6"/>
      <c r="O2" s="703"/>
      <c r="P2" s="94">
        <f>+SUMPRODUCT(P4:P1519,AH4:AH1519)/SUM(AH4:AH1519)</f>
        <v>83.142906502847282</v>
      </c>
      <c r="Q2" s="1201">
        <f>+SUMPRODUCT(Q4:Q1519,AH4:AH1519)/SUM(AH4:AH1519)</f>
        <v>87.880387069691324</v>
      </c>
      <c r="R2" s="1151">
        <f>+SUMPRODUCT(R4:R1519,AH4:AH1519)/SUM(AH4:AH1519)</f>
        <v>4092.5497069529156</v>
      </c>
      <c r="S2" s="6"/>
      <c r="AB2" s="83"/>
      <c r="AC2" s="83"/>
      <c r="AD2" s="83"/>
      <c r="AE2" s="83"/>
      <c r="AF2" s="83"/>
      <c r="AG2" s="1209">
        <f>SUMPRODUCT($AG4:$AG1519,$K4:$K1519)/SUM($K4:$K1519)</f>
        <v>148.68720678549002</v>
      </c>
      <c r="AH2" s="702"/>
      <c r="AI2" s="631"/>
      <c r="AJ2" s="252">
        <v>3950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678" t="s">
        <v>39</v>
      </c>
      <c r="C3" s="679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SUBTOTAL(9,AH4:AH1519)</f>
        <v>4807.2480000000032</v>
      </c>
      <c r="AI3" s="1252">
        <f>SUBTOTAL(9,AI4:AI1519)</f>
        <v>5588.6090000000022</v>
      </c>
      <c r="AJ3" s="1388">
        <f>SUMPRODUCT(K4:K1519,AJ4:AJ1519)/K2</f>
        <v>-7.3809934699272777</v>
      </c>
      <c r="AK3" s="118">
        <f>SUBTOTAL(9,AK4:AK1519)</f>
        <v>4439.8201254417054</v>
      </c>
      <c r="AL3" s="88"/>
      <c r="AM3" s="118">
        <f>SUBTOTAL(9,AM4:AM1519)</f>
        <v>470867.55360673688</v>
      </c>
      <c r="AN3" s="1182" t="s">
        <v>2247</v>
      </c>
      <c r="AO3" s="1168" t="s">
        <v>2283</v>
      </c>
      <c r="AP3" t="s">
        <v>2351</v>
      </c>
      <c r="AQ3" t="s">
        <v>2352</v>
      </c>
      <c r="AS3" s="1216"/>
    </row>
    <row r="4" spans="1:56" s="677" customFormat="1" ht="15.75" customHeight="1">
      <c r="A4" s="720"/>
      <c r="B4" s="695"/>
      <c r="C4" s="723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56" ht="15" customHeight="1" thickBot="1">
      <c r="A5" s="1491" t="s">
        <v>2935</v>
      </c>
      <c r="B5" s="1475"/>
      <c r="C5" s="1447">
        <v>45925</v>
      </c>
      <c r="D5" t="s">
        <v>93</v>
      </c>
      <c r="E5" s="762">
        <f>_xlfn.XLOOKUP(D5,RUC!$B$3:$B$123,RUC!$D$3:$D$123)</f>
        <v>20169040231</v>
      </c>
      <c r="G5" s="1082">
        <v>70</v>
      </c>
      <c r="H5" s="762" t="s">
        <v>69</v>
      </c>
      <c r="I5" s="703">
        <v>6.93</v>
      </c>
      <c r="J5" s="596">
        <v>5.4</v>
      </c>
      <c r="K5" s="703">
        <f t="shared" ref="K5:K61" si="0">ROUND(+I5-(I5*(J5/100)),3)</f>
        <v>6.556</v>
      </c>
      <c r="L5" s="994">
        <v>7.2999999999999995E-2</v>
      </c>
      <c r="M5" s="994">
        <v>4.5999999999999999E-2</v>
      </c>
      <c r="N5" s="1196">
        <v>4.5999999999999999E-2</v>
      </c>
      <c r="O5" s="645">
        <f t="shared" ref="O5:O9" si="1">+ROUND((M5+N5)/2,3)</f>
        <v>4.5999999999999999E-2</v>
      </c>
      <c r="P5" s="727">
        <v>80</v>
      </c>
      <c r="Q5" s="1460">
        <v>90.16</v>
      </c>
      <c r="R5" s="706">
        <v>3730.75</v>
      </c>
      <c r="S5" s="765">
        <f>IF((_xlfn.XLOOKUP(D5,RUC!$B$3:$B$119,RUC!$E$3:$E$119)+ROUNDDOWN(O5,1)*100)&lt;95,95,((_xlfn.XLOOKUP(D5,RUC!$B$3:$B$119,RUC!$E$3:$E$119)+ROUNDDOWN(O5,1)*100)))</f>
        <v>95</v>
      </c>
      <c r="U5" s="1146">
        <f>_xlfn.XLOOKUP(D5,RUC!$B$3:$B$123,RUC!$F$3:$F$123)</f>
        <v>120</v>
      </c>
      <c r="V5" s="715">
        <v>1.1023000000000001</v>
      </c>
      <c r="Y5">
        <f>_xlfn.XLOOKUP(D5,RUC!$B$3:$B$123,RUC!$G$3:$G$123)</f>
        <v>20</v>
      </c>
      <c r="Z5" s="143">
        <f>_xlfn.XLOOKUP(D5,RUC!$B$3:$B$123,RUC!$H$3:$H$123)</f>
        <v>30</v>
      </c>
      <c r="AA5" s="144">
        <f t="shared" ref="AA5:AA61" si="2">+Y5+Z5</f>
        <v>50</v>
      </c>
      <c r="AB5" s="145">
        <v>1E-3</v>
      </c>
      <c r="AC5" s="145">
        <f>+(S5-T5)*V5-'data 1'!$F$4</f>
        <v>24.718500000000006</v>
      </c>
      <c r="AD5" s="145">
        <f t="shared" ref="AD5:AD61" si="3">+(Q5-P5)*(R5-U5)*L5*V5/100</f>
        <v>29.519826144379987</v>
      </c>
      <c r="AE5" s="145">
        <f t="shared" ref="AE5:AE61" si="4">+(Y5*V5-70)+V5*(Z5-IF(D5="UNTUCA",IF(+((W5-3)*2.5+(X5-3)*3.1)&gt;0,+((W5-3)*1.5+(X5-3)*3.1),0),IF(+((W5-3)*1.5+(X5-3)*3.1)&gt;0,+((W5-3)*1.5+(X5-3)*3.1),0)))</f>
        <v>-14.884999999999998</v>
      </c>
      <c r="AF5" s="145">
        <f t="shared" ref="AF5:AF61" si="5">(L5-O5)*(R5-U5)*Q5*V5/100</f>
        <v>96.889093921619988</v>
      </c>
      <c r="AG5" s="772">
        <f>AC5+AD5+AE5+AF5+70-53-13.36</f>
        <v>139.88242006600001</v>
      </c>
      <c r="AH5" s="1253">
        <f t="shared" ref="AH5:AH61" si="6">ROUND((31.1035*L5*Q5*1.1023*K5/100),3)</f>
        <v>14.794</v>
      </c>
      <c r="AI5" s="1253">
        <f t="shared" ref="AI5:AI61" si="7">ROUND((31.1035*L5*1.1023*K5),3)</f>
        <v>16.408999999999999</v>
      </c>
      <c r="AJ5" s="156">
        <f t="shared" ref="AJ5:AJ61" si="8">+((+$AJ$2-R5+U5)*L5*Q5*V5)/100</f>
        <v>24.612539543620002</v>
      </c>
      <c r="AK5" s="156">
        <f t="shared" ref="AK5:AK61" si="9">31.1035*1.1023*K5*P5*O5/100</f>
        <v>8.2717201492534418</v>
      </c>
      <c r="AL5" s="88"/>
      <c r="AM5" s="716">
        <f t="shared" ref="AM5:AM61" si="10">+IF(AB5*K5&gt;0,AB5*K5,0)</f>
        <v>6.5560000000000002E-3</v>
      </c>
      <c r="AN5" s="716" t="str">
        <f>_xlfn.XLOOKUP(D5,RUC!$B$3:$B$578,RUC!$M$3:$M$578)</f>
        <v>Ronald Miranda</v>
      </c>
      <c r="AO5" s="1167" t="s">
        <v>2277</v>
      </c>
      <c r="AP5" t="s">
        <v>2994</v>
      </c>
      <c r="AQ5" t="s">
        <v>2995</v>
      </c>
    </row>
    <row r="6" spans="1:56" ht="15" customHeight="1" thickBot="1">
      <c r="A6" s="1491" t="s">
        <v>2936</v>
      </c>
      <c r="B6" s="1475"/>
      <c r="C6" s="1447">
        <v>45925</v>
      </c>
      <c r="D6" t="s">
        <v>93</v>
      </c>
      <c r="E6" s="762">
        <f>_xlfn.XLOOKUP(D6,RUC!$B$3:$B$123,RUC!$D$3:$D$123)</f>
        <v>20169040231</v>
      </c>
      <c r="G6" s="1082">
        <v>80</v>
      </c>
      <c r="H6" s="762" t="s">
        <v>69</v>
      </c>
      <c r="I6" s="703">
        <v>8.02</v>
      </c>
      <c r="J6" s="596">
        <v>5.8</v>
      </c>
      <c r="K6" s="703">
        <f t="shared" si="0"/>
        <v>7.5549999999999997</v>
      </c>
      <c r="L6" s="994">
        <v>6.9000000000000006E-2</v>
      </c>
      <c r="M6" s="994">
        <v>5.3999999999999999E-2</v>
      </c>
      <c r="N6" s="1196">
        <v>5.3999999999999999E-2</v>
      </c>
      <c r="O6" s="645">
        <f t="shared" si="1"/>
        <v>5.3999999999999999E-2</v>
      </c>
      <c r="P6" s="727">
        <v>80</v>
      </c>
      <c r="Q6" s="1460">
        <v>85.51</v>
      </c>
      <c r="R6" s="706">
        <v>3730.75</v>
      </c>
      <c r="S6" s="765">
        <f>IF((_xlfn.XLOOKUP(D6,RUC!$B$3:$B$119,RUC!$E$3:$E$119)+ROUNDDOWN(O6,1)*100)&lt;95,95,((_xlfn.XLOOKUP(D6,RUC!$B$3:$B$119,RUC!$E$3:$E$119)+ROUNDDOWN(O6,1)*100)))</f>
        <v>95</v>
      </c>
      <c r="U6" s="1146">
        <f>_xlfn.XLOOKUP(D6,RUC!$B$3:$B$123,RUC!$F$3:$F$123)</f>
        <v>120</v>
      </c>
      <c r="V6" s="715">
        <v>1.1023000000000001</v>
      </c>
      <c r="Y6">
        <f>_xlfn.XLOOKUP(D6,RUC!$B$3:$B$123,RUC!$G$3:$G$123)</f>
        <v>20</v>
      </c>
      <c r="Z6" s="143">
        <f>_xlfn.XLOOKUP(D6,RUC!$B$3:$B$123,RUC!$H$3:$H$123)</f>
        <v>30</v>
      </c>
      <c r="AA6" s="144">
        <f t="shared" si="2"/>
        <v>50</v>
      </c>
      <c r="AB6" s="145">
        <v>1E-3</v>
      </c>
      <c r="AC6" s="145">
        <f>+(S6-T6)*V6-'data 1'!$F$4</f>
        <v>24.718500000000006</v>
      </c>
      <c r="AD6" s="145">
        <f t="shared" si="3"/>
        <v>15.13205520147752</v>
      </c>
      <c r="AE6" s="145">
        <f t="shared" si="4"/>
        <v>-14.884999999999998</v>
      </c>
      <c r="AF6" s="145">
        <f t="shared" si="5"/>
        <v>51.051133917712534</v>
      </c>
      <c r="AG6" s="772">
        <f>AC6+AD6+AE6+AF6+70-53-12.11</f>
        <v>80.906689119190062</v>
      </c>
      <c r="AH6" s="1253">
        <f t="shared" si="6"/>
        <v>15.282999999999999</v>
      </c>
      <c r="AI6" s="1253">
        <f t="shared" si="7"/>
        <v>17.873000000000001</v>
      </c>
      <c r="AJ6" s="156">
        <f t="shared" si="8"/>
        <v>22.064071740022506</v>
      </c>
      <c r="AK6" s="156">
        <f t="shared" si="9"/>
        <v>11.1899278102068</v>
      </c>
      <c r="AL6" s="88"/>
      <c r="AM6" s="716">
        <f t="shared" si="10"/>
        <v>7.5550000000000001E-3</v>
      </c>
      <c r="AN6" s="716" t="str">
        <f>_xlfn.XLOOKUP(D6,RUC!$B$3:$B$578,RUC!$M$3:$M$578)</f>
        <v>Ronald Miranda</v>
      </c>
      <c r="AO6" s="1167" t="s">
        <v>2280</v>
      </c>
      <c r="AP6" t="s">
        <v>2994</v>
      </c>
      <c r="AQ6" t="s">
        <v>2995</v>
      </c>
      <c r="AV6" s="1982" t="s">
        <v>3296</v>
      </c>
      <c r="AW6" s="1983"/>
      <c r="AX6" s="1983"/>
      <c r="AY6" s="1983"/>
      <c r="AZ6" s="1983"/>
      <c r="BA6" s="1983"/>
      <c r="BB6" s="1983"/>
      <c r="BC6" s="1983"/>
      <c r="BD6" s="1984"/>
    </row>
    <row r="7" spans="1:56" ht="15" customHeight="1">
      <c r="A7" s="747" t="s">
        <v>2962</v>
      </c>
      <c r="B7" s="595">
        <v>45937</v>
      </c>
      <c r="C7" s="1447">
        <v>45930</v>
      </c>
      <c r="D7" t="s">
        <v>93</v>
      </c>
      <c r="E7" s="762">
        <f>_xlfn.XLOOKUP(D7,RUC!$B$3:$B$123,RUC!$D$3:$D$123)</f>
        <v>20169040231</v>
      </c>
      <c r="G7" s="1082">
        <v>73</v>
      </c>
      <c r="H7" s="762" t="s">
        <v>69</v>
      </c>
      <c r="I7" s="703">
        <v>6.72</v>
      </c>
      <c r="J7" s="596">
        <v>1.2</v>
      </c>
      <c r="K7" s="703">
        <f t="shared" si="0"/>
        <v>6.6390000000000002</v>
      </c>
      <c r="L7" s="762">
        <v>4.7670000000000003</v>
      </c>
      <c r="M7" s="762">
        <v>4.5289999999999999</v>
      </c>
      <c r="N7" s="1196">
        <f t="shared" ref="N7:N10" si="11">+M7</f>
        <v>4.5289999999999999</v>
      </c>
      <c r="O7" s="645">
        <f t="shared" si="1"/>
        <v>4.5289999999999999</v>
      </c>
      <c r="P7" s="727">
        <v>64</v>
      </c>
      <c r="Q7" s="881">
        <v>64.900000000000006</v>
      </c>
      <c r="R7" s="706">
        <v>3825.3</v>
      </c>
      <c r="S7" s="765">
        <f>IF((_xlfn.XLOOKUP(D7,RUC!$B$3:$B$119,RUC!$E$3:$E$119)+ROUNDDOWN(O7,1)*100)&lt;95,95,((_xlfn.XLOOKUP(D7,RUC!$B$3:$B$119,RUC!$E$3:$E$119)+ROUNDDOWN(O7,1)*100)))</f>
        <v>535</v>
      </c>
      <c r="U7" s="1146">
        <f>_xlfn.XLOOKUP(D7,RUC!$B$3:$B$123,RUC!$F$3:$F$123)</f>
        <v>120</v>
      </c>
      <c r="V7" s="715">
        <v>1.1023000000000001</v>
      </c>
      <c r="Y7">
        <f>_xlfn.XLOOKUP(D7,RUC!$B$3:$B$123,RUC!$G$3:$G$123)</f>
        <v>20</v>
      </c>
      <c r="Z7" s="1454">
        <v>35</v>
      </c>
      <c r="AA7" s="144">
        <f t="shared" si="2"/>
        <v>55</v>
      </c>
      <c r="AB7" s="145">
        <f t="shared" ref="AB7" si="12">+((O7*P7*(R7-U7)/100)-S7-AA7+T7)*V7</f>
        <v>11188.382883846401</v>
      </c>
      <c r="AC7" s="145">
        <f>+(S7-T7)*V7-'data 1'!$F$4</f>
        <v>509.73050000000001</v>
      </c>
      <c r="AD7" s="145">
        <f t="shared" si="3"/>
        <v>175.23096200757115</v>
      </c>
      <c r="AE7" s="145">
        <f t="shared" si="4"/>
        <v>-9.3734999999999999</v>
      </c>
      <c r="AF7" s="145">
        <f t="shared" si="5"/>
        <v>630.87720797178122</v>
      </c>
      <c r="AG7" s="772">
        <f t="shared" ref="AG7" si="13">AC7+AD7+AE7+AF7+70-53</f>
        <v>1323.4651699793524</v>
      </c>
      <c r="AH7" s="1253">
        <f t="shared" si="6"/>
        <v>704.20899999999995</v>
      </c>
      <c r="AI7" s="1253">
        <f t="shared" si="7"/>
        <v>1085.068</v>
      </c>
      <c r="AJ7" s="156">
        <f t="shared" si="8"/>
        <v>834.4947821202295</v>
      </c>
      <c r="AK7" s="156">
        <f t="shared" si="9"/>
        <v>659.77223087003495</v>
      </c>
      <c r="AL7" s="88"/>
      <c r="AM7" s="716">
        <f t="shared" si="10"/>
        <v>74279.673965856258</v>
      </c>
      <c r="AN7" s="716" t="str">
        <f>_xlfn.XLOOKUP(D7,RUC!$B$3:$B$578,RUC!$M$3:$M$578)</f>
        <v>Ronald Miranda</v>
      </c>
      <c r="AO7" s="1167" t="s">
        <v>2280</v>
      </c>
      <c r="AP7" t="s">
        <v>3002</v>
      </c>
      <c r="AQ7" t="s">
        <v>3003</v>
      </c>
      <c r="AW7" s="1469">
        <f>SUM(AW9:AW18)</f>
        <v>521.298</v>
      </c>
      <c r="AX7" s="1470">
        <f>SUMPRODUCT(AW9:AW18,AX9:AX18)/SUM(AW9:AW18)</f>
        <v>0.31268616223350182</v>
      </c>
      <c r="AY7" s="704"/>
      <c r="AZ7" s="1471">
        <f>SUMPRODUCT(AZ9:AZ18,$BB9:$BB18)/SUM($BB9:$BB18)/100</f>
        <v>0.87880387069691457</v>
      </c>
      <c r="BA7" s="707">
        <f>SUM(BA9:BA18)</f>
        <v>5588.6098284214822</v>
      </c>
      <c r="BB7" s="707">
        <f>SUM(BB9:BB18)</f>
        <v>4807.2479999999996</v>
      </c>
    </row>
    <row r="8" spans="1:56" ht="15" customHeight="1" thickBot="1">
      <c r="A8" s="1491" t="s">
        <v>2979</v>
      </c>
      <c r="B8" s="1475">
        <v>45947</v>
      </c>
      <c r="C8" s="1447">
        <v>45930</v>
      </c>
      <c r="D8" t="s">
        <v>93</v>
      </c>
      <c r="E8" s="762">
        <f>_xlfn.XLOOKUP(D8,RUC!$B$3:$B$123,RUC!$D$3:$D$123)</f>
        <v>20169040231</v>
      </c>
      <c r="G8" s="1082">
        <v>82</v>
      </c>
      <c r="H8" s="762" t="s">
        <v>69</v>
      </c>
      <c r="I8" s="703">
        <v>8.36</v>
      </c>
      <c r="J8" s="596">
        <v>1.2</v>
      </c>
      <c r="K8" s="703">
        <f t="shared" si="0"/>
        <v>8.26</v>
      </c>
      <c r="L8" s="762">
        <v>0.10299999999999999</v>
      </c>
      <c r="M8" s="762">
        <v>8.7999999999999995E-2</v>
      </c>
      <c r="N8" s="1196">
        <f t="shared" si="11"/>
        <v>8.7999999999999995E-2</v>
      </c>
      <c r="O8" s="645">
        <f t="shared" si="1"/>
        <v>8.7999999999999995E-2</v>
      </c>
      <c r="P8" s="727">
        <v>80</v>
      </c>
      <c r="Q8" s="881">
        <v>92.13</v>
      </c>
      <c r="R8" s="706">
        <v>3825.3</v>
      </c>
      <c r="S8" s="765">
        <f>IF((_xlfn.XLOOKUP(D8,RUC!$B$3:$B$119,RUC!$E$3:$E$119)+ROUNDDOWN(O8,1)*100)&lt;95,95,((_xlfn.XLOOKUP(D8,RUC!$B$3:$B$119,RUC!$E$3:$E$119)+ROUNDDOWN(O8,1)*100)))</f>
        <v>95</v>
      </c>
      <c r="U8" s="1146">
        <f>_xlfn.XLOOKUP(D8,RUC!$B$3:$B$123,RUC!$F$3:$F$123)</f>
        <v>120</v>
      </c>
      <c r="V8" s="715">
        <v>1.1023000000000001</v>
      </c>
      <c r="Y8">
        <f>_xlfn.XLOOKUP(D8,RUC!$B$3:$B$123,RUC!$G$3:$G$123)</f>
        <v>20</v>
      </c>
      <c r="Z8" s="143">
        <f>_xlfn.XLOOKUP(D8,RUC!$B$3:$B$123,RUC!$H$3:$H$123)</f>
        <v>30</v>
      </c>
      <c r="AA8" s="144">
        <f t="shared" si="2"/>
        <v>50</v>
      </c>
      <c r="AB8" s="145">
        <v>1E-3</v>
      </c>
      <c r="AC8" s="145">
        <f>+(S8-T8)*V8-'data 1'!$F$4</f>
        <v>24.718500000000006</v>
      </c>
      <c r="AD8" s="145">
        <f t="shared" si="3"/>
        <v>51.029487826640981</v>
      </c>
      <c r="AE8" s="145">
        <f t="shared" si="4"/>
        <v>-14.884999999999998</v>
      </c>
      <c r="AF8" s="145">
        <f t="shared" si="5"/>
        <v>56.443705089705006</v>
      </c>
      <c r="AG8" s="772">
        <f>AC8+AD8+AE8+AF8+70-53+127.7</f>
        <v>262.00669291634597</v>
      </c>
      <c r="AH8" s="1253">
        <f t="shared" si="6"/>
        <v>26.873999999999999</v>
      </c>
      <c r="AI8" s="1253">
        <f t="shared" si="7"/>
        <v>29.169</v>
      </c>
      <c r="AJ8" s="156">
        <f t="shared" si="8"/>
        <v>25.595998298858976</v>
      </c>
      <c r="AK8" s="156">
        <f t="shared" si="9"/>
        <v>19.9370902926272</v>
      </c>
      <c r="AL8" s="88"/>
      <c r="AM8" s="716">
        <f t="shared" si="10"/>
        <v>8.26E-3</v>
      </c>
      <c r="AN8" s="716" t="str">
        <f>_xlfn.XLOOKUP(D8,RUC!$B$3:$B$578,RUC!$M$3:$M$578)</f>
        <v>Ronald Miranda</v>
      </c>
      <c r="AO8" s="1167" t="s">
        <v>2277</v>
      </c>
      <c r="AP8" t="s">
        <v>3002</v>
      </c>
      <c r="AQ8" t="s">
        <v>3003</v>
      </c>
      <c r="AV8" s="633"/>
      <c r="AW8" s="633" t="s">
        <v>15</v>
      </c>
      <c r="AX8" s="633" t="s">
        <v>2522</v>
      </c>
      <c r="AY8" s="1438" t="s">
        <v>2522</v>
      </c>
      <c r="AZ8" s="633" t="s">
        <v>2523</v>
      </c>
      <c r="BA8" s="633" t="s">
        <v>2558</v>
      </c>
      <c r="BB8" s="633" t="s">
        <v>2559</v>
      </c>
      <c r="BC8" s="1435" t="s">
        <v>2565</v>
      </c>
      <c r="BD8" s="729" t="s">
        <v>2579</v>
      </c>
    </row>
    <row r="9" spans="1:56" ht="15" customHeight="1">
      <c r="A9" s="747" t="s">
        <v>3054</v>
      </c>
      <c r="B9" s="595">
        <v>45949</v>
      </c>
      <c r="C9" s="1447">
        <v>45939</v>
      </c>
      <c r="D9" t="s">
        <v>3062</v>
      </c>
      <c r="E9" s="762">
        <f>_xlfn.XLOOKUP(D9,RUC!$B$3:$B$123,RUC!$D$3:$D$123)</f>
        <v>20610807004</v>
      </c>
      <c r="G9" s="1082">
        <v>25</v>
      </c>
      <c r="H9" s="762" t="s">
        <v>108</v>
      </c>
      <c r="I9" s="703">
        <v>1.86</v>
      </c>
      <c r="J9" s="596">
        <v>10.52</v>
      </c>
      <c r="K9" s="703">
        <f t="shared" si="0"/>
        <v>1.6639999999999999</v>
      </c>
      <c r="L9" s="762">
        <v>0.29299999999999998</v>
      </c>
      <c r="M9" s="762">
        <v>0.27800000000000002</v>
      </c>
      <c r="N9" s="1196">
        <f t="shared" si="11"/>
        <v>0.27800000000000002</v>
      </c>
      <c r="O9" s="645">
        <f t="shared" si="1"/>
        <v>0.27800000000000002</v>
      </c>
      <c r="P9" s="727">
        <v>55</v>
      </c>
      <c r="Q9" s="1476">
        <v>55.48</v>
      </c>
      <c r="R9" s="706">
        <v>4019.25</v>
      </c>
      <c r="S9" s="765">
        <f>IF((_xlfn.XLOOKUP(D9,RUC!$B$3:$B$119,RUC!$E$3:$E$119)+ROUNDDOWN(O9,1)*100)&lt;95,95,((_xlfn.XLOOKUP(D9,RUC!$B$3:$B$119,RUC!$E$3:$E$119)+ROUNDDOWN(O9,1)*100)))</f>
        <v>105</v>
      </c>
      <c r="U9" s="1146">
        <f>_xlfn.XLOOKUP(D9,RUC!$B$3:$B$123,RUC!$F$3:$F$123)</f>
        <v>120</v>
      </c>
      <c r="V9" s="715">
        <v>1.1023000000000001</v>
      </c>
      <c r="Y9">
        <f>_xlfn.XLOOKUP(D9,RUC!$B$3:$B$123,RUC!$G$3:$G$123)</f>
        <v>20</v>
      </c>
      <c r="Z9" s="143">
        <f>_xlfn.XLOOKUP(D9,RUC!$B$3:$B$123,RUC!$H$3:$H$123)</f>
        <v>30</v>
      </c>
      <c r="AA9" s="144">
        <f t="shared" si="2"/>
        <v>50</v>
      </c>
      <c r="AB9" s="145">
        <f t="shared" ref="AB9:AB60" si="14">+((O9*P9*(R9-U9)/100)-S9-AA9+T9)*V9</f>
        <v>486.32960674750007</v>
      </c>
      <c r="AC9" s="145">
        <f>+(S9-T9)*V9-'data 1'!$F$4</f>
        <v>35.741500000000002</v>
      </c>
      <c r="AD9" s="145">
        <f t="shared" si="3"/>
        <v>6.0449087019599608</v>
      </c>
      <c r="AE9" s="145">
        <f t="shared" si="4"/>
        <v>-14.884999999999998</v>
      </c>
      <c r="AF9" s="145">
        <f t="shared" si="5"/>
        <v>35.769148334549897</v>
      </c>
      <c r="AG9" s="772">
        <f t="shared" ref="AG9:AG17" si="15">AC9+AD9+AE9+AF9+70-53</f>
        <v>79.670557036509877</v>
      </c>
      <c r="AH9" s="1253">
        <f t="shared" si="6"/>
        <v>9.2739999999999991</v>
      </c>
      <c r="AI9" s="1253">
        <f t="shared" si="7"/>
        <v>16.716000000000001</v>
      </c>
      <c r="AJ9" s="156">
        <f t="shared" si="8"/>
        <v>9.0936854257899995</v>
      </c>
      <c r="AK9" s="156">
        <f t="shared" si="9"/>
        <v>8.7230804258540804</v>
      </c>
      <c r="AL9" s="88"/>
      <c r="AM9" s="716">
        <f t="shared" si="10"/>
        <v>809.25246562784002</v>
      </c>
      <c r="AN9" s="716" t="str">
        <f>_xlfn.XLOOKUP(D9,RUC!$B$3:$B$578,RUC!$M$3:$M$578)</f>
        <v>Renzo</v>
      </c>
      <c r="AO9" s="1167" t="s">
        <v>2279</v>
      </c>
      <c r="AP9" t="s">
        <v>3067</v>
      </c>
      <c r="AQ9" t="s">
        <v>3068</v>
      </c>
      <c r="AV9" s="1225" t="s">
        <v>2277</v>
      </c>
      <c r="AW9" s="1227">
        <f t="shared" ref="AW9:AW18" si="16">SUMIF($AO$4:$AO$1627,AV9,$K$4:$K$1627)</f>
        <v>102.46899999999998</v>
      </c>
      <c r="AX9" s="1227" cm="1">
        <f t="array" ref="AX9">+SUMPRODUCT(IF($AO$4:$AO$1627=AV9,$L$4:$L$1627*$K$4:$K$1627/AW9))</f>
        <v>0.29927753759673664</v>
      </c>
      <c r="AY9" s="1228">
        <f>31.1035*1.1023*AX9*(100-AZ9)/100</f>
        <v>0.96863926658641186</v>
      </c>
      <c r="AZ9" s="1229" cm="1">
        <f t="array" ref="AZ9">+SUMPRODUCT(IF($AO$4:$AO$1627=AV9,($Q$4:$Q$1627*$AH$4:$AH$1627)/SUMIF($AO$4:$AO$1627,$AV9,$AH$4:$AH$1627)))</f>
        <v>90.559850344378589</v>
      </c>
      <c r="BA9" s="1441">
        <f>+AX9*31.1035*1.1023*AW9</f>
        <v>1051.4186811512936</v>
      </c>
      <c r="BB9" s="1230">
        <f t="shared" ref="BB9:BB18" si="17">SUMIF($AO$4:$AO$727,$AV9,$AH$4:$AH$727)</f>
        <v>949.24600000000021</v>
      </c>
      <c r="BC9" s="1229">
        <f>+BA9-BB9</f>
        <v>102.17268115129343</v>
      </c>
      <c r="BD9" s="1231">
        <f>+AW9</f>
        <v>102.46899999999998</v>
      </c>
    </row>
    <row r="10" spans="1:56" ht="15" customHeight="1">
      <c r="A10" s="747" t="s">
        <v>3086</v>
      </c>
      <c r="B10" s="595">
        <v>45953</v>
      </c>
      <c r="C10" s="1447">
        <v>45944</v>
      </c>
      <c r="D10" t="s">
        <v>1967</v>
      </c>
      <c r="E10" s="762">
        <f>_xlfn.XLOOKUP(D10,RUC!$B$3:$B$123,RUC!$D$3:$D$123)</f>
        <v>20601769396</v>
      </c>
      <c r="G10" s="1082">
        <v>33</v>
      </c>
      <c r="H10" s="762" t="s">
        <v>69</v>
      </c>
      <c r="I10" s="703">
        <v>3</v>
      </c>
      <c r="J10" s="596">
        <v>17.899999999999999</v>
      </c>
      <c r="K10" s="703">
        <f t="shared" si="0"/>
        <v>2.4630000000000001</v>
      </c>
      <c r="L10" s="762">
        <v>0.40400000000000003</v>
      </c>
      <c r="M10" s="994">
        <v>0.38400000000000001</v>
      </c>
      <c r="N10" s="1196">
        <f t="shared" si="11"/>
        <v>0.38400000000000001</v>
      </c>
      <c r="O10" s="645">
        <f t="shared" ref="O10:O21" si="18">+ROUND((M10+N10)/2,3)</f>
        <v>0.38400000000000001</v>
      </c>
      <c r="P10" s="727">
        <v>90</v>
      </c>
      <c r="Q10" s="1493">
        <v>90.59</v>
      </c>
      <c r="R10" s="706">
        <v>4126.3</v>
      </c>
      <c r="S10" s="765">
        <f>IF((_xlfn.XLOOKUP(D10,RUC!$B$3:$B$119,RUC!$E$3:$E$119)+ROUNDDOWN(O10,1)*100)&lt;95,95,((_xlfn.XLOOKUP(D10,RUC!$B$3:$B$119,RUC!$E$3:$E$119)+ROUNDDOWN(O10,1)*100)))</f>
        <v>120</v>
      </c>
      <c r="U10" s="1146">
        <f>_xlfn.XLOOKUP(D10,RUC!$B$3:$B$123,RUC!$F$3:$F$123)</f>
        <v>120</v>
      </c>
      <c r="V10" s="715">
        <v>1.1023000000000001</v>
      </c>
      <c r="Y10">
        <f>_xlfn.XLOOKUP(D10,RUC!$B$3:$B$123,RUC!$G$3:$G$123)</f>
        <v>20</v>
      </c>
      <c r="Z10" s="143">
        <f>_xlfn.XLOOKUP(D10,RUC!$B$3:$B$123,RUC!$H$3:$H$123)</f>
        <v>30</v>
      </c>
      <c r="AA10" s="144">
        <f t="shared" si="2"/>
        <v>50</v>
      </c>
      <c r="AB10" s="145">
        <f t="shared" si="14"/>
        <v>1338.828535744</v>
      </c>
      <c r="AC10" s="145">
        <f>+(S10-T10)*V10-'data 1'!$F$4</f>
        <v>52.27600000000001</v>
      </c>
      <c r="AD10" s="145">
        <f t="shared" si="3"/>
        <v>10.526322006364062</v>
      </c>
      <c r="AE10" s="145">
        <f t="shared" si="4"/>
        <v>-14.884999999999998</v>
      </c>
      <c r="AF10" s="145">
        <f t="shared" si="5"/>
        <v>80.011705869820091</v>
      </c>
      <c r="AG10" s="772">
        <f t="shared" si="15"/>
        <v>144.92902787618416</v>
      </c>
      <c r="AH10" s="1253">
        <f t="shared" si="6"/>
        <v>30.905000000000001</v>
      </c>
      <c r="AI10" s="1253">
        <f t="shared" si="7"/>
        <v>34.116</v>
      </c>
      <c r="AJ10" s="156">
        <f t="shared" si="8"/>
        <v>-22.71275556436408</v>
      </c>
      <c r="AK10" s="156">
        <f t="shared" si="9"/>
        <v>29.18416116112704</v>
      </c>
      <c r="AL10" s="88"/>
      <c r="AM10" s="716">
        <f t="shared" si="10"/>
        <v>3297.5346835374721</v>
      </c>
      <c r="AN10" s="716" t="str">
        <f>_xlfn.XLOOKUP(D10,RUC!$B$3:$B$578,RUC!$M$3:$M$578)</f>
        <v>Evelyn</v>
      </c>
      <c r="AO10" s="1167" t="s">
        <v>2277</v>
      </c>
      <c r="AP10" t="s">
        <v>3096</v>
      </c>
      <c r="AQ10" t="s">
        <v>3097</v>
      </c>
      <c r="AV10" s="1232" t="s">
        <v>2278</v>
      </c>
      <c r="AW10" s="1234">
        <f t="shared" si="16"/>
        <v>111.23000000000003</v>
      </c>
      <c r="AX10" s="1234" cm="1">
        <f t="array" ref="AX10">+SUMPRODUCT(IF($AO$4:$AO$1627=AV10,$L$4:$L$1627*$K$4:$K$1627/AW10))</f>
        <v>0.30488421289220524</v>
      </c>
      <c r="AY10" s="1235">
        <f>31.1035*1.1023*AX10*(100-AZ10)/100</f>
        <v>1.226856381876803</v>
      </c>
      <c r="AZ10" s="1236" cm="1">
        <f t="array" ref="AZ10">+SUMPRODUCT(IF($AO$4:$AO$1627=AV10,($Q$4:$Q$1627*$AH$4:$AH$1627)/SUMIF($AO$4:$AO$1627,$AV10,$AH$4:$AH$1627)))</f>
        <v>88.263199564345683</v>
      </c>
      <c r="BA10" s="1481">
        <f t="shared" ref="BA10:BA18" si="19">+AX10*31.1035*1.1023*AW10</f>
        <v>1162.6953708917617</v>
      </c>
      <c r="BB10" s="1237">
        <f t="shared" si="17"/>
        <v>1009.9749999999999</v>
      </c>
      <c r="BC10" s="1236">
        <f>+BC9+BA10-BB10</f>
        <v>254.89305204305538</v>
      </c>
      <c r="BD10" s="1238">
        <f>+BD9+AW10</f>
        <v>213.69900000000001</v>
      </c>
    </row>
    <row r="11" spans="1:56" ht="15" customHeight="1">
      <c r="A11" s="747" t="s">
        <v>3087</v>
      </c>
      <c r="B11" s="595">
        <v>45953</v>
      </c>
      <c r="C11" s="1447">
        <v>45944</v>
      </c>
      <c r="D11" t="s">
        <v>1967</v>
      </c>
      <c r="E11" s="762">
        <f>_xlfn.XLOOKUP(D11,RUC!$B$3:$B$123,RUC!$D$3:$D$123)</f>
        <v>20601769396</v>
      </c>
      <c r="G11" s="1082">
        <v>33</v>
      </c>
      <c r="H11" s="762" t="s">
        <v>69</v>
      </c>
      <c r="I11" s="703">
        <v>2.88</v>
      </c>
      <c r="J11" s="596">
        <v>17.32</v>
      </c>
      <c r="K11" s="703">
        <f t="shared" si="0"/>
        <v>2.3809999999999998</v>
      </c>
      <c r="L11" s="762">
        <v>0.18099999999999999</v>
      </c>
      <c r="M11" s="994">
        <v>0.16600000000000001</v>
      </c>
      <c r="N11" s="1444">
        <v>0.24299999999999999</v>
      </c>
      <c r="O11" s="645">
        <f t="shared" si="18"/>
        <v>0.20499999999999999</v>
      </c>
      <c r="P11" s="727">
        <v>80</v>
      </c>
      <c r="Q11" s="1476">
        <v>88.54</v>
      </c>
      <c r="R11" s="706">
        <v>4126.3</v>
      </c>
      <c r="S11" s="765">
        <f>IF((_xlfn.XLOOKUP(D11,RUC!$B$3:$B$119,RUC!$E$3:$E$119)+ROUNDDOWN(O11,1)*100)&lt;95,95,((_xlfn.XLOOKUP(D11,RUC!$B$3:$B$119,RUC!$E$3:$E$119)+ROUNDDOWN(O11,1)*100)))</f>
        <v>110</v>
      </c>
      <c r="U11" s="1146">
        <f>_xlfn.XLOOKUP(D11,RUC!$B$3:$B$123,RUC!$F$3:$F$123)</f>
        <v>120</v>
      </c>
      <c r="V11" s="715">
        <v>1.1023000000000001</v>
      </c>
      <c r="Y11">
        <f>_xlfn.XLOOKUP(D11,RUC!$B$3:$B$123,RUC!$G$3:$G$123)</f>
        <v>20</v>
      </c>
      <c r="Z11" s="143">
        <f>_xlfn.XLOOKUP(D11,RUC!$B$3:$B$123,RUC!$H$3:$H$123)</f>
        <v>30</v>
      </c>
      <c r="AA11" s="144">
        <f t="shared" si="2"/>
        <v>50</v>
      </c>
      <c r="AB11" s="145">
        <f t="shared" si="14"/>
        <v>547.87969636000003</v>
      </c>
      <c r="AC11" s="145">
        <f>+(S11-T11)*V11-'data 1'!$F$4</f>
        <v>41.253</v>
      </c>
      <c r="AD11" s="145">
        <f t="shared" si="3"/>
        <v>68.262111839726046</v>
      </c>
      <c r="AE11" s="145">
        <f t="shared" si="4"/>
        <v>-14.884999999999998</v>
      </c>
      <c r="AF11" s="145">
        <f t="shared" si="5"/>
        <v>-93.841303954704003</v>
      </c>
      <c r="AG11" s="772">
        <f t="shared" si="15"/>
        <v>17.788807885022052</v>
      </c>
      <c r="AH11" s="1253">
        <f t="shared" si="6"/>
        <v>13.082000000000001</v>
      </c>
      <c r="AI11" s="1253">
        <f t="shared" si="7"/>
        <v>14.776</v>
      </c>
      <c r="AJ11" s="156">
        <f t="shared" si="8"/>
        <v>-9.9454925127260321</v>
      </c>
      <c r="AK11" s="156">
        <f t="shared" si="9"/>
        <v>13.387895467316199</v>
      </c>
      <c r="AL11" s="88"/>
      <c r="AM11" s="716">
        <f t="shared" si="10"/>
        <v>1304.50155703316</v>
      </c>
      <c r="AN11" s="716" t="str">
        <f>_xlfn.XLOOKUP(D11,RUC!$B$3:$B$578,RUC!$M$3:$M$578)</f>
        <v>Evelyn</v>
      </c>
      <c r="AO11" s="1167" t="s">
        <v>2277</v>
      </c>
      <c r="AP11" t="s">
        <v>3096</v>
      </c>
      <c r="AQ11" t="s">
        <v>3097</v>
      </c>
      <c r="AV11" s="1232" t="s">
        <v>2280</v>
      </c>
      <c r="AW11" s="1234">
        <f t="shared" si="16"/>
        <v>156.67500000000004</v>
      </c>
      <c r="AX11" s="1234" cm="1">
        <f t="array" ref="AX11">+SUMPRODUCT(IF($AO$4:$AO$1627=AV11,$L$4:$L$1627*$K$4:$K$1627/AW11))</f>
        <v>0.32069178235200246</v>
      </c>
      <c r="AY11" s="1235">
        <f t="shared" ref="AY11:AY18" si="20">31.1035*1.1023*AX11*(100-AZ11)/100</f>
        <v>2.4188991236316384</v>
      </c>
      <c r="AZ11" s="1236" cm="1">
        <f t="array" ref="AZ11">+SUMPRODUCT(IF($AO$4:$AO$1627=AV11,($Q$4:$Q$1627*$AH$4:$AH$1627)/SUMIF($AO$4:$AO$1627,$AV11,$AH$4:$AH$1627)))</f>
        <v>78.000092413405739</v>
      </c>
      <c r="BA11" s="1237">
        <f t="shared" si="19"/>
        <v>1722.6482370585993</v>
      </c>
      <c r="BB11" s="1237">
        <f t="shared" si="17"/>
        <v>1299.5949999999998</v>
      </c>
      <c r="BC11" s="1236">
        <f t="shared" ref="BC11:BC18" si="21">+BC10+BA11-BB11</f>
        <v>677.94628910165488</v>
      </c>
      <c r="BD11" s="1238">
        <f t="shared" ref="BD11:BD18" si="22">+BD10+AW11</f>
        <v>370.37400000000002</v>
      </c>
    </row>
    <row r="12" spans="1:56" ht="15" customHeight="1">
      <c r="A12" s="747" t="s">
        <v>3088</v>
      </c>
      <c r="B12" s="595">
        <v>45953</v>
      </c>
      <c r="C12" s="1447">
        <v>45944</v>
      </c>
      <c r="D12" t="s">
        <v>1967</v>
      </c>
      <c r="E12" s="762">
        <f>_xlfn.XLOOKUP(D12,RUC!$B$3:$B$123,RUC!$D$3:$D$123)</f>
        <v>20601769396</v>
      </c>
      <c r="G12" s="1082">
        <v>34</v>
      </c>
      <c r="H12" s="762" t="s">
        <v>69</v>
      </c>
      <c r="I12" s="703">
        <v>2.9</v>
      </c>
      <c r="J12" s="596">
        <v>19.100000000000001</v>
      </c>
      <c r="K12" s="703">
        <f t="shared" si="0"/>
        <v>2.3460000000000001</v>
      </c>
      <c r="L12" s="762">
        <v>0.32700000000000001</v>
      </c>
      <c r="M12" s="994">
        <v>0.311</v>
      </c>
      <c r="N12" s="1196">
        <f t="shared" ref="N12" si="23">+M12</f>
        <v>0.311</v>
      </c>
      <c r="O12" s="645">
        <f t="shared" si="18"/>
        <v>0.311</v>
      </c>
      <c r="P12" s="727">
        <v>90</v>
      </c>
      <c r="Q12" s="1493">
        <v>91.13</v>
      </c>
      <c r="R12" s="706">
        <v>4126.3</v>
      </c>
      <c r="S12" s="765">
        <f>IF((_xlfn.XLOOKUP(D12,RUC!$B$3:$B$119,RUC!$E$3:$E$119)+ROUNDDOWN(O12,1)*100)&lt;95,95,((_xlfn.XLOOKUP(D12,RUC!$B$3:$B$119,RUC!$E$3:$E$119)+ROUNDDOWN(O12,1)*100)))</f>
        <v>120</v>
      </c>
      <c r="U12" s="1146">
        <f>_xlfn.XLOOKUP(D12,RUC!$B$3:$B$123,RUC!$F$3:$F$123)</f>
        <v>120</v>
      </c>
      <c r="V12" s="715">
        <v>1.1023000000000001</v>
      </c>
      <c r="Y12">
        <f>_xlfn.XLOOKUP(D12,RUC!$B$3:$B$123,RUC!$G$3:$G$123)</f>
        <v>20</v>
      </c>
      <c r="Z12" s="143">
        <f>_xlfn.XLOOKUP(D12,RUC!$B$3:$B$123,RUC!$H$3:$H$123)</f>
        <v>30</v>
      </c>
      <c r="AA12" s="144">
        <f t="shared" si="2"/>
        <v>50</v>
      </c>
      <c r="AB12" s="145">
        <f t="shared" si="14"/>
        <v>1048.6878427510001</v>
      </c>
      <c r="AC12" s="145">
        <f>+(S12-T12)*V12-'data 1'!$F$4</f>
        <v>52.27600000000001</v>
      </c>
      <c r="AD12" s="145">
        <f t="shared" si="3"/>
        <v>16.31809550499894</v>
      </c>
      <c r="AE12" s="145">
        <f t="shared" si="4"/>
        <v>-14.884999999999998</v>
      </c>
      <c r="AF12" s="145">
        <f t="shared" si="5"/>
        <v>64.390919579792069</v>
      </c>
      <c r="AG12" s="772">
        <f t="shared" si="15"/>
        <v>135.10001508479101</v>
      </c>
      <c r="AH12" s="1253">
        <f t="shared" si="6"/>
        <v>23.969000000000001</v>
      </c>
      <c r="AI12" s="1253">
        <f t="shared" si="7"/>
        <v>26.302</v>
      </c>
      <c r="AJ12" s="156">
        <f t="shared" si="8"/>
        <v>-18.493423928499059</v>
      </c>
      <c r="AK12" s="156">
        <f t="shared" si="9"/>
        <v>22.513342350247477</v>
      </c>
      <c r="AL12" s="88"/>
      <c r="AM12" s="716">
        <f t="shared" si="10"/>
        <v>2460.2216790938464</v>
      </c>
      <c r="AN12" s="716" t="str">
        <f>_xlfn.XLOOKUP(D12,RUC!$B$3:$B$578,RUC!$M$3:$M$578)</f>
        <v>Evelyn</v>
      </c>
      <c r="AO12" s="1167" t="s">
        <v>2277</v>
      </c>
      <c r="AP12" t="s">
        <v>3096</v>
      </c>
      <c r="AQ12" t="s">
        <v>3097</v>
      </c>
      <c r="AV12" s="1232" t="s">
        <v>2279</v>
      </c>
      <c r="AW12" s="1234">
        <f t="shared" si="16"/>
        <v>150.92399999999998</v>
      </c>
      <c r="AX12" s="1234" cm="1">
        <f t="array" ref="AX12">+SUMPRODUCT(IF($AO$4:$AO$1627=AV12,$L$4:$L$1627*$K$4:$K$1627/AW12))</f>
        <v>0.31922918157483249</v>
      </c>
      <c r="AY12" s="1235">
        <f t="shared" si="20"/>
        <v>0.6259833796170543</v>
      </c>
      <c r="AZ12" s="1236" cm="1">
        <f t="array" ref="AZ12">+SUMPRODUCT(IF($AO$4:$AO$1627=AV12,($Q$4:$Q$1627*$AH$4:$AH$1627)/SUMIF($AO$4:$AO$1627,$AV12,$AH$4:$AH$1627)))</f>
        <v>94.280591075358799</v>
      </c>
      <c r="BA12" s="1237">
        <f t="shared" si="19"/>
        <v>1651.8475393198278</v>
      </c>
      <c r="BB12" s="1237">
        <f t="shared" si="17"/>
        <v>1548.432</v>
      </c>
      <c r="BC12" s="1236">
        <f t="shared" si="21"/>
        <v>781.36182842148241</v>
      </c>
      <c r="BD12" s="1238">
        <f t="shared" si="22"/>
        <v>521.298</v>
      </c>
    </row>
    <row r="13" spans="1:56" ht="15" customHeight="1">
      <c r="A13" s="747" t="s">
        <v>3090</v>
      </c>
      <c r="B13" s="595">
        <v>45950</v>
      </c>
      <c r="C13" s="1447">
        <v>45944</v>
      </c>
      <c r="D13" t="s">
        <v>1484</v>
      </c>
      <c r="E13" s="762">
        <f>_xlfn.XLOOKUP(D13,RUC!$B$3:$B$123,RUC!$D$3:$D$123)</f>
        <v>10761932735</v>
      </c>
      <c r="G13" s="1082" t="s">
        <v>2985</v>
      </c>
      <c r="H13" s="762" t="s">
        <v>69</v>
      </c>
      <c r="I13" s="703">
        <v>37.25</v>
      </c>
      <c r="J13" s="596">
        <v>4.5999999999999996</v>
      </c>
      <c r="K13" s="703">
        <f t="shared" si="0"/>
        <v>35.536999999999999</v>
      </c>
      <c r="L13" s="762">
        <v>0.13300000000000001</v>
      </c>
      <c r="M13" s="994">
        <v>0.11799999999999999</v>
      </c>
      <c r="N13" s="1444">
        <v>0.161</v>
      </c>
      <c r="O13" s="645">
        <f t="shared" si="18"/>
        <v>0.14000000000000001</v>
      </c>
      <c r="P13" s="727">
        <v>85</v>
      </c>
      <c r="Q13" s="1476">
        <v>90.23</v>
      </c>
      <c r="R13" s="706">
        <v>4126.3</v>
      </c>
      <c r="S13" s="765">
        <f>IF((_xlfn.XLOOKUP(D13,RUC!$B$3:$B$119,RUC!$E$3:$E$119)+ROUNDDOWN(O13,1)*100)&lt;95,95,((_xlfn.XLOOKUP(D13,RUC!$B$3:$B$119,RUC!$E$3:$E$119)+ROUNDDOWN(O13,1)*100)))</f>
        <v>100</v>
      </c>
      <c r="U13" s="1146">
        <f>_xlfn.XLOOKUP(D13,RUC!$B$3:$B$123,RUC!$F$3:$F$123)</f>
        <v>120</v>
      </c>
      <c r="V13" s="715">
        <v>1.1023000000000001</v>
      </c>
      <c r="Y13">
        <f>_xlfn.XLOOKUP(D13,RUC!$B$3:$B$123,RUC!$G$3:$G$123)</f>
        <v>20</v>
      </c>
      <c r="Z13" s="143">
        <f>_xlfn.XLOOKUP(D13,RUC!$B$3:$B$123,RUC!$H$3:$H$123)</f>
        <v>30</v>
      </c>
      <c r="AA13" s="144">
        <f t="shared" si="2"/>
        <v>50</v>
      </c>
      <c r="AB13" s="145">
        <f t="shared" si="14"/>
        <v>360.17619431000003</v>
      </c>
      <c r="AC13" s="145">
        <f>+(S13-T13)*V13-'data 1'!$F$4</f>
        <v>30.230000000000004</v>
      </c>
      <c r="AD13" s="145">
        <f t="shared" si="3"/>
        <v>30.718259457991024</v>
      </c>
      <c r="AE13" s="145">
        <f t="shared" si="4"/>
        <v>-14.884999999999998</v>
      </c>
      <c r="AF13" s="145">
        <f t="shared" si="5"/>
        <v>-27.892810213289025</v>
      </c>
      <c r="AG13" s="772">
        <f t="shared" si="15"/>
        <v>35.170449244702013</v>
      </c>
      <c r="AH13" s="1253">
        <f t="shared" si="6"/>
        <v>146.215</v>
      </c>
      <c r="AI13" s="1253">
        <f t="shared" si="7"/>
        <v>162.047</v>
      </c>
      <c r="AJ13" s="156">
        <f t="shared" si="8"/>
        <v>-7.4475049509910249</v>
      </c>
      <c r="AK13" s="156">
        <f t="shared" si="9"/>
        <v>144.98958038080917</v>
      </c>
      <c r="AL13" s="88"/>
      <c r="AM13" s="716">
        <f t="shared" si="10"/>
        <v>12799.581417194471</v>
      </c>
      <c r="AN13" s="716" t="str">
        <f>_xlfn.XLOOKUP(D13,RUC!$B$3:$B$578,RUC!$M$3:$M$578)</f>
        <v>Richard Sapacayo</v>
      </c>
      <c r="AO13" s="1167" t="s">
        <v>2278</v>
      </c>
      <c r="AP13" t="s">
        <v>3121</v>
      </c>
      <c r="AQ13" t="s">
        <v>3122</v>
      </c>
      <c r="AV13" s="1232" t="s">
        <v>2281</v>
      </c>
      <c r="AW13" s="1234">
        <f t="shared" si="16"/>
        <v>0</v>
      </c>
      <c r="AX13" s="1234" cm="1">
        <f t="array" ref="AX13">+SUMPRODUCT(IF($AO$4:$AO$1627=AV13,$L$4:$L$1627*$K$4:$K$1627/AW13))</f>
        <v>0</v>
      </c>
      <c r="AY13" s="1235">
        <f t="shared" si="20"/>
        <v>0</v>
      </c>
      <c r="AZ13" s="1236" cm="1">
        <f t="array" ref="AZ13">+SUMPRODUCT(IF($AO$4:$AO$1627=AV13,($Q$4:$Q$1627*$AH$4:$AH$1627)/SUMIF($AO$4:$AO$1627,$AV13,$AH$4:$AH$1627)))</f>
        <v>0</v>
      </c>
      <c r="BA13" s="1237">
        <f t="shared" si="19"/>
        <v>0</v>
      </c>
      <c r="BB13" s="1237">
        <f t="shared" si="17"/>
        <v>0</v>
      </c>
      <c r="BC13" s="1236">
        <f t="shared" si="21"/>
        <v>781.36182842148241</v>
      </c>
      <c r="BD13" s="1238">
        <f t="shared" si="22"/>
        <v>521.298</v>
      </c>
    </row>
    <row r="14" spans="1:56" ht="15" customHeight="1">
      <c r="A14" s="747" t="s">
        <v>3100</v>
      </c>
      <c r="B14" s="595">
        <v>45960</v>
      </c>
      <c r="C14" s="1447">
        <v>45946</v>
      </c>
      <c r="D14" t="s">
        <v>1484</v>
      </c>
      <c r="E14" s="762">
        <f>_xlfn.XLOOKUP(D14,RUC!$B$3:$B$123,RUC!$D$3:$D$123)</f>
        <v>10761932735</v>
      </c>
      <c r="G14" s="1082" t="s">
        <v>2985</v>
      </c>
      <c r="H14" s="762" t="s">
        <v>69</v>
      </c>
      <c r="I14" s="703">
        <v>11.31</v>
      </c>
      <c r="J14" s="596">
        <v>10.199999999999999</v>
      </c>
      <c r="K14" s="703">
        <f t="shared" si="0"/>
        <v>10.156000000000001</v>
      </c>
      <c r="L14" s="762">
        <v>9.4E-2</v>
      </c>
      <c r="M14" s="994">
        <v>7.9000000000000001E-2</v>
      </c>
      <c r="N14" s="1444">
        <v>0.14599999999999999</v>
      </c>
      <c r="O14" s="645">
        <f t="shared" si="18"/>
        <v>0.113</v>
      </c>
      <c r="P14" s="727">
        <v>80</v>
      </c>
      <c r="Q14" s="1476">
        <v>96.81</v>
      </c>
      <c r="R14" s="706">
        <v>4261.95</v>
      </c>
      <c r="S14" s="765">
        <f>IF((_xlfn.XLOOKUP(D14,RUC!$B$3:$B$119,RUC!$E$3:$E$119)+ROUNDDOWN(O14,1)*100)&lt;95,95,((_xlfn.XLOOKUP(D14,RUC!$B$3:$B$119,RUC!$E$3:$E$119)+ROUNDDOWN(O14,1)*100)))</f>
        <v>100</v>
      </c>
      <c r="U14" s="1146">
        <f>_xlfn.XLOOKUP(D14,RUC!$B$3:$B$123,RUC!$F$3:$F$123)</f>
        <v>120</v>
      </c>
      <c r="V14" s="715">
        <v>1.1023000000000001</v>
      </c>
      <c r="Y14" s="1445">
        <f>_xlfn.XLOOKUP(D14,RUC!$B$3:$B$123,RUC!$G$3:$G$123)+40</f>
        <v>60</v>
      </c>
      <c r="Z14" s="143">
        <f>_xlfn.XLOOKUP(D14,RUC!$B$3:$B$123,RUC!$H$3:$H$123)</f>
        <v>30</v>
      </c>
      <c r="AA14" s="144">
        <f t="shared" si="2"/>
        <v>90</v>
      </c>
      <c r="AB14" s="145">
        <f t="shared" si="14"/>
        <v>203.29970224400006</v>
      </c>
      <c r="AC14" s="145">
        <f>+(S14-T14)*V14-'data 1'!$F$4</f>
        <v>30.230000000000004</v>
      </c>
      <c r="AD14" s="145">
        <f t="shared" si="3"/>
        <v>72.144001403079017</v>
      </c>
      <c r="AE14" s="145">
        <f t="shared" si="4"/>
        <v>29.207000000000008</v>
      </c>
      <c r="AF14" s="145">
        <f t="shared" si="5"/>
        <v>-83.980504727941522</v>
      </c>
      <c r="AG14" s="772">
        <f t="shared" si="15"/>
        <v>64.600496675137506</v>
      </c>
      <c r="AH14" s="1253">
        <f t="shared" si="6"/>
        <v>31.687000000000001</v>
      </c>
      <c r="AI14" s="1253">
        <f t="shared" si="7"/>
        <v>32.731000000000002</v>
      </c>
      <c r="AJ14" s="156">
        <f t="shared" si="8"/>
        <v>-19.254666356078985</v>
      </c>
      <c r="AK14" s="156">
        <f t="shared" si="9"/>
        <v>31.477497053636327</v>
      </c>
      <c r="AL14" s="88"/>
      <c r="AM14" s="716">
        <f t="shared" si="10"/>
        <v>2064.7117759900648</v>
      </c>
      <c r="AN14" s="716" t="str">
        <f>_xlfn.XLOOKUP(D14,RUC!$B$3:$B$578,RUC!$M$3:$M$578)</f>
        <v>Richard Sapacayo</v>
      </c>
      <c r="AO14" s="1167" t="s">
        <v>2280</v>
      </c>
      <c r="AP14" t="s">
        <v>3216</v>
      </c>
      <c r="AQ14" t="s">
        <v>3217</v>
      </c>
      <c r="AV14" s="1232" t="s">
        <v>2297</v>
      </c>
      <c r="AW14" s="1234">
        <f t="shared" si="16"/>
        <v>0</v>
      </c>
      <c r="AX14" s="1234" cm="1">
        <f t="array" ref="AX14">+SUMPRODUCT(IF($AO$4:$AO$1627=AV14,$L$4:$L$1627*$K$4:$K$1627/AW14))</f>
        <v>0</v>
      </c>
      <c r="AY14" s="1235">
        <f t="shared" si="20"/>
        <v>0</v>
      </c>
      <c r="AZ14" s="1236" cm="1">
        <f t="array" ref="AZ14">+SUMPRODUCT(IF('30'!$AO$4:$AO$1519=AV14,('30'!$Q$4:$Q$1519*'30'!$AH$4:$AH$1519)/SUMIF('30'!$AO$4:$AO$1519,#REF!,'30'!$AH$4:$AH$1519)))</f>
        <v>0</v>
      </c>
      <c r="BA14" s="1237">
        <f t="shared" si="19"/>
        <v>0</v>
      </c>
      <c r="BB14" s="1237">
        <f t="shared" si="17"/>
        <v>0</v>
      </c>
      <c r="BC14" s="1236">
        <f t="shared" si="21"/>
        <v>781.36182842148241</v>
      </c>
      <c r="BD14" s="1238">
        <f t="shared" si="22"/>
        <v>521.298</v>
      </c>
    </row>
    <row r="15" spans="1:56" ht="15" customHeight="1">
      <c r="A15" s="747" t="s">
        <v>3101</v>
      </c>
      <c r="B15" s="595">
        <v>45960</v>
      </c>
      <c r="C15" s="1447">
        <v>45946</v>
      </c>
      <c r="D15" t="s">
        <v>1484</v>
      </c>
      <c r="E15" s="762">
        <f>_xlfn.XLOOKUP(D15,RUC!$B$3:$B$123,RUC!$D$3:$D$123)</f>
        <v>10761932735</v>
      </c>
      <c r="G15" s="1082" t="s">
        <v>2985</v>
      </c>
      <c r="H15" s="762" t="s">
        <v>69</v>
      </c>
      <c r="I15" s="703">
        <v>22.46</v>
      </c>
      <c r="J15" s="596">
        <v>9.4</v>
      </c>
      <c r="K15" s="703">
        <f t="shared" si="0"/>
        <v>20.349</v>
      </c>
      <c r="L15" s="762">
        <v>0.125</v>
      </c>
      <c r="M15" s="994">
        <v>0.11</v>
      </c>
      <c r="N15" s="1444">
        <v>0.193</v>
      </c>
      <c r="O15" s="645">
        <f t="shared" si="18"/>
        <v>0.152</v>
      </c>
      <c r="P15" s="727">
        <v>90</v>
      </c>
      <c r="Q15" s="1476">
        <v>97.6</v>
      </c>
      <c r="R15" s="706">
        <v>4261.95</v>
      </c>
      <c r="S15" s="765">
        <f>IF((_xlfn.XLOOKUP(D15,RUC!$B$3:$B$119,RUC!$E$3:$E$119)+ROUNDDOWN(O15,1)*100)&lt;95,95,((_xlfn.XLOOKUP(D15,RUC!$B$3:$B$119,RUC!$E$3:$E$119)+ROUNDDOWN(O15,1)*100)))</f>
        <v>100</v>
      </c>
      <c r="U15" s="1146">
        <f>_xlfn.XLOOKUP(D15,RUC!$B$3:$B$123,RUC!$F$3:$F$123)</f>
        <v>120</v>
      </c>
      <c r="V15" s="715">
        <v>1.1023000000000001</v>
      </c>
      <c r="Y15" s="1445">
        <f>_xlfn.XLOOKUP(D15,RUC!$B$3:$B$123,RUC!$G$3:$G$123)+40</f>
        <v>60</v>
      </c>
      <c r="Z15" s="143">
        <f>_xlfn.XLOOKUP(D15,RUC!$B$3:$B$123,RUC!$H$3:$H$123)</f>
        <v>30</v>
      </c>
      <c r="AA15" s="144">
        <f t="shared" si="2"/>
        <v>90</v>
      </c>
      <c r="AB15" s="145">
        <f t="shared" si="14"/>
        <v>415.14685914799998</v>
      </c>
      <c r="AC15" s="145">
        <f>+(S15-T15)*V15-'data 1'!$F$4</f>
        <v>30.230000000000004</v>
      </c>
      <c r="AD15" s="145">
        <f t="shared" si="3"/>
        <v>43.373879107499967</v>
      </c>
      <c r="AE15" s="145">
        <f t="shared" si="4"/>
        <v>29.207000000000008</v>
      </c>
      <c r="AF15" s="145">
        <f t="shared" si="5"/>
        <v>-120.31457497271997</v>
      </c>
      <c r="AG15" s="772">
        <f t="shared" si="15"/>
        <v>-0.50369586521998144</v>
      </c>
      <c r="AH15" s="1253">
        <f t="shared" si="6"/>
        <v>85.116</v>
      </c>
      <c r="AI15" s="1253">
        <f t="shared" si="7"/>
        <v>87.209000000000003</v>
      </c>
      <c r="AJ15" s="156">
        <f t="shared" si="8"/>
        <v>-25.813551169999979</v>
      </c>
      <c r="AK15" s="156">
        <f t="shared" si="9"/>
        <v>95.441715843548778</v>
      </c>
      <c r="AL15" s="88"/>
      <c r="AM15" s="716">
        <f t="shared" si="10"/>
        <v>8447.8234368026515</v>
      </c>
      <c r="AN15" s="716" t="str">
        <f>_xlfn.XLOOKUP(D15,RUC!$B$3:$B$578,RUC!$M$3:$M$578)</f>
        <v>Richard Sapacayo</v>
      </c>
      <c r="AO15" s="1167" t="s">
        <v>2280</v>
      </c>
      <c r="AP15" t="s">
        <v>3216</v>
      </c>
      <c r="AQ15" t="s">
        <v>3217</v>
      </c>
      <c r="AV15" s="1232" t="s">
        <v>2518</v>
      </c>
      <c r="AW15" s="1234">
        <f t="shared" si="16"/>
        <v>0</v>
      </c>
      <c r="AX15" s="1234" cm="1">
        <f t="array" ref="AX15">+SUMPRODUCT(IF($AO$4:$AO$1627=AV15,$L$4:$L$1627*$K$4:$K$1627/AW15))</f>
        <v>0</v>
      </c>
      <c r="AY15" s="1235">
        <f t="shared" si="20"/>
        <v>0</v>
      </c>
      <c r="AZ15" s="1236" cm="1">
        <f t="array" ref="AZ15">+SUMPRODUCT(IF('30'!$AO$4:$AO$1519=AV15,('30'!$Q$4:$Q$1519*'30'!$AH$4:$AH$1519)/SUMIF('30'!$AO$4:$AO$1519,#REF!,'30'!$AH$4:$AH$1519)))</f>
        <v>0</v>
      </c>
      <c r="BA15" s="1237">
        <f t="shared" si="19"/>
        <v>0</v>
      </c>
      <c r="BB15" s="1237">
        <f t="shared" si="17"/>
        <v>0</v>
      </c>
      <c r="BC15" s="1236">
        <f t="shared" si="21"/>
        <v>781.36182842148241</v>
      </c>
      <c r="BD15" s="1238">
        <f t="shared" si="22"/>
        <v>521.298</v>
      </c>
    </row>
    <row r="16" spans="1:56" ht="15" customHeight="1">
      <c r="A16" s="747" t="s">
        <v>3106</v>
      </c>
      <c r="B16" s="595">
        <v>45951</v>
      </c>
      <c r="C16" s="1447">
        <v>45946</v>
      </c>
      <c r="D16" t="s">
        <v>2444</v>
      </c>
      <c r="E16" s="762">
        <f>_xlfn.XLOOKUP(D16,RUC!$B$3:$B$123,RUC!$D$3:$D$123)</f>
        <v>20608774000</v>
      </c>
      <c r="G16" s="1082">
        <v>23</v>
      </c>
      <c r="H16" s="762" t="s">
        <v>69</v>
      </c>
      <c r="I16" s="703">
        <v>2.31</v>
      </c>
      <c r="J16" s="596">
        <v>2.2999999999999998</v>
      </c>
      <c r="K16" s="703">
        <f t="shared" si="0"/>
        <v>2.2570000000000001</v>
      </c>
      <c r="L16" s="762">
        <v>0.59499999999999997</v>
      </c>
      <c r="M16" s="994">
        <v>0.56499999999999995</v>
      </c>
      <c r="N16" s="1196">
        <f t="shared" ref="N16" si="24">+M16</f>
        <v>0.56499999999999995</v>
      </c>
      <c r="O16" s="645">
        <f t="shared" si="18"/>
        <v>0.56499999999999995</v>
      </c>
      <c r="P16" s="727">
        <v>90</v>
      </c>
      <c r="Q16" s="1490">
        <v>97.48</v>
      </c>
      <c r="R16" s="706">
        <v>4261.95</v>
      </c>
      <c r="S16" s="765">
        <f>IF((_xlfn.XLOOKUP(D16,RUC!$B$3:$B$119,RUC!$E$3:$E$119)+ROUNDDOWN(O16,1)*100)&lt;95,95,((_xlfn.XLOOKUP(D16,RUC!$B$3:$B$119,RUC!$E$3:$E$119)+ROUNDDOWN(O16,1)*100)))</f>
        <v>135</v>
      </c>
      <c r="U16" s="1146">
        <f>_xlfn.XLOOKUP(D16,RUC!$B$3:$B$123,RUC!$F$3:$F$123)</f>
        <v>120</v>
      </c>
      <c r="V16" s="715">
        <v>1.1023000000000001</v>
      </c>
      <c r="Y16">
        <f>_xlfn.XLOOKUP(D16,RUC!$B$3:$B$123,RUC!$G$3:$G$123)</f>
        <v>20</v>
      </c>
      <c r="Z16" s="1454">
        <v>35</v>
      </c>
      <c r="AA16" s="144">
        <f t="shared" si="2"/>
        <v>55</v>
      </c>
      <c r="AB16" s="145">
        <f t="shared" si="14"/>
        <v>2112.2069501224996</v>
      </c>
      <c r="AC16" s="145">
        <f>+(S16-T16)*V16-'data 1'!$F$4</f>
        <v>68.810500000000019</v>
      </c>
      <c r="AD16" s="145">
        <f t="shared" si="3"/>
        <v>203.19977511141008</v>
      </c>
      <c r="AE16" s="145">
        <f t="shared" si="4"/>
        <v>-9.3734999999999999</v>
      </c>
      <c r="AF16" s="145">
        <f t="shared" si="5"/>
        <v>133.51849690734014</v>
      </c>
      <c r="AG16" s="772">
        <f t="shared" si="15"/>
        <v>413.15527201875028</v>
      </c>
      <c r="AH16" s="1253">
        <f t="shared" si="6"/>
        <v>44.881999999999998</v>
      </c>
      <c r="AI16" s="1253">
        <f t="shared" si="7"/>
        <v>46.042000000000002</v>
      </c>
      <c r="AJ16" s="156">
        <f t="shared" si="8"/>
        <v>-122.72143081890991</v>
      </c>
      <c r="AK16" s="156">
        <f t="shared" si="9"/>
        <v>39.348808441470226</v>
      </c>
      <c r="AL16" s="88"/>
      <c r="AM16" s="716">
        <f t="shared" si="10"/>
        <v>4767.2510864264823</v>
      </c>
      <c r="AN16" s="716" t="str">
        <f>_xlfn.XLOOKUP(D16,RUC!$B$3:$B$578,RUC!$M$3:$M$578)</f>
        <v>Ronald Miranda</v>
      </c>
      <c r="AO16" s="1167" t="s">
        <v>2279</v>
      </c>
      <c r="AP16" s="1489" t="s">
        <v>3132</v>
      </c>
      <c r="AQ16" s="1489" t="s">
        <v>3133</v>
      </c>
      <c r="AV16" s="1232" t="s">
        <v>2519</v>
      </c>
      <c r="AW16" s="1234">
        <f t="shared" si="16"/>
        <v>0</v>
      </c>
      <c r="AX16" s="1234" cm="1">
        <f t="array" ref="AX16">+SUMPRODUCT(IF($AO$4:$AO$1627=AV16,$L$4:$L$1627*$K$4:$K$1627/AW16))</f>
        <v>0</v>
      </c>
      <c r="AY16" s="1235">
        <f t="shared" si="20"/>
        <v>0</v>
      </c>
      <c r="AZ16" s="1236" cm="1">
        <f t="array" ref="AZ16">+SUMPRODUCT(IF('30'!$AO$4:$AO$1519=AV16,('30'!$Q$4:$Q$1519*'30'!$AH$4:$AH$1519)/SUMIF('30'!$AO$4:$AO$1519,#REF!,'30'!$AH$4:$AH$1519)))</f>
        <v>0</v>
      </c>
      <c r="BA16" s="1237">
        <f t="shared" si="19"/>
        <v>0</v>
      </c>
      <c r="BB16" s="1237">
        <f t="shared" si="17"/>
        <v>0</v>
      </c>
      <c r="BC16" s="1236">
        <f t="shared" si="21"/>
        <v>781.36182842148241</v>
      </c>
      <c r="BD16" s="1238">
        <f t="shared" si="22"/>
        <v>521.298</v>
      </c>
    </row>
    <row r="17" spans="1:56" ht="15" customHeight="1">
      <c r="A17" s="747" t="s">
        <v>3107</v>
      </c>
      <c r="B17" s="595">
        <v>45951</v>
      </c>
      <c r="C17" s="1447">
        <v>45946</v>
      </c>
      <c r="D17" s="1489" t="s">
        <v>3125</v>
      </c>
      <c r="E17" s="762" t="str">
        <f>_xlfn.XLOOKUP(D17,RUC!$B$3:$B$123,RUC!$D$3:$D$123)</f>
        <v>10486077447,</v>
      </c>
      <c r="G17" s="1082" t="s">
        <v>2985</v>
      </c>
      <c r="H17" s="762" t="s">
        <v>69</v>
      </c>
      <c r="I17" s="703">
        <v>30.44</v>
      </c>
      <c r="J17" s="596">
        <v>1.85</v>
      </c>
      <c r="K17" s="703">
        <f t="shared" si="0"/>
        <v>29.876999999999999</v>
      </c>
      <c r="L17" s="762">
        <v>9.8000000000000004E-2</v>
      </c>
      <c r="M17" s="994">
        <v>8.3000000000000004E-2</v>
      </c>
      <c r="N17" s="1444">
        <v>0.126</v>
      </c>
      <c r="O17" s="645">
        <f t="shared" si="18"/>
        <v>0.105</v>
      </c>
      <c r="P17" s="727">
        <v>80</v>
      </c>
      <c r="Q17" s="1490">
        <v>92.86</v>
      </c>
      <c r="R17" s="706">
        <v>4261.95</v>
      </c>
      <c r="S17" s="765">
        <f>IF((_xlfn.XLOOKUP(D17,RUC!$B$3:$B$119,RUC!$E$3:$E$119)+ROUNDDOWN(O17,1)*100)&lt;95,95,((_xlfn.XLOOKUP(D17,RUC!$B$3:$B$119,RUC!$E$3:$E$119)+ROUNDDOWN(O17,1)*100)))</f>
        <v>100</v>
      </c>
      <c r="U17" s="1146">
        <f>_xlfn.XLOOKUP(D17,RUC!$B$3:$B$123,RUC!$F$3:$F$123)</f>
        <v>120</v>
      </c>
      <c r="V17" s="715">
        <v>1.1023000000000001</v>
      </c>
      <c r="Y17">
        <f>_xlfn.XLOOKUP(D17,RUC!$B$3:$B$123,RUC!$G$3:$G$123)</f>
        <v>20</v>
      </c>
      <c r="Z17" s="143">
        <f>_xlfn.XLOOKUP(D17,RUC!$B$3:$B$123,RUC!$H$3:$H$123)</f>
        <v>30</v>
      </c>
      <c r="AA17" s="144">
        <f t="shared" si="2"/>
        <v>50</v>
      </c>
      <c r="AB17" s="145">
        <f t="shared" si="14"/>
        <v>218.17140473999999</v>
      </c>
      <c r="AC17" s="145">
        <f>+(S17-T17)*V17-'data 1'!$F$4</f>
        <v>30.230000000000004</v>
      </c>
      <c r="AD17" s="145">
        <f t="shared" si="3"/>
        <v>57.540244591158</v>
      </c>
      <c r="AE17" s="145">
        <f t="shared" si="4"/>
        <v>-14.884999999999998</v>
      </c>
      <c r="AF17" s="145">
        <f t="shared" si="5"/>
        <v>-29.67777778679697</v>
      </c>
      <c r="AG17" s="772">
        <f t="shared" si="15"/>
        <v>60.207466804361033</v>
      </c>
      <c r="AH17" s="1253">
        <f t="shared" si="6"/>
        <v>93.218000000000004</v>
      </c>
      <c r="AI17" s="1253">
        <f t="shared" si="7"/>
        <v>100.386</v>
      </c>
      <c r="AJ17" s="156">
        <f t="shared" si="8"/>
        <v>-19.254962577157983</v>
      </c>
      <c r="AK17" s="156">
        <f t="shared" si="9"/>
        <v>86.044941256667414</v>
      </c>
      <c r="AL17" s="88"/>
      <c r="AM17" s="716">
        <f t="shared" si="10"/>
        <v>6518.3070594169794</v>
      </c>
      <c r="AN17" s="716" t="str">
        <f>_xlfn.XLOOKUP(D17,RUC!$B$3:$B$578,RUC!$M$3:$M$578)</f>
        <v>SIN ACOPIO</v>
      </c>
      <c r="AO17" s="1167" t="s">
        <v>2280</v>
      </c>
      <c r="AP17" s="1489" t="s">
        <v>3127</v>
      </c>
      <c r="AQ17" s="1489" t="s">
        <v>3128</v>
      </c>
      <c r="AV17" s="1232" t="s">
        <v>2520</v>
      </c>
      <c r="AW17" s="1234">
        <f t="shared" si="16"/>
        <v>0</v>
      </c>
      <c r="AX17" s="1234" cm="1">
        <f t="array" ref="AX17">+SUMPRODUCT(IF($AO$4:$AO$1627=AV17,$L$4:$L$1627*$K$4:$K$1627/AW17))</f>
        <v>0</v>
      </c>
      <c r="AY17" s="1235">
        <f t="shared" si="20"/>
        <v>0</v>
      </c>
      <c r="AZ17" s="1236" cm="1">
        <f t="array" ref="AZ17">+SUMPRODUCT(IF('30'!$AO$4:$AO$1519=AV17,('30'!$Q$4:$Q$1519*'30'!$AH$4:$AH$1519)/SUMIF('30'!$AO$4:$AO$1519,#REF!,'30'!$AH$4:$AH$1519)))</f>
        <v>0</v>
      </c>
      <c r="BA17" s="1237">
        <f t="shared" si="19"/>
        <v>0</v>
      </c>
      <c r="BB17" s="1237">
        <f t="shared" si="17"/>
        <v>0</v>
      </c>
      <c r="BC17" s="1236">
        <f t="shared" si="21"/>
        <v>781.36182842148241</v>
      </c>
      <c r="BD17" s="1238">
        <f t="shared" si="22"/>
        <v>521.298</v>
      </c>
    </row>
    <row r="18" spans="1:56" ht="15" customHeight="1" thickBot="1">
      <c r="A18" s="747" t="s">
        <v>3141</v>
      </c>
      <c r="B18" s="595">
        <v>45954</v>
      </c>
      <c r="C18" s="1447">
        <v>45949</v>
      </c>
      <c r="D18" t="s">
        <v>119</v>
      </c>
      <c r="E18" s="762">
        <f>_xlfn.XLOOKUP(D18,RUC!$B$3:$B$123,RUC!$D$3:$D$123)</f>
        <v>10082235774</v>
      </c>
      <c r="G18" s="1082">
        <v>51</v>
      </c>
      <c r="H18" s="762" t="s">
        <v>69</v>
      </c>
      <c r="I18" s="703">
        <v>4.93</v>
      </c>
      <c r="J18" s="596">
        <v>1.1499999999999999</v>
      </c>
      <c r="K18" s="703">
        <f t="shared" si="0"/>
        <v>4.8730000000000002</v>
      </c>
      <c r="L18" s="994">
        <v>0.12</v>
      </c>
      <c r="M18" s="994">
        <v>0.113</v>
      </c>
      <c r="N18" s="1196">
        <f t="shared" ref="N18:N22" si="25">+M18</f>
        <v>0.113</v>
      </c>
      <c r="O18" s="645">
        <f t="shared" si="18"/>
        <v>0.113</v>
      </c>
      <c r="P18" s="727">
        <v>85</v>
      </c>
      <c r="Q18" s="596">
        <v>87.5</v>
      </c>
      <c r="R18" s="706">
        <v>4294.3500000000004</v>
      </c>
      <c r="S18" s="1164">
        <f>IF((_xlfn.XLOOKUP(D18,RUC!$B$3:$B$119,RUC!$E$3:$E$119)+ROUNDDOWN(O18,1)*100)&lt;95,95,((_xlfn.XLOOKUP(D18,RUC!$B$3:$B$119,RUC!$E$3:$E$119)+ROUNDDOWN(O18,1)*100)))</f>
        <v>95</v>
      </c>
      <c r="U18" s="1146">
        <f>_xlfn.XLOOKUP(D18,RUC!$B$3:$B$123,RUC!$F$3:$F$123)</f>
        <v>80</v>
      </c>
      <c r="V18" s="715">
        <v>1.1023000000000001</v>
      </c>
      <c r="Y18">
        <f>_xlfn.XLOOKUP(D18,RUC!$B$3:$B$123,RUC!$G$3:$G$123)</f>
        <v>0</v>
      </c>
      <c r="Z18" s="143">
        <f>_xlfn.XLOOKUP(D18,RUC!$B$3:$B$123,RUC!$H$3:$H$123)</f>
        <v>10</v>
      </c>
      <c r="AA18" s="144">
        <f t="shared" si="2"/>
        <v>10</v>
      </c>
      <c r="AB18" s="145">
        <f t="shared" si="14"/>
        <v>330.45666238025007</v>
      </c>
      <c r="AC18" s="145">
        <f>+(S18-T18)*V18-'data 1'!$F$4</f>
        <v>24.718500000000006</v>
      </c>
      <c r="AD18" s="145">
        <f t="shared" si="3"/>
        <v>13.936434015000001</v>
      </c>
      <c r="AE18" s="145">
        <f t="shared" si="4"/>
        <v>-58.977000000000004</v>
      </c>
      <c r="AF18" s="145">
        <f t="shared" si="5"/>
        <v>28.453552780624968</v>
      </c>
      <c r="AG18" s="772">
        <f t="shared" ref="AG18:AG19" si="26">AC18+AD18+AE18+AF18+70</f>
        <v>78.131486795624966</v>
      </c>
      <c r="AH18" s="1253">
        <f t="shared" si="6"/>
        <v>17.542999999999999</v>
      </c>
      <c r="AI18" s="1253">
        <f t="shared" si="7"/>
        <v>20.048999999999999</v>
      </c>
      <c r="AJ18" s="156">
        <f t="shared" si="8"/>
        <v>-30.596265525000046</v>
      </c>
      <c r="AK18" s="156">
        <f t="shared" si="9"/>
        <v>16.047332447692785</v>
      </c>
      <c r="AL18" s="88"/>
      <c r="AM18" s="716">
        <f t="shared" si="10"/>
        <v>1610.3153157789586</v>
      </c>
      <c r="AN18" s="716" t="str">
        <f>_xlfn.XLOOKUP(D18,RUC!$B$3:$B$578,RUC!$M$3:$M$578)</f>
        <v>Melchor Vera</v>
      </c>
      <c r="AO18" s="1167" t="s">
        <v>2277</v>
      </c>
      <c r="AP18" t="s">
        <v>3188</v>
      </c>
      <c r="AQ18" t="s">
        <v>3189</v>
      </c>
      <c r="AV18" s="1239" t="s">
        <v>2521</v>
      </c>
      <c r="AW18" s="1254">
        <f t="shared" si="16"/>
        <v>0</v>
      </c>
      <c r="AX18" s="1254" cm="1">
        <f t="array" ref="AX18">+SUMPRODUCT(IF('30'!$AO$4:$AO$1519=AV18,'30'!$L$4:$L$1519*'30'!$K$4:$K$1519/AW18))</f>
        <v>0</v>
      </c>
      <c r="AY18" s="1241">
        <f t="shared" si="20"/>
        <v>0</v>
      </c>
      <c r="AZ18" s="1242" cm="1">
        <f t="array" ref="AZ18">+SUMPRODUCT(IF('30'!$AO$4:$AO$1519=AV18,('30'!$Q$4:$Q$1519*'30'!$AH$4:$AH$1519)/SUMIF('30'!$AO$4:$AO$1519,#REF!,'30'!$AH$4:$AH$1519)))</f>
        <v>0</v>
      </c>
      <c r="BA18" s="1243">
        <f t="shared" si="19"/>
        <v>0</v>
      </c>
      <c r="BB18" s="1243">
        <f t="shared" si="17"/>
        <v>0</v>
      </c>
      <c r="BC18" s="1242">
        <f t="shared" si="21"/>
        <v>781.36182842148241</v>
      </c>
      <c r="BD18" s="1436">
        <f t="shared" si="22"/>
        <v>521.298</v>
      </c>
    </row>
    <row r="19" spans="1:56" ht="15" customHeight="1">
      <c r="A19" s="747" t="s">
        <v>3144</v>
      </c>
      <c r="B19" s="595">
        <v>45954</v>
      </c>
      <c r="C19" s="1447">
        <v>45949</v>
      </c>
      <c r="D19" t="s">
        <v>119</v>
      </c>
      <c r="E19" s="762">
        <f>_xlfn.XLOOKUP(D19,RUC!$B$3:$B$123,RUC!$D$3:$D$123)</f>
        <v>10082235774</v>
      </c>
      <c r="G19" s="1082">
        <v>40</v>
      </c>
      <c r="H19" s="762" t="s">
        <v>69</v>
      </c>
      <c r="I19" s="703">
        <v>3.93</v>
      </c>
      <c r="J19" s="596">
        <v>1.1499999999999999</v>
      </c>
      <c r="K19" s="703">
        <f t="shared" si="0"/>
        <v>3.8849999999999998</v>
      </c>
      <c r="L19" s="762">
        <v>0.113</v>
      </c>
      <c r="M19" s="762">
        <v>0.106</v>
      </c>
      <c r="N19" s="1196">
        <f t="shared" si="25"/>
        <v>0.106</v>
      </c>
      <c r="O19" s="645">
        <f t="shared" si="18"/>
        <v>0.106</v>
      </c>
      <c r="P19" s="727">
        <v>85</v>
      </c>
      <c r="Q19">
        <v>86.73</v>
      </c>
      <c r="R19" s="706">
        <v>4294.3500000000004</v>
      </c>
      <c r="S19" s="1164">
        <f>IF((_xlfn.XLOOKUP(D19,RUC!$B$3:$B$119,RUC!$E$3:$E$119)+ROUNDDOWN(O19,1)*100)&lt;95,95,((_xlfn.XLOOKUP(D19,RUC!$B$3:$B$119,RUC!$E$3:$E$119)+ROUNDDOWN(O19,1)*100)))</f>
        <v>95</v>
      </c>
      <c r="U19" s="1146">
        <f>_xlfn.XLOOKUP(D19,RUC!$B$3:$B$123,RUC!$F$3:$F$123)</f>
        <v>80</v>
      </c>
      <c r="V19" s="715">
        <v>1.1023000000000001</v>
      </c>
      <c r="Y19">
        <f>_xlfn.XLOOKUP(D19,RUC!$B$3:$B$123,RUC!$G$3:$G$123)</f>
        <v>0</v>
      </c>
      <c r="Z19" s="143">
        <f>_xlfn.XLOOKUP(D19,RUC!$B$3:$B$123,RUC!$H$3:$H$123)</f>
        <v>10</v>
      </c>
      <c r="AA19" s="144">
        <f t="shared" si="2"/>
        <v>10</v>
      </c>
      <c r="AB19" s="145">
        <f t="shared" si="14"/>
        <v>302.81606825050005</v>
      </c>
      <c r="AC19" s="145">
        <f>+(S19-T19)*V19-'data 1'!$F$4</f>
        <v>24.718500000000006</v>
      </c>
      <c r="AD19" s="145">
        <f t="shared" si="3"/>
        <v>9.0814449519745217</v>
      </c>
      <c r="AE19" s="145">
        <f t="shared" si="4"/>
        <v>-58.977000000000004</v>
      </c>
      <c r="AF19" s="145">
        <f t="shared" si="5"/>
        <v>28.203161516155529</v>
      </c>
      <c r="AG19" s="772">
        <f t="shared" si="26"/>
        <v>73.026106468130052</v>
      </c>
      <c r="AH19" s="1253">
        <f t="shared" si="6"/>
        <v>13.054</v>
      </c>
      <c r="AI19" s="1253">
        <f t="shared" si="7"/>
        <v>15.051</v>
      </c>
      <c r="AJ19" s="156">
        <f t="shared" si="8"/>
        <v>-28.557942315724546</v>
      </c>
      <c r="AK19" s="156">
        <f t="shared" si="9"/>
        <v>12.001205804939923</v>
      </c>
      <c r="AL19" s="88"/>
      <c r="AM19" s="716">
        <f t="shared" si="10"/>
        <v>1176.4404251531926</v>
      </c>
      <c r="AN19" s="716" t="str">
        <f>_xlfn.XLOOKUP(D19,RUC!$B$3:$B$578,RUC!$M$3:$M$578)</f>
        <v>Melchor Vera</v>
      </c>
      <c r="AO19" s="1167" t="s">
        <v>2277</v>
      </c>
      <c r="AP19" t="s">
        <v>3188</v>
      </c>
      <c r="AQ19" t="s">
        <v>3189</v>
      </c>
    </row>
    <row r="20" spans="1:56" ht="15" customHeight="1" thickBot="1">
      <c r="A20" s="747" t="s">
        <v>3147</v>
      </c>
      <c r="B20" s="595">
        <v>45957</v>
      </c>
      <c r="C20" s="1447">
        <v>45949</v>
      </c>
      <c r="D20" t="s">
        <v>93</v>
      </c>
      <c r="E20" s="762">
        <f>_xlfn.XLOOKUP(D20,RUC!$B$3:$B$123,RUC!$D$3:$D$123)</f>
        <v>20169040231</v>
      </c>
      <c r="G20" s="1082">
        <v>106</v>
      </c>
      <c r="H20" s="762" t="s">
        <v>69</v>
      </c>
      <c r="I20" s="703">
        <v>9.24</v>
      </c>
      <c r="J20" s="596">
        <v>1.3</v>
      </c>
      <c r="K20" s="703">
        <f t="shared" si="0"/>
        <v>9.1199999999999992</v>
      </c>
      <c r="L20" s="762">
        <v>0.33900000000000002</v>
      </c>
      <c r="M20" s="762">
        <v>0.32200000000000001</v>
      </c>
      <c r="N20" s="1480">
        <v>0.36599999999999999</v>
      </c>
      <c r="O20" s="645">
        <f t="shared" si="18"/>
        <v>0.34399999999999997</v>
      </c>
      <c r="P20" s="727">
        <v>80</v>
      </c>
      <c r="Q20" s="629">
        <v>80.53</v>
      </c>
      <c r="R20" s="706">
        <v>4294.3500000000004</v>
      </c>
      <c r="S20" s="765">
        <f>IF((_xlfn.XLOOKUP(D20,RUC!$B$3:$B$119,RUC!$E$3:$E$119)+ROUNDDOWN(O20,1)*100)&lt;95,95,((_xlfn.XLOOKUP(D20,RUC!$B$3:$B$119,RUC!$E$3:$E$119)+ROUNDDOWN(O20,1)*100)))</f>
        <v>115</v>
      </c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54">
        <v>35</v>
      </c>
      <c r="AA20" s="144">
        <f t="shared" si="2"/>
        <v>55</v>
      </c>
      <c r="AB20" s="145">
        <f t="shared" si="14"/>
        <v>1078.910428576</v>
      </c>
      <c r="AC20" s="145">
        <f>+(S20-T20)*V20-'data 1'!$F$4</f>
        <v>46.764500000000012</v>
      </c>
      <c r="AD20" s="145">
        <f t="shared" si="3"/>
        <v>8.267310235183519</v>
      </c>
      <c r="AE20" s="145">
        <f t="shared" si="4"/>
        <v>-9.3734999999999999</v>
      </c>
      <c r="AF20" s="145">
        <f t="shared" si="5"/>
        <v>-18.527480749132316</v>
      </c>
      <c r="AG20" s="772">
        <f t="shared" ref="AG20:AG69" si="27">AC20+AD20+AE20+AF20+70-53</f>
        <v>44.130829486051212</v>
      </c>
      <c r="AH20" s="1253">
        <f t="shared" si="6"/>
        <v>85.361000000000004</v>
      </c>
      <c r="AI20" s="1253">
        <f t="shared" si="7"/>
        <v>105.999</v>
      </c>
      <c r="AJ20" s="156">
        <f t="shared" si="8"/>
        <v>-67.51235827168361</v>
      </c>
      <c r="AK20" s="156">
        <f t="shared" si="9"/>
        <v>86.050289777203176</v>
      </c>
      <c r="AL20" s="88"/>
      <c r="AM20" s="716">
        <f t="shared" si="10"/>
        <v>9839.6631086131183</v>
      </c>
      <c r="AN20" s="716" t="str">
        <f>_xlfn.XLOOKUP(D20,RUC!$B$3:$B$578,RUC!$M$3:$M$578)</f>
        <v>Ronald Miranda</v>
      </c>
      <c r="AO20" s="1167" t="s">
        <v>2277</v>
      </c>
      <c r="AP20" t="s">
        <v>3190</v>
      </c>
      <c r="AQ20" t="s">
        <v>3191</v>
      </c>
    </row>
    <row r="21" spans="1:56" ht="15" customHeight="1" thickBot="1">
      <c r="A21" s="747" t="s">
        <v>3148</v>
      </c>
      <c r="B21" s="595">
        <v>45957</v>
      </c>
      <c r="C21" s="1447">
        <v>45949</v>
      </c>
      <c r="D21" t="s">
        <v>93</v>
      </c>
      <c r="E21" s="762">
        <f>_xlfn.XLOOKUP(D21,RUC!$B$3:$B$123,RUC!$D$3:$D$123)</f>
        <v>20169040231</v>
      </c>
      <c r="G21" s="1082">
        <v>117</v>
      </c>
      <c r="H21" s="762" t="s">
        <v>69</v>
      </c>
      <c r="I21" s="703">
        <v>10.29</v>
      </c>
      <c r="J21" s="596">
        <v>1.5</v>
      </c>
      <c r="K21" s="703">
        <f t="shared" si="0"/>
        <v>10.135999999999999</v>
      </c>
      <c r="L21" s="762">
        <v>0.375</v>
      </c>
      <c r="M21" s="762">
        <v>0.35599999999999998</v>
      </c>
      <c r="N21" s="1196">
        <f t="shared" si="25"/>
        <v>0.35599999999999998</v>
      </c>
      <c r="O21" s="645">
        <f t="shared" si="18"/>
        <v>0.35599999999999998</v>
      </c>
      <c r="P21" s="727">
        <v>84</v>
      </c>
      <c r="Q21" s="1035">
        <v>84</v>
      </c>
      <c r="R21" s="706">
        <v>4294.3500000000004</v>
      </c>
      <c r="S21" s="765">
        <f>IF((_xlfn.XLOOKUP(D21,RUC!$B$3:$B$119,RUC!$E$3:$E$119)+ROUNDDOWN(O21,1)*100)&lt;95,95,((_xlfn.XLOOKUP(D21,RUC!$B$3:$B$119,RUC!$E$3:$E$119)+ROUNDDOWN(O21,1)*100)))</f>
        <v>115</v>
      </c>
      <c r="U21" s="1146">
        <f>_xlfn.XLOOKUP(D21,RUC!$B$3:$B$123,RUC!$F$3:$F$123)</f>
        <v>120</v>
      </c>
      <c r="V21" s="715">
        <v>1.1023000000000001</v>
      </c>
      <c r="Y21">
        <f>_xlfn.XLOOKUP(D21,RUC!$B$3:$B$123,RUC!$G$3:$G$123)</f>
        <v>20</v>
      </c>
      <c r="Z21" s="1454">
        <v>35</v>
      </c>
      <c r="AA21" s="144">
        <f t="shared" si="2"/>
        <v>55</v>
      </c>
      <c r="AB21" s="145">
        <f t="shared" si="14"/>
        <v>1188.6074709352001</v>
      </c>
      <c r="AC21" s="145">
        <f>+(S21-T21)*V21-'data 1'!$F$4</f>
        <v>46.764500000000012</v>
      </c>
      <c r="AD21" s="145">
        <f t="shared" si="3"/>
        <v>0</v>
      </c>
      <c r="AE21" s="145">
        <f t="shared" si="4"/>
        <v>-9.3734999999999999</v>
      </c>
      <c r="AF21" s="145">
        <f t="shared" si="5"/>
        <v>73.438120639800076</v>
      </c>
      <c r="AG21" s="772">
        <f t="shared" si="27"/>
        <v>127.8291206398001</v>
      </c>
      <c r="AH21" s="1253">
        <f t="shared" si="6"/>
        <v>109.468</v>
      </c>
      <c r="AI21" s="1253">
        <f t="shared" si="7"/>
        <v>130.31899999999999</v>
      </c>
      <c r="AJ21" s="156">
        <f t="shared" si="8"/>
        <v>-77.899816575000131</v>
      </c>
      <c r="AK21" s="156">
        <f t="shared" si="9"/>
        <v>103.92139195689619</v>
      </c>
      <c r="AL21" s="88"/>
      <c r="AM21" s="716">
        <f t="shared" si="10"/>
        <v>12047.725325399188</v>
      </c>
      <c r="AN21" s="716" t="str">
        <f>_xlfn.XLOOKUP(D21,RUC!$B$3:$B$578,RUC!$M$3:$M$578)</f>
        <v>Ronald Miranda</v>
      </c>
      <c r="AO21" s="1167" t="s">
        <v>2277</v>
      </c>
      <c r="AP21" t="s">
        <v>3190</v>
      </c>
      <c r="AQ21" t="s">
        <v>3191</v>
      </c>
      <c r="AV21" s="1982" t="s">
        <v>3295</v>
      </c>
      <c r="AW21" s="1983"/>
      <c r="AX21" s="1983"/>
      <c r="AY21" s="1983"/>
      <c r="AZ21" s="1983"/>
      <c r="BA21" s="1984"/>
    </row>
    <row r="22" spans="1:56" ht="15" customHeight="1">
      <c r="A22" s="747" t="s">
        <v>3149</v>
      </c>
      <c r="B22" s="1521">
        <v>45957</v>
      </c>
      <c r="C22" s="1447">
        <v>45949</v>
      </c>
      <c r="D22" t="s">
        <v>93</v>
      </c>
      <c r="E22" s="762">
        <f>_xlfn.XLOOKUP(D22,RUC!$B$3:$B$123,RUC!$D$3:$D$123)</f>
        <v>20169040231</v>
      </c>
      <c r="G22" s="1082">
        <v>117</v>
      </c>
      <c r="H22" s="762" t="s">
        <v>69</v>
      </c>
      <c r="I22" s="703">
        <v>10.3</v>
      </c>
      <c r="J22" s="596">
        <v>1.4</v>
      </c>
      <c r="K22" s="703">
        <f t="shared" si="0"/>
        <v>10.156000000000001</v>
      </c>
      <c r="L22" s="762">
        <v>0.371</v>
      </c>
      <c r="M22" s="762">
        <v>0.35199999999999998</v>
      </c>
      <c r="N22" s="1196">
        <f t="shared" si="25"/>
        <v>0.35199999999999998</v>
      </c>
      <c r="O22" s="647">
        <v>0.4</v>
      </c>
      <c r="P22" s="727">
        <v>78</v>
      </c>
      <c r="Q22" s="1035">
        <v>78.44</v>
      </c>
      <c r="R22" s="706">
        <v>4294.3500000000004</v>
      </c>
      <c r="S22" s="765">
        <f>IF((_xlfn.XLOOKUP(D22,RUC!$B$3:$B$119,RUC!$E$3:$E$119)+ROUNDDOWN(O22,1)*100)&lt;95,95,((_xlfn.XLOOKUP(D22,RUC!$B$3:$B$119,RUC!$E$3:$E$119)+ROUNDDOWN(O22,1)*100)))</f>
        <v>125</v>
      </c>
      <c r="U22" s="1146">
        <f>_xlfn.XLOOKUP(D22,RUC!$B$3:$B$123,RUC!$F$3:$F$123)</f>
        <v>120</v>
      </c>
      <c r="V22" s="715">
        <v>1.1023000000000001</v>
      </c>
      <c r="Y22" s="1507">
        <f>_xlfn.XLOOKUP(D22,RUC!$B$3:$B$123,RUC!$G$3:$G$123)+20</f>
        <v>40</v>
      </c>
      <c r="Z22" s="1454">
        <v>35</v>
      </c>
      <c r="AA22" s="144">
        <f t="shared" si="2"/>
        <v>75</v>
      </c>
      <c r="AB22" s="145">
        <f t="shared" si="14"/>
        <v>1215.1724335600004</v>
      </c>
      <c r="AC22" s="145">
        <f>+(S22-T22)*V22-'data 1'!$F$4</f>
        <v>57.787499999999994</v>
      </c>
      <c r="AD22" s="145">
        <f>+(Q22-P22)*(R22-U22)*L22*V22/100</f>
        <v>7.5113025145619625</v>
      </c>
      <c r="AE22" s="145">
        <f t="shared" si="4"/>
        <v>12.672499999999999</v>
      </c>
      <c r="AF22" s="145">
        <f t="shared" si="5"/>
        <v>-104.6704882873381</v>
      </c>
      <c r="AG22" s="772">
        <f t="shared" si="27"/>
        <v>-9.699185772776147</v>
      </c>
      <c r="AH22" s="1253">
        <f t="shared" si="6"/>
        <v>101.331</v>
      </c>
      <c r="AI22" s="1253">
        <f t="shared" si="7"/>
        <v>129.18299999999999</v>
      </c>
      <c r="AJ22" s="156">
        <f t="shared" si="8"/>
        <v>-71.967658987462116</v>
      </c>
      <c r="AK22" s="156">
        <f t="shared" si="9"/>
        <v>108.63914912316963</v>
      </c>
      <c r="AL22" s="88"/>
      <c r="AM22" s="716">
        <f t="shared" si="10"/>
        <v>12341.291235235365</v>
      </c>
      <c r="AN22" s="716" t="str">
        <f>_xlfn.XLOOKUP(D22,RUC!$B$3:$B$578,RUC!$M$3:$M$578)</f>
        <v>Ronald Miranda</v>
      </c>
      <c r="AO22" s="1167" t="s">
        <v>2279</v>
      </c>
      <c r="AP22" t="s">
        <v>3190</v>
      </c>
      <c r="AQ22" t="s">
        <v>3191</v>
      </c>
      <c r="BA22" s="1482">
        <f>SUM(BA24:BA33)</f>
        <v>2884.1771868892056</v>
      </c>
    </row>
    <row r="23" spans="1:56" ht="15" customHeight="1" thickBot="1">
      <c r="A23" s="747" t="s">
        <v>3150</v>
      </c>
      <c r="B23" s="595">
        <v>45958</v>
      </c>
      <c r="C23" s="1447">
        <v>45950</v>
      </c>
      <c r="D23" t="s">
        <v>1967</v>
      </c>
      <c r="E23" s="762">
        <f>_xlfn.XLOOKUP(D23,RUC!$B$3:$B$123,RUC!$D$3:$D$123)</f>
        <v>20601769396</v>
      </c>
      <c r="G23" s="1082">
        <v>33</v>
      </c>
      <c r="H23" s="762" t="s">
        <v>108</v>
      </c>
      <c r="I23" s="703">
        <v>2.82</v>
      </c>
      <c r="J23" s="596">
        <v>11.66</v>
      </c>
      <c r="K23" s="703">
        <f t="shared" si="0"/>
        <v>2.4910000000000001</v>
      </c>
      <c r="L23" s="762">
        <v>0.158</v>
      </c>
      <c r="M23" s="762">
        <v>0.14299999999999999</v>
      </c>
      <c r="N23" s="1501">
        <v>0.14299999999999999</v>
      </c>
      <c r="O23" s="645">
        <f t="shared" ref="O23:O73" si="28">+ROUND((M23+N23)/2,3)</f>
        <v>0.14299999999999999</v>
      </c>
      <c r="P23" s="727">
        <v>90</v>
      </c>
      <c r="Q23" s="1500">
        <v>90.51</v>
      </c>
      <c r="R23" s="706">
        <v>4294.3500000000004</v>
      </c>
      <c r="S23" s="765">
        <f>IF((_xlfn.XLOOKUP(D23,RUC!$B$3:$B$119,RUC!$E$3:$E$119)+ROUNDDOWN(O23,1)*100)&lt;95,95,((_xlfn.XLOOKUP(D23,RUC!$B$3:$B$119,RUC!$E$3:$E$119)+ROUNDDOWN(O23,1)*100)))</f>
        <v>100</v>
      </c>
      <c r="U23" s="1146">
        <f>_xlfn.XLOOKUP(D23,RUC!$B$3:$B$123,RUC!$F$3:$F$123)</f>
        <v>120</v>
      </c>
      <c r="V23" s="715">
        <v>1.1023000000000001</v>
      </c>
      <c r="Y23">
        <f>_xlfn.XLOOKUP(D23,RUC!$B$3:$B$123,RUC!$G$3:$G$123)</f>
        <v>20</v>
      </c>
      <c r="Z23" s="143">
        <f>_xlfn.XLOOKUP(D23,RUC!$B$3:$B$123,RUC!$H$3:$H$123)</f>
        <v>30</v>
      </c>
      <c r="AA23" s="144">
        <f t="shared" si="2"/>
        <v>50</v>
      </c>
      <c r="AB23" s="145">
        <f t="shared" si="14"/>
        <v>426.85337884349997</v>
      </c>
      <c r="AC23" s="145">
        <f>+(S23-T23)*V23-'data 1'!$F$4</f>
        <v>30.230000000000004</v>
      </c>
      <c r="AD23" s="145">
        <f t="shared" si="3"/>
        <v>3.7077968428290378</v>
      </c>
      <c r="AE23" s="145">
        <f t="shared" si="4"/>
        <v>-14.884999999999998</v>
      </c>
      <c r="AF23" s="145">
        <f t="shared" si="5"/>
        <v>62.470717096882566</v>
      </c>
      <c r="AG23" s="772">
        <f t="shared" si="27"/>
        <v>98.52351393971162</v>
      </c>
      <c r="AH23" s="1253">
        <f t="shared" si="6"/>
        <v>12.212999999999999</v>
      </c>
      <c r="AI23" s="1253">
        <f t="shared" si="7"/>
        <v>13.494</v>
      </c>
      <c r="AJ23" s="156">
        <f t="shared" si="8"/>
        <v>-35.365478060829062</v>
      </c>
      <c r="AK23" s="156">
        <f t="shared" si="9"/>
        <v>10.991610840109185</v>
      </c>
      <c r="AL23" s="88"/>
      <c r="AM23" s="716">
        <f t="shared" si="10"/>
        <v>1063.2917666991584</v>
      </c>
      <c r="AN23" s="716" t="str">
        <f>_xlfn.XLOOKUP(D23,RUC!$B$3:$B$578,RUC!$M$3:$M$578)</f>
        <v>Evelyn</v>
      </c>
      <c r="AO23" s="1167" t="s">
        <v>2277</v>
      </c>
      <c r="AP23" t="s">
        <v>3192</v>
      </c>
      <c r="AQ23" t="s">
        <v>3193</v>
      </c>
      <c r="AV23" s="633"/>
      <c r="AW23" s="633" t="s">
        <v>15</v>
      </c>
      <c r="AX23" s="633" t="s">
        <v>2522</v>
      </c>
      <c r="AY23" s="633" t="s">
        <v>2558</v>
      </c>
      <c r="AZ23" s="1483" t="s">
        <v>2598</v>
      </c>
      <c r="BA23" s="633" t="s">
        <v>2559</v>
      </c>
    </row>
    <row r="24" spans="1:56" ht="15" customHeight="1">
      <c r="A24" s="747" t="s">
        <v>3151</v>
      </c>
      <c r="B24" s="595">
        <v>45958</v>
      </c>
      <c r="C24" s="1447">
        <v>45950</v>
      </c>
      <c r="D24" t="s">
        <v>1967</v>
      </c>
      <c r="E24" s="762">
        <f>_xlfn.XLOOKUP(D24,RUC!$B$3:$B$123,RUC!$D$3:$D$123)</f>
        <v>20601769396</v>
      </c>
      <c r="G24" s="1082">
        <v>33</v>
      </c>
      <c r="H24" s="762" t="s">
        <v>108</v>
      </c>
      <c r="I24" s="703">
        <v>3.05</v>
      </c>
      <c r="J24" s="596">
        <v>10.73</v>
      </c>
      <c r="K24" s="703">
        <f t="shared" si="0"/>
        <v>2.7229999999999999</v>
      </c>
      <c r="L24" s="762">
        <v>0.17100000000000001</v>
      </c>
      <c r="M24" s="762">
        <v>0.156</v>
      </c>
      <c r="N24" s="1480">
        <v>0.20699999999999999</v>
      </c>
      <c r="O24" s="645">
        <f t="shared" si="28"/>
        <v>0.182</v>
      </c>
      <c r="P24" s="727">
        <v>85</v>
      </c>
      <c r="Q24" s="596">
        <v>85.38</v>
      </c>
      <c r="R24" s="706">
        <v>4294.3500000000004</v>
      </c>
      <c r="S24" s="765">
        <f>IF((_xlfn.XLOOKUP(D24,RUC!$B$3:$B$119,RUC!$E$3:$E$119)+ROUNDDOWN(O24,1)*100)&lt;95,95,((_xlfn.XLOOKUP(D24,RUC!$B$3:$B$119,RUC!$E$3:$E$119)+ROUNDDOWN(O24,1)*100)))</f>
        <v>100</v>
      </c>
      <c r="U24" s="1146">
        <f>_xlfn.XLOOKUP(D24,RUC!$B$3:$B$123,RUC!$F$3:$F$123)</f>
        <v>120</v>
      </c>
      <c r="V24" s="715">
        <v>1.1023000000000001</v>
      </c>
      <c r="Y24">
        <f>_xlfn.XLOOKUP(D24,RUC!$B$3:$B$123,RUC!$G$3:$G$123)</f>
        <v>20</v>
      </c>
      <c r="Z24" s="143">
        <f>_xlfn.XLOOKUP(D24,RUC!$B$3:$B$123,RUC!$H$3:$H$123)</f>
        <v>30</v>
      </c>
      <c r="AA24" s="144">
        <f t="shared" si="2"/>
        <v>50</v>
      </c>
      <c r="AB24" s="145">
        <f t="shared" si="14"/>
        <v>546.48941497349995</v>
      </c>
      <c r="AC24" s="145">
        <f>+(S24-T24)*V24-'data 1'!$F$4</f>
        <v>30.230000000000004</v>
      </c>
      <c r="AD24" s="145">
        <f t="shared" si="3"/>
        <v>2.9899806260489652</v>
      </c>
      <c r="AE24" s="145">
        <f t="shared" si="4"/>
        <v>-14.884999999999998</v>
      </c>
      <c r="AF24" s="145">
        <f t="shared" si="5"/>
        <v>-43.215297081758933</v>
      </c>
      <c r="AG24" s="772">
        <f t="shared" si="27"/>
        <v>-7.8803164557099592</v>
      </c>
      <c r="AH24" s="1253">
        <f t="shared" si="6"/>
        <v>13.63</v>
      </c>
      <c r="AI24" s="1253">
        <f t="shared" si="7"/>
        <v>15.964</v>
      </c>
      <c r="AJ24" s="156">
        <f t="shared" si="8"/>
        <v>-36.105897269799058</v>
      </c>
      <c r="AK24" s="156">
        <f t="shared" si="9"/>
        <v>14.442654573825205</v>
      </c>
      <c r="AL24" s="88"/>
      <c r="AM24" s="716">
        <f t="shared" si="10"/>
        <v>1488.0906769728404</v>
      </c>
      <c r="AN24" s="716" t="str">
        <f>_xlfn.XLOOKUP(D24,RUC!$B$3:$B$578,RUC!$M$3:$M$578)</f>
        <v>Evelyn</v>
      </c>
      <c r="AO24" s="1167" t="s">
        <v>2277</v>
      </c>
      <c r="AP24" t="s">
        <v>3192</v>
      </c>
      <c r="AQ24" t="s">
        <v>3193</v>
      </c>
      <c r="AV24" s="1225" t="s">
        <v>2277</v>
      </c>
      <c r="AW24" s="1227">
        <f t="shared" ref="AW24:AW33" si="29">SUMIF($AO$4:$AO$1627,AV24,$K$4:$K$1627)</f>
        <v>102.46899999999998</v>
      </c>
      <c r="AX24" s="1227">
        <v>0.159</v>
      </c>
      <c r="AY24" s="1229">
        <f>AW24*AX24*31.1035*1.1023</f>
        <v>558.59711906717655</v>
      </c>
      <c r="AZ24" s="1236">
        <v>94.4</v>
      </c>
      <c r="BA24" s="1255">
        <f>AY24*AZ24/100</f>
        <v>527.31568039941476</v>
      </c>
      <c r="BB24" s="1518" t="s">
        <v>3453</v>
      </c>
      <c r="BC24" s="1519">
        <f>+BB7</f>
        <v>4807.2479999999996</v>
      </c>
    </row>
    <row r="25" spans="1:56" ht="15" customHeight="1">
      <c r="A25" s="747" t="s">
        <v>3152</v>
      </c>
      <c r="B25" s="595">
        <v>45958</v>
      </c>
      <c r="C25" s="1447">
        <v>45950</v>
      </c>
      <c r="D25" t="s">
        <v>1967</v>
      </c>
      <c r="E25" s="762">
        <f>_xlfn.XLOOKUP(D25,RUC!$B$3:$B$123,RUC!$D$3:$D$123)</f>
        <v>20601769396</v>
      </c>
      <c r="G25" s="1082">
        <v>24</v>
      </c>
      <c r="H25" s="762" t="s">
        <v>108</v>
      </c>
      <c r="I25" s="703">
        <v>2.11</v>
      </c>
      <c r="J25" s="596">
        <v>9.1</v>
      </c>
      <c r="K25" s="703">
        <f t="shared" si="0"/>
        <v>1.9179999999999999</v>
      </c>
      <c r="L25" s="762">
        <v>0.13600000000000001</v>
      </c>
      <c r="M25" s="762">
        <v>0.121</v>
      </c>
      <c r="N25" s="1501">
        <v>0.121</v>
      </c>
      <c r="O25" s="645">
        <f t="shared" si="28"/>
        <v>0.121</v>
      </c>
      <c r="P25" s="727">
        <v>85</v>
      </c>
      <c r="Q25" s="881">
        <v>86.76</v>
      </c>
      <c r="R25" s="706">
        <v>4294.3500000000004</v>
      </c>
      <c r="S25" s="765">
        <f>IF((_xlfn.XLOOKUP(D25,RUC!$B$3:$B$119,RUC!$E$3:$E$119)+ROUNDDOWN(O25,1)*100)&lt;95,95,((_xlfn.XLOOKUP(D25,RUC!$B$3:$B$119,RUC!$E$3:$E$119)+ROUNDDOWN(O25,1)*100)))</f>
        <v>100</v>
      </c>
      <c r="U25" s="1146">
        <f>_xlfn.XLOOKUP(D25,RUC!$B$3:$B$123,RUC!$F$3:$F$123)</f>
        <v>120</v>
      </c>
      <c r="V25" s="715">
        <v>1.1023000000000001</v>
      </c>
      <c r="Y25">
        <f>_xlfn.XLOOKUP(D25,RUC!$B$3:$B$123,RUC!$G$3:$G$123)</f>
        <v>20</v>
      </c>
      <c r="Z25" s="143">
        <f>_xlfn.XLOOKUP(D25,RUC!$B$3:$B$123,RUC!$H$3:$H$123)</f>
        <v>30</v>
      </c>
      <c r="AA25" s="144">
        <f t="shared" si="2"/>
        <v>50</v>
      </c>
      <c r="AB25" s="145">
        <f t="shared" si="14"/>
        <v>307.90755061425006</v>
      </c>
      <c r="AC25" s="145">
        <f>+(S25-T25)*V25-'data 1'!$F$4</f>
        <v>30.230000000000004</v>
      </c>
      <c r="AD25" s="145">
        <f t="shared" si="3"/>
        <v>11.013877541568034</v>
      </c>
      <c r="AE25" s="145">
        <f t="shared" si="4"/>
        <v>-14.884999999999998</v>
      </c>
      <c r="AF25" s="145">
        <f t="shared" si="5"/>
        <v>59.882437469070062</v>
      </c>
      <c r="AG25" s="772">
        <f t="shared" si="27"/>
        <v>103.24131501063812</v>
      </c>
      <c r="AH25" s="1253">
        <f t="shared" si="6"/>
        <v>7.7590000000000003</v>
      </c>
      <c r="AI25" s="1253">
        <f t="shared" si="7"/>
        <v>8.9429999999999996</v>
      </c>
      <c r="AJ25" s="156">
        <f t="shared" si="8"/>
        <v>-29.179935863568051</v>
      </c>
      <c r="AK25" s="156">
        <f t="shared" si="9"/>
        <v>6.7633516446877149</v>
      </c>
      <c r="AL25" s="88"/>
      <c r="AM25" s="716">
        <f t="shared" si="10"/>
        <v>590.56668207813163</v>
      </c>
      <c r="AN25" s="716" t="str">
        <f>_xlfn.XLOOKUP(D25,RUC!$B$3:$B$578,RUC!$M$3:$M$578)</f>
        <v>Evelyn</v>
      </c>
      <c r="AO25" s="1167" t="s">
        <v>2277</v>
      </c>
      <c r="AP25" t="s">
        <v>3192</v>
      </c>
      <c r="AQ25" t="s">
        <v>3193</v>
      </c>
      <c r="AV25" s="1232" t="s">
        <v>2278</v>
      </c>
      <c r="AW25" s="1234">
        <f t="shared" si="29"/>
        <v>111.23000000000003</v>
      </c>
      <c r="AX25" s="1234">
        <v>9.4E-2</v>
      </c>
      <c r="AY25" s="1236">
        <f t="shared" ref="AY25:AY33" si="30">AW25*AX25*31.1035*1.1023</f>
        <v>358.47498900334114</v>
      </c>
      <c r="AZ25" s="1236">
        <v>57.54</v>
      </c>
      <c r="BA25" s="1256">
        <f t="shared" ref="BA25:BA33" si="31">AY25*AZ25/100</f>
        <v>206.26650867252249</v>
      </c>
      <c r="BB25" s="1518" t="s">
        <v>3454</v>
      </c>
      <c r="BC25" s="1519">
        <f>+'29'!BD26+'29'!BD27</f>
        <v>574.44000000000005</v>
      </c>
    </row>
    <row r="26" spans="1:56" ht="15" customHeight="1">
      <c r="A26" s="747" t="s">
        <v>3153</v>
      </c>
      <c r="B26" s="595">
        <v>45958</v>
      </c>
      <c r="C26" s="1447">
        <v>45950</v>
      </c>
      <c r="D26" t="s">
        <v>1967</v>
      </c>
      <c r="E26" s="762">
        <f>_xlfn.XLOOKUP(D26,RUC!$B$3:$B$123,RUC!$D$3:$D$123)</f>
        <v>20601769396</v>
      </c>
      <c r="G26" s="1082">
        <v>25</v>
      </c>
      <c r="H26" s="762" t="s">
        <v>108</v>
      </c>
      <c r="I26" s="703">
        <v>2.13</v>
      </c>
      <c r="J26" s="596">
        <v>8.5</v>
      </c>
      <c r="K26" s="703">
        <f t="shared" si="0"/>
        <v>1.9490000000000001</v>
      </c>
      <c r="L26" s="762">
        <v>0.20699999999999999</v>
      </c>
      <c r="M26" s="762">
        <v>0.192</v>
      </c>
      <c r="N26" s="1480">
        <v>0.23499999999999999</v>
      </c>
      <c r="O26" s="645">
        <f t="shared" si="28"/>
        <v>0.214</v>
      </c>
      <c r="P26" s="727">
        <v>86</v>
      </c>
      <c r="Q26" s="881">
        <v>86.47</v>
      </c>
      <c r="R26" s="706">
        <v>4294.3500000000004</v>
      </c>
      <c r="S26" s="765">
        <f>IF((_xlfn.XLOOKUP(D26,RUC!$B$3:$B$119,RUC!$E$3:$E$119)+ROUNDDOWN(O26,1)*100)&lt;95,95,((_xlfn.XLOOKUP(D26,RUC!$B$3:$B$119,RUC!$E$3:$E$119)+ROUNDDOWN(O26,1)*100)))</f>
        <v>110</v>
      </c>
      <c r="U26" s="1146">
        <f>_xlfn.XLOOKUP(D26,RUC!$B$3:$B$123,RUC!$F$3:$F$123)</f>
        <v>120</v>
      </c>
      <c r="V26" s="715">
        <v>1.1023000000000001</v>
      </c>
      <c r="Y26">
        <f>_xlfn.XLOOKUP(D26,RUC!$B$3:$B$123,RUC!$G$3:$G$123)</f>
        <v>20</v>
      </c>
      <c r="Z26" s="143">
        <f>_xlfn.XLOOKUP(D26,RUC!$B$3:$B$123,RUC!$H$3:$H$123)</f>
        <v>30</v>
      </c>
      <c r="AA26" s="144">
        <f t="shared" si="2"/>
        <v>50</v>
      </c>
      <c r="AB26" s="145">
        <f t="shared" si="14"/>
        <v>670.47108036020018</v>
      </c>
      <c r="AC26" s="145">
        <f>+(S26-T26)*V26-'data 1'!$F$4</f>
        <v>41.253</v>
      </c>
      <c r="AD26" s="145">
        <f t="shared" si="3"/>
        <v>4.4766884442644894</v>
      </c>
      <c r="AE26" s="145">
        <f t="shared" si="4"/>
        <v>-14.884999999999998</v>
      </c>
      <c r="AF26" s="145">
        <f t="shared" si="5"/>
        <v>-27.851729349664524</v>
      </c>
      <c r="AG26" s="772">
        <f t="shared" si="27"/>
        <v>19.992959094599968</v>
      </c>
      <c r="AH26" s="1253">
        <f t="shared" si="6"/>
        <v>11.961</v>
      </c>
      <c r="AI26" s="1253">
        <f t="shared" si="7"/>
        <v>13.832000000000001</v>
      </c>
      <c r="AJ26" s="156">
        <f t="shared" si="8"/>
        <v>-44.265124057864568</v>
      </c>
      <c r="AK26" s="156">
        <f t="shared" si="9"/>
        <v>12.297961609791178</v>
      </c>
      <c r="AL26" s="88"/>
      <c r="AM26" s="716">
        <f t="shared" si="10"/>
        <v>1306.7481356220301</v>
      </c>
      <c r="AN26" s="716" t="str">
        <f>_xlfn.XLOOKUP(D26,RUC!$B$3:$B$578,RUC!$M$3:$M$578)</f>
        <v>Evelyn</v>
      </c>
      <c r="AO26" s="1167" t="s">
        <v>2277</v>
      </c>
      <c r="AP26" t="s">
        <v>3192</v>
      </c>
      <c r="AQ26" t="s">
        <v>3193</v>
      </c>
      <c r="AV26" s="1232" t="s">
        <v>2280</v>
      </c>
      <c r="AW26" s="1234">
        <f t="shared" si="29"/>
        <v>156.67500000000004</v>
      </c>
      <c r="AX26" s="1234">
        <v>0.23300000000000001</v>
      </c>
      <c r="AY26" s="1236">
        <f t="shared" si="30"/>
        <v>1251.5975192469641</v>
      </c>
      <c r="AZ26" s="1236">
        <v>86.16</v>
      </c>
      <c r="BA26" s="1256">
        <f t="shared" si="31"/>
        <v>1078.3764225831842</v>
      </c>
      <c r="BB26" s="1495" t="s">
        <v>3455</v>
      </c>
      <c r="BC26" s="1496">
        <v>4310.6899999999996</v>
      </c>
    </row>
    <row r="27" spans="1:56" ht="15" customHeight="1">
      <c r="A27" s="747" t="s">
        <v>3154</v>
      </c>
      <c r="B27" s="595">
        <v>45958</v>
      </c>
      <c r="C27" s="1447">
        <v>45950</v>
      </c>
      <c r="D27" t="s">
        <v>1967</v>
      </c>
      <c r="E27" s="762">
        <f>_xlfn.XLOOKUP(D27,RUC!$B$3:$B$123,RUC!$D$3:$D$123)</f>
        <v>20601769396</v>
      </c>
      <c r="G27" s="1082">
        <v>34</v>
      </c>
      <c r="H27" s="762" t="s">
        <v>108</v>
      </c>
      <c r="I27" s="703">
        <v>3.33</v>
      </c>
      <c r="J27" s="596">
        <v>10</v>
      </c>
      <c r="K27" s="703">
        <f t="shared" si="0"/>
        <v>2.9969999999999999</v>
      </c>
      <c r="L27" s="762">
        <v>0.20599999999999999</v>
      </c>
      <c r="M27" s="762">
        <v>0.191</v>
      </c>
      <c r="N27" s="1480">
        <v>0.23300000000000001</v>
      </c>
      <c r="O27" s="645">
        <f t="shared" si="28"/>
        <v>0.21199999999999999</v>
      </c>
      <c r="P27" s="727">
        <v>90</v>
      </c>
      <c r="Q27" s="881">
        <v>92.72</v>
      </c>
      <c r="R27" s="706">
        <v>4294.3500000000004</v>
      </c>
      <c r="S27" s="765">
        <f>IF((_xlfn.XLOOKUP(D27,RUC!$B$3:$B$119,RUC!$E$3:$E$119)+ROUNDDOWN(O27,1)*100)&lt;95,95,((_xlfn.XLOOKUP(D27,RUC!$B$3:$B$119,RUC!$E$3:$E$119)+ROUNDDOWN(O27,1)*100)))</f>
        <v>110</v>
      </c>
      <c r="U27" s="1146">
        <f>_xlfn.XLOOKUP(D27,RUC!$B$3:$B$123,RUC!$F$3:$F$123)</f>
        <v>120</v>
      </c>
      <c r="V27" s="715">
        <v>1.1023000000000001</v>
      </c>
      <c r="Y27">
        <f>_xlfn.XLOOKUP(D27,RUC!$B$3:$B$123,RUC!$G$3:$G$123)</f>
        <v>20</v>
      </c>
      <c r="Z27" s="143">
        <f>_xlfn.XLOOKUP(D27,RUC!$B$3:$B$123,RUC!$H$3:$H$123)</f>
        <v>30</v>
      </c>
      <c r="AA27" s="144">
        <f t="shared" si="2"/>
        <v>50</v>
      </c>
      <c r="AB27" s="145">
        <f t="shared" si="14"/>
        <v>701.57644975400001</v>
      </c>
      <c r="AC27" s="145">
        <f>+(S27-T27)*V27-'data 1'!$F$4</f>
        <v>41.253</v>
      </c>
      <c r="AD27" s="145">
        <f t="shared" si="3"/>
        <v>25.782486063215988</v>
      </c>
      <c r="AE27" s="145">
        <f t="shared" si="4"/>
        <v>-14.884999999999998</v>
      </c>
      <c r="AF27" s="145">
        <f t="shared" si="5"/>
        <v>-25.598430623016025</v>
      </c>
      <c r="AG27" s="772">
        <f t="shared" si="27"/>
        <v>43.552055440199965</v>
      </c>
      <c r="AH27" s="1253">
        <f t="shared" si="6"/>
        <v>19.626000000000001</v>
      </c>
      <c r="AI27" s="1253">
        <f t="shared" si="7"/>
        <v>21.167000000000002</v>
      </c>
      <c r="AJ27" s="156">
        <f t="shared" si="8"/>
        <v>-47.235283318216077</v>
      </c>
      <c r="AK27" s="156">
        <f t="shared" si="9"/>
        <v>19.605331163700178</v>
      </c>
      <c r="AL27" s="88"/>
      <c r="AM27" s="716">
        <f t="shared" si="10"/>
        <v>2102.6246199127381</v>
      </c>
      <c r="AN27" s="716" t="str">
        <f>_xlfn.XLOOKUP(D27,RUC!$B$3:$B$578,RUC!$M$3:$M$578)</f>
        <v>Evelyn</v>
      </c>
      <c r="AO27" s="1167" t="s">
        <v>2277</v>
      </c>
      <c r="AP27" t="s">
        <v>3192</v>
      </c>
      <c r="AQ27" t="s">
        <v>3193</v>
      </c>
      <c r="AV27" s="1232" t="s">
        <v>2279</v>
      </c>
      <c r="AW27" s="1234">
        <f t="shared" si="29"/>
        <v>150.92399999999998</v>
      </c>
      <c r="AX27" s="1234">
        <v>0.27500000000000002</v>
      </c>
      <c r="AY27" s="1236">
        <f t="shared" si="30"/>
        <v>1422.9841741660048</v>
      </c>
      <c r="AZ27" s="1236">
        <v>75.349999999999994</v>
      </c>
      <c r="BA27" s="1256">
        <f t="shared" si="31"/>
        <v>1072.2185752340845</v>
      </c>
      <c r="BB27" s="1495" t="s">
        <v>3456</v>
      </c>
      <c r="BC27" s="1496">
        <f>944.742</f>
        <v>944.74199999999996</v>
      </c>
    </row>
    <row r="28" spans="1:56" ht="15" customHeight="1">
      <c r="A28" s="747" t="s">
        <v>3155</v>
      </c>
      <c r="B28" s="595">
        <v>45955</v>
      </c>
      <c r="C28" s="1447">
        <v>45950</v>
      </c>
      <c r="D28" t="s">
        <v>1967</v>
      </c>
      <c r="E28" s="762">
        <f>_xlfn.XLOOKUP(D28,RUC!$B$3:$B$123,RUC!$D$3:$D$123)</f>
        <v>20601769396</v>
      </c>
      <c r="G28" s="1082">
        <v>41</v>
      </c>
      <c r="H28" s="762" t="s">
        <v>108</v>
      </c>
      <c r="I28" s="703">
        <v>3.19</v>
      </c>
      <c r="J28" s="596">
        <v>13.01</v>
      </c>
      <c r="K28" s="703">
        <f t="shared" si="0"/>
        <v>2.7749999999999999</v>
      </c>
      <c r="L28" s="762">
        <v>0.35199999999999998</v>
      </c>
      <c r="M28" s="762">
        <v>0.33400000000000002</v>
      </c>
      <c r="N28" s="1196">
        <f t="shared" ref="N28:N49" si="32">+M28</f>
        <v>0.33400000000000002</v>
      </c>
      <c r="O28" s="645">
        <f t="shared" si="28"/>
        <v>0.33400000000000002</v>
      </c>
      <c r="P28" s="727">
        <v>90</v>
      </c>
      <c r="Q28" s="881">
        <v>92.9</v>
      </c>
      <c r="R28" s="706">
        <v>4294.3500000000004</v>
      </c>
      <c r="S28" s="765">
        <f>IF((_xlfn.XLOOKUP(D28,RUC!$B$3:$B$119,RUC!$E$3:$E$119)+ROUNDDOWN(O28,1)*100)&lt;95,95,((_xlfn.XLOOKUP(D28,RUC!$B$3:$B$119,RUC!$E$3:$E$119)+ROUNDDOWN(O28,1)*100)))</f>
        <v>120</v>
      </c>
      <c r="U28" s="1146">
        <f>_xlfn.XLOOKUP(D28,RUC!$B$3:$B$123,RUC!$F$3:$F$123)</f>
        <v>120</v>
      </c>
      <c r="V28" s="715">
        <v>1.1023000000000001</v>
      </c>
      <c r="Y28">
        <f>_xlfn.XLOOKUP(D28,RUC!$B$3:$B$123,RUC!$G$3:$G$123)</f>
        <v>20</v>
      </c>
      <c r="Z28" s="143">
        <f>_xlfn.XLOOKUP(D28,RUC!$B$3:$B$123,RUC!$H$3:$H$123)</f>
        <v>30</v>
      </c>
      <c r="AA28" s="144">
        <f t="shared" si="2"/>
        <v>50</v>
      </c>
      <c r="AB28" s="145">
        <f t="shared" si="14"/>
        <v>1195.7856331030002</v>
      </c>
      <c r="AC28" s="145">
        <f>+(S28-T28)*V28-'data 1'!$F$4</f>
        <v>52.27600000000001</v>
      </c>
      <c r="AD28" s="145">
        <f t="shared" si="3"/>
        <v>46.970948339040099</v>
      </c>
      <c r="AE28" s="145">
        <f t="shared" si="4"/>
        <v>-14.884999999999998</v>
      </c>
      <c r="AF28" s="145">
        <f t="shared" si="5"/>
        <v>76.944376775609854</v>
      </c>
      <c r="AG28" s="772">
        <f t="shared" si="27"/>
        <v>178.30632511464995</v>
      </c>
      <c r="AH28" s="1253">
        <f t="shared" si="6"/>
        <v>31.111999999999998</v>
      </c>
      <c r="AI28" s="1253">
        <f t="shared" si="7"/>
        <v>33.49</v>
      </c>
      <c r="AJ28" s="156">
        <f t="shared" si="8"/>
        <v>-80.869407043040141</v>
      </c>
      <c r="AK28" s="156">
        <f t="shared" si="9"/>
        <v>28.599670722728256</v>
      </c>
      <c r="AL28" s="88"/>
      <c r="AM28" s="716">
        <f t="shared" si="10"/>
        <v>3318.3051318608254</v>
      </c>
      <c r="AN28" s="716" t="str">
        <f>_xlfn.XLOOKUP(D28,RUC!$B$3:$B$578,RUC!$M$3:$M$578)</f>
        <v>Evelyn</v>
      </c>
      <c r="AO28" s="1167" t="s">
        <v>2277</v>
      </c>
      <c r="AP28" t="s">
        <v>3192</v>
      </c>
      <c r="AQ28" t="s">
        <v>3193</v>
      </c>
      <c r="AV28" s="1232" t="s">
        <v>2281</v>
      </c>
      <c r="AW28" s="1234">
        <f t="shared" si="29"/>
        <v>0</v>
      </c>
      <c r="AX28" s="1234"/>
      <c r="AY28" s="1236">
        <f t="shared" si="30"/>
        <v>0</v>
      </c>
      <c r="AZ28" s="1236"/>
      <c r="BA28" s="1256">
        <f t="shared" si="31"/>
        <v>0</v>
      </c>
      <c r="BB28" s="1495" t="s">
        <v>3457</v>
      </c>
      <c r="BC28" s="1496">
        <v>126.834</v>
      </c>
    </row>
    <row r="29" spans="1:56" ht="15" customHeight="1">
      <c r="A29" s="747" t="s">
        <v>3156</v>
      </c>
      <c r="B29" s="595">
        <v>45955</v>
      </c>
      <c r="C29" s="1447">
        <v>45950</v>
      </c>
      <c r="D29" t="s">
        <v>1967</v>
      </c>
      <c r="E29" s="762">
        <f>_xlfn.XLOOKUP(D29,RUC!$B$3:$B$123,RUC!$D$3:$D$123)</f>
        <v>20601769396</v>
      </c>
      <c r="G29" s="1082">
        <v>40</v>
      </c>
      <c r="H29" s="762" t="s">
        <v>108</v>
      </c>
      <c r="I29" s="703">
        <v>3.25</v>
      </c>
      <c r="J29" s="596">
        <v>10.1</v>
      </c>
      <c r="K29" s="703">
        <f t="shared" si="0"/>
        <v>2.9220000000000002</v>
      </c>
      <c r="L29" s="762">
        <v>0.23899999999999999</v>
      </c>
      <c r="M29" s="762">
        <v>0.224</v>
      </c>
      <c r="N29" s="1196">
        <f t="shared" si="32"/>
        <v>0.224</v>
      </c>
      <c r="O29" s="645">
        <f t="shared" si="28"/>
        <v>0.224</v>
      </c>
      <c r="P29" s="727">
        <v>88</v>
      </c>
      <c r="Q29" s="881">
        <v>89.54</v>
      </c>
      <c r="R29" s="706">
        <v>4294.3500000000004</v>
      </c>
      <c r="S29" s="765">
        <f>IF((_xlfn.XLOOKUP(D29,RUC!$B$3:$B$119,RUC!$E$3:$E$119)+ROUNDDOWN(O29,1)*100)&lt;95,95,((_xlfn.XLOOKUP(D29,RUC!$B$3:$B$119,RUC!$E$3:$E$119)+ROUNDDOWN(O29,1)*100)))</f>
        <v>110</v>
      </c>
      <c r="U29" s="1146">
        <f>_xlfn.XLOOKUP(D29,RUC!$B$3:$B$123,RUC!$F$3:$F$123)</f>
        <v>120</v>
      </c>
      <c r="V29" s="715">
        <v>1.1023000000000001</v>
      </c>
      <c r="Y29">
        <f>_xlfn.XLOOKUP(D29,RUC!$B$3:$B$123,RUC!$G$3:$G$123)</f>
        <v>20</v>
      </c>
      <c r="Z29" s="143">
        <f>_xlfn.XLOOKUP(D29,RUC!$B$3:$B$123,RUC!$H$3:$H$123)</f>
        <v>30</v>
      </c>
      <c r="AA29" s="144">
        <f t="shared" si="2"/>
        <v>50</v>
      </c>
      <c r="AB29" s="145">
        <f t="shared" si="14"/>
        <v>730.65720930560008</v>
      </c>
      <c r="AC29" s="145">
        <f>+(S29-T29)*V29-'data 1'!$F$4</f>
        <v>41.253</v>
      </c>
      <c r="AD29" s="145">
        <f t="shared" si="3"/>
        <v>16.935861330003071</v>
      </c>
      <c r="AE29" s="145">
        <f t="shared" si="4"/>
        <v>-14.884999999999998</v>
      </c>
      <c r="AF29" s="145">
        <f t="shared" si="5"/>
        <v>61.801215433154958</v>
      </c>
      <c r="AG29" s="772">
        <f t="shared" si="27"/>
        <v>122.10507676315802</v>
      </c>
      <c r="AH29" s="1253">
        <f t="shared" si="6"/>
        <v>21.439</v>
      </c>
      <c r="AI29" s="1253">
        <f t="shared" si="7"/>
        <v>23.943000000000001</v>
      </c>
      <c r="AJ29" s="156">
        <f t="shared" si="8"/>
        <v>-52.922563450603093</v>
      </c>
      <c r="AK29" s="156">
        <f t="shared" si="9"/>
        <v>19.747856893239558</v>
      </c>
      <c r="AL29" s="88"/>
      <c r="AM29" s="716">
        <f t="shared" si="10"/>
        <v>2134.9803655909636</v>
      </c>
      <c r="AN29" s="716" t="str">
        <f>_xlfn.XLOOKUP(D29,RUC!$B$3:$B$578,RUC!$M$3:$M$578)</f>
        <v>Evelyn</v>
      </c>
      <c r="AO29" s="1167" t="s">
        <v>2277</v>
      </c>
      <c r="AP29" t="s">
        <v>3192</v>
      </c>
      <c r="AQ29" t="s">
        <v>3193</v>
      </c>
      <c r="AV29" s="1232" t="s">
        <v>2297</v>
      </c>
      <c r="AW29" s="1234">
        <f t="shared" si="29"/>
        <v>0</v>
      </c>
      <c r="AX29" s="631"/>
      <c r="AY29" s="1236">
        <f t="shared" si="30"/>
        <v>0</v>
      </c>
      <c r="AZ29" s="631"/>
      <c r="BA29" s="1256">
        <f t="shared" si="31"/>
        <v>0</v>
      </c>
      <c r="BB29" s="891" t="s">
        <v>3206</v>
      </c>
      <c r="BC29" s="1249">
        <f>-BC24-BC25+BC26+BC27+BC28</f>
        <v>0.57799999999946294</v>
      </c>
    </row>
    <row r="30" spans="1:56" ht="15" customHeight="1">
      <c r="A30" s="747" t="s">
        <v>3157</v>
      </c>
      <c r="B30" s="595">
        <v>45955</v>
      </c>
      <c r="C30" s="1447">
        <v>45950</v>
      </c>
      <c r="D30" t="s">
        <v>1967</v>
      </c>
      <c r="E30" s="762">
        <f>_xlfn.XLOOKUP(D30,RUC!$B$3:$B$123,RUC!$D$3:$D$123)</f>
        <v>20601769396</v>
      </c>
      <c r="G30" s="1082">
        <v>25</v>
      </c>
      <c r="H30" s="762" t="s">
        <v>108</v>
      </c>
      <c r="I30" s="703">
        <v>2</v>
      </c>
      <c r="J30" s="596">
        <v>10.1</v>
      </c>
      <c r="K30" s="703">
        <f t="shared" si="0"/>
        <v>1.798</v>
      </c>
      <c r="L30" s="762">
        <v>0.371</v>
      </c>
      <c r="M30" s="762">
        <v>0.35199999999999998</v>
      </c>
      <c r="N30" s="1196">
        <f t="shared" si="32"/>
        <v>0.35199999999999998</v>
      </c>
      <c r="O30" s="645">
        <f t="shared" si="28"/>
        <v>0.35199999999999998</v>
      </c>
      <c r="P30" s="727">
        <v>90</v>
      </c>
      <c r="Q30" s="881">
        <v>92.99</v>
      </c>
      <c r="R30" s="706">
        <v>4294.3500000000004</v>
      </c>
      <c r="S30" s="765">
        <f>IF((_xlfn.XLOOKUP(D30,RUC!$B$3:$B$119,RUC!$E$3:$E$119)+ROUNDDOWN(O30,1)*100)&lt;95,95,((_xlfn.XLOOKUP(D30,RUC!$B$3:$B$119,RUC!$E$3:$E$119)+ROUNDDOWN(O30,1)*100)))</f>
        <v>120</v>
      </c>
      <c r="U30" s="1146">
        <f>_xlfn.XLOOKUP(D30,RUC!$B$3:$B$123,RUC!$F$3:$F$123)</f>
        <v>120</v>
      </c>
      <c r="V30" s="715">
        <v>1.1023000000000001</v>
      </c>
      <c r="Y30">
        <f>_xlfn.XLOOKUP(D30,RUC!$B$3:$B$123,RUC!$G$3:$G$123)</f>
        <v>20</v>
      </c>
      <c r="Z30" s="143">
        <f>_xlfn.XLOOKUP(D30,RUC!$B$3:$B$123,RUC!$H$3:$H$123)</f>
        <v>30</v>
      </c>
      <c r="AA30" s="144">
        <f t="shared" si="2"/>
        <v>50</v>
      </c>
      <c r="AB30" s="145">
        <f t="shared" si="14"/>
        <v>1270.328086384</v>
      </c>
      <c r="AC30" s="145">
        <f>+(S30-T30)*V30-'data 1'!$F$4</f>
        <v>52.27600000000001</v>
      </c>
      <c r="AD30" s="145">
        <f t="shared" si="3"/>
        <v>51.042714814864418</v>
      </c>
      <c r="AE30" s="145">
        <f t="shared" si="4"/>
        <v>-14.884999999999998</v>
      </c>
      <c r="AF30" s="145">
        <f t="shared" si="5"/>
        <v>81.297748074940586</v>
      </c>
      <c r="AG30" s="772">
        <f t="shared" si="27"/>
        <v>186.73146288980502</v>
      </c>
      <c r="AH30" s="1253">
        <f t="shared" si="6"/>
        <v>21.266999999999999</v>
      </c>
      <c r="AI30" s="1253">
        <f t="shared" si="7"/>
        <v>22.87</v>
      </c>
      <c r="AJ30" s="156">
        <f t="shared" si="8"/>
        <v>-85.317090887864637</v>
      </c>
      <c r="AK30" s="156">
        <f t="shared" si="9"/>
        <v>19.529176459763519</v>
      </c>
      <c r="AL30" s="88"/>
      <c r="AM30" s="716">
        <f t="shared" si="10"/>
        <v>2284.0498993184319</v>
      </c>
      <c r="AN30" s="716" t="str">
        <f>_xlfn.XLOOKUP(D30,RUC!$B$3:$B$578,RUC!$M$3:$M$578)</f>
        <v>Evelyn</v>
      </c>
      <c r="AO30" s="1167" t="s">
        <v>2277</v>
      </c>
      <c r="AP30" t="s">
        <v>3192</v>
      </c>
      <c r="AQ30" t="s">
        <v>3193</v>
      </c>
      <c r="AV30" s="1232" t="s">
        <v>2518</v>
      </c>
      <c r="AW30" s="1234">
        <f t="shared" si="29"/>
        <v>0</v>
      </c>
      <c r="AX30" s="631"/>
      <c r="AY30" s="1236">
        <f t="shared" si="30"/>
        <v>0</v>
      </c>
      <c r="AZ30" s="631"/>
      <c r="BA30" s="1256">
        <f t="shared" si="31"/>
        <v>0</v>
      </c>
    </row>
    <row r="31" spans="1:56" ht="15" customHeight="1">
      <c r="A31" s="747" t="s">
        <v>3158</v>
      </c>
      <c r="B31" s="595">
        <v>45955</v>
      </c>
      <c r="C31" s="1447">
        <v>45950</v>
      </c>
      <c r="D31" t="s">
        <v>1967</v>
      </c>
      <c r="E31" s="762">
        <f>_xlfn.XLOOKUP(D31,RUC!$B$3:$B$123,RUC!$D$3:$D$123)</f>
        <v>20601769396</v>
      </c>
      <c r="G31" s="1082">
        <v>49</v>
      </c>
      <c r="H31" s="762" t="s">
        <v>108</v>
      </c>
      <c r="I31" s="703">
        <v>4.21</v>
      </c>
      <c r="J31" s="596">
        <v>8.8000000000000007</v>
      </c>
      <c r="K31" s="703">
        <f t="shared" si="0"/>
        <v>3.84</v>
      </c>
      <c r="L31" s="762">
        <v>0.41899999999999998</v>
      </c>
      <c r="M31" s="762">
        <v>0.39800000000000002</v>
      </c>
      <c r="N31" s="1196">
        <f t="shared" si="32"/>
        <v>0.39800000000000002</v>
      </c>
      <c r="O31" s="645">
        <f t="shared" si="28"/>
        <v>0.39800000000000002</v>
      </c>
      <c r="P31" s="727">
        <v>90</v>
      </c>
      <c r="Q31" s="881">
        <v>94.51</v>
      </c>
      <c r="R31" s="706">
        <v>4294.3500000000004</v>
      </c>
      <c r="S31" s="765">
        <f>IF((_xlfn.XLOOKUP(D31,RUC!$B$3:$B$119,RUC!$E$3:$E$119)+ROUNDDOWN(O31,1)*100)&lt;95,95,((_xlfn.XLOOKUP(D31,RUC!$B$3:$B$119,RUC!$E$3:$E$119)+ROUNDDOWN(O31,1)*100)))</f>
        <v>120</v>
      </c>
      <c r="U31" s="1146">
        <f>_xlfn.XLOOKUP(D31,RUC!$B$3:$B$123,RUC!$F$3:$F$123)</f>
        <v>120</v>
      </c>
      <c r="V31" s="715">
        <v>1.1023000000000001</v>
      </c>
      <c r="Y31">
        <f>_xlfn.XLOOKUP(D31,RUC!$B$3:$B$123,RUC!$G$3:$G$123)</f>
        <v>20</v>
      </c>
      <c r="Z31" s="143">
        <f>_xlfn.XLOOKUP(D31,RUC!$B$3:$B$123,RUC!$H$3:$H$123)</f>
        <v>30</v>
      </c>
      <c r="AA31" s="144">
        <f t="shared" si="2"/>
        <v>50</v>
      </c>
      <c r="AB31" s="145">
        <f t="shared" si="14"/>
        <v>1460.825466991</v>
      </c>
      <c r="AC31" s="145">
        <f>+(S31-T31)*V31-'data 1'!$F$4</f>
        <v>52.27600000000001</v>
      </c>
      <c r="AD31" s="145">
        <f t="shared" si="3"/>
        <v>86.951931197884605</v>
      </c>
      <c r="AE31" s="145">
        <f t="shared" si="4"/>
        <v>-14.884999999999998</v>
      </c>
      <c r="AF31" s="145">
        <f t="shared" si="5"/>
        <v>91.324168179835354</v>
      </c>
      <c r="AG31" s="772">
        <f t="shared" si="27"/>
        <v>232.66709937771998</v>
      </c>
      <c r="AH31" s="1253">
        <f t="shared" si="6"/>
        <v>52.134999999999998</v>
      </c>
      <c r="AI31" s="1253">
        <f t="shared" si="7"/>
        <v>55.164000000000001</v>
      </c>
      <c r="AJ31" s="156">
        <f t="shared" si="8"/>
        <v>-97.930431346884646</v>
      </c>
      <c r="AK31" s="156">
        <f t="shared" si="9"/>
        <v>47.159139838118406</v>
      </c>
      <c r="AL31" s="88"/>
      <c r="AM31" s="716">
        <f t="shared" si="10"/>
        <v>5609.5697932454395</v>
      </c>
      <c r="AN31" s="716" t="str">
        <f>_xlfn.XLOOKUP(D31,RUC!$B$3:$B$578,RUC!$M$3:$M$578)</f>
        <v>Evelyn</v>
      </c>
      <c r="AO31" s="1167" t="s">
        <v>2277</v>
      </c>
      <c r="AP31" t="s">
        <v>3192</v>
      </c>
      <c r="AQ31" t="s">
        <v>3193</v>
      </c>
      <c r="AV31" s="1232" t="s">
        <v>2519</v>
      </c>
      <c r="AW31" s="1234">
        <f t="shared" si="29"/>
        <v>0</v>
      </c>
      <c r="AX31" s="631"/>
      <c r="AY31" s="1236">
        <f t="shared" si="30"/>
        <v>0</v>
      </c>
      <c r="AZ31" s="631"/>
      <c r="BA31" s="1256">
        <f t="shared" si="31"/>
        <v>0</v>
      </c>
    </row>
    <row r="32" spans="1:56" ht="15" customHeight="1">
      <c r="A32" s="747" t="s">
        <v>3159</v>
      </c>
      <c r="B32" s="595">
        <v>45955</v>
      </c>
      <c r="C32" s="1447">
        <v>45950</v>
      </c>
      <c r="D32" t="s">
        <v>1967</v>
      </c>
      <c r="E32" s="762">
        <f>_xlfn.XLOOKUP(D32,RUC!$B$3:$B$123,RUC!$D$3:$D$123)</f>
        <v>20601769396</v>
      </c>
      <c r="G32" s="1082">
        <v>30</v>
      </c>
      <c r="H32" s="762" t="s">
        <v>108</v>
      </c>
      <c r="I32" s="703">
        <v>2.64</v>
      </c>
      <c r="J32" s="596">
        <v>7.8</v>
      </c>
      <c r="K32" s="703">
        <f t="shared" si="0"/>
        <v>2.4340000000000002</v>
      </c>
      <c r="L32" s="762">
        <v>0.32600000000000001</v>
      </c>
      <c r="M32" s="994">
        <v>0.31</v>
      </c>
      <c r="N32" s="1196">
        <f t="shared" si="32"/>
        <v>0.31</v>
      </c>
      <c r="O32" s="645">
        <f t="shared" si="28"/>
        <v>0.31</v>
      </c>
      <c r="P32" s="727">
        <v>90</v>
      </c>
      <c r="Q32" s="881">
        <v>92.02</v>
      </c>
      <c r="R32" s="706">
        <v>4294.3500000000004</v>
      </c>
      <c r="S32" s="765">
        <f>IF((_xlfn.XLOOKUP(D32,RUC!$B$3:$B$119,RUC!$E$3:$E$119)+ROUNDDOWN(O32,1)*100)&lt;95,95,((_xlfn.XLOOKUP(D32,RUC!$B$3:$B$119,RUC!$E$3:$E$119)+ROUNDDOWN(O32,1)*100)))</f>
        <v>120</v>
      </c>
      <c r="U32" s="1146">
        <f>_xlfn.XLOOKUP(D32,RUC!$B$3:$B$123,RUC!$F$3:$F$123)</f>
        <v>120</v>
      </c>
      <c r="V32" s="715">
        <v>1.1023000000000001</v>
      </c>
      <c r="Y32">
        <f>_xlfn.XLOOKUP(D32,RUC!$B$3:$B$123,RUC!$G$3:$G$123)</f>
        <v>20</v>
      </c>
      <c r="Z32" s="143">
        <f>_xlfn.XLOOKUP(D32,RUC!$B$3:$B$123,RUC!$H$3:$H$123)</f>
        <v>30</v>
      </c>
      <c r="AA32" s="144">
        <f t="shared" si="2"/>
        <v>50</v>
      </c>
      <c r="AB32" s="145">
        <f t="shared" si="14"/>
        <v>1096.3956953950001</v>
      </c>
      <c r="AC32" s="145">
        <f>+(S32-T32)*V32-'data 1'!$F$4</f>
        <v>52.27600000000001</v>
      </c>
      <c r="AD32" s="145">
        <f t="shared" si="3"/>
        <v>30.301047120125943</v>
      </c>
      <c r="AE32" s="145">
        <f t="shared" si="4"/>
        <v>-14.884999999999998</v>
      </c>
      <c r="AF32" s="145">
        <f t="shared" si="5"/>
        <v>67.74712642881606</v>
      </c>
      <c r="AG32" s="772">
        <f t="shared" si="27"/>
        <v>152.43917354894199</v>
      </c>
      <c r="AH32" s="1253">
        <f t="shared" si="6"/>
        <v>25.033999999999999</v>
      </c>
      <c r="AI32" s="1253">
        <f t="shared" si="7"/>
        <v>27.204999999999998</v>
      </c>
      <c r="AJ32" s="156">
        <f t="shared" si="8"/>
        <v>-74.186641445126128</v>
      </c>
      <c r="AK32" s="156">
        <f t="shared" si="9"/>
        <v>23.282727029322306</v>
      </c>
      <c r="AL32" s="88"/>
      <c r="AM32" s="716">
        <f t="shared" si="10"/>
        <v>2668.6271225914302</v>
      </c>
      <c r="AN32" s="716" t="str">
        <f>_xlfn.XLOOKUP(D32,RUC!$B$3:$B$578,RUC!$M$3:$M$578)</f>
        <v>Evelyn</v>
      </c>
      <c r="AO32" s="1167" t="s">
        <v>2277</v>
      </c>
      <c r="AP32" t="s">
        <v>3192</v>
      </c>
      <c r="AQ32" t="s">
        <v>3193</v>
      </c>
      <c r="AV32" s="1232" t="s">
        <v>2520</v>
      </c>
      <c r="AW32" s="1234">
        <f t="shared" si="29"/>
        <v>0</v>
      </c>
      <c r="AX32" s="631"/>
      <c r="AY32" s="1236">
        <f t="shared" si="30"/>
        <v>0</v>
      </c>
      <c r="AZ32" s="631"/>
      <c r="BA32" s="1256">
        <f t="shared" si="31"/>
        <v>0</v>
      </c>
    </row>
    <row r="33" spans="1:53" ht="15" customHeight="1" thickBot="1">
      <c r="A33" s="747" t="s">
        <v>3160</v>
      </c>
      <c r="B33" s="595">
        <v>45955</v>
      </c>
      <c r="C33" s="1447">
        <v>45950</v>
      </c>
      <c r="D33" t="s">
        <v>1967</v>
      </c>
      <c r="E33" s="762">
        <f>_xlfn.XLOOKUP(D33,RUC!$B$3:$B$123,RUC!$D$3:$D$123)</f>
        <v>20601769396</v>
      </c>
      <c r="G33" s="1082">
        <v>26</v>
      </c>
      <c r="H33" s="762" t="s">
        <v>108</v>
      </c>
      <c r="I33" s="703">
        <v>2.25</v>
      </c>
      <c r="J33" s="596">
        <v>9.9499999999999993</v>
      </c>
      <c r="K33" s="703">
        <f t="shared" si="0"/>
        <v>2.0259999999999998</v>
      </c>
      <c r="L33" s="994">
        <v>0.46</v>
      </c>
      <c r="M33" s="762">
        <v>0.437</v>
      </c>
      <c r="N33" s="1196">
        <f t="shared" si="32"/>
        <v>0.437</v>
      </c>
      <c r="O33" s="645">
        <f t="shared" si="28"/>
        <v>0.437</v>
      </c>
      <c r="P33" s="727">
        <v>90</v>
      </c>
      <c r="Q33" s="881">
        <v>94.57</v>
      </c>
      <c r="R33" s="706">
        <v>4294.3500000000004</v>
      </c>
      <c r="S33" s="765">
        <f>IF((_xlfn.XLOOKUP(D33,RUC!$B$3:$B$119,RUC!$E$3:$E$119)+ROUNDDOWN(O33,1)*100)&lt;95,95,((_xlfn.XLOOKUP(D33,RUC!$B$3:$B$119,RUC!$E$3:$E$119)+ROUNDDOWN(O33,1)*100)))</f>
        <v>130</v>
      </c>
      <c r="U33" s="1146">
        <f>_xlfn.XLOOKUP(D33,RUC!$B$3:$B$123,RUC!$F$3:$F$123)</f>
        <v>120</v>
      </c>
      <c r="V33" s="715">
        <v>1.1023000000000001</v>
      </c>
      <c r="Y33">
        <f>_xlfn.XLOOKUP(D33,RUC!$B$3:$B$123,RUC!$G$3:$G$123)</f>
        <v>20</v>
      </c>
      <c r="Z33" s="143">
        <f>_xlfn.XLOOKUP(D33,RUC!$B$3:$B$123,RUC!$H$3:$H$123)</f>
        <v>30</v>
      </c>
      <c r="AA33" s="144">
        <f t="shared" si="2"/>
        <v>50</v>
      </c>
      <c r="AB33" s="145">
        <f t="shared" si="14"/>
        <v>1611.3111157665003</v>
      </c>
      <c r="AC33" s="145">
        <f>+(S33-T33)*V33-'data 1'!$F$4</f>
        <v>63.299000000000007</v>
      </c>
      <c r="AD33" s="145">
        <f t="shared" si="3"/>
        <v>96.730336597109854</v>
      </c>
      <c r="AE33" s="145">
        <f t="shared" si="4"/>
        <v>-14.884999999999998</v>
      </c>
      <c r="AF33" s="145">
        <f t="shared" si="5"/>
        <v>100.0852071333556</v>
      </c>
      <c r="AG33" s="772">
        <f t="shared" si="27"/>
        <v>262.22954373046548</v>
      </c>
      <c r="AH33" s="1253">
        <f t="shared" si="6"/>
        <v>30.218</v>
      </c>
      <c r="AI33" s="1253">
        <f t="shared" si="7"/>
        <v>31.952999999999999</v>
      </c>
      <c r="AJ33" s="156">
        <f t="shared" si="8"/>
        <v>-107.58137779711018</v>
      </c>
      <c r="AK33" s="156">
        <f t="shared" si="9"/>
        <v>27.319481761251691</v>
      </c>
      <c r="AL33" s="88"/>
      <c r="AM33" s="716">
        <f t="shared" si="10"/>
        <v>3264.5163205429294</v>
      </c>
      <c r="AN33" s="716" t="str">
        <f>_xlfn.XLOOKUP(D33,RUC!$B$3:$B$578,RUC!$M$3:$M$578)</f>
        <v>Evelyn</v>
      </c>
      <c r="AO33" s="1167" t="s">
        <v>2277</v>
      </c>
      <c r="AP33" t="s">
        <v>3192</v>
      </c>
      <c r="AQ33" t="s">
        <v>3193</v>
      </c>
      <c r="AV33" s="1239" t="s">
        <v>2521</v>
      </c>
      <c r="AW33" s="1254">
        <f t="shared" si="29"/>
        <v>0</v>
      </c>
      <c r="AX33" s="1257"/>
      <c r="AY33" s="1242">
        <f t="shared" si="30"/>
        <v>0</v>
      </c>
      <c r="AZ33" s="1257"/>
      <c r="BA33" s="1258">
        <f t="shared" si="31"/>
        <v>0</v>
      </c>
    </row>
    <row r="34" spans="1:53" ht="15" customHeight="1">
      <c r="A34" s="747" t="s">
        <v>3161</v>
      </c>
      <c r="B34" s="595">
        <v>45955</v>
      </c>
      <c r="C34" s="1447">
        <v>45950</v>
      </c>
      <c r="D34" s="1489" t="s">
        <v>3125</v>
      </c>
      <c r="E34" s="762" t="str">
        <f>_xlfn.XLOOKUP(D34,RUC!$B$3:$B$123,RUC!$D$3:$D$123)</f>
        <v>10486077447,</v>
      </c>
      <c r="G34" s="1082">
        <v>110</v>
      </c>
      <c r="H34" s="762" t="s">
        <v>69</v>
      </c>
      <c r="I34" s="703">
        <v>9.65</v>
      </c>
      <c r="J34" s="596">
        <v>1.3</v>
      </c>
      <c r="K34" s="703">
        <f t="shared" si="0"/>
        <v>9.5250000000000004</v>
      </c>
      <c r="L34" s="994">
        <v>0.19</v>
      </c>
      <c r="M34" s="762">
        <v>0.17499999999999999</v>
      </c>
      <c r="N34" s="1196">
        <f t="shared" si="32"/>
        <v>0.17499999999999999</v>
      </c>
      <c r="O34" s="645">
        <f t="shared" si="28"/>
        <v>0.17499999999999999</v>
      </c>
      <c r="P34" s="727">
        <v>87</v>
      </c>
      <c r="Q34" s="881">
        <v>87.89</v>
      </c>
      <c r="R34" s="706">
        <v>4294.3500000000004</v>
      </c>
      <c r="S34" s="765">
        <f>IF((_xlfn.XLOOKUP(D34,RUC!$B$3:$B$119,RUC!$E$3:$E$119)+ROUNDDOWN(O34,1)*100)&lt;95,95,((_xlfn.XLOOKUP(D34,RUC!$B$3:$B$119,RUC!$E$3:$E$119)+ROUNDDOWN(O34,1)*100)))</f>
        <v>100</v>
      </c>
      <c r="U34" s="1146">
        <f>_xlfn.XLOOKUP(D34,RUC!$B$3:$B$123,RUC!$F$3:$F$123)</f>
        <v>120</v>
      </c>
      <c r="V34" s="715">
        <v>1.1023000000000001</v>
      </c>
      <c r="Y34">
        <f>_xlfn.XLOOKUP(D34,RUC!$B$3:$B$123,RUC!$G$3:$G$123)</f>
        <v>20</v>
      </c>
      <c r="Z34" s="143">
        <f>_xlfn.XLOOKUP(D34,RUC!$B$3:$B$123,RUC!$H$3:$H$123)</f>
        <v>30</v>
      </c>
      <c r="AA34" s="144">
        <f t="shared" si="2"/>
        <v>50</v>
      </c>
      <c r="AB34" s="145">
        <f t="shared" si="14"/>
        <v>535.21601926125004</v>
      </c>
      <c r="AC34" s="145">
        <f>+(S34-T34)*V34-'data 1'!$F$4</f>
        <v>30.230000000000004</v>
      </c>
      <c r="AD34" s="145">
        <f t="shared" si="3"/>
        <v>7.7809437344550068</v>
      </c>
      <c r="AE34" s="145">
        <f t="shared" si="4"/>
        <v>-14.884999999999998</v>
      </c>
      <c r="AF34" s="145">
        <f t="shared" si="5"/>
        <v>60.662372396917561</v>
      </c>
      <c r="AG34" s="772">
        <f>AC34+AD34+AE34+AF34+70</f>
        <v>153.78831613137257</v>
      </c>
      <c r="AH34" s="1253">
        <f t="shared" si="6"/>
        <v>54.533999999999999</v>
      </c>
      <c r="AI34" s="1253">
        <f t="shared" si="7"/>
        <v>62.048000000000002</v>
      </c>
      <c r="AJ34" s="156">
        <f t="shared" si="8"/>
        <v>-41.297042125955066</v>
      </c>
      <c r="AK34" s="156">
        <f t="shared" si="9"/>
        <v>49.720026899084068</v>
      </c>
      <c r="AL34" s="88"/>
      <c r="AM34" s="716">
        <f t="shared" si="10"/>
        <v>5097.9325834634064</v>
      </c>
      <c r="AN34" s="716" t="str">
        <f>_xlfn.XLOOKUP(D34,RUC!$B$3:$B$578,RUC!$M$3:$M$578)</f>
        <v>SIN ACOPIO</v>
      </c>
      <c r="AO34" s="1167" t="s">
        <v>2280</v>
      </c>
      <c r="AP34" t="s">
        <v>3194</v>
      </c>
      <c r="AQ34" t="s">
        <v>3195</v>
      </c>
    </row>
    <row r="35" spans="1:53" ht="15" customHeight="1">
      <c r="A35" s="747" t="s">
        <v>3163</v>
      </c>
      <c r="B35" s="595">
        <v>45959</v>
      </c>
      <c r="C35" s="1447">
        <v>45950</v>
      </c>
      <c r="D35" t="s">
        <v>93</v>
      </c>
      <c r="E35" s="762">
        <f>_xlfn.XLOOKUP(D35,RUC!$B$3:$B$123,RUC!$D$3:$D$123)</f>
        <v>20169040231</v>
      </c>
      <c r="G35" s="1082">
        <v>82</v>
      </c>
      <c r="H35" s="762" t="s">
        <v>69</v>
      </c>
      <c r="I35" s="703">
        <v>8.24</v>
      </c>
      <c r="J35" s="596">
        <v>1.3</v>
      </c>
      <c r="K35" s="703">
        <f t="shared" si="0"/>
        <v>8.1329999999999991</v>
      </c>
      <c r="L35" s="762">
        <v>0.59399999999999997</v>
      </c>
      <c r="M35" s="762">
        <v>0.56399999999999995</v>
      </c>
      <c r="N35" s="1196">
        <f t="shared" si="32"/>
        <v>0.56399999999999995</v>
      </c>
      <c r="O35" s="645">
        <f t="shared" si="28"/>
        <v>0.56399999999999995</v>
      </c>
      <c r="P35" s="727">
        <v>66</v>
      </c>
      <c r="Q35" s="1500">
        <v>66.67</v>
      </c>
      <c r="R35" s="706">
        <v>4294.3500000000004</v>
      </c>
      <c r="S35" s="765">
        <f>IF((_xlfn.XLOOKUP(D35,RUC!$B$3:$B$119,RUC!$E$3:$E$119)+ROUNDDOWN(O35,1)*100)&lt;95,95,((_xlfn.XLOOKUP(D35,RUC!$B$3:$B$119,RUC!$E$3:$E$119)+ROUNDDOWN(O35,1)*100)))</f>
        <v>135</v>
      </c>
      <c r="U35" s="1146">
        <f>_xlfn.XLOOKUP(D35,RUC!$B$3:$B$123,RUC!$F$3:$F$123)</f>
        <v>120</v>
      </c>
      <c r="V35" s="715">
        <v>1.1023000000000001</v>
      </c>
      <c r="Y35">
        <f>_xlfn.XLOOKUP(D35,RUC!$B$3:$B$123,RUC!$G$3:$G$123)</f>
        <v>20</v>
      </c>
      <c r="Z35" s="1454">
        <v>35</v>
      </c>
      <c r="AA35" s="144">
        <f t="shared" si="2"/>
        <v>55</v>
      </c>
      <c r="AB35" s="145">
        <f t="shared" si="14"/>
        <v>1503.3829265012</v>
      </c>
      <c r="AC35" s="145">
        <f>+(S35-T35)*V35-'data 1'!$F$4</f>
        <v>68.810500000000019</v>
      </c>
      <c r="AD35" s="145">
        <f t="shared" si="3"/>
        <v>18.312596022699047</v>
      </c>
      <c r="AE35" s="145">
        <f t="shared" si="4"/>
        <v>-9.3734999999999999</v>
      </c>
      <c r="AF35" s="145">
        <f t="shared" si="5"/>
        <v>92.032321486005088</v>
      </c>
      <c r="AG35" s="772">
        <f t="shared" si="27"/>
        <v>186.78191750870414</v>
      </c>
      <c r="AH35" s="1253">
        <f t="shared" si="6"/>
        <v>110.42700000000001</v>
      </c>
      <c r="AI35" s="1253">
        <f t="shared" si="7"/>
        <v>165.63300000000001</v>
      </c>
      <c r="AJ35" s="156">
        <f t="shared" si="8"/>
        <v>-97.936094539899145</v>
      </c>
      <c r="AK35" s="156">
        <f t="shared" si="9"/>
        <v>103.79654103060435</v>
      </c>
      <c r="AL35" s="88"/>
      <c r="AM35" s="716">
        <f t="shared" si="10"/>
        <v>12227.013341234258</v>
      </c>
      <c r="AN35" s="716" t="str">
        <f>_xlfn.XLOOKUP(D35,RUC!$B$3:$B$578,RUC!$M$3:$M$578)</f>
        <v>Ronald Miranda</v>
      </c>
      <c r="AO35" s="1167" t="s">
        <v>2278</v>
      </c>
      <c r="AP35" t="s">
        <v>3197</v>
      </c>
      <c r="AQ35" t="s">
        <v>2894</v>
      </c>
    </row>
    <row r="36" spans="1:53" ht="15" customHeight="1">
      <c r="A36" s="747" t="s">
        <v>3164</v>
      </c>
      <c r="B36" s="595">
        <v>45955</v>
      </c>
      <c r="C36" s="1447">
        <v>45950</v>
      </c>
      <c r="D36" t="s">
        <v>2368</v>
      </c>
      <c r="E36" s="762">
        <f>_xlfn.XLOOKUP(D36,RUC!$B$3:$B$123,RUC!$D$3:$D$123)</f>
        <v>20612719757</v>
      </c>
      <c r="G36" s="1082">
        <v>50</v>
      </c>
      <c r="H36" s="762" t="s">
        <v>108</v>
      </c>
      <c r="I36" s="703">
        <v>4.3899999999999997</v>
      </c>
      <c r="J36" s="596">
        <v>8.15</v>
      </c>
      <c r="K36" s="703">
        <f t="shared" si="0"/>
        <v>4.032</v>
      </c>
      <c r="L36" s="762">
        <v>0.13100000000000001</v>
      </c>
      <c r="M36" s="762">
        <v>0.11600000000000001</v>
      </c>
      <c r="N36" s="1196">
        <f t="shared" si="32"/>
        <v>0.11600000000000001</v>
      </c>
      <c r="O36" s="645">
        <f t="shared" si="28"/>
        <v>0.11600000000000001</v>
      </c>
      <c r="P36" s="727">
        <v>85</v>
      </c>
      <c r="Q36" s="881">
        <v>94.66</v>
      </c>
      <c r="R36" s="706">
        <v>4294.3500000000004</v>
      </c>
      <c r="S36" s="765">
        <f>IF((_xlfn.XLOOKUP(D36,RUC!$B$3:$B$119,RUC!$E$3:$E$119)+ROUNDDOWN(O36,1)*100)&lt;95,95,((_xlfn.XLOOKUP(D36,RUC!$B$3:$B$119,RUC!$E$3:$E$119)+ROUNDDOWN(O36,1)*100)))</f>
        <v>100</v>
      </c>
      <c r="U36" s="1146">
        <f>_xlfn.XLOOKUP(D36,RUC!$B$3:$B$123,RUC!$F$3:$F$123)</f>
        <v>120</v>
      </c>
      <c r="V36" s="715">
        <v>1.1023000000000001</v>
      </c>
      <c r="Y36">
        <f>_xlfn.XLOOKUP(D36,RUC!$B$3:$B$123,RUC!$G$3:$G$123)</f>
        <v>20</v>
      </c>
      <c r="Z36" s="143">
        <f>_xlfn.XLOOKUP(D36,RUC!$B$3:$B$123,RUC!$H$3:$H$123)</f>
        <v>30</v>
      </c>
      <c r="AA36" s="144">
        <f t="shared" si="2"/>
        <v>50</v>
      </c>
      <c r="AB36" s="145">
        <f t="shared" si="14"/>
        <v>288.35166009300008</v>
      </c>
      <c r="AC36" s="145">
        <f>+(S36-T36)*V36-'data 1'!$F$4</f>
        <v>30.230000000000004</v>
      </c>
      <c r="AD36" s="145">
        <f t="shared" si="3"/>
        <v>58.228699338872993</v>
      </c>
      <c r="AE36" s="145">
        <f t="shared" si="4"/>
        <v>-14.884999999999998</v>
      </c>
      <c r="AF36" s="145">
        <f t="shared" si="5"/>
        <v>65.335079884994997</v>
      </c>
      <c r="AG36" s="772">
        <f t="shared" si="27"/>
        <v>155.90877922386801</v>
      </c>
      <c r="AH36" s="1253">
        <f t="shared" si="6"/>
        <v>17.141999999999999</v>
      </c>
      <c r="AI36" s="1253">
        <f t="shared" si="7"/>
        <v>18.109000000000002</v>
      </c>
      <c r="AJ36" s="156">
        <f t="shared" si="8"/>
        <v>-30.666462204623052</v>
      </c>
      <c r="AK36" s="156">
        <f t="shared" si="9"/>
        <v>13.63033430329536</v>
      </c>
      <c r="AL36" s="88"/>
      <c r="AM36" s="716">
        <f t="shared" si="10"/>
        <v>1162.6338934949763</v>
      </c>
      <c r="AN36" s="716" t="str">
        <f>_xlfn.XLOOKUP(D36,RUC!$B$3:$B$578,RUC!$M$3:$M$578)</f>
        <v>SIN ACOPIADOR</v>
      </c>
      <c r="AO36" s="1167" t="s">
        <v>2279</v>
      </c>
      <c r="AP36" t="s">
        <v>3004</v>
      </c>
      <c r="AQ36" t="s">
        <v>3196</v>
      </c>
    </row>
    <row r="37" spans="1:53" ht="14.25" customHeight="1">
      <c r="A37" s="747" t="s">
        <v>3165</v>
      </c>
      <c r="B37" s="595">
        <v>45955</v>
      </c>
      <c r="C37" s="1447">
        <v>45950</v>
      </c>
      <c r="D37" t="s">
        <v>2368</v>
      </c>
      <c r="E37" s="762">
        <f>_xlfn.XLOOKUP(D37,RUC!$B$3:$B$123,RUC!$D$3:$D$123)</f>
        <v>20612719757</v>
      </c>
      <c r="G37" s="1082">
        <v>50</v>
      </c>
      <c r="H37" s="762" t="s">
        <v>108</v>
      </c>
      <c r="I37" s="703">
        <v>4.5199999999999996</v>
      </c>
      <c r="J37" s="596">
        <v>8.5</v>
      </c>
      <c r="K37" s="703">
        <f t="shared" si="0"/>
        <v>4.1360000000000001</v>
      </c>
      <c r="L37" s="762">
        <v>0.223</v>
      </c>
      <c r="M37" s="762">
        <v>0.20799999999999999</v>
      </c>
      <c r="N37" s="1196">
        <f t="shared" si="32"/>
        <v>0.20799999999999999</v>
      </c>
      <c r="O37" s="645">
        <f t="shared" si="28"/>
        <v>0.20799999999999999</v>
      </c>
      <c r="P37" s="727">
        <v>90</v>
      </c>
      <c r="Q37" s="881">
        <v>91.48</v>
      </c>
      <c r="R37" s="706">
        <v>4294.3500000000004</v>
      </c>
      <c r="S37" s="765">
        <f>IF((_xlfn.XLOOKUP(D37,RUC!$B$3:$B$119,RUC!$E$3:$E$119)+ROUNDDOWN(O37,1)*100)&lt;95,95,((_xlfn.XLOOKUP(D37,RUC!$B$3:$B$119,RUC!$E$3:$E$119)+ROUNDDOWN(O37,1)*100)))</f>
        <v>110</v>
      </c>
      <c r="U37" s="1146">
        <f>_xlfn.XLOOKUP(D37,RUC!$B$3:$B$123,RUC!$F$3:$F$123)</f>
        <v>120</v>
      </c>
      <c r="V37" s="715">
        <v>1.1023000000000001</v>
      </c>
      <c r="Y37">
        <f>_xlfn.XLOOKUP(D37,RUC!$B$3:$B$123,RUC!$G$3:$G$123)</f>
        <v>20</v>
      </c>
      <c r="Z37" s="143">
        <f>_xlfn.XLOOKUP(D37,RUC!$B$3:$B$123,RUC!$H$3:$H$123)</f>
        <v>30</v>
      </c>
      <c r="AA37" s="144">
        <f t="shared" si="2"/>
        <v>50</v>
      </c>
      <c r="AB37" s="145">
        <f t="shared" si="14"/>
        <v>685.01146013599998</v>
      </c>
      <c r="AC37" s="145">
        <f>+(S37-T37)*V37-'data 1'!$F$4</f>
        <v>41.253</v>
      </c>
      <c r="AD37" s="145">
        <f t="shared" si="3"/>
        <v>15.186414370902044</v>
      </c>
      <c r="AE37" s="145">
        <f t="shared" si="4"/>
        <v>-14.884999999999998</v>
      </c>
      <c r="AF37" s="145">
        <f t="shared" si="5"/>
        <v>63.140218760610068</v>
      </c>
      <c r="AG37" s="772">
        <f t="shared" si="27"/>
        <v>121.69463313151212</v>
      </c>
      <c r="AH37" s="1253">
        <f t="shared" si="6"/>
        <v>28.928000000000001</v>
      </c>
      <c r="AI37" s="1253">
        <f t="shared" si="7"/>
        <v>31.622</v>
      </c>
      <c r="AJ37" s="156">
        <f t="shared" si="8"/>
        <v>-50.449503940402082</v>
      </c>
      <c r="AK37" s="156">
        <f t="shared" si="9"/>
        <v>26.545777123282566</v>
      </c>
      <c r="AL37" s="88"/>
      <c r="AM37" s="716">
        <f t="shared" si="10"/>
        <v>2833.2073991224961</v>
      </c>
      <c r="AN37" s="716" t="str">
        <f>_xlfn.XLOOKUP(D37,RUC!$B$3:$B$578,RUC!$M$3:$M$578)</f>
        <v>SIN ACOPIADOR</v>
      </c>
      <c r="AO37" s="1167" t="s">
        <v>2279</v>
      </c>
      <c r="AP37" t="s">
        <v>3004</v>
      </c>
      <c r="AQ37" t="s">
        <v>3196</v>
      </c>
    </row>
    <row r="38" spans="1:53" ht="15" customHeight="1">
      <c r="A38" s="747" t="s">
        <v>3166</v>
      </c>
      <c r="B38" s="1521">
        <v>45959</v>
      </c>
      <c r="C38" s="1447">
        <v>45950</v>
      </c>
      <c r="D38" t="s">
        <v>93</v>
      </c>
      <c r="E38" s="762">
        <f>_xlfn.XLOOKUP(D38,RUC!$B$3:$B$123,RUC!$D$3:$D$123)</f>
        <v>20169040231</v>
      </c>
      <c r="G38" s="1082">
        <v>81</v>
      </c>
      <c r="H38" s="762" t="s">
        <v>69</v>
      </c>
      <c r="I38" s="703">
        <v>7.89</v>
      </c>
      <c r="J38" s="596">
        <v>1.2</v>
      </c>
      <c r="K38" s="703">
        <f t="shared" si="0"/>
        <v>7.7949999999999999</v>
      </c>
      <c r="L38" s="762">
        <v>0.55300000000000005</v>
      </c>
      <c r="M38" s="762">
        <v>0.52500000000000002</v>
      </c>
      <c r="N38" s="764">
        <v>0.52500000000000002</v>
      </c>
      <c r="O38" s="647">
        <v>0.57799999999999996</v>
      </c>
      <c r="P38" s="727">
        <v>74</v>
      </c>
      <c r="Q38" s="1502">
        <v>74.5</v>
      </c>
      <c r="R38" s="706">
        <v>4294.3500000000004</v>
      </c>
      <c r="S38" s="765">
        <f>IF((_xlfn.XLOOKUP(D38,RUC!$B$3:$B$119,RUC!$E$3:$E$119)+ROUNDDOWN(O38,1)*100)&lt;95,95,((_xlfn.XLOOKUP(D38,RUC!$B$3:$B$119,RUC!$E$3:$E$119)+ROUNDDOWN(O38,1)*100)))</f>
        <v>135</v>
      </c>
      <c r="U38" s="1146">
        <f>_xlfn.XLOOKUP(D38,RUC!$B$3:$B$123,RUC!$F$3:$F$123)</f>
        <v>120</v>
      </c>
      <c r="V38" s="715">
        <v>1.1023000000000001</v>
      </c>
      <c r="Y38" s="1445">
        <f>_xlfn.XLOOKUP(D38,RUC!$B$3:$B$123,RUC!$G$3:$G$123)+20</f>
        <v>40</v>
      </c>
      <c r="Z38" s="1454">
        <v>35</v>
      </c>
      <c r="AA38" s="144">
        <f t="shared" si="2"/>
        <v>75</v>
      </c>
      <c r="AB38" s="145">
        <f t="shared" si="14"/>
        <v>1736.6218220586004</v>
      </c>
      <c r="AC38" s="145">
        <f>+(S38-T38)*V38-'data 1'!$F$4</f>
        <v>68.810500000000019</v>
      </c>
      <c r="AD38" s="145">
        <f t="shared" si="3"/>
        <v>12.722832303825005</v>
      </c>
      <c r="AE38" s="145">
        <f t="shared" si="4"/>
        <v>12.672499999999999</v>
      </c>
      <c r="AF38" s="145">
        <f t="shared" si="5"/>
        <v>-85.700814343124705</v>
      </c>
      <c r="AG38" s="772">
        <f t="shared" si="27"/>
        <v>25.505017960700314</v>
      </c>
      <c r="AH38" s="1253">
        <f t="shared" si="6"/>
        <v>110.105</v>
      </c>
      <c r="AI38" s="1253">
        <f t="shared" si="7"/>
        <v>147.792</v>
      </c>
      <c r="AJ38" s="156">
        <f t="shared" si="8"/>
        <v>-101.8843045449252</v>
      </c>
      <c r="AK38" s="156">
        <f t="shared" si="9"/>
        <v>114.31013744773507</v>
      </c>
      <c r="AL38" s="88"/>
      <c r="AM38" s="716">
        <f t="shared" si="10"/>
        <v>13536.96710294679</v>
      </c>
      <c r="AN38" s="716" t="str">
        <f>_xlfn.XLOOKUP(D38,RUC!$B$3:$B$578,RUC!$M$3:$M$578)</f>
        <v>Ronald Miranda</v>
      </c>
      <c r="AO38" s="1167" t="s">
        <v>2278</v>
      </c>
      <c r="AP38" t="s">
        <v>3197</v>
      </c>
      <c r="AQ38" t="s">
        <v>2894</v>
      </c>
    </row>
    <row r="39" spans="1:53" ht="15" customHeight="1">
      <c r="A39" s="747" t="s">
        <v>3167</v>
      </c>
      <c r="B39" s="595">
        <v>45957</v>
      </c>
      <c r="C39" s="1447">
        <v>45950</v>
      </c>
      <c r="D39" t="s">
        <v>93</v>
      </c>
      <c r="E39" s="762">
        <f>_xlfn.XLOOKUP(D39,RUC!$B$3:$B$123,RUC!$D$3:$D$123)</f>
        <v>20169040231</v>
      </c>
      <c r="G39" s="1082">
        <v>153</v>
      </c>
      <c r="H39" s="762" t="s">
        <v>69</v>
      </c>
      <c r="I39" s="703">
        <v>15.15</v>
      </c>
      <c r="J39" s="596">
        <v>1.1499999999999999</v>
      </c>
      <c r="K39" s="703">
        <f t="shared" si="0"/>
        <v>14.976000000000001</v>
      </c>
      <c r="L39" s="762">
        <v>0.128</v>
      </c>
      <c r="M39" s="1167">
        <v>0.16700000000000001</v>
      </c>
      <c r="N39" s="1196">
        <f t="shared" si="32"/>
        <v>0.16700000000000001</v>
      </c>
      <c r="O39" s="645">
        <f>+ROUND((M39+N39)/2,3)</f>
        <v>0.16700000000000001</v>
      </c>
      <c r="P39" s="727">
        <v>82</v>
      </c>
      <c r="Q39" s="1499">
        <v>82.03</v>
      </c>
      <c r="R39" s="706">
        <v>4294.3500000000004</v>
      </c>
      <c r="S39" s="765">
        <f>IF((_xlfn.XLOOKUP(D39,RUC!$B$3:$B$119,RUC!$E$3:$E$119)+ROUNDDOWN(O39,1)*100)&lt;95,95,((_xlfn.XLOOKUP(D39,RUC!$B$3:$B$119,RUC!$E$3:$E$119)+ROUNDDOWN(O39,1)*100)))</f>
        <v>95</v>
      </c>
      <c r="U39" s="1146">
        <f>_xlfn.XLOOKUP(D39,RUC!$B$3:$B$123,RUC!$F$3:$F$123)</f>
        <v>120</v>
      </c>
      <c r="V39" s="715">
        <v>1.1023000000000001</v>
      </c>
      <c r="Y39" s="1445">
        <f>_xlfn.XLOOKUP(D39,RUC!$B$3:$B$123,RUC!$G$3:$G$123)+20</f>
        <v>40</v>
      </c>
      <c r="Z39" s="1454">
        <v>35</v>
      </c>
      <c r="AA39" s="144">
        <f t="shared" si="2"/>
        <v>75</v>
      </c>
      <c r="AB39" s="145">
        <f t="shared" si="14"/>
        <v>442.72279952470018</v>
      </c>
      <c r="AC39" s="145">
        <f>+(S39-T39)*V39-'data 1'!$F$4</f>
        <v>24.718500000000006</v>
      </c>
      <c r="AD39" s="145">
        <f t="shared" si="3"/>
        <v>0.17669322259200673</v>
      </c>
      <c r="AE39" s="145">
        <f t="shared" si="4"/>
        <v>12.672499999999999</v>
      </c>
      <c r="AF39" s="145">
        <f t="shared" si="5"/>
        <v>-147.20616065615854</v>
      </c>
      <c r="AG39" s="772">
        <f t="shared" si="27"/>
        <v>-92.638467433566532</v>
      </c>
      <c r="AH39" s="1253">
        <f t="shared" si="6"/>
        <v>53.911999999999999</v>
      </c>
      <c r="AI39" s="1253">
        <f t="shared" si="7"/>
        <v>65.722999999999999</v>
      </c>
      <c r="AJ39" s="156">
        <f t="shared" si="8"/>
        <v>-25.966209843392043</v>
      </c>
      <c r="AK39" s="156">
        <f t="shared" si="9"/>
        <v>70.312934608555409</v>
      </c>
      <c r="AL39" s="88"/>
      <c r="AM39" s="716">
        <f t="shared" si="10"/>
        <v>6630.2166456819104</v>
      </c>
      <c r="AN39" s="716" t="str">
        <f>_xlfn.XLOOKUP(D39,RUC!$B$3:$B$578,RUC!$M$3:$M$578)</f>
        <v>Ronald Miranda</v>
      </c>
      <c r="AO39" s="1167" t="s">
        <v>2278</v>
      </c>
      <c r="AP39" t="s">
        <v>3197</v>
      </c>
      <c r="AQ39" t="s">
        <v>2894</v>
      </c>
      <c r="AR39" t="s">
        <v>3245</v>
      </c>
    </row>
    <row r="40" spans="1:53" ht="15" customHeight="1">
      <c r="A40" s="747" t="s">
        <v>3168</v>
      </c>
      <c r="B40" s="595">
        <v>45957</v>
      </c>
      <c r="C40" s="1447">
        <v>45950</v>
      </c>
      <c r="D40" t="s">
        <v>93</v>
      </c>
      <c r="E40" s="762">
        <f>_xlfn.XLOOKUP(D40,RUC!$B$3:$B$123,RUC!$D$3:$D$123)</f>
        <v>20169040231</v>
      </c>
      <c r="G40" s="1082">
        <v>57</v>
      </c>
      <c r="H40" s="762" t="s">
        <v>69</v>
      </c>
      <c r="I40" s="703">
        <v>5.38</v>
      </c>
      <c r="J40" s="596">
        <v>1.3</v>
      </c>
      <c r="K40" s="703">
        <f t="shared" si="0"/>
        <v>5.31</v>
      </c>
      <c r="L40" s="762">
        <v>0.16400000000000001</v>
      </c>
      <c r="M40" s="762">
        <v>0.14899999999999999</v>
      </c>
      <c r="N40" s="1196">
        <f t="shared" si="32"/>
        <v>0.14899999999999999</v>
      </c>
      <c r="O40" s="645">
        <f t="shared" si="28"/>
        <v>0.14899999999999999</v>
      </c>
      <c r="P40" s="727">
        <v>85</v>
      </c>
      <c r="Q40" s="1499">
        <v>88.41</v>
      </c>
      <c r="R40" s="706">
        <v>4294.3500000000004</v>
      </c>
      <c r="S40" s="765">
        <f>IF((_xlfn.XLOOKUP(D40,RUC!$B$3:$B$119,RUC!$E$3:$E$119)+ROUNDDOWN(O40,1)*100)&lt;95,95,((_xlfn.XLOOKUP(D40,RUC!$B$3:$B$119,RUC!$E$3:$E$119)+ROUNDDOWN(O40,1)*100)))</f>
        <v>95</v>
      </c>
      <c r="U40" s="1146">
        <f>_xlfn.XLOOKUP(D40,RUC!$B$3:$B$123,RUC!$F$3:$F$123)</f>
        <v>120</v>
      </c>
      <c r="V40" s="715">
        <v>1.1023000000000001</v>
      </c>
      <c r="Y40">
        <f>_xlfn.XLOOKUP(D40,RUC!$B$3:$B$123,RUC!$G$3:$G$123)</f>
        <v>20</v>
      </c>
      <c r="Z40" s="1454">
        <v>35</v>
      </c>
      <c r="AA40" s="144">
        <f t="shared" si="2"/>
        <v>55</v>
      </c>
      <c r="AB40" s="145">
        <f t="shared" si="14"/>
        <v>417.42053753325007</v>
      </c>
      <c r="AC40" s="145">
        <f>+(S40-T40)*V40-'data 1'!$F$4</f>
        <v>24.718500000000006</v>
      </c>
      <c r="AD40" s="145">
        <f t="shared" si="3"/>
        <v>25.732791094361978</v>
      </c>
      <c r="AE40" s="145">
        <f t="shared" si="4"/>
        <v>-9.3734999999999999</v>
      </c>
      <c r="AF40" s="145">
        <f t="shared" si="5"/>
        <v>61.021280505307558</v>
      </c>
      <c r="AG40" s="772">
        <f t="shared" si="27"/>
        <v>119.09907159966954</v>
      </c>
      <c r="AH40" s="1253">
        <f t="shared" si="6"/>
        <v>26.396999999999998</v>
      </c>
      <c r="AI40" s="1253">
        <f t="shared" si="7"/>
        <v>29.856999999999999</v>
      </c>
      <c r="AJ40" s="156">
        <f t="shared" si="8"/>
        <v>-35.856766237362059</v>
      </c>
      <c r="AK40" s="156">
        <f t="shared" si="9"/>
        <v>23.057317745587575</v>
      </c>
      <c r="AL40" s="88"/>
      <c r="AM40" s="716">
        <f t="shared" si="10"/>
        <v>2216.5030543015578</v>
      </c>
      <c r="AN40" s="716" t="str">
        <f>_xlfn.XLOOKUP(D40,RUC!$B$3:$B$578,RUC!$M$3:$M$578)</f>
        <v>Ronald Miranda</v>
      </c>
      <c r="AO40" s="1167" t="s">
        <v>2277</v>
      </c>
      <c r="AP40" t="s">
        <v>3197</v>
      </c>
      <c r="AQ40" t="s">
        <v>2894</v>
      </c>
    </row>
    <row r="41" spans="1:53" ht="15" customHeight="1">
      <c r="A41" s="747" t="s">
        <v>3170</v>
      </c>
      <c r="B41" s="595">
        <v>45958</v>
      </c>
      <c r="C41" s="1447">
        <v>45951</v>
      </c>
      <c r="D41" t="s">
        <v>93</v>
      </c>
      <c r="E41" s="762">
        <f>_xlfn.XLOOKUP(D41,RUC!$B$3:$B$123,RUC!$D$3:$D$123)</f>
        <v>20169040231</v>
      </c>
      <c r="G41" s="1082">
        <v>33</v>
      </c>
      <c r="H41" s="762" t="s">
        <v>69</v>
      </c>
      <c r="I41" s="703">
        <v>2.92</v>
      </c>
      <c r="J41" s="596">
        <v>1.1000000000000001</v>
      </c>
      <c r="K41" s="703">
        <f t="shared" si="0"/>
        <v>2.8879999999999999</v>
      </c>
      <c r="L41" s="762">
        <v>0.40300000000000002</v>
      </c>
      <c r="M41" s="762">
        <v>0.38300000000000001</v>
      </c>
      <c r="N41" s="1196">
        <f t="shared" si="32"/>
        <v>0.38300000000000001</v>
      </c>
      <c r="O41" s="645">
        <f t="shared" si="28"/>
        <v>0.38300000000000001</v>
      </c>
      <c r="P41" s="727">
        <v>90</v>
      </c>
      <c r="Q41" s="1499">
        <v>92.8</v>
      </c>
      <c r="R41" s="706">
        <v>4169.6000000000004</v>
      </c>
      <c r="S41" s="765">
        <f>IF((_xlfn.XLOOKUP(D41,RUC!$B$3:$B$119,RUC!$E$3:$E$119)+ROUNDDOWN(O41,1)*100)&lt;95,95,((_xlfn.XLOOKUP(D41,RUC!$B$3:$B$119,RUC!$E$3:$E$119)+ROUNDDOWN(O41,1)*100)))</f>
        <v>115</v>
      </c>
      <c r="U41" s="1146">
        <f>_xlfn.XLOOKUP(D41,RUC!$B$3:$B$123,RUC!$F$3:$F$123)</f>
        <v>120</v>
      </c>
      <c r="V41" s="715">
        <v>1.1023000000000001</v>
      </c>
      <c r="Y41">
        <f>_xlfn.XLOOKUP(D41,RUC!$B$3:$B$123,RUC!$G$3:$G$123)</f>
        <v>20</v>
      </c>
      <c r="Z41" s="1454">
        <v>35</v>
      </c>
      <c r="AA41" s="144">
        <f t="shared" si="2"/>
        <v>55</v>
      </c>
      <c r="AB41" s="145">
        <f t="shared" si="14"/>
        <v>1351.3063953760002</v>
      </c>
      <c r="AC41" s="145">
        <f>+(S41-T41)*V41-'data 1'!$F$4</f>
        <v>46.764500000000012</v>
      </c>
      <c r="AD41" s="145">
        <f t="shared" si="3"/>
        <v>50.370355118719957</v>
      </c>
      <c r="AE41" s="145">
        <f t="shared" si="4"/>
        <v>-9.3734999999999999</v>
      </c>
      <c r="AF41" s="145">
        <f t="shared" si="5"/>
        <v>82.849502924800078</v>
      </c>
      <c r="AG41" s="772">
        <f t="shared" si="27"/>
        <v>187.61085804352004</v>
      </c>
      <c r="AH41" s="1253">
        <f t="shared" si="6"/>
        <v>37.03</v>
      </c>
      <c r="AI41" s="1253">
        <f t="shared" si="7"/>
        <v>39.904000000000003</v>
      </c>
      <c r="AJ41" s="156">
        <f t="shared" si="8"/>
        <v>-41.059359294720153</v>
      </c>
      <c r="AK41" s="156">
        <f t="shared" si="9"/>
        <v>34.13088437729148</v>
      </c>
      <c r="AL41" s="88"/>
      <c r="AM41" s="716">
        <f t="shared" si="10"/>
        <v>3902.5728698458884</v>
      </c>
      <c r="AN41" s="716" t="str">
        <f>_xlfn.XLOOKUP(D41,RUC!$B$3:$B$578,RUC!$M$3:$M$578)</f>
        <v>Ronald Miranda</v>
      </c>
      <c r="AO41" s="1167" t="s">
        <v>2277</v>
      </c>
      <c r="AP41" t="s">
        <v>3198</v>
      </c>
      <c r="AQ41" t="s">
        <v>2456</v>
      </c>
    </row>
    <row r="42" spans="1:53" ht="15" customHeight="1">
      <c r="A42" s="747" t="s">
        <v>3171</v>
      </c>
      <c r="B42" s="595">
        <v>45958</v>
      </c>
      <c r="C42" s="1447">
        <v>45951</v>
      </c>
      <c r="D42" t="s">
        <v>93</v>
      </c>
      <c r="E42" s="762">
        <f>_xlfn.XLOOKUP(D42,RUC!$B$3:$B$123,RUC!$D$3:$D$123)</f>
        <v>20169040231</v>
      </c>
      <c r="G42" s="1082">
        <v>69</v>
      </c>
      <c r="H42" s="762" t="s">
        <v>69</v>
      </c>
      <c r="I42" s="703">
        <v>5.93</v>
      </c>
      <c r="J42" s="596">
        <v>1.35</v>
      </c>
      <c r="K42" s="703">
        <f t="shared" si="0"/>
        <v>5.85</v>
      </c>
      <c r="L42" s="762">
        <v>0.73599999999999999</v>
      </c>
      <c r="M42" s="762">
        <v>0.69699999999999995</v>
      </c>
      <c r="N42" s="1196">
        <f t="shared" si="32"/>
        <v>0.69699999999999995</v>
      </c>
      <c r="O42" s="645">
        <f t="shared" si="28"/>
        <v>0.69699999999999995</v>
      </c>
      <c r="P42" s="727">
        <v>90</v>
      </c>
      <c r="Q42" s="881">
        <v>93.89</v>
      </c>
      <c r="R42" s="706">
        <v>4169.6000000000004</v>
      </c>
      <c r="S42" s="765">
        <f>IF((_xlfn.XLOOKUP(D42,RUC!$B$3:$B$119,RUC!$E$3:$E$119)+ROUNDDOWN(O42,1)*100)&lt;95,95,((_xlfn.XLOOKUP(D42,RUC!$B$3:$B$119,RUC!$E$3:$E$119)+ROUNDDOWN(O42,1)*100)))</f>
        <v>145</v>
      </c>
      <c r="U42" s="1146">
        <f>_xlfn.XLOOKUP(D42,RUC!$B$3:$B$123,RUC!$F$3:$F$123)</f>
        <v>120</v>
      </c>
      <c r="V42" s="715">
        <v>1.1023000000000001</v>
      </c>
      <c r="Y42">
        <f>_xlfn.XLOOKUP(D42,RUC!$B$3:$B$123,RUC!$G$3:$G$123)</f>
        <v>20</v>
      </c>
      <c r="Z42" s="1454">
        <v>35</v>
      </c>
      <c r="AA42" s="144">
        <f t="shared" si="2"/>
        <v>55</v>
      </c>
      <c r="AB42" s="145">
        <f t="shared" si="14"/>
        <v>2579.7282103840002</v>
      </c>
      <c r="AC42" s="145">
        <f>+(S42-T42)*V42-'data 1'!$F$4</f>
        <v>79.833500000000015</v>
      </c>
      <c r="AD42" s="145">
        <f t="shared" si="3"/>
        <v>127.80250046003204</v>
      </c>
      <c r="AE42" s="145">
        <f t="shared" si="4"/>
        <v>-9.3734999999999999</v>
      </c>
      <c r="AF42" s="145">
        <f t="shared" si="5"/>
        <v>163.45412357476818</v>
      </c>
      <c r="AG42" s="772">
        <f t="shared" si="27"/>
        <v>378.71662403480025</v>
      </c>
      <c r="AH42" s="1253">
        <f t="shared" si="6"/>
        <v>138.6</v>
      </c>
      <c r="AI42" s="1253">
        <f t="shared" si="7"/>
        <v>147.619</v>
      </c>
      <c r="AJ42" s="156">
        <f t="shared" si="8"/>
        <v>-75.867591868032292</v>
      </c>
      <c r="AK42" s="156">
        <f t="shared" si="9"/>
        <v>125.81725995402525</v>
      </c>
      <c r="AL42" s="88"/>
      <c r="AM42" s="716">
        <f t="shared" si="10"/>
        <v>15091.410030746401</v>
      </c>
      <c r="AN42" s="716" t="str">
        <f>_xlfn.XLOOKUP(D42,RUC!$B$3:$B$578,RUC!$M$3:$M$578)</f>
        <v>Ronald Miranda</v>
      </c>
      <c r="AO42" s="1167" t="s">
        <v>2277</v>
      </c>
      <c r="AP42" t="s">
        <v>3198</v>
      </c>
      <c r="AQ42" t="s">
        <v>2456</v>
      </c>
    </row>
    <row r="43" spans="1:53" ht="15" customHeight="1">
      <c r="A43" s="747" t="s">
        <v>3172</v>
      </c>
      <c r="B43" s="595">
        <v>45958</v>
      </c>
      <c r="C43" s="1447">
        <v>45951</v>
      </c>
      <c r="D43" t="s">
        <v>93</v>
      </c>
      <c r="E43" s="762">
        <f>_xlfn.XLOOKUP(D43,RUC!$B$3:$B$123,RUC!$D$3:$D$123)</f>
        <v>20169040231</v>
      </c>
      <c r="G43" s="1082">
        <v>23</v>
      </c>
      <c r="H43" s="762" t="s">
        <v>69</v>
      </c>
      <c r="I43" s="703">
        <v>2.23</v>
      </c>
      <c r="J43" s="596">
        <v>1.95</v>
      </c>
      <c r="K43" s="703">
        <f t="shared" si="0"/>
        <v>2.1869999999999998</v>
      </c>
      <c r="L43" s="994">
        <v>0.16</v>
      </c>
      <c r="M43" s="762">
        <v>0.14499999999999999</v>
      </c>
      <c r="N43" s="1196">
        <f t="shared" si="32"/>
        <v>0.14499999999999999</v>
      </c>
      <c r="O43" s="645">
        <f t="shared" si="28"/>
        <v>0.14499999999999999</v>
      </c>
      <c r="P43" s="727">
        <v>87</v>
      </c>
      <c r="Q43" s="881">
        <v>87.5</v>
      </c>
      <c r="R43" s="706">
        <v>4169.6000000000004</v>
      </c>
      <c r="S43" s="765">
        <f>IF((_xlfn.XLOOKUP(D43,RUC!$B$3:$B$119,RUC!$E$3:$E$119)+ROUNDDOWN(O43,1)*100)&lt;95,95,((_xlfn.XLOOKUP(D43,RUC!$B$3:$B$119,RUC!$E$3:$E$119)+ROUNDDOWN(O43,1)*100)))</f>
        <v>95</v>
      </c>
      <c r="U43" s="1146">
        <f>_xlfn.XLOOKUP(D43,RUC!$B$3:$B$123,RUC!$F$3:$F$123)</f>
        <v>120</v>
      </c>
      <c r="V43" s="715">
        <v>1.1023000000000001</v>
      </c>
      <c r="Y43">
        <f>_xlfn.XLOOKUP(D43,RUC!$B$3:$B$123,RUC!$G$3:$G$123)</f>
        <v>20</v>
      </c>
      <c r="Z43" s="1454">
        <v>35</v>
      </c>
      <c r="AA43" s="144">
        <f t="shared" si="2"/>
        <v>55</v>
      </c>
      <c r="AB43" s="145">
        <f t="shared" si="14"/>
        <v>397.77271519200002</v>
      </c>
      <c r="AC43" s="145">
        <f>+(S43-T43)*V43-'data 1'!$F$4</f>
        <v>24.718500000000006</v>
      </c>
      <c r="AD43" s="145">
        <f t="shared" si="3"/>
        <v>3.5710992640000008</v>
      </c>
      <c r="AE43" s="145">
        <f t="shared" si="4"/>
        <v>-9.3734999999999999</v>
      </c>
      <c r="AF43" s="145">
        <f t="shared" si="5"/>
        <v>58.588347300000059</v>
      </c>
      <c r="AG43" s="772">
        <f t="shared" si="27"/>
        <v>94.504446564000062</v>
      </c>
      <c r="AH43" s="1253">
        <f t="shared" si="6"/>
        <v>10.497999999999999</v>
      </c>
      <c r="AI43" s="1253">
        <f t="shared" si="7"/>
        <v>11.997</v>
      </c>
      <c r="AJ43" s="156">
        <f t="shared" si="8"/>
        <v>-15.370471200000056</v>
      </c>
      <c r="AK43" s="156">
        <f t="shared" si="9"/>
        <v>9.4589974233839023</v>
      </c>
      <c r="AL43" s="88"/>
      <c r="AM43" s="716">
        <f t="shared" si="10"/>
        <v>869.92892812490402</v>
      </c>
      <c r="AN43" s="716" t="str">
        <f>_xlfn.XLOOKUP(D43,RUC!$B$3:$B$578,RUC!$M$3:$M$578)</f>
        <v>Ronald Miranda</v>
      </c>
      <c r="AO43" s="1167" t="s">
        <v>2277</v>
      </c>
      <c r="AP43" t="s">
        <v>3198</v>
      </c>
      <c r="AQ43" t="s">
        <v>2456</v>
      </c>
    </row>
    <row r="44" spans="1:53" ht="15" customHeight="1">
      <c r="A44" s="747" t="s">
        <v>3173</v>
      </c>
      <c r="B44" s="595">
        <v>45958</v>
      </c>
      <c r="C44" s="1447">
        <v>45951</v>
      </c>
      <c r="D44" t="s">
        <v>2444</v>
      </c>
      <c r="E44" s="762">
        <f>_xlfn.XLOOKUP(D44,RUC!$B$3:$B$123,RUC!$D$3:$D$123)</f>
        <v>20608774000</v>
      </c>
      <c r="G44" s="1082">
        <v>49</v>
      </c>
      <c r="H44" s="762" t="s">
        <v>108</v>
      </c>
      <c r="I44" s="703">
        <v>3.21</v>
      </c>
      <c r="J44" s="596">
        <v>22</v>
      </c>
      <c r="K44" s="703">
        <f t="shared" si="0"/>
        <v>2.504</v>
      </c>
      <c r="L44" s="994">
        <v>0.25900000000000001</v>
      </c>
      <c r="M44" s="762">
        <v>0.24399999999999999</v>
      </c>
      <c r="N44" s="1196">
        <f t="shared" si="32"/>
        <v>0.24399999999999999</v>
      </c>
      <c r="O44" s="645">
        <f t="shared" si="28"/>
        <v>0.24399999999999999</v>
      </c>
      <c r="P44" s="727">
        <v>90</v>
      </c>
      <c r="Q44" s="881">
        <v>94.21</v>
      </c>
      <c r="R44" s="706">
        <v>4169.6000000000004</v>
      </c>
      <c r="S44" s="765">
        <f>IF((_xlfn.XLOOKUP(D44,RUC!$B$3:$B$119,RUC!$E$3:$E$119)+ROUNDDOWN(O44,1)*100)&lt;95,95,((_xlfn.XLOOKUP(D44,RUC!$B$3:$B$119,RUC!$E$3:$E$119)+ROUNDDOWN(O44,1)*100)))</f>
        <v>105</v>
      </c>
      <c r="U44" s="1146">
        <f>_xlfn.XLOOKUP(D44,RUC!$B$3:$B$123,RUC!$F$3:$F$123)</f>
        <v>120</v>
      </c>
      <c r="V44" s="715">
        <v>1.1023000000000001</v>
      </c>
      <c r="Y44">
        <f>_xlfn.XLOOKUP(D44,RUC!$B$3:$B$123,RUC!$G$3:$G$123)</f>
        <v>20</v>
      </c>
      <c r="Z44" s="1454">
        <v>35</v>
      </c>
      <c r="AA44" s="144">
        <f t="shared" si="2"/>
        <v>55</v>
      </c>
      <c r="AB44" s="145">
        <f t="shared" si="14"/>
        <v>803.89874796800029</v>
      </c>
      <c r="AC44" s="145">
        <f>+(S44-T44)*V44-'data 1'!$F$4</f>
        <v>35.741500000000002</v>
      </c>
      <c r="AD44" s="145">
        <f t="shared" si="3"/>
        <v>48.673636580911946</v>
      </c>
      <c r="AE44" s="145">
        <f t="shared" si="4"/>
        <v>-9.3734999999999999</v>
      </c>
      <c r="AF44" s="145">
        <f t="shared" si="5"/>
        <v>63.081236561520058</v>
      </c>
      <c r="AG44" s="772">
        <f t="shared" si="27"/>
        <v>155.12287314243201</v>
      </c>
      <c r="AH44" s="1253">
        <f t="shared" si="6"/>
        <v>20.948</v>
      </c>
      <c r="AI44" s="1253">
        <f t="shared" si="7"/>
        <v>22.234999999999999</v>
      </c>
      <c r="AJ44" s="156">
        <f t="shared" si="8"/>
        <v>-26.788963697412097</v>
      </c>
      <c r="AK44" s="156">
        <f t="shared" si="9"/>
        <v>18.852794324313123</v>
      </c>
      <c r="AL44" s="88"/>
      <c r="AM44" s="716">
        <f t="shared" si="10"/>
        <v>2012.9624649118728</v>
      </c>
      <c r="AN44" s="716" t="str">
        <f>_xlfn.XLOOKUP(D44,RUC!$B$3:$B$578,RUC!$M$3:$M$578)</f>
        <v>Ronald Miranda</v>
      </c>
      <c r="AO44" s="1167" t="s">
        <v>2278</v>
      </c>
      <c r="AP44" t="s">
        <v>3199</v>
      </c>
      <c r="AQ44" t="s">
        <v>2454</v>
      </c>
    </row>
    <row r="45" spans="1:53" ht="15" customHeight="1">
      <c r="A45" s="747" t="s">
        <v>3174</v>
      </c>
      <c r="B45" s="595">
        <v>45958</v>
      </c>
      <c r="C45" s="1447">
        <v>45951</v>
      </c>
      <c r="D45" t="s">
        <v>2444</v>
      </c>
      <c r="E45" s="762">
        <f>_xlfn.XLOOKUP(D45,RUC!$B$3:$B$123,RUC!$D$3:$D$123)</f>
        <v>20608774000</v>
      </c>
      <c r="G45" s="1082">
        <v>50</v>
      </c>
      <c r="H45" s="762" t="s">
        <v>108</v>
      </c>
      <c r="I45" s="703">
        <v>3.34</v>
      </c>
      <c r="J45" s="596">
        <v>20.11</v>
      </c>
      <c r="K45" s="703">
        <f t="shared" si="0"/>
        <v>2.6680000000000001</v>
      </c>
      <c r="L45" s="994">
        <v>0.22900000000000001</v>
      </c>
      <c r="M45" s="762">
        <v>0.214</v>
      </c>
      <c r="N45" s="1196">
        <f t="shared" si="32"/>
        <v>0.214</v>
      </c>
      <c r="O45" s="645">
        <f t="shared" si="28"/>
        <v>0.214</v>
      </c>
      <c r="P45" s="727">
        <v>87</v>
      </c>
      <c r="Q45" s="881">
        <v>87.34</v>
      </c>
      <c r="R45" s="706">
        <v>4169.6000000000004</v>
      </c>
      <c r="S45" s="765">
        <f>IF((_xlfn.XLOOKUP(D45,RUC!$B$3:$B$119,RUC!$E$3:$E$119)+ROUNDDOWN(O45,1)*100)&lt;95,95,((_xlfn.XLOOKUP(D45,RUC!$B$3:$B$119,RUC!$E$3:$E$119)+ROUNDDOWN(O45,1)*100)))</f>
        <v>105</v>
      </c>
      <c r="U45" s="1146">
        <f>_xlfn.XLOOKUP(D45,RUC!$B$3:$B$123,RUC!$F$3:$F$123)</f>
        <v>120</v>
      </c>
      <c r="V45" s="715">
        <v>1.1023000000000001</v>
      </c>
      <c r="Y45">
        <f>_xlfn.XLOOKUP(D45,RUC!$B$3:$B$123,RUC!$G$3:$G$123)</f>
        <v>20</v>
      </c>
      <c r="Z45" s="1454">
        <v>35</v>
      </c>
      <c r="AA45" s="144">
        <f t="shared" si="2"/>
        <v>55</v>
      </c>
      <c r="AB45" s="145">
        <f t="shared" si="14"/>
        <v>654.7160762144</v>
      </c>
      <c r="AC45" s="145">
        <f>+(S45-T45)*V45-'data 1'!$F$4</f>
        <v>35.741500000000002</v>
      </c>
      <c r="AD45" s="145">
        <f t="shared" si="3"/>
        <v>3.4755723586880349</v>
      </c>
      <c r="AE45" s="145">
        <f t="shared" si="4"/>
        <v>-9.3734999999999999</v>
      </c>
      <c r="AF45" s="145">
        <f t="shared" si="5"/>
        <v>58.481214322080056</v>
      </c>
      <c r="AG45" s="772">
        <f t="shared" si="27"/>
        <v>105.32478668076809</v>
      </c>
      <c r="AH45" s="1253">
        <f t="shared" si="6"/>
        <v>18.295000000000002</v>
      </c>
      <c r="AI45" s="1253">
        <f t="shared" si="7"/>
        <v>20.946999999999999</v>
      </c>
      <c r="AJ45" s="156">
        <f t="shared" si="8"/>
        <v>-21.958760186088085</v>
      </c>
      <c r="AK45" s="156">
        <f t="shared" si="9"/>
        <v>17.030520463793533</v>
      </c>
      <c r="AL45" s="88"/>
      <c r="AM45" s="716">
        <f t="shared" si="10"/>
        <v>1746.7824913400193</v>
      </c>
      <c r="AN45" s="716" t="str">
        <f>_xlfn.XLOOKUP(D45,RUC!$B$3:$B$578,RUC!$M$3:$M$578)</f>
        <v>Ronald Miranda</v>
      </c>
      <c r="AO45" s="1167" t="s">
        <v>2278</v>
      </c>
      <c r="AP45" t="s">
        <v>3199</v>
      </c>
      <c r="AQ45" t="s">
        <v>2454</v>
      </c>
    </row>
    <row r="46" spans="1:53" ht="15" customHeight="1">
      <c r="A46" s="747" t="s">
        <v>3175</v>
      </c>
      <c r="B46" s="595">
        <v>45958</v>
      </c>
      <c r="C46" s="1447">
        <v>45951</v>
      </c>
      <c r="D46" t="s">
        <v>2444</v>
      </c>
      <c r="E46" s="762">
        <f>_xlfn.XLOOKUP(D46,RUC!$B$3:$B$123,RUC!$D$3:$D$123)</f>
        <v>20608774000</v>
      </c>
      <c r="G46" s="1082">
        <v>50</v>
      </c>
      <c r="H46" s="762" t="s">
        <v>108</v>
      </c>
      <c r="I46" s="703">
        <v>3.22</v>
      </c>
      <c r="J46" s="596">
        <v>19.850000000000001</v>
      </c>
      <c r="K46" s="703">
        <f t="shared" si="0"/>
        <v>2.581</v>
      </c>
      <c r="L46" s="994">
        <v>0.28199999999999997</v>
      </c>
      <c r="M46" s="762">
        <v>0.26700000000000002</v>
      </c>
      <c r="N46" s="1196">
        <f t="shared" si="32"/>
        <v>0.26700000000000002</v>
      </c>
      <c r="O46" s="645">
        <f t="shared" si="28"/>
        <v>0.26700000000000002</v>
      </c>
      <c r="P46" s="727">
        <v>90</v>
      </c>
      <c r="Q46" s="881">
        <v>93.62</v>
      </c>
      <c r="R46" s="706">
        <v>4169.6000000000004</v>
      </c>
      <c r="S46" s="765">
        <f>IF((_xlfn.XLOOKUP(D46,RUC!$B$3:$B$119,RUC!$E$3:$E$119)+ROUNDDOWN(O46,1)*100)&lt;95,95,((_xlfn.XLOOKUP(D46,RUC!$B$3:$B$119,RUC!$E$3:$E$119)+ROUNDDOWN(O46,1)*100)))</f>
        <v>105</v>
      </c>
      <c r="U46" s="1146">
        <f>_xlfn.XLOOKUP(D46,RUC!$B$3:$B$123,RUC!$F$3:$F$123)</f>
        <v>120</v>
      </c>
      <c r="V46" s="715">
        <v>1.1023000000000001</v>
      </c>
      <c r="Y46">
        <f>_xlfn.XLOOKUP(D46,RUC!$B$3:$B$123,RUC!$G$3:$G$123)</f>
        <v>20</v>
      </c>
      <c r="Z46" s="1454">
        <v>35</v>
      </c>
      <c r="AA46" s="144">
        <f t="shared" si="2"/>
        <v>55</v>
      </c>
      <c r="AB46" s="145">
        <f t="shared" si="14"/>
        <v>896.30094142400014</v>
      </c>
      <c r="AC46" s="145">
        <f>+(S46-T46)*V46-'data 1'!$F$4</f>
        <v>35.741500000000002</v>
      </c>
      <c r="AD46" s="145">
        <f t="shared" si="3"/>
        <v>45.569012158272059</v>
      </c>
      <c r="AE46" s="145">
        <f t="shared" si="4"/>
        <v>-9.3734999999999999</v>
      </c>
      <c r="AF46" s="145">
        <f t="shared" si="5"/>
        <v>62.686183705439838</v>
      </c>
      <c r="AG46" s="772">
        <f t="shared" si="27"/>
        <v>151.62319586371191</v>
      </c>
      <c r="AH46" s="1253">
        <f t="shared" si="6"/>
        <v>23.361999999999998</v>
      </c>
      <c r="AI46" s="1253">
        <f t="shared" si="7"/>
        <v>24.954000000000001</v>
      </c>
      <c r="AJ46" s="156">
        <f t="shared" si="8"/>
        <v>-28.985239348272103</v>
      </c>
      <c r="AK46" s="156">
        <f t="shared" si="9"/>
        <v>21.264287949659121</v>
      </c>
      <c r="AL46" s="88"/>
      <c r="AM46" s="716">
        <f t="shared" si="10"/>
        <v>2313.3527298153444</v>
      </c>
      <c r="AN46" s="716" t="str">
        <f>_xlfn.XLOOKUP(D46,RUC!$B$3:$B$578,RUC!$M$3:$M$578)</f>
        <v>Ronald Miranda</v>
      </c>
      <c r="AO46" s="1167" t="s">
        <v>2278</v>
      </c>
      <c r="AP46" t="s">
        <v>3199</v>
      </c>
      <c r="AQ46" t="s">
        <v>2454</v>
      </c>
    </row>
    <row r="47" spans="1:53" ht="15" customHeight="1">
      <c r="A47" s="747" t="s">
        <v>3176</v>
      </c>
      <c r="B47" s="595">
        <v>45958</v>
      </c>
      <c r="C47" s="1447">
        <v>45951</v>
      </c>
      <c r="D47" t="s">
        <v>2444</v>
      </c>
      <c r="E47" s="762">
        <f>_xlfn.XLOOKUP(D47,RUC!$B$3:$B$123,RUC!$D$3:$D$123)</f>
        <v>20608774000</v>
      </c>
      <c r="G47" s="1082">
        <v>50</v>
      </c>
      <c r="H47" s="762" t="s">
        <v>108</v>
      </c>
      <c r="I47" s="703">
        <v>3.23</v>
      </c>
      <c r="J47" s="596">
        <v>22.28</v>
      </c>
      <c r="K47" s="703">
        <f t="shared" si="0"/>
        <v>2.5099999999999998</v>
      </c>
      <c r="L47" s="994">
        <v>0.27900000000000003</v>
      </c>
      <c r="M47" s="762">
        <v>0.26400000000000001</v>
      </c>
      <c r="N47" s="1196">
        <f t="shared" si="32"/>
        <v>0.26400000000000001</v>
      </c>
      <c r="O47" s="645">
        <f t="shared" si="28"/>
        <v>0.26400000000000001</v>
      </c>
      <c r="P47" s="727">
        <v>90</v>
      </c>
      <c r="Q47" s="881">
        <v>97.49</v>
      </c>
      <c r="R47" s="706">
        <v>4169.6000000000004</v>
      </c>
      <c r="S47" s="765">
        <f>IF((_xlfn.XLOOKUP(D47,RUC!$B$3:$B$119,RUC!$E$3:$E$119)+ROUNDDOWN(O47,1)*100)&lt;95,95,((_xlfn.XLOOKUP(D47,RUC!$B$3:$B$119,RUC!$E$3:$E$119)+ROUNDDOWN(O47,1)*100)))</f>
        <v>105</v>
      </c>
      <c r="U47" s="1146">
        <f>_xlfn.XLOOKUP(D47,RUC!$B$3:$B$123,RUC!$F$3:$F$123)</f>
        <v>120</v>
      </c>
      <c r="V47" s="715">
        <v>1.1023000000000001</v>
      </c>
      <c r="Y47">
        <f>_xlfn.XLOOKUP(D47,RUC!$B$3:$B$123,RUC!$G$3:$G$123)</f>
        <v>20</v>
      </c>
      <c r="Z47" s="1454">
        <v>35</v>
      </c>
      <c r="AA47" s="144">
        <f t="shared" si="2"/>
        <v>55</v>
      </c>
      <c r="AB47" s="145">
        <f t="shared" si="14"/>
        <v>884.2484814080002</v>
      </c>
      <c r="AC47" s="145">
        <f>+(S47-T47)*V47-'data 1'!$F$4</f>
        <v>35.741500000000002</v>
      </c>
      <c r="AD47" s="145">
        <f t="shared" si="3"/>
        <v>93.282023037167946</v>
      </c>
      <c r="AE47" s="145">
        <f t="shared" si="4"/>
        <v>-9.3734999999999999</v>
      </c>
      <c r="AF47" s="145">
        <f t="shared" si="5"/>
        <v>65.277462608880072</v>
      </c>
      <c r="AG47" s="772">
        <f t="shared" si="27"/>
        <v>201.92748564604801</v>
      </c>
      <c r="AH47" s="1253">
        <f t="shared" si="6"/>
        <v>23.407</v>
      </c>
      <c r="AI47" s="1253">
        <f t="shared" si="7"/>
        <v>24.01</v>
      </c>
      <c r="AJ47" s="156">
        <f t="shared" si="8"/>
        <v>-29.86231137166811</v>
      </c>
      <c r="AK47" s="156">
        <f t="shared" si="9"/>
        <v>20.446982583706802</v>
      </c>
      <c r="AL47" s="88"/>
      <c r="AM47" s="716">
        <f t="shared" si="10"/>
        <v>2219.4636883340804</v>
      </c>
      <c r="AN47" s="716" t="str">
        <f>_xlfn.XLOOKUP(D47,RUC!$B$3:$B$578,RUC!$M$3:$M$578)</f>
        <v>Ronald Miranda</v>
      </c>
      <c r="AO47" s="1167" t="s">
        <v>2278</v>
      </c>
      <c r="AP47" t="s">
        <v>3199</v>
      </c>
      <c r="AQ47" t="s">
        <v>2454</v>
      </c>
    </row>
    <row r="48" spans="1:53" ht="15" customHeight="1">
      <c r="A48" s="747" t="s">
        <v>3177</v>
      </c>
      <c r="B48" s="595">
        <v>45958</v>
      </c>
      <c r="C48" s="1447">
        <v>45951</v>
      </c>
      <c r="D48" t="s">
        <v>2444</v>
      </c>
      <c r="E48" s="762">
        <f>_xlfn.XLOOKUP(D48,RUC!$B$3:$B$123,RUC!$D$3:$D$123)</f>
        <v>20608774000</v>
      </c>
      <c r="G48" s="1082">
        <v>50</v>
      </c>
      <c r="H48" s="762" t="s">
        <v>108</v>
      </c>
      <c r="I48" s="703">
        <v>3.31</v>
      </c>
      <c r="J48" s="596">
        <v>22.76</v>
      </c>
      <c r="K48" s="703">
        <f t="shared" si="0"/>
        <v>2.5569999999999999</v>
      </c>
      <c r="L48" s="994">
        <v>0.3</v>
      </c>
      <c r="M48" s="762">
        <v>0.28499999999999998</v>
      </c>
      <c r="N48" s="1196">
        <f t="shared" si="32"/>
        <v>0.28499999999999998</v>
      </c>
      <c r="O48" s="645">
        <f t="shared" si="28"/>
        <v>0.28499999999999998</v>
      </c>
      <c r="P48" s="727">
        <v>90</v>
      </c>
      <c r="Q48" s="881">
        <v>98</v>
      </c>
      <c r="R48" s="706">
        <v>4169.6000000000004</v>
      </c>
      <c r="S48" s="765">
        <f>IF((_xlfn.XLOOKUP(D48,RUC!$B$3:$B$119,RUC!$E$3:$E$119)+ROUNDDOWN(O48,1)*100)&lt;95,95,((_xlfn.XLOOKUP(D48,RUC!$B$3:$B$119,RUC!$E$3:$E$119)+ROUNDDOWN(O48,1)*100)))</f>
        <v>105</v>
      </c>
      <c r="U48" s="1146">
        <f>_xlfn.XLOOKUP(D48,RUC!$B$3:$B$123,RUC!$F$3:$F$123)</f>
        <v>120</v>
      </c>
      <c r="V48" s="715">
        <v>1.1023000000000001</v>
      </c>
      <c r="Y48">
        <f>_xlfn.XLOOKUP(D48,RUC!$B$3:$B$123,RUC!$G$3:$G$123)</f>
        <v>20</v>
      </c>
      <c r="Z48" s="1454">
        <v>35</v>
      </c>
      <c r="AA48" s="144">
        <f t="shared" si="2"/>
        <v>55</v>
      </c>
      <c r="AB48" s="145">
        <f t="shared" si="14"/>
        <v>968.61570152000013</v>
      </c>
      <c r="AC48" s="145">
        <f>+(S48-T48)*V48-'data 1'!$F$4</f>
        <v>35.741500000000002</v>
      </c>
      <c r="AD48" s="145">
        <f t="shared" si="3"/>
        <v>107.13297792000002</v>
      </c>
      <c r="AE48" s="145">
        <f t="shared" si="4"/>
        <v>-9.3734999999999999</v>
      </c>
      <c r="AF48" s="145">
        <f t="shared" si="5"/>
        <v>65.61894897600007</v>
      </c>
      <c r="AG48" s="772">
        <f t="shared" si="27"/>
        <v>216.11992689600004</v>
      </c>
      <c r="AH48" s="1253">
        <f t="shared" si="6"/>
        <v>25.774000000000001</v>
      </c>
      <c r="AI48" s="1253">
        <f t="shared" si="7"/>
        <v>26.3</v>
      </c>
      <c r="AJ48" s="156">
        <f t="shared" si="8"/>
        <v>-32.277989520000119</v>
      </c>
      <c r="AK48" s="156">
        <f t="shared" si="9"/>
        <v>22.486774603047522</v>
      </c>
      <c r="AL48" s="88"/>
      <c r="AM48" s="716">
        <f t="shared" si="10"/>
        <v>2476.7503487866402</v>
      </c>
      <c r="AN48" s="716" t="str">
        <f>_xlfn.XLOOKUP(D48,RUC!$B$3:$B$578,RUC!$M$3:$M$578)</f>
        <v>Ronald Miranda</v>
      </c>
      <c r="AO48" s="1167" t="s">
        <v>2280</v>
      </c>
      <c r="AP48" t="s">
        <v>3199</v>
      </c>
      <c r="AQ48" t="s">
        <v>2454</v>
      </c>
    </row>
    <row r="49" spans="1:44" ht="15" customHeight="1">
      <c r="A49" s="747" t="s">
        <v>3178</v>
      </c>
      <c r="B49" s="595">
        <v>45958</v>
      </c>
      <c r="C49" s="1447">
        <v>45951</v>
      </c>
      <c r="D49" t="s">
        <v>2444</v>
      </c>
      <c r="E49" s="762">
        <f>_xlfn.XLOOKUP(D49,RUC!$B$3:$B$123,RUC!$D$3:$D$123)</f>
        <v>20608774000</v>
      </c>
      <c r="G49" s="1082">
        <v>50</v>
      </c>
      <c r="H49" s="762" t="s">
        <v>108</v>
      </c>
      <c r="I49" s="703">
        <v>3.5</v>
      </c>
      <c r="J49" s="596">
        <v>19.38</v>
      </c>
      <c r="K49" s="703">
        <f t="shared" si="0"/>
        <v>2.8220000000000001</v>
      </c>
      <c r="L49" s="994">
        <v>0.22900000000000001</v>
      </c>
      <c r="M49" s="762">
        <v>0.214</v>
      </c>
      <c r="N49" s="1196">
        <f t="shared" si="32"/>
        <v>0.214</v>
      </c>
      <c r="O49" s="645">
        <f t="shared" si="28"/>
        <v>0.214</v>
      </c>
      <c r="P49" s="727">
        <v>90</v>
      </c>
      <c r="Q49" s="881">
        <v>96.07</v>
      </c>
      <c r="R49" s="706">
        <v>4169.6000000000004</v>
      </c>
      <c r="S49" s="765">
        <f>IF((_xlfn.XLOOKUP(D49,RUC!$B$3:$B$119,RUC!$E$3:$E$119)+ROUNDDOWN(O49,1)*100)&lt;95,95,((_xlfn.XLOOKUP(D49,RUC!$B$3:$B$119,RUC!$E$3:$E$119)+ROUNDDOWN(O49,1)*100)))</f>
        <v>105</v>
      </c>
      <c r="U49" s="1146">
        <f>_xlfn.XLOOKUP(D49,RUC!$B$3:$B$123,RUC!$F$3:$F$123)</f>
        <v>120</v>
      </c>
      <c r="V49" s="715">
        <v>1.1023000000000001</v>
      </c>
      <c r="Y49">
        <f>_xlfn.XLOOKUP(D49,RUC!$B$3:$B$123,RUC!$G$3:$G$123)</f>
        <v>20</v>
      </c>
      <c r="Z49" s="1454">
        <v>35</v>
      </c>
      <c r="AA49" s="144">
        <f t="shared" si="2"/>
        <v>55</v>
      </c>
      <c r="AB49" s="145">
        <f t="shared" si="14"/>
        <v>683.37414780800009</v>
      </c>
      <c r="AC49" s="145">
        <f>+(S49-T49)*V49-'data 1'!$F$4</f>
        <v>35.741500000000002</v>
      </c>
      <c r="AD49" s="145">
        <f t="shared" si="3"/>
        <v>62.049188874223944</v>
      </c>
      <c r="AE49" s="145">
        <f t="shared" si="4"/>
        <v>-9.3734999999999999</v>
      </c>
      <c r="AF49" s="145">
        <f t="shared" si="5"/>
        <v>64.326657429840054</v>
      </c>
      <c r="AG49" s="772">
        <f t="shared" si="27"/>
        <v>169.74384630406399</v>
      </c>
      <c r="AH49" s="1253">
        <f t="shared" si="6"/>
        <v>21.286000000000001</v>
      </c>
      <c r="AI49" s="1253">
        <f t="shared" si="7"/>
        <v>22.157</v>
      </c>
      <c r="AJ49" s="156">
        <f t="shared" si="8"/>
        <v>-24.153630536724087</v>
      </c>
      <c r="AK49" s="156">
        <f t="shared" si="9"/>
        <v>18.63469811384946</v>
      </c>
      <c r="AL49" s="88"/>
      <c r="AM49" s="716">
        <f t="shared" si="10"/>
        <v>1928.4818451141764</v>
      </c>
      <c r="AN49" s="716" t="str">
        <f>_xlfn.XLOOKUP(D49,RUC!$B$3:$B$578,RUC!$M$3:$M$578)</f>
        <v>Ronald Miranda</v>
      </c>
      <c r="AO49" s="1167" t="s">
        <v>2278</v>
      </c>
      <c r="AP49" t="s">
        <v>3199</v>
      </c>
      <c r="AQ49" t="s">
        <v>2454</v>
      </c>
    </row>
    <row r="50" spans="1:44" ht="15" customHeight="1">
      <c r="A50" s="747" t="s">
        <v>3179</v>
      </c>
      <c r="B50" s="595">
        <v>45958</v>
      </c>
      <c r="C50" s="1447">
        <v>45951</v>
      </c>
      <c r="D50" t="s">
        <v>93</v>
      </c>
      <c r="E50" s="762">
        <f>_xlfn.XLOOKUP(D50,RUC!$B$3:$B$123,RUC!$D$3:$D$123)</f>
        <v>20169040231</v>
      </c>
      <c r="G50" s="1082">
        <v>47</v>
      </c>
      <c r="H50" s="762" t="s">
        <v>69</v>
      </c>
      <c r="I50" s="703">
        <v>4.13</v>
      </c>
      <c r="J50" s="596">
        <v>2.8</v>
      </c>
      <c r="K50" s="703">
        <f t="shared" si="0"/>
        <v>4.0140000000000002</v>
      </c>
      <c r="L50" s="994">
        <v>0.51400000000000001</v>
      </c>
      <c r="M50" s="762">
        <v>0.48799999999999999</v>
      </c>
      <c r="N50" s="1444">
        <v>0.58289999999999997</v>
      </c>
      <c r="O50" s="645">
        <f t="shared" si="28"/>
        <v>0.53500000000000003</v>
      </c>
      <c r="P50" s="727">
        <v>90</v>
      </c>
      <c r="Q50" s="881">
        <v>94.94</v>
      </c>
      <c r="R50" s="706">
        <v>4169.6000000000004</v>
      </c>
      <c r="S50" s="765">
        <f>IF((_xlfn.XLOOKUP(D50,RUC!$B$3:$B$119,RUC!$E$3:$E$119)+ROUNDDOWN(O50,1)*100)&lt;95,95,((_xlfn.XLOOKUP(D50,RUC!$B$3:$B$119,RUC!$E$3:$E$119)+ROUNDDOWN(O50,1)*100)))</f>
        <v>135</v>
      </c>
      <c r="U50" s="1146">
        <f>_xlfn.XLOOKUP(D50,RUC!$B$3:$B$123,RUC!$F$3:$F$123)</f>
        <v>120</v>
      </c>
      <c r="V50" s="715">
        <v>1.1023000000000001</v>
      </c>
      <c r="Y50">
        <f>_xlfn.XLOOKUP(D50,RUC!$B$3:$B$123,RUC!$G$3:$G$123)</f>
        <v>20</v>
      </c>
      <c r="Z50" s="1454">
        <v>35</v>
      </c>
      <c r="AA50" s="144">
        <f t="shared" si="2"/>
        <v>55</v>
      </c>
      <c r="AB50" s="145">
        <f t="shared" si="14"/>
        <v>1939.9183695200006</v>
      </c>
      <c r="AC50" s="145">
        <f>+(S50-T50)*V50-'data 1'!$F$4</f>
        <v>68.810500000000019</v>
      </c>
      <c r="AD50" s="145">
        <f t="shared" si="3"/>
        <v>113.34490508972799</v>
      </c>
      <c r="AE50" s="145">
        <f t="shared" si="4"/>
        <v>-9.3734999999999999</v>
      </c>
      <c r="AF50" s="145">
        <f t="shared" si="5"/>
        <v>-88.998043082592091</v>
      </c>
      <c r="AG50" s="772">
        <f t="shared" si="27"/>
        <v>100.78386200713589</v>
      </c>
      <c r="AH50" s="1253">
        <f t="shared" si="6"/>
        <v>67.158000000000001</v>
      </c>
      <c r="AI50" s="1253">
        <f t="shared" si="7"/>
        <v>70.736999999999995</v>
      </c>
      <c r="AJ50" s="156">
        <f t="shared" si="8"/>
        <v>-53.576148811728196</v>
      </c>
      <c r="AK50" s="156">
        <f t="shared" si="9"/>
        <v>66.264775185145069</v>
      </c>
      <c r="AL50" s="88"/>
      <c r="AM50" s="716">
        <f t="shared" si="10"/>
        <v>7786.8323352532825</v>
      </c>
      <c r="AN50" s="716" t="str">
        <f>_xlfn.XLOOKUP(D50,RUC!$B$3:$B$578,RUC!$M$3:$M$578)</f>
        <v>Ronald Miranda</v>
      </c>
      <c r="AO50" s="1167" t="s">
        <v>2277</v>
      </c>
      <c r="AP50" t="s">
        <v>3200</v>
      </c>
      <c r="AQ50" t="s">
        <v>3201</v>
      </c>
    </row>
    <row r="51" spans="1:44" ht="15" customHeight="1">
      <c r="A51" s="747" t="s">
        <v>3180</v>
      </c>
      <c r="B51" s="595">
        <v>45958</v>
      </c>
      <c r="C51" s="1447">
        <v>45951</v>
      </c>
      <c r="D51" t="s">
        <v>93</v>
      </c>
      <c r="E51" s="762">
        <f>_xlfn.XLOOKUP(D51,RUC!$B$3:$B$123,RUC!$D$3:$D$123)</f>
        <v>20169040231</v>
      </c>
      <c r="G51" s="1082">
        <v>50</v>
      </c>
      <c r="H51" s="762" t="s">
        <v>69</v>
      </c>
      <c r="I51" s="703">
        <v>4.42</v>
      </c>
      <c r="J51" s="596">
        <v>2.1</v>
      </c>
      <c r="K51" s="703">
        <f t="shared" si="0"/>
        <v>4.327</v>
      </c>
      <c r="L51" s="762">
        <v>0.61399999999999999</v>
      </c>
      <c r="M51" s="762">
        <v>0.58299999999999996</v>
      </c>
      <c r="N51" s="1196">
        <f t="shared" ref="N51:N55" si="33">+M51</f>
        <v>0.58299999999999996</v>
      </c>
      <c r="O51" s="645">
        <f t="shared" si="28"/>
        <v>0.58299999999999996</v>
      </c>
      <c r="P51" s="727">
        <v>90</v>
      </c>
      <c r="Q51" s="881">
        <v>96.74</v>
      </c>
      <c r="R51" s="706">
        <v>4169.6000000000004</v>
      </c>
      <c r="S51" s="765">
        <f>IF((_xlfn.XLOOKUP(D51,RUC!$B$3:$B$119,RUC!$E$3:$E$119)+ROUNDDOWN(O51,1)*100)&lt;95,95,((_xlfn.XLOOKUP(D51,RUC!$B$3:$B$119,RUC!$E$3:$E$119)+ROUNDDOWN(O51,1)*100)))</f>
        <v>135</v>
      </c>
      <c r="U51" s="1146">
        <f>_xlfn.XLOOKUP(D51,RUC!$B$3:$B$123,RUC!$F$3:$F$123)</f>
        <v>120</v>
      </c>
      <c r="V51" s="715">
        <v>1.1023000000000001</v>
      </c>
      <c r="Y51">
        <f>_xlfn.XLOOKUP(D51,RUC!$B$3:$B$123,RUC!$G$3:$G$123)</f>
        <v>20</v>
      </c>
      <c r="Z51" s="1454">
        <v>35</v>
      </c>
      <c r="AA51" s="144">
        <f t="shared" si="2"/>
        <v>55</v>
      </c>
      <c r="AB51" s="145">
        <f t="shared" si="14"/>
        <v>2132.7577297759999</v>
      </c>
      <c r="AC51" s="145">
        <f>+(S51-T51)*V51-'data 1'!$F$4</f>
        <v>68.810500000000019</v>
      </c>
      <c r="AD51" s="145">
        <f t="shared" si="3"/>
        <v>184.7311793770879</v>
      </c>
      <c r="AE51" s="145">
        <f t="shared" si="4"/>
        <v>-9.3734999999999999</v>
      </c>
      <c r="AF51" s="145">
        <f t="shared" si="5"/>
        <v>133.86890533475216</v>
      </c>
      <c r="AG51" s="772">
        <f t="shared" si="27"/>
        <v>395.03708471184007</v>
      </c>
      <c r="AH51" s="1253">
        <f t="shared" si="6"/>
        <v>88.119</v>
      </c>
      <c r="AI51" s="1253">
        <f t="shared" si="7"/>
        <v>91.088999999999999</v>
      </c>
      <c r="AJ51" s="156">
        <f t="shared" si="8"/>
        <v>-65.21291297908823</v>
      </c>
      <c r="AK51" s="156">
        <f t="shared" si="9"/>
        <v>77.840753036256032</v>
      </c>
      <c r="AL51" s="88"/>
      <c r="AM51" s="716">
        <f t="shared" si="10"/>
        <v>9228.4426967407508</v>
      </c>
      <c r="AN51" s="716" t="str">
        <f>_xlfn.XLOOKUP(D51,RUC!$B$3:$B$578,RUC!$M$3:$M$578)</f>
        <v>Ronald Miranda</v>
      </c>
      <c r="AO51" s="1167" t="s">
        <v>2277</v>
      </c>
      <c r="AP51" t="s">
        <v>3200</v>
      </c>
      <c r="AQ51" t="s">
        <v>3201</v>
      </c>
    </row>
    <row r="52" spans="1:44" ht="15" customHeight="1">
      <c r="A52" s="747" t="s">
        <v>3181</v>
      </c>
      <c r="B52" s="1095">
        <v>45958</v>
      </c>
      <c r="C52" s="1447">
        <v>45951</v>
      </c>
      <c r="D52" t="s">
        <v>93</v>
      </c>
      <c r="E52" s="762">
        <f>_xlfn.XLOOKUP(D52,RUC!$B$3:$B$123,RUC!$D$3:$D$123)</f>
        <v>20169040231</v>
      </c>
      <c r="G52" s="1082">
        <v>58</v>
      </c>
      <c r="H52" s="762" t="s">
        <v>69</v>
      </c>
      <c r="I52" s="703">
        <v>4.9800000000000004</v>
      </c>
      <c r="J52" s="596">
        <v>2.25</v>
      </c>
      <c r="K52" s="703">
        <f t="shared" si="0"/>
        <v>4.8680000000000003</v>
      </c>
      <c r="L52" s="994">
        <v>1.851</v>
      </c>
      <c r="M52" s="762">
        <v>1.758</v>
      </c>
      <c r="N52" s="1196">
        <f t="shared" si="33"/>
        <v>1.758</v>
      </c>
      <c r="O52" s="647">
        <v>1.9319999999999999</v>
      </c>
      <c r="P52" s="727">
        <v>90</v>
      </c>
      <c r="Q52" s="881">
        <v>96.87</v>
      </c>
      <c r="R52" s="706">
        <v>4169.6000000000004</v>
      </c>
      <c r="S52" s="765">
        <f>IF((_xlfn.XLOOKUP(D52,RUC!$B$3:$B$119,RUC!$E$3:$E$119)+ROUNDDOWN(O52,1)*100)&lt;95,95,((_xlfn.XLOOKUP(D52,RUC!$B$3:$B$119,RUC!$E$3:$E$119)+ROUNDDOWN(O52,1)*100)))</f>
        <v>275</v>
      </c>
      <c r="U52" s="1146">
        <f>_xlfn.XLOOKUP(D52,RUC!$B$3:$B$123,RUC!$F$3:$F$123)</f>
        <v>120</v>
      </c>
      <c r="V52" s="715">
        <v>1.1023000000000001</v>
      </c>
      <c r="Y52">
        <f>_xlfn.XLOOKUP(D52,RUC!$B$3:$B$123,RUC!$G$3:$G$123)</f>
        <v>20</v>
      </c>
      <c r="Z52" s="1454">
        <v>35</v>
      </c>
      <c r="AA52" s="144">
        <f t="shared" si="2"/>
        <v>55</v>
      </c>
      <c r="AB52" s="145">
        <f t="shared" si="14"/>
        <v>7398.0252503040019</v>
      </c>
      <c r="AC52" s="145">
        <f>+(S52-T52)*V52-'data 1'!$F$4</f>
        <v>223.13249999999999</v>
      </c>
      <c r="AD52" s="145">
        <f t="shared" si="3"/>
        <v>567.64274434689651</v>
      </c>
      <c r="AE52" s="145">
        <f t="shared" si="4"/>
        <v>-9.3734999999999999</v>
      </c>
      <c r="AF52" s="145">
        <f t="shared" si="5"/>
        <v>-350.25654052497589</v>
      </c>
      <c r="AG52" s="772">
        <f t="shared" si="27"/>
        <v>448.14520382192052</v>
      </c>
      <c r="AH52" s="1253">
        <f t="shared" si="6"/>
        <v>299.26499999999999</v>
      </c>
      <c r="AI52" s="1253">
        <f t="shared" si="7"/>
        <v>308.93400000000003</v>
      </c>
      <c r="AJ52" s="156">
        <f t="shared" si="8"/>
        <v>-196.85881400439675</v>
      </c>
      <c r="AK52" s="156">
        <f t="shared" si="9"/>
        <v>290.20792658484316</v>
      </c>
      <c r="AL52" s="88"/>
      <c r="AM52" s="716">
        <f t="shared" si="10"/>
        <v>36013.586918479887</v>
      </c>
      <c r="AN52" s="716" t="str">
        <f>_xlfn.XLOOKUP(D52,RUC!$B$3:$B$578,RUC!$M$3:$M$578)</f>
        <v>Ronald Miranda</v>
      </c>
      <c r="AO52" s="1167" t="s">
        <v>2278</v>
      </c>
      <c r="AP52" t="s">
        <v>3200</v>
      </c>
      <c r="AQ52" t="s">
        <v>3201</v>
      </c>
    </row>
    <row r="53" spans="1:44" ht="15" customHeight="1">
      <c r="A53" s="747" t="s">
        <v>3182</v>
      </c>
      <c r="B53" s="595">
        <v>45960</v>
      </c>
      <c r="C53" s="1447">
        <v>45951</v>
      </c>
      <c r="D53" t="s">
        <v>93</v>
      </c>
      <c r="E53" s="762">
        <f>_xlfn.XLOOKUP(D53,RUC!$B$3:$B$123,RUC!$D$3:$D$123)</f>
        <v>20169040231</v>
      </c>
      <c r="G53" s="1082">
        <v>56</v>
      </c>
      <c r="H53" s="762" t="s">
        <v>69</v>
      </c>
      <c r="I53" s="703">
        <v>5.73</v>
      </c>
      <c r="J53" s="596">
        <v>4</v>
      </c>
      <c r="K53" s="703">
        <f t="shared" si="0"/>
        <v>5.5010000000000003</v>
      </c>
      <c r="L53" s="994">
        <v>0.158</v>
      </c>
      <c r="M53" s="762">
        <v>0.14299999999999999</v>
      </c>
      <c r="N53" s="1196">
        <f t="shared" si="33"/>
        <v>0.14299999999999999</v>
      </c>
      <c r="O53" s="645">
        <f t="shared" si="28"/>
        <v>0.14299999999999999</v>
      </c>
      <c r="P53" s="727">
        <v>85</v>
      </c>
      <c r="Q53" s="881">
        <v>95.57</v>
      </c>
      <c r="R53" s="706">
        <v>4169.6000000000004</v>
      </c>
      <c r="S53" s="765">
        <f>IF((_xlfn.XLOOKUP(D53,RUC!$B$3:$B$119,RUC!$E$3:$E$119)+ROUNDDOWN(O53,1)*100)&lt;95,95,((_xlfn.XLOOKUP(D53,RUC!$B$3:$B$119,RUC!$E$3:$E$119)+ROUNDDOWN(O53,1)*100)))</f>
        <v>95</v>
      </c>
      <c r="U53" s="1146">
        <f>_xlfn.XLOOKUP(D53,RUC!$B$3:$B$123,RUC!$F$3:$F$123)</f>
        <v>120</v>
      </c>
      <c r="V53" s="715">
        <v>1.1023000000000001</v>
      </c>
      <c r="Y53">
        <f>_xlfn.XLOOKUP(D53,RUC!$B$3:$B$123,RUC!$G$3:$G$123)</f>
        <v>20</v>
      </c>
      <c r="Z53" s="1454">
        <v>35</v>
      </c>
      <c r="AA53" s="144">
        <f t="shared" si="2"/>
        <v>55</v>
      </c>
      <c r="AB53" s="145">
        <f t="shared" si="14"/>
        <v>377.23889442400002</v>
      </c>
      <c r="AC53" s="145">
        <f>+(S53-T53)*V53-'data 1'!$F$4</f>
        <v>24.718500000000006</v>
      </c>
      <c r="AD53" s="145">
        <f t="shared" si="3"/>
        <v>74.549375460447962</v>
      </c>
      <c r="AE53" s="145">
        <f t="shared" si="4"/>
        <v>-9.3734999999999999</v>
      </c>
      <c r="AF53" s="145">
        <f t="shared" si="5"/>
        <v>63.99186687384006</v>
      </c>
      <c r="AG53" s="772">
        <f t="shared" si="27"/>
        <v>170.88624233428803</v>
      </c>
      <c r="AH53" s="1253">
        <f t="shared" si="6"/>
        <v>28.478999999999999</v>
      </c>
      <c r="AI53" s="1253">
        <f t="shared" si="7"/>
        <v>29.798999999999999</v>
      </c>
      <c r="AJ53" s="156">
        <f t="shared" si="8"/>
        <v>-16.578216953448063</v>
      </c>
      <c r="AK53" s="156">
        <f t="shared" si="9"/>
        <v>22.924806435043728</v>
      </c>
      <c r="AL53" s="88"/>
      <c r="AM53" s="716">
        <f t="shared" si="10"/>
        <v>2075.1911582264242</v>
      </c>
      <c r="AN53" s="716" t="str">
        <f>_xlfn.XLOOKUP(D53,RUC!$B$3:$B$578,RUC!$M$3:$M$578)</f>
        <v>Ronald Miranda</v>
      </c>
      <c r="AO53" s="1167" t="s">
        <v>2278</v>
      </c>
      <c r="AP53" t="s">
        <v>3200</v>
      </c>
      <c r="AQ53" t="s">
        <v>3201</v>
      </c>
    </row>
    <row r="54" spans="1:44" ht="15" customHeight="1">
      <c r="A54" s="747" t="s">
        <v>3183</v>
      </c>
      <c r="B54" s="595">
        <v>45960</v>
      </c>
      <c r="C54" s="1447">
        <v>45951</v>
      </c>
      <c r="D54" t="s">
        <v>93</v>
      </c>
      <c r="E54" s="762">
        <f>_xlfn.XLOOKUP(D54,RUC!$B$3:$B$123,RUC!$D$3:$D$123)</f>
        <v>20169040231</v>
      </c>
      <c r="G54" s="1082">
        <v>55</v>
      </c>
      <c r="H54" s="762" t="s">
        <v>69</v>
      </c>
      <c r="I54" s="703">
        <v>5.76</v>
      </c>
      <c r="J54" s="596">
        <v>4.25</v>
      </c>
      <c r="K54" s="703">
        <f t="shared" si="0"/>
        <v>5.5149999999999997</v>
      </c>
      <c r="L54" s="994">
        <v>0.19</v>
      </c>
      <c r="M54" s="762">
        <v>0.17499999999999999</v>
      </c>
      <c r="N54" s="1196">
        <f t="shared" si="33"/>
        <v>0.17499999999999999</v>
      </c>
      <c r="O54" s="645">
        <f t="shared" si="28"/>
        <v>0.17499999999999999</v>
      </c>
      <c r="P54" s="727">
        <v>90</v>
      </c>
      <c r="Q54" s="881">
        <v>95.26</v>
      </c>
      <c r="R54" s="706">
        <v>4169.6000000000004</v>
      </c>
      <c r="S54" s="765">
        <f>IF((_xlfn.XLOOKUP(D54,RUC!$B$3:$B$119,RUC!$E$3:$E$119)+ROUNDDOWN(O54,1)*100)&lt;95,95,((_xlfn.XLOOKUP(D54,RUC!$B$3:$B$119,RUC!$E$3:$E$119)+ROUNDDOWN(O54,1)*100)))</f>
        <v>95</v>
      </c>
      <c r="U54" s="1146">
        <f>_xlfn.XLOOKUP(D54,RUC!$B$3:$B$123,RUC!$F$3:$F$123)</f>
        <v>120</v>
      </c>
      <c r="V54" s="715">
        <v>1.1023000000000001</v>
      </c>
      <c r="Y54">
        <f>_xlfn.XLOOKUP(D54,RUC!$B$3:$B$123,RUC!$G$3:$G$123)</f>
        <v>20</v>
      </c>
      <c r="Z54" s="1454">
        <v>35</v>
      </c>
      <c r="AA54" s="144">
        <f t="shared" si="2"/>
        <v>55</v>
      </c>
      <c r="AB54" s="145">
        <f t="shared" si="14"/>
        <v>537.71516760000009</v>
      </c>
      <c r="AC54" s="145">
        <f>+(S54-T54)*V54-'data 1'!$F$4</f>
        <v>24.718500000000006</v>
      </c>
      <c r="AD54" s="145">
        <f t="shared" si="3"/>
        <v>44.61195755552005</v>
      </c>
      <c r="AE54" s="145">
        <f t="shared" si="4"/>
        <v>-9.3734999999999999</v>
      </c>
      <c r="AF54" s="145">
        <f t="shared" si="5"/>
        <v>63.784296729120072</v>
      </c>
      <c r="AG54" s="772">
        <f t="shared" si="27"/>
        <v>140.74125428464012</v>
      </c>
      <c r="AH54" s="1253">
        <f t="shared" si="6"/>
        <v>34.222999999999999</v>
      </c>
      <c r="AI54" s="1253">
        <f t="shared" si="7"/>
        <v>35.926000000000002</v>
      </c>
      <c r="AJ54" s="156">
        <f t="shared" si="8"/>
        <v>-19.871164745520076</v>
      </c>
      <c r="AK54" s="156">
        <f t="shared" si="9"/>
        <v>29.780716627580624</v>
      </c>
      <c r="AL54" s="88"/>
      <c r="AM54" s="716">
        <f t="shared" si="10"/>
        <v>2965.4991493140001</v>
      </c>
      <c r="AN54" s="716" t="str">
        <f>_xlfn.XLOOKUP(D54,RUC!$B$3:$B$578,RUC!$M$3:$M$578)</f>
        <v>Ronald Miranda</v>
      </c>
      <c r="AO54" s="1167" t="s">
        <v>2278</v>
      </c>
      <c r="AP54" t="s">
        <v>3200</v>
      </c>
      <c r="AQ54" t="s">
        <v>3201</v>
      </c>
    </row>
    <row r="55" spans="1:44" ht="15" customHeight="1">
      <c r="A55" s="747" t="s">
        <v>3184</v>
      </c>
      <c r="B55" s="595">
        <v>45960</v>
      </c>
      <c r="C55" s="1447">
        <v>45951</v>
      </c>
      <c r="D55" t="s">
        <v>93</v>
      </c>
      <c r="E55" s="762">
        <f>_xlfn.XLOOKUP(D55,RUC!$B$3:$B$123,RUC!$D$3:$D$123)</f>
        <v>20169040231</v>
      </c>
      <c r="G55" s="1082">
        <v>55</v>
      </c>
      <c r="H55" s="762" t="s">
        <v>69</v>
      </c>
      <c r="I55" s="703">
        <v>5.81</v>
      </c>
      <c r="J55" s="596">
        <v>4.75</v>
      </c>
      <c r="K55" s="703">
        <f t="shared" si="0"/>
        <v>5.5339999999999998</v>
      </c>
      <c r="L55" s="994">
        <v>0.18</v>
      </c>
      <c r="M55" s="762">
        <v>0.16500000000000001</v>
      </c>
      <c r="N55" s="1196">
        <f t="shared" si="33"/>
        <v>0.16500000000000001</v>
      </c>
      <c r="O55" s="645">
        <f t="shared" si="28"/>
        <v>0.16500000000000001</v>
      </c>
      <c r="P55" s="727">
        <v>86</v>
      </c>
      <c r="Q55" s="881">
        <v>86.11</v>
      </c>
      <c r="R55" s="706">
        <v>4169.6000000000004</v>
      </c>
      <c r="S55" s="765">
        <f>IF((_xlfn.XLOOKUP(D55,RUC!$B$3:$B$119,RUC!$E$3:$E$119)+ROUNDDOWN(O55,1)*100)&lt;95,95,((_xlfn.XLOOKUP(D55,RUC!$B$3:$B$119,RUC!$E$3:$E$119)+ROUNDDOWN(O55,1)*100)))</f>
        <v>95</v>
      </c>
      <c r="U55" s="1146">
        <f>_xlfn.XLOOKUP(D55,RUC!$B$3:$B$123,RUC!$F$3:$F$123)</f>
        <v>120</v>
      </c>
      <c r="V55" s="715">
        <v>1.1023000000000001</v>
      </c>
      <c r="Y55">
        <f>_xlfn.XLOOKUP(D55,RUC!$B$3:$B$123,RUC!$G$3:$G$123)</f>
        <v>20</v>
      </c>
      <c r="Z55" s="1454">
        <v>35</v>
      </c>
      <c r="AA55" s="144">
        <f t="shared" si="2"/>
        <v>55</v>
      </c>
      <c r="AB55" s="145">
        <f t="shared" si="14"/>
        <v>468.07873195200017</v>
      </c>
      <c r="AC55" s="145">
        <f>+(S55-T55)*V55-'data 1'!$F$4</f>
        <v>24.718500000000006</v>
      </c>
      <c r="AD55" s="145">
        <f t="shared" si="3"/>
        <v>0.88384706783999545</v>
      </c>
      <c r="AE55" s="145">
        <f t="shared" si="4"/>
        <v>-9.3734999999999999</v>
      </c>
      <c r="AF55" s="145">
        <f t="shared" si="5"/>
        <v>57.657629554319954</v>
      </c>
      <c r="AG55" s="772">
        <f t="shared" si="27"/>
        <v>90.886476622159961</v>
      </c>
      <c r="AH55" s="1253">
        <f t="shared" si="6"/>
        <v>29.408999999999999</v>
      </c>
      <c r="AI55" s="1253">
        <f t="shared" si="7"/>
        <v>34.152000000000001</v>
      </c>
      <c r="AJ55" s="156">
        <f t="shared" si="8"/>
        <v>-17.017087821840061</v>
      </c>
      <c r="AK55" s="156">
        <f t="shared" si="9"/>
        <v>26.923444386808534</v>
      </c>
      <c r="AL55" s="88"/>
      <c r="AM55" s="716">
        <f t="shared" si="10"/>
        <v>2590.3477026223691</v>
      </c>
      <c r="AN55" s="716" t="str">
        <f>_xlfn.XLOOKUP(D55,RUC!$B$3:$B$578,RUC!$M$3:$M$578)</f>
        <v>Ronald Miranda</v>
      </c>
      <c r="AO55" s="1167" t="s">
        <v>2278</v>
      </c>
      <c r="AP55" t="s">
        <v>3200</v>
      </c>
      <c r="AQ55" t="s">
        <v>3201</v>
      </c>
    </row>
    <row r="56" spans="1:44" ht="15" customHeight="1">
      <c r="A56" s="747" t="s">
        <v>3209</v>
      </c>
      <c r="B56" s="595">
        <v>45959</v>
      </c>
      <c r="C56" s="1447">
        <v>45953</v>
      </c>
      <c r="D56" t="s">
        <v>2368</v>
      </c>
      <c r="E56" s="762">
        <f>_xlfn.XLOOKUP(D56,RUC!$B$3:$B$123,RUC!$D$3:$D$123)</f>
        <v>20612719757</v>
      </c>
      <c r="G56" s="1082">
        <v>21</v>
      </c>
      <c r="H56" s="762" t="s">
        <v>108</v>
      </c>
      <c r="I56" s="703">
        <v>1.43</v>
      </c>
      <c r="J56" s="596">
        <v>3.35</v>
      </c>
      <c r="K56" s="703">
        <f t="shared" si="0"/>
        <v>1.3819999999999999</v>
      </c>
      <c r="L56" s="762">
        <v>0.107</v>
      </c>
      <c r="M56" s="762">
        <v>9.1999999999999998E-2</v>
      </c>
      <c r="N56" s="1444">
        <v>0.14000000000000001</v>
      </c>
      <c r="O56" s="645">
        <f t="shared" si="28"/>
        <v>0.11600000000000001</v>
      </c>
      <c r="P56" s="727">
        <v>80</v>
      </c>
      <c r="Q56" s="881">
        <v>96.26</v>
      </c>
      <c r="R56" s="706">
        <v>4143.75</v>
      </c>
      <c r="S56" s="765">
        <f>IF((_xlfn.XLOOKUP(D56,RUC!$B$3:$B$119,RUC!$E$3:$E$119)+ROUNDDOWN(O56,1)*100)&lt;95,95,((_xlfn.XLOOKUP(D56,RUC!$B$3:$B$119,RUC!$E$3:$E$119)+ROUNDDOWN(O56,1)*100)))</f>
        <v>100</v>
      </c>
      <c r="U56" s="1146">
        <f>_xlfn.XLOOKUP(D56,RUC!$B$3:$B$123,RUC!$F$3:$F$123)</f>
        <v>120</v>
      </c>
      <c r="V56" s="715">
        <v>1.1023000000000001</v>
      </c>
      <c r="Y56">
        <f>_xlfn.XLOOKUP(D56,RUC!$B$3:$B$123,RUC!$G$3:$G$123)</f>
        <v>20</v>
      </c>
      <c r="Z56" s="143">
        <f>_xlfn.XLOOKUP(D56,RUC!$B$3:$B$123,RUC!$H$3:$H$123)</f>
        <v>30</v>
      </c>
      <c r="AA56" s="144">
        <f t="shared" si="2"/>
        <v>50</v>
      </c>
      <c r="AB56" s="145">
        <f t="shared" si="14"/>
        <v>246.25822920000002</v>
      </c>
      <c r="AC56" s="145">
        <f>+(S56-T56)*V56-'data 1'!$F$4</f>
        <v>30.230000000000004</v>
      </c>
      <c r="AD56" s="145">
        <f t="shared" si="3"/>
        <v>77.167621791675032</v>
      </c>
      <c r="AE56" s="145">
        <f t="shared" si="4"/>
        <v>-14.884999999999998</v>
      </c>
      <c r="AF56" s="145">
        <f t="shared" si="5"/>
        <v>-38.425467843225036</v>
      </c>
      <c r="AG56" s="772">
        <f t="shared" si="27"/>
        <v>71.087153948449995</v>
      </c>
      <c r="AH56" s="1253">
        <f t="shared" si="6"/>
        <v>4.88</v>
      </c>
      <c r="AI56" s="1253">
        <f t="shared" si="7"/>
        <v>5.07</v>
      </c>
      <c r="AJ56" s="156">
        <f t="shared" si="8"/>
        <v>-8.3732000446750003</v>
      </c>
      <c r="AK56" s="156">
        <f t="shared" si="9"/>
        <v>4.3970873032572797</v>
      </c>
      <c r="AL56" s="88"/>
      <c r="AM56" s="716">
        <f t="shared" si="10"/>
        <v>340.32887275439998</v>
      </c>
      <c r="AN56" s="716" t="str">
        <f>_xlfn.XLOOKUP(D56,RUC!$B$3:$B$578,RUC!$M$3:$M$578)</f>
        <v>SIN ACOPIADOR</v>
      </c>
      <c r="AO56" s="1167" t="s">
        <v>2278</v>
      </c>
      <c r="AP56" t="s">
        <v>3192</v>
      </c>
      <c r="AQ56" t="s">
        <v>3218</v>
      </c>
    </row>
    <row r="57" spans="1:44" ht="14.25" customHeight="1">
      <c r="A57" s="747" t="s">
        <v>3211</v>
      </c>
      <c r="B57" s="595">
        <v>45964</v>
      </c>
      <c r="C57" s="1447">
        <v>45953</v>
      </c>
      <c r="D57" t="s">
        <v>1484</v>
      </c>
      <c r="E57" s="762">
        <f>_xlfn.XLOOKUP(D57,RUC!$B$3:$B$123,RUC!$D$3:$D$123)</f>
        <v>10761932735</v>
      </c>
      <c r="G57" s="1082">
        <v>65</v>
      </c>
      <c r="H57" s="762" t="s">
        <v>69</v>
      </c>
      <c r="I57" s="703">
        <v>5.39</v>
      </c>
      <c r="J57" s="596">
        <v>11.35</v>
      </c>
      <c r="K57" s="703">
        <f t="shared" si="0"/>
        <v>4.7779999999999996</v>
      </c>
      <c r="L57" s="762">
        <v>0.44600000000000001</v>
      </c>
      <c r="M57" s="762">
        <v>0.42399999999999999</v>
      </c>
      <c r="N57" s="1196">
        <f t="shared" ref="N57" si="34">+M57</f>
        <v>0.42399999999999999</v>
      </c>
      <c r="O57" s="645">
        <f t="shared" si="28"/>
        <v>0.42399999999999999</v>
      </c>
      <c r="P57" s="727">
        <v>90</v>
      </c>
      <c r="Q57" s="881">
        <v>99.33</v>
      </c>
      <c r="R57" s="706">
        <v>4143.75</v>
      </c>
      <c r="S57" s="765">
        <f>IF((_xlfn.XLOOKUP(D57,RUC!$B$3:$B$119,RUC!$E$3:$E$119)+ROUNDDOWN(O57,1)*100)&lt;95,95,((_xlfn.XLOOKUP(D57,RUC!$B$3:$B$119,RUC!$E$3:$E$119)+ROUNDDOWN(O57,1)*100)))</f>
        <v>130</v>
      </c>
      <c r="U57" s="1146">
        <f>_xlfn.XLOOKUP(D57,RUC!$B$3:$B$123,RUC!$F$3:$F$123)</f>
        <v>120</v>
      </c>
      <c r="V57" s="715">
        <v>1.1023000000000001</v>
      </c>
      <c r="Y57">
        <f>_xlfn.XLOOKUP(D57,RUC!$B$3:$B$123,RUC!$G$3:$G$123)</f>
        <v>20</v>
      </c>
      <c r="Z57" s="143">
        <f>_xlfn.XLOOKUP(D57,RUC!$B$3:$B$123,RUC!$H$3:$H$123)</f>
        <v>30</v>
      </c>
      <c r="AA57" s="144">
        <f t="shared" si="2"/>
        <v>50</v>
      </c>
      <c r="AB57" s="145">
        <f t="shared" si="14"/>
        <v>1494.1268649000001</v>
      </c>
      <c r="AC57" s="145">
        <f>+(S57-T57)*V57-'data 1'!$F$4</f>
        <v>63.299000000000007</v>
      </c>
      <c r="AD57" s="145">
        <f t="shared" si="3"/>
        <v>184.56412987957498</v>
      </c>
      <c r="AE57" s="145">
        <f t="shared" si="4"/>
        <v>-14.884999999999998</v>
      </c>
      <c r="AF57" s="145">
        <f t="shared" si="5"/>
        <v>96.924576793275094</v>
      </c>
      <c r="AG57" s="772">
        <f t="shared" si="27"/>
        <v>346.90270667285006</v>
      </c>
      <c r="AH57" s="1253">
        <f t="shared" si="6"/>
        <v>72.572000000000003</v>
      </c>
      <c r="AI57" s="1253">
        <f t="shared" si="7"/>
        <v>73.061999999999998</v>
      </c>
      <c r="AJ57" s="156">
        <f t="shared" si="8"/>
        <v>-36.014478151574998</v>
      </c>
      <c r="AK57" s="156">
        <f t="shared" si="9"/>
        <v>62.512026893666643</v>
      </c>
      <c r="AL57" s="88"/>
      <c r="AM57" s="716">
        <f t="shared" si="10"/>
        <v>7138.9381604922</v>
      </c>
      <c r="AN57" s="716" t="str">
        <f>_xlfn.XLOOKUP(D57,RUC!$B$3:$B$578,RUC!$M$3:$M$578)</f>
        <v>Richard Sapacayo</v>
      </c>
      <c r="AO57" s="1167" t="s">
        <v>2279</v>
      </c>
      <c r="AP57" t="s">
        <v>2891</v>
      </c>
      <c r="AQ57" t="s">
        <v>3219</v>
      </c>
    </row>
    <row r="58" spans="1:44" ht="15" customHeight="1">
      <c r="A58" s="747" t="s">
        <v>3212</v>
      </c>
      <c r="B58" s="595">
        <v>45959</v>
      </c>
      <c r="C58" s="1447">
        <v>45953</v>
      </c>
      <c r="D58" t="s">
        <v>2368</v>
      </c>
      <c r="E58" s="762">
        <f>_xlfn.XLOOKUP(D58,RUC!$B$3:$B$123,RUC!$D$3:$D$123)</f>
        <v>20612719757</v>
      </c>
      <c r="G58" s="1082">
        <v>14</v>
      </c>
      <c r="H58" s="762" t="s">
        <v>108</v>
      </c>
      <c r="I58" s="703">
        <v>1.0900000000000001</v>
      </c>
      <c r="J58" s="596">
        <v>6.4</v>
      </c>
      <c r="K58" s="703">
        <f t="shared" si="0"/>
        <v>1.02</v>
      </c>
      <c r="L58" s="762">
        <v>0.30599999999999999</v>
      </c>
      <c r="M58" s="762">
        <v>0.29099999999999998</v>
      </c>
      <c r="N58" s="1444">
        <v>0.33600000000000002</v>
      </c>
      <c r="O58" s="645">
        <f t="shared" si="28"/>
        <v>0.314</v>
      </c>
      <c r="P58" s="727">
        <v>90</v>
      </c>
      <c r="Q58" s="881">
        <v>94.44</v>
      </c>
      <c r="R58" s="706">
        <v>4143.75</v>
      </c>
      <c r="S58" s="765">
        <f>IF((_xlfn.XLOOKUP(D58,RUC!$B$3:$B$119,RUC!$E$3:$E$119)+ROUNDDOWN(O58,1)*100)&lt;95,95,((_xlfn.XLOOKUP(D58,RUC!$B$3:$B$119,RUC!$E$3:$E$119)+ROUNDDOWN(O58,1)*100)))</f>
        <v>120</v>
      </c>
      <c r="U58" s="1146">
        <f>_xlfn.XLOOKUP(D58,RUC!$B$3:$B$123,RUC!$F$3:$F$123)</f>
        <v>120</v>
      </c>
      <c r="V58" s="715">
        <v>1.1023000000000001</v>
      </c>
      <c r="Y58">
        <f>_xlfn.XLOOKUP(D58,RUC!$B$3:$B$123,RUC!$G$3:$G$123)</f>
        <v>20</v>
      </c>
      <c r="Z58" s="143">
        <f>_xlfn.XLOOKUP(D58,RUC!$B$3:$B$123,RUC!$H$3:$H$123)</f>
        <v>30</v>
      </c>
      <c r="AA58" s="144">
        <f t="shared" si="2"/>
        <v>50</v>
      </c>
      <c r="AB58" s="145">
        <f t="shared" si="14"/>
        <v>1066.0472820250002</v>
      </c>
      <c r="AC58" s="145">
        <f>+(S58-T58)*V58-'data 1'!$F$4</f>
        <v>52.27600000000001</v>
      </c>
      <c r="AD58" s="145">
        <f t="shared" si="3"/>
        <v>60.260841737099973</v>
      </c>
      <c r="AE58" s="145">
        <f t="shared" si="4"/>
        <v>-14.884999999999998</v>
      </c>
      <c r="AF58" s="145">
        <f t="shared" si="5"/>
        <v>-33.510180142800024</v>
      </c>
      <c r="AG58" s="772">
        <f t="shared" si="27"/>
        <v>81.14166159429999</v>
      </c>
      <c r="AH58" s="1253">
        <f t="shared" si="6"/>
        <v>10.106</v>
      </c>
      <c r="AI58" s="1253">
        <f t="shared" si="7"/>
        <v>10.701000000000001</v>
      </c>
      <c r="AJ58" s="156">
        <f t="shared" si="8"/>
        <v>-23.493041018100001</v>
      </c>
      <c r="AK58" s="156">
        <f t="shared" si="9"/>
        <v>9.8828316761886015</v>
      </c>
      <c r="AL58" s="88"/>
      <c r="AM58" s="716">
        <f t="shared" si="10"/>
        <v>1087.3682276655002</v>
      </c>
      <c r="AN58" s="716" t="str">
        <f>_xlfn.XLOOKUP(D58,RUC!$B$3:$B$578,RUC!$M$3:$M$578)</f>
        <v>SIN ACOPIADOR</v>
      </c>
      <c r="AO58" s="1167" t="s">
        <v>2279</v>
      </c>
      <c r="AP58" t="s">
        <v>3192</v>
      </c>
      <c r="AQ58" t="s">
        <v>3218</v>
      </c>
    </row>
    <row r="59" spans="1:44" ht="15" customHeight="1">
      <c r="A59" s="747" t="s">
        <v>3213</v>
      </c>
      <c r="B59" s="595">
        <v>45964</v>
      </c>
      <c r="C59" s="1447">
        <v>45953</v>
      </c>
      <c r="D59" t="s">
        <v>1484</v>
      </c>
      <c r="E59" s="762">
        <f>_xlfn.XLOOKUP(D59,RUC!$B$3:$B$123,RUC!$D$3:$D$123)</f>
        <v>10761932735</v>
      </c>
      <c r="G59" s="1082">
        <v>115</v>
      </c>
      <c r="H59" s="762" t="s">
        <v>69</v>
      </c>
      <c r="I59" s="703">
        <v>9.66</v>
      </c>
      <c r="J59" s="596">
        <v>10.130000000000001</v>
      </c>
      <c r="K59" s="703">
        <f t="shared" si="0"/>
        <v>8.6809999999999992</v>
      </c>
      <c r="L59" s="762">
        <v>0.501</v>
      </c>
      <c r="M59" s="762">
        <v>0.44700000000000001</v>
      </c>
      <c r="N59" s="1444">
        <v>0.52200000000000002</v>
      </c>
      <c r="O59" s="645">
        <f t="shared" si="28"/>
        <v>0.48499999999999999</v>
      </c>
      <c r="P59" s="727">
        <v>90</v>
      </c>
      <c r="Q59" s="881">
        <v>99.15</v>
      </c>
      <c r="R59" s="706">
        <v>4143.75</v>
      </c>
      <c r="S59" s="765">
        <f>IF((_xlfn.XLOOKUP(D59,RUC!$B$3:$B$119,RUC!$E$3:$E$119)+ROUNDDOWN(O59,1)*100)&lt;95,95,((_xlfn.XLOOKUP(D59,RUC!$B$3:$B$119,RUC!$E$3:$E$119)+ROUNDDOWN(O59,1)*100)))</f>
        <v>130</v>
      </c>
      <c r="U59" s="1146">
        <f>_xlfn.XLOOKUP(D59,RUC!$B$3:$B$123,RUC!$F$3:$F$123)</f>
        <v>120</v>
      </c>
      <c r="V59" s="715">
        <v>1.1023000000000001</v>
      </c>
      <c r="Y59">
        <f>_xlfn.XLOOKUP(D59,RUC!$B$3:$B$123,RUC!$G$3:$G$123)</f>
        <v>20</v>
      </c>
      <c r="Z59" s="143">
        <f>_xlfn.XLOOKUP(D59,RUC!$B$3:$B$123,RUC!$H$3:$H$123)</f>
        <v>30</v>
      </c>
      <c r="AA59" s="144">
        <f t="shared" si="2"/>
        <v>50</v>
      </c>
      <c r="AB59" s="145">
        <f t="shared" si="14"/>
        <v>1737.6292063124999</v>
      </c>
      <c r="AC59" s="145">
        <f>+(S59-T59)*V59-'data 1'!$F$4</f>
        <v>63.299000000000007</v>
      </c>
      <c r="AD59" s="145">
        <f t="shared" si="3"/>
        <v>203.3244550794376</v>
      </c>
      <c r="AE59" s="145">
        <f t="shared" si="4"/>
        <v>-14.884999999999998</v>
      </c>
      <c r="AF59" s="145">
        <f t="shared" si="5"/>
        <v>70.362862371000062</v>
      </c>
      <c r="AG59" s="772">
        <f t="shared" si="27"/>
        <v>339.10131745043765</v>
      </c>
      <c r="AH59" s="1253">
        <f t="shared" si="6"/>
        <v>147.846</v>
      </c>
      <c r="AI59" s="1253">
        <f t="shared" si="7"/>
        <v>149.113</v>
      </c>
      <c r="AJ59" s="156">
        <f t="shared" si="8"/>
        <v>-40.382413964437504</v>
      </c>
      <c r="AK59" s="156">
        <f t="shared" si="9"/>
        <v>129.91612952348481</v>
      </c>
      <c r="AL59" s="88"/>
      <c r="AM59" s="716">
        <f t="shared" si="10"/>
        <v>15084.359139998811</v>
      </c>
      <c r="AN59" s="716" t="str">
        <f>_xlfn.XLOOKUP(D59,RUC!$B$3:$B$578,RUC!$M$3:$M$578)</f>
        <v>Richard Sapacayo</v>
      </c>
      <c r="AO59" s="1167" t="s">
        <v>2279</v>
      </c>
      <c r="AP59" t="s">
        <v>2891</v>
      </c>
      <c r="AQ59" t="s">
        <v>3219</v>
      </c>
    </row>
    <row r="60" spans="1:44" ht="15" customHeight="1">
      <c r="A60" s="747" t="s">
        <v>3214</v>
      </c>
      <c r="B60" s="595">
        <v>45964</v>
      </c>
      <c r="C60" s="1447">
        <v>45953</v>
      </c>
      <c r="D60" t="s">
        <v>1484</v>
      </c>
      <c r="E60" s="762">
        <f>_xlfn.XLOOKUP(D60,RUC!$B$3:$B$123,RUC!$D$3:$D$123)</f>
        <v>10761932735</v>
      </c>
      <c r="G60" s="1082">
        <v>59</v>
      </c>
      <c r="H60" s="762" t="s">
        <v>69</v>
      </c>
      <c r="I60" s="703">
        <v>5.2</v>
      </c>
      <c r="J60" s="596">
        <v>12.66</v>
      </c>
      <c r="K60" s="703">
        <f t="shared" si="0"/>
        <v>4.5419999999999998</v>
      </c>
      <c r="L60" s="762">
        <v>0.65600000000000003</v>
      </c>
      <c r="M60" s="762">
        <v>0.59899999999999998</v>
      </c>
      <c r="N60" s="1444">
        <v>0.66200000000000003</v>
      </c>
      <c r="O60" s="645">
        <f t="shared" si="28"/>
        <v>0.63100000000000001</v>
      </c>
      <c r="P60" s="727">
        <v>90</v>
      </c>
      <c r="Q60" s="881">
        <v>99.52</v>
      </c>
      <c r="R60" s="706">
        <v>4143.75</v>
      </c>
      <c r="S60" s="765">
        <f>IF((_xlfn.XLOOKUP(D60,RUC!$B$3:$B$119,RUC!$E$3:$E$119)+ROUNDDOWN(O60,1)*100)&lt;95,95,((_xlfn.XLOOKUP(D60,RUC!$B$3:$B$119,RUC!$E$3:$E$119)+ROUNDDOWN(O60,1)*100)))</f>
        <v>150</v>
      </c>
      <c r="U60" s="1146">
        <f>_xlfn.XLOOKUP(D60,RUC!$B$3:$B$123,RUC!$F$3:$F$123)</f>
        <v>120</v>
      </c>
      <c r="V60" s="715">
        <v>1.1023000000000001</v>
      </c>
      <c r="Y60">
        <v>20</v>
      </c>
      <c r="Z60" s="143">
        <f>_xlfn.XLOOKUP(D60,RUC!$B$3:$B$123,RUC!$H$3:$H$123)</f>
        <v>30</v>
      </c>
      <c r="AA60" s="144">
        <f t="shared" si="2"/>
        <v>50</v>
      </c>
      <c r="AB60" s="145">
        <f t="shared" si="14"/>
        <v>2298.3920890374998</v>
      </c>
      <c r="AC60" s="145">
        <f>+(S60-T60)*V60-'data 1'!$F$4</f>
        <v>85.344999999999999</v>
      </c>
      <c r="AD60" s="145">
        <f t="shared" si="3"/>
        <v>276.99478003679991</v>
      </c>
      <c r="AE60" s="145">
        <f t="shared" si="4"/>
        <v>-14.884999999999998</v>
      </c>
      <c r="AF60" s="145">
        <f t="shared" si="5"/>
        <v>110.35224507000008</v>
      </c>
      <c r="AG60" s="772">
        <f t="shared" si="27"/>
        <v>474.80702510679998</v>
      </c>
      <c r="AH60" s="1253">
        <f t="shared" si="6"/>
        <v>101.66500000000001</v>
      </c>
      <c r="AI60" s="1253">
        <f t="shared" si="7"/>
        <v>102.155</v>
      </c>
      <c r="AJ60" s="156">
        <f t="shared" si="8"/>
        <v>-53.073293484800004</v>
      </c>
      <c r="AK60" s="156">
        <f t="shared" si="9"/>
        <v>88.435791649868492</v>
      </c>
      <c r="AL60" s="88"/>
      <c r="AM60" s="716">
        <f t="shared" si="10"/>
        <v>10439.296868408324</v>
      </c>
      <c r="AN60" s="716" t="str">
        <f>_xlfn.XLOOKUP(D60,RUC!$B$3:$B$578,RUC!$M$3:$M$578)</f>
        <v>Richard Sapacayo</v>
      </c>
      <c r="AO60" s="1167" t="s">
        <v>2279</v>
      </c>
      <c r="AP60" t="s">
        <v>2891</v>
      </c>
      <c r="AQ60" t="s">
        <v>3219</v>
      </c>
    </row>
    <row r="61" spans="1:44" ht="15" customHeight="1">
      <c r="A61" s="747" t="s">
        <v>3220</v>
      </c>
      <c r="B61" s="595">
        <v>45965</v>
      </c>
      <c r="C61" s="1447">
        <v>45954</v>
      </c>
      <c r="D61" t="s">
        <v>1484</v>
      </c>
      <c r="E61" s="762">
        <f>_xlfn.XLOOKUP(D61,RUC!$B$3:$B$123,RUC!$D$3:$D$123)</f>
        <v>10761932735</v>
      </c>
      <c r="G61" s="1082">
        <v>13</v>
      </c>
      <c r="H61" s="762" t="s">
        <v>69</v>
      </c>
      <c r="I61" s="703">
        <v>1.25</v>
      </c>
      <c r="J61">
        <v>13.35</v>
      </c>
      <c r="K61" s="703">
        <f t="shared" si="0"/>
        <v>1.083</v>
      </c>
      <c r="L61" s="762">
        <v>0.39400000000000002</v>
      </c>
      <c r="M61" s="762">
        <v>0.374</v>
      </c>
      <c r="N61" s="1444">
        <v>0.432</v>
      </c>
      <c r="O61" s="645">
        <f t="shared" si="28"/>
        <v>0.40300000000000002</v>
      </c>
      <c r="P61" s="727">
        <v>90</v>
      </c>
      <c r="Q61" s="881">
        <v>96.95</v>
      </c>
      <c r="R61" s="706">
        <v>4104.3999999999996</v>
      </c>
      <c r="S61" s="765">
        <f>IF((_xlfn.XLOOKUP(D61,RUC!$B$3:$B$119,RUC!$E$3:$E$119)+ROUNDDOWN(O61,1)*100)&lt;95,95,((_xlfn.XLOOKUP(D61,RUC!$B$3:$B$119,RUC!$E$3:$E$119)+ROUNDDOWN(O61,1)*100)))</f>
        <v>130</v>
      </c>
      <c r="U61" s="1146">
        <f>_xlfn.XLOOKUP(D61,RUC!$B$3:$B$123,RUC!$F$3:$F$123)</f>
        <v>120</v>
      </c>
      <c r="V61" s="715">
        <v>1.1023000000000001</v>
      </c>
      <c r="Y61" s="1509">
        <v>20</v>
      </c>
      <c r="Z61" s="143">
        <f>_xlfn.XLOOKUP(D61,RUC!$B$3:$B$123,RUC!$H$3:$H$123)</f>
        <v>30</v>
      </c>
      <c r="AA61" s="144">
        <f t="shared" si="2"/>
        <v>50</v>
      </c>
      <c r="AB61" s="145">
        <f>+((O61*P61*(R61-U61)/100)-S61-AA61+T61)*V61</f>
        <v>1394.5658943240001</v>
      </c>
      <c r="AC61" s="145">
        <f>+(S61-T61)*V61-'data 1'!$F$4</f>
        <v>63.299000000000007</v>
      </c>
      <c r="AD61" s="145">
        <f t="shared" si="3"/>
        <v>120.26624881796005</v>
      </c>
      <c r="AE61" s="145">
        <f t="shared" si="4"/>
        <v>-14.884999999999998</v>
      </c>
      <c r="AF61" s="145">
        <f t="shared" si="5"/>
        <v>-38.322431949060032</v>
      </c>
      <c r="AG61" s="772">
        <f t="shared" si="27"/>
        <v>147.35781686890004</v>
      </c>
      <c r="AH61" s="1253">
        <f t="shared" si="6"/>
        <v>14.183</v>
      </c>
      <c r="AI61" s="1253">
        <f t="shared" si="7"/>
        <v>14.63</v>
      </c>
      <c r="AJ61" s="156">
        <f t="shared" si="8"/>
        <v>-14.484459214959848</v>
      </c>
      <c r="AK61" s="156">
        <f t="shared" si="9"/>
        <v>13.467440996131007</v>
      </c>
      <c r="AL61" s="88"/>
      <c r="AM61" s="716">
        <f t="shared" si="10"/>
        <v>1510.3148635528921</v>
      </c>
      <c r="AN61" s="716" t="str">
        <f>_xlfn.XLOOKUP(D61,RUC!$B$3:$B$578,RUC!$M$3:$M$578)</f>
        <v>Richard Sapacayo</v>
      </c>
      <c r="AO61" s="1167" t="s">
        <v>2279</v>
      </c>
      <c r="AP61" t="s">
        <v>2897</v>
      </c>
      <c r="AQ61" t="s">
        <v>3222</v>
      </c>
    </row>
    <row r="62" spans="1:44" ht="15" customHeight="1">
      <c r="A62" s="1491" t="s">
        <v>3221</v>
      </c>
      <c r="B62" s="1095">
        <v>45965</v>
      </c>
      <c r="C62" s="1447">
        <v>45954</v>
      </c>
      <c r="D62" t="s">
        <v>1484</v>
      </c>
      <c r="E62" s="762">
        <f>_xlfn.XLOOKUP(D62,RUC!$B$3:$B$123,RUC!$D$3:$D$123)</f>
        <v>10761932735</v>
      </c>
      <c r="G62" s="1082" t="s">
        <v>2985</v>
      </c>
      <c r="H62" s="762" t="s">
        <v>69</v>
      </c>
      <c r="I62" s="703">
        <v>21.79</v>
      </c>
      <c r="J62" s="596">
        <v>7.6</v>
      </c>
      <c r="K62" s="703">
        <f t="shared" ref="K62:K93" si="35">ROUND(+I62-(I62*(J62/100)),3)</f>
        <v>20.134</v>
      </c>
      <c r="L62" s="762">
        <v>6.7000000000000004E-2</v>
      </c>
      <c r="M62" s="762">
        <v>5.1999999999999998E-2</v>
      </c>
      <c r="N62" s="1196">
        <f t="shared" ref="N62" si="36">+M62</f>
        <v>5.1999999999999998E-2</v>
      </c>
      <c r="O62" s="645">
        <f t="shared" si="28"/>
        <v>5.1999999999999998E-2</v>
      </c>
      <c r="P62" s="727">
        <v>80</v>
      </c>
      <c r="Q62" s="881">
        <v>92.31</v>
      </c>
      <c r="R62" s="706">
        <v>4104.3999999999996</v>
      </c>
      <c r="S62" s="765">
        <f>IF((_xlfn.XLOOKUP(D62,RUC!$B$3:$B$119,RUC!$E$3:$E$119)+ROUNDDOWN(O62,1)*100)&lt;95,95,((_xlfn.XLOOKUP(D62,RUC!$B$3:$B$119,RUC!$E$3:$E$119)+ROUNDDOWN(O62,1)*100)))</f>
        <v>95</v>
      </c>
      <c r="U62" s="1146">
        <f>_xlfn.XLOOKUP(D62,RUC!$B$3:$B$123,RUC!$F$3:$F$123)</f>
        <v>120</v>
      </c>
      <c r="V62" s="715">
        <v>1.1023000000000001</v>
      </c>
      <c r="Y62">
        <f>_xlfn.XLOOKUP(D62,RUC!$B$3:$B$123,RUC!$G$3:$G$123)</f>
        <v>20</v>
      </c>
      <c r="Z62" s="143">
        <f>_xlfn.XLOOKUP(D62,RUC!$B$3:$B$123,RUC!$H$3:$H$123)</f>
        <v>30</v>
      </c>
      <c r="AA62" s="144">
        <f t="shared" ref="AA62:AA93" si="37">+Y62+Z62</f>
        <v>50</v>
      </c>
      <c r="AB62" s="145">
        <v>1E-3</v>
      </c>
      <c r="AC62" s="145">
        <f>+(S62-T62)*V62-'data 1'!$F$4</f>
        <v>24.718500000000006</v>
      </c>
      <c r="AD62" s="145">
        <f t="shared" ref="AD62:AD93" si="38">+(Q62-P62)*(R62-U62)*L62*V62/100</f>
        <v>36.223932380524005</v>
      </c>
      <c r="AE62" s="145">
        <f t="shared" ref="AE62:AE93" si="39">+(Y62*V62-70)+V62*(Z62-IF(D62="UNTUCA",IF(+((W62-3)*2.5+(X62-3)*3.1)&gt;0,+((W62-3)*1.5+(X62-3)*3.1),0),IF(+((W62-3)*1.5+(X62-3)*3.1)&gt;0,+((W62-3)*1.5+(X62-3)*3.1),0)))</f>
        <v>-14.884999999999998</v>
      </c>
      <c r="AF62" s="145">
        <f t="shared" ref="AF62:AF93" si="40">(L62-O62)*(R62-U62)*Q62*V62/100</f>
        <v>60.813885047580023</v>
      </c>
      <c r="AG62" s="772">
        <f>AC62+AD62+AE62+AF62+70-53-29.83</f>
        <v>94.041317428104023</v>
      </c>
      <c r="AH62" s="1253">
        <f t="shared" ref="AH62:AH93" si="41">ROUND((31.1035*L62*Q62*1.1023*K62/100),3)</f>
        <v>42.694000000000003</v>
      </c>
      <c r="AI62" s="1253">
        <f t="shared" ref="AI62:AI93" si="42">ROUND((31.1035*L62*1.1023*K62),3)</f>
        <v>46.25</v>
      </c>
      <c r="AJ62" s="156">
        <f t="shared" ref="AJ62:AJ93" si="43">+((+$AJ$2-R62+U62)*L62*Q62*V62)/100</f>
        <v>-2.3452103580239752</v>
      </c>
      <c r="AK62" s="156">
        <f t="shared" ref="AK62:AK93" si="44">31.1035*1.1023*K62*P62*O62/100</f>
        <v>28.71656332474592</v>
      </c>
      <c r="AL62" s="88"/>
      <c r="AM62" s="716">
        <f t="shared" ref="AM62:AM93" si="45">+IF(AB62*K62&gt;0,AB62*K62,0)</f>
        <v>2.0133999999999999E-2</v>
      </c>
      <c r="AN62" s="716" t="str">
        <f>_xlfn.XLOOKUP(D62,RUC!$B$3:$B$578,RUC!$M$3:$M$578)</f>
        <v>Richard Sapacayo</v>
      </c>
      <c r="AO62" s="1167" t="s">
        <v>2280</v>
      </c>
      <c r="AP62" t="s">
        <v>2897</v>
      </c>
      <c r="AQ62" t="s">
        <v>3222</v>
      </c>
    </row>
    <row r="63" spans="1:44" ht="15" customHeight="1">
      <c r="A63" s="747" t="s">
        <v>3226</v>
      </c>
      <c r="B63" s="595">
        <v>45960</v>
      </c>
      <c r="C63" s="1447">
        <v>45955</v>
      </c>
      <c r="D63" t="s">
        <v>93</v>
      </c>
      <c r="E63" s="762">
        <f>_xlfn.XLOOKUP(D63,RUC!$B$3:$B$123,RUC!$D$3:$D$123)</f>
        <v>20169040231</v>
      </c>
      <c r="G63" s="1082">
        <v>83</v>
      </c>
      <c r="H63" s="762" t="s">
        <v>69</v>
      </c>
      <c r="I63" s="703">
        <v>7.69</v>
      </c>
      <c r="J63" s="596">
        <v>2.7</v>
      </c>
      <c r="K63" s="703">
        <f t="shared" si="35"/>
        <v>7.4820000000000002</v>
      </c>
      <c r="L63" s="762">
        <v>0.155</v>
      </c>
      <c r="M63" s="994">
        <v>0.14000000000000001</v>
      </c>
      <c r="N63" s="1196">
        <f t="shared" ref="N63:N93" si="46">+M63</f>
        <v>0.14000000000000001</v>
      </c>
      <c r="O63" s="645">
        <f t="shared" si="28"/>
        <v>0.14000000000000001</v>
      </c>
      <c r="P63" s="727">
        <v>85</v>
      </c>
      <c r="Q63" s="1476">
        <v>95.48</v>
      </c>
      <c r="R63" s="706">
        <v>4104.3999999999996</v>
      </c>
      <c r="S63" s="765">
        <f>IF((_xlfn.XLOOKUP(D63,RUC!$B$3:$B$119,RUC!$E$3:$E$119)+ROUNDDOWN(O63,1)*100)&lt;95,95,((_xlfn.XLOOKUP(D63,RUC!$B$3:$B$119,RUC!$E$3:$E$119)+ROUNDDOWN(O63,1)*100)))</f>
        <v>95</v>
      </c>
      <c r="U63" s="1146">
        <f>_xlfn.XLOOKUP(D63,RUC!$B$3:$B$123,RUC!$F$3:$F$123)</f>
        <v>120</v>
      </c>
      <c r="V63" s="715">
        <v>1.1023000000000001</v>
      </c>
      <c r="Y63">
        <f>_xlfn.XLOOKUP(D63,RUC!$B$3:$B$123,RUC!$G$3:$G$123)</f>
        <v>20</v>
      </c>
      <c r="Z63" s="1454">
        <v>35</v>
      </c>
      <c r="AA63" s="144">
        <f t="shared" si="37"/>
        <v>55</v>
      </c>
      <c r="AB63" s="145">
        <f t="shared" ref="AB63:AB68" si="47">+((O63*P63*(R63-U63)/100)-S63-AA63+T63)*V63</f>
        <v>357.30349028000001</v>
      </c>
      <c r="AC63" s="145">
        <f>+(S63-T63)*V63-'data 1'!$F$4</f>
        <v>24.718500000000006</v>
      </c>
      <c r="AD63" s="145">
        <f t="shared" si="38"/>
        <v>71.343714925280025</v>
      </c>
      <c r="AE63" s="145">
        <f t="shared" si="39"/>
        <v>-9.3734999999999999</v>
      </c>
      <c r="AF63" s="145">
        <f t="shared" si="40"/>
        <v>62.902283006639934</v>
      </c>
      <c r="AG63" s="772">
        <f t="shared" si="27"/>
        <v>166.59099793191996</v>
      </c>
      <c r="AH63" s="1253">
        <f t="shared" si="41"/>
        <v>37.963999999999999</v>
      </c>
      <c r="AI63" s="1253">
        <f t="shared" si="42"/>
        <v>39.761000000000003</v>
      </c>
      <c r="AJ63" s="156">
        <f t="shared" si="43"/>
        <v>-5.6118022452799412</v>
      </c>
      <c r="AK63" s="156">
        <f t="shared" si="44"/>
        <v>30.526269533421907</v>
      </c>
      <c r="AL63" s="88"/>
      <c r="AM63" s="716">
        <f t="shared" si="45"/>
        <v>2673.3447142749601</v>
      </c>
      <c r="AN63" s="716" t="str">
        <f>_xlfn.XLOOKUP(D63,RUC!$B$3:$B$578,RUC!$M$3:$M$578)</f>
        <v>Ronald Miranda</v>
      </c>
      <c r="AO63" s="1167" t="s">
        <v>2280</v>
      </c>
      <c r="AP63" t="s">
        <v>3239</v>
      </c>
      <c r="AQ63" t="s">
        <v>3240</v>
      </c>
      <c r="AR63" s="1516"/>
    </row>
    <row r="64" spans="1:44" ht="15" customHeight="1">
      <c r="A64" s="747" t="s">
        <v>3227</v>
      </c>
      <c r="B64" s="595">
        <v>45960</v>
      </c>
      <c r="C64" s="1447">
        <v>45955</v>
      </c>
      <c r="D64" t="s">
        <v>93</v>
      </c>
      <c r="E64" s="762">
        <f>_xlfn.XLOOKUP(D64,RUC!$B$3:$B$123,RUC!$D$3:$D$123)</f>
        <v>20169040231</v>
      </c>
      <c r="G64" s="1082">
        <v>29</v>
      </c>
      <c r="H64" s="762" t="s">
        <v>116</v>
      </c>
      <c r="I64" s="703">
        <v>2.76</v>
      </c>
      <c r="J64" s="596">
        <v>2.7</v>
      </c>
      <c r="K64" s="703">
        <f t="shared" si="35"/>
        <v>2.6850000000000001</v>
      </c>
      <c r="L64" s="762">
        <v>0.246</v>
      </c>
      <c r="M64" s="994">
        <v>0.23100000000000001</v>
      </c>
      <c r="N64" s="1196">
        <f t="shared" si="46"/>
        <v>0.23100000000000001</v>
      </c>
      <c r="O64" s="645">
        <f t="shared" si="28"/>
        <v>0.23100000000000001</v>
      </c>
      <c r="P64" s="727">
        <v>90</v>
      </c>
      <c r="Q64" s="1476">
        <v>95.53</v>
      </c>
      <c r="R64" s="706">
        <v>4104.3999999999996</v>
      </c>
      <c r="S64" s="765">
        <f>IF((_xlfn.XLOOKUP(D64,RUC!$B$3:$B$119,RUC!$E$3:$E$119)+ROUNDDOWN(O64,1)*100)&lt;95,95,((_xlfn.XLOOKUP(D64,RUC!$B$3:$B$119,RUC!$E$3:$E$119)+ROUNDDOWN(O64,1)*100)))</f>
        <v>105</v>
      </c>
      <c r="U64" s="1146">
        <f>_xlfn.XLOOKUP(D64,RUC!$B$3:$B$123,RUC!$F$3:$F$123)</f>
        <v>120</v>
      </c>
      <c r="V64" s="715">
        <v>1.1023000000000001</v>
      </c>
      <c r="Y64">
        <f>_xlfn.XLOOKUP(D64,RUC!$B$3:$B$123,RUC!$G$3:$G$123)</f>
        <v>20</v>
      </c>
      <c r="Z64" s="1454">
        <v>35</v>
      </c>
      <c r="AA64" s="144">
        <f t="shared" si="37"/>
        <v>55</v>
      </c>
      <c r="AB64" s="145">
        <f t="shared" si="47"/>
        <v>736.72965654800021</v>
      </c>
      <c r="AC64" s="145">
        <f>+(S64-T64)*V64-'data 1'!$F$4</f>
        <v>35.741500000000002</v>
      </c>
      <c r="AD64" s="145">
        <f t="shared" si="38"/>
        <v>59.747945647656003</v>
      </c>
      <c r="AE64" s="145">
        <f t="shared" si="39"/>
        <v>-9.3734999999999999</v>
      </c>
      <c r="AF64" s="145">
        <f t="shared" si="40"/>
        <v>62.935223037539934</v>
      </c>
      <c r="AG64" s="772">
        <f t="shared" si="27"/>
        <v>166.05116868519593</v>
      </c>
      <c r="AH64" s="1253">
        <f t="shared" si="41"/>
        <v>21.634</v>
      </c>
      <c r="AI64" s="1253">
        <f t="shared" si="42"/>
        <v>22.646000000000001</v>
      </c>
      <c r="AJ64" s="156">
        <f t="shared" si="43"/>
        <v>-8.9111372926559049</v>
      </c>
      <c r="AK64" s="156">
        <f t="shared" si="44"/>
        <v>19.138497891472579</v>
      </c>
      <c r="AL64" s="88"/>
      <c r="AM64" s="716">
        <f t="shared" si="45"/>
        <v>1978.1191278313806</v>
      </c>
      <c r="AN64" s="716" t="str">
        <f>_xlfn.XLOOKUP(D64,RUC!$B$3:$B$578,RUC!$M$3:$M$578)</f>
        <v>Ronald Miranda</v>
      </c>
      <c r="AO64" s="1167" t="s">
        <v>2280</v>
      </c>
      <c r="AP64" t="s">
        <v>3239</v>
      </c>
      <c r="AQ64" t="s">
        <v>3240</v>
      </c>
    </row>
    <row r="65" spans="1:43" ht="15" customHeight="1">
      <c r="A65" s="747" t="s">
        <v>3234</v>
      </c>
      <c r="B65" s="595">
        <v>45961</v>
      </c>
      <c r="C65" s="1447">
        <v>45956</v>
      </c>
      <c r="D65" t="s">
        <v>1967</v>
      </c>
      <c r="E65" s="762">
        <f>_xlfn.XLOOKUP(D65,RUC!$B$3:$B$123,RUC!$D$3:$D$123)</f>
        <v>20601769396</v>
      </c>
      <c r="G65" s="1082">
        <v>39</v>
      </c>
      <c r="H65" s="762" t="s">
        <v>108</v>
      </c>
      <c r="I65" s="703">
        <v>2.84</v>
      </c>
      <c r="J65" s="596">
        <v>13.8</v>
      </c>
      <c r="K65" s="703">
        <f t="shared" si="35"/>
        <v>2.448</v>
      </c>
      <c r="L65" s="762">
        <v>0.33400000000000002</v>
      </c>
      <c r="M65" s="762">
        <v>0.317</v>
      </c>
      <c r="N65" s="1196">
        <f t="shared" si="46"/>
        <v>0.317</v>
      </c>
      <c r="O65" s="645">
        <f t="shared" si="28"/>
        <v>0.317</v>
      </c>
      <c r="P65" s="727">
        <v>90</v>
      </c>
      <c r="Q65" s="1476">
        <v>92.51</v>
      </c>
      <c r="R65" s="706">
        <v>3970.8</v>
      </c>
      <c r="S65" s="765">
        <f>IF((_xlfn.XLOOKUP(D65,RUC!$B$3:$B$119,RUC!$E$3:$E$119)+ROUNDDOWN(O65,1)*100)&lt;95,95,((_xlfn.XLOOKUP(D65,RUC!$B$3:$B$119,RUC!$E$3:$E$119)+ROUNDDOWN(O65,1)*100)))</f>
        <v>120</v>
      </c>
      <c r="U65" s="1146">
        <f>_xlfn.XLOOKUP(D65,RUC!$B$3:$B$123,RUC!$F$3:$F$123)</f>
        <v>120</v>
      </c>
      <c r="V65" s="715">
        <v>1.1023000000000001</v>
      </c>
      <c r="Y65">
        <f>_xlfn.XLOOKUP(D65,RUC!$B$3:$B$123,RUC!$G$3:$G$123)</f>
        <v>20</v>
      </c>
      <c r="Z65" s="143">
        <f>_xlfn.XLOOKUP(D65,RUC!$B$3:$B$123,RUC!$H$3:$H$123)</f>
        <v>30</v>
      </c>
      <c r="AA65" s="144">
        <f t="shared" si="37"/>
        <v>50</v>
      </c>
      <c r="AB65" s="145">
        <f t="shared" si="47"/>
        <v>1023.6324204520001</v>
      </c>
      <c r="AC65" s="145">
        <f>+(S65-T65)*V65-'data 1'!$F$4</f>
        <v>52.27600000000001</v>
      </c>
      <c r="AD65" s="145">
        <f t="shared" si="38"/>
        <v>35.585326824456075</v>
      </c>
      <c r="AE65" s="145">
        <f t="shared" si="39"/>
        <v>-14.884999999999998</v>
      </c>
      <c r="AF65" s="145">
        <f t="shared" si="40"/>
        <v>66.755702861628066</v>
      </c>
      <c r="AG65" s="772">
        <f t="shared" si="27"/>
        <v>156.73202968608416</v>
      </c>
      <c r="AH65" s="1253">
        <f t="shared" si="41"/>
        <v>25.933</v>
      </c>
      <c r="AI65" s="1253">
        <f t="shared" si="42"/>
        <v>28.033000000000001</v>
      </c>
      <c r="AJ65" s="156">
        <f t="shared" si="43"/>
        <v>33.786766260543942</v>
      </c>
      <c r="AK65" s="156">
        <f t="shared" si="44"/>
        <v>23.945408723707921</v>
      </c>
      <c r="AL65" s="88"/>
      <c r="AM65" s="716">
        <f t="shared" si="45"/>
        <v>2505.8521652664963</v>
      </c>
      <c r="AN65" s="716" t="str">
        <f>_xlfn.XLOOKUP(D65,RUC!$B$3:$B$578,RUC!$M$3:$M$578)</f>
        <v>Evelyn</v>
      </c>
      <c r="AO65" s="1167" t="s">
        <v>2279</v>
      </c>
      <c r="AP65" t="s">
        <v>3243</v>
      </c>
      <c r="AQ65" t="s">
        <v>3244</v>
      </c>
    </row>
    <row r="66" spans="1:43" ht="15" customHeight="1">
      <c r="A66" s="747" t="s">
        <v>3235</v>
      </c>
      <c r="B66" s="595">
        <v>45961</v>
      </c>
      <c r="C66" s="1447">
        <v>45956</v>
      </c>
      <c r="D66" t="s">
        <v>1967</v>
      </c>
      <c r="E66" s="762">
        <f>_xlfn.XLOOKUP(D66,RUC!$B$3:$B$123,RUC!$D$3:$D$123)</f>
        <v>20601769396</v>
      </c>
      <c r="G66" s="1082">
        <v>53</v>
      </c>
      <c r="H66" s="762" t="s">
        <v>108</v>
      </c>
      <c r="I66" s="703">
        <v>3.5</v>
      </c>
      <c r="J66" s="596">
        <v>17.05</v>
      </c>
      <c r="K66" s="703">
        <f t="shared" si="35"/>
        <v>2.903</v>
      </c>
      <c r="L66" s="762">
        <v>0.29499999999999998</v>
      </c>
      <c r="M66" s="994">
        <v>0.28000000000000003</v>
      </c>
      <c r="N66" s="1196">
        <f t="shared" si="46"/>
        <v>0.28000000000000003</v>
      </c>
      <c r="O66" s="645">
        <f t="shared" si="28"/>
        <v>0.28000000000000003</v>
      </c>
      <c r="P66" s="727">
        <v>90</v>
      </c>
      <c r="Q66" s="1476">
        <v>97.63</v>
      </c>
      <c r="R66" s="706">
        <v>3970.8</v>
      </c>
      <c r="S66" s="765">
        <f>IF((_xlfn.XLOOKUP(D66,RUC!$B$3:$B$119,RUC!$E$3:$E$119)+ROUNDDOWN(O66,1)*100)&lt;95,95,((_xlfn.XLOOKUP(D66,RUC!$B$3:$B$119,RUC!$E$3:$E$119)+ROUNDDOWN(O66,1)*100)))</f>
        <v>110</v>
      </c>
      <c r="U66" s="1146">
        <f>_xlfn.XLOOKUP(D66,RUC!$B$3:$B$123,RUC!$F$3:$F$123)</f>
        <v>120</v>
      </c>
      <c r="V66" s="715">
        <v>1.1023000000000001</v>
      </c>
      <c r="Y66">
        <f>_xlfn.XLOOKUP(D66,RUC!$B$3:$B$123,RUC!$G$3:$G$123)</f>
        <v>20</v>
      </c>
      <c r="Z66" s="143">
        <f>_xlfn.XLOOKUP(D66,RUC!$B$3:$B$123,RUC!$H$3:$H$123)</f>
        <v>30</v>
      </c>
      <c r="AA66" s="144">
        <f t="shared" si="37"/>
        <v>50</v>
      </c>
      <c r="AB66" s="145">
        <f t="shared" si="47"/>
        <v>893.30568368000024</v>
      </c>
      <c r="AC66" s="145">
        <f>+(S66-T66)*V66-'data 1'!$F$4</f>
        <v>41.253</v>
      </c>
      <c r="AD66" s="145">
        <f t="shared" si="38"/>
        <v>95.542659163139959</v>
      </c>
      <c r="AE66" s="145">
        <f t="shared" si="39"/>
        <v>-14.884999999999998</v>
      </c>
      <c r="AF66" s="145">
        <f t="shared" si="40"/>
        <v>62.162048653379827</v>
      </c>
      <c r="AG66" s="772">
        <f t="shared" si="27"/>
        <v>201.0727078165198</v>
      </c>
      <c r="AH66" s="1253">
        <f t="shared" si="41"/>
        <v>28.666</v>
      </c>
      <c r="AI66" s="1253">
        <f t="shared" si="42"/>
        <v>29.361000000000001</v>
      </c>
      <c r="AJ66" s="156">
        <f t="shared" si="43"/>
        <v>31.493199539359939</v>
      </c>
      <c r="AK66" s="156">
        <f t="shared" si="44"/>
        <v>25.081681340305803</v>
      </c>
      <c r="AL66" s="88"/>
      <c r="AM66" s="716">
        <f t="shared" si="45"/>
        <v>2593.2663997230406</v>
      </c>
      <c r="AN66" s="716" t="str">
        <f>_xlfn.XLOOKUP(D66,RUC!$B$3:$B$578,RUC!$M$3:$M$578)</f>
        <v>Evelyn</v>
      </c>
      <c r="AO66" s="1167" t="s">
        <v>2278</v>
      </c>
      <c r="AP66" t="s">
        <v>3243</v>
      </c>
      <c r="AQ66" t="s">
        <v>3244</v>
      </c>
    </row>
    <row r="67" spans="1:43" ht="15" customHeight="1">
      <c r="A67" s="747" t="s">
        <v>3236</v>
      </c>
      <c r="B67" s="595">
        <v>45961</v>
      </c>
      <c r="C67" s="1447">
        <v>45956</v>
      </c>
      <c r="D67" t="s">
        <v>1967</v>
      </c>
      <c r="E67" s="762">
        <f>_xlfn.XLOOKUP(D67,RUC!$B$3:$B$123,RUC!$D$3:$D$123)</f>
        <v>20601769396</v>
      </c>
      <c r="G67" s="1082">
        <v>10</v>
      </c>
      <c r="H67" s="762" t="s">
        <v>108</v>
      </c>
      <c r="I67" s="703">
        <v>0.72</v>
      </c>
      <c r="J67" s="596">
        <v>17</v>
      </c>
      <c r="K67" s="703">
        <f t="shared" si="35"/>
        <v>0.59799999999999998</v>
      </c>
      <c r="L67" s="762">
        <v>0.69499999999999995</v>
      </c>
      <c r="M67" s="994">
        <v>0.66</v>
      </c>
      <c r="N67" s="1196">
        <f t="shared" si="46"/>
        <v>0.66</v>
      </c>
      <c r="O67" s="645">
        <f t="shared" si="28"/>
        <v>0.66</v>
      </c>
      <c r="P67" s="727">
        <v>84</v>
      </c>
      <c r="Q67" s="1476">
        <v>93.53</v>
      </c>
      <c r="R67" s="706">
        <v>3970.8</v>
      </c>
      <c r="S67" s="765">
        <f>IF((_xlfn.XLOOKUP(D67,RUC!$B$3:$B$119,RUC!$E$3:$E$119)+ROUNDDOWN(O67,1)*100)&lt;95,95,((_xlfn.XLOOKUP(D67,RUC!$B$3:$B$119,RUC!$E$3:$E$119)+ROUNDDOWN(O67,1)*100)))</f>
        <v>150</v>
      </c>
      <c r="U67" s="1146">
        <f>_xlfn.XLOOKUP(D67,RUC!$B$3:$B$123,RUC!$F$3:$F$123)</f>
        <v>120</v>
      </c>
      <c r="V67" s="715">
        <v>1.1023000000000001</v>
      </c>
      <c r="Y67">
        <f>_xlfn.XLOOKUP(D67,RUC!$B$3:$B$123,RUC!$G$3:$G$123)</f>
        <v>20</v>
      </c>
      <c r="Z67" s="143">
        <f>_xlfn.XLOOKUP(D67,RUC!$B$3:$B$123,RUC!$H$3:$H$123)</f>
        <v>30</v>
      </c>
      <c r="AA67" s="144">
        <f t="shared" si="37"/>
        <v>50</v>
      </c>
      <c r="AB67" s="145">
        <f t="shared" si="47"/>
        <v>2132.8221040960007</v>
      </c>
      <c r="AC67" s="145">
        <f>+(S67-T67)*V67-'data 1'!$F$4</f>
        <v>85.344999999999999</v>
      </c>
      <c r="AD67" s="145">
        <f t="shared" si="38"/>
        <v>281.14377749213998</v>
      </c>
      <c r="AE67" s="145">
        <f t="shared" si="39"/>
        <v>-14.884999999999998</v>
      </c>
      <c r="AF67" s="145">
        <f t="shared" si="40"/>
        <v>138.95358282581972</v>
      </c>
      <c r="AG67" s="772">
        <f t="shared" si="27"/>
        <v>507.55736031795971</v>
      </c>
      <c r="AH67" s="1253">
        <f t="shared" si="41"/>
        <v>13.327</v>
      </c>
      <c r="AI67" s="1253">
        <f t="shared" si="42"/>
        <v>14.249000000000001</v>
      </c>
      <c r="AJ67" s="156">
        <f t="shared" si="43"/>
        <v>71.079967163359882</v>
      </c>
      <c r="AK67" s="156">
        <f t="shared" si="44"/>
        <v>11.366675842682159</v>
      </c>
      <c r="AL67" s="88"/>
      <c r="AM67" s="716">
        <f t="shared" si="45"/>
        <v>1275.4276182494084</v>
      </c>
      <c r="AN67" s="716" t="str">
        <f>_xlfn.XLOOKUP(D67,RUC!$B$3:$B$578,RUC!$M$3:$M$578)</f>
        <v>Evelyn</v>
      </c>
      <c r="AO67" s="1167" t="s">
        <v>2279</v>
      </c>
      <c r="AP67" t="s">
        <v>3243</v>
      </c>
      <c r="AQ67" t="s">
        <v>3244</v>
      </c>
    </row>
    <row r="68" spans="1:43" ht="15" customHeight="1">
      <c r="A68" s="747" t="s">
        <v>3237</v>
      </c>
      <c r="B68" s="595">
        <v>45961</v>
      </c>
      <c r="C68" s="1447">
        <v>45956</v>
      </c>
      <c r="D68" t="s">
        <v>1967</v>
      </c>
      <c r="E68" s="762">
        <f>_xlfn.XLOOKUP(D68,RUC!$B$3:$B$123,RUC!$D$3:$D$123)</f>
        <v>20601769396</v>
      </c>
      <c r="G68" s="1082">
        <v>42</v>
      </c>
      <c r="H68" s="762" t="s">
        <v>116</v>
      </c>
      <c r="I68" s="703">
        <v>3.41</v>
      </c>
      <c r="J68" s="596">
        <v>13.6</v>
      </c>
      <c r="K68" s="703">
        <f t="shared" si="35"/>
        <v>2.9460000000000002</v>
      </c>
      <c r="L68" s="762">
        <v>0.39900000000000002</v>
      </c>
      <c r="M68" s="762">
        <v>0.379</v>
      </c>
      <c r="N68" s="1196">
        <f t="shared" si="46"/>
        <v>0.379</v>
      </c>
      <c r="O68" s="645">
        <f t="shared" si="28"/>
        <v>0.379</v>
      </c>
      <c r="P68" s="727">
        <v>86</v>
      </c>
      <c r="Q68" s="1476">
        <v>86.72</v>
      </c>
      <c r="R68" s="706">
        <v>3970.8</v>
      </c>
      <c r="S68" s="765">
        <f>IF((_xlfn.XLOOKUP(D68,RUC!$B$3:$B$119,RUC!$E$3:$E$119)+ROUNDDOWN(O68,1)*100)&lt;95,95,((_xlfn.XLOOKUP(D68,RUC!$B$3:$B$119,RUC!$E$3:$E$119)+ROUNDDOWN(O68,1)*100)))</f>
        <v>120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3">
        <f>_xlfn.XLOOKUP(D68,RUC!$B$3:$B$123,RUC!$H$3:$H$123)</f>
        <v>30</v>
      </c>
      <c r="AA68" s="144">
        <f t="shared" si="37"/>
        <v>50</v>
      </c>
      <c r="AB68" s="145">
        <f t="shared" si="47"/>
        <v>1196.1385256296001</v>
      </c>
      <c r="AC68" s="145">
        <f>+(S68-T68)*V68-'data 1'!$F$4</f>
        <v>52.27600000000001</v>
      </c>
      <c r="AD68" s="145">
        <f t="shared" si="38"/>
        <v>12.194279993951984</v>
      </c>
      <c r="AE68" s="145">
        <f t="shared" si="39"/>
        <v>-14.884999999999998</v>
      </c>
      <c r="AF68" s="145">
        <f t="shared" si="40"/>
        <v>73.620715752960066</v>
      </c>
      <c r="AG68" s="772">
        <f t="shared" si="27"/>
        <v>140.20599574691207</v>
      </c>
      <c r="AH68" s="1253">
        <f t="shared" si="41"/>
        <v>34.948999999999998</v>
      </c>
      <c r="AI68" s="1253">
        <f t="shared" si="42"/>
        <v>40.301000000000002</v>
      </c>
      <c r="AJ68" s="156">
        <f t="shared" si="43"/>
        <v>37.835863016447938</v>
      </c>
      <c r="AK68" s="156">
        <f t="shared" si="44"/>
        <v>32.921489256476086</v>
      </c>
      <c r="AL68" s="88"/>
      <c r="AM68" s="716">
        <f t="shared" si="45"/>
        <v>3523.8240965048021</v>
      </c>
      <c r="AN68" s="716" t="str">
        <f>_xlfn.XLOOKUP(D68,RUC!$B$3:$B$578,RUC!$M$3:$M$578)</f>
        <v>Evelyn</v>
      </c>
      <c r="AO68" s="1167" t="s">
        <v>2278</v>
      </c>
      <c r="AP68" t="s">
        <v>3243</v>
      </c>
      <c r="AQ68" t="s">
        <v>3244</v>
      </c>
    </row>
    <row r="69" spans="1:43" ht="15" customHeight="1">
      <c r="A69" s="747" t="s">
        <v>3238</v>
      </c>
      <c r="B69" s="595">
        <v>45961</v>
      </c>
      <c r="C69" s="1447">
        <v>45956</v>
      </c>
      <c r="D69" t="s">
        <v>1967</v>
      </c>
      <c r="E69" s="762">
        <f>_xlfn.XLOOKUP(D69,RUC!$B$3:$B$123,RUC!$D$3:$D$123)</f>
        <v>20601769396</v>
      </c>
      <c r="G69" s="1082">
        <v>14</v>
      </c>
      <c r="H69" s="762" t="s">
        <v>69</v>
      </c>
      <c r="I69" s="703">
        <v>0.92</v>
      </c>
      <c r="J69" s="596">
        <v>6.95</v>
      </c>
      <c r="K69" s="703">
        <f t="shared" si="35"/>
        <v>0.85599999999999998</v>
      </c>
      <c r="L69" s="762">
        <v>0.17399999999999999</v>
      </c>
      <c r="M69" s="762">
        <v>0.159</v>
      </c>
      <c r="N69" s="1196">
        <f t="shared" si="46"/>
        <v>0.159</v>
      </c>
      <c r="O69" s="645">
        <f t="shared" si="28"/>
        <v>0.159</v>
      </c>
      <c r="P69" s="727">
        <v>88</v>
      </c>
      <c r="Q69" s="1476">
        <v>89.66</v>
      </c>
      <c r="R69" s="706">
        <v>3970.8</v>
      </c>
      <c r="S69" s="765">
        <f>IF((_xlfn.XLOOKUP(D69,RUC!$B$3:$B$119,RUC!$E$3:$E$119)+ROUNDDOWN(O69,1)*100)&lt;95,95,((_xlfn.XLOOKUP(D69,RUC!$B$3:$B$119,RUC!$E$3:$E$119)+ROUNDDOWN(O69,1)*100)))</f>
        <v>100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3">
        <f>_xlfn.XLOOKUP(D69,RUC!$B$3:$B$123,RUC!$H$3:$H$123)</f>
        <v>30</v>
      </c>
      <c r="AA69" s="144">
        <f t="shared" si="37"/>
        <v>50</v>
      </c>
      <c r="AB69" s="145">
        <f>+((O69*P69*(R69-U69)/100)-S69-AA69+T69)*V69</f>
        <v>428.57857865280005</v>
      </c>
      <c r="AC69" s="145">
        <f>+(S69-T69)*V69-'data 1'!$F$4</f>
        <v>30.230000000000004</v>
      </c>
      <c r="AD69" s="145">
        <f t="shared" si="38"/>
        <v>12.260497888655975</v>
      </c>
      <c r="AE69" s="145">
        <f t="shared" si="39"/>
        <v>-14.884999999999998</v>
      </c>
      <c r="AF69" s="145">
        <f t="shared" si="40"/>
        <v>57.087465761159947</v>
      </c>
      <c r="AG69" s="772">
        <f t="shared" si="27"/>
        <v>101.69296364981594</v>
      </c>
      <c r="AH69" s="1253">
        <f t="shared" si="41"/>
        <v>4.5789999999999997</v>
      </c>
      <c r="AI69" s="1253">
        <f t="shared" si="42"/>
        <v>5.1070000000000002</v>
      </c>
      <c r="AJ69" s="156">
        <f t="shared" si="43"/>
        <v>17.059231484543968</v>
      </c>
      <c r="AK69" s="156">
        <f t="shared" si="44"/>
        <v>4.1064130405383361</v>
      </c>
      <c r="AL69" s="88"/>
      <c r="AM69" s="716">
        <f t="shared" si="45"/>
        <v>366.86326332679681</v>
      </c>
      <c r="AN69" s="716" t="str">
        <f>_xlfn.XLOOKUP(D69,RUC!$B$3:$B$578,RUC!$M$3:$M$578)</f>
        <v>Evelyn</v>
      </c>
      <c r="AO69" s="1167" t="s">
        <v>2278</v>
      </c>
      <c r="AP69" t="s">
        <v>3243</v>
      </c>
      <c r="AQ69" t="s">
        <v>3244</v>
      </c>
    </row>
    <row r="70" spans="1:43" ht="15" customHeight="1">
      <c r="A70" s="747" t="s">
        <v>3246</v>
      </c>
      <c r="B70" s="595">
        <v>45965</v>
      </c>
      <c r="C70" s="1447">
        <v>45956</v>
      </c>
      <c r="D70" t="s">
        <v>1671</v>
      </c>
      <c r="E70" s="762">
        <f>_xlfn.XLOOKUP(D70,RUC!$B$3:$B$123,RUC!$D$3:$D$123)</f>
        <v>20517242919</v>
      </c>
      <c r="G70" s="1082">
        <v>51</v>
      </c>
      <c r="H70" s="762" t="s">
        <v>69</v>
      </c>
      <c r="I70" s="703">
        <v>4.6100000000000003</v>
      </c>
      <c r="J70" s="596">
        <v>1.1499999999999999</v>
      </c>
      <c r="K70" s="703">
        <f t="shared" si="35"/>
        <v>4.5570000000000004</v>
      </c>
      <c r="L70" s="762">
        <v>0.14599999999999999</v>
      </c>
      <c r="M70" s="762">
        <v>0.13100000000000001</v>
      </c>
      <c r="N70" s="1444">
        <v>0.153</v>
      </c>
      <c r="O70" s="645">
        <f t="shared" si="28"/>
        <v>0.14199999999999999</v>
      </c>
      <c r="P70" s="727">
        <v>85</v>
      </c>
      <c r="Q70" s="1476">
        <v>93.84</v>
      </c>
      <c r="R70" s="706">
        <v>3970.8</v>
      </c>
      <c r="S70" s="1164">
        <v>95</v>
      </c>
      <c r="U70" s="1146">
        <f>_xlfn.XLOOKUP(D70,RUC!$B$3:$B$123,RUC!$F$3:$F$123)</f>
        <v>80</v>
      </c>
      <c r="V70" s="715">
        <v>1.1023000000000001</v>
      </c>
      <c r="Y70">
        <f>_xlfn.XLOOKUP(D70,RUC!$B$3:$B$123,RUC!$G$3:$G$123)</f>
        <v>0</v>
      </c>
      <c r="Z70" s="143">
        <f>_xlfn.XLOOKUP(D70,RUC!$B$3:$B$123,RUC!$H$3:$H$123)</f>
        <v>10</v>
      </c>
      <c r="AA70" s="144">
        <f t="shared" si="37"/>
        <v>10</v>
      </c>
      <c r="AB70" s="145">
        <f t="shared" ref="AB70:AB82" si="48">+((O70*P70*(R70-U70)/100)-S70-AA70+T70)*V70</f>
        <v>401.92014098800001</v>
      </c>
      <c r="AC70" s="145">
        <f>+(S70-T70)*V70-'data 1'!$F$4</f>
        <v>24.718500000000006</v>
      </c>
      <c r="AD70" s="145">
        <f t="shared" si="38"/>
        <v>55.353340540576021</v>
      </c>
      <c r="AE70" s="145">
        <f t="shared" si="39"/>
        <v>-58.977000000000004</v>
      </c>
      <c r="AF70" s="145">
        <f t="shared" si="40"/>
        <v>16.098547933824019</v>
      </c>
      <c r="AG70" s="772">
        <f>AC70+AD70+AE70+AF70+70</f>
        <v>107.19338847440005</v>
      </c>
      <c r="AH70" s="1253">
        <f t="shared" si="41"/>
        <v>21.405999999999999</v>
      </c>
      <c r="AI70" s="1253">
        <f t="shared" si="42"/>
        <v>22.811</v>
      </c>
      <c r="AJ70" s="156">
        <f t="shared" si="43"/>
        <v>8.9405115594239746</v>
      </c>
      <c r="AK70" s="156">
        <f t="shared" si="44"/>
        <v>18.857988560602699</v>
      </c>
      <c r="AL70" s="88"/>
      <c r="AM70" s="716">
        <f t="shared" si="45"/>
        <v>1831.5500824823162</v>
      </c>
      <c r="AN70" s="716" t="str">
        <f>_xlfn.XLOOKUP(D70,RUC!$B$3:$B$578,RUC!$M$3:$M$578)</f>
        <v>Melchor Vera</v>
      </c>
      <c r="AO70" s="1167" t="s">
        <v>2280</v>
      </c>
      <c r="AP70" t="s">
        <v>3254</v>
      </c>
      <c r="AQ70" t="s">
        <v>3255</v>
      </c>
    </row>
    <row r="71" spans="1:43" ht="15" customHeight="1">
      <c r="A71" s="747" t="s">
        <v>3247</v>
      </c>
      <c r="B71" s="595">
        <v>45965</v>
      </c>
      <c r="C71" s="1447">
        <v>45956</v>
      </c>
      <c r="D71" t="s">
        <v>1671</v>
      </c>
      <c r="E71" s="762">
        <f>_xlfn.XLOOKUP(D71,RUC!$B$3:$B$123,RUC!$D$3:$D$123)</f>
        <v>20517242919</v>
      </c>
      <c r="G71" s="1082">
        <v>50</v>
      </c>
      <c r="H71" s="762" t="s">
        <v>69</v>
      </c>
      <c r="I71" s="703">
        <v>4.3099999999999996</v>
      </c>
      <c r="J71" s="596">
        <v>1.2</v>
      </c>
      <c r="K71" s="703">
        <f t="shared" si="35"/>
        <v>4.258</v>
      </c>
      <c r="L71" s="762">
        <v>0.122</v>
      </c>
      <c r="M71" s="762">
        <v>0.107</v>
      </c>
      <c r="N71" s="1196">
        <f t="shared" si="46"/>
        <v>0.107</v>
      </c>
      <c r="O71" s="645">
        <f t="shared" si="28"/>
        <v>0.107</v>
      </c>
      <c r="P71" s="727">
        <v>85</v>
      </c>
      <c r="Q71" s="1476">
        <v>94.26</v>
      </c>
      <c r="R71" s="706">
        <v>3970.8</v>
      </c>
      <c r="S71" s="1164">
        <v>95</v>
      </c>
      <c r="U71" s="1146">
        <f>_xlfn.XLOOKUP(D71,RUC!$B$3:$B$123,RUC!$F$3:$F$123)</f>
        <v>80</v>
      </c>
      <c r="V71" s="715">
        <v>1.1023000000000001</v>
      </c>
      <c r="Y71">
        <f>_xlfn.XLOOKUP(D71,RUC!$B$3:$B$123,RUC!$G$3:$G$123)</f>
        <v>0</v>
      </c>
      <c r="Z71" s="143">
        <f>_xlfn.XLOOKUP(D71,RUC!$B$3:$B$123,RUC!$H$3:$H$123)</f>
        <v>10</v>
      </c>
      <c r="AA71" s="144">
        <f t="shared" si="37"/>
        <v>10</v>
      </c>
      <c r="AB71" s="145">
        <f t="shared" si="48"/>
        <v>274.32748299800005</v>
      </c>
      <c r="AC71" s="145">
        <f>+(S71-T71)*V71-'data 1'!$F$4</f>
        <v>24.718500000000006</v>
      </c>
      <c r="AD71" s="145">
        <f t="shared" si="38"/>
        <v>48.451757171248026</v>
      </c>
      <c r="AE71" s="145">
        <f t="shared" si="39"/>
        <v>-58.977000000000004</v>
      </c>
      <c r="AF71" s="145">
        <f t="shared" si="40"/>
        <v>60.639750968760012</v>
      </c>
      <c r="AG71" s="772">
        <f t="shared" ref="AG71:AG75" si="49">AC71+AD71+AE71+AF71+70</f>
        <v>144.83300814000805</v>
      </c>
      <c r="AH71" s="1253">
        <f t="shared" si="41"/>
        <v>16.788</v>
      </c>
      <c r="AI71" s="1253">
        <f t="shared" si="42"/>
        <v>17.809999999999999</v>
      </c>
      <c r="AJ71" s="156">
        <f t="shared" si="43"/>
        <v>7.5042756827519774</v>
      </c>
      <c r="AK71" s="156">
        <f t="shared" si="44"/>
        <v>13.277534231722054</v>
      </c>
      <c r="AL71" s="88"/>
      <c r="AM71" s="716">
        <f t="shared" si="45"/>
        <v>1168.0864226054841</v>
      </c>
      <c r="AN71" s="716" t="str">
        <f>_xlfn.XLOOKUP(D71,RUC!$B$3:$B$578,RUC!$M$3:$M$578)</f>
        <v>Melchor Vera</v>
      </c>
      <c r="AO71" s="1167" t="s">
        <v>2280</v>
      </c>
      <c r="AP71" t="s">
        <v>3254</v>
      </c>
      <c r="AQ71" t="s">
        <v>3255</v>
      </c>
    </row>
    <row r="72" spans="1:43" ht="15" customHeight="1">
      <c r="A72" s="747" t="s">
        <v>3249</v>
      </c>
      <c r="B72" s="595">
        <v>45965</v>
      </c>
      <c r="C72" s="1447">
        <v>45956</v>
      </c>
      <c r="D72" t="s">
        <v>1671</v>
      </c>
      <c r="E72" s="762">
        <f>_xlfn.XLOOKUP(D72,RUC!$B$3:$B$123,RUC!$D$3:$D$123)</f>
        <v>20517242919</v>
      </c>
      <c r="G72" s="1082">
        <v>52</v>
      </c>
      <c r="H72" s="762" t="s">
        <v>69</v>
      </c>
      <c r="I72" s="703">
        <v>5.09</v>
      </c>
      <c r="J72" s="596">
        <v>1.1499999999999999</v>
      </c>
      <c r="K72" s="703">
        <f t="shared" si="35"/>
        <v>5.0309999999999997</v>
      </c>
      <c r="L72" s="762">
        <v>0.124</v>
      </c>
      <c r="M72" s="762">
        <v>0.109</v>
      </c>
      <c r="N72" s="1196">
        <f t="shared" si="46"/>
        <v>0.109</v>
      </c>
      <c r="O72" s="645">
        <f t="shared" si="28"/>
        <v>0.109</v>
      </c>
      <c r="P72" s="727">
        <v>85</v>
      </c>
      <c r="Q72" s="1476">
        <v>90.32</v>
      </c>
      <c r="R72" s="706">
        <v>3970.8</v>
      </c>
      <c r="S72" s="1164">
        <v>95</v>
      </c>
      <c r="U72" s="1146">
        <f>_xlfn.XLOOKUP(D72,RUC!$B$3:$B$123,RUC!$F$3:$F$123)</f>
        <v>80</v>
      </c>
      <c r="V72" s="715">
        <v>1.1023000000000001</v>
      </c>
      <c r="Y72">
        <f>_xlfn.XLOOKUP(D72,RUC!$B$3:$B$123,RUC!$G$3:$G$123)</f>
        <v>0</v>
      </c>
      <c r="Z72" s="143">
        <f>_xlfn.XLOOKUP(D72,RUC!$B$3:$B$123,RUC!$H$3:$H$123)</f>
        <v>10</v>
      </c>
      <c r="AA72" s="144">
        <f t="shared" si="37"/>
        <v>10</v>
      </c>
      <c r="AB72" s="145">
        <f t="shared" si="48"/>
        <v>281.61849202600001</v>
      </c>
      <c r="AC72" s="145">
        <f>+(S72-T72)*V72-'data 1'!$F$4</f>
        <v>24.718500000000006</v>
      </c>
      <c r="AD72" s="145">
        <f t="shared" si="38"/>
        <v>28.292546091711969</v>
      </c>
      <c r="AE72" s="145">
        <f t="shared" si="39"/>
        <v>-58.977000000000004</v>
      </c>
      <c r="AF72" s="145">
        <f t="shared" si="40"/>
        <v>58.105053124320001</v>
      </c>
      <c r="AG72" s="772">
        <f t="shared" si="49"/>
        <v>122.13909921603198</v>
      </c>
      <c r="AH72" s="1253">
        <f t="shared" si="41"/>
        <v>19.318000000000001</v>
      </c>
      <c r="AI72" s="1253">
        <f t="shared" si="42"/>
        <v>21.388999999999999</v>
      </c>
      <c r="AJ72" s="156">
        <f t="shared" si="43"/>
        <v>7.3084811002879766</v>
      </c>
      <c r="AK72" s="156">
        <f t="shared" si="44"/>
        <v>15.981178791450306</v>
      </c>
      <c r="AL72" s="88"/>
      <c r="AM72" s="716">
        <f t="shared" si="45"/>
        <v>1416.8226333828061</v>
      </c>
      <c r="AN72" s="716" t="str">
        <f>_xlfn.XLOOKUP(D72,RUC!$B$3:$B$578,RUC!$M$3:$M$578)</f>
        <v>Melchor Vera</v>
      </c>
      <c r="AO72" s="1167" t="s">
        <v>2280</v>
      </c>
      <c r="AP72" t="s">
        <v>3254</v>
      </c>
      <c r="AQ72" t="s">
        <v>3255</v>
      </c>
    </row>
    <row r="73" spans="1:43" ht="15" customHeight="1">
      <c r="A73" s="747" t="s">
        <v>3250</v>
      </c>
      <c r="B73" s="595">
        <v>45965</v>
      </c>
      <c r="C73" s="1447">
        <v>45957</v>
      </c>
      <c r="D73" t="s">
        <v>1671</v>
      </c>
      <c r="E73" s="762">
        <f>_xlfn.XLOOKUP(D73,RUC!$B$3:$B$123,RUC!$D$3:$D$123)</f>
        <v>20517242919</v>
      </c>
      <c r="G73" s="1082">
        <v>44</v>
      </c>
      <c r="H73" s="762" t="s">
        <v>69</v>
      </c>
      <c r="I73" s="703">
        <v>4.3600000000000003</v>
      </c>
      <c r="J73" s="596">
        <v>1.25</v>
      </c>
      <c r="K73" s="703">
        <f t="shared" si="35"/>
        <v>4.306</v>
      </c>
      <c r="L73" s="762">
        <v>0.128</v>
      </c>
      <c r="M73" s="762">
        <v>0.113</v>
      </c>
      <c r="N73" s="1196">
        <f t="shared" si="46"/>
        <v>0.113</v>
      </c>
      <c r="O73" s="645">
        <f t="shared" si="28"/>
        <v>0.113</v>
      </c>
      <c r="P73" s="727">
        <v>85</v>
      </c>
      <c r="Q73" s="1476">
        <v>90.63</v>
      </c>
      <c r="R73" s="706">
        <v>3970.8</v>
      </c>
      <c r="S73" s="1164">
        <v>95</v>
      </c>
      <c r="U73" s="1146">
        <f>_xlfn.XLOOKUP(D73,RUC!$B$3:$B$123,RUC!$F$3:$F$123)</f>
        <v>80</v>
      </c>
      <c r="V73" s="715">
        <v>1.1023000000000001</v>
      </c>
      <c r="Y73">
        <f>_xlfn.XLOOKUP(D73,RUC!$B$3:$B$123,RUC!$G$3:$G$123)</f>
        <v>0</v>
      </c>
      <c r="Z73" s="143">
        <f>_xlfn.XLOOKUP(D73,RUC!$B$3:$B$123,RUC!$H$3:$H$123)</f>
        <v>10</v>
      </c>
      <c r="AA73" s="144">
        <f t="shared" si="37"/>
        <v>10</v>
      </c>
      <c r="AB73" s="145">
        <f t="shared" si="48"/>
        <v>296.20051008200011</v>
      </c>
      <c r="AC73" s="145">
        <f>+(S73-T73)*V73-'data 1'!$F$4</f>
        <v>24.718500000000006</v>
      </c>
      <c r="AD73" s="145">
        <f t="shared" si="38"/>
        <v>30.907016152575981</v>
      </c>
      <c r="AE73" s="145">
        <f t="shared" si="39"/>
        <v>-58.977000000000004</v>
      </c>
      <c r="AF73" s="145">
        <f t="shared" si="40"/>
        <v>58.304483665380005</v>
      </c>
      <c r="AG73" s="772">
        <f t="shared" si="49"/>
        <v>124.95299981795598</v>
      </c>
      <c r="AH73" s="1253">
        <f t="shared" si="41"/>
        <v>17.126000000000001</v>
      </c>
      <c r="AI73" s="1253">
        <f t="shared" si="42"/>
        <v>18.896999999999998</v>
      </c>
      <c r="AJ73" s="156">
        <f t="shared" si="43"/>
        <v>7.5701321994239779</v>
      </c>
      <c r="AK73" s="156">
        <f t="shared" si="44"/>
        <v>14.180138214603966</v>
      </c>
      <c r="AL73" s="88"/>
      <c r="AM73" s="716">
        <f t="shared" si="45"/>
        <v>1275.4393964130925</v>
      </c>
      <c r="AN73" s="716" t="str">
        <f>_xlfn.XLOOKUP(D73,RUC!$B$3:$B$578,RUC!$M$3:$M$578)</f>
        <v>Melchor Vera</v>
      </c>
      <c r="AO73" s="1167" t="s">
        <v>2280</v>
      </c>
      <c r="AP73" t="s">
        <v>3254</v>
      </c>
      <c r="AQ73" t="s">
        <v>3255</v>
      </c>
    </row>
    <row r="74" spans="1:43" ht="15" customHeight="1">
      <c r="A74" s="747" t="s">
        <v>3251</v>
      </c>
      <c r="B74" s="595">
        <v>45965</v>
      </c>
      <c r="C74" s="1447">
        <v>45957</v>
      </c>
      <c r="D74" t="s">
        <v>1671</v>
      </c>
      <c r="E74" s="762">
        <f>_xlfn.XLOOKUP(D74,RUC!$B$3:$B$123,RUC!$D$3:$D$123)</f>
        <v>20517242919</v>
      </c>
      <c r="G74" s="1082">
        <v>45</v>
      </c>
      <c r="H74" s="762" t="s">
        <v>69</v>
      </c>
      <c r="I74" s="703">
        <v>4.42</v>
      </c>
      <c r="J74" s="596">
        <v>1.35</v>
      </c>
      <c r="K74" s="703">
        <f t="shared" si="35"/>
        <v>4.3600000000000003</v>
      </c>
      <c r="L74" s="762">
        <v>0.129</v>
      </c>
      <c r="M74" s="762">
        <v>0.114</v>
      </c>
      <c r="N74" s="1196">
        <f t="shared" si="46"/>
        <v>0.114</v>
      </c>
      <c r="O74" s="645">
        <f t="shared" ref="O74:O93" si="50">+ROUND((M74+N74)/2,3)</f>
        <v>0.114</v>
      </c>
      <c r="P74" s="727">
        <v>85</v>
      </c>
      <c r="Q74" s="1476">
        <v>90.7</v>
      </c>
      <c r="R74" s="706">
        <v>3970.8</v>
      </c>
      <c r="S74" s="1164">
        <v>95</v>
      </c>
      <c r="U74" s="1146">
        <f>_xlfn.XLOOKUP(D74,RUC!$B$3:$B$123,RUC!$F$3:$F$123)</f>
        <v>80</v>
      </c>
      <c r="V74" s="715">
        <v>1.1023000000000001</v>
      </c>
      <c r="Y74">
        <f>_xlfn.XLOOKUP(D74,RUC!$B$3:$B$123,RUC!$G$3:$G$123)</f>
        <v>0</v>
      </c>
      <c r="Z74" s="143">
        <f>_xlfn.XLOOKUP(D74,RUC!$B$3:$B$123,RUC!$H$3:$H$123)</f>
        <v>10</v>
      </c>
      <c r="AA74" s="144">
        <f t="shared" si="37"/>
        <v>10</v>
      </c>
      <c r="AB74" s="145">
        <f t="shared" si="48"/>
        <v>299.84601459599997</v>
      </c>
      <c r="AC74" s="145">
        <f>+(S74-T74)*V74-'data 1'!$F$4</f>
        <v>24.718500000000006</v>
      </c>
      <c r="AD74" s="145">
        <f t="shared" si="38"/>
        <v>31.535758460520025</v>
      </c>
      <c r="AE74" s="145">
        <f t="shared" si="39"/>
        <v>-58.977000000000004</v>
      </c>
      <c r="AF74" s="145">
        <f t="shared" si="40"/>
        <v>58.3495163682</v>
      </c>
      <c r="AG74" s="772">
        <f t="shared" si="49"/>
        <v>125.62677482872003</v>
      </c>
      <c r="AH74" s="1253">
        <f t="shared" si="41"/>
        <v>17.489999999999998</v>
      </c>
      <c r="AI74" s="1253">
        <f t="shared" si="42"/>
        <v>19.283000000000001</v>
      </c>
      <c r="AJ74" s="156">
        <f t="shared" si="43"/>
        <v>7.6351664884799781</v>
      </c>
      <c r="AK74" s="156">
        <f t="shared" si="44"/>
        <v>14.485027884916203</v>
      </c>
      <c r="AL74" s="88"/>
      <c r="AM74" s="716">
        <f t="shared" si="45"/>
        <v>1307.32862363856</v>
      </c>
      <c r="AN74" s="716" t="str">
        <f>_xlfn.XLOOKUP(D74,RUC!$B$3:$B$578,RUC!$M$3:$M$578)</f>
        <v>Melchor Vera</v>
      </c>
      <c r="AO74" s="1167" t="s">
        <v>2280</v>
      </c>
      <c r="AP74" t="s">
        <v>3254</v>
      </c>
      <c r="AQ74" t="s">
        <v>3255</v>
      </c>
    </row>
    <row r="75" spans="1:43" ht="15" customHeight="1">
      <c r="A75" s="747" t="s">
        <v>3252</v>
      </c>
      <c r="B75" s="595">
        <v>45965</v>
      </c>
      <c r="C75" s="1447">
        <v>45957</v>
      </c>
      <c r="D75" t="s">
        <v>1671</v>
      </c>
      <c r="E75" s="762">
        <f>_xlfn.XLOOKUP(D75,RUC!$B$3:$B$123,RUC!$D$3:$D$123)</f>
        <v>20517242919</v>
      </c>
      <c r="G75" s="1082">
        <v>24</v>
      </c>
      <c r="H75" s="762" t="s">
        <v>69</v>
      </c>
      <c r="I75" s="703">
        <v>2.14</v>
      </c>
      <c r="J75" s="596">
        <v>1.2</v>
      </c>
      <c r="K75" s="703">
        <f t="shared" si="35"/>
        <v>2.1139999999999999</v>
      </c>
      <c r="L75" s="762">
        <v>0.13400000000000001</v>
      </c>
      <c r="M75" s="762">
        <v>0.11899999999999999</v>
      </c>
      <c r="N75" s="1196">
        <f t="shared" si="46"/>
        <v>0.11899999999999999</v>
      </c>
      <c r="O75" s="645">
        <f t="shared" si="50"/>
        <v>0.11899999999999999</v>
      </c>
      <c r="P75" s="727">
        <v>85</v>
      </c>
      <c r="Q75" s="1476">
        <v>97.76</v>
      </c>
      <c r="R75" s="706">
        <v>3970.8</v>
      </c>
      <c r="S75" s="1164">
        <v>95</v>
      </c>
      <c r="U75" s="1146">
        <f>_xlfn.XLOOKUP(D75,RUC!$B$3:$B$123,RUC!$F$3:$F$123)</f>
        <v>80</v>
      </c>
      <c r="V75" s="715">
        <v>1.1023000000000001</v>
      </c>
      <c r="Y75">
        <f>_xlfn.XLOOKUP(D75,RUC!$B$3:$B$123,RUC!$G$3:$G$123)</f>
        <v>0</v>
      </c>
      <c r="Z75" s="143">
        <f>_xlfn.XLOOKUP(D75,RUC!$B$3:$B$123,RUC!$H$3:$H$123)</f>
        <v>10</v>
      </c>
      <c r="AA75" s="144">
        <f t="shared" si="37"/>
        <v>10</v>
      </c>
      <c r="AB75" s="145">
        <f t="shared" si="48"/>
        <v>318.07353716600005</v>
      </c>
      <c r="AC75" s="145">
        <f>+(S75-T75)*V75-'data 1'!$F$4</f>
        <v>24.718500000000006</v>
      </c>
      <c r="AD75" s="145">
        <f t="shared" si="38"/>
        <v>73.332111037856052</v>
      </c>
      <c r="AE75" s="145">
        <f t="shared" si="39"/>
        <v>-58.977000000000004</v>
      </c>
      <c r="AF75" s="145">
        <f t="shared" si="40"/>
        <v>62.891386109760063</v>
      </c>
      <c r="AG75" s="772">
        <f t="shared" si="49"/>
        <v>171.96499714761612</v>
      </c>
      <c r="AH75" s="1253">
        <f t="shared" si="41"/>
        <v>9.4949999999999992</v>
      </c>
      <c r="AI75" s="1253">
        <f t="shared" si="42"/>
        <v>9.7119999999999997</v>
      </c>
      <c r="AJ75" s="156">
        <f t="shared" si="43"/>
        <v>8.5484525501439759</v>
      </c>
      <c r="AK75" s="156">
        <f t="shared" si="44"/>
        <v>7.3312822406583544</v>
      </c>
      <c r="AL75" s="88"/>
      <c r="AM75" s="716">
        <f t="shared" si="45"/>
        <v>672.40745756892409</v>
      </c>
      <c r="AN75" s="716" t="str">
        <f>_xlfn.XLOOKUP(D75,RUC!$B$3:$B$578,RUC!$M$3:$M$578)</f>
        <v>Melchor Vera</v>
      </c>
      <c r="AO75" s="1167" t="s">
        <v>2280</v>
      </c>
      <c r="AP75" t="s">
        <v>3254</v>
      </c>
      <c r="AQ75" t="s">
        <v>3255</v>
      </c>
    </row>
    <row r="76" spans="1:43" ht="15" customHeight="1">
      <c r="A76" s="747" t="s">
        <v>3253</v>
      </c>
      <c r="B76" s="595">
        <v>45965</v>
      </c>
      <c r="C76" s="1447">
        <v>45957</v>
      </c>
      <c r="D76" t="s">
        <v>1671</v>
      </c>
      <c r="E76" s="762">
        <f>_xlfn.XLOOKUP(D76,RUC!$B$3:$B$123,RUC!$D$3:$D$123)</f>
        <v>20517242919</v>
      </c>
      <c r="G76" s="1082">
        <v>91</v>
      </c>
      <c r="H76" s="762" t="s">
        <v>69</v>
      </c>
      <c r="I76" s="703">
        <v>8.19</v>
      </c>
      <c r="J76" s="596">
        <v>1.2</v>
      </c>
      <c r="K76" s="703">
        <f t="shared" si="35"/>
        <v>8.0920000000000005</v>
      </c>
      <c r="L76" s="762">
        <v>0.16900000000000001</v>
      </c>
      <c r="M76" s="762">
        <v>0.154</v>
      </c>
      <c r="N76" s="1444">
        <v>0.17899999999999999</v>
      </c>
      <c r="O76" s="645">
        <f t="shared" si="50"/>
        <v>0.16700000000000001</v>
      </c>
      <c r="P76" s="727">
        <v>85</v>
      </c>
      <c r="Q76" s="1476">
        <v>94.08</v>
      </c>
      <c r="R76" s="706">
        <v>3970.8</v>
      </c>
      <c r="S76" s="1164">
        <v>95</v>
      </c>
      <c r="U76" s="1146">
        <f>_xlfn.XLOOKUP(D76,RUC!$B$3:$B$123,RUC!$F$3:$F$123)</f>
        <v>80</v>
      </c>
      <c r="V76" s="715">
        <v>1.1023000000000001</v>
      </c>
      <c r="Y76">
        <f>_xlfn.XLOOKUP(D76,RUC!$B$3:$B$123,RUC!$G$3:$G$123)</f>
        <v>0</v>
      </c>
      <c r="Z76" s="143">
        <f>_xlfn.XLOOKUP(D76,RUC!$B$3:$B$123,RUC!$H$3:$H$123)</f>
        <v>10</v>
      </c>
      <c r="AA76" s="144">
        <f t="shared" si="37"/>
        <v>10</v>
      </c>
      <c r="AB76" s="145">
        <f t="shared" si="48"/>
        <v>493.05775383800011</v>
      </c>
      <c r="AC76" s="145">
        <f>+(S76-T76)*V76-'data 1'!$F$4</f>
        <v>24.718500000000006</v>
      </c>
      <c r="AD76" s="145">
        <f t="shared" si="38"/>
        <v>65.812936315567995</v>
      </c>
      <c r="AE76" s="145">
        <f t="shared" si="39"/>
        <v>-58.977000000000004</v>
      </c>
      <c r="AF76" s="145">
        <f t="shared" si="40"/>
        <v>8.0698603453440079</v>
      </c>
      <c r="AG76" s="772">
        <f>AC76+AD76+AE76+AF76+70</f>
        <v>109.62429666091201</v>
      </c>
      <c r="AH76" s="1253">
        <f t="shared" si="41"/>
        <v>44.110999999999997</v>
      </c>
      <c r="AI76" s="1253">
        <f t="shared" si="42"/>
        <v>46.887</v>
      </c>
      <c r="AJ76" s="156">
        <f t="shared" si="43"/>
        <v>10.37541621043197</v>
      </c>
      <c r="AK76" s="156">
        <f t="shared" si="44"/>
        <v>39.382233266280174</v>
      </c>
      <c r="AL76" s="88"/>
      <c r="AM76" s="716">
        <f t="shared" si="45"/>
        <v>3989.8233440570971</v>
      </c>
      <c r="AN76" s="716" t="str">
        <f>_xlfn.XLOOKUP(D76,RUC!$B$3:$B$578,RUC!$M$3:$M$578)</f>
        <v>Melchor Vera</v>
      </c>
      <c r="AO76" s="1167" t="s">
        <v>2280</v>
      </c>
      <c r="AP76" t="s">
        <v>3254</v>
      </c>
      <c r="AQ76" t="s">
        <v>3255</v>
      </c>
    </row>
    <row r="77" spans="1:43" ht="15" customHeight="1">
      <c r="A77" s="747" t="s">
        <v>3259</v>
      </c>
      <c r="B77" s="595">
        <v>45963</v>
      </c>
      <c r="C77" s="1447">
        <v>45958</v>
      </c>
      <c r="D77" s="665" t="s">
        <v>2444</v>
      </c>
      <c r="E77" s="762">
        <f>_xlfn.XLOOKUP(D77,RUC!$B$3:$B$123,RUC!$D$3:$D$123)</f>
        <v>20608774000</v>
      </c>
      <c r="G77" s="1082">
        <v>22</v>
      </c>
      <c r="H77" s="762" t="s">
        <v>69</v>
      </c>
      <c r="I77" s="703">
        <v>2.2599999999999998</v>
      </c>
      <c r="J77" s="596">
        <v>2.7</v>
      </c>
      <c r="K77" s="703">
        <f t="shared" si="35"/>
        <v>2.1989999999999998</v>
      </c>
      <c r="L77" s="762">
        <v>0.246</v>
      </c>
      <c r="M77" s="762">
        <v>0.23100000000000001</v>
      </c>
      <c r="N77" s="1196">
        <f t="shared" si="46"/>
        <v>0.23100000000000001</v>
      </c>
      <c r="O77" s="645">
        <f t="shared" si="50"/>
        <v>0.23100000000000001</v>
      </c>
      <c r="P77" s="727">
        <v>90</v>
      </c>
      <c r="Q77" s="1476">
        <v>94.72</v>
      </c>
      <c r="R77" s="1503">
        <v>3948.5</v>
      </c>
      <c r="S77" s="765">
        <f>IF((_xlfn.XLOOKUP(D77,RUC!$B$3:$B$119,RUC!$E$3:$E$119)+ROUNDDOWN(O77,1)*100)&lt;95,95,((_xlfn.XLOOKUP(D77,RUC!$B$3:$B$119,RUC!$E$3:$E$119)+ROUNDDOWN(O77,1)*100)))</f>
        <v>105</v>
      </c>
      <c r="U77" s="1146">
        <f>_xlfn.XLOOKUP(D77,RUC!$B$3:$B$123,RUC!$F$3:$F$123)</f>
        <v>120</v>
      </c>
      <c r="V77" s="715">
        <v>1.1023000000000001</v>
      </c>
      <c r="Y77">
        <f>_xlfn.XLOOKUP(D77,RUC!$B$3:$B$123,RUC!$G$3:$G$123)</f>
        <v>20</v>
      </c>
      <c r="Z77" s="1454">
        <v>35</v>
      </c>
      <c r="AA77" s="144">
        <f t="shared" si="37"/>
        <v>55</v>
      </c>
      <c r="AB77" s="145">
        <f>+((O77*P77*(R77-U77)/100)-S77-AA77+T77)*V77</f>
        <v>701.00233884500017</v>
      </c>
      <c r="AC77" s="145">
        <f>+(S77-T77)*V77-'data 1'!$F$4</f>
        <v>35.741500000000002</v>
      </c>
      <c r="AD77" s="145">
        <f t="shared" si="38"/>
        <v>49.001070122159987</v>
      </c>
      <c r="AE77" s="145">
        <f t="shared" si="39"/>
        <v>-9.3734999999999999</v>
      </c>
      <c r="AF77" s="145">
        <f t="shared" si="40"/>
        <v>59.959970054399946</v>
      </c>
      <c r="AG77" s="772">
        <f t="shared" ref="AG77:AG86" si="51">AC77+AD77+AE77+AF77+70-53</f>
        <v>152.32904017655994</v>
      </c>
      <c r="AH77" s="1253">
        <f t="shared" si="41"/>
        <v>17.568000000000001</v>
      </c>
      <c r="AI77" s="1253">
        <f t="shared" si="42"/>
        <v>18.547000000000001</v>
      </c>
      <c r="AJ77" s="156">
        <f t="shared" si="43"/>
        <v>31.20706185984</v>
      </c>
      <c r="AK77" s="156">
        <f t="shared" si="44"/>
        <v>15.674322854133404</v>
      </c>
      <c r="AL77" s="88"/>
      <c r="AM77" s="716">
        <f t="shared" si="45"/>
        <v>1541.5041431201553</v>
      </c>
      <c r="AN77" s="716" t="str">
        <f>_xlfn.XLOOKUP(D77,RUC!$B$3:$B$578,RUC!$M$3:$M$578)</f>
        <v>Ronald Miranda</v>
      </c>
      <c r="AO77" s="1167" t="s">
        <v>2278</v>
      </c>
      <c r="AP77" t="s">
        <v>3283</v>
      </c>
      <c r="AQ77" t="s">
        <v>2839</v>
      </c>
    </row>
    <row r="78" spans="1:43" ht="15" customHeight="1">
      <c r="A78" s="747" t="s">
        <v>3260</v>
      </c>
      <c r="B78" s="595">
        <v>45963</v>
      </c>
      <c r="C78" s="1447">
        <v>45958</v>
      </c>
      <c r="D78" s="665" t="s">
        <v>2444</v>
      </c>
      <c r="E78" s="762">
        <f>_xlfn.XLOOKUP(D78,RUC!$B$3:$B$123,RUC!$D$3:$D$123)</f>
        <v>20608774000</v>
      </c>
      <c r="G78" s="1082">
        <v>18</v>
      </c>
      <c r="H78" s="762" t="s">
        <v>69</v>
      </c>
      <c r="I78" s="703">
        <v>1.37</v>
      </c>
      <c r="J78" s="596">
        <v>1.3</v>
      </c>
      <c r="K78" s="703">
        <f t="shared" si="35"/>
        <v>1.3520000000000001</v>
      </c>
      <c r="L78" s="762">
        <v>1.0680000000000001</v>
      </c>
      <c r="M78" s="762">
        <v>1.0149999999999999</v>
      </c>
      <c r="N78" s="1196">
        <f t="shared" si="46"/>
        <v>1.0149999999999999</v>
      </c>
      <c r="O78" s="645">
        <f t="shared" si="50"/>
        <v>1.0149999999999999</v>
      </c>
      <c r="P78" s="727">
        <v>90</v>
      </c>
      <c r="Q78" s="1476">
        <v>94.85</v>
      </c>
      <c r="R78" s="1503">
        <v>3948.5</v>
      </c>
      <c r="S78" s="765">
        <f>IF((_xlfn.XLOOKUP(D78,RUC!$B$3:$B$119,RUC!$E$3:$E$119)+ROUNDDOWN(O78,1)*100)&lt;95,95,((_xlfn.XLOOKUP(D78,RUC!$B$3:$B$119,RUC!$E$3:$E$119)+ROUNDDOWN(O78,1)*100)))</f>
        <v>185</v>
      </c>
      <c r="U78" s="1146">
        <f>_xlfn.XLOOKUP(D78,RUC!$B$3:$B$123,RUC!$F$3:$F$123)</f>
        <v>120</v>
      </c>
      <c r="V78" s="715">
        <v>1.1023000000000001</v>
      </c>
      <c r="Y78">
        <f>_xlfn.XLOOKUP(D78,RUC!$B$3:$B$123,RUC!$G$3:$G$123)</f>
        <v>20</v>
      </c>
      <c r="Z78" s="1454">
        <v>35</v>
      </c>
      <c r="AA78" s="144">
        <f t="shared" si="37"/>
        <v>55</v>
      </c>
      <c r="AB78" s="145">
        <f t="shared" si="48"/>
        <v>3590.5600949250002</v>
      </c>
      <c r="AC78" s="145">
        <f>+(S78-T78)*V78-'data 1'!$F$4</f>
        <v>123.9255</v>
      </c>
      <c r="AD78" s="145">
        <f t="shared" si="38"/>
        <v>218.59561717889974</v>
      </c>
      <c r="AE78" s="145">
        <f t="shared" si="39"/>
        <v>-9.3734999999999999</v>
      </c>
      <c r="AF78" s="145">
        <f t="shared" si="40"/>
        <v>212.14932957627562</v>
      </c>
      <c r="AG78" s="772">
        <f t="shared" si="51"/>
        <v>562.29694675517544</v>
      </c>
      <c r="AH78" s="1253">
        <f t="shared" si="41"/>
        <v>46.956000000000003</v>
      </c>
      <c r="AI78" s="1253">
        <f t="shared" si="42"/>
        <v>49.506</v>
      </c>
      <c r="AJ78" s="156">
        <f t="shared" si="43"/>
        <v>135.6702649911</v>
      </c>
      <c r="AK78" s="156">
        <f t="shared" si="44"/>
        <v>42.344237081928597</v>
      </c>
      <c r="AL78" s="88"/>
      <c r="AM78" s="716">
        <f t="shared" si="45"/>
        <v>4854.4372483386005</v>
      </c>
      <c r="AN78" s="716" t="str">
        <f>_xlfn.XLOOKUP(D78,RUC!$B$3:$B$578,RUC!$M$3:$M$578)</f>
        <v>Ronald Miranda</v>
      </c>
      <c r="AO78" s="1167" t="s">
        <v>2279</v>
      </c>
      <c r="AP78" t="s">
        <v>3283</v>
      </c>
      <c r="AQ78" t="s">
        <v>2839</v>
      </c>
    </row>
    <row r="79" spans="1:43" ht="15" customHeight="1">
      <c r="A79" s="747" t="s">
        <v>3261</v>
      </c>
      <c r="B79" s="595">
        <v>45963</v>
      </c>
      <c r="C79" s="1447">
        <v>45958</v>
      </c>
      <c r="D79" s="665" t="s">
        <v>93</v>
      </c>
      <c r="E79" s="762">
        <f>_xlfn.XLOOKUP(D79,RUC!$B$3:$B$123,RUC!$D$3:$D$123)</f>
        <v>20169040231</v>
      </c>
      <c r="G79" s="1082">
        <v>44</v>
      </c>
      <c r="H79" s="762" t="s">
        <v>69</v>
      </c>
      <c r="I79" s="703">
        <v>4.49</v>
      </c>
      <c r="J79" s="596">
        <v>1.25</v>
      </c>
      <c r="K79" s="703">
        <f t="shared" si="35"/>
        <v>4.4340000000000002</v>
      </c>
      <c r="L79" s="994">
        <v>0.156</v>
      </c>
      <c r="M79" s="762">
        <v>0.14099999999999999</v>
      </c>
      <c r="N79" s="1196">
        <f t="shared" si="46"/>
        <v>0.14099999999999999</v>
      </c>
      <c r="O79" s="645">
        <f t="shared" si="50"/>
        <v>0.14099999999999999</v>
      </c>
      <c r="P79" s="727">
        <v>85</v>
      </c>
      <c r="Q79" s="1476">
        <v>87.82</v>
      </c>
      <c r="R79" s="1503">
        <v>3948.5</v>
      </c>
      <c r="S79" s="765">
        <f>IF((_xlfn.XLOOKUP(D79,RUC!$B$3:$B$119,RUC!$E$3:$E$119)+ROUNDDOWN(O79,1)*100)&lt;95,95,((_xlfn.XLOOKUP(D79,RUC!$B$3:$B$119,RUC!$E$3:$E$119)+ROUNDDOWN(O79,1)*100)))</f>
        <v>95</v>
      </c>
      <c r="U79" s="1146">
        <f>_xlfn.XLOOKUP(D79,RUC!$B$3:$B$123,RUC!$F$3:$F$123)</f>
        <v>120</v>
      </c>
      <c r="V79" s="715">
        <v>1.1023000000000001</v>
      </c>
      <c r="Y79">
        <f>_xlfn.XLOOKUP(D79,RUC!$B$3:$B$123,RUC!$G$3:$G$123)</f>
        <v>20</v>
      </c>
      <c r="Z79" s="1454">
        <v>35</v>
      </c>
      <c r="AA79" s="144">
        <f t="shared" si="37"/>
        <v>55</v>
      </c>
      <c r="AB79" s="145">
        <f t="shared" si="48"/>
        <v>340.44064266749996</v>
      </c>
      <c r="AC79" s="145">
        <f>+(S79-T79)*V79-'data 1'!$F$4</f>
        <v>24.718500000000006</v>
      </c>
      <c r="AD79" s="145">
        <f t="shared" si="38"/>
        <v>18.565308295559955</v>
      </c>
      <c r="AE79" s="145">
        <f t="shared" si="39"/>
        <v>-9.3734999999999999</v>
      </c>
      <c r="AF79" s="145">
        <f t="shared" si="40"/>
        <v>55.592109060150051</v>
      </c>
      <c r="AG79" s="772">
        <f t="shared" si="51"/>
        <v>106.50241735571001</v>
      </c>
      <c r="AH79" s="1253">
        <f t="shared" si="41"/>
        <v>20.827000000000002</v>
      </c>
      <c r="AI79" s="1253">
        <f t="shared" si="42"/>
        <v>23.715</v>
      </c>
      <c r="AJ79" s="156">
        <f t="shared" si="43"/>
        <v>18.348227506440001</v>
      </c>
      <c r="AK79" s="156">
        <f t="shared" si="44"/>
        <v>18.219766062051946</v>
      </c>
      <c r="AL79" s="88"/>
      <c r="AM79" s="716">
        <f t="shared" si="45"/>
        <v>1509.5138095876948</v>
      </c>
      <c r="AN79" s="716" t="str">
        <f>_xlfn.XLOOKUP(D79,RUC!$B$3:$B$578,RUC!$M$3:$M$578)</f>
        <v>Ronald Miranda</v>
      </c>
      <c r="AO79" s="1167" t="s">
        <v>2279</v>
      </c>
      <c r="AP79" t="s">
        <v>3282</v>
      </c>
      <c r="AQ79" t="s">
        <v>3066</v>
      </c>
    </row>
    <row r="80" spans="1:43" ht="15" customHeight="1">
      <c r="A80" s="747" t="s">
        <v>3262</v>
      </c>
      <c r="B80" s="595">
        <v>45963</v>
      </c>
      <c r="C80" s="1447">
        <v>45958</v>
      </c>
      <c r="D80" s="665" t="s">
        <v>93</v>
      </c>
      <c r="E80" s="762">
        <f>_xlfn.XLOOKUP(D80,RUC!$B$3:$B$123,RUC!$D$3:$D$123)</f>
        <v>20169040231</v>
      </c>
      <c r="G80" s="1082">
        <v>45</v>
      </c>
      <c r="H80" s="762" t="s">
        <v>69</v>
      </c>
      <c r="I80" s="703">
        <v>4.7</v>
      </c>
      <c r="J80" s="596">
        <v>1.2</v>
      </c>
      <c r="K80" s="703">
        <f t="shared" si="35"/>
        <v>4.6440000000000001</v>
      </c>
      <c r="L80" s="994">
        <v>0.16400000000000001</v>
      </c>
      <c r="M80" s="762">
        <v>0.14899999999999999</v>
      </c>
      <c r="N80" s="1196">
        <f t="shared" si="46"/>
        <v>0.14899999999999999</v>
      </c>
      <c r="O80" s="645">
        <f t="shared" si="50"/>
        <v>0.14899999999999999</v>
      </c>
      <c r="P80" s="727">
        <v>85</v>
      </c>
      <c r="Q80" s="1476">
        <v>87.8</v>
      </c>
      <c r="R80" s="1503">
        <v>3948.5</v>
      </c>
      <c r="S80" s="765">
        <f>IF((_xlfn.XLOOKUP(D80,RUC!$B$3:$B$119,RUC!$E$3:$E$119)+ROUNDDOWN(O80,1)*100)&lt;95,95,((_xlfn.XLOOKUP(D80,RUC!$B$3:$B$119,RUC!$E$3:$E$119)+ROUNDDOWN(O80,1)*100)))</f>
        <v>95</v>
      </c>
      <c r="U80" s="1146">
        <f>_xlfn.XLOOKUP(D80,RUC!$B$3:$B$123,RUC!$F$3:$F$123)</f>
        <v>120</v>
      </c>
      <c r="V80" s="715">
        <v>1.1023000000000001</v>
      </c>
      <c r="Y80">
        <f>_xlfn.XLOOKUP(D80,RUC!$B$3:$B$123,RUC!$G$3:$G$123)</f>
        <v>20</v>
      </c>
      <c r="Z80" s="1454">
        <v>35</v>
      </c>
      <c r="AA80" s="144">
        <f t="shared" si="37"/>
        <v>55</v>
      </c>
      <c r="AB80" s="145">
        <f t="shared" si="48"/>
        <v>369.13770040750001</v>
      </c>
      <c r="AC80" s="145">
        <f>+(S80-T80)*V80-'data 1'!$F$4</f>
        <v>24.718500000000006</v>
      </c>
      <c r="AD80" s="145">
        <f t="shared" si="38"/>
        <v>19.378954285599981</v>
      </c>
      <c r="AE80" s="145">
        <f t="shared" si="39"/>
        <v>-9.3734999999999999</v>
      </c>
      <c r="AF80" s="145">
        <f t="shared" si="40"/>
        <v>55.579448593500054</v>
      </c>
      <c r="AG80" s="772">
        <f t="shared" si="51"/>
        <v>107.30340287910005</v>
      </c>
      <c r="AH80" s="1253">
        <f t="shared" si="41"/>
        <v>22.927</v>
      </c>
      <c r="AI80" s="1253">
        <f t="shared" si="42"/>
        <v>26.111999999999998</v>
      </c>
      <c r="AJ80" s="156">
        <f t="shared" si="43"/>
        <v>19.284769364400002</v>
      </c>
      <c r="AK80" s="156">
        <f t="shared" si="44"/>
        <v>20.165382977496929</v>
      </c>
      <c r="AL80" s="88"/>
      <c r="AM80" s="716">
        <f t="shared" si="45"/>
        <v>1714.2754806924302</v>
      </c>
      <c r="AN80" s="716" t="str">
        <f>_xlfn.XLOOKUP(D80,RUC!$B$3:$B$578,RUC!$M$3:$M$578)</f>
        <v>Ronald Miranda</v>
      </c>
      <c r="AO80" s="1167" t="s">
        <v>2279</v>
      </c>
      <c r="AP80" t="s">
        <v>3282</v>
      </c>
      <c r="AQ80" t="s">
        <v>3066</v>
      </c>
    </row>
    <row r="81" spans="1:44" ht="15" customHeight="1">
      <c r="A81" s="747" t="s">
        <v>3263</v>
      </c>
      <c r="B81" s="595">
        <v>45963</v>
      </c>
      <c r="C81" s="1447">
        <v>45958</v>
      </c>
      <c r="D81" s="665" t="s">
        <v>93</v>
      </c>
      <c r="E81" s="762">
        <f>_xlfn.XLOOKUP(D81,RUC!$B$3:$B$123,RUC!$D$3:$D$123)</f>
        <v>20169040231</v>
      </c>
      <c r="G81" s="1082">
        <v>66</v>
      </c>
      <c r="H81" s="762" t="s">
        <v>69</v>
      </c>
      <c r="I81" s="703">
        <v>6.38</v>
      </c>
      <c r="J81" s="596">
        <v>1.1499999999999999</v>
      </c>
      <c r="K81" s="703">
        <f t="shared" si="35"/>
        <v>6.3070000000000004</v>
      </c>
      <c r="L81" s="994">
        <v>0.15</v>
      </c>
      <c r="M81" s="762">
        <v>0.13500000000000001</v>
      </c>
      <c r="N81" s="1196">
        <f t="shared" si="46"/>
        <v>0.13500000000000001</v>
      </c>
      <c r="O81" s="645">
        <f t="shared" si="50"/>
        <v>0.13500000000000001</v>
      </c>
      <c r="P81" s="727">
        <v>85</v>
      </c>
      <c r="Q81" s="1476">
        <v>91.33</v>
      </c>
      <c r="R81" s="1503">
        <v>3948.5</v>
      </c>
      <c r="S81" s="765">
        <f>IF((_xlfn.XLOOKUP(D81,RUC!$B$3:$B$119,RUC!$E$3:$E$119)+ROUNDDOWN(O81,1)*100)&lt;95,95,((_xlfn.XLOOKUP(D81,RUC!$B$3:$B$119,RUC!$E$3:$E$119)+ROUNDDOWN(O81,1)*100)))</f>
        <v>95</v>
      </c>
      <c r="U81" s="1146">
        <f>_xlfn.XLOOKUP(D81,RUC!$B$3:$B$123,RUC!$F$3:$F$123)</f>
        <v>120</v>
      </c>
      <c r="V81" s="715">
        <v>1.1023000000000001</v>
      </c>
      <c r="Y81">
        <f>_xlfn.XLOOKUP(D81,RUC!$B$3:$B$123,RUC!$G$3:$G$123)</f>
        <v>20</v>
      </c>
      <c r="Z81" s="1454">
        <v>35</v>
      </c>
      <c r="AA81" s="144">
        <f t="shared" si="37"/>
        <v>55</v>
      </c>
      <c r="AB81" s="145">
        <f t="shared" si="48"/>
        <v>318.91784936250008</v>
      </c>
      <c r="AC81" s="145">
        <f>+(S81-T81)*V81-'data 1'!$F$4</f>
        <v>24.718500000000006</v>
      </c>
      <c r="AD81" s="145">
        <f t="shared" si="38"/>
        <v>40.07037694724999</v>
      </c>
      <c r="AE81" s="145">
        <f t="shared" si="39"/>
        <v>-9.3734999999999999</v>
      </c>
      <c r="AF81" s="145">
        <f t="shared" si="40"/>
        <v>57.814020957224947</v>
      </c>
      <c r="AG81" s="772">
        <f t="shared" si="51"/>
        <v>130.22939790447495</v>
      </c>
      <c r="AH81" s="1253">
        <f t="shared" si="41"/>
        <v>29.623999999999999</v>
      </c>
      <c r="AI81" s="1253">
        <f t="shared" si="42"/>
        <v>32.436</v>
      </c>
      <c r="AJ81" s="156">
        <f t="shared" si="43"/>
        <v>18.347665002749999</v>
      </c>
      <c r="AK81" s="156">
        <f t="shared" si="44"/>
        <v>24.813303893997418</v>
      </c>
      <c r="AL81" s="88"/>
      <c r="AM81" s="716">
        <f t="shared" si="45"/>
        <v>2011.4148759292882</v>
      </c>
      <c r="AN81" s="716" t="str">
        <f>_xlfn.XLOOKUP(D81,RUC!$B$3:$B$578,RUC!$M$3:$M$578)</f>
        <v>Ronald Miranda</v>
      </c>
      <c r="AO81" s="1167" t="s">
        <v>2279</v>
      </c>
      <c r="AP81" t="s">
        <v>3282</v>
      </c>
      <c r="AQ81" t="s">
        <v>3066</v>
      </c>
    </row>
    <row r="82" spans="1:44" ht="15" customHeight="1">
      <c r="A82" s="747" t="s">
        <v>3264</v>
      </c>
      <c r="B82" s="595">
        <v>45963</v>
      </c>
      <c r="C82" s="1447">
        <v>45958</v>
      </c>
      <c r="D82" s="665" t="s">
        <v>93</v>
      </c>
      <c r="E82" s="762">
        <f>_xlfn.XLOOKUP(D82,RUC!$B$3:$B$123,RUC!$D$3:$D$123)</f>
        <v>20169040231</v>
      </c>
      <c r="G82" s="1082">
        <v>65</v>
      </c>
      <c r="H82" s="762" t="s">
        <v>69</v>
      </c>
      <c r="I82" s="703">
        <v>6.35</v>
      </c>
      <c r="J82" s="596">
        <v>1.25</v>
      </c>
      <c r="K82" s="703">
        <f t="shared" si="35"/>
        <v>6.2709999999999999</v>
      </c>
      <c r="L82" s="994">
        <v>0.159</v>
      </c>
      <c r="M82" s="762">
        <v>0.14399999999999999</v>
      </c>
      <c r="N82" s="1196">
        <f t="shared" si="46"/>
        <v>0.14399999999999999</v>
      </c>
      <c r="O82" s="645">
        <f t="shared" si="50"/>
        <v>0.14399999999999999</v>
      </c>
      <c r="P82" s="727">
        <v>85</v>
      </c>
      <c r="Q82" s="1476">
        <v>87.42</v>
      </c>
      <c r="R82" s="1503">
        <v>3948.5</v>
      </c>
      <c r="S82" s="765">
        <f>IF((_xlfn.XLOOKUP(D82,RUC!$B$3:$B$119,RUC!$E$3:$E$119)+ROUNDDOWN(O82,1)*100)&lt;95,95,((_xlfn.XLOOKUP(D82,RUC!$B$3:$B$119,RUC!$E$3:$E$119)+ROUNDDOWN(O82,1)*100)))</f>
        <v>95</v>
      </c>
      <c r="U82" s="1146">
        <f>_xlfn.XLOOKUP(D82,RUC!$B$3:$B$123,RUC!$F$3:$F$123)</f>
        <v>120</v>
      </c>
      <c r="V82" s="715">
        <v>1.1023000000000001</v>
      </c>
      <c r="Y82">
        <f>_xlfn.XLOOKUP(D82,RUC!$B$3:$B$123,RUC!$G$3:$G$123)</f>
        <v>20</v>
      </c>
      <c r="Z82" s="1454">
        <v>35</v>
      </c>
      <c r="AA82" s="144">
        <f t="shared" si="37"/>
        <v>55</v>
      </c>
      <c r="AB82" s="145">
        <f t="shared" si="48"/>
        <v>351.20203931999998</v>
      </c>
      <c r="AC82" s="145">
        <f>+(S82-T82)*V82-'data 1'!$F$4</f>
        <v>24.718500000000006</v>
      </c>
      <c r="AD82" s="145">
        <f t="shared" si="38"/>
        <v>16.238314525290015</v>
      </c>
      <c r="AE82" s="145">
        <f t="shared" si="39"/>
        <v>-9.3734999999999999</v>
      </c>
      <c r="AF82" s="145">
        <f t="shared" si="40"/>
        <v>55.338899727150057</v>
      </c>
      <c r="AG82" s="772">
        <f t="shared" si="51"/>
        <v>103.92221425244009</v>
      </c>
      <c r="AH82" s="1253">
        <f t="shared" si="41"/>
        <v>29.885000000000002</v>
      </c>
      <c r="AI82" s="1253">
        <f t="shared" si="42"/>
        <v>34.186</v>
      </c>
      <c r="AJ82" s="156">
        <f t="shared" si="43"/>
        <v>18.615898905210003</v>
      </c>
      <c r="AK82" s="156">
        <f t="shared" si="44"/>
        <v>26.316449019693714</v>
      </c>
      <c r="AL82" s="88"/>
      <c r="AM82" s="716">
        <f t="shared" si="45"/>
        <v>2202.3879885757196</v>
      </c>
      <c r="AN82" s="716" t="str">
        <f>_xlfn.XLOOKUP(D82,RUC!$B$3:$B$578,RUC!$M$3:$M$578)</f>
        <v>Ronald Miranda</v>
      </c>
      <c r="AO82" s="1167" t="s">
        <v>2279</v>
      </c>
      <c r="AP82" t="s">
        <v>3282</v>
      </c>
      <c r="AQ82" t="s">
        <v>3066</v>
      </c>
    </row>
    <row r="83" spans="1:44" ht="15" customHeight="1">
      <c r="A83" s="747" t="s">
        <v>3273</v>
      </c>
      <c r="B83" s="595">
        <v>45965</v>
      </c>
      <c r="C83" s="1447">
        <v>45959</v>
      </c>
      <c r="D83" t="s">
        <v>93</v>
      </c>
      <c r="E83" s="762">
        <f>_xlfn.XLOOKUP(D83,RUC!$B$3:$B$123,RUC!$D$3:$D$123)</f>
        <v>20169040231</v>
      </c>
      <c r="G83" s="1082">
        <v>27</v>
      </c>
      <c r="H83" s="762" t="s">
        <v>116</v>
      </c>
      <c r="I83" s="703">
        <v>2.48</v>
      </c>
      <c r="J83" s="596">
        <v>1.4</v>
      </c>
      <c r="K83" s="703">
        <f t="shared" si="35"/>
        <v>2.4449999999999998</v>
      </c>
      <c r="L83" s="762">
        <v>0.59499999999999997</v>
      </c>
      <c r="M83" s="762">
        <v>0.56499999999999995</v>
      </c>
      <c r="N83" s="1444">
        <v>0.626</v>
      </c>
      <c r="O83" s="645">
        <f t="shared" si="50"/>
        <v>0.59599999999999997</v>
      </c>
      <c r="P83" s="727">
        <v>90</v>
      </c>
      <c r="Q83" s="1476">
        <v>94.12</v>
      </c>
      <c r="R83" s="706">
        <v>4006.7</v>
      </c>
      <c r="S83" s="765">
        <f>IF((_xlfn.XLOOKUP(D83,RUC!$B$3:$B$119,RUC!$E$3:$E$119)+ROUNDDOWN(O83,1)*100)&lt;95,95,((_xlfn.XLOOKUP(D83,RUC!$B$3:$B$119,RUC!$E$3:$E$119)+ROUNDDOWN(O83,1)*100)))</f>
        <v>135</v>
      </c>
      <c r="U83" s="1146">
        <f>_xlfn.XLOOKUP(D83,RUC!$B$3:$B$123,RUC!$F$3:$F$123)</f>
        <v>120</v>
      </c>
      <c r="V83" s="715">
        <v>1.1023000000000001</v>
      </c>
      <c r="Y83">
        <f>_xlfn.XLOOKUP(D83,RUC!$B$3:$B$123,RUC!$G$3:$G$123)</f>
        <v>20</v>
      </c>
      <c r="Z83" s="1454">
        <v>35</v>
      </c>
      <c r="AA83" s="144">
        <f t="shared" si="37"/>
        <v>55</v>
      </c>
      <c r="AB83" s="145">
        <f>+((O83*P83*(R83-U83)/100)-S83-AA83+T83)*V83</f>
        <v>2088.6665675240001</v>
      </c>
      <c r="AC83" s="145">
        <f>+(S83-T83)*V83-'data 1'!$F$4</f>
        <v>68.810500000000019</v>
      </c>
      <c r="AD83" s="145">
        <f t="shared" si="38"/>
        <v>105.02556087674009</v>
      </c>
      <c r="AE83" s="145">
        <f t="shared" si="39"/>
        <v>-9.3734999999999999</v>
      </c>
      <c r="AF83" s="145">
        <f t="shared" si="40"/>
        <v>-4.032392016692004</v>
      </c>
      <c r="AG83" s="772">
        <f t="shared" si="51"/>
        <v>177.4301688600481</v>
      </c>
      <c r="AH83" s="1253">
        <f t="shared" si="41"/>
        <v>46.945</v>
      </c>
      <c r="AI83" s="1253">
        <f t="shared" si="42"/>
        <v>49.878</v>
      </c>
      <c r="AJ83" s="156">
        <f t="shared" si="43"/>
        <v>39.075307258260111</v>
      </c>
      <c r="AK83" s="156">
        <f t="shared" si="44"/>
        <v>44.965217856798901</v>
      </c>
      <c r="AL83" s="88"/>
      <c r="AM83" s="716">
        <f t="shared" si="45"/>
        <v>5106.7897575961797</v>
      </c>
      <c r="AN83" s="716" t="str">
        <f>_xlfn.XLOOKUP(D83,RUC!$B$3:$B$578,RUC!$M$3:$M$578)</f>
        <v>Ronald Miranda</v>
      </c>
      <c r="AO83" s="1167" t="s">
        <v>2279</v>
      </c>
      <c r="AP83" t="s">
        <v>3288</v>
      </c>
      <c r="AQ83" t="s">
        <v>2491</v>
      </c>
    </row>
    <row r="84" spans="1:44" ht="15" customHeight="1">
      <c r="A84" s="747" t="s">
        <v>3274</v>
      </c>
      <c r="B84" s="595">
        <v>45966</v>
      </c>
      <c r="C84" s="1447">
        <v>45959</v>
      </c>
      <c r="D84" t="s">
        <v>93</v>
      </c>
      <c r="E84" s="762">
        <f>_xlfn.XLOOKUP(D84,RUC!$B$3:$B$123,RUC!$D$3:$D$123)</f>
        <v>20169040231</v>
      </c>
      <c r="G84" s="1082">
        <v>24</v>
      </c>
      <c r="H84" s="762" t="s">
        <v>69</v>
      </c>
      <c r="I84" s="703">
        <v>2.0499999999999998</v>
      </c>
      <c r="J84" s="596">
        <v>1.2</v>
      </c>
      <c r="K84" s="703">
        <f t="shared" si="35"/>
        <v>2.0249999999999999</v>
      </c>
      <c r="L84" s="762">
        <v>0.26700000000000002</v>
      </c>
      <c r="M84" s="762">
        <v>0.252</v>
      </c>
      <c r="N84" s="1444">
        <v>0.32900000000000001</v>
      </c>
      <c r="O84" s="645">
        <f t="shared" si="50"/>
        <v>0.29099999999999998</v>
      </c>
      <c r="P84" s="727">
        <v>84</v>
      </c>
      <c r="Q84" s="1476">
        <v>84.27</v>
      </c>
      <c r="R84" s="706">
        <v>4006.7</v>
      </c>
      <c r="S84" s="765">
        <f>IF((_xlfn.XLOOKUP(D84,RUC!$B$3:$B$119,RUC!$E$3:$E$119)+ROUNDDOWN(O84,1)*100)&lt;95,95,((_xlfn.XLOOKUP(D84,RUC!$B$3:$B$119,RUC!$E$3:$E$119)+ROUNDDOWN(O84,1)*100)))</f>
        <v>105</v>
      </c>
      <c r="U84" s="1146">
        <f>_xlfn.XLOOKUP(D84,RUC!$B$3:$B$123,RUC!$F$3:$F$123)</f>
        <v>120</v>
      </c>
      <c r="V84" s="715">
        <v>1.1023000000000001</v>
      </c>
      <c r="Y84">
        <v>40</v>
      </c>
      <c r="Z84" s="1454">
        <v>35</v>
      </c>
      <c r="AA84" s="144">
        <f t="shared" si="37"/>
        <v>75</v>
      </c>
      <c r="AB84" s="145">
        <f t="shared" ref="AB84:AB86" si="52">+((O84*P84*(R84-U84)/100)-S84-AA84+T84)*V84</f>
        <v>848.84259218039983</v>
      </c>
      <c r="AC84" s="145">
        <f>+(S84-T84)*V84-'data 1'!$F$4</f>
        <v>35.741500000000002</v>
      </c>
      <c r="AD84" s="145">
        <f t="shared" si="38"/>
        <v>3.0885586536689544</v>
      </c>
      <c r="AE84" s="145">
        <f t="shared" si="39"/>
        <v>12.672499999999999</v>
      </c>
      <c r="AF84" s="145">
        <f t="shared" si="40"/>
        <v>-86.649300955367877</v>
      </c>
      <c r="AG84" s="772">
        <f t="shared" si="51"/>
        <v>-18.146742301698922</v>
      </c>
      <c r="AH84" s="1253">
        <f t="shared" si="41"/>
        <v>15.621</v>
      </c>
      <c r="AI84" s="1253">
        <f t="shared" si="42"/>
        <v>18.536999999999999</v>
      </c>
      <c r="AJ84" s="156">
        <f t="shared" si="43"/>
        <v>15.699570548031048</v>
      </c>
      <c r="AK84" s="156">
        <f t="shared" si="44"/>
        <v>16.970958516257546</v>
      </c>
      <c r="AL84" s="88"/>
      <c r="AM84" s="716">
        <f t="shared" si="45"/>
        <v>1718.9062491653096</v>
      </c>
      <c r="AN84" s="716" t="str">
        <f>_xlfn.XLOOKUP(D84,RUC!$B$3:$B$578,RUC!$M$3:$M$578)</f>
        <v>Ronald Miranda</v>
      </c>
      <c r="AO84" s="1167" t="s">
        <v>2279</v>
      </c>
      <c r="AP84" t="s">
        <v>3288</v>
      </c>
      <c r="AQ84" t="s">
        <v>2491</v>
      </c>
      <c r="AR84" s="1511" t="s">
        <v>3349</v>
      </c>
    </row>
    <row r="85" spans="1:44" ht="15" customHeight="1">
      <c r="A85" s="747" t="s">
        <v>3275</v>
      </c>
      <c r="B85" s="595">
        <v>45966</v>
      </c>
      <c r="C85" s="1447">
        <v>45959</v>
      </c>
      <c r="D85" t="s">
        <v>93</v>
      </c>
      <c r="E85" s="762">
        <f>_xlfn.XLOOKUP(D85,RUC!$B$3:$B$123,RUC!$D$3:$D$123)</f>
        <v>20169040231</v>
      </c>
      <c r="G85" s="1082">
        <v>73</v>
      </c>
      <c r="H85" s="762" t="s">
        <v>116</v>
      </c>
      <c r="I85" s="703">
        <v>7.4</v>
      </c>
      <c r="J85" s="596">
        <v>1.3</v>
      </c>
      <c r="K85" s="703">
        <f t="shared" si="35"/>
        <v>7.3040000000000003</v>
      </c>
      <c r="L85" s="762">
        <v>0.16600000000000001</v>
      </c>
      <c r="M85" s="762">
        <v>0.151</v>
      </c>
      <c r="N85" s="1196">
        <f t="shared" si="46"/>
        <v>0.151</v>
      </c>
      <c r="O85" s="645">
        <f t="shared" si="50"/>
        <v>0.151</v>
      </c>
      <c r="P85" s="727">
        <v>85</v>
      </c>
      <c r="Q85" s="1476">
        <v>86.14</v>
      </c>
      <c r="R85" s="706">
        <v>4006.7</v>
      </c>
      <c r="S85" s="765">
        <f>IF((_xlfn.XLOOKUP(D85,RUC!$B$3:$B$119,RUC!$E$3:$E$119)+ROUNDDOWN(O85,1)*100)&lt;95,95,((_xlfn.XLOOKUP(D85,RUC!$B$3:$B$119,RUC!$E$3:$E$119)+ROUNDDOWN(O85,1)*100)))</f>
        <v>95</v>
      </c>
      <c r="U85" s="1146">
        <f>_xlfn.XLOOKUP(D85,RUC!$B$3:$B$123,RUC!$F$3:$F$123)</f>
        <v>120</v>
      </c>
      <c r="V85" s="715">
        <v>1.1023000000000001</v>
      </c>
      <c r="Y85">
        <f>_xlfn.XLOOKUP(D85,RUC!$B$3:$B$123,RUC!$G$3:$G$123)</f>
        <v>20</v>
      </c>
      <c r="Z85" s="1454">
        <v>35</v>
      </c>
      <c r="AA85" s="144">
        <f t="shared" si="37"/>
        <v>55</v>
      </c>
      <c r="AB85" s="145">
        <f t="shared" si="52"/>
        <v>384.5461127735</v>
      </c>
      <c r="AC85" s="145">
        <f>+(S85-T85)*V85-'data 1'!$F$4</f>
        <v>24.718500000000006</v>
      </c>
      <c r="AD85" s="145">
        <f t="shared" si="38"/>
        <v>8.1076271274840046</v>
      </c>
      <c r="AE85" s="145">
        <f t="shared" si="39"/>
        <v>-9.3734999999999999</v>
      </c>
      <c r="AF85" s="145">
        <f t="shared" si="40"/>
        <v>55.357561886610057</v>
      </c>
      <c r="AG85" s="772">
        <f t="shared" si="51"/>
        <v>95.810189014094078</v>
      </c>
      <c r="AH85" s="1253">
        <f t="shared" si="41"/>
        <v>35.808</v>
      </c>
      <c r="AI85" s="1253">
        <f t="shared" si="42"/>
        <v>41.57</v>
      </c>
      <c r="AJ85" s="156">
        <f t="shared" si="43"/>
        <v>9.9773790755160299</v>
      </c>
      <c r="AK85" s="156">
        <f t="shared" si="44"/>
        <v>32.141467878612623</v>
      </c>
      <c r="AL85" s="88"/>
      <c r="AM85" s="716">
        <f t="shared" si="45"/>
        <v>2808.7248076976439</v>
      </c>
      <c r="AN85" s="716" t="str">
        <f>_xlfn.XLOOKUP(D85,RUC!$B$3:$B$578,RUC!$M$3:$M$578)</f>
        <v>Ronald Miranda</v>
      </c>
      <c r="AO85" s="1167" t="s">
        <v>2279</v>
      </c>
      <c r="AP85" t="s">
        <v>3288</v>
      </c>
      <c r="AQ85" t="s">
        <v>2491</v>
      </c>
    </row>
    <row r="86" spans="1:44" ht="15" customHeight="1">
      <c r="A86" s="747" t="s">
        <v>3276</v>
      </c>
      <c r="B86" s="595">
        <v>45966</v>
      </c>
      <c r="C86" s="1447">
        <v>45959</v>
      </c>
      <c r="D86" t="s">
        <v>93</v>
      </c>
      <c r="E86" s="762">
        <f>_xlfn.XLOOKUP(D86,RUC!$B$3:$B$123,RUC!$D$3:$D$123)</f>
        <v>20169040231</v>
      </c>
      <c r="G86" s="1082">
        <v>72</v>
      </c>
      <c r="H86" s="762" t="s">
        <v>116</v>
      </c>
      <c r="I86" s="703">
        <v>7.24</v>
      </c>
      <c r="J86" s="596">
        <v>1.35</v>
      </c>
      <c r="K86" s="703">
        <f t="shared" si="35"/>
        <v>7.1420000000000003</v>
      </c>
      <c r="L86" s="762">
        <v>0.17100000000000001</v>
      </c>
      <c r="M86" s="762">
        <v>0.156</v>
      </c>
      <c r="N86" s="1196">
        <f t="shared" si="46"/>
        <v>0.156</v>
      </c>
      <c r="O86" s="645">
        <f t="shared" si="50"/>
        <v>0.156</v>
      </c>
      <c r="P86" s="727">
        <v>85</v>
      </c>
      <c r="Q86" s="1476">
        <v>87.13</v>
      </c>
      <c r="R86" s="706">
        <v>4006.7</v>
      </c>
      <c r="S86" s="765">
        <f>IF((_xlfn.XLOOKUP(D86,RUC!$B$3:$B$119,RUC!$E$3:$E$119)+ROUNDDOWN(O86,1)*100)&lt;95,95,((_xlfn.XLOOKUP(D86,RUC!$B$3:$B$119,RUC!$E$3:$E$119)+ROUNDDOWN(O86,1)*100)))</f>
        <v>95</v>
      </c>
      <c r="U86" s="1146">
        <f>_xlfn.XLOOKUP(D86,RUC!$B$3:$B$123,RUC!$F$3:$F$123)</f>
        <v>120</v>
      </c>
      <c r="V86" s="715">
        <v>1.1023000000000001</v>
      </c>
      <c r="Y86">
        <f>_xlfn.XLOOKUP(D86,RUC!$B$3:$B$123,RUC!$G$3:$G$123)</f>
        <v>20</v>
      </c>
      <c r="Z86" s="1454">
        <v>35</v>
      </c>
      <c r="AA86" s="144">
        <f t="shared" si="37"/>
        <v>55</v>
      </c>
      <c r="AB86" s="145">
        <f t="shared" si="52"/>
        <v>402.75442776600011</v>
      </c>
      <c r="AC86" s="145">
        <f>+(S86-T86)*V86-'data 1'!$F$4</f>
        <v>24.718500000000006</v>
      </c>
      <c r="AD86" s="145">
        <f t="shared" si="38"/>
        <v>15.604740164042969</v>
      </c>
      <c r="AE86" s="145">
        <f t="shared" si="39"/>
        <v>-9.3734999999999999</v>
      </c>
      <c r="AF86" s="145">
        <f t="shared" si="40"/>
        <v>55.993781833995044</v>
      </c>
      <c r="AG86" s="772">
        <f t="shared" si="51"/>
        <v>103.94352199803802</v>
      </c>
      <c r="AH86" s="1253">
        <f t="shared" si="41"/>
        <v>36.482999999999997</v>
      </c>
      <c r="AI86" s="1253">
        <f t="shared" si="42"/>
        <v>41.872</v>
      </c>
      <c r="AJ86" s="156">
        <f t="shared" si="43"/>
        <v>10.396025637957029</v>
      </c>
      <c r="AK86" s="156">
        <f t="shared" si="44"/>
        <v>32.469263616681062</v>
      </c>
      <c r="AL86" s="88"/>
      <c r="AM86" s="716">
        <f t="shared" si="45"/>
        <v>2876.4721231047729</v>
      </c>
      <c r="AN86" s="716" t="str">
        <f>_xlfn.XLOOKUP(D86,RUC!$B$3:$B$578,RUC!$M$3:$M$578)</f>
        <v>Ronald Miranda</v>
      </c>
      <c r="AO86" s="1167" t="s">
        <v>2279</v>
      </c>
      <c r="AP86" t="s">
        <v>3288</v>
      </c>
      <c r="AQ86" t="s">
        <v>2491</v>
      </c>
    </row>
    <row r="87" spans="1:44" ht="15" customHeight="1">
      <c r="A87" s="747" t="s">
        <v>3299</v>
      </c>
      <c r="B87" s="595">
        <v>45966</v>
      </c>
      <c r="C87" s="1447">
        <v>45960</v>
      </c>
      <c r="D87" t="s">
        <v>93</v>
      </c>
      <c r="E87" s="762">
        <f>_xlfn.XLOOKUP(D87,RUC!$B$3:$B$123,RUC!$D$3:$D$123)</f>
        <v>20169040231</v>
      </c>
      <c r="G87" s="1082">
        <v>80</v>
      </c>
      <c r="H87" s="762" t="s">
        <v>69</v>
      </c>
      <c r="I87" s="703">
        <v>7.44</v>
      </c>
      <c r="J87" s="596">
        <v>3.25</v>
      </c>
      <c r="K87" s="703">
        <f t="shared" si="35"/>
        <v>7.1980000000000004</v>
      </c>
      <c r="L87" s="762">
        <v>0.16500000000000001</v>
      </c>
      <c r="M87" s="994">
        <v>0.15</v>
      </c>
      <c r="N87" s="1196">
        <f t="shared" si="46"/>
        <v>0.15</v>
      </c>
      <c r="O87" s="645">
        <f t="shared" si="50"/>
        <v>0.15</v>
      </c>
      <c r="P87" s="727">
        <v>85</v>
      </c>
      <c r="Q87" s="1476">
        <v>89.09</v>
      </c>
      <c r="R87" s="706">
        <v>3994.15</v>
      </c>
      <c r="S87" s="765">
        <f>IF((_xlfn.XLOOKUP(D87,RUC!$B$3:$B$119,RUC!$E$3:$E$119)+ROUNDDOWN(O87,1)*100)&lt;95,95,((_xlfn.XLOOKUP(D87,RUC!$B$3:$B$119,RUC!$E$3:$E$119)+ROUNDDOWN(O87,1)*100)))</f>
        <v>95</v>
      </c>
      <c r="U87" s="1146">
        <f>_xlfn.XLOOKUP(D87,RUC!$B$3:$B$123,RUC!$F$3:$F$123)</f>
        <v>120</v>
      </c>
      <c r="V87" s="715">
        <v>1.1023000000000001</v>
      </c>
      <c r="Y87">
        <f>_xlfn.XLOOKUP(D87,RUC!$B$3:$B$123,RUC!$G$3:$G$123)</f>
        <v>20</v>
      </c>
      <c r="Z87" s="143">
        <f>_xlfn.XLOOKUP(D87,RUC!$B$3:$B$123,RUC!$H$3:$H$123)</f>
        <v>30</v>
      </c>
      <c r="AA87" s="144">
        <f t="shared" si="37"/>
        <v>50</v>
      </c>
      <c r="AB87" s="145">
        <f t="shared" ref="AB87:AB93" si="53">+((O87*P87*(R87-U87)/100)-S87-AA87+T87)*V87</f>
        <v>384.65213198750001</v>
      </c>
      <c r="AC87" s="145">
        <f>+(S87-T87)*V87-'data 1'!$F$4</f>
        <v>24.718500000000006</v>
      </c>
      <c r="AD87" s="145">
        <f t="shared" si="38"/>
        <v>28.819304215432531</v>
      </c>
      <c r="AE87" s="145">
        <f t="shared" si="39"/>
        <v>-14.884999999999998</v>
      </c>
      <c r="AF87" s="145">
        <f t="shared" si="40"/>
        <v>57.068499945607556</v>
      </c>
      <c r="AG87" s="772">
        <f t="shared" ref="AG87:AG90" si="54">AC87+AD87+AE87+AF87+70-53</f>
        <v>112.72130416104011</v>
      </c>
      <c r="AH87" s="1253">
        <f t="shared" si="41"/>
        <v>36.277000000000001</v>
      </c>
      <c r="AI87" s="1253">
        <f t="shared" si="42"/>
        <v>40.72</v>
      </c>
      <c r="AJ87" s="156">
        <f t="shared" si="43"/>
        <v>12.290464470817488</v>
      </c>
      <c r="AK87" s="156">
        <f t="shared" si="44"/>
        <v>31.465243455947256</v>
      </c>
      <c r="AL87" s="88"/>
      <c r="AM87" s="716">
        <f t="shared" si="45"/>
        <v>2768.7260460460252</v>
      </c>
      <c r="AN87" s="716" t="str">
        <f>_xlfn.XLOOKUP(D87,RUC!$B$3:$B$578,RUC!$M$3:$M$578)</f>
        <v>Ronald Miranda</v>
      </c>
      <c r="AO87" s="1167" t="s">
        <v>2279</v>
      </c>
      <c r="AP87" t="s">
        <v>3320</v>
      </c>
      <c r="AQ87" t="s">
        <v>3321</v>
      </c>
    </row>
    <row r="88" spans="1:44" ht="15" customHeight="1">
      <c r="A88" s="1491" t="s">
        <v>3300</v>
      </c>
      <c r="B88" s="1095">
        <v>45966</v>
      </c>
      <c r="C88" s="1447">
        <v>45960</v>
      </c>
      <c r="D88" t="s">
        <v>93</v>
      </c>
      <c r="E88" s="762">
        <f>_xlfn.XLOOKUP(D88,RUC!$B$3:$B$123,RUC!$D$3:$D$123)</f>
        <v>20169040231</v>
      </c>
      <c r="G88" s="1082">
        <v>80</v>
      </c>
      <c r="H88" s="762" t="s">
        <v>69</v>
      </c>
      <c r="I88" s="703">
        <v>8.06</v>
      </c>
      <c r="J88" s="596">
        <v>6.3</v>
      </c>
      <c r="K88" s="703">
        <f t="shared" si="35"/>
        <v>7.5519999999999996</v>
      </c>
      <c r="L88" s="994">
        <v>0.09</v>
      </c>
      <c r="M88" s="762">
        <v>7.4999999999999997E-2</v>
      </c>
      <c r="N88" s="1196">
        <f t="shared" si="46"/>
        <v>7.4999999999999997E-2</v>
      </c>
      <c r="O88" s="645">
        <f t="shared" si="50"/>
        <v>7.4999999999999997E-2</v>
      </c>
      <c r="P88" s="727">
        <v>80</v>
      </c>
      <c r="Q88" s="1476">
        <v>96.67</v>
      </c>
      <c r="R88" s="706">
        <v>3994.15</v>
      </c>
      <c r="S88" s="765">
        <f>IF((_xlfn.XLOOKUP(D88,RUC!$B$3:$B$119,RUC!$E$3:$E$119)+ROUNDDOWN(O88,1)*100)&lt;95,95,((_xlfn.XLOOKUP(D88,RUC!$B$3:$B$119,RUC!$E$3:$E$119)+ROUNDDOWN(O88,1)*100)))</f>
        <v>95</v>
      </c>
      <c r="U88" s="1146">
        <f>_xlfn.XLOOKUP(D88,RUC!$B$3:$B$123,RUC!$F$3:$F$123)</f>
        <v>120</v>
      </c>
      <c r="V88" s="715">
        <v>1.1023000000000001</v>
      </c>
      <c r="Y88">
        <f>_xlfn.XLOOKUP(D88,RUC!$B$3:$B$123,RUC!$G$3:$G$123)</f>
        <v>20</v>
      </c>
      <c r="Z88" s="143">
        <f>_xlfn.XLOOKUP(D88,RUC!$B$3:$B$123,RUC!$H$3:$H$123)</f>
        <v>30</v>
      </c>
      <c r="AA88" s="144">
        <f t="shared" si="37"/>
        <v>50</v>
      </c>
      <c r="AB88" s="1510">
        <v>1E-3</v>
      </c>
      <c r="AC88" s="145">
        <f>+(S88-T88)*V88-'data 1'!$F$4</f>
        <v>24.718500000000006</v>
      </c>
      <c r="AD88" s="145">
        <f t="shared" si="38"/>
        <v>64.069944601635015</v>
      </c>
      <c r="AE88" s="145">
        <f t="shared" si="39"/>
        <v>-14.884999999999998</v>
      </c>
      <c r="AF88" s="145">
        <f t="shared" si="40"/>
        <v>61.924030640272491</v>
      </c>
      <c r="AG88" s="772">
        <f>AC88+AD88+AE88+AF88+70-53+96</f>
        <v>248.82747524190751</v>
      </c>
      <c r="AH88" s="1253">
        <f t="shared" si="41"/>
        <v>22.527000000000001</v>
      </c>
      <c r="AI88" s="1253">
        <f t="shared" si="42"/>
        <v>23.303000000000001</v>
      </c>
      <c r="AJ88" s="156">
        <f t="shared" si="43"/>
        <v>7.2742734133649911</v>
      </c>
      <c r="AK88" s="156">
        <f t="shared" si="44"/>
        <v>15.535395033215998</v>
      </c>
      <c r="AL88" s="88"/>
      <c r="AM88" s="716">
        <f t="shared" si="45"/>
        <v>7.5519999999999997E-3</v>
      </c>
      <c r="AN88" s="716" t="str">
        <f>_xlfn.XLOOKUP(D88,RUC!$B$3:$B$578,RUC!$M$3:$M$578)</f>
        <v>Ronald Miranda</v>
      </c>
      <c r="AO88" s="1167" t="s">
        <v>2279</v>
      </c>
      <c r="AP88" t="s">
        <v>3320</v>
      </c>
      <c r="AQ88" t="s">
        <v>3321</v>
      </c>
    </row>
    <row r="89" spans="1:44" ht="15" customHeight="1">
      <c r="A89" s="747" t="s">
        <v>3303</v>
      </c>
      <c r="B89" s="595">
        <v>45965</v>
      </c>
      <c r="C89" s="1447">
        <v>45961</v>
      </c>
      <c r="D89" t="s">
        <v>2004</v>
      </c>
      <c r="E89" s="762">
        <f>_xlfn.XLOOKUP(D89,RUC!$B$3:$B$123,RUC!$D$3:$D$123)</f>
        <v>20612921866</v>
      </c>
      <c r="G89" s="1082" t="s">
        <v>2985</v>
      </c>
      <c r="H89" s="762" t="s">
        <v>69</v>
      </c>
      <c r="I89" s="703">
        <v>7.09</v>
      </c>
      <c r="J89" s="596">
        <v>1.3</v>
      </c>
      <c r="K89" s="703">
        <f t="shared" si="35"/>
        <v>6.9980000000000002</v>
      </c>
      <c r="L89" s="762">
        <v>0.19</v>
      </c>
      <c r="M89" s="762">
        <v>0.17499999999999999</v>
      </c>
      <c r="N89" s="1196">
        <f t="shared" si="46"/>
        <v>0.17499999999999999</v>
      </c>
      <c r="O89" s="645">
        <f t="shared" si="50"/>
        <v>0.17499999999999999</v>
      </c>
      <c r="P89" s="727">
        <v>90</v>
      </c>
      <c r="Q89" s="1476">
        <v>91.58</v>
      </c>
      <c r="R89" s="706">
        <v>4011.5</v>
      </c>
      <c r="S89" s="765">
        <f>IF((_xlfn.XLOOKUP(D89,RUC!$B$3:$B$119,RUC!$E$3:$E$119)+ROUNDDOWN(O89,1)*100)&lt;95,95,((_xlfn.XLOOKUP(D89,RUC!$B$3:$B$119,RUC!$E$3:$E$119)+ROUNDDOWN(O89,1)*100)))</f>
        <v>95</v>
      </c>
      <c r="U89" s="1146">
        <f>_xlfn.XLOOKUP(D89,RUC!$B$3:$B$123,RUC!$F$3:$F$123)</f>
        <v>100</v>
      </c>
      <c r="V89" s="715">
        <v>1.1023000000000001</v>
      </c>
      <c r="Y89">
        <f>_xlfn.XLOOKUP(D89,RUC!$B$3:$B$123,RUC!$G$3:$G$123)</f>
        <v>0</v>
      </c>
      <c r="Z89" s="143">
        <f>_xlfn.XLOOKUP(D89,RUC!$B$3:$B$123,RUC!$H$3:$H$123)</f>
        <v>30</v>
      </c>
      <c r="AA89" s="144">
        <f t="shared" si="37"/>
        <v>30</v>
      </c>
      <c r="AB89" s="145">
        <f>+((O89*P89*(R89-U89)/100)-S89-AA89+T89)*V89</f>
        <v>541.29681587499999</v>
      </c>
      <c r="AC89" s="145">
        <f>+(S89-T89)*V89-'data 1'!$F$4</f>
        <v>24.718500000000006</v>
      </c>
      <c r="AD89" s="145">
        <f t="shared" si="38"/>
        <v>12.943562642899987</v>
      </c>
      <c r="AE89" s="145">
        <f t="shared" si="39"/>
        <v>-36.930999999999997</v>
      </c>
      <c r="AF89" s="145">
        <f t="shared" si="40"/>
        <v>59.229087283650053</v>
      </c>
      <c r="AG89" s="772">
        <f>AC89+AD89+AE89+AF89+70-10</f>
        <v>119.96014992655006</v>
      </c>
      <c r="AH89" s="1253">
        <f t="shared" si="41"/>
        <v>41.747999999999998</v>
      </c>
      <c r="AI89" s="1253">
        <f t="shared" si="42"/>
        <v>45.587000000000003</v>
      </c>
      <c r="AJ89" s="156">
        <f t="shared" si="43"/>
        <v>7.3843925770999999</v>
      </c>
      <c r="AK89" s="156">
        <f t="shared" si="44"/>
        <v>37.788840427889255</v>
      </c>
      <c r="AL89" s="88"/>
      <c r="AM89" s="716">
        <f t="shared" si="45"/>
        <v>3787.9951174932503</v>
      </c>
      <c r="AN89" s="716" t="str">
        <f>_xlfn.XLOOKUP(D89,RUC!$B$3:$B$578,RUC!$M$3:$M$578)</f>
        <v>Ronald Garibay</v>
      </c>
      <c r="AO89" s="1167" t="s">
        <v>2280</v>
      </c>
      <c r="AP89" t="s">
        <v>3326</v>
      </c>
      <c r="AQ89" t="s">
        <v>3348</v>
      </c>
    </row>
    <row r="90" spans="1:44" ht="15" customHeight="1">
      <c r="A90" s="747" t="s">
        <v>3304</v>
      </c>
      <c r="B90" s="595">
        <v>45966</v>
      </c>
      <c r="C90" s="1447">
        <v>45961</v>
      </c>
      <c r="D90" s="1508" t="s">
        <v>3125</v>
      </c>
      <c r="E90" s="762" t="str">
        <f>_xlfn.XLOOKUP(D90,RUC!$B$3:$B$123,RUC!$D$3:$D$123)</f>
        <v>10486077447,</v>
      </c>
      <c r="G90" s="1082" t="s">
        <v>2985</v>
      </c>
      <c r="H90" s="762" t="s">
        <v>69</v>
      </c>
      <c r="I90" s="703">
        <v>31.45</v>
      </c>
      <c r="J90" s="596">
        <v>2</v>
      </c>
      <c r="K90" s="703">
        <f t="shared" si="35"/>
        <v>30.821000000000002</v>
      </c>
      <c r="L90" s="762">
        <v>0.434</v>
      </c>
      <c r="M90" s="762">
        <v>0.41199999999999998</v>
      </c>
      <c r="N90" s="1196">
        <f t="shared" si="46"/>
        <v>0.41199999999999998</v>
      </c>
      <c r="O90" s="645">
        <f t="shared" si="50"/>
        <v>0.41199999999999998</v>
      </c>
      <c r="P90" s="727">
        <v>90</v>
      </c>
      <c r="Q90" s="1476">
        <v>97.7</v>
      </c>
      <c r="R90" s="706">
        <v>4011.5</v>
      </c>
      <c r="S90" s="765">
        <f>IF((_xlfn.XLOOKUP(D90,RUC!$B$3:$B$119,RUC!$E$3:$E$119)+ROUNDDOWN(O90,1)*100)&lt;95,95,((_xlfn.XLOOKUP(D90,RUC!$B$3:$B$119,RUC!$E$3:$E$119)+ROUNDDOWN(O90,1)*100)))</f>
        <v>130</v>
      </c>
      <c r="U90" s="1146">
        <f>_xlfn.XLOOKUP(D90,RUC!$B$3:$B$123,RUC!$F$3:$F$123)</f>
        <v>120</v>
      </c>
      <c r="V90" s="715">
        <v>1.1023000000000001</v>
      </c>
      <c r="Y90">
        <f>_xlfn.XLOOKUP(D90,RUC!$B$3:$B$123,RUC!$G$3:$G$123)</f>
        <v>20</v>
      </c>
      <c r="Z90" s="143">
        <f>_xlfn.XLOOKUP(D90,RUC!$B$3:$B$123,RUC!$H$3:$H$123)</f>
        <v>30</v>
      </c>
      <c r="AA90" s="144">
        <f t="shared" si="37"/>
        <v>50</v>
      </c>
      <c r="AB90" s="145">
        <f t="shared" si="53"/>
        <v>1392.16984686</v>
      </c>
      <c r="AC90" s="145">
        <f>+(S90-T90)*V90-'data 1'!$F$4</f>
        <v>63.299000000000007</v>
      </c>
      <c r="AD90" s="145">
        <f t="shared" si="38"/>
        <v>143.34986783810007</v>
      </c>
      <c r="AE90" s="145">
        <f t="shared" si="39"/>
        <v>-14.884999999999998</v>
      </c>
      <c r="AF90" s="145">
        <f t="shared" si="40"/>
        <v>92.200672072300094</v>
      </c>
      <c r="AG90" s="772">
        <f t="shared" si="54"/>
        <v>300.96453991040016</v>
      </c>
      <c r="AH90" s="1253">
        <f t="shared" si="41"/>
        <v>448.06400000000002</v>
      </c>
      <c r="AI90" s="1253">
        <f t="shared" si="42"/>
        <v>458.61200000000002</v>
      </c>
      <c r="AJ90" s="156">
        <f t="shared" si="43"/>
        <v>27.342609921899999</v>
      </c>
      <c r="AK90" s="156">
        <f t="shared" si="44"/>
        <v>391.8280476390197</v>
      </c>
      <c r="AL90" s="88"/>
      <c r="AM90" s="716">
        <f t="shared" si="45"/>
        <v>42908.066850072064</v>
      </c>
      <c r="AN90" s="716" t="str">
        <f>_xlfn.XLOOKUP(D90,RUC!$B$3:$B$578,RUC!$M$3:$M$578)</f>
        <v>SIN ACOPIO</v>
      </c>
      <c r="AO90" s="1167" t="s">
        <v>2279</v>
      </c>
      <c r="AP90" t="s">
        <v>3327</v>
      </c>
      <c r="AQ90" t="s">
        <v>3328</v>
      </c>
    </row>
    <row r="91" spans="1:44" ht="15" customHeight="1">
      <c r="A91" s="747" t="s">
        <v>3305</v>
      </c>
      <c r="B91" s="595">
        <v>45966</v>
      </c>
      <c r="C91" s="1447">
        <v>45962</v>
      </c>
      <c r="D91" t="s">
        <v>2004</v>
      </c>
      <c r="E91" s="762">
        <f>_xlfn.XLOOKUP(D91,RUC!$B$3:$B$123,RUC!$D$3:$D$123)</f>
        <v>20612921866</v>
      </c>
      <c r="G91" s="1082">
        <v>59</v>
      </c>
      <c r="H91" s="762" t="s">
        <v>69</v>
      </c>
      <c r="I91" s="703">
        <v>6.24</v>
      </c>
      <c r="J91" s="596">
        <v>2.0499999999999998</v>
      </c>
      <c r="K91" s="703">
        <f t="shared" si="35"/>
        <v>6.1120000000000001</v>
      </c>
      <c r="L91" s="1192">
        <v>0.35599999999999998</v>
      </c>
      <c r="M91" s="762">
        <f>ROUND(+IF(AN91="Melchor Vera",IF(L91&gt;0.467,L91*0.985,(L91-0.007)),IF(L91&gt;0.3,L91*0.95,(L91-0.015))),3)</f>
        <v>0.33800000000000002</v>
      </c>
      <c r="N91" s="1196">
        <f t="shared" si="46"/>
        <v>0.33800000000000002</v>
      </c>
      <c r="O91" s="645">
        <f t="shared" si="50"/>
        <v>0.33800000000000002</v>
      </c>
      <c r="P91" s="727">
        <v>90</v>
      </c>
      <c r="Q91" s="1476">
        <v>95.51</v>
      </c>
      <c r="R91" s="706">
        <v>4013.2</v>
      </c>
      <c r="S91" s="765">
        <f>IF((_xlfn.XLOOKUP(D91,RUC!$B$3:$B$119,RUC!$E$3:$E$119)+ROUNDDOWN(O91,1)*100)&lt;95,95,((_xlfn.XLOOKUP(D91,RUC!$B$3:$B$119,RUC!$E$3:$E$119)+ROUNDDOWN(O91,1)*100)))</f>
        <v>110</v>
      </c>
      <c r="U91" s="1146">
        <f>_xlfn.XLOOKUP(D91,RUC!$B$3:$B$123,RUC!$F$3:$F$123)</f>
        <v>100</v>
      </c>
      <c r="V91" s="715">
        <v>1.1023000000000001</v>
      </c>
      <c r="Y91">
        <f>_xlfn.XLOOKUP(D91,RUC!$B$3:$B$123,RUC!$G$3:$G$123)</f>
        <v>0</v>
      </c>
      <c r="Z91" s="143">
        <f>_xlfn.XLOOKUP(D91,RUC!$B$3:$B$123,RUC!$H$3:$H$123)</f>
        <v>30</v>
      </c>
      <c r="AA91" s="144">
        <f t="shared" si="37"/>
        <v>30</v>
      </c>
      <c r="AB91" s="145">
        <f>+((O91*P91*(R91-U91)/100)-S91-AA91+T91)*V91</f>
        <v>1157.8508935120001</v>
      </c>
      <c r="AC91" s="145">
        <f>+(S91-T91)*V91-'data 1'!$F$4</f>
        <v>41.253</v>
      </c>
      <c r="AD91" s="145">
        <f t="shared" si="38"/>
        <v>84.612289973616086</v>
      </c>
      <c r="AE91" s="145">
        <f t="shared" si="39"/>
        <v>-36.930999999999997</v>
      </c>
      <c r="AF91" s="145">
        <f t="shared" si="40"/>
        <v>74.157179325047849</v>
      </c>
      <c r="AG91" s="772">
        <f>AC91+AD91+AE91+AF91+70-10</f>
        <v>223.09146929866392</v>
      </c>
      <c r="AH91" s="1253">
        <f t="shared" si="41"/>
        <v>71.251000000000005</v>
      </c>
      <c r="AI91" s="1253">
        <f t="shared" si="42"/>
        <v>74.600999999999999</v>
      </c>
      <c r="AJ91" s="156">
        <f t="shared" si="43"/>
        <v>13.792610408384069</v>
      </c>
      <c r="AK91" s="156">
        <f t="shared" si="44"/>
        <v>63.745807153878722</v>
      </c>
      <c r="AL91" s="88"/>
      <c r="AM91" s="716">
        <f t="shared" si="45"/>
        <v>7076.7846611453442</v>
      </c>
      <c r="AN91" s="716" t="str">
        <f>_xlfn.XLOOKUP(D91,RUC!$B$3:$B$578,RUC!$M$3:$M$578)</f>
        <v>Ronald Garibay</v>
      </c>
      <c r="AO91" s="1167" t="s">
        <v>2279</v>
      </c>
      <c r="AP91" t="s">
        <v>3329</v>
      </c>
      <c r="AQ91" t="s">
        <v>3330</v>
      </c>
    </row>
    <row r="92" spans="1:44" ht="15" customHeight="1">
      <c r="A92" s="747" t="s">
        <v>3306</v>
      </c>
      <c r="B92" s="595">
        <v>45966</v>
      </c>
      <c r="C92" s="1447">
        <v>45962</v>
      </c>
      <c r="D92" t="s">
        <v>2004</v>
      </c>
      <c r="E92" s="762">
        <f>_xlfn.XLOOKUP(D92,RUC!$B$3:$B$123,RUC!$D$3:$D$123)</f>
        <v>20612921866</v>
      </c>
      <c r="G92" s="1082">
        <v>58</v>
      </c>
      <c r="H92" s="762" t="s">
        <v>69</v>
      </c>
      <c r="I92" s="703">
        <v>6.3</v>
      </c>
      <c r="J92" s="596">
        <v>1.5</v>
      </c>
      <c r="K92" s="703">
        <f t="shared" si="35"/>
        <v>6.2060000000000004</v>
      </c>
      <c r="L92" s="1192">
        <v>0.251</v>
      </c>
      <c r="M92" s="762">
        <f t="shared" ref="M92:M93" si="55">ROUND(+IF(AN92="Melchor Vera",IF(L92&gt;0.467,L92*0.985,(L92-0.007)),IF(L92&gt;0.3,L92*0.95,(L92-0.015))),3)</f>
        <v>0.23599999999999999</v>
      </c>
      <c r="N92" s="1196">
        <f t="shared" si="46"/>
        <v>0.23599999999999999</v>
      </c>
      <c r="O92" s="645">
        <f t="shared" si="50"/>
        <v>0.23599999999999999</v>
      </c>
      <c r="P92" s="727">
        <v>90</v>
      </c>
      <c r="Q92" s="1476">
        <v>94.42</v>
      </c>
      <c r="R92" s="706">
        <v>4013.2</v>
      </c>
      <c r="S92" s="765">
        <f>IF((_xlfn.XLOOKUP(D92,RUC!$B$3:$B$119,RUC!$E$3:$E$119)+ROUNDDOWN(O92,1)*100)&lt;95,95,((_xlfn.XLOOKUP(D92,RUC!$B$3:$B$119,RUC!$E$3:$E$119)+ROUNDDOWN(O92,1)*100)))</f>
        <v>100</v>
      </c>
      <c r="U92" s="1146">
        <f>_xlfn.XLOOKUP(D92,RUC!$B$3:$B$123,RUC!$F$3:$F$123)</f>
        <v>100</v>
      </c>
      <c r="V92" s="715">
        <v>1.1023000000000001</v>
      </c>
      <c r="Y92">
        <f>_xlfn.XLOOKUP(D92,RUC!$B$3:$B$123,RUC!$G$3:$G$123)</f>
        <v>0</v>
      </c>
      <c r="Z92" s="143">
        <f>_xlfn.XLOOKUP(D92,RUC!$B$3:$B$123,RUC!$H$3:$H$123)</f>
        <v>30</v>
      </c>
      <c r="AA92" s="144">
        <f t="shared" si="37"/>
        <v>30</v>
      </c>
      <c r="AB92" s="145">
        <f t="shared" si="53"/>
        <v>772.89272446399991</v>
      </c>
      <c r="AC92" s="145">
        <f>+(S92-T92)*V92-'data 1'!$F$4</f>
        <v>30.230000000000004</v>
      </c>
      <c r="AD92" s="145">
        <f t="shared" si="38"/>
        <v>47.855057577912021</v>
      </c>
      <c r="AE92" s="145">
        <f t="shared" si="39"/>
        <v>-36.930999999999997</v>
      </c>
      <c r="AF92" s="145">
        <f t="shared" si="40"/>
        <v>61.092388858680053</v>
      </c>
      <c r="AG92" s="772">
        <f t="shared" ref="AG92:AG93" si="56">AC92+AD92+AE92+AF92+70-10</f>
        <v>162.24644643659207</v>
      </c>
      <c r="AH92" s="1253">
        <f t="shared" si="41"/>
        <v>50.426000000000002</v>
      </c>
      <c r="AI92" s="1253">
        <f t="shared" si="42"/>
        <v>53.406999999999996</v>
      </c>
      <c r="AJ92" s="156">
        <f t="shared" si="43"/>
        <v>9.6135844050880479</v>
      </c>
      <c r="AK92" s="156">
        <f t="shared" si="44"/>
        <v>45.193435113814921</v>
      </c>
      <c r="AL92" s="88"/>
      <c r="AM92" s="716">
        <f t="shared" si="45"/>
        <v>4796.5722480235836</v>
      </c>
      <c r="AN92" s="716" t="str">
        <f>_xlfn.XLOOKUP(D92,RUC!$B$3:$B$578,RUC!$M$3:$M$578)</f>
        <v>Ronald Garibay</v>
      </c>
      <c r="AO92" s="1167" t="s">
        <v>2279</v>
      </c>
      <c r="AP92" t="s">
        <v>3329</v>
      </c>
      <c r="AQ92" t="s">
        <v>3330</v>
      </c>
    </row>
    <row r="93" spans="1:44" ht="15" customHeight="1">
      <c r="A93" s="747" t="s">
        <v>3307</v>
      </c>
      <c r="B93" s="595">
        <v>45966</v>
      </c>
      <c r="C93" s="1447">
        <v>45962</v>
      </c>
      <c r="D93" t="s">
        <v>2004</v>
      </c>
      <c r="E93" s="762">
        <f>_xlfn.XLOOKUP(D93,RUC!$B$3:$B$123,RUC!$D$3:$D$123)</f>
        <v>20612921866</v>
      </c>
      <c r="G93" s="1082">
        <v>58</v>
      </c>
      <c r="H93" s="762" t="s">
        <v>69</v>
      </c>
      <c r="I93" s="703">
        <v>5.83</v>
      </c>
      <c r="J93" s="596">
        <v>1.95</v>
      </c>
      <c r="K93" s="703">
        <f t="shared" si="35"/>
        <v>5.7160000000000002</v>
      </c>
      <c r="L93" s="1192">
        <v>0.254</v>
      </c>
      <c r="M93" s="762">
        <f t="shared" si="55"/>
        <v>0.23899999999999999</v>
      </c>
      <c r="N93" s="1196">
        <f t="shared" si="46"/>
        <v>0.23899999999999999</v>
      </c>
      <c r="O93" s="645">
        <f t="shared" si="50"/>
        <v>0.23899999999999999</v>
      </c>
      <c r="P93" s="727">
        <v>90</v>
      </c>
      <c r="Q93" s="1476">
        <v>95.67</v>
      </c>
      <c r="R93" s="706">
        <v>4013.2</v>
      </c>
      <c r="S93" s="765">
        <f>IF((_xlfn.XLOOKUP(D93,RUC!$B$3:$B$119,RUC!$E$3:$E$119)+ROUNDDOWN(O93,1)*100)&lt;95,95,((_xlfn.XLOOKUP(D93,RUC!$B$3:$B$119,RUC!$E$3:$E$119)+ROUNDDOWN(O93,1)*100)))</f>
        <v>100</v>
      </c>
      <c r="U93" s="1146">
        <f>_xlfn.XLOOKUP(D93,RUC!$B$3:$B$123,RUC!$F$3:$F$123)</f>
        <v>100</v>
      </c>
      <c r="V93" s="715">
        <v>1.1023000000000001</v>
      </c>
      <c r="Y93">
        <f>_xlfn.XLOOKUP(D93,RUC!$B$3:$B$123,RUC!$G$3:$G$123)</f>
        <v>0</v>
      </c>
      <c r="Z93" s="143">
        <f>_xlfn.XLOOKUP(D93,RUC!$B$3:$B$123,RUC!$H$3:$H$123)</f>
        <v>30</v>
      </c>
      <c r="AA93" s="144">
        <f t="shared" si="37"/>
        <v>30</v>
      </c>
      <c r="AB93" s="145">
        <f t="shared" si="53"/>
        <v>784.53922943599991</v>
      </c>
      <c r="AC93" s="145">
        <f>+(S93-T93)*V93-'data 1'!$F$4</f>
        <v>30.230000000000004</v>
      </c>
      <c r="AD93" s="145">
        <f t="shared" si="38"/>
        <v>62.12245752064802</v>
      </c>
      <c r="AE93" s="145">
        <f t="shared" si="39"/>
        <v>-36.930999999999997</v>
      </c>
      <c r="AF93" s="145">
        <f t="shared" si="40"/>
        <v>61.901173926180057</v>
      </c>
      <c r="AG93" s="772">
        <f t="shared" si="56"/>
        <v>177.32263144682807</v>
      </c>
      <c r="AH93" s="1253">
        <f t="shared" si="41"/>
        <v>47.622</v>
      </c>
      <c r="AI93" s="1253">
        <f t="shared" si="42"/>
        <v>49.777999999999999</v>
      </c>
      <c r="AJ93" s="156">
        <f t="shared" si="43"/>
        <v>9.8572805363520501</v>
      </c>
      <c r="AK93" s="156">
        <f t="shared" si="44"/>
        <v>42.154282317976389</v>
      </c>
      <c r="AL93" s="88"/>
      <c r="AM93" s="716">
        <f t="shared" si="45"/>
        <v>4484.4262354561761</v>
      </c>
      <c r="AN93" s="716" t="str">
        <f>_xlfn.XLOOKUP(D93,RUC!$B$3:$B$578,RUC!$M$3:$M$578)</f>
        <v>Ronald Garibay</v>
      </c>
      <c r="AO93" s="1167" t="s">
        <v>2279</v>
      </c>
      <c r="AP93" t="s">
        <v>3329</v>
      </c>
      <c r="AQ93" t="s">
        <v>3330</v>
      </c>
    </row>
    <row r="94" spans="1:44" ht="15" customHeight="1">
      <c r="B94" s="595"/>
      <c r="G94" s="1082"/>
      <c r="R94" s="706"/>
    </row>
    <row r="95" spans="1:44" ht="15" customHeight="1">
      <c r="B95" s="595"/>
      <c r="G95" s="1082"/>
      <c r="R95" s="706"/>
    </row>
    <row r="96" spans="1:44" ht="15" customHeight="1">
      <c r="B96" s="595"/>
      <c r="G96" s="1082"/>
      <c r="R96" s="706"/>
    </row>
    <row r="97" spans="2:18" ht="15" customHeight="1">
      <c r="B97" s="595"/>
      <c r="G97" s="1082"/>
      <c r="R97" s="706"/>
    </row>
    <row r="98" spans="2:18" ht="15" customHeight="1">
      <c r="B98" s="595"/>
      <c r="G98" s="1082"/>
      <c r="R98" s="706"/>
    </row>
    <row r="99" spans="2:18" ht="15" customHeight="1">
      <c r="B99" s="595"/>
      <c r="G99" s="1082"/>
      <c r="R99" s="706"/>
    </row>
    <row r="100" spans="2:18" ht="15" customHeight="1">
      <c r="B100" s="595"/>
      <c r="G100" s="1082"/>
      <c r="R100" s="706"/>
    </row>
    <row r="101" spans="2:18" ht="15" customHeight="1">
      <c r="B101" s="595"/>
      <c r="G101" s="1082"/>
      <c r="R101" s="706"/>
    </row>
    <row r="102" spans="2:18" ht="15" customHeight="1">
      <c r="B102" s="595"/>
      <c r="G102" s="1082"/>
      <c r="R102" s="706"/>
    </row>
    <row r="103" spans="2:18" ht="15" customHeight="1">
      <c r="B103" s="595"/>
      <c r="G103" s="1082"/>
      <c r="R103" s="706"/>
    </row>
    <row r="104" spans="2:18" ht="15" customHeight="1">
      <c r="B104" s="595"/>
      <c r="G104" s="1082"/>
      <c r="R104" s="706"/>
    </row>
    <row r="105" spans="2:18" ht="15" customHeight="1">
      <c r="B105" s="595"/>
      <c r="G105" s="1082"/>
      <c r="R105" s="706"/>
    </row>
    <row r="106" spans="2:18" ht="15" customHeight="1">
      <c r="B106" s="595"/>
      <c r="G106" s="1082"/>
      <c r="R106" s="706"/>
    </row>
    <row r="107" spans="2:18" ht="15" customHeight="1">
      <c r="B107" s="595"/>
      <c r="G107" s="1082"/>
      <c r="R107" s="706"/>
    </row>
    <row r="108" spans="2:18" ht="15" customHeight="1">
      <c r="B108" s="595"/>
      <c r="G108" s="1082"/>
      <c r="R108" s="706"/>
    </row>
    <row r="109" spans="2:18" ht="15" customHeight="1">
      <c r="B109" s="595"/>
      <c r="G109" s="1082"/>
      <c r="R109" s="706"/>
    </row>
    <row r="110" spans="2:18" ht="15" customHeight="1">
      <c r="B110" s="595"/>
      <c r="G110" s="1082"/>
      <c r="R110" s="706"/>
    </row>
    <row r="111" spans="2:18" ht="15" customHeight="1">
      <c r="B111" s="595"/>
      <c r="G111" s="1082"/>
      <c r="R111" s="706"/>
    </row>
    <row r="112" spans="2:18" ht="15" customHeight="1">
      <c r="B112" s="595"/>
      <c r="G112" s="1082"/>
      <c r="R112" s="706"/>
    </row>
    <row r="113" spans="2:18" ht="15" customHeight="1">
      <c r="B113" s="595"/>
      <c r="G113" s="1082"/>
      <c r="R113" s="706"/>
    </row>
    <row r="114" spans="2:18" ht="15" customHeight="1">
      <c r="B114" s="595"/>
      <c r="G114" s="1082"/>
      <c r="R114" s="706"/>
    </row>
    <row r="115" spans="2:18" ht="15" customHeight="1">
      <c r="B115" s="595"/>
      <c r="G115" s="1082"/>
      <c r="R115" s="706"/>
    </row>
    <row r="116" spans="2:18" ht="15" customHeight="1">
      <c r="B116" s="595"/>
      <c r="G116" s="1082"/>
      <c r="R116" s="706"/>
    </row>
    <row r="117" spans="2:18" ht="15" customHeight="1">
      <c r="B117" s="595"/>
      <c r="G117" s="1082"/>
      <c r="R117" s="706"/>
    </row>
    <row r="118" spans="2:18" ht="15" customHeight="1">
      <c r="B118" s="595"/>
      <c r="G118" s="1082"/>
      <c r="R118" s="706"/>
    </row>
    <row r="119" spans="2:18" ht="15" customHeight="1">
      <c r="B119" s="595"/>
      <c r="G119" s="1082"/>
      <c r="R119" s="706"/>
    </row>
    <row r="120" spans="2:18" ht="15" customHeight="1">
      <c r="B120" s="595"/>
      <c r="G120" s="1082"/>
      <c r="R120" s="706"/>
    </row>
    <row r="121" spans="2:18" ht="15" customHeight="1">
      <c r="B121" s="595"/>
      <c r="G121" s="1082"/>
      <c r="R121" s="706"/>
    </row>
    <row r="122" spans="2:18" ht="15" customHeight="1">
      <c r="B122" s="595"/>
      <c r="G122" s="1082"/>
      <c r="R122" s="706"/>
    </row>
    <row r="123" spans="2:18" ht="15" customHeight="1">
      <c r="B123" s="595"/>
      <c r="G123" s="1082"/>
      <c r="R123" s="706"/>
    </row>
    <row r="124" spans="2:18" ht="15" customHeight="1">
      <c r="B124" s="595"/>
      <c r="G124" s="1082"/>
      <c r="R124" s="706"/>
    </row>
    <row r="125" spans="2:18" ht="15" customHeight="1">
      <c r="B125" s="595"/>
      <c r="G125" s="1082"/>
      <c r="R125" s="706"/>
    </row>
    <row r="126" spans="2:18" ht="15" customHeight="1">
      <c r="B126" s="595"/>
      <c r="G126" s="1082"/>
      <c r="R126" s="706"/>
    </row>
    <row r="127" spans="2:18" ht="15" customHeight="1">
      <c r="B127" s="595"/>
      <c r="G127" s="1082"/>
      <c r="R127" s="706"/>
    </row>
    <row r="128" spans="2:18" ht="15" customHeight="1">
      <c r="B128" s="595"/>
      <c r="G128" s="1082"/>
      <c r="R128" s="706"/>
    </row>
    <row r="129" spans="2:18" ht="15" customHeight="1">
      <c r="B129" s="595"/>
      <c r="G129" s="1082"/>
      <c r="R129" s="706"/>
    </row>
    <row r="130" spans="2:18" ht="15" customHeight="1">
      <c r="B130" s="595"/>
      <c r="G130" s="1082"/>
      <c r="R130" s="706"/>
    </row>
    <row r="131" spans="2:18" ht="15" customHeight="1">
      <c r="B131" s="595"/>
      <c r="G131" s="1082"/>
      <c r="R131" s="706"/>
    </row>
    <row r="132" spans="2:18" ht="15" customHeight="1">
      <c r="B132" s="595"/>
      <c r="G132" s="1082"/>
      <c r="R132" s="706"/>
    </row>
    <row r="133" spans="2:18" ht="15" customHeight="1">
      <c r="B133" s="595"/>
      <c r="G133" s="1082"/>
      <c r="R133" s="706"/>
    </row>
    <row r="134" spans="2:18" ht="15" customHeight="1">
      <c r="B134" s="595"/>
      <c r="G134" s="1082"/>
      <c r="R134" s="706"/>
    </row>
    <row r="135" spans="2:18" ht="15" customHeight="1">
      <c r="B135" s="595"/>
      <c r="G135" s="1082"/>
      <c r="R135" s="706"/>
    </row>
    <row r="136" spans="2:18" ht="15" customHeight="1">
      <c r="B136" s="595"/>
      <c r="G136" s="1082"/>
      <c r="R136" s="706"/>
    </row>
    <row r="137" spans="2:18" ht="15" customHeight="1">
      <c r="B137" s="595"/>
      <c r="G137" s="1082"/>
      <c r="R137" s="706"/>
    </row>
    <row r="138" spans="2:18" ht="15" customHeight="1">
      <c r="B138" s="595"/>
      <c r="G138" s="1082"/>
      <c r="R138" s="706"/>
    </row>
    <row r="139" spans="2:18" ht="15" customHeight="1">
      <c r="B139" s="595"/>
      <c r="G139" s="1082"/>
      <c r="R139" s="706"/>
    </row>
    <row r="140" spans="2:18" ht="15" customHeight="1">
      <c r="B140" s="595"/>
      <c r="G140" s="1082"/>
      <c r="R140" s="706"/>
    </row>
    <row r="141" spans="2:18" ht="15" customHeight="1">
      <c r="B141" s="595"/>
      <c r="G141" s="1082"/>
      <c r="R141" s="706"/>
    </row>
    <row r="142" spans="2:18" ht="15" customHeight="1">
      <c r="B142" s="595"/>
      <c r="G142" s="1082"/>
      <c r="R142" s="706"/>
    </row>
    <row r="143" spans="2:18" ht="15" customHeight="1">
      <c r="B143" s="595"/>
      <c r="G143" s="1082"/>
      <c r="R143" s="706"/>
    </row>
    <row r="144" spans="2:18" ht="15" customHeight="1">
      <c r="B144" s="595"/>
      <c r="G144" s="1082"/>
      <c r="R144" s="706"/>
    </row>
    <row r="145" spans="2:18" ht="15" customHeight="1">
      <c r="B145" s="595"/>
      <c r="G145" s="1082"/>
      <c r="R145" s="706"/>
    </row>
    <row r="146" spans="2:18" ht="15" customHeight="1">
      <c r="B146" s="595"/>
      <c r="G146" s="1082"/>
      <c r="R146" s="706"/>
    </row>
    <row r="147" spans="2:18" ht="15" customHeight="1">
      <c r="B147" s="595"/>
      <c r="G147" s="1082"/>
      <c r="R147" s="706"/>
    </row>
    <row r="148" spans="2:18" ht="15" customHeight="1">
      <c r="B148" s="595"/>
      <c r="G148" s="1082"/>
      <c r="R148" s="706"/>
    </row>
    <row r="149" spans="2:18" ht="15" customHeight="1">
      <c r="B149" s="595"/>
      <c r="G149" s="1082"/>
      <c r="R149" s="706"/>
    </row>
    <row r="150" spans="2:18" ht="15" customHeight="1">
      <c r="B150" s="595"/>
      <c r="G150" s="1082"/>
      <c r="R150" s="706"/>
    </row>
    <row r="151" spans="2:18" ht="15" customHeight="1">
      <c r="B151" s="595"/>
      <c r="G151" s="1082"/>
      <c r="R151" s="706"/>
    </row>
    <row r="152" spans="2:18" ht="15" customHeight="1">
      <c r="B152" s="595"/>
      <c r="G152" s="1082"/>
      <c r="R152" s="706"/>
    </row>
    <row r="153" spans="2:18" ht="15" customHeight="1">
      <c r="B153" s="595"/>
      <c r="G153" s="1082"/>
      <c r="R153" s="706"/>
    </row>
    <row r="154" spans="2:18" ht="15" customHeight="1">
      <c r="B154" s="595"/>
      <c r="G154" s="1082"/>
      <c r="R154" s="706"/>
    </row>
    <row r="155" spans="2:18" ht="15" customHeight="1">
      <c r="B155" s="595"/>
      <c r="G155" s="1082"/>
      <c r="R155" s="706"/>
    </row>
    <row r="156" spans="2:18" ht="15" customHeight="1">
      <c r="B156" s="595"/>
      <c r="G156" s="1082"/>
      <c r="R156" s="706"/>
    </row>
    <row r="157" spans="2:18" ht="15" customHeight="1">
      <c r="B157" s="595"/>
      <c r="G157" s="1082"/>
      <c r="R157" s="706"/>
    </row>
    <row r="158" spans="2:18" ht="15" customHeight="1">
      <c r="B158" s="595"/>
      <c r="G158" s="1082"/>
      <c r="R158" s="706"/>
    </row>
    <row r="159" spans="2:18" ht="15" customHeight="1">
      <c r="B159" s="595"/>
      <c r="G159" s="1082"/>
      <c r="R159" s="706"/>
    </row>
    <row r="160" spans="2:18" ht="15" customHeight="1">
      <c r="B160" s="595"/>
      <c r="G160" s="1082"/>
      <c r="R160" s="706"/>
    </row>
    <row r="161" spans="2:18" ht="15" customHeight="1">
      <c r="B161" s="595"/>
      <c r="G161" s="1082"/>
      <c r="R161" s="706"/>
    </row>
    <row r="162" spans="2:18" ht="15" customHeight="1">
      <c r="B162" s="595"/>
      <c r="G162" s="1082"/>
      <c r="R162" s="706"/>
    </row>
    <row r="163" spans="2:18" ht="15" customHeight="1">
      <c r="B163" s="595"/>
      <c r="G163" s="1082"/>
      <c r="R163" s="706"/>
    </row>
    <row r="164" spans="2:18" ht="15" customHeight="1">
      <c r="B164" s="595"/>
      <c r="G164" s="1082"/>
      <c r="R164" s="706"/>
    </row>
    <row r="165" spans="2:18" ht="15" customHeight="1">
      <c r="B165" s="595"/>
      <c r="G165" s="1082"/>
      <c r="R165" s="706"/>
    </row>
    <row r="166" spans="2:18" ht="15" customHeight="1">
      <c r="B166" s="595"/>
      <c r="G166" s="1082"/>
      <c r="R166" s="706"/>
    </row>
    <row r="167" spans="2:18" ht="15" customHeight="1">
      <c r="B167" s="595"/>
      <c r="G167" s="1082"/>
      <c r="R167" s="706"/>
    </row>
    <row r="168" spans="2:18" ht="15" customHeight="1">
      <c r="B168" s="595"/>
      <c r="G168" s="1082"/>
      <c r="R168" s="706"/>
    </row>
    <row r="169" spans="2:18" ht="15" customHeight="1">
      <c r="B169" s="595"/>
      <c r="G169" s="1082"/>
      <c r="R169" s="706"/>
    </row>
    <row r="170" spans="2:18" ht="15" customHeight="1">
      <c r="B170" s="595"/>
      <c r="G170" s="1082"/>
      <c r="R170" s="706"/>
    </row>
    <row r="171" spans="2:18" ht="15" customHeight="1">
      <c r="B171" s="595"/>
      <c r="G171" s="1082"/>
      <c r="R171" s="706"/>
    </row>
    <row r="172" spans="2:18" ht="15" customHeight="1">
      <c r="B172" s="595"/>
      <c r="G172" s="1082"/>
      <c r="R172" s="706"/>
    </row>
    <row r="173" spans="2:18" ht="15" customHeight="1">
      <c r="B173" s="595"/>
      <c r="G173" s="1082"/>
      <c r="R173" s="706"/>
    </row>
    <row r="174" spans="2:18" ht="15" customHeight="1">
      <c r="B174" s="595"/>
      <c r="G174" s="1082"/>
      <c r="R174" s="706"/>
    </row>
    <row r="175" spans="2:18" ht="15" customHeight="1">
      <c r="B175" s="595"/>
      <c r="G175" s="1082"/>
      <c r="R175" s="706"/>
    </row>
    <row r="176" spans="2:18" ht="15" customHeight="1">
      <c r="B176" s="595"/>
      <c r="G176" s="1082"/>
      <c r="R176" s="706"/>
    </row>
    <row r="177" spans="2:18" ht="15" customHeight="1">
      <c r="B177" s="595"/>
      <c r="G177" s="1082"/>
      <c r="R177" s="706"/>
    </row>
    <row r="178" spans="2:18" ht="15" customHeight="1">
      <c r="B178" s="595"/>
      <c r="G178" s="1082"/>
      <c r="R178" s="706"/>
    </row>
    <row r="179" spans="2:18" ht="15" customHeight="1">
      <c r="B179" s="595"/>
      <c r="G179" s="1082"/>
      <c r="R179" s="706"/>
    </row>
    <row r="180" spans="2:18" ht="15" customHeight="1">
      <c r="B180" s="595"/>
      <c r="G180" s="1082"/>
      <c r="R180" s="706"/>
    </row>
    <row r="181" spans="2:18" ht="15" customHeight="1">
      <c r="G181" s="1082"/>
      <c r="R181" s="706"/>
    </row>
    <row r="182" spans="2:18" ht="15" customHeight="1">
      <c r="G182" s="1082"/>
      <c r="R182" s="706"/>
    </row>
    <row r="183" spans="2:18" ht="15" customHeight="1">
      <c r="G183" s="1082"/>
      <c r="R183" s="706"/>
    </row>
    <row r="184" spans="2:18" ht="15" customHeight="1">
      <c r="G184" s="1082"/>
      <c r="R184" s="706"/>
    </row>
    <row r="185" spans="2:18" ht="15" customHeight="1">
      <c r="G185" s="1082"/>
      <c r="R185" s="706"/>
    </row>
    <row r="186" spans="2:18" ht="15" customHeight="1">
      <c r="G186" s="1082"/>
      <c r="R186" s="706"/>
    </row>
    <row r="187" spans="2:18" ht="15" customHeight="1">
      <c r="G187" s="1082"/>
      <c r="R187" s="706"/>
    </row>
    <row r="188" spans="2:18" ht="15" customHeight="1">
      <c r="G188" s="1082"/>
      <c r="R188" s="706"/>
    </row>
    <row r="189" spans="2:18" ht="15" customHeight="1">
      <c r="G189" s="1082"/>
      <c r="R189" s="706"/>
    </row>
    <row r="190" spans="2:18" ht="15" customHeight="1">
      <c r="G190" s="1082"/>
      <c r="R190" s="706"/>
    </row>
    <row r="191" spans="2:18" ht="15" customHeight="1">
      <c r="G191" s="1082"/>
      <c r="R191" s="706"/>
    </row>
    <row r="192" spans="2:18" ht="15" customHeight="1">
      <c r="G192" s="1082"/>
      <c r="R192" s="706"/>
    </row>
    <row r="193" spans="7:18" ht="15" customHeight="1">
      <c r="G193" s="1082"/>
      <c r="R193" s="706"/>
    </row>
    <row r="194" spans="7:18" ht="15" customHeight="1">
      <c r="G194" s="1082"/>
      <c r="R194" s="706"/>
    </row>
    <row r="195" spans="7:18" ht="15" customHeight="1">
      <c r="G195" s="1082"/>
      <c r="R195" s="706"/>
    </row>
    <row r="196" spans="7:18" ht="15" customHeight="1">
      <c r="G196" s="1082"/>
      <c r="R196" s="706"/>
    </row>
    <row r="197" spans="7:18" ht="15" customHeight="1">
      <c r="G197" s="1082"/>
      <c r="R197" s="706"/>
    </row>
    <row r="198" spans="7:18" ht="15" customHeight="1">
      <c r="G198" s="1082"/>
      <c r="R198" s="706"/>
    </row>
    <row r="199" spans="7:18" ht="15" customHeight="1">
      <c r="G199" s="1082"/>
      <c r="R199" s="706"/>
    </row>
    <row r="200" spans="7:18" ht="15" customHeight="1">
      <c r="G200" s="1082"/>
      <c r="R200" s="706"/>
    </row>
    <row r="201" spans="7:18" ht="15" customHeight="1">
      <c r="G201" s="1082"/>
      <c r="R201" s="706"/>
    </row>
    <row r="202" spans="7:18" ht="15" customHeight="1">
      <c r="G202" s="1082"/>
      <c r="R202" s="706"/>
    </row>
    <row r="203" spans="7:18" ht="15" customHeight="1">
      <c r="G203" s="1082"/>
      <c r="R203" s="706"/>
    </row>
    <row r="204" spans="7:18" ht="15" customHeight="1">
      <c r="G204" s="1082"/>
      <c r="R204" s="706"/>
    </row>
    <row r="205" spans="7:18" ht="15" customHeight="1">
      <c r="G205" s="1082"/>
      <c r="R205" s="706"/>
    </row>
    <row r="206" spans="7:18" ht="15" customHeight="1">
      <c r="G206" s="1082"/>
      <c r="R206" s="706"/>
    </row>
    <row r="207" spans="7:18" ht="15" customHeight="1">
      <c r="G207" s="1082"/>
      <c r="R207" s="706"/>
    </row>
    <row r="208" spans="7:18" ht="15" customHeight="1">
      <c r="G208" s="1082"/>
      <c r="R208" s="706"/>
    </row>
    <row r="209" spans="7:18" ht="15" customHeight="1">
      <c r="G209" s="1082"/>
      <c r="R209" s="706"/>
    </row>
    <row r="210" spans="7:18" ht="15" customHeight="1">
      <c r="G210" s="1082"/>
      <c r="R210" s="706"/>
    </row>
    <row r="211" spans="7:18" ht="15" customHeight="1">
      <c r="G211" s="1082"/>
      <c r="R211" s="706"/>
    </row>
    <row r="212" spans="7:18" ht="15" customHeight="1">
      <c r="G212" s="1082"/>
      <c r="R212" s="706"/>
    </row>
    <row r="213" spans="7:18" ht="15" customHeight="1">
      <c r="G213" s="1082"/>
      <c r="R213" s="706"/>
    </row>
    <row r="214" spans="7:18" ht="15" customHeight="1">
      <c r="G214" s="1082"/>
      <c r="R214" s="706"/>
    </row>
    <row r="215" spans="7:18" ht="15" customHeight="1">
      <c r="G215" s="1082"/>
      <c r="R215" s="706"/>
    </row>
    <row r="216" spans="7:18" ht="15" customHeight="1">
      <c r="G216" s="1082"/>
      <c r="R216" s="706"/>
    </row>
    <row r="217" spans="7:18" ht="15" customHeight="1">
      <c r="G217" s="1082"/>
      <c r="R217" s="706"/>
    </row>
    <row r="218" spans="7:18" ht="15" customHeight="1">
      <c r="G218" s="1082"/>
      <c r="R218" s="706"/>
    </row>
    <row r="219" spans="7:18" ht="15" customHeight="1">
      <c r="G219" s="1082"/>
      <c r="R219" s="706"/>
    </row>
    <row r="220" spans="7:18" ht="15" customHeight="1">
      <c r="G220" s="1082"/>
      <c r="R220" s="706"/>
    </row>
    <row r="221" spans="7:18" ht="15" customHeight="1">
      <c r="G221" s="1082"/>
      <c r="R221" s="706"/>
    </row>
    <row r="222" spans="7:18" ht="15" customHeight="1">
      <c r="G222" s="1082"/>
      <c r="R222" s="706"/>
    </row>
    <row r="223" spans="7:18" ht="15" customHeight="1">
      <c r="G223" s="1082"/>
      <c r="R223" s="706"/>
    </row>
    <row r="224" spans="7:18" ht="15" customHeight="1">
      <c r="G224" s="1082"/>
      <c r="R224" s="706"/>
    </row>
    <row r="225" spans="7:18" ht="15" customHeight="1">
      <c r="G225" s="1082"/>
      <c r="R225" s="706"/>
    </row>
    <row r="226" spans="7:18" ht="15" customHeight="1">
      <c r="G226" s="1082"/>
      <c r="R226" s="706"/>
    </row>
    <row r="227" spans="7:18" ht="15" customHeight="1">
      <c r="G227" s="1082"/>
      <c r="R227" s="706"/>
    </row>
    <row r="228" spans="7:18" ht="15" customHeight="1">
      <c r="G228" s="1082"/>
      <c r="R228" s="706"/>
    </row>
    <row r="229" spans="7:18" ht="15" customHeight="1">
      <c r="G229" s="1082"/>
      <c r="R229" s="706"/>
    </row>
    <row r="230" spans="7:18" ht="15" customHeight="1">
      <c r="G230" s="1082"/>
      <c r="R230" s="706"/>
    </row>
    <row r="231" spans="7:18" ht="15" customHeight="1">
      <c r="G231" s="1082"/>
      <c r="R231" s="706"/>
    </row>
    <row r="232" spans="7:18" ht="15" customHeight="1">
      <c r="G232" s="1082"/>
      <c r="R232" s="706"/>
    </row>
    <row r="233" spans="7:18" ht="15" customHeight="1">
      <c r="G233" s="1082"/>
      <c r="R233" s="706"/>
    </row>
    <row r="234" spans="7:18" ht="15" customHeight="1">
      <c r="G234" s="1082"/>
      <c r="R234" s="706"/>
    </row>
    <row r="235" spans="7:18" ht="15" customHeight="1">
      <c r="G235" s="1082"/>
      <c r="R235" s="706"/>
    </row>
    <row r="236" spans="7:18" ht="15" customHeight="1">
      <c r="G236" s="1082"/>
      <c r="R236" s="706"/>
    </row>
    <row r="237" spans="7:18" ht="15" customHeight="1">
      <c r="G237" s="1082"/>
      <c r="R237" s="706"/>
    </row>
    <row r="238" spans="7:18" ht="15" customHeight="1">
      <c r="G238" s="1082"/>
      <c r="R238" s="706"/>
    </row>
    <row r="239" spans="7:18" ht="15" customHeight="1">
      <c r="G239" s="1082"/>
      <c r="R239" s="706"/>
    </row>
    <row r="240" spans="7:18" ht="15" customHeight="1">
      <c r="G240" s="1082"/>
      <c r="R240" s="706"/>
    </row>
    <row r="241" spans="7:18" ht="15" customHeight="1">
      <c r="G241" s="1082"/>
      <c r="R241" s="706"/>
    </row>
    <row r="242" spans="7:18" ht="15" customHeight="1">
      <c r="G242" s="1082"/>
      <c r="R242" s="706"/>
    </row>
    <row r="243" spans="7:18" ht="15" customHeight="1">
      <c r="G243" s="1082"/>
      <c r="R243" s="706"/>
    </row>
    <row r="244" spans="7:18" ht="15" customHeight="1">
      <c r="G244" s="1082"/>
      <c r="R244" s="706"/>
    </row>
    <row r="245" spans="7:18" ht="15" customHeight="1">
      <c r="G245" s="1082"/>
      <c r="R245" s="706"/>
    </row>
    <row r="246" spans="7:18" ht="15" customHeight="1">
      <c r="G246" s="1082"/>
      <c r="R246" s="706"/>
    </row>
    <row r="247" spans="7:18" ht="15" customHeight="1">
      <c r="G247" s="1082"/>
      <c r="R247" s="706"/>
    </row>
    <row r="248" spans="7:18" ht="15" customHeight="1">
      <c r="G248" s="1082"/>
      <c r="R248" s="706"/>
    </row>
    <row r="249" spans="7:18" ht="15" customHeight="1">
      <c r="G249" s="1082"/>
      <c r="R249" s="706"/>
    </row>
    <row r="250" spans="7:18" ht="15" customHeight="1">
      <c r="G250" s="1082"/>
      <c r="R250" s="706"/>
    </row>
    <row r="251" spans="7:18" ht="15" customHeight="1">
      <c r="G251" s="1082"/>
      <c r="R251" s="706"/>
    </row>
    <row r="252" spans="7:18" ht="15" customHeight="1">
      <c r="G252" s="1082"/>
      <c r="R252" s="706"/>
    </row>
    <row r="253" spans="7:18" ht="15" customHeight="1">
      <c r="G253" s="1082"/>
      <c r="R253" s="706"/>
    </row>
    <row r="254" spans="7:18" ht="15" customHeight="1">
      <c r="G254" s="1082"/>
      <c r="R254" s="706"/>
    </row>
    <row r="255" spans="7:18" ht="15" customHeight="1">
      <c r="G255" s="1082"/>
      <c r="R255" s="706"/>
    </row>
    <row r="256" spans="7:18" ht="15" customHeight="1">
      <c r="G256" s="1082"/>
      <c r="R256" s="706"/>
    </row>
    <row r="257" spans="7:18" ht="15" customHeight="1">
      <c r="G257" s="1082"/>
      <c r="R257" s="706"/>
    </row>
    <row r="258" spans="7:18" ht="15" customHeight="1">
      <c r="G258" s="1082"/>
      <c r="R258" s="706"/>
    </row>
    <row r="259" spans="7:18" ht="15" customHeight="1">
      <c r="G259" s="1082"/>
      <c r="R259" s="706"/>
    </row>
    <row r="260" spans="7:18" ht="15" customHeight="1">
      <c r="G260" s="1082"/>
      <c r="R260" s="706"/>
    </row>
    <row r="261" spans="7:18" ht="15" customHeight="1">
      <c r="G261" s="1082"/>
      <c r="R261" s="706"/>
    </row>
    <row r="262" spans="7:18" ht="15" customHeight="1">
      <c r="G262" s="1082"/>
      <c r="R262" s="706"/>
    </row>
    <row r="263" spans="7:18" ht="15" customHeight="1">
      <c r="G263" s="1082"/>
      <c r="R263" s="706"/>
    </row>
    <row r="264" spans="7:18" ht="15" customHeight="1">
      <c r="G264" s="1082"/>
      <c r="R264" s="706"/>
    </row>
    <row r="265" spans="7:18" ht="15" customHeight="1">
      <c r="G265" s="1082"/>
      <c r="R265" s="706"/>
    </row>
    <row r="266" spans="7:18" ht="15" customHeight="1">
      <c r="G266" s="1082"/>
      <c r="R266" s="706"/>
    </row>
    <row r="267" spans="7:18" ht="15" customHeight="1">
      <c r="G267" s="1082"/>
      <c r="R267" s="706"/>
    </row>
    <row r="268" spans="7:18" ht="15" customHeight="1">
      <c r="G268" s="1082"/>
      <c r="R268" s="706"/>
    </row>
    <row r="269" spans="7:18" ht="15" customHeight="1">
      <c r="G269" s="1082"/>
      <c r="R269" s="706"/>
    </row>
    <row r="270" spans="7:18" ht="15" customHeight="1">
      <c r="G270" s="1082"/>
      <c r="R270" s="706"/>
    </row>
    <row r="271" spans="7:18" ht="15" customHeight="1">
      <c r="G271" s="1082"/>
      <c r="R271" s="706"/>
    </row>
    <row r="272" spans="7:18" ht="15" customHeight="1">
      <c r="G272" s="1082"/>
      <c r="R272" s="706"/>
    </row>
    <row r="273" spans="7:18" ht="15" customHeight="1">
      <c r="G273" s="1082"/>
      <c r="R273" s="706"/>
    </row>
    <row r="274" spans="7:18" ht="15" customHeight="1">
      <c r="G274" s="1082"/>
      <c r="R274" s="706"/>
    </row>
    <row r="275" spans="7:18" ht="15" customHeight="1">
      <c r="G275" s="1082"/>
      <c r="R275" s="706"/>
    </row>
    <row r="276" spans="7:18" ht="15" customHeight="1">
      <c r="G276" s="1082"/>
      <c r="R276" s="706"/>
    </row>
    <row r="277" spans="7:18" ht="15" customHeight="1">
      <c r="G277" s="1082"/>
      <c r="R277" s="706"/>
    </row>
    <row r="278" spans="7:18" ht="15" customHeight="1">
      <c r="G278" s="1082"/>
      <c r="R278" s="706"/>
    </row>
    <row r="279" spans="7:18" ht="15" customHeight="1">
      <c r="G279" s="1082"/>
      <c r="R279" s="706"/>
    </row>
    <row r="280" spans="7:18" ht="15" customHeight="1">
      <c r="G280" s="1082"/>
      <c r="R280" s="706"/>
    </row>
    <row r="281" spans="7:18" ht="15" customHeight="1">
      <c r="G281" s="1082"/>
      <c r="R281" s="706"/>
    </row>
    <row r="282" spans="7:18" ht="15" customHeight="1">
      <c r="G282" s="1082"/>
      <c r="R282" s="706"/>
    </row>
    <row r="283" spans="7:18" ht="15" customHeight="1">
      <c r="G283" s="1082"/>
      <c r="R283" s="706"/>
    </row>
    <row r="284" spans="7:18" ht="15" customHeight="1">
      <c r="G284" s="1082"/>
      <c r="R284" s="706"/>
    </row>
    <row r="285" spans="7:18" ht="15" customHeight="1">
      <c r="G285" s="1082"/>
      <c r="R285" s="706"/>
    </row>
    <row r="286" spans="7:18" ht="15" customHeight="1">
      <c r="G286" s="1082"/>
      <c r="R286" s="706"/>
    </row>
    <row r="287" spans="7:18" ht="15" customHeight="1">
      <c r="G287" s="1082"/>
      <c r="R287" s="706"/>
    </row>
    <row r="288" spans="7:18" ht="15" customHeight="1">
      <c r="G288" s="1082"/>
      <c r="R288" s="706"/>
    </row>
    <row r="289" spans="7:18" ht="15" customHeight="1">
      <c r="G289" s="1082"/>
      <c r="R289" s="706"/>
    </row>
    <row r="290" spans="7:18" ht="15" customHeight="1">
      <c r="G290" s="1082"/>
      <c r="R290" s="706"/>
    </row>
    <row r="291" spans="7:18" ht="15" customHeight="1">
      <c r="G291" s="1082"/>
      <c r="R291" s="706"/>
    </row>
    <row r="292" spans="7:18" ht="15" customHeight="1">
      <c r="G292" s="1082"/>
      <c r="R292" s="706"/>
    </row>
    <row r="293" spans="7:18" ht="15" customHeight="1">
      <c r="G293" s="1082"/>
      <c r="R293" s="706"/>
    </row>
    <row r="294" spans="7:18" ht="15" customHeight="1">
      <c r="G294" s="1082"/>
      <c r="R294" s="706"/>
    </row>
    <row r="295" spans="7:18" ht="15" customHeight="1">
      <c r="G295" s="1082"/>
      <c r="R295" s="706"/>
    </row>
    <row r="296" spans="7:18" ht="15" customHeight="1">
      <c r="G296" s="1082"/>
      <c r="R296" s="706"/>
    </row>
    <row r="297" spans="7:18" ht="15" customHeight="1">
      <c r="G297" s="1082"/>
      <c r="R297" s="706"/>
    </row>
    <row r="298" spans="7:18" ht="15" customHeight="1">
      <c r="G298" s="1082"/>
      <c r="R298" s="706"/>
    </row>
    <row r="299" spans="7:18" ht="15" customHeight="1">
      <c r="G299" s="1082"/>
      <c r="R299" s="706"/>
    </row>
    <row r="300" spans="7:18" ht="15" customHeight="1">
      <c r="G300" s="1082"/>
      <c r="R300" s="706"/>
    </row>
    <row r="301" spans="7:18" ht="15" customHeight="1">
      <c r="G301" s="1082"/>
      <c r="R301" s="706"/>
    </row>
    <row r="302" spans="7:18" ht="15" customHeight="1">
      <c r="G302" s="1082"/>
      <c r="R302" s="706"/>
    </row>
    <row r="303" spans="7:18" ht="15" customHeight="1">
      <c r="G303" s="1082"/>
      <c r="R303" s="706"/>
    </row>
    <row r="304" spans="7:18" ht="15" customHeight="1">
      <c r="G304" s="1082"/>
      <c r="R304" s="706"/>
    </row>
    <row r="305" spans="7:18" ht="15" customHeight="1">
      <c r="G305" s="1082"/>
      <c r="R305" s="706"/>
    </row>
    <row r="306" spans="7:18" ht="15" customHeight="1">
      <c r="G306" s="1082"/>
      <c r="R306" s="706"/>
    </row>
    <row r="307" spans="7:18" ht="15" customHeight="1">
      <c r="G307" s="1082"/>
      <c r="R307" s="706"/>
    </row>
    <row r="308" spans="7:18" ht="15" customHeight="1">
      <c r="G308" s="1082"/>
      <c r="R308" s="706"/>
    </row>
    <row r="309" spans="7:18" ht="15" customHeight="1">
      <c r="G309" s="1082"/>
      <c r="R309" s="706"/>
    </row>
    <row r="310" spans="7:18" ht="15" customHeight="1">
      <c r="G310" s="1082"/>
      <c r="R310" s="706"/>
    </row>
    <row r="311" spans="7:18" ht="15" customHeight="1">
      <c r="G311" s="1082"/>
      <c r="R311" s="706"/>
    </row>
    <row r="312" spans="7:18" ht="15" customHeight="1">
      <c r="G312" s="1082"/>
      <c r="R312" s="706"/>
    </row>
    <row r="313" spans="7:18" ht="15" customHeight="1">
      <c r="G313" s="1082"/>
      <c r="R313" s="706"/>
    </row>
    <row r="314" spans="7:18" ht="15" customHeight="1">
      <c r="G314" s="1082"/>
      <c r="R314" s="706"/>
    </row>
    <row r="315" spans="7:18" ht="15" customHeight="1">
      <c r="G315" s="1082"/>
      <c r="R315" s="706"/>
    </row>
    <row r="316" spans="7:18" ht="15" customHeight="1">
      <c r="G316" s="1082"/>
      <c r="R316" s="706"/>
    </row>
    <row r="317" spans="7:18" ht="15" customHeight="1">
      <c r="G317" s="1082"/>
      <c r="R317" s="706"/>
    </row>
    <row r="318" spans="7:18" ht="15" customHeight="1">
      <c r="G318" s="1082"/>
      <c r="R318" s="706"/>
    </row>
    <row r="319" spans="7:18" ht="15" customHeight="1">
      <c r="G319" s="1082"/>
      <c r="R319" s="706"/>
    </row>
    <row r="320" spans="7:18" ht="15" customHeight="1">
      <c r="G320" s="1082"/>
      <c r="R320" s="706"/>
    </row>
    <row r="321" spans="7:18" ht="15" customHeight="1">
      <c r="G321" s="1082"/>
      <c r="R321" s="706"/>
    </row>
    <row r="322" spans="7:18" ht="15" customHeight="1">
      <c r="G322" s="1082"/>
      <c r="R322" s="706"/>
    </row>
    <row r="323" spans="7:18" ht="15" customHeight="1">
      <c r="G323" s="1082"/>
      <c r="R323" s="706"/>
    </row>
    <row r="324" spans="7:18" ht="15" customHeight="1">
      <c r="G324" s="1082"/>
      <c r="R324" s="706"/>
    </row>
    <row r="325" spans="7:18" ht="15" customHeight="1">
      <c r="G325" s="1082"/>
      <c r="R325" s="706"/>
    </row>
    <row r="326" spans="7:18" ht="15" customHeight="1">
      <c r="G326" s="1082"/>
      <c r="R326" s="706"/>
    </row>
    <row r="327" spans="7:18" ht="15" customHeight="1">
      <c r="G327" s="1082"/>
      <c r="R327" s="706"/>
    </row>
    <row r="328" spans="7:18" ht="15" customHeight="1">
      <c r="G328" s="1082"/>
      <c r="R328" s="706"/>
    </row>
    <row r="329" spans="7:18" ht="15" customHeight="1">
      <c r="G329" s="1082"/>
      <c r="R329" s="706"/>
    </row>
    <row r="330" spans="7:18" ht="15" customHeight="1">
      <c r="G330" s="1082"/>
      <c r="R330" s="706"/>
    </row>
    <row r="331" spans="7:18" ht="15" customHeight="1">
      <c r="G331" s="1082"/>
      <c r="R331" s="706"/>
    </row>
    <row r="332" spans="7:18" ht="15" customHeight="1">
      <c r="G332" s="1082"/>
      <c r="R332" s="706"/>
    </row>
    <row r="333" spans="7:18" ht="15" customHeight="1">
      <c r="G333" s="1082"/>
      <c r="R333" s="706"/>
    </row>
    <row r="334" spans="7:18" ht="15" customHeight="1">
      <c r="G334" s="1082"/>
      <c r="R334" s="706"/>
    </row>
    <row r="335" spans="7:18" ht="15" customHeight="1">
      <c r="G335" s="1082"/>
      <c r="R335" s="706"/>
    </row>
    <row r="336" spans="7:18" ht="15" customHeight="1">
      <c r="G336" s="1082"/>
      <c r="R336" s="706"/>
    </row>
    <row r="337" spans="7:18" ht="15" customHeight="1">
      <c r="G337" s="1082"/>
      <c r="R337" s="706"/>
    </row>
    <row r="338" spans="7:18" ht="15" customHeight="1">
      <c r="G338" s="1082"/>
      <c r="R338" s="706"/>
    </row>
    <row r="339" spans="7:18" ht="15" customHeight="1">
      <c r="G339" s="1082"/>
      <c r="R339" s="706"/>
    </row>
    <row r="340" spans="7:18" ht="15" customHeight="1">
      <c r="G340" s="1082"/>
      <c r="R340" s="706"/>
    </row>
    <row r="341" spans="7:18" ht="15" customHeight="1">
      <c r="G341" s="1082"/>
      <c r="R341" s="706"/>
    </row>
    <row r="342" spans="7:18" ht="15" customHeight="1">
      <c r="G342" s="1082"/>
      <c r="R342" s="706"/>
    </row>
    <row r="343" spans="7:18" ht="15" customHeight="1">
      <c r="G343" s="1082"/>
      <c r="R343" s="706"/>
    </row>
    <row r="344" spans="7:18" ht="15" customHeight="1">
      <c r="G344" s="1082"/>
      <c r="R344" s="706"/>
    </row>
    <row r="345" spans="7:18" ht="15" customHeight="1">
      <c r="G345" s="1082"/>
      <c r="R345" s="706"/>
    </row>
    <row r="346" spans="7:18" ht="15" customHeight="1">
      <c r="G346" s="1082"/>
      <c r="R346" s="706"/>
    </row>
    <row r="347" spans="7:18" ht="15" customHeight="1">
      <c r="G347" s="1082"/>
      <c r="R347" s="706"/>
    </row>
    <row r="348" spans="7:18" ht="15" customHeight="1">
      <c r="G348" s="1082"/>
      <c r="R348" s="706"/>
    </row>
    <row r="349" spans="7:18" ht="15" customHeight="1">
      <c r="G349" s="1082"/>
      <c r="R349" s="706"/>
    </row>
    <row r="350" spans="7:18" ht="15" customHeight="1">
      <c r="G350" s="1082"/>
      <c r="R350" s="706"/>
    </row>
    <row r="351" spans="7:18" ht="15" customHeight="1">
      <c r="G351" s="1082"/>
      <c r="R351" s="706"/>
    </row>
    <row r="352" spans="7:18" ht="15" customHeight="1">
      <c r="G352" s="1082"/>
      <c r="R352" s="706"/>
    </row>
    <row r="353" spans="7:18" ht="15" customHeight="1">
      <c r="G353" s="1082"/>
      <c r="R353" s="706"/>
    </row>
    <row r="354" spans="7:18" ht="15" customHeight="1">
      <c r="G354" s="1082"/>
      <c r="R354" s="706"/>
    </row>
    <row r="355" spans="7:18" ht="15" customHeight="1">
      <c r="G355" s="1082"/>
      <c r="R355" s="706"/>
    </row>
    <row r="356" spans="7:18" ht="15" customHeight="1">
      <c r="G356" s="1082"/>
      <c r="R356" s="706"/>
    </row>
    <row r="357" spans="7:18" ht="15" customHeight="1">
      <c r="G357" s="1082"/>
      <c r="R357" s="706"/>
    </row>
    <row r="358" spans="7:18" ht="15" customHeight="1">
      <c r="G358" s="1082"/>
      <c r="R358" s="706"/>
    </row>
    <row r="359" spans="7:18" ht="15" customHeight="1">
      <c r="G359" s="1082"/>
      <c r="R359" s="706"/>
    </row>
    <row r="360" spans="7:18" ht="15" customHeight="1">
      <c r="G360" s="1082"/>
      <c r="R360" s="706"/>
    </row>
    <row r="361" spans="7:18" ht="15" customHeight="1">
      <c r="G361" s="1082"/>
      <c r="R361" s="706"/>
    </row>
    <row r="362" spans="7:18" ht="15" customHeight="1">
      <c r="G362" s="1082"/>
      <c r="R362" s="706"/>
    </row>
    <row r="363" spans="7:18" ht="15" customHeight="1">
      <c r="G363" s="1082"/>
      <c r="R363" s="706"/>
    </row>
    <row r="364" spans="7:18" ht="15" customHeight="1">
      <c r="G364" s="1082"/>
      <c r="R364" s="706"/>
    </row>
    <row r="365" spans="7:18" ht="15" customHeight="1">
      <c r="G365" s="1082"/>
      <c r="R365" s="706"/>
    </row>
    <row r="366" spans="7:18" ht="15" customHeight="1">
      <c r="G366" s="1082"/>
      <c r="R366" s="706"/>
    </row>
    <row r="367" spans="7:18" ht="15" customHeight="1">
      <c r="G367" s="1082"/>
      <c r="R367" s="706"/>
    </row>
    <row r="368" spans="7:18" ht="15" customHeight="1">
      <c r="G368" s="1082"/>
      <c r="R368" s="706"/>
    </row>
    <row r="369" spans="7:18" ht="15" customHeight="1">
      <c r="G369" s="1082"/>
      <c r="R369" s="706"/>
    </row>
    <row r="370" spans="7:18" ht="15" customHeight="1">
      <c r="G370" s="1082"/>
      <c r="R370" s="706"/>
    </row>
    <row r="371" spans="7:18" ht="15" customHeight="1">
      <c r="G371" s="1082"/>
      <c r="R371" s="706"/>
    </row>
    <row r="372" spans="7:18" ht="15" customHeight="1">
      <c r="G372" s="1082"/>
      <c r="R372" s="706"/>
    </row>
    <row r="373" spans="7:18" ht="15" customHeight="1">
      <c r="G373" s="1082"/>
      <c r="R373" s="706"/>
    </row>
    <row r="374" spans="7:18" ht="15" customHeight="1">
      <c r="G374" s="1082"/>
      <c r="R374" s="706"/>
    </row>
    <row r="375" spans="7:18" ht="15" customHeight="1">
      <c r="G375" s="1082"/>
      <c r="R375" s="706"/>
    </row>
    <row r="376" spans="7:18" ht="15" customHeight="1">
      <c r="G376" s="1082"/>
      <c r="R376" s="706"/>
    </row>
    <row r="377" spans="7:18" ht="15" customHeight="1">
      <c r="G377" s="1082"/>
      <c r="R377" s="706"/>
    </row>
    <row r="378" spans="7:18" ht="15" customHeight="1">
      <c r="G378" s="1082"/>
      <c r="R378" s="706"/>
    </row>
    <row r="379" spans="7:18" ht="15" customHeight="1">
      <c r="G379" s="1082"/>
      <c r="R379" s="706"/>
    </row>
    <row r="380" spans="7:18" ht="15" customHeight="1">
      <c r="G380" s="1082"/>
      <c r="R380" s="706"/>
    </row>
    <row r="381" spans="7:18" ht="15" customHeight="1">
      <c r="G381" s="1082"/>
      <c r="R381" s="706"/>
    </row>
    <row r="382" spans="7:18" ht="15" customHeight="1">
      <c r="G382" s="1082"/>
      <c r="R382" s="706"/>
    </row>
    <row r="383" spans="7:18" ht="15" customHeight="1">
      <c r="G383" s="1082"/>
      <c r="R383" s="706"/>
    </row>
    <row r="384" spans="7:18" ht="15" customHeight="1">
      <c r="G384" s="1082"/>
      <c r="R384" s="706"/>
    </row>
    <row r="385" spans="7:18" ht="15" customHeight="1">
      <c r="G385" s="1082"/>
      <c r="R385" s="706"/>
    </row>
    <row r="386" spans="7:18" ht="15" customHeight="1">
      <c r="G386" s="1082"/>
      <c r="R386" s="706"/>
    </row>
    <row r="387" spans="7:18" ht="15" customHeight="1">
      <c r="G387" s="1082"/>
      <c r="R387" s="706"/>
    </row>
    <row r="388" spans="7:18" ht="15" customHeight="1">
      <c r="G388" s="1082"/>
      <c r="R388" s="706"/>
    </row>
    <row r="389" spans="7:18" ht="15" customHeight="1">
      <c r="G389" s="1082"/>
      <c r="R389" s="706"/>
    </row>
    <row r="390" spans="7:18" ht="15" customHeight="1">
      <c r="G390" s="1082"/>
      <c r="R390" s="706"/>
    </row>
    <row r="391" spans="7:18" ht="15" customHeight="1">
      <c r="G391" s="1082"/>
      <c r="R391" s="706"/>
    </row>
    <row r="392" spans="7:18" ht="15" customHeight="1">
      <c r="G392" s="1082"/>
      <c r="R392" s="706"/>
    </row>
    <row r="393" spans="7:18" ht="15" customHeight="1">
      <c r="G393" s="1082"/>
      <c r="R393" s="706"/>
    </row>
    <row r="394" spans="7:18" ht="15" customHeight="1">
      <c r="G394" s="1082"/>
      <c r="R394" s="706"/>
    </row>
    <row r="395" spans="7:18" ht="15" customHeight="1">
      <c r="G395" s="1082"/>
      <c r="R395" s="706"/>
    </row>
    <row r="396" spans="7:18" ht="15" customHeight="1">
      <c r="G396" s="1082"/>
      <c r="R396" s="706"/>
    </row>
    <row r="397" spans="7:18" ht="15" customHeight="1">
      <c r="G397" s="1082"/>
      <c r="R397" s="706"/>
    </row>
    <row r="398" spans="7:18" ht="15" customHeight="1">
      <c r="G398" s="1082"/>
      <c r="R398" s="706"/>
    </row>
    <row r="399" spans="7:18" ht="15" customHeight="1">
      <c r="G399" s="1082"/>
      <c r="R399" s="706"/>
    </row>
    <row r="400" spans="7:18" ht="15" customHeight="1">
      <c r="G400" s="1082"/>
      <c r="R400" s="706"/>
    </row>
    <row r="401" spans="7:18" ht="15" customHeight="1">
      <c r="G401" s="1082"/>
      <c r="R401" s="706"/>
    </row>
    <row r="402" spans="7:18" ht="15" customHeight="1">
      <c r="G402" s="1082"/>
      <c r="R402" s="706"/>
    </row>
    <row r="403" spans="7:18" ht="15" customHeight="1">
      <c r="G403" s="1082"/>
      <c r="R403" s="706"/>
    </row>
    <row r="404" spans="7:18" ht="15" customHeight="1">
      <c r="G404" s="1082"/>
      <c r="R404" s="706"/>
    </row>
    <row r="405" spans="7:18" ht="15" customHeight="1">
      <c r="G405" s="1082"/>
      <c r="R405" s="706"/>
    </row>
    <row r="406" spans="7:18" ht="15" customHeight="1">
      <c r="G406" s="1082"/>
      <c r="R406" s="706"/>
    </row>
    <row r="407" spans="7:18" ht="15" customHeight="1">
      <c r="G407" s="1082"/>
      <c r="R407" s="706"/>
    </row>
    <row r="408" spans="7:18" ht="15" customHeight="1">
      <c r="G408" s="1082"/>
      <c r="R408" s="706"/>
    </row>
    <row r="409" spans="7:18" ht="15" customHeight="1">
      <c r="G409" s="1082"/>
      <c r="R409" s="706"/>
    </row>
    <row r="410" spans="7:18" ht="15" customHeight="1">
      <c r="G410" s="1082"/>
      <c r="R410" s="706"/>
    </row>
    <row r="411" spans="7:18" ht="15" customHeight="1">
      <c r="G411" s="1082"/>
      <c r="R411" s="706"/>
    </row>
    <row r="412" spans="7:18" ht="15" customHeight="1">
      <c r="G412" s="1082"/>
      <c r="R412" s="706"/>
    </row>
    <row r="413" spans="7:18" ht="15" customHeight="1">
      <c r="G413" s="1082"/>
      <c r="R413" s="706"/>
    </row>
    <row r="414" spans="7:18" ht="15" customHeight="1">
      <c r="G414" s="1082"/>
      <c r="R414" s="706"/>
    </row>
    <row r="415" spans="7:18" ht="15" customHeight="1">
      <c r="G415" s="1082"/>
      <c r="R415" s="706"/>
    </row>
    <row r="416" spans="7:18" ht="15" customHeight="1">
      <c r="G416" s="1082"/>
      <c r="R416" s="706"/>
    </row>
    <row r="417" spans="7:18" ht="15" customHeight="1">
      <c r="G417" s="1082"/>
      <c r="R417" s="706"/>
    </row>
    <row r="418" spans="7:18" ht="15" customHeight="1">
      <c r="G418" s="1082"/>
      <c r="R418" s="706"/>
    </row>
    <row r="419" spans="7:18" ht="15" customHeight="1">
      <c r="G419" s="1082"/>
      <c r="R419" s="706"/>
    </row>
    <row r="420" spans="7:18" ht="15" customHeight="1">
      <c r="G420" s="1082"/>
      <c r="R420" s="706"/>
    </row>
    <row r="421" spans="7:18" ht="15" customHeight="1">
      <c r="G421" s="1082"/>
      <c r="R421" s="706"/>
    </row>
    <row r="422" spans="7:18" ht="15" customHeight="1">
      <c r="G422" s="1082"/>
      <c r="R422" s="706"/>
    </row>
    <row r="423" spans="7:18" ht="15" customHeight="1">
      <c r="G423" s="1082"/>
      <c r="R423" s="706"/>
    </row>
    <row r="424" spans="7:18" ht="15" customHeight="1">
      <c r="G424" s="1082"/>
      <c r="R424" s="706"/>
    </row>
    <row r="425" spans="7:18" ht="15" customHeight="1">
      <c r="G425" s="1082"/>
      <c r="R425" s="706"/>
    </row>
    <row r="426" spans="7:18" ht="15" customHeight="1">
      <c r="G426" s="1082"/>
      <c r="R426" s="706"/>
    </row>
    <row r="427" spans="7:18" ht="15" customHeight="1">
      <c r="G427" s="1082"/>
      <c r="R427" s="706"/>
    </row>
    <row r="428" spans="7:18" ht="15" customHeight="1">
      <c r="G428" s="1082"/>
      <c r="R428" s="706"/>
    </row>
    <row r="429" spans="7:18" ht="15" customHeight="1">
      <c r="G429" s="1082"/>
      <c r="R429" s="706"/>
    </row>
    <row r="430" spans="7:18" ht="15" customHeight="1">
      <c r="G430" s="1082"/>
      <c r="R430" s="706"/>
    </row>
    <row r="431" spans="7:18" ht="15" customHeight="1">
      <c r="G431" s="1082"/>
      <c r="R431" s="706"/>
    </row>
    <row r="432" spans="7:18" ht="15" customHeight="1">
      <c r="G432" s="1082"/>
      <c r="R432" s="706"/>
    </row>
    <row r="433" spans="7:18" ht="15" customHeight="1">
      <c r="G433" s="1082"/>
      <c r="R433" s="706"/>
    </row>
    <row r="434" spans="7:18" ht="15" customHeight="1">
      <c r="G434" s="1082"/>
      <c r="R434" s="706"/>
    </row>
    <row r="435" spans="7:18" ht="15" customHeight="1">
      <c r="G435" s="1082"/>
      <c r="R435" s="706"/>
    </row>
    <row r="436" spans="7:18" ht="15" customHeight="1">
      <c r="G436" s="1082"/>
      <c r="R436" s="706"/>
    </row>
    <row r="437" spans="7:18" ht="15" customHeight="1">
      <c r="G437" s="1082"/>
      <c r="R437" s="706"/>
    </row>
    <row r="438" spans="7:18" ht="15" customHeight="1">
      <c r="G438" s="1082"/>
      <c r="R438" s="706"/>
    </row>
    <row r="439" spans="7:18" ht="15" customHeight="1">
      <c r="G439" s="1082"/>
      <c r="R439" s="706"/>
    </row>
    <row r="440" spans="7:18" ht="15" customHeight="1">
      <c r="G440" s="1082"/>
      <c r="R440" s="706"/>
    </row>
    <row r="441" spans="7:18" ht="15" customHeight="1">
      <c r="G441" s="1082"/>
      <c r="R441" s="706"/>
    </row>
    <row r="442" spans="7:18" ht="15" customHeight="1">
      <c r="G442" s="1082"/>
      <c r="R442" s="706"/>
    </row>
    <row r="443" spans="7:18" ht="15" customHeight="1">
      <c r="G443" s="1082"/>
      <c r="R443" s="706"/>
    </row>
    <row r="444" spans="7:18" ht="15" customHeight="1">
      <c r="G444" s="1082"/>
      <c r="R444" s="706"/>
    </row>
    <row r="445" spans="7:18" ht="15" customHeight="1">
      <c r="G445" s="1082"/>
      <c r="R445" s="706"/>
    </row>
    <row r="446" spans="7:18" ht="15" customHeight="1">
      <c r="G446" s="1082"/>
      <c r="R446" s="706"/>
    </row>
    <row r="447" spans="7:18" ht="15" customHeight="1">
      <c r="G447" s="1082"/>
      <c r="R447" s="706"/>
    </row>
    <row r="448" spans="7:18" ht="15" customHeight="1">
      <c r="G448" s="1082"/>
      <c r="R448" s="706"/>
    </row>
    <row r="449" spans="7:18" ht="15" customHeight="1">
      <c r="G449" s="1082"/>
      <c r="R449" s="706"/>
    </row>
    <row r="450" spans="7:18" ht="15" customHeight="1">
      <c r="G450" s="1082"/>
      <c r="R450" s="706"/>
    </row>
    <row r="451" spans="7:18" ht="15" customHeight="1">
      <c r="G451" s="1082"/>
      <c r="R451" s="706"/>
    </row>
    <row r="452" spans="7:18" ht="15" customHeight="1">
      <c r="G452" s="1082"/>
      <c r="R452" s="706"/>
    </row>
    <row r="453" spans="7:18" ht="15" customHeight="1">
      <c r="G453" s="1082"/>
      <c r="R453" s="706"/>
    </row>
    <row r="454" spans="7:18" ht="15" customHeight="1">
      <c r="G454" s="1082"/>
      <c r="R454" s="706"/>
    </row>
    <row r="455" spans="7:18" ht="15" customHeight="1">
      <c r="G455" s="1082"/>
      <c r="R455" s="706"/>
    </row>
    <row r="456" spans="7:18" ht="15" customHeight="1">
      <c r="G456" s="1082"/>
      <c r="R456" s="706"/>
    </row>
    <row r="457" spans="7:18" ht="15" customHeight="1">
      <c r="G457" s="1082"/>
      <c r="R457" s="706"/>
    </row>
    <row r="458" spans="7:18" ht="15" customHeight="1">
      <c r="G458" s="1082"/>
      <c r="R458" s="706"/>
    </row>
    <row r="459" spans="7:18" ht="15" customHeight="1">
      <c r="G459" s="1082"/>
      <c r="R459" s="706"/>
    </row>
    <row r="460" spans="7:18" ht="15" customHeight="1">
      <c r="G460" s="1082"/>
      <c r="R460" s="706"/>
    </row>
    <row r="461" spans="7:18" ht="15" customHeight="1">
      <c r="G461" s="1082"/>
      <c r="R461" s="706"/>
    </row>
    <row r="462" spans="7:18" ht="15" customHeight="1">
      <c r="G462" s="1082"/>
      <c r="R462" s="706"/>
    </row>
    <row r="463" spans="7:18" ht="15" customHeight="1">
      <c r="G463" s="1082"/>
      <c r="R463" s="706"/>
    </row>
    <row r="464" spans="7:18" ht="15" customHeight="1">
      <c r="G464" s="1082"/>
      <c r="R464" s="706"/>
    </row>
    <row r="465" spans="7:18" ht="15" customHeight="1">
      <c r="G465" s="1082"/>
      <c r="R465" s="706"/>
    </row>
    <row r="466" spans="7:18" ht="15" customHeight="1">
      <c r="G466" s="1082"/>
      <c r="R466" s="706"/>
    </row>
    <row r="467" spans="7:18" ht="15" customHeight="1">
      <c r="G467" s="1082"/>
      <c r="R467" s="706"/>
    </row>
    <row r="468" spans="7:18" ht="15" customHeight="1">
      <c r="G468" s="1082"/>
      <c r="R468" s="706"/>
    </row>
    <row r="469" spans="7:18" ht="15" customHeight="1">
      <c r="G469" s="1082"/>
      <c r="R469" s="706"/>
    </row>
    <row r="470" spans="7:18" ht="15" customHeight="1">
      <c r="G470" s="1082"/>
      <c r="R470" s="706"/>
    </row>
    <row r="471" spans="7:18" ht="15" customHeight="1">
      <c r="G471" s="1082"/>
      <c r="R471" s="706"/>
    </row>
    <row r="472" spans="7:18" ht="15" customHeight="1">
      <c r="G472" s="1082"/>
      <c r="R472" s="706"/>
    </row>
    <row r="473" spans="7:18" ht="15" customHeight="1">
      <c r="G473" s="1082"/>
      <c r="R473" s="706"/>
    </row>
    <row r="474" spans="7:18" ht="15" customHeight="1">
      <c r="G474" s="1082"/>
      <c r="R474" s="706"/>
    </row>
    <row r="475" spans="7:18" ht="15" customHeight="1">
      <c r="G475" s="1082"/>
      <c r="R475" s="706"/>
    </row>
    <row r="476" spans="7:18" ht="15" customHeight="1">
      <c r="G476" s="1082"/>
      <c r="R476" s="706"/>
    </row>
    <row r="477" spans="7:18" ht="15" customHeight="1">
      <c r="G477" s="1082"/>
      <c r="R477" s="706"/>
    </row>
    <row r="478" spans="7:18" ht="15" customHeight="1">
      <c r="G478" s="1082"/>
      <c r="R478" s="706"/>
    </row>
    <row r="479" spans="7:18" ht="15" customHeight="1">
      <c r="G479" s="1082"/>
      <c r="R479" s="706"/>
    </row>
    <row r="480" spans="7:18" ht="15" customHeight="1">
      <c r="G480" s="1082"/>
      <c r="R480" s="706"/>
    </row>
    <row r="481" spans="7:18" ht="15" customHeight="1">
      <c r="G481" s="1082"/>
      <c r="R481" s="706"/>
    </row>
    <row r="482" spans="7:18" ht="15" customHeight="1">
      <c r="G482" s="1082"/>
      <c r="R482" s="706"/>
    </row>
    <row r="483" spans="7:18" ht="15" customHeight="1">
      <c r="G483" s="1082"/>
      <c r="R483" s="706"/>
    </row>
    <row r="484" spans="7:18" ht="15" customHeight="1">
      <c r="G484" s="1082"/>
      <c r="R484" s="706"/>
    </row>
    <row r="485" spans="7:18" ht="15" customHeight="1">
      <c r="G485" s="1082"/>
      <c r="R485" s="706"/>
    </row>
    <row r="486" spans="7:18" ht="15" customHeight="1">
      <c r="G486" s="1082"/>
      <c r="R486" s="706"/>
    </row>
    <row r="487" spans="7:18" ht="15" customHeight="1">
      <c r="G487" s="1082"/>
      <c r="R487" s="706"/>
    </row>
    <row r="488" spans="7:18" ht="15" customHeight="1">
      <c r="G488" s="1082"/>
      <c r="R488" s="706"/>
    </row>
    <row r="489" spans="7:18" ht="15" customHeight="1">
      <c r="G489" s="1082"/>
      <c r="R489" s="706"/>
    </row>
    <row r="490" spans="7:18" ht="15" customHeight="1">
      <c r="G490" s="1082"/>
      <c r="R490" s="706"/>
    </row>
    <row r="491" spans="7:18" ht="15" customHeight="1">
      <c r="G491" s="1082"/>
      <c r="R491" s="706"/>
    </row>
    <row r="492" spans="7:18" ht="15" customHeight="1">
      <c r="G492" s="1082"/>
      <c r="R492" s="706"/>
    </row>
    <row r="493" spans="7:18" ht="15" customHeight="1">
      <c r="G493" s="1082"/>
      <c r="R493" s="706"/>
    </row>
    <row r="494" spans="7:18" ht="15" customHeight="1">
      <c r="G494" s="1082"/>
      <c r="R494" s="706"/>
    </row>
    <row r="495" spans="7:18" ht="15" customHeight="1">
      <c r="G495" s="1082"/>
      <c r="R495" s="706"/>
    </row>
    <row r="496" spans="7:18" ht="15" customHeight="1">
      <c r="G496" s="1082"/>
      <c r="R496" s="706"/>
    </row>
    <row r="497" spans="7:18" ht="15" customHeight="1">
      <c r="G497" s="1082"/>
      <c r="R497" s="706"/>
    </row>
    <row r="498" spans="7:18" ht="15" customHeight="1">
      <c r="G498" s="1082"/>
      <c r="R498" s="706"/>
    </row>
    <row r="499" spans="7:18" ht="15" customHeight="1">
      <c r="G499" s="1082"/>
      <c r="R499" s="706"/>
    </row>
    <row r="500" spans="7:18" ht="15" customHeight="1">
      <c r="G500" s="1082"/>
      <c r="R500" s="706"/>
    </row>
    <row r="501" spans="7:18" ht="15" customHeight="1">
      <c r="G501" s="1082"/>
      <c r="R501" s="706"/>
    </row>
    <row r="502" spans="7:18" ht="15" customHeight="1">
      <c r="G502" s="1082"/>
      <c r="R502" s="706"/>
    </row>
    <row r="503" spans="7:18" ht="15" customHeight="1">
      <c r="G503" s="1082"/>
      <c r="R503" s="706"/>
    </row>
    <row r="504" spans="7:18" ht="15" customHeight="1">
      <c r="G504" s="1082"/>
      <c r="R504" s="706"/>
    </row>
    <row r="505" spans="7:18" ht="15" customHeight="1">
      <c r="G505" s="1082"/>
      <c r="R505" s="706"/>
    </row>
    <row r="506" spans="7:18" ht="15" customHeight="1">
      <c r="G506" s="1082"/>
      <c r="R506" s="706"/>
    </row>
    <row r="507" spans="7:18" ht="15" customHeight="1">
      <c r="G507" s="1082"/>
      <c r="R507" s="706"/>
    </row>
    <row r="508" spans="7:18" ht="15" customHeight="1">
      <c r="G508" s="1082"/>
      <c r="R508" s="706"/>
    </row>
    <row r="509" spans="7:18" ht="15" customHeight="1">
      <c r="G509" s="1082"/>
      <c r="R509" s="706"/>
    </row>
    <row r="510" spans="7:18" ht="15" customHeight="1">
      <c r="G510" s="1082"/>
      <c r="R510" s="706"/>
    </row>
    <row r="511" spans="7:18" ht="15" customHeight="1">
      <c r="G511" s="1082"/>
      <c r="R511" s="706"/>
    </row>
    <row r="512" spans="7:18" ht="15" customHeight="1">
      <c r="G512" s="1082"/>
      <c r="R512" s="706"/>
    </row>
    <row r="513" spans="7:18" ht="15" customHeight="1">
      <c r="G513" s="1082"/>
      <c r="R513" s="706"/>
    </row>
    <row r="514" spans="7:18" ht="15" customHeight="1">
      <c r="G514" s="1082"/>
      <c r="R514" s="706"/>
    </row>
    <row r="515" spans="7:18" ht="15" customHeight="1">
      <c r="G515" s="1082"/>
      <c r="R515" s="706"/>
    </row>
    <row r="516" spans="7:18" ht="15" customHeight="1">
      <c r="G516" s="1082"/>
      <c r="R516" s="706"/>
    </row>
    <row r="517" spans="7:18" ht="15" customHeight="1">
      <c r="G517" s="1082"/>
      <c r="R517" s="706"/>
    </row>
    <row r="518" spans="7:18" ht="15" customHeight="1">
      <c r="G518" s="1082"/>
      <c r="R518" s="706"/>
    </row>
    <row r="519" spans="7:18" ht="15" customHeight="1">
      <c r="G519" s="1082"/>
      <c r="R519" s="706"/>
    </row>
    <row r="520" spans="7:18" ht="15" customHeight="1">
      <c r="G520" s="1082"/>
      <c r="R520" s="706"/>
    </row>
    <row r="521" spans="7:18" ht="15" customHeight="1">
      <c r="G521" s="1082"/>
      <c r="R521" s="706"/>
    </row>
    <row r="522" spans="7:18" ht="15" customHeight="1">
      <c r="G522" s="1082"/>
      <c r="R522" s="706"/>
    </row>
    <row r="523" spans="7:18" ht="15" customHeight="1">
      <c r="G523" s="1082"/>
      <c r="R523" s="706"/>
    </row>
    <row r="524" spans="7:18" ht="15" customHeight="1">
      <c r="G524" s="1082"/>
      <c r="R524" s="706"/>
    </row>
    <row r="525" spans="7:18" ht="15" customHeight="1">
      <c r="G525" s="1082"/>
      <c r="R525" s="706"/>
    </row>
    <row r="526" spans="7:18" ht="15" customHeight="1">
      <c r="G526" s="1082"/>
      <c r="R526" s="706"/>
    </row>
    <row r="527" spans="7:18" ht="15" customHeight="1">
      <c r="G527" s="1082"/>
      <c r="R527" s="706"/>
    </row>
    <row r="528" spans="7:18" ht="15" customHeight="1">
      <c r="G528" s="1082"/>
      <c r="R528" s="706"/>
    </row>
    <row r="529" spans="7:18" ht="15" customHeight="1">
      <c r="G529" s="1082"/>
      <c r="R529" s="706"/>
    </row>
    <row r="530" spans="7:18" ht="15" customHeight="1">
      <c r="G530" s="1082"/>
      <c r="R530" s="706"/>
    </row>
    <row r="531" spans="7:18" ht="15" customHeight="1">
      <c r="G531" s="1082"/>
      <c r="R531" s="706"/>
    </row>
    <row r="532" spans="7:18" ht="15" customHeight="1">
      <c r="G532" s="1082"/>
      <c r="R532" s="706"/>
    </row>
    <row r="533" spans="7:18" ht="15" customHeight="1">
      <c r="G533" s="1082"/>
      <c r="R533" s="706"/>
    </row>
    <row r="534" spans="7:18" ht="15" customHeight="1">
      <c r="G534" s="1082"/>
      <c r="R534" s="706"/>
    </row>
    <row r="535" spans="7:18" ht="15" customHeight="1">
      <c r="G535" s="1082"/>
      <c r="R535" s="706"/>
    </row>
    <row r="536" spans="7:18" ht="15" customHeight="1">
      <c r="G536" s="1082"/>
      <c r="R536" s="706"/>
    </row>
    <row r="537" spans="7:18" ht="15" customHeight="1">
      <c r="G537" s="1082"/>
      <c r="R537" s="706"/>
    </row>
    <row r="538" spans="7:18" ht="15" customHeight="1">
      <c r="G538" s="1082"/>
      <c r="R538" s="706"/>
    </row>
    <row r="539" spans="7:18" ht="15" customHeight="1">
      <c r="G539" s="1082"/>
      <c r="R539" s="706"/>
    </row>
    <row r="540" spans="7:18" ht="15" customHeight="1">
      <c r="G540" s="1082"/>
      <c r="R540" s="706"/>
    </row>
    <row r="541" spans="7:18" ht="15" customHeight="1">
      <c r="G541" s="1082"/>
      <c r="R541" s="706"/>
    </row>
    <row r="542" spans="7:18" ht="15" customHeight="1">
      <c r="G542" s="1082"/>
      <c r="R542" s="706"/>
    </row>
    <row r="543" spans="7:18" ht="15" customHeight="1">
      <c r="G543" s="1082"/>
      <c r="R543" s="706"/>
    </row>
    <row r="544" spans="7:18" ht="15" customHeight="1">
      <c r="G544" s="1082"/>
      <c r="R544" s="706"/>
    </row>
    <row r="545" spans="7:18" ht="15" customHeight="1">
      <c r="G545" s="1082"/>
      <c r="R545" s="706"/>
    </row>
    <row r="546" spans="7:18" ht="15" customHeight="1">
      <c r="G546" s="1082"/>
      <c r="R546" s="706"/>
    </row>
    <row r="547" spans="7:18" ht="15" customHeight="1">
      <c r="G547" s="1082"/>
      <c r="R547" s="706"/>
    </row>
    <row r="548" spans="7:18" ht="15" customHeight="1">
      <c r="G548" s="1082"/>
      <c r="R548" s="706"/>
    </row>
    <row r="549" spans="7:18" ht="15" customHeight="1">
      <c r="G549" s="1082"/>
      <c r="R549" s="706"/>
    </row>
    <row r="550" spans="7:18" ht="15" customHeight="1">
      <c r="G550" s="1082"/>
      <c r="R550" s="706"/>
    </row>
    <row r="551" spans="7:18" ht="15" customHeight="1">
      <c r="G551" s="1082"/>
      <c r="R551" s="706"/>
    </row>
    <row r="552" spans="7:18" ht="15" customHeight="1">
      <c r="G552" s="1082"/>
      <c r="R552" s="706"/>
    </row>
    <row r="553" spans="7:18" ht="15" customHeight="1">
      <c r="G553" s="1082"/>
      <c r="R553" s="706"/>
    </row>
    <row r="554" spans="7:18" ht="15" customHeight="1">
      <c r="G554" s="1082"/>
      <c r="R554" s="706"/>
    </row>
    <row r="555" spans="7:18" ht="15" customHeight="1">
      <c r="G555" s="1082"/>
      <c r="R555" s="706"/>
    </row>
    <row r="556" spans="7:18" ht="15" customHeight="1">
      <c r="G556" s="1082"/>
      <c r="R556" s="706"/>
    </row>
    <row r="557" spans="7:18" ht="15" customHeight="1">
      <c r="G557" s="1082"/>
      <c r="R557" s="706"/>
    </row>
    <row r="558" spans="7:18" ht="15" customHeight="1">
      <c r="G558" s="1082"/>
      <c r="R558" s="706"/>
    </row>
    <row r="559" spans="7:18" ht="15" customHeight="1">
      <c r="G559" s="1082"/>
      <c r="R559" s="706"/>
    </row>
    <row r="560" spans="7:18" ht="15" customHeight="1">
      <c r="G560" s="1082"/>
      <c r="R560" s="706"/>
    </row>
    <row r="561" spans="7:18" ht="15" customHeight="1">
      <c r="G561" s="1082"/>
      <c r="R561" s="706"/>
    </row>
    <row r="562" spans="7:18" ht="15" customHeight="1">
      <c r="G562" s="1082"/>
      <c r="R562" s="706"/>
    </row>
    <row r="563" spans="7:18" ht="15" customHeight="1">
      <c r="G563" s="1082"/>
      <c r="R563" s="706"/>
    </row>
    <row r="564" spans="7:18" ht="15" customHeight="1">
      <c r="G564" s="1082"/>
      <c r="R564" s="706"/>
    </row>
    <row r="565" spans="7:18" ht="15" customHeight="1">
      <c r="G565" s="1082"/>
      <c r="R565" s="706"/>
    </row>
    <row r="566" spans="7:18" ht="15" customHeight="1">
      <c r="G566" s="1082"/>
      <c r="R566" s="706"/>
    </row>
    <row r="567" spans="7:18" ht="15" customHeight="1">
      <c r="G567" s="1082"/>
      <c r="R567" s="706"/>
    </row>
    <row r="568" spans="7:18" ht="15" customHeight="1">
      <c r="G568" s="1082"/>
      <c r="R568" s="706"/>
    </row>
    <row r="569" spans="7:18" ht="15" customHeight="1">
      <c r="G569" s="1082"/>
      <c r="R569" s="706"/>
    </row>
    <row r="570" spans="7:18" ht="15" customHeight="1">
      <c r="G570" s="1082"/>
      <c r="R570" s="706"/>
    </row>
    <row r="571" spans="7:18" ht="15" customHeight="1">
      <c r="G571" s="1082"/>
      <c r="R571" s="706"/>
    </row>
    <row r="572" spans="7:18" ht="15" customHeight="1">
      <c r="G572" s="1082"/>
      <c r="R572" s="706"/>
    </row>
    <row r="573" spans="7:18" ht="15" customHeight="1">
      <c r="G573" s="1082"/>
      <c r="R573" s="706"/>
    </row>
    <row r="574" spans="7:18" ht="15" customHeight="1">
      <c r="G574" s="1082"/>
      <c r="R574" s="706"/>
    </row>
    <row r="575" spans="7:18" ht="15" customHeight="1">
      <c r="G575" s="1082"/>
      <c r="R575" s="706"/>
    </row>
    <row r="576" spans="7:18" ht="15" customHeight="1">
      <c r="G576" s="1082"/>
      <c r="R576" s="706"/>
    </row>
    <row r="577" spans="7:18" ht="15" customHeight="1">
      <c r="G577" s="1082"/>
      <c r="R577" s="706"/>
    </row>
    <row r="578" spans="7:18" ht="15" customHeight="1">
      <c r="G578" s="1082"/>
      <c r="R578" s="706"/>
    </row>
    <row r="579" spans="7:18" ht="15" customHeight="1">
      <c r="G579" s="1082"/>
      <c r="R579" s="706"/>
    </row>
    <row r="580" spans="7:18" ht="15" customHeight="1">
      <c r="G580" s="1082"/>
      <c r="R580" s="706"/>
    </row>
    <row r="581" spans="7:18" ht="15" customHeight="1">
      <c r="G581" s="1082"/>
      <c r="R581" s="706"/>
    </row>
    <row r="582" spans="7:18" ht="15" customHeight="1">
      <c r="G582" s="1082"/>
      <c r="R582" s="706"/>
    </row>
    <row r="583" spans="7:18" ht="15" customHeight="1">
      <c r="G583" s="1082"/>
      <c r="R583" s="706"/>
    </row>
    <row r="584" spans="7:18" ht="15" customHeight="1">
      <c r="G584" s="1082"/>
      <c r="R584" s="706"/>
    </row>
    <row r="585" spans="7:18" ht="15" customHeight="1">
      <c r="G585" s="1082"/>
      <c r="R585" s="706"/>
    </row>
    <row r="586" spans="7:18" ht="15" customHeight="1">
      <c r="G586" s="1082"/>
      <c r="R586" s="706"/>
    </row>
    <row r="587" spans="7:18" ht="15" customHeight="1">
      <c r="G587" s="1082"/>
      <c r="R587" s="706"/>
    </row>
    <row r="588" spans="7:18" ht="15" customHeight="1">
      <c r="G588" s="1082"/>
      <c r="R588" s="706"/>
    </row>
    <row r="589" spans="7:18" ht="15" customHeight="1">
      <c r="G589" s="1082"/>
      <c r="R589" s="706"/>
    </row>
    <row r="590" spans="7:18" ht="15" customHeight="1">
      <c r="G590" s="1082"/>
      <c r="R590" s="706"/>
    </row>
    <row r="591" spans="7:18" ht="15" customHeight="1">
      <c r="G591" s="1082"/>
      <c r="R591" s="706"/>
    </row>
    <row r="592" spans="7:18" ht="15" customHeight="1">
      <c r="G592" s="1082"/>
      <c r="R592" s="706"/>
    </row>
    <row r="593" spans="7:18" ht="15" customHeight="1">
      <c r="G593" s="1082"/>
      <c r="R593" s="706"/>
    </row>
    <row r="594" spans="7:18" ht="15" customHeight="1">
      <c r="G594" s="1082"/>
      <c r="R594" s="706"/>
    </row>
    <row r="595" spans="7:18" ht="15" customHeight="1">
      <c r="G595" s="1082"/>
      <c r="R595" s="706"/>
    </row>
    <row r="596" spans="7:18" ht="15" customHeight="1">
      <c r="G596" s="1082"/>
      <c r="R596" s="706"/>
    </row>
    <row r="597" spans="7:18" ht="15" customHeight="1">
      <c r="G597" s="1082"/>
      <c r="R597" s="706"/>
    </row>
    <row r="598" spans="7:18" ht="15" customHeight="1">
      <c r="G598" s="1082"/>
      <c r="R598" s="706"/>
    </row>
    <row r="599" spans="7:18" ht="15" customHeight="1">
      <c r="G599" s="1082"/>
      <c r="R599" s="706"/>
    </row>
    <row r="600" spans="7:18" ht="15" customHeight="1">
      <c r="G600" s="1082"/>
      <c r="R600" s="706"/>
    </row>
    <row r="601" spans="7:18" ht="15" customHeight="1">
      <c r="G601" s="1082"/>
      <c r="R601" s="706"/>
    </row>
    <row r="602" spans="7:18" ht="15" customHeight="1">
      <c r="G602" s="1082"/>
      <c r="R602" s="706"/>
    </row>
    <row r="603" spans="7:18" ht="15" customHeight="1">
      <c r="G603" s="1082"/>
      <c r="R603" s="706"/>
    </row>
    <row r="604" spans="7:18" ht="15" customHeight="1">
      <c r="G604" s="1082"/>
      <c r="R604" s="706"/>
    </row>
    <row r="605" spans="7:18" ht="15" customHeight="1">
      <c r="G605" s="1082"/>
      <c r="R605" s="706"/>
    </row>
    <row r="606" spans="7:18" ht="15" customHeight="1">
      <c r="G606" s="1082"/>
      <c r="R606" s="706"/>
    </row>
    <row r="607" spans="7:18" ht="15" customHeight="1">
      <c r="G607" s="1082"/>
      <c r="R607" s="706"/>
    </row>
    <row r="608" spans="7:18" ht="15" customHeight="1">
      <c r="G608" s="1082"/>
      <c r="R608" s="706"/>
    </row>
    <row r="609" spans="7:18" ht="15" customHeight="1">
      <c r="G609" s="1082"/>
      <c r="R609" s="706"/>
    </row>
    <row r="610" spans="7:18" ht="15" customHeight="1">
      <c r="G610" s="1082"/>
      <c r="R610" s="706"/>
    </row>
    <row r="611" spans="7:18" ht="15" customHeight="1">
      <c r="G611" s="1082"/>
      <c r="R611" s="706"/>
    </row>
    <row r="612" spans="7:18" ht="15" customHeight="1">
      <c r="G612" s="1082"/>
      <c r="R612" s="706"/>
    </row>
    <row r="613" spans="7:18" ht="15" customHeight="1">
      <c r="G613" s="1082"/>
      <c r="R613" s="706"/>
    </row>
    <row r="614" spans="7:18" ht="15" customHeight="1">
      <c r="G614" s="1082"/>
      <c r="R614" s="706"/>
    </row>
    <row r="615" spans="7:18" ht="15" customHeight="1">
      <c r="G615" s="1082"/>
      <c r="R615" s="706"/>
    </row>
    <row r="616" spans="7:18" ht="15" customHeight="1">
      <c r="G616" s="1082"/>
      <c r="R616" s="706"/>
    </row>
    <row r="617" spans="7:18" ht="15" customHeight="1">
      <c r="G617" s="1082"/>
      <c r="R617" s="706"/>
    </row>
    <row r="618" spans="7:18" ht="15" customHeight="1">
      <c r="G618" s="1082"/>
      <c r="R618" s="706"/>
    </row>
    <row r="619" spans="7:18" ht="15" customHeight="1">
      <c r="G619" s="1082"/>
      <c r="R619" s="706"/>
    </row>
    <row r="620" spans="7:18" ht="15" customHeight="1">
      <c r="G620" s="1082"/>
      <c r="R620" s="706"/>
    </row>
    <row r="621" spans="7:18" ht="15" customHeight="1">
      <c r="G621" s="1082"/>
      <c r="R621" s="706"/>
    </row>
    <row r="622" spans="7:18" ht="15" customHeight="1">
      <c r="G622" s="1082"/>
      <c r="R622" s="706"/>
    </row>
    <row r="623" spans="7:18" ht="15" customHeight="1">
      <c r="G623" s="1082"/>
      <c r="R623" s="706"/>
    </row>
    <row r="624" spans="7:18" ht="15" customHeight="1">
      <c r="G624" s="1082"/>
      <c r="R624" s="706"/>
    </row>
    <row r="625" spans="7:18" ht="15" customHeight="1">
      <c r="G625" s="1082"/>
      <c r="R625" s="706"/>
    </row>
    <row r="626" spans="7:18" ht="15" customHeight="1">
      <c r="G626" s="1082"/>
      <c r="R626" s="706"/>
    </row>
    <row r="627" spans="7:18" ht="15" customHeight="1">
      <c r="G627" s="1082"/>
      <c r="R627" s="706"/>
    </row>
    <row r="628" spans="7:18" ht="15" customHeight="1">
      <c r="G628" s="1082"/>
      <c r="R628" s="706"/>
    </row>
    <row r="629" spans="7:18" ht="15" customHeight="1">
      <c r="G629" s="1082"/>
      <c r="R629" s="706"/>
    </row>
    <row r="630" spans="7:18" ht="15" customHeight="1">
      <c r="G630" s="1082"/>
      <c r="R630" s="706"/>
    </row>
    <row r="631" spans="7:18" ht="15" customHeight="1">
      <c r="G631" s="1082"/>
      <c r="R631" s="706"/>
    </row>
    <row r="632" spans="7:18" ht="15" customHeight="1">
      <c r="G632" s="1082"/>
      <c r="R632" s="706"/>
    </row>
    <row r="633" spans="7:18" ht="15" customHeight="1">
      <c r="G633" s="1082"/>
      <c r="R633" s="706"/>
    </row>
    <row r="634" spans="7:18" ht="15" customHeight="1">
      <c r="G634" s="1082"/>
      <c r="R634" s="706"/>
    </row>
    <row r="635" spans="7:18" ht="15" customHeight="1">
      <c r="G635" s="1082"/>
      <c r="R635" s="706"/>
    </row>
    <row r="636" spans="7:18" ht="15" customHeight="1">
      <c r="G636" s="1082"/>
      <c r="R636" s="706"/>
    </row>
    <row r="637" spans="7:18" ht="15" customHeight="1">
      <c r="G637" s="1082"/>
      <c r="R637" s="706"/>
    </row>
    <row r="638" spans="7:18" ht="15" customHeight="1">
      <c r="G638" s="1082"/>
      <c r="R638" s="706"/>
    </row>
    <row r="639" spans="7:18" ht="15" customHeight="1">
      <c r="G639" s="1082"/>
      <c r="R639" s="706"/>
    </row>
    <row r="640" spans="7:18" ht="15" customHeight="1">
      <c r="G640" s="1082"/>
      <c r="R640" s="706"/>
    </row>
    <row r="641" spans="7:18" ht="15" customHeight="1">
      <c r="G641" s="1082"/>
      <c r="R641" s="706"/>
    </row>
    <row r="642" spans="7:18" ht="15" customHeight="1">
      <c r="G642" s="1082"/>
      <c r="R642" s="706"/>
    </row>
    <row r="643" spans="7:18" ht="15" customHeight="1">
      <c r="G643" s="1082"/>
      <c r="R643" s="706"/>
    </row>
    <row r="644" spans="7:18" ht="15" customHeight="1">
      <c r="G644" s="1082"/>
      <c r="R644" s="706"/>
    </row>
    <row r="645" spans="7:18" ht="15" customHeight="1">
      <c r="G645" s="1082"/>
      <c r="R645" s="706"/>
    </row>
    <row r="646" spans="7:18" ht="15" customHeight="1">
      <c r="G646" s="1082"/>
      <c r="R646" s="706"/>
    </row>
    <row r="647" spans="7:18" ht="15" customHeight="1">
      <c r="G647" s="1082"/>
      <c r="R647" s="706"/>
    </row>
    <row r="648" spans="7:18" ht="15" customHeight="1">
      <c r="G648" s="1082"/>
      <c r="R648" s="706"/>
    </row>
    <row r="649" spans="7:18" ht="15" customHeight="1">
      <c r="G649" s="1082"/>
      <c r="R649" s="706"/>
    </row>
    <row r="650" spans="7:18" ht="15" customHeight="1">
      <c r="G650" s="1082"/>
      <c r="R650" s="706"/>
    </row>
    <row r="651" spans="7:18" ht="15" customHeight="1">
      <c r="G651" s="1082"/>
      <c r="R651" s="706"/>
    </row>
    <row r="652" spans="7:18" ht="15" customHeight="1">
      <c r="G652" s="1082"/>
      <c r="R652" s="706"/>
    </row>
    <row r="653" spans="7:18" ht="15" customHeight="1">
      <c r="G653" s="1082"/>
      <c r="R653" s="706"/>
    </row>
    <row r="654" spans="7:18" ht="15" customHeight="1">
      <c r="G654" s="1082"/>
      <c r="R654" s="706"/>
    </row>
    <row r="655" spans="7:18" ht="15" customHeight="1">
      <c r="G655" s="1082"/>
      <c r="R655" s="706"/>
    </row>
    <row r="656" spans="7:18" ht="15" customHeight="1">
      <c r="G656" s="1082"/>
      <c r="R656" s="706"/>
    </row>
    <row r="657" spans="7:18" ht="15" customHeight="1">
      <c r="G657" s="1082"/>
      <c r="R657" s="706"/>
    </row>
    <row r="658" spans="7:18" ht="15" customHeight="1">
      <c r="G658" s="1082"/>
      <c r="R658" s="706"/>
    </row>
    <row r="659" spans="7:18" ht="15" customHeight="1">
      <c r="G659" s="1082"/>
      <c r="R659" s="706"/>
    </row>
    <row r="660" spans="7:18" ht="15" customHeight="1">
      <c r="G660" s="1082"/>
      <c r="R660" s="706"/>
    </row>
    <row r="661" spans="7:18" ht="15" customHeight="1">
      <c r="G661" s="1082"/>
      <c r="R661" s="706"/>
    </row>
    <row r="662" spans="7:18" ht="15" customHeight="1">
      <c r="G662" s="1082"/>
      <c r="R662" s="706"/>
    </row>
    <row r="663" spans="7:18" ht="15" customHeight="1">
      <c r="R663" s="706"/>
    </row>
    <row r="664" spans="7:18" ht="15" customHeight="1">
      <c r="R664" s="706"/>
    </row>
    <row r="665" spans="7:18" ht="15" customHeight="1">
      <c r="R665" s="706"/>
    </row>
    <row r="666" spans="7:18" ht="15" customHeight="1">
      <c r="R666" s="706"/>
    </row>
    <row r="667" spans="7:18" ht="15" customHeight="1">
      <c r="R667" s="706"/>
    </row>
    <row r="668" spans="7:18" ht="15" customHeight="1">
      <c r="R668" s="706"/>
    </row>
    <row r="669" spans="7:18" ht="15" customHeight="1">
      <c r="R669" s="706"/>
    </row>
    <row r="670" spans="7:18" ht="15" customHeight="1">
      <c r="R670" s="706"/>
    </row>
    <row r="671" spans="7:18" ht="15" customHeight="1">
      <c r="R671" s="706"/>
    </row>
    <row r="672" spans="7:18" ht="15" customHeight="1">
      <c r="R672" s="706"/>
    </row>
    <row r="673" spans="18:18" ht="15" customHeight="1">
      <c r="R673" s="706"/>
    </row>
    <row r="674" spans="18:18" ht="15" customHeight="1">
      <c r="R674" s="706"/>
    </row>
    <row r="675" spans="18:18" ht="15" customHeight="1">
      <c r="R675" s="706"/>
    </row>
    <row r="676" spans="18:18" ht="15" customHeight="1">
      <c r="R676" s="706"/>
    </row>
    <row r="677" spans="18:18" ht="15" customHeight="1">
      <c r="R677" s="706"/>
    </row>
    <row r="678" spans="18:18" ht="15" customHeight="1">
      <c r="R678" s="706"/>
    </row>
    <row r="679" spans="18:18" ht="15" customHeight="1">
      <c r="R679" s="706"/>
    </row>
    <row r="680" spans="18:18" ht="15" customHeight="1">
      <c r="R680" s="706"/>
    </row>
    <row r="681" spans="18:18" ht="15" customHeight="1">
      <c r="R681" s="706"/>
    </row>
    <row r="682" spans="18:18" ht="15" customHeight="1">
      <c r="R682" s="706"/>
    </row>
    <row r="683" spans="18:18" ht="15" customHeight="1">
      <c r="R683" s="706"/>
    </row>
    <row r="684" spans="18:18" ht="15" customHeight="1">
      <c r="R684" s="706"/>
    </row>
    <row r="685" spans="18:18" ht="15" customHeight="1">
      <c r="R685" s="706"/>
    </row>
    <row r="686" spans="18:18" ht="15" customHeight="1">
      <c r="R686" s="706"/>
    </row>
    <row r="687" spans="18:18" ht="15" customHeight="1">
      <c r="R687" s="706"/>
    </row>
    <row r="688" spans="18:18" ht="15" customHeight="1">
      <c r="R688" s="706"/>
    </row>
    <row r="689" spans="18:18" ht="15" customHeight="1">
      <c r="R689" s="706"/>
    </row>
    <row r="690" spans="18:18" ht="15" customHeight="1">
      <c r="R690" s="706"/>
    </row>
    <row r="691" spans="18:18" ht="15" customHeight="1">
      <c r="R691" s="706"/>
    </row>
    <row r="692" spans="18:18" ht="15" customHeight="1">
      <c r="R692" s="706"/>
    </row>
    <row r="693" spans="18:18" ht="15" customHeight="1">
      <c r="R693" s="706"/>
    </row>
    <row r="694" spans="18:18" ht="15" customHeight="1">
      <c r="R694" s="706"/>
    </row>
    <row r="695" spans="18:18" ht="15" customHeight="1">
      <c r="R695" s="706"/>
    </row>
    <row r="696" spans="18:18" ht="15" customHeight="1">
      <c r="R696" s="706"/>
    </row>
    <row r="697" spans="18:18" ht="15" customHeight="1">
      <c r="R697" s="706"/>
    </row>
    <row r="698" spans="18:18" ht="15" customHeight="1">
      <c r="R698" s="706"/>
    </row>
    <row r="699" spans="18:18" ht="15" customHeight="1">
      <c r="R699" s="706"/>
    </row>
    <row r="700" spans="18:18" ht="15" customHeight="1">
      <c r="R700" s="706"/>
    </row>
    <row r="701" spans="18:18" ht="15" customHeight="1">
      <c r="R701" s="706"/>
    </row>
    <row r="702" spans="18:18" ht="15" customHeight="1">
      <c r="R702" s="706"/>
    </row>
    <row r="703" spans="18:18" ht="15" customHeight="1">
      <c r="R703" s="706"/>
    </row>
    <row r="704" spans="18:18" ht="15" customHeight="1">
      <c r="R704" s="706"/>
    </row>
    <row r="705" spans="18:18" ht="15" customHeight="1">
      <c r="R705" s="706"/>
    </row>
    <row r="706" spans="18:18" ht="15" customHeight="1">
      <c r="R706" s="706"/>
    </row>
    <row r="707" spans="18:18" ht="15" customHeight="1">
      <c r="R707" s="706"/>
    </row>
    <row r="708" spans="18:18" ht="15" customHeight="1">
      <c r="R708" s="706"/>
    </row>
    <row r="709" spans="18:18" ht="15" customHeight="1">
      <c r="R709" s="706"/>
    </row>
    <row r="710" spans="18:18" ht="15" customHeight="1">
      <c r="R710" s="706"/>
    </row>
    <row r="711" spans="18:18" ht="15" customHeight="1">
      <c r="R711" s="706"/>
    </row>
    <row r="712" spans="18:18" ht="15" customHeight="1">
      <c r="R712" s="706"/>
    </row>
    <row r="713" spans="18:18" ht="15" customHeight="1">
      <c r="R713" s="706"/>
    </row>
    <row r="714" spans="18:18" ht="15" customHeight="1">
      <c r="R714" s="706"/>
    </row>
    <row r="715" spans="18:18" ht="15" customHeight="1">
      <c r="R715" s="706"/>
    </row>
    <row r="716" spans="18:18" ht="15" customHeight="1">
      <c r="R716" s="706"/>
    </row>
    <row r="717" spans="18:18" ht="15" customHeight="1">
      <c r="R717" s="706"/>
    </row>
    <row r="718" spans="18:18" ht="15" customHeight="1">
      <c r="R718" s="706"/>
    </row>
    <row r="719" spans="18:18" ht="15" customHeight="1">
      <c r="R719" s="706"/>
    </row>
    <row r="720" spans="18:18" ht="15" customHeight="1">
      <c r="R720" s="706"/>
    </row>
    <row r="721" spans="18:18" ht="15" customHeight="1">
      <c r="R721" s="706"/>
    </row>
    <row r="722" spans="18:18" ht="15" customHeight="1">
      <c r="R722" s="706"/>
    </row>
    <row r="723" spans="18:18" ht="15" customHeight="1">
      <c r="R723" s="706"/>
    </row>
    <row r="724" spans="18:18" ht="15" customHeight="1">
      <c r="R724" s="706"/>
    </row>
    <row r="725" spans="18:18" ht="15" customHeight="1">
      <c r="R725" s="706"/>
    </row>
    <row r="726" spans="18:18" ht="15" customHeight="1">
      <c r="R726" s="706"/>
    </row>
    <row r="727" spans="18:18" ht="15" customHeight="1">
      <c r="R727" s="706"/>
    </row>
    <row r="728" spans="18:18" ht="15" customHeight="1">
      <c r="R728" s="706"/>
    </row>
    <row r="729" spans="18:18" ht="15" customHeight="1">
      <c r="R729" s="706"/>
    </row>
    <row r="730" spans="18:18" ht="15" customHeight="1">
      <c r="R730" s="706"/>
    </row>
    <row r="731" spans="18:18" ht="15" customHeight="1">
      <c r="R731" s="706"/>
    </row>
    <row r="732" spans="18:18" ht="15" customHeight="1">
      <c r="R732" s="706"/>
    </row>
    <row r="733" spans="18:18" ht="15" customHeight="1">
      <c r="R733" s="706"/>
    </row>
  </sheetData>
  <autoFilter ref="A3:AO93" xr:uid="{00000000-0009-0000-0000-00000C000000}"/>
  <mergeCells count="2">
    <mergeCell ref="AV6:BD6"/>
    <mergeCell ref="AV21:BA21"/>
  </mergeCells>
  <pageMargins left="0.7" right="0.7" top="0.75" bottom="0.75" header="0" footer="0"/>
  <pageSetup scale="14" fitToHeight="0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D061-BD7E-46E4-B3EE-601CE3D95E71}">
  <sheetPr>
    <tabColor rgb="FF00B050"/>
    <pageSetUpPr fitToPage="1"/>
  </sheetPr>
  <dimension ref="A1:BD609"/>
  <sheetViews>
    <sheetView showGridLines="0" zoomScale="80" zoomScaleNormal="80" workbookViewId="0">
      <pane xSplit="4" ySplit="3" topLeftCell="AS4" activePane="bottomRight" state="frozen"/>
      <selection activeCell="BC24" sqref="BC24"/>
      <selection pane="topRight" activeCell="BC24" sqref="BC24"/>
      <selection pane="bottomLeft" activeCell="BC24" sqref="BC24"/>
      <selection pane="bottomRight" activeCell="BC24" sqref="BC24"/>
    </sheetView>
  </sheetViews>
  <sheetFormatPr baseColWidth="10" defaultColWidth="14.44140625" defaultRowHeight="15" customHeight="1"/>
  <cols>
    <col min="1" max="1" width="14.5546875" customWidth="1"/>
    <col min="2" max="2" width="12.44140625" style="762" customWidth="1"/>
    <col min="3" max="3" width="11.6640625" style="762" customWidth="1"/>
    <col min="4" max="4" width="42.5546875" customWidth="1"/>
    <col min="5" max="5" width="13.109375" customWidth="1"/>
    <col min="6" max="6" width="17.33203125" customWidth="1"/>
    <col min="7" max="7" width="11.6640625" customWidth="1"/>
    <col min="8" max="8" width="11.44140625" style="762" customWidth="1"/>
    <col min="9" max="9" width="11.5546875" customWidth="1"/>
    <col min="10" max="10" width="10.66406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6.332031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0.88671875" customWidth="1"/>
    <col min="43" max="43" width="12.6640625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5543.3019999999997</v>
      </c>
      <c r="F1" s="1075" t="s">
        <v>1906</v>
      </c>
      <c r="G1" s="1076" t="e">
        <f>+$AM3</f>
        <v>#N/A</v>
      </c>
      <c r="H1" s="1448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B2" s="1144"/>
      <c r="D2" s="1075" t="s">
        <v>1907</v>
      </c>
      <c r="E2" s="1076">
        <f>+AH3</f>
        <v>5021.5089999999991</v>
      </c>
      <c r="F2" s="1079" t="s">
        <v>1908</v>
      </c>
      <c r="G2" s="1080">
        <f>+Q2</f>
        <v>91.244492988063982</v>
      </c>
      <c r="H2" s="90"/>
      <c r="I2" s="1251">
        <f>SUBTOTAL(9,I4:I1395)</f>
        <v>555.12999999999988</v>
      </c>
      <c r="J2" s="81"/>
      <c r="K2" s="91">
        <f>SUBTOTAL(9,K4:K1395)</f>
        <v>507.57999999999987</v>
      </c>
      <c r="L2" s="1202">
        <f>+SUMPRODUCT(L5:L1395,K5:K1395)/K2</f>
        <v>0.31853318491666344</v>
      </c>
      <c r="M2" s="6"/>
      <c r="O2" s="703"/>
      <c r="P2" s="94">
        <f>+SUMPRODUCT(P4:P1395,AH4:AH1395)/SUM(AH4:AH1395)</f>
        <v>87.510042897463677</v>
      </c>
      <c r="Q2" s="1201">
        <f>+SUMPRODUCT(Q4:Q1395,AH4:AH1395)/SUM(AH4:AH1395)</f>
        <v>91.244492988063982</v>
      </c>
      <c r="R2" s="1151">
        <f>+SUMPRODUCT(R4:R1395,AH4:AH1395)/SUM(AH4:AH1395)</f>
        <v>4015.1025928660092</v>
      </c>
      <c r="S2" s="6"/>
      <c r="AB2" s="83"/>
      <c r="AC2" s="83"/>
      <c r="AD2" s="83"/>
      <c r="AE2" s="83"/>
      <c r="AF2" s="83"/>
      <c r="AG2" s="1209" t="e">
        <f>SUMPRODUCT($AG4:$AG1395,$K4:$K1395)/SUM($K4:$K1395)</f>
        <v>#N/A</v>
      </c>
      <c r="AH2" s="702"/>
      <c r="AI2" s="631"/>
      <c r="AJ2" s="252">
        <v>4120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679" t="s">
        <v>39</v>
      </c>
      <c r="C3" s="679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SUBTOTAL(9,AH4:AH1395)</f>
        <v>5021.5089999999991</v>
      </c>
      <c r="AI3" s="1252">
        <f>SUBTOTAL(9,AI4:AI1395)</f>
        <v>5543.3019999999997</v>
      </c>
      <c r="AJ3" s="1388" t="e">
        <f>SUMPRODUCT(K4:K1395,AJ4:AJ1395)/K2</f>
        <v>#N/A</v>
      </c>
      <c r="AK3" s="118" t="e">
        <f>SUBTOTAL(9,AK4:AK1395)</f>
        <v>#N/A</v>
      </c>
      <c r="AL3" s="88"/>
      <c r="AM3" s="118" t="e">
        <f>SUBTOTAL(9,AM4:AM1395)</f>
        <v>#N/A</v>
      </c>
      <c r="AN3" s="1182" t="s">
        <v>2247</v>
      </c>
      <c r="AO3" s="1168" t="s">
        <v>2283</v>
      </c>
      <c r="AP3" t="s">
        <v>2351</v>
      </c>
      <c r="AQ3" t="s">
        <v>2352</v>
      </c>
      <c r="AS3" s="1216"/>
    </row>
    <row r="4" spans="1:56" s="677" customFormat="1" ht="15.75" customHeight="1" thickBot="1">
      <c r="A4" s="720"/>
      <c r="B4" s="671"/>
      <c r="C4" s="723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56" ht="15" customHeight="1" thickBot="1">
      <c r="A5" s="747" t="s">
        <v>3061</v>
      </c>
      <c r="B5" s="1447">
        <v>45950</v>
      </c>
      <c r="C5" s="1447">
        <v>45940</v>
      </c>
      <c r="D5" t="s">
        <v>2444</v>
      </c>
      <c r="E5" s="762">
        <f>_xlfn.XLOOKUP(D5,RUC!$B$3:$B$123,RUC!$D$3:$D$123)</f>
        <v>20608774000</v>
      </c>
      <c r="G5" s="1082">
        <v>24</v>
      </c>
      <c r="H5" s="762" t="s">
        <v>108</v>
      </c>
      <c r="I5" s="703">
        <v>2.2799999999999998</v>
      </c>
      <c r="J5" s="596">
        <v>27.7</v>
      </c>
      <c r="K5" s="703">
        <f t="shared" ref="K5:K56" si="0">ROUND(+I5-(I5*(J5/100)),3)</f>
        <v>1.6479999999999999</v>
      </c>
      <c r="L5" s="994">
        <v>1.24</v>
      </c>
      <c r="M5" s="762">
        <v>1.1779999999999999</v>
      </c>
      <c r="N5" s="1196">
        <f t="shared" ref="N5:N6" si="1">+M5</f>
        <v>1.1779999999999999</v>
      </c>
      <c r="O5" s="645">
        <v>1.1779999999999999</v>
      </c>
      <c r="P5" s="727">
        <v>71</v>
      </c>
      <c r="Q5" s="1476">
        <v>71.430000000000007</v>
      </c>
      <c r="R5" s="706">
        <v>3974.5</v>
      </c>
      <c r="S5" s="765">
        <f>IF((_xlfn.XLOOKUP(D5,RUC!$B$3:$B$119,RUC!$E$3:$E$119)+ROUNDDOWN(O5,1)*100)&lt;95,95,((_xlfn.XLOOKUP(D5,RUC!$B$3:$B$119,RUC!$E$3:$E$119)+ROUNDDOWN(O5,1)*100)))</f>
        <v>195</v>
      </c>
      <c r="U5" s="1146">
        <f>_xlfn.XLOOKUP(D5,RUC!$B$3:$B$123,RUC!$F$3:$F$123)</f>
        <v>120</v>
      </c>
      <c r="V5" s="715">
        <v>1.1023000000000001</v>
      </c>
      <c r="Y5">
        <f>_xlfn.XLOOKUP(D5,RUC!$B$3:$B$123,RUC!$G$3:$G$123)</f>
        <v>20</v>
      </c>
      <c r="Z5" s="143">
        <f>_xlfn.XLOOKUP(D5,RUC!$B$3:$B$123,RUC!$H$3:$H$123)</f>
        <v>30</v>
      </c>
      <c r="AA5" s="144">
        <f t="shared" ref="AA5:AA56" si="2">+Y5+Z5</f>
        <v>50</v>
      </c>
      <c r="AB5" s="145">
        <f>+((O5*P5*(R5-U5)/100)-S5-AA5+T5)*V5</f>
        <v>3283.5606824329998</v>
      </c>
      <c r="AC5" s="145">
        <f>+(S5-T5)*V5-'data 1'!$F$4</f>
        <v>134.94850000000002</v>
      </c>
      <c r="AD5" s="145">
        <f t="shared" ref="AD5:AD56" si="3">+(Q5-P5)*(R5-U5)*L5*V5/100</f>
        <v>22.654683446200362</v>
      </c>
      <c r="AE5" s="145">
        <f t="shared" ref="AE5:AE56" si="4">+(Y5*V5-70)+V5*(Z5-IF(D5="UNTUCA",IF(+((W5-3)*2.5+(X5-3)*3.1)&gt;0,+((W5-3)*1.5+(X5-3)*3.1),0),IF(+((W5-3)*1.5+(X5-3)*3.1)&gt;0,+((W5-3)*1.5+(X5-3)*3.1),0)))</f>
        <v>-14.884999999999998</v>
      </c>
      <c r="AF5" s="145">
        <f t="shared" ref="AF5:AF56" si="5">(L5-O5)*(R5-U5)*Q5*V5/100</f>
        <v>188.16558587931021</v>
      </c>
      <c r="AG5" s="772">
        <f>AC5+AD5+AE5+AF5+70-53</f>
        <v>347.88376932551057</v>
      </c>
      <c r="AH5" s="1253">
        <f t="shared" ref="AH5:AH56" si="6">ROUND((31.1035*L5*Q5*1.1023*K5/100),3)</f>
        <v>50.045999999999999</v>
      </c>
      <c r="AI5" s="1253">
        <f t="shared" ref="AI5:AI56" si="7">ROUND((31.1035*L5*1.1023*K5),3)</f>
        <v>70.063000000000002</v>
      </c>
      <c r="AJ5" s="156">
        <f t="shared" ref="AJ5:AJ56" si="8">+((+$AJ$2-R5+U5)*L5*Q5*V5)/100</f>
        <v>259.21890284580002</v>
      </c>
      <c r="AK5" s="156">
        <f t="shared" ref="AK5:AK56" si="9">31.1035*1.1023*K5*P5*O5/100</f>
        <v>47.257409988762831</v>
      </c>
      <c r="AL5" s="88"/>
      <c r="AM5" s="716">
        <f t="shared" ref="AM5:AM56" si="10">+IF(AB5*K5&gt;0,AB5*K5,0)</f>
        <v>5411.3080046495834</v>
      </c>
      <c r="AN5" s="716" t="str">
        <f>_xlfn.XLOOKUP(D5,RUC!$B$3:$B$578,RUC!$M$3:$M$578)</f>
        <v>Ronald Miranda</v>
      </c>
      <c r="AO5" s="1167" t="s">
        <v>2280</v>
      </c>
      <c r="AP5" t="s">
        <v>3071</v>
      </c>
      <c r="AQ5" t="s">
        <v>3072</v>
      </c>
      <c r="AV5" s="1982" t="s">
        <v>3371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747" t="s">
        <v>3162</v>
      </c>
      <c r="B6" s="1447">
        <v>45955</v>
      </c>
      <c r="C6" s="1447">
        <v>45950</v>
      </c>
      <c r="D6" t="s">
        <v>2368</v>
      </c>
      <c r="E6" s="762">
        <f>_xlfn.XLOOKUP(D6,RUC!$B$3:$B$123,RUC!$D$3:$D$123)</f>
        <v>20612719757</v>
      </c>
      <c r="G6" s="1082">
        <v>50</v>
      </c>
      <c r="H6" s="762" t="s">
        <v>108</v>
      </c>
      <c r="I6" s="703">
        <v>4.41</v>
      </c>
      <c r="J6" s="596">
        <v>7.95</v>
      </c>
      <c r="K6" s="703">
        <f t="shared" si="0"/>
        <v>4.0590000000000002</v>
      </c>
      <c r="L6" s="762">
        <v>0.17499999999999999</v>
      </c>
      <c r="M6" s="994">
        <v>0.16</v>
      </c>
      <c r="N6" s="1196">
        <f t="shared" si="1"/>
        <v>0.16</v>
      </c>
      <c r="O6" s="645">
        <f t="shared" ref="O6:O57" si="11">+ROUND((M6+N6)/2,3)</f>
        <v>0.16</v>
      </c>
      <c r="P6" s="727">
        <v>90</v>
      </c>
      <c r="Q6" s="881">
        <v>91.43</v>
      </c>
      <c r="R6" s="706">
        <v>4294.3500000000004</v>
      </c>
      <c r="S6" s="765">
        <f>IF((_xlfn.XLOOKUP(D6,RUC!$B$3:$B$119,RUC!$E$3:$E$119)+ROUNDDOWN(O6,1)*100)&lt;95,95,((_xlfn.XLOOKUP(D6,RUC!$B$3:$B$119,RUC!$E$3:$E$119)+ROUNDDOWN(O6,1)*100)))</f>
        <v>100</v>
      </c>
      <c r="U6" s="1146">
        <f>_xlfn.XLOOKUP(D6,RUC!$B$3:$B$123,RUC!$F$3:$F$123)</f>
        <v>120</v>
      </c>
      <c r="V6" s="715">
        <v>1.1023000000000001</v>
      </c>
      <c r="Y6">
        <f>_xlfn.XLOOKUP(D6,RUC!$B$3:$B$123,RUC!$G$3:$G$123)</f>
        <v>20</v>
      </c>
      <c r="Z6" s="143">
        <f>_xlfn.XLOOKUP(D6,RUC!$B$3:$B$123,RUC!$H$3:$H$123)</f>
        <v>30</v>
      </c>
      <c r="AA6" s="144">
        <f t="shared" si="2"/>
        <v>50</v>
      </c>
      <c r="AB6" s="145">
        <f t="shared" ref="AB6:AB16" si="12">+((O6*P6*(R6-U6)/100)-S6-AA6+T6)*V6</f>
        <v>497.25458472000014</v>
      </c>
      <c r="AC6" s="145">
        <f>+(S6-T6)*V6-'data 1'!$F$4</f>
        <v>30.230000000000004</v>
      </c>
      <c r="AD6" s="145">
        <f t="shared" si="3"/>
        <v>11.514968477512555</v>
      </c>
      <c r="AE6" s="145">
        <f t="shared" si="4"/>
        <v>-14.884999999999998</v>
      </c>
      <c r="AF6" s="145">
        <f t="shared" si="5"/>
        <v>63.105708365572454</v>
      </c>
      <c r="AG6" s="772">
        <f t="shared" ref="AG6:AG16" si="13">AC6+AD6+AE6+AF6+70-53</f>
        <v>106.96567684308502</v>
      </c>
      <c r="AH6" s="1253">
        <f t="shared" si="6"/>
        <v>22.266999999999999</v>
      </c>
      <c r="AI6" s="1253">
        <f t="shared" si="7"/>
        <v>24.353999999999999</v>
      </c>
      <c r="AJ6" s="156">
        <f t="shared" si="8"/>
        <v>-9.5857505750125647</v>
      </c>
      <c r="AK6" s="156">
        <f t="shared" si="9"/>
        <v>20.039672173672805</v>
      </c>
      <c r="AL6" s="88"/>
      <c r="AM6" s="716">
        <f t="shared" si="10"/>
        <v>2018.3563593784806</v>
      </c>
      <c r="AN6" s="716" t="str">
        <f>_xlfn.XLOOKUP(D6,RUC!$B$3:$B$578,RUC!$M$3:$M$578)</f>
        <v>SIN ACOPIADOR</v>
      </c>
      <c r="AO6" s="1167" t="s">
        <v>2279</v>
      </c>
      <c r="AP6" t="s">
        <v>3004</v>
      </c>
      <c r="AQ6" t="s">
        <v>3196</v>
      </c>
      <c r="AW6" s="1469">
        <f>SUM(AW8:AW17)</f>
        <v>507.57999999999993</v>
      </c>
      <c r="AX6" s="1470">
        <f>SUMPRODUCT(AW8:AW17,AX8:AX17)/SUM(AW8:AW17)</f>
        <v>0.31853318491666344</v>
      </c>
      <c r="AY6" s="704"/>
      <c r="AZ6" s="1471">
        <f>SUMPRODUCT(AZ8:AZ17,$BB8:$BB17)/SUM($BB8:$BB17)/100</f>
        <v>0.91244492988063963</v>
      </c>
      <c r="BA6" s="707">
        <f>SUM(BA8:BA17)</f>
        <v>5543.2983624307653</v>
      </c>
      <c r="BB6" s="707">
        <f>SUM(BB8:BB17)</f>
        <v>5021.5089999999991</v>
      </c>
    </row>
    <row r="7" spans="1:56" ht="15" customHeight="1" thickBot="1">
      <c r="A7" s="747" t="s">
        <v>3215</v>
      </c>
      <c r="B7" s="1447">
        <v>45965</v>
      </c>
      <c r="C7" s="1447">
        <v>45953</v>
      </c>
      <c r="D7" t="s">
        <v>1484</v>
      </c>
      <c r="E7" s="762">
        <f>_xlfn.XLOOKUP(D7,RUC!$B$3:$B$123,RUC!$D$3:$D$123)</f>
        <v>10761932735</v>
      </c>
      <c r="G7" s="1082" t="s">
        <v>2985</v>
      </c>
      <c r="H7" s="762" t="s">
        <v>69</v>
      </c>
      <c r="I7" s="703">
        <v>4.8899999999999997</v>
      </c>
      <c r="J7" s="596">
        <v>13.55</v>
      </c>
      <c r="K7" s="703">
        <f t="shared" si="0"/>
        <v>4.2270000000000003</v>
      </c>
      <c r="L7" s="762">
        <v>0.14799999999999999</v>
      </c>
      <c r="M7" s="762">
        <v>0.13300000000000001</v>
      </c>
      <c r="N7" s="1444">
        <v>0.19500000000000001</v>
      </c>
      <c r="O7" s="645">
        <f t="shared" si="11"/>
        <v>0.16400000000000001</v>
      </c>
      <c r="P7" s="727">
        <v>85</v>
      </c>
      <c r="Q7" s="881">
        <v>89.86</v>
      </c>
      <c r="R7" s="706">
        <v>4143.75</v>
      </c>
      <c r="S7" s="765">
        <f>IF((_xlfn.XLOOKUP(D7,RUC!$B$3:$B$119,RUC!$E$3:$E$119)+ROUNDDOWN(O7,1)*100)&lt;95,95,((_xlfn.XLOOKUP(D7,RUC!$B$3:$B$119,RUC!$E$3:$E$119)+ROUNDDOWN(O7,1)*100)))</f>
        <v>100</v>
      </c>
      <c r="U7" s="1146">
        <f>_xlfn.XLOOKUP(D7,RUC!$B$3:$B$123,RUC!$F$3:$F$123)</f>
        <v>120</v>
      </c>
      <c r="V7" s="715">
        <v>1.1023000000000001</v>
      </c>
      <c r="Y7" s="1445">
        <v>40</v>
      </c>
      <c r="Z7" s="143">
        <f>_xlfn.XLOOKUP(D7,RUC!$B$3:$B$123,RUC!$H$3:$H$123)</f>
        <v>30</v>
      </c>
      <c r="AA7" s="144">
        <f t="shared" si="2"/>
        <v>70</v>
      </c>
      <c r="AB7" s="145">
        <f t="shared" si="12"/>
        <v>430.90091972500005</v>
      </c>
      <c r="AC7" s="145">
        <f>+(S7-T7)*V7-'data 1'!$F$4</f>
        <v>30.230000000000004</v>
      </c>
      <c r="AD7" s="145">
        <f t="shared" si="3"/>
        <v>31.9027985667</v>
      </c>
      <c r="AE7" s="145">
        <f t="shared" si="4"/>
        <v>7.1610000000000014</v>
      </c>
      <c r="AF7" s="145">
        <f t="shared" si="5"/>
        <v>-63.770114096400057</v>
      </c>
      <c r="AG7" s="772">
        <f t="shared" si="13"/>
        <v>22.523684470299941</v>
      </c>
      <c r="AH7" s="1253">
        <f t="shared" si="6"/>
        <v>19.274000000000001</v>
      </c>
      <c r="AI7" s="1253">
        <f t="shared" si="7"/>
        <v>21.449000000000002</v>
      </c>
      <c r="AJ7" s="156">
        <f t="shared" si="8"/>
        <v>14.1100539811</v>
      </c>
      <c r="AK7" s="156">
        <f t="shared" si="9"/>
        <v>20.202452339056592</v>
      </c>
      <c r="AL7" s="88"/>
      <c r="AM7" s="716">
        <f t="shared" si="10"/>
        <v>1821.4181876775754</v>
      </c>
      <c r="AN7" s="716" t="str">
        <f>_xlfn.XLOOKUP(D7,RUC!$B$3:$B$578,RUC!$M$3:$M$578)</f>
        <v>Richard Sapacayo</v>
      </c>
      <c r="AO7" s="1167" t="s">
        <v>2278</v>
      </c>
      <c r="AP7" t="s">
        <v>2891</v>
      </c>
      <c r="AQ7" t="s">
        <v>3219</v>
      </c>
      <c r="AV7" s="633"/>
      <c r="AW7" s="633" t="s">
        <v>15</v>
      </c>
      <c r="AX7" s="633" t="s">
        <v>2522</v>
      </c>
      <c r="AY7" s="1438" t="s">
        <v>2522</v>
      </c>
      <c r="AZ7" s="633" t="s">
        <v>2523</v>
      </c>
      <c r="BA7" s="633" t="s">
        <v>2558</v>
      </c>
      <c r="BB7" s="633" t="s">
        <v>2559</v>
      </c>
      <c r="BC7" s="1435" t="s">
        <v>2565</v>
      </c>
      <c r="BD7" s="729" t="s">
        <v>2579</v>
      </c>
    </row>
    <row r="8" spans="1:56" ht="15" customHeight="1">
      <c r="A8" s="747" t="s">
        <v>3223</v>
      </c>
      <c r="B8" s="1447">
        <v>45967</v>
      </c>
      <c r="C8" s="1447">
        <v>45955</v>
      </c>
      <c r="D8" t="s">
        <v>93</v>
      </c>
      <c r="E8" s="762">
        <f>_xlfn.XLOOKUP(D8,RUC!$B$3:$B$123,RUC!$D$3:$D$123)</f>
        <v>20169040231</v>
      </c>
      <c r="G8" s="1082">
        <v>62</v>
      </c>
      <c r="H8" s="762" t="s">
        <v>69</v>
      </c>
      <c r="I8" s="703">
        <v>5.0999999999999996</v>
      </c>
      <c r="J8" s="596">
        <v>1.3</v>
      </c>
      <c r="K8" s="703">
        <f t="shared" si="0"/>
        <v>5.0339999999999998</v>
      </c>
      <c r="L8" s="762">
        <v>0.84299999999999997</v>
      </c>
      <c r="M8" s="762">
        <v>0.80100000000000005</v>
      </c>
      <c r="N8" s="1444">
        <v>0.879</v>
      </c>
      <c r="O8" s="645">
        <f t="shared" si="11"/>
        <v>0.84</v>
      </c>
      <c r="P8" s="727">
        <v>87</v>
      </c>
      <c r="Q8" s="881">
        <v>87.54</v>
      </c>
      <c r="R8" s="706">
        <v>4104.3999999999996</v>
      </c>
      <c r="S8" s="765">
        <f>IF((_xlfn.XLOOKUP(D8,RUC!$B$3:$B$119,RUC!$E$3:$E$119)+ROUNDDOWN(O8,1)*100)&lt;95,95,((_xlfn.XLOOKUP(D8,RUC!$B$3:$B$119,RUC!$E$3:$E$119)+ROUNDDOWN(O8,1)*100)))</f>
        <v>165</v>
      </c>
      <c r="U8" s="1146">
        <f>_xlfn.XLOOKUP(D8,RUC!$B$3:$B$123,RUC!$F$3:$F$123)</f>
        <v>120</v>
      </c>
      <c r="V8" s="715">
        <v>1.1023000000000001</v>
      </c>
      <c r="Y8">
        <f>_xlfn.XLOOKUP(D8,RUC!$B$3:$B$123,RUC!$G$3:$G$123)</f>
        <v>20</v>
      </c>
      <c r="Z8" s="1454">
        <v>35</v>
      </c>
      <c r="AA8" s="144">
        <f t="shared" si="2"/>
        <v>55</v>
      </c>
      <c r="AB8" s="145">
        <f t="shared" si="12"/>
        <v>2967.1706108960002</v>
      </c>
      <c r="AC8" s="145">
        <f>+(S8-T8)*V8-'data 1'!$F$4</f>
        <v>101.87950000000001</v>
      </c>
      <c r="AD8" s="145">
        <f t="shared" si="3"/>
        <v>19.993281155064228</v>
      </c>
      <c r="AE8" s="145">
        <f t="shared" si="4"/>
        <v>-9.3734999999999999</v>
      </c>
      <c r="AF8" s="145">
        <f t="shared" si="5"/>
        <v>11.53428121994401</v>
      </c>
      <c r="AG8" s="772">
        <f t="shared" si="13"/>
        <v>141.03356237500824</v>
      </c>
      <c r="AH8" s="1253">
        <f t="shared" si="6"/>
        <v>127.367</v>
      </c>
      <c r="AI8" s="1253">
        <f t="shared" si="7"/>
        <v>145.49600000000001</v>
      </c>
      <c r="AJ8" s="156">
        <f t="shared" si="8"/>
        <v>110.30459740293628</v>
      </c>
      <c r="AK8" s="156">
        <f t="shared" si="9"/>
        <v>126.13070382865597</v>
      </c>
      <c r="AL8" s="88"/>
      <c r="AM8" s="716">
        <f t="shared" si="10"/>
        <v>14936.736855250465</v>
      </c>
      <c r="AN8" s="716" t="str">
        <f>_xlfn.XLOOKUP(D8,RUC!$B$3:$B$578,RUC!$M$3:$M$578)</f>
        <v>Ronald Miranda</v>
      </c>
      <c r="AO8" s="1167" t="s">
        <v>2277</v>
      </c>
      <c r="AP8" t="s">
        <v>3239</v>
      </c>
      <c r="AQ8" t="s">
        <v>3240</v>
      </c>
      <c r="AV8" s="1225" t="s">
        <v>2277</v>
      </c>
      <c r="AW8" s="1227">
        <f t="shared" ref="AW8:AW17" si="14">SUMIF($AO$4:$AO$1503,AV8,$K$4:$K$1503)</f>
        <v>149.255</v>
      </c>
      <c r="AX8" s="1227" cm="1">
        <f t="array" ref="AX8">+SUMPRODUCT(IF($AO$4:$AO$1503=AV8,$L$4:$L$1503*$K$4:$K$1503/AW8))</f>
        <v>0.32451365113396541</v>
      </c>
      <c r="AY8" s="1228">
        <f>31.1035*1.1023*AX8*(100-AZ8)/100</f>
        <v>1.0242315504497705</v>
      </c>
      <c r="AZ8" s="1229" cm="1">
        <f t="array" ref="AZ8">+SUMPRODUCT(IF($AO$4:$AO$1503=AV8,($Q$4:$Q$1503*$AH$4:$AH$1503)/SUMIF($AO$4:$AO$1503,$AV8,$AH$4:$AH$1503)))</f>
        <v>90.794315009065372</v>
      </c>
      <c r="BA8" s="1441">
        <f>+AX8*31.1035*1.1023*AW8</f>
        <v>1660.6225415373444</v>
      </c>
      <c r="BB8" s="1230">
        <f t="shared" ref="BB8:BB17" si="15">SUMIF($AO$4:$AO$603,$AV8,$AH$4:$AH$603)</f>
        <v>1491.3919999999998</v>
      </c>
      <c r="BC8" s="1229">
        <f>+BA8-BB8</f>
        <v>169.23054153734461</v>
      </c>
      <c r="BD8" s="1231">
        <f>+AW8</f>
        <v>149.255</v>
      </c>
    </row>
    <row r="9" spans="1:56" ht="15" customHeight="1">
      <c r="A9" s="747" t="s">
        <v>3224</v>
      </c>
      <c r="B9" s="1447">
        <v>45967</v>
      </c>
      <c r="C9" s="1447">
        <v>45955</v>
      </c>
      <c r="D9" t="s">
        <v>93</v>
      </c>
      <c r="E9" s="762">
        <f>_xlfn.XLOOKUP(D9,RUC!$B$3:$B$123,RUC!$D$3:$D$123)</f>
        <v>20169040231</v>
      </c>
      <c r="G9" s="1082">
        <v>62</v>
      </c>
      <c r="H9" s="762" t="s">
        <v>69</v>
      </c>
      <c r="I9" s="703">
        <v>5.16</v>
      </c>
      <c r="J9" s="596">
        <v>1.1499999999999999</v>
      </c>
      <c r="K9" s="703">
        <f t="shared" si="0"/>
        <v>5.101</v>
      </c>
      <c r="L9" s="762">
        <v>0.69499999999999995</v>
      </c>
      <c r="M9" s="994">
        <v>0.66</v>
      </c>
      <c r="N9" s="1444">
        <v>0.71799999999999997</v>
      </c>
      <c r="O9" s="645">
        <f t="shared" si="11"/>
        <v>0.68899999999999995</v>
      </c>
      <c r="P9" s="727">
        <v>86</v>
      </c>
      <c r="Q9" s="1476">
        <v>86.19</v>
      </c>
      <c r="R9" s="706">
        <v>4104.3999999999996</v>
      </c>
      <c r="S9" s="765">
        <f>IF((_xlfn.XLOOKUP(D9,RUC!$B$3:$B$119,RUC!$E$3:$E$119)+ROUNDDOWN(O9,1)*100)&lt;95,95,((_xlfn.XLOOKUP(D9,RUC!$B$3:$B$119,RUC!$E$3:$E$119)+ROUNDDOWN(O9,1)*100)))</f>
        <v>145</v>
      </c>
      <c r="U9" s="1146">
        <f>_xlfn.XLOOKUP(D9,RUC!$B$3:$B$123,RUC!$F$3:$F$123)</f>
        <v>120</v>
      </c>
      <c r="V9" s="715">
        <v>1.1023000000000001</v>
      </c>
      <c r="Y9">
        <f>_xlfn.XLOOKUP(D9,RUC!$B$3:$B$123,RUC!$G$3:$G$123)</f>
        <v>20</v>
      </c>
      <c r="Z9" s="1454">
        <v>35</v>
      </c>
      <c r="AA9" s="144">
        <f t="shared" si="2"/>
        <v>55</v>
      </c>
      <c r="AB9" s="145">
        <f t="shared" si="12"/>
        <v>2381.9781212647999</v>
      </c>
      <c r="AC9" s="145">
        <f>+(S9-T9)*V9-'data 1'!$F$4</f>
        <v>79.833500000000015</v>
      </c>
      <c r="AD9" s="145">
        <f t="shared" si="3"/>
        <v>5.7996414404599292</v>
      </c>
      <c r="AE9" s="145">
        <f t="shared" si="4"/>
        <v>-9.3734999999999999</v>
      </c>
      <c r="AF9" s="145">
        <f t="shared" si="5"/>
        <v>22.712810106168021</v>
      </c>
      <c r="AG9" s="772">
        <f t="shared" si="13"/>
        <v>115.97245154662795</v>
      </c>
      <c r="AH9" s="1253">
        <f t="shared" si="6"/>
        <v>104.76300000000001</v>
      </c>
      <c r="AI9" s="1253">
        <f t="shared" si="7"/>
        <v>121.548</v>
      </c>
      <c r="AJ9" s="156">
        <f t="shared" si="8"/>
        <v>89.536720293540242</v>
      </c>
      <c r="AK9" s="156">
        <f t="shared" si="9"/>
        <v>103.62918102308484</v>
      </c>
      <c r="AL9" s="88"/>
      <c r="AM9" s="716">
        <f t="shared" si="10"/>
        <v>12150.470396571744</v>
      </c>
      <c r="AN9" s="716" t="str">
        <f>_xlfn.XLOOKUP(D9,RUC!$B$3:$B$578,RUC!$M$3:$M$578)</f>
        <v>Ronald Miranda</v>
      </c>
      <c r="AO9" s="1167" t="s">
        <v>2278</v>
      </c>
      <c r="AP9" t="s">
        <v>3239</v>
      </c>
      <c r="AQ9" t="s">
        <v>3240</v>
      </c>
      <c r="AV9" s="1232" t="s">
        <v>2278</v>
      </c>
      <c r="AW9" s="1234">
        <f t="shared" si="14"/>
        <v>149.79399999999998</v>
      </c>
      <c r="AX9" s="1234" cm="1">
        <f t="array" ref="AX9">+SUMPRODUCT(IF($AO$4:$AO$1503=AV9,$L$4:$L$1503*$K$4:$K$1503/AW9))</f>
        <v>0.32781232225589813</v>
      </c>
      <c r="AY9" s="1235">
        <f>31.1035*1.1023*AX9*(100-AZ9)/100</f>
        <v>1.1771701583973229</v>
      </c>
      <c r="AZ9" s="1236" cm="1">
        <f t="array" ref="AZ9">+SUMPRODUCT(IF($AO$4:$AO$1503=AV9,($Q$4:$Q$1503*$AH$4:$AH$1503)/SUMIF($AO$4:$AO$1503,$AV9,$AH$4:$AH$1503)))</f>
        <v>89.526184957554918</v>
      </c>
      <c r="BA9" s="1481">
        <f t="shared" ref="BA9:BA17" si="16">+AX9*31.1035*1.1023*AW9</f>
        <v>1683.5606318459879</v>
      </c>
      <c r="BB9" s="1237">
        <f t="shared" si="15"/>
        <v>1493.8130000000001</v>
      </c>
      <c r="BC9" s="1236">
        <f>+BC8+BA9-BB9</f>
        <v>358.97817338333243</v>
      </c>
      <c r="BD9" s="1238">
        <f>+BD8+AW9</f>
        <v>299.04899999999998</v>
      </c>
    </row>
    <row r="10" spans="1:56" ht="15" customHeight="1">
      <c r="A10" s="747" t="s">
        <v>3225</v>
      </c>
      <c r="B10" s="1447">
        <v>45967</v>
      </c>
      <c r="C10" s="1447">
        <v>45955</v>
      </c>
      <c r="D10" t="s">
        <v>93</v>
      </c>
      <c r="E10" s="762">
        <f>_xlfn.XLOOKUP(D10,RUC!$B$3:$B$123,RUC!$D$3:$D$123)</f>
        <v>20169040231</v>
      </c>
      <c r="G10" s="1082">
        <v>61</v>
      </c>
      <c r="H10" s="762" t="s">
        <v>69</v>
      </c>
      <c r="I10" s="703">
        <v>5.48</v>
      </c>
      <c r="J10" s="596">
        <v>1.4</v>
      </c>
      <c r="K10" s="703">
        <f t="shared" si="0"/>
        <v>5.4029999999999996</v>
      </c>
      <c r="L10" s="762">
        <v>0.89800000000000002</v>
      </c>
      <c r="M10" s="994">
        <v>0.85299999999999998</v>
      </c>
      <c r="N10" s="1196">
        <f t="shared" ref="N10:N15" si="17">+M10</f>
        <v>0.85299999999999998</v>
      </c>
      <c r="O10" s="645">
        <f t="shared" si="11"/>
        <v>0.85299999999999998</v>
      </c>
      <c r="P10" s="727">
        <v>81</v>
      </c>
      <c r="Q10" s="1476">
        <v>81.180000000000007</v>
      </c>
      <c r="R10" s="706">
        <v>4104.3999999999996</v>
      </c>
      <c r="S10" s="765">
        <f>IF((_xlfn.XLOOKUP(D10,RUC!$B$3:$B$119,RUC!$E$3:$E$119)+ROUNDDOWN(O10,1)*100)&lt;95,95,((_xlfn.XLOOKUP(D10,RUC!$B$3:$B$119,RUC!$E$3:$E$119)+ROUNDDOWN(O10,1)*100)))</f>
        <v>165</v>
      </c>
      <c r="U10" s="1146">
        <f>_xlfn.XLOOKUP(D10,RUC!$B$3:$B$123,RUC!$F$3:$F$123)</f>
        <v>120</v>
      </c>
      <c r="V10" s="715">
        <v>1.1023000000000001</v>
      </c>
      <c r="Y10">
        <f>_xlfn.XLOOKUP(D10,RUC!$B$3:$B$123,RUC!$G$3:$G$123)</f>
        <v>20</v>
      </c>
      <c r="Z10" s="1454">
        <v>35</v>
      </c>
      <c r="AA10" s="144">
        <f t="shared" si="2"/>
        <v>55</v>
      </c>
      <c r="AB10" s="145">
        <f t="shared" si="12"/>
        <v>2792.0614066316002</v>
      </c>
      <c r="AC10" s="145">
        <f>+(S10-T10)*V10-'data 1'!$F$4</f>
        <v>101.87950000000001</v>
      </c>
      <c r="AD10" s="145">
        <f t="shared" si="3"/>
        <v>7.0992354595682681</v>
      </c>
      <c r="AE10" s="145">
        <f t="shared" si="4"/>
        <v>-9.3734999999999999</v>
      </c>
      <c r="AF10" s="145">
        <f t="shared" si="5"/>
        <v>160.44430250772015</v>
      </c>
      <c r="AG10" s="772">
        <f t="shared" si="13"/>
        <v>277.04953796728842</v>
      </c>
      <c r="AH10" s="1253">
        <f t="shared" si="6"/>
        <v>135.042</v>
      </c>
      <c r="AI10" s="1253">
        <f t="shared" si="7"/>
        <v>166.34899999999999</v>
      </c>
      <c r="AJ10" s="156">
        <f t="shared" si="8"/>
        <v>108.9644624212323</v>
      </c>
      <c r="AK10" s="156">
        <f t="shared" si="9"/>
        <v>127.99060350258326</v>
      </c>
      <c r="AL10" s="88"/>
      <c r="AM10" s="716">
        <f t="shared" si="10"/>
        <v>15085.507780030535</v>
      </c>
      <c r="AN10" s="716" t="str">
        <f>_xlfn.XLOOKUP(D10,RUC!$B$3:$B$578,RUC!$M$3:$M$578)</f>
        <v>Ronald Miranda</v>
      </c>
      <c r="AO10" s="1167" t="s">
        <v>2278</v>
      </c>
      <c r="AP10" t="s">
        <v>3239</v>
      </c>
      <c r="AQ10" t="s">
        <v>3240</v>
      </c>
      <c r="AV10" s="1232" t="s">
        <v>2280</v>
      </c>
      <c r="AW10" s="1234">
        <f t="shared" si="14"/>
        <v>106.108</v>
      </c>
      <c r="AX10" s="1234" cm="1">
        <f t="array" ref="AX10">+SUMPRODUCT(IF($AO$4:$AO$1503=AV10,$L$4:$L$1503*$K$4:$K$1503/AW10))</f>
        <v>0.31314236438345844</v>
      </c>
      <c r="AY10" s="1235">
        <f t="shared" ref="AY10:AY17" si="18">31.1035*1.1023*AX10*(100-AZ10)/100</f>
        <v>0.80672181321087566</v>
      </c>
      <c r="AZ10" s="1236" cm="1">
        <f t="array" ref="AZ10">+SUMPRODUCT(IF($AO$4:$AO$1503=AV10,($Q$4:$Q$1503*$AH$4:$AH$1503)/SUMIF($AO$4:$AO$1503,$AV10,$AH$4:$AH$1503)))</f>
        <v>92.485970349582104</v>
      </c>
      <c r="BA10" s="1237">
        <f t="shared" si="16"/>
        <v>1139.1975030524259</v>
      </c>
      <c r="BB10" s="1237">
        <f t="shared" si="15"/>
        <v>1049.0239999999997</v>
      </c>
      <c r="BC10" s="1236">
        <f t="shared" ref="BC10:BC17" si="19">+BC9+BA10-BB10</f>
        <v>449.15167643575865</v>
      </c>
      <c r="BD10" s="1238">
        <f t="shared" ref="BD10:BD17" si="20">+BD9+AW10</f>
        <v>405.15699999999998</v>
      </c>
    </row>
    <row r="11" spans="1:56" ht="15" customHeight="1">
      <c r="A11" s="747" t="s">
        <v>3228</v>
      </c>
      <c r="B11" s="1549">
        <v>45960</v>
      </c>
      <c r="C11" s="1447">
        <v>45955</v>
      </c>
      <c r="D11" t="s">
        <v>93</v>
      </c>
      <c r="E11" s="762">
        <f>_xlfn.XLOOKUP(D11,RUC!$B$3:$B$123,RUC!$D$3:$D$123)</f>
        <v>20169040231</v>
      </c>
      <c r="G11" s="1082">
        <v>157</v>
      </c>
      <c r="H11" s="762" t="s">
        <v>69</v>
      </c>
      <c r="I11" s="703">
        <v>14.72</v>
      </c>
      <c r="J11" s="596">
        <v>1.3</v>
      </c>
      <c r="K11" s="703">
        <f t="shared" si="0"/>
        <v>14.529</v>
      </c>
      <c r="L11" s="994">
        <v>0.46200000000000002</v>
      </c>
      <c r="M11" s="994">
        <v>0.42</v>
      </c>
      <c r="N11" s="1196">
        <f t="shared" si="17"/>
        <v>0.42</v>
      </c>
      <c r="O11" s="645">
        <f t="shared" si="11"/>
        <v>0.42</v>
      </c>
      <c r="P11" s="727">
        <v>88</v>
      </c>
      <c r="Q11" s="1476">
        <v>89</v>
      </c>
      <c r="R11" s="706">
        <v>4104.3999999999996</v>
      </c>
      <c r="S11" s="765">
        <f>IF((_xlfn.XLOOKUP(D11,RUC!$B$3:$B$119,RUC!$E$3:$E$119)+ROUNDDOWN(O11,1)*100)&lt;95,95,((_xlfn.XLOOKUP(D11,RUC!$B$3:$B$119,RUC!$E$3:$E$119)+ROUNDDOWN(O11,1)*100)))</f>
        <v>125</v>
      </c>
      <c r="U11" s="1146">
        <f>_xlfn.XLOOKUP(D11,RUC!$B$3:$B$123,RUC!$F$3:$F$123)</f>
        <v>120</v>
      </c>
      <c r="V11" s="715">
        <v>1.1023000000000001</v>
      </c>
      <c r="Y11">
        <f>_xlfn.XLOOKUP(D11,RUC!$B$3:$B$123,RUC!$G$3:$G$123)</f>
        <v>20</v>
      </c>
      <c r="Z11" s="1454">
        <v>35</v>
      </c>
      <c r="AA11" s="144">
        <f t="shared" si="2"/>
        <v>55</v>
      </c>
      <c r="AB11" s="145">
        <f t="shared" si="12"/>
        <v>1424.8707227520001</v>
      </c>
      <c r="AC11" s="145">
        <f>+(S11-T11)*V11-'data 1'!$F$4</f>
        <v>57.787499999999994</v>
      </c>
      <c r="AD11" s="145">
        <f t="shared" si="3"/>
        <v>20.2910590344</v>
      </c>
      <c r="AE11" s="145">
        <f t="shared" si="4"/>
        <v>-9.3734999999999999</v>
      </c>
      <c r="AF11" s="145">
        <f t="shared" si="5"/>
        <v>164.17311400560015</v>
      </c>
      <c r="AG11" s="772">
        <f t="shared" si="13"/>
        <v>249.87817304000015</v>
      </c>
      <c r="AH11" s="1253">
        <f t="shared" si="6"/>
        <v>204.822</v>
      </c>
      <c r="AI11" s="1253">
        <f t="shared" si="7"/>
        <v>230.137</v>
      </c>
      <c r="AJ11" s="156">
        <f t="shared" si="8"/>
        <v>61.459847618400161</v>
      </c>
      <c r="AK11" s="156">
        <f t="shared" si="9"/>
        <v>184.10973614083511</v>
      </c>
      <c r="AL11" s="88"/>
      <c r="AM11" s="716">
        <f t="shared" si="10"/>
        <v>20701.946730863809</v>
      </c>
      <c r="AN11" s="716" t="str">
        <f>_xlfn.XLOOKUP(D11,RUC!$B$3:$B$578,RUC!$M$3:$M$578)</f>
        <v>Ronald Miranda</v>
      </c>
      <c r="AO11" s="1167" t="s">
        <v>2277</v>
      </c>
      <c r="AP11" t="s">
        <v>3241</v>
      </c>
      <c r="AQ11" t="s">
        <v>3242</v>
      </c>
      <c r="AV11" s="1232" t="s">
        <v>2279</v>
      </c>
      <c r="AW11" s="1234">
        <f t="shared" si="14"/>
        <v>102.42299999999997</v>
      </c>
      <c r="AX11" s="1234" cm="1">
        <f t="array" ref="AX11">+SUMPRODUCT(IF($AO$4:$AO$1503=AV11,$L$4:$L$1503*$K$4:$K$1503/AW11))</f>
        <v>0.30183220565693253</v>
      </c>
      <c r="AY11" s="1235">
        <f t="shared" si="18"/>
        <v>0.70314321870661589</v>
      </c>
      <c r="AZ11" s="1236" cm="1">
        <f t="array" ref="AZ11">+SUMPRODUCT(IF($AO$4:$AO$1503=AV11,($Q$4:$Q$1503*$AH$4:$AH$1503)/SUMIF($AO$4:$AO$1503,$AV11,$AH$4:$AH$1503)))</f>
        <v>93.205317842962486</v>
      </c>
      <c r="BA11" s="1237">
        <f t="shared" si="16"/>
        <v>1059.9176859950078</v>
      </c>
      <c r="BB11" s="1237">
        <f t="shared" si="15"/>
        <v>987.27999999999986</v>
      </c>
      <c r="BC11" s="1236">
        <f t="shared" si="19"/>
        <v>521.78936243076657</v>
      </c>
      <c r="BD11" s="1238">
        <f t="shared" si="20"/>
        <v>507.57999999999993</v>
      </c>
    </row>
    <row r="12" spans="1:56" ht="15" customHeight="1">
      <c r="A12" s="747" t="s">
        <v>3229</v>
      </c>
      <c r="B12" s="1447">
        <v>45966</v>
      </c>
      <c r="C12" s="1447">
        <v>45955</v>
      </c>
      <c r="D12" t="s">
        <v>93</v>
      </c>
      <c r="E12" s="762">
        <f>_xlfn.XLOOKUP(D12,RUC!$B$3:$B$123,RUC!$D$3:$D$123)</f>
        <v>20169040231</v>
      </c>
      <c r="G12" s="1082">
        <v>73</v>
      </c>
      <c r="H12" s="762" t="s">
        <v>69</v>
      </c>
      <c r="I12" s="703">
        <v>7.01</v>
      </c>
      <c r="J12" s="596">
        <v>1.4</v>
      </c>
      <c r="K12" s="703">
        <f t="shared" si="0"/>
        <v>6.9119999999999999</v>
      </c>
      <c r="L12" s="762">
        <v>0.311</v>
      </c>
      <c r="M12" s="762">
        <v>0.29499999999999998</v>
      </c>
      <c r="N12" s="1196">
        <f t="shared" si="17"/>
        <v>0.29499999999999998</v>
      </c>
      <c r="O12" s="645">
        <f t="shared" si="11"/>
        <v>0.29499999999999998</v>
      </c>
      <c r="P12" s="1199">
        <v>80</v>
      </c>
      <c r="Q12" s="1476">
        <v>76.53</v>
      </c>
      <c r="R12" s="706">
        <v>4104.3999999999996</v>
      </c>
      <c r="S12" s="765">
        <f>IF((_xlfn.XLOOKUP(D12,RUC!$B$3:$B$119,RUC!$E$3:$E$119)+ROUNDDOWN(O12,1)*100)&lt;95,95,((_xlfn.XLOOKUP(D12,RUC!$B$3:$B$119,RUC!$E$3:$E$119)+ROUNDDOWN(O12,1)*100)))</f>
        <v>105</v>
      </c>
      <c r="U12" s="1146">
        <f>_xlfn.XLOOKUP(D12,RUC!$B$3:$B$123,RUC!$F$3:$F$123)</f>
        <v>120</v>
      </c>
      <c r="V12" s="715">
        <v>1.1023000000000001</v>
      </c>
      <c r="Y12" s="891">
        <v>80</v>
      </c>
      <c r="Z12" s="1454">
        <v>35</v>
      </c>
      <c r="AA12" s="144">
        <f t="shared" si="2"/>
        <v>115</v>
      </c>
      <c r="AB12" s="145">
        <f t="shared" si="12"/>
        <v>794.00697231999982</v>
      </c>
      <c r="AC12" s="145">
        <f>+(S12-T12)*V12-'data 1'!$F$4</f>
        <v>35.741500000000002</v>
      </c>
      <c r="AD12" s="145">
        <f t="shared" si="3"/>
        <v>-47.397190861803985</v>
      </c>
      <c r="AE12" s="145">
        <f t="shared" si="4"/>
        <v>56.764499999999998</v>
      </c>
      <c r="AF12" s="145">
        <f t="shared" si="5"/>
        <v>53.779212048576049</v>
      </c>
      <c r="AG12" s="772">
        <f t="shared" si="13"/>
        <v>115.88802118677205</v>
      </c>
      <c r="AH12" s="1253">
        <f t="shared" si="6"/>
        <v>56.402999999999999</v>
      </c>
      <c r="AI12" s="1253">
        <f t="shared" si="7"/>
        <v>73.700999999999993</v>
      </c>
      <c r="AJ12" s="156">
        <f t="shared" si="8"/>
        <v>35.575548056604092</v>
      </c>
      <c r="AK12" s="156">
        <f t="shared" si="9"/>
        <v>55.927422119577592</v>
      </c>
      <c r="AL12" s="88"/>
      <c r="AM12" s="716">
        <f t="shared" si="10"/>
        <v>5488.176192675839</v>
      </c>
      <c r="AN12" s="716" t="str">
        <f>_xlfn.XLOOKUP(D12,RUC!$B$3:$B$578,RUC!$M$3:$M$578)</f>
        <v>Ronald Miranda</v>
      </c>
      <c r="AO12" s="1167" t="s">
        <v>2277</v>
      </c>
      <c r="AP12" t="s">
        <v>3241</v>
      </c>
      <c r="AQ12" t="s">
        <v>3242</v>
      </c>
      <c r="AR12" s="1516" t="s">
        <v>3359</v>
      </c>
      <c r="AV12" s="1232" t="s">
        <v>2281</v>
      </c>
      <c r="AW12" s="1234">
        <f t="shared" si="14"/>
        <v>0</v>
      </c>
      <c r="AX12" s="1234" cm="1">
        <f t="array" ref="AX12">+SUMPRODUCT(IF($AO$4:$AO$1503=AV12,$L$4:$L$1503*$K$4:$K$1503/AW12))</f>
        <v>0</v>
      </c>
      <c r="AY12" s="1235">
        <f t="shared" si="18"/>
        <v>0</v>
      </c>
      <c r="AZ12" s="1236" cm="1">
        <f t="array" ref="AZ12">+SUMPRODUCT(IF($AO$4:$AO$1503=AV12,($Q$4:$Q$1503*$AH$4:$AH$1503)/SUMIF($AO$4:$AO$1503,$AV12,$AH$4:$AH$1503)))</f>
        <v>0</v>
      </c>
      <c r="BA12" s="1237">
        <f t="shared" si="16"/>
        <v>0</v>
      </c>
      <c r="BB12" s="1237">
        <f t="shared" si="15"/>
        <v>0</v>
      </c>
      <c r="BC12" s="1236">
        <f t="shared" si="19"/>
        <v>521.78936243076657</v>
      </c>
      <c r="BD12" s="1238">
        <f t="shared" si="20"/>
        <v>507.57999999999993</v>
      </c>
    </row>
    <row r="13" spans="1:56" ht="15" customHeight="1">
      <c r="A13" s="747" t="s">
        <v>3230</v>
      </c>
      <c r="B13" s="1447">
        <v>45966</v>
      </c>
      <c r="C13" s="1447">
        <v>45955</v>
      </c>
      <c r="D13" t="s">
        <v>93</v>
      </c>
      <c r="E13" s="762">
        <f>_xlfn.XLOOKUP(D13,RUC!$B$3:$B$123,RUC!$D$3:$D$123)</f>
        <v>20169040231</v>
      </c>
      <c r="G13" s="1082">
        <v>80</v>
      </c>
      <c r="H13" s="762" t="s">
        <v>69</v>
      </c>
      <c r="I13" s="703">
        <v>8.2899999999999991</v>
      </c>
      <c r="J13" s="596">
        <v>1.3</v>
      </c>
      <c r="K13" s="703">
        <f t="shared" si="0"/>
        <v>8.1820000000000004</v>
      </c>
      <c r="L13" s="762">
        <v>0.32900000000000001</v>
      </c>
      <c r="M13" s="762">
        <v>0.313</v>
      </c>
      <c r="N13" s="1196">
        <f t="shared" si="17"/>
        <v>0.313</v>
      </c>
      <c r="O13" s="645">
        <f t="shared" si="11"/>
        <v>0.313</v>
      </c>
      <c r="P13" s="1199">
        <v>80</v>
      </c>
      <c r="Q13" s="1476">
        <v>74.16</v>
      </c>
      <c r="R13" s="706">
        <v>4104.3999999999996</v>
      </c>
      <c r="S13" s="765">
        <f>IF((_xlfn.XLOOKUP(D13,RUC!$B$3:$B$119,RUC!$E$3:$E$119)+ROUNDDOWN(O13,1)*100)&lt;95,95,((_xlfn.XLOOKUP(D13,RUC!$B$3:$B$119,RUC!$E$3:$E$119)+ROUNDDOWN(O13,1)*100)))</f>
        <v>115</v>
      </c>
      <c r="U13" s="1146">
        <f>_xlfn.XLOOKUP(D13,RUC!$B$3:$B$123,RUC!$F$3:$F$123)</f>
        <v>120</v>
      </c>
      <c r="V13" s="715">
        <v>1.1023000000000001</v>
      </c>
      <c r="Y13" s="891">
        <v>80</v>
      </c>
      <c r="Z13" s="1454">
        <v>35</v>
      </c>
      <c r="AA13" s="144">
        <f t="shared" si="2"/>
        <v>115</v>
      </c>
      <c r="AB13" s="145">
        <f t="shared" si="12"/>
        <v>846.22883164799987</v>
      </c>
      <c r="AC13" s="145">
        <f>+(S13-T13)*V13-'data 1'!$F$4</f>
        <v>46.764500000000012</v>
      </c>
      <c r="AD13" s="145">
        <f t="shared" si="3"/>
        <v>-84.386210360032052</v>
      </c>
      <c r="AE13" s="145">
        <f t="shared" si="4"/>
        <v>56.764499999999998</v>
      </c>
      <c r="AF13" s="145">
        <f t="shared" si="5"/>
        <v>52.113764086272042</v>
      </c>
      <c r="AG13" s="772">
        <f t="shared" si="13"/>
        <v>88.256553726239986</v>
      </c>
      <c r="AH13" s="1253">
        <f t="shared" si="6"/>
        <v>68.444000000000003</v>
      </c>
      <c r="AI13" s="1253">
        <f t="shared" si="7"/>
        <v>92.292000000000002</v>
      </c>
      <c r="AJ13" s="156">
        <f t="shared" si="8"/>
        <v>36.469105902432105</v>
      </c>
      <c r="AK13" s="156">
        <f t="shared" si="9"/>
        <v>70.242970474285059</v>
      </c>
      <c r="AL13" s="88"/>
      <c r="AM13" s="716">
        <f t="shared" si="10"/>
        <v>6923.8443005439349</v>
      </c>
      <c r="AN13" s="716" t="str">
        <f>_xlfn.XLOOKUP(D13,RUC!$B$3:$B$578,RUC!$M$3:$M$578)</f>
        <v>Ronald Miranda</v>
      </c>
      <c r="AO13" s="1167" t="s">
        <v>2278</v>
      </c>
      <c r="AP13" t="s">
        <v>3241</v>
      </c>
      <c r="AQ13" t="s">
        <v>3242</v>
      </c>
      <c r="AR13" s="1516" t="s">
        <v>3359</v>
      </c>
      <c r="AV13" s="1232" t="s">
        <v>2297</v>
      </c>
      <c r="AW13" s="1234">
        <f t="shared" si="14"/>
        <v>0</v>
      </c>
      <c r="AX13" s="1234" cm="1">
        <f t="array" ref="AX13">+SUMPRODUCT(IF($AO$4:$AO$1503=AV13,$L$4:$L$1503*$K$4:$K$1503/AW13))</f>
        <v>0</v>
      </c>
      <c r="AY13" s="1235">
        <f t="shared" si="18"/>
        <v>0</v>
      </c>
      <c r="AZ13" s="1236" cm="1">
        <f t="array" ref="AZ13">+SUMPRODUCT(IF('31'!$AO$4:$AO$1395=AV13,('31'!$Q$4:$Q$1395*'31'!$AH$4:$AH$1395)/SUMIF('31'!$AO$4:$AO$1395,#REF!,'31'!$AH$4:$AH$1395)))</f>
        <v>0</v>
      </c>
      <c r="BA13" s="1237">
        <f t="shared" si="16"/>
        <v>0</v>
      </c>
      <c r="BB13" s="1237">
        <f t="shared" si="15"/>
        <v>0</v>
      </c>
      <c r="BC13" s="1236">
        <f t="shared" si="19"/>
        <v>521.78936243076657</v>
      </c>
      <c r="BD13" s="1238">
        <f t="shared" si="20"/>
        <v>507.57999999999993</v>
      </c>
    </row>
    <row r="14" spans="1:56" ht="15" customHeight="1">
      <c r="A14" s="747" t="s">
        <v>3231</v>
      </c>
      <c r="B14" s="1447">
        <v>45966</v>
      </c>
      <c r="C14" s="1447">
        <v>45955</v>
      </c>
      <c r="D14" t="s">
        <v>93</v>
      </c>
      <c r="E14" s="762">
        <f>_xlfn.XLOOKUP(D14,RUC!$B$3:$B$123,RUC!$D$3:$D$123)</f>
        <v>20169040231</v>
      </c>
      <c r="G14" s="1082">
        <v>80</v>
      </c>
      <c r="H14" s="762" t="s">
        <v>69</v>
      </c>
      <c r="I14" s="703">
        <v>6.87</v>
      </c>
      <c r="J14" s="596">
        <v>1.25</v>
      </c>
      <c r="K14" s="703">
        <f t="shared" si="0"/>
        <v>6.7839999999999998</v>
      </c>
      <c r="L14" s="762">
        <v>0.496</v>
      </c>
      <c r="M14" s="762">
        <v>0.47099999999999997</v>
      </c>
      <c r="N14" s="1196">
        <f t="shared" si="17"/>
        <v>0.47099999999999997</v>
      </c>
      <c r="O14" s="645">
        <f t="shared" si="11"/>
        <v>0.47099999999999997</v>
      </c>
      <c r="P14" s="1199">
        <v>73</v>
      </c>
      <c r="Q14" s="1476">
        <v>59.48</v>
      </c>
      <c r="R14" s="706">
        <v>4104.3999999999996</v>
      </c>
      <c r="S14" s="765">
        <f>IF((_xlfn.XLOOKUP(D14,RUC!$B$3:$B$119,RUC!$E$3:$E$119)+ROUNDDOWN(O14,1)*100)&lt;95,95,((_xlfn.XLOOKUP(D14,RUC!$B$3:$B$119,RUC!$E$3:$E$119)+ROUNDDOWN(O14,1)*100)))</f>
        <v>125</v>
      </c>
      <c r="U14" s="1146">
        <f>_xlfn.XLOOKUP(D14,RUC!$B$3:$B$123,RUC!$F$3:$F$123)</f>
        <v>120</v>
      </c>
      <c r="V14" s="715">
        <v>1.1023000000000001</v>
      </c>
      <c r="Y14" s="891">
        <v>80</v>
      </c>
      <c r="Z14" s="1454">
        <v>35</v>
      </c>
      <c r="AA14" s="144">
        <f t="shared" si="2"/>
        <v>115</v>
      </c>
      <c r="AB14" s="145">
        <f t="shared" si="12"/>
        <v>1245.5507765795999</v>
      </c>
      <c r="AC14" s="145">
        <f>+(S14-T14)*V14-'data 1'!$F$4</f>
        <v>57.787499999999994</v>
      </c>
      <c r="AD14" s="145">
        <f t="shared" si="3"/>
        <v>-294.52428268390406</v>
      </c>
      <c r="AE14" s="145">
        <f t="shared" si="4"/>
        <v>56.764499999999998</v>
      </c>
      <c r="AF14" s="145">
        <f t="shared" si="5"/>
        <v>65.309101264400056</v>
      </c>
      <c r="AG14" s="772">
        <f t="shared" si="13"/>
        <v>-97.663181419504014</v>
      </c>
      <c r="AH14" s="1253">
        <f t="shared" si="6"/>
        <v>68.619</v>
      </c>
      <c r="AI14" s="1253">
        <f t="shared" si="7"/>
        <v>115.366</v>
      </c>
      <c r="AJ14" s="156">
        <f t="shared" si="8"/>
        <v>44.09731361510412</v>
      </c>
      <c r="AK14" s="156">
        <f t="shared" si="9"/>
        <v>79.972132298402499</v>
      </c>
      <c r="AL14" s="88"/>
      <c r="AM14" s="716">
        <f t="shared" si="10"/>
        <v>8449.8164683160048</v>
      </c>
      <c r="AN14" s="716" t="str">
        <f>_xlfn.XLOOKUP(D14,RUC!$B$3:$B$578,RUC!$M$3:$M$578)</f>
        <v>Ronald Miranda</v>
      </c>
      <c r="AO14" s="1167" t="s">
        <v>2277</v>
      </c>
      <c r="AP14" t="s">
        <v>3241</v>
      </c>
      <c r="AQ14" t="s">
        <v>3242</v>
      </c>
      <c r="AR14" s="1516" t="s">
        <v>3359</v>
      </c>
      <c r="AV14" s="1232" t="s">
        <v>2518</v>
      </c>
      <c r="AW14" s="1234">
        <f t="shared" si="14"/>
        <v>0</v>
      </c>
      <c r="AX14" s="1234" cm="1">
        <f t="array" ref="AX14">+SUMPRODUCT(IF($AO$4:$AO$1503=AV14,$L$4:$L$1503*$K$4:$K$1503/AW14))</f>
        <v>0</v>
      </c>
      <c r="AY14" s="1235">
        <f t="shared" si="18"/>
        <v>0</v>
      </c>
      <c r="AZ14" s="1236" cm="1">
        <f t="array" ref="AZ14">+SUMPRODUCT(IF('31'!$AO$4:$AO$1395=AV14,('31'!$Q$4:$Q$1395*'31'!$AH$4:$AH$1395)/SUMIF('31'!$AO$4:$AO$1395,#REF!,'31'!$AH$4:$AH$1395)))</f>
        <v>0</v>
      </c>
      <c r="BA14" s="1237">
        <f t="shared" si="16"/>
        <v>0</v>
      </c>
      <c r="BB14" s="1237">
        <f t="shared" si="15"/>
        <v>0</v>
      </c>
      <c r="BC14" s="1236">
        <f t="shared" si="19"/>
        <v>521.78936243076657</v>
      </c>
      <c r="BD14" s="1238">
        <f t="shared" si="20"/>
        <v>507.57999999999993</v>
      </c>
    </row>
    <row r="15" spans="1:56" ht="15" customHeight="1">
      <c r="A15" s="747" t="s">
        <v>3232</v>
      </c>
      <c r="B15" s="1447">
        <v>45961</v>
      </c>
      <c r="C15" s="1447">
        <v>45956</v>
      </c>
      <c r="D15" t="s">
        <v>1967</v>
      </c>
      <c r="E15" s="762">
        <f>_xlfn.XLOOKUP(D15,RUC!$B$3:$B$123,RUC!$D$3:$D$123)</f>
        <v>20601769396</v>
      </c>
      <c r="G15" s="1082">
        <v>50</v>
      </c>
      <c r="H15" s="762" t="s">
        <v>108</v>
      </c>
      <c r="I15" s="703">
        <v>4.53</v>
      </c>
      <c r="J15" s="596">
        <v>13.45</v>
      </c>
      <c r="K15" s="703">
        <f t="shared" si="0"/>
        <v>3.9209999999999998</v>
      </c>
      <c r="L15" s="762">
        <v>0.56899999999999995</v>
      </c>
      <c r="M15" s="762">
        <v>0.54100000000000004</v>
      </c>
      <c r="N15" s="1196">
        <f t="shared" si="17"/>
        <v>0.54100000000000004</v>
      </c>
      <c r="O15" s="645">
        <f t="shared" si="11"/>
        <v>0.54100000000000004</v>
      </c>
      <c r="P15" s="727">
        <v>90</v>
      </c>
      <c r="Q15" s="1476">
        <v>93.32</v>
      </c>
      <c r="R15" s="706">
        <v>3970.8</v>
      </c>
      <c r="S15" s="765">
        <f>IF((_xlfn.XLOOKUP(D15,RUC!$B$3:$B$119,RUC!$E$3:$E$119)+ROUNDDOWN(O15,1)*100)&lt;95,95,((_xlfn.XLOOKUP(D15,RUC!$B$3:$B$119,RUC!$E$3:$E$119)+ROUNDDOWN(O15,1)*100)))</f>
        <v>140</v>
      </c>
      <c r="U15" s="1146">
        <f>_xlfn.XLOOKUP(D15,RUC!$B$3:$B$123,RUC!$F$3:$F$123)</f>
        <v>120</v>
      </c>
      <c r="V15" s="715">
        <v>1.1023000000000001</v>
      </c>
      <c r="Y15">
        <f>_xlfn.XLOOKUP(D15,RUC!$B$3:$B$123,RUC!$G$3:$G$123)</f>
        <v>20</v>
      </c>
      <c r="Z15" s="143">
        <f>_xlfn.XLOOKUP(D15,RUC!$B$3:$B$123,RUC!$H$3:$H$123)</f>
        <v>30</v>
      </c>
      <c r="AA15" s="144">
        <f t="shared" si="2"/>
        <v>50</v>
      </c>
      <c r="AB15" s="145">
        <f t="shared" si="12"/>
        <v>1857.3253673960003</v>
      </c>
      <c r="AC15" s="145">
        <f>+(S15-T15)*V15-'data 1'!$F$4</f>
        <v>74.322000000000003</v>
      </c>
      <c r="AD15" s="145">
        <f t="shared" si="3"/>
        <v>80.18647469707183</v>
      </c>
      <c r="AE15" s="145">
        <f t="shared" si="4"/>
        <v>-14.884999999999998</v>
      </c>
      <c r="AF15" s="145">
        <f t="shared" si="5"/>
        <v>110.91327573446365</v>
      </c>
      <c r="AG15" s="772">
        <f t="shared" si="13"/>
        <v>267.53675043153549</v>
      </c>
      <c r="AH15" s="1253">
        <f t="shared" si="6"/>
        <v>71.382999999999996</v>
      </c>
      <c r="AI15" s="1253">
        <f t="shared" si="7"/>
        <v>76.492000000000004</v>
      </c>
      <c r="AJ15" s="156">
        <f t="shared" si="8"/>
        <v>157.56576395972789</v>
      </c>
      <c r="AK15" s="156">
        <f t="shared" si="9"/>
        <v>65.455430886297947</v>
      </c>
      <c r="AL15" s="88"/>
      <c r="AM15" s="716">
        <f t="shared" si="10"/>
        <v>7282.5727655597166</v>
      </c>
      <c r="AN15" s="716" t="str">
        <f>_xlfn.XLOOKUP(D15,RUC!$B$3:$B$578,RUC!$M$3:$M$578)</f>
        <v>Evelyn</v>
      </c>
      <c r="AO15" s="1167" t="s">
        <v>2280</v>
      </c>
      <c r="AP15" t="s">
        <v>3243</v>
      </c>
      <c r="AQ15" t="s">
        <v>3244</v>
      </c>
      <c r="AV15" s="1232" t="s">
        <v>2519</v>
      </c>
      <c r="AW15" s="1234">
        <f t="shared" si="14"/>
        <v>0</v>
      </c>
      <c r="AX15" s="1234" cm="1">
        <f t="array" ref="AX15">+SUMPRODUCT(IF($AO$4:$AO$1503=AV15,$L$4:$L$1503*$K$4:$K$1503/AW15))</f>
        <v>0</v>
      </c>
      <c r="AY15" s="1235">
        <f t="shared" si="18"/>
        <v>0</v>
      </c>
      <c r="AZ15" s="1236" cm="1">
        <f t="array" ref="AZ15">+SUMPRODUCT(IF('31'!$AO$4:$AO$1395=AV15,('31'!$Q$4:$Q$1395*'31'!$AH$4:$AH$1395)/SUMIF('31'!$AO$4:$AO$1395,#REF!,'31'!$AH$4:$AH$1395)))</f>
        <v>0</v>
      </c>
      <c r="BA15" s="1237">
        <f t="shared" si="16"/>
        <v>0</v>
      </c>
      <c r="BB15" s="1237">
        <f t="shared" si="15"/>
        <v>0</v>
      </c>
      <c r="BC15" s="1236">
        <f t="shared" si="19"/>
        <v>521.78936243076657</v>
      </c>
      <c r="BD15" s="1238">
        <f t="shared" si="20"/>
        <v>507.57999999999993</v>
      </c>
    </row>
    <row r="16" spans="1:56" ht="15" customHeight="1">
      <c r="A16" s="747" t="s">
        <v>3233</v>
      </c>
      <c r="B16" s="1447">
        <v>45961</v>
      </c>
      <c r="C16" s="1447">
        <v>45956</v>
      </c>
      <c r="D16" t="s">
        <v>1967</v>
      </c>
      <c r="E16" s="762">
        <f>_xlfn.XLOOKUP(D16,RUC!$B$3:$B$123,RUC!$D$3:$D$123)</f>
        <v>20601769396</v>
      </c>
      <c r="G16" s="1082">
        <v>50</v>
      </c>
      <c r="H16" s="762" t="s">
        <v>108</v>
      </c>
      <c r="I16" s="703">
        <v>4.4000000000000004</v>
      </c>
      <c r="J16" s="596">
        <v>11.45</v>
      </c>
      <c r="K16" s="703">
        <f t="shared" si="0"/>
        <v>3.8959999999999999</v>
      </c>
      <c r="L16" s="762">
        <v>0.32900000000000001</v>
      </c>
      <c r="M16" s="762">
        <v>0.313</v>
      </c>
      <c r="N16" s="1444">
        <v>0.39</v>
      </c>
      <c r="O16" s="645">
        <f t="shared" si="11"/>
        <v>0.35199999999999998</v>
      </c>
      <c r="P16" s="727">
        <v>90</v>
      </c>
      <c r="Q16" s="1476">
        <v>91.19</v>
      </c>
      <c r="R16" s="706">
        <v>3970.8</v>
      </c>
      <c r="S16" s="765">
        <f>IF((_xlfn.XLOOKUP(D16,RUC!$B$3:$B$119,RUC!$E$3:$E$119)+ROUNDDOWN(O16,1)*100)&lt;95,95,((_xlfn.XLOOKUP(D16,RUC!$B$3:$B$119,RUC!$E$3:$E$119)+ROUNDDOWN(O16,1)*100)))</f>
        <v>120</v>
      </c>
      <c r="U16" s="1146">
        <f>_xlfn.XLOOKUP(D16,RUC!$B$3:$B$123,RUC!$F$3:$F$123)</f>
        <v>120</v>
      </c>
      <c r="V16" s="715">
        <v>1.1023000000000001</v>
      </c>
      <c r="Y16" s="1454">
        <f>_xlfn.XLOOKUP(D16,RUC!$B$3:$B$123,RUC!$G$3:$G$123)+20</f>
        <v>40</v>
      </c>
      <c r="Z16" s="143">
        <f>_xlfn.XLOOKUP(D16,RUC!$B$3:$B$123,RUC!$H$3:$H$123)</f>
        <v>30</v>
      </c>
      <c r="AA16" s="144">
        <f t="shared" si="2"/>
        <v>70</v>
      </c>
      <c r="AB16" s="145">
        <f t="shared" si="12"/>
        <v>1135.295630912</v>
      </c>
      <c r="AC16" s="145">
        <f>+(S16-T16)*V16-'data 1'!$F$4</f>
        <v>52.27600000000001</v>
      </c>
      <c r="AD16" s="145">
        <f t="shared" si="3"/>
        <v>16.618569202283968</v>
      </c>
      <c r="AE16" s="145">
        <f t="shared" si="4"/>
        <v>7.1610000000000014</v>
      </c>
      <c r="AF16" s="145">
        <f t="shared" si="5"/>
        <v>-89.027837061107874</v>
      </c>
      <c r="AG16" s="772">
        <f t="shared" si="13"/>
        <v>4.0277321411761022</v>
      </c>
      <c r="AH16" s="1253">
        <f t="shared" si="6"/>
        <v>40.075000000000003</v>
      </c>
      <c r="AI16" s="1253">
        <f t="shared" si="7"/>
        <v>43.945999999999998</v>
      </c>
      <c r="AJ16" s="156">
        <f t="shared" si="8"/>
        <v>89.026228761315949</v>
      </c>
      <c r="AK16" s="156">
        <f t="shared" si="9"/>
        <v>42.316836199799035</v>
      </c>
      <c r="AL16" s="88"/>
      <c r="AM16" s="716">
        <f t="shared" si="10"/>
        <v>4423.1117780331515</v>
      </c>
      <c r="AN16" s="716" t="str">
        <f>_xlfn.XLOOKUP(D16,RUC!$B$3:$B$578,RUC!$M$3:$M$578)</f>
        <v>Evelyn</v>
      </c>
      <c r="AO16" s="1167" t="s">
        <v>2280</v>
      </c>
      <c r="AP16" t="s">
        <v>3243</v>
      </c>
      <c r="AQ16" t="s">
        <v>3244</v>
      </c>
      <c r="AV16" s="1232" t="s">
        <v>2520</v>
      </c>
      <c r="AW16" s="1234">
        <f t="shared" si="14"/>
        <v>0</v>
      </c>
      <c r="AX16" s="1234" cm="1">
        <f t="array" ref="AX16">+SUMPRODUCT(IF($AO$4:$AO$1503=AV16,$L$4:$L$1503*$K$4:$K$1503/AW16))</f>
        <v>0</v>
      </c>
      <c r="AY16" s="1235">
        <f t="shared" si="18"/>
        <v>0</v>
      </c>
      <c r="AZ16" s="1236" cm="1">
        <f t="array" ref="AZ16">+SUMPRODUCT(IF('31'!$AO$4:$AO$1395=AV16,('31'!$Q$4:$Q$1395*'31'!$AH$4:$AH$1395)/SUMIF('31'!$AO$4:$AO$1395,#REF!,'31'!$AH$4:$AH$1395)))</f>
        <v>0</v>
      </c>
      <c r="BA16" s="1237">
        <f t="shared" si="16"/>
        <v>0</v>
      </c>
      <c r="BB16" s="1237">
        <f t="shared" si="15"/>
        <v>0</v>
      </c>
      <c r="BC16" s="1236">
        <f t="shared" si="19"/>
        <v>521.78936243076657</v>
      </c>
      <c r="BD16" s="1238">
        <f t="shared" si="20"/>
        <v>507.57999999999993</v>
      </c>
    </row>
    <row r="17" spans="1:56" ht="15" customHeight="1" thickBot="1">
      <c r="A17" s="747" t="s">
        <v>3257</v>
      </c>
      <c r="B17" s="1447">
        <v>45967</v>
      </c>
      <c r="C17" s="1447">
        <v>45958</v>
      </c>
      <c r="D17" s="665" t="s">
        <v>93</v>
      </c>
      <c r="E17" s="762">
        <f>_xlfn.XLOOKUP(D17,RUC!$B$3:$B$123,RUC!$D$3:$D$123)</f>
        <v>20169040231</v>
      </c>
      <c r="G17" s="1082">
        <v>53</v>
      </c>
      <c r="H17" s="762" t="s">
        <v>116</v>
      </c>
      <c r="I17" s="703">
        <v>5.29</v>
      </c>
      <c r="J17" s="596">
        <v>2.65</v>
      </c>
      <c r="K17" s="703">
        <f t="shared" si="0"/>
        <v>5.15</v>
      </c>
      <c r="L17" s="762">
        <v>0.14099999999999999</v>
      </c>
      <c r="M17" s="762">
        <v>0.126</v>
      </c>
      <c r="N17" s="1515">
        <f>+M17+0.1</f>
        <v>0.22600000000000001</v>
      </c>
      <c r="O17" s="645">
        <f t="shared" si="11"/>
        <v>0.17599999999999999</v>
      </c>
      <c r="P17" s="727">
        <v>85</v>
      </c>
      <c r="Q17" s="1476">
        <v>97.16</v>
      </c>
      <c r="R17" s="1503">
        <v>3948.5</v>
      </c>
      <c r="S17" s="765">
        <f>IF((_xlfn.XLOOKUP(D17,RUC!$B$3:$B$119,RUC!$E$3:$E$119)+ROUNDDOWN(O17,1)*100)&lt;95,95,((_xlfn.XLOOKUP(D17,RUC!$B$3:$B$119,RUC!$E$3:$E$119)+ROUNDDOWN(O17,1)*100)))</f>
        <v>95</v>
      </c>
      <c r="U17" s="1146">
        <f>_xlfn.XLOOKUP(D17,RUC!$B$3:$B$123,RUC!$F$3:$F$123)</f>
        <v>120</v>
      </c>
      <c r="V17" s="715">
        <v>1.1023000000000001</v>
      </c>
      <c r="Y17" s="891">
        <v>30</v>
      </c>
      <c r="Z17" s="1454">
        <v>35</v>
      </c>
      <c r="AA17" s="144">
        <f t="shared" si="2"/>
        <v>65</v>
      </c>
      <c r="AB17" s="145">
        <f t="shared" ref="AB17:AB28" si="21">+((O17*P17*(R17-U17)/100)-S17-AA17+T17)*V17</f>
        <v>454.96727027999992</v>
      </c>
      <c r="AC17" s="145">
        <f>+(S17-T17)*V17-'data 1'!$F$4</f>
        <v>24.718500000000006</v>
      </c>
      <c r="AD17" s="145">
        <f t="shared" si="3"/>
        <v>72.357098998079977</v>
      </c>
      <c r="AE17" s="145">
        <f t="shared" si="4"/>
        <v>1.6495000000000033</v>
      </c>
      <c r="AF17" s="145">
        <f t="shared" si="5"/>
        <v>-143.51060963330002</v>
      </c>
      <c r="AG17" s="772">
        <f t="shared" ref="AG17:AG29" si="22">AC17+AD17+AE17+AF17+70-53</f>
        <v>-27.785510635220035</v>
      </c>
      <c r="AH17" s="1253">
        <f t="shared" si="6"/>
        <v>24.189</v>
      </c>
      <c r="AI17" s="1253">
        <f t="shared" si="7"/>
        <v>24.896000000000001</v>
      </c>
      <c r="AJ17" s="156">
        <f t="shared" si="8"/>
        <v>44.019487840019991</v>
      </c>
      <c r="AK17" s="156">
        <f t="shared" si="9"/>
        <v>26.414834369242001</v>
      </c>
      <c r="AL17" s="88"/>
      <c r="AM17" s="716">
        <f t="shared" si="10"/>
        <v>2343.0814419419999</v>
      </c>
      <c r="AN17" s="716" t="str">
        <f>_xlfn.XLOOKUP(D17,RUC!$B$3:$B$578,RUC!$M$3:$M$578)</f>
        <v>Ronald Miranda</v>
      </c>
      <c r="AO17" s="1167" t="s">
        <v>2278</v>
      </c>
      <c r="AP17" t="s">
        <v>3282</v>
      </c>
      <c r="AQ17" t="s">
        <v>3066</v>
      </c>
      <c r="AV17" s="1239" t="s">
        <v>2521</v>
      </c>
      <c r="AW17" s="1254">
        <f t="shared" si="14"/>
        <v>0</v>
      </c>
      <c r="AX17" s="1254" cm="1">
        <f t="array" ref="AX17">+SUMPRODUCT(IF('31'!$AO$4:$AO$1395=AV17,'31'!$L$4:$L$1395*'31'!$K$4:$K$1395/AW17))</f>
        <v>0</v>
      </c>
      <c r="AY17" s="1241">
        <f t="shared" si="18"/>
        <v>0</v>
      </c>
      <c r="AZ17" s="1242" cm="1">
        <f t="array" ref="AZ17">+SUMPRODUCT(IF('31'!$AO$4:$AO$1395=AV17,('31'!$Q$4:$Q$1395*'31'!$AH$4:$AH$1395)/SUMIF('31'!$AO$4:$AO$1395,#REF!,'31'!$AH$4:$AH$1395)))</f>
        <v>0</v>
      </c>
      <c r="BA17" s="1243">
        <f t="shared" si="16"/>
        <v>0</v>
      </c>
      <c r="BB17" s="1243">
        <f t="shared" si="15"/>
        <v>0</v>
      </c>
      <c r="BC17" s="1242">
        <f t="shared" si="19"/>
        <v>521.78936243076657</v>
      </c>
      <c r="BD17" s="1436">
        <f t="shared" si="20"/>
        <v>507.57999999999993</v>
      </c>
    </row>
    <row r="18" spans="1:56" ht="15" customHeight="1">
      <c r="A18" s="747" t="s">
        <v>3258</v>
      </c>
      <c r="B18" s="1447">
        <v>45967</v>
      </c>
      <c r="C18" s="1447">
        <v>45958</v>
      </c>
      <c r="D18" s="665" t="s">
        <v>93</v>
      </c>
      <c r="E18" s="762">
        <f>_xlfn.XLOOKUP(D18,RUC!$B$3:$B$123,RUC!$D$3:$D$123)</f>
        <v>20169040231</v>
      </c>
      <c r="G18" s="1082">
        <v>23</v>
      </c>
      <c r="H18" s="762" t="s">
        <v>116</v>
      </c>
      <c r="I18" s="703">
        <v>2.38</v>
      </c>
      <c r="J18" s="596">
        <v>3.65</v>
      </c>
      <c r="K18" s="703">
        <f t="shared" si="0"/>
        <v>2.2930000000000001</v>
      </c>
      <c r="L18" s="762">
        <v>0.248</v>
      </c>
      <c r="M18" s="762">
        <v>0.23300000000000001</v>
      </c>
      <c r="N18" s="1444">
        <v>0.27100000000000002</v>
      </c>
      <c r="O18" s="645">
        <f t="shared" si="11"/>
        <v>0.252</v>
      </c>
      <c r="P18" s="727">
        <v>90</v>
      </c>
      <c r="Q18" s="1476">
        <v>93.55</v>
      </c>
      <c r="R18" s="1503">
        <v>3948.5</v>
      </c>
      <c r="S18" s="765">
        <f>IF((_xlfn.XLOOKUP(D18,RUC!$B$3:$B$119,RUC!$E$3:$E$119)+ROUNDDOWN(O18,1)*100)&lt;95,95,((_xlfn.XLOOKUP(D18,RUC!$B$3:$B$119,RUC!$E$3:$E$119)+ROUNDDOWN(O18,1)*100)))</f>
        <v>105</v>
      </c>
      <c r="U18" s="1146">
        <f>_xlfn.XLOOKUP(D18,RUC!$B$3:$B$123,RUC!$F$3:$F$123)</f>
        <v>120</v>
      </c>
      <c r="V18" s="715">
        <v>1.1023000000000001</v>
      </c>
      <c r="Y18">
        <f>_xlfn.XLOOKUP(D18,RUC!$B$3:$B$123,RUC!$G$3:$G$123)</f>
        <v>20</v>
      </c>
      <c r="Z18" s="1454">
        <v>35</v>
      </c>
      <c r="AA18" s="144">
        <f t="shared" si="2"/>
        <v>55</v>
      </c>
      <c r="AB18" s="145">
        <f t="shared" si="21"/>
        <v>780.76327874000003</v>
      </c>
      <c r="AC18" s="145">
        <f>+(S18-T18)*V18-'data 1'!$F$4</f>
        <v>35.741500000000002</v>
      </c>
      <c r="AD18" s="145">
        <f t="shared" si="3"/>
        <v>37.154249462199971</v>
      </c>
      <c r="AE18" s="145">
        <f t="shared" si="4"/>
        <v>-9.3734999999999999</v>
      </c>
      <c r="AF18" s="145">
        <f t="shared" si="5"/>
        <v>-15.791822068100014</v>
      </c>
      <c r="AG18" s="772">
        <f t="shared" si="22"/>
        <v>64.730427394099962</v>
      </c>
      <c r="AH18" s="1253">
        <f t="shared" si="6"/>
        <v>18.239000000000001</v>
      </c>
      <c r="AI18" s="1253">
        <f t="shared" si="7"/>
        <v>19.497</v>
      </c>
      <c r="AJ18" s="156">
        <f t="shared" si="8"/>
        <v>74.547629681800004</v>
      </c>
      <c r="AK18" s="156">
        <f t="shared" si="9"/>
        <v>17.830198340333823</v>
      </c>
      <c r="AL18" s="88"/>
      <c r="AM18" s="716">
        <f t="shared" si="10"/>
        <v>1790.2901981508203</v>
      </c>
      <c r="AN18" s="716" t="str">
        <f>_xlfn.XLOOKUP(D18,RUC!$B$3:$B$578,RUC!$M$3:$M$578)</f>
        <v>Ronald Miranda</v>
      </c>
      <c r="AO18" s="1167" t="s">
        <v>2278</v>
      </c>
      <c r="AP18" t="s">
        <v>3282</v>
      </c>
      <c r="AQ18" t="s">
        <v>3066</v>
      </c>
    </row>
    <row r="19" spans="1:56" ht="15" customHeight="1" thickBot="1">
      <c r="A19" s="747" t="s">
        <v>3266</v>
      </c>
      <c r="B19" s="1447">
        <v>45965</v>
      </c>
      <c r="C19" s="1447">
        <v>45958</v>
      </c>
      <c r="D19" s="665" t="s">
        <v>93</v>
      </c>
      <c r="E19" s="762">
        <f>_xlfn.XLOOKUP(D19,RUC!$B$3:$B$123,RUC!$D$3:$D$123)</f>
        <v>20169040231</v>
      </c>
      <c r="G19" s="1082">
        <v>77</v>
      </c>
      <c r="H19" s="762" t="s">
        <v>69</v>
      </c>
      <c r="I19" s="703">
        <v>7.38</v>
      </c>
      <c r="J19" s="596">
        <v>1.65</v>
      </c>
      <c r="K19" s="703">
        <f t="shared" si="0"/>
        <v>7.258</v>
      </c>
      <c r="L19" s="762">
        <v>0.53300000000000003</v>
      </c>
      <c r="M19" s="994">
        <v>0.50600000000000001</v>
      </c>
      <c r="N19" s="1444">
        <v>0.54100000000000004</v>
      </c>
      <c r="O19" s="645">
        <f t="shared" si="11"/>
        <v>0.52400000000000002</v>
      </c>
      <c r="P19" s="727">
        <v>90</v>
      </c>
      <c r="Q19" s="1476">
        <v>97.56</v>
      </c>
      <c r="R19" s="1503">
        <v>3948.5</v>
      </c>
      <c r="S19" s="765">
        <f>IF((_xlfn.XLOOKUP(D19,RUC!$B$3:$B$119,RUC!$E$3:$E$119)+ROUNDDOWN(O19,1)*100)&lt;95,95,((_xlfn.XLOOKUP(D19,RUC!$B$3:$B$119,RUC!$E$3:$E$119)+ROUNDDOWN(O19,1)*100)))</f>
        <v>135</v>
      </c>
      <c r="U19" s="1146">
        <f>_xlfn.XLOOKUP(D19,RUC!$B$3:$B$123,RUC!$F$3:$F$123)</f>
        <v>120</v>
      </c>
      <c r="V19" s="715">
        <v>1.1023000000000001</v>
      </c>
      <c r="Y19" s="891">
        <v>30</v>
      </c>
      <c r="Z19" s="1454">
        <v>35</v>
      </c>
      <c r="AA19" s="144">
        <f t="shared" si="2"/>
        <v>65</v>
      </c>
      <c r="AB19" s="145">
        <f t="shared" si="21"/>
        <v>1769.7653573800003</v>
      </c>
      <c r="AC19" s="145">
        <f>+(S19-T19)*V19-'data 1'!$F$4</f>
        <v>68.810500000000019</v>
      </c>
      <c r="AD19" s="145">
        <f t="shared" si="3"/>
        <v>170.05032385614007</v>
      </c>
      <c r="AE19" s="145">
        <f t="shared" si="4"/>
        <v>1.6495000000000033</v>
      </c>
      <c r="AF19" s="145">
        <f t="shared" si="5"/>
        <v>37.054653791220041</v>
      </c>
      <c r="AG19" s="772">
        <f t="shared" si="22"/>
        <v>294.56497764736014</v>
      </c>
      <c r="AH19" s="1253">
        <f t="shared" si="6"/>
        <v>129.39699999999999</v>
      </c>
      <c r="AI19" s="1253">
        <f t="shared" si="7"/>
        <v>132.63399999999999</v>
      </c>
      <c r="AJ19" s="156">
        <f t="shared" si="8"/>
        <v>167.08496313366001</v>
      </c>
      <c r="AK19" s="156">
        <f t="shared" si="9"/>
        <v>117.35452219379003</v>
      </c>
      <c r="AL19" s="88"/>
      <c r="AM19" s="716">
        <f t="shared" si="10"/>
        <v>12844.956963864042</v>
      </c>
      <c r="AN19" s="716" t="str">
        <f>_xlfn.XLOOKUP(D19,RUC!$B$3:$B$578,RUC!$M$3:$M$578)</f>
        <v>Ronald Miranda</v>
      </c>
      <c r="AO19" s="1167" t="s">
        <v>2277</v>
      </c>
      <c r="AP19" t="s">
        <v>3284</v>
      </c>
      <c r="AQ19" t="s">
        <v>3285</v>
      </c>
    </row>
    <row r="20" spans="1:56" ht="15" customHeight="1" thickBot="1">
      <c r="A20" s="747" t="s">
        <v>3267</v>
      </c>
      <c r="B20" s="1447">
        <v>45965</v>
      </c>
      <c r="C20" s="1447">
        <v>45958</v>
      </c>
      <c r="D20" s="665" t="s">
        <v>93</v>
      </c>
      <c r="E20" s="762">
        <f>_xlfn.XLOOKUP(D20,RUC!$B$3:$B$123,RUC!$D$3:$D$123)</f>
        <v>20169040231</v>
      </c>
      <c r="G20" s="1082">
        <v>80</v>
      </c>
      <c r="H20" s="762" t="s">
        <v>69</v>
      </c>
      <c r="I20" s="703">
        <v>6.86</v>
      </c>
      <c r="J20" s="596">
        <v>1.5</v>
      </c>
      <c r="K20" s="703">
        <f t="shared" si="0"/>
        <v>6.7569999999999997</v>
      </c>
      <c r="L20" s="762">
        <v>0.78800000000000003</v>
      </c>
      <c r="M20" s="994">
        <v>0.749</v>
      </c>
      <c r="N20" s="1515">
        <f>M20+0.1</f>
        <v>0.84899999999999998</v>
      </c>
      <c r="O20" s="645">
        <f t="shared" si="11"/>
        <v>0.79900000000000004</v>
      </c>
      <c r="P20" s="727">
        <v>80</v>
      </c>
      <c r="Q20" s="1476">
        <v>81.47</v>
      </c>
      <c r="R20" s="1503">
        <v>3948.5</v>
      </c>
      <c r="S20" s="765">
        <f>IF((_xlfn.XLOOKUP(D20,RUC!$B$3:$B$119,RUC!$E$3:$E$119)+ROUNDDOWN(O20,1)*100)&lt;95,95,((_xlfn.XLOOKUP(D20,RUC!$B$3:$B$119,RUC!$E$3:$E$119)+ROUNDDOWN(O20,1)*100)))</f>
        <v>155</v>
      </c>
      <c r="U20" s="1146">
        <f>_xlfn.XLOOKUP(D20,RUC!$B$3:$B$123,RUC!$F$3:$F$123)</f>
        <v>120</v>
      </c>
      <c r="V20" s="715">
        <v>1.1023000000000001</v>
      </c>
      <c r="Y20" s="891">
        <v>30</v>
      </c>
      <c r="Z20" s="1454">
        <v>35</v>
      </c>
      <c r="AA20" s="144">
        <f t="shared" si="2"/>
        <v>65</v>
      </c>
      <c r="AB20" s="145">
        <f t="shared" si="21"/>
        <v>2455.0174275600002</v>
      </c>
      <c r="AC20" s="145">
        <f>+(S20-T20)*V20-'data 1'!$F$4</f>
        <v>90.856500000000011</v>
      </c>
      <c r="AD20" s="145">
        <f t="shared" si="3"/>
        <v>48.884593828979966</v>
      </c>
      <c r="AE20" s="145">
        <f t="shared" si="4"/>
        <v>1.6495000000000033</v>
      </c>
      <c r="AF20" s="145">
        <f t="shared" si="5"/>
        <v>-37.819767992435033</v>
      </c>
      <c r="AG20" s="772">
        <f t="shared" si="22"/>
        <v>120.57082583654497</v>
      </c>
      <c r="AH20" s="1253">
        <f t="shared" si="6"/>
        <v>148.726</v>
      </c>
      <c r="AI20" s="1253">
        <f t="shared" si="7"/>
        <v>182.553</v>
      </c>
      <c r="AJ20" s="156">
        <f t="shared" si="8"/>
        <v>206.28245924462001</v>
      </c>
      <c r="AK20" s="156">
        <f t="shared" si="9"/>
        <v>148.08114182082093</v>
      </c>
      <c r="AL20" s="88"/>
      <c r="AM20" s="716">
        <f t="shared" si="10"/>
        <v>16588.552758022921</v>
      </c>
      <c r="AN20" s="716" t="str">
        <f>_xlfn.XLOOKUP(D20,RUC!$B$3:$B$578,RUC!$M$3:$M$578)</f>
        <v>Ronald Miranda</v>
      </c>
      <c r="AO20" s="1167" t="s">
        <v>2278</v>
      </c>
      <c r="AP20" t="s">
        <v>3284</v>
      </c>
      <c r="AQ20" t="s">
        <v>3285</v>
      </c>
      <c r="AV20" s="1982" t="s">
        <v>3372</v>
      </c>
      <c r="AW20" s="1983"/>
      <c r="AX20" s="1983"/>
      <c r="AY20" s="1983"/>
      <c r="AZ20" s="1983"/>
      <c r="BA20" s="1984"/>
    </row>
    <row r="21" spans="1:56" ht="15" customHeight="1">
      <c r="A21" s="747" t="s">
        <v>3268</v>
      </c>
      <c r="B21" s="1447">
        <v>45965</v>
      </c>
      <c r="C21" s="1447">
        <v>45958</v>
      </c>
      <c r="D21" s="665" t="s">
        <v>93</v>
      </c>
      <c r="E21" s="762">
        <f>_xlfn.XLOOKUP(D21,RUC!$B$3:$B$123,RUC!$D$3:$D$123)</f>
        <v>20169040231</v>
      </c>
      <c r="G21" s="1082">
        <v>97</v>
      </c>
      <c r="H21" s="762" t="s">
        <v>69</v>
      </c>
      <c r="I21" s="703">
        <v>8.23</v>
      </c>
      <c r="J21" s="596">
        <v>1.25</v>
      </c>
      <c r="K21" s="703">
        <f t="shared" si="0"/>
        <v>8.1270000000000007</v>
      </c>
      <c r="L21" s="762">
        <v>0.67700000000000005</v>
      </c>
      <c r="M21" s="994">
        <v>0.64300000000000002</v>
      </c>
      <c r="N21" s="1444">
        <v>0.72899999999999998</v>
      </c>
      <c r="O21" s="645">
        <f t="shared" si="11"/>
        <v>0.68600000000000005</v>
      </c>
      <c r="P21" s="727">
        <v>80</v>
      </c>
      <c r="Q21" s="1476">
        <v>76.069999999999993</v>
      </c>
      <c r="R21" s="1503">
        <v>3948.5</v>
      </c>
      <c r="S21" s="765">
        <f>IF((_xlfn.XLOOKUP(D21,RUC!$B$3:$B$119,RUC!$E$3:$E$119)+ROUNDDOWN(O21,1)*100)&lt;95,95,((_xlfn.XLOOKUP(D21,RUC!$B$3:$B$119,RUC!$E$3:$E$119)+ROUNDDOWN(O21,1)*100)))</f>
        <v>145</v>
      </c>
      <c r="U21" s="1146">
        <f>_xlfn.XLOOKUP(D21,RUC!$B$3:$B$123,RUC!$F$3:$F$123)</f>
        <v>120</v>
      </c>
      <c r="V21" s="715">
        <v>1.1023000000000001</v>
      </c>
      <c r="Y21" s="891">
        <v>30</v>
      </c>
      <c r="Z21" s="1454">
        <v>35</v>
      </c>
      <c r="AA21" s="144">
        <f t="shared" si="2"/>
        <v>65</v>
      </c>
      <c r="AB21" s="145">
        <f t="shared" si="21"/>
        <v>2084.5383658400001</v>
      </c>
      <c r="AC21" s="145">
        <f>+(S21-T21)*V21-'data 1'!$F$4</f>
        <v>79.833500000000015</v>
      </c>
      <c r="AD21" s="145">
        <f t="shared" si="3"/>
        <v>-112.28188057885519</v>
      </c>
      <c r="AE21" s="145">
        <f t="shared" si="4"/>
        <v>1.6495000000000033</v>
      </c>
      <c r="AF21" s="145">
        <f t="shared" si="5"/>
        <v>-28.892450941965027</v>
      </c>
      <c r="AG21" s="772">
        <f t="shared" si="22"/>
        <v>-42.691331520820199</v>
      </c>
      <c r="AH21" s="1253">
        <f t="shared" si="6"/>
        <v>143.49700000000001</v>
      </c>
      <c r="AI21" s="1253">
        <f t="shared" si="7"/>
        <v>188.637</v>
      </c>
      <c r="AJ21" s="156">
        <f t="shared" si="8"/>
        <v>165.47807169525498</v>
      </c>
      <c r="AK21" s="156">
        <f t="shared" si="9"/>
        <v>152.9161769568737</v>
      </c>
      <c r="AL21" s="88"/>
      <c r="AM21" s="716">
        <f t="shared" si="10"/>
        <v>16941.043299181682</v>
      </c>
      <c r="AN21" s="716" t="str">
        <f>_xlfn.XLOOKUP(D21,RUC!$B$3:$B$578,RUC!$M$3:$M$578)</f>
        <v>Ronald Miranda</v>
      </c>
      <c r="AO21" s="1167" t="s">
        <v>2278</v>
      </c>
      <c r="AP21" t="s">
        <v>3284</v>
      </c>
      <c r="AQ21" t="s">
        <v>3285</v>
      </c>
      <c r="BA21" s="1482">
        <f>SUM(BA23:BA32)</f>
        <v>2585.8045722520601</v>
      </c>
    </row>
    <row r="22" spans="1:56" ht="15" customHeight="1" thickBot="1">
      <c r="A22" s="747" t="s">
        <v>3269</v>
      </c>
      <c r="B22" s="1447">
        <v>45965</v>
      </c>
      <c r="C22" s="1447">
        <v>45958</v>
      </c>
      <c r="D22" s="665" t="s">
        <v>93</v>
      </c>
      <c r="E22" s="762">
        <f>_xlfn.XLOOKUP(D22,RUC!$B$3:$B$123,RUC!$D$3:$D$123)</f>
        <v>20169040231</v>
      </c>
      <c r="G22" s="1082">
        <v>50</v>
      </c>
      <c r="H22" s="762" t="s">
        <v>116</v>
      </c>
      <c r="I22" s="703">
        <v>5.07</v>
      </c>
      <c r="J22" s="596">
        <v>2.9</v>
      </c>
      <c r="K22" s="703">
        <f t="shared" si="0"/>
        <v>4.923</v>
      </c>
      <c r="L22" s="762">
        <v>0.28999999999999998</v>
      </c>
      <c r="M22" s="994">
        <v>0.27500000000000002</v>
      </c>
      <c r="N22" s="1196">
        <f>+M22</f>
        <v>0.27500000000000002</v>
      </c>
      <c r="O22" s="645">
        <f t="shared" si="11"/>
        <v>0.27500000000000002</v>
      </c>
      <c r="P22" s="727">
        <v>90</v>
      </c>
      <c r="Q22" s="1476">
        <v>93.79</v>
      </c>
      <c r="R22" s="1503">
        <v>3948.5</v>
      </c>
      <c r="S22" s="765">
        <f>IF((_xlfn.XLOOKUP(D22,RUC!$B$3:$B$119,RUC!$E$3:$E$119)+ROUNDDOWN(O22,1)*100)&lt;95,95,((_xlfn.XLOOKUP(D22,RUC!$B$3:$B$119,RUC!$E$3:$E$119)+ROUNDDOWN(O22,1)*100)))</f>
        <v>105</v>
      </c>
      <c r="U22" s="1146">
        <f>_xlfn.XLOOKUP(D22,RUC!$B$3:$B$123,RUC!$F$3:$F$123)</f>
        <v>120</v>
      </c>
      <c r="V22" s="715">
        <v>1.1023000000000001</v>
      </c>
      <c r="Y22">
        <f>_xlfn.XLOOKUP(D22,RUC!$B$3:$B$123,RUC!$G$3:$G$123)</f>
        <v>20</v>
      </c>
      <c r="Z22" s="1454">
        <v>35</v>
      </c>
      <c r="AA22" s="144">
        <f t="shared" si="2"/>
        <v>55</v>
      </c>
      <c r="AB22" s="145">
        <f t="shared" si="21"/>
        <v>868.12049862500021</v>
      </c>
      <c r="AC22" s="145">
        <f>+(S22-T22)*V22-'data 1'!$F$4</f>
        <v>35.741500000000002</v>
      </c>
      <c r="AD22" s="145">
        <f t="shared" si="3"/>
        <v>46.383729650050071</v>
      </c>
      <c r="AE22" s="145">
        <f t="shared" si="4"/>
        <v>-9.3734999999999999</v>
      </c>
      <c r="AF22" s="145">
        <f t="shared" si="5"/>
        <v>59.371258355174838</v>
      </c>
      <c r="AG22" s="772">
        <f t="shared" si="22"/>
        <v>149.1229880052249</v>
      </c>
      <c r="AH22" s="1253">
        <f t="shared" si="6"/>
        <v>45.908999999999999</v>
      </c>
      <c r="AI22" s="1253">
        <f t="shared" si="7"/>
        <v>48.948</v>
      </c>
      <c r="AJ22" s="156">
        <f t="shared" si="8"/>
        <v>87.396270515949993</v>
      </c>
      <c r="AK22" s="156">
        <f t="shared" si="9"/>
        <v>41.774773929112136</v>
      </c>
      <c r="AL22" s="88"/>
      <c r="AM22" s="716">
        <f t="shared" si="10"/>
        <v>4273.7572147308765</v>
      </c>
      <c r="AN22" s="716" t="str">
        <f>_xlfn.XLOOKUP(D22,RUC!$B$3:$B$578,RUC!$M$3:$M$578)</f>
        <v>Ronald Miranda</v>
      </c>
      <c r="AO22" s="1167" t="s">
        <v>2278</v>
      </c>
      <c r="AP22" t="s">
        <v>3284</v>
      </c>
      <c r="AQ22" t="s">
        <v>3285</v>
      </c>
      <c r="AV22" s="633"/>
      <c r="AW22" s="633" t="s">
        <v>15</v>
      </c>
      <c r="AX22" s="633" t="s">
        <v>2522</v>
      </c>
      <c r="AY22" s="633" t="s">
        <v>2558</v>
      </c>
      <c r="AZ22" s="1483" t="s">
        <v>2598</v>
      </c>
      <c r="BA22" s="633" t="s">
        <v>2559</v>
      </c>
    </row>
    <row r="23" spans="1:56" ht="15" customHeight="1">
      <c r="A23" s="747" t="s">
        <v>3280</v>
      </c>
      <c r="B23" s="1447">
        <v>45969</v>
      </c>
      <c r="C23" s="1447">
        <v>45958</v>
      </c>
      <c r="D23" t="s">
        <v>1484</v>
      </c>
      <c r="E23" s="762">
        <f>_xlfn.XLOOKUP(D23,RUC!$B$3:$B$123,RUC!$D$3:$D$123)</f>
        <v>10761932735</v>
      </c>
      <c r="G23" s="1082">
        <v>75</v>
      </c>
      <c r="H23" s="762" t="s">
        <v>69</v>
      </c>
      <c r="I23" s="703">
        <v>6.37</v>
      </c>
      <c r="J23" s="596">
        <v>8.65</v>
      </c>
      <c r="K23" s="703">
        <f t="shared" si="0"/>
        <v>5.819</v>
      </c>
      <c r="L23" s="762">
        <v>0.125</v>
      </c>
      <c r="M23" s="994">
        <v>0.11</v>
      </c>
      <c r="N23" s="1444">
        <v>0.17399999999999999</v>
      </c>
      <c r="O23" s="645">
        <f t="shared" si="11"/>
        <v>0.14199999999999999</v>
      </c>
      <c r="P23" s="727">
        <v>85</v>
      </c>
      <c r="Q23" s="1476">
        <v>92.8</v>
      </c>
      <c r="R23" s="1503">
        <v>3948.5</v>
      </c>
      <c r="S23" s="765">
        <f>IF((_xlfn.XLOOKUP(D23,RUC!$B$3:$B$119,RUC!$E$3:$E$119)+ROUNDDOWN(O23,1)*100)&lt;95,95,((_xlfn.XLOOKUP(D23,RUC!$B$3:$B$119,RUC!$E$3:$E$119)+ROUNDDOWN(O23,1)*100)))</f>
        <v>100</v>
      </c>
      <c r="U23" s="1146">
        <f>_xlfn.XLOOKUP(D23,RUC!$B$3:$B$123,RUC!$F$3:$F$123)</f>
        <v>120</v>
      </c>
      <c r="V23" s="715">
        <v>1.1023000000000001</v>
      </c>
      <c r="Y23" s="1517"/>
      <c r="Z23" s="143">
        <f>_xlfn.XLOOKUP(D23,RUC!$B$3:$B$123,RUC!$H$3:$H$123)</f>
        <v>30</v>
      </c>
      <c r="AA23" s="144">
        <f t="shared" si="2"/>
        <v>30</v>
      </c>
      <c r="AB23" s="145">
        <f t="shared" si="21"/>
        <v>366.07377488499998</v>
      </c>
      <c r="AC23" s="145">
        <f>+(S23-T23)*V23-'data 1'!$F$4</f>
        <v>30.230000000000004</v>
      </c>
      <c r="AD23" s="145">
        <f t="shared" si="3"/>
        <v>41.146516612499994</v>
      </c>
      <c r="AE23" s="145">
        <f t="shared" si="4"/>
        <v>-36.930999999999997</v>
      </c>
      <c r="AF23" s="145">
        <f t="shared" si="5"/>
        <v>-66.577173956799953</v>
      </c>
      <c r="AG23" s="772">
        <f t="shared" si="22"/>
        <v>-15.131657344299953</v>
      </c>
      <c r="AH23" s="1253">
        <f t="shared" si="6"/>
        <v>23.143000000000001</v>
      </c>
      <c r="AI23" s="1253">
        <f t="shared" si="7"/>
        <v>24.937999999999999</v>
      </c>
      <c r="AJ23" s="156">
        <f t="shared" si="8"/>
        <v>37.273172200000005</v>
      </c>
      <c r="AK23" s="156">
        <f t="shared" si="9"/>
        <v>24.080455438698063</v>
      </c>
      <c r="AL23" s="88"/>
      <c r="AM23" s="716">
        <f t="shared" si="10"/>
        <v>2130.1832960558149</v>
      </c>
      <c r="AN23" s="716" t="str">
        <f>_xlfn.XLOOKUP(D23,RUC!$B$3:$B$578,RUC!$M$3:$M$578)</f>
        <v>Richard Sapacayo</v>
      </c>
      <c r="AO23" s="1167" t="s">
        <v>2277</v>
      </c>
      <c r="AP23" t="s">
        <v>3286</v>
      </c>
      <c r="AQ23" t="s">
        <v>3287</v>
      </c>
      <c r="AR23" t="s">
        <v>3376</v>
      </c>
      <c r="AV23" s="1225" t="s">
        <v>2277</v>
      </c>
      <c r="AW23" s="1227">
        <f t="shared" ref="AW23:AW32" si="23">SUMIF($AO$4:$AO$1503,AV23,$K$4:$K$1503)</f>
        <v>149.255</v>
      </c>
      <c r="AX23" s="1227">
        <v>0.14099999999999999</v>
      </c>
      <c r="AY23" s="1229">
        <f t="shared" ref="AY23:AY32" si="24">AW23*AX23*31.1035*1.1023</f>
        <v>721.53444866978771</v>
      </c>
      <c r="AZ23" s="1236">
        <v>46.68</v>
      </c>
      <c r="BA23" s="1229">
        <f t="shared" ref="BA23:BA32" si="25">AY23*AZ23/100</f>
        <v>336.81228063905689</v>
      </c>
      <c r="BB23" s="1573" t="s">
        <v>3586</v>
      </c>
      <c r="BC23" s="1574">
        <f>+BB6</f>
        <v>5021.5089999999991</v>
      </c>
    </row>
    <row r="24" spans="1:56" ht="15" customHeight="1">
      <c r="A24" s="747" t="s">
        <v>3281</v>
      </c>
      <c r="B24" s="1447">
        <v>45969</v>
      </c>
      <c r="C24" s="1447">
        <v>45958</v>
      </c>
      <c r="D24" t="s">
        <v>1484</v>
      </c>
      <c r="E24" s="762">
        <f>_xlfn.XLOOKUP(D24,RUC!$B$3:$B$123,RUC!$D$3:$D$123)</f>
        <v>10761932735</v>
      </c>
      <c r="G24" s="1082">
        <v>84</v>
      </c>
      <c r="H24" s="762" t="s">
        <v>69</v>
      </c>
      <c r="I24" s="703">
        <v>6.94</v>
      </c>
      <c r="J24" s="596">
        <v>5</v>
      </c>
      <c r="K24" s="703">
        <f t="shared" si="0"/>
        <v>6.593</v>
      </c>
      <c r="L24" s="994">
        <v>0.15</v>
      </c>
      <c r="M24" s="994">
        <v>0.13500000000000001</v>
      </c>
      <c r="N24" s="1444">
        <v>0.224</v>
      </c>
      <c r="O24" s="645">
        <f t="shared" si="11"/>
        <v>0.18</v>
      </c>
      <c r="P24" s="727">
        <v>85</v>
      </c>
      <c r="Q24" s="1476">
        <v>98.52</v>
      </c>
      <c r="R24" s="1503">
        <v>3948.5</v>
      </c>
      <c r="S24" s="765">
        <f>IF((_xlfn.XLOOKUP(D24,RUC!$B$3:$B$119,RUC!$E$3:$E$119)+ROUNDDOWN(O24,1)*100)&lt;95,95,((_xlfn.XLOOKUP(D24,RUC!$B$3:$B$119,RUC!$E$3:$E$119)+ROUNDDOWN(O24,1)*100)))</f>
        <v>100</v>
      </c>
      <c r="U24" s="1146">
        <f>_xlfn.XLOOKUP(D24,RUC!$B$3:$B$123,RUC!$F$3:$F$123)</f>
        <v>120</v>
      </c>
      <c r="V24" s="715">
        <v>1.1023000000000001</v>
      </c>
      <c r="Y24" s="1517"/>
      <c r="Z24" s="143">
        <f>_xlfn.XLOOKUP(D24,RUC!$B$3:$B$123,RUC!$H$3:$H$123)</f>
        <v>30</v>
      </c>
      <c r="AA24" s="144">
        <f t="shared" si="2"/>
        <v>30</v>
      </c>
      <c r="AB24" s="145">
        <f t="shared" si="21"/>
        <v>502.38479914999999</v>
      </c>
      <c r="AC24" s="145">
        <f>+(S24-T24)*V24-'data 1'!$F$4</f>
        <v>30.230000000000004</v>
      </c>
      <c r="AD24" s="145">
        <f t="shared" si="3"/>
        <v>85.584754553999971</v>
      </c>
      <c r="AE24" s="145">
        <f t="shared" si="4"/>
        <v>-36.930999999999997</v>
      </c>
      <c r="AF24" s="145">
        <f t="shared" si="5"/>
        <v>-124.73091743579998</v>
      </c>
      <c r="AG24" s="772">
        <f t="shared" si="22"/>
        <v>-28.847162881800003</v>
      </c>
      <c r="AH24" s="1253">
        <f t="shared" si="6"/>
        <v>33.405000000000001</v>
      </c>
      <c r="AI24" s="1253">
        <f t="shared" si="7"/>
        <v>33.906999999999996</v>
      </c>
      <c r="AJ24" s="156">
        <f t="shared" si="8"/>
        <v>47.48473610100001</v>
      </c>
      <c r="AK24" s="156">
        <f t="shared" si="9"/>
        <v>34.584665202288456</v>
      </c>
      <c r="AL24" s="88"/>
      <c r="AM24" s="716">
        <f t="shared" si="10"/>
        <v>3312.2229807959498</v>
      </c>
      <c r="AN24" s="716" t="str">
        <f>_xlfn.XLOOKUP(D24,RUC!$B$3:$B$578,RUC!$M$3:$M$578)</f>
        <v>Richard Sapacayo</v>
      </c>
      <c r="AO24" s="1167" t="s">
        <v>2277</v>
      </c>
      <c r="AP24" t="s">
        <v>3286</v>
      </c>
      <c r="AQ24" t="s">
        <v>3287</v>
      </c>
      <c r="AR24" t="s">
        <v>3376</v>
      </c>
      <c r="AV24" s="1232" t="s">
        <v>2278</v>
      </c>
      <c r="AW24" s="1234">
        <f t="shared" si="23"/>
        <v>149.79399999999998</v>
      </c>
      <c r="AX24" s="1234">
        <v>0.158</v>
      </c>
      <c r="AY24" s="1236">
        <f t="shared" si="24"/>
        <v>811.44777597474854</v>
      </c>
      <c r="AZ24" s="1236">
        <v>89.5</v>
      </c>
      <c r="BA24" s="1236">
        <f t="shared" si="25"/>
        <v>726.24575949739994</v>
      </c>
      <c r="BB24" s="1575" t="s">
        <v>3587</v>
      </c>
      <c r="BC24" s="1576">
        <f>+'30'!BC27+'30'!BC28</f>
        <v>1071.576</v>
      </c>
    </row>
    <row r="25" spans="1:56" ht="15" customHeight="1">
      <c r="A25" s="1491" t="s">
        <v>3270</v>
      </c>
      <c r="B25" s="1541">
        <v>45969</v>
      </c>
      <c r="C25" s="1447">
        <v>45958</v>
      </c>
      <c r="D25" t="s">
        <v>1484</v>
      </c>
      <c r="E25" s="762">
        <f>_xlfn.XLOOKUP(D25,RUC!$B$3:$B$123,RUC!$D$3:$D$123)</f>
        <v>10761932735</v>
      </c>
      <c r="G25" s="1082">
        <v>115</v>
      </c>
      <c r="H25" s="762" t="s">
        <v>69</v>
      </c>
      <c r="I25" s="703">
        <v>9.7899999999999991</v>
      </c>
      <c r="J25" s="596">
        <v>6.75</v>
      </c>
      <c r="K25" s="703">
        <f t="shared" si="0"/>
        <v>9.1289999999999996</v>
      </c>
      <c r="L25" s="762">
        <v>0.10299999999999999</v>
      </c>
      <c r="M25" s="762">
        <v>8.7999999999999995E-2</v>
      </c>
      <c r="N25" s="1444">
        <v>0.16400000000000001</v>
      </c>
      <c r="O25" s="645">
        <f t="shared" si="11"/>
        <v>0.126</v>
      </c>
      <c r="P25" s="727">
        <v>80</v>
      </c>
      <c r="Q25" s="1476">
        <v>97.09</v>
      </c>
      <c r="R25" s="1503">
        <v>3948.5</v>
      </c>
      <c r="S25" s="765">
        <f>IF((_xlfn.XLOOKUP(D25,RUC!$B$3:$B$119,RUC!$E$3:$E$119)+ROUNDDOWN(O25,1)*100)&lt;95,95,((_xlfn.XLOOKUP(D25,RUC!$B$3:$B$119,RUC!$E$3:$E$119)+ROUNDDOWN(O25,1)*100)))</f>
        <v>100</v>
      </c>
      <c r="U25" s="1146">
        <f>_xlfn.XLOOKUP(D25,RUC!$B$3:$B$123,RUC!$F$3:$F$123)</f>
        <v>120</v>
      </c>
      <c r="V25" s="715">
        <v>1.1023000000000001</v>
      </c>
      <c r="Y25" s="1517"/>
      <c r="Z25" s="143">
        <f>_xlfn.XLOOKUP(D25,RUC!$B$3:$B$123,RUC!$H$3:$H$123)</f>
        <v>30</v>
      </c>
      <c r="AA25" s="144">
        <f t="shared" si="2"/>
        <v>30</v>
      </c>
      <c r="AB25" s="145">
        <f t="shared" si="21"/>
        <v>282.09267944000004</v>
      </c>
      <c r="AC25" s="145">
        <f>+(S25-T25)*V25-'data 1'!$F$4</f>
        <v>30.230000000000004</v>
      </c>
      <c r="AD25" s="145">
        <f t="shared" si="3"/>
        <v>74.286132099985011</v>
      </c>
      <c r="AE25" s="145">
        <f t="shared" si="4"/>
        <v>-36.930999999999997</v>
      </c>
      <c r="AF25" s="145">
        <f t="shared" si="5"/>
        <v>-94.239027540385038</v>
      </c>
      <c r="AG25" s="772">
        <f t="shared" si="22"/>
        <v>-9.6538954404000208</v>
      </c>
      <c r="AH25" s="1253">
        <f t="shared" si="6"/>
        <v>31.3</v>
      </c>
      <c r="AI25" s="1253">
        <f t="shared" si="7"/>
        <v>32.238</v>
      </c>
      <c r="AJ25" s="156">
        <f t="shared" si="8"/>
        <v>32.132912565215001</v>
      </c>
      <c r="AK25" s="156">
        <f t="shared" si="9"/>
        <v>31.549523796851762</v>
      </c>
      <c r="AL25" s="88"/>
      <c r="AM25" s="716">
        <f t="shared" si="10"/>
        <v>2575.22407060776</v>
      </c>
      <c r="AN25" s="716" t="str">
        <f>_xlfn.XLOOKUP(D25,RUC!$B$3:$B$578,RUC!$M$3:$M$578)</f>
        <v>Richard Sapacayo</v>
      </c>
      <c r="AO25" s="1167" t="s">
        <v>2280</v>
      </c>
      <c r="AP25" t="s">
        <v>3286</v>
      </c>
      <c r="AQ25" t="s">
        <v>3287</v>
      </c>
      <c r="AR25" t="s">
        <v>3376</v>
      </c>
      <c r="AV25" s="1232" t="s">
        <v>2280</v>
      </c>
      <c r="AW25" s="1234">
        <f t="shared" si="23"/>
        <v>106.108</v>
      </c>
      <c r="AX25" s="1234">
        <v>0.33900000000000002</v>
      </c>
      <c r="AY25" s="1236">
        <f t="shared" si="24"/>
        <v>1233.2663908159868</v>
      </c>
      <c r="AZ25" s="1236">
        <v>84.727433537038237</v>
      </c>
      <c r="BA25" s="1236">
        <f t="shared" si="25"/>
        <v>1044.9149616132456</v>
      </c>
      <c r="BB25" s="1577" t="s">
        <v>3588</v>
      </c>
      <c r="BC25" s="1578">
        <v>5527.94</v>
      </c>
    </row>
    <row r="26" spans="1:56" ht="15" customHeight="1">
      <c r="A26" s="747" t="s">
        <v>3271</v>
      </c>
      <c r="B26" s="1447">
        <v>45969</v>
      </c>
      <c r="C26" s="1447">
        <v>45958</v>
      </c>
      <c r="D26" t="s">
        <v>1484</v>
      </c>
      <c r="E26" s="762">
        <f>_xlfn.XLOOKUP(D26,RUC!$B$3:$B$123,RUC!$D$3:$D$123)</f>
        <v>10761932735</v>
      </c>
      <c r="G26" s="1082">
        <v>99</v>
      </c>
      <c r="H26" s="762" t="s">
        <v>69</v>
      </c>
      <c r="I26" s="703">
        <v>8.26</v>
      </c>
      <c r="J26" s="596">
        <v>11.06</v>
      </c>
      <c r="K26" s="703">
        <f t="shared" si="0"/>
        <v>7.3460000000000001</v>
      </c>
      <c r="L26" s="762">
        <v>0.124</v>
      </c>
      <c r="M26" s="762">
        <v>0.109</v>
      </c>
      <c r="N26" s="1444">
        <v>0.187</v>
      </c>
      <c r="O26" s="645">
        <f t="shared" si="11"/>
        <v>0.14799999999999999</v>
      </c>
      <c r="P26" s="727">
        <v>85</v>
      </c>
      <c r="Q26" s="1476">
        <v>94.35</v>
      </c>
      <c r="R26" s="1503">
        <v>3948.5</v>
      </c>
      <c r="S26" s="765">
        <f>IF((_xlfn.XLOOKUP(D26,RUC!$B$3:$B$119,RUC!$E$3:$E$119)+ROUNDDOWN(O26,1)*100)&lt;95,95,((_xlfn.XLOOKUP(D26,RUC!$B$3:$B$119,RUC!$E$3:$E$119)+ROUNDDOWN(O26,1)*100)))</f>
        <v>100</v>
      </c>
      <c r="U26" s="1146">
        <f>_xlfn.XLOOKUP(D26,RUC!$B$3:$B$123,RUC!$F$3:$F$123)</f>
        <v>120</v>
      </c>
      <c r="V26" s="715">
        <v>1.1023000000000001</v>
      </c>
      <c r="Y26" s="1517"/>
      <c r="Z26" s="143">
        <f>_xlfn.XLOOKUP(D26,RUC!$B$3:$B$123,RUC!$H$3:$H$123)</f>
        <v>30</v>
      </c>
      <c r="AA26" s="144">
        <f t="shared" si="2"/>
        <v>30</v>
      </c>
      <c r="AB26" s="145">
        <f t="shared" si="21"/>
        <v>387.59656819000003</v>
      </c>
      <c r="AC26" s="145">
        <f>+(S26-T26)*V26-'data 1'!$F$4</f>
        <v>30.230000000000004</v>
      </c>
      <c r="AD26" s="145">
        <f t="shared" si="3"/>
        <v>48.928483446699964</v>
      </c>
      <c r="AE26" s="145">
        <f t="shared" si="4"/>
        <v>-36.930999999999997</v>
      </c>
      <c r="AF26" s="145">
        <f t="shared" si="5"/>
        <v>-95.561202274199971</v>
      </c>
      <c r="AG26" s="772">
        <f t="shared" si="22"/>
        <v>-36.333718827500007</v>
      </c>
      <c r="AH26" s="1253">
        <f t="shared" si="6"/>
        <v>29.466000000000001</v>
      </c>
      <c r="AI26" s="1253">
        <f t="shared" si="7"/>
        <v>31.231000000000002</v>
      </c>
      <c r="AJ26" s="156">
        <f t="shared" si="8"/>
        <v>37.592564727300001</v>
      </c>
      <c r="AK26" s="156">
        <f t="shared" si="9"/>
        <v>31.684045945404737</v>
      </c>
      <c r="AL26" s="88"/>
      <c r="AM26" s="716">
        <f t="shared" si="10"/>
        <v>2847.28438992374</v>
      </c>
      <c r="AN26" s="716" t="str">
        <f>_xlfn.XLOOKUP(D26,RUC!$B$3:$B$578,RUC!$M$3:$M$578)</f>
        <v>Richard Sapacayo</v>
      </c>
      <c r="AO26" s="1167" t="s">
        <v>2277</v>
      </c>
      <c r="AP26" t="s">
        <v>3286</v>
      </c>
      <c r="AQ26" t="s">
        <v>3287</v>
      </c>
      <c r="AR26" t="s">
        <v>3376</v>
      </c>
      <c r="AV26" s="1232" t="s">
        <v>2279</v>
      </c>
      <c r="AW26" s="1234">
        <f t="shared" si="23"/>
        <v>102.42299999999997</v>
      </c>
      <c r="AX26" s="1234">
        <v>0.17799999999999999</v>
      </c>
      <c r="AY26" s="1236">
        <f t="shared" si="24"/>
        <v>625.06698944363654</v>
      </c>
      <c r="AZ26" s="1236">
        <v>76.444857682801185</v>
      </c>
      <c r="BA26" s="1236">
        <f t="shared" si="25"/>
        <v>477.83157050235786</v>
      </c>
      <c r="BB26" s="1577" t="s">
        <v>3589</v>
      </c>
      <c r="BC26" s="1578">
        <v>606.22299999999996</v>
      </c>
    </row>
    <row r="27" spans="1:56" ht="15" customHeight="1">
      <c r="A27" s="747" t="s">
        <v>3272</v>
      </c>
      <c r="B27" s="1447">
        <v>45965</v>
      </c>
      <c r="C27" s="1447">
        <v>45959</v>
      </c>
      <c r="D27" t="s">
        <v>93</v>
      </c>
      <c r="E27" s="762">
        <f>_xlfn.XLOOKUP(D27,RUC!$B$3:$B$123,RUC!$D$3:$D$123)</f>
        <v>20169040231</v>
      </c>
      <c r="G27" s="1082">
        <v>50</v>
      </c>
      <c r="H27" s="762" t="s">
        <v>69</v>
      </c>
      <c r="I27" s="703">
        <v>4.41</v>
      </c>
      <c r="J27" s="596">
        <v>1.3</v>
      </c>
      <c r="K27" s="703">
        <f t="shared" si="0"/>
        <v>4.3529999999999998</v>
      </c>
      <c r="L27" s="762">
        <v>0.65700000000000003</v>
      </c>
      <c r="M27" s="762">
        <v>0.624</v>
      </c>
      <c r="N27" s="1196">
        <f>+M27</f>
        <v>0.624</v>
      </c>
      <c r="O27" s="645">
        <f t="shared" si="11"/>
        <v>0.624</v>
      </c>
      <c r="P27" s="727">
        <v>90</v>
      </c>
      <c r="Q27" s="1476">
        <v>92.39</v>
      </c>
      <c r="R27" s="706">
        <v>4006.7</v>
      </c>
      <c r="S27" s="765">
        <f>IF((_xlfn.XLOOKUP(D27,RUC!$B$3:$B$119,RUC!$E$3:$E$119)+ROUNDDOWN(O27,1)*100)&lt;95,95,((_xlfn.XLOOKUP(D27,RUC!$B$3:$B$119,RUC!$E$3:$E$119)+ROUNDDOWN(O27,1)*100)))</f>
        <v>145</v>
      </c>
      <c r="U27" s="1146">
        <f>_xlfn.XLOOKUP(D27,RUC!$B$3:$B$123,RUC!$F$3:$F$123)</f>
        <v>120</v>
      </c>
      <c r="V27" s="715">
        <v>1.1023000000000001</v>
      </c>
      <c r="Y27">
        <f>_xlfn.XLOOKUP(D27,RUC!$B$3:$B$123,RUC!$G$3:$G$123)</f>
        <v>20</v>
      </c>
      <c r="Z27" s="1454">
        <v>35</v>
      </c>
      <c r="AA27" s="144">
        <f t="shared" si="2"/>
        <v>55</v>
      </c>
      <c r="AB27" s="145">
        <f t="shared" si="21"/>
        <v>2185.6081646560001</v>
      </c>
      <c r="AC27" s="145">
        <f>+(S27-T27)*V27-'data 1'!$F$4</f>
        <v>79.833500000000015</v>
      </c>
      <c r="AD27" s="145">
        <f t="shared" si="3"/>
        <v>67.273511648643023</v>
      </c>
      <c r="AE27" s="145">
        <f t="shared" si="4"/>
        <v>-9.3734999999999999</v>
      </c>
      <c r="AF27" s="145">
        <f t="shared" si="5"/>
        <v>130.62302430866714</v>
      </c>
      <c r="AG27" s="772">
        <f t="shared" si="22"/>
        <v>285.35653595731014</v>
      </c>
      <c r="AH27" s="1253">
        <f t="shared" si="6"/>
        <v>90.591999999999999</v>
      </c>
      <c r="AI27" s="1253">
        <f t="shared" si="7"/>
        <v>98.054000000000002</v>
      </c>
      <c r="AJ27" s="156">
        <f t="shared" si="8"/>
        <v>156.10071161315716</v>
      </c>
      <c r="AK27" s="156">
        <f t="shared" si="9"/>
        <v>83.81559561241464</v>
      </c>
      <c r="AL27" s="88"/>
      <c r="AM27" s="716">
        <f t="shared" si="10"/>
        <v>9513.9523407475681</v>
      </c>
      <c r="AN27" s="716" t="str">
        <f>_xlfn.XLOOKUP(D27,RUC!$B$3:$B$578,RUC!$M$3:$M$578)</f>
        <v>Ronald Miranda</v>
      </c>
      <c r="AO27" s="1167" t="s">
        <v>2277</v>
      </c>
      <c r="AP27" t="s">
        <v>3288</v>
      </c>
      <c r="AQ27" t="s">
        <v>2491</v>
      </c>
      <c r="AV27" s="1232" t="s">
        <v>2281</v>
      </c>
      <c r="AW27" s="1234">
        <f t="shared" si="23"/>
        <v>0</v>
      </c>
      <c r="AX27" s="1234"/>
      <c r="AY27" s="1236">
        <f t="shared" si="24"/>
        <v>0</v>
      </c>
      <c r="AZ27" s="1236"/>
      <c r="BA27" s="1236">
        <f t="shared" si="25"/>
        <v>0</v>
      </c>
      <c r="BB27" s="1577" t="s">
        <v>3590</v>
      </c>
      <c r="BC27" s="1578">
        <v>149.25200000000001</v>
      </c>
    </row>
    <row r="28" spans="1:56" ht="15" customHeight="1">
      <c r="A28" s="747" t="s">
        <v>3277</v>
      </c>
      <c r="B28" s="1447">
        <v>45966</v>
      </c>
      <c r="C28" s="1447">
        <v>45959</v>
      </c>
      <c r="D28" t="s">
        <v>2444</v>
      </c>
      <c r="E28" s="762">
        <f>_xlfn.XLOOKUP(D28,RUC!$B$3:$B$123,RUC!$D$3:$D$123)</f>
        <v>20608774000</v>
      </c>
      <c r="G28" s="1082">
        <v>90</v>
      </c>
      <c r="H28" s="762" t="s">
        <v>69</v>
      </c>
      <c r="I28" s="703">
        <v>8.73</v>
      </c>
      <c r="J28" s="596">
        <v>1.5</v>
      </c>
      <c r="K28" s="703">
        <f t="shared" si="0"/>
        <v>8.5990000000000002</v>
      </c>
      <c r="L28" s="762">
        <v>0.17499999999999999</v>
      </c>
      <c r="M28" s="994">
        <v>0.16</v>
      </c>
      <c r="N28" s="1444">
        <v>0.252</v>
      </c>
      <c r="O28" s="645">
        <f t="shared" si="11"/>
        <v>0.20599999999999999</v>
      </c>
      <c r="P28" s="727">
        <v>90</v>
      </c>
      <c r="Q28" s="1476">
        <v>96</v>
      </c>
      <c r="R28" s="706">
        <v>4006.7</v>
      </c>
      <c r="S28" s="765">
        <f>IF((_xlfn.XLOOKUP(D28,RUC!$B$3:$B$119,RUC!$E$3:$E$119)+ROUNDDOWN(O28,1)*100)&lt;95,95,((_xlfn.XLOOKUP(D28,RUC!$B$3:$B$119,RUC!$E$3:$E$119)+ROUNDDOWN(O28,1)*100)))</f>
        <v>105</v>
      </c>
      <c r="U28" s="1146">
        <f>_xlfn.XLOOKUP(D28,RUC!$B$3:$B$123,RUC!$F$3:$F$123)</f>
        <v>120</v>
      </c>
      <c r="V28" s="715">
        <v>1.1023000000000001</v>
      </c>
      <c r="Y28">
        <v>40</v>
      </c>
      <c r="Z28" s="1454">
        <v>35</v>
      </c>
      <c r="AA28" s="144">
        <f t="shared" si="2"/>
        <v>75</v>
      </c>
      <c r="AB28" s="145">
        <f t="shared" si="21"/>
        <v>595.89696461400001</v>
      </c>
      <c r="AC28" s="145">
        <f>+(S28-T28)*V28-'data 1'!$F$4</f>
        <v>35.741500000000002</v>
      </c>
      <c r="AD28" s="145">
        <f t="shared" si="3"/>
        <v>44.985248804999991</v>
      </c>
      <c r="AE28" s="145">
        <f t="shared" si="4"/>
        <v>12.672499999999999</v>
      </c>
      <c r="AF28" s="145">
        <f t="shared" si="5"/>
        <v>-127.50104804159999</v>
      </c>
      <c r="AG28" s="772">
        <f t="shared" si="22"/>
        <v>-17.101799236599987</v>
      </c>
      <c r="AH28" s="1253">
        <f t="shared" si="6"/>
        <v>49.53</v>
      </c>
      <c r="AI28" s="1253">
        <f t="shared" si="7"/>
        <v>51.594000000000001</v>
      </c>
      <c r="AJ28" s="156">
        <f t="shared" si="8"/>
        <v>43.203987120000029</v>
      </c>
      <c r="AK28" s="156">
        <f t="shared" si="9"/>
        <v>54.659637611497537</v>
      </c>
      <c r="AL28" s="88"/>
      <c r="AM28" s="716">
        <f t="shared" si="10"/>
        <v>5124.1179987157866</v>
      </c>
      <c r="AN28" s="716" t="str">
        <f>_xlfn.XLOOKUP(D28,RUC!$B$3:$B$578,RUC!$M$3:$M$578)</f>
        <v>Ronald Miranda</v>
      </c>
      <c r="AO28" s="1167" t="s">
        <v>2280</v>
      </c>
      <c r="AP28" t="s">
        <v>3289</v>
      </c>
      <c r="AQ28" t="s">
        <v>3290</v>
      </c>
      <c r="AR28" s="1511" t="s">
        <v>3349</v>
      </c>
      <c r="AV28" s="1232" t="s">
        <v>2297</v>
      </c>
      <c r="AW28" s="1234">
        <f t="shared" si="23"/>
        <v>0</v>
      </c>
      <c r="AX28" s="631"/>
      <c r="AY28" s="1236">
        <f t="shared" si="24"/>
        <v>0</v>
      </c>
      <c r="AZ28" s="631"/>
      <c r="BA28" s="1236">
        <f t="shared" si="25"/>
        <v>0</v>
      </c>
      <c r="BB28" s="1579" t="s">
        <v>3206</v>
      </c>
      <c r="BC28" s="1580">
        <f>-BC23-BC24+BC25+BC26+BC27</f>
        <v>190.33000000000044</v>
      </c>
    </row>
    <row r="29" spans="1:56" ht="15" customHeight="1">
      <c r="A29" s="747" t="s">
        <v>3279</v>
      </c>
      <c r="B29" s="1447">
        <v>45969</v>
      </c>
      <c r="C29" s="1447">
        <v>45959</v>
      </c>
      <c r="D29" t="s">
        <v>1484</v>
      </c>
      <c r="E29" s="762">
        <f>_xlfn.XLOOKUP(D29,RUC!$B$3:$B$123,RUC!$D$3:$D$123)</f>
        <v>10761932735</v>
      </c>
      <c r="G29" s="1082" t="s">
        <v>2985</v>
      </c>
      <c r="H29" s="762" t="s">
        <v>69</v>
      </c>
      <c r="I29" s="703">
        <v>22.15</v>
      </c>
      <c r="J29" s="596">
        <v>7.85</v>
      </c>
      <c r="K29" s="703">
        <f t="shared" si="0"/>
        <v>20.411000000000001</v>
      </c>
      <c r="L29" s="762">
        <v>0.121</v>
      </c>
      <c r="M29" s="762">
        <v>0.106</v>
      </c>
      <c r="N29" s="1196">
        <f>+M29</f>
        <v>0.106</v>
      </c>
      <c r="O29" s="645">
        <f t="shared" si="11"/>
        <v>0.106</v>
      </c>
      <c r="P29" s="727">
        <v>80</v>
      </c>
      <c r="Q29" s="1476">
        <v>97.52</v>
      </c>
      <c r="R29" s="706">
        <v>4006.7</v>
      </c>
      <c r="S29" s="765">
        <f>IF((_xlfn.XLOOKUP(D29,RUC!$B$3:$B$119,RUC!$E$3:$E$119)+ROUNDDOWN(O29,1)*100)&lt;95,95,((_xlfn.XLOOKUP(D29,RUC!$B$3:$B$119,RUC!$E$3:$E$119)+ROUNDDOWN(O29,1)*100)))</f>
        <v>100</v>
      </c>
      <c r="U29" s="1146">
        <f>_xlfn.XLOOKUP(D29,RUC!$B$3:$B$123,RUC!$F$3:$F$123)</f>
        <v>120</v>
      </c>
      <c r="V29" s="715">
        <v>1.1023000000000001</v>
      </c>
      <c r="Y29">
        <v>0</v>
      </c>
      <c r="Z29" s="143">
        <f>_xlfn.XLOOKUP(D29,RUC!$B$3:$B$123,RUC!$H$3:$H$123)</f>
        <v>30</v>
      </c>
      <c r="AA29" s="144">
        <f t="shared" si="2"/>
        <v>30</v>
      </c>
      <c r="AB29" s="145">
        <f>+((O29*P29*(R29-U29)/100)-S29-AA29+T29)*V29</f>
        <v>220.01043796799999</v>
      </c>
      <c r="AC29" s="145">
        <f>+(S29-T29)*V29-'data 1'!$F$4</f>
        <v>30.230000000000004</v>
      </c>
      <c r="AD29" s="145">
        <f t="shared" si="3"/>
        <v>90.823932044471988</v>
      </c>
      <c r="AE29" s="145">
        <f t="shared" si="4"/>
        <v>-36.930999999999997</v>
      </c>
      <c r="AF29" s="145">
        <f t="shared" si="5"/>
        <v>62.670878049479988</v>
      </c>
      <c r="AG29" s="772">
        <f t="shared" si="22"/>
        <v>163.79381009395198</v>
      </c>
      <c r="AH29" s="1253">
        <f t="shared" si="6"/>
        <v>82.575999999999993</v>
      </c>
      <c r="AI29" s="1253">
        <f t="shared" si="7"/>
        <v>84.676000000000002</v>
      </c>
      <c r="AJ29" s="156">
        <f t="shared" si="8"/>
        <v>30.345451886728018</v>
      </c>
      <c r="AK29" s="156">
        <f t="shared" si="9"/>
        <v>59.342959905429041</v>
      </c>
      <c r="AL29" s="88"/>
      <c r="AM29" s="716">
        <f t="shared" si="10"/>
        <v>4490.6330493648484</v>
      </c>
      <c r="AN29" s="716" t="str">
        <f>_xlfn.XLOOKUP(D29,RUC!$B$3:$B$578,RUC!$M$3:$M$578)</f>
        <v>Richard Sapacayo</v>
      </c>
      <c r="AO29" s="1167" t="s">
        <v>2280</v>
      </c>
      <c r="AP29" t="s">
        <v>3291</v>
      </c>
      <c r="AQ29" t="s">
        <v>3292</v>
      </c>
      <c r="AV29" s="1232" t="s">
        <v>2518</v>
      </c>
      <c r="AW29" s="1234">
        <f t="shared" si="23"/>
        <v>0</v>
      </c>
      <c r="AX29" s="631"/>
      <c r="AY29" s="1236">
        <f t="shared" si="24"/>
        <v>0</v>
      </c>
      <c r="AZ29" s="631"/>
      <c r="BA29" s="1256">
        <f t="shared" si="25"/>
        <v>0</v>
      </c>
    </row>
    <row r="30" spans="1:56" ht="15" customHeight="1">
      <c r="A30" s="747" t="s">
        <v>3297</v>
      </c>
      <c r="B30" s="1447">
        <v>45969</v>
      </c>
      <c r="C30" s="1447">
        <v>45960</v>
      </c>
      <c r="D30" t="s">
        <v>93</v>
      </c>
      <c r="E30" s="762">
        <f>_xlfn.XLOOKUP(D30,RUC!$B$3:$B$123,RUC!$D$3:$D$123)</f>
        <v>20169040231</v>
      </c>
      <c r="G30" s="1082">
        <v>16</v>
      </c>
      <c r="H30" s="762" t="s">
        <v>69</v>
      </c>
      <c r="I30" s="703">
        <v>1.4</v>
      </c>
      <c r="J30" s="596">
        <v>1.2</v>
      </c>
      <c r="K30" s="703">
        <f t="shared" si="0"/>
        <v>1.383</v>
      </c>
      <c r="L30" s="762">
        <v>0.55300000000000005</v>
      </c>
      <c r="M30" s="762">
        <v>0.52500000000000002</v>
      </c>
      <c r="N30" s="1196">
        <f>+M30</f>
        <v>0.52500000000000002</v>
      </c>
      <c r="O30" s="645">
        <f t="shared" si="11"/>
        <v>0.52500000000000002</v>
      </c>
      <c r="P30" s="727">
        <v>90</v>
      </c>
      <c r="Q30" s="1476">
        <v>89.69</v>
      </c>
      <c r="R30" s="706">
        <v>3994.15</v>
      </c>
      <c r="S30" s="765">
        <f>IF((_xlfn.XLOOKUP(D30,RUC!$B$3:$B$119,RUC!$E$3:$E$119)+ROUNDDOWN(O30,1)*100)&lt;95,95,((_xlfn.XLOOKUP(D30,RUC!$B$3:$B$119,RUC!$E$3:$E$119)+ROUNDDOWN(O30,1)*100)))</f>
        <v>135</v>
      </c>
      <c r="U30" s="1146">
        <f>_xlfn.XLOOKUP(D30,RUC!$B$3:$B$123,RUC!$F$3:$F$123)</f>
        <v>120</v>
      </c>
      <c r="V30" s="715">
        <v>1.1023000000000001</v>
      </c>
      <c r="Y30" s="891">
        <v>35</v>
      </c>
      <c r="Z30" s="1454">
        <v>35</v>
      </c>
      <c r="AA30" s="144">
        <f t="shared" si="2"/>
        <v>70</v>
      </c>
      <c r="AB30" s="145">
        <f>+((O30*P30*(R30-U30)/100)-S30-AA30+T30)*V30</f>
        <v>1791.8281950125001</v>
      </c>
      <c r="AC30" s="145">
        <f>+(S30-T30)*V30-'data 1'!$F$4</f>
        <v>68.810500000000019</v>
      </c>
      <c r="AD30" s="145">
        <f t="shared" si="3"/>
        <v>-7.3208762267935548</v>
      </c>
      <c r="AE30" s="145">
        <f t="shared" si="4"/>
        <v>7.1610000000000014</v>
      </c>
      <c r="AF30" s="145">
        <f t="shared" si="5"/>
        <v>107.24530645669411</v>
      </c>
      <c r="AG30" s="772">
        <f>AC30+AD30+AE30+AF30+70-53</f>
        <v>192.89593022990056</v>
      </c>
      <c r="AH30" s="1253">
        <f t="shared" si="6"/>
        <v>23.518000000000001</v>
      </c>
      <c r="AI30" s="1253">
        <f t="shared" si="7"/>
        <v>26.221</v>
      </c>
      <c r="AJ30" s="156">
        <f t="shared" si="8"/>
        <v>134.4123503734935</v>
      </c>
      <c r="AK30" s="156">
        <f t="shared" si="9"/>
        <v>22.404386815563381</v>
      </c>
      <c r="AL30" s="88"/>
      <c r="AM30" s="716">
        <f t="shared" si="10"/>
        <v>2478.0983937022879</v>
      </c>
      <c r="AN30" s="716" t="str">
        <f>_xlfn.XLOOKUP(D30,RUC!$B$3:$B$578,RUC!$M$3:$M$578)</f>
        <v>Ronald Miranda</v>
      </c>
      <c r="AO30" s="1167" t="s">
        <v>2280</v>
      </c>
      <c r="AP30" t="s">
        <v>3320</v>
      </c>
      <c r="AQ30" t="s">
        <v>3321</v>
      </c>
      <c r="AV30" s="1232" t="s">
        <v>2519</v>
      </c>
      <c r="AW30" s="1234">
        <f t="shared" si="23"/>
        <v>0</v>
      </c>
      <c r="AX30" s="631"/>
      <c r="AY30" s="1236">
        <f t="shared" si="24"/>
        <v>0</v>
      </c>
      <c r="AZ30" s="631"/>
      <c r="BA30" s="1256">
        <f t="shared" si="25"/>
        <v>0</v>
      </c>
    </row>
    <row r="31" spans="1:56" ht="15" customHeight="1">
      <c r="A31" s="747" t="s">
        <v>3298</v>
      </c>
      <c r="B31" s="1447">
        <v>45965</v>
      </c>
      <c r="C31" s="1447">
        <v>45960</v>
      </c>
      <c r="D31" t="s">
        <v>2444</v>
      </c>
      <c r="E31" s="762">
        <f>_xlfn.XLOOKUP(D31,RUC!$B$3:$B$123,RUC!$D$3:$D$123)</f>
        <v>20608774000</v>
      </c>
      <c r="G31" s="1082">
        <v>40</v>
      </c>
      <c r="H31" s="762" t="s">
        <v>69</v>
      </c>
      <c r="I31" s="703">
        <v>3.77</v>
      </c>
      <c r="J31" s="596">
        <v>1.3</v>
      </c>
      <c r="K31" s="703">
        <f t="shared" si="0"/>
        <v>3.7210000000000001</v>
      </c>
      <c r="L31" s="762">
        <v>0.58599999999999997</v>
      </c>
      <c r="M31" s="762">
        <v>0.55700000000000005</v>
      </c>
      <c r="N31" s="1196">
        <f>+M31</f>
        <v>0.55700000000000005</v>
      </c>
      <c r="O31" s="645">
        <f t="shared" si="11"/>
        <v>0.55700000000000005</v>
      </c>
      <c r="P31" s="727">
        <v>90</v>
      </c>
      <c r="Q31" s="1476">
        <v>92.83</v>
      </c>
      <c r="R31" s="706">
        <v>3994.15</v>
      </c>
      <c r="S31" s="765">
        <f>IF((_xlfn.XLOOKUP(D31,RUC!$B$3:$B$119,RUC!$E$3:$E$119)+ROUNDDOWN(O31,1)*100)&lt;95,95,((_xlfn.XLOOKUP(D31,RUC!$B$3:$B$119,RUC!$E$3:$E$119)+ROUNDDOWN(O31,1)*100)))</f>
        <v>135</v>
      </c>
      <c r="U31" s="1146">
        <f>_xlfn.XLOOKUP(D31,RUC!$B$3:$B$123,RUC!$F$3:$F$123)</f>
        <v>120</v>
      </c>
      <c r="V31" s="715">
        <v>1.1023000000000001</v>
      </c>
      <c r="Y31">
        <f>_xlfn.XLOOKUP(D31,RUC!$B$3:$B$123,RUC!$G$3:$G$123)</f>
        <v>20</v>
      </c>
      <c r="Z31" s="1454">
        <v>35</v>
      </c>
      <c r="AA31" s="144">
        <f t="shared" si="2"/>
        <v>55</v>
      </c>
      <c r="AB31" s="145">
        <f>+((O31*P31*(R31-U31)/100)-S31-AA31+T31)*V31</f>
        <v>1931.3523907085003</v>
      </c>
      <c r="AC31" s="145">
        <f>+(S31-T31)*V31-'data 1'!$F$4</f>
        <v>68.810500000000019</v>
      </c>
      <c r="AD31" s="145">
        <f t="shared" si="3"/>
        <v>70.820712343170953</v>
      </c>
      <c r="AE31" s="145">
        <f t="shared" si="4"/>
        <v>-9.3734999999999999</v>
      </c>
      <c r="AF31" s="145">
        <f t="shared" si="5"/>
        <v>114.96419100428116</v>
      </c>
      <c r="AG31" s="772">
        <f>AC31+AD31+AE31+AF31+70-53</f>
        <v>262.2219033474521</v>
      </c>
      <c r="AH31" s="1253">
        <f t="shared" si="6"/>
        <v>69.399000000000001</v>
      </c>
      <c r="AI31" s="1253">
        <f t="shared" si="7"/>
        <v>74.759</v>
      </c>
      <c r="AJ31" s="156">
        <f t="shared" si="8"/>
        <v>147.41985731262895</v>
      </c>
      <c r="AK31" s="156">
        <f t="shared" si="9"/>
        <v>63.953813174639272</v>
      </c>
      <c r="AL31" s="88"/>
      <c r="AM31" s="716">
        <f t="shared" si="10"/>
        <v>7186.5622458263297</v>
      </c>
      <c r="AN31" s="716" t="str">
        <f>_xlfn.XLOOKUP(D31,RUC!$B$3:$B$578,RUC!$M$3:$M$578)</f>
        <v>Ronald Miranda</v>
      </c>
      <c r="AO31" s="1167" t="s">
        <v>2277</v>
      </c>
      <c r="AP31" t="s">
        <v>3322</v>
      </c>
      <c r="AQ31" t="s">
        <v>3323</v>
      </c>
      <c r="AV31" s="1232" t="s">
        <v>2520</v>
      </c>
      <c r="AW31" s="1234">
        <f t="shared" si="23"/>
        <v>0</v>
      </c>
      <c r="AX31" s="631"/>
      <c r="AY31" s="1236">
        <f t="shared" si="24"/>
        <v>0</v>
      </c>
      <c r="AZ31" s="631"/>
      <c r="BA31" s="1256">
        <f t="shared" si="25"/>
        <v>0</v>
      </c>
    </row>
    <row r="32" spans="1:56" ht="15" customHeight="1" thickBot="1">
      <c r="A32" s="1491" t="s">
        <v>3301</v>
      </c>
      <c r="B32" s="1541">
        <v>45966</v>
      </c>
      <c r="C32" s="1447">
        <v>45960</v>
      </c>
      <c r="D32" t="s">
        <v>93</v>
      </c>
      <c r="E32" s="762">
        <f>_xlfn.XLOOKUP(D32,RUC!$B$3:$B$123,RUC!$D$3:$D$123)</f>
        <v>20169040231</v>
      </c>
      <c r="G32" s="1082">
        <v>100</v>
      </c>
      <c r="H32" s="762" t="s">
        <v>69</v>
      </c>
      <c r="I32" s="703">
        <v>10.27</v>
      </c>
      <c r="J32" s="596">
        <v>6</v>
      </c>
      <c r="K32" s="703">
        <f t="shared" si="0"/>
        <v>9.6539999999999999</v>
      </c>
      <c r="L32" s="762">
        <v>3.9E-2</v>
      </c>
      <c r="M32" s="762">
        <v>2.4E-2</v>
      </c>
      <c r="N32" s="1196">
        <f>+M32</f>
        <v>2.4E-2</v>
      </c>
      <c r="O32" s="645">
        <f t="shared" si="11"/>
        <v>2.4E-2</v>
      </c>
      <c r="P32" s="727">
        <v>80</v>
      </c>
      <c r="Q32" s="1476">
        <v>92.31</v>
      </c>
      <c r="R32" s="706">
        <v>3994.15</v>
      </c>
      <c r="S32" s="765">
        <f>IF((_xlfn.XLOOKUP(D32,RUC!$B$3:$B$119,RUC!$E$3:$E$119)+ROUNDDOWN(O32,1)*100)&lt;95,95,((_xlfn.XLOOKUP(D32,RUC!$B$3:$B$119,RUC!$E$3:$E$119)+ROUNDDOWN(O32,1)*100)))</f>
        <v>95</v>
      </c>
      <c r="U32" s="1146">
        <f>_xlfn.XLOOKUP(D32,RUC!$B$3:$B$123,RUC!$F$3:$F$123)</f>
        <v>120</v>
      </c>
      <c r="V32" s="715">
        <v>1.1023000000000001</v>
      </c>
      <c r="Y32">
        <f>_xlfn.XLOOKUP(D32,RUC!$B$3:$B$123,RUC!$G$3:$G$123)</f>
        <v>20</v>
      </c>
      <c r="Z32" s="143">
        <f>_xlfn.XLOOKUP(D32,RUC!$B$3:$B$123,RUC!$H$3:$H$123)</f>
        <v>30</v>
      </c>
      <c r="AA32" s="144">
        <f t="shared" si="2"/>
        <v>50</v>
      </c>
      <c r="AB32" s="1510">
        <v>1E-3</v>
      </c>
      <c r="AC32" s="145">
        <f>+(S32-T32)*V32-'data 1'!$F$4</f>
        <v>24.718500000000006</v>
      </c>
      <c r="AD32" s="145">
        <f t="shared" si="3"/>
        <v>20.502126043990508</v>
      </c>
      <c r="AE32" s="145">
        <f t="shared" si="4"/>
        <v>-14.884999999999998</v>
      </c>
      <c r="AF32" s="145">
        <f t="shared" si="5"/>
        <v>59.131139633842501</v>
      </c>
      <c r="AG32" s="772">
        <f>AC32+AD32+AE32+AF32+70-53-74</f>
        <v>32.466765677833024</v>
      </c>
      <c r="AH32" s="1253">
        <f t="shared" si="6"/>
        <v>11.916</v>
      </c>
      <c r="AI32" s="1253">
        <f t="shared" si="7"/>
        <v>12.909000000000001</v>
      </c>
      <c r="AJ32" s="156">
        <f t="shared" si="8"/>
        <v>9.7562602804094976</v>
      </c>
      <c r="AK32" s="156">
        <f t="shared" si="9"/>
        <v>6.3550298157062413</v>
      </c>
      <c r="AL32" s="88"/>
      <c r="AM32" s="716">
        <f t="shared" si="10"/>
        <v>9.6539999999999994E-3</v>
      </c>
      <c r="AN32" s="716" t="str">
        <f>_xlfn.XLOOKUP(D32,RUC!$B$3:$B$578,RUC!$M$3:$M$578)</f>
        <v>Ronald Miranda</v>
      </c>
      <c r="AO32" s="1167" t="s">
        <v>2278</v>
      </c>
      <c r="AP32" t="s">
        <v>3320</v>
      </c>
      <c r="AQ32" t="s">
        <v>3321</v>
      </c>
      <c r="AV32" s="1239" t="s">
        <v>2521</v>
      </c>
      <c r="AW32" s="1254">
        <f t="shared" si="23"/>
        <v>0</v>
      </c>
      <c r="AX32" s="1257"/>
      <c r="AY32" s="1242">
        <f t="shared" si="24"/>
        <v>0</v>
      </c>
      <c r="AZ32" s="1257"/>
      <c r="BA32" s="1258">
        <f t="shared" si="25"/>
        <v>0</v>
      </c>
    </row>
    <row r="33" spans="1:44" ht="15" customHeight="1">
      <c r="A33" s="747" t="s">
        <v>3308</v>
      </c>
      <c r="B33" s="1447">
        <v>45967</v>
      </c>
      <c r="C33" s="1447">
        <v>45962</v>
      </c>
      <c r="D33" t="s">
        <v>1671</v>
      </c>
      <c r="E33" s="762">
        <f>_xlfn.XLOOKUP(D33,RUC!$B$3:$B$123,RUC!$D$3:$D$123)</f>
        <v>20517242919</v>
      </c>
      <c r="G33" s="1082">
        <v>39</v>
      </c>
      <c r="H33" s="762" t="s">
        <v>69</v>
      </c>
      <c r="I33" s="703">
        <v>3.45</v>
      </c>
      <c r="J33" s="596">
        <v>1.5</v>
      </c>
      <c r="K33" s="703">
        <f t="shared" si="0"/>
        <v>3.3980000000000001</v>
      </c>
      <c r="L33" s="1192">
        <v>0.14699999999999999</v>
      </c>
      <c r="M33" s="994">
        <v>0.14000000000000001</v>
      </c>
      <c r="N33" s="1196">
        <f t="shared" ref="N33:N39" si="26">+M33</f>
        <v>0.14000000000000001</v>
      </c>
      <c r="O33" s="645">
        <f t="shared" si="11"/>
        <v>0.14000000000000001</v>
      </c>
      <c r="P33" s="727">
        <v>85</v>
      </c>
      <c r="Q33" s="1476">
        <v>95.92</v>
      </c>
      <c r="R33" s="706">
        <v>4013.2</v>
      </c>
      <c r="S33" s="765">
        <f>IF((_xlfn.XLOOKUP(D33,RUC!$B$3:$B$119,RUC!$E$3:$E$119)+ROUNDDOWN(O33,1)*100)&lt;95,95,((_xlfn.XLOOKUP(D33,RUC!$B$3:$B$119,RUC!$E$3:$E$119)+ROUNDDOWN(O33,1)*100)))</f>
        <v>95</v>
      </c>
      <c r="U33" s="1146">
        <f>_xlfn.XLOOKUP(D33,RUC!$B$3:$B$123,RUC!$F$3:$F$123)</f>
        <v>80</v>
      </c>
      <c r="V33" s="715">
        <v>1.1023000000000001</v>
      </c>
      <c r="Y33">
        <f>_xlfn.XLOOKUP(D33,RUC!$B$3:$B$123,RUC!$G$3:$G$123)</f>
        <v>0</v>
      </c>
      <c r="Z33" s="143">
        <f>_xlfn.XLOOKUP(D33,RUC!$B$3:$B$123,RUC!$H$3:$H$123)</f>
        <v>10</v>
      </c>
      <c r="AA33" s="144">
        <f t="shared" si="2"/>
        <v>10</v>
      </c>
      <c r="AB33" s="145">
        <f t="shared" ref="AB33:AB38" si="27">+((O33*P33*(R33-U33)/100)-S33-AA33+T33)*V33</f>
        <v>400.19089684000005</v>
      </c>
      <c r="AC33" s="145">
        <f>+(S33-T33)*V33-'data 1'!$F$4</f>
        <v>24.718500000000006</v>
      </c>
      <c r="AD33" s="145">
        <f t="shared" si="3"/>
        <v>69.596245437264002</v>
      </c>
      <c r="AE33" s="145">
        <f t="shared" si="4"/>
        <v>-58.977000000000004</v>
      </c>
      <c r="AF33" s="145">
        <f t="shared" si="5"/>
        <v>29.110726767583909</v>
      </c>
      <c r="AG33" s="772">
        <f>AC33+AD33+AE33+AF33+70</f>
        <v>134.44847220484792</v>
      </c>
      <c r="AH33" s="1253">
        <f t="shared" si="6"/>
        <v>16.427</v>
      </c>
      <c r="AI33" s="1253">
        <f t="shared" si="7"/>
        <v>17.126000000000001</v>
      </c>
      <c r="AJ33" s="156">
        <f t="shared" si="8"/>
        <v>29.033753423136027</v>
      </c>
      <c r="AK33" s="156">
        <f t="shared" si="9"/>
        <v>13.863708082674101</v>
      </c>
      <c r="AL33" s="88"/>
      <c r="AM33" s="716">
        <f t="shared" si="10"/>
        <v>1359.8486674623202</v>
      </c>
      <c r="AN33" s="716" t="str">
        <f>_xlfn.XLOOKUP(D33,RUC!$B$3:$B$578,RUC!$M$3:$M$578)</f>
        <v>Melchor Vera</v>
      </c>
      <c r="AO33" s="1167" t="s">
        <v>2278</v>
      </c>
      <c r="AP33" t="s">
        <v>3331</v>
      </c>
      <c r="AQ33" t="s">
        <v>3332</v>
      </c>
    </row>
    <row r="34" spans="1:44" ht="15" customHeight="1">
      <c r="A34" s="747" t="s">
        <v>3309</v>
      </c>
      <c r="B34" s="1447">
        <v>45967</v>
      </c>
      <c r="C34" s="1447">
        <v>45962</v>
      </c>
      <c r="D34" t="s">
        <v>1671</v>
      </c>
      <c r="E34" s="762">
        <f>_xlfn.XLOOKUP(D34,RUC!$B$3:$B$123,RUC!$D$3:$D$123)</f>
        <v>20517242919</v>
      </c>
      <c r="G34" s="1082">
        <v>35</v>
      </c>
      <c r="H34" s="762" t="s">
        <v>69</v>
      </c>
      <c r="I34" s="703">
        <v>2.89</v>
      </c>
      <c r="J34" s="596">
        <v>1.55</v>
      </c>
      <c r="K34" s="703">
        <f t="shared" si="0"/>
        <v>2.8450000000000002</v>
      </c>
      <c r="L34" s="1192">
        <v>0.20100000000000001</v>
      </c>
      <c r="M34" s="762">
        <v>0.19400000000000001</v>
      </c>
      <c r="N34" s="1196">
        <f t="shared" si="26"/>
        <v>0.19400000000000001</v>
      </c>
      <c r="O34" s="645">
        <f t="shared" si="11"/>
        <v>0.19400000000000001</v>
      </c>
      <c r="P34" s="727">
        <v>85</v>
      </c>
      <c r="Q34" s="1476">
        <v>97.01</v>
      </c>
      <c r="R34" s="706">
        <v>4013.2</v>
      </c>
      <c r="S34" s="765">
        <f>IF((_xlfn.XLOOKUP(D34,RUC!$B$3:$B$119,RUC!$E$3:$E$119)+ROUNDDOWN(O34,1)*100)&lt;95,95,((_xlfn.XLOOKUP(D34,RUC!$B$3:$B$119,RUC!$E$3:$E$119)+ROUNDDOWN(O34,1)*100)))</f>
        <v>95</v>
      </c>
      <c r="U34" s="1146">
        <f>_xlfn.XLOOKUP(D34,RUC!$B$3:$B$123,RUC!$F$3:$F$123)</f>
        <v>80</v>
      </c>
      <c r="V34" s="715">
        <v>1.1023000000000001</v>
      </c>
      <c r="Y34">
        <f>_xlfn.XLOOKUP(D34,RUC!$B$3:$B$123,RUC!$G$3:$G$123)</f>
        <v>0</v>
      </c>
      <c r="Z34" s="143">
        <f>_xlfn.XLOOKUP(D34,RUC!$B$3:$B$123,RUC!$H$3:$H$123)</f>
        <v>10</v>
      </c>
      <c r="AA34" s="144">
        <f t="shared" si="2"/>
        <v>10</v>
      </c>
      <c r="AB34" s="145">
        <f t="shared" si="27"/>
        <v>599.19339276400012</v>
      </c>
      <c r="AC34" s="145">
        <f>+(S34-T34)*V34-'data 1'!$F$4</f>
        <v>24.718500000000006</v>
      </c>
      <c r="AD34" s="145">
        <f t="shared" si="3"/>
        <v>104.66100548703605</v>
      </c>
      <c r="AE34" s="145">
        <f t="shared" si="4"/>
        <v>-58.977000000000004</v>
      </c>
      <c r="AF34" s="145">
        <f t="shared" si="5"/>
        <v>29.44153048085203</v>
      </c>
      <c r="AG34" s="772">
        <f>AC34+AD34+AE34+AF34+70</f>
        <v>169.84403596788809</v>
      </c>
      <c r="AH34" s="1253">
        <f t="shared" si="6"/>
        <v>19.02</v>
      </c>
      <c r="AI34" s="1253">
        <f t="shared" si="7"/>
        <v>19.606000000000002</v>
      </c>
      <c r="AJ34" s="156">
        <f t="shared" si="8"/>
        <v>40.150341294564043</v>
      </c>
      <c r="AK34" s="156">
        <f t="shared" si="9"/>
        <v>16.084664092471026</v>
      </c>
      <c r="AL34" s="88"/>
      <c r="AM34" s="716">
        <f t="shared" si="10"/>
        <v>1704.7052024135805</v>
      </c>
      <c r="AN34" s="716" t="str">
        <f>_xlfn.XLOOKUP(D34,RUC!$B$3:$B$578,RUC!$M$3:$M$578)</f>
        <v>Melchor Vera</v>
      </c>
      <c r="AO34" s="1167" t="s">
        <v>2277</v>
      </c>
      <c r="AP34" t="s">
        <v>3331</v>
      </c>
      <c r="AQ34" t="s">
        <v>3332</v>
      </c>
    </row>
    <row r="35" spans="1:44" ht="15" customHeight="1">
      <c r="A35" s="747" t="s">
        <v>3312</v>
      </c>
      <c r="B35" s="1447">
        <v>45967</v>
      </c>
      <c r="C35" s="1447">
        <v>45962</v>
      </c>
      <c r="D35" t="s">
        <v>1671</v>
      </c>
      <c r="E35" s="762">
        <f>_xlfn.XLOOKUP(D35,RUC!$B$3:$B$123,RUC!$D$3:$D$123)</f>
        <v>20517242919</v>
      </c>
      <c r="G35" s="1082">
        <v>40</v>
      </c>
      <c r="H35" s="762" t="s">
        <v>69</v>
      </c>
      <c r="I35" s="703">
        <v>3.63</v>
      </c>
      <c r="J35" s="596">
        <v>1.75</v>
      </c>
      <c r="K35" s="703">
        <f t="shared" si="0"/>
        <v>3.5659999999999998</v>
      </c>
      <c r="L35" s="1192">
        <v>0.14799999999999999</v>
      </c>
      <c r="M35" s="762">
        <v>0.14099999999999999</v>
      </c>
      <c r="N35" s="1196">
        <f t="shared" si="26"/>
        <v>0.14099999999999999</v>
      </c>
      <c r="O35" s="645">
        <f t="shared" si="11"/>
        <v>0.14099999999999999</v>
      </c>
      <c r="P35" s="727">
        <v>85</v>
      </c>
      <c r="Q35" s="1476">
        <v>94.59</v>
      </c>
      <c r="R35" s="706">
        <v>4013.2</v>
      </c>
      <c r="S35" s="765">
        <f>IF((_xlfn.XLOOKUP(D35,RUC!$B$3:$B$119,RUC!$E$3:$E$119)+ROUNDDOWN(O35,1)*100)&lt;95,95,((_xlfn.XLOOKUP(D35,RUC!$B$3:$B$119,RUC!$E$3:$E$119)+ROUNDDOWN(O35,1)*100)))</f>
        <v>95</v>
      </c>
      <c r="U35" s="1146">
        <f>_xlfn.XLOOKUP(D35,RUC!$B$3:$B$123,RUC!$F$3:$F$123)</f>
        <v>80</v>
      </c>
      <c r="V35" s="715">
        <v>1.1023000000000001</v>
      </c>
      <c r="Y35">
        <f>_xlfn.XLOOKUP(D35,RUC!$B$3:$B$123,RUC!$G$3:$G$123)</f>
        <v>0</v>
      </c>
      <c r="Z35" s="143">
        <f>_xlfn.XLOOKUP(D35,RUC!$B$3:$B$123,RUC!$H$3:$H$123)</f>
        <v>10</v>
      </c>
      <c r="AA35" s="144">
        <f t="shared" si="2"/>
        <v>10</v>
      </c>
      <c r="AB35" s="145">
        <f t="shared" si="27"/>
        <v>403.87612824599995</v>
      </c>
      <c r="AC35" s="145">
        <f>+(S35-T35)*V35-'data 1'!$F$4</f>
        <v>24.718500000000006</v>
      </c>
      <c r="AD35" s="145">
        <f t="shared" si="3"/>
        <v>61.535560460752023</v>
      </c>
      <c r="AE35" s="145">
        <f t="shared" si="4"/>
        <v>-58.977000000000004</v>
      </c>
      <c r="AF35" s="145">
        <f t="shared" si="5"/>
        <v>28.707085539468029</v>
      </c>
      <c r="AG35" s="772">
        <f>AC35+AD35+AE35+AF35+70</f>
        <v>125.98414600022005</v>
      </c>
      <c r="AH35" s="1253">
        <f t="shared" si="6"/>
        <v>17.116</v>
      </c>
      <c r="AI35" s="1253">
        <f t="shared" si="7"/>
        <v>18.094999999999999</v>
      </c>
      <c r="AJ35" s="156">
        <f t="shared" si="8"/>
        <v>28.825949414448033</v>
      </c>
      <c r="AK35" s="156">
        <f t="shared" si="9"/>
        <v>14.653064000288055</v>
      </c>
      <c r="AL35" s="88"/>
      <c r="AM35" s="716">
        <f t="shared" si="10"/>
        <v>1440.2222733252358</v>
      </c>
      <c r="AN35" s="716" t="str">
        <f>_xlfn.XLOOKUP(D35,RUC!$B$3:$B$578,RUC!$M$3:$M$578)</f>
        <v>Melchor Vera</v>
      </c>
      <c r="AO35" s="1167" t="s">
        <v>2278</v>
      </c>
      <c r="AP35" t="s">
        <v>3331</v>
      </c>
      <c r="AQ35" t="s">
        <v>3332</v>
      </c>
    </row>
    <row r="36" spans="1:44" ht="15" customHeight="1">
      <c r="A36" s="747" t="s">
        <v>3313</v>
      </c>
      <c r="B36" s="1447">
        <v>45967</v>
      </c>
      <c r="C36" s="1447">
        <v>45962</v>
      </c>
      <c r="D36" t="s">
        <v>1671</v>
      </c>
      <c r="E36" s="762">
        <f>_xlfn.XLOOKUP(D36,RUC!$B$3:$B$123,RUC!$D$3:$D$123)</f>
        <v>20517242919</v>
      </c>
      <c r="G36" s="1082">
        <v>40</v>
      </c>
      <c r="H36" s="762" t="s">
        <v>69</v>
      </c>
      <c r="I36" s="703">
        <v>3.63</v>
      </c>
      <c r="J36" s="596">
        <v>1.6</v>
      </c>
      <c r="K36" s="703">
        <f t="shared" si="0"/>
        <v>3.5720000000000001</v>
      </c>
      <c r="L36" s="1192">
        <v>0.157</v>
      </c>
      <c r="M36" s="994">
        <v>0.15</v>
      </c>
      <c r="N36" s="1196">
        <f t="shared" si="26"/>
        <v>0.15</v>
      </c>
      <c r="O36" s="645">
        <f t="shared" si="11"/>
        <v>0.15</v>
      </c>
      <c r="P36" s="727">
        <v>85</v>
      </c>
      <c r="Q36" s="1476">
        <v>93.63</v>
      </c>
      <c r="R36" s="706">
        <v>4013.2</v>
      </c>
      <c r="S36" s="765">
        <f>IF((_xlfn.XLOOKUP(D36,RUC!$B$3:$B$119,RUC!$E$3:$E$119)+ROUNDDOWN(O36,1)*100)&lt;95,95,((_xlfn.XLOOKUP(D36,RUC!$B$3:$B$119,RUC!$E$3:$E$119)+ROUNDDOWN(O36,1)*100)))</f>
        <v>95</v>
      </c>
      <c r="U36" s="1146">
        <f>_xlfn.XLOOKUP(D36,RUC!$B$3:$B$123,RUC!$F$3:$F$123)</f>
        <v>80</v>
      </c>
      <c r="V36" s="715">
        <v>1.1023000000000001</v>
      </c>
      <c r="Y36">
        <f>_xlfn.XLOOKUP(D36,RUC!$B$3:$B$123,RUC!$G$3:$G$123)</f>
        <v>0</v>
      </c>
      <c r="Z36" s="143">
        <f>_xlfn.XLOOKUP(D36,RUC!$B$3:$B$123,RUC!$H$3:$H$123)</f>
        <v>10</v>
      </c>
      <c r="AA36" s="144">
        <f t="shared" si="2"/>
        <v>10</v>
      </c>
      <c r="AB36" s="145">
        <f t="shared" si="27"/>
        <v>437.04321089999996</v>
      </c>
      <c r="AC36" s="145">
        <f>+(S36-T36)*V36-'data 1'!$F$4</f>
        <v>24.718500000000006</v>
      </c>
      <c r="AD36" s="145">
        <f t="shared" si="3"/>
        <v>58.743022168275978</v>
      </c>
      <c r="AE36" s="145">
        <f t="shared" si="4"/>
        <v>-58.977000000000004</v>
      </c>
      <c r="AF36" s="145">
        <f t="shared" si="5"/>
        <v>28.415735480076027</v>
      </c>
      <c r="AG36" s="772">
        <f>AC36+AD36+AE36+AF36+70</f>
        <v>122.90025764835201</v>
      </c>
      <c r="AH36" s="1253">
        <f t="shared" si="6"/>
        <v>18.003</v>
      </c>
      <c r="AI36" s="1253">
        <f t="shared" si="7"/>
        <v>19.227</v>
      </c>
      <c r="AJ36" s="156">
        <f t="shared" si="8"/>
        <v>30.268531761324031</v>
      </c>
      <c r="AK36" s="156">
        <f t="shared" si="9"/>
        <v>15.614594279611499</v>
      </c>
      <c r="AL36" s="88"/>
      <c r="AM36" s="716">
        <f t="shared" si="10"/>
        <v>1561.1183493347999</v>
      </c>
      <c r="AN36" s="716" t="str">
        <f>_xlfn.XLOOKUP(D36,RUC!$B$3:$B$578,RUC!$M$3:$M$578)</f>
        <v>Melchor Vera</v>
      </c>
      <c r="AO36" s="1167" t="s">
        <v>2278</v>
      </c>
      <c r="AP36" t="s">
        <v>3331</v>
      </c>
      <c r="AQ36" t="s">
        <v>3332</v>
      </c>
    </row>
    <row r="37" spans="1:44" ht="15" customHeight="1">
      <c r="A37" s="747" t="s">
        <v>3315</v>
      </c>
      <c r="B37" s="1447">
        <v>45967</v>
      </c>
      <c r="C37" s="1447">
        <v>45962</v>
      </c>
      <c r="D37" t="s">
        <v>1671</v>
      </c>
      <c r="E37" s="762">
        <f>_xlfn.XLOOKUP(D37,RUC!$B$3:$B$123,RUC!$D$3:$D$123)</f>
        <v>20517242919</v>
      </c>
      <c r="G37" s="1082">
        <v>56</v>
      </c>
      <c r="H37" s="762" t="s">
        <v>69</v>
      </c>
      <c r="I37" s="703">
        <v>5.04</v>
      </c>
      <c r="J37" s="596">
        <v>1.5</v>
      </c>
      <c r="K37" s="703">
        <f t="shared" si="0"/>
        <v>4.9640000000000004</v>
      </c>
      <c r="L37" s="1192">
        <v>0.17100000000000001</v>
      </c>
      <c r="M37" s="762">
        <f t="shared" ref="M37:M70" si="28">ROUND(+IF(AN37="Melchor Vera",IF(L37&gt;0.467,L37*0.985,(L37-0.007)),IF(L37&gt;0.3,L37*0.95,(L37-0.015))),3)</f>
        <v>0.16400000000000001</v>
      </c>
      <c r="N37" s="1196">
        <f t="shared" si="26"/>
        <v>0.16400000000000001</v>
      </c>
      <c r="O37" s="645">
        <f t="shared" si="11"/>
        <v>0.16400000000000001</v>
      </c>
      <c r="P37" s="727">
        <v>85</v>
      </c>
      <c r="Q37" s="1476">
        <v>94.74</v>
      </c>
      <c r="R37" s="706">
        <v>4013.2</v>
      </c>
      <c r="S37" s="765">
        <f>IF((_xlfn.XLOOKUP(D37,RUC!$B$3:$B$119,RUC!$E$3:$E$119)+ROUNDDOWN(O37,1)*100)&lt;95,95,((_xlfn.XLOOKUP(D37,RUC!$B$3:$B$119,RUC!$E$3:$E$119)+ROUNDDOWN(O37,1)*100)))</f>
        <v>95</v>
      </c>
      <c r="U37" s="1146">
        <f>_xlfn.XLOOKUP(D37,RUC!$B$3:$B$123,RUC!$F$3:$F$123)</f>
        <v>80</v>
      </c>
      <c r="V37" s="715">
        <v>1.1023000000000001</v>
      </c>
      <c r="Y37">
        <f>_xlfn.XLOOKUP(D37,RUC!$B$3:$B$123,RUC!$G$3:$G$123)</f>
        <v>0</v>
      </c>
      <c r="Z37" s="143">
        <f>_xlfn.XLOOKUP(D37,RUC!$B$3:$B$123,RUC!$H$3:$H$123)</f>
        <v>10</v>
      </c>
      <c r="AA37" s="144">
        <f t="shared" si="2"/>
        <v>10</v>
      </c>
      <c r="AB37" s="145">
        <f t="shared" si="27"/>
        <v>488.63645058400004</v>
      </c>
      <c r="AC37" s="145">
        <f>+(S37-T37)*V37-'data 1'!$F$4</f>
        <v>24.718500000000006</v>
      </c>
      <c r="AD37" s="145">
        <f t="shared" si="3"/>
        <v>72.210591952343975</v>
      </c>
      <c r="AE37" s="145">
        <f t="shared" si="4"/>
        <v>-58.977000000000004</v>
      </c>
      <c r="AF37" s="145">
        <f t="shared" si="5"/>
        <v>28.752608986248024</v>
      </c>
      <c r="AG37" s="772">
        <f>AC37+AD37+AE37+AF37+70</f>
        <v>136.704700938592</v>
      </c>
      <c r="AH37" s="1253">
        <f t="shared" si="6"/>
        <v>27.571999999999999</v>
      </c>
      <c r="AI37" s="1253">
        <f t="shared" si="7"/>
        <v>29.103000000000002</v>
      </c>
      <c r="AJ37" s="156">
        <f t="shared" si="8"/>
        <v>33.358473592056036</v>
      </c>
      <c r="AK37" s="156">
        <f t="shared" si="9"/>
        <v>23.724857679459884</v>
      </c>
      <c r="AL37" s="88"/>
      <c r="AM37" s="716">
        <f t="shared" si="10"/>
        <v>2425.5913406989766</v>
      </c>
      <c r="AN37" s="716" t="str">
        <f>_xlfn.XLOOKUP(D37,RUC!$B$3:$B$578,RUC!$M$3:$M$578)</f>
        <v>Melchor Vera</v>
      </c>
      <c r="AO37" s="1167" t="s">
        <v>2277</v>
      </c>
      <c r="AP37" t="s">
        <v>3331</v>
      </c>
      <c r="AQ37" t="s">
        <v>3332</v>
      </c>
    </row>
    <row r="38" spans="1:44" ht="15" customHeight="1">
      <c r="A38" s="747" t="s">
        <v>3338</v>
      </c>
      <c r="B38" s="1447">
        <v>45969</v>
      </c>
      <c r="C38" s="1447">
        <v>45962</v>
      </c>
      <c r="D38" t="s">
        <v>93</v>
      </c>
      <c r="E38" s="762">
        <f>_xlfn.XLOOKUP(D38,RUC!$B$3:$B$123,RUC!$D$3:$D$123)</f>
        <v>20169040231</v>
      </c>
      <c r="G38" s="1082">
        <v>20</v>
      </c>
      <c r="H38" s="762" t="s">
        <v>69</v>
      </c>
      <c r="I38" s="703">
        <v>1.73</v>
      </c>
      <c r="J38" s="596">
        <v>1.3</v>
      </c>
      <c r="K38" s="703">
        <f t="shared" si="0"/>
        <v>1.708</v>
      </c>
      <c r="L38" s="1192">
        <v>1.2490000000000001</v>
      </c>
      <c r="M38" s="994">
        <f t="shared" si="28"/>
        <v>1.1870000000000001</v>
      </c>
      <c r="N38" s="1196">
        <f t="shared" si="26"/>
        <v>1.1870000000000001</v>
      </c>
      <c r="O38" s="645">
        <f t="shared" si="11"/>
        <v>1.1870000000000001</v>
      </c>
      <c r="P38" s="727">
        <v>90</v>
      </c>
      <c r="Q38" s="1476">
        <v>95.92</v>
      </c>
      <c r="R38" s="706">
        <v>4011.5</v>
      </c>
      <c r="S38" s="765">
        <f>IF((_xlfn.XLOOKUP(D38,RUC!$B$3:$B$119,RUC!$E$3:$E$119)+ROUNDDOWN(O38,1)*100)&lt;95,95,((_xlfn.XLOOKUP(D38,RUC!$B$3:$B$119,RUC!$E$3:$E$119)+ROUNDDOWN(O38,1)*100)))</f>
        <v>195</v>
      </c>
      <c r="U38" s="1146">
        <f>_xlfn.XLOOKUP(D38,RUC!$B$3:$B$123,RUC!$F$3:$F$123)</f>
        <v>120</v>
      </c>
      <c r="V38" s="715">
        <v>1.1023000000000001</v>
      </c>
      <c r="Y38">
        <f>_xlfn.XLOOKUP(D38,RUC!$B$3:$B$123,RUC!$G$3:$G$123)</f>
        <v>20</v>
      </c>
      <c r="Z38" s="1454">
        <v>35</v>
      </c>
      <c r="AA38" s="144">
        <f t="shared" si="2"/>
        <v>55</v>
      </c>
      <c r="AB38" s="145">
        <f t="shared" si="27"/>
        <v>4307.0051607350006</v>
      </c>
      <c r="AC38" s="145">
        <f>+(S38-T38)*V38-'data 1'!$F$4</f>
        <v>134.94850000000002</v>
      </c>
      <c r="AD38" s="145">
        <f t="shared" si="3"/>
        <v>317.17648895336015</v>
      </c>
      <c r="AE38" s="145">
        <f t="shared" si="4"/>
        <v>-9.3734999999999999</v>
      </c>
      <c r="AF38" s="145">
        <f t="shared" si="5"/>
        <v>255.10425460168022</v>
      </c>
      <c r="AG38" s="772">
        <f>AC38+AD38+AE38+AF38+70-53</f>
        <v>714.85574355504036</v>
      </c>
      <c r="AH38" s="1253">
        <f t="shared" si="6"/>
        <v>70.156999999999996</v>
      </c>
      <c r="AI38" s="1253">
        <f t="shared" si="7"/>
        <v>73.141000000000005</v>
      </c>
      <c r="AJ38" s="156">
        <f t="shared" si="8"/>
        <v>301.75718542243999</v>
      </c>
      <c r="AK38" s="156">
        <f t="shared" si="9"/>
        <v>62.559052731916026</v>
      </c>
      <c r="AL38" s="88"/>
      <c r="AM38" s="716">
        <f t="shared" si="10"/>
        <v>7356.3648145353809</v>
      </c>
      <c r="AN38" s="716" t="str">
        <f>_xlfn.XLOOKUP(D38,RUC!$B$3:$B$578,RUC!$M$3:$M$578)</f>
        <v>Ronald Miranda</v>
      </c>
      <c r="AO38" s="1167" t="s">
        <v>2278</v>
      </c>
      <c r="AP38" t="s">
        <v>3333</v>
      </c>
      <c r="AQ38" t="s">
        <v>3334</v>
      </c>
    </row>
    <row r="39" spans="1:44" ht="15" customHeight="1">
      <c r="A39" s="1491" t="s">
        <v>3339</v>
      </c>
      <c r="B39" s="1542">
        <v>45969</v>
      </c>
      <c r="C39" s="1447">
        <v>45962</v>
      </c>
      <c r="D39" t="s">
        <v>93</v>
      </c>
      <c r="E39" s="762">
        <f>_xlfn.XLOOKUP(D39,RUC!$B$3:$B$123,RUC!$D$3:$D$123)</f>
        <v>20169040231</v>
      </c>
      <c r="G39" s="1082">
        <v>60</v>
      </c>
      <c r="H39" s="762" t="s">
        <v>69</v>
      </c>
      <c r="I39" s="703">
        <v>5.77</v>
      </c>
      <c r="J39" s="596">
        <v>1.4</v>
      </c>
      <c r="K39" s="703">
        <f t="shared" si="0"/>
        <v>5.6890000000000001</v>
      </c>
      <c r="L39" s="1192">
        <v>3.2000000000000001E-2</v>
      </c>
      <c r="M39" s="994">
        <f t="shared" si="28"/>
        <v>1.7000000000000001E-2</v>
      </c>
      <c r="N39" s="1196">
        <f t="shared" si="26"/>
        <v>1.7000000000000001E-2</v>
      </c>
      <c r="O39" s="645">
        <f t="shared" si="11"/>
        <v>1.7000000000000001E-2</v>
      </c>
      <c r="P39" s="727">
        <v>80</v>
      </c>
      <c r="Q39" s="1476">
        <v>96.88</v>
      </c>
      <c r="R39" s="706">
        <v>4011.5</v>
      </c>
      <c r="S39" s="765">
        <f>IF((_xlfn.XLOOKUP(D39,RUC!$B$3:$B$119,RUC!$E$3:$E$119)+ROUNDDOWN(O39,1)*100)&lt;95,95,((_xlfn.XLOOKUP(D39,RUC!$B$3:$B$119,RUC!$E$3:$E$119)+ROUNDDOWN(O39,1)*100)))</f>
        <v>95</v>
      </c>
      <c r="U39" s="1146">
        <f>_xlfn.XLOOKUP(D39,RUC!$B$3:$B$123,RUC!$F$3:$F$123)</f>
        <v>120</v>
      </c>
      <c r="V39" s="715">
        <v>1.1023000000000001</v>
      </c>
      <c r="Y39">
        <f>_xlfn.XLOOKUP(D39,RUC!$B$3:$B$123,RUC!$G$3:$G$123)</f>
        <v>20</v>
      </c>
      <c r="Z39" s="1454">
        <v>35</v>
      </c>
      <c r="AA39" s="144">
        <f t="shared" si="2"/>
        <v>55</v>
      </c>
      <c r="AB39" s="145">
        <v>1E-3</v>
      </c>
      <c r="AC39" s="145">
        <f>+(S39-T39)*V39-'data 1'!$F$4</f>
        <v>24.718500000000006</v>
      </c>
      <c r="AD39" s="145">
        <f t="shared" si="3"/>
        <v>23.17070579072</v>
      </c>
      <c r="AE39" s="145">
        <f t="shared" si="4"/>
        <v>-9.3734999999999999</v>
      </c>
      <c r="AF39" s="145">
        <f t="shared" si="5"/>
        <v>62.336473739399999</v>
      </c>
      <c r="AG39" s="772">
        <f>AC39+AD39+AE39+AF39+70-53-101</f>
        <v>16.852179530119997</v>
      </c>
      <c r="AH39" s="1253">
        <f t="shared" si="6"/>
        <v>6.0469999999999997</v>
      </c>
      <c r="AI39" s="1253">
        <f t="shared" si="7"/>
        <v>6.242</v>
      </c>
      <c r="AJ39" s="156">
        <f t="shared" si="8"/>
        <v>7.8085450508800012</v>
      </c>
      <c r="AK39" s="156">
        <f t="shared" si="9"/>
        <v>2.6526741875837199</v>
      </c>
      <c r="AL39" s="88"/>
      <c r="AM39" s="716">
        <f t="shared" si="10"/>
        <v>5.6890000000000005E-3</v>
      </c>
      <c r="AN39" s="716" t="str">
        <f>_xlfn.XLOOKUP(D39,RUC!$B$3:$B$578,RUC!$M$3:$M$578)</f>
        <v>Ronald Miranda</v>
      </c>
      <c r="AO39" s="1167" t="s">
        <v>2278</v>
      </c>
      <c r="AP39" t="s">
        <v>3333</v>
      </c>
      <c r="AQ39" t="s">
        <v>3334</v>
      </c>
      <c r="AR39" s="1512" t="s">
        <v>3350</v>
      </c>
    </row>
    <row r="40" spans="1:44" ht="15" customHeight="1">
      <c r="A40" s="747" t="s">
        <v>3340</v>
      </c>
      <c r="B40" s="1447">
        <v>45969</v>
      </c>
      <c r="C40" s="1447">
        <v>45962</v>
      </c>
      <c r="D40" t="s">
        <v>93</v>
      </c>
      <c r="E40" s="762">
        <f>_xlfn.XLOOKUP(D40,RUC!$B$3:$B$123,RUC!$D$3:$D$123)</f>
        <v>20169040231</v>
      </c>
      <c r="G40" s="1082">
        <v>40</v>
      </c>
      <c r="H40" s="762" t="s">
        <v>69</v>
      </c>
      <c r="I40" s="703">
        <v>4</v>
      </c>
      <c r="J40" s="596">
        <v>1.35</v>
      </c>
      <c r="K40" s="703">
        <f t="shared" si="0"/>
        <v>3.9460000000000002</v>
      </c>
      <c r="L40" s="1192">
        <v>0.18099999999999999</v>
      </c>
      <c r="M40" s="994">
        <f t="shared" si="28"/>
        <v>0.16600000000000001</v>
      </c>
      <c r="N40" s="1444">
        <v>0.20499999999999999</v>
      </c>
      <c r="O40" s="645">
        <f t="shared" si="11"/>
        <v>0.186</v>
      </c>
      <c r="P40" s="727">
        <v>90</v>
      </c>
      <c r="Q40" s="1476">
        <v>96.69</v>
      </c>
      <c r="R40" s="706">
        <v>4011.5</v>
      </c>
      <c r="S40" s="765">
        <f>IF((_xlfn.XLOOKUP(D40,RUC!$B$3:$B$119,RUC!$E$3:$E$119)+ROUNDDOWN(O40,1)*100)&lt;95,95,((_xlfn.XLOOKUP(D40,RUC!$B$3:$B$119,RUC!$E$3:$E$119)+ROUNDDOWN(O40,1)*100)))</f>
        <v>95</v>
      </c>
      <c r="U40" s="1146">
        <f>_xlfn.XLOOKUP(D40,RUC!$B$3:$B$123,RUC!$F$3:$F$123)</f>
        <v>120</v>
      </c>
      <c r="V40" s="715">
        <v>1.1023000000000001</v>
      </c>
      <c r="Y40">
        <f>_xlfn.XLOOKUP(D40,RUC!$B$3:$B$123,RUC!$G$3:$G$123)</f>
        <v>20</v>
      </c>
      <c r="Z40" s="1454">
        <v>35</v>
      </c>
      <c r="AA40" s="144">
        <f t="shared" si="2"/>
        <v>55</v>
      </c>
      <c r="AB40" s="145">
        <f t="shared" ref="AB40:AB70" si="29">+((O40*P40*(R40-U40)/100)-S40-AA40+T40)*V40</f>
        <v>552.7341153299999</v>
      </c>
      <c r="AC40" s="145">
        <f>+(S40-T40)*V40-'data 1'!$F$4</f>
        <v>24.718500000000006</v>
      </c>
      <c r="AD40" s="145">
        <f t="shared" si="3"/>
        <v>51.942342889004976</v>
      </c>
      <c r="AE40" s="145">
        <f t="shared" si="4"/>
        <v>-9.3734999999999999</v>
      </c>
      <c r="AF40" s="145">
        <f t="shared" si="5"/>
        <v>-20.738073375525019</v>
      </c>
      <c r="AG40" s="772">
        <f t="shared" ref="AG40:AG47" si="30">AC40+AD40+AE40+AF40+70-53</f>
        <v>63.549269513479956</v>
      </c>
      <c r="AH40" s="1253">
        <f t="shared" si="6"/>
        <v>23.677</v>
      </c>
      <c r="AI40" s="1253">
        <f t="shared" si="7"/>
        <v>24.488</v>
      </c>
      <c r="AJ40" s="156">
        <f t="shared" si="8"/>
        <v>44.080462942394995</v>
      </c>
      <c r="AK40" s="156">
        <f t="shared" si="9"/>
        <v>22.647569644463225</v>
      </c>
      <c r="AL40" s="88"/>
      <c r="AM40" s="716">
        <f t="shared" si="10"/>
        <v>2181.0888190921796</v>
      </c>
      <c r="AN40" s="716" t="str">
        <f>_xlfn.XLOOKUP(D40,RUC!$B$3:$B$578,RUC!$M$3:$M$578)</f>
        <v>Ronald Miranda</v>
      </c>
      <c r="AO40" s="1167" t="s">
        <v>2277</v>
      </c>
      <c r="AP40" t="s">
        <v>3333</v>
      </c>
      <c r="AQ40" t="s">
        <v>3334</v>
      </c>
    </row>
    <row r="41" spans="1:44" ht="15" customHeight="1">
      <c r="A41" s="747" t="s">
        <v>3341</v>
      </c>
      <c r="B41" s="1447">
        <v>45969</v>
      </c>
      <c r="C41" s="1447">
        <v>45962</v>
      </c>
      <c r="D41" t="s">
        <v>93</v>
      </c>
      <c r="E41" s="762">
        <f>_xlfn.XLOOKUP(D41,RUC!$B$3:$B$123,RUC!$D$3:$D$123)</f>
        <v>20169040231</v>
      </c>
      <c r="G41" s="1082">
        <v>51</v>
      </c>
      <c r="H41" s="762" t="s">
        <v>69</v>
      </c>
      <c r="I41" s="703">
        <v>4.6399999999999997</v>
      </c>
      <c r="J41" s="596">
        <v>1.3</v>
      </c>
      <c r="K41" s="703">
        <f t="shared" si="0"/>
        <v>4.58</v>
      </c>
      <c r="L41" s="1192">
        <v>0.16600000000000001</v>
      </c>
      <c r="M41" s="994">
        <f t="shared" si="28"/>
        <v>0.151</v>
      </c>
      <c r="N41" s="1196">
        <f t="shared" ref="N41:N49" si="31">+M41</f>
        <v>0.151</v>
      </c>
      <c r="O41" s="645">
        <f t="shared" si="11"/>
        <v>0.151</v>
      </c>
      <c r="P41" s="727">
        <v>90</v>
      </c>
      <c r="Q41" s="1476">
        <v>95.78</v>
      </c>
      <c r="R41" s="706">
        <v>4011.5</v>
      </c>
      <c r="S41" s="765">
        <f>IF((_xlfn.XLOOKUP(D41,RUC!$B$3:$B$119,RUC!$E$3:$E$119)+ROUNDDOWN(O41,1)*100)&lt;95,95,((_xlfn.XLOOKUP(D41,RUC!$B$3:$B$119,RUC!$E$3:$E$119)+ROUNDDOWN(O41,1)*100)))</f>
        <v>95</v>
      </c>
      <c r="U41" s="1146">
        <f>_xlfn.XLOOKUP(D41,RUC!$B$3:$B$123,RUC!$F$3:$F$123)</f>
        <v>120</v>
      </c>
      <c r="V41" s="715">
        <v>1.1023000000000001</v>
      </c>
      <c r="Y41">
        <f>_xlfn.XLOOKUP(D41,RUC!$B$3:$B$123,RUC!$G$3:$G$123)</f>
        <v>20</v>
      </c>
      <c r="Z41" s="1454">
        <v>35</v>
      </c>
      <c r="AA41" s="144">
        <f t="shared" si="2"/>
        <v>55</v>
      </c>
      <c r="AB41" s="145">
        <f t="shared" si="29"/>
        <v>417.61170115500011</v>
      </c>
      <c r="AC41" s="145">
        <f>+(S41-T41)*V41-'data 1'!$F$4</f>
        <v>24.718500000000006</v>
      </c>
      <c r="AD41" s="145">
        <f t="shared" si="3"/>
        <v>41.157858397660014</v>
      </c>
      <c r="AE41" s="145">
        <f t="shared" si="4"/>
        <v>-9.3734999999999999</v>
      </c>
      <c r="AF41" s="145">
        <f t="shared" si="5"/>
        <v>61.628689665150063</v>
      </c>
      <c r="AG41" s="772">
        <f t="shared" si="30"/>
        <v>135.13154806281008</v>
      </c>
      <c r="AH41" s="1253">
        <f t="shared" si="6"/>
        <v>24.966000000000001</v>
      </c>
      <c r="AI41" s="1253">
        <f t="shared" si="7"/>
        <v>26.065999999999999</v>
      </c>
      <c r="AJ41" s="156">
        <f t="shared" si="8"/>
        <v>40.046902697140006</v>
      </c>
      <c r="AK41" s="156">
        <f t="shared" si="9"/>
        <v>21.339979800857101</v>
      </c>
      <c r="AL41" s="88"/>
      <c r="AM41" s="716">
        <f t="shared" si="10"/>
        <v>1912.6615912899006</v>
      </c>
      <c r="AN41" s="716" t="str">
        <f>_xlfn.XLOOKUP(D41,RUC!$B$3:$B$578,RUC!$M$3:$M$578)</f>
        <v>Ronald Miranda</v>
      </c>
      <c r="AO41" s="1167" t="s">
        <v>2277</v>
      </c>
      <c r="AP41" t="s">
        <v>3333</v>
      </c>
      <c r="AQ41" t="s">
        <v>3334</v>
      </c>
    </row>
    <row r="42" spans="1:44" ht="15" customHeight="1">
      <c r="A42" s="747" t="s">
        <v>3342</v>
      </c>
      <c r="B42" s="1447">
        <v>45970</v>
      </c>
      <c r="C42" s="1447">
        <v>45962</v>
      </c>
      <c r="D42" t="s">
        <v>93</v>
      </c>
      <c r="E42" s="762">
        <f>_xlfn.XLOOKUP(D42,RUC!$B$3:$B$123,RUC!$D$3:$D$123)</f>
        <v>20169040231</v>
      </c>
      <c r="G42" s="1082">
        <v>28</v>
      </c>
      <c r="H42" s="762" t="s">
        <v>69</v>
      </c>
      <c r="I42" s="703">
        <v>2.4700000000000002</v>
      </c>
      <c r="J42" s="596">
        <v>1.2</v>
      </c>
      <c r="K42" s="703">
        <f t="shared" si="0"/>
        <v>2.44</v>
      </c>
      <c r="L42" s="1192">
        <v>0.55200000000000005</v>
      </c>
      <c r="M42" s="994">
        <f t="shared" si="28"/>
        <v>0.52400000000000002</v>
      </c>
      <c r="N42" s="1196">
        <f t="shared" si="31"/>
        <v>0.52400000000000002</v>
      </c>
      <c r="O42" s="645">
        <f t="shared" si="11"/>
        <v>0.52400000000000002</v>
      </c>
      <c r="P42" s="727">
        <v>90</v>
      </c>
      <c r="Q42" s="1476">
        <v>94.02</v>
      </c>
      <c r="R42" s="706">
        <v>4011.5</v>
      </c>
      <c r="S42" s="765">
        <f>IF((_xlfn.XLOOKUP(D42,RUC!$B$3:$B$119,RUC!$E$3:$E$119)+ROUNDDOWN(O42,1)*100)&lt;95,95,((_xlfn.XLOOKUP(D42,RUC!$B$3:$B$119,RUC!$E$3:$E$119)+ROUNDDOWN(O42,1)*100)))</f>
        <v>135</v>
      </c>
      <c r="U42" s="1146">
        <f>_xlfn.XLOOKUP(D42,RUC!$B$3:$B$123,RUC!$F$3:$F$123)</f>
        <v>120</v>
      </c>
      <c r="V42" s="715">
        <v>1.1023000000000001</v>
      </c>
      <c r="Y42">
        <f>_xlfn.XLOOKUP(D42,RUC!$B$3:$B$123,RUC!$G$3:$G$123)</f>
        <v>20</v>
      </c>
      <c r="Z42" s="1454">
        <v>35</v>
      </c>
      <c r="AA42" s="144">
        <f t="shared" si="2"/>
        <v>55</v>
      </c>
      <c r="AB42" s="145">
        <f t="shared" si="29"/>
        <v>1813.5385722200003</v>
      </c>
      <c r="AC42" s="145">
        <f>+(S42-T42)*V42-'data 1'!$F$4</f>
        <v>68.810500000000019</v>
      </c>
      <c r="AD42" s="145">
        <f t="shared" si="3"/>
        <v>95.187949825679922</v>
      </c>
      <c r="AE42" s="145">
        <f t="shared" si="4"/>
        <v>-9.3734999999999999</v>
      </c>
      <c r="AF42" s="145">
        <f t="shared" si="5"/>
        <v>112.92630560652009</v>
      </c>
      <c r="AG42" s="772">
        <f t="shared" si="30"/>
        <v>284.55125543220004</v>
      </c>
      <c r="AH42" s="1253">
        <f t="shared" si="6"/>
        <v>43.417000000000002</v>
      </c>
      <c r="AI42" s="1253">
        <f t="shared" si="7"/>
        <v>46.177999999999997</v>
      </c>
      <c r="AJ42" s="156">
        <f t="shared" si="8"/>
        <v>130.72099244472003</v>
      </c>
      <c r="AK42" s="156">
        <f t="shared" si="9"/>
        <v>39.452333170687204</v>
      </c>
      <c r="AL42" s="88"/>
      <c r="AM42" s="716">
        <f t="shared" si="10"/>
        <v>4425.0341162168006</v>
      </c>
      <c r="AN42" s="716" t="str">
        <f>_xlfn.XLOOKUP(D42,RUC!$B$3:$B$578,RUC!$M$3:$M$578)</f>
        <v>Ronald Miranda</v>
      </c>
      <c r="AO42" s="1167" t="s">
        <v>2278</v>
      </c>
      <c r="AP42" t="s">
        <v>3333</v>
      </c>
      <c r="AQ42" t="s">
        <v>3334</v>
      </c>
    </row>
    <row r="43" spans="1:44" ht="15" customHeight="1">
      <c r="A43" s="747" t="s">
        <v>3343</v>
      </c>
      <c r="B43" s="1543">
        <v>45970</v>
      </c>
      <c r="C43" s="1447">
        <v>45962</v>
      </c>
      <c r="D43" t="s">
        <v>93</v>
      </c>
      <c r="E43" s="762">
        <f>_xlfn.XLOOKUP(D43,RUC!$B$3:$B$123,RUC!$D$3:$D$123)</f>
        <v>20169040231</v>
      </c>
      <c r="G43" s="1082">
        <v>32</v>
      </c>
      <c r="H43" s="762" t="s">
        <v>69</v>
      </c>
      <c r="I43" s="703">
        <v>2.79</v>
      </c>
      <c r="J43" s="596">
        <v>1.25</v>
      </c>
      <c r="K43" s="703">
        <f t="shared" si="0"/>
        <v>2.7549999999999999</v>
      </c>
      <c r="L43" s="1192">
        <v>1.038</v>
      </c>
      <c r="M43" s="994">
        <f t="shared" si="28"/>
        <v>0.98599999999999999</v>
      </c>
      <c r="N43" s="1196">
        <f t="shared" si="31"/>
        <v>0.98599999999999999</v>
      </c>
      <c r="O43" s="645">
        <f t="shared" si="11"/>
        <v>0.98599999999999999</v>
      </c>
      <c r="P43" s="727">
        <v>90</v>
      </c>
      <c r="Q43" s="1476">
        <v>94.32</v>
      </c>
      <c r="R43" s="706">
        <v>4011.5</v>
      </c>
      <c r="S43" s="765">
        <f>IF((_xlfn.XLOOKUP(D43,RUC!$B$3:$B$119,RUC!$E$3:$E$119)+ROUNDDOWN(O43,1)*100)&lt;95,95,((_xlfn.XLOOKUP(D43,RUC!$B$3:$B$119,RUC!$E$3:$E$119)+ROUNDDOWN(O43,1)*100)))</f>
        <v>175</v>
      </c>
      <c r="U43" s="1146">
        <f>_xlfn.XLOOKUP(D43,RUC!$B$3:$B$123,RUC!$F$3:$F$123)</f>
        <v>120</v>
      </c>
      <c r="V43" s="715">
        <v>1.1023000000000001</v>
      </c>
      <c r="Y43">
        <f>_xlfn.XLOOKUP(D43,RUC!$B$3:$B$123,RUC!$G$3:$G$123)</f>
        <v>20</v>
      </c>
      <c r="Z43" s="1454">
        <v>35</v>
      </c>
      <c r="AA43" s="144">
        <f t="shared" si="2"/>
        <v>55</v>
      </c>
      <c r="AB43" s="145">
        <f t="shared" si="29"/>
        <v>3553.06243933</v>
      </c>
      <c r="AC43" s="145">
        <f>+(S43-T43)*V43-'data 1'!$F$4</f>
        <v>112.9025</v>
      </c>
      <c r="AD43" s="145">
        <f t="shared" si="3"/>
        <v>192.3525475387197</v>
      </c>
      <c r="AE43" s="145">
        <f t="shared" si="4"/>
        <v>-9.3734999999999999</v>
      </c>
      <c r="AF43" s="145">
        <f t="shared" si="5"/>
        <v>210.38945951088016</v>
      </c>
      <c r="AG43" s="772">
        <f t="shared" si="30"/>
        <v>523.27100704959992</v>
      </c>
      <c r="AH43" s="1253">
        <f t="shared" si="6"/>
        <v>92.477000000000004</v>
      </c>
      <c r="AI43" s="1253">
        <f t="shared" si="7"/>
        <v>98.046000000000006</v>
      </c>
      <c r="AJ43" s="156">
        <f t="shared" si="8"/>
        <v>246.59664147288001</v>
      </c>
      <c r="AK43" s="156">
        <f t="shared" si="9"/>
        <v>83.82047099459534</v>
      </c>
      <c r="AL43" s="88"/>
      <c r="AM43" s="716">
        <f t="shared" si="10"/>
        <v>9788.6870203541494</v>
      </c>
      <c r="AN43" s="716" t="str">
        <f>_xlfn.XLOOKUP(D43,RUC!$B$3:$B$578,RUC!$M$3:$M$578)</f>
        <v>Ronald Miranda</v>
      </c>
      <c r="AO43" s="1167" t="s">
        <v>2280</v>
      </c>
      <c r="AP43" t="s">
        <v>3333</v>
      </c>
      <c r="AQ43" t="s">
        <v>3334</v>
      </c>
    </row>
    <row r="44" spans="1:44" ht="15" customHeight="1">
      <c r="A44" s="747" t="s">
        <v>3344</v>
      </c>
      <c r="B44" s="1447">
        <v>45969</v>
      </c>
      <c r="C44" s="1447">
        <v>45962</v>
      </c>
      <c r="D44" t="s">
        <v>2608</v>
      </c>
      <c r="E44" s="762" t="e">
        <f>_xlfn.XLOOKUP(D44,RUC!$B$3:$B$123,RUC!$D$3:$D$123)</f>
        <v>#N/A</v>
      </c>
      <c r="G44" s="1082">
        <v>16</v>
      </c>
      <c r="H44" s="762" t="s">
        <v>108</v>
      </c>
      <c r="I44" s="703">
        <v>1.22</v>
      </c>
      <c r="J44" s="596">
        <v>1.3</v>
      </c>
      <c r="K44" s="703">
        <f t="shared" si="0"/>
        <v>1.204</v>
      </c>
      <c r="L44" s="1192">
        <v>0.65</v>
      </c>
      <c r="M44" s="994" t="e">
        <f t="shared" si="28"/>
        <v>#N/A</v>
      </c>
      <c r="N44" s="1196" t="e">
        <f t="shared" si="31"/>
        <v>#N/A</v>
      </c>
      <c r="O44" s="645" t="e">
        <f t="shared" si="11"/>
        <v>#N/A</v>
      </c>
      <c r="P44" s="727">
        <v>90</v>
      </c>
      <c r="Q44" s="1476">
        <v>94.77</v>
      </c>
      <c r="R44" s="706">
        <v>4011.5</v>
      </c>
      <c r="S44" s="765" t="e">
        <f>IF((_xlfn.XLOOKUP(D44,RUC!$B$3:$B$119,RUC!$E$3:$E$119)+ROUNDDOWN(O44,1)*100)&lt;95,95,((_xlfn.XLOOKUP(D44,RUC!$B$3:$B$119,RUC!$E$3:$E$119)+ROUNDDOWN(O44,1)*100)))</f>
        <v>#N/A</v>
      </c>
      <c r="U44" s="1146" t="e">
        <f>_xlfn.XLOOKUP(D44,RUC!$B$3:$B$123,RUC!$F$3:$F$123)</f>
        <v>#N/A</v>
      </c>
      <c r="V44" s="715">
        <v>1.1023000000000001</v>
      </c>
      <c r="Y44" t="e">
        <f>_xlfn.XLOOKUP(D44,RUC!$B$3:$B$123,RUC!$G$3:$G$123)</f>
        <v>#N/A</v>
      </c>
      <c r="Z44" s="143" t="e">
        <f>_xlfn.XLOOKUP(D44,RUC!$B$3:$B$123,RUC!$H$3:$H$123)</f>
        <v>#N/A</v>
      </c>
      <c r="AA44" s="144" t="e">
        <f t="shared" si="2"/>
        <v>#N/A</v>
      </c>
      <c r="AB44" s="145" t="e">
        <f t="shared" si="29"/>
        <v>#N/A</v>
      </c>
      <c r="AC44" s="145" t="e">
        <f>+(S44-T44)*V44-'data 1'!$F$4</f>
        <v>#N/A</v>
      </c>
      <c r="AD44" s="145" t="e">
        <f t="shared" si="3"/>
        <v>#N/A</v>
      </c>
      <c r="AE44" s="145" t="e">
        <f t="shared" si="4"/>
        <v>#N/A</v>
      </c>
      <c r="AF44" s="145" t="e">
        <f t="shared" si="5"/>
        <v>#N/A</v>
      </c>
      <c r="AG44" s="772" t="e">
        <f t="shared" si="30"/>
        <v>#N/A</v>
      </c>
      <c r="AH44" s="1253">
        <f t="shared" si="6"/>
        <v>25.428000000000001</v>
      </c>
      <c r="AI44" s="1253">
        <f t="shared" si="7"/>
        <v>26.832000000000001</v>
      </c>
      <c r="AJ44" s="156" t="e">
        <f t="shared" si="8"/>
        <v>#N/A</v>
      </c>
      <c r="AK44" s="156" t="e">
        <f t="shared" si="9"/>
        <v>#N/A</v>
      </c>
      <c r="AL44" s="88"/>
      <c r="AM44" s="716" t="e">
        <f t="shared" si="10"/>
        <v>#N/A</v>
      </c>
      <c r="AN44" s="716" t="e">
        <f>_xlfn.XLOOKUP(D44,RUC!$B$3:$B$578,RUC!$M$3:$M$578)</f>
        <v>#N/A</v>
      </c>
      <c r="AO44" s="1167" t="s">
        <v>2280</v>
      </c>
      <c r="AP44" t="s">
        <v>3322</v>
      </c>
      <c r="AQ44" t="s">
        <v>3335</v>
      </c>
    </row>
    <row r="45" spans="1:44" ht="15" customHeight="1">
      <c r="A45" s="747" t="s">
        <v>3345</v>
      </c>
      <c r="B45" s="1447">
        <v>45969</v>
      </c>
      <c r="C45" s="1447">
        <v>45962</v>
      </c>
      <c r="D45" t="s">
        <v>2444</v>
      </c>
      <c r="E45" s="762">
        <f>_xlfn.XLOOKUP(D45,RUC!$B$3:$B$123,RUC!$D$3:$D$123)</f>
        <v>20608774000</v>
      </c>
      <c r="G45" s="1082">
        <v>22</v>
      </c>
      <c r="H45" s="762" t="s">
        <v>108</v>
      </c>
      <c r="I45" s="703">
        <v>1.6</v>
      </c>
      <c r="J45" s="596">
        <v>14</v>
      </c>
      <c r="K45" s="703">
        <f t="shared" si="0"/>
        <v>1.3759999999999999</v>
      </c>
      <c r="L45" s="1192">
        <v>0.32100000000000001</v>
      </c>
      <c r="M45" s="994">
        <f t="shared" si="28"/>
        <v>0.30499999999999999</v>
      </c>
      <c r="N45" s="1196">
        <f t="shared" si="31"/>
        <v>0.30499999999999999</v>
      </c>
      <c r="O45" s="645">
        <f t="shared" si="11"/>
        <v>0.30499999999999999</v>
      </c>
      <c r="P45" s="727">
        <v>90</v>
      </c>
      <c r="Q45" s="1476">
        <v>96.88</v>
      </c>
      <c r="R45" s="706">
        <v>4011.5</v>
      </c>
      <c r="S45" s="765">
        <f>IF((_xlfn.XLOOKUP(D45,RUC!$B$3:$B$119,RUC!$E$3:$E$119)+ROUNDDOWN(O45,1)*100)&lt;95,95,((_xlfn.XLOOKUP(D45,RUC!$B$3:$B$119,RUC!$E$3:$E$119)+ROUNDDOWN(O45,1)*100)))</f>
        <v>115</v>
      </c>
      <c r="U45" s="1146">
        <f>_xlfn.XLOOKUP(D45,RUC!$B$3:$B$123,RUC!$F$3:$F$123)</f>
        <v>120</v>
      </c>
      <c r="V45" s="715">
        <v>1.1023000000000001</v>
      </c>
      <c r="Y45">
        <f>_xlfn.XLOOKUP(D45,RUC!$B$3:$B$123,RUC!$G$3:$G$123)</f>
        <v>20</v>
      </c>
      <c r="Z45" s="1454">
        <v>35</v>
      </c>
      <c r="AA45" s="144">
        <f t="shared" si="2"/>
        <v>55</v>
      </c>
      <c r="AB45" s="145">
        <f t="shared" si="29"/>
        <v>990.10432352500015</v>
      </c>
      <c r="AC45" s="145">
        <f>+(S45-T45)*V45-'data 1'!$F$4</f>
        <v>46.764500000000012</v>
      </c>
      <c r="AD45" s="145">
        <f t="shared" si="3"/>
        <v>94.734968018159947</v>
      </c>
      <c r="AE45" s="145">
        <f t="shared" si="4"/>
        <v>-9.3734999999999999</v>
      </c>
      <c r="AF45" s="145">
        <f t="shared" si="5"/>
        <v>66.492238655360055</v>
      </c>
      <c r="AG45" s="772">
        <f t="shared" si="30"/>
        <v>215.61820667352004</v>
      </c>
      <c r="AH45" s="1253">
        <f t="shared" si="6"/>
        <v>14.670999999999999</v>
      </c>
      <c r="AI45" s="1253">
        <f t="shared" si="7"/>
        <v>15.144</v>
      </c>
      <c r="AJ45" s="156">
        <f t="shared" si="8"/>
        <v>78.32946754164</v>
      </c>
      <c r="AK45" s="156">
        <f t="shared" si="9"/>
        <v>12.950002491141602</v>
      </c>
      <c r="AL45" s="88"/>
      <c r="AM45" s="716">
        <f t="shared" si="10"/>
        <v>1362.3835491704001</v>
      </c>
      <c r="AN45" s="716" t="str">
        <f>_xlfn.XLOOKUP(D45,RUC!$B$3:$B$578,RUC!$M$3:$M$578)</f>
        <v>Ronald Miranda</v>
      </c>
      <c r="AO45" s="1167" t="s">
        <v>2280</v>
      </c>
      <c r="AP45" t="s">
        <v>3336</v>
      </c>
      <c r="AQ45" t="s">
        <v>3337</v>
      </c>
    </row>
    <row r="46" spans="1:44" ht="15" customHeight="1">
      <c r="A46" s="747" t="s">
        <v>3346</v>
      </c>
      <c r="B46" s="1447">
        <v>45969</v>
      </c>
      <c r="C46" s="1447">
        <v>45962</v>
      </c>
      <c r="D46" t="s">
        <v>2444</v>
      </c>
      <c r="E46" s="762">
        <f>_xlfn.XLOOKUP(D46,RUC!$B$3:$B$123,RUC!$D$3:$D$123)</f>
        <v>20608774000</v>
      </c>
      <c r="G46" s="1082">
        <v>17</v>
      </c>
      <c r="H46" s="762" t="s">
        <v>2005</v>
      </c>
      <c r="I46" s="703">
        <v>1.59</v>
      </c>
      <c r="J46" s="596">
        <v>3.95</v>
      </c>
      <c r="K46" s="703">
        <f t="shared" si="0"/>
        <v>1.5269999999999999</v>
      </c>
      <c r="L46" s="1192">
        <v>0.629</v>
      </c>
      <c r="M46" s="994">
        <f t="shared" si="28"/>
        <v>0.59799999999999998</v>
      </c>
      <c r="N46" s="1196">
        <f t="shared" si="31"/>
        <v>0.59799999999999998</v>
      </c>
      <c r="O46" s="645">
        <f t="shared" si="11"/>
        <v>0.59799999999999998</v>
      </c>
      <c r="P46" s="727">
        <v>90</v>
      </c>
      <c r="Q46" s="1476">
        <v>95.04</v>
      </c>
      <c r="R46" s="706">
        <v>4011.5</v>
      </c>
      <c r="S46" s="765">
        <f>IF((_xlfn.XLOOKUP(D46,RUC!$B$3:$B$119,RUC!$E$3:$E$119)+ROUNDDOWN(O46,1)*100)&lt;95,95,((_xlfn.XLOOKUP(D46,RUC!$B$3:$B$119,RUC!$E$3:$E$119)+ROUNDDOWN(O46,1)*100)))</f>
        <v>135</v>
      </c>
      <c r="U46" s="1146">
        <f>_xlfn.XLOOKUP(D46,RUC!$B$3:$B$123,RUC!$F$3:$F$123)</f>
        <v>120</v>
      </c>
      <c r="V46" s="715">
        <v>1.1023000000000001</v>
      </c>
      <c r="Y46">
        <f>_xlfn.XLOOKUP(D46,RUC!$B$3:$B$123,RUC!$G$3:$G$123)</f>
        <v>20</v>
      </c>
      <c r="Z46" s="1454">
        <v>35</v>
      </c>
      <c r="AA46" s="144">
        <f t="shared" si="2"/>
        <v>55</v>
      </c>
      <c r="AB46" s="145">
        <f t="shared" si="29"/>
        <v>2099.2259621899998</v>
      </c>
      <c r="AC46" s="145">
        <f>+(S46-T46)*V46-'data 1'!$F$4</f>
        <v>68.810500000000019</v>
      </c>
      <c r="AD46" s="145">
        <f t="shared" si="3"/>
        <v>135.98719762572017</v>
      </c>
      <c r="AE46" s="145">
        <f t="shared" si="4"/>
        <v>-9.3734999999999999</v>
      </c>
      <c r="AF46" s="145">
        <f t="shared" si="5"/>
        <v>126.38192429808014</v>
      </c>
      <c r="AG46" s="772">
        <f t="shared" si="30"/>
        <v>338.80612192380033</v>
      </c>
      <c r="AH46" s="1253">
        <f t="shared" si="6"/>
        <v>31.297000000000001</v>
      </c>
      <c r="AI46" s="1253">
        <f t="shared" si="7"/>
        <v>32.930999999999997</v>
      </c>
      <c r="AJ46" s="156">
        <f t="shared" si="8"/>
        <v>150.57160679088003</v>
      </c>
      <c r="AK46" s="156">
        <f t="shared" si="9"/>
        <v>28.176808460674771</v>
      </c>
      <c r="AL46" s="88"/>
      <c r="AM46" s="716">
        <f t="shared" si="10"/>
        <v>3205.5180442641295</v>
      </c>
      <c r="AN46" s="716" t="str">
        <f>_xlfn.XLOOKUP(D46,RUC!$B$3:$B$578,RUC!$M$3:$M$578)</f>
        <v>Ronald Miranda</v>
      </c>
      <c r="AO46" s="1167" t="s">
        <v>2280</v>
      </c>
      <c r="AP46" t="s">
        <v>3336</v>
      </c>
      <c r="AQ46" t="s">
        <v>3337</v>
      </c>
    </row>
    <row r="47" spans="1:44" ht="15" customHeight="1">
      <c r="A47" s="747" t="s">
        <v>3347</v>
      </c>
      <c r="B47" s="1447">
        <v>45969</v>
      </c>
      <c r="C47" s="1447">
        <v>45962</v>
      </c>
      <c r="D47" t="s">
        <v>2444</v>
      </c>
      <c r="E47" s="762">
        <f>_xlfn.XLOOKUP(D47,RUC!$B$3:$B$123,RUC!$D$3:$D$123)</f>
        <v>20608774000</v>
      </c>
      <c r="G47" s="1082">
        <v>18</v>
      </c>
      <c r="H47" s="762" t="s">
        <v>2005</v>
      </c>
      <c r="I47" s="703">
        <v>1.64</v>
      </c>
      <c r="J47" s="596">
        <v>3.5</v>
      </c>
      <c r="K47" s="703">
        <f t="shared" si="0"/>
        <v>1.583</v>
      </c>
      <c r="L47" s="1192">
        <v>0.56799999999999995</v>
      </c>
      <c r="M47" s="994">
        <f t="shared" si="28"/>
        <v>0.54</v>
      </c>
      <c r="N47" s="1196">
        <f t="shared" si="31"/>
        <v>0.54</v>
      </c>
      <c r="O47" s="645">
        <f t="shared" si="11"/>
        <v>0.54</v>
      </c>
      <c r="P47" s="727">
        <v>90</v>
      </c>
      <c r="Q47" s="1476">
        <v>96.45</v>
      </c>
      <c r="R47" s="706">
        <v>4011.5</v>
      </c>
      <c r="S47" s="765">
        <f>IF((_xlfn.XLOOKUP(D47,RUC!$B$3:$B$119,RUC!$E$3:$E$119)+ROUNDDOWN(O47,1)*100)&lt;95,95,((_xlfn.XLOOKUP(D47,RUC!$B$3:$B$119,RUC!$E$3:$E$119)+ROUNDDOWN(O47,1)*100)))</f>
        <v>135</v>
      </c>
      <c r="U47" s="1146">
        <f>_xlfn.XLOOKUP(D47,RUC!$B$3:$B$123,RUC!$F$3:$F$123)</f>
        <v>120</v>
      </c>
      <c r="V47" s="715">
        <v>1.1023000000000001</v>
      </c>
      <c r="Y47">
        <f>_xlfn.XLOOKUP(D47,RUC!$B$3:$B$123,RUC!$G$3:$G$123)</f>
        <v>20</v>
      </c>
      <c r="Z47" s="1454">
        <v>35</v>
      </c>
      <c r="AA47" s="144">
        <f t="shared" si="2"/>
        <v>55</v>
      </c>
      <c r="AB47" s="145">
        <f t="shared" si="29"/>
        <v>1875.3088187000001</v>
      </c>
      <c r="AC47" s="145">
        <f>+(S47-T47)*V47-'data 1'!$F$4</f>
        <v>68.810500000000019</v>
      </c>
      <c r="AD47" s="145">
        <f t="shared" si="3"/>
        <v>157.15380208620005</v>
      </c>
      <c r="AE47" s="145">
        <f t="shared" si="4"/>
        <v>-9.3734999999999999</v>
      </c>
      <c r="AF47" s="145">
        <f t="shared" si="5"/>
        <v>115.84494975269965</v>
      </c>
      <c r="AG47" s="772">
        <f t="shared" si="30"/>
        <v>349.43575183889971</v>
      </c>
      <c r="AH47" s="1253">
        <f t="shared" si="6"/>
        <v>29.733000000000001</v>
      </c>
      <c r="AI47" s="1253">
        <f t="shared" si="7"/>
        <v>30.827999999999999</v>
      </c>
      <c r="AJ47" s="156">
        <f t="shared" si="8"/>
        <v>137.98649380979998</v>
      </c>
      <c r="AK47" s="156">
        <f t="shared" si="9"/>
        <v>26.377051871610906</v>
      </c>
      <c r="AL47" s="88"/>
      <c r="AM47" s="716">
        <f t="shared" si="10"/>
        <v>2968.6138600021</v>
      </c>
      <c r="AN47" s="716" t="str">
        <f>_xlfn.XLOOKUP(D47,RUC!$B$3:$B$578,RUC!$M$3:$M$578)</f>
        <v>Ronald Miranda</v>
      </c>
      <c r="AO47" s="1167" t="s">
        <v>2280</v>
      </c>
      <c r="AP47" t="s">
        <v>3336</v>
      </c>
      <c r="AQ47" t="s">
        <v>3337</v>
      </c>
    </row>
    <row r="48" spans="1:44" ht="15" customHeight="1">
      <c r="A48" s="747" t="s">
        <v>3352</v>
      </c>
      <c r="B48" s="1447">
        <v>45969</v>
      </c>
      <c r="C48" s="1447">
        <v>45966</v>
      </c>
      <c r="D48" t="s">
        <v>3358</v>
      </c>
      <c r="E48" s="762">
        <f>_xlfn.XLOOKUP(D48,RUC!$B$3:$B$123,RUC!$D$3:$D$123)</f>
        <v>20535021563</v>
      </c>
      <c r="G48" s="1082" t="s">
        <v>2985</v>
      </c>
      <c r="H48" s="762" t="s">
        <v>2005</v>
      </c>
      <c r="I48" s="703">
        <v>35.75</v>
      </c>
      <c r="J48">
        <v>16.25</v>
      </c>
      <c r="K48" s="703">
        <f t="shared" si="0"/>
        <v>29.940999999999999</v>
      </c>
      <c r="L48" s="1192">
        <v>0.28699999999999998</v>
      </c>
      <c r="M48" s="994">
        <f t="shared" si="28"/>
        <v>0.27200000000000002</v>
      </c>
      <c r="N48" s="1196">
        <f t="shared" si="31"/>
        <v>0.27200000000000002</v>
      </c>
      <c r="O48" s="645">
        <f t="shared" si="11"/>
        <v>0.27200000000000002</v>
      </c>
      <c r="P48" s="727">
        <v>90</v>
      </c>
      <c r="Q48" s="1476">
        <v>97.21</v>
      </c>
      <c r="R48" s="706">
        <v>3968.2</v>
      </c>
      <c r="S48" s="765">
        <f>IF((_xlfn.XLOOKUP(D48,RUC!$B$3:$B$119,RUC!$E$3:$E$119)+ROUNDDOWN(O48,1)*100)&lt;95,95,((_xlfn.XLOOKUP(D48,RUC!$B$3:$B$119,RUC!$E$3:$E$119)+ROUNDDOWN(O48,1)*100)))</f>
        <v>105</v>
      </c>
      <c r="U48" s="1146">
        <f>_xlfn.XLOOKUP(D48,RUC!$B$3:$B$123,RUC!$F$3:$F$123)</f>
        <v>100</v>
      </c>
      <c r="V48" s="715">
        <v>1.1023000000000001</v>
      </c>
      <c r="Y48">
        <f>_xlfn.XLOOKUP(D48,RUC!$B$3:$B$123,RUC!$G$3:$G$123)</f>
        <v>0</v>
      </c>
      <c r="Z48" s="143">
        <f>_xlfn.XLOOKUP(D48,RUC!$B$3:$B$123,RUC!$H$3:$H$123)</f>
        <v>30</v>
      </c>
      <c r="AA48" s="144">
        <f t="shared" si="2"/>
        <v>30</v>
      </c>
      <c r="AB48" s="145">
        <f t="shared" si="29"/>
        <v>894.99634732799996</v>
      </c>
      <c r="AC48" s="145">
        <f>+(S48-T48)*V48-'data 1'!$F$4</f>
        <v>35.741500000000002</v>
      </c>
      <c r="AD48" s="145">
        <f t="shared" si="3"/>
        <v>88.231952408921927</v>
      </c>
      <c r="AE48" s="145">
        <f t="shared" si="4"/>
        <v>-36.930999999999997</v>
      </c>
      <c r="AF48" s="145">
        <f t="shared" si="5"/>
        <v>62.174303694089822</v>
      </c>
      <c r="AG48" s="772">
        <f>AC48+AD48+AE48+AF48+70-65</f>
        <v>154.21675610301176</v>
      </c>
      <c r="AH48" s="1253">
        <f t="shared" si="6"/>
        <v>286.39699999999999</v>
      </c>
      <c r="AI48" s="1253">
        <f t="shared" si="7"/>
        <v>294.61700000000002</v>
      </c>
      <c r="AJ48" s="156">
        <f t="shared" si="8"/>
        <v>77.436973878278039</v>
      </c>
      <c r="AK48" s="156">
        <f t="shared" si="9"/>
        <v>251.29669912251623</v>
      </c>
      <c r="AL48" s="88"/>
      <c r="AM48" s="716">
        <f t="shared" si="10"/>
        <v>26797.085635347645</v>
      </c>
      <c r="AN48" s="716" t="str">
        <f>_xlfn.XLOOKUP(D48,RUC!$B$3:$B$578,RUC!$M$3:$M$578)</f>
        <v>Alfred Torres  *</v>
      </c>
      <c r="AO48" s="1167" t="s">
        <v>2278</v>
      </c>
      <c r="AP48" t="s">
        <v>3374</v>
      </c>
      <c r="AQ48" t="s">
        <v>3373</v>
      </c>
    </row>
    <row r="49" spans="1:43" ht="15" customHeight="1">
      <c r="A49" s="747" t="s">
        <v>3353</v>
      </c>
      <c r="B49" s="1447">
        <v>45969</v>
      </c>
      <c r="C49" s="1447">
        <v>45966</v>
      </c>
      <c r="D49" t="s">
        <v>3358</v>
      </c>
      <c r="E49" s="762">
        <f>_xlfn.XLOOKUP(D49,RUC!$B$3:$B$123,RUC!$D$3:$D$123)</f>
        <v>20535021563</v>
      </c>
      <c r="G49" s="1082" t="s">
        <v>2985</v>
      </c>
      <c r="H49" s="762" t="s">
        <v>2005</v>
      </c>
      <c r="I49" s="703">
        <v>37.909999999999997</v>
      </c>
      <c r="J49">
        <v>15.2</v>
      </c>
      <c r="K49" s="703">
        <f t="shared" si="0"/>
        <v>32.148000000000003</v>
      </c>
      <c r="L49" s="1192">
        <v>0.26300000000000001</v>
      </c>
      <c r="M49" s="994">
        <f t="shared" si="28"/>
        <v>0.248</v>
      </c>
      <c r="N49" s="1196">
        <f t="shared" si="31"/>
        <v>0.248</v>
      </c>
      <c r="O49" s="645">
        <f t="shared" si="11"/>
        <v>0.248</v>
      </c>
      <c r="P49" s="727">
        <v>90</v>
      </c>
      <c r="Q49" s="1476">
        <v>92.4</v>
      </c>
      <c r="R49" s="706">
        <v>3968.2</v>
      </c>
      <c r="S49" s="765">
        <f>IF((_xlfn.XLOOKUP(D49,RUC!$B$3:$B$119,RUC!$E$3:$E$119)+ROUNDDOWN(O49,1)*100)&lt;95,95,((_xlfn.XLOOKUP(D49,RUC!$B$3:$B$119,RUC!$E$3:$E$119)+ROUNDDOWN(O49,1)*100)))</f>
        <v>105</v>
      </c>
      <c r="U49" s="1146">
        <f>_xlfn.XLOOKUP(D49,RUC!$B$3:$B$123,RUC!$F$3:$F$123)</f>
        <v>100</v>
      </c>
      <c r="V49" s="715">
        <v>1.1023000000000001</v>
      </c>
      <c r="Y49">
        <f>_xlfn.XLOOKUP(D49,RUC!$B$3:$B$123,RUC!$G$3:$G$123)</f>
        <v>0</v>
      </c>
      <c r="Z49" s="143">
        <f>_xlfn.XLOOKUP(D49,RUC!$B$3:$B$123,RUC!$H$3:$H$123)</f>
        <v>30</v>
      </c>
      <c r="AA49" s="144">
        <f t="shared" si="2"/>
        <v>30</v>
      </c>
      <c r="AB49" s="145">
        <f t="shared" si="29"/>
        <v>802.89574315200002</v>
      </c>
      <c r="AC49" s="145">
        <f>+(S49-T49)*V49-'data 1'!$F$4</f>
        <v>35.741500000000002</v>
      </c>
      <c r="AD49" s="145">
        <f t="shared" si="3"/>
        <v>26.913843220320068</v>
      </c>
      <c r="AE49" s="145">
        <f t="shared" si="4"/>
        <v>-36.930999999999997</v>
      </c>
      <c r="AF49" s="145">
        <f t="shared" si="5"/>
        <v>59.097887679600056</v>
      </c>
      <c r="AG49" s="772">
        <f>AC49+AD49+AE49+AF49+70-65</f>
        <v>89.822230899920129</v>
      </c>
      <c r="AH49" s="1253">
        <f t="shared" si="6"/>
        <v>267.84899999999999</v>
      </c>
      <c r="AI49" s="1253">
        <f t="shared" si="7"/>
        <v>289.88</v>
      </c>
      <c r="AJ49" s="156">
        <f t="shared" si="8"/>
        <v>67.45020172968006</v>
      </c>
      <c r="AK49" s="156">
        <f t="shared" si="9"/>
        <v>246.01252540300854</v>
      </c>
      <c r="AL49" s="88"/>
      <c r="AM49" s="716">
        <f t="shared" si="10"/>
        <v>25811.492350850498</v>
      </c>
      <c r="AN49" s="716" t="str">
        <f>_xlfn.XLOOKUP(D49,RUC!$B$3:$B$578,RUC!$M$3:$M$578)</f>
        <v>Alfred Torres  *</v>
      </c>
      <c r="AO49" s="1167" t="s">
        <v>2277</v>
      </c>
      <c r="AP49" t="s">
        <v>3374</v>
      </c>
      <c r="AQ49" t="s">
        <v>3373</v>
      </c>
    </row>
    <row r="50" spans="1:43" ht="15" customHeight="1">
      <c r="A50" s="747" t="s">
        <v>3354</v>
      </c>
      <c r="B50" s="1447">
        <v>45969</v>
      </c>
      <c r="C50" s="1447">
        <v>45966</v>
      </c>
      <c r="D50" t="s">
        <v>3358</v>
      </c>
      <c r="E50" s="762">
        <f>_xlfn.XLOOKUP(D50,RUC!$B$3:$B$123,RUC!$D$3:$D$123)</f>
        <v>20535021563</v>
      </c>
      <c r="G50" s="1082" t="s">
        <v>2985</v>
      </c>
      <c r="H50" s="762" t="s">
        <v>2005</v>
      </c>
      <c r="I50" s="703">
        <v>37.049999999999997</v>
      </c>
      <c r="J50" s="596">
        <v>15.08</v>
      </c>
      <c r="K50" s="703">
        <f t="shared" si="0"/>
        <v>31.463000000000001</v>
      </c>
      <c r="L50" s="1192">
        <v>0.26200000000000001</v>
      </c>
      <c r="M50" s="994">
        <f t="shared" si="28"/>
        <v>0.247</v>
      </c>
      <c r="N50" s="1444">
        <v>0.32500000000000001</v>
      </c>
      <c r="O50" s="645">
        <f t="shared" si="11"/>
        <v>0.28599999999999998</v>
      </c>
      <c r="P50" s="727">
        <v>90</v>
      </c>
      <c r="Q50" s="1476">
        <v>96.18</v>
      </c>
      <c r="R50" s="706">
        <v>3968.2</v>
      </c>
      <c r="S50" s="765">
        <f>IF((_xlfn.XLOOKUP(D50,RUC!$B$3:$B$119,RUC!$E$3:$E$119)+ROUNDDOWN(O50,1)*100)&lt;95,95,((_xlfn.XLOOKUP(D50,RUC!$B$3:$B$119,RUC!$E$3:$E$119)+ROUNDDOWN(O50,1)*100)))</f>
        <v>105</v>
      </c>
      <c r="U50" s="1146">
        <f>_xlfn.XLOOKUP(D50,RUC!$B$3:$B$123,RUC!$F$3:$F$123)</f>
        <v>100</v>
      </c>
      <c r="V50" s="715">
        <v>1.1023000000000001</v>
      </c>
      <c r="Y50">
        <f>_xlfn.XLOOKUP(D50,RUC!$B$3:$B$123,RUC!$G$3:$G$123)</f>
        <v>0</v>
      </c>
      <c r="Z50" s="143">
        <f>_xlfn.XLOOKUP(D50,RUC!$B$3:$B$123,RUC!$H$3:$H$123)</f>
        <v>30</v>
      </c>
      <c r="AA50" s="144">
        <f t="shared" si="2"/>
        <v>30</v>
      </c>
      <c r="AB50" s="145">
        <f t="shared" si="29"/>
        <v>948.72169976400005</v>
      </c>
      <c r="AC50" s="145">
        <f>+(S50-T50)*V50-'data 1'!$F$4</f>
        <v>35.741500000000002</v>
      </c>
      <c r="AD50" s="145">
        <f t="shared" si="3"/>
        <v>69.039636230376075</v>
      </c>
      <c r="AE50" s="145">
        <f t="shared" si="4"/>
        <v>-36.930999999999997</v>
      </c>
      <c r="AF50" s="145">
        <f t="shared" si="5"/>
        <v>-98.424845662751892</v>
      </c>
      <c r="AG50" s="772">
        <f>AC50+AD50+AE50+AF50+70-65</f>
        <v>-25.574709432375812</v>
      </c>
      <c r="AH50" s="1253">
        <f t="shared" si="6"/>
        <v>271.82900000000001</v>
      </c>
      <c r="AI50" s="1253">
        <f t="shared" si="7"/>
        <v>282.625</v>
      </c>
      <c r="AJ50" s="156">
        <f t="shared" si="8"/>
        <v>69.942571783224068</v>
      </c>
      <c r="AK50" s="156">
        <f t="shared" si="9"/>
        <v>277.66282766949439</v>
      </c>
      <c r="AL50" s="88"/>
      <c r="AM50" s="716">
        <f t="shared" si="10"/>
        <v>29849.630839674734</v>
      </c>
      <c r="AN50" s="716" t="str">
        <f>_xlfn.XLOOKUP(D50,RUC!$B$3:$B$578,RUC!$M$3:$M$578)</f>
        <v>Alfred Torres  *</v>
      </c>
      <c r="AO50" s="1167" t="s">
        <v>2278</v>
      </c>
      <c r="AP50" t="s">
        <v>3374</v>
      </c>
      <c r="AQ50" t="s">
        <v>3373</v>
      </c>
    </row>
    <row r="51" spans="1:43" ht="15" customHeight="1">
      <c r="A51" s="747" t="s">
        <v>3355</v>
      </c>
      <c r="B51" s="1447">
        <v>45969</v>
      </c>
      <c r="C51" s="1447">
        <v>45966</v>
      </c>
      <c r="D51" t="s">
        <v>3358</v>
      </c>
      <c r="E51" s="762">
        <f>_xlfn.XLOOKUP(D51,RUC!$B$3:$B$123,RUC!$D$3:$D$123)</f>
        <v>20535021563</v>
      </c>
      <c r="G51" s="1082" t="s">
        <v>2985</v>
      </c>
      <c r="H51" s="762" t="s">
        <v>2005</v>
      </c>
      <c r="I51" s="703">
        <v>38.01</v>
      </c>
      <c r="J51" s="596">
        <v>14.7</v>
      </c>
      <c r="K51" s="703">
        <f t="shared" si="0"/>
        <v>32.423000000000002</v>
      </c>
      <c r="L51" s="1192">
        <v>0.28000000000000003</v>
      </c>
      <c r="M51" s="994">
        <f t="shared" si="28"/>
        <v>0.26500000000000001</v>
      </c>
      <c r="N51" s="1196">
        <f t="shared" ref="N51:N70" si="32">+M51</f>
        <v>0.26500000000000001</v>
      </c>
      <c r="O51" s="645">
        <f t="shared" si="11"/>
        <v>0.26500000000000001</v>
      </c>
      <c r="P51" s="727">
        <v>90</v>
      </c>
      <c r="Q51" s="1476">
        <v>95</v>
      </c>
      <c r="R51" s="706">
        <v>3968.2</v>
      </c>
      <c r="S51" s="765">
        <f>IF((_xlfn.XLOOKUP(D51,RUC!$B$3:$B$119,RUC!$E$3:$E$119)+ROUNDDOWN(O51,1)*100)&lt;95,95,((_xlfn.XLOOKUP(D51,RUC!$B$3:$B$119,RUC!$E$3:$E$119)+ROUNDDOWN(O51,1)*100)))</f>
        <v>105</v>
      </c>
      <c r="U51" s="1146">
        <f>_xlfn.XLOOKUP(D51,RUC!$B$3:$B$123,RUC!$F$3:$F$123)</f>
        <v>100</v>
      </c>
      <c r="V51" s="715">
        <v>1.1023000000000001</v>
      </c>
      <c r="Y51">
        <f>_xlfn.XLOOKUP(D51,RUC!$B$3:$B$123,RUC!$G$3:$G$123)</f>
        <v>0</v>
      </c>
      <c r="Z51" s="143">
        <f>_xlfn.XLOOKUP(D51,RUC!$B$3:$B$123,RUC!$H$3:$H$123)</f>
        <v>30</v>
      </c>
      <c r="AA51" s="144">
        <f t="shared" si="2"/>
        <v>30</v>
      </c>
      <c r="AB51" s="145">
        <f t="shared" si="29"/>
        <v>868.13367111000014</v>
      </c>
      <c r="AC51" s="145">
        <f>+(S51-T51)*V51-'data 1'!$F$4</f>
        <v>35.741500000000002</v>
      </c>
      <c r="AD51" s="145">
        <f t="shared" si="3"/>
        <v>59.694836040000013</v>
      </c>
      <c r="AE51" s="145">
        <f t="shared" si="4"/>
        <v>-36.930999999999997</v>
      </c>
      <c r="AF51" s="145">
        <f t="shared" si="5"/>
        <v>60.76081525500004</v>
      </c>
      <c r="AG51" s="772">
        <f>AC51+AD51+AE51+AF51+70-65</f>
        <v>124.26615129500004</v>
      </c>
      <c r="AH51" s="1253">
        <f t="shared" si="6"/>
        <v>295.69499999999999</v>
      </c>
      <c r="AI51" s="1253">
        <f t="shared" si="7"/>
        <v>311.25799999999998</v>
      </c>
      <c r="AJ51" s="156">
        <f t="shared" si="8"/>
        <v>73.830731240000063</v>
      </c>
      <c r="AK51" s="156">
        <f t="shared" si="9"/>
        <v>265.12498011371827</v>
      </c>
      <c r="AL51" s="88"/>
      <c r="AM51" s="716">
        <f t="shared" si="10"/>
        <v>28147.498018399536</v>
      </c>
      <c r="AN51" s="716" t="str">
        <f>_xlfn.XLOOKUP(D51,RUC!$B$3:$B$578,RUC!$M$3:$M$578)</f>
        <v>Alfred Torres  *</v>
      </c>
      <c r="AO51" s="1167" t="s">
        <v>2277</v>
      </c>
      <c r="AP51" t="s">
        <v>3374</v>
      </c>
      <c r="AQ51" t="s">
        <v>3373</v>
      </c>
    </row>
    <row r="52" spans="1:43" ht="15" customHeight="1">
      <c r="A52" s="747" t="s">
        <v>3356</v>
      </c>
      <c r="B52" s="1447">
        <v>45974</v>
      </c>
      <c r="C52" s="1447">
        <v>45966</v>
      </c>
      <c r="D52" t="s">
        <v>1484</v>
      </c>
      <c r="E52" s="762">
        <f>_xlfn.XLOOKUP(D52,RUC!$B$3:$B$123,RUC!$D$3:$D$123)</f>
        <v>10761932735</v>
      </c>
      <c r="G52" s="1082" t="s">
        <v>2985</v>
      </c>
      <c r="H52" s="762" t="s">
        <v>2005</v>
      </c>
      <c r="I52" s="703">
        <v>25.82</v>
      </c>
      <c r="J52" s="596">
        <v>16.649999999999999</v>
      </c>
      <c r="K52" s="703">
        <f t="shared" si="0"/>
        <v>21.521000000000001</v>
      </c>
      <c r="L52" s="1192">
        <v>0.17899999999999999</v>
      </c>
      <c r="M52" s="994">
        <f t="shared" si="28"/>
        <v>0.16400000000000001</v>
      </c>
      <c r="N52" s="1196">
        <f t="shared" si="32"/>
        <v>0.16400000000000001</v>
      </c>
      <c r="O52" s="645">
        <f t="shared" si="11"/>
        <v>0.16400000000000001</v>
      </c>
      <c r="P52" s="727">
        <v>90</v>
      </c>
      <c r="Q52" s="1476">
        <v>91.62</v>
      </c>
      <c r="R52" s="706">
        <v>3968.2</v>
      </c>
      <c r="S52" s="765">
        <f>IF((_xlfn.XLOOKUP(D52,RUC!$B$3:$B$119,RUC!$E$3:$E$119)+ROUNDDOWN(O52,1)*100)&lt;95,95,((_xlfn.XLOOKUP(D52,RUC!$B$3:$B$119,RUC!$E$3:$E$119)+ROUNDDOWN(O52,1)*100)))</f>
        <v>100</v>
      </c>
      <c r="U52" s="1146">
        <f>_xlfn.XLOOKUP(D52,RUC!$B$3:$B$123,RUC!$F$3:$F$123)</f>
        <v>120</v>
      </c>
      <c r="V52" s="715">
        <v>1.1023000000000001</v>
      </c>
      <c r="Y52">
        <f>_xlfn.XLOOKUP(D52,RUC!$B$3:$B$123,RUC!$G$3:$G$123)</f>
        <v>20</v>
      </c>
      <c r="Z52" s="143">
        <f>_xlfn.XLOOKUP(D52,RUC!$B$3:$B$123,RUC!$H$3:$H$123)</f>
        <v>30</v>
      </c>
      <c r="AA52" s="144">
        <f t="shared" si="2"/>
        <v>50</v>
      </c>
      <c r="AB52" s="145">
        <f t="shared" si="29"/>
        <v>460.75513893599992</v>
      </c>
      <c r="AC52" s="145">
        <f>+(S52-T52)*V52-'data 1'!$F$4</f>
        <v>30.230000000000004</v>
      </c>
      <c r="AD52" s="145">
        <f t="shared" si="3"/>
        <v>12.300577119828032</v>
      </c>
      <c r="AE52" s="145">
        <f t="shared" si="4"/>
        <v>-14.884999999999998</v>
      </c>
      <c r="AF52" s="145">
        <f t="shared" si="5"/>
        <v>58.296031228979956</v>
      </c>
      <c r="AG52" s="772">
        <f t="shared" ref="AG52:AG60" si="33">AC52+AD52+AE52+AF52+70-53</f>
        <v>102.94160834880799</v>
      </c>
      <c r="AH52" s="1253">
        <f t="shared" si="6"/>
        <v>121.008</v>
      </c>
      <c r="AI52" s="1253">
        <f t="shared" si="7"/>
        <v>132.07599999999999</v>
      </c>
      <c r="AJ52" s="156">
        <f t="shared" si="8"/>
        <v>49.135183038972038</v>
      </c>
      <c r="AK52" s="156">
        <f t="shared" si="9"/>
        <v>108.90752142666979</v>
      </c>
      <c r="AL52" s="88"/>
      <c r="AM52" s="716">
        <f t="shared" si="10"/>
        <v>9915.9113450416553</v>
      </c>
      <c r="AN52" s="716" t="str">
        <f>_xlfn.XLOOKUP(D52,RUC!$B$3:$B$578,RUC!$M$3:$M$578)</f>
        <v>Richard Sapacayo</v>
      </c>
      <c r="AO52" s="1167" t="s">
        <v>2279</v>
      </c>
      <c r="AP52" t="s">
        <v>3411</v>
      </c>
      <c r="AQ52" t="s">
        <v>3412</v>
      </c>
    </row>
    <row r="53" spans="1:43" ht="15" customHeight="1">
      <c r="A53" s="747" t="s">
        <v>3357</v>
      </c>
      <c r="B53" s="1447">
        <v>45974</v>
      </c>
      <c r="C53" s="1447">
        <v>45967</v>
      </c>
      <c r="D53" t="s">
        <v>2368</v>
      </c>
      <c r="E53" s="762">
        <f>_xlfn.XLOOKUP(D53,RUC!$B$3:$B$123,RUC!$D$3:$D$123)</f>
        <v>20612719757</v>
      </c>
      <c r="G53" s="1082">
        <v>34</v>
      </c>
      <c r="H53" s="762" t="s">
        <v>2005</v>
      </c>
      <c r="I53" s="703">
        <v>2.7</v>
      </c>
      <c r="J53" s="596">
        <v>17.2</v>
      </c>
      <c r="K53" s="703">
        <f t="shared" si="0"/>
        <v>2.2360000000000002</v>
      </c>
      <c r="L53" s="762">
        <v>0.34699999999999998</v>
      </c>
      <c r="M53" s="994">
        <f t="shared" si="28"/>
        <v>0.33</v>
      </c>
      <c r="N53" s="1196">
        <f t="shared" si="32"/>
        <v>0.33</v>
      </c>
      <c r="O53" s="645">
        <f t="shared" si="11"/>
        <v>0.33</v>
      </c>
      <c r="P53" s="727">
        <v>90</v>
      </c>
      <c r="Q53" s="1476">
        <v>91.93</v>
      </c>
      <c r="R53" s="706">
        <v>3986.5</v>
      </c>
      <c r="S53" s="765">
        <f>IF((_xlfn.XLOOKUP(D53,RUC!$B$3:$B$119,RUC!$E$3:$E$119)+ROUNDDOWN(O53,1)*100)&lt;95,95,((_xlfn.XLOOKUP(D53,RUC!$B$3:$B$119,RUC!$E$3:$E$119)+ROUNDDOWN(O53,1)*100)))</f>
        <v>120</v>
      </c>
      <c r="U53" s="1146">
        <f>_xlfn.XLOOKUP(D53,RUC!$B$3:$B$123,RUC!$F$3:$F$123)</f>
        <v>120</v>
      </c>
      <c r="V53" s="715">
        <v>1.1023000000000001</v>
      </c>
      <c r="Y53">
        <f>_xlfn.XLOOKUP(D53,RUC!$B$3:$B$123,RUC!$G$3:$G$123)</f>
        <v>20</v>
      </c>
      <c r="Z53" s="143">
        <f>_xlfn.XLOOKUP(D53,RUC!$B$3:$B$123,RUC!$H$3:$H$123)</f>
        <v>30</v>
      </c>
      <c r="AA53" s="144">
        <f t="shared" si="2"/>
        <v>50</v>
      </c>
      <c r="AB53" s="145">
        <f t="shared" si="29"/>
        <v>1078.4357561500003</v>
      </c>
      <c r="AC53" s="145">
        <f>+(S53-T53)*V53-'data 1'!$F$4</f>
        <v>52.27600000000001</v>
      </c>
      <c r="AD53" s="145">
        <f t="shared" si="3"/>
        <v>28.543327840445105</v>
      </c>
      <c r="AE53" s="145">
        <f t="shared" si="4"/>
        <v>-14.884999999999998</v>
      </c>
      <c r="AF53" s="145">
        <f t="shared" si="5"/>
        <v>66.60763342689485</v>
      </c>
      <c r="AG53" s="772">
        <f t="shared" si="33"/>
        <v>149.54196126733996</v>
      </c>
      <c r="AH53" s="1253">
        <f t="shared" si="6"/>
        <v>24.454999999999998</v>
      </c>
      <c r="AI53" s="1253">
        <f t="shared" si="7"/>
        <v>26.602</v>
      </c>
      <c r="AJ53" s="156">
        <f t="shared" si="8"/>
        <v>89.138332594155003</v>
      </c>
      <c r="AK53" s="156">
        <f t="shared" si="9"/>
        <v>22.768651920900602</v>
      </c>
      <c r="AL53" s="88"/>
      <c r="AM53" s="716">
        <f t="shared" si="10"/>
        <v>2411.3823507514007</v>
      </c>
      <c r="AN53" s="716" t="str">
        <f>_xlfn.XLOOKUP(D53,RUC!$B$3:$B$578,RUC!$M$3:$M$578)</f>
        <v>SIN ACOPIADOR</v>
      </c>
      <c r="AO53" s="1167" t="s">
        <v>2280</v>
      </c>
      <c r="AP53" s="1520" t="s">
        <v>3403</v>
      </c>
      <c r="AQ53" s="1520" t="s">
        <v>3404</v>
      </c>
    </row>
    <row r="54" spans="1:43" ht="15" customHeight="1">
      <c r="A54" s="747" t="s">
        <v>3360</v>
      </c>
      <c r="B54" s="1447">
        <v>45974</v>
      </c>
      <c r="C54" s="1447">
        <v>45967</v>
      </c>
      <c r="D54" t="s">
        <v>2368</v>
      </c>
      <c r="E54" s="762">
        <f>_xlfn.XLOOKUP(D54,RUC!$B$3:$B$123,RUC!$D$3:$D$123)</f>
        <v>20612719757</v>
      </c>
      <c r="G54" s="1082">
        <v>36</v>
      </c>
      <c r="H54" s="762" t="s">
        <v>2005</v>
      </c>
      <c r="I54" s="703">
        <v>2.93</v>
      </c>
      <c r="J54" s="596">
        <v>13.4</v>
      </c>
      <c r="K54" s="703">
        <f t="shared" si="0"/>
        <v>2.5369999999999999</v>
      </c>
      <c r="L54" s="762">
        <v>0.23499999999999999</v>
      </c>
      <c r="M54" s="994">
        <f t="shared" si="28"/>
        <v>0.22</v>
      </c>
      <c r="N54" s="1196">
        <f t="shared" si="32"/>
        <v>0.22</v>
      </c>
      <c r="O54" s="645">
        <f t="shared" si="11"/>
        <v>0.22</v>
      </c>
      <c r="P54" s="727">
        <v>90</v>
      </c>
      <c r="Q54" s="1476">
        <v>91.06</v>
      </c>
      <c r="R54" s="706">
        <v>3986.5</v>
      </c>
      <c r="S54" s="765">
        <f>IF((_xlfn.XLOOKUP(D54,RUC!$B$3:$B$119,RUC!$E$3:$E$119)+ROUNDDOWN(O54,1)*100)&lt;95,95,((_xlfn.XLOOKUP(D54,RUC!$B$3:$B$119,RUC!$E$3:$E$119)+ROUNDDOWN(O54,1)*100)))</f>
        <v>110</v>
      </c>
      <c r="U54" s="1146">
        <f>_xlfn.XLOOKUP(D54,RUC!$B$3:$B$123,RUC!$F$3:$F$123)</f>
        <v>120</v>
      </c>
      <c r="V54" s="715">
        <v>1.1023000000000001</v>
      </c>
      <c r="Y54">
        <f>_xlfn.XLOOKUP(D54,RUC!$B$3:$B$123,RUC!$G$3:$G$123)</f>
        <v>20</v>
      </c>
      <c r="Z54" s="143">
        <f>_xlfn.XLOOKUP(D54,RUC!$B$3:$B$123,RUC!$H$3:$H$123)</f>
        <v>30</v>
      </c>
      <c r="AA54" s="144">
        <f t="shared" si="2"/>
        <v>50</v>
      </c>
      <c r="AB54" s="145">
        <f t="shared" si="29"/>
        <v>667.51650410000002</v>
      </c>
      <c r="AC54" s="145">
        <f>+(S54-T54)*V54-'data 1'!$F$4</f>
        <v>41.253</v>
      </c>
      <c r="AD54" s="145">
        <f t="shared" si="3"/>
        <v>10.616748988450022</v>
      </c>
      <c r="AE54" s="145">
        <f t="shared" si="4"/>
        <v>-14.884999999999998</v>
      </c>
      <c r="AF54" s="145">
        <f t="shared" si="5"/>
        <v>58.215244654049947</v>
      </c>
      <c r="AG54" s="772">
        <f t="shared" si="33"/>
        <v>112.19999364249998</v>
      </c>
      <c r="AH54" s="1253">
        <f t="shared" si="6"/>
        <v>18.613</v>
      </c>
      <c r="AI54" s="1253">
        <f t="shared" si="7"/>
        <v>20.440999999999999</v>
      </c>
      <c r="AJ54" s="156">
        <f t="shared" si="8"/>
        <v>59.796157802549999</v>
      </c>
      <c r="AK54" s="156">
        <f t="shared" si="9"/>
        <v>17.2224418376043</v>
      </c>
      <c r="AL54" s="88"/>
      <c r="AM54" s="716">
        <f t="shared" si="10"/>
        <v>1693.4893709016999</v>
      </c>
      <c r="AN54" s="716" t="str">
        <f>_xlfn.XLOOKUP(D54,RUC!$B$3:$B$578,RUC!$M$3:$M$578)</f>
        <v>SIN ACOPIADOR</v>
      </c>
      <c r="AO54" s="1167" t="s">
        <v>2280</v>
      </c>
      <c r="AP54" s="1520" t="s">
        <v>3403</v>
      </c>
      <c r="AQ54" s="1520" t="s">
        <v>3404</v>
      </c>
    </row>
    <row r="55" spans="1:43" ht="15" customHeight="1">
      <c r="A55" s="747" t="s">
        <v>3361</v>
      </c>
      <c r="B55" s="1447">
        <v>45971</v>
      </c>
      <c r="C55" s="1447">
        <v>45967</v>
      </c>
      <c r="D55" t="s">
        <v>2368</v>
      </c>
      <c r="E55" s="762">
        <f>_xlfn.XLOOKUP(D55,RUC!$B$3:$B$123,RUC!$D$3:$D$123)</f>
        <v>20612719757</v>
      </c>
      <c r="G55" s="1082">
        <v>54</v>
      </c>
      <c r="H55" s="762" t="s">
        <v>2005</v>
      </c>
      <c r="I55" s="703">
        <v>4.57</v>
      </c>
      <c r="J55" s="596">
        <v>15.6</v>
      </c>
      <c r="K55" s="703">
        <f t="shared" si="0"/>
        <v>3.8570000000000002</v>
      </c>
      <c r="L55" s="762">
        <v>0.436</v>
      </c>
      <c r="M55" s="994">
        <f t="shared" si="28"/>
        <v>0.41399999999999998</v>
      </c>
      <c r="N55" s="1196">
        <f t="shared" si="32"/>
        <v>0.41399999999999998</v>
      </c>
      <c r="O55" s="645">
        <f t="shared" si="11"/>
        <v>0.41399999999999998</v>
      </c>
      <c r="P55" s="727">
        <v>90</v>
      </c>
      <c r="Q55" s="1476">
        <v>96.1</v>
      </c>
      <c r="R55" s="706">
        <v>3986.5</v>
      </c>
      <c r="S55" s="765">
        <f>IF((_xlfn.XLOOKUP(D55,RUC!$B$3:$B$119,RUC!$E$3:$E$119)+ROUNDDOWN(O55,1)*100)&lt;95,95,((_xlfn.XLOOKUP(D55,RUC!$B$3:$B$119,RUC!$E$3:$E$119)+ROUNDDOWN(O55,1)*100)))</f>
        <v>130</v>
      </c>
      <c r="U55" s="1146">
        <f>_xlfn.XLOOKUP(D55,RUC!$B$3:$B$123,RUC!$F$3:$F$123)</f>
        <v>120</v>
      </c>
      <c r="V55" s="715">
        <v>1.1023000000000001</v>
      </c>
      <c r="Y55">
        <f>_xlfn.XLOOKUP(D55,RUC!$B$3:$B$123,RUC!$G$3:$G$123)</f>
        <v>20</v>
      </c>
      <c r="Z55" s="143">
        <f>_xlfn.XLOOKUP(D55,RUC!$B$3:$B$123,RUC!$H$3:$H$123)</f>
        <v>30</v>
      </c>
      <c r="AA55" s="144">
        <f t="shared" si="2"/>
        <v>50</v>
      </c>
      <c r="AB55" s="145">
        <f t="shared" si="29"/>
        <v>1389.6232031699997</v>
      </c>
      <c r="AC55" s="145">
        <f>+(S55-T55)*V55-'data 1'!$F$4</f>
        <v>63.299000000000007</v>
      </c>
      <c r="AD55" s="145">
        <f t="shared" si="3"/>
        <v>113.35329429819991</v>
      </c>
      <c r="AE55" s="145">
        <f t="shared" si="4"/>
        <v>-14.884999999999998</v>
      </c>
      <c r="AF55" s="145">
        <f t="shared" si="5"/>
        <v>90.108112048900068</v>
      </c>
      <c r="AG55" s="772">
        <f t="shared" si="33"/>
        <v>268.87540634710001</v>
      </c>
      <c r="AH55" s="1253">
        <f t="shared" si="6"/>
        <v>55.408000000000001</v>
      </c>
      <c r="AI55" s="1253">
        <f t="shared" si="7"/>
        <v>57.655999999999999</v>
      </c>
      <c r="AJ55" s="156">
        <f t="shared" si="8"/>
        <v>117.08133021779999</v>
      </c>
      <c r="AK55" s="156">
        <f t="shared" si="9"/>
        <v>49.27215516071751</v>
      </c>
      <c r="AL55" s="88"/>
      <c r="AM55" s="716">
        <f t="shared" si="10"/>
        <v>5359.7766946266893</v>
      </c>
      <c r="AN55" s="716" t="str">
        <f>_xlfn.XLOOKUP(D55,RUC!$B$3:$B$578,RUC!$M$3:$M$578)</f>
        <v>SIN ACOPIADOR</v>
      </c>
      <c r="AO55" s="1167" t="s">
        <v>2280</v>
      </c>
      <c r="AP55" s="1520" t="s">
        <v>3403</v>
      </c>
      <c r="AQ55" s="1520" t="s">
        <v>3404</v>
      </c>
    </row>
    <row r="56" spans="1:43" ht="15" customHeight="1">
      <c r="A56" s="747" t="s">
        <v>3362</v>
      </c>
      <c r="B56" s="1447">
        <v>45974</v>
      </c>
      <c r="C56" s="1447">
        <v>45967</v>
      </c>
      <c r="D56" t="s">
        <v>1967</v>
      </c>
      <c r="E56" s="762">
        <f>_xlfn.XLOOKUP(D56,RUC!$B$3:$B$123,RUC!$D$3:$D$123)</f>
        <v>20601769396</v>
      </c>
      <c r="G56" s="1082">
        <v>30</v>
      </c>
      <c r="H56" s="762" t="s">
        <v>2005</v>
      </c>
      <c r="I56" s="703">
        <v>2.61</v>
      </c>
      <c r="J56" s="596">
        <v>10.23</v>
      </c>
      <c r="K56" s="703">
        <f t="shared" si="0"/>
        <v>2.343</v>
      </c>
      <c r="L56" s="762">
        <v>0.29899999999999999</v>
      </c>
      <c r="M56" s="994">
        <f t="shared" si="28"/>
        <v>0.28399999999999997</v>
      </c>
      <c r="N56" s="1196">
        <f t="shared" si="32"/>
        <v>0.28399999999999997</v>
      </c>
      <c r="O56" s="645">
        <f t="shared" si="11"/>
        <v>0.28399999999999997</v>
      </c>
      <c r="P56" s="727">
        <v>90</v>
      </c>
      <c r="Q56" s="1476">
        <v>93.02</v>
      </c>
      <c r="R56" s="706">
        <v>3986.5</v>
      </c>
      <c r="S56" s="765">
        <f>IF((_xlfn.XLOOKUP(D56,RUC!$B$3:$B$119,RUC!$E$3:$E$119)+ROUNDDOWN(O56,1)*100)&lt;95,95,((_xlfn.XLOOKUP(D56,RUC!$B$3:$B$119,RUC!$E$3:$E$119)+ROUNDDOWN(O56,1)*100)))</f>
        <v>110</v>
      </c>
      <c r="U56" s="1146">
        <f>_xlfn.XLOOKUP(D56,RUC!$B$3:$B$123,RUC!$F$3:$F$123)</f>
        <v>120</v>
      </c>
      <c r="V56" s="715">
        <v>1.1023000000000001</v>
      </c>
      <c r="Y56">
        <f>_xlfn.XLOOKUP(D56,RUC!$B$3:$B$123,RUC!$G$3:$G$123)</f>
        <v>20</v>
      </c>
      <c r="Z56" s="143">
        <f>_xlfn.XLOOKUP(D56,RUC!$B$3:$B$123,RUC!$H$3:$H$123)</f>
        <v>30</v>
      </c>
      <c r="AA56" s="144">
        <f t="shared" si="2"/>
        <v>50</v>
      </c>
      <c r="AB56" s="145">
        <f t="shared" si="29"/>
        <v>913.01017802000001</v>
      </c>
      <c r="AC56" s="145">
        <f>+(S56-T56)*V56-'data 1'!$F$4</f>
        <v>41.253</v>
      </c>
      <c r="AD56" s="145">
        <f t="shared" si="3"/>
        <v>38.485395429909957</v>
      </c>
      <c r="AE56" s="145">
        <f t="shared" si="4"/>
        <v>-14.884999999999998</v>
      </c>
      <c r="AF56" s="145">
        <f t="shared" si="5"/>
        <v>59.468285281350056</v>
      </c>
      <c r="AG56" s="772">
        <f t="shared" si="33"/>
        <v>141.32168071126003</v>
      </c>
      <c r="AH56" s="1253">
        <f t="shared" si="6"/>
        <v>22.341999999999999</v>
      </c>
      <c r="AI56" s="1253">
        <f t="shared" si="7"/>
        <v>24.018999999999998</v>
      </c>
      <c r="AJ56" s="156">
        <f t="shared" si="8"/>
        <v>77.718658309890003</v>
      </c>
      <c r="AK56" s="156">
        <f t="shared" si="9"/>
        <v>20.532517769813939</v>
      </c>
      <c r="AL56" s="88"/>
      <c r="AM56" s="716">
        <f t="shared" si="10"/>
        <v>2139.1828471008598</v>
      </c>
      <c r="AN56" s="716" t="str">
        <f>_xlfn.XLOOKUP(D56,RUC!$B$3:$B$578,RUC!$M$3:$M$578)</f>
        <v>Evelyn</v>
      </c>
      <c r="AO56" s="1167" t="s">
        <v>2280</v>
      </c>
      <c r="AP56" s="1520" t="s">
        <v>3405</v>
      </c>
      <c r="AQ56" s="1520" t="s">
        <v>3406</v>
      </c>
    </row>
    <row r="57" spans="1:43" ht="15" customHeight="1">
      <c r="A57" s="747" t="s">
        <v>3363</v>
      </c>
      <c r="B57" s="1447">
        <v>45974</v>
      </c>
      <c r="C57" s="1447">
        <v>45967</v>
      </c>
      <c r="D57" t="s">
        <v>1967</v>
      </c>
      <c r="E57" s="762">
        <f>_xlfn.XLOOKUP(D57,RUC!$B$3:$B$123,RUC!$D$3:$D$123)</f>
        <v>20601769396</v>
      </c>
      <c r="G57" s="1082">
        <v>23</v>
      </c>
      <c r="H57" s="762" t="s">
        <v>2005</v>
      </c>
      <c r="I57" s="703">
        <v>1.98</v>
      </c>
      <c r="J57" s="596">
        <v>8.6999999999999993</v>
      </c>
      <c r="K57" s="703">
        <f t="shared" ref="K57:K83" si="34">ROUND(+I57-(I57*(J57/100)),3)</f>
        <v>1.8080000000000001</v>
      </c>
      <c r="L57" s="762">
        <v>0.25700000000000001</v>
      </c>
      <c r="M57" s="994">
        <f t="shared" si="28"/>
        <v>0.24199999999999999</v>
      </c>
      <c r="N57" s="1196">
        <f t="shared" si="32"/>
        <v>0.24199999999999999</v>
      </c>
      <c r="O57" s="645">
        <f t="shared" si="11"/>
        <v>0.24199999999999999</v>
      </c>
      <c r="P57" s="727">
        <v>90</v>
      </c>
      <c r="Q57" s="1476">
        <v>94.16</v>
      </c>
      <c r="R57" s="706">
        <v>3986.5</v>
      </c>
      <c r="S57" s="765">
        <f>IF((_xlfn.XLOOKUP(D57,RUC!$B$3:$B$119,RUC!$E$3:$E$119)+ROUNDDOWN(O57,1)*100)&lt;95,95,((_xlfn.XLOOKUP(D57,RUC!$B$3:$B$119,RUC!$E$3:$E$119)+ROUNDDOWN(O57,1)*100)))</f>
        <v>110</v>
      </c>
      <c r="U57" s="1146">
        <f>_xlfn.XLOOKUP(D57,RUC!$B$3:$B$123,RUC!$F$3:$F$123)</f>
        <v>120</v>
      </c>
      <c r="V57" s="715">
        <v>1.1023000000000001</v>
      </c>
      <c r="Y57">
        <f>_xlfn.XLOOKUP(D57,RUC!$B$3:$B$123,RUC!$G$3:$G$123)</f>
        <v>20</v>
      </c>
      <c r="Z57" s="143">
        <f>_xlfn.XLOOKUP(D57,RUC!$B$3:$B$123,RUC!$H$3:$H$123)</f>
        <v>30</v>
      </c>
      <c r="AA57" s="144">
        <f t="shared" ref="AA57:AA70" si="35">+Y57+Z57</f>
        <v>50</v>
      </c>
      <c r="AB57" s="145">
        <f t="shared" si="29"/>
        <v>751.90495451000015</v>
      </c>
      <c r="AC57" s="145">
        <f>+(S57-T57)*V57-'data 1'!$F$4</f>
        <v>41.253</v>
      </c>
      <c r="AD57" s="145">
        <f t="shared" ref="AD57:AD70" si="36">+(Q57-P57)*(R57-U57)*L57*V57/100</f>
        <v>45.56635358703997</v>
      </c>
      <c r="AE57" s="145">
        <f t="shared" ref="AE57:AE70" si="37">+(Y57*V57-70)+V57*(Z57-IF(D57="UNTUCA",IF(+((W57-3)*2.5+(X57-3)*3.1)&gt;0,+((W57-3)*1.5+(X57-3)*3.1),0),IF(+((W57-3)*1.5+(X57-3)*3.1)&gt;0,+((W57-3)*1.5+(X57-3)*3.1),0)))</f>
        <v>-14.884999999999998</v>
      </c>
      <c r="AF57" s="145">
        <f t="shared" ref="AF57:AF70" si="38">(L57-O57)*(R57-U57)*Q57*V57/100</f>
        <v>60.197094625800055</v>
      </c>
      <c r="AG57" s="772">
        <f t="shared" si="33"/>
        <v>149.13144821284001</v>
      </c>
      <c r="AH57" s="1253">
        <f t="shared" ref="AH57:AH83" si="39">ROUND((31.1035*L57*Q57*1.1023*K57/100),3)</f>
        <v>15.000999999999999</v>
      </c>
      <c r="AI57" s="1253">
        <f t="shared" ref="AI57:AI83" si="40">ROUND((31.1035*L57*1.1023*K57),3)</f>
        <v>15.930999999999999</v>
      </c>
      <c r="AJ57" s="156">
        <f t="shared" ref="AJ57:AJ83" si="41">+((+$AJ$2-R57+U57)*L57*Q57*V57)/100</f>
        <v>67.620339089160012</v>
      </c>
      <c r="AK57" s="156">
        <f t="shared" ref="AK57:AK83" si="42">31.1035*1.1023*K57*P57*O57/100</f>
        <v>13.500982391260321</v>
      </c>
      <c r="AL57" s="88"/>
      <c r="AM57" s="716">
        <f t="shared" ref="AM57:AM83" si="43">+IF(AB57*K57&gt;0,AB57*K57,0)</f>
        <v>1359.4441577540804</v>
      </c>
      <c r="AN57" s="716" t="str">
        <f>_xlfn.XLOOKUP(D57,RUC!$B$3:$B$578,RUC!$M$3:$M$578)</f>
        <v>Evelyn</v>
      </c>
      <c r="AO57" s="1167" t="s">
        <v>2280</v>
      </c>
      <c r="AP57" s="1520" t="s">
        <v>3407</v>
      </c>
      <c r="AQ57" s="1520" t="s">
        <v>3408</v>
      </c>
    </row>
    <row r="58" spans="1:43" ht="15" customHeight="1">
      <c r="A58" s="747" t="s">
        <v>3365</v>
      </c>
      <c r="B58" s="1447">
        <v>45971</v>
      </c>
      <c r="C58" s="1447">
        <v>45967</v>
      </c>
      <c r="D58" t="s">
        <v>1967</v>
      </c>
      <c r="E58" s="762">
        <f>_xlfn.XLOOKUP(D58,RUC!$B$3:$B$123,RUC!$D$3:$D$123)</f>
        <v>20601769396</v>
      </c>
      <c r="G58" s="1082">
        <v>40</v>
      </c>
      <c r="H58" s="762" t="s">
        <v>2005</v>
      </c>
      <c r="I58" s="703">
        <v>3.36</v>
      </c>
      <c r="J58" s="596">
        <v>8.85</v>
      </c>
      <c r="K58" s="703">
        <f t="shared" si="34"/>
        <v>3.0630000000000002</v>
      </c>
      <c r="L58" s="762">
        <v>0.19500000000000001</v>
      </c>
      <c r="M58" s="994">
        <f t="shared" si="28"/>
        <v>0.18</v>
      </c>
      <c r="N58" s="1196">
        <f t="shared" si="32"/>
        <v>0.18</v>
      </c>
      <c r="O58" s="645">
        <f t="shared" ref="O58:O81" si="44">+ROUND((M58+N58)/2,3)</f>
        <v>0.18</v>
      </c>
      <c r="P58" s="727">
        <v>90</v>
      </c>
      <c r="Q58" s="1476">
        <v>93.33</v>
      </c>
      <c r="R58" s="706">
        <v>3986.5</v>
      </c>
      <c r="S58" s="765">
        <f>IF((_xlfn.XLOOKUP(D58,RUC!$B$3:$B$119,RUC!$E$3:$E$119)+ROUNDDOWN(O58,1)*100)&lt;95,95,((_xlfn.XLOOKUP(D58,RUC!$B$3:$B$119,RUC!$E$3:$E$119)+ROUNDDOWN(O58,1)*100)))</f>
        <v>100</v>
      </c>
      <c r="U58" s="1146">
        <f>_xlfn.XLOOKUP(D58,RUC!$B$3:$B$123,RUC!$F$3:$F$123)</f>
        <v>120</v>
      </c>
      <c r="V58" s="715">
        <v>1.1023000000000001</v>
      </c>
      <c r="Y58">
        <f>_xlfn.XLOOKUP(D58,RUC!$B$3:$B$123,RUC!$G$3:$G$123)</f>
        <v>20</v>
      </c>
      <c r="Z58" s="143">
        <f>_xlfn.XLOOKUP(D58,RUC!$B$3:$B$123,RUC!$H$3:$H$123)</f>
        <v>30</v>
      </c>
      <c r="AA58" s="144">
        <f t="shared" si="35"/>
        <v>50</v>
      </c>
      <c r="AB58" s="145">
        <f t="shared" si="29"/>
        <v>525.10595789999991</v>
      </c>
      <c r="AC58" s="145">
        <f>+(S58-T58)*V58-'data 1'!$F$4</f>
        <v>30.230000000000004</v>
      </c>
      <c r="AD58" s="145">
        <f t="shared" si="36"/>
        <v>27.675575895824991</v>
      </c>
      <c r="AE58" s="145">
        <f t="shared" si="37"/>
        <v>-14.884999999999998</v>
      </c>
      <c r="AF58" s="145">
        <f t="shared" si="38"/>
        <v>59.666470278525054</v>
      </c>
      <c r="AG58" s="772">
        <f t="shared" si="33"/>
        <v>119.68704617435006</v>
      </c>
      <c r="AH58" s="1253">
        <f t="shared" si="39"/>
        <v>19.111999999999998</v>
      </c>
      <c r="AI58" s="1253">
        <f t="shared" si="40"/>
        <v>20.478000000000002</v>
      </c>
      <c r="AJ58" s="156">
        <f t="shared" si="41"/>
        <v>50.854998785175013</v>
      </c>
      <c r="AK58" s="156">
        <f t="shared" si="42"/>
        <v>17.012615262738301</v>
      </c>
      <c r="AL58" s="88"/>
      <c r="AM58" s="716">
        <f t="shared" si="43"/>
        <v>1608.3995490476998</v>
      </c>
      <c r="AN58" s="716" t="str">
        <f>_xlfn.XLOOKUP(D58,RUC!$B$3:$B$578,RUC!$M$3:$M$578)</f>
        <v>Evelyn</v>
      </c>
      <c r="AO58" s="1167" t="s">
        <v>2280</v>
      </c>
      <c r="AP58" s="1520" t="s">
        <v>3407</v>
      </c>
      <c r="AQ58" s="1520" t="s">
        <v>3408</v>
      </c>
    </row>
    <row r="59" spans="1:43" ht="15" customHeight="1">
      <c r="A59" s="747" t="s">
        <v>3366</v>
      </c>
      <c r="B59" s="1447">
        <v>45971</v>
      </c>
      <c r="C59" s="1447">
        <v>45967</v>
      </c>
      <c r="D59" t="s">
        <v>1967</v>
      </c>
      <c r="E59" s="762">
        <f>_xlfn.XLOOKUP(D59,RUC!$B$3:$B$123,RUC!$D$3:$D$123)</f>
        <v>20601769396</v>
      </c>
      <c r="G59" s="1082">
        <v>50</v>
      </c>
      <c r="H59" s="762" t="s">
        <v>2005</v>
      </c>
      <c r="I59" s="703">
        <v>4.2</v>
      </c>
      <c r="J59" s="596">
        <v>9.75</v>
      </c>
      <c r="K59" s="703">
        <f t="shared" si="34"/>
        <v>3.7909999999999999</v>
      </c>
      <c r="L59" s="762">
        <v>0.17699999999999999</v>
      </c>
      <c r="M59" s="994">
        <f t="shared" si="28"/>
        <v>0.16200000000000001</v>
      </c>
      <c r="N59" s="1196">
        <f t="shared" si="32"/>
        <v>0.16200000000000001</v>
      </c>
      <c r="O59" s="645">
        <f t="shared" si="44"/>
        <v>0.16200000000000001</v>
      </c>
      <c r="P59" s="727">
        <v>90</v>
      </c>
      <c r="Q59" s="1476">
        <v>95.48</v>
      </c>
      <c r="R59" s="706">
        <v>3986.5</v>
      </c>
      <c r="S59" s="765">
        <f>IF((_xlfn.XLOOKUP(D59,RUC!$B$3:$B$119,RUC!$E$3:$E$119)+ROUNDDOWN(O59,1)*100)&lt;95,95,((_xlfn.XLOOKUP(D59,RUC!$B$3:$B$119,RUC!$E$3:$E$119)+ROUNDDOWN(O59,1)*100)))</f>
        <v>100</v>
      </c>
      <c r="U59" s="1146">
        <f>_xlfn.XLOOKUP(D59,RUC!$B$3:$B$123,RUC!$F$3:$F$123)</f>
        <v>120</v>
      </c>
      <c r="V59" s="715">
        <v>1.1023000000000001</v>
      </c>
      <c r="Y59">
        <f>_xlfn.XLOOKUP(D59,RUC!$B$3:$B$123,RUC!$G$3:$G$123)</f>
        <v>20</v>
      </c>
      <c r="Z59" s="143">
        <f>_xlfn.XLOOKUP(D59,RUC!$B$3:$B$123,RUC!$H$3:$H$123)</f>
        <v>30</v>
      </c>
      <c r="AA59" s="144">
        <f t="shared" si="35"/>
        <v>50</v>
      </c>
      <c r="AB59" s="145">
        <f t="shared" si="29"/>
        <v>456.06086210999996</v>
      </c>
      <c r="AC59" s="145">
        <f>+(S59-T59)*V59-'data 1'!$F$4</f>
        <v>30.230000000000004</v>
      </c>
      <c r="AD59" s="145">
        <f t="shared" si="36"/>
        <v>41.340111797820029</v>
      </c>
      <c r="AE59" s="145">
        <f t="shared" si="37"/>
        <v>-14.884999999999998</v>
      </c>
      <c r="AF59" s="145">
        <f t="shared" si="38"/>
        <v>61.040979129899945</v>
      </c>
      <c r="AG59" s="772">
        <f t="shared" si="33"/>
        <v>134.72609092771998</v>
      </c>
      <c r="AH59" s="1253">
        <f t="shared" si="39"/>
        <v>21.966000000000001</v>
      </c>
      <c r="AI59" s="1253">
        <f t="shared" si="40"/>
        <v>23.006</v>
      </c>
      <c r="AJ59" s="156">
        <f t="shared" si="41"/>
        <v>47.224073676780002</v>
      </c>
      <c r="AK59" s="156">
        <f t="shared" si="42"/>
        <v>18.950487109022788</v>
      </c>
      <c r="AL59" s="88"/>
      <c r="AM59" s="716">
        <f t="shared" si="43"/>
        <v>1728.9267282590099</v>
      </c>
      <c r="AN59" s="716" t="str">
        <f>_xlfn.XLOOKUP(D59,RUC!$B$3:$B$578,RUC!$M$3:$M$578)</f>
        <v>Evelyn</v>
      </c>
      <c r="AO59" s="1167" t="s">
        <v>2280</v>
      </c>
      <c r="AP59" s="1520" t="s">
        <v>3407</v>
      </c>
      <c r="AQ59" s="1520" t="s">
        <v>3408</v>
      </c>
    </row>
    <row r="60" spans="1:43" ht="15" customHeight="1">
      <c r="A60" s="747" t="s">
        <v>3367</v>
      </c>
      <c r="B60" s="1447">
        <v>45971</v>
      </c>
      <c r="C60" s="1447">
        <v>45967</v>
      </c>
      <c r="D60" t="s">
        <v>1967</v>
      </c>
      <c r="E60" s="762">
        <f>_xlfn.XLOOKUP(D60,RUC!$B$3:$B$123,RUC!$D$3:$D$123)</f>
        <v>20601769396</v>
      </c>
      <c r="G60" s="1082">
        <v>50</v>
      </c>
      <c r="H60" s="762" t="s">
        <v>2005</v>
      </c>
      <c r="I60" s="703">
        <v>4.0999999999999996</v>
      </c>
      <c r="J60" s="596">
        <v>8.9499999999999993</v>
      </c>
      <c r="K60" s="703">
        <f t="shared" si="34"/>
        <v>3.7330000000000001</v>
      </c>
      <c r="L60" s="762">
        <v>0.23799999999999999</v>
      </c>
      <c r="M60" s="994">
        <f t="shared" si="28"/>
        <v>0.223</v>
      </c>
      <c r="N60" s="1196">
        <f t="shared" si="32"/>
        <v>0.223</v>
      </c>
      <c r="O60" s="645">
        <f t="shared" si="44"/>
        <v>0.223</v>
      </c>
      <c r="P60" s="727">
        <v>90</v>
      </c>
      <c r="Q60" s="1476">
        <v>93.28</v>
      </c>
      <c r="R60" s="706">
        <v>3986.5</v>
      </c>
      <c r="S60" s="765">
        <f>IF((_xlfn.XLOOKUP(D60,RUC!$B$3:$B$119,RUC!$E$3:$E$119)+ROUNDDOWN(O60,1)*100)&lt;95,95,((_xlfn.XLOOKUP(D60,RUC!$B$3:$B$119,RUC!$E$3:$E$119)+ROUNDDOWN(O60,1)*100)))</f>
        <v>110</v>
      </c>
      <c r="U60" s="1146">
        <f>_xlfn.XLOOKUP(D60,RUC!$B$3:$B$123,RUC!$F$3:$F$123)</f>
        <v>120</v>
      </c>
      <c r="V60" s="715">
        <v>1.1023000000000001</v>
      </c>
      <c r="Y60">
        <f>_xlfn.XLOOKUP(D60,RUC!$B$3:$B$123,RUC!$G$3:$G$123)</f>
        <v>20</v>
      </c>
      <c r="Z60" s="143">
        <f>_xlfn.XLOOKUP(D60,RUC!$B$3:$B$123,RUC!$H$3:$H$123)</f>
        <v>30</v>
      </c>
      <c r="AA60" s="144">
        <f t="shared" si="35"/>
        <v>50</v>
      </c>
      <c r="AB60" s="145">
        <f t="shared" si="29"/>
        <v>679.02402006499995</v>
      </c>
      <c r="AC60" s="145">
        <f>+(S60-T60)*V60-'data 1'!$F$4</f>
        <v>41.253</v>
      </c>
      <c r="AD60" s="145">
        <f t="shared" si="36"/>
        <v>33.271212084880013</v>
      </c>
      <c r="AE60" s="145">
        <f t="shared" si="37"/>
        <v>-14.884999999999998</v>
      </c>
      <c r="AF60" s="145">
        <f t="shared" si="38"/>
        <v>59.634504956399944</v>
      </c>
      <c r="AG60" s="772">
        <f t="shared" si="33"/>
        <v>136.27371704127995</v>
      </c>
      <c r="AH60" s="1253">
        <f t="shared" si="39"/>
        <v>28.414000000000001</v>
      </c>
      <c r="AI60" s="1253">
        <f t="shared" si="40"/>
        <v>30.460999999999999</v>
      </c>
      <c r="AJ60" s="156">
        <f t="shared" si="41"/>
        <v>62.035925471519995</v>
      </c>
      <c r="AK60" s="156">
        <f t="shared" si="42"/>
        <v>25.687061865643457</v>
      </c>
      <c r="AL60" s="88"/>
      <c r="AM60" s="716">
        <f t="shared" si="43"/>
        <v>2534.796666902645</v>
      </c>
      <c r="AN60" s="716" t="str">
        <f>_xlfn.XLOOKUP(D60,RUC!$B$3:$B$578,RUC!$M$3:$M$578)</f>
        <v>Evelyn</v>
      </c>
      <c r="AO60" s="1167" t="s">
        <v>2280</v>
      </c>
      <c r="AP60" s="1520" t="s">
        <v>3407</v>
      </c>
      <c r="AQ60" s="1520" t="s">
        <v>3408</v>
      </c>
    </row>
    <row r="61" spans="1:43" ht="15" customHeight="1">
      <c r="A61" s="747" t="s">
        <v>3368</v>
      </c>
      <c r="B61" s="1447">
        <v>45972</v>
      </c>
      <c r="C61" s="1447">
        <v>45967</v>
      </c>
      <c r="D61" t="s">
        <v>2004</v>
      </c>
      <c r="E61" s="762">
        <f>_xlfn.XLOOKUP(D61,RUC!$B$3:$B$123,RUC!$D$3:$D$123)</f>
        <v>20612921866</v>
      </c>
      <c r="G61" s="1082" t="s">
        <v>2985</v>
      </c>
      <c r="H61" s="762" t="s">
        <v>69</v>
      </c>
      <c r="I61" s="703">
        <v>8.3000000000000007</v>
      </c>
      <c r="J61" s="596">
        <v>1.2</v>
      </c>
      <c r="K61" s="703">
        <f t="shared" si="34"/>
        <v>8.1999999999999993</v>
      </c>
      <c r="L61" s="762">
        <v>0.16800000000000001</v>
      </c>
      <c r="M61" s="994">
        <f t="shared" si="28"/>
        <v>0.153</v>
      </c>
      <c r="N61" s="1196">
        <f t="shared" si="32"/>
        <v>0.153</v>
      </c>
      <c r="O61" s="645">
        <f t="shared" si="44"/>
        <v>0.153</v>
      </c>
      <c r="P61" s="727">
        <v>90</v>
      </c>
      <c r="Q61" s="1476">
        <v>94.05</v>
      </c>
      <c r="R61" s="706">
        <v>3986.5</v>
      </c>
      <c r="S61" s="765">
        <f>IF((_xlfn.XLOOKUP(D61,RUC!$B$3:$B$119,RUC!$E$3:$E$119)+ROUNDDOWN(O61,1)*100)&lt;95,95,((_xlfn.XLOOKUP(D61,RUC!$B$3:$B$119,RUC!$E$3:$E$119)+ROUNDDOWN(O61,1)*100)))</f>
        <v>95</v>
      </c>
      <c r="U61" s="1146">
        <f>_xlfn.XLOOKUP(D61,RUC!$B$3:$B$123,RUC!$F$3:$F$123)</f>
        <v>100</v>
      </c>
      <c r="V61" s="715">
        <v>1.1023000000000001</v>
      </c>
      <c r="Y61">
        <f>_xlfn.XLOOKUP(D61,RUC!$B$3:$B$123,RUC!$G$3:$G$123)</f>
        <v>0</v>
      </c>
      <c r="Z61" s="143">
        <f>_xlfn.XLOOKUP(D61,RUC!$B$3:$B$123,RUC!$H$3:$H$123)</f>
        <v>30</v>
      </c>
      <c r="AA61" s="144">
        <f t="shared" si="35"/>
        <v>30</v>
      </c>
      <c r="AB61" s="145">
        <f t="shared" si="29"/>
        <v>452.13154841499994</v>
      </c>
      <c r="AC61" s="145">
        <f>+(S61-T61)*V61-'data 1'!$F$4</f>
        <v>24.718500000000006</v>
      </c>
      <c r="AD61" s="145">
        <f t="shared" si="36"/>
        <v>29.148941215799983</v>
      </c>
      <c r="AE61" s="145">
        <f t="shared" si="37"/>
        <v>-36.930999999999997</v>
      </c>
      <c r="AF61" s="145">
        <f t="shared" si="38"/>
        <v>60.437784862125042</v>
      </c>
      <c r="AG61" s="772">
        <f>AC61+AD61+AE61+AF61+70-10</f>
        <v>137.37422607792502</v>
      </c>
      <c r="AH61" s="1253">
        <f t="shared" si="39"/>
        <v>44.420999999999999</v>
      </c>
      <c r="AI61" s="1253">
        <f t="shared" si="40"/>
        <v>47.231999999999999</v>
      </c>
      <c r="AJ61" s="156">
        <f t="shared" si="41"/>
        <v>40.668183448200004</v>
      </c>
      <c r="AK61" s="156">
        <f t="shared" si="42"/>
        <v>38.713003062776998</v>
      </c>
      <c r="AL61" s="88"/>
      <c r="AM61" s="716">
        <f t="shared" si="43"/>
        <v>3707.4786970029991</v>
      </c>
      <c r="AN61" s="716" t="str">
        <f>_xlfn.XLOOKUP(D61,RUC!$B$3:$B$578,RUC!$M$3:$M$578)</f>
        <v>Ronald Garibay</v>
      </c>
      <c r="AO61" s="1167" t="s">
        <v>2278</v>
      </c>
      <c r="AP61" s="1520" t="s">
        <v>3409</v>
      </c>
      <c r="AQ61" s="1520" t="s">
        <v>3410</v>
      </c>
    </row>
    <row r="62" spans="1:43" ht="15" customHeight="1">
      <c r="A62" s="747" t="s">
        <v>3369</v>
      </c>
      <c r="B62" s="1447">
        <v>45971</v>
      </c>
      <c r="C62" s="1447">
        <v>45967</v>
      </c>
      <c r="D62" t="s">
        <v>1967</v>
      </c>
      <c r="E62" s="762">
        <f>_xlfn.XLOOKUP(D62,RUC!$B$3:$B$123,RUC!$D$3:$D$123)</f>
        <v>20601769396</v>
      </c>
      <c r="G62" s="1082">
        <v>50</v>
      </c>
      <c r="H62" s="762" t="s">
        <v>2005</v>
      </c>
      <c r="I62" s="703">
        <v>4.05</v>
      </c>
      <c r="J62" s="596">
        <v>8.4</v>
      </c>
      <c r="K62" s="703">
        <f t="shared" si="34"/>
        <v>3.71</v>
      </c>
      <c r="L62" s="762">
        <v>0.16800000000000001</v>
      </c>
      <c r="M62" s="994">
        <f t="shared" si="28"/>
        <v>0.153</v>
      </c>
      <c r="N62" s="1196">
        <f t="shared" si="32"/>
        <v>0.153</v>
      </c>
      <c r="O62" s="645">
        <f t="shared" si="44"/>
        <v>0.153</v>
      </c>
      <c r="P62" s="727">
        <v>90</v>
      </c>
      <c r="Q62" s="1476">
        <v>95.83</v>
      </c>
      <c r="R62" s="706">
        <v>3986.5</v>
      </c>
      <c r="S62" s="765">
        <f>IF((_xlfn.XLOOKUP(D62,RUC!$B$3:$B$119,RUC!$E$3:$E$119)+ROUNDDOWN(O62,1)*100)&lt;95,95,((_xlfn.XLOOKUP(D62,RUC!$B$3:$B$119,RUC!$E$3:$E$119)+ROUNDDOWN(O62,1)*100)))</f>
        <v>100</v>
      </c>
      <c r="U62" s="1146">
        <f>_xlfn.XLOOKUP(D62,RUC!$B$3:$B$123,RUC!$F$3:$F$123)</f>
        <v>120</v>
      </c>
      <c r="V62" s="715">
        <v>1.1023000000000001</v>
      </c>
      <c r="Y62">
        <f>_xlfn.XLOOKUP(D62,RUC!$B$3:$B$123,RUC!$G$3:$G$123)</f>
        <v>20</v>
      </c>
      <c r="Z62" s="143">
        <f>_xlfn.XLOOKUP(D62,RUC!$B$3:$B$123,RUC!$H$3:$H$123)</f>
        <v>30</v>
      </c>
      <c r="AA62" s="144">
        <f t="shared" si="35"/>
        <v>50</v>
      </c>
      <c r="AB62" s="145">
        <f t="shared" si="29"/>
        <v>421.53831421500001</v>
      </c>
      <c r="AC62" s="145">
        <f>+(S62-T62)*V62-'data 1'!$F$4</f>
        <v>30.230000000000004</v>
      </c>
      <c r="AD62" s="145">
        <f t="shared" si="36"/>
        <v>41.74415346947999</v>
      </c>
      <c r="AE62" s="145">
        <f t="shared" si="37"/>
        <v>-14.884999999999998</v>
      </c>
      <c r="AF62" s="145">
        <f t="shared" si="38"/>
        <v>61.264736384775063</v>
      </c>
      <c r="AG62" s="772">
        <f>AC62+AD62+AE62+AF62+70-53</f>
        <v>135.35388985425507</v>
      </c>
      <c r="AH62" s="1253">
        <f t="shared" si="39"/>
        <v>20.478000000000002</v>
      </c>
      <c r="AI62" s="1253">
        <f t="shared" si="40"/>
        <v>21.369</v>
      </c>
      <c r="AJ62" s="156">
        <f t="shared" si="41"/>
        <v>44.98715622492</v>
      </c>
      <c r="AK62" s="156">
        <f t="shared" si="42"/>
        <v>17.515273336939348</v>
      </c>
      <c r="AL62" s="88"/>
      <c r="AM62" s="716">
        <f t="shared" si="43"/>
        <v>1563.9071457376501</v>
      </c>
      <c r="AN62" s="716" t="str">
        <f>_xlfn.XLOOKUP(D62,RUC!$B$3:$B$578,RUC!$M$3:$M$578)</f>
        <v>Evelyn</v>
      </c>
      <c r="AO62" s="1167" t="s">
        <v>2280</v>
      </c>
      <c r="AP62" s="1520" t="s">
        <v>3407</v>
      </c>
      <c r="AQ62" s="1520" t="s">
        <v>3408</v>
      </c>
    </row>
    <row r="63" spans="1:43" ht="15" customHeight="1">
      <c r="A63" s="747" t="s">
        <v>3380</v>
      </c>
      <c r="B63" s="1447">
        <v>45977</v>
      </c>
      <c r="C63" s="1447">
        <v>45967</v>
      </c>
      <c r="D63" t="s">
        <v>2004</v>
      </c>
      <c r="E63" s="762">
        <f>_xlfn.XLOOKUP(D63,RUC!$B$3:$B$123,RUC!$D$3:$D$123)</f>
        <v>20612921866</v>
      </c>
      <c r="G63" s="1082">
        <v>50</v>
      </c>
      <c r="H63" s="762" t="s">
        <v>69</v>
      </c>
      <c r="I63" s="703">
        <v>5.57</v>
      </c>
      <c r="J63" s="596">
        <v>1.2</v>
      </c>
      <c r="K63" s="703">
        <f t="shared" si="34"/>
        <v>5.5030000000000001</v>
      </c>
      <c r="L63" s="762">
        <v>0.318</v>
      </c>
      <c r="M63" s="994">
        <f t="shared" si="28"/>
        <v>0.30199999999999999</v>
      </c>
      <c r="N63" s="1196">
        <f t="shared" si="32"/>
        <v>0.30199999999999999</v>
      </c>
      <c r="O63" s="645">
        <f t="shared" si="44"/>
        <v>0.30199999999999999</v>
      </c>
      <c r="P63" s="727">
        <v>90</v>
      </c>
      <c r="Q63">
        <v>94.97</v>
      </c>
      <c r="R63" s="706">
        <v>3986.5</v>
      </c>
      <c r="S63" s="765">
        <f>IF((_xlfn.XLOOKUP(D63,RUC!$B$3:$B$119,RUC!$E$3:$E$119)+ROUNDDOWN(O63,1)*100)&lt;95,95,((_xlfn.XLOOKUP(D63,RUC!$B$3:$B$119,RUC!$E$3:$E$119)+ROUNDDOWN(O63,1)*100)))</f>
        <v>110</v>
      </c>
      <c r="U63" s="1146">
        <f>_xlfn.XLOOKUP(D63,RUC!$B$3:$B$123,RUC!$F$3:$F$123)</f>
        <v>100</v>
      </c>
      <c r="V63" s="715">
        <v>1.1023000000000001</v>
      </c>
      <c r="Y63">
        <f>_xlfn.XLOOKUP(D63,RUC!$B$3:$B$123,RUC!$G$3:$G$123)</f>
        <v>0</v>
      </c>
      <c r="Z63" s="143">
        <f>_xlfn.XLOOKUP(D63,RUC!$B$3:$B$123,RUC!$H$3:$H$123)</f>
        <v>30</v>
      </c>
      <c r="AA63" s="144">
        <f t="shared" si="35"/>
        <v>30</v>
      </c>
      <c r="AB63" s="145">
        <f t="shared" si="29"/>
        <v>1010.0933766100001</v>
      </c>
      <c r="AC63" s="145">
        <f>+(S63-T63)*V63-'data 1'!$F$4</f>
        <v>41.253</v>
      </c>
      <c r="AD63" s="145">
        <f t="shared" si="36"/>
        <v>67.708312219169983</v>
      </c>
      <c r="AE63" s="145">
        <f t="shared" si="37"/>
        <v>-36.930999999999997</v>
      </c>
      <c r="AF63" s="145">
        <f t="shared" si="38"/>
        <v>65.097588413040057</v>
      </c>
      <c r="AG63" s="772">
        <f>AC63+AD63+AE63+AF63+70-10</f>
        <v>197.12790063221004</v>
      </c>
      <c r="AH63" s="1253">
        <f t="shared" si="39"/>
        <v>56.98</v>
      </c>
      <c r="AI63" s="1253">
        <f t="shared" si="40"/>
        <v>59.997999999999998</v>
      </c>
      <c r="AJ63" s="156">
        <f t="shared" si="41"/>
        <v>77.732073080430013</v>
      </c>
      <c r="AK63" s="156">
        <f t="shared" si="42"/>
        <v>51.281182901360978</v>
      </c>
      <c r="AM63" s="716">
        <f t="shared" si="43"/>
        <v>5558.5438514848302</v>
      </c>
      <c r="AN63" s="716" t="str">
        <f>_xlfn.XLOOKUP(D63,RUC!$B$3:$B$578,RUC!$M$3:$M$578)</f>
        <v>Ronald Garibay</v>
      </c>
      <c r="AO63" s="1167" t="s">
        <v>2279</v>
      </c>
      <c r="AP63" t="s">
        <v>3407</v>
      </c>
      <c r="AQ63" t="s">
        <v>2998</v>
      </c>
    </row>
    <row r="64" spans="1:43" ht="15" customHeight="1">
      <c r="A64" s="747" t="s">
        <v>3382</v>
      </c>
      <c r="B64" s="1447">
        <v>45974</v>
      </c>
      <c r="C64" s="1447">
        <v>45968</v>
      </c>
      <c r="D64" t="s">
        <v>1967</v>
      </c>
      <c r="E64" s="762">
        <f>_xlfn.XLOOKUP(D64,RUC!$B$3:$B$123,RUC!$D$3:$D$123)</f>
        <v>20601769396</v>
      </c>
      <c r="G64" s="1082">
        <v>61</v>
      </c>
      <c r="H64" s="762" t="s">
        <v>2005</v>
      </c>
      <c r="I64" s="703">
        <v>4.8600000000000003</v>
      </c>
      <c r="J64" s="596">
        <v>11.97</v>
      </c>
      <c r="K64" s="703">
        <f t="shared" si="34"/>
        <v>4.2779999999999996</v>
      </c>
      <c r="L64" s="762">
        <v>0.68100000000000005</v>
      </c>
      <c r="M64" s="994">
        <f t="shared" si="28"/>
        <v>0.64700000000000002</v>
      </c>
      <c r="N64" s="1196">
        <f t="shared" si="32"/>
        <v>0.64700000000000002</v>
      </c>
      <c r="O64" s="645">
        <f t="shared" si="44"/>
        <v>0.64700000000000002</v>
      </c>
      <c r="P64" s="727">
        <v>90</v>
      </c>
      <c r="Q64">
        <v>91.19</v>
      </c>
      <c r="R64" s="706">
        <v>3994.1</v>
      </c>
      <c r="S64" s="765">
        <f>IF((_xlfn.XLOOKUP(D64,RUC!$B$3:$B$119,RUC!$E$3:$E$119)+ROUNDDOWN(O64,1)*100)&lt;95,95,((_xlfn.XLOOKUP(D64,RUC!$B$3:$B$119,RUC!$E$3:$E$119)+ROUNDDOWN(O64,1)*100)))</f>
        <v>150</v>
      </c>
      <c r="U64" s="1146">
        <f>_xlfn.XLOOKUP(D64,RUC!$B$3:$B$123,RUC!$F$3:$F$123)</f>
        <v>120</v>
      </c>
      <c r="V64" s="715">
        <v>1.1023000000000001</v>
      </c>
      <c r="Y64">
        <f>_xlfn.XLOOKUP(D64,RUC!$B$3:$B$123,RUC!$G$3:$G$123)</f>
        <v>20</v>
      </c>
      <c r="Z64" s="143">
        <f>_xlfn.XLOOKUP(D64,RUC!$B$3:$B$123,RUC!$H$3:$H$123)</f>
        <v>30</v>
      </c>
      <c r="AA64" s="144">
        <f t="shared" si="35"/>
        <v>50</v>
      </c>
      <c r="AB64" s="145">
        <f t="shared" si="29"/>
        <v>2266.2058163890006</v>
      </c>
      <c r="AC64" s="145">
        <f>+(S64-T64)*V64-'data 1'!$F$4</f>
        <v>85.344999999999999</v>
      </c>
      <c r="AD64" s="145">
        <f t="shared" si="36"/>
        <v>34.607060122676941</v>
      </c>
      <c r="AE64" s="145">
        <f t="shared" si="37"/>
        <v>-14.884999999999998</v>
      </c>
      <c r="AF64" s="145">
        <f t="shared" si="38"/>
        <v>132.40267726397812</v>
      </c>
      <c r="AG64" s="772">
        <f t="shared" ref="AG64:AG70" si="45">AC64+AD64+AE64+AF64+70-53</f>
        <v>254.46973738665508</v>
      </c>
      <c r="AH64" s="1253">
        <f t="shared" si="39"/>
        <v>91.084000000000003</v>
      </c>
      <c r="AI64" s="1253">
        <f t="shared" si="40"/>
        <v>99.884</v>
      </c>
      <c r="AJ64" s="156">
        <f t="shared" si="41"/>
        <v>168.32656608672312</v>
      </c>
      <c r="AK64" s="156">
        <f t="shared" si="42"/>
        <v>85.407623892361173</v>
      </c>
      <c r="AM64" s="716">
        <f t="shared" si="43"/>
        <v>9694.8284825121427</v>
      </c>
      <c r="AN64" s="716" t="str">
        <f>_xlfn.XLOOKUP(D64,RUC!$B$3:$B$578,RUC!$M$3:$M$578)</f>
        <v>Evelyn</v>
      </c>
      <c r="AO64" s="1167" t="s">
        <v>2280</v>
      </c>
      <c r="AP64" t="s">
        <v>3409</v>
      </c>
      <c r="AQ64" t="s">
        <v>3413</v>
      </c>
    </row>
    <row r="65" spans="1:43" ht="15" customHeight="1">
      <c r="A65" s="747" t="s">
        <v>3383</v>
      </c>
      <c r="B65" s="1447">
        <v>45974</v>
      </c>
      <c r="C65" s="1447">
        <v>45968</v>
      </c>
      <c r="D65" t="s">
        <v>1967</v>
      </c>
      <c r="E65" s="762">
        <f>_xlfn.XLOOKUP(D65,RUC!$B$3:$B$123,RUC!$D$3:$D$123)</f>
        <v>20601769396</v>
      </c>
      <c r="G65" s="1082">
        <v>80</v>
      </c>
      <c r="H65" s="762" t="s">
        <v>108</v>
      </c>
      <c r="I65" s="703">
        <v>6.58</v>
      </c>
      <c r="J65" s="596">
        <v>15.15</v>
      </c>
      <c r="K65" s="703">
        <f t="shared" si="34"/>
        <v>5.5830000000000002</v>
      </c>
      <c r="L65" s="762">
        <v>0.26300000000000001</v>
      </c>
      <c r="M65" s="994">
        <f t="shared" si="28"/>
        <v>0.248</v>
      </c>
      <c r="N65" s="1196">
        <f t="shared" si="32"/>
        <v>0.248</v>
      </c>
      <c r="O65" s="645">
        <f t="shared" si="44"/>
        <v>0.248</v>
      </c>
      <c r="P65" s="727">
        <v>87</v>
      </c>
      <c r="Q65">
        <v>87.07</v>
      </c>
      <c r="R65" s="706">
        <v>3994.1</v>
      </c>
      <c r="S65" s="765">
        <f>IF((_xlfn.XLOOKUP(D65,RUC!$B$3:$B$119,RUC!$E$3:$E$119)+ROUNDDOWN(O65,1)*100)&lt;95,95,((_xlfn.XLOOKUP(D65,RUC!$B$3:$B$119,RUC!$E$3:$E$119)+ROUNDDOWN(O65,1)*100)))</f>
        <v>110</v>
      </c>
      <c r="U65" s="1146">
        <f>_xlfn.XLOOKUP(D65,RUC!$B$3:$B$123,RUC!$F$3:$F$123)</f>
        <v>120</v>
      </c>
      <c r="V65" s="715">
        <v>1.1023000000000001</v>
      </c>
      <c r="Y65">
        <f>_xlfn.XLOOKUP(D65,RUC!$B$3:$B$123,RUC!$G$3:$G$123)</f>
        <v>20</v>
      </c>
      <c r="Z65" s="143">
        <f>_xlfn.XLOOKUP(D65,RUC!$B$3:$B$123,RUC!$H$3:$H$123)</f>
        <v>30</v>
      </c>
      <c r="AA65" s="144">
        <f t="shared" si="35"/>
        <v>50</v>
      </c>
      <c r="AB65" s="145">
        <f t="shared" si="29"/>
        <v>745.01791197680018</v>
      </c>
      <c r="AC65" s="145">
        <f>+(S65-T65)*V65-'data 1'!$F$4</f>
        <v>41.253</v>
      </c>
      <c r="AD65" s="145">
        <f t="shared" si="36"/>
        <v>0.78618440116292343</v>
      </c>
      <c r="AE65" s="145">
        <f t="shared" si="37"/>
        <v>-14.884999999999998</v>
      </c>
      <c r="AF65" s="145">
        <f t="shared" si="38"/>
        <v>55.773826026015051</v>
      </c>
      <c r="AG65" s="772">
        <f t="shared" si="45"/>
        <v>99.928010427177981</v>
      </c>
      <c r="AH65" s="1253">
        <f t="shared" si="39"/>
        <v>43.832999999999998</v>
      </c>
      <c r="AI65" s="1253">
        <f t="shared" si="40"/>
        <v>50.341999999999999</v>
      </c>
      <c r="AJ65" s="156">
        <f t="shared" si="41"/>
        <v>62.070126302137027</v>
      </c>
      <c r="AK65" s="156">
        <f t="shared" si="42"/>
        <v>41.299769763204452</v>
      </c>
      <c r="AM65" s="716">
        <f t="shared" si="43"/>
        <v>4159.4350025664753</v>
      </c>
      <c r="AN65" s="716" t="str">
        <f>_xlfn.XLOOKUP(D65,RUC!$B$3:$B$578,RUC!$M$3:$M$578)</f>
        <v>Evelyn</v>
      </c>
      <c r="AO65" s="1167" t="s">
        <v>2280</v>
      </c>
      <c r="AP65" t="s">
        <v>3409</v>
      </c>
      <c r="AQ65" t="s">
        <v>3413</v>
      </c>
    </row>
    <row r="66" spans="1:43" ht="15" customHeight="1">
      <c r="A66" s="747" t="s">
        <v>3384</v>
      </c>
      <c r="B66" s="1447">
        <v>45974</v>
      </c>
      <c r="C66" s="1447">
        <v>45968</v>
      </c>
      <c r="D66" t="s">
        <v>1967</v>
      </c>
      <c r="E66" s="762">
        <f>_xlfn.XLOOKUP(D66,RUC!$B$3:$B$123,RUC!$D$3:$D$123)</f>
        <v>20601769396</v>
      </c>
      <c r="G66" s="1082">
        <v>50</v>
      </c>
      <c r="H66" s="762" t="s">
        <v>2005</v>
      </c>
      <c r="I66" s="703">
        <v>4.04</v>
      </c>
      <c r="J66" s="596">
        <v>13.47</v>
      </c>
      <c r="K66" s="703">
        <f t="shared" si="34"/>
        <v>3.496</v>
      </c>
      <c r="L66" s="762">
        <v>0.437</v>
      </c>
      <c r="M66" s="994">
        <f t="shared" si="28"/>
        <v>0.41499999999999998</v>
      </c>
      <c r="N66" s="1196">
        <f t="shared" si="32"/>
        <v>0.41499999999999998</v>
      </c>
      <c r="O66" s="645">
        <f t="shared" si="44"/>
        <v>0.41499999999999998</v>
      </c>
      <c r="P66" s="727">
        <v>90</v>
      </c>
      <c r="Q66">
        <v>94.74</v>
      </c>
      <c r="R66" s="706">
        <v>3994.1</v>
      </c>
      <c r="S66" s="765">
        <f>IF((_xlfn.XLOOKUP(D66,RUC!$B$3:$B$119,RUC!$E$3:$E$119)+ROUNDDOWN(O66,1)*100)&lt;95,95,((_xlfn.XLOOKUP(D66,RUC!$B$3:$B$119,RUC!$E$3:$E$119)+ROUNDDOWN(O66,1)*100)))</f>
        <v>130</v>
      </c>
      <c r="U66" s="1146">
        <f>_xlfn.XLOOKUP(D66,RUC!$B$3:$B$123,RUC!$F$3:$F$123)</f>
        <v>120</v>
      </c>
      <c r="V66" s="715">
        <v>1.1023000000000001</v>
      </c>
      <c r="Y66">
        <f>_xlfn.XLOOKUP(D66,RUC!$B$3:$B$123,RUC!$G$3:$G$123)</f>
        <v>20</v>
      </c>
      <c r="Z66" s="143">
        <f>_xlfn.XLOOKUP(D66,RUC!$B$3:$B$123,RUC!$H$3:$H$123)</f>
        <v>30</v>
      </c>
      <c r="AA66" s="144">
        <f t="shared" si="35"/>
        <v>50</v>
      </c>
      <c r="AB66" s="145">
        <f t="shared" si="29"/>
        <v>1396.5880306050003</v>
      </c>
      <c r="AC66" s="145">
        <f>+(S66-T66)*V66-'data 1'!$F$4</f>
        <v>63.299000000000007</v>
      </c>
      <c r="AD66" s="145">
        <f t="shared" si="36"/>
        <v>88.456634702933897</v>
      </c>
      <c r="AE66" s="145">
        <f t="shared" si="37"/>
        <v>-14.884999999999998</v>
      </c>
      <c r="AF66" s="145">
        <f t="shared" si="38"/>
        <v>89.007518938404075</v>
      </c>
      <c r="AG66" s="772">
        <f t="shared" si="45"/>
        <v>242.87815364133797</v>
      </c>
      <c r="AH66" s="1253">
        <f t="shared" si="39"/>
        <v>49.624000000000002</v>
      </c>
      <c r="AI66" s="1253">
        <f t="shared" si="40"/>
        <v>52.38</v>
      </c>
      <c r="AJ66" s="156">
        <f t="shared" si="41"/>
        <v>112.22074654686605</v>
      </c>
      <c r="AK66" s="156">
        <f t="shared" si="42"/>
        <v>44.768351158615793</v>
      </c>
      <c r="AM66" s="716">
        <f t="shared" si="43"/>
        <v>4882.471754995081</v>
      </c>
      <c r="AN66" s="716" t="str">
        <f>_xlfn.XLOOKUP(D66,RUC!$B$3:$B$578,RUC!$M$3:$M$578)</f>
        <v>Evelyn</v>
      </c>
      <c r="AO66" s="1167" t="s">
        <v>2280</v>
      </c>
      <c r="AP66" t="s">
        <v>3409</v>
      </c>
      <c r="AQ66" t="s">
        <v>3413</v>
      </c>
    </row>
    <row r="67" spans="1:43" ht="15" customHeight="1">
      <c r="A67" s="747" t="s">
        <v>3385</v>
      </c>
      <c r="B67" s="1447">
        <v>45975</v>
      </c>
      <c r="C67" s="1447">
        <v>45968</v>
      </c>
      <c r="D67" t="s">
        <v>1967</v>
      </c>
      <c r="E67" s="762">
        <f>_xlfn.XLOOKUP(D67,RUC!$B$3:$B$123,RUC!$D$3:$D$123)</f>
        <v>20601769396</v>
      </c>
      <c r="G67" s="1082">
        <v>50</v>
      </c>
      <c r="H67" s="762" t="s">
        <v>2005</v>
      </c>
      <c r="I67" s="703">
        <v>3.65</v>
      </c>
      <c r="J67" s="596">
        <v>10.3</v>
      </c>
      <c r="K67" s="703">
        <f t="shared" si="34"/>
        <v>3.274</v>
      </c>
      <c r="L67" s="762">
        <v>0.39600000000000002</v>
      </c>
      <c r="M67" s="994">
        <f t="shared" si="28"/>
        <v>0.376</v>
      </c>
      <c r="N67" s="1196">
        <f t="shared" si="32"/>
        <v>0.376</v>
      </c>
      <c r="O67" s="645">
        <f t="shared" si="44"/>
        <v>0.376</v>
      </c>
      <c r="P67" s="727">
        <v>90</v>
      </c>
      <c r="Q67" s="665">
        <v>93.18</v>
      </c>
      <c r="R67" s="706">
        <v>3994.1</v>
      </c>
      <c r="S67" s="765">
        <f>IF((_xlfn.XLOOKUP(D67,RUC!$B$3:$B$119,RUC!$E$3:$E$119)+ROUNDDOWN(O67,1)*100)&lt;95,95,((_xlfn.XLOOKUP(D67,RUC!$B$3:$B$119,RUC!$E$3:$E$119)+ROUNDDOWN(O67,1)*100)))</f>
        <v>120</v>
      </c>
      <c r="U67" s="1146">
        <f>_xlfn.XLOOKUP(D67,RUC!$B$3:$B$123,RUC!$F$3:$F$123)</f>
        <v>120</v>
      </c>
      <c r="V67" s="715">
        <v>1.1023000000000001</v>
      </c>
      <c r="Y67">
        <f>_xlfn.XLOOKUP(D67,RUC!$B$3:$B$123,RUC!$G$3:$G$123)</f>
        <v>20</v>
      </c>
      <c r="Z67" s="143">
        <f>_xlfn.XLOOKUP(D67,RUC!$B$3:$B$123,RUC!$H$3:$H$123)</f>
        <v>30</v>
      </c>
      <c r="AA67" s="144">
        <f t="shared" si="35"/>
        <v>50</v>
      </c>
      <c r="AB67" s="145">
        <f t="shared" si="29"/>
        <v>1257.7192735120002</v>
      </c>
      <c r="AC67" s="145">
        <f>+(S67-T67)*V67-'data 1'!$F$4</f>
        <v>52.27600000000001</v>
      </c>
      <c r="AD67" s="145">
        <f t="shared" si="36"/>
        <v>53.776550390904113</v>
      </c>
      <c r="AE67" s="145">
        <f t="shared" si="37"/>
        <v>-14.884999999999998</v>
      </c>
      <c r="AF67" s="145">
        <f t="shared" si="38"/>
        <v>79.58355513348009</v>
      </c>
      <c r="AG67" s="772">
        <f t="shared" si="45"/>
        <v>187.75110552438423</v>
      </c>
      <c r="AH67" s="1253">
        <f t="shared" si="39"/>
        <v>41.42</v>
      </c>
      <c r="AI67" s="1253">
        <f t="shared" si="40"/>
        <v>44.451000000000001</v>
      </c>
      <c r="AJ67" s="156">
        <f t="shared" si="41"/>
        <v>100.01755372989606</v>
      </c>
      <c r="AK67" s="156">
        <f t="shared" si="42"/>
        <v>37.985521984976884</v>
      </c>
      <c r="AM67" s="716">
        <f t="shared" si="43"/>
        <v>4117.772901478289</v>
      </c>
      <c r="AN67" s="716" t="str">
        <f>_xlfn.XLOOKUP(D67,RUC!$B$3:$B$578,RUC!$M$3:$M$578)</f>
        <v>Evelyn</v>
      </c>
      <c r="AO67" s="1167" t="s">
        <v>2280</v>
      </c>
      <c r="AP67" t="s">
        <v>3409</v>
      </c>
      <c r="AQ67" t="s">
        <v>3413</v>
      </c>
    </row>
    <row r="68" spans="1:43" ht="15" customHeight="1">
      <c r="A68" s="747" t="s">
        <v>3386</v>
      </c>
      <c r="B68" s="1447">
        <v>45975</v>
      </c>
      <c r="C68" s="1447">
        <v>45968</v>
      </c>
      <c r="D68" t="s">
        <v>1967</v>
      </c>
      <c r="E68" s="762">
        <f>_xlfn.XLOOKUP(D68,RUC!$B$3:$B$123,RUC!$D$3:$D$123)</f>
        <v>20601769396</v>
      </c>
      <c r="G68" s="1082">
        <v>16</v>
      </c>
      <c r="H68" s="762" t="s">
        <v>2005</v>
      </c>
      <c r="I68" s="703">
        <v>1.1499999999999999</v>
      </c>
      <c r="J68" s="596">
        <v>10.4</v>
      </c>
      <c r="K68" s="703">
        <f t="shared" si="34"/>
        <v>1.03</v>
      </c>
      <c r="L68" s="762">
        <v>0.40200000000000002</v>
      </c>
      <c r="M68" s="994">
        <f t="shared" si="28"/>
        <v>0.38200000000000001</v>
      </c>
      <c r="N68" s="1196">
        <f t="shared" si="32"/>
        <v>0.38200000000000001</v>
      </c>
      <c r="O68" s="645">
        <f t="shared" si="44"/>
        <v>0.38200000000000001</v>
      </c>
      <c r="P68" s="727">
        <v>81</v>
      </c>
      <c r="Q68" s="665">
        <v>81.34</v>
      </c>
      <c r="R68" s="706">
        <v>3994.1</v>
      </c>
      <c r="S68" s="765">
        <f>IF((_xlfn.XLOOKUP(D68,RUC!$B$3:$B$119,RUC!$E$3:$E$119)+ROUNDDOWN(O68,1)*100)&lt;95,95,((_xlfn.XLOOKUP(D68,RUC!$B$3:$B$119,RUC!$E$3:$E$119)+ROUNDDOWN(O68,1)*100)))</f>
        <v>120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3">
        <f>_xlfn.XLOOKUP(D68,RUC!$B$3:$B$123,RUC!$H$3:$H$123)</f>
        <v>30</v>
      </c>
      <c r="AA68" s="144">
        <f t="shared" si="35"/>
        <v>50</v>
      </c>
      <c r="AB68" s="145">
        <f t="shared" si="29"/>
        <v>1133.9624894505998</v>
      </c>
      <c r="AC68" s="145">
        <f>+(S68-T68)*V68-'data 1'!$F$4</f>
        <v>52.27600000000001</v>
      </c>
      <c r="AD68" s="145">
        <f t="shared" si="36"/>
        <v>5.8368106437240588</v>
      </c>
      <c r="AE68" s="145">
        <f t="shared" si="37"/>
        <v>-14.884999999999998</v>
      </c>
      <c r="AF68" s="145">
        <f t="shared" si="38"/>
        <v>69.471199555240077</v>
      </c>
      <c r="AG68" s="772">
        <f t="shared" si="45"/>
        <v>129.69901019896415</v>
      </c>
      <c r="AH68" s="1253">
        <f t="shared" si="39"/>
        <v>11.547000000000001</v>
      </c>
      <c r="AI68" s="1253">
        <f t="shared" si="40"/>
        <v>14.196</v>
      </c>
      <c r="AJ68" s="156">
        <f t="shared" si="41"/>
        <v>88.63159345647604</v>
      </c>
      <c r="AK68" s="156">
        <f t="shared" si="42"/>
        <v>10.926842313543929</v>
      </c>
      <c r="AM68" s="716">
        <f t="shared" si="43"/>
        <v>1167.9813641341179</v>
      </c>
      <c r="AN68" s="716" t="str">
        <f>_xlfn.XLOOKUP(D68,RUC!$B$3:$B$578,RUC!$M$3:$M$578)</f>
        <v>Evelyn</v>
      </c>
      <c r="AO68" s="1167" t="s">
        <v>2280</v>
      </c>
      <c r="AP68" t="s">
        <v>3409</v>
      </c>
      <c r="AQ68" t="s">
        <v>3413</v>
      </c>
    </row>
    <row r="69" spans="1:43" ht="15" customHeight="1">
      <c r="A69" s="747" t="s">
        <v>3387</v>
      </c>
      <c r="B69" s="1447">
        <v>45975</v>
      </c>
      <c r="C69" s="1447">
        <v>45968</v>
      </c>
      <c r="D69" t="s">
        <v>1967</v>
      </c>
      <c r="E69" s="762">
        <f>_xlfn.XLOOKUP(D69,RUC!$B$3:$B$123,RUC!$D$3:$D$123)</f>
        <v>20601769396</v>
      </c>
      <c r="G69" s="1082">
        <v>31</v>
      </c>
      <c r="H69" s="762" t="s">
        <v>2005</v>
      </c>
      <c r="I69" s="703">
        <v>2.34</v>
      </c>
      <c r="J69" s="596">
        <v>14.2</v>
      </c>
      <c r="K69" s="703">
        <f t="shared" si="34"/>
        <v>2.008</v>
      </c>
      <c r="L69" s="994">
        <v>0.28000000000000003</v>
      </c>
      <c r="M69" s="994">
        <f t="shared" si="28"/>
        <v>0.26500000000000001</v>
      </c>
      <c r="N69" s="1196">
        <f t="shared" si="32"/>
        <v>0.26500000000000001</v>
      </c>
      <c r="O69" s="645">
        <f t="shared" si="44"/>
        <v>0.26500000000000001</v>
      </c>
      <c r="P69" s="727">
        <v>90</v>
      </c>
      <c r="Q69" s="665">
        <v>92.86</v>
      </c>
      <c r="R69" s="706">
        <v>3994.1</v>
      </c>
      <c r="S69" s="765">
        <f>IF((_xlfn.XLOOKUP(D69,RUC!$B$3:$B$119,RUC!$E$3:$E$119)+ROUNDDOWN(O69,1)*100)&lt;95,95,((_xlfn.XLOOKUP(D69,RUC!$B$3:$B$119,RUC!$E$3:$E$119)+ROUNDDOWN(O69,1)*100)))</f>
        <v>110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3">
        <f>_xlfn.XLOOKUP(D69,RUC!$B$3:$B$123,RUC!$H$3:$H$123)</f>
        <v>30</v>
      </c>
      <c r="AA69" s="144">
        <f t="shared" si="35"/>
        <v>50</v>
      </c>
      <c r="AB69" s="145">
        <f t="shared" si="29"/>
        <v>842.12727255499999</v>
      </c>
      <c r="AC69" s="145">
        <f>+(S69-T69)*V69-'data 1'!$F$4</f>
        <v>41.253</v>
      </c>
      <c r="AD69" s="145">
        <f t="shared" si="36"/>
        <v>34.197526803439999</v>
      </c>
      <c r="AE69" s="145">
        <f t="shared" si="37"/>
        <v>-14.884999999999998</v>
      </c>
      <c r="AF69" s="145">
        <f t="shared" si="38"/>
        <v>59.482686169470064</v>
      </c>
      <c r="AG69" s="772">
        <f t="shared" si="45"/>
        <v>137.04821297291005</v>
      </c>
      <c r="AH69" s="1253">
        <f t="shared" si="39"/>
        <v>17.899999999999999</v>
      </c>
      <c r="AI69" s="1253">
        <f t="shared" si="40"/>
        <v>19.277000000000001</v>
      </c>
      <c r="AJ69" s="156">
        <f t="shared" si="41"/>
        <v>70.476616644560039</v>
      </c>
      <c r="AK69" s="156">
        <f t="shared" si="42"/>
        <v>16.419546620249399</v>
      </c>
      <c r="AM69" s="716">
        <f t="shared" si="43"/>
        <v>1690.9915632904399</v>
      </c>
      <c r="AN69" s="716" t="str">
        <f>_xlfn.XLOOKUP(D69,RUC!$B$3:$B$578,RUC!$M$3:$M$578)</f>
        <v>Evelyn</v>
      </c>
      <c r="AO69" s="1167" t="s">
        <v>2280</v>
      </c>
      <c r="AP69" t="s">
        <v>3409</v>
      </c>
      <c r="AQ69" t="s">
        <v>3413</v>
      </c>
    </row>
    <row r="70" spans="1:43" ht="15" customHeight="1">
      <c r="A70" s="747" t="s">
        <v>3389</v>
      </c>
      <c r="B70" s="1447">
        <v>45975</v>
      </c>
      <c r="C70" s="1447">
        <v>45968</v>
      </c>
      <c r="D70" t="s">
        <v>1967</v>
      </c>
      <c r="E70" s="762">
        <f>_xlfn.XLOOKUP(D70,RUC!$B$3:$B$123,RUC!$D$3:$D$123)</f>
        <v>20601769396</v>
      </c>
      <c r="G70" s="1082">
        <v>27</v>
      </c>
      <c r="H70" s="762" t="s">
        <v>2005</v>
      </c>
      <c r="I70" s="703">
        <v>2.1800000000000002</v>
      </c>
      <c r="J70" s="596">
        <v>11.5</v>
      </c>
      <c r="K70" s="703">
        <f t="shared" si="34"/>
        <v>1.929</v>
      </c>
      <c r="L70" s="762">
        <v>0.44900000000000001</v>
      </c>
      <c r="M70" s="994">
        <f t="shared" si="28"/>
        <v>0.42699999999999999</v>
      </c>
      <c r="N70" s="1196">
        <f t="shared" si="32"/>
        <v>0.42699999999999999</v>
      </c>
      <c r="O70" s="645">
        <f t="shared" si="44"/>
        <v>0.42699999999999999</v>
      </c>
      <c r="P70" s="727">
        <v>86</v>
      </c>
      <c r="Q70" s="665">
        <v>86.86</v>
      </c>
      <c r="R70" s="706">
        <v>3994.1</v>
      </c>
      <c r="S70" s="765">
        <f>IF((_xlfn.XLOOKUP(D70,RUC!$B$3:$B$119,RUC!$E$3:$E$119)+ROUNDDOWN(O70,1)*100)&lt;95,95,((_xlfn.XLOOKUP(D70,RUC!$B$3:$B$119,RUC!$E$3:$E$119)+ROUNDDOWN(O70,1)*100)))</f>
        <v>130</v>
      </c>
      <c r="U70" s="1146">
        <f>_xlfn.XLOOKUP(D70,RUC!$B$3:$B$123,RUC!$F$3:$F$123)</f>
        <v>120</v>
      </c>
      <c r="V70" s="715">
        <v>1.1023000000000001</v>
      </c>
      <c r="Y70">
        <f>_xlfn.XLOOKUP(D70,RUC!$B$3:$B$123,RUC!$G$3:$G$123)</f>
        <v>20</v>
      </c>
      <c r="Z70" s="143">
        <f>_xlfn.XLOOKUP(D70,RUC!$B$3:$B$123,RUC!$H$3:$H$123)</f>
        <v>30</v>
      </c>
      <c r="AA70" s="144">
        <f t="shared" si="35"/>
        <v>50</v>
      </c>
      <c r="AB70" s="145">
        <f t="shared" si="29"/>
        <v>1369.7697903046001</v>
      </c>
      <c r="AC70" s="145">
        <f>+(S70-T70)*V70-'data 1'!$F$4</f>
        <v>63.299000000000007</v>
      </c>
      <c r="AD70" s="145">
        <f t="shared" si="36"/>
        <v>16.489801448401991</v>
      </c>
      <c r="AE70" s="145">
        <f t="shared" si="37"/>
        <v>-14.884999999999998</v>
      </c>
      <c r="AF70" s="145">
        <f t="shared" si="38"/>
        <v>81.604318080956062</v>
      </c>
      <c r="AG70" s="772">
        <f t="shared" si="45"/>
        <v>163.50811952935805</v>
      </c>
      <c r="AH70" s="1253">
        <f t="shared" si="39"/>
        <v>25.792999999999999</v>
      </c>
      <c r="AI70" s="1253">
        <f t="shared" si="40"/>
        <v>29.695</v>
      </c>
      <c r="AJ70" s="156">
        <f t="shared" si="41"/>
        <v>105.71205177779802</v>
      </c>
      <c r="AK70" s="156">
        <f t="shared" si="42"/>
        <v>24.286650505261811</v>
      </c>
      <c r="AM70" s="716">
        <f t="shared" si="43"/>
        <v>2642.2859254975738</v>
      </c>
      <c r="AN70" s="716" t="str">
        <f>_xlfn.XLOOKUP(D70,RUC!$B$3:$B$578,RUC!$M$3:$M$578)</f>
        <v>Evelyn</v>
      </c>
      <c r="AO70" s="1167" t="s">
        <v>2280</v>
      </c>
      <c r="AP70" t="s">
        <v>3409</v>
      </c>
      <c r="AQ70" t="s">
        <v>3413</v>
      </c>
    </row>
    <row r="71" spans="1:43" ht="15" customHeight="1">
      <c r="A71" s="747" t="s">
        <v>3401</v>
      </c>
      <c r="B71" s="1447">
        <v>45978</v>
      </c>
      <c r="C71" s="1447">
        <v>45970</v>
      </c>
      <c r="D71" t="s">
        <v>1484</v>
      </c>
      <c r="E71" s="762">
        <f>_xlfn.XLOOKUP(D71,RUC!$B$3:$B$123,RUC!$D$3:$D$123)</f>
        <v>10761932735</v>
      </c>
      <c r="G71" s="1082">
        <v>83</v>
      </c>
      <c r="H71" s="762" t="s">
        <v>69</v>
      </c>
      <c r="I71" s="703">
        <v>7.63</v>
      </c>
      <c r="J71" s="596">
        <v>15.83</v>
      </c>
      <c r="K71" s="703">
        <f t="shared" si="34"/>
        <v>6.4219999999999997</v>
      </c>
      <c r="L71" s="762">
        <v>0.47899999999999998</v>
      </c>
      <c r="M71" s="994">
        <f>ROUND(+IF(AN71="Melchor Vera",IF(L71&gt;0.467,L71*0.985,(L71-0.007)),IF(L71&gt;0.3,L71*0.94,(L71-0.018))),3)</f>
        <v>0.45</v>
      </c>
      <c r="N71" s="1444">
        <v>0.53200000000000003</v>
      </c>
      <c r="O71" s="645">
        <f t="shared" si="44"/>
        <v>0.49099999999999999</v>
      </c>
      <c r="P71" s="727">
        <v>90</v>
      </c>
      <c r="Q71" s="596">
        <v>95.2</v>
      </c>
      <c r="R71" s="706">
        <v>3994.1</v>
      </c>
      <c r="S71" s="765">
        <f>IF((_xlfn.XLOOKUP(D71,RUC!$B$3:$B$119,RUC!$E$3:$E$119)+ROUNDDOWN(O71,1)*100)&lt;95,95,((_xlfn.XLOOKUP(D71,RUC!$B$3:$B$119,RUC!$E$3:$E$119)+ROUNDDOWN(O71,1)*100)))</f>
        <v>130</v>
      </c>
      <c r="U71" s="1146">
        <f>_xlfn.XLOOKUP(D71,RUC!$B$3:$B$123,RUC!$F$3:$F$123)</f>
        <v>120</v>
      </c>
      <c r="V71" s="715">
        <v>1.1023000000000001</v>
      </c>
      <c r="Y71">
        <v>0</v>
      </c>
      <c r="Z71" s="143">
        <f>_xlfn.XLOOKUP(D71,RUC!$B$3:$B$123,RUC!$H$3:$H$123)</f>
        <v>30</v>
      </c>
      <c r="AA71" s="144">
        <f t="shared" ref="AA71:AA81" si="46">+Y71+Z71</f>
        <v>30</v>
      </c>
      <c r="AB71" s="145">
        <f t="shared" ref="AB71:AB81" si="47">+((O71*P71*(R71-U71)/100)-S71-AA71+T71)*V71</f>
        <v>1710.7307880170001</v>
      </c>
      <c r="AC71" s="145">
        <f>+(S71-T71)*V71-'data 1'!$F$4</f>
        <v>63.299000000000007</v>
      </c>
      <c r="AD71" s="145">
        <f t="shared" ref="AD71:AD81" si="48">+(Q71-P71)*(R71-U71)*L71*V71/100</f>
        <v>106.36763207044005</v>
      </c>
      <c r="AE71" s="145">
        <f t="shared" ref="AE71:AE81" si="49">+(Y71*V71-70)+V71*(Z71-IF(D71="UNTUCA",IF(+((W71-3)*2.5+(X71-3)*3.1)&gt;0,+((W71-3)*1.5+(X71-3)*3.1),0),IF(+((W71-3)*1.5+(X71-3)*3.1)&gt;0,+((W71-3)*1.5+(X71-3)*3.1),0)))</f>
        <v>-36.930999999999997</v>
      </c>
      <c r="AF71" s="145">
        <f t="shared" ref="AF71:AF81" si="50">(L71-O71)*(R71-U71)*Q71*V71/100</f>
        <v>-48.785282992320042</v>
      </c>
      <c r="AG71" s="772">
        <f t="shared" ref="AG71:AG81" si="51">AC71+AD71+AE71+AF71+70-53</f>
        <v>100.95034907812004</v>
      </c>
      <c r="AH71" s="1253">
        <f t="shared" si="39"/>
        <v>100.404</v>
      </c>
      <c r="AI71" s="1253">
        <f t="shared" si="40"/>
        <v>105.467</v>
      </c>
      <c r="AJ71" s="156">
        <f t="shared" si="41"/>
        <v>123.60350836456004</v>
      </c>
      <c r="AK71" s="156">
        <f t="shared" si="42"/>
        <v>97.297878753032492</v>
      </c>
      <c r="AM71" s="716">
        <f t="shared" si="43"/>
        <v>10986.313120645174</v>
      </c>
      <c r="AN71" s="716" t="str">
        <f>_xlfn.XLOOKUP(D71,RUC!$B$3:$B$578,RUC!$M$3:$M$578)</f>
        <v>Richard Sapacayo</v>
      </c>
      <c r="AO71" s="1167" t="s">
        <v>2279</v>
      </c>
      <c r="AP71" t="s">
        <v>2905</v>
      </c>
      <c r="AQ71" t="s">
        <v>2450</v>
      </c>
    </row>
    <row r="72" spans="1:43" ht="15" customHeight="1">
      <c r="A72" s="747" t="s">
        <v>3402</v>
      </c>
      <c r="B72" s="1447">
        <v>45978</v>
      </c>
      <c r="C72" s="1447">
        <v>45970</v>
      </c>
      <c r="D72" t="s">
        <v>1484</v>
      </c>
      <c r="E72" s="762">
        <f>_xlfn.XLOOKUP(D72,RUC!$B$3:$B$123,RUC!$D$3:$D$123)</f>
        <v>10761932735</v>
      </c>
      <c r="G72" s="1082" t="s">
        <v>2985</v>
      </c>
      <c r="H72" s="762" t="s">
        <v>69</v>
      </c>
      <c r="I72" s="703">
        <v>31.81</v>
      </c>
      <c r="J72" s="596">
        <v>4.5999999999999996</v>
      </c>
      <c r="K72" s="703">
        <f t="shared" si="34"/>
        <v>30.347000000000001</v>
      </c>
      <c r="L72" s="762">
        <v>0.16500000000000001</v>
      </c>
      <c r="M72" s="994">
        <f>ROUND(+IF(AN72="Melchor Vera",IF(L72&gt;0.467,L72*0.985,(L72-0.007)),IF(L72&gt;0.3,L72*0.94,(L72-0.018))),3)</f>
        <v>0.14699999999999999</v>
      </c>
      <c r="N72" s="1196">
        <f t="shared" ref="N72:N75" si="52">+M72</f>
        <v>0.14699999999999999</v>
      </c>
      <c r="O72" s="645">
        <f t="shared" si="44"/>
        <v>0.14699999999999999</v>
      </c>
      <c r="P72" s="727">
        <v>85</v>
      </c>
      <c r="Q72">
        <v>96.36</v>
      </c>
      <c r="R72" s="706">
        <v>3994.1</v>
      </c>
      <c r="S72" s="765">
        <f>IF((_xlfn.XLOOKUP(D72,RUC!$B$3:$B$119,RUC!$E$3:$E$119)+ROUNDDOWN(O72,1)*100)&lt;95,95,((_xlfn.XLOOKUP(D72,RUC!$B$3:$B$119,RUC!$E$3:$E$119)+ROUNDDOWN(O72,1)*100)))</f>
        <v>100</v>
      </c>
      <c r="U72" s="1146">
        <f>_xlfn.XLOOKUP(D72,RUC!$B$3:$B$123,RUC!$F$3:$F$123)</f>
        <v>120</v>
      </c>
      <c r="V72" s="715">
        <v>1.1023000000000001</v>
      </c>
      <c r="Y72">
        <v>0</v>
      </c>
      <c r="Z72" s="143">
        <f>_xlfn.XLOOKUP(D72,RUC!$B$3:$B$123,RUC!$H$3:$H$123)</f>
        <v>30</v>
      </c>
      <c r="AA72" s="144">
        <f t="shared" si="46"/>
        <v>30</v>
      </c>
      <c r="AB72" s="145">
        <f t="shared" si="47"/>
        <v>390.29003272849997</v>
      </c>
      <c r="AC72" s="145">
        <f>+(S72-T72)*V72-'data 1'!$F$4</f>
        <v>30.230000000000004</v>
      </c>
      <c r="AD72" s="145">
        <f t="shared" si="48"/>
        <v>80.044760539920006</v>
      </c>
      <c r="AE72" s="145">
        <f t="shared" si="49"/>
        <v>-36.930999999999997</v>
      </c>
      <c r="AF72" s="145">
        <f t="shared" si="50"/>
        <v>74.069588274264063</v>
      </c>
      <c r="AG72" s="772">
        <f t="shared" si="51"/>
        <v>164.41334881418408</v>
      </c>
      <c r="AH72" s="1253">
        <f t="shared" si="39"/>
        <v>165.42699999999999</v>
      </c>
      <c r="AI72" s="1253">
        <f t="shared" si="40"/>
        <v>171.67599999999999</v>
      </c>
      <c r="AJ72" s="156">
        <f t="shared" si="41"/>
        <v>43.096209296580021</v>
      </c>
      <c r="AK72" s="156">
        <f t="shared" si="42"/>
        <v>130.00531096061107</v>
      </c>
      <c r="AM72" s="716">
        <f t="shared" si="43"/>
        <v>11844.13162321179</v>
      </c>
      <c r="AN72" s="716" t="str">
        <f>_xlfn.XLOOKUP(D72,RUC!$B$3:$B$578,RUC!$M$3:$M$578)</f>
        <v>Richard Sapacayo</v>
      </c>
      <c r="AO72" s="1167" t="s">
        <v>2279</v>
      </c>
      <c r="AP72" t="s">
        <v>2905</v>
      </c>
      <c r="AQ72" t="s">
        <v>2450</v>
      </c>
    </row>
    <row r="73" spans="1:43" ht="15" customHeight="1">
      <c r="A73" s="747" t="s">
        <v>3418</v>
      </c>
      <c r="B73" s="1447">
        <v>45979</v>
      </c>
      <c r="C73" s="1447">
        <v>45972</v>
      </c>
      <c r="D73" t="s">
        <v>93</v>
      </c>
      <c r="E73" s="762">
        <f>_xlfn.XLOOKUP(D73,RUC!$B$3:$B$123,RUC!$D$3:$D$123)</f>
        <v>20169040231</v>
      </c>
      <c r="G73" s="1082">
        <v>13</v>
      </c>
      <c r="H73" s="762" t="s">
        <v>69</v>
      </c>
      <c r="I73" s="703">
        <v>1.03</v>
      </c>
      <c r="J73" s="596">
        <v>1.2</v>
      </c>
      <c r="K73" s="703">
        <f t="shared" si="34"/>
        <v>1.018</v>
      </c>
      <c r="L73" s="994">
        <v>0.57999999999999996</v>
      </c>
      <c r="M73" s="994">
        <f>ROUND(+IF(AN73="Melchor Vera",IF(L73&gt;0.467,L73*0.985,(L73-0.007)),IF(L73&gt;0.3,L73*0.94,(L73-0.018))),3)</f>
        <v>0.54500000000000004</v>
      </c>
      <c r="N73" s="1196">
        <f t="shared" si="52"/>
        <v>0.54500000000000004</v>
      </c>
      <c r="O73" s="645">
        <f t="shared" si="44"/>
        <v>0.54500000000000004</v>
      </c>
      <c r="P73" s="727">
        <v>90</v>
      </c>
      <c r="Q73" s="1545">
        <v>91.72</v>
      </c>
      <c r="R73" s="1211">
        <v>4123.3</v>
      </c>
      <c r="S73" s="765">
        <f>IF((_xlfn.XLOOKUP(D73,RUC!$B$3:$B$119,RUC!$E$3:$E$119)+ROUNDDOWN(O73,1)*100)&lt;95,95,((_xlfn.XLOOKUP(D73,RUC!$B$3:$B$119,RUC!$E$3:$E$119)+ROUNDDOWN(O73,1)*100)))</f>
        <v>135</v>
      </c>
      <c r="U73" s="1146">
        <f>_xlfn.XLOOKUP(D73,RUC!$B$3:$B$123,RUC!$F$3:$F$123)</f>
        <v>120</v>
      </c>
      <c r="V73" s="715">
        <v>1.1023000000000001</v>
      </c>
      <c r="Y73">
        <f>_xlfn.XLOOKUP(D73,RUC!$B$3:$B$123,RUC!$G$3:$G$123)</f>
        <v>20</v>
      </c>
      <c r="Z73" s="1454">
        <v>35</v>
      </c>
      <c r="AA73" s="144">
        <f t="shared" si="46"/>
        <v>55</v>
      </c>
      <c r="AB73" s="145">
        <f t="shared" si="47"/>
        <v>1955.0598378950003</v>
      </c>
      <c r="AC73" s="145">
        <f>+(S73-T73)*V73-'data 1'!$F$4</f>
        <v>68.810500000000019</v>
      </c>
      <c r="AD73" s="145">
        <f t="shared" si="48"/>
        <v>44.022467797839973</v>
      </c>
      <c r="AE73" s="145">
        <f t="shared" si="49"/>
        <v>-9.3734999999999999</v>
      </c>
      <c r="AF73" s="145">
        <f t="shared" si="50"/>
        <v>141.66091231417968</v>
      </c>
      <c r="AG73" s="772">
        <f t="shared" si="51"/>
        <v>262.12038011201969</v>
      </c>
      <c r="AH73" s="1253">
        <f t="shared" si="39"/>
        <v>18.567</v>
      </c>
      <c r="AI73" s="1253">
        <f t="shared" si="40"/>
        <v>20.242999999999999</v>
      </c>
      <c r="AJ73" s="156">
        <f t="shared" si="41"/>
        <v>68.43254679815989</v>
      </c>
      <c r="AK73" s="156">
        <f t="shared" si="42"/>
        <v>17.119688529618454</v>
      </c>
      <c r="AM73" s="716">
        <f t="shared" si="43"/>
        <v>1990.2509149771104</v>
      </c>
      <c r="AN73" s="716" t="str">
        <f>_xlfn.XLOOKUP(D73,RUC!$B$3:$B$578,RUC!$M$3:$M$578)</f>
        <v>Ronald Miranda</v>
      </c>
      <c r="AO73" s="1167" t="s">
        <v>2279</v>
      </c>
      <c r="AP73" t="s">
        <v>3416</v>
      </c>
      <c r="AQ73" t="s">
        <v>3417</v>
      </c>
    </row>
    <row r="74" spans="1:43" ht="15" customHeight="1">
      <c r="A74" s="747" t="s">
        <v>3419</v>
      </c>
      <c r="B74" s="1447">
        <v>45979</v>
      </c>
      <c r="C74" s="1447">
        <v>45972</v>
      </c>
      <c r="D74" t="s">
        <v>93</v>
      </c>
      <c r="E74" s="762">
        <f>_xlfn.XLOOKUP(D74,RUC!$B$3:$B$123,RUC!$D$3:$D$123)</f>
        <v>20169040231</v>
      </c>
      <c r="G74" s="1082">
        <v>28</v>
      </c>
      <c r="H74" s="762" t="s">
        <v>69</v>
      </c>
      <c r="I74" s="703">
        <v>2.54</v>
      </c>
      <c r="J74" s="596">
        <v>1.1499999999999999</v>
      </c>
      <c r="K74" s="703">
        <f t="shared" si="34"/>
        <v>2.5110000000000001</v>
      </c>
      <c r="L74" s="762">
        <v>0.82399999999999995</v>
      </c>
      <c r="M74" s="994">
        <f t="shared" ref="M74:M81" si="53">ROUND(+IF(AN74="Melchor Vera",IF(L74&gt;0.467,L74*0.985,(L74-0.007)),IF(L74&gt;0.3,L74*0.94,(L74-0.018))),3)</f>
        <v>0.77500000000000002</v>
      </c>
      <c r="N74" s="1196">
        <f t="shared" si="52"/>
        <v>0.77500000000000002</v>
      </c>
      <c r="O74" s="645">
        <f t="shared" si="44"/>
        <v>0.77500000000000002</v>
      </c>
      <c r="P74" s="727">
        <v>90</v>
      </c>
      <c r="Q74" s="1545">
        <v>92.72</v>
      </c>
      <c r="R74" s="1211">
        <v>4123.3</v>
      </c>
      <c r="S74" s="765">
        <f>IF((_xlfn.XLOOKUP(D74,RUC!$B$3:$B$119,RUC!$E$3:$E$119)+ROUNDDOWN(O74,1)*100)&lt;95,95,((_xlfn.XLOOKUP(D74,RUC!$B$3:$B$119,RUC!$E$3:$E$119)+ROUNDDOWN(O74,1)*100)))</f>
        <v>155</v>
      </c>
      <c r="U74" s="1146">
        <f>_xlfn.XLOOKUP(D74,RUC!$B$3:$B$123,RUC!$F$3:$F$123)</f>
        <v>120</v>
      </c>
      <c r="V74" s="715">
        <v>1.1023000000000001</v>
      </c>
      <c r="Y74">
        <f>_xlfn.XLOOKUP(D74,RUC!$B$3:$B$123,RUC!$G$3:$G$123)</f>
        <v>20</v>
      </c>
      <c r="Z74" s="1454">
        <v>35</v>
      </c>
      <c r="AA74" s="144">
        <f t="shared" si="46"/>
        <v>55</v>
      </c>
      <c r="AB74" s="145">
        <f t="shared" si="47"/>
        <v>2846.4712190250002</v>
      </c>
      <c r="AC74" s="145">
        <f>+(S74-T74)*V74-'data 1'!$F$4</f>
        <v>90.856500000000011</v>
      </c>
      <c r="AD74" s="145">
        <f t="shared" si="48"/>
        <v>98.904046337151954</v>
      </c>
      <c r="AE74" s="145">
        <f t="shared" si="49"/>
        <v>-9.3734999999999999</v>
      </c>
      <c r="AF74" s="145">
        <f t="shared" si="50"/>
        <v>200.48756765895175</v>
      </c>
      <c r="AG74" s="772">
        <f t="shared" si="51"/>
        <v>397.87461399610368</v>
      </c>
      <c r="AH74" s="1253">
        <f t="shared" si="39"/>
        <v>65.774000000000001</v>
      </c>
      <c r="AI74" s="1253">
        <f t="shared" si="40"/>
        <v>70.938999999999993</v>
      </c>
      <c r="AJ74" s="156">
        <f t="shared" si="41"/>
        <v>98.281391811647822</v>
      </c>
      <c r="AK74" s="156">
        <f t="shared" si="42"/>
        <v>60.048200052001128</v>
      </c>
      <c r="AM74" s="716">
        <f t="shared" si="43"/>
        <v>7147.4892309717761</v>
      </c>
      <c r="AN74" s="716" t="str">
        <f>_xlfn.XLOOKUP(D74,RUC!$B$3:$B$578,RUC!$M$3:$M$578)</f>
        <v>Ronald Miranda</v>
      </c>
      <c r="AO74" s="1167" t="s">
        <v>2279</v>
      </c>
      <c r="AP74" t="s">
        <v>3416</v>
      </c>
      <c r="AQ74" t="s">
        <v>3417</v>
      </c>
    </row>
    <row r="75" spans="1:43" ht="15" customHeight="1">
      <c r="A75" s="747" t="s">
        <v>3420</v>
      </c>
      <c r="B75" s="1447">
        <v>45979</v>
      </c>
      <c r="C75" s="1447">
        <v>45972</v>
      </c>
      <c r="D75" t="s">
        <v>93</v>
      </c>
      <c r="E75" s="762">
        <f>_xlfn.XLOOKUP(D75,RUC!$B$3:$B$123,RUC!$D$3:$D$123)</f>
        <v>20169040231</v>
      </c>
      <c r="G75" s="1082">
        <v>19</v>
      </c>
      <c r="H75" s="762" t="s">
        <v>69</v>
      </c>
      <c r="I75" s="703">
        <v>1.66</v>
      </c>
      <c r="J75" s="596">
        <v>1.3</v>
      </c>
      <c r="K75" s="703">
        <f t="shared" si="34"/>
        <v>1.6379999999999999</v>
      </c>
      <c r="L75" s="762">
        <v>0.47099999999999997</v>
      </c>
      <c r="M75" s="994">
        <f t="shared" si="53"/>
        <v>0.443</v>
      </c>
      <c r="N75" s="1196">
        <f t="shared" si="52"/>
        <v>0.443</v>
      </c>
      <c r="O75" s="645">
        <f t="shared" si="44"/>
        <v>0.443</v>
      </c>
      <c r="P75" s="727">
        <v>90</v>
      </c>
      <c r="Q75" s="1545">
        <v>90.87</v>
      </c>
      <c r="R75" s="1211">
        <v>4123.3</v>
      </c>
      <c r="S75" s="765">
        <f>IF((_xlfn.XLOOKUP(D75,RUC!$B$3:$B$119,RUC!$E$3:$E$119)+ROUNDDOWN(O75,1)*100)&lt;95,95,((_xlfn.XLOOKUP(D75,RUC!$B$3:$B$119,RUC!$E$3:$E$119)+ROUNDDOWN(O75,1)*100)))</f>
        <v>125</v>
      </c>
      <c r="U75" s="1146">
        <f>_xlfn.XLOOKUP(D75,RUC!$B$3:$B$123,RUC!$F$3:$F$123)</f>
        <v>120</v>
      </c>
      <c r="V75" s="715">
        <v>1.1023000000000001</v>
      </c>
      <c r="Y75">
        <f>_xlfn.XLOOKUP(D75,RUC!$B$3:$B$123,RUC!$G$3:$G$123)</f>
        <v>20</v>
      </c>
      <c r="Z75" s="1454">
        <v>35</v>
      </c>
      <c r="AA75" s="144">
        <f t="shared" si="46"/>
        <v>55</v>
      </c>
      <c r="AB75" s="145">
        <f t="shared" si="47"/>
        <v>1560.984347133</v>
      </c>
      <c r="AC75" s="145">
        <f>+(S75-T75)*V75-'data 1'!$F$4</f>
        <v>57.787499999999994</v>
      </c>
      <c r="AD75" s="145">
        <f t="shared" si="48"/>
        <v>18.082484592543096</v>
      </c>
      <c r="AE75" s="145">
        <f t="shared" si="49"/>
        <v>-9.3734999999999999</v>
      </c>
      <c r="AF75" s="145">
        <f t="shared" si="50"/>
        <v>112.27847450492391</v>
      </c>
      <c r="AG75" s="772">
        <f t="shared" si="51"/>
        <v>195.77495909746699</v>
      </c>
      <c r="AH75" s="1253">
        <f t="shared" si="39"/>
        <v>24.036000000000001</v>
      </c>
      <c r="AI75" s="1253">
        <f t="shared" si="40"/>
        <v>26.451000000000001</v>
      </c>
      <c r="AJ75" s="156">
        <f t="shared" si="41"/>
        <v>55.056943611656919</v>
      </c>
      <c r="AK75" s="156">
        <f t="shared" si="42"/>
        <v>22.390778945046328</v>
      </c>
      <c r="AM75" s="716">
        <f t="shared" si="43"/>
        <v>2556.8923606038538</v>
      </c>
      <c r="AN75" s="716" t="str">
        <f>_xlfn.XLOOKUP(D75,RUC!$B$3:$B$578,RUC!$M$3:$M$578)</f>
        <v>Ronald Miranda</v>
      </c>
      <c r="AO75" s="1167" t="s">
        <v>2279</v>
      </c>
      <c r="AP75" t="s">
        <v>3416</v>
      </c>
      <c r="AQ75" t="s">
        <v>3417</v>
      </c>
    </row>
    <row r="76" spans="1:43" ht="15" customHeight="1">
      <c r="A76" s="747" t="s">
        <v>3422</v>
      </c>
      <c r="B76" s="1447">
        <v>45979</v>
      </c>
      <c r="C76" s="1447">
        <v>45972</v>
      </c>
      <c r="D76" t="s">
        <v>93</v>
      </c>
      <c r="E76" s="762">
        <f>_xlfn.XLOOKUP(D76,RUC!$B$3:$B$123,RUC!$D$3:$D$123)</f>
        <v>20169040231</v>
      </c>
      <c r="G76" s="1082">
        <v>57</v>
      </c>
      <c r="H76" s="762" t="s">
        <v>69</v>
      </c>
      <c r="I76" s="703">
        <v>4.46</v>
      </c>
      <c r="J76" s="596">
        <v>1.25</v>
      </c>
      <c r="K76" s="703">
        <f t="shared" si="34"/>
        <v>4.4039999999999999</v>
      </c>
      <c r="L76" s="762">
        <v>0.35799999999999998</v>
      </c>
      <c r="M76" s="994">
        <f t="shared" si="53"/>
        <v>0.33700000000000002</v>
      </c>
      <c r="N76" s="1444">
        <v>0.39800000000000002</v>
      </c>
      <c r="O76" s="645">
        <f t="shared" si="44"/>
        <v>0.36799999999999999</v>
      </c>
      <c r="P76" s="727">
        <v>90</v>
      </c>
      <c r="Q76" s="1545">
        <v>93.02</v>
      </c>
      <c r="R76" s="1211">
        <v>4123.3</v>
      </c>
      <c r="S76" s="765">
        <f>IF((_xlfn.XLOOKUP(D76,RUC!$B$3:$B$119,RUC!$E$3:$E$119)+ROUNDDOWN(O76,1)*100)&lt;95,95,((_xlfn.XLOOKUP(D76,RUC!$B$3:$B$119,RUC!$E$3:$E$119)+ROUNDDOWN(O76,1)*100)))</f>
        <v>115</v>
      </c>
      <c r="U76" s="1146">
        <f>_xlfn.XLOOKUP(D76,RUC!$B$3:$B$123,RUC!$F$3:$F$123)</f>
        <v>120</v>
      </c>
      <c r="V76" s="715">
        <v>1.1023000000000001</v>
      </c>
      <c r="Y76">
        <f>_xlfn.XLOOKUP(D76,RUC!$B$3:$B$123,RUC!$G$3:$G$123)</f>
        <v>20</v>
      </c>
      <c r="Z76" s="1454">
        <v>35</v>
      </c>
      <c r="AA76" s="144">
        <f t="shared" si="46"/>
        <v>55</v>
      </c>
      <c r="AB76" s="145">
        <f t="shared" si="47"/>
        <v>1274.1408098080003</v>
      </c>
      <c r="AC76" s="145">
        <f>+(S76-T76)*V76-'data 1'!$F$4</f>
        <v>46.764500000000012</v>
      </c>
      <c r="AD76" s="145">
        <f t="shared" si="48"/>
        <v>47.709834888043943</v>
      </c>
      <c r="AE76" s="145">
        <f t="shared" si="49"/>
        <v>-9.3734999999999999</v>
      </c>
      <c r="AF76" s="145">
        <f t="shared" si="50"/>
        <v>-41.048215262180037</v>
      </c>
      <c r="AG76" s="772">
        <f t="shared" si="51"/>
        <v>61.052619625863912</v>
      </c>
      <c r="AH76" s="1253">
        <f t="shared" si="39"/>
        <v>50.281999999999996</v>
      </c>
      <c r="AI76" s="1253">
        <f t="shared" si="40"/>
        <v>54.055</v>
      </c>
      <c r="AJ76" s="156">
        <f t="shared" si="41"/>
        <v>42.838082735555929</v>
      </c>
      <c r="AK76" s="156">
        <f t="shared" si="42"/>
        <v>50.008831579592631</v>
      </c>
      <c r="AM76" s="716">
        <f t="shared" si="43"/>
        <v>5611.316126394433</v>
      </c>
      <c r="AN76" s="716" t="str">
        <f>_xlfn.XLOOKUP(D76,RUC!$B$3:$B$578,RUC!$M$3:$M$578)</f>
        <v>Ronald Miranda</v>
      </c>
      <c r="AO76" s="1167" t="s">
        <v>2279</v>
      </c>
      <c r="AP76" t="s">
        <v>3416</v>
      </c>
      <c r="AQ76" t="s">
        <v>3417</v>
      </c>
    </row>
    <row r="77" spans="1:43" ht="15" customHeight="1">
      <c r="A77" s="747" t="s">
        <v>3423</v>
      </c>
      <c r="B77" s="1447">
        <v>45979</v>
      </c>
      <c r="C77" s="1447">
        <v>45972</v>
      </c>
      <c r="D77" t="s">
        <v>93</v>
      </c>
      <c r="E77" s="762">
        <f>_xlfn.XLOOKUP(D77,RUC!$B$3:$B$123,RUC!$D$3:$D$123)</f>
        <v>20169040231</v>
      </c>
      <c r="G77" s="1082">
        <v>63</v>
      </c>
      <c r="H77" s="762" t="s">
        <v>69</v>
      </c>
      <c r="I77" s="703">
        <v>4.8499999999999996</v>
      </c>
      <c r="J77" s="596">
        <v>1.3</v>
      </c>
      <c r="K77" s="703">
        <f t="shared" si="34"/>
        <v>4.7869999999999999</v>
      </c>
      <c r="L77" s="762">
        <v>0.59199999999999997</v>
      </c>
      <c r="M77" s="994">
        <f t="shared" si="53"/>
        <v>0.55600000000000005</v>
      </c>
      <c r="N77" s="1444">
        <v>0.60899999999999999</v>
      </c>
      <c r="O77" s="645">
        <f t="shared" si="44"/>
        <v>0.58299999999999996</v>
      </c>
      <c r="P77" s="727">
        <v>90</v>
      </c>
      <c r="Q77" s="1545">
        <v>93.24</v>
      </c>
      <c r="R77" s="1211">
        <v>4123.3</v>
      </c>
      <c r="S77" s="765">
        <f>IF((_xlfn.XLOOKUP(D77,RUC!$B$3:$B$119,RUC!$E$3:$E$119)+ROUNDDOWN(O77,1)*100)&lt;95,95,((_xlfn.XLOOKUP(D77,RUC!$B$3:$B$119,RUC!$E$3:$E$119)+ROUNDDOWN(O77,1)*100)))</f>
        <v>135</v>
      </c>
      <c r="U77" s="1146">
        <f>_xlfn.XLOOKUP(D77,RUC!$B$3:$B$123,RUC!$F$3:$F$123)</f>
        <v>120</v>
      </c>
      <c r="V77" s="715">
        <v>1.1023000000000001</v>
      </c>
      <c r="Y77">
        <f>_xlfn.XLOOKUP(D77,RUC!$B$3:$B$123,RUC!$G$3:$G$123)</f>
        <v>20</v>
      </c>
      <c r="Z77" s="1454">
        <v>35</v>
      </c>
      <c r="AA77" s="144">
        <f t="shared" si="46"/>
        <v>55</v>
      </c>
      <c r="AB77" s="145">
        <f t="shared" si="47"/>
        <v>2105.9788834730002</v>
      </c>
      <c r="AC77" s="145">
        <f>+(S77-T77)*V77-'data 1'!$F$4</f>
        <v>68.810500000000019</v>
      </c>
      <c r="AD77" s="145">
        <f t="shared" si="48"/>
        <v>84.641755246271885</v>
      </c>
      <c r="AE77" s="145">
        <f t="shared" si="49"/>
        <v>-9.3734999999999999</v>
      </c>
      <c r="AF77" s="145">
        <f t="shared" si="50"/>
        <v>37.030767920244038</v>
      </c>
      <c r="AG77" s="772">
        <f t="shared" si="51"/>
        <v>198.10952316651594</v>
      </c>
      <c r="AH77" s="1253">
        <f t="shared" si="39"/>
        <v>90.593000000000004</v>
      </c>
      <c r="AI77" s="1253">
        <f t="shared" si="40"/>
        <v>97.161000000000001</v>
      </c>
      <c r="AJ77" s="156">
        <f t="shared" si="41"/>
        <v>71.00593246252788</v>
      </c>
      <c r="AK77" s="156">
        <f t="shared" si="42"/>
        <v>86.115942866780145</v>
      </c>
      <c r="AM77" s="716">
        <f t="shared" si="43"/>
        <v>10081.320915185252</v>
      </c>
      <c r="AN77" s="716" t="str">
        <f>_xlfn.XLOOKUP(D77,RUC!$B$3:$B$578,RUC!$M$3:$M$578)</f>
        <v>Ronald Miranda</v>
      </c>
      <c r="AO77" s="1167" t="s">
        <v>2279</v>
      </c>
      <c r="AP77" t="s">
        <v>3416</v>
      </c>
      <c r="AQ77" t="s">
        <v>3417</v>
      </c>
    </row>
    <row r="78" spans="1:43" ht="15" customHeight="1">
      <c r="A78" s="747" t="s">
        <v>3424</v>
      </c>
      <c r="B78" s="1447">
        <v>45979</v>
      </c>
      <c r="C78" s="1447">
        <v>45972</v>
      </c>
      <c r="D78" t="s">
        <v>93</v>
      </c>
      <c r="E78" s="762">
        <f>_xlfn.XLOOKUP(D78,RUC!$B$3:$B$123,RUC!$D$3:$D$123)</f>
        <v>20169040231</v>
      </c>
      <c r="G78" s="1082">
        <v>44</v>
      </c>
      <c r="H78" s="762" t="s">
        <v>69</v>
      </c>
      <c r="I78" s="703">
        <v>3.56</v>
      </c>
      <c r="J78" s="596">
        <v>1.2</v>
      </c>
      <c r="K78" s="703">
        <f t="shared" si="34"/>
        <v>3.5169999999999999</v>
      </c>
      <c r="L78" s="762">
        <v>0.21299999999999999</v>
      </c>
      <c r="M78" s="994">
        <f t="shared" si="53"/>
        <v>0.19500000000000001</v>
      </c>
      <c r="N78" s="1196">
        <f t="shared" ref="N78:N80" si="54">+M78</f>
        <v>0.19500000000000001</v>
      </c>
      <c r="O78" s="645">
        <f t="shared" si="44"/>
        <v>0.19500000000000001</v>
      </c>
      <c r="P78" s="727">
        <v>90</v>
      </c>
      <c r="Q78" s="1545">
        <v>92.49</v>
      </c>
      <c r="R78" s="1211">
        <v>4123.3</v>
      </c>
      <c r="S78" s="765">
        <f>IF((_xlfn.XLOOKUP(D78,RUC!$B$3:$B$119,RUC!$E$3:$E$119)+ROUNDDOWN(O78,1)*100)&lt;95,95,((_xlfn.XLOOKUP(D78,RUC!$B$3:$B$119,RUC!$E$3:$E$119)+ROUNDDOWN(O78,1)*100)))</f>
        <v>95</v>
      </c>
      <c r="U78" s="1146">
        <f>_xlfn.XLOOKUP(D78,RUC!$B$3:$B$123,RUC!$F$3:$F$123)</f>
        <v>120</v>
      </c>
      <c r="V78" s="715">
        <v>1.1023000000000001</v>
      </c>
      <c r="Y78">
        <f>_xlfn.XLOOKUP(D78,RUC!$B$3:$B$123,RUC!$G$3:$G$123)</f>
        <v>20</v>
      </c>
      <c r="Z78" s="1454">
        <v>35</v>
      </c>
      <c r="AA78" s="144">
        <f t="shared" si="46"/>
        <v>55</v>
      </c>
      <c r="AB78" s="145">
        <f t="shared" si="47"/>
        <v>609.10799704500005</v>
      </c>
      <c r="AC78" s="145">
        <f>+(S78-T78)*V78-'data 1'!$F$4</f>
        <v>24.718500000000006</v>
      </c>
      <c r="AD78" s="145">
        <f t="shared" si="48"/>
        <v>23.404366726082955</v>
      </c>
      <c r="AE78" s="145">
        <f t="shared" si="49"/>
        <v>-9.3734999999999999</v>
      </c>
      <c r="AF78" s="145">
        <f t="shared" si="50"/>
        <v>73.465802765837964</v>
      </c>
      <c r="AG78" s="772">
        <f t="shared" si="51"/>
        <v>129.21516949192093</v>
      </c>
      <c r="AH78" s="1253">
        <f t="shared" si="39"/>
        <v>23.754999999999999</v>
      </c>
      <c r="AI78" s="1253">
        <f t="shared" si="40"/>
        <v>25.684000000000001</v>
      </c>
      <c r="AJ78" s="156">
        <f t="shared" si="41"/>
        <v>25.342242732116961</v>
      </c>
      <c r="AK78" s="156">
        <f t="shared" si="42"/>
        <v>21.162090064959674</v>
      </c>
      <c r="AM78" s="716">
        <f t="shared" si="43"/>
        <v>2142.2328256072651</v>
      </c>
      <c r="AN78" s="716" t="str">
        <f>_xlfn.XLOOKUP(D78,RUC!$B$3:$B$578,RUC!$M$3:$M$578)</f>
        <v>Ronald Miranda</v>
      </c>
      <c r="AO78" s="1167" t="s">
        <v>2279</v>
      </c>
      <c r="AP78" t="s">
        <v>3416</v>
      </c>
      <c r="AQ78" t="s">
        <v>3417</v>
      </c>
    </row>
    <row r="79" spans="1:43" ht="15" customHeight="1">
      <c r="A79" s="747" t="s">
        <v>3425</v>
      </c>
      <c r="B79" s="1447">
        <v>45979</v>
      </c>
      <c r="C79" s="1447">
        <v>45972</v>
      </c>
      <c r="D79" t="s">
        <v>93</v>
      </c>
      <c r="E79" s="762">
        <f>_xlfn.XLOOKUP(D79,RUC!$B$3:$B$123,RUC!$D$3:$D$123)</f>
        <v>20169040231</v>
      </c>
      <c r="G79" s="1082">
        <v>44</v>
      </c>
      <c r="H79" s="762" t="s">
        <v>69</v>
      </c>
      <c r="I79" s="703">
        <v>3.51</v>
      </c>
      <c r="J79" s="596">
        <v>1.25</v>
      </c>
      <c r="K79" s="703">
        <f t="shared" si="34"/>
        <v>3.4660000000000002</v>
      </c>
      <c r="L79" s="762">
        <v>0.158</v>
      </c>
      <c r="M79" s="994">
        <f t="shared" si="53"/>
        <v>0.14000000000000001</v>
      </c>
      <c r="N79" s="1196">
        <f t="shared" si="54"/>
        <v>0.14000000000000001</v>
      </c>
      <c r="O79" s="645">
        <f t="shared" si="44"/>
        <v>0.14000000000000001</v>
      </c>
      <c r="P79" s="727">
        <v>85</v>
      </c>
      <c r="Q79" s="1545">
        <v>87.97</v>
      </c>
      <c r="R79" s="1211">
        <v>4123.3</v>
      </c>
      <c r="S79" s="765">
        <f>IF((_xlfn.XLOOKUP(D79,RUC!$B$3:$B$119,RUC!$E$3:$E$119)+ROUNDDOWN(O79,1)*100)&lt;95,95,((_xlfn.XLOOKUP(D79,RUC!$B$3:$B$119,RUC!$E$3:$E$119)+ROUNDDOWN(O79,1)*100)))</f>
        <v>95</v>
      </c>
      <c r="U79" s="1146">
        <f>_xlfn.XLOOKUP(D79,RUC!$B$3:$B$123,RUC!$F$3:$F$123)</f>
        <v>120</v>
      </c>
      <c r="V79" s="715">
        <v>1.1023000000000001</v>
      </c>
      <c r="Y79">
        <f>_xlfn.XLOOKUP(D79,RUC!$B$3:$B$123,RUC!$G$3:$G$123)</f>
        <v>20</v>
      </c>
      <c r="Z79" s="1454">
        <v>35</v>
      </c>
      <c r="AA79" s="144">
        <f t="shared" si="46"/>
        <v>55</v>
      </c>
      <c r="AB79" s="145">
        <f t="shared" si="47"/>
        <v>359.7826732100001</v>
      </c>
      <c r="AC79" s="145">
        <f>+(S79-T79)*V79-'data 1'!$F$4</f>
        <v>24.718500000000006</v>
      </c>
      <c r="AD79" s="145">
        <f t="shared" si="48"/>
        <v>20.707681674833992</v>
      </c>
      <c r="AE79" s="145">
        <f t="shared" si="49"/>
        <v>-9.3734999999999999</v>
      </c>
      <c r="AF79" s="145">
        <f t="shared" si="50"/>
        <v>69.875518102613952</v>
      </c>
      <c r="AG79" s="772">
        <f t="shared" si="51"/>
        <v>122.92819977744796</v>
      </c>
      <c r="AH79" s="1253">
        <f t="shared" si="39"/>
        <v>16.516999999999999</v>
      </c>
      <c r="AI79" s="1253">
        <f t="shared" si="40"/>
        <v>18.776</v>
      </c>
      <c r="AJ79" s="156">
        <f t="shared" si="41"/>
        <v>17.879787065765974</v>
      </c>
      <c r="AK79" s="156">
        <f t="shared" si="42"/>
        <v>14.141145442774706</v>
      </c>
      <c r="AM79" s="716">
        <f t="shared" si="43"/>
        <v>1247.0067453458605</v>
      </c>
      <c r="AN79" s="716" t="str">
        <f>_xlfn.XLOOKUP(D79,RUC!$B$3:$B$578,RUC!$M$3:$M$578)</f>
        <v>Ronald Miranda</v>
      </c>
      <c r="AO79" s="1167" t="s">
        <v>2279</v>
      </c>
      <c r="AP79" t="s">
        <v>3416</v>
      </c>
      <c r="AQ79" t="s">
        <v>3417</v>
      </c>
    </row>
    <row r="80" spans="1:43" ht="15" customHeight="1">
      <c r="A80" s="747" t="s">
        <v>3426</v>
      </c>
      <c r="B80" s="1447">
        <v>45979</v>
      </c>
      <c r="C80" s="1447">
        <v>45972</v>
      </c>
      <c r="D80" t="s">
        <v>93</v>
      </c>
      <c r="E80" s="762">
        <f>_xlfn.XLOOKUP(D80,RUC!$B$3:$B$123,RUC!$D$3:$D$123)</f>
        <v>20169040231</v>
      </c>
      <c r="G80" s="1082">
        <v>50</v>
      </c>
      <c r="H80" s="762" t="s">
        <v>69</v>
      </c>
      <c r="I80" s="703">
        <v>4.03</v>
      </c>
      <c r="J80" s="596">
        <v>1.3</v>
      </c>
      <c r="K80" s="703">
        <f t="shared" si="34"/>
        <v>3.9780000000000002</v>
      </c>
      <c r="L80" s="762">
        <v>0.63600000000000001</v>
      </c>
      <c r="M80" s="994">
        <f t="shared" si="53"/>
        <v>0.59799999999999998</v>
      </c>
      <c r="N80" s="1196">
        <f t="shared" si="54"/>
        <v>0.59799999999999998</v>
      </c>
      <c r="O80" s="645">
        <f t="shared" si="44"/>
        <v>0.59799999999999998</v>
      </c>
      <c r="P80" s="727">
        <v>90</v>
      </c>
      <c r="Q80" s="1545">
        <v>90.57</v>
      </c>
      <c r="R80" s="1211">
        <v>4123.3</v>
      </c>
      <c r="S80" s="765">
        <f>IF((_xlfn.XLOOKUP(D80,RUC!$B$3:$B$119,RUC!$E$3:$E$119)+ROUNDDOWN(O80,1)*100)&lt;95,95,((_xlfn.XLOOKUP(D80,RUC!$B$3:$B$119,RUC!$E$3:$E$119)+ROUNDDOWN(O80,1)*100)))</f>
        <v>135</v>
      </c>
      <c r="U80" s="1146">
        <f>_xlfn.XLOOKUP(D80,RUC!$B$3:$B$123,RUC!$F$3:$F$123)</f>
        <v>120</v>
      </c>
      <c r="V80" s="715">
        <v>1.1023000000000001</v>
      </c>
      <c r="Y80">
        <f>_xlfn.XLOOKUP(D80,RUC!$B$3:$B$123,RUC!$G$3:$G$123)</f>
        <v>20</v>
      </c>
      <c r="Z80" s="1454">
        <v>35</v>
      </c>
      <c r="AA80" s="144">
        <f t="shared" si="46"/>
        <v>55</v>
      </c>
      <c r="AB80" s="145">
        <f t="shared" si="47"/>
        <v>2165.552190938</v>
      </c>
      <c r="AC80" s="145">
        <f>+(S80-T80)*V80-'data 1'!$F$4</f>
        <v>68.810500000000019</v>
      </c>
      <c r="AD80" s="145">
        <f t="shared" si="48"/>
        <v>15.99741883126781</v>
      </c>
      <c r="AE80" s="145">
        <f t="shared" si="49"/>
        <v>-9.3734999999999999</v>
      </c>
      <c r="AF80" s="145">
        <f t="shared" si="50"/>
        <v>151.87486619999416</v>
      </c>
      <c r="AG80" s="772">
        <f t="shared" si="51"/>
        <v>244.30928503126199</v>
      </c>
      <c r="AH80" s="1253">
        <f t="shared" si="39"/>
        <v>78.563000000000002</v>
      </c>
      <c r="AI80" s="1253">
        <f t="shared" si="40"/>
        <v>86.742000000000004</v>
      </c>
      <c r="AJ80" s="156">
        <f t="shared" si="41"/>
        <v>74.098965847931879</v>
      </c>
      <c r="AK80" s="156">
        <f t="shared" si="42"/>
        <v>73.403630685372789</v>
      </c>
      <c r="AM80" s="716">
        <f t="shared" si="43"/>
        <v>8614.5666155513645</v>
      </c>
      <c r="AN80" s="716" t="str">
        <f>_xlfn.XLOOKUP(D80,RUC!$B$3:$B$578,RUC!$M$3:$M$578)</f>
        <v>Ronald Miranda</v>
      </c>
      <c r="AO80" s="1167" t="s">
        <v>2279</v>
      </c>
      <c r="AP80" t="s">
        <v>3416</v>
      </c>
      <c r="AQ80" t="s">
        <v>3417</v>
      </c>
    </row>
    <row r="81" spans="1:43" ht="15" customHeight="1">
      <c r="A81" s="747" t="s">
        <v>3427</v>
      </c>
      <c r="B81" s="1447">
        <v>45979</v>
      </c>
      <c r="C81" s="1447">
        <v>45972</v>
      </c>
      <c r="D81" t="s">
        <v>93</v>
      </c>
      <c r="E81" s="762">
        <f>_xlfn.XLOOKUP(D81,RUC!$B$3:$B$123,RUC!$D$3:$D$123)</f>
        <v>20169040231</v>
      </c>
      <c r="G81" s="1082">
        <v>38</v>
      </c>
      <c r="H81" s="762" t="s">
        <v>69</v>
      </c>
      <c r="I81" s="703">
        <v>3.11</v>
      </c>
      <c r="J81" s="596">
        <v>1.2</v>
      </c>
      <c r="K81" s="703">
        <f t="shared" si="34"/>
        <v>3.073</v>
      </c>
      <c r="L81" s="762">
        <v>0.89400000000000002</v>
      </c>
      <c r="M81" s="994">
        <f t="shared" si="53"/>
        <v>0.84</v>
      </c>
      <c r="N81" s="1444">
        <v>0.91800000000000004</v>
      </c>
      <c r="O81" s="645">
        <f t="shared" si="44"/>
        <v>0.879</v>
      </c>
      <c r="P81" s="727">
        <v>89</v>
      </c>
      <c r="Q81" s="1545">
        <v>89.49</v>
      </c>
      <c r="R81" s="1211">
        <v>4123.3</v>
      </c>
      <c r="S81" s="765">
        <f>IF((_xlfn.XLOOKUP(D81,RUC!$B$3:$B$119,RUC!$E$3:$E$119)+ROUNDDOWN(O81,1)*100)&lt;95,95,((_xlfn.XLOOKUP(D81,RUC!$B$3:$B$119,RUC!$E$3:$E$119)+ROUNDDOWN(O81,1)*100)))</f>
        <v>165</v>
      </c>
      <c r="U81" s="1146">
        <f>_xlfn.XLOOKUP(D81,RUC!$B$3:$B$123,RUC!$F$3:$F$123)</f>
        <v>120</v>
      </c>
      <c r="V81" s="715">
        <v>1.1023000000000001</v>
      </c>
      <c r="Y81">
        <f>_xlfn.XLOOKUP(D81,RUC!$B$3:$B$123,RUC!$G$3:$G$123)</f>
        <v>20</v>
      </c>
      <c r="Z81" s="1454">
        <v>35</v>
      </c>
      <c r="AA81" s="144">
        <f t="shared" si="46"/>
        <v>55</v>
      </c>
      <c r="AB81" s="145">
        <f t="shared" si="47"/>
        <v>3209.7009750328998</v>
      </c>
      <c r="AC81" s="145">
        <f>+(S81-T81)*V81-'data 1'!$F$4</f>
        <v>101.87950000000001</v>
      </c>
      <c r="AD81" s="145">
        <f t="shared" si="48"/>
        <v>19.330876346753797</v>
      </c>
      <c r="AE81" s="145">
        <f t="shared" si="49"/>
        <v>-9.3734999999999999</v>
      </c>
      <c r="AF81" s="145">
        <f t="shared" si="50"/>
        <v>59.235725389365058</v>
      </c>
      <c r="AG81" s="772">
        <f t="shared" si="51"/>
        <v>188.07260173611886</v>
      </c>
      <c r="AH81" s="1253">
        <f t="shared" si="39"/>
        <v>84.290999999999997</v>
      </c>
      <c r="AI81" s="1253">
        <f t="shared" si="40"/>
        <v>94.191000000000003</v>
      </c>
      <c r="AJ81" s="156">
        <f t="shared" si="41"/>
        <v>102.91595071944583</v>
      </c>
      <c r="AK81" s="156">
        <f t="shared" si="42"/>
        <v>82.423397316740378</v>
      </c>
      <c r="AM81" s="716">
        <f t="shared" si="43"/>
        <v>9863.4110962761006</v>
      </c>
      <c r="AN81" s="716" t="str">
        <f>_xlfn.XLOOKUP(D81,RUC!$B$3:$B$578,RUC!$M$3:$M$578)</f>
        <v>Ronald Miranda</v>
      </c>
      <c r="AO81" s="1167" t="s">
        <v>2279</v>
      </c>
      <c r="AP81" t="s">
        <v>3416</v>
      </c>
      <c r="AQ81" t="s">
        <v>3417</v>
      </c>
    </row>
    <row r="82" spans="1:43" ht="15" customHeight="1">
      <c r="A82" s="747" t="s">
        <v>3436</v>
      </c>
      <c r="B82" s="1447">
        <v>45978</v>
      </c>
      <c r="C82" s="1447">
        <v>45972</v>
      </c>
      <c r="D82" t="s">
        <v>1967</v>
      </c>
      <c r="E82" s="762">
        <f>_xlfn.XLOOKUP(D82,RUC!$B$3:$B$123,RUC!$D$3:$D$123)</f>
        <v>20601769396</v>
      </c>
      <c r="G82" s="1082">
        <v>34</v>
      </c>
      <c r="H82" s="762" t="s">
        <v>116</v>
      </c>
      <c r="I82" s="703">
        <v>3.33</v>
      </c>
      <c r="J82" s="596">
        <v>6.65</v>
      </c>
      <c r="K82" s="703">
        <f t="shared" si="34"/>
        <v>3.109</v>
      </c>
      <c r="L82" s="762">
        <v>0.318</v>
      </c>
      <c r="M82" s="994">
        <f>ROUND(+IF(AN82="Melchor Vera",IF(L82&gt;0.467,L82*0.985,(L82-0.007)),IF(L82&gt;0.3,L82*0.94,(L82-0.018))),3)</f>
        <v>0.29899999999999999</v>
      </c>
      <c r="N82" s="1444">
        <v>0.34399999999999997</v>
      </c>
      <c r="O82" s="645">
        <f>+ROUND((M82+N82)/2,3)</f>
        <v>0.32200000000000001</v>
      </c>
      <c r="P82" s="727">
        <v>90</v>
      </c>
      <c r="Q82" s="1523">
        <v>94.65</v>
      </c>
      <c r="R82" s="706">
        <v>4123.3</v>
      </c>
      <c r="S82" s="765">
        <f>IF((_xlfn.XLOOKUP(D82,RUC!$B$3:$B$119,RUC!$E$3:$E$119)+ROUNDDOWN(O82,1)*100)&lt;95,95,((_xlfn.XLOOKUP(D82,RUC!$B$3:$B$119,RUC!$E$3:$E$119)+ROUNDDOWN(O82,1)*100)))</f>
        <v>120</v>
      </c>
      <c r="U82" s="1146">
        <f>_xlfn.XLOOKUP(D82,RUC!$B$3:$B$123,RUC!$F$3:$F$123)</f>
        <v>120</v>
      </c>
      <c r="V82" s="715">
        <v>1.1023000000000001</v>
      </c>
      <c r="Y82">
        <f>_xlfn.XLOOKUP(D82,RUC!$B$3:$B$123,RUC!$G$3:$G$123)</f>
        <v>20</v>
      </c>
      <c r="Z82" s="143">
        <f>_xlfn.XLOOKUP(D82,RUC!$B$3:$B$123,RUC!$H$3:$H$123)</f>
        <v>30</v>
      </c>
      <c r="AA82" s="144">
        <f>+Y82+Z82</f>
        <v>50</v>
      </c>
      <c r="AB82" s="145">
        <f>+((O82*P82*(R82-U82)/100)-S82-AA82+T82)*V82</f>
        <v>1091.449333582</v>
      </c>
      <c r="AC82" s="145">
        <f>+(S82-T82)*V82-'data 1'!$F$4</f>
        <v>52.27600000000001</v>
      </c>
      <c r="AD82" s="145">
        <f>+(Q82-P82)*(R82-U82)*L82*V82/100</f>
        <v>65.252629443330093</v>
      </c>
      <c r="AE82" s="145">
        <f>+(Y82*V82-70)+V82*(Z82-IF(D82="UNTUCA",IF(+((W82-3)*2.5+(X82-3)*3.1)&gt;0,+((W82-3)*1.5+(X82-3)*3.1),0),IF(+((W82-3)*1.5+(X82-3)*3.1)&gt;0,+((W82-3)*1.5+(X82-3)*3.1),0)))</f>
        <v>-14.884999999999998</v>
      </c>
      <c r="AF82" s="145">
        <f>(L82-O82)*(R82-U82)*Q82*V82/100</f>
        <v>-16.707003115740019</v>
      </c>
      <c r="AG82" s="772">
        <f>AC82+AD82+AE82+AF82+70-53</f>
        <v>102.93662632759009</v>
      </c>
      <c r="AH82" s="1253">
        <f t="shared" si="39"/>
        <v>32.082999999999998</v>
      </c>
      <c r="AI82" s="1253">
        <f t="shared" si="40"/>
        <v>33.896999999999998</v>
      </c>
      <c r="AJ82" s="156">
        <f t="shared" si="41"/>
        <v>38.718489110669942</v>
      </c>
      <c r="AK82" s="156">
        <f t="shared" si="42"/>
        <v>30.890730065471011</v>
      </c>
      <c r="AM82" s="716">
        <f t="shared" si="43"/>
        <v>3393.3159781064378</v>
      </c>
      <c r="AN82" s="716" t="str">
        <f>_xlfn.XLOOKUP(D82,RUC!$B$3:$B$578,RUC!$M$3:$M$578)</f>
        <v>Evelyn</v>
      </c>
      <c r="AO82" s="1167" t="s">
        <v>2279</v>
      </c>
      <c r="AP82" t="s">
        <v>3403</v>
      </c>
      <c r="AQ82" t="s">
        <v>3477</v>
      </c>
    </row>
    <row r="83" spans="1:43" ht="15" customHeight="1">
      <c r="A83" s="747" t="s">
        <v>3441</v>
      </c>
      <c r="B83" s="1544">
        <v>45978</v>
      </c>
      <c r="C83" s="1447">
        <v>45972</v>
      </c>
      <c r="D83" t="s">
        <v>1967</v>
      </c>
      <c r="E83" s="762">
        <f>_xlfn.XLOOKUP(D83,RUC!$B$3:$B$123,RUC!$D$3:$D$123)</f>
        <v>20601769396</v>
      </c>
      <c r="G83" s="1082">
        <v>35</v>
      </c>
      <c r="H83" s="762" t="s">
        <v>116</v>
      </c>
      <c r="I83" s="703">
        <v>3.37</v>
      </c>
      <c r="J83" s="596">
        <v>8.9</v>
      </c>
      <c r="K83" s="703">
        <f t="shared" si="34"/>
        <v>3.07</v>
      </c>
      <c r="L83" s="762">
        <v>0.36299999999999999</v>
      </c>
      <c r="M83" s="994">
        <f t="shared" ref="M83" si="55">ROUND(+IF(AN83="Melchor Vera",IF(L83&gt;0.467,L83*0.985,(L83-0.007)),IF(L83&gt;0.3,L83*0.94,(L83-0.018))),3)</f>
        <v>0.34100000000000003</v>
      </c>
      <c r="N83" s="1196">
        <f t="shared" ref="N83" si="56">+M83</f>
        <v>0.34100000000000003</v>
      </c>
      <c r="O83" s="645">
        <f t="shared" ref="O83" si="57">+ROUND((M83+N83)/2,3)</f>
        <v>0.34100000000000003</v>
      </c>
      <c r="P83" s="727">
        <v>90</v>
      </c>
      <c r="Q83" s="1523">
        <v>96.14</v>
      </c>
      <c r="R83" s="706">
        <v>4123.3</v>
      </c>
      <c r="S83" s="765">
        <f>IF((_xlfn.XLOOKUP(D83,RUC!$B$3:$B$119,RUC!$E$3:$E$119)+ROUNDDOWN(O83,1)*100)&lt;95,95,((_xlfn.XLOOKUP(D83,RUC!$B$3:$B$119,RUC!$E$3:$E$119)+ROUNDDOWN(O83,1)*100)))</f>
        <v>120</v>
      </c>
      <c r="U83" s="1146">
        <f>_xlfn.XLOOKUP(D83,RUC!$B$3:$B$123,RUC!$F$3:$F$123)</f>
        <v>120</v>
      </c>
      <c r="V83" s="715">
        <v>1.1023000000000001</v>
      </c>
      <c r="Y83">
        <f>_xlfn.XLOOKUP(D83,RUC!$B$3:$B$123,RUC!$G$3:$G$123)</f>
        <v>20</v>
      </c>
      <c r="Z83" s="143">
        <f>_xlfn.XLOOKUP(D83,RUC!$B$3:$B$123,RUC!$H$3:$H$123)</f>
        <v>30</v>
      </c>
      <c r="AA83" s="144">
        <f>+Y83+Z83</f>
        <v>50</v>
      </c>
      <c r="AB83" s="145">
        <f>+((O83*P83*(R83-U83)/100)-S83-AA83+T83)*V83</f>
        <v>1166.9088563710002</v>
      </c>
      <c r="AC83" s="145">
        <f>+(S83-T83)*V83-'data 1'!$F$4</f>
        <v>52.27600000000001</v>
      </c>
      <c r="AD83" s="145">
        <f>+(Q83-P83)*(R83-U83)*L83*V83/100</f>
        <v>98.354206773437994</v>
      </c>
      <c r="AE83" s="145">
        <f>+(Y83*V83-70)+V83*(Z83-IF(D83="UNTUCA",IF(+((W83-3)*2.5+(X83-3)*3.1)&gt;0,+((W83-3)*1.5+(X83-3)*3.1),0),IF(+((W83-3)*1.5+(X83-3)*3.1)&gt;0,+((W83-3)*1.5+(X83-3)*3.1),0)))</f>
        <v>-14.884999999999998</v>
      </c>
      <c r="AF83" s="145">
        <f>(L83-O83)*(R83-U83)*Q83*V83/100</f>
        <v>93.335045298571856</v>
      </c>
      <c r="AG83" s="772">
        <f>AC83+AD83+AE83+AF83+70-53</f>
        <v>246.0802520720099</v>
      </c>
      <c r="AH83" s="1253">
        <f t="shared" si="39"/>
        <v>36.732999999999997</v>
      </c>
      <c r="AI83" s="1253">
        <f t="shared" si="40"/>
        <v>38.207999999999998</v>
      </c>
      <c r="AJ83" s="156">
        <f t="shared" si="41"/>
        <v>44.893287156761936</v>
      </c>
      <c r="AK83" s="156">
        <f t="shared" si="42"/>
        <v>32.303109769113149</v>
      </c>
      <c r="AM83" s="716">
        <f t="shared" si="43"/>
        <v>3582.4101890589704</v>
      </c>
      <c r="AN83" s="716" t="str">
        <f>_xlfn.XLOOKUP(D83,RUC!$B$3:$B$578,RUC!$M$3:$M$578)</f>
        <v>Evelyn</v>
      </c>
      <c r="AO83" s="1167" t="s">
        <v>2279</v>
      </c>
      <c r="AP83" t="s">
        <v>3403</v>
      </c>
      <c r="AQ83" t="s">
        <v>3477</v>
      </c>
    </row>
    <row r="84" spans="1:43" ht="15" customHeight="1">
      <c r="G84" s="1082"/>
      <c r="R84" s="706"/>
    </row>
    <row r="85" spans="1:43" ht="15" customHeight="1">
      <c r="G85" s="1082"/>
      <c r="R85" s="706"/>
    </row>
    <row r="86" spans="1:43" ht="15" customHeight="1">
      <c r="G86" s="1082"/>
      <c r="R86" s="706"/>
    </row>
    <row r="87" spans="1:43" ht="15" customHeight="1">
      <c r="G87" s="1082"/>
      <c r="R87" s="706"/>
    </row>
    <row r="88" spans="1:43" ht="15" customHeight="1">
      <c r="G88" s="1082"/>
      <c r="R88" s="706"/>
    </row>
    <row r="89" spans="1:43" ht="15" customHeight="1">
      <c r="G89" s="1082"/>
      <c r="R89" s="706"/>
    </row>
    <row r="90" spans="1:43" ht="15" customHeight="1">
      <c r="G90" s="1082"/>
      <c r="R90" s="706"/>
    </row>
    <row r="91" spans="1:43" ht="15" customHeight="1">
      <c r="G91" s="1082"/>
      <c r="R91" s="706"/>
    </row>
    <row r="92" spans="1:43" ht="15" customHeight="1">
      <c r="G92" s="1082"/>
      <c r="R92" s="706"/>
    </row>
    <row r="93" spans="1:43" ht="15" customHeight="1">
      <c r="G93" s="1082"/>
      <c r="R93" s="706"/>
    </row>
    <row r="94" spans="1:43" ht="15" customHeight="1">
      <c r="G94" s="1082"/>
      <c r="R94" s="706"/>
    </row>
    <row r="95" spans="1:43" ht="15" customHeight="1">
      <c r="G95" s="1082"/>
      <c r="R95" s="706"/>
    </row>
    <row r="96" spans="1:43" ht="15" customHeight="1">
      <c r="G96" s="1082"/>
      <c r="R96" s="706"/>
    </row>
    <row r="97" spans="7:18" ht="15" customHeight="1">
      <c r="G97" s="1082"/>
      <c r="R97" s="706"/>
    </row>
    <row r="98" spans="7:18" ht="15" customHeight="1">
      <c r="G98" s="1082"/>
      <c r="R98" s="706"/>
    </row>
    <row r="99" spans="7:18" ht="15" customHeight="1">
      <c r="G99" s="1082"/>
      <c r="R99" s="706"/>
    </row>
    <row r="100" spans="7:18" ht="15" customHeight="1">
      <c r="G100" s="1082"/>
      <c r="R100" s="706"/>
    </row>
    <row r="101" spans="7:18" ht="15" customHeight="1">
      <c r="G101" s="1082"/>
      <c r="R101" s="706"/>
    </row>
    <row r="102" spans="7:18" ht="15" customHeight="1">
      <c r="G102" s="1082"/>
      <c r="R102" s="706"/>
    </row>
    <row r="103" spans="7:18" ht="15" customHeight="1">
      <c r="G103" s="1082"/>
      <c r="R103" s="706"/>
    </row>
    <row r="104" spans="7:18" ht="15" customHeight="1">
      <c r="G104" s="1082"/>
      <c r="R104" s="706"/>
    </row>
    <row r="105" spans="7:18" ht="15" customHeight="1">
      <c r="G105" s="1082"/>
      <c r="R105" s="706"/>
    </row>
    <row r="106" spans="7:18" ht="15" customHeight="1">
      <c r="G106" s="1082"/>
      <c r="R106" s="706"/>
    </row>
    <row r="107" spans="7:18" ht="15" customHeight="1">
      <c r="G107" s="1082"/>
      <c r="R107" s="706"/>
    </row>
    <row r="108" spans="7:18" ht="15" customHeight="1">
      <c r="G108" s="1082"/>
      <c r="R108" s="706"/>
    </row>
    <row r="109" spans="7:18" ht="15" customHeight="1">
      <c r="G109" s="1082"/>
      <c r="R109" s="706"/>
    </row>
    <row r="110" spans="7:18" ht="15" customHeight="1">
      <c r="G110" s="1082"/>
      <c r="R110" s="706"/>
    </row>
    <row r="111" spans="7:18" ht="15" customHeight="1">
      <c r="G111" s="1082"/>
      <c r="R111" s="706"/>
    </row>
    <row r="112" spans="7:18" ht="15" customHeight="1">
      <c r="G112" s="1082"/>
      <c r="R112" s="706"/>
    </row>
    <row r="113" spans="7:18" ht="15" customHeight="1">
      <c r="G113" s="1082"/>
      <c r="R113" s="706"/>
    </row>
    <row r="114" spans="7:18" ht="15" customHeight="1">
      <c r="G114" s="1082"/>
      <c r="R114" s="706"/>
    </row>
    <row r="115" spans="7:18" ht="15" customHeight="1">
      <c r="G115" s="1082"/>
      <c r="R115" s="706"/>
    </row>
    <row r="116" spans="7:18" ht="15" customHeight="1">
      <c r="G116" s="1082"/>
      <c r="R116" s="706"/>
    </row>
    <row r="117" spans="7:18" ht="15" customHeight="1">
      <c r="G117" s="1082"/>
      <c r="R117" s="706"/>
    </row>
    <row r="118" spans="7:18" ht="15" customHeight="1">
      <c r="G118" s="1082"/>
      <c r="R118" s="706"/>
    </row>
    <row r="119" spans="7:18" ht="15" customHeight="1">
      <c r="G119" s="1082"/>
      <c r="R119" s="706"/>
    </row>
    <row r="120" spans="7:18" ht="15" customHeight="1">
      <c r="G120" s="1082"/>
      <c r="R120" s="706"/>
    </row>
    <row r="121" spans="7:18" ht="15" customHeight="1">
      <c r="G121" s="1082"/>
      <c r="R121" s="706"/>
    </row>
    <row r="122" spans="7:18" ht="15" customHeight="1">
      <c r="G122" s="1082"/>
      <c r="R122" s="706"/>
    </row>
    <row r="123" spans="7:18" ht="15" customHeight="1">
      <c r="G123" s="1082"/>
      <c r="R123" s="706"/>
    </row>
    <row r="124" spans="7:18" ht="15" customHeight="1">
      <c r="G124" s="1082"/>
      <c r="R124" s="706"/>
    </row>
    <row r="125" spans="7:18" ht="15" customHeight="1">
      <c r="G125" s="1082"/>
      <c r="R125" s="706"/>
    </row>
    <row r="126" spans="7:18" ht="15" customHeight="1">
      <c r="G126" s="1082"/>
      <c r="R126" s="706"/>
    </row>
    <row r="127" spans="7:18" ht="15" customHeight="1">
      <c r="G127" s="1082"/>
      <c r="R127" s="706"/>
    </row>
    <row r="128" spans="7:18" ht="15" customHeight="1">
      <c r="G128" s="1082"/>
      <c r="R128" s="706"/>
    </row>
    <row r="129" spans="7:18" ht="15" customHeight="1">
      <c r="G129" s="1082"/>
      <c r="R129" s="706"/>
    </row>
    <row r="130" spans="7:18" ht="15" customHeight="1">
      <c r="G130" s="1082"/>
      <c r="R130" s="706"/>
    </row>
    <row r="131" spans="7:18" ht="15" customHeight="1">
      <c r="G131" s="1082"/>
      <c r="R131" s="706"/>
    </row>
    <row r="132" spans="7:18" ht="15" customHeight="1">
      <c r="G132" s="1082"/>
      <c r="R132" s="706"/>
    </row>
    <row r="133" spans="7:18" ht="15" customHeight="1">
      <c r="G133" s="1082"/>
      <c r="R133" s="706"/>
    </row>
    <row r="134" spans="7:18" ht="15" customHeight="1">
      <c r="G134" s="1082"/>
      <c r="R134" s="706"/>
    </row>
    <row r="135" spans="7:18" ht="15" customHeight="1">
      <c r="G135" s="1082"/>
      <c r="R135" s="706"/>
    </row>
    <row r="136" spans="7:18" ht="15" customHeight="1">
      <c r="G136" s="1082"/>
      <c r="R136" s="706"/>
    </row>
    <row r="137" spans="7:18" ht="15" customHeight="1">
      <c r="G137" s="1082"/>
      <c r="R137" s="706"/>
    </row>
    <row r="138" spans="7:18" ht="15" customHeight="1">
      <c r="G138" s="1082"/>
      <c r="R138" s="706"/>
    </row>
    <row r="139" spans="7:18" ht="15" customHeight="1">
      <c r="G139" s="1082"/>
      <c r="R139" s="706"/>
    </row>
    <row r="140" spans="7:18" ht="15" customHeight="1">
      <c r="G140" s="1082"/>
      <c r="R140" s="706"/>
    </row>
    <row r="141" spans="7:18" ht="15" customHeight="1">
      <c r="G141" s="1082"/>
      <c r="R141" s="706"/>
    </row>
    <row r="142" spans="7:18" ht="15" customHeight="1">
      <c r="G142" s="1082"/>
      <c r="R142" s="706"/>
    </row>
    <row r="143" spans="7:18" ht="15" customHeight="1">
      <c r="G143" s="1082"/>
      <c r="R143" s="706"/>
    </row>
    <row r="144" spans="7:18" ht="15" customHeight="1">
      <c r="G144" s="1082"/>
      <c r="R144" s="706"/>
    </row>
    <row r="145" spans="7:18" ht="15" customHeight="1">
      <c r="G145" s="1082"/>
      <c r="R145" s="706"/>
    </row>
    <row r="146" spans="7:18" ht="15" customHeight="1">
      <c r="G146" s="1082"/>
      <c r="R146" s="706"/>
    </row>
    <row r="147" spans="7:18" ht="15" customHeight="1">
      <c r="G147" s="1082"/>
      <c r="R147" s="706"/>
    </row>
    <row r="148" spans="7:18" ht="15" customHeight="1">
      <c r="G148" s="1082"/>
      <c r="R148" s="706"/>
    </row>
    <row r="149" spans="7:18" ht="15" customHeight="1">
      <c r="G149" s="1082"/>
      <c r="R149" s="706"/>
    </row>
    <row r="150" spans="7:18" ht="15" customHeight="1">
      <c r="G150" s="1082"/>
      <c r="R150" s="706"/>
    </row>
    <row r="151" spans="7:18" ht="15" customHeight="1">
      <c r="G151" s="1082"/>
      <c r="R151" s="706"/>
    </row>
    <row r="152" spans="7:18" ht="15" customHeight="1">
      <c r="G152" s="1082"/>
      <c r="R152" s="706"/>
    </row>
    <row r="153" spans="7:18" ht="15" customHeight="1">
      <c r="G153" s="1082"/>
      <c r="R153" s="706"/>
    </row>
    <row r="154" spans="7:18" ht="15" customHeight="1">
      <c r="G154" s="1082"/>
      <c r="R154" s="706"/>
    </row>
    <row r="155" spans="7:18" ht="15" customHeight="1">
      <c r="G155" s="1082"/>
      <c r="R155" s="706"/>
    </row>
    <row r="156" spans="7:18" ht="15" customHeight="1">
      <c r="G156" s="1082"/>
      <c r="R156" s="706"/>
    </row>
    <row r="157" spans="7:18" ht="15" customHeight="1">
      <c r="G157" s="1082"/>
      <c r="R157" s="706"/>
    </row>
    <row r="158" spans="7:18" ht="15" customHeight="1">
      <c r="G158" s="1082"/>
      <c r="R158" s="706"/>
    </row>
    <row r="159" spans="7:18" ht="15" customHeight="1">
      <c r="G159" s="1082"/>
      <c r="R159" s="706"/>
    </row>
    <row r="160" spans="7:18" ht="15" customHeight="1">
      <c r="G160" s="1082"/>
      <c r="R160" s="706"/>
    </row>
    <row r="161" spans="7:18" ht="15" customHeight="1">
      <c r="G161" s="1082"/>
      <c r="R161" s="706"/>
    </row>
    <row r="162" spans="7:18" ht="15" customHeight="1">
      <c r="G162" s="1082"/>
      <c r="R162" s="706"/>
    </row>
    <row r="163" spans="7:18" ht="15" customHeight="1">
      <c r="G163" s="1082"/>
      <c r="R163" s="706"/>
    </row>
    <row r="164" spans="7:18" ht="15" customHeight="1">
      <c r="G164" s="1082"/>
      <c r="R164" s="706"/>
    </row>
    <row r="165" spans="7:18" ht="15" customHeight="1">
      <c r="G165" s="1082"/>
      <c r="R165" s="706"/>
    </row>
    <row r="166" spans="7:18" ht="15" customHeight="1">
      <c r="G166" s="1082"/>
      <c r="R166" s="706"/>
    </row>
    <row r="167" spans="7:18" ht="15" customHeight="1">
      <c r="G167" s="1082"/>
      <c r="R167" s="706"/>
    </row>
    <row r="168" spans="7:18" ht="15" customHeight="1">
      <c r="G168" s="1082"/>
      <c r="R168" s="706"/>
    </row>
    <row r="169" spans="7:18" ht="15" customHeight="1">
      <c r="G169" s="1082"/>
      <c r="R169" s="706"/>
    </row>
    <row r="170" spans="7:18" ht="15" customHeight="1">
      <c r="G170" s="1082"/>
      <c r="R170" s="706"/>
    </row>
    <row r="171" spans="7:18" ht="15" customHeight="1">
      <c r="G171" s="1082"/>
      <c r="R171" s="706"/>
    </row>
    <row r="172" spans="7:18" ht="15" customHeight="1">
      <c r="G172" s="1082"/>
      <c r="R172" s="706"/>
    </row>
    <row r="173" spans="7:18" ht="15" customHeight="1">
      <c r="G173" s="1082"/>
      <c r="R173" s="706"/>
    </row>
    <row r="174" spans="7:18" ht="15" customHeight="1">
      <c r="G174" s="1082"/>
      <c r="R174" s="706"/>
    </row>
    <row r="175" spans="7:18" ht="15" customHeight="1">
      <c r="G175" s="1082"/>
      <c r="R175" s="706"/>
    </row>
    <row r="176" spans="7:18" ht="15" customHeight="1">
      <c r="G176" s="1082"/>
      <c r="R176" s="706"/>
    </row>
    <row r="177" spans="7:18" ht="15" customHeight="1">
      <c r="G177" s="1082"/>
      <c r="R177" s="706"/>
    </row>
    <row r="178" spans="7:18" ht="15" customHeight="1">
      <c r="G178" s="1082"/>
      <c r="R178" s="706"/>
    </row>
    <row r="179" spans="7:18" ht="15" customHeight="1">
      <c r="G179" s="1082"/>
      <c r="R179" s="706"/>
    </row>
    <row r="180" spans="7:18" ht="15" customHeight="1">
      <c r="G180" s="1082"/>
      <c r="R180" s="706"/>
    </row>
    <row r="181" spans="7:18" ht="15" customHeight="1">
      <c r="G181" s="1082"/>
      <c r="R181" s="706"/>
    </row>
    <row r="182" spans="7:18" ht="15" customHeight="1">
      <c r="G182" s="1082"/>
      <c r="R182" s="706"/>
    </row>
    <row r="183" spans="7:18" ht="15" customHeight="1">
      <c r="G183" s="1082"/>
      <c r="R183" s="706"/>
    </row>
    <row r="184" spans="7:18" ht="15" customHeight="1">
      <c r="G184" s="1082"/>
      <c r="R184" s="706"/>
    </row>
    <row r="185" spans="7:18" ht="15" customHeight="1">
      <c r="G185" s="1082"/>
      <c r="R185" s="706"/>
    </row>
    <row r="186" spans="7:18" ht="15" customHeight="1">
      <c r="G186" s="1082"/>
      <c r="R186" s="706"/>
    </row>
    <row r="187" spans="7:18" ht="15" customHeight="1">
      <c r="G187" s="1082"/>
      <c r="R187" s="706"/>
    </row>
    <row r="188" spans="7:18" ht="15" customHeight="1">
      <c r="G188" s="1082"/>
      <c r="R188" s="706"/>
    </row>
    <row r="189" spans="7:18" ht="15" customHeight="1">
      <c r="G189" s="1082"/>
      <c r="R189" s="706"/>
    </row>
    <row r="190" spans="7:18" ht="15" customHeight="1">
      <c r="G190" s="1082"/>
      <c r="R190" s="706"/>
    </row>
    <row r="191" spans="7:18" ht="15" customHeight="1">
      <c r="G191" s="1082"/>
      <c r="R191" s="706"/>
    </row>
    <row r="192" spans="7:18" ht="15" customHeight="1">
      <c r="G192" s="1082"/>
      <c r="R192" s="706"/>
    </row>
    <row r="193" spans="7:18" ht="15" customHeight="1">
      <c r="G193" s="1082"/>
      <c r="R193" s="706"/>
    </row>
    <row r="194" spans="7:18" ht="15" customHeight="1">
      <c r="G194" s="1082"/>
      <c r="R194" s="706"/>
    </row>
    <row r="195" spans="7:18" ht="15" customHeight="1">
      <c r="G195" s="1082"/>
      <c r="R195" s="706"/>
    </row>
    <row r="196" spans="7:18" ht="15" customHeight="1">
      <c r="G196" s="1082"/>
      <c r="R196" s="706"/>
    </row>
    <row r="197" spans="7:18" ht="15" customHeight="1">
      <c r="G197" s="1082"/>
      <c r="R197" s="706"/>
    </row>
    <row r="198" spans="7:18" ht="15" customHeight="1">
      <c r="G198" s="1082"/>
      <c r="R198" s="706"/>
    </row>
    <row r="199" spans="7:18" ht="15" customHeight="1">
      <c r="G199" s="1082"/>
      <c r="R199" s="706"/>
    </row>
    <row r="200" spans="7:18" ht="15" customHeight="1">
      <c r="G200" s="1082"/>
      <c r="R200" s="706"/>
    </row>
    <row r="201" spans="7:18" ht="15" customHeight="1">
      <c r="G201" s="1082"/>
      <c r="R201" s="706"/>
    </row>
    <row r="202" spans="7:18" ht="15" customHeight="1">
      <c r="G202" s="1082"/>
      <c r="R202" s="706"/>
    </row>
    <row r="203" spans="7:18" ht="15" customHeight="1">
      <c r="G203" s="1082"/>
      <c r="R203" s="706"/>
    </row>
    <row r="204" spans="7:18" ht="15" customHeight="1">
      <c r="G204" s="1082"/>
      <c r="R204" s="706"/>
    </row>
    <row r="205" spans="7:18" ht="15" customHeight="1">
      <c r="G205" s="1082"/>
      <c r="R205" s="706"/>
    </row>
    <row r="206" spans="7:18" ht="15" customHeight="1">
      <c r="G206" s="1082"/>
      <c r="R206" s="706"/>
    </row>
    <row r="207" spans="7:18" ht="15" customHeight="1">
      <c r="G207" s="1082"/>
      <c r="R207" s="706"/>
    </row>
    <row r="208" spans="7:18" ht="15" customHeight="1">
      <c r="G208" s="1082"/>
      <c r="R208" s="706"/>
    </row>
    <row r="209" spans="7:18" ht="15" customHeight="1">
      <c r="G209" s="1082"/>
      <c r="R209" s="706"/>
    </row>
    <row r="210" spans="7:18" ht="15" customHeight="1">
      <c r="G210" s="1082"/>
      <c r="R210" s="706"/>
    </row>
    <row r="211" spans="7:18" ht="15" customHeight="1">
      <c r="G211" s="1082"/>
      <c r="R211" s="706"/>
    </row>
    <row r="212" spans="7:18" ht="15" customHeight="1">
      <c r="G212" s="1082"/>
      <c r="R212" s="706"/>
    </row>
    <row r="213" spans="7:18" ht="15" customHeight="1">
      <c r="G213" s="1082"/>
      <c r="R213" s="706"/>
    </row>
    <row r="214" spans="7:18" ht="15" customHeight="1">
      <c r="G214" s="1082"/>
      <c r="R214" s="706"/>
    </row>
    <row r="215" spans="7:18" ht="15" customHeight="1">
      <c r="G215" s="1082"/>
      <c r="R215" s="706"/>
    </row>
    <row r="216" spans="7:18" ht="15" customHeight="1">
      <c r="G216" s="1082"/>
      <c r="R216" s="706"/>
    </row>
    <row r="217" spans="7:18" ht="15" customHeight="1">
      <c r="G217" s="1082"/>
      <c r="R217" s="706"/>
    </row>
    <row r="218" spans="7:18" ht="15" customHeight="1">
      <c r="G218" s="1082"/>
      <c r="R218" s="706"/>
    </row>
    <row r="219" spans="7:18" ht="15" customHeight="1">
      <c r="G219" s="1082"/>
      <c r="R219" s="706"/>
    </row>
    <row r="220" spans="7:18" ht="15" customHeight="1">
      <c r="G220" s="1082"/>
      <c r="R220" s="706"/>
    </row>
    <row r="221" spans="7:18" ht="15" customHeight="1">
      <c r="G221" s="1082"/>
      <c r="R221" s="706"/>
    </row>
    <row r="222" spans="7:18" ht="15" customHeight="1">
      <c r="G222" s="1082"/>
      <c r="R222" s="706"/>
    </row>
    <row r="223" spans="7:18" ht="15" customHeight="1">
      <c r="G223" s="1082"/>
      <c r="R223" s="706"/>
    </row>
    <row r="224" spans="7:18" ht="15" customHeight="1">
      <c r="G224" s="1082"/>
      <c r="R224" s="706"/>
    </row>
    <row r="225" spans="7:18" ht="15" customHeight="1">
      <c r="G225" s="1082"/>
      <c r="R225" s="706"/>
    </row>
    <row r="226" spans="7:18" ht="15" customHeight="1">
      <c r="G226" s="1082"/>
      <c r="R226" s="706"/>
    </row>
    <row r="227" spans="7:18" ht="15" customHeight="1">
      <c r="G227" s="1082"/>
      <c r="R227" s="706"/>
    </row>
    <row r="228" spans="7:18" ht="15" customHeight="1">
      <c r="G228" s="1082"/>
      <c r="R228" s="706"/>
    </row>
    <row r="229" spans="7:18" ht="15" customHeight="1">
      <c r="G229" s="1082"/>
      <c r="R229" s="706"/>
    </row>
    <row r="230" spans="7:18" ht="15" customHeight="1">
      <c r="G230" s="1082"/>
      <c r="R230" s="706"/>
    </row>
    <row r="231" spans="7:18" ht="15" customHeight="1">
      <c r="G231" s="1082"/>
      <c r="R231" s="706"/>
    </row>
    <row r="232" spans="7:18" ht="15" customHeight="1">
      <c r="G232" s="1082"/>
      <c r="R232" s="706"/>
    </row>
    <row r="233" spans="7:18" ht="15" customHeight="1">
      <c r="G233" s="1082"/>
      <c r="R233" s="706"/>
    </row>
    <row r="234" spans="7:18" ht="15" customHeight="1">
      <c r="G234" s="1082"/>
      <c r="R234" s="706"/>
    </row>
    <row r="235" spans="7:18" ht="15" customHeight="1">
      <c r="G235" s="1082"/>
      <c r="R235" s="706"/>
    </row>
    <row r="236" spans="7:18" ht="15" customHeight="1">
      <c r="G236" s="1082"/>
      <c r="R236" s="706"/>
    </row>
    <row r="237" spans="7:18" ht="15" customHeight="1">
      <c r="G237" s="1082"/>
      <c r="R237" s="706"/>
    </row>
    <row r="238" spans="7:18" ht="15" customHeight="1">
      <c r="G238" s="1082"/>
      <c r="R238" s="706"/>
    </row>
    <row r="239" spans="7:18" ht="15" customHeight="1">
      <c r="G239" s="1082"/>
      <c r="R239" s="706"/>
    </row>
    <row r="240" spans="7:18" ht="15" customHeight="1">
      <c r="G240" s="1082"/>
      <c r="R240" s="706"/>
    </row>
    <row r="241" spans="7:18" ht="15" customHeight="1">
      <c r="G241" s="1082"/>
      <c r="R241" s="706"/>
    </row>
    <row r="242" spans="7:18" ht="15" customHeight="1">
      <c r="G242" s="1082"/>
      <c r="R242" s="706"/>
    </row>
    <row r="243" spans="7:18" ht="15" customHeight="1">
      <c r="G243" s="1082"/>
      <c r="R243" s="706"/>
    </row>
    <row r="244" spans="7:18" ht="15" customHeight="1">
      <c r="G244" s="1082"/>
      <c r="R244" s="706"/>
    </row>
    <row r="245" spans="7:18" ht="15" customHeight="1">
      <c r="G245" s="1082"/>
      <c r="R245" s="706"/>
    </row>
    <row r="246" spans="7:18" ht="15" customHeight="1">
      <c r="G246" s="1082"/>
      <c r="R246" s="706"/>
    </row>
    <row r="247" spans="7:18" ht="15" customHeight="1">
      <c r="G247" s="1082"/>
      <c r="R247" s="706"/>
    </row>
    <row r="248" spans="7:18" ht="15" customHeight="1">
      <c r="G248" s="1082"/>
      <c r="R248" s="706"/>
    </row>
    <row r="249" spans="7:18" ht="15" customHeight="1">
      <c r="G249" s="1082"/>
      <c r="R249" s="706"/>
    </row>
    <row r="250" spans="7:18" ht="15" customHeight="1">
      <c r="G250" s="1082"/>
      <c r="R250" s="706"/>
    </row>
    <row r="251" spans="7:18" ht="15" customHeight="1">
      <c r="G251" s="1082"/>
      <c r="R251" s="706"/>
    </row>
    <row r="252" spans="7:18" ht="15" customHeight="1">
      <c r="G252" s="1082"/>
      <c r="R252" s="706"/>
    </row>
    <row r="253" spans="7:18" ht="15" customHeight="1">
      <c r="G253" s="1082"/>
      <c r="R253" s="706"/>
    </row>
    <row r="254" spans="7:18" ht="15" customHeight="1">
      <c r="G254" s="1082"/>
      <c r="R254" s="706"/>
    </row>
    <row r="255" spans="7:18" ht="15" customHeight="1">
      <c r="G255" s="1082"/>
      <c r="R255" s="706"/>
    </row>
    <row r="256" spans="7:18" ht="15" customHeight="1">
      <c r="G256" s="1082"/>
      <c r="R256" s="706"/>
    </row>
    <row r="257" spans="7:18" ht="15" customHeight="1">
      <c r="G257" s="1082"/>
      <c r="R257" s="706"/>
    </row>
    <row r="258" spans="7:18" ht="15" customHeight="1">
      <c r="G258" s="1082"/>
      <c r="R258" s="706"/>
    </row>
    <row r="259" spans="7:18" ht="15" customHeight="1">
      <c r="G259" s="1082"/>
      <c r="R259" s="706"/>
    </row>
    <row r="260" spans="7:18" ht="15" customHeight="1">
      <c r="G260" s="1082"/>
      <c r="R260" s="706"/>
    </row>
    <row r="261" spans="7:18" ht="15" customHeight="1">
      <c r="G261" s="1082"/>
      <c r="R261" s="706"/>
    </row>
    <row r="262" spans="7:18" ht="15" customHeight="1">
      <c r="G262" s="1082"/>
      <c r="R262" s="706"/>
    </row>
    <row r="263" spans="7:18" ht="15" customHeight="1">
      <c r="G263" s="1082"/>
      <c r="R263" s="706"/>
    </row>
    <row r="264" spans="7:18" ht="15" customHeight="1">
      <c r="G264" s="1082"/>
      <c r="R264" s="706"/>
    </row>
    <row r="265" spans="7:18" ht="15" customHeight="1">
      <c r="G265" s="1082"/>
      <c r="R265" s="706"/>
    </row>
    <row r="266" spans="7:18" ht="15" customHeight="1">
      <c r="G266" s="1082"/>
      <c r="R266" s="706"/>
    </row>
    <row r="267" spans="7:18" ht="15" customHeight="1">
      <c r="G267" s="1082"/>
      <c r="R267" s="706"/>
    </row>
    <row r="268" spans="7:18" ht="15" customHeight="1">
      <c r="G268" s="1082"/>
      <c r="R268" s="706"/>
    </row>
    <row r="269" spans="7:18" ht="15" customHeight="1">
      <c r="G269" s="1082"/>
      <c r="R269" s="706"/>
    </row>
    <row r="270" spans="7:18" ht="15" customHeight="1">
      <c r="G270" s="1082"/>
      <c r="R270" s="706"/>
    </row>
    <row r="271" spans="7:18" ht="15" customHeight="1">
      <c r="G271" s="1082"/>
      <c r="R271" s="706"/>
    </row>
    <row r="272" spans="7:18" ht="15" customHeight="1">
      <c r="G272" s="1082"/>
      <c r="R272" s="706"/>
    </row>
    <row r="273" spans="7:18" ht="15" customHeight="1">
      <c r="G273" s="1082"/>
      <c r="R273" s="706"/>
    </row>
    <row r="274" spans="7:18" ht="15" customHeight="1">
      <c r="G274" s="1082"/>
      <c r="R274" s="706"/>
    </row>
    <row r="275" spans="7:18" ht="15" customHeight="1">
      <c r="G275" s="1082"/>
      <c r="R275" s="706"/>
    </row>
    <row r="276" spans="7:18" ht="15" customHeight="1">
      <c r="G276" s="1082"/>
      <c r="R276" s="706"/>
    </row>
    <row r="277" spans="7:18" ht="15" customHeight="1">
      <c r="G277" s="1082"/>
      <c r="R277" s="706"/>
    </row>
    <row r="278" spans="7:18" ht="15" customHeight="1">
      <c r="G278" s="1082"/>
      <c r="R278" s="706"/>
    </row>
    <row r="279" spans="7:18" ht="15" customHeight="1">
      <c r="G279" s="1082"/>
      <c r="R279" s="706"/>
    </row>
    <row r="280" spans="7:18" ht="15" customHeight="1">
      <c r="G280" s="1082"/>
      <c r="R280" s="706"/>
    </row>
    <row r="281" spans="7:18" ht="15" customHeight="1">
      <c r="G281" s="1082"/>
      <c r="R281" s="706"/>
    </row>
    <row r="282" spans="7:18" ht="15" customHeight="1">
      <c r="G282" s="1082"/>
      <c r="R282" s="706"/>
    </row>
    <row r="283" spans="7:18" ht="15" customHeight="1">
      <c r="G283" s="1082"/>
      <c r="R283" s="706"/>
    </row>
    <row r="284" spans="7:18" ht="15" customHeight="1">
      <c r="G284" s="1082"/>
      <c r="R284" s="706"/>
    </row>
    <row r="285" spans="7:18" ht="15" customHeight="1">
      <c r="G285" s="1082"/>
      <c r="R285" s="706"/>
    </row>
    <row r="286" spans="7:18" ht="15" customHeight="1">
      <c r="G286" s="1082"/>
      <c r="R286" s="706"/>
    </row>
    <row r="287" spans="7:18" ht="15" customHeight="1">
      <c r="G287" s="1082"/>
      <c r="R287" s="706"/>
    </row>
    <row r="288" spans="7:18" ht="15" customHeight="1">
      <c r="G288" s="1082"/>
      <c r="R288" s="706"/>
    </row>
    <row r="289" spans="7:18" ht="15" customHeight="1">
      <c r="G289" s="1082"/>
      <c r="R289" s="706"/>
    </row>
    <row r="290" spans="7:18" ht="15" customHeight="1">
      <c r="G290" s="1082"/>
      <c r="R290" s="706"/>
    </row>
    <row r="291" spans="7:18" ht="15" customHeight="1">
      <c r="G291" s="1082"/>
      <c r="R291" s="706"/>
    </row>
    <row r="292" spans="7:18" ht="15" customHeight="1">
      <c r="G292" s="1082"/>
      <c r="R292" s="706"/>
    </row>
    <row r="293" spans="7:18" ht="15" customHeight="1">
      <c r="G293" s="1082"/>
      <c r="R293" s="706"/>
    </row>
    <row r="294" spans="7:18" ht="15" customHeight="1">
      <c r="G294" s="1082"/>
      <c r="R294" s="706"/>
    </row>
    <row r="295" spans="7:18" ht="15" customHeight="1">
      <c r="G295" s="1082"/>
      <c r="R295" s="706"/>
    </row>
    <row r="296" spans="7:18" ht="15" customHeight="1">
      <c r="G296" s="1082"/>
      <c r="R296" s="706"/>
    </row>
    <row r="297" spans="7:18" ht="15" customHeight="1">
      <c r="G297" s="1082"/>
      <c r="R297" s="706"/>
    </row>
    <row r="298" spans="7:18" ht="15" customHeight="1">
      <c r="G298" s="1082"/>
      <c r="R298" s="706"/>
    </row>
    <row r="299" spans="7:18" ht="15" customHeight="1">
      <c r="G299" s="1082"/>
      <c r="R299" s="706"/>
    </row>
    <row r="300" spans="7:18" ht="15" customHeight="1">
      <c r="G300" s="1082"/>
      <c r="R300" s="706"/>
    </row>
    <row r="301" spans="7:18" ht="15" customHeight="1">
      <c r="G301" s="1082"/>
      <c r="R301" s="706"/>
    </row>
    <row r="302" spans="7:18" ht="15" customHeight="1">
      <c r="G302" s="1082"/>
      <c r="R302" s="706"/>
    </row>
    <row r="303" spans="7:18" ht="15" customHeight="1">
      <c r="G303" s="1082"/>
      <c r="R303" s="706"/>
    </row>
    <row r="304" spans="7:18" ht="15" customHeight="1">
      <c r="G304" s="1082"/>
      <c r="R304" s="706"/>
    </row>
    <row r="305" spans="7:18" ht="15" customHeight="1">
      <c r="G305" s="1082"/>
      <c r="R305" s="706"/>
    </row>
    <row r="306" spans="7:18" ht="15" customHeight="1">
      <c r="G306" s="1082"/>
      <c r="R306" s="706"/>
    </row>
    <row r="307" spans="7:18" ht="15" customHeight="1">
      <c r="G307" s="1082"/>
      <c r="R307" s="706"/>
    </row>
    <row r="308" spans="7:18" ht="15" customHeight="1">
      <c r="G308" s="1082"/>
      <c r="R308" s="706"/>
    </row>
    <row r="309" spans="7:18" ht="15" customHeight="1">
      <c r="G309" s="1082"/>
      <c r="R309" s="706"/>
    </row>
    <row r="310" spans="7:18" ht="15" customHeight="1">
      <c r="G310" s="1082"/>
      <c r="R310" s="706"/>
    </row>
    <row r="311" spans="7:18" ht="15" customHeight="1">
      <c r="G311" s="1082"/>
      <c r="R311" s="706"/>
    </row>
    <row r="312" spans="7:18" ht="15" customHeight="1">
      <c r="G312" s="1082"/>
      <c r="R312" s="706"/>
    </row>
    <row r="313" spans="7:18" ht="15" customHeight="1">
      <c r="G313" s="1082"/>
      <c r="R313" s="706"/>
    </row>
    <row r="314" spans="7:18" ht="15" customHeight="1">
      <c r="G314" s="1082"/>
      <c r="R314" s="706"/>
    </row>
    <row r="315" spans="7:18" ht="15" customHeight="1">
      <c r="G315" s="1082"/>
      <c r="R315" s="706"/>
    </row>
    <row r="316" spans="7:18" ht="15" customHeight="1">
      <c r="G316" s="1082"/>
      <c r="R316" s="706"/>
    </row>
    <row r="317" spans="7:18" ht="15" customHeight="1">
      <c r="G317" s="1082"/>
      <c r="R317" s="706"/>
    </row>
    <row r="318" spans="7:18" ht="15" customHeight="1">
      <c r="G318" s="1082"/>
      <c r="R318" s="706"/>
    </row>
    <row r="319" spans="7:18" ht="15" customHeight="1">
      <c r="G319" s="1082"/>
      <c r="R319" s="706"/>
    </row>
    <row r="320" spans="7:18" ht="15" customHeight="1">
      <c r="G320" s="1082"/>
      <c r="R320" s="706"/>
    </row>
    <row r="321" spans="7:18" ht="15" customHeight="1">
      <c r="G321" s="1082"/>
      <c r="R321" s="706"/>
    </row>
    <row r="322" spans="7:18" ht="15" customHeight="1">
      <c r="G322" s="1082"/>
      <c r="R322" s="706"/>
    </row>
    <row r="323" spans="7:18" ht="15" customHeight="1">
      <c r="G323" s="1082"/>
      <c r="R323" s="706"/>
    </row>
    <row r="324" spans="7:18" ht="15" customHeight="1">
      <c r="G324" s="1082"/>
      <c r="R324" s="706"/>
    </row>
    <row r="325" spans="7:18" ht="15" customHeight="1">
      <c r="G325" s="1082"/>
      <c r="R325" s="706"/>
    </row>
    <row r="326" spans="7:18" ht="15" customHeight="1">
      <c r="G326" s="1082"/>
      <c r="R326" s="706"/>
    </row>
    <row r="327" spans="7:18" ht="15" customHeight="1">
      <c r="G327" s="1082"/>
      <c r="R327" s="706"/>
    </row>
    <row r="328" spans="7:18" ht="15" customHeight="1">
      <c r="G328" s="1082"/>
      <c r="R328" s="706"/>
    </row>
    <row r="329" spans="7:18" ht="15" customHeight="1">
      <c r="G329" s="1082"/>
      <c r="R329" s="706"/>
    </row>
    <row r="330" spans="7:18" ht="15" customHeight="1">
      <c r="G330" s="1082"/>
      <c r="R330" s="706"/>
    </row>
    <row r="331" spans="7:18" ht="15" customHeight="1">
      <c r="G331" s="1082"/>
      <c r="R331" s="706"/>
    </row>
    <row r="332" spans="7:18" ht="15" customHeight="1">
      <c r="G332" s="1082"/>
      <c r="R332" s="706"/>
    </row>
    <row r="333" spans="7:18" ht="15" customHeight="1">
      <c r="G333" s="1082"/>
      <c r="R333" s="706"/>
    </row>
    <row r="334" spans="7:18" ht="15" customHeight="1">
      <c r="G334" s="1082"/>
      <c r="R334" s="706"/>
    </row>
    <row r="335" spans="7:18" ht="15" customHeight="1">
      <c r="G335" s="1082"/>
      <c r="R335" s="706"/>
    </row>
    <row r="336" spans="7:18" ht="15" customHeight="1">
      <c r="G336" s="1082"/>
      <c r="R336" s="706"/>
    </row>
    <row r="337" spans="7:18" ht="15" customHeight="1">
      <c r="G337" s="1082"/>
      <c r="R337" s="706"/>
    </row>
    <row r="338" spans="7:18" ht="15" customHeight="1">
      <c r="G338" s="1082"/>
      <c r="R338" s="706"/>
    </row>
    <row r="339" spans="7:18" ht="15" customHeight="1">
      <c r="G339" s="1082"/>
      <c r="R339" s="706"/>
    </row>
    <row r="340" spans="7:18" ht="15" customHeight="1">
      <c r="G340" s="1082"/>
      <c r="R340" s="706"/>
    </row>
    <row r="341" spans="7:18" ht="15" customHeight="1">
      <c r="G341" s="1082"/>
      <c r="R341" s="706"/>
    </row>
    <row r="342" spans="7:18" ht="15" customHeight="1">
      <c r="G342" s="1082"/>
      <c r="R342" s="706"/>
    </row>
    <row r="343" spans="7:18" ht="15" customHeight="1">
      <c r="G343" s="1082"/>
      <c r="R343" s="706"/>
    </row>
    <row r="344" spans="7:18" ht="15" customHeight="1">
      <c r="G344" s="1082"/>
      <c r="R344" s="706"/>
    </row>
    <row r="345" spans="7:18" ht="15" customHeight="1">
      <c r="G345" s="1082"/>
      <c r="R345" s="706"/>
    </row>
    <row r="346" spans="7:18" ht="15" customHeight="1">
      <c r="G346" s="1082"/>
      <c r="R346" s="706"/>
    </row>
    <row r="347" spans="7:18" ht="15" customHeight="1">
      <c r="G347" s="1082"/>
      <c r="R347" s="706"/>
    </row>
    <row r="348" spans="7:18" ht="15" customHeight="1">
      <c r="G348" s="1082"/>
      <c r="R348" s="706"/>
    </row>
    <row r="349" spans="7:18" ht="15" customHeight="1">
      <c r="G349" s="1082"/>
      <c r="R349" s="706"/>
    </row>
    <row r="350" spans="7:18" ht="15" customHeight="1">
      <c r="G350" s="1082"/>
      <c r="R350" s="706"/>
    </row>
    <row r="351" spans="7:18" ht="15" customHeight="1">
      <c r="G351" s="1082"/>
      <c r="R351" s="706"/>
    </row>
    <row r="352" spans="7:18" ht="15" customHeight="1">
      <c r="G352" s="1082"/>
      <c r="R352" s="706"/>
    </row>
    <row r="353" spans="7:18" ht="15" customHeight="1">
      <c r="G353" s="1082"/>
      <c r="R353" s="706"/>
    </row>
    <row r="354" spans="7:18" ht="15" customHeight="1">
      <c r="G354" s="1082"/>
      <c r="R354" s="706"/>
    </row>
    <row r="355" spans="7:18" ht="15" customHeight="1">
      <c r="G355" s="1082"/>
      <c r="R355" s="706"/>
    </row>
    <row r="356" spans="7:18" ht="15" customHeight="1">
      <c r="G356" s="1082"/>
      <c r="R356" s="706"/>
    </row>
    <row r="357" spans="7:18" ht="15" customHeight="1">
      <c r="G357" s="1082"/>
      <c r="R357" s="706"/>
    </row>
    <row r="358" spans="7:18" ht="15" customHeight="1">
      <c r="G358" s="1082"/>
      <c r="R358" s="706"/>
    </row>
    <row r="359" spans="7:18" ht="15" customHeight="1">
      <c r="G359" s="1082"/>
      <c r="R359" s="706"/>
    </row>
    <row r="360" spans="7:18" ht="15" customHeight="1">
      <c r="G360" s="1082"/>
      <c r="R360" s="706"/>
    </row>
    <row r="361" spans="7:18" ht="15" customHeight="1">
      <c r="G361" s="1082"/>
      <c r="R361" s="706"/>
    </row>
    <row r="362" spans="7:18" ht="15" customHeight="1">
      <c r="G362" s="1082"/>
      <c r="R362" s="706"/>
    </row>
    <row r="363" spans="7:18" ht="15" customHeight="1">
      <c r="G363" s="1082"/>
      <c r="R363" s="706"/>
    </row>
    <row r="364" spans="7:18" ht="15" customHeight="1">
      <c r="G364" s="1082"/>
      <c r="R364" s="706"/>
    </row>
    <row r="365" spans="7:18" ht="15" customHeight="1">
      <c r="G365" s="1082"/>
      <c r="R365" s="706"/>
    </row>
    <row r="366" spans="7:18" ht="15" customHeight="1">
      <c r="G366" s="1082"/>
      <c r="R366" s="706"/>
    </row>
    <row r="367" spans="7:18" ht="15" customHeight="1">
      <c r="G367" s="1082"/>
      <c r="R367" s="706"/>
    </row>
    <row r="368" spans="7:18" ht="15" customHeight="1">
      <c r="G368" s="1082"/>
      <c r="R368" s="706"/>
    </row>
    <row r="369" spans="7:18" ht="15" customHeight="1">
      <c r="G369" s="1082"/>
      <c r="R369" s="706"/>
    </row>
    <row r="370" spans="7:18" ht="15" customHeight="1">
      <c r="G370" s="1082"/>
      <c r="R370" s="706"/>
    </row>
    <row r="371" spans="7:18" ht="15" customHeight="1">
      <c r="G371" s="1082"/>
      <c r="R371" s="706"/>
    </row>
    <row r="372" spans="7:18" ht="15" customHeight="1">
      <c r="G372" s="1082"/>
      <c r="R372" s="706"/>
    </row>
    <row r="373" spans="7:18" ht="15" customHeight="1">
      <c r="G373" s="1082"/>
      <c r="R373" s="706"/>
    </row>
    <row r="374" spans="7:18" ht="15" customHeight="1">
      <c r="G374" s="1082"/>
      <c r="R374" s="706"/>
    </row>
    <row r="375" spans="7:18" ht="15" customHeight="1">
      <c r="G375" s="1082"/>
      <c r="R375" s="706"/>
    </row>
    <row r="376" spans="7:18" ht="15" customHeight="1">
      <c r="G376" s="1082"/>
      <c r="R376" s="706"/>
    </row>
    <row r="377" spans="7:18" ht="15" customHeight="1">
      <c r="G377" s="1082"/>
      <c r="R377" s="706"/>
    </row>
    <row r="378" spans="7:18" ht="15" customHeight="1">
      <c r="G378" s="1082"/>
      <c r="R378" s="706"/>
    </row>
    <row r="379" spans="7:18" ht="15" customHeight="1">
      <c r="G379" s="1082"/>
      <c r="R379" s="706"/>
    </row>
    <row r="380" spans="7:18" ht="15" customHeight="1">
      <c r="G380" s="1082"/>
      <c r="R380" s="706"/>
    </row>
    <row r="381" spans="7:18" ht="15" customHeight="1">
      <c r="G381" s="1082"/>
      <c r="R381" s="706"/>
    </row>
    <row r="382" spans="7:18" ht="15" customHeight="1">
      <c r="G382" s="1082"/>
      <c r="R382" s="706"/>
    </row>
    <row r="383" spans="7:18" ht="15" customHeight="1">
      <c r="G383" s="1082"/>
      <c r="R383" s="706"/>
    </row>
    <row r="384" spans="7:18" ht="15" customHeight="1">
      <c r="G384" s="1082"/>
      <c r="R384" s="706"/>
    </row>
    <row r="385" spans="7:18" ht="15" customHeight="1">
      <c r="G385" s="1082"/>
      <c r="R385" s="706"/>
    </row>
    <row r="386" spans="7:18" ht="15" customHeight="1">
      <c r="G386" s="1082"/>
      <c r="R386" s="706"/>
    </row>
    <row r="387" spans="7:18" ht="15" customHeight="1">
      <c r="G387" s="1082"/>
      <c r="R387" s="706"/>
    </row>
    <row r="388" spans="7:18" ht="15" customHeight="1">
      <c r="G388" s="1082"/>
      <c r="R388" s="706"/>
    </row>
    <row r="389" spans="7:18" ht="15" customHeight="1">
      <c r="G389" s="1082"/>
      <c r="R389" s="706"/>
    </row>
    <row r="390" spans="7:18" ht="15" customHeight="1">
      <c r="G390" s="1082"/>
      <c r="R390" s="706"/>
    </row>
    <row r="391" spans="7:18" ht="15" customHeight="1">
      <c r="G391" s="1082"/>
      <c r="R391" s="706"/>
    </row>
    <row r="392" spans="7:18" ht="15" customHeight="1">
      <c r="G392" s="1082"/>
      <c r="R392" s="706"/>
    </row>
    <row r="393" spans="7:18" ht="15" customHeight="1">
      <c r="G393" s="1082"/>
      <c r="R393" s="706"/>
    </row>
    <row r="394" spans="7:18" ht="15" customHeight="1">
      <c r="G394" s="1082"/>
      <c r="R394" s="706"/>
    </row>
    <row r="395" spans="7:18" ht="15" customHeight="1">
      <c r="G395" s="1082"/>
      <c r="R395" s="706"/>
    </row>
    <row r="396" spans="7:18" ht="15" customHeight="1">
      <c r="G396" s="1082"/>
      <c r="R396" s="706"/>
    </row>
    <row r="397" spans="7:18" ht="15" customHeight="1">
      <c r="G397" s="1082"/>
      <c r="R397" s="706"/>
    </row>
    <row r="398" spans="7:18" ht="15" customHeight="1">
      <c r="G398" s="1082"/>
      <c r="R398" s="706"/>
    </row>
    <row r="399" spans="7:18" ht="15" customHeight="1">
      <c r="G399" s="1082"/>
      <c r="R399" s="706"/>
    </row>
    <row r="400" spans="7:18" ht="15" customHeight="1">
      <c r="G400" s="1082"/>
      <c r="R400" s="706"/>
    </row>
    <row r="401" spans="7:18" ht="15" customHeight="1">
      <c r="G401" s="1082"/>
      <c r="R401" s="706"/>
    </row>
    <row r="402" spans="7:18" ht="15" customHeight="1">
      <c r="G402" s="1082"/>
      <c r="R402" s="706"/>
    </row>
    <row r="403" spans="7:18" ht="15" customHeight="1">
      <c r="G403" s="1082"/>
      <c r="R403" s="706"/>
    </row>
    <row r="404" spans="7:18" ht="15" customHeight="1">
      <c r="G404" s="1082"/>
      <c r="R404" s="706"/>
    </row>
    <row r="405" spans="7:18" ht="15" customHeight="1">
      <c r="G405" s="1082"/>
      <c r="R405" s="706"/>
    </row>
    <row r="406" spans="7:18" ht="15" customHeight="1">
      <c r="G406" s="1082"/>
      <c r="R406" s="706"/>
    </row>
    <row r="407" spans="7:18" ht="15" customHeight="1">
      <c r="G407" s="1082"/>
      <c r="R407" s="706"/>
    </row>
    <row r="408" spans="7:18" ht="15" customHeight="1">
      <c r="G408" s="1082"/>
      <c r="R408" s="706"/>
    </row>
    <row r="409" spans="7:18" ht="15" customHeight="1">
      <c r="G409" s="1082"/>
      <c r="R409" s="706"/>
    </row>
    <row r="410" spans="7:18" ht="15" customHeight="1">
      <c r="G410" s="1082"/>
      <c r="R410" s="706"/>
    </row>
    <row r="411" spans="7:18" ht="15" customHeight="1">
      <c r="G411" s="1082"/>
      <c r="R411" s="706"/>
    </row>
    <row r="412" spans="7:18" ht="15" customHeight="1">
      <c r="G412" s="1082"/>
      <c r="R412" s="706"/>
    </row>
    <row r="413" spans="7:18" ht="15" customHeight="1">
      <c r="G413" s="1082"/>
      <c r="R413" s="706"/>
    </row>
    <row r="414" spans="7:18" ht="15" customHeight="1">
      <c r="G414" s="1082"/>
      <c r="R414" s="706"/>
    </row>
    <row r="415" spans="7:18" ht="15" customHeight="1">
      <c r="G415" s="1082"/>
      <c r="R415" s="706"/>
    </row>
    <row r="416" spans="7:18" ht="15" customHeight="1">
      <c r="G416" s="1082"/>
      <c r="R416" s="706"/>
    </row>
    <row r="417" spans="7:18" ht="15" customHeight="1">
      <c r="G417" s="1082"/>
      <c r="R417" s="706"/>
    </row>
    <row r="418" spans="7:18" ht="15" customHeight="1">
      <c r="G418" s="1082"/>
      <c r="R418" s="706"/>
    </row>
    <row r="419" spans="7:18" ht="15" customHeight="1">
      <c r="G419" s="1082"/>
      <c r="R419" s="706"/>
    </row>
    <row r="420" spans="7:18" ht="15" customHeight="1">
      <c r="G420" s="1082"/>
      <c r="R420" s="706"/>
    </row>
    <row r="421" spans="7:18" ht="15" customHeight="1">
      <c r="G421" s="1082"/>
      <c r="R421" s="706"/>
    </row>
    <row r="422" spans="7:18" ht="15" customHeight="1">
      <c r="G422" s="1082"/>
      <c r="R422" s="706"/>
    </row>
    <row r="423" spans="7:18" ht="15" customHeight="1">
      <c r="G423" s="1082"/>
      <c r="R423" s="706"/>
    </row>
    <row r="424" spans="7:18" ht="15" customHeight="1">
      <c r="G424" s="1082"/>
      <c r="R424" s="706"/>
    </row>
    <row r="425" spans="7:18" ht="15" customHeight="1">
      <c r="G425" s="1082"/>
      <c r="R425" s="706"/>
    </row>
    <row r="426" spans="7:18" ht="15" customHeight="1">
      <c r="G426" s="1082"/>
      <c r="R426" s="706"/>
    </row>
    <row r="427" spans="7:18" ht="15" customHeight="1">
      <c r="G427" s="1082"/>
      <c r="R427" s="706"/>
    </row>
    <row r="428" spans="7:18" ht="15" customHeight="1">
      <c r="G428" s="1082"/>
      <c r="R428" s="706"/>
    </row>
    <row r="429" spans="7:18" ht="15" customHeight="1">
      <c r="G429" s="1082"/>
      <c r="R429" s="706"/>
    </row>
    <row r="430" spans="7:18" ht="15" customHeight="1">
      <c r="G430" s="1082"/>
      <c r="R430" s="706"/>
    </row>
    <row r="431" spans="7:18" ht="15" customHeight="1">
      <c r="G431" s="1082"/>
      <c r="R431" s="706"/>
    </row>
    <row r="432" spans="7:18" ht="15" customHeight="1">
      <c r="G432" s="1082"/>
      <c r="R432" s="706"/>
    </row>
    <row r="433" spans="7:18" ht="15" customHeight="1">
      <c r="G433" s="1082"/>
      <c r="R433" s="706"/>
    </row>
    <row r="434" spans="7:18" ht="15" customHeight="1">
      <c r="G434" s="1082"/>
      <c r="R434" s="706"/>
    </row>
    <row r="435" spans="7:18" ht="15" customHeight="1">
      <c r="G435" s="1082"/>
      <c r="R435" s="706"/>
    </row>
    <row r="436" spans="7:18" ht="15" customHeight="1">
      <c r="G436" s="1082"/>
      <c r="R436" s="706"/>
    </row>
    <row r="437" spans="7:18" ht="15" customHeight="1">
      <c r="G437" s="1082"/>
      <c r="R437" s="706"/>
    </row>
    <row r="438" spans="7:18" ht="15" customHeight="1">
      <c r="G438" s="1082"/>
      <c r="R438" s="706"/>
    </row>
    <row r="439" spans="7:18" ht="15" customHeight="1">
      <c r="G439" s="1082"/>
      <c r="R439" s="706"/>
    </row>
    <row r="440" spans="7:18" ht="15" customHeight="1">
      <c r="G440" s="1082"/>
      <c r="R440" s="706"/>
    </row>
    <row r="441" spans="7:18" ht="15" customHeight="1">
      <c r="G441" s="1082"/>
      <c r="R441" s="706"/>
    </row>
    <row r="442" spans="7:18" ht="15" customHeight="1">
      <c r="G442" s="1082"/>
      <c r="R442" s="706"/>
    </row>
    <row r="443" spans="7:18" ht="15" customHeight="1">
      <c r="G443" s="1082"/>
      <c r="R443" s="706"/>
    </row>
    <row r="444" spans="7:18" ht="15" customHeight="1">
      <c r="G444" s="1082"/>
      <c r="R444" s="706"/>
    </row>
    <row r="445" spans="7:18" ht="15" customHeight="1">
      <c r="G445" s="1082"/>
      <c r="R445" s="706"/>
    </row>
    <row r="446" spans="7:18" ht="15" customHeight="1">
      <c r="G446" s="1082"/>
      <c r="R446" s="706"/>
    </row>
    <row r="447" spans="7:18" ht="15" customHeight="1">
      <c r="G447" s="1082"/>
      <c r="R447" s="706"/>
    </row>
    <row r="448" spans="7:18" ht="15" customHeight="1">
      <c r="G448" s="1082"/>
      <c r="R448" s="706"/>
    </row>
    <row r="449" spans="7:18" ht="15" customHeight="1">
      <c r="G449" s="1082"/>
      <c r="R449" s="706"/>
    </row>
    <row r="450" spans="7:18" ht="15" customHeight="1">
      <c r="G450" s="1082"/>
      <c r="R450" s="706"/>
    </row>
    <row r="451" spans="7:18" ht="15" customHeight="1">
      <c r="G451" s="1082"/>
      <c r="R451" s="706"/>
    </row>
    <row r="452" spans="7:18" ht="15" customHeight="1">
      <c r="G452" s="1082"/>
      <c r="R452" s="706"/>
    </row>
    <row r="453" spans="7:18" ht="15" customHeight="1">
      <c r="G453" s="1082"/>
      <c r="R453" s="706"/>
    </row>
    <row r="454" spans="7:18" ht="15" customHeight="1">
      <c r="G454" s="1082"/>
      <c r="R454" s="706"/>
    </row>
    <row r="455" spans="7:18" ht="15" customHeight="1">
      <c r="G455" s="1082"/>
      <c r="R455" s="706"/>
    </row>
    <row r="456" spans="7:18" ht="15" customHeight="1">
      <c r="G456" s="1082"/>
      <c r="R456" s="706"/>
    </row>
    <row r="457" spans="7:18" ht="15" customHeight="1">
      <c r="G457" s="1082"/>
      <c r="R457" s="706"/>
    </row>
    <row r="458" spans="7:18" ht="15" customHeight="1">
      <c r="G458" s="1082"/>
      <c r="R458" s="706"/>
    </row>
    <row r="459" spans="7:18" ht="15" customHeight="1">
      <c r="G459" s="1082"/>
      <c r="R459" s="706"/>
    </row>
    <row r="460" spans="7:18" ht="15" customHeight="1">
      <c r="G460" s="1082"/>
      <c r="R460" s="706"/>
    </row>
    <row r="461" spans="7:18" ht="15" customHeight="1">
      <c r="G461" s="1082"/>
      <c r="R461" s="706"/>
    </row>
    <row r="462" spans="7:18" ht="15" customHeight="1">
      <c r="G462" s="1082"/>
      <c r="R462" s="706"/>
    </row>
    <row r="463" spans="7:18" ht="15" customHeight="1">
      <c r="G463" s="1082"/>
      <c r="R463" s="706"/>
    </row>
    <row r="464" spans="7:18" ht="15" customHeight="1">
      <c r="G464" s="1082"/>
      <c r="R464" s="706"/>
    </row>
    <row r="465" spans="7:18" ht="15" customHeight="1">
      <c r="G465" s="1082"/>
      <c r="R465" s="706"/>
    </row>
    <row r="466" spans="7:18" ht="15" customHeight="1">
      <c r="G466" s="1082"/>
      <c r="R466" s="706"/>
    </row>
    <row r="467" spans="7:18" ht="15" customHeight="1">
      <c r="G467" s="1082"/>
      <c r="R467" s="706"/>
    </row>
    <row r="468" spans="7:18" ht="15" customHeight="1">
      <c r="G468" s="1082"/>
      <c r="R468" s="706"/>
    </row>
    <row r="469" spans="7:18" ht="15" customHeight="1">
      <c r="G469" s="1082"/>
      <c r="R469" s="706"/>
    </row>
    <row r="470" spans="7:18" ht="15" customHeight="1">
      <c r="G470" s="1082"/>
      <c r="R470" s="706"/>
    </row>
    <row r="471" spans="7:18" ht="15" customHeight="1">
      <c r="G471" s="1082"/>
      <c r="R471" s="706"/>
    </row>
    <row r="472" spans="7:18" ht="15" customHeight="1">
      <c r="G472" s="1082"/>
      <c r="R472" s="706"/>
    </row>
    <row r="473" spans="7:18" ht="15" customHeight="1">
      <c r="G473" s="1082"/>
      <c r="R473" s="706"/>
    </row>
    <row r="474" spans="7:18" ht="15" customHeight="1">
      <c r="G474" s="1082"/>
      <c r="R474" s="706"/>
    </row>
    <row r="475" spans="7:18" ht="15" customHeight="1">
      <c r="G475" s="1082"/>
      <c r="R475" s="706"/>
    </row>
    <row r="476" spans="7:18" ht="15" customHeight="1">
      <c r="G476" s="1082"/>
      <c r="R476" s="706"/>
    </row>
    <row r="477" spans="7:18" ht="15" customHeight="1">
      <c r="G477" s="1082"/>
      <c r="R477" s="706"/>
    </row>
    <row r="478" spans="7:18" ht="15" customHeight="1">
      <c r="G478" s="1082"/>
      <c r="R478" s="706"/>
    </row>
    <row r="479" spans="7:18" ht="15" customHeight="1">
      <c r="G479" s="1082"/>
      <c r="R479" s="706"/>
    </row>
    <row r="480" spans="7:18" ht="15" customHeight="1">
      <c r="G480" s="1082"/>
      <c r="R480" s="706"/>
    </row>
    <row r="481" spans="7:18" ht="15" customHeight="1">
      <c r="G481" s="1082"/>
      <c r="R481" s="706"/>
    </row>
    <row r="482" spans="7:18" ht="15" customHeight="1">
      <c r="G482" s="1082"/>
      <c r="R482" s="706"/>
    </row>
    <row r="483" spans="7:18" ht="15" customHeight="1">
      <c r="G483" s="1082"/>
      <c r="R483" s="706"/>
    </row>
    <row r="484" spans="7:18" ht="15" customHeight="1">
      <c r="G484" s="1082"/>
      <c r="R484" s="706"/>
    </row>
    <row r="485" spans="7:18" ht="15" customHeight="1">
      <c r="G485" s="1082"/>
      <c r="R485" s="706"/>
    </row>
    <row r="486" spans="7:18" ht="15" customHeight="1">
      <c r="G486" s="1082"/>
      <c r="R486" s="706"/>
    </row>
    <row r="487" spans="7:18" ht="15" customHeight="1">
      <c r="G487" s="1082"/>
      <c r="R487" s="706"/>
    </row>
    <row r="488" spans="7:18" ht="15" customHeight="1">
      <c r="G488" s="1082"/>
      <c r="R488" s="706"/>
    </row>
    <row r="489" spans="7:18" ht="15" customHeight="1">
      <c r="G489" s="1082"/>
      <c r="R489" s="706"/>
    </row>
    <row r="490" spans="7:18" ht="15" customHeight="1">
      <c r="G490" s="1082"/>
      <c r="R490" s="706"/>
    </row>
    <row r="491" spans="7:18" ht="15" customHeight="1">
      <c r="G491" s="1082"/>
      <c r="R491" s="706"/>
    </row>
    <row r="492" spans="7:18" ht="15" customHeight="1">
      <c r="G492" s="1082"/>
      <c r="R492" s="706"/>
    </row>
    <row r="493" spans="7:18" ht="15" customHeight="1">
      <c r="G493" s="1082"/>
      <c r="R493" s="706"/>
    </row>
    <row r="494" spans="7:18" ht="15" customHeight="1">
      <c r="G494" s="1082"/>
      <c r="R494" s="706"/>
    </row>
    <row r="495" spans="7:18" ht="15" customHeight="1">
      <c r="G495" s="1082"/>
      <c r="R495" s="706"/>
    </row>
    <row r="496" spans="7:18" ht="15" customHeight="1">
      <c r="G496" s="1082"/>
      <c r="R496" s="706"/>
    </row>
    <row r="497" spans="7:18" ht="15" customHeight="1">
      <c r="G497" s="1082"/>
      <c r="R497" s="706"/>
    </row>
    <row r="498" spans="7:18" ht="15" customHeight="1">
      <c r="G498" s="1082"/>
      <c r="R498" s="706"/>
    </row>
    <row r="499" spans="7:18" ht="15" customHeight="1">
      <c r="G499" s="1082"/>
      <c r="R499" s="706"/>
    </row>
    <row r="500" spans="7:18" ht="15" customHeight="1">
      <c r="G500" s="1082"/>
      <c r="R500" s="706"/>
    </row>
    <row r="501" spans="7:18" ht="15" customHeight="1">
      <c r="G501" s="1082"/>
      <c r="R501" s="706"/>
    </row>
    <row r="502" spans="7:18" ht="15" customHeight="1">
      <c r="G502" s="1082"/>
      <c r="R502" s="706"/>
    </row>
    <row r="503" spans="7:18" ht="15" customHeight="1">
      <c r="G503" s="1082"/>
      <c r="R503" s="706"/>
    </row>
    <row r="504" spans="7:18" ht="15" customHeight="1">
      <c r="G504" s="1082"/>
      <c r="R504" s="706"/>
    </row>
    <row r="505" spans="7:18" ht="15" customHeight="1">
      <c r="G505" s="1082"/>
      <c r="R505" s="706"/>
    </row>
    <row r="506" spans="7:18" ht="15" customHeight="1">
      <c r="G506" s="1082"/>
      <c r="R506" s="706"/>
    </row>
    <row r="507" spans="7:18" ht="15" customHeight="1">
      <c r="G507" s="1082"/>
      <c r="R507" s="706"/>
    </row>
    <row r="508" spans="7:18" ht="15" customHeight="1">
      <c r="G508" s="1082"/>
      <c r="R508" s="706"/>
    </row>
    <row r="509" spans="7:18" ht="15" customHeight="1">
      <c r="G509" s="1082"/>
      <c r="R509" s="706"/>
    </row>
    <row r="510" spans="7:18" ht="15" customHeight="1">
      <c r="G510" s="1082"/>
      <c r="R510" s="706"/>
    </row>
    <row r="511" spans="7:18" ht="15" customHeight="1">
      <c r="G511" s="1082"/>
      <c r="R511" s="706"/>
    </row>
    <row r="512" spans="7:18" ht="15" customHeight="1">
      <c r="G512" s="1082"/>
      <c r="R512" s="706"/>
    </row>
    <row r="513" spans="7:18" ht="15" customHeight="1">
      <c r="G513" s="1082"/>
      <c r="R513" s="706"/>
    </row>
    <row r="514" spans="7:18" ht="15" customHeight="1">
      <c r="G514" s="1082"/>
      <c r="R514" s="706"/>
    </row>
    <row r="515" spans="7:18" ht="15" customHeight="1">
      <c r="G515" s="1082"/>
      <c r="R515" s="706"/>
    </row>
    <row r="516" spans="7:18" ht="15" customHeight="1">
      <c r="G516" s="1082"/>
      <c r="R516" s="706"/>
    </row>
    <row r="517" spans="7:18" ht="15" customHeight="1">
      <c r="G517" s="1082"/>
      <c r="R517" s="706"/>
    </row>
    <row r="518" spans="7:18" ht="15" customHeight="1">
      <c r="G518" s="1082"/>
      <c r="R518" s="706"/>
    </row>
    <row r="519" spans="7:18" ht="15" customHeight="1">
      <c r="G519" s="1082"/>
      <c r="R519" s="706"/>
    </row>
    <row r="520" spans="7:18" ht="15" customHeight="1">
      <c r="G520" s="1082"/>
      <c r="R520" s="706"/>
    </row>
    <row r="521" spans="7:18" ht="15" customHeight="1">
      <c r="G521" s="1082"/>
      <c r="R521" s="706"/>
    </row>
    <row r="522" spans="7:18" ht="15" customHeight="1">
      <c r="G522" s="1082"/>
      <c r="R522" s="706"/>
    </row>
    <row r="523" spans="7:18" ht="15" customHeight="1">
      <c r="G523" s="1082"/>
      <c r="R523" s="706"/>
    </row>
    <row r="524" spans="7:18" ht="15" customHeight="1">
      <c r="G524" s="1082"/>
      <c r="R524" s="706"/>
    </row>
    <row r="525" spans="7:18" ht="15" customHeight="1">
      <c r="G525" s="1082"/>
      <c r="R525" s="706"/>
    </row>
    <row r="526" spans="7:18" ht="15" customHeight="1">
      <c r="G526" s="1082"/>
      <c r="R526" s="706"/>
    </row>
    <row r="527" spans="7:18" ht="15" customHeight="1">
      <c r="G527" s="1082"/>
      <c r="R527" s="706"/>
    </row>
    <row r="528" spans="7:18" ht="15" customHeight="1">
      <c r="G528" s="1082"/>
      <c r="R528" s="706"/>
    </row>
    <row r="529" spans="7:18" ht="15" customHeight="1">
      <c r="G529" s="1082"/>
      <c r="R529" s="706"/>
    </row>
    <row r="530" spans="7:18" ht="15" customHeight="1">
      <c r="G530" s="1082"/>
      <c r="R530" s="706"/>
    </row>
    <row r="531" spans="7:18" ht="15" customHeight="1">
      <c r="G531" s="1082"/>
      <c r="R531" s="706"/>
    </row>
    <row r="532" spans="7:18" ht="15" customHeight="1">
      <c r="G532" s="1082"/>
      <c r="R532" s="706"/>
    </row>
    <row r="533" spans="7:18" ht="15" customHeight="1">
      <c r="G533" s="1082"/>
      <c r="R533" s="706"/>
    </row>
    <row r="534" spans="7:18" ht="15" customHeight="1">
      <c r="G534" s="1082"/>
      <c r="R534" s="706"/>
    </row>
    <row r="535" spans="7:18" ht="15" customHeight="1">
      <c r="G535" s="1082"/>
      <c r="R535" s="706"/>
    </row>
    <row r="536" spans="7:18" ht="15" customHeight="1">
      <c r="G536" s="1082"/>
      <c r="R536" s="706"/>
    </row>
    <row r="537" spans="7:18" ht="15" customHeight="1">
      <c r="G537" s="1082"/>
      <c r="R537" s="706"/>
    </row>
    <row r="538" spans="7:18" ht="15" customHeight="1">
      <c r="G538" s="1082"/>
      <c r="R538" s="706"/>
    </row>
    <row r="539" spans="7:18" ht="15" customHeight="1">
      <c r="R539" s="706"/>
    </row>
    <row r="540" spans="7:18" ht="15" customHeight="1">
      <c r="R540" s="706"/>
    </row>
    <row r="541" spans="7:18" ht="15" customHeight="1">
      <c r="R541" s="706"/>
    </row>
    <row r="542" spans="7:18" ht="15" customHeight="1">
      <c r="R542" s="706"/>
    </row>
    <row r="543" spans="7:18" ht="15" customHeight="1">
      <c r="R543" s="706"/>
    </row>
    <row r="544" spans="7:18" ht="15" customHeight="1">
      <c r="R544" s="706"/>
    </row>
    <row r="545" spans="18:18" ht="15" customHeight="1">
      <c r="R545" s="706"/>
    </row>
    <row r="546" spans="18:18" ht="15" customHeight="1">
      <c r="R546" s="706"/>
    </row>
    <row r="547" spans="18:18" ht="15" customHeight="1">
      <c r="R547" s="706"/>
    </row>
    <row r="548" spans="18:18" ht="15" customHeight="1">
      <c r="R548" s="706"/>
    </row>
    <row r="549" spans="18:18" ht="15" customHeight="1">
      <c r="R549" s="706"/>
    </row>
    <row r="550" spans="18:18" ht="15" customHeight="1">
      <c r="R550" s="706"/>
    </row>
    <row r="551" spans="18:18" ht="15" customHeight="1">
      <c r="R551" s="706"/>
    </row>
    <row r="552" spans="18:18" ht="15" customHeight="1">
      <c r="R552" s="706"/>
    </row>
    <row r="553" spans="18:18" ht="15" customHeight="1">
      <c r="R553" s="706"/>
    </row>
    <row r="554" spans="18:18" ht="15" customHeight="1">
      <c r="R554" s="706"/>
    </row>
    <row r="555" spans="18:18" ht="15" customHeight="1">
      <c r="R555" s="706"/>
    </row>
    <row r="556" spans="18:18" ht="15" customHeight="1">
      <c r="R556" s="706"/>
    </row>
    <row r="557" spans="18:18" ht="15" customHeight="1">
      <c r="R557" s="706"/>
    </row>
    <row r="558" spans="18:18" ht="15" customHeight="1">
      <c r="R558" s="706"/>
    </row>
    <row r="559" spans="18:18" ht="15" customHeight="1">
      <c r="R559" s="706"/>
    </row>
    <row r="560" spans="18:18" ht="15" customHeight="1">
      <c r="R560" s="706"/>
    </row>
    <row r="561" spans="18:18" ht="15" customHeight="1">
      <c r="R561" s="706"/>
    </row>
    <row r="562" spans="18:18" ht="15" customHeight="1">
      <c r="R562" s="706"/>
    </row>
    <row r="563" spans="18:18" ht="15" customHeight="1">
      <c r="R563" s="706"/>
    </row>
    <row r="564" spans="18:18" ht="15" customHeight="1">
      <c r="R564" s="706"/>
    </row>
    <row r="565" spans="18:18" ht="15" customHeight="1">
      <c r="R565" s="706"/>
    </row>
    <row r="566" spans="18:18" ht="15" customHeight="1">
      <c r="R566" s="706"/>
    </row>
    <row r="567" spans="18:18" ht="15" customHeight="1">
      <c r="R567" s="706"/>
    </row>
    <row r="568" spans="18:18" ht="15" customHeight="1">
      <c r="R568" s="706"/>
    </row>
    <row r="569" spans="18:18" ht="15" customHeight="1">
      <c r="R569" s="706"/>
    </row>
    <row r="570" spans="18:18" ht="15" customHeight="1">
      <c r="R570" s="706"/>
    </row>
    <row r="571" spans="18:18" ht="15" customHeight="1">
      <c r="R571" s="706"/>
    </row>
    <row r="572" spans="18:18" ht="15" customHeight="1">
      <c r="R572" s="706"/>
    </row>
    <row r="573" spans="18:18" ht="15" customHeight="1">
      <c r="R573" s="706"/>
    </row>
    <row r="574" spans="18:18" ht="15" customHeight="1">
      <c r="R574" s="706"/>
    </row>
    <row r="575" spans="18:18" ht="15" customHeight="1">
      <c r="R575" s="706"/>
    </row>
    <row r="576" spans="18:18" ht="15" customHeight="1">
      <c r="R576" s="706"/>
    </row>
    <row r="577" spans="18:18" ht="15" customHeight="1">
      <c r="R577" s="706"/>
    </row>
    <row r="578" spans="18:18" ht="15" customHeight="1">
      <c r="R578" s="706"/>
    </row>
    <row r="579" spans="18:18" ht="15" customHeight="1">
      <c r="R579" s="706"/>
    </row>
    <row r="580" spans="18:18" ht="15" customHeight="1">
      <c r="R580" s="706"/>
    </row>
    <row r="581" spans="18:18" ht="15" customHeight="1">
      <c r="R581" s="706"/>
    </row>
    <row r="582" spans="18:18" ht="15" customHeight="1">
      <c r="R582" s="706"/>
    </row>
    <row r="583" spans="18:18" ht="15" customHeight="1">
      <c r="R583" s="706"/>
    </row>
    <row r="584" spans="18:18" ht="15" customHeight="1">
      <c r="R584" s="706"/>
    </row>
    <row r="585" spans="18:18" ht="15" customHeight="1">
      <c r="R585" s="706"/>
    </row>
    <row r="586" spans="18:18" ht="15" customHeight="1">
      <c r="R586" s="706"/>
    </row>
    <row r="587" spans="18:18" ht="15" customHeight="1">
      <c r="R587" s="706"/>
    </row>
    <row r="588" spans="18:18" ht="15" customHeight="1">
      <c r="R588" s="706"/>
    </row>
    <row r="589" spans="18:18" ht="15" customHeight="1">
      <c r="R589" s="706"/>
    </row>
    <row r="590" spans="18:18" ht="15" customHeight="1">
      <c r="R590" s="706"/>
    </row>
    <row r="591" spans="18:18" ht="15" customHeight="1">
      <c r="R591" s="706"/>
    </row>
    <row r="592" spans="18:18" ht="15" customHeight="1">
      <c r="R592" s="706"/>
    </row>
    <row r="593" spans="18:18" ht="15" customHeight="1">
      <c r="R593" s="706"/>
    </row>
    <row r="594" spans="18:18" ht="15" customHeight="1">
      <c r="R594" s="706"/>
    </row>
    <row r="595" spans="18:18" ht="15" customHeight="1">
      <c r="R595" s="706"/>
    </row>
    <row r="596" spans="18:18" ht="15" customHeight="1">
      <c r="R596" s="706"/>
    </row>
    <row r="597" spans="18:18" ht="15" customHeight="1">
      <c r="R597" s="706"/>
    </row>
    <row r="598" spans="18:18" ht="15" customHeight="1">
      <c r="R598" s="706"/>
    </row>
    <row r="599" spans="18:18" ht="15" customHeight="1">
      <c r="R599" s="706"/>
    </row>
    <row r="600" spans="18:18" ht="15" customHeight="1">
      <c r="R600" s="706"/>
    </row>
    <row r="601" spans="18:18" ht="15" customHeight="1">
      <c r="R601" s="706"/>
    </row>
    <row r="602" spans="18:18" ht="15" customHeight="1">
      <c r="R602" s="706"/>
    </row>
    <row r="603" spans="18:18" ht="15" customHeight="1">
      <c r="R603" s="706"/>
    </row>
    <row r="604" spans="18:18" ht="15" customHeight="1">
      <c r="R604" s="706"/>
    </row>
    <row r="605" spans="18:18" ht="15" customHeight="1">
      <c r="R605" s="706"/>
    </row>
    <row r="606" spans="18:18" ht="15" customHeight="1">
      <c r="R606" s="706"/>
    </row>
    <row r="607" spans="18:18" ht="15" customHeight="1">
      <c r="R607" s="706"/>
    </row>
    <row r="608" spans="18:18" ht="15" customHeight="1">
      <c r="R608" s="706"/>
    </row>
    <row r="609" spans="18:18" ht="15" customHeight="1">
      <c r="R609" s="706"/>
    </row>
  </sheetData>
  <autoFilter ref="A3:AO83" xr:uid="{00000000-0009-0000-0000-00000C000000}"/>
  <mergeCells count="2">
    <mergeCell ref="AV5:BD5"/>
    <mergeCell ref="AV20:BA20"/>
  </mergeCells>
  <pageMargins left="0.7" right="0.7" top="0.75" bottom="0.75" header="0" footer="0"/>
  <pageSetup scale="14" fitToHeight="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23D1-2DDE-4291-A2B9-A6EAFEEFB4CA}">
  <sheetPr>
    <tabColor rgb="FF00B050"/>
    <pageSetUpPr fitToPage="1"/>
  </sheetPr>
  <dimension ref="A1:BD577"/>
  <sheetViews>
    <sheetView showGridLines="0" zoomScale="80" zoomScaleNormal="80" workbookViewId="0">
      <pane xSplit="4" ySplit="3" topLeftCell="AS4" activePane="bottomRight" state="frozen"/>
      <selection activeCell="AW6" sqref="AW6:AX6"/>
      <selection pane="topRight" activeCell="AW6" sqref="AW6:AX6"/>
      <selection pane="bottomLeft" activeCell="AW6" sqref="AW6:AX6"/>
      <selection pane="bottomRight" activeCell="AW6" sqref="AW6:AX6"/>
    </sheetView>
  </sheetViews>
  <sheetFormatPr baseColWidth="10" defaultColWidth="14.44140625" defaultRowHeight="15" customHeight="1"/>
  <cols>
    <col min="1" max="1" width="14.5546875" customWidth="1"/>
    <col min="2" max="2" width="12.44140625" style="762" customWidth="1"/>
    <col min="3" max="3" width="11.6640625" style="762" customWidth="1"/>
    <col min="4" max="4" width="42.5546875" customWidth="1"/>
    <col min="5" max="5" width="13.109375" customWidth="1"/>
    <col min="6" max="6" width="17.33203125" customWidth="1"/>
    <col min="7" max="7" width="11.6640625" customWidth="1"/>
    <col min="8" max="8" width="11.44140625" style="762" customWidth="1"/>
    <col min="9" max="9" width="11.5546875" customWidth="1"/>
    <col min="10" max="10" width="10.66406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6.332031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0.88671875" customWidth="1"/>
    <col min="43" max="43" width="12.6640625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5110.3369999999986</v>
      </c>
      <c r="F1" s="1075" t="s">
        <v>1906</v>
      </c>
      <c r="G1" s="1076">
        <f>+$AM3</f>
        <v>468822.01666783902</v>
      </c>
      <c r="H1" s="1448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B2" s="1144"/>
      <c r="D2" s="1075" t="s">
        <v>1907</v>
      </c>
      <c r="E2" s="1076">
        <f>+AH3</f>
        <v>4806.4919999999993</v>
      </c>
      <c r="F2" s="1079" t="s">
        <v>1908</v>
      </c>
      <c r="G2" s="1080">
        <f>+Q2</f>
        <v>94.265165114183091</v>
      </c>
      <c r="H2" s="90"/>
      <c r="I2" s="1251">
        <f>SUBTOTAL(9,I4:I1363)</f>
        <v>558.0899999999998</v>
      </c>
      <c r="J2" s="81"/>
      <c r="K2" s="91">
        <f>SUBTOTAL(9,K4:K1363)</f>
        <v>524.9580000000002</v>
      </c>
      <c r="L2" s="1202">
        <f>+SUMPRODUCT(L5:L1363,K5:K1363)/K2</f>
        <v>0.28393290510859903</v>
      </c>
      <c r="M2" s="6"/>
      <c r="O2" s="703"/>
      <c r="P2" s="94">
        <f>+SUMPRODUCT(P4:P1363,AH4:AH1363)/SUM(AH4:AH1363)</f>
        <v>88.456813253824237</v>
      </c>
      <c r="Q2" s="1201">
        <f>+SUMPRODUCT(Q4:Q1363,AH4:AH1363)/SUM(AH4:AH1363)</f>
        <v>94.265165114183091</v>
      </c>
      <c r="R2" s="1151">
        <f>+SUMPRODUCT(R4:R1363,AH4:AH1363)/SUM(AH4:AH1363)</f>
        <v>4090.9010569974953</v>
      </c>
      <c r="S2" s="6"/>
      <c r="AB2" s="83"/>
      <c r="AC2" s="83"/>
      <c r="AD2" s="83"/>
      <c r="AE2" s="83"/>
      <c r="AF2" s="83"/>
      <c r="AG2" s="1209">
        <f>SUMPRODUCT($AG4:$AG1363,$K4:$K1363)/SUM($K4:$K1363)</f>
        <v>159.20740543719302</v>
      </c>
      <c r="AH2" s="702"/>
      <c r="AI2" s="631"/>
      <c r="AJ2" s="252">
        <v>4200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679" t="s">
        <v>39</v>
      </c>
      <c r="C3" s="679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SUBTOTAL(9,AH4:AH1363)</f>
        <v>4806.4919999999993</v>
      </c>
      <c r="AI3" s="1252">
        <f>SUBTOTAL(9,AI4:AI1363)</f>
        <v>5110.3369999999986</v>
      </c>
      <c r="AJ3" s="1388">
        <f>SUMPRODUCT(K4:K1363,AJ4:AJ1363)/K2</f>
        <v>65.737165879015649</v>
      </c>
      <c r="AK3" s="118">
        <f>SUBTOTAL(9,AK4:AK1363)</f>
        <v>4396.0971963641568</v>
      </c>
      <c r="AL3" s="88"/>
      <c r="AM3" s="118">
        <f>SUBTOTAL(9,AM4:AM1363)</f>
        <v>468822.01666783902</v>
      </c>
      <c r="AN3" s="1182" t="s">
        <v>2247</v>
      </c>
      <c r="AO3" s="1168" t="s">
        <v>2283</v>
      </c>
      <c r="AP3" t="s">
        <v>2351</v>
      </c>
      <c r="AQ3" t="s">
        <v>2352</v>
      </c>
      <c r="AS3" s="1216"/>
    </row>
    <row r="4" spans="1:56" s="677" customFormat="1" ht="15.75" customHeight="1" thickBot="1">
      <c r="A4" s="720"/>
      <c r="B4" s="671"/>
      <c r="C4" s="723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56" ht="15" customHeight="1" thickBot="1">
      <c r="A5" s="1491" t="s">
        <v>3145</v>
      </c>
      <c r="B5" s="1447"/>
      <c r="C5" s="1447">
        <v>45949</v>
      </c>
      <c r="D5" t="s">
        <v>119</v>
      </c>
      <c r="E5" s="762">
        <f>_xlfn.XLOOKUP(D5,RUC!$B$3:$B$123,RUC!$D$3:$D$123)</f>
        <v>10082235774</v>
      </c>
      <c r="G5" s="1082">
        <v>67</v>
      </c>
      <c r="H5" s="762" t="s">
        <v>69</v>
      </c>
      <c r="I5" s="703">
        <v>5.84</v>
      </c>
      <c r="J5" s="596">
        <v>1.2</v>
      </c>
      <c r="K5" s="703">
        <f t="shared" ref="K5:K59" si="0">ROUND(+I5-(I5*(J5/100)),3)</f>
        <v>5.77</v>
      </c>
      <c r="L5" s="762">
        <v>8.7999999999999995E-2</v>
      </c>
      <c r="M5" s="762">
        <v>8.1000000000000003E-2</v>
      </c>
      <c r="N5" s="1196">
        <f>+M5</f>
        <v>8.1000000000000003E-2</v>
      </c>
      <c r="O5" s="645">
        <f t="shared" ref="O5:O28" si="1">+ROUND((M5+N5)/2,3)</f>
        <v>8.1000000000000003E-2</v>
      </c>
      <c r="P5" s="727">
        <v>85</v>
      </c>
      <c r="Q5">
        <v>95.45</v>
      </c>
      <c r="R5" s="706">
        <v>4294.3500000000004</v>
      </c>
      <c r="S5" s="1164">
        <f>IF((_xlfn.XLOOKUP(D5,RUC!$B$3:$B$119,RUC!$E$3:$E$119)+ROUNDDOWN(O5,1)*100)&lt;95,95,((_xlfn.XLOOKUP(D5,RUC!$B$3:$B$119,RUC!$E$3:$E$119)+ROUNDDOWN(O5,1)*100)))</f>
        <v>95</v>
      </c>
      <c r="U5" s="1146">
        <f>_xlfn.XLOOKUP(D5,RUC!$B$3:$B$123,RUC!$F$3:$F$123)</f>
        <v>80</v>
      </c>
      <c r="V5" s="715">
        <v>1.1023000000000001</v>
      </c>
      <c r="Y5">
        <f>_xlfn.XLOOKUP(D5,RUC!$B$3:$B$123,RUC!$G$3:$G$123)</f>
        <v>0</v>
      </c>
      <c r="Z5" s="143">
        <f>_xlfn.XLOOKUP(D5,RUC!$B$3:$B$123,RUC!$H$3:$H$123)</f>
        <v>10</v>
      </c>
      <c r="AA5" s="144">
        <f t="shared" ref="AA5:AA20" si="2">+Y5+Z5</f>
        <v>10</v>
      </c>
      <c r="AB5" s="145">
        <v>1E-3</v>
      </c>
      <c r="AC5" s="145">
        <f>+(S5-T5)*V5-'data 1'!$F$4</f>
        <v>24.718500000000006</v>
      </c>
      <c r="AD5" s="145">
        <f t="shared" ref="AD5:AD20" si="3">+(Q5-P5)*(R5-U5)*L5*V5/100</f>
        <v>42.719815733980013</v>
      </c>
      <c r="AE5" s="145">
        <f t="shared" ref="AE5:AE20" si="4">+(Y5*V5-70)+V5*(Z5-IF(D5="UNTUCA",IF(+((W5-3)*2.5+(X5-3)*3.1)&gt;0,+((W5-3)*1.5+(X5-3)*3.1),0),IF(+((W5-3)*1.5+(X5-3)*3.1)&gt;0,+((W5-3)*1.5+(X5-3)*3.1),0)))</f>
        <v>-58.977000000000004</v>
      </c>
      <c r="AF5" s="145">
        <f t="shared" ref="AF5:AF20" si="5">(L5-O5)*(R5-U5)*Q5*V5/100</f>
        <v>31.038761290407475</v>
      </c>
      <c r="AG5" s="772">
        <f>AC5+AD5+AE5+AF5+70+204.1</f>
        <v>313.60007702438747</v>
      </c>
      <c r="AH5" s="1253">
        <f t="shared" ref="AH5:AH59" si="6">ROUND((31.1035*L5*Q5*1.1023*K5/100),3)</f>
        <v>16.617000000000001</v>
      </c>
      <c r="AI5" s="1253">
        <f t="shared" ref="AI5:AI59" si="7">ROUND((31.1035*L5*1.1023*K5),3)</f>
        <v>17.408999999999999</v>
      </c>
      <c r="AJ5" s="156">
        <f t="shared" ref="AJ5:AJ59" si="8">+((+$AJ$2-R5+U5)*L5*Q5*V5)/100</f>
        <v>-1.3286491479800335</v>
      </c>
      <c r="AK5" s="156">
        <f t="shared" ref="AK5:AK59" si="9">31.1035*1.1023*K5*P5*O5/100</f>
        <v>13.620367540989223</v>
      </c>
      <c r="AL5" s="88"/>
      <c r="AM5" s="716">
        <f t="shared" ref="AM5:AM59" si="10">+IF(AB5*K5&gt;0,AB5*K5,0)</f>
        <v>5.77E-3</v>
      </c>
      <c r="AN5" s="716" t="str">
        <f>_xlfn.XLOOKUP(D5,RUC!$B$3:$B$578,RUC!$M$3:$M$578)</f>
        <v>Melchor Vera</v>
      </c>
      <c r="AO5" s="1167" t="s">
        <v>2281</v>
      </c>
      <c r="AP5" t="s">
        <v>3188</v>
      </c>
      <c r="AQ5" t="s">
        <v>3189</v>
      </c>
      <c r="AV5" s="1982" t="s">
        <v>3645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747" t="s">
        <v>3256</v>
      </c>
      <c r="B6" s="1447">
        <v>45967</v>
      </c>
      <c r="C6" s="1447">
        <v>45958</v>
      </c>
      <c r="D6" s="665" t="s">
        <v>93</v>
      </c>
      <c r="E6" s="762">
        <f>_xlfn.XLOOKUP(D6,RUC!$B$3:$B$123,RUC!$D$3:$D$123)</f>
        <v>20169040231</v>
      </c>
      <c r="G6" s="1505">
        <v>78</v>
      </c>
      <c r="H6" s="1504" t="s">
        <v>116</v>
      </c>
      <c r="I6" s="703">
        <v>7.85</v>
      </c>
      <c r="J6" s="596">
        <v>2.75</v>
      </c>
      <c r="K6" s="703">
        <f t="shared" si="0"/>
        <v>7.6340000000000003</v>
      </c>
      <c r="L6" s="762">
        <v>0.35199999999999998</v>
      </c>
      <c r="M6" s="762">
        <v>0.33400000000000002</v>
      </c>
      <c r="N6" s="1444">
        <v>0.379</v>
      </c>
      <c r="O6" s="645">
        <f t="shared" si="1"/>
        <v>0.35699999999999998</v>
      </c>
      <c r="P6" s="727">
        <v>84</v>
      </c>
      <c r="Q6" s="1476">
        <v>84.66</v>
      </c>
      <c r="R6" s="1503">
        <v>3948.5</v>
      </c>
      <c r="S6" s="765">
        <f>IF((_xlfn.XLOOKUP(D6,RUC!$B$3:$B$119,RUC!$E$3:$E$119)+ROUNDDOWN(O6,1)*100)&lt;95,95,((_xlfn.XLOOKUP(D6,RUC!$B$3:$B$119,RUC!$E$3:$E$119)+ROUNDDOWN(O6,1)*100)))</f>
        <v>115</v>
      </c>
      <c r="U6" s="1146">
        <f>_xlfn.XLOOKUP(D6,RUC!$B$3:$B$123,RUC!$F$3:$F$123)</f>
        <v>120</v>
      </c>
      <c r="V6" s="715">
        <v>1.1023000000000001</v>
      </c>
      <c r="Y6">
        <f>_xlfn.XLOOKUP(D6,RUC!$B$3:$B$123,RUC!$G$3:$G$123)</f>
        <v>20</v>
      </c>
      <c r="Z6" s="1454">
        <v>35</v>
      </c>
      <c r="AA6" s="144">
        <f t="shared" si="2"/>
        <v>55</v>
      </c>
      <c r="AB6" s="145">
        <f>+((O6*P6*(R6-U6)/100)-S6-AA6+T6)*V6</f>
        <v>1078.1492463340001</v>
      </c>
      <c r="AC6" s="145">
        <f>+(S6-T6)*V6-'data 1'!$F$4</f>
        <v>46.764500000000012</v>
      </c>
      <c r="AD6" s="145">
        <f t="shared" si="3"/>
        <v>9.8042653737599483</v>
      </c>
      <c r="AE6" s="145">
        <f t="shared" si="4"/>
        <v>-9.3734999999999999</v>
      </c>
      <c r="AF6" s="145">
        <f t="shared" si="5"/>
        <v>-17.863918443150013</v>
      </c>
      <c r="AG6" s="772">
        <f t="shared" ref="AG6:AG7" si="11">AC6+AD6+AE6+AF6+70-53</f>
        <v>46.331346930609953</v>
      </c>
      <c r="AH6" s="1253">
        <f t="shared" si="6"/>
        <v>77.998000000000005</v>
      </c>
      <c r="AI6" s="1253">
        <f t="shared" si="7"/>
        <v>92.131</v>
      </c>
      <c r="AJ6" s="156">
        <f t="shared" si="8"/>
        <v>122.03363651423999</v>
      </c>
      <c r="AK6" s="156">
        <f t="shared" si="9"/>
        <v>78.488987553825169</v>
      </c>
      <c r="AL6" s="88"/>
      <c r="AM6" s="716">
        <f t="shared" si="10"/>
        <v>8230.5913465137564</v>
      </c>
      <c r="AN6" s="716" t="str">
        <f>_xlfn.XLOOKUP(D6,RUC!$B$3:$B$578,RUC!$M$3:$M$578)</f>
        <v>Ronald Miranda</v>
      </c>
      <c r="AO6" s="1167" t="s">
        <v>2277</v>
      </c>
      <c r="AP6" t="s">
        <v>3282</v>
      </c>
      <c r="AQ6" t="s">
        <v>3066</v>
      </c>
      <c r="AW6" s="1469">
        <f>SUM(AW8:AW17)</f>
        <v>524.95799999999997</v>
      </c>
      <c r="AX6" s="1470">
        <f>SUMPRODUCT(AW8:AW17,AX8:AX17)/SUM(AW8:AW17)</f>
        <v>0.2839329051085992</v>
      </c>
      <c r="AY6" s="704"/>
      <c r="AZ6" s="1471">
        <f>SUMPRODUCT(AZ8:AZ17,$BB8:$BB17)/SUM($BB8:$BB17)/100</f>
        <v>0.94265165114183047</v>
      </c>
      <c r="BA6" s="707">
        <f>SUM(BA8:BA17)</f>
        <v>5110.3348022084429</v>
      </c>
      <c r="BB6" s="707">
        <f>SUM(BB8:BB17)</f>
        <v>4806.4920000000002</v>
      </c>
    </row>
    <row r="7" spans="1:56" ht="15" customHeight="1" thickBot="1">
      <c r="A7" s="747" t="s">
        <v>3265</v>
      </c>
      <c r="B7" s="1447">
        <v>45965</v>
      </c>
      <c r="C7" s="1447">
        <v>45958</v>
      </c>
      <c r="D7" s="665" t="s">
        <v>93</v>
      </c>
      <c r="E7" s="762">
        <f>_xlfn.XLOOKUP(D7,RUC!$B$3:$B$123,RUC!$D$3:$D$123)</f>
        <v>20169040231</v>
      </c>
      <c r="G7" s="1082">
        <v>50</v>
      </c>
      <c r="H7" s="762" t="s">
        <v>116</v>
      </c>
      <c r="I7" s="703">
        <v>5.3</v>
      </c>
      <c r="J7" s="596">
        <v>4.1500000000000004</v>
      </c>
      <c r="K7" s="703">
        <f t="shared" si="0"/>
        <v>5.08</v>
      </c>
      <c r="L7" s="762">
        <v>0.21199999999999999</v>
      </c>
      <c r="M7" s="994">
        <v>0.19700000000000001</v>
      </c>
      <c r="N7" s="1196">
        <f>+M7</f>
        <v>0.19700000000000001</v>
      </c>
      <c r="O7" s="645">
        <f t="shared" si="1"/>
        <v>0.19700000000000001</v>
      </c>
      <c r="P7" s="727">
        <v>90</v>
      </c>
      <c r="Q7" s="1476">
        <v>94.34</v>
      </c>
      <c r="R7" s="1503">
        <v>3948.5</v>
      </c>
      <c r="S7" s="765">
        <f>IF((_xlfn.XLOOKUP(D7,RUC!$B$3:$B$119,RUC!$E$3:$E$119)+ROUNDDOWN(O7,1)*100)&lt;95,95,((_xlfn.XLOOKUP(D7,RUC!$B$3:$B$119,RUC!$E$3:$E$119)+ROUNDDOWN(O7,1)*100)))</f>
        <v>95</v>
      </c>
      <c r="U7" s="1146">
        <f>_xlfn.XLOOKUP(D7,RUC!$B$3:$B$123,RUC!$F$3:$F$123)</f>
        <v>120</v>
      </c>
      <c r="V7" s="715">
        <v>1.1023000000000001</v>
      </c>
      <c r="Y7">
        <f>_xlfn.XLOOKUP(D7,RUC!$B$3:$B$123,RUC!$G$3:$G$123)</f>
        <v>20</v>
      </c>
      <c r="Z7" s="1454">
        <v>35</v>
      </c>
      <c r="AA7" s="144">
        <f t="shared" si="2"/>
        <v>55</v>
      </c>
      <c r="AB7" s="145">
        <f>+((O7*P7*(R7-U7)/100)-S7-AA7+T7)*V7</f>
        <v>582.88857901500012</v>
      </c>
      <c r="AC7" s="145">
        <f>+(S7-T7)*V7-'data 1'!$F$4</f>
        <v>24.718500000000006</v>
      </c>
      <c r="AD7" s="145">
        <f t="shared" si="3"/>
        <v>38.828807184440031</v>
      </c>
      <c r="AE7" s="145">
        <f t="shared" si="4"/>
        <v>-9.3734999999999999</v>
      </c>
      <c r="AF7" s="145">
        <f t="shared" si="5"/>
        <v>59.719421188049949</v>
      </c>
      <c r="AG7" s="772">
        <f t="shared" si="11"/>
        <v>130.89322837249</v>
      </c>
      <c r="AH7" s="1253">
        <f t="shared" si="6"/>
        <v>34.834000000000003</v>
      </c>
      <c r="AI7" s="1253">
        <f t="shared" si="7"/>
        <v>36.923999999999999</v>
      </c>
      <c r="AJ7" s="156">
        <f t="shared" si="8"/>
        <v>81.901217603559999</v>
      </c>
      <c r="AK7" s="156">
        <f t="shared" si="9"/>
        <v>30.880300450426208</v>
      </c>
      <c r="AL7" s="88"/>
      <c r="AM7" s="716">
        <f t="shared" si="10"/>
        <v>2961.0739813962005</v>
      </c>
      <c r="AN7" s="716" t="str">
        <f>_xlfn.XLOOKUP(D7,RUC!$B$3:$B$578,RUC!$M$3:$M$578)</f>
        <v>Ronald Miranda</v>
      </c>
      <c r="AO7" s="1167" t="s">
        <v>2277</v>
      </c>
      <c r="AP7" t="s">
        <v>3284</v>
      </c>
      <c r="AQ7" t="s">
        <v>3285</v>
      </c>
      <c r="AV7" s="762"/>
      <c r="AW7" s="762" t="s">
        <v>15</v>
      </c>
      <c r="AX7" s="762" t="s">
        <v>2522</v>
      </c>
      <c r="AY7" s="1214" t="s">
        <v>2522</v>
      </c>
      <c r="AZ7" s="762" t="s">
        <v>2523</v>
      </c>
      <c r="BA7" s="762" t="s">
        <v>2558</v>
      </c>
      <c r="BB7" s="762" t="s">
        <v>2559</v>
      </c>
      <c r="BC7" s="1555" t="s">
        <v>2565</v>
      </c>
      <c r="BD7" s="729" t="s">
        <v>2579</v>
      </c>
    </row>
    <row r="8" spans="1:56" ht="15" customHeight="1">
      <c r="A8" s="747" t="s">
        <v>3302</v>
      </c>
      <c r="B8" s="1447">
        <v>45966</v>
      </c>
      <c r="C8" s="1447">
        <v>45960</v>
      </c>
      <c r="D8" s="1508" t="s">
        <v>3316</v>
      </c>
      <c r="E8" s="762">
        <f>_xlfn.XLOOKUP(D8,RUC!$B$3:$B$123,RUC!$D$3:$D$123)</f>
        <v>20613935151</v>
      </c>
      <c r="G8" s="1082">
        <v>90</v>
      </c>
      <c r="H8" s="762" t="s">
        <v>69</v>
      </c>
      <c r="I8" s="703">
        <v>8.32</v>
      </c>
      <c r="J8" s="596">
        <v>1.2</v>
      </c>
      <c r="K8" s="703">
        <f t="shared" si="0"/>
        <v>8.2200000000000006</v>
      </c>
      <c r="L8" s="994">
        <v>0.23</v>
      </c>
      <c r="M8" s="762">
        <v>0.215</v>
      </c>
      <c r="N8" s="1444">
        <v>0.27700000000000002</v>
      </c>
      <c r="O8" s="645">
        <f t="shared" si="1"/>
        <v>0.246</v>
      </c>
      <c r="P8" s="727">
        <v>90</v>
      </c>
      <c r="Q8" s="1476">
        <v>95.65</v>
      </c>
      <c r="R8" s="706">
        <v>3994.15</v>
      </c>
      <c r="S8" s="765">
        <f>IF((_xlfn.XLOOKUP(D8,RUC!$B$3:$B$119,RUC!$E$3:$E$119)+ROUNDDOWN(O8,1)*100)&lt;95,95,((_xlfn.XLOOKUP(D8,RUC!$B$3:$B$119,RUC!$E$3:$E$119)+ROUNDDOWN(O8,1)*100)))</f>
        <v>110</v>
      </c>
      <c r="U8" s="1146">
        <f>_xlfn.XLOOKUP(D8,RUC!$B$3:$B$123,RUC!$F$3:$F$123)</f>
        <v>120</v>
      </c>
      <c r="V8" s="715">
        <v>1.1023000000000001</v>
      </c>
      <c r="Y8">
        <f>_xlfn.XLOOKUP(D8,RUC!$B$3:$B$123,RUC!$G$3:$G$123)</f>
        <v>20</v>
      </c>
      <c r="Z8" s="143">
        <f>_xlfn.XLOOKUP(D8,RUC!$B$3:$B$123,RUC!$H$3:$H$123)</f>
        <v>30</v>
      </c>
      <c r="AA8" s="144">
        <f t="shared" si="2"/>
        <v>50</v>
      </c>
      <c r="AB8" s="145">
        <f>+((O8*P8*(R8-U8)/100)-S8-AA8+T8)*V8</f>
        <v>769.11528566300012</v>
      </c>
      <c r="AC8" s="145">
        <f>+(S8-T8)*V8-'data 1'!$F$4</f>
        <v>41.253</v>
      </c>
      <c r="AD8" s="145">
        <f t="shared" si="3"/>
        <v>55.494829707275066</v>
      </c>
      <c r="AE8" s="145">
        <f t="shared" si="4"/>
        <v>-14.884999999999998</v>
      </c>
      <c r="AF8" s="145">
        <f t="shared" si="5"/>
        <v>-65.355357740679949</v>
      </c>
      <c r="AG8" s="772">
        <f>AC8+AD8+AE8+AF8+70-53</f>
        <v>33.507471966595119</v>
      </c>
      <c r="AH8" s="1253">
        <f t="shared" si="6"/>
        <v>62</v>
      </c>
      <c r="AI8" s="1253">
        <f t="shared" si="7"/>
        <v>64.819999999999993</v>
      </c>
      <c r="AJ8" s="156">
        <f t="shared" si="8"/>
        <v>79.018784177724982</v>
      </c>
      <c r="AK8" s="156">
        <f t="shared" si="9"/>
        <v>62.396251995299409</v>
      </c>
      <c r="AL8" s="88"/>
      <c r="AM8" s="716">
        <f t="shared" si="10"/>
        <v>6322.1276481498617</v>
      </c>
      <c r="AN8" s="716" t="str">
        <f>_xlfn.XLOOKUP(D8,RUC!$B$3:$B$578,RUC!$M$3:$M$578)</f>
        <v xml:space="preserve">Dante </v>
      </c>
      <c r="AO8" s="1167" t="s">
        <v>2277</v>
      </c>
      <c r="AP8" t="s">
        <v>3324</v>
      </c>
      <c r="AQ8" t="s">
        <v>3325</v>
      </c>
      <c r="AV8" s="1556" t="s">
        <v>2277</v>
      </c>
      <c r="AW8" s="1227">
        <f t="shared" ref="AW8:AW17" si="12">SUMIF($AO$4:$AO$1471,AV8,$K$4:$K$1471)</f>
        <v>91.000999999999991</v>
      </c>
      <c r="AX8" s="1227" cm="1">
        <f t="array" ref="AX8">+SUMPRODUCT(IF($AO$4:$AO$1471=AV8,$L$4:$L$1471*$K$4:$K$1471/AW8))</f>
        <v>0.28584123251392851</v>
      </c>
      <c r="AY8" s="1228">
        <f t="shared" ref="AY8:AY17" si="13">31.1035*1.1023*AX8*(100-AZ8)/100</f>
        <v>0.74481696191211</v>
      </c>
      <c r="AZ8" s="1229" cm="1">
        <f t="array" ref="AZ8">+SUMPRODUCT(IF($AO$4:$AO$1471=AV8,($Q$4:$Q$1471*$AH$4:$AH$1471)/SUMIF($AO$4:$AO$1471,$AV8,$AH$4:$AH$1471)))</f>
        <v>92.399964633014264</v>
      </c>
      <c r="BA8" s="1441">
        <f t="shared" ref="BA8:BA17" si="14">+AX8*31.1035*1.1023*AW8</f>
        <v>891.8259597237361</v>
      </c>
      <c r="BB8" s="1230">
        <f t="shared" ref="BB8:BB17" si="15">SUMIF($AO$4:$AO$571,$AV8,$AH$4:$AH$571)</f>
        <v>821.9530000000002</v>
      </c>
      <c r="BC8" s="1229">
        <f>+BA8-BB8</f>
        <v>69.872959723735903</v>
      </c>
      <c r="BD8" s="1231">
        <f>+AW8</f>
        <v>91.000999999999991</v>
      </c>
    </row>
    <row r="9" spans="1:56" ht="15" customHeight="1">
      <c r="A9" s="1491" t="s">
        <v>3310</v>
      </c>
      <c r="B9" s="1447">
        <v>45967</v>
      </c>
      <c r="C9" s="1447">
        <v>45962</v>
      </c>
      <c r="D9" t="s">
        <v>1671</v>
      </c>
      <c r="E9" s="762">
        <f>_xlfn.XLOOKUP(D9,RUC!$B$3:$B$123,RUC!$D$3:$D$123)</f>
        <v>20517242919</v>
      </c>
      <c r="G9" s="1082">
        <v>27</v>
      </c>
      <c r="H9" s="762" t="s">
        <v>69</v>
      </c>
      <c r="I9" s="703">
        <v>2.35</v>
      </c>
      <c r="J9" s="596">
        <v>1.7</v>
      </c>
      <c r="K9" s="703">
        <f t="shared" si="0"/>
        <v>2.31</v>
      </c>
      <c r="L9" s="1192">
        <v>9.2999999999999999E-2</v>
      </c>
      <c r="M9" s="762">
        <v>8.5999999999999993E-2</v>
      </c>
      <c r="N9" s="1196">
        <f t="shared" ref="N9:N19" si="16">+M9</f>
        <v>8.5999999999999993E-2</v>
      </c>
      <c r="O9" s="645">
        <f t="shared" si="1"/>
        <v>8.5999999999999993E-2</v>
      </c>
      <c r="P9" s="727">
        <v>85</v>
      </c>
      <c r="Q9" s="1476">
        <v>97.85</v>
      </c>
      <c r="R9" s="706">
        <v>4013.2</v>
      </c>
      <c r="S9" s="765">
        <f>IF((_xlfn.XLOOKUP(D9,RUC!$B$3:$B$119,RUC!$E$3:$E$119)+ROUNDDOWN(O9,1)*100)&lt;95,95,((_xlfn.XLOOKUP(D9,RUC!$B$3:$B$119,RUC!$E$3:$E$119)+ROUNDDOWN(O9,1)*100)))</f>
        <v>95</v>
      </c>
      <c r="U9" s="1146">
        <f>_xlfn.XLOOKUP(D9,RUC!$B$3:$B$123,RUC!$F$3:$F$123)</f>
        <v>80</v>
      </c>
      <c r="V9" s="715">
        <v>1.1023000000000001</v>
      </c>
      <c r="Y9">
        <f>_xlfn.XLOOKUP(D9,RUC!$B$3:$B$123,RUC!$G$3:$G$123)</f>
        <v>0</v>
      </c>
      <c r="Z9" s="143">
        <f>_xlfn.XLOOKUP(D9,RUC!$B$3:$B$123,RUC!$H$3:$H$123)</f>
        <v>10</v>
      </c>
      <c r="AA9" s="144">
        <f t="shared" si="2"/>
        <v>10</v>
      </c>
      <c r="AB9" s="145">
        <v>1E-3</v>
      </c>
      <c r="AC9" s="145">
        <f>+(S9-T9)*V9-'data 1'!$F$4</f>
        <v>24.718500000000006</v>
      </c>
      <c r="AD9" s="145">
        <f t="shared" si="3"/>
        <v>51.812185785179985</v>
      </c>
      <c r="AE9" s="145">
        <f t="shared" si="4"/>
        <v>-58.977000000000004</v>
      </c>
      <c r="AF9" s="145">
        <f t="shared" si="5"/>
        <v>29.69646178282003</v>
      </c>
      <c r="AG9" s="772">
        <f>AC9+AD9+AE9+AF9+70+219.83</f>
        <v>337.08014756800003</v>
      </c>
      <c r="AH9" s="1253">
        <f t="shared" si="6"/>
        <v>7.2069999999999999</v>
      </c>
      <c r="AI9" s="1253">
        <f t="shared" si="7"/>
        <v>7.3659999999999997</v>
      </c>
      <c r="AJ9" s="156">
        <f t="shared" si="8"/>
        <v>26.762668286820016</v>
      </c>
      <c r="AK9" s="156">
        <f t="shared" si="9"/>
        <v>5.7894649115110504</v>
      </c>
      <c r="AL9" s="88"/>
      <c r="AM9" s="716">
        <f t="shared" si="10"/>
        <v>2.31E-3</v>
      </c>
      <c r="AN9" s="716" t="str">
        <f>_xlfn.XLOOKUP(D9,RUC!$B$3:$B$578,RUC!$M$3:$M$578)</f>
        <v>Melchor Vera</v>
      </c>
      <c r="AO9" s="1167" t="s">
        <v>2281</v>
      </c>
      <c r="AP9" t="s">
        <v>3331</v>
      </c>
      <c r="AQ9" t="s">
        <v>3332</v>
      </c>
      <c r="AV9" s="1557" t="s">
        <v>2278</v>
      </c>
      <c r="AW9" s="703">
        <f t="shared" si="12"/>
        <v>114.71299999999999</v>
      </c>
      <c r="AX9" s="703" cm="1">
        <f t="array" ref="AX9">+SUMPRODUCT(IF($AO$4:$AO$1471=AV9,$L$4:$L$1471*$K$4:$K$1471/AW9))</f>
        <v>0.28905839791479604</v>
      </c>
      <c r="AY9" s="1215">
        <f t="shared" si="13"/>
        <v>0.61907062138444302</v>
      </c>
      <c r="AZ9" s="596" cm="1">
        <f t="array" ref="AZ9">+SUMPRODUCT(IF($AO$4:$AO$1471=AV9,($Q$4:$Q$1471*$AH$4:$AH$1471)/SUMIF($AO$4:$AO$1471,$AV9,$AH$4:$AH$1471)))</f>
        <v>93.753373575134844</v>
      </c>
      <c r="BA9" s="1481">
        <f t="shared" si="14"/>
        <v>1136.8608167152659</v>
      </c>
      <c r="BB9" s="1237">
        <f t="shared" si="15"/>
        <v>1064.3990000000003</v>
      </c>
      <c r="BC9" s="596">
        <f t="shared" ref="BC9:BC17" si="17">+BC8+BA9-BB9</f>
        <v>142.33477643900142</v>
      </c>
      <c r="BD9" s="1238">
        <f t="shared" ref="BD9:BD17" si="18">+BD8+AW9</f>
        <v>205.714</v>
      </c>
    </row>
    <row r="10" spans="1:56" ht="15" customHeight="1">
      <c r="A10" s="747" t="s">
        <v>3364</v>
      </c>
      <c r="B10" s="1447">
        <v>45971</v>
      </c>
      <c r="C10" s="1447">
        <v>45967</v>
      </c>
      <c r="D10" t="s">
        <v>1967</v>
      </c>
      <c r="E10" s="762">
        <f>_xlfn.XLOOKUP(D10,RUC!$B$3:$B$123,RUC!$D$3:$D$123)</f>
        <v>20601769396</v>
      </c>
      <c r="G10" s="1082">
        <v>40</v>
      </c>
      <c r="H10" s="762" t="s">
        <v>2005</v>
      </c>
      <c r="I10" s="703">
        <v>3.33</v>
      </c>
      <c r="J10" s="596">
        <v>9.5</v>
      </c>
      <c r="K10" s="703">
        <f t="shared" si="0"/>
        <v>3.0139999999999998</v>
      </c>
      <c r="L10" s="762">
        <v>0.16700000000000001</v>
      </c>
      <c r="M10" s="994">
        <f t="shared" ref="M10:M13" si="19">ROUND(+IF(AN10="Melchor Vera",IF(L10&gt;0.467,L10*0.985,(L10-0.007)),IF(L10&gt;0.3,L10*0.95,(L10-0.015))),3)</f>
        <v>0.152</v>
      </c>
      <c r="N10" s="1196">
        <f t="shared" si="16"/>
        <v>0.152</v>
      </c>
      <c r="O10" s="645">
        <f t="shared" si="1"/>
        <v>0.152</v>
      </c>
      <c r="P10" s="727">
        <v>90</v>
      </c>
      <c r="Q10" s="1476">
        <v>92.81</v>
      </c>
      <c r="R10" s="706">
        <v>3986.5</v>
      </c>
      <c r="S10" s="765">
        <f>IF((_xlfn.XLOOKUP(D10,RUC!$B$3:$B$119,RUC!$E$3:$E$119)+ROUNDDOWN(O10,1)*100)&lt;95,95,((_xlfn.XLOOKUP(D10,RUC!$B$3:$B$119,RUC!$E$3:$E$119)+ROUNDDOWN(O10,1)*100)))</f>
        <v>100</v>
      </c>
      <c r="U10" s="1146">
        <f>_xlfn.XLOOKUP(D10,RUC!$B$3:$B$123,RUC!$F$3:$F$123)</f>
        <v>120</v>
      </c>
      <c r="V10" s="715">
        <v>1.1023000000000001</v>
      </c>
      <c r="Y10">
        <f>_xlfn.XLOOKUP(D10,RUC!$B$3:$B$123,RUC!$G$3:$G$123)</f>
        <v>20</v>
      </c>
      <c r="Z10" s="143">
        <f>_xlfn.XLOOKUP(D10,RUC!$B$3:$B$123,RUC!$H$3:$H$123)</f>
        <v>30</v>
      </c>
      <c r="AA10" s="144">
        <f t="shared" si="2"/>
        <v>50</v>
      </c>
      <c r="AB10" s="145">
        <f t="shared" ref="AB10:AB20" si="20">+((O10*P10*(R10-U10)/100)-S10-AA10+T10)*V10</f>
        <v>417.70247555999998</v>
      </c>
      <c r="AC10" s="145">
        <f>+(S10-T10)*V10-'data 1'!$F$4</f>
        <v>30.230000000000004</v>
      </c>
      <c r="AD10" s="145">
        <f t="shared" si="3"/>
        <v>20.000488951465016</v>
      </c>
      <c r="AE10" s="145">
        <f t="shared" si="4"/>
        <v>-14.884999999999998</v>
      </c>
      <c r="AF10" s="145">
        <f t="shared" si="5"/>
        <v>59.334030928425051</v>
      </c>
      <c r="AG10" s="772">
        <f t="shared" ref="AG10" si="21">AC10+AD10+AE10+AF10+70-53</f>
        <v>111.67951987989008</v>
      </c>
      <c r="AH10" s="1253">
        <f t="shared" si="6"/>
        <v>16.015999999999998</v>
      </c>
      <c r="AI10" s="1253">
        <f t="shared" si="7"/>
        <v>17.257000000000001</v>
      </c>
      <c r="AJ10" s="156">
        <f t="shared" si="8"/>
        <v>56.977959145535003</v>
      </c>
      <c r="AK10" s="156">
        <f t="shared" si="9"/>
        <v>14.136386630913359</v>
      </c>
      <c r="AL10" s="88"/>
      <c r="AM10" s="716">
        <f t="shared" si="10"/>
        <v>1258.9552613378398</v>
      </c>
      <c r="AN10" s="716" t="str">
        <f>_xlfn.XLOOKUP(D10,RUC!$B$3:$B$578,RUC!$M$3:$M$578)</f>
        <v>Evelyn</v>
      </c>
      <c r="AO10" s="1167" t="s">
        <v>2277</v>
      </c>
      <c r="AP10" s="1520" t="s">
        <v>3407</v>
      </c>
      <c r="AQ10" s="1520" t="s">
        <v>3408</v>
      </c>
      <c r="AV10" s="1557" t="s">
        <v>2280</v>
      </c>
      <c r="AW10" s="703">
        <f t="shared" si="12"/>
        <v>119.91599999999998</v>
      </c>
      <c r="AX10" s="703" cm="1">
        <f t="array" ref="AX10">+SUMPRODUCT(IF($AO$4:$AO$1471=AV10,$L$4:$L$1471*$K$4:$K$1471/AW10))</f>
        <v>0.2808362103472431</v>
      </c>
      <c r="AY10" s="1215">
        <f t="shared" si="13"/>
        <v>0.4118992250612486</v>
      </c>
      <c r="AZ10" s="596" cm="1">
        <f t="array" ref="AZ10">+SUMPRODUCT(IF($AO$4:$AO$1471=AV10,($Q$4:$Q$1471*$AH$4:$AH$1471)/SUMIF($AO$4:$AO$1471,$AV10,$AH$4:$AH$1471)))</f>
        <v>95.722117992914136</v>
      </c>
      <c r="BA10" s="1237">
        <f t="shared" si="14"/>
        <v>1154.620613439778</v>
      </c>
      <c r="BB10" s="1237">
        <f t="shared" si="15"/>
        <v>1104.1679999999999</v>
      </c>
      <c r="BC10" s="596">
        <f t="shared" si="17"/>
        <v>192.78738987877955</v>
      </c>
      <c r="BD10" s="1238">
        <f t="shared" si="18"/>
        <v>325.63</v>
      </c>
    </row>
    <row r="11" spans="1:56" ht="15" customHeight="1">
      <c r="A11" s="747" t="s">
        <v>3370</v>
      </c>
      <c r="B11" s="1447">
        <v>45971</v>
      </c>
      <c r="C11" s="1447">
        <v>45967</v>
      </c>
      <c r="D11" t="s">
        <v>1967</v>
      </c>
      <c r="E11" s="762">
        <f>_xlfn.XLOOKUP(D11,RUC!$B$3:$B$123,RUC!$D$3:$D$123)</f>
        <v>20601769396</v>
      </c>
      <c r="G11" s="1082">
        <v>50</v>
      </c>
      <c r="H11" s="762" t="s">
        <v>2005</v>
      </c>
      <c r="I11" s="703">
        <v>4.09</v>
      </c>
      <c r="J11" s="596">
        <v>9.1999999999999993</v>
      </c>
      <c r="K11" s="703">
        <f t="shared" si="0"/>
        <v>3.714</v>
      </c>
      <c r="L11" s="762">
        <v>0.152</v>
      </c>
      <c r="M11" s="994">
        <f t="shared" si="19"/>
        <v>0.13700000000000001</v>
      </c>
      <c r="N11" s="1196">
        <f t="shared" si="16"/>
        <v>0.13700000000000001</v>
      </c>
      <c r="O11" s="645">
        <f t="shared" si="1"/>
        <v>0.13700000000000001</v>
      </c>
      <c r="P11" s="727">
        <v>85</v>
      </c>
      <c r="Q11" s="1476">
        <v>95.39</v>
      </c>
      <c r="R11" s="706">
        <v>3986.5</v>
      </c>
      <c r="S11" s="765">
        <f>IF((_xlfn.XLOOKUP(D11,RUC!$B$3:$B$119,RUC!$E$3:$E$119)+ROUNDDOWN(O11,1)*100)&lt;95,95,((_xlfn.XLOOKUP(D11,RUC!$B$3:$B$119,RUC!$E$3:$E$119)+ROUNDDOWN(O11,1)*100)))</f>
        <v>100</v>
      </c>
      <c r="U11" s="1146">
        <f>_xlfn.XLOOKUP(D11,RUC!$B$3:$B$123,RUC!$F$3:$F$123)</f>
        <v>120</v>
      </c>
      <c r="V11" s="715">
        <v>1.1023000000000001</v>
      </c>
      <c r="Y11">
        <f>_xlfn.XLOOKUP(D11,RUC!$B$3:$B$123,RUC!$G$3:$G$123)</f>
        <v>20</v>
      </c>
      <c r="Z11" s="143">
        <f>_xlfn.XLOOKUP(D11,RUC!$B$3:$B$123,RUC!$H$3:$H$123)</f>
        <v>30</v>
      </c>
      <c r="AA11" s="144">
        <f t="shared" si="2"/>
        <v>50</v>
      </c>
      <c r="AB11" s="145">
        <f t="shared" si="20"/>
        <v>330.96990152750004</v>
      </c>
      <c r="AC11" s="145">
        <f>+(S11-T11)*V11-'data 1'!$F$4</f>
        <v>30.230000000000004</v>
      </c>
      <c r="AD11" s="145">
        <f t="shared" si="3"/>
        <v>67.309591900760012</v>
      </c>
      <c r="AE11" s="145">
        <f t="shared" si="4"/>
        <v>-14.884999999999998</v>
      </c>
      <c r="AF11" s="145">
        <f t="shared" si="5"/>
        <v>60.98344155007495</v>
      </c>
      <c r="AG11" s="772">
        <f>AC11+AD11+AE11+AF11+70-53</f>
        <v>160.63803345083497</v>
      </c>
      <c r="AH11" s="1253">
        <f t="shared" si="6"/>
        <v>18.463000000000001</v>
      </c>
      <c r="AI11" s="1253">
        <f t="shared" si="7"/>
        <v>19.355</v>
      </c>
      <c r="AJ11" s="156">
        <f t="shared" si="8"/>
        <v>53.301825407239996</v>
      </c>
      <c r="AK11" s="156">
        <f t="shared" si="9"/>
        <v>14.828269190301169</v>
      </c>
      <c r="AL11" s="88"/>
      <c r="AM11" s="716">
        <f t="shared" si="10"/>
        <v>1229.2222142731353</v>
      </c>
      <c r="AN11" s="716" t="str">
        <f>_xlfn.XLOOKUP(D11,RUC!$B$3:$B$578,RUC!$M$3:$M$578)</f>
        <v>Evelyn</v>
      </c>
      <c r="AO11" s="1167" t="s">
        <v>2277</v>
      </c>
      <c r="AP11" s="1520" t="s">
        <v>3407</v>
      </c>
      <c r="AQ11" s="1520" t="s">
        <v>3408</v>
      </c>
      <c r="AV11" s="1557" t="s">
        <v>2279</v>
      </c>
      <c r="AW11" s="703">
        <f t="shared" si="12"/>
        <v>107.611</v>
      </c>
      <c r="AX11" s="703" cm="1">
        <f t="array" ref="AX11">+SUMPRODUCT(IF($AO$4:$AO$1471=AV11,$L$4:$L$1471*$K$4:$K$1471/AW11))</f>
        <v>0.28163578072873591</v>
      </c>
      <c r="AY11" s="1215">
        <f t="shared" si="13"/>
        <v>0.35452941443737274</v>
      </c>
      <c r="AZ11" s="596" cm="1">
        <f t="array" ref="AZ11">+SUMPRODUCT(IF($AO$4:$AO$1471=AV11,($Q$4:$Q$1471*$AH$4:$AH$1471)/SUMIF($AO$4:$AO$1471,$AV11,$AH$4:$AH$1471)))</f>
        <v>96.328399885818442</v>
      </c>
      <c r="BA11" s="1237">
        <f t="shared" si="14"/>
        <v>1039.0909584532596</v>
      </c>
      <c r="BB11" s="1237">
        <f t="shared" si="15"/>
        <v>998.41000000000008</v>
      </c>
      <c r="BC11" s="596">
        <f t="shared" si="17"/>
        <v>233.46834833203911</v>
      </c>
      <c r="BD11" s="1238">
        <f t="shared" si="18"/>
        <v>433.24099999999999</v>
      </c>
    </row>
    <row r="12" spans="1:56" ht="15" customHeight="1">
      <c r="A12" s="747" t="s">
        <v>3381</v>
      </c>
      <c r="B12" s="1447">
        <v>45977</v>
      </c>
      <c r="C12" s="1447">
        <v>45967</v>
      </c>
      <c r="D12" s="1568" t="s">
        <v>2004</v>
      </c>
      <c r="E12" s="762">
        <f>_xlfn.XLOOKUP(D12,RUC!$B$3:$B$123,RUC!$D$3:$D$123)</f>
        <v>20612921866</v>
      </c>
      <c r="G12" s="1082">
        <v>50</v>
      </c>
      <c r="H12" s="762" t="s">
        <v>69</v>
      </c>
      <c r="I12" s="703">
        <v>5.33</v>
      </c>
      <c r="J12" s="596">
        <v>1.25</v>
      </c>
      <c r="K12" s="703">
        <f t="shared" si="0"/>
        <v>5.2629999999999999</v>
      </c>
      <c r="L12" s="762">
        <v>0.27500000000000002</v>
      </c>
      <c r="M12" s="1480">
        <v>0.26400000000000001</v>
      </c>
      <c r="N12" s="1196">
        <f t="shared" si="16"/>
        <v>0.26400000000000001</v>
      </c>
      <c r="O12" s="645">
        <f t="shared" si="1"/>
        <v>0.26400000000000001</v>
      </c>
      <c r="P12" s="727">
        <v>90</v>
      </c>
      <c r="Q12">
        <v>97.49</v>
      </c>
      <c r="R12" s="706">
        <v>3986.5</v>
      </c>
      <c r="S12" s="765">
        <f>IF((_xlfn.XLOOKUP(D12,RUC!$B$3:$B$119,RUC!$E$3:$E$119)+ROUNDDOWN(O12,1)*100)&lt;95,95,((_xlfn.XLOOKUP(D12,RUC!$B$3:$B$119,RUC!$E$3:$E$119)+ROUNDDOWN(O12,1)*100)))</f>
        <v>100</v>
      </c>
      <c r="U12" s="1146">
        <f>_xlfn.XLOOKUP(D12,RUC!$B$3:$B$123,RUC!$F$3:$F$123)</f>
        <v>100</v>
      </c>
      <c r="V12" s="715">
        <v>1.1023000000000001</v>
      </c>
      <c r="Y12">
        <f>_xlfn.XLOOKUP(D12,RUC!$B$3:$B$123,RUC!$G$3:$G$123)</f>
        <v>0</v>
      </c>
      <c r="Z12" s="143">
        <f>_xlfn.XLOOKUP(D12,RUC!$B$3:$B$123,RUC!$H$3:$H$123)</f>
        <v>30</v>
      </c>
      <c r="AA12" s="144">
        <f t="shared" si="2"/>
        <v>30</v>
      </c>
      <c r="AB12" s="145">
        <f t="shared" si="20"/>
        <v>874.60053452000011</v>
      </c>
      <c r="AC12" s="145">
        <f>+(S12-T12)*V12-'data 1'!$F$4</f>
        <v>30.230000000000004</v>
      </c>
      <c r="AD12" s="145">
        <f t="shared" si="3"/>
        <v>88.241522147624949</v>
      </c>
      <c r="AE12" s="145">
        <f t="shared" si="4"/>
        <v>-36.930999999999997</v>
      </c>
      <c r="AF12" s="145">
        <f t="shared" si="5"/>
        <v>45.94214149090503</v>
      </c>
      <c r="AG12" s="772">
        <f>AC12+AD12+AE12+AF12+70-10</f>
        <v>187.48266363852997</v>
      </c>
      <c r="AH12" s="1253">
        <f t="shared" si="6"/>
        <v>48.377000000000002</v>
      </c>
      <c r="AI12" s="1253">
        <f t="shared" si="7"/>
        <v>49.622</v>
      </c>
      <c r="AJ12" s="156">
        <f t="shared" si="8"/>
        <v>92.646734577375014</v>
      </c>
      <c r="AK12" s="156">
        <f t="shared" si="9"/>
        <v>42.873493760178846</v>
      </c>
      <c r="AM12" s="716">
        <f t="shared" si="10"/>
        <v>4603.0226131787604</v>
      </c>
      <c r="AN12" s="716" t="str">
        <f>_xlfn.XLOOKUP(D12,RUC!$B$3:$B$578,RUC!$M$3:$M$578)</f>
        <v>Ronald Garibay</v>
      </c>
      <c r="AO12" s="1167" t="s">
        <v>2277</v>
      </c>
      <c r="AP12" t="s">
        <v>3407</v>
      </c>
      <c r="AQ12" t="s">
        <v>2998</v>
      </c>
      <c r="AV12" s="1557" t="s">
        <v>2281</v>
      </c>
      <c r="AW12" s="703">
        <f t="shared" si="12"/>
        <v>91.716999999999985</v>
      </c>
      <c r="AX12" s="703" cm="1">
        <f t="array" ref="AX12">+SUMPRODUCT(IF($AO$4:$AO$1471=AV12,$L$4:$L$1471*$K$4:$K$1471/AW12))</f>
        <v>0.28237287525758592</v>
      </c>
      <c r="AY12" s="1215">
        <f t="shared" si="13"/>
        <v>0.74358313746161231</v>
      </c>
      <c r="AZ12" s="596" cm="1">
        <f t="array" ref="AZ12">+SUMPRODUCT(IF($AO$4:$AO$1471=AV12,($Q$4:$Q$1471*$AH$4:$AH$1471)/SUMIF($AO$4:$AO$1471,$AV12,$AH$4:$AH$1471)))</f>
        <v>92.319358629681886</v>
      </c>
      <c r="BA12" s="1237">
        <f t="shared" si="14"/>
        <v>887.93645387640379</v>
      </c>
      <c r="BB12" s="1237">
        <f t="shared" si="15"/>
        <v>817.56200000000001</v>
      </c>
      <c r="BC12" s="596">
        <f t="shared" si="17"/>
        <v>303.842802208443</v>
      </c>
      <c r="BD12" s="1238">
        <f t="shared" si="18"/>
        <v>524.95799999999997</v>
      </c>
    </row>
    <row r="13" spans="1:56" ht="15" customHeight="1">
      <c r="A13" s="747" t="s">
        <v>3388</v>
      </c>
      <c r="B13" s="1447">
        <v>45975</v>
      </c>
      <c r="C13" s="1447">
        <v>45968</v>
      </c>
      <c r="D13" t="s">
        <v>1967</v>
      </c>
      <c r="E13" s="762">
        <f>_xlfn.XLOOKUP(D13,RUC!$B$3:$B$123,RUC!$D$3:$D$123)</f>
        <v>20601769396</v>
      </c>
      <c r="G13" s="1082">
        <v>34</v>
      </c>
      <c r="H13" s="762" t="s">
        <v>2005</v>
      </c>
      <c r="I13" s="703">
        <v>2.5299999999999998</v>
      </c>
      <c r="J13" s="596">
        <v>10.050000000000001</v>
      </c>
      <c r="K13" s="703">
        <f t="shared" si="0"/>
        <v>2.2759999999999998</v>
      </c>
      <c r="L13" s="762">
        <v>0.182</v>
      </c>
      <c r="M13" s="994">
        <f t="shared" si="19"/>
        <v>0.16700000000000001</v>
      </c>
      <c r="N13" s="1196">
        <f t="shared" si="16"/>
        <v>0.16700000000000001</v>
      </c>
      <c r="O13" s="645">
        <f t="shared" si="1"/>
        <v>0.16700000000000001</v>
      </c>
      <c r="P13" s="727">
        <v>79</v>
      </c>
      <c r="Q13" s="665">
        <v>79.12</v>
      </c>
      <c r="R13" s="706">
        <v>3994.1</v>
      </c>
      <c r="S13" s="765">
        <f>IF((_xlfn.XLOOKUP(D13,RUC!$B$3:$B$119,RUC!$E$3:$E$119)+ROUNDDOWN(O13,1)*100)&lt;95,95,((_xlfn.XLOOKUP(D13,RUC!$B$3:$B$119,RUC!$E$3:$E$119)+ROUNDDOWN(O13,1)*100)))</f>
        <v>100</v>
      </c>
      <c r="U13" s="1146">
        <f>_xlfn.XLOOKUP(D13,RUC!$B$3:$B$123,RUC!$F$3:$F$123)</f>
        <v>120</v>
      </c>
      <c r="V13" s="715">
        <v>1.1023000000000001</v>
      </c>
      <c r="Y13">
        <f>_xlfn.XLOOKUP(D13,RUC!$B$3:$B$123,RUC!$G$3:$G$123)</f>
        <v>20</v>
      </c>
      <c r="Z13" s="143">
        <f>_xlfn.XLOOKUP(D13,RUC!$B$3:$B$123,RUC!$H$3:$H$123)</f>
        <v>30</v>
      </c>
      <c r="AA13" s="144">
        <f t="shared" si="2"/>
        <v>50</v>
      </c>
      <c r="AB13" s="145">
        <f t="shared" si="20"/>
        <v>398.05156732990008</v>
      </c>
      <c r="AC13" s="145">
        <f>+(S13-T13)*V13-'data 1'!$F$4</f>
        <v>30.230000000000004</v>
      </c>
      <c r="AD13" s="145">
        <f t="shared" si="3"/>
        <v>0.93265982191203545</v>
      </c>
      <c r="AE13" s="145">
        <f t="shared" si="4"/>
        <v>-14.884999999999998</v>
      </c>
      <c r="AF13" s="145">
        <f t="shared" si="5"/>
        <v>50.681349663239963</v>
      </c>
      <c r="AG13" s="772">
        <f t="shared" ref="AG13:AG20" si="22">AC13+AD13+AE13+AF13+70-53</f>
        <v>83.959009485152023</v>
      </c>
      <c r="AH13" s="1253">
        <f t="shared" si="6"/>
        <v>11.237</v>
      </c>
      <c r="AI13" s="1253">
        <f t="shared" si="7"/>
        <v>14.202</v>
      </c>
      <c r="AJ13" s="156">
        <f t="shared" si="8"/>
        <v>51.729923296688021</v>
      </c>
      <c r="AK13" s="156">
        <f t="shared" si="9"/>
        <v>10.294965354613476</v>
      </c>
      <c r="AM13" s="716">
        <f t="shared" si="10"/>
        <v>905.96536724285249</v>
      </c>
      <c r="AN13" s="716" t="str">
        <f>_xlfn.XLOOKUP(D13,RUC!$B$3:$B$578,RUC!$M$3:$M$578)</f>
        <v>Evelyn</v>
      </c>
      <c r="AO13" s="1167" t="s">
        <v>2277</v>
      </c>
      <c r="AP13" t="s">
        <v>3409</v>
      </c>
      <c r="AQ13" t="s">
        <v>3413</v>
      </c>
      <c r="AV13" s="1557" t="s">
        <v>2297</v>
      </c>
      <c r="AW13" s="703">
        <f t="shared" si="12"/>
        <v>0</v>
      </c>
      <c r="AX13" s="703" cm="1">
        <f t="array" ref="AX13">+SUMPRODUCT(IF($AO$4:$AO$1471=AV13,$L$4:$L$1471*$K$4:$K$1471/AW13))</f>
        <v>0</v>
      </c>
      <c r="AY13" s="1215">
        <f t="shared" si="13"/>
        <v>0</v>
      </c>
      <c r="AZ13" s="596" cm="1">
        <f t="array" ref="AZ13">+SUMPRODUCT(IF('32'!$AO$4:$AO$1363=AV13,('32'!$Q$4:$Q$1363*'32'!$AH$4:$AH$1363)/SUMIF('32'!$AO$4:$AO$1363,#REF!,'32'!$AH$4:$AH$1363)))</f>
        <v>0</v>
      </c>
      <c r="BA13" s="1237">
        <f t="shared" si="14"/>
        <v>0</v>
      </c>
      <c r="BB13" s="1237">
        <f t="shared" si="15"/>
        <v>0</v>
      </c>
      <c r="BC13" s="596">
        <f t="shared" si="17"/>
        <v>303.842802208443</v>
      </c>
      <c r="BD13" s="1238">
        <f t="shared" si="18"/>
        <v>524.95799999999997</v>
      </c>
    </row>
    <row r="14" spans="1:56" ht="15" customHeight="1">
      <c r="A14" s="747" t="s">
        <v>3390</v>
      </c>
      <c r="B14" s="1447">
        <v>45978</v>
      </c>
      <c r="C14" s="1447">
        <v>45968</v>
      </c>
      <c r="D14" t="s">
        <v>1967</v>
      </c>
      <c r="E14" s="762">
        <f>_xlfn.XLOOKUP(D14,RUC!$B$3:$B$123,RUC!$D$3:$D$123)</f>
        <v>20601769396</v>
      </c>
      <c r="G14" s="1082">
        <v>20</v>
      </c>
      <c r="H14" s="762" t="s">
        <v>2005</v>
      </c>
      <c r="I14" s="703">
        <v>1.6</v>
      </c>
      <c r="J14" s="596">
        <v>9.8699999999999992</v>
      </c>
      <c r="K14" s="703">
        <f t="shared" si="0"/>
        <v>1.4419999999999999</v>
      </c>
      <c r="L14" s="762">
        <v>0.193</v>
      </c>
      <c r="M14" s="994">
        <f t="shared" ref="M14:M19" si="23">ROUND(+IF(AN14="Melchor Vera",IF(L14&gt;0.467,L14*0.985,(L14-0.007)),IF(L14&gt;0.3,L14*0.94,(L14-0.018))),3)</f>
        <v>0.17499999999999999</v>
      </c>
      <c r="N14" s="1196">
        <f t="shared" si="16"/>
        <v>0.17499999999999999</v>
      </c>
      <c r="O14" s="645">
        <f t="shared" si="1"/>
        <v>0.17499999999999999</v>
      </c>
      <c r="P14" s="727">
        <v>90</v>
      </c>
      <c r="Q14">
        <v>90.11</v>
      </c>
      <c r="R14" s="706">
        <v>3994.1</v>
      </c>
      <c r="S14" s="765">
        <f>IF((_xlfn.XLOOKUP(D14,RUC!$B$3:$B$119,RUC!$E$3:$E$119)+ROUNDDOWN(O14,1)*100)&lt;95,95,((_xlfn.XLOOKUP(D14,RUC!$B$3:$B$119,RUC!$E$3:$E$119)+ROUNDDOWN(O14,1)*100)))</f>
        <v>100</v>
      </c>
      <c r="U14" s="1146">
        <f>_xlfn.XLOOKUP(D14,RUC!$B$3:$B$123,RUC!$F$3:$F$123)</f>
        <v>120</v>
      </c>
      <c r="V14" s="715">
        <v>1.1023000000000001</v>
      </c>
      <c r="Y14">
        <f>_xlfn.XLOOKUP(D14,RUC!$B$3:$B$123,RUC!$G$3:$G$123)</f>
        <v>20</v>
      </c>
      <c r="Z14" s="143">
        <f>_xlfn.XLOOKUP(D14,RUC!$B$3:$B$123,RUC!$H$3:$H$123)</f>
        <v>30</v>
      </c>
      <c r="AA14" s="144">
        <f t="shared" si="2"/>
        <v>50</v>
      </c>
      <c r="AB14" s="145">
        <f t="shared" si="20"/>
        <v>507.24621772499989</v>
      </c>
      <c r="AC14" s="145">
        <f>+(S14-T14)*V14-'data 1'!$F$4</f>
        <v>30.230000000000004</v>
      </c>
      <c r="AD14" s="145">
        <f t="shared" si="3"/>
        <v>0.90661025728899547</v>
      </c>
      <c r="AE14" s="145">
        <f t="shared" si="4"/>
        <v>-14.884999999999998</v>
      </c>
      <c r="AF14" s="145">
        <f t="shared" si="5"/>
        <v>69.265365290514069</v>
      </c>
      <c r="AG14" s="772">
        <f t="shared" si="22"/>
        <v>102.51697554780307</v>
      </c>
      <c r="AH14" s="1253">
        <f t="shared" si="6"/>
        <v>8.5980000000000008</v>
      </c>
      <c r="AI14" s="1253">
        <f t="shared" si="7"/>
        <v>9.5419999999999998</v>
      </c>
      <c r="AJ14" s="156">
        <f t="shared" si="8"/>
        <v>62.476179869711011</v>
      </c>
      <c r="AK14" s="156">
        <f t="shared" si="9"/>
        <v>7.7867259069757493</v>
      </c>
      <c r="AM14" s="716">
        <f t="shared" si="10"/>
        <v>731.44904595944979</v>
      </c>
      <c r="AN14" s="716" t="str">
        <f>_xlfn.XLOOKUP(D14,RUC!$B$3:$B$578,RUC!$M$3:$M$578)</f>
        <v>Evelyn</v>
      </c>
      <c r="AO14" s="1167" t="s">
        <v>2277</v>
      </c>
      <c r="AP14" t="s">
        <v>3409</v>
      </c>
      <c r="AQ14" t="s">
        <v>3413</v>
      </c>
      <c r="AV14" s="1557" t="s">
        <v>2518</v>
      </c>
      <c r="AW14" s="703">
        <f t="shared" si="12"/>
        <v>0</v>
      </c>
      <c r="AX14" s="703" cm="1">
        <f t="array" ref="AX14">+SUMPRODUCT(IF($AO$4:$AO$1471=AV14,$L$4:$L$1471*$K$4:$K$1471/AW14))</f>
        <v>0</v>
      </c>
      <c r="AY14" s="1215">
        <f t="shared" si="13"/>
        <v>0</v>
      </c>
      <c r="AZ14" s="596" cm="1">
        <f t="array" ref="AZ14">+SUMPRODUCT(IF('32'!$AO$4:$AO$1363=AV14,('32'!$Q$4:$Q$1363*'32'!$AH$4:$AH$1363)/SUMIF('32'!$AO$4:$AO$1363,#REF!,'32'!$AH$4:$AH$1363)))</f>
        <v>0</v>
      </c>
      <c r="BA14" s="1237">
        <f t="shared" si="14"/>
        <v>0</v>
      </c>
      <c r="BB14" s="1237">
        <f t="shared" si="15"/>
        <v>0</v>
      </c>
      <c r="BC14" s="596">
        <f t="shared" si="17"/>
        <v>303.842802208443</v>
      </c>
      <c r="BD14" s="1238">
        <f t="shared" si="18"/>
        <v>524.95799999999997</v>
      </c>
    </row>
    <row r="15" spans="1:56" ht="15" customHeight="1">
      <c r="A15" s="747" t="s">
        <v>3391</v>
      </c>
      <c r="B15" s="1447">
        <v>45978</v>
      </c>
      <c r="C15" s="1447">
        <v>45968</v>
      </c>
      <c r="D15" t="s">
        <v>1967</v>
      </c>
      <c r="E15" s="762">
        <f>_xlfn.XLOOKUP(D15,RUC!$B$3:$B$123,RUC!$D$3:$D$123)</f>
        <v>20601769396</v>
      </c>
      <c r="G15" s="1082">
        <v>20</v>
      </c>
      <c r="H15" s="762" t="s">
        <v>2005</v>
      </c>
      <c r="I15" s="703">
        <v>1.63</v>
      </c>
      <c r="J15" s="596">
        <v>11.23</v>
      </c>
      <c r="K15" s="703">
        <f t="shared" si="0"/>
        <v>1.4470000000000001</v>
      </c>
      <c r="L15" s="762">
        <v>0.13300000000000001</v>
      </c>
      <c r="M15" s="994">
        <f t="shared" si="23"/>
        <v>0.115</v>
      </c>
      <c r="N15" s="1196">
        <f t="shared" si="16"/>
        <v>0.115</v>
      </c>
      <c r="O15" s="647">
        <v>0.11700000000000001</v>
      </c>
      <c r="P15" s="727">
        <v>80</v>
      </c>
      <c r="Q15">
        <v>93.94</v>
      </c>
      <c r="R15" s="706">
        <v>3994.1</v>
      </c>
      <c r="S15" s="765">
        <f>IF((_xlfn.XLOOKUP(D15,RUC!$B$3:$B$119,RUC!$E$3:$E$119)+ROUNDDOWN(O15,1)*100)&lt;95,95,((_xlfn.XLOOKUP(D15,RUC!$B$3:$B$119,RUC!$E$3:$E$119)+ROUNDDOWN(O15,1)*100)))</f>
        <v>100</v>
      </c>
      <c r="U15" s="1146">
        <f>_xlfn.XLOOKUP(D15,RUC!$B$3:$B$123,RUC!$F$3:$F$123)</f>
        <v>120</v>
      </c>
      <c r="V15" s="715">
        <v>1.1023000000000001</v>
      </c>
      <c r="Y15">
        <f>_xlfn.XLOOKUP(D15,RUC!$B$3:$B$123,RUC!$G$3:$G$123)</f>
        <v>20</v>
      </c>
      <c r="Z15" s="143">
        <f>_xlfn.XLOOKUP(D15,RUC!$B$3:$B$123,RUC!$H$3:$H$123)</f>
        <v>30</v>
      </c>
      <c r="AA15" s="144">
        <f t="shared" si="2"/>
        <v>50</v>
      </c>
      <c r="AB15" s="145">
        <f t="shared" si="20"/>
        <v>234.36635224800003</v>
      </c>
      <c r="AC15" s="145">
        <f>+(S15-T15)*V15-'data 1'!$F$4</f>
        <v>30.230000000000004</v>
      </c>
      <c r="AD15" s="145">
        <f t="shared" si="3"/>
        <v>79.174448856285991</v>
      </c>
      <c r="AE15" s="145">
        <f t="shared" si="4"/>
        <v>-14.884999999999998</v>
      </c>
      <c r="AF15" s="145">
        <f t="shared" si="5"/>
        <v>64.186127231072007</v>
      </c>
      <c r="AG15" s="772">
        <f t="shared" si="22"/>
        <v>175.705576087358</v>
      </c>
      <c r="AH15" s="1253">
        <f t="shared" si="6"/>
        <v>6.1980000000000004</v>
      </c>
      <c r="AI15" s="1253">
        <f t="shared" si="7"/>
        <v>6.5979999999999999</v>
      </c>
      <c r="AJ15" s="156">
        <f t="shared" si="8"/>
        <v>44.883463723714023</v>
      </c>
      <c r="AK15" s="156">
        <f t="shared" si="9"/>
        <v>4.6435855291815606</v>
      </c>
      <c r="AM15" s="716">
        <f t="shared" si="10"/>
        <v>339.12811170285607</v>
      </c>
      <c r="AN15" s="716" t="str">
        <f>_xlfn.XLOOKUP(D15,RUC!$B$3:$B$578,RUC!$M$3:$M$578)</f>
        <v>Evelyn</v>
      </c>
      <c r="AO15" s="1167" t="s">
        <v>2280</v>
      </c>
      <c r="AP15" t="s">
        <v>3409</v>
      </c>
      <c r="AQ15" t="s">
        <v>3413</v>
      </c>
      <c r="AV15" s="1557" t="s">
        <v>2519</v>
      </c>
      <c r="AW15" s="703">
        <f t="shared" si="12"/>
        <v>0</v>
      </c>
      <c r="AX15" s="703" cm="1">
        <f t="array" ref="AX15">+SUMPRODUCT(IF($AO$4:$AO$1471=AV15,$L$4:$L$1471*$K$4:$K$1471/AW15))</f>
        <v>0</v>
      </c>
      <c r="AY15" s="1215">
        <f t="shared" si="13"/>
        <v>0</v>
      </c>
      <c r="AZ15" s="596" cm="1">
        <f t="array" ref="AZ15">+SUMPRODUCT(IF('32'!$AO$4:$AO$1363=AV15,('32'!$Q$4:$Q$1363*'32'!$AH$4:$AH$1363)/SUMIF('32'!$AO$4:$AO$1363,#REF!,'32'!$AH$4:$AH$1363)))</f>
        <v>0</v>
      </c>
      <c r="BA15" s="1237">
        <f t="shared" si="14"/>
        <v>0</v>
      </c>
      <c r="BB15" s="1237">
        <f t="shared" si="15"/>
        <v>0</v>
      </c>
      <c r="BC15" s="596">
        <f t="shared" si="17"/>
        <v>303.842802208443</v>
      </c>
      <c r="BD15" s="1238">
        <f t="shared" si="18"/>
        <v>524.95799999999997</v>
      </c>
    </row>
    <row r="16" spans="1:56" ht="15" customHeight="1">
      <c r="A16" s="747" t="s">
        <v>3392</v>
      </c>
      <c r="B16" s="1447">
        <v>45978</v>
      </c>
      <c r="C16" s="1447">
        <v>45968</v>
      </c>
      <c r="D16" t="s">
        <v>1967</v>
      </c>
      <c r="E16" s="762">
        <f>_xlfn.XLOOKUP(D16,RUC!$B$3:$B$123,RUC!$D$3:$D$123)</f>
        <v>20601769396</v>
      </c>
      <c r="G16" s="1082">
        <v>20</v>
      </c>
      <c r="H16" s="762" t="s">
        <v>2005</v>
      </c>
      <c r="I16" s="703">
        <v>1.54</v>
      </c>
      <c r="J16" s="596">
        <v>9.4</v>
      </c>
      <c r="K16" s="703">
        <f t="shared" si="0"/>
        <v>1.395</v>
      </c>
      <c r="L16" s="762">
        <v>0.14599999999999999</v>
      </c>
      <c r="M16" s="994">
        <f t="shared" si="23"/>
        <v>0.128</v>
      </c>
      <c r="N16" s="1196">
        <f t="shared" si="16"/>
        <v>0.128</v>
      </c>
      <c r="O16" s="647">
        <v>0.13800000000000001</v>
      </c>
      <c r="P16" s="727">
        <v>85</v>
      </c>
      <c r="Q16">
        <v>92.81</v>
      </c>
      <c r="R16" s="706">
        <v>3994.1</v>
      </c>
      <c r="S16" s="765">
        <f>IF((_xlfn.XLOOKUP(D16,RUC!$B$3:$B$119,RUC!$E$3:$E$119)+ROUNDDOWN(O16,1)*100)&lt;95,95,((_xlfn.XLOOKUP(D16,RUC!$B$3:$B$119,RUC!$E$3:$E$119)+ROUNDDOWN(O16,1)*100)))</f>
        <v>100</v>
      </c>
      <c r="U16" s="1146">
        <f>_xlfn.XLOOKUP(D16,RUC!$B$3:$B$123,RUC!$F$3:$F$123)</f>
        <v>120</v>
      </c>
      <c r="V16" s="715">
        <v>1.1023000000000001</v>
      </c>
      <c r="Y16">
        <f>_xlfn.XLOOKUP(D16,RUC!$B$3:$B$123,RUC!$G$3:$G$123)</f>
        <v>20</v>
      </c>
      <c r="Z16" s="143">
        <f>_xlfn.XLOOKUP(D16,RUC!$B$3:$B$123,RUC!$H$3:$H$123)</f>
        <v>30</v>
      </c>
      <c r="AA16" s="144">
        <f t="shared" si="2"/>
        <v>50</v>
      </c>
      <c r="AB16" s="145">
        <f t="shared" si="20"/>
        <v>335.57531643900001</v>
      </c>
      <c r="AC16" s="145">
        <f>+(S16-T16)*V16-'data 1'!$F$4</f>
        <v>30.230000000000004</v>
      </c>
      <c r="AD16" s="145">
        <f t="shared" si="3"/>
        <v>48.693895995118012</v>
      </c>
      <c r="AE16" s="145">
        <f t="shared" si="4"/>
        <v>-14.884999999999998</v>
      </c>
      <c r="AF16" s="145">
        <f t="shared" si="5"/>
        <v>31.707017608663921</v>
      </c>
      <c r="AG16" s="772">
        <f t="shared" si="22"/>
        <v>112.74591360378196</v>
      </c>
      <c r="AH16" s="1253">
        <f t="shared" si="6"/>
        <v>6.4809999999999999</v>
      </c>
      <c r="AI16" s="1253">
        <f t="shared" si="7"/>
        <v>6.9829999999999997</v>
      </c>
      <c r="AJ16" s="156">
        <f t="shared" si="8"/>
        <v>48.677895757882006</v>
      </c>
      <c r="AK16" s="156">
        <f t="shared" si="9"/>
        <v>5.610238045479675</v>
      </c>
      <c r="AM16" s="716">
        <f t="shared" si="10"/>
        <v>468.12756643240499</v>
      </c>
      <c r="AN16" s="716" t="str">
        <f>_xlfn.XLOOKUP(D16,RUC!$B$3:$B$578,RUC!$M$3:$M$578)</f>
        <v>Evelyn</v>
      </c>
      <c r="AO16" s="1167" t="s">
        <v>2277</v>
      </c>
      <c r="AP16" t="s">
        <v>3409</v>
      </c>
      <c r="AQ16" t="s">
        <v>3413</v>
      </c>
      <c r="AV16" s="1557" t="s">
        <v>2520</v>
      </c>
      <c r="AW16" s="703">
        <f t="shared" si="12"/>
        <v>0</v>
      </c>
      <c r="AX16" s="703" cm="1">
        <f t="array" ref="AX16">+SUMPRODUCT(IF($AO$4:$AO$1471=AV16,$L$4:$L$1471*$K$4:$K$1471/AW16))</f>
        <v>0</v>
      </c>
      <c r="AY16" s="1215">
        <f t="shared" si="13"/>
        <v>0</v>
      </c>
      <c r="AZ16" s="596" cm="1">
        <f t="array" ref="AZ16">+SUMPRODUCT(IF('32'!$AO$4:$AO$1363=AV16,('32'!$Q$4:$Q$1363*'32'!$AH$4:$AH$1363)/SUMIF('32'!$AO$4:$AO$1363,#REF!,'32'!$AH$4:$AH$1363)))</f>
        <v>0</v>
      </c>
      <c r="BA16" s="1237">
        <f t="shared" si="14"/>
        <v>0</v>
      </c>
      <c r="BB16" s="1237">
        <f t="shared" si="15"/>
        <v>0</v>
      </c>
      <c r="BC16" s="596">
        <f t="shared" si="17"/>
        <v>303.842802208443</v>
      </c>
      <c r="BD16" s="1238">
        <f t="shared" si="18"/>
        <v>524.95799999999997</v>
      </c>
    </row>
    <row r="17" spans="1:56" ht="15" customHeight="1" thickBot="1">
      <c r="A17" s="747" t="s">
        <v>3393</v>
      </c>
      <c r="B17" s="1447">
        <v>45978</v>
      </c>
      <c r="C17" s="1447">
        <v>45968</v>
      </c>
      <c r="D17" t="s">
        <v>1967</v>
      </c>
      <c r="E17" s="762">
        <f>_xlfn.XLOOKUP(D17,RUC!$B$3:$B$123,RUC!$D$3:$D$123)</f>
        <v>20601769396</v>
      </c>
      <c r="G17" s="1082">
        <v>20</v>
      </c>
      <c r="H17" s="762" t="s">
        <v>2005</v>
      </c>
      <c r="I17" s="703">
        <v>1.54</v>
      </c>
      <c r="J17" s="596">
        <v>8.6300000000000008</v>
      </c>
      <c r="K17" s="703">
        <f t="shared" si="0"/>
        <v>1.407</v>
      </c>
      <c r="L17" s="762">
        <v>0.126</v>
      </c>
      <c r="M17" s="994">
        <f t="shared" si="23"/>
        <v>0.108</v>
      </c>
      <c r="N17" s="1196">
        <f t="shared" si="16"/>
        <v>0.108</v>
      </c>
      <c r="O17" s="645">
        <f t="shared" si="1"/>
        <v>0.108</v>
      </c>
      <c r="P17" s="727">
        <v>80</v>
      </c>
      <c r="Q17">
        <v>92.66</v>
      </c>
      <c r="R17" s="706">
        <v>3994.1</v>
      </c>
      <c r="S17" s="765">
        <f>IF((_xlfn.XLOOKUP(D17,RUC!$B$3:$B$119,RUC!$E$3:$E$119)+ROUNDDOWN(O17,1)*100)&lt;95,95,((_xlfn.XLOOKUP(D17,RUC!$B$3:$B$119,RUC!$E$3:$E$119)+ROUNDDOWN(O17,1)*100)))</f>
        <v>100</v>
      </c>
      <c r="U17" s="1146">
        <f>_xlfn.XLOOKUP(D17,RUC!$B$3:$B$123,RUC!$F$3:$F$123)</f>
        <v>120</v>
      </c>
      <c r="V17" s="715">
        <v>1.1023000000000001</v>
      </c>
      <c r="Y17">
        <f>_xlfn.XLOOKUP(D17,RUC!$B$3:$B$123,RUC!$G$3:$G$123)</f>
        <v>20</v>
      </c>
      <c r="Z17" s="143">
        <f>_xlfn.XLOOKUP(D17,RUC!$B$3:$B$123,RUC!$H$3:$H$123)</f>
        <v>30</v>
      </c>
      <c r="AA17" s="144">
        <f t="shared" si="2"/>
        <v>50</v>
      </c>
      <c r="AB17" s="145">
        <f t="shared" si="20"/>
        <v>203.61932515200002</v>
      </c>
      <c r="AC17" s="145">
        <f>+(S17-T17)*V17-'data 1'!$F$4</f>
        <v>30.230000000000004</v>
      </c>
      <c r="AD17" s="145">
        <f t="shared" si="3"/>
        <v>68.120038531187987</v>
      </c>
      <c r="AE17" s="145">
        <f t="shared" si="4"/>
        <v>-14.884999999999998</v>
      </c>
      <c r="AF17" s="145">
        <f t="shared" si="5"/>
        <v>71.225488267884018</v>
      </c>
      <c r="AG17" s="772">
        <f t="shared" si="22"/>
        <v>171.69052679907202</v>
      </c>
      <c r="AH17" s="1253">
        <f t="shared" si="6"/>
        <v>5.6319999999999997</v>
      </c>
      <c r="AI17" s="1253">
        <f t="shared" si="7"/>
        <v>6.0780000000000003</v>
      </c>
      <c r="AJ17" s="156">
        <f t="shared" si="8"/>
        <v>41.941794580812008</v>
      </c>
      <c r="AK17" s="156">
        <f t="shared" si="9"/>
        <v>4.16789634122064</v>
      </c>
      <c r="AM17" s="716">
        <f t="shared" si="10"/>
        <v>286.49239048886403</v>
      </c>
      <c r="AN17" s="716" t="str">
        <f>_xlfn.XLOOKUP(D17,RUC!$B$3:$B$578,RUC!$M$3:$M$578)</f>
        <v>Evelyn</v>
      </c>
      <c r="AO17" s="1167" t="s">
        <v>2280</v>
      </c>
      <c r="AP17" t="s">
        <v>3409</v>
      </c>
      <c r="AQ17" t="s">
        <v>3413</v>
      </c>
      <c r="AV17" s="1558" t="s">
        <v>2521</v>
      </c>
      <c r="AW17" s="1254">
        <f t="shared" si="12"/>
        <v>0</v>
      </c>
      <c r="AX17" s="1254" cm="1">
        <f t="array" ref="AX17">+SUMPRODUCT(IF('32'!$AO$4:$AO$1363=AV17,'32'!$L$4:$L$1363*'32'!$K$4:$K$1363/AW17))</f>
        <v>0</v>
      </c>
      <c r="AY17" s="1241">
        <f t="shared" si="13"/>
        <v>0</v>
      </c>
      <c r="AZ17" s="1242" cm="1">
        <f t="array" ref="AZ17">+SUMPRODUCT(IF('32'!$AO$4:$AO$1363=AV17,('32'!$Q$4:$Q$1363*'32'!$AH$4:$AH$1363)/SUMIF('32'!$AO$4:$AO$1363,#REF!,'32'!$AH$4:$AH$1363)))</f>
        <v>0</v>
      </c>
      <c r="BA17" s="1243">
        <f t="shared" si="14"/>
        <v>0</v>
      </c>
      <c r="BB17" s="1243">
        <f t="shared" si="15"/>
        <v>0</v>
      </c>
      <c r="BC17" s="1242">
        <f t="shared" si="17"/>
        <v>303.842802208443</v>
      </c>
      <c r="BD17" s="1436">
        <f t="shared" si="18"/>
        <v>524.95799999999997</v>
      </c>
    </row>
    <row r="18" spans="1:56" ht="15" customHeight="1">
      <c r="A18" s="747" t="s">
        <v>3394</v>
      </c>
      <c r="B18" s="1447">
        <v>45978</v>
      </c>
      <c r="C18" s="1447">
        <v>45968</v>
      </c>
      <c r="D18" t="s">
        <v>1967</v>
      </c>
      <c r="E18" s="762">
        <f>_xlfn.XLOOKUP(D18,RUC!$B$3:$B$123,RUC!$D$3:$D$123)</f>
        <v>20601769396</v>
      </c>
      <c r="G18" s="1082">
        <v>17</v>
      </c>
      <c r="H18" s="762" t="s">
        <v>2005</v>
      </c>
      <c r="I18" s="703">
        <v>1.1399999999999999</v>
      </c>
      <c r="J18" s="596">
        <v>4.93</v>
      </c>
      <c r="K18" s="703">
        <f t="shared" si="0"/>
        <v>1.0840000000000001</v>
      </c>
      <c r="L18" s="762">
        <v>0.11799999999999999</v>
      </c>
      <c r="M18" s="994">
        <f t="shared" si="23"/>
        <v>0.1</v>
      </c>
      <c r="N18" s="1196">
        <f t="shared" si="16"/>
        <v>0.1</v>
      </c>
      <c r="O18" s="647">
        <v>0.11700000000000001</v>
      </c>
      <c r="P18" s="727">
        <v>80</v>
      </c>
      <c r="Q18">
        <v>85.61</v>
      </c>
      <c r="R18" s="706">
        <v>3994.1</v>
      </c>
      <c r="S18" s="765">
        <f>IF((_xlfn.XLOOKUP(D18,RUC!$B$3:$B$119,RUC!$E$3:$E$119)+ROUNDDOWN(O18,1)*100)&lt;95,95,((_xlfn.XLOOKUP(D18,RUC!$B$3:$B$119,RUC!$E$3:$E$119)+ROUNDDOWN(O18,1)*100)))</f>
        <v>100</v>
      </c>
      <c r="U18" s="1146">
        <f>_xlfn.XLOOKUP(D18,RUC!$B$3:$B$123,RUC!$F$3:$F$123)</f>
        <v>120</v>
      </c>
      <c r="V18" s="715">
        <v>1.1023000000000001</v>
      </c>
      <c r="Y18">
        <f>_xlfn.XLOOKUP(D18,RUC!$B$3:$B$123,RUC!$G$3:$G$123)</f>
        <v>20</v>
      </c>
      <c r="Z18" s="143">
        <f>_xlfn.XLOOKUP(D18,RUC!$B$3:$B$123,RUC!$H$3:$H$123)</f>
        <v>30</v>
      </c>
      <c r="AA18" s="144">
        <f t="shared" si="2"/>
        <v>50</v>
      </c>
      <c r="AB18" s="145">
        <f t="shared" si="20"/>
        <v>234.36635224800003</v>
      </c>
      <c r="AC18" s="145">
        <f>+(S18-T18)*V18-'data 1'!$F$4</f>
        <v>30.230000000000004</v>
      </c>
      <c r="AD18" s="145">
        <f t="shared" si="3"/>
        <v>28.269329162513994</v>
      </c>
      <c r="AE18" s="145">
        <f t="shared" si="4"/>
        <v>-14.884999999999998</v>
      </c>
      <c r="AF18" s="145">
        <f t="shared" si="5"/>
        <v>3.6559069301229528</v>
      </c>
      <c r="AG18" s="772">
        <f t="shared" si="22"/>
        <v>64.270236092636964</v>
      </c>
      <c r="AH18" s="1253">
        <f t="shared" si="6"/>
        <v>3.754</v>
      </c>
      <c r="AI18" s="1253">
        <f t="shared" si="7"/>
        <v>4.3860000000000001</v>
      </c>
      <c r="AJ18" s="156">
        <f t="shared" si="8"/>
        <v>36.290309513486015</v>
      </c>
      <c r="AK18" s="156">
        <f t="shared" si="9"/>
        <v>3.4786777564843208</v>
      </c>
      <c r="AM18" s="716">
        <f t="shared" si="10"/>
        <v>254.05312583683204</v>
      </c>
      <c r="AN18" s="716" t="str">
        <f>_xlfn.XLOOKUP(D18,RUC!$B$3:$B$578,RUC!$M$3:$M$578)</f>
        <v>Evelyn</v>
      </c>
      <c r="AO18" s="1167" t="s">
        <v>2280</v>
      </c>
      <c r="AP18" t="s">
        <v>3409</v>
      </c>
      <c r="AQ18" t="s">
        <v>3413</v>
      </c>
    </row>
    <row r="19" spans="1:56" ht="15" customHeight="1" thickBot="1">
      <c r="A19" s="747" t="s">
        <v>3395</v>
      </c>
      <c r="B19" s="1447">
        <v>45978</v>
      </c>
      <c r="C19" s="1447">
        <v>45969</v>
      </c>
      <c r="D19" t="s">
        <v>1484</v>
      </c>
      <c r="E19" s="762">
        <f>_xlfn.XLOOKUP(D19,RUC!$B$3:$B$123,RUC!$D$3:$D$123)</f>
        <v>10761932735</v>
      </c>
      <c r="G19" s="1082">
        <v>12</v>
      </c>
      <c r="H19" s="762" t="s">
        <v>69</v>
      </c>
      <c r="I19" s="703">
        <v>1.17</v>
      </c>
      <c r="J19" s="596">
        <v>13</v>
      </c>
      <c r="K19" s="703">
        <f t="shared" si="0"/>
        <v>1.018</v>
      </c>
      <c r="L19" s="762">
        <v>0.16300000000000001</v>
      </c>
      <c r="M19" s="994">
        <f t="shared" si="23"/>
        <v>0.14499999999999999</v>
      </c>
      <c r="N19" s="1196">
        <f t="shared" si="16"/>
        <v>0.14499999999999999</v>
      </c>
      <c r="O19" s="645">
        <f t="shared" si="1"/>
        <v>0.14499999999999999</v>
      </c>
      <c r="P19" s="727">
        <v>85</v>
      </c>
      <c r="Q19">
        <v>98.77</v>
      </c>
      <c r="R19" s="706">
        <v>3994.1</v>
      </c>
      <c r="S19" s="765">
        <f>IF((_xlfn.XLOOKUP(D19,RUC!$B$3:$B$119,RUC!$E$3:$E$119)+ROUNDDOWN(O19,1)*100)&lt;95,95,((_xlfn.XLOOKUP(D19,RUC!$B$3:$B$119,RUC!$E$3:$E$119)+ROUNDDOWN(O19,1)*100)))</f>
        <v>100</v>
      </c>
      <c r="U19" s="1146">
        <f>_xlfn.XLOOKUP(D19,RUC!$B$3:$B$123,RUC!$F$3:$F$123)</f>
        <v>120</v>
      </c>
      <c r="V19" s="715">
        <v>1.1023000000000001</v>
      </c>
      <c r="Y19">
        <f>_xlfn.XLOOKUP(D19,RUC!$B$3:$B$123,RUC!$G$3:$G$123)</f>
        <v>20</v>
      </c>
      <c r="Z19" s="143">
        <f>_xlfn.XLOOKUP(D19,RUC!$B$3:$B$123,RUC!$H$3:$H$123)</f>
        <v>30</v>
      </c>
      <c r="AA19" s="144">
        <f t="shared" si="2"/>
        <v>50</v>
      </c>
      <c r="AB19" s="145">
        <f t="shared" si="20"/>
        <v>360.98431799749994</v>
      </c>
      <c r="AC19" s="145">
        <f>+(S19-T19)*V19-'data 1'!$F$4</f>
        <v>30.230000000000004</v>
      </c>
      <c r="AD19" s="145">
        <f t="shared" si="3"/>
        <v>95.850013593392973</v>
      </c>
      <c r="AE19" s="145">
        <f t="shared" si="4"/>
        <v>-14.884999999999998</v>
      </c>
      <c r="AF19" s="145">
        <f t="shared" si="5"/>
        <v>75.922096656798061</v>
      </c>
      <c r="AG19" s="772">
        <f t="shared" si="22"/>
        <v>204.11711025019105</v>
      </c>
      <c r="AH19" s="1253">
        <f t="shared" si="6"/>
        <v>5.6189999999999998</v>
      </c>
      <c r="AI19" s="1253">
        <f t="shared" si="7"/>
        <v>5.6890000000000001</v>
      </c>
      <c r="AJ19" s="156">
        <f t="shared" si="8"/>
        <v>57.835810496107023</v>
      </c>
      <c r="AK19" s="156">
        <f t="shared" si="9"/>
        <v>4.3017362105514252</v>
      </c>
      <c r="AM19" s="716">
        <f t="shared" si="10"/>
        <v>367.48203572145496</v>
      </c>
      <c r="AN19" s="716" t="str">
        <f>_xlfn.XLOOKUP(D19,RUC!$B$3:$B$578,RUC!$M$3:$M$578)</f>
        <v>Richard Sapacayo</v>
      </c>
      <c r="AO19" s="1167" t="s">
        <v>2277</v>
      </c>
      <c r="AP19" t="s">
        <v>2903</v>
      </c>
      <c r="AQ19" t="s">
        <v>3414</v>
      </c>
    </row>
    <row r="20" spans="1:56" ht="15" customHeight="1" thickBot="1">
      <c r="A20" s="747" t="s">
        <v>3397</v>
      </c>
      <c r="B20" s="1447">
        <v>45980</v>
      </c>
      <c r="C20" s="1447">
        <v>45969</v>
      </c>
      <c r="D20" t="s">
        <v>1484</v>
      </c>
      <c r="E20" s="762">
        <f>_xlfn.XLOOKUP(D20,RUC!$B$3:$B$123,RUC!$D$3:$D$123)</f>
        <v>10761932735</v>
      </c>
      <c r="G20" s="1082" t="s">
        <v>2985</v>
      </c>
      <c r="H20" s="762" t="s">
        <v>69</v>
      </c>
      <c r="I20" s="703">
        <v>23.42</v>
      </c>
      <c r="J20" s="596">
        <v>12.98</v>
      </c>
      <c r="K20" s="703">
        <f t="shared" si="0"/>
        <v>20.38</v>
      </c>
      <c r="L20" s="762">
        <v>0.10299999999999999</v>
      </c>
      <c r="M20" s="994">
        <f>ROUND(+IF(AN20="Melchor Vera",IF(L20&gt;0.467,L20*0.985,(L20-0.007)),IF(L20&gt;0.3,L20*0.94,(L20-0.018))),3)</f>
        <v>8.5000000000000006E-2</v>
      </c>
      <c r="N20" s="1444">
        <v>0.13600000000000001</v>
      </c>
      <c r="O20" s="645">
        <f t="shared" si="1"/>
        <v>0.111</v>
      </c>
      <c r="P20" s="727">
        <v>80</v>
      </c>
      <c r="Q20" s="1523">
        <v>97.09</v>
      </c>
      <c r="R20" s="706">
        <v>3994.1</v>
      </c>
      <c r="S20" s="765">
        <f>IF((_xlfn.XLOOKUP(D20,RUC!$B$3:$B$119,RUC!$E$3:$E$119)+ROUNDDOWN(O20,1)*100)&lt;95,95,((_xlfn.XLOOKUP(D20,RUC!$B$3:$B$119,RUC!$E$3:$E$119)+ROUNDDOWN(O20,1)*100)))</f>
        <v>100</v>
      </c>
      <c r="U20" s="1091">
        <v>135</v>
      </c>
      <c r="V20" s="715">
        <v>1.1023000000000001</v>
      </c>
      <c r="Y20">
        <v>0</v>
      </c>
      <c r="Z20" s="143">
        <f>_xlfn.XLOOKUP(D20,RUC!$B$3:$B$123,RUC!$H$3:$H$123)</f>
        <v>30</v>
      </c>
      <c r="AA20" s="144">
        <f t="shared" si="2"/>
        <v>30</v>
      </c>
      <c r="AB20" s="145">
        <f t="shared" si="20"/>
        <v>234.4460705840001</v>
      </c>
      <c r="AC20" s="145">
        <f>+(S20-T20)*V20-'data 1'!$F$4</f>
        <v>30.230000000000004</v>
      </c>
      <c r="AD20" s="145">
        <f t="shared" si="3"/>
        <v>74.879877860011007</v>
      </c>
      <c r="AE20" s="145">
        <f t="shared" si="4"/>
        <v>-36.930999999999997</v>
      </c>
      <c r="AF20" s="145">
        <f t="shared" si="5"/>
        <v>-33.040782795496035</v>
      </c>
      <c r="AG20" s="772">
        <f t="shared" si="22"/>
        <v>52.138095064514971</v>
      </c>
      <c r="AH20" s="1253">
        <f t="shared" si="6"/>
        <v>69.876000000000005</v>
      </c>
      <c r="AI20" s="1253">
        <f t="shared" si="7"/>
        <v>71.97</v>
      </c>
      <c r="AJ20" s="156">
        <f t="shared" si="8"/>
        <v>37.578421589989013</v>
      </c>
      <c r="AK20" s="156">
        <f t="shared" si="9"/>
        <v>62.047775311159192</v>
      </c>
      <c r="AM20" s="716">
        <f t="shared" si="10"/>
        <v>4778.0109185019219</v>
      </c>
      <c r="AN20" s="716" t="str">
        <f>_xlfn.XLOOKUP(D20,RUC!$B$3:$B$578,RUC!$M$3:$M$578)</f>
        <v>Richard Sapacayo</v>
      </c>
      <c r="AO20" s="1167" t="s">
        <v>2279</v>
      </c>
      <c r="AP20" t="s">
        <v>2903</v>
      </c>
      <c r="AQ20" t="s">
        <v>3414</v>
      </c>
      <c r="AV20" s="1982" t="s">
        <v>3646</v>
      </c>
      <c r="AW20" s="1983"/>
      <c r="AX20" s="1983"/>
      <c r="AY20" s="1983"/>
      <c r="AZ20" s="1983"/>
      <c r="BA20" s="1984"/>
    </row>
    <row r="21" spans="1:56" ht="15" customHeight="1">
      <c r="A21" s="747" t="s">
        <v>3398</v>
      </c>
      <c r="B21" s="1447">
        <v>45976</v>
      </c>
      <c r="C21" s="1447">
        <v>45969</v>
      </c>
      <c r="D21" t="s">
        <v>1967</v>
      </c>
      <c r="E21" s="762">
        <f>_xlfn.XLOOKUP(D21,RUC!$B$3:$B$123,RUC!$D$3:$D$123)</f>
        <v>20601769396</v>
      </c>
      <c r="G21" s="1082">
        <v>40</v>
      </c>
      <c r="H21" s="762" t="s">
        <v>2005</v>
      </c>
      <c r="I21" s="703">
        <v>3.17</v>
      </c>
      <c r="J21" s="596">
        <v>10.3</v>
      </c>
      <c r="K21" s="703">
        <f t="shared" si="0"/>
        <v>2.843</v>
      </c>
      <c r="L21" s="1522">
        <v>0.48199999999999998</v>
      </c>
      <c r="M21" s="994">
        <f>ROUND(+IF(AN21="Melchor Vera",IF(L21&gt;0.467,L21*0.985,(L21-0.007)),IF(L21&gt;0.3,L21*0.94,(L21-0.018))),3)-0.004</f>
        <v>0.44900000000000001</v>
      </c>
      <c r="N21" s="1196">
        <f t="shared" ref="N21:N27" si="24">+M21</f>
        <v>0.44900000000000001</v>
      </c>
      <c r="O21" s="645">
        <f t="shared" si="1"/>
        <v>0.44900000000000001</v>
      </c>
      <c r="P21" s="727">
        <v>86</v>
      </c>
      <c r="Q21">
        <v>86.31</v>
      </c>
      <c r="R21" s="706">
        <v>3994.1</v>
      </c>
      <c r="S21" s="765">
        <f>IF((_xlfn.XLOOKUP(D21,RUC!$B$3:$B$119,RUC!$E$3:$E$119)+ROUNDDOWN(O21,1)*100)&lt;95,95,((_xlfn.XLOOKUP(D21,RUC!$B$3:$B$119,RUC!$E$3:$E$119)+ROUNDDOWN(O21,1)*100)))</f>
        <v>130</v>
      </c>
      <c r="U21" s="1146">
        <f>_xlfn.XLOOKUP(D21,RUC!$B$3:$B$123,RUC!$F$3:$F$123)</f>
        <v>120</v>
      </c>
      <c r="V21" s="715">
        <v>1.1023000000000001</v>
      </c>
      <c r="Y21">
        <f>_xlfn.XLOOKUP(D21,RUC!$B$3:$B$123,RUC!$G$3:$G$123)</f>
        <v>20</v>
      </c>
      <c r="Z21" s="143">
        <f>_xlfn.XLOOKUP(D21,RUC!$B$3:$B$123,RUC!$H$3:$H$123)</f>
        <v>30</v>
      </c>
      <c r="AA21" s="144">
        <f>+Y21+Z21</f>
        <v>50</v>
      </c>
      <c r="AB21" s="145">
        <f>+((O21*P21*(R21-U21)/100)-S21-AA21+T21)*V21</f>
        <v>1450.5661448402004</v>
      </c>
      <c r="AC21" s="145">
        <f>+(S21-T21)*V21-'data 1'!$F$4</f>
        <v>63.299000000000007</v>
      </c>
      <c r="AD21" s="145">
        <f>+(Q21-P21)*(R21-U21)*L21*V21/100</f>
        <v>6.3808622065060465</v>
      </c>
      <c r="AE21" s="145">
        <f>+(Y21*V21-70)+V21*(Z21-IF(D21="UNTUCA",IF(+((W21-3)*2.5+(X21-3)*3.1)&gt;0,+((W21-3)*1.5+(X21-3)*3.1),0),IF(+((W21-3)*1.5+(X21-3)*3.1)&gt;0,+((W21-3)*1.5+(X21-3)*3.1),0)))</f>
        <v>-14.884999999999998</v>
      </c>
      <c r="AF21" s="145">
        <f>(L21-O21)*(R21-U21)*Q21*V21/100</f>
        <v>121.63139581338892</v>
      </c>
      <c r="AG21" s="772">
        <f>AC21+AD21+AE21+AF21+70-53</f>
        <v>193.42625801989499</v>
      </c>
      <c r="AH21" s="1253">
        <f t="shared" si="6"/>
        <v>40.549999999999997</v>
      </c>
      <c r="AI21" s="1253">
        <f t="shared" si="7"/>
        <v>46.981999999999999</v>
      </c>
      <c r="AJ21" s="156">
        <f t="shared" si="8"/>
        <v>149.44876232189404</v>
      </c>
      <c r="AK21" s="156">
        <f t="shared" si="9"/>
        <v>37.63836254544556</v>
      </c>
      <c r="AM21" s="716">
        <f t="shared" si="10"/>
        <v>4123.9595497806895</v>
      </c>
      <c r="AN21" s="716" t="str">
        <f>_xlfn.XLOOKUP(D21,RUC!$B$3:$B$578,RUC!$M$3:$M$578)</f>
        <v>Evelyn</v>
      </c>
      <c r="AO21" s="1167" t="s">
        <v>2278</v>
      </c>
      <c r="AP21" t="s">
        <v>3415</v>
      </c>
      <c r="AQ21" t="s">
        <v>2452</v>
      </c>
      <c r="BA21" s="1482">
        <f>SUM(BA23:BA32)</f>
        <v>2335.2539202998259</v>
      </c>
    </row>
    <row r="22" spans="1:56" ht="15" customHeight="1" thickBot="1">
      <c r="A22" s="747" t="s">
        <v>3399</v>
      </c>
      <c r="B22" s="1447">
        <v>45976</v>
      </c>
      <c r="C22" s="1447">
        <v>45969</v>
      </c>
      <c r="D22" t="s">
        <v>1967</v>
      </c>
      <c r="E22" s="762">
        <f>_xlfn.XLOOKUP(D22,RUC!$B$3:$B$123,RUC!$D$3:$D$123)</f>
        <v>20601769396</v>
      </c>
      <c r="G22" s="1082">
        <v>40</v>
      </c>
      <c r="H22" s="762" t="s">
        <v>2005</v>
      </c>
      <c r="I22" s="703">
        <v>3.19</v>
      </c>
      <c r="J22" s="596">
        <v>10.5</v>
      </c>
      <c r="K22" s="703">
        <f t="shared" si="0"/>
        <v>2.855</v>
      </c>
      <c r="L22" s="762">
        <v>0.38500000000000001</v>
      </c>
      <c r="M22" s="994">
        <f>ROUND(+IF(AN22="Melchor Vera",IF(L22&gt;0.467,L22*0.985,(L22-0.007)),IF(L22&gt;0.3,L22*0.94,(L22-0.018))),3)</f>
        <v>0.36199999999999999</v>
      </c>
      <c r="N22" s="1196">
        <f t="shared" si="24"/>
        <v>0.36199999999999999</v>
      </c>
      <c r="O22" s="645">
        <f t="shared" si="1"/>
        <v>0.36199999999999999</v>
      </c>
      <c r="P22" s="727">
        <v>87</v>
      </c>
      <c r="Q22">
        <v>87.27</v>
      </c>
      <c r="R22" s="706">
        <v>3994.1</v>
      </c>
      <c r="S22" s="765">
        <f>IF((_xlfn.XLOOKUP(D22,RUC!$B$3:$B$119,RUC!$E$3:$E$119)+ROUNDDOWN(O22,1)*100)&lt;95,95,((_xlfn.XLOOKUP(D22,RUC!$B$3:$B$119,RUC!$E$3:$E$119)+ROUNDDOWN(O22,1)*100)))</f>
        <v>120</v>
      </c>
      <c r="U22" s="1146">
        <f>_xlfn.XLOOKUP(D22,RUC!$B$3:$B$123,RUC!$F$3:$F$123)</f>
        <v>120</v>
      </c>
      <c r="V22" s="715">
        <v>1.1023000000000001</v>
      </c>
      <c r="Y22">
        <f>_xlfn.XLOOKUP(D22,RUC!$B$3:$B$123,RUC!$G$3:$G$123)</f>
        <v>20</v>
      </c>
      <c r="Z22" s="143">
        <f>_xlfn.XLOOKUP(D22,RUC!$B$3:$B$123,RUC!$H$3:$H$123)</f>
        <v>30</v>
      </c>
      <c r="AA22" s="144">
        <f>+Y22+Z22</f>
        <v>50</v>
      </c>
      <c r="AB22" s="145">
        <f>+((O22*P22*(R22-U22)/100)-S22-AA22+T22)*V22</f>
        <v>1157.5352102242</v>
      </c>
      <c r="AC22" s="145">
        <f>+(S22-T22)*V22-'data 1'!$F$4</f>
        <v>52.27600000000001</v>
      </c>
      <c r="AD22" s="145">
        <f>+(Q22-P22)*(R22-U22)*L22*V22/100</f>
        <v>4.4391020369849352</v>
      </c>
      <c r="AE22" s="145">
        <f>+(Y22*V22-70)+V22*(Z22-IF(D22="UNTUCA",IF(+((W22-3)*2.5+(X22-3)*3.1)&gt;0,+((W22-3)*1.5+(X22-3)*3.1),0),IF(+((W22-3)*1.5+(X22-3)*3.1)&gt;0,+((W22-3)*1.5+(X22-3)*3.1),0)))</f>
        <v>-14.884999999999998</v>
      </c>
      <c r="AF22" s="145">
        <f>(L22-O22)*(R22-U22)*Q22*V22/100</f>
        <v>85.716305913003083</v>
      </c>
      <c r="AG22" s="772">
        <f>AC22+AD22+AE22+AF22+70-53</f>
        <v>144.54640794998804</v>
      </c>
      <c r="AH22" s="1253">
        <f t="shared" si="6"/>
        <v>32.887999999999998</v>
      </c>
      <c r="AI22" s="1253">
        <f t="shared" si="7"/>
        <v>37.686</v>
      </c>
      <c r="AJ22" s="156">
        <f t="shared" si="8"/>
        <v>120.70072350451503</v>
      </c>
      <c r="AK22" s="156">
        <f t="shared" si="9"/>
        <v>30.827833521093289</v>
      </c>
      <c r="AM22" s="716">
        <f t="shared" si="10"/>
        <v>3304.763025190091</v>
      </c>
      <c r="AN22" s="716" t="str">
        <f>_xlfn.XLOOKUP(D22,RUC!$B$3:$B$578,RUC!$M$3:$M$578)</f>
        <v>Evelyn</v>
      </c>
      <c r="AO22" s="1167" t="s">
        <v>2278</v>
      </c>
      <c r="AP22" t="s">
        <v>3415</v>
      </c>
      <c r="AQ22" t="s">
        <v>2452</v>
      </c>
      <c r="AV22" s="762"/>
      <c r="AW22" s="762" t="s">
        <v>15</v>
      </c>
      <c r="AX22" s="762" t="s">
        <v>2522</v>
      </c>
      <c r="AY22" s="762" t="s">
        <v>2558</v>
      </c>
      <c r="AZ22" s="1483" t="s">
        <v>2598</v>
      </c>
      <c r="BA22" s="762" t="s">
        <v>2559</v>
      </c>
    </row>
    <row r="23" spans="1:56" ht="15" customHeight="1">
      <c r="A23" s="747" t="s">
        <v>3400</v>
      </c>
      <c r="B23" s="1447">
        <v>45976</v>
      </c>
      <c r="C23" s="1447">
        <v>45969</v>
      </c>
      <c r="D23" t="s">
        <v>1967</v>
      </c>
      <c r="E23" s="762">
        <f>_xlfn.XLOOKUP(D23,RUC!$B$3:$B$123,RUC!$D$3:$D$123)</f>
        <v>20601769396</v>
      </c>
      <c r="G23" s="1082">
        <v>21</v>
      </c>
      <c r="H23" s="762" t="s">
        <v>2005</v>
      </c>
      <c r="I23" s="703">
        <v>1.74</v>
      </c>
      <c r="J23" s="596">
        <v>9.1199999999999992</v>
      </c>
      <c r="K23" s="703">
        <f t="shared" si="0"/>
        <v>1.581</v>
      </c>
      <c r="L23" s="762">
        <v>0.436</v>
      </c>
      <c r="M23" s="994">
        <f>ROUND(+IF(AN23="Melchor Vera",IF(L23&gt;0.467,L23*0.985,(L23-0.007)),IF(L23&gt;0.3,L23*0.94,(L23-0.018))),3)</f>
        <v>0.41</v>
      </c>
      <c r="N23" s="1196">
        <f t="shared" si="24"/>
        <v>0.41</v>
      </c>
      <c r="O23" s="645">
        <f t="shared" si="1"/>
        <v>0.41</v>
      </c>
      <c r="P23" s="727">
        <v>88</v>
      </c>
      <c r="Q23" s="1523">
        <v>88.53</v>
      </c>
      <c r="R23" s="706">
        <v>3994.1</v>
      </c>
      <c r="S23" s="765">
        <f>IF((_xlfn.XLOOKUP(D23,RUC!$B$3:$B$119,RUC!$E$3:$E$119)+ROUNDDOWN(O23,1)*100)&lt;95,95,((_xlfn.XLOOKUP(D23,RUC!$B$3:$B$119,RUC!$E$3:$E$119)+ROUNDDOWN(O23,1)*100)))</f>
        <v>130</v>
      </c>
      <c r="U23" s="1146">
        <f>_xlfn.XLOOKUP(D23,RUC!$B$3:$B$123,RUC!$F$3:$F$123)</f>
        <v>120</v>
      </c>
      <c r="V23" s="715">
        <v>1.1023000000000001</v>
      </c>
      <c r="Y23">
        <f>_xlfn.XLOOKUP(D23,RUC!$B$3:$B$123,RUC!$G$3:$G$123)</f>
        <v>20</v>
      </c>
      <c r="Z23" s="143">
        <f>_xlfn.XLOOKUP(D23,RUC!$B$3:$B$123,RUC!$H$3:$H$123)</f>
        <v>30</v>
      </c>
      <c r="AA23" s="144">
        <f>+Y23+Z23</f>
        <v>50</v>
      </c>
      <c r="AB23" s="145">
        <f>+((O23*P23*(R23-U23)/100)-S23-AA23+T23)*V23</f>
        <v>1342.3536911439999</v>
      </c>
      <c r="AC23" s="145">
        <f>+(S23-T23)*V23-'data 1'!$F$4</f>
        <v>63.299000000000007</v>
      </c>
      <c r="AD23" s="145">
        <f>+(Q23-P23)*(R23-U23)*L23*V23/100</f>
        <v>9.8680875296440203</v>
      </c>
      <c r="AE23" s="145">
        <f>+(Y23*V23-70)+V23*(Z23-IF(D23="UNTUCA",IF(+((W23-3)*2.5+(X23-3)*3.1)&gt;0,+((W23-3)*1.5+(X23-3)*3.1),0),IF(+((W23-3)*1.5+(X23-3)*3.1)&gt;0,+((W23-3)*1.5+(X23-3)*3.1),0)))</f>
        <v>-14.884999999999998</v>
      </c>
      <c r="AF23" s="145">
        <f>(L23-O23)*(R23-U23)*Q23*V23/100</f>
        <v>98.2956833736541</v>
      </c>
      <c r="AG23" s="772">
        <f>AC23+AD23+AE23+AF23+70-53</f>
        <v>173.57777090329813</v>
      </c>
      <c r="AH23" s="1253">
        <f t="shared" si="6"/>
        <v>20.922999999999998</v>
      </c>
      <c r="AI23" s="1253">
        <f t="shared" si="7"/>
        <v>23.632999999999999</v>
      </c>
      <c r="AJ23" s="156">
        <f t="shared" si="8"/>
        <v>138.66316901595602</v>
      </c>
      <c r="AK23" s="156">
        <f t="shared" si="9"/>
        <v>19.55723562134364</v>
      </c>
      <c r="AM23" s="716">
        <f t="shared" si="10"/>
        <v>2122.2611856986637</v>
      </c>
      <c r="AN23" s="716" t="str">
        <f>_xlfn.XLOOKUP(D23,RUC!$B$3:$B$578,RUC!$M$3:$M$578)</f>
        <v>Evelyn</v>
      </c>
      <c r="AO23" s="1167" t="s">
        <v>2278</v>
      </c>
      <c r="AP23" t="s">
        <v>3415</v>
      </c>
      <c r="AQ23" t="s">
        <v>2452</v>
      </c>
      <c r="AV23" s="1556" t="s">
        <v>2277</v>
      </c>
      <c r="AW23" s="1227">
        <f t="shared" ref="AW23:AW32" si="25">SUMIF($AO$4:$AO$1471,AV23,$K$4:$K$1471)</f>
        <v>91.000999999999991</v>
      </c>
      <c r="AX23" s="1227">
        <v>0.26700000000000002</v>
      </c>
      <c r="AY23" s="1229">
        <f t="shared" ref="AY23:AY32" si="26">AW23*AX23*31.1035*1.1023</f>
        <v>833.0412276494593</v>
      </c>
      <c r="AZ23" s="596">
        <v>80.80958434277899</v>
      </c>
      <c r="BA23" s="1255">
        <f t="shared" ref="BA23:BA32" si="27">AY23*AZ23/100</f>
        <v>673.1771534675114</v>
      </c>
      <c r="BB23" s="1573" t="s">
        <v>3764</v>
      </c>
      <c r="BC23" s="1574">
        <f>+BB6</f>
        <v>4806.4920000000002</v>
      </c>
    </row>
    <row r="24" spans="1:56" ht="15" customHeight="1">
      <c r="A24" s="747" t="s">
        <v>3421</v>
      </c>
      <c r="B24" s="1447">
        <v>45979</v>
      </c>
      <c r="C24" s="1447">
        <v>45972</v>
      </c>
      <c r="D24" t="s">
        <v>93</v>
      </c>
      <c r="E24" s="762">
        <f>_xlfn.XLOOKUP(D24,RUC!$B$3:$B$123,RUC!$D$3:$D$123)</f>
        <v>20169040231</v>
      </c>
      <c r="G24" s="1082">
        <v>4</v>
      </c>
      <c r="H24" s="762" t="s">
        <v>69</v>
      </c>
      <c r="I24" s="703">
        <v>0.23</v>
      </c>
      <c r="J24" s="596">
        <v>1.2</v>
      </c>
      <c r="K24" s="703">
        <f t="shared" si="0"/>
        <v>0.22700000000000001</v>
      </c>
      <c r="L24" s="762">
        <v>0.128</v>
      </c>
      <c r="M24" s="994">
        <f t="shared" ref="M24:M28" si="28">ROUND(+IF(AN24="Melchor Vera",IF(L24&gt;0.467,L24*0.985,(L24-0.007)),IF(L24&gt;0.3,L24*0.94,(L24-0.018))),3)</f>
        <v>0.11</v>
      </c>
      <c r="N24" s="1196">
        <f t="shared" si="24"/>
        <v>0.11</v>
      </c>
      <c r="O24" s="645">
        <f t="shared" si="1"/>
        <v>0.11</v>
      </c>
      <c r="P24" s="727">
        <v>80</v>
      </c>
      <c r="Q24" s="1545">
        <v>96.88</v>
      </c>
      <c r="R24" s="1211">
        <v>4123.3</v>
      </c>
      <c r="S24" s="765">
        <f>IF((_xlfn.XLOOKUP(D24,RUC!$B$3:$B$119,RUC!$E$3:$E$119)+ROUNDDOWN(O24,1)*100)&lt;95,95,((_xlfn.XLOOKUP(D24,RUC!$B$3:$B$119,RUC!$E$3:$E$119)+ROUNDDOWN(O24,1)*100)))</f>
        <v>95</v>
      </c>
      <c r="U24" s="1146">
        <f>_xlfn.XLOOKUP(D24,RUC!$B$3:$B$123,RUC!$F$3:$F$123)</f>
        <v>120</v>
      </c>
      <c r="V24" s="715">
        <v>1.1023000000000001</v>
      </c>
      <c r="Y24">
        <f>_xlfn.XLOOKUP(D24,RUC!$B$3:$B$123,RUC!$G$3:$G$123)</f>
        <v>20</v>
      </c>
      <c r="Z24" s="1454">
        <v>35</v>
      </c>
      <c r="AA24" s="144">
        <f t="shared" ref="AA24:AA33" si="29">+Y24+Z24</f>
        <v>55</v>
      </c>
      <c r="AB24" s="145">
        <f t="shared" ref="AB24:AB33" si="30">+((O24*P24*(R24-U24)/100)-S24-AA24+T24)*V24</f>
        <v>222.98470792000006</v>
      </c>
      <c r="AC24" s="145">
        <f>+(S24-T24)*V24-'data 1'!$F$4</f>
        <v>24.718500000000006</v>
      </c>
      <c r="AD24" s="145">
        <f t="shared" ref="AD24:AD33" si="31">+(Q24-P24)*(R24-U24)*L24*V24/100</f>
        <v>95.345534104575975</v>
      </c>
      <c r="AE24" s="145">
        <f t="shared" ref="AE24:AE33" si="32">+(Y24*V24-70)+V24*(Z24-IF(D24="UNTUCA",IF(+((W24-3)*2.5+(X24-3)*3.1)&gt;0,+((W24-3)*1.5+(X24-3)*3.1),0),IF(+((W24-3)*1.5+(X24-3)*3.1)&gt;0,+((W24-3)*1.5+(X24-3)*3.1),0)))</f>
        <v>-9.3734999999999999</v>
      </c>
      <c r="AF24" s="145">
        <f t="shared" ref="AF24:AF33" si="33">(L24-O24)*(R24-U24)*Q24*V24/100</f>
        <v>76.952827029456017</v>
      </c>
      <c r="AG24" s="772">
        <f t="shared" ref="AG24:AG31" si="34">AC24+AD24+AE24+AF24+70-53</f>
        <v>204.64336113403203</v>
      </c>
      <c r="AH24" s="1253">
        <f t="shared" si="6"/>
        <v>0.96499999999999997</v>
      </c>
      <c r="AI24" s="1253">
        <f t="shared" si="7"/>
        <v>0.996</v>
      </c>
      <c r="AJ24" s="156">
        <f t="shared" si="8"/>
        <v>26.887366503423976</v>
      </c>
      <c r="AK24" s="156">
        <f t="shared" si="9"/>
        <v>0.68488491168679999</v>
      </c>
      <c r="AM24" s="716">
        <f t="shared" si="10"/>
        <v>50.617528697840015</v>
      </c>
      <c r="AN24" s="716" t="str">
        <f>_xlfn.XLOOKUP(D24,RUC!$B$3:$B$578,RUC!$M$3:$M$578)</f>
        <v>Ronald Miranda</v>
      </c>
      <c r="AO24" s="1167" t="s">
        <v>2280</v>
      </c>
      <c r="AP24" t="s">
        <v>3416</v>
      </c>
      <c r="AQ24" t="s">
        <v>3417</v>
      </c>
      <c r="AV24" s="1557" t="s">
        <v>2278</v>
      </c>
      <c r="AW24" s="703">
        <f t="shared" si="25"/>
        <v>114.71299999999999</v>
      </c>
      <c r="AX24" s="703">
        <v>0.49099999999999999</v>
      </c>
      <c r="AY24" s="596">
        <f t="shared" si="26"/>
        <v>1931.0930422154081</v>
      </c>
      <c r="AZ24" s="596">
        <v>86.06922248166407</v>
      </c>
      <c r="BA24" s="1256">
        <f t="shared" si="27"/>
        <v>1662.0767668323147</v>
      </c>
      <c r="BB24" s="1575" t="s">
        <v>3763</v>
      </c>
      <c r="BC24" s="1576">
        <f>+'31'!BC26+'31'!BC27</f>
        <v>755.47499999999991</v>
      </c>
    </row>
    <row r="25" spans="1:56" ht="15" customHeight="1">
      <c r="A25" s="747" t="s">
        <v>3428</v>
      </c>
      <c r="B25" s="1447">
        <v>45981</v>
      </c>
      <c r="C25" s="1447">
        <v>45972</v>
      </c>
      <c r="D25" t="s">
        <v>1967</v>
      </c>
      <c r="E25" s="762">
        <f>_xlfn.XLOOKUP(D25,RUC!$B$3:$B$123,RUC!$D$3:$D$123)</f>
        <v>20601769396</v>
      </c>
      <c r="G25" s="1082">
        <v>24</v>
      </c>
      <c r="H25" s="762" t="s">
        <v>116</v>
      </c>
      <c r="I25" s="703">
        <v>1.92</v>
      </c>
      <c r="J25" s="596">
        <v>13.1</v>
      </c>
      <c r="K25" s="703">
        <f t="shared" si="0"/>
        <v>1.6679999999999999</v>
      </c>
      <c r="L25" s="762">
        <v>0.42399999999999999</v>
      </c>
      <c r="M25" s="994">
        <f t="shared" si="28"/>
        <v>0.39900000000000002</v>
      </c>
      <c r="N25" s="1196">
        <f t="shared" si="24"/>
        <v>0.39900000000000002</v>
      </c>
      <c r="O25" s="645">
        <f t="shared" si="1"/>
        <v>0.39900000000000002</v>
      </c>
      <c r="P25" s="727">
        <v>90</v>
      </c>
      <c r="Q25" s="1523">
        <v>93.16</v>
      </c>
      <c r="R25" s="706">
        <v>4123.3</v>
      </c>
      <c r="S25" s="765">
        <f>IF((_xlfn.XLOOKUP(D25,RUC!$B$3:$B$119,RUC!$E$3:$E$119)+ROUNDDOWN(O25,1)*100)&lt;95,95,((_xlfn.XLOOKUP(D25,RUC!$B$3:$B$119,RUC!$E$3:$E$119)+ROUNDDOWN(O25,1)*100)))</f>
        <v>120</v>
      </c>
      <c r="U25" s="1146">
        <f>_xlfn.XLOOKUP(D25,RUC!$B$3:$B$123,RUC!$F$3:$F$123)</f>
        <v>120</v>
      </c>
      <c r="V25" s="715">
        <v>1.1023000000000001</v>
      </c>
      <c r="Y25">
        <f>_xlfn.XLOOKUP(D25,RUC!$B$3:$B$123,RUC!$G$3:$G$123)</f>
        <v>20</v>
      </c>
      <c r="Z25" s="143">
        <f>_xlfn.XLOOKUP(D25,RUC!$B$3:$B$123,RUC!$H$3:$H$123)</f>
        <v>30</v>
      </c>
      <c r="AA25" s="144">
        <f t="shared" si="29"/>
        <v>50</v>
      </c>
      <c r="AB25" s="145">
        <f t="shared" si="30"/>
        <v>1397.2589785690002</v>
      </c>
      <c r="AC25" s="145">
        <f>+(S25-T25)*V25-'data 1'!$F$4</f>
        <v>52.27600000000001</v>
      </c>
      <c r="AD25" s="145">
        <f t="shared" si="31"/>
        <v>59.124963165855945</v>
      </c>
      <c r="AE25" s="145">
        <f t="shared" si="32"/>
        <v>-14.884999999999998</v>
      </c>
      <c r="AF25" s="145">
        <f t="shared" si="33"/>
        <v>102.77498747109986</v>
      </c>
      <c r="AG25" s="772">
        <f t="shared" si="34"/>
        <v>216.29095063695581</v>
      </c>
      <c r="AH25" s="1253">
        <f t="shared" si="6"/>
        <v>22.588999999999999</v>
      </c>
      <c r="AI25" s="1253">
        <f t="shared" si="7"/>
        <v>24.248000000000001</v>
      </c>
      <c r="AJ25" s="156">
        <f t="shared" si="8"/>
        <v>85.644505034143918</v>
      </c>
      <c r="AK25" s="156">
        <f t="shared" si="9"/>
        <v>20.536220591723339</v>
      </c>
      <c r="AM25" s="716">
        <f t="shared" si="10"/>
        <v>2330.6279762530921</v>
      </c>
      <c r="AN25" s="716" t="str">
        <f>_xlfn.XLOOKUP(D25,RUC!$B$3:$B$578,RUC!$M$3:$M$578)</f>
        <v>Evelyn</v>
      </c>
      <c r="AO25" s="1167" t="s">
        <v>2277</v>
      </c>
      <c r="AP25" t="s">
        <v>3403</v>
      </c>
      <c r="AQ25" t="s">
        <v>3477</v>
      </c>
      <c r="AV25" s="1557" t="s">
        <v>2280</v>
      </c>
      <c r="AW25" s="703">
        <f t="shared" si="25"/>
        <v>119.91599999999998</v>
      </c>
      <c r="AX25" s="703">
        <v>0.66</v>
      </c>
      <c r="AY25" s="596">
        <f t="shared" si="26"/>
        <v>2713.5019516465081</v>
      </c>
      <c r="AZ25" s="596"/>
      <c r="BA25" s="1256">
        <f t="shared" si="27"/>
        <v>0</v>
      </c>
      <c r="BB25" s="1577" t="s">
        <v>3765</v>
      </c>
      <c r="BC25" s="1581">
        <v>4573.7</v>
      </c>
    </row>
    <row r="26" spans="1:56" ht="15" customHeight="1">
      <c r="A26" s="747" t="s">
        <v>3429</v>
      </c>
      <c r="B26" s="1447">
        <v>45981</v>
      </c>
      <c r="C26" s="1447">
        <v>45972</v>
      </c>
      <c r="D26" t="s">
        <v>1967</v>
      </c>
      <c r="E26" s="762">
        <f>_xlfn.XLOOKUP(D26,RUC!$B$3:$B$123,RUC!$D$3:$D$123)</f>
        <v>20601769396</v>
      </c>
      <c r="G26" s="1082">
        <v>25</v>
      </c>
      <c r="H26" s="762" t="s">
        <v>116</v>
      </c>
      <c r="I26" s="703">
        <v>2.04</v>
      </c>
      <c r="J26" s="596">
        <v>12.57</v>
      </c>
      <c r="K26" s="703">
        <f t="shared" si="0"/>
        <v>1.784</v>
      </c>
      <c r="L26" s="762">
        <v>0.51300000000000001</v>
      </c>
      <c r="M26" s="994">
        <f t="shared" si="28"/>
        <v>0.48199999999999998</v>
      </c>
      <c r="N26" s="1444">
        <v>0.54100000000000004</v>
      </c>
      <c r="O26" s="645">
        <f t="shared" si="1"/>
        <v>0.51200000000000001</v>
      </c>
      <c r="P26" s="727">
        <v>85</v>
      </c>
      <c r="Q26" s="1523">
        <v>85.19</v>
      </c>
      <c r="R26" s="706">
        <v>4123.3</v>
      </c>
      <c r="S26" s="765">
        <f>IF((_xlfn.XLOOKUP(D26,RUC!$B$3:$B$119,RUC!$E$3:$E$119)+ROUNDDOWN(O26,1)*100)&lt;95,95,((_xlfn.XLOOKUP(D26,RUC!$B$3:$B$119,RUC!$E$3:$E$119)+ROUNDDOWN(O26,1)*100)))</f>
        <v>140</v>
      </c>
      <c r="U26" s="1146">
        <f>_xlfn.XLOOKUP(D26,RUC!$B$3:$B$123,RUC!$F$3:$F$123)</f>
        <v>120</v>
      </c>
      <c r="V26" s="715">
        <v>1.1023000000000001</v>
      </c>
      <c r="Y26">
        <f>_xlfn.XLOOKUP(D26,RUC!$B$3:$B$123,RUC!$G$3:$G$123)</f>
        <v>20</v>
      </c>
      <c r="Z26" s="143">
        <f>_xlfn.XLOOKUP(D26,RUC!$B$3:$B$123,RUC!$H$3:$H$123)</f>
        <v>30</v>
      </c>
      <c r="AA26" s="144">
        <f t="shared" si="29"/>
        <v>50</v>
      </c>
      <c r="AB26" s="145">
        <f t="shared" si="30"/>
        <v>1711.0299191680003</v>
      </c>
      <c r="AC26" s="145">
        <f>+(S26-T26)*V26-'data 1'!$F$4</f>
        <v>74.322000000000003</v>
      </c>
      <c r="AD26" s="145">
        <f t="shared" si="31"/>
        <v>4.3011927989729495</v>
      </c>
      <c r="AE26" s="145">
        <f t="shared" si="32"/>
        <v>-14.884999999999998</v>
      </c>
      <c r="AF26" s="145">
        <f t="shared" si="33"/>
        <v>3.7592963429210031</v>
      </c>
      <c r="AG26" s="772">
        <f t="shared" si="34"/>
        <v>84.497489141893936</v>
      </c>
      <c r="AH26" s="1253">
        <f t="shared" si="6"/>
        <v>26.731000000000002</v>
      </c>
      <c r="AI26" s="1253">
        <f t="shared" si="7"/>
        <v>31.378</v>
      </c>
      <c r="AJ26" s="156">
        <f t="shared" si="8"/>
        <v>94.756748683526908</v>
      </c>
      <c r="AK26" s="156">
        <f t="shared" si="9"/>
        <v>26.619065568778243</v>
      </c>
      <c r="AM26" s="716">
        <f t="shared" si="10"/>
        <v>3052.4773757957128</v>
      </c>
      <c r="AN26" s="716" t="str">
        <f>_xlfn.XLOOKUP(D26,RUC!$B$3:$B$578,RUC!$M$3:$M$578)</f>
        <v>Evelyn</v>
      </c>
      <c r="AO26" s="1167" t="s">
        <v>2277</v>
      </c>
      <c r="AP26" t="s">
        <v>3403</v>
      </c>
      <c r="AQ26" t="s">
        <v>3477</v>
      </c>
      <c r="AV26" s="1557" t="s">
        <v>2279</v>
      </c>
      <c r="AW26" s="703">
        <f t="shared" si="25"/>
        <v>107.611</v>
      </c>
      <c r="AX26" s="703">
        <v>0.159</v>
      </c>
      <c r="AY26" s="596">
        <f t="shared" si="26"/>
        <v>586.62809805831944</v>
      </c>
      <c r="AZ26" s="596"/>
      <c r="BA26" s="1256">
        <f t="shared" si="27"/>
        <v>0</v>
      </c>
      <c r="BB26" s="1577" t="s">
        <v>3766</v>
      </c>
      <c r="BC26" s="1581">
        <v>939.82</v>
      </c>
    </row>
    <row r="27" spans="1:56" ht="15" customHeight="1">
      <c r="A27" s="747" t="s">
        <v>3430</v>
      </c>
      <c r="B27" s="1447">
        <v>45981</v>
      </c>
      <c r="C27" s="1447">
        <v>45972</v>
      </c>
      <c r="D27" t="s">
        <v>1967</v>
      </c>
      <c r="E27" s="762">
        <f>_xlfn.XLOOKUP(D27,RUC!$B$3:$B$123,RUC!$D$3:$D$123)</f>
        <v>20601769396</v>
      </c>
      <c r="G27" s="1082">
        <v>13</v>
      </c>
      <c r="H27" s="762" t="s">
        <v>108</v>
      </c>
      <c r="I27" s="703">
        <v>0.92</v>
      </c>
      <c r="J27" s="596">
        <v>20.07</v>
      </c>
      <c r="K27" s="703">
        <f t="shared" si="0"/>
        <v>0.73499999999999999</v>
      </c>
      <c r="L27" s="762">
        <v>0.28599999999999998</v>
      </c>
      <c r="M27" s="994">
        <f t="shared" si="28"/>
        <v>0.26800000000000002</v>
      </c>
      <c r="N27" s="1196">
        <f t="shared" si="24"/>
        <v>0.26800000000000002</v>
      </c>
      <c r="O27" s="645">
        <f t="shared" si="1"/>
        <v>0.26800000000000002</v>
      </c>
      <c r="P27" s="727">
        <v>90</v>
      </c>
      <c r="Q27" s="1523">
        <v>98.6</v>
      </c>
      <c r="R27" s="706">
        <v>4123.3</v>
      </c>
      <c r="S27" s="765">
        <f>IF((_xlfn.XLOOKUP(D27,RUC!$B$3:$B$119,RUC!$E$3:$E$119)+ROUNDDOWN(O27,1)*100)&lt;95,95,((_xlfn.XLOOKUP(D27,RUC!$B$3:$B$119,RUC!$E$3:$E$119)+ROUNDDOWN(O27,1)*100)))</f>
        <v>110</v>
      </c>
      <c r="U27" s="1146">
        <f>_xlfn.XLOOKUP(D27,RUC!$B$3:$B$123,RUC!$F$3:$F$123)</f>
        <v>120</v>
      </c>
      <c r="V27" s="715">
        <v>1.1023000000000001</v>
      </c>
      <c r="Y27">
        <f>_xlfn.XLOOKUP(D27,RUC!$B$3:$B$123,RUC!$G$3:$G$123)</f>
        <v>20</v>
      </c>
      <c r="Z27" s="143">
        <f>_xlfn.XLOOKUP(D27,RUC!$B$3:$B$123,RUC!$H$3:$H$123)</f>
        <v>30</v>
      </c>
      <c r="AA27" s="144">
        <f t="shared" si="29"/>
        <v>50</v>
      </c>
      <c r="AB27" s="145">
        <f t="shared" si="30"/>
        <v>888.00842670800012</v>
      </c>
      <c r="AC27" s="145">
        <f>+(S27-T27)*V27-'data 1'!$F$4</f>
        <v>41.253</v>
      </c>
      <c r="AD27" s="145">
        <f t="shared" si="31"/>
        <v>108.53815336363991</v>
      </c>
      <c r="AE27" s="145">
        <f t="shared" si="32"/>
        <v>-14.884999999999998</v>
      </c>
      <c r="AF27" s="145">
        <f t="shared" si="33"/>
        <v>78.319041547319827</v>
      </c>
      <c r="AG27" s="772">
        <f t="shared" si="34"/>
        <v>230.22519491095977</v>
      </c>
      <c r="AH27" s="1253">
        <f t="shared" si="6"/>
        <v>7.1059999999999999</v>
      </c>
      <c r="AI27" s="1253">
        <f t="shared" si="7"/>
        <v>7.2069999999999999</v>
      </c>
      <c r="AJ27" s="156">
        <f t="shared" si="8"/>
        <v>61.143052330359936</v>
      </c>
      <c r="AK27" s="156">
        <f t="shared" si="9"/>
        <v>6.0781821642801006</v>
      </c>
      <c r="AM27" s="716">
        <f t="shared" si="10"/>
        <v>652.6861936303801</v>
      </c>
      <c r="AN27" s="716" t="str">
        <f>_xlfn.XLOOKUP(D27,RUC!$B$3:$B$578,RUC!$M$3:$M$578)</f>
        <v>Evelyn</v>
      </c>
      <c r="AO27" s="1167" t="s">
        <v>2277</v>
      </c>
      <c r="AP27" t="s">
        <v>3403</v>
      </c>
      <c r="AQ27" t="s">
        <v>3477</v>
      </c>
      <c r="AV27" s="1557" t="s">
        <v>2281</v>
      </c>
      <c r="AW27" s="703">
        <f t="shared" si="25"/>
        <v>91.716999999999985</v>
      </c>
      <c r="AX27" s="703"/>
      <c r="AY27" s="596">
        <f t="shared" si="26"/>
        <v>0</v>
      </c>
      <c r="AZ27" s="596"/>
      <c r="BA27" s="1256">
        <f t="shared" si="27"/>
        <v>0</v>
      </c>
      <c r="BB27" s="1577" t="s">
        <v>3767</v>
      </c>
      <c r="BC27" s="1581">
        <v>186.51900000000001</v>
      </c>
    </row>
    <row r="28" spans="1:56" ht="15" customHeight="1">
      <c r="A28" s="747" t="s">
        <v>3431</v>
      </c>
      <c r="B28" s="1447">
        <v>45981</v>
      </c>
      <c r="C28" s="1447">
        <v>45972</v>
      </c>
      <c r="D28" t="s">
        <v>1967</v>
      </c>
      <c r="E28" s="762">
        <f>_xlfn.XLOOKUP(D28,RUC!$B$3:$B$123,RUC!$D$3:$D$123)</f>
        <v>20601769396</v>
      </c>
      <c r="G28" s="1082">
        <v>45</v>
      </c>
      <c r="H28" s="762" t="s">
        <v>116</v>
      </c>
      <c r="I28" s="703">
        <v>3.61</v>
      </c>
      <c r="J28" s="596">
        <v>18.62</v>
      </c>
      <c r="K28" s="703">
        <f t="shared" si="0"/>
        <v>2.9380000000000002</v>
      </c>
      <c r="L28" s="762">
        <v>0.13400000000000001</v>
      </c>
      <c r="M28" s="994">
        <f t="shared" si="28"/>
        <v>0.11600000000000001</v>
      </c>
      <c r="N28" s="1444">
        <v>0.19900000000000001</v>
      </c>
      <c r="O28" s="645">
        <f t="shared" si="1"/>
        <v>0.158</v>
      </c>
      <c r="P28" s="727">
        <v>85</v>
      </c>
      <c r="Q28" s="1523">
        <v>88.06</v>
      </c>
      <c r="R28" s="706">
        <v>4123.3</v>
      </c>
      <c r="S28" s="765">
        <f>IF((_xlfn.XLOOKUP(D28,RUC!$B$3:$B$119,RUC!$E$3:$E$119)+ROUNDDOWN(O28,1)*100)&lt;95,95,((_xlfn.XLOOKUP(D28,RUC!$B$3:$B$119,RUC!$E$3:$E$119)+ROUNDDOWN(O28,1)*100)))</f>
        <v>100</v>
      </c>
      <c r="U28" s="1146">
        <f>_xlfn.XLOOKUP(D28,RUC!$B$3:$B$123,RUC!$F$3:$F$123)</f>
        <v>120</v>
      </c>
      <c r="V28" s="715">
        <v>1.1023000000000001</v>
      </c>
      <c r="Y28" s="1445">
        <v>40</v>
      </c>
      <c r="Z28" s="143">
        <f>_xlfn.XLOOKUP(D28,RUC!$B$3:$B$123,RUC!$H$3:$H$123)</f>
        <v>30</v>
      </c>
      <c r="AA28" s="144">
        <f t="shared" si="29"/>
        <v>70</v>
      </c>
      <c r="AB28" s="145">
        <f t="shared" si="30"/>
        <v>405.25308833700001</v>
      </c>
      <c r="AC28" s="145">
        <f>+(S28-T28)*V28-'data 1'!$F$4</f>
        <v>30.230000000000004</v>
      </c>
      <c r="AD28" s="145">
        <f t="shared" si="31"/>
        <v>18.094399254036016</v>
      </c>
      <c r="AE28" s="145">
        <f t="shared" si="32"/>
        <v>7.1610000000000014</v>
      </c>
      <c r="AF28" s="145">
        <f t="shared" si="33"/>
        <v>-93.262674762095969</v>
      </c>
      <c r="AG28" s="772">
        <f t="shared" si="34"/>
        <v>-20.777275508059944</v>
      </c>
      <c r="AH28" s="1253">
        <f t="shared" si="6"/>
        <v>11.885999999999999</v>
      </c>
      <c r="AI28" s="1253">
        <f t="shared" si="7"/>
        <v>13.497999999999999</v>
      </c>
      <c r="AJ28" s="156">
        <f t="shared" si="8"/>
        <v>25.585131108963978</v>
      </c>
      <c r="AK28" s="156">
        <f t="shared" si="9"/>
        <v>13.528102133207872</v>
      </c>
      <c r="AM28" s="716">
        <f t="shared" si="10"/>
        <v>1190.6335735341061</v>
      </c>
      <c r="AN28" s="716" t="str">
        <f>_xlfn.XLOOKUP(D28,RUC!$B$3:$B$578,RUC!$M$3:$M$578)</f>
        <v>Evelyn</v>
      </c>
      <c r="AO28" s="1167" t="s">
        <v>2277</v>
      </c>
      <c r="AP28" t="s">
        <v>3403</v>
      </c>
      <c r="AQ28" t="s">
        <v>3477</v>
      </c>
      <c r="AV28" s="1557" t="s">
        <v>2297</v>
      </c>
      <c r="AW28" s="703">
        <f t="shared" si="25"/>
        <v>0</v>
      </c>
      <c r="AY28" s="596">
        <f t="shared" si="26"/>
        <v>0</v>
      </c>
      <c r="BA28" s="1256">
        <f t="shared" si="27"/>
        <v>0</v>
      </c>
      <c r="BB28" s="1579" t="s">
        <v>3206</v>
      </c>
      <c r="BC28" s="1580">
        <f>-BC23-BC24+BC25+BC26+BC27</f>
        <v>138.07199999999932</v>
      </c>
    </row>
    <row r="29" spans="1:56" ht="15" customHeight="1">
      <c r="A29" s="747" t="s">
        <v>3432</v>
      </c>
      <c r="B29" s="1447">
        <v>45982</v>
      </c>
      <c r="C29" s="1447">
        <v>45972</v>
      </c>
      <c r="D29" t="s">
        <v>1967</v>
      </c>
      <c r="E29" s="762">
        <f>_xlfn.XLOOKUP(D29,RUC!$B$3:$B$123,RUC!$D$3:$D$123)</f>
        <v>20601769396</v>
      </c>
      <c r="G29" s="1082">
        <v>33</v>
      </c>
      <c r="H29" s="762" t="s">
        <v>116</v>
      </c>
      <c r="I29" s="703">
        <v>2.9</v>
      </c>
      <c r="J29" s="596">
        <v>11.85</v>
      </c>
      <c r="K29" s="703">
        <f t="shared" si="0"/>
        <v>2.556</v>
      </c>
      <c r="L29" s="762">
        <v>0.27400000000000002</v>
      </c>
      <c r="M29" s="994">
        <f>ROUND(+IF(AN29="Melchor Vera",IF(L29&gt;0.467,L29*0.985,(L29-0.007)),IF(L29&gt;0.3,L29*0.94,(L29-0.018))),3)</f>
        <v>0.25600000000000001</v>
      </c>
      <c r="N29" s="1196">
        <f>+M29</f>
        <v>0.25600000000000001</v>
      </c>
      <c r="O29" s="645">
        <f>+ROUND((M29+N29)/2,3)</f>
        <v>0.25600000000000001</v>
      </c>
      <c r="P29" s="727">
        <v>90</v>
      </c>
      <c r="Q29" s="1523">
        <v>92.7</v>
      </c>
      <c r="R29" s="706">
        <v>4123.3</v>
      </c>
      <c r="S29" s="765">
        <f>IF((_xlfn.XLOOKUP(D29,RUC!$B$3:$B$119,RUC!$E$3:$E$119)+ROUNDDOWN(O29,1)*100)&lt;95,95,((_xlfn.XLOOKUP(D29,RUC!$B$3:$B$119,RUC!$E$3:$E$119)+ROUNDDOWN(O29,1)*100)))</f>
        <v>110</v>
      </c>
      <c r="U29" s="1146">
        <f>_xlfn.XLOOKUP(D29,RUC!$B$3:$B$123,RUC!$F$3:$F$123)</f>
        <v>120</v>
      </c>
      <c r="V29" s="715">
        <v>1.1023000000000001</v>
      </c>
      <c r="Y29">
        <f>_xlfn.XLOOKUP(D29,RUC!$B$3:$B$123,RUC!$G$3:$G$123)</f>
        <v>20</v>
      </c>
      <c r="Z29" s="143">
        <f>_xlfn.XLOOKUP(D29,RUC!$B$3:$B$123,RUC!$H$3:$H$123)</f>
        <v>30</v>
      </c>
      <c r="AA29" s="144">
        <f t="shared" si="29"/>
        <v>50</v>
      </c>
      <c r="AB29" s="145">
        <f t="shared" si="30"/>
        <v>840.34978073600018</v>
      </c>
      <c r="AC29" s="145">
        <f>+(S29-T29)*V29-'data 1'!$F$4</f>
        <v>41.253</v>
      </c>
      <c r="AD29" s="145">
        <f t="shared" si="31"/>
        <v>32.646172490820042</v>
      </c>
      <c r="AE29" s="145">
        <f t="shared" si="32"/>
        <v>-14.884999999999998</v>
      </c>
      <c r="AF29" s="145">
        <f t="shared" si="33"/>
        <v>73.632608026740087</v>
      </c>
      <c r="AG29" s="772">
        <f t="shared" si="34"/>
        <v>149.64678051756013</v>
      </c>
      <c r="AH29" s="1253">
        <f t="shared" si="6"/>
        <v>22.259</v>
      </c>
      <c r="AI29" s="1253">
        <f t="shared" si="7"/>
        <v>24.012</v>
      </c>
      <c r="AJ29" s="156">
        <f t="shared" si="8"/>
        <v>55.072458495179951</v>
      </c>
      <c r="AK29" s="156">
        <f t="shared" si="9"/>
        <v>20.19074730757632</v>
      </c>
      <c r="AM29" s="716">
        <f t="shared" si="10"/>
        <v>2147.9340395612167</v>
      </c>
      <c r="AN29" s="716" t="str">
        <f>_xlfn.XLOOKUP(D29,RUC!$B$3:$B$578,RUC!$M$3:$M$578)</f>
        <v>Evelyn</v>
      </c>
      <c r="AO29" s="1167" t="s">
        <v>2278</v>
      </c>
      <c r="AP29" t="s">
        <v>3403</v>
      </c>
      <c r="AQ29" t="s">
        <v>3477</v>
      </c>
      <c r="AV29" s="1557" t="s">
        <v>2518</v>
      </c>
      <c r="AW29" s="703">
        <f t="shared" si="25"/>
        <v>0</v>
      </c>
      <c r="AY29" s="596">
        <f t="shared" si="26"/>
        <v>0</v>
      </c>
      <c r="BA29" s="1256">
        <f t="shared" si="27"/>
        <v>0</v>
      </c>
    </row>
    <row r="30" spans="1:56" ht="15" customHeight="1">
      <c r="A30" s="747" t="s">
        <v>3433</v>
      </c>
      <c r="B30" s="1447">
        <v>45982</v>
      </c>
      <c r="C30" s="1447">
        <v>45972</v>
      </c>
      <c r="D30" t="s">
        <v>1967</v>
      </c>
      <c r="E30" s="762">
        <f>_xlfn.XLOOKUP(D30,RUC!$B$3:$B$123,RUC!$D$3:$D$123)</f>
        <v>20601769396</v>
      </c>
      <c r="G30" s="1082">
        <v>33</v>
      </c>
      <c r="H30" s="762" t="s">
        <v>116</v>
      </c>
      <c r="I30" s="703">
        <v>2.81</v>
      </c>
      <c r="J30" s="596">
        <v>8.6</v>
      </c>
      <c r="K30" s="703">
        <f t="shared" si="0"/>
        <v>2.5680000000000001</v>
      </c>
      <c r="L30" s="994">
        <v>0.24</v>
      </c>
      <c r="M30" s="994">
        <f>ROUND(+IF(AN30="Melchor Vera",IF(L30&gt;0.467,L30*0.985,(L30-0.007)),IF(L30&gt;0.3,L30*0.94,(L30-0.018))),3)</f>
        <v>0.222</v>
      </c>
      <c r="N30" s="1196">
        <f>+M30</f>
        <v>0.222</v>
      </c>
      <c r="O30" s="645">
        <f>+ROUND((M30+N30)/2,3)</f>
        <v>0.222</v>
      </c>
      <c r="P30" s="727">
        <v>90</v>
      </c>
      <c r="Q30" s="1523">
        <v>92.5</v>
      </c>
      <c r="R30" s="706">
        <v>4123.3</v>
      </c>
      <c r="S30" s="765">
        <f>IF((_xlfn.XLOOKUP(D30,RUC!$B$3:$B$119,RUC!$E$3:$E$119)+ROUNDDOWN(O30,1)*100)&lt;95,95,((_xlfn.XLOOKUP(D30,RUC!$B$3:$B$119,RUC!$E$3:$E$119)+ROUNDDOWN(O30,1)*100)))</f>
        <v>110</v>
      </c>
      <c r="U30" s="1146">
        <f>_xlfn.XLOOKUP(D30,RUC!$B$3:$B$123,RUC!$F$3:$F$123)</f>
        <v>120</v>
      </c>
      <c r="V30" s="715">
        <v>1.1023000000000001</v>
      </c>
      <c r="Y30">
        <f>_xlfn.XLOOKUP(D30,RUC!$B$3:$B$123,RUC!$G$3:$G$123)</f>
        <v>20</v>
      </c>
      <c r="Z30" s="143">
        <f>_xlfn.XLOOKUP(D30,RUC!$B$3:$B$123,RUC!$H$3:$H$123)</f>
        <v>30</v>
      </c>
      <c r="AA30" s="144">
        <f t="shared" si="29"/>
        <v>50</v>
      </c>
      <c r="AB30" s="145">
        <f t="shared" si="30"/>
        <v>705.31695048200015</v>
      </c>
      <c r="AC30" s="145">
        <f>+(S30-T30)*V30-'data 1'!$F$4</f>
        <v>41.253</v>
      </c>
      <c r="AD30" s="145">
        <f t="shared" si="31"/>
        <v>26.47702554</v>
      </c>
      <c r="AE30" s="145">
        <f t="shared" si="32"/>
        <v>-14.884999999999998</v>
      </c>
      <c r="AF30" s="145">
        <f t="shared" si="33"/>
        <v>73.473745873499965</v>
      </c>
      <c r="AG30" s="772">
        <f t="shared" si="34"/>
        <v>143.31877141349997</v>
      </c>
      <c r="AH30" s="1253">
        <f t="shared" si="6"/>
        <v>19.545999999999999</v>
      </c>
      <c r="AI30" s="1253">
        <f t="shared" si="7"/>
        <v>21.131</v>
      </c>
      <c r="AJ30" s="156">
        <f t="shared" si="8"/>
        <v>48.134575019999957</v>
      </c>
      <c r="AK30" s="156">
        <f t="shared" si="9"/>
        <v>17.591366327177521</v>
      </c>
      <c r="AM30" s="716">
        <f t="shared" si="10"/>
        <v>1811.2539288377764</v>
      </c>
      <c r="AN30" s="716" t="str">
        <f>_xlfn.XLOOKUP(D30,RUC!$B$3:$B$578,RUC!$M$3:$M$578)</f>
        <v>Evelyn</v>
      </c>
      <c r="AO30" s="1167" t="s">
        <v>2278</v>
      </c>
      <c r="AP30" t="s">
        <v>3403</v>
      </c>
      <c r="AQ30" t="s">
        <v>3477</v>
      </c>
      <c r="AV30" s="1557" t="s">
        <v>2519</v>
      </c>
      <c r="AW30" s="703">
        <f t="shared" si="25"/>
        <v>0</v>
      </c>
      <c r="AY30" s="596">
        <f t="shared" si="26"/>
        <v>0</v>
      </c>
      <c r="BA30" s="1256">
        <f t="shared" si="27"/>
        <v>0</v>
      </c>
    </row>
    <row r="31" spans="1:56" ht="15" customHeight="1">
      <c r="A31" s="747" t="s">
        <v>3434</v>
      </c>
      <c r="B31" s="1447">
        <v>45982</v>
      </c>
      <c r="C31" s="1447">
        <v>45972</v>
      </c>
      <c r="D31" t="s">
        <v>1967</v>
      </c>
      <c r="E31" s="762">
        <f>_xlfn.XLOOKUP(D31,RUC!$B$3:$B$123,RUC!$D$3:$D$123)</f>
        <v>20601769396</v>
      </c>
      <c r="G31" s="1082">
        <v>33</v>
      </c>
      <c r="H31" s="762" t="s">
        <v>116</v>
      </c>
      <c r="I31" s="703">
        <v>2.86</v>
      </c>
      <c r="J31" s="596">
        <v>9.3000000000000007</v>
      </c>
      <c r="K31" s="703">
        <f t="shared" si="0"/>
        <v>2.5939999999999999</v>
      </c>
      <c r="L31" s="762">
        <v>0.28199999999999997</v>
      </c>
      <c r="M31" s="994">
        <f>ROUND(+IF(AN31="Melchor Vera",IF(L31&gt;0.467,L31*0.985,(L31-0.007)),IF(L31&gt;0.3,L31*0.94,(L31-0.018))),3)</f>
        <v>0.26400000000000001</v>
      </c>
      <c r="N31" s="1480">
        <v>0.35099999999999998</v>
      </c>
      <c r="O31" s="645">
        <f>+ROUND((M31+N31)/2,3)</f>
        <v>0.308</v>
      </c>
      <c r="P31" s="727">
        <v>90</v>
      </c>
      <c r="Q31" s="1523">
        <v>95.74</v>
      </c>
      <c r="R31" s="706">
        <v>4123.3</v>
      </c>
      <c r="S31" s="765">
        <f>IF((_xlfn.XLOOKUP(D31,RUC!$B$3:$B$119,RUC!$E$3:$E$119)+ROUNDDOWN(O31,1)*100)&lt;95,95,((_xlfn.XLOOKUP(D31,RUC!$B$3:$B$119,RUC!$E$3:$E$119)+ROUNDDOWN(O31,1)*100)))</f>
        <v>120</v>
      </c>
      <c r="U31" s="1146">
        <f>_xlfn.XLOOKUP(D31,RUC!$B$3:$B$123,RUC!$F$3:$F$123)</f>
        <v>120</v>
      </c>
      <c r="V31" s="715">
        <v>1.1023000000000001</v>
      </c>
      <c r="Y31" s="1034">
        <v>35</v>
      </c>
      <c r="Z31" s="143">
        <f>_xlfn.XLOOKUP(D31,RUC!$B$3:$B$123,RUC!$H$3:$H$123)</f>
        <v>30</v>
      </c>
      <c r="AA31" s="144">
        <f t="shared" si="29"/>
        <v>65</v>
      </c>
      <c r="AB31" s="145">
        <f t="shared" si="30"/>
        <v>1019.3130799479999</v>
      </c>
      <c r="AC31" s="145">
        <f>+(S31-T31)*V31-'data 1'!$F$4</f>
        <v>52.27600000000001</v>
      </c>
      <c r="AD31" s="145">
        <f t="shared" si="31"/>
        <v>71.429719501811931</v>
      </c>
      <c r="AE31" s="145">
        <f t="shared" si="32"/>
        <v>1.6495000000000033</v>
      </c>
      <c r="AF31" s="145">
        <f t="shared" si="33"/>
        <v>-109.84611842531609</v>
      </c>
      <c r="AG31" s="772">
        <f t="shared" si="34"/>
        <v>32.509101076495853</v>
      </c>
      <c r="AH31" s="1253">
        <f t="shared" si="6"/>
        <v>24.012</v>
      </c>
      <c r="AI31" s="1253">
        <f t="shared" si="7"/>
        <v>25.08</v>
      </c>
      <c r="AJ31" s="156">
        <f t="shared" si="8"/>
        <v>58.539188644187945</v>
      </c>
      <c r="AK31" s="156">
        <f t="shared" si="9"/>
        <v>24.653141417991236</v>
      </c>
      <c r="AM31" s="716">
        <f t="shared" si="10"/>
        <v>2644.0981293851114</v>
      </c>
      <c r="AN31" s="716" t="str">
        <f>_xlfn.XLOOKUP(D31,RUC!$B$3:$B$578,RUC!$M$3:$M$578)</f>
        <v>Evelyn</v>
      </c>
      <c r="AO31" s="1167" t="s">
        <v>2278</v>
      </c>
      <c r="AP31" t="s">
        <v>3403</v>
      </c>
      <c r="AQ31" t="s">
        <v>3477</v>
      </c>
      <c r="AV31" s="1557" t="s">
        <v>2520</v>
      </c>
      <c r="AW31" s="703">
        <f t="shared" si="25"/>
        <v>0</v>
      </c>
      <c r="AY31" s="596">
        <f t="shared" si="26"/>
        <v>0</v>
      </c>
      <c r="BA31" s="1256">
        <f t="shared" si="27"/>
        <v>0</v>
      </c>
    </row>
    <row r="32" spans="1:56" ht="15" customHeight="1" thickBot="1">
      <c r="A32" s="747" t="s">
        <v>3435</v>
      </c>
      <c r="B32" s="1447">
        <v>45977</v>
      </c>
      <c r="C32" s="1447">
        <v>45972</v>
      </c>
      <c r="D32" t="s">
        <v>2004</v>
      </c>
      <c r="E32" s="762">
        <f>_xlfn.XLOOKUP(D32,RUC!$B$3:$B$123,RUC!$D$3:$D$123)</f>
        <v>20612921866</v>
      </c>
      <c r="G32" s="1082">
        <v>18</v>
      </c>
      <c r="H32" s="762" t="s">
        <v>69</v>
      </c>
      <c r="I32" s="703">
        <v>1.01</v>
      </c>
      <c r="J32" s="596">
        <v>1.2</v>
      </c>
      <c r="K32" s="703">
        <f t="shared" si="0"/>
        <v>0.998</v>
      </c>
      <c r="L32" s="762">
        <v>0.16300000000000001</v>
      </c>
      <c r="M32" s="994">
        <f>ROUND(+IF(AN32="Melchor Vera",IF(L32&gt;0.467,L32*0.985,(L32-0.007)),IF(L32&gt;0.3,L32*0.94,(L32-0.018))),3)</f>
        <v>0.14499999999999999</v>
      </c>
      <c r="N32" s="1196">
        <f>+M32</f>
        <v>0.14499999999999999</v>
      </c>
      <c r="O32" s="645">
        <f>+ROUND((M32+N32)/2,3)</f>
        <v>0.14499999999999999</v>
      </c>
      <c r="P32" s="727">
        <v>90</v>
      </c>
      <c r="Q32" s="1523">
        <v>96.32</v>
      </c>
      <c r="R32" s="706">
        <v>4123.3</v>
      </c>
      <c r="S32" s="765">
        <f>IF((_xlfn.XLOOKUP(D32,RUC!$B$3:$B$119,RUC!$E$3:$E$119)+ROUNDDOWN(O32,1)*100)&lt;95,95,((_xlfn.XLOOKUP(D32,RUC!$B$3:$B$119,RUC!$E$3:$E$119)+ROUNDDOWN(O32,1)*100)))</f>
        <v>95</v>
      </c>
      <c r="U32" s="1146">
        <f>_xlfn.XLOOKUP(D32,RUC!$B$3:$B$123,RUC!$F$3:$F$123)</f>
        <v>100</v>
      </c>
      <c r="V32" s="715">
        <v>1.1023000000000001</v>
      </c>
      <c r="Y32">
        <f>_xlfn.XLOOKUP(D32,RUC!$B$3:$B$123,RUC!$G$3:$G$123)</f>
        <v>0</v>
      </c>
      <c r="Z32" s="143">
        <f>_xlfn.XLOOKUP(D32,RUC!$B$3:$B$123,RUC!$H$3:$H$123)</f>
        <v>30</v>
      </c>
      <c r="AA32" s="144">
        <f t="shared" si="29"/>
        <v>30</v>
      </c>
      <c r="AB32" s="145">
        <f t="shared" si="30"/>
        <v>440.96480849499994</v>
      </c>
      <c r="AC32" s="145">
        <f>+(S32-T32)*V32-'data 1'!$F$4</f>
        <v>24.718500000000006</v>
      </c>
      <c r="AD32" s="145">
        <f t="shared" si="31"/>
        <v>45.686396790743949</v>
      </c>
      <c r="AE32" s="145">
        <f t="shared" si="32"/>
        <v>-36.930999999999997</v>
      </c>
      <c r="AF32" s="145">
        <f t="shared" si="33"/>
        <v>76.890237729984079</v>
      </c>
      <c r="AG32" s="772">
        <f>AC32+AD32+AE32+AF32+70-10</f>
        <v>170.36413452072804</v>
      </c>
      <c r="AH32" s="1253">
        <f t="shared" si="6"/>
        <v>5.3719999999999999</v>
      </c>
      <c r="AI32" s="1253">
        <f t="shared" si="7"/>
        <v>5.577</v>
      </c>
      <c r="AJ32" s="156">
        <f t="shared" si="8"/>
        <v>30.580208012255966</v>
      </c>
      <c r="AK32" s="156">
        <f t="shared" si="9"/>
        <v>4.4652946542439498</v>
      </c>
      <c r="AM32" s="716">
        <f t="shared" si="10"/>
        <v>440.08287887800992</v>
      </c>
      <c r="AN32" s="716" t="str">
        <f>_xlfn.XLOOKUP(D32,RUC!$B$3:$B$578,RUC!$M$3:$M$578)</f>
        <v>Ronald Garibay</v>
      </c>
      <c r="AO32" s="1167" t="s">
        <v>2277</v>
      </c>
      <c r="AP32" t="s">
        <v>3478</v>
      </c>
      <c r="AQ32" t="s">
        <v>3479</v>
      </c>
      <c r="AV32" s="1558" t="s">
        <v>2521</v>
      </c>
      <c r="AW32" s="1254">
        <f t="shared" si="25"/>
        <v>0</v>
      </c>
      <c r="AX32" s="1257"/>
      <c r="AY32" s="1242">
        <f t="shared" si="26"/>
        <v>0</v>
      </c>
      <c r="AZ32" s="1257"/>
      <c r="BA32" s="1258">
        <f t="shared" si="27"/>
        <v>0</v>
      </c>
    </row>
    <row r="33" spans="1:44" ht="15" customHeight="1">
      <c r="A33" s="747" t="s">
        <v>3437</v>
      </c>
      <c r="B33" s="1447">
        <v>45977</v>
      </c>
      <c r="C33" s="1447">
        <v>45972</v>
      </c>
      <c r="D33" t="s">
        <v>2004</v>
      </c>
      <c r="E33" s="762">
        <f>_xlfn.XLOOKUP(D33,RUC!$B$3:$B$123,RUC!$D$3:$D$123)</f>
        <v>20612921866</v>
      </c>
      <c r="G33" s="1082">
        <v>26</v>
      </c>
      <c r="H33" s="762" t="s">
        <v>108</v>
      </c>
      <c r="I33" s="703">
        <v>1.79</v>
      </c>
      <c r="J33" s="596">
        <v>1.1499999999999999</v>
      </c>
      <c r="K33" s="703">
        <f t="shared" si="0"/>
        <v>1.7689999999999999</v>
      </c>
      <c r="L33" s="762">
        <v>0.224</v>
      </c>
      <c r="M33" s="994">
        <f t="shared" ref="M33:M89" si="35">ROUND(+IF(AN33="Melchor Vera",IF(L33&gt;0.467,L33*0.985,(L33-0.007)),IF(L33&gt;0.3,L33*0.94,(L33-0.018))),3)</f>
        <v>0.20599999999999999</v>
      </c>
      <c r="N33" s="1196">
        <f t="shared" ref="N33:N47" si="36">+M33</f>
        <v>0.20599999999999999</v>
      </c>
      <c r="O33" s="645">
        <f t="shared" ref="O33:O51" si="37">+ROUND((M33+N33)/2,3)</f>
        <v>0.20599999999999999</v>
      </c>
      <c r="P33" s="727">
        <v>90</v>
      </c>
      <c r="Q33" s="1523">
        <v>94.2</v>
      </c>
      <c r="R33" s="706">
        <v>4123.3</v>
      </c>
      <c r="S33" s="765">
        <f>IF((_xlfn.XLOOKUP(D33,RUC!$B$3:$B$119,RUC!$E$3:$E$119)+ROUNDDOWN(O33,1)*100)&lt;95,95,((_xlfn.XLOOKUP(D33,RUC!$B$3:$B$119,RUC!$E$3:$E$119)+ROUNDDOWN(O33,1)*100)))</f>
        <v>100</v>
      </c>
      <c r="U33" s="1146">
        <f>_xlfn.XLOOKUP(D33,RUC!$B$3:$B$123,RUC!$F$3:$F$123)</f>
        <v>100</v>
      </c>
      <c r="V33" s="715">
        <v>1.1023000000000001</v>
      </c>
      <c r="Y33">
        <f>_xlfn.XLOOKUP(D33,RUC!$B$3:$B$123,RUC!$G$3:$G$123)</f>
        <v>0</v>
      </c>
      <c r="Z33" s="143">
        <f>_xlfn.XLOOKUP(D33,RUC!$B$3:$B$123,RUC!$H$3:$H$123)</f>
        <v>30</v>
      </c>
      <c r="AA33" s="144">
        <f t="shared" si="29"/>
        <v>30</v>
      </c>
      <c r="AB33" s="145">
        <f t="shared" si="30"/>
        <v>678.92841758600014</v>
      </c>
      <c r="AC33" s="145">
        <f>+(S33-T33)*V33-'data 1'!$F$4</f>
        <v>30.230000000000004</v>
      </c>
      <c r="AD33" s="145">
        <f t="shared" si="31"/>
        <v>41.723384814720028</v>
      </c>
      <c r="AE33" s="145">
        <f t="shared" si="32"/>
        <v>-36.930999999999997</v>
      </c>
      <c r="AF33" s="145">
        <f t="shared" si="33"/>
        <v>75.19788615204007</v>
      </c>
      <c r="AG33" s="772">
        <f>AC33+AD33+AE33+AF33+70-10</f>
        <v>170.2202709667601</v>
      </c>
      <c r="AH33" s="1253">
        <f t="shared" si="6"/>
        <v>12.798</v>
      </c>
      <c r="AI33" s="1253">
        <f t="shared" si="7"/>
        <v>13.586</v>
      </c>
      <c r="AJ33" s="156">
        <f t="shared" si="8"/>
        <v>41.099380721279957</v>
      </c>
      <c r="AK33" s="156">
        <f t="shared" si="9"/>
        <v>11.244667860767429</v>
      </c>
      <c r="AM33" s="716">
        <f t="shared" si="10"/>
        <v>1201.0243707096342</v>
      </c>
      <c r="AN33" s="716" t="str">
        <f>_xlfn.XLOOKUP(D33,RUC!$B$3:$B$578,RUC!$M$3:$M$578)</f>
        <v>Ronald Garibay</v>
      </c>
      <c r="AO33" s="1167" t="s">
        <v>2277</v>
      </c>
      <c r="AP33" t="s">
        <v>3478</v>
      </c>
      <c r="AQ33" t="s">
        <v>3479</v>
      </c>
    </row>
    <row r="34" spans="1:44" ht="15" customHeight="1">
      <c r="A34" s="747" t="s">
        <v>3438</v>
      </c>
      <c r="B34" s="1447">
        <v>45978</v>
      </c>
      <c r="C34" s="1447">
        <v>45972</v>
      </c>
      <c r="D34" t="s">
        <v>1967</v>
      </c>
      <c r="E34" s="762">
        <f>_xlfn.XLOOKUP(D34,RUC!$B$3:$B$123,RUC!$D$3:$D$123)</f>
        <v>20601769396</v>
      </c>
      <c r="G34" s="1082">
        <v>34</v>
      </c>
      <c r="H34" s="762" t="s">
        <v>116</v>
      </c>
      <c r="I34" s="703">
        <v>3.33</v>
      </c>
      <c r="J34" s="596">
        <v>6.95</v>
      </c>
      <c r="K34" s="703">
        <f t="shared" si="0"/>
        <v>3.0990000000000002</v>
      </c>
      <c r="L34" s="762">
        <v>0.30399999999999999</v>
      </c>
      <c r="M34" s="994">
        <f t="shared" si="35"/>
        <v>0.28599999999999998</v>
      </c>
      <c r="N34" s="1196">
        <f t="shared" si="36"/>
        <v>0.28599999999999998</v>
      </c>
      <c r="O34" s="645">
        <f t="shared" si="37"/>
        <v>0.28599999999999998</v>
      </c>
      <c r="P34" s="727">
        <v>90</v>
      </c>
      <c r="Q34" s="1523">
        <v>93.75</v>
      </c>
      <c r="R34" s="706">
        <v>4123.3</v>
      </c>
      <c r="S34" s="765">
        <f>IF((_xlfn.XLOOKUP(D34,RUC!$B$3:$B$119,RUC!$E$3:$E$119)+ROUNDDOWN(O34,1)*100)&lt;95,95,((_xlfn.XLOOKUP(D34,RUC!$B$3:$B$119,RUC!$E$3:$E$119)+ROUNDDOWN(O34,1)*100)))</f>
        <v>110</v>
      </c>
      <c r="U34" s="1146">
        <f>_xlfn.XLOOKUP(D34,RUC!$B$3:$B$123,RUC!$F$3:$F$123)</f>
        <v>120</v>
      </c>
      <c r="V34" s="715">
        <v>1.1023000000000001</v>
      </c>
      <c r="Y34">
        <f>_xlfn.XLOOKUP(D34,RUC!$B$3:$B$123,RUC!$G$3:$G$123)</f>
        <v>20</v>
      </c>
      <c r="Z34" s="143">
        <f>_xlfn.XLOOKUP(D34,RUC!$B$3:$B$123,RUC!$H$3:$H$123)</f>
        <v>30</v>
      </c>
      <c r="AA34" s="144">
        <f>+Y34+Z34</f>
        <v>50</v>
      </c>
      <c r="AB34" s="145">
        <f>+((O34*P34*(R34-U34)/100)-S34-AA34+T34)*V34</f>
        <v>959.49639566600001</v>
      </c>
      <c r="AC34" s="145">
        <f>+(S34-T34)*V34-'data 1'!$F$4</f>
        <v>41.253</v>
      </c>
      <c r="AD34" s="145">
        <f>+(Q34-P34)*(R34-U34)*L34*V34/100</f>
        <v>50.306348526000001</v>
      </c>
      <c r="AE34" s="145">
        <f>+(Y34*V34-70)+V34*(Z34-IF(D34="UNTUCA",IF(+((W34-3)*2.5+(X34-3)*3.1)&gt;0,+((W34-3)*1.5+(X34-3)*3.1),0),IF(+((W34-3)*1.5+(X34-3)*3.1)&gt;0,+((W34-3)*1.5+(X34-3)*3.1),0)))</f>
        <v>-14.884999999999998</v>
      </c>
      <c r="AF34" s="145">
        <f>(L34-O34)*(R34-U34)*Q34*V34/100</f>
        <v>74.466634331250077</v>
      </c>
      <c r="AG34" s="772">
        <f>AC34+AD34+AE34+AF34+70-53</f>
        <v>168.14098285725009</v>
      </c>
      <c r="AH34" s="1253">
        <f t="shared" si="6"/>
        <v>30.280999999999999</v>
      </c>
      <c r="AI34" s="1253">
        <f t="shared" si="7"/>
        <v>32.299999999999997</v>
      </c>
      <c r="AJ34" s="156">
        <f t="shared" si="8"/>
        <v>61.794386849999938</v>
      </c>
      <c r="AK34" s="156">
        <f t="shared" si="9"/>
        <v>27.348857481732932</v>
      </c>
      <c r="AM34" s="716">
        <f t="shared" si="10"/>
        <v>2973.4793301689342</v>
      </c>
      <c r="AN34" s="716" t="str">
        <f>_xlfn.XLOOKUP(D34,RUC!$B$3:$B$578,RUC!$M$3:$M$578)</f>
        <v>Evelyn</v>
      </c>
      <c r="AO34" s="1167" t="s">
        <v>2277</v>
      </c>
      <c r="AP34" t="s">
        <v>3403</v>
      </c>
      <c r="AQ34" t="s">
        <v>3477</v>
      </c>
    </row>
    <row r="35" spans="1:44" ht="14.25" customHeight="1">
      <c r="A35" s="747" t="s">
        <v>3439</v>
      </c>
      <c r="B35" s="1447">
        <v>45977</v>
      </c>
      <c r="C35" s="1447">
        <v>45972</v>
      </c>
      <c r="D35" t="s">
        <v>2004</v>
      </c>
      <c r="E35" s="762">
        <f>_xlfn.XLOOKUP(D35,RUC!$B$3:$B$123,RUC!$D$3:$D$123)</f>
        <v>20612921866</v>
      </c>
      <c r="G35" s="1082">
        <v>82</v>
      </c>
      <c r="H35" s="762" t="s">
        <v>69</v>
      </c>
      <c r="I35" s="703">
        <v>8.92</v>
      </c>
      <c r="J35" s="596">
        <v>1.25</v>
      </c>
      <c r="K35" s="703">
        <f t="shared" si="0"/>
        <v>8.8089999999999993</v>
      </c>
      <c r="L35" s="762">
        <v>0.14299999999999999</v>
      </c>
      <c r="M35" s="994">
        <f t="shared" si="35"/>
        <v>0.125</v>
      </c>
      <c r="N35" s="1196">
        <f t="shared" si="36"/>
        <v>0.125</v>
      </c>
      <c r="O35" s="645">
        <f t="shared" si="37"/>
        <v>0.125</v>
      </c>
      <c r="P35" s="727">
        <v>90</v>
      </c>
      <c r="Q35" s="1523">
        <v>97.2</v>
      </c>
      <c r="R35" s="706">
        <v>4123.3</v>
      </c>
      <c r="S35" s="765">
        <f>IF((_xlfn.XLOOKUP(D35,RUC!$B$3:$B$119,RUC!$E$3:$E$119)+ROUNDDOWN(O35,1)*100)&lt;95,95,((_xlfn.XLOOKUP(D35,RUC!$B$3:$B$119,RUC!$E$3:$E$119)+ROUNDDOWN(O35,1)*100)))</f>
        <v>95</v>
      </c>
      <c r="U35" s="1146">
        <f>_xlfn.XLOOKUP(D35,RUC!$B$3:$B$123,RUC!$F$3:$F$123)</f>
        <v>100</v>
      </c>
      <c r="V35" s="715">
        <v>1.1023000000000001</v>
      </c>
      <c r="Y35">
        <f>_xlfn.XLOOKUP(D35,RUC!$B$3:$B$123,RUC!$G$3:$G$123)</f>
        <v>0</v>
      </c>
      <c r="Z35" s="143">
        <f>_xlfn.XLOOKUP(D35,RUC!$B$3:$B$123,RUC!$H$3:$H$123)</f>
        <v>30</v>
      </c>
      <c r="AA35" s="144">
        <f t="shared" ref="AA35" si="38">+Y35+Z35</f>
        <v>30</v>
      </c>
      <c r="AB35" s="145">
        <f t="shared" ref="AB35" si="39">+((O35*P35*(R35-U35)/100)-S35-AA35+T35)*V35</f>
        <v>361.13690387499997</v>
      </c>
      <c r="AC35" s="145">
        <f>+(S35-T35)*V35-'data 1'!$F$4</f>
        <v>24.718500000000006</v>
      </c>
      <c r="AD35" s="145">
        <f t="shared" ref="AD35" si="40">+(Q35-P35)*(R35-U35)*L35*V35/100</f>
        <v>45.661561442640014</v>
      </c>
      <c r="AE35" s="145">
        <f t="shared" ref="AE35" si="41">+(Y35*V35-70)+V35*(Z35-IF(D35="UNTUCA",IF(+((W35-3)*2.5+(X35-3)*3.1)&gt;0,+((W35-3)*1.5+(X35-3)*3.1),0),IF(+((W35-3)*1.5+(X35-3)*3.1)&gt;0,+((W35-3)*1.5+(X35-3)*3.1),0)))</f>
        <v>-36.930999999999997</v>
      </c>
      <c r="AF35" s="145">
        <f t="shared" ref="AF35" si="42">(L35-O35)*(R35-U35)*Q35*V35/100</f>
        <v>77.592723290639952</v>
      </c>
      <c r="AG35" s="772">
        <f>AC35+AD35+AE35+AF35+70-10</f>
        <v>171.04178473328</v>
      </c>
      <c r="AH35" s="1253">
        <f t="shared" si="6"/>
        <v>41.98</v>
      </c>
      <c r="AI35" s="1253">
        <f t="shared" si="7"/>
        <v>43.189</v>
      </c>
      <c r="AJ35" s="156">
        <f t="shared" si="8"/>
        <v>27.073141884359973</v>
      </c>
      <c r="AK35" s="156">
        <f t="shared" si="9"/>
        <v>33.977248124900626</v>
      </c>
      <c r="AM35" s="716">
        <f t="shared" si="10"/>
        <v>3181.2549862348747</v>
      </c>
      <c r="AN35" s="716" t="str">
        <f>_xlfn.XLOOKUP(D35,RUC!$B$3:$B$578,RUC!$M$3:$M$578)</f>
        <v>Ronald Garibay</v>
      </c>
      <c r="AO35" s="1167" t="s">
        <v>2277</v>
      </c>
      <c r="AP35" t="s">
        <v>3478</v>
      </c>
      <c r="AQ35" t="s">
        <v>3479</v>
      </c>
    </row>
    <row r="36" spans="1:44" ht="15" customHeight="1">
      <c r="A36" s="747" t="s">
        <v>3440</v>
      </c>
      <c r="B36" s="1447">
        <v>45980</v>
      </c>
      <c r="C36" s="1447">
        <v>45972</v>
      </c>
      <c r="D36" t="s">
        <v>1967</v>
      </c>
      <c r="E36" s="762">
        <f>_xlfn.XLOOKUP(D36,RUC!$B$3:$B$123,RUC!$D$3:$D$123)</f>
        <v>20601769396</v>
      </c>
      <c r="G36" s="1082">
        <v>30</v>
      </c>
      <c r="H36" s="762" t="s">
        <v>116</v>
      </c>
      <c r="I36" s="703">
        <v>2.41</v>
      </c>
      <c r="J36" s="596">
        <v>6.6</v>
      </c>
      <c r="K36" s="703">
        <f t="shared" si="0"/>
        <v>2.2509999999999999</v>
      </c>
      <c r="L36" s="762">
        <v>0.20200000000000001</v>
      </c>
      <c r="M36" s="994">
        <f t="shared" si="35"/>
        <v>0.184</v>
      </c>
      <c r="N36" s="1196">
        <f t="shared" si="36"/>
        <v>0.184</v>
      </c>
      <c r="O36" s="1546">
        <v>0.26500000000000001</v>
      </c>
      <c r="P36" s="727">
        <v>90</v>
      </c>
      <c r="Q36" s="1523">
        <v>94.06</v>
      </c>
      <c r="R36" s="706">
        <v>4123.3</v>
      </c>
      <c r="S36" s="765">
        <f>IF((_xlfn.XLOOKUP(D36,RUC!$B$3:$B$119,RUC!$E$3:$E$119)+ROUNDDOWN(O36,1)*100)&lt;95,95,((_xlfn.XLOOKUP(D36,RUC!$B$3:$B$119,RUC!$E$3:$E$119)+ROUNDDOWN(O36,1)*100)))</f>
        <v>110</v>
      </c>
      <c r="U36" s="1146">
        <f>_xlfn.XLOOKUP(D36,RUC!$B$3:$B$123,RUC!$F$3:$F$123)</f>
        <v>120</v>
      </c>
      <c r="V36" s="715">
        <v>1.1023000000000001</v>
      </c>
      <c r="Y36" s="1034">
        <v>40</v>
      </c>
      <c r="Z36" s="143">
        <f>_xlfn.XLOOKUP(D36,RUC!$B$3:$B$123,RUC!$H$3:$H$123)</f>
        <v>30</v>
      </c>
      <c r="AA36" s="144">
        <f>+Y36+Z36</f>
        <v>70</v>
      </c>
      <c r="AB36" s="145">
        <f>+((O36*P36*(R36-U36)/100)-S36-AA36+T36)*V36</f>
        <v>854.04776521500014</v>
      </c>
      <c r="AC36" s="145">
        <f>+(S36-T36)*V36-'data 1'!$F$4</f>
        <v>41.253</v>
      </c>
      <c r="AD36" s="145">
        <f>+(Q36-P36)*(R36-U36)*L36*V36/100</f>
        <v>36.190563643108028</v>
      </c>
      <c r="AE36" s="145">
        <f>+(Y36*V36-70)+V36*(Z36-IF(D36="UNTUCA",IF(+((W36-3)*2.5+(X36-3)*3.1)&gt;0,+((W36-3)*1.5+(X36-3)*3.1),0),IF(+((W36-3)*1.5+(X36-3)*3.1)&gt;0,+((W36-3)*1.5+(X36-3)*3.1),0)))</f>
        <v>7.1610000000000014</v>
      </c>
      <c r="AF36" s="145">
        <f>(L36-O36)*(R36-U36)*Q36*V36/100</f>
        <v>-261.49504734070206</v>
      </c>
      <c r="AG36" s="772">
        <f>AC36+AD36+AE36+AF36+70-53</f>
        <v>-159.89048369759402</v>
      </c>
      <c r="AH36" s="1253">
        <f t="shared" si="6"/>
        <v>14.664</v>
      </c>
      <c r="AI36" s="1253">
        <f t="shared" si="7"/>
        <v>15.59</v>
      </c>
      <c r="AJ36" s="156">
        <f t="shared" si="8"/>
        <v>41.196518086891963</v>
      </c>
      <c r="AK36" s="156">
        <f t="shared" si="9"/>
        <v>18.406573427381176</v>
      </c>
      <c r="AM36" s="716">
        <f t="shared" si="10"/>
        <v>1922.4615194989651</v>
      </c>
      <c r="AN36" s="716" t="str">
        <f>_xlfn.XLOOKUP(D36,RUC!$B$3:$B$578,RUC!$M$3:$M$578)</f>
        <v>Evelyn</v>
      </c>
      <c r="AO36" s="1167" t="s">
        <v>2278</v>
      </c>
      <c r="AP36" t="s">
        <v>3403</v>
      </c>
      <c r="AQ36" t="s">
        <v>3477</v>
      </c>
      <c r="AR36" s="1547" t="s">
        <v>3519</v>
      </c>
    </row>
    <row r="37" spans="1:44" ht="15" customHeight="1">
      <c r="A37" s="747" t="s">
        <v>3442</v>
      </c>
      <c r="B37" s="1447">
        <v>45977</v>
      </c>
      <c r="C37" s="1447">
        <v>45973</v>
      </c>
      <c r="D37" t="s">
        <v>1967</v>
      </c>
      <c r="E37" s="762">
        <f>_xlfn.XLOOKUP(D37,RUC!$B$3:$B$123,RUC!$D$3:$D$123)</f>
        <v>20601769396</v>
      </c>
      <c r="G37" s="1082">
        <v>20</v>
      </c>
      <c r="H37" s="762" t="s">
        <v>69</v>
      </c>
      <c r="I37" s="703">
        <v>1.76</v>
      </c>
      <c r="J37" s="596">
        <v>5</v>
      </c>
      <c r="K37" s="703">
        <f t="shared" si="0"/>
        <v>1.6719999999999999</v>
      </c>
      <c r="L37" s="762">
        <v>0.26900000000000002</v>
      </c>
      <c r="M37" s="994">
        <f t="shared" si="35"/>
        <v>0.251</v>
      </c>
      <c r="N37" s="1196">
        <f t="shared" si="36"/>
        <v>0.251</v>
      </c>
      <c r="O37" s="645">
        <f t="shared" si="37"/>
        <v>0.251</v>
      </c>
      <c r="P37" s="727">
        <v>90</v>
      </c>
      <c r="Q37" s="1523">
        <v>96.28</v>
      </c>
      <c r="R37" s="706">
        <v>4136.75</v>
      </c>
      <c r="S37" s="765">
        <f>IF((_xlfn.XLOOKUP(D37,RUC!$B$3:$B$119,RUC!$E$3:$E$119)+ROUNDDOWN(O37,1)*100)&lt;95,95,((_xlfn.XLOOKUP(D37,RUC!$B$3:$B$119,RUC!$E$3:$E$119)+ROUNDDOWN(O37,1)*100)))</f>
        <v>110</v>
      </c>
      <c r="U37" s="1146">
        <f>_xlfn.XLOOKUP(D37,RUC!$B$3:$B$123,RUC!$F$3:$F$123)</f>
        <v>120</v>
      </c>
      <c r="V37" s="715">
        <v>1.1023000000000001</v>
      </c>
      <c r="Y37">
        <f>_xlfn.XLOOKUP(D37,RUC!$B$3:$B$123,RUC!$G$3:$G$123)</f>
        <v>20</v>
      </c>
      <c r="Z37" s="143">
        <f>_xlfn.XLOOKUP(D37,RUC!$B$3:$B$123,RUC!$H$3:$H$123)</f>
        <v>30</v>
      </c>
      <c r="AA37" s="144">
        <f t="shared" ref="AA37:AA93" si="43">+Y37+Z37</f>
        <v>50</v>
      </c>
      <c r="AB37" s="145">
        <f t="shared" ref="AB37:AB47" si="44">+((O37*P37*(R37-U37)/100)-S37-AA37+T37)*V37</f>
        <v>823.84119029749991</v>
      </c>
      <c r="AC37" s="145">
        <f>+(S37-T37)*V37-'data 1'!$F$4</f>
        <v>41.253</v>
      </c>
      <c r="AD37" s="145">
        <f t="shared" ref="AD37:AD93" si="45">+(Q37-P37)*(R37-U37)*L37*V37/100</f>
        <v>74.79740546053003</v>
      </c>
      <c r="AE37" s="145">
        <f t="shared" ref="AE37:AE93" si="46">+(Y37*V37-70)+V37*(Z37-IF(D37="UNTUCA",IF(+((W37-3)*2.5+(X37-3)*3.1)&gt;0,+((W37-3)*1.5+(X37-3)*3.1),0),IF(+((W37-3)*1.5+(X37-3)*3.1)&gt;0,+((W37-3)*1.5+(X37-3)*3.1),0)))</f>
        <v>-14.884999999999998</v>
      </c>
      <c r="AF37" s="145">
        <f t="shared" ref="AF37:AF93" si="47">(L37-O37)*(R37-U37)*Q37*V37/100</f>
        <v>76.73317995366007</v>
      </c>
      <c r="AG37" s="772">
        <f t="shared" ref="AG37:AG47" si="48">AC37+AD37+AE37+AF37+70-53</f>
        <v>194.89858541419011</v>
      </c>
      <c r="AH37" s="1253">
        <f t="shared" si="6"/>
        <v>14.847</v>
      </c>
      <c r="AI37" s="1253">
        <f t="shared" si="7"/>
        <v>15.42</v>
      </c>
      <c r="AJ37" s="156">
        <f t="shared" si="8"/>
        <v>52.315713448970008</v>
      </c>
      <c r="AK37" s="156">
        <f t="shared" si="9"/>
        <v>12.949755636347641</v>
      </c>
      <c r="AM37" s="716">
        <f t="shared" si="10"/>
        <v>1377.4624701774198</v>
      </c>
      <c r="AN37" s="716" t="str">
        <f>_xlfn.XLOOKUP(D37,RUC!$B$3:$B$578,RUC!$M$3:$M$578)</f>
        <v>Evelyn</v>
      </c>
      <c r="AO37" s="1167" t="s">
        <v>2278</v>
      </c>
      <c r="AP37" t="s">
        <v>3480</v>
      </c>
      <c r="AQ37" t="s">
        <v>3481</v>
      </c>
    </row>
    <row r="38" spans="1:44" ht="15" customHeight="1">
      <c r="A38" s="747" t="s">
        <v>3443</v>
      </c>
      <c r="B38" s="1447">
        <v>45977</v>
      </c>
      <c r="C38" s="1447">
        <v>45973</v>
      </c>
      <c r="D38" t="s">
        <v>1967</v>
      </c>
      <c r="E38" s="762">
        <f>_xlfn.XLOOKUP(D38,RUC!$B$3:$B$123,RUC!$D$3:$D$123)</f>
        <v>20601769396</v>
      </c>
      <c r="G38" s="1082">
        <v>30</v>
      </c>
      <c r="H38" s="762" t="s">
        <v>69</v>
      </c>
      <c r="I38" s="703">
        <v>2.4500000000000002</v>
      </c>
      <c r="J38" s="596">
        <v>8.8000000000000007</v>
      </c>
      <c r="K38" s="703">
        <f t="shared" si="0"/>
        <v>2.234</v>
      </c>
      <c r="L38" s="762">
        <v>0.28899999999999998</v>
      </c>
      <c r="M38" s="994">
        <f t="shared" si="35"/>
        <v>0.27100000000000002</v>
      </c>
      <c r="N38" s="1196">
        <f t="shared" si="36"/>
        <v>0.27100000000000002</v>
      </c>
      <c r="O38" s="645">
        <f t="shared" si="37"/>
        <v>0.27100000000000002</v>
      </c>
      <c r="P38" s="727">
        <v>90</v>
      </c>
      <c r="Q38" s="1523">
        <v>95.85</v>
      </c>
      <c r="R38" s="706">
        <v>4136.75</v>
      </c>
      <c r="S38" s="765">
        <f>IF((_xlfn.XLOOKUP(D38,RUC!$B$3:$B$119,RUC!$E$3:$E$119)+ROUNDDOWN(O38,1)*100)&lt;95,95,((_xlfn.XLOOKUP(D38,RUC!$B$3:$B$119,RUC!$E$3:$E$119)+ROUNDDOWN(O38,1)*100)))</f>
        <v>110</v>
      </c>
      <c r="U38" s="1146">
        <f>_xlfn.XLOOKUP(D38,RUC!$B$3:$B$123,RUC!$F$3:$F$123)</f>
        <v>120</v>
      </c>
      <c r="V38" s="715">
        <v>1.1023000000000001</v>
      </c>
      <c r="Y38">
        <f>_xlfn.XLOOKUP(D38,RUC!$B$3:$B$123,RUC!$G$3:$G$123)</f>
        <v>20</v>
      </c>
      <c r="Z38" s="143">
        <f>_xlfn.XLOOKUP(D38,RUC!$B$3:$B$123,RUC!$H$3:$H$123)</f>
        <v>30</v>
      </c>
      <c r="AA38" s="144">
        <f t="shared" si="43"/>
        <v>50</v>
      </c>
      <c r="AB38" s="145">
        <f t="shared" si="44"/>
        <v>903.53913374750005</v>
      </c>
      <c r="AC38" s="145">
        <f>+(S38-T38)*V38-'data 1'!$F$4</f>
        <v>41.253</v>
      </c>
      <c r="AD38" s="145">
        <f t="shared" si="45"/>
        <v>74.856293385412414</v>
      </c>
      <c r="AE38" s="145">
        <f t="shared" si="46"/>
        <v>-14.884999999999998</v>
      </c>
      <c r="AF38" s="145">
        <f t="shared" si="47"/>
        <v>76.390478796824837</v>
      </c>
      <c r="AG38" s="772">
        <f t="shared" si="48"/>
        <v>194.61477218223723</v>
      </c>
      <c r="AH38" s="1253">
        <f t="shared" si="6"/>
        <v>21.216999999999999</v>
      </c>
      <c r="AI38" s="1253">
        <f t="shared" si="7"/>
        <v>22.135999999999999</v>
      </c>
      <c r="AJ38" s="156">
        <f t="shared" si="8"/>
        <v>55.954336552087497</v>
      </c>
      <c r="AK38" s="156">
        <f t="shared" si="9"/>
        <v>18.681168528812435</v>
      </c>
      <c r="AM38" s="716">
        <f t="shared" si="10"/>
        <v>2018.5064247919152</v>
      </c>
      <c r="AN38" s="716" t="str">
        <f>_xlfn.XLOOKUP(D38,RUC!$B$3:$B$578,RUC!$M$3:$M$578)</f>
        <v>Evelyn</v>
      </c>
      <c r="AO38" s="1167" t="s">
        <v>2278</v>
      </c>
      <c r="AP38" t="s">
        <v>3480</v>
      </c>
      <c r="AQ38" t="s">
        <v>3481</v>
      </c>
    </row>
    <row r="39" spans="1:44" ht="15" customHeight="1">
      <c r="A39" s="747" t="s">
        <v>3444</v>
      </c>
      <c r="B39" s="1447">
        <v>45977</v>
      </c>
      <c r="C39" s="1447">
        <v>45973</v>
      </c>
      <c r="D39" t="s">
        <v>1967</v>
      </c>
      <c r="E39" s="762">
        <f>_xlfn.XLOOKUP(D39,RUC!$B$3:$B$123,RUC!$D$3:$D$123)</f>
        <v>20601769396</v>
      </c>
      <c r="G39" s="1082">
        <v>30</v>
      </c>
      <c r="H39" s="762" t="s">
        <v>116</v>
      </c>
      <c r="I39" s="703">
        <v>2.2400000000000002</v>
      </c>
      <c r="J39" s="596">
        <v>12.23</v>
      </c>
      <c r="K39" s="703">
        <f t="shared" si="0"/>
        <v>1.966</v>
      </c>
      <c r="L39" s="994">
        <v>0.33</v>
      </c>
      <c r="M39" s="994">
        <f t="shared" si="35"/>
        <v>0.31</v>
      </c>
      <c r="N39" s="1196">
        <f t="shared" si="36"/>
        <v>0.31</v>
      </c>
      <c r="O39" s="645">
        <f t="shared" si="37"/>
        <v>0.31</v>
      </c>
      <c r="P39" s="727">
        <v>90</v>
      </c>
      <c r="Q39" s="1523">
        <v>94.55</v>
      </c>
      <c r="R39" s="706">
        <v>4136.75</v>
      </c>
      <c r="S39" s="765">
        <f>IF((_xlfn.XLOOKUP(D39,RUC!$B$3:$B$119,RUC!$E$3:$E$119)+ROUNDDOWN(O39,1)*100)&lt;95,95,((_xlfn.XLOOKUP(D39,RUC!$B$3:$B$119,RUC!$E$3:$E$119)+ROUNDDOWN(O39,1)*100)))</f>
        <v>120</v>
      </c>
      <c r="U39" s="1146">
        <f>_xlfn.XLOOKUP(D39,RUC!$B$3:$B$123,RUC!$F$3:$F$123)</f>
        <v>120</v>
      </c>
      <c r="V39" s="715">
        <v>1.1023000000000001</v>
      </c>
      <c r="Y39">
        <f>_xlfn.XLOOKUP(D39,RUC!$B$3:$B$123,RUC!$G$3:$G$123)</f>
        <v>20</v>
      </c>
      <c r="Z39" s="143">
        <f>_xlfn.XLOOKUP(D39,RUC!$B$3:$B$123,RUC!$H$3:$H$123)</f>
        <v>30</v>
      </c>
      <c r="AA39" s="144">
        <f t="shared" si="43"/>
        <v>50</v>
      </c>
      <c r="AB39" s="145">
        <f t="shared" si="44"/>
        <v>1047.9271234750001</v>
      </c>
      <c r="AC39" s="145">
        <f>+(S39-T39)*V39-'data 1'!$F$4</f>
        <v>52.27600000000001</v>
      </c>
      <c r="AD39" s="145">
        <f t="shared" si="45"/>
        <v>66.481367827874962</v>
      </c>
      <c r="AE39" s="145">
        <f t="shared" si="46"/>
        <v>-14.884999999999998</v>
      </c>
      <c r="AF39" s="145">
        <f t="shared" si="47"/>
        <v>83.727117257750066</v>
      </c>
      <c r="AG39" s="772">
        <f t="shared" si="48"/>
        <v>204.59948508562502</v>
      </c>
      <c r="AH39" s="1253">
        <f t="shared" si="6"/>
        <v>21.030999999999999</v>
      </c>
      <c r="AI39" s="1253">
        <f t="shared" si="7"/>
        <v>22.244</v>
      </c>
      <c r="AJ39" s="156">
        <f t="shared" si="8"/>
        <v>63.02593014712501</v>
      </c>
      <c r="AK39" s="156">
        <f t="shared" si="9"/>
        <v>18.806015340857702</v>
      </c>
      <c r="AM39" s="716">
        <f t="shared" si="10"/>
        <v>2060.2247247518503</v>
      </c>
      <c r="AN39" s="716" t="str">
        <f>_xlfn.XLOOKUP(D39,RUC!$B$3:$B$578,RUC!$M$3:$M$578)</f>
        <v>Evelyn</v>
      </c>
      <c r="AO39" s="1167" t="s">
        <v>2278</v>
      </c>
      <c r="AP39" t="s">
        <v>3480</v>
      </c>
      <c r="AQ39" t="s">
        <v>3481</v>
      </c>
    </row>
    <row r="40" spans="1:44" ht="15" customHeight="1">
      <c r="A40" s="747" t="s">
        <v>3445</v>
      </c>
      <c r="B40" s="1447">
        <v>45977</v>
      </c>
      <c r="C40" s="1447">
        <v>45973</v>
      </c>
      <c r="D40" t="s">
        <v>1967</v>
      </c>
      <c r="E40" s="762">
        <f>_xlfn.XLOOKUP(D40,RUC!$B$3:$B$123,RUC!$D$3:$D$123)</f>
        <v>20601769396</v>
      </c>
      <c r="G40" s="1082">
        <v>30</v>
      </c>
      <c r="H40" s="762" t="s">
        <v>116</v>
      </c>
      <c r="I40" s="703">
        <v>2.23</v>
      </c>
      <c r="J40" s="596">
        <v>8.8000000000000007</v>
      </c>
      <c r="K40" s="703">
        <f t="shared" si="0"/>
        <v>2.0339999999999998</v>
      </c>
      <c r="L40" s="762">
        <v>0.254</v>
      </c>
      <c r="M40" s="994">
        <f t="shared" si="35"/>
        <v>0.23599999999999999</v>
      </c>
      <c r="N40" s="1196">
        <f t="shared" si="36"/>
        <v>0.23599999999999999</v>
      </c>
      <c r="O40" s="645">
        <f t="shared" si="37"/>
        <v>0.23599999999999999</v>
      </c>
      <c r="P40" s="727">
        <v>85</v>
      </c>
      <c r="Q40" s="1523">
        <v>85.83</v>
      </c>
      <c r="R40" s="706">
        <v>4136.75</v>
      </c>
      <c r="S40" s="765">
        <f>IF((_xlfn.XLOOKUP(D40,RUC!$B$3:$B$119,RUC!$E$3:$E$119)+ROUNDDOWN(O40,1)*100)&lt;95,95,((_xlfn.XLOOKUP(D40,RUC!$B$3:$B$119,RUC!$E$3:$E$119)+ROUNDDOWN(O40,1)*100)))</f>
        <v>110</v>
      </c>
      <c r="U40" s="1146">
        <f>_xlfn.XLOOKUP(D40,RUC!$B$3:$B$123,RUC!$F$3:$F$123)</f>
        <v>120</v>
      </c>
      <c r="V40" s="715">
        <v>1.1023000000000001</v>
      </c>
      <c r="Y40">
        <f>_xlfn.XLOOKUP(D40,RUC!$B$3:$B$123,RUC!$G$3:$G$123)</f>
        <v>20</v>
      </c>
      <c r="Z40" s="143">
        <f>_xlfn.XLOOKUP(D40,RUC!$B$3:$B$123,RUC!$H$3:$H$123)</f>
        <v>30</v>
      </c>
      <c r="AA40" s="144">
        <f t="shared" si="43"/>
        <v>50</v>
      </c>
      <c r="AB40" s="145">
        <f t="shared" si="44"/>
        <v>711.82130311499986</v>
      </c>
      <c r="AC40" s="145">
        <f>+(S40-T40)*V40-'data 1'!$F$4</f>
        <v>41.253</v>
      </c>
      <c r="AD40" s="145">
        <f t="shared" si="45"/>
        <v>9.334400243404982</v>
      </c>
      <c r="AE40" s="145">
        <f t="shared" si="46"/>
        <v>-14.884999999999998</v>
      </c>
      <c r="AF40" s="145">
        <f t="shared" si="47"/>
        <v>68.404744863135065</v>
      </c>
      <c r="AG40" s="772">
        <f t="shared" si="48"/>
        <v>121.10714510654006</v>
      </c>
      <c r="AH40" s="1253">
        <f t="shared" si="6"/>
        <v>15.202999999999999</v>
      </c>
      <c r="AI40" s="1253">
        <f t="shared" si="7"/>
        <v>17.713000000000001</v>
      </c>
      <c r="AJ40" s="156">
        <f t="shared" si="8"/>
        <v>44.036887921095001</v>
      </c>
      <c r="AK40" s="156">
        <f t="shared" si="9"/>
        <v>13.989137746316221</v>
      </c>
      <c r="AM40" s="716">
        <f t="shared" si="10"/>
        <v>1447.8445305359096</v>
      </c>
      <c r="AN40" s="716" t="str">
        <f>_xlfn.XLOOKUP(D40,RUC!$B$3:$B$578,RUC!$M$3:$M$578)</f>
        <v>Evelyn</v>
      </c>
      <c r="AO40" s="1167" t="s">
        <v>2278</v>
      </c>
      <c r="AP40" t="s">
        <v>3480</v>
      </c>
      <c r="AQ40" t="s">
        <v>3481</v>
      </c>
    </row>
    <row r="41" spans="1:44" ht="15" customHeight="1">
      <c r="A41" s="1491" t="s">
        <v>3446</v>
      </c>
      <c r="B41" s="1542">
        <v>45977</v>
      </c>
      <c r="C41" s="1447">
        <v>45973</v>
      </c>
      <c r="D41" t="s">
        <v>1967</v>
      </c>
      <c r="E41" s="762">
        <f>_xlfn.XLOOKUP(D41,RUC!$B$3:$B$123,RUC!$D$3:$D$123)</f>
        <v>20601769396</v>
      </c>
      <c r="G41" s="1082">
        <v>21</v>
      </c>
      <c r="H41" s="762" t="s">
        <v>69</v>
      </c>
      <c r="I41" s="703">
        <v>1.61</v>
      </c>
      <c r="J41" s="596">
        <v>2.2999999999999998</v>
      </c>
      <c r="K41" s="703">
        <f t="shared" si="0"/>
        <v>1.573</v>
      </c>
      <c r="L41" s="994">
        <v>0.115</v>
      </c>
      <c r="M41" s="994">
        <f t="shared" si="35"/>
        <v>9.7000000000000003E-2</v>
      </c>
      <c r="N41" s="1196">
        <f t="shared" si="36"/>
        <v>9.7000000000000003E-2</v>
      </c>
      <c r="O41" s="645">
        <f t="shared" si="37"/>
        <v>9.7000000000000003E-2</v>
      </c>
      <c r="P41" s="727">
        <v>80</v>
      </c>
      <c r="Q41" s="1523">
        <v>86.49</v>
      </c>
      <c r="R41" s="706">
        <v>4136.75</v>
      </c>
      <c r="S41" s="765">
        <f>IF((_xlfn.XLOOKUP(D41,RUC!$B$3:$B$119,RUC!$E$3:$E$119)+ROUNDDOWN(O41,1)*100)&lt;95,95,((_xlfn.XLOOKUP(D41,RUC!$B$3:$B$119,RUC!$E$3:$E$119)+ROUNDDOWN(O41,1)*100)))</f>
        <v>95</v>
      </c>
      <c r="U41" s="1146">
        <f>_xlfn.XLOOKUP(D41,RUC!$B$3:$B$123,RUC!$F$3:$F$123)</f>
        <v>120</v>
      </c>
      <c r="V41" s="715">
        <v>1.1023000000000001</v>
      </c>
      <c r="Y41">
        <f>_xlfn.XLOOKUP(D41,RUC!$B$3:$B$123,RUC!$G$3:$G$123)</f>
        <v>20</v>
      </c>
      <c r="Z41" s="143">
        <f>_xlfn.XLOOKUP(D41,RUC!$B$3:$B$123,RUC!$H$3:$H$123)</f>
        <v>30</v>
      </c>
      <c r="AA41" s="144">
        <f t="shared" si="43"/>
        <v>50</v>
      </c>
      <c r="AB41" s="1525">
        <v>1E-3</v>
      </c>
      <c r="AC41" s="145">
        <f>+(S41-T41)*V41-'data 1'!$F$4</f>
        <v>24.718500000000006</v>
      </c>
      <c r="AD41" s="145">
        <f t="shared" si="45"/>
        <v>33.045866718837473</v>
      </c>
      <c r="AE41" s="145">
        <f t="shared" si="46"/>
        <v>-14.884999999999998</v>
      </c>
      <c r="AF41" s="145">
        <f t="shared" si="47"/>
        <v>68.930751289905004</v>
      </c>
      <c r="AG41" s="772">
        <f>AC41+AD41+AE41+AF41+70-53+169.58</f>
        <v>298.39011800874249</v>
      </c>
      <c r="AH41" s="1253">
        <f t="shared" si="6"/>
        <v>5.3639999999999999</v>
      </c>
      <c r="AI41" s="1253">
        <f t="shared" si="7"/>
        <v>6.202</v>
      </c>
      <c r="AJ41" s="156">
        <f t="shared" si="8"/>
        <v>20.091276391162502</v>
      </c>
      <c r="AK41" s="156">
        <f t="shared" si="9"/>
        <v>4.1850390352456399</v>
      </c>
      <c r="AM41" s="716">
        <f t="shared" si="10"/>
        <v>1.573E-3</v>
      </c>
      <c r="AN41" s="716" t="str">
        <f>_xlfn.XLOOKUP(D41,RUC!$B$3:$B$578,RUC!$M$3:$M$578)</f>
        <v>Evelyn</v>
      </c>
      <c r="AO41" s="1167" t="s">
        <v>2279</v>
      </c>
      <c r="AP41" t="s">
        <v>3480</v>
      </c>
      <c r="AQ41" t="s">
        <v>3481</v>
      </c>
    </row>
    <row r="42" spans="1:44" ht="15" customHeight="1">
      <c r="A42" s="747" t="s">
        <v>3447</v>
      </c>
      <c r="B42" s="1447">
        <v>45977</v>
      </c>
      <c r="C42" s="1447">
        <v>45973</v>
      </c>
      <c r="D42" t="s">
        <v>1967</v>
      </c>
      <c r="E42" s="762">
        <f>_xlfn.XLOOKUP(D42,RUC!$B$3:$B$123,RUC!$D$3:$D$123)</f>
        <v>20601769396</v>
      </c>
      <c r="G42" s="1082">
        <v>30</v>
      </c>
      <c r="H42" s="762" t="s">
        <v>116</v>
      </c>
      <c r="I42" s="703">
        <v>2.06</v>
      </c>
      <c r="J42" s="596">
        <v>11.45</v>
      </c>
      <c r="K42" s="703">
        <f t="shared" si="0"/>
        <v>1.8240000000000001</v>
      </c>
      <c r="L42" s="994">
        <v>0.36</v>
      </c>
      <c r="M42" s="994">
        <f t="shared" si="35"/>
        <v>0.33800000000000002</v>
      </c>
      <c r="N42" s="1196">
        <f t="shared" si="36"/>
        <v>0.33800000000000002</v>
      </c>
      <c r="O42" s="645">
        <f t="shared" si="37"/>
        <v>0.33800000000000002</v>
      </c>
      <c r="P42" s="727">
        <v>87</v>
      </c>
      <c r="Q42" s="1523">
        <v>87.78</v>
      </c>
      <c r="R42" s="706">
        <v>4136.75</v>
      </c>
      <c r="S42" s="765">
        <f>IF((_xlfn.XLOOKUP(D42,RUC!$B$3:$B$119,RUC!$E$3:$E$119)+ROUNDDOWN(O42,1)*100)&lt;95,95,((_xlfn.XLOOKUP(D42,RUC!$B$3:$B$119,RUC!$E$3:$E$119)+ROUNDDOWN(O42,1)*100)))</f>
        <v>120</v>
      </c>
      <c r="U42" s="1146">
        <f>_xlfn.XLOOKUP(D42,RUC!$B$3:$B$123,RUC!$F$3:$F$123)</f>
        <v>120</v>
      </c>
      <c r="V42" s="715">
        <v>1.1023000000000001</v>
      </c>
      <c r="Y42">
        <f>_xlfn.XLOOKUP(D42,RUC!$B$3:$B$123,RUC!$G$3:$G$123)</f>
        <v>20</v>
      </c>
      <c r="Z42" s="143">
        <f>_xlfn.XLOOKUP(D42,RUC!$B$3:$B$123,RUC!$H$3:$H$123)</f>
        <v>30</v>
      </c>
      <c r="AA42" s="144">
        <f t="shared" si="43"/>
        <v>50</v>
      </c>
      <c r="AB42" s="145">
        <f t="shared" si="44"/>
        <v>1114.6077361615003</v>
      </c>
      <c r="AC42" s="145">
        <f>+(S42-T42)*V42-'data 1'!$F$4</f>
        <v>52.27600000000001</v>
      </c>
      <c r="AD42" s="145">
        <f t="shared" si="45"/>
        <v>12.432879178200016</v>
      </c>
      <c r="AE42" s="145">
        <f t="shared" si="46"/>
        <v>-14.884999999999998</v>
      </c>
      <c r="AF42" s="145">
        <f t="shared" si="47"/>
        <v>85.505266929389876</v>
      </c>
      <c r="AG42" s="772">
        <f t="shared" si="48"/>
        <v>152.32914610758991</v>
      </c>
      <c r="AH42" s="1253">
        <f t="shared" si="6"/>
        <v>19.762</v>
      </c>
      <c r="AI42" s="1253">
        <f t="shared" si="7"/>
        <v>22.513000000000002</v>
      </c>
      <c r="AJ42" s="156">
        <f t="shared" si="8"/>
        <v>63.8325020718</v>
      </c>
      <c r="AK42" s="156">
        <f t="shared" si="9"/>
        <v>18.389497247008997</v>
      </c>
      <c r="AM42" s="716">
        <f t="shared" si="10"/>
        <v>2033.0445107585765</v>
      </c>
      <c r="AN42" s="716" t="str">
        <f>_xlfn.XLOOKUP(D42,RUC!$B$3:$B$578,RUC!$M$3:$M$578)</f>
        <v>Evelyn</v>
      </c>
      <c r="AO42" s="1167" t="s">
        <v>2278</v>
      </c>
      <c r="AP42" t="s">
        <v>3480</v>
      </c>
      <c r="AQ42" t="s">
        <v>3481</v>
      </c>
    </row>
    <row r="43" spans="1:44" ht="15" customHeight="1">
      <c r="A43" s="747" t="s">
        <v>3448</v>
      </c>
      <c r="B43" s="1447">
        <v>45981</v>
      </c>
      <c r="C43" s="1447">
        <v>45973</v>
      </c>
      <c r="D43" t="s">
        <v>1967</v>
      </c>
      <c r="E43" s="762">
        <f>_xlfn.XLOOKUP(D43,RUC!$B$3:$B$123,RUC!$D$3:$D$123)</f>
        <v>20601769396</v>
      </c>
      <c r="G43" s="1082">
        <v>30</v>
      </c>
      <c r="H43" s="762" t="s">
        <v>69</v>
      </c>
      <c r="I43" s="703">
        <v>2.17</v>
      </c>
      <c r="J43" s="596">
        <v>2.6</v>
      </c>
      <c r="K43" s="703">
        <f t="shared" si="0"/>
        <v>2.1139999999999999</v>
      </c>
      <c r="L43" s="762">
        <v>0.26300000000000001</v>
      </c>
      <c r="M43" s="994">
        <f t="shared" si="35"/>
        <v>0.245</v>
      </c>
      <c r="N43" s="1196">
        <f t="shared" si="36"/>
        <v>0.245</v>
      </c>
      <c r="O43" s="645">
        <f t="shared" si="37"/>
        <v>0.245</v>
      </c>
      <c r="P43" s="727">
        <v>90</v>
      </c>
      <c r="Q43" s="1523">
        <v>93.16</v>
      </c>
      <c r="R43" s="706">
        <v>4136.75</v>
      </c>
      <c r="S43" s="765">
        <f>IF((_xlfn.XLOOKUP(D43,RUC!$B$3:$B$119,RUC!$E$3:$E$119)+ROUNDDOWN(O43,1)*100)&lt;95,95,((_xlfn.XLOOKUP(D43,RUC!$B$3:$B$119,RUC!$E$3:$E$119)+ROUNDDOWN(O43,1)*100)))</f>
        <v>110</v>
      </c>
      <c r="U43" s="1146">
        <f>_xlfn.XLOOKUP(D43,RUC!$B$3:$B$123,RUC!$F$3:$F$123)</f>
        <v>120</v>
      </c>
      <c r="V43" s="715">
        <v>1.1023000000000001</v>
      </c>
      <c r="Y43">
        <f>_xlfn.XLOOKUP(D43,RUC!$B$3:$B$123,RUC!$G$3:$G$123)</f>
        <v>20</v>
      </c>
      <c r="Z43" s="143">
        <f>_xlfn.XLOOKUP(D43,RUC!$B$3:$B$123,RUC!$H$3:$H$123)</f>
        <v>30</v>
      </c>
      <c r="AA43" s="144">
        <f t="shared" si="43"/>
        <v>50</v>
      </c>
      <c r="AB43" s="145">
        <f t="shared" si="44"/>
        <v>799.93180726250012</v>
      </c>
      <c r="AC43" s="145">
        <f>+(S43-T43)*V43-'data 1'!$F$4</f>
        <v>41.253</v>
      </c>
      <c r="AD43" s="145">
        <f t="shared" si="45"/>
        <v>36.797426023569962</v>
      </c>
      <c r="AE43" s="145">
        <f t="shared" si="46"/>
        <v>-14.884999999999998</v>
      </c>
      <c r="AF43" s="145">
        <f t="shared" si="47"/>
        <v>74.246604118020073</v>
      </c>
      <c r="AG43" s="772">
        <f t="shared" si="48"/>
        <v>154.41203014159004</v>
      </c>
      <c r="AH43" s="1253">
        <f t="shared" si="6"/>
        <v>17.757999999999999</v>
      </c>
      <c r="AI43" s="1253">
        <f t="shared" si="7"/>
        <v>19.062000000000001</v>
      </c>
      <c r="AJ43" s="156">
        <f t="shared" si="8"/>
        <v>49.491317936930002</v>
      </c>
      <c r="AK43" s="156">
        <f t="shared" si="9"/>
        <v>15.981687929462849</v>
      </c>
      <c r="AM43" s="716">
        <f t="shared" si="10"/>
        <v>1691.0558405529252</v>
      </c>
      <c r="AN43" s="716" t="str">
        <f>_xlfn.XLOOKUP(D43,RUC!$B$3:$B$578,RUC!$M$3:$M$578)</f>
        <v>Evelyn</v>
      </c>
      <c r="AO43" s="1167" t="s">
        <v>2277</v>
      </c>
      <c r="AP43" t="s">
        <v>3480</v>
      </c>
      <c r="AQ43" t="s">
        <v>3481</v>
      </c>
    </row>
    <row r="44" spans="1:44" ht="15" customHeight="1">
      <c r="A44" s="1491" t="s">
        <v>3449</v>
      </c>
      <c r="B44" s="1542">
        <v>45981</v>
      </c>
      <c r="C44" s="1447">
        <v>45973</v>
      </c>
      <c r="D44" t="s">
        <v>1967</v>
      </c>
      <c r="E44" s="762">
        <f>_xlfn.XLOOKUP(D44,RUC!$B$3:$B$123,RUC!$D$3:$D$123)</f>
        <v>20601769396</v>
      </c>
      <c r="G44" s="1082">
        <v>30</v>
      </c>
      <c r="H44" s="762" t="s">
        <v>69</v>
      </c>
      <c r="I44" s="703">
        <v>2.0699999999999998</v>
      </c>
      <c r="J44" s="596">
        <v>2.5</v>
      </c>
      <c r="K44" s="703">
        <f t="shared" si="0"/>
        <v>2.0179999999999998</v>
      </c>
      <c r="L44" s="762">
        <v>9.4E-2</v>
      </c>
      <c r="M44" s="994">
        <f t="shared" si="35"/>
        <v>7.5999999999999998E-2</v>
      </c>
      <c r="N44" s="1196">
        <f t="shared" si="36"/>
        <v>7.5999999999999998E-2</v>
      </c>
      <c r="O44" s="645">
        <f t="shared" si="37"/>
        <v>7.5999999999999998E-2</v>
      </c>
      <c r="P44" s="727">
        <v>80</v>
      </c>
      <c r="Q44" s="1523">
        <v>68.319999999999993</v>
      </c>
      <c r="R44" s="706">
        <v>4136.75</v>
      </c>
      <c r="S44" s="765">
        <f>IF((_xlfn.XLOOKUP(D44,RUC!$B$3:$B$119,RUC!$E$3:$E$119)+ROUNDDOWN(O44,1)*100)&lt;95,95,((_xlfn.XLOOKUP(D44,RUC!$B$3:$B$119,RUC!$E$3:$E$119)+ROUNDDOWN(O44,1)*100)))</f>
        <v>95</v>
      </c>
      <c r="U44" s="1146">
        <f>_xlfn.XLOOKUP(D44,RUC!$B$3:$B$123,RUC!$F$3:$F$123)</f>
        <v>120</v>
      </c>
      <c r="V44" s="715">
        <v>1.1023000000000001</v>
      </c>
      <c r="Y44">
        <f>_xlfn.XLOOKUP(D44,RUC!$B$3:$B$123,RUC!$G$3:$G$123)</f>
        <v>20</v>
      </c>
      <c r="Z44" s="143">
        <f>_xlfn.XLOOKUP(D44,RUC!$B$3:$B$123,RUC!$H$3:$H$123)</f>
        <v>30</v>
      </c>
      <c r="AA44" s="144">
        <f t="shared" si="43"/>
        <v>50</v>
      </c>
      <c r="AB44" s="145">
        <v>1E-3</v>
      </c>
      <c r="AC44" s="145">
        <f>+(S44-T44)*V44-'data 1'!$F$4</f>
        <v>24.718500000000006</v>
      </c>
      <c r="AD44" s="145">
        <f t="shared" si="45"/>
        <v>-48.612203373680032</v>
      </c>
      <c r="AE44" s="145">
        <f t="shared" si="46"/>
        <v>-14.884999999999998</v>
      </c>
      <c r="AF44" s="145">
        <f t="shared" si="47"/>
        <v>54.449634965039998</v>
      </c>
      <c r="AG44" s="772">
        <f>AC44+AD44+AE44+AF44+70-53+109.37</f>
        <v>142.04093159135999</v>
      </c>
      <c r="AH44" s="1253">
        <f t="shared" si="6"/>
        <v>4.4429999999999996</v>
      </c>
      <c r="AI44" s="1253">
        <f t="shared" si="7"/>
        <v>6.5039999999999996</v>
      </c>
      <c r="AJ44" s="156">
        <f t="shared" si="8"/>
        <v>12.97237522168</v>
      </c>
      <c r="AK44" s="156">
        <f t="shared" si="9"/>
        <v>4.206625115561919</v>
      </c>
      <c r="AM44" s="716">
        <f t="shared" si="10"/>
        <v>2.0179999999999998E-3</v>
      </c>
      <c r="AN44" s="716" t="str">
        <f>_xlfn.XLOOKUP(D44,RUC!$B$3:$B$578,RUC!$M$3:$M$578)</f>
        <v>Evelyn</v>
      </c>
      <c r="AO44" s="1167" t="s">
        <v>2280</v>
      </c>
      <c r="AP44" t="s">
        <v>3480</v>
      </c>
      <c r="AQ44" t="s">
        <v>3481</v>
      </c>
    </row>
    <row r="45" spans="1:44" ht="15" customHeight="1">
      <c r="A45" s="747" t="s">
        <v>3450</v>
      </c>
      <c r="B45" s="1447">
        <v>45981</v>
      </c>
      <c r="C45" s="1447">
        <v>45973</v>
      </c>
      <c r="D45" t="s">
        <v>1967</v>
      </c>
      <c r="E45" s="762">
        <f>_xlfn.XLOOKUP(D45,RUC!$B$3:$B$123,RUC!$D$3:$D$123)</f>
        <v>20601769396</v>
      </c>
      <c r="G45" s="1082">
        <v>30</v>
      </c>
      <c r="H45" s="762" t="s">
        <v>69</v>
      </c>
      <c r="I45" s="703">
        <v>2.38</v>
      </c>
      <c r="J45" s="596">
        <v>13.1</v>
      </c>
      <c r="K45" s="703">
        <f t="shared" si="0"/>
        <v>2.0680000000000001</v>
      </c>
      <c r="L45" s="762">
        <v>0.625</v>
      </c>
      <c r="M45" s="994">
        <f t="shared" si="35"/>
        <v>0.58799999999999997</v>
      </c>
      <c r="N45" s="1196">
        <f t="shared" si="36"/>
        <v>0.58799999999999997</v>
      </c>
      <c r="O45" s="645">
        <f t="shared" si="37"/>
        <v>0.58799999999999997</v>
      </c>
      <c r="P45" s="727">
        <v>90</v>
      </c>
      <c r="Q45" s="1523">
        <v>91.84</v>
      </c>
      <c r="R45" s="706">
        <v>4136.75</v>
      </c>
      <c r="S45" s="765">
        <f>IF((_xlfn.XLOOKUP(D45,RUC!$B$3:$B$119,RUC!$E$3:$E$119)+ROUNDDOWN(O45,1)*100)&lt;95,95,((_xlfn.XLOOKUP(D45,RUC!$B$3:$B$119,RUC!$E$3:$E$119)+ROUNDDOWN(O45,1)*100)))</f>
        <v>140</v>
      </c>
      <c r="U45" s="1146">
        <f>_xlfn.XLOOKUP(D45,RUC!$B$3:$B$123,RUC!$F$3:$F$123)</f>
        <v>120</v>
      </c>
      <c r="V45" s="715">
        <v>1.1023000000000001</v>
      </c>
      <c r="Y45">
        <f>_xlfn.XLOOKUP(D45,RUC!$B$3:$B$123,RUC!$G$3:$G$123)</f>
        <v>20</v>
      </c>
      <c r="Z45" s="143">
        <f>_xlfn.XLOOKUP(D45,RUC!$B$3:$B$123,RUC!$H$3:$H$123)</f>
        <v>30</v>
      </c>
      <c r="AA45" s="144">
        <f t="shared" si="43"/>
        <v>50</v>
      </c>
      <c r="AB45" s="145">
        <f t="shared" si="44"/>
        <v>2133.6825374300001</v>
      </c>
      <c r="AC45" s="145">
        <f>+(S45-T45)*V45-'data 1'!$F$4</f>
        <v>74.322000000000003</v>
      </c>
      <c r="AD45" s="145">
        <f t="shared" si="45"/>
        <v>50.91813053750009</v>
      </c>
      <c r="AE45" s="145">
        <f t="shared" si="46"/>
        <v>-14.884999999999998</v>
      </c>
      <c r="AF45" s="145">
        <f t="shared" si="47"/>
        <v>150.45554871032016</v>
      </c>
      <c r="AG45" s="772">
        <f t="shared" si="48"/>
        <v>277.81067924782025</v>
      </c>
      <c r="AH45" s="1253">
        <f t="shared" si="6"/>
        <v>40.698</v>
      </c>
      <c r="AI45" s="1253">
        <f t="shared" si="7"/>
        <v>44.314</v>
      </c>
      <c r="AJ45" s="156">
        <f t="shared" si="8"/>
        <v>115.94597665000001</v>
      </c>
      <c r="AK45" s="156">
        <f t="shared" si="9"/>
        <v>37.521434972332088</v>
      </c>
      <c r="AM45" s="716">
        <f t="shared" si="10"/>
        <v>4412.4554874052401</v>
      </c>
      <c r="AN45" s="716" t="str">
        <f>_xlfn.XLOOKUP(D45,RUC!$B$3:$B$578,RUC!$M$3:$M$578)</f>
        <v>Evelyn</v>
      </c>
      <c r="AO45" s="1167" t="s">
        <v>2277</v>
      </c>
      <c r="AP45" t="s">
        <v>3480</v>
      </c>
      <c r="AQ45" t="s">
        <v>3481</v>
      </c>
    </row>
    <row r="46" spans="1:44" ht="15" customHeight="1">
      <c r="A46" s="747" t="s">
        <v>3451</v>
      </c>
      <c r="B46" s="1447">
        <v>45982</v>
      </c>
      <c r="C46" s="1447">
        <v>45973</v>
      </c>
      <c r="D46" t="s">
        <v>1967</v>
      </c>
      <c r="E46" s="762">
        <f>_xlfn.XLOOKUP(D46,RUC!$B$3:$B$123,RUC!$D$3:$D$123)</f>
        <v>20601769396</v>
      </c>
      <c r="G46" s="1082">
        <v>30</v>
      </c>
      <c r="H46" s="762" t="s">
        <v>69</v>
      </c>
      <c r="I46" s="703">
        <v>2.6</v>
      </c>
      <c r="J46" s="596">
        <v>6.8</v>
      </c>
      <c r="K46" s="703">
        <f t="shared" si="0"/>
        <v>2.423</v>
      </c>
      <c r="L46" s="994">
        <v>0.193</v>
      </c>
      <c r="M46" s="994">
        <f t="shared" si="35"/>
        <v>0.17499999999999999</v>
      </c>
      <c r="N46" s="1196">
        <f t="shared" si="36"/>
        <v>0.17499999999999999</v>
      </c>
      <c r="O46" s="647">
        <v>0.186</v>
      </c>
      <c r="P46" s="727">
        <v>90</v>
      </c>
      <c r="Q46" s="1523">
        <v>91.18</v>
      </c>
      <c r="R46" s="706">
        <v>4136.75</v>
      </c>
      <c r="S46" s="765">
        <f>IF((_xlfn.XLOOKUP(D46,RUC!$B$3:$B$119,RUC!$E$3:$E$119)+ROUNDDOWN(O46,1)*100)&lt;95,95,((_xlfn.XLOOKUP(D46,RUC!$B$3:$B$119,RUC!$E$3:$E$119)+ROUNDDOWN(O46,1)*100)))</f>
        <v>100</v>
      </c>
      <c r="U46" s="1146">
        <f>_xlfn.XLOOKUP(D46,RUC!$B$3:$B$123,RUC!$F$3:$F$123)</f>
        <v>120</v>
      </c>
      <c r="V46" s="715">
        <v>1.1023000000000001</v>
      </c>
      <c r="Y46">
        <f>_xlfn.XLOOKUP(D46,RUC!$B$3:$B$123,RUC!$G$3:$G$123)</f>
        <v>20</v>
      </c>
      <c r="Z46" s="143">
        <f>_xlfn.XLOOKUP(D46,RUC!$B$3:$B$123,RUC!$H$3:$H$123)</f>
        <v>30</v>
      </c>
      <c r="AA46" s="144">
        <f t="shared" si="43"/>
        <v>50</v>
      </c>
      <c r="AB46" s="145">
        <f t="shared" si="44"/>
        <v>575.84587408499988</v>
      </c>
      <c r="AC46" s="145">
        <f>+(S46-T46)*V46-'data 1'!$F$4</f>
        <v>30.230000000000004</v>
      </c>
      <c r="AD46" s="145">
        <f t="shared" si="45"/>
        <v>10.083560911835059</v>
      </c>
      <c r="AE46" s="145">
        <f t="shared" si="46"/>
        <v>-14.884999999999998</v>
      </c>
      <c r="AF46" s="145">
        <f t="shared" si="47"/>
        <v>28.260005214665028</v>
      </c>
      <c r="AG46" s="772">
        <f t="shared" si="48"/>
        <v>70.688566126500092</v>
      </c>
      <c r="AH46" s="1253">
        <f t="shared" si="6"/>
        <v>14.619</v>
      </c>
      <c r="AI46" s="1253">
        <f t="shared" si="7"/>
        <v>16.033000000000001</v>
      </c>
      <c r="AJ46" s="156">
        <f t="shared" si="8"/>
        <v>35.546814479665002</v>
      </c>
      <c r="AK46" s="156">
        <f t="shared" si="9"/>
        <v>13.906503104038109</v>
      </c>
      <c r="AM46" s="716">
        <f t="shared" si="10"/>
        <v>1395.2745529079548</v>
      </c>
      <c r="AN46" s="716" t="str">
        <f>_xlfn.XLOOKUP(D46,RUC!$B$3:$B$578,RUC!$M$3:$M$578)</f>
        <v>Evelyn</v>
      </c>
      <c r="AO46" s="1167" t="s">
        <v>2278</v>
      </c>
      <c r="AP46" t="s">
        <v>3480</v>
      </c>
      <c r="AQ46" t="s">
        <v>3481</v>
      </c>
      <c r="AR46" s="1548"/>
    </row>
    <row r="47" spans="1:44" ht="15" customHeight="1">
      <c r="A47" s="747" t="s">
        <v>3452</v>
      </c>
      <c r="B47" s="1447">
        <v>45981</v>
      </c>
      <c r="C47" s="1447">
        <v>45973</v>
      </c>
      <c r="D47" t="s">
        <v>1967</v>
      </c>
      <c r="E47" s="762">
        <f>_xlfn.XLOOKUP(D47,RUC!$B$3:$B$123,RUC!$D$3:$D$123)</f>
        <v>20601769396</v>
      </c>
      <c r="G47" s="1082">
        <v>30</v>
      </c>
      <c r="H47" s="762" t="s">
        <v>116</v>
      </c>
      <c r="I47" s="703">
        <v>2.1800000000000002</v>
      </c>
      <c r="J47" s="596">
        <v>8.4</v>
      </c>
      <c r="K47" s="703">
        <f t="shared" si="0"/>
        <v>1.9970000000000001</v>
      </c>
      <c r="L47" s="994">
        <v>0.37</v>
      </c>
      <c r="M47" s="994">
        <f t="shared" si="35"/>
        <v>0.34799999999999998</v>
      </c>
      <c r="N47" s="1196">
        <f t="shared" si="36"/>
        <v>0.34799999999999998</v>
      </c>
      <c r="O47" s="645">
        <f t="shared" si="37"/>
        <v>0.34799999999999998</v>
      </c>
      <c r="P47" s="727">
        <v>87</v>
      </c>
      <c r="Q47" s="1523">
        <v>87.3</v>
      </c>
      <c r="R47" s="706">
        <v>4136.75</v>
      </c>
      <c r="S47" s="765">
        <f>IF((_xlfn.XLOOKUP(D47,RUC!$B$3:$B$119,RUC!$E$3:$E$119)+ROUNDDOWN(O47,1)*100)&lt;95,95,((_xlfn.XLOOKUP(D47,RUC!$B$3:$B$119,RUC!$E$3:$E$119)+ROUNDDOWN(O47,1)*100)))</f>
        <v>120</v>
      </c>
      <c r="U47" s="1146">
        <f>_xlfn.XLOOKUP(D47,RUC!$B$3:$B$123,RUC!$F$3:$F$123)</f>
        <v>120</v>
      </c>
      <c r="V47" s="715">
        <v>1.1023000000000001</v>
      </c>
      <c r="Y47">
        <f>_xlfn.XLOOKUP(D47,RUC!$B$3:$B$123,RUC!$G$3:$G$123)</f>
        <v>20</v>
      </c>
      <c r="Z47" s="143">
        <f>_xlfn.XLOOKUP(D47,RUC!$B$3:$B$123,RUC!$H$3:$H$123)</f>
        <v>30</v>
      </c>
      <c r="AA47" s="144">
        <f t="shared" si="43"/>
        <v>50</v>
      </c>
      <c r="AB47" s="145">
        <f t="shared" si="44"/>
        <v>1153.1284088289997</v>
      </c>
      <c r="AC47" s="145">
        <f>+(S47-T47)*V47-'data 1'!$F$4</f>
        <v>52.27600000000001</v>
      </c>
      <c r="AD47" s="145">
        <f t="shared" si="45"/>
        <v>4.9147065127499534</v>
      </c>
      <c r="AE47" s="145">
        <f t="shared" si="46"/>
        <v>-14.884999999999998</v>
      </c>
      <c r="AF47" s="145">
        <f t="shared" si="47"/>
        <v>85.037705661150085</v>
      </c>
      <c r="AG47" s="772">
        <f t="shared" si="48"/>
        <v>144.34341217390005</v>
      </c>
      <c r="AH47" s="1253">
        <f t="shared" si="6"/>
        <v>22.116</v>
      </c>
      <c r="AI47" s="1253">
        <f t="shared" si="7"/>
        <v>25.332999999999998</v>
      </c>
      <c r="AJ47" s="156">
        <f t="shared" si="8"/>
        <v>65.246881389750001</v>
      </c>
      <c r="AK47" s="156">
        <f t="shared" si="9"/>
        <v>20.729347439777943</v>
      </c>
      <c r="AM47" s="716">
        <f t="shared" si="10"/>
        <v>2302.7974324315123</v>
      </c>
      <c r="AN47" s="716" t="str">
        <f>_xlfn.XLOOKUP(D47,RUC!$B$3:$B$578,RUC!$M$3:$M$578)</f>
        <v>Evelyn</v>
      </c>
      <c r="AO47" s="1167" t="s">
        <v>2277</v>
      </c>
      <c r="AP47" t="s">
        <v>3480</v>
      </c>
      <c r="AQ47" t="s">
        <v>3481</v>
      </c>
    </row>
    <row r="48" spans="1:44" ht="15" customHeight="1">
      <c r="A48" s="747" t="s">
        <v>3458</v>
      </c>
      <c r="B48" s="1447">
        <v>45977</v>
      </c>
      <c r="C48" s="1447">
        <v>45973</v>
      </c>
      <c r="D48" t="s">
        <v>3316</v>
      </c>
      <c r="E48" s="762">
        <f>_xlfn.XLOOKUP(D48,RUC!$B$3:$B$123,RUC!$D$3:$D$123)</f>
        <v>20613935151</v>
      </c>
      <c r="G48" s="1082" t="s">
        <v>2985</v>
      </c>
      <c r="H48" s="762" t="s">
        <v>108</v>
      </c>
      <c r="I48" s="703">
        <v>12.8</v>
      </c>
      <c r="J48" s="596">
        <v>11.67</v>
      </c>
      <c r="K48" s="703">
        <f t="shared" si="0"/>
        <v>11.305999999999999</v>
      </c>
      <c r="L48" s="762">
        <v>0.13400000000000001</v>
      </c>
      <c r="M48" s="994">
        <f t="shared" si="35"/>
        <v>0.11600000000000001</v>
      </c>
      <c r="N48" s="1444">
        <v>0.16700000000000001</v>
      </c>
      <c r="O48" s="645">
        <f t="shared" si="37"/>
        <v>0.14199999999999999</v>
      </c>
      <c r="P48" s="727">
        <v>85</v>
      </c>
      <c r="Q48" s="1523">
        <v>97.01</v>
      </c>
      <c r="R48" s="706">
        <v>4136.75</v>
      </c>
      <c r="S48" s="765">
        <f>IF((_xlfn.XLOOKUP(D48,RUC!$B$3:$B$119,RUC!$E$3:$E$119)+ROUNDDOWN(O48,1)*100)&lt;95,95,((_xlfn.XLOOKUP(D48,RUC!$B$3:$B$119,RUC!$E$3:$E$119)+ROUNDDOWN(O48,1)*100)))</f>
        <v>100</v>
      </c>
      <c r="U48" s="1146">
        <f>_xlfn.XLOOKUP(D48,RUC!$B$3:$B$123,RUC!$F$3:$F$123)</f>
        <v>120</v>
      </c>
      <c r="V48" s="715">
        <v>1.1023000000000001</v>
      </c>
      <c r="Y48">
        <f>_xlfn.XLOOKUP(D48,RUC!$B$3:$B$123,RUC!$G$3:$G$123)</f>
        <v>20</v>
      </c>
      <c r="Z48" s="143">
        <f>_xlfn.XLOOKUP(D48,RUC!$B$3:$B$123,RUC!$H$3:$H$123)</f>
        <v>30</v>
      </c>
      <c r="AA48" s="144">
        <f t="shared" si="43"/>
        <v>50</v>
      </c>
      <c r="AB48" s="145">
        <f>+((O48*P48*(R48-U48)/100)-S48-AA48+T48)*V48</f>
        <v>369.07398746749999</v>
      </c>
      <c r="AC48" s="145">
        <f>+(S48-T48)*V48-'data 1'!$F$4</f>
        <v>30.230000000000004</v>
      </c>
      <c r="AD48" s="145">
        <f t="shared" si="45"/>
        <v>71.256160173235045</v>
      </c>
      <c r="AE48" s="145">
        <f t="shared" si="46"/>
        <v>-14.884999999999998</v>
      </c>
      <c r="AF48" s="145">
        <f t="shared" si="47"/>
        <v>-34.362211084819911</v>
      </c>
      <c r="AG48" s="772">
        <f>AC48+AD48+AE48+AF48+70-53</f>
        <v>69.238949088415154</v>
      </c>
      <c r="AH48" s="1253">
        <f t="shared" si="6"/>
        <v>50.389000000000003</v>
      </c>
      <c r="AI48" s="1253">
        <f t="shared" si="7"/>
        <v>51.942999999999998</v>
      </c>
      <c r="AJ48" s="156">
        <f t="shared" si="8"/>
        <v>26.258208573265005</v>
      </c>
      <c r="AK48" s="156">
        <f t="shared" si="9"/>
        <v>46.787013093301312</v>
      </c>
      <c r="AL48" s="88"/>
      <c r="AM48" s="716">
        <f t="shared" si="10"/>
        <v>4172.7505023075546</v>
      </c>
      <c r="AN48" s="716" t="str">
        <f>_xlfn.XLOOKUP(D48,RUC!$B$3:$B$578,RUC!$M$3:$M$578)</f>
        <v xml:space="preserve">Dante </v>
      </c>
      <c r="AO48" s="1167" t="s">
        <v>2277</v>
      </c>
      <c r="AP48" t="s">
        <v>3482</v>
      </c>
      <c r="AQ48" t="s">
        <v>3483</v>
      </c>
    </row>
    <row r="49" spans="1:44" ht="15" customHeight="1">
      <c r="A49" s="747" t="s">
        <v>3460</v>
      </c>
      <c r="B49" s="1447">
        <v>45979</v>
      </c>
      <c r="C49" s="1447">
        <v>45974</v>
      </c>
      <c r="D49" t="s">
        <v>3464</v>
      </c>
      <c r="E49" s="762">
        <f>_xlfn.XLOOKUP(D49,RUC!$B$3:$B$123,RUC!$D$3:$D$123)</f>
        <v>20614284740</v>
      </c>
      <c r="G49" s="1082">
        <v>100</v>
      </c>
      <c r="H49" s="762" t="s">
        <v>69</v>
      </c>
      <c r="I49" s="703">
        <v>8.83</v>
      </c>
      <c r="J49" s="596">
        <v>1.2</v>
      </c>
      <c r="K49" s="703">
        <f t="shared" si="0"/>
        <v>8.7240000000000002</v>
      </c>
      <c r="L49" s="762">
        <v>0.35899999999999999</v>
      </c>
      <c r="M49" s="994">
        <f t="shared" si="35"/>
        <v>0.33700000000000002</v>
      </c>
      <c r="N49" s="1196">
        <f t="shared" ref="N49:N66" si="49">+M49</f>
        <v>0.33700000000000002</v>
      </c>
      <c r="O49" s="645">
        <f t="shared" si="37"/>
        <v>0.33700000000000002</v>
      </c>
      <c r="P49" s="727">
        <v>90</v>
      </c>
      <c r="Q49" s="1523">
        <v>94.71</v>
      </c>
      <c r="R49" s="706">
        <v>4195.6499999999996</v>
      </c>
      <c r="S49" s="765">
        <f>IF((_xlfn.XLOOKUP(D49,RUC!$B$3:$B$119,RUC!$E$3:$E$119)+ROUNDDOWN(O49,1)*100)&lt;95,95,((_xlfn.XLOOKUP(D49,RUC!$B$3:$B$119,RUC!$E$3:$E$119)+ROUNDDOWN(O49,1)*100)))</f>
        <v>120</v>
      </c>
      <c r="U49" s="1146">
        <f>_xlfn.XLOOKUP(D49,RUC!$B$3:$B$123,RUC!$F$3:$F$123)</f>
        <v>120</v>
      </c>
      <c r="V49" s="715">
        <v>1.1023000000000001</v>
      </c>
      <c r="Y49">
        <f>_xlfn.XLOOKUP(D49,RUC!$B$3:$B$123,RUC!$G$3:$G$123)</f>
        <v>20</v>
      </c>
      <c r="Z49" s="143">
        <f>_xlfn.XLOOKUP(D49,RUC!$B$3:$B$123,RUC!$H$3:$H$123)</f>
        <v>30</v>
      </c>
      <c r="AA49" s="144">
        <f t="shared" si="43"/>
        <v>50</v>
      </c>
      <c r="AB49" s="145">
        <f t="shared" ref="AB49:AB53" si="50">+((O49*P49*(R49-U49)/100)-S49-AA49+T49)*V49</f>
        <v>1175.2112421835002</v>
      </c>
      <c r="AC49" s="145">
        <f>+(S49-T49)*V49-'data 1'!$F$4</f>
        <v>52.27600000000001</v>
      </c>
      <c r="AD49" s="145">
        <f t="shared" si="45"/>
        <v>75.964738057555408</v>
      </c>
      <c r="AE49" s="145">
        <f t="shared" si="46"/>
        <v>-14.884999999999998</v>
      </c>
      <c r="AF49" s="145">
        <f t="shared" si="47"/>
        <v>93.608482817618835</v>
      </c>
      <c r="AG49" s="772">
        <f t="shared" ref="AG49:AG52" si="51">AC49+AD49+AE49+AF49+70-53</f>
        <v>223.96422087517425</v>
      </c>
      <c r="AH49" s="1253">
        <f t="shared" si="6"/>
        <v>101.699</v>
      </c>
      <c r="AI49" s="1253">
        <f t="shared" si="7"/>
        <v>107.379</v>
      </c>
      <c r="AJ49" s="156">
        <f t="shared" si="8"/>
        <v>46.605361631944632</v>
      </c>
      <c r="AK49" s="156">
        <f t="shared" si="9"/>
        <v>90.718766498109076</v>
      </c>
      <c r="AM49" s="716">
        <f t="shared" si="10"/>
        <v>10252.542876808855</v>
      </c>
      <c r="AN49" s="716" t="str">
        <f>_xlfn.XLOOKUP(D49,RUC!$B$3:$B$578,RUC!$M$3:$M$578)</f>
        <v xml:space="preserve">Walter Achulla </v>
      </c>
      <c r="AO49" s="1167" t="s">
        <v>2278</v>
      </c>
      <c r="AP49" t="s">
        <v>3486</v>
      </c>
      <c r="AQ49" t="s">
        <v>3487</v>
      </c>
    </row>
    <row r="50" spans="1:44" ht="15" customHeight="1">
      <c r="A50" s="747" t="s">
        <v>3461</v>
      </c>
      <c r="B50" s="1447">
        <v>45979</v>
      </c>
      <c r="C50" s="1447">
        <v>45974</v>
      </c>
      <c r="D50" t="s">
        <v>3464</v>
      </c>
      <c r="E50" s="762">
        <f>_xlfn.XLOOKUP(D50,RUC!$B$3:$B$123,RUC!$D$3:$D$123)</f>
        <v>20614284740</v>
      </c>
      <c r="G50" s="1082">
        <v>100</v>
      </c>
      <c r="H50" s="762" t="s">
        <v>69</v>
      </c>
      <c r="I50" s="703">
        <v>7.95</v>
      </c>
      <c r="J50" s="596">
        <v>1.3</v>
      </c>
      <c r="K50" s="703">
        <f t="shared" si="0"/>
        <v>7.8470000000000004</v>
      </c>
      <c r="L50" s="762">
        <v>0.251</v>
      </c>
      <c r="M50" s="994">
        <f t="shared" si="35"/>
        <v>0.23300000000000001</v>
      </c>
      <c r="N50" s="1444">
        <v>0.29199999999999998</v>
      </c>
      <c r="O50" s="645">
        <f t="shared" si="37"/>
        <v>0.26300000000000001</v>
      </c>
      <c r="P50" s="727">
        <v>90</v>
      </c>
      <c r="Q50" s="1523">
        <v>97.61</v>
      </c>
      <c r="R50" s="706">
        <v>4195.6499999999996</v>
      </c>
      <c r="S50" s="765">
        <f>IF((_xlfn.XLOOKUP(D50,RUC!$B$3:$B$119,RUC!$E$3:$E$119)+ROUNDDOWN(O50,1)*100)&lt;95,95,((_xlfn.XLOOKUP(D50,RUC!$B$3:$B$119,RUC!$E$3:$E$119)+ROUNDDOWN(O50,1)*100)))</f>
        <v>110</v>
      </c>
      <c r="U50" s="1146">
        <f>_xlfn.XLOOKUP(D50,RUC!$B$3:$B$123,RUC!$F$3:$F$123)</f>
        <v>120</v>
      </c>
      <c r="V50" s="715">
        <v>1.1023000000000001</v>
      </c>
      <c r="Y50">
        <f>_xlfn.XLOOKUP(D50,RUC!$B$3:$B$123,RUC!$G$3:$G$123)</f>
        <v>20</v>
      </c>
      <c r="Z50" s="143">
        <f>_xlfn.XLOOKUP(D50,RUC!$B$3:$B$123,RUC!$H$3:$H$123)</f>
        <v>30</v>
      </c>
      <c r="AA50" s="144">
        <f t="shared" si="43"/>
        <v>50</v>
      </c>
      <c r="AB50" s="145">
        <f t="shared" si="50"/>
        <v>887.02781511650005</v>
      </c>
      <c r="AC50" s="145">
        <f>+(S50-T50)*V50-'data 1'!$F$4</f>
        <v>41.253</v>
      </c>
      <c r="AD50" s="145">
        <f t="shared" si="45"/>
        <v>85.8133916523945</v>
      </c>
      <c r="AE50" s="145">
        <f t="shared" si="46"/>
        <v>-14.884999999999998</v>
      </c>
      <c r="AF50" s="145">
        <f t="shared" si="47"/>
        <v>-52.622593416234039</v>
      </c>
      <c r="AG50" s="772">
        <f t="shared" si="51"/>
        <v>76.558798236160442</v>
      </c>
      <c r="AH50" s="1253">
        <f t="shared" si="6"/>
        <v>65.914000000000001</v>
      </c>
      <c r="AI50" s="1253">
        <f t="shared" si="7"/>
        <v>67.528000000000006</v>
      </c>
      <c r="AJ50" s="156">
        <f t="shared" si="8"/>
        <v>33.582547003105603</v>
      </c>
      <c r="AK50" s="156">
        <f t="shared" si="9"/>
        <v>63.681162054710448</v>
      </c>
      <c r="AM50" s="716">
        <f t="shared" si="10"/>
        <v>6960.5072652191766</v>
      </c>
      <c r="AN50" s="716" t="str">
        <f>_xlfn.XLOOKUP(D50,RUC!$B$3:$B$578,RUC!$M$3:$M$578)</f>
        <v xml:space="preserve">Walter Achulla </v>
      </c>
      <c r="AO50" s="1167" t="s">
        <v>2278</v>
      </c>
      <c r="AP50" t="s">
        <v>3486</v>
      </c>
      <c r="AQ50" t="s">
        <v>3487</v>
      </c>
    </row>
    <row r="51" spans="1:44" ht="15" customHeight="1">
      <c r="A51" s="747" t="s">
        <v>3462</v>
      </c>
      <c r="B51" s="1447">
        <v>45979</v>
      </c>
      <c r="C51" s="1447">
        <v>45974</v>
      </c>
      <c r="D51" t="s">
        <v>3464</v>
      </c>
      <c r="E51" s="762">
        <f>_xlfn.XLOOKUP(D51,RUC!$B$3:$B$123,RUC!$D$3:$D$123)</f>
        <v>20614284740</v>
      </c>
      <c r="G51" s="1082">
        <v>100</v>
      </c>
      <c r="H51" s="762" t="s">
        <v>69</v>
      </c>
      <c r="I51" s="703">
        <v>8.19</v>
      </c>
      <c r="J51" s="596">
        <v>1.25</v>
      </c>
      <c r="K51" s="703">
        <f t="shared" si="0"/>
        <v>8.0879999999999992</v>
      </c>
      <c r="L51" s="762">
        <v>0.27100000000000002</v>
      </c>
      <c r="M51" s="994">
        <f t="shared" si="35"/>
        <v>0.253</v>
      </c>
      <c r="N51" s="1196">
        <f t="shared" si="49"/>
        <v>0.253</v>
      </c>
      <c r="O51" s="645">
        <f t="shared" si="37"/>
        <v>0.253</v>
      </c>
      <c r="P51" s="727">
        <v>90</v>
      </c>
      <c r="Q51" s="1523">
        <v>92.62</v>
      </c>
      <c r="R51" s="706">
        <v>4195.6499999999996</v>
      </c>
      <c r="S51" s="765">
        <f>IF((_xlfn.XLOOKUP(D51,RUC!$B$3:$B$119,RUC!$E$3:$E$119)+ROUNDDOWN(O51,1)*100)&lt;95,95,((_xlfn.XLOOKUP(D51,RUC!$B$3:$B$119,RUC!$E$3:$E$119)+ROUNDDOWN(O51,1)*100)))</f>
        <v>110</v>
      </c>
      <c r="U51" s="1146">
        <f>_xlfn.XLOOKUP(D51,RUC!$B$3:$B$123,RUC!$F$3:$F$123)</f>
        <v>120</v>
      </c>
      <c r="V51" s="715">
        <v>1.1023000000000001</v>
      </c>
      <c r="Y51">
        <f>_xlfn.XLOOKUP(D51,RUC!$B$3:$B$123,RUC!$G$3:$G$123)</f>
        <v>20</v>
      </c>
      <c r="Z51" s="143">
        <f>_xlfn.XLOOKUP(D51,RUC!$B$3:$B$123,RUC!$H$3:$H$123)</f>
        <v>30</v>
      </c>
      <c r="AA51" s="144">
        <f t="shared" si="43"/>
        <v>50</v>
      </c>
      <c r="AB51" s="145">
        <f t="shared" si="50"/>
        <v>846.59451416149989</v>
      </c>
      <c r="AC51" s="145">
        <f>+(S51-T51)*V51-'data 1'!$F$4</f>
        <v>41.253</v>
      </c>
      <c r="AD51" s="145">
        <f t="shared" si="45"/>
        <v>31.89828038229906</v>
      </c>
      <c r="AE51" s="145">
        <f t="shared" si="46"/>
        <v>-14.884999999999998</v>
      </c>
      <c r="AF51" s="145">
        <f t="shared" si="47"/>
        <v>74.898646689042067</v>
      </c>
      <c r="AG51" s="772">
        <f t="shared" si="51"/>
        <v>150.16492707134114</v>
      </c>
      <c r="AH51" s="1253">
        <f t="shared" si="6"/>
        <v>69.602000000000004</v>
      </c>
      <c r="AI51" s="1253">
        <f t="shared" si="7"/>
        <v>75.147999999999996</v>
      </c>
      <c r="AJ51" s="156">
        <f t="shared" si="8"/>
        <v>34.404849669201106</v>
      </c>
      <c r="AK51" s="156">
        <f t="shared" si="9"/>
        <v>63.141259763470678</v>
      </c>
      <c r="AM51" s="716">
        <f t="shared" si="10"/>
        <v>6847.2564305382102</v>
      </c>
      <c r="AN51" s="716" t="str">
        <f>_xlfn.XLOOKUP(D51,RUC!$B$3:$B$578,RUC!$M$3:$M$578)</f>
        <v xml:space="preserve">Walter Achulla </v>
      </c>
      <c r="AO51" s="1167" t="s">
        <v>2278</v>
      </c>
      <c r="AP51" t="s">
        <v>3486</v>
      </c>
      <c r="AQ51" t="s">
        <v>3487</v>
      </c>
    </row>
    <row r="52" spans="1:44" ht="15" customHeight="1">
      <c r="A52" s="747" t="s">
        <v>3463</v>
      </c>
      <c r="B52" s="1447">
        <v>45979</v>
      </c>
      <c r="C52" s="1447">
        <v>45974</v>
      </c>
      <c r="D52" t="s">
        <v>3464</v>
      </c>
      <c r="E52" s="762">
        <f>_xlfn.XLOOKUP(D52,RUC!$B$3:$B$123,RUC!$D$3:$D$123)</f>
        <v>20614284740</v>
      </c>
      <c r="G52" s="1082">
        <v>100</v>
      </c>
      <c r="H52" s="762" t="s">
        <v>69</v>
      </c>
      <c r="I52" s="703">
        <v>8.69</v>
      </c>
      <c r="J52" s="596">
        <v>1.2</v>
      </c>
      <c r="K52" s="703">
        <f t="shared" si="0"/>
        <v>8.5860000000000003</v>
      </c>
      <c r="L52" s="994">
        <v>0.434</v>
      </c>
      <c r="M52" s="994">
        <f t="shared" si="35"/>
        <v>0.40799999999999997</v>
      </c>
      <c r="N52" s="1196">
        <f t="shared" si="49"/>
        <v>0.40799999999999997</v>
      </c>
      <c r="O52" s="1147">
        <v>0.48099999999999998</v>
      </c>
      <c r="P52" s="727">
        <v>90</v>
      </c>
      <c r="Q52" s="1523">
        <v>94.39</v>
      </c>
      <c r="R52" s="706">
        <v>4195.6499999999996</v>
      </c>
      <c r="S52" s="765">
        <f>IF((_xlfn.XLOOKUP(D52,RUC!$B$3:$B$119,RUC!$E$3:$E$119)+ROUNDDOWN(O52,1)*100)&lt;95,95,((_xlfn.XLOOKUP(D52,RUC!$B$3:$B$119,RUC!$E$3:$E$119)+ROUNDDOWN(O52,1)*100)))</f>
        <v>130</v>
      </c>
      <c r="U52" s="1146">
        <f>_xlfn.XLOOKUP(D52,RUC!$B$3:$B$123,RUC!$F$3:$F$123)</f>
        <v>120</v>
      </c>
      <c r="V52" s="715">
        <v>1.1023000000000001</v>
      </c>
      <c r="Y52" s="1445">
        <v>40</v>
      </c>
      <c r="Z52" s="143">
        <f>_xlfn.XLOOKUP(D52,RUC!$B$3:$B$123,RUC!$H$3:$H$123)</f>
        <v>30</v>
      </c>
      <c r="AA52" s="144">
        <f t="shared" si="43"/>
        <v>70</v>
      </c>
      <c r="AB52" s="145">
        <f t="shared" si="50"/>
        <v>1724.3817759354997</v>
      </c>
      <c r="AC52" s="145">
        <f>+(S52-T52)*V52-'data 1'!$F$4</f>
        <v>63.299000000000007</v>
      </c>
      <c r="AD52" s="145">
        <f t="shared" si="45"/>
        <v>85.595501086137006</v>
      </c>
      <c r="AE52" s="145">
        <f t="shared" si="46"/>
        <v>7.1610000000000014</v>
      </c>
      <c r="AF52" s="145">
        <f t="shared" si="47"/>
        <v>-199.30607336188342</v>
      </c>
      <c r="AG52" s="772">
        <f t="shared" si="51"/>
        <v>-26.250572275746407</v>
      </c>
      <c r="AH52" s="1253">
        <f t="shared" si="6"/>
        <v>120.59099999999999</v>
      </c>
      <c r="AI52" s="1253">
        <f t="shared" si="7"/>
        <v>127.758</v>
      </c>
      <c r="AJ52" s="156">
        <f t="shared" si="8"/>
        <v>56.151493582863161</v>
      </c>
      <c r="AK52" s="156">
        <f t="shared" si="9"/>
        <v>127.43465256405118</v>
      </c>
      <c r="AM52" s="716">
        <f t="shared" si="10"/>
        <v>14805.541928182201</v>
      </c>
      <c r="AN52" s="716" t="str">
        <f>_xlfn.XLOOKUP(D52,RUC!$B$3:$B$578,RUC!$M$3:$M$578)</f>
        <v xml:space="preserve">Walter Achulla </v>
      </c>
      <c r="AO52" s="1167" t="s">
        <v>2278</v>
      </c>
      <c r="AP52" t="s">
        <v>3486</v>
      </c>
      <c r="AQ52" t="s">
        <v>3487</v>
      </c>
      <c r="AR52" t="s">
        <v>3641</v>
      </c>
    </row>
    <row r="53" spans="1:44" ht="15" customHeight="1">
      <c r="A53" s="747" t="s">
        <v>3465</v>
      </c>
      <c r="B53" s="1447">
        <v>45980</v>
      </c>
      <c r="C53" s="1447">
        <v>45975</v>
      </c>
      <c r="D53" t="s">
        <v>2004</v>
      </c>
      <c r="E53" s="762">
        <f>_xlfn.XLOOKUP(D53,RUC!$B$3:$B$123,RUC!$D$3:$D$123)</f>
        <v>20612921866</v>
      </c>
      <c r="G53" s="1082">
        <v>20</v>
      </c>
      <c r="H53" s="762" t="s">
        <v>69</v>
      </c>
      <c r="I53" s="703">
        <v>2.17</v>
      </c>
      <c r="J53" s="596">
        <v>1.25</v>
      </c>
      <c r="K53" s="703">
        <f t="shared" si="0"/>
        <v>2.1429999999999998</v>
      </c>
      <c r="L53" s="762">
        <v>0.158</v>
      </c>
      <c r="M53" s="994">
        <f t="shared" si="35"/>
        <v>0.14000000000000001</v>
      </c>
      <c r="N53" s="1196">
        <f t="shared" si="49"/>
        <v>0.14000000000000001</v>
      </c>
      <c r="O53" s="645">
        <f t="shared" ref="O53:O103" si="52">+ROUND((M53+N53)/2,3)</f>
        <v>0.14000000000000001</v>
      </c>
      <c r="P53" s="727">
        <v>90</v>
      </c>
      <c r="Q53" s="1523">
        <v>96.2</v>
      </c>
      <c r="R53" s="706">
        <v>4071.1</v>
      </c>
      <c r="S53" s="765">
        <f>IF((_xlfn.XLOOKUP(D53,RUC!$B$3:$B$119,RUC!$E$3:$E$119)+ROUNDDOWN(O53,1)*100)&lt;95,95,((_xlfn.XLOOKUP(D53,RUC!$B$3:$B$119,RUC!$E$3:$E$119)+ROUNDDOWN(O53,1)*100)))</f>
        <v>95</v>
      </c>
      <c r="U53" s="1146">
        <f>_xlfn.XLOOKUP(D53,RUC!$B$3:$B$123,RUC!$F$3:$F$123)</f>
        <v>100</v>
      </c>
      <c r="V53" s="715">
        <v>1.1023000000000001</v>
      </c>
      <c r="Y53">
        <f>_xlfn.XLOOKUP(D53,RUC!$B$3:$B$123,RUC!$G$3:$G$123)</f>
        <v>0</v>
      </c>
      <c r="Z53" s="143">
        <f>_xlfn.XLOOKUP(D53,RUC!$B$3:$B$123,RUC!$H$3:$H$123)</f>
        <v>30</v>
      </c>
      <c r="AA53" s="144">
        <f t="shared" si="43"/>
        <v>30</v>
      </c>
      <c r="AB53" s="145">
        <f t="shared" si="50"/>
        <v>413.75778478000012</v>
      </c>
      <c r="AC53" s="145">
        <f>+(S53-T53)*V53-'data 1'!$F$4</f>
        <v>24.718500000000006</v>
      </c>
      <c r="AD53" s="145">
        <f t="shared" si="45"/>
        <v>42.880457219880014</v>
      </c>
      <c r="AE53" s="145">
        <f t="shared" si="46"/>
        <v>-36.930999999999997</v>
      </c>
      <c r="AF53" s="145">
        <f t="shared" si="47"/>
        <v>75.798080565479964</v>
      </c>
      <c r="AG53" s="772">
        <f t="shared" ref="AG53" si="53">AC53+AD53+AE53+AF53+70-10</f>
        <v>166.46603778535999</v>
      </c>
      <c r="AH53" s="1253">
        <f t="shared" si="6"/>
        <v>11.167999999999999</v>
      </c>
      <c r="AI53" s="1253">
        <f t="shared" si="7"/>
        <v>11.609</v>
      </c>
      <c r="AJ53" s="156">
        <f t="shared" si="8"/>
        <v>38.351094174120021</v>
      </c>
      <c r="AK53" s="156">
        <f t="shared" si="9"/>
        <v>9.2576719104849001</v>
      </c>
      <c r="AM53" s="716">
        <f t="shared" si="10"/>
        <v>886.6829327835402</v>
      </c>
      <c r="AN53" s="716" t="str">
        <f>_xlfn.XLOOKUP(D53,RUC!$B$3:$B$578,RUC!$M$3:$M$578)</f>
        <v>Ronald Garibay</v>
      </c>
      <c r="AO53" s="1167" t="s">
        <v>2280</v>
      </c>
      <c r="AP53" t="s">
        <v>3488</v>
      </c>
      <c r="AQ53" t="s">
        <v>3489</v>
      </c>
    </row>
    <row r="54" spans="1:44" ht="15" customHeight="1">
      <c r="A54" s="1491" t="s">
        <v>3466</v>
      </c>
      <c r="B54" s="1542">
        <v>45980</v>
      </c>
      <c r="C54" s="1447">
        <v>45975</v>
      </c>
      <c r="D54" t="s">
        <v>2004</v>
      </c>
      <c r="E54" s="762">
        <f>_xlfn.XLOOKUP(D54,RUC!$B$3:$B$123,RUC!$D$3:$D$123)</f>
        <v>20612921866</v>
      </c>
      <c r="G54" s="1082">
        <v>20</v>
      </c>
      <c r="H54" s="762" t="s">
        <v>69</v>
      </c>
      <c r="I54" s="703">
        <v>2.27</v>
      </c>
      <c r="J54" s="596">
        <v>1.2</v>
      </c>
      <c r="K54" s="703">
        <f t="shared" si="0"/>
        <v>2.2429999999999999</v>
      </c>
      <c r="L54" s="762">
        <v>0.113</v>
      </c>
      <c r="M54" s="994">
        <f t="shared" si="35"/>
        <v>9.5000000000000001E-2</v>
      </c>
      <c r="N54" s="1196">
        <f t="shared" si="49"/>
        <v>9.5000000000000001E-2</v>
      </c>
      <c r="O54" s="645">
        <f t="shared" si="52"/>
        <v>9.5000000000000001E-2</v>
      </c>
      <c r="P54" s="727">
        <v>90</v>
      </c>
      <c r="Q54" s="1523">
        <v>97.35</v>
      </c>
      <c r="R54" s="706">
        <v>4071.1</v>
      </c>
      <c r="S54" s="765">
        <f>IF((_xlfn.XLOOKUP(D54,RUC!$B$3:$B$119,RUC!$E$3:$E$119)+ROUNDDOWN(O54,1)*100)&lt;95,95,((_xlfn.XLOOKUP(D54,RUC!$B$3:$B$119,RUC!$E$3:$E$119)+ROUNDDOWN(O54,1)*100)))</f>
        <v>95</v>
      </c>
      <c r="U54" s="1146">
        <f>_xlfn.XLOOKUP(D54,RUC!$B$3:$B$123,RUC!$F$3:$F$123)</f>
        <v>100</v>
      </c>
      <c r="V54" s="715">
        <v>1.1023000000000001</v>
      </c>
      <c r="Y54">
        <f>_xlfn.XLOOKUP(D54,RUC!$B$3:$B$123,RUC!$G$3:$G$123)</f>
        <v>0</v>
      </c>
      <c r="Z54" s="143">
        <f>_xlfn.XLOOKUP(D54,RUC!$B$3:$B$123,RUC!$H$3:$H$123)</f>
        <v>30</v>
      </c>
      <c r="AA54" s="144">
        <f t="shared" si="43"/>
        <v>30</v>
      </c>
      <c r="AB54" s="145">
        <v>1E-3</v>
      </c>
      <c r="AC54" s="145">
        <f>+(S54-T54)*V54-'data 1'!$F$4</f>
        <v>24.718500000000006</v>
      </c>
      <c r="AD54" s="145">
        <f t="shared" si="45"/>
        <v>36.356026688414971</v>
      </c>
      <c r="AE54" s="145">
        <f t="shared" si="46"/>
        <v>-36.930999999999997</v>
      </c>
      <c r="AF54" s="145">
        <f t="shared" si="47"/>
        <v>76.704190676190024</v>
      </c>
      <c r="AG54" s="772">
        <f>AC54+AD54+AE54+AF54+70-10+236.48</f>
        <v>397.32771736460495</v>
      </c>
      <c r="AH54" s="1253">
        <f t="shared" si="6"/>
        <v>8.4600000000000009</v>
      </c>
      <c r="AI54" s="1253">
        <f t="shared" si="7"/>
        <v>8.69</v>
      </c>
      <c r="AJ54" s="156">
        <f t="shared" si="8"/>
        <v>27.756199440585014</v>
      </c>
      <c r="AK54" s="156">
        <f t="shared" si="9"/>
        <v>6.5751317213708251</v>
      </c>
      <c r="AM54" s="716">
        <f t="shared" si="10"/>
        <v>2.2429999999999998E-3</v>
      </c>
      <c r="AN54" s="716" t="str">
        <f>_xlfn.XLOOKUP(D54,RUC!$B$3:$B$578,RUC!$M$3:$M$578)</f>
        <v>Ronald Garibay</v>
      </c>
      <c r="AO54" s="1167" t="s">
        <v>2280</v>
      </c>
      <c r="AP54" t="s">
        <v>3488</v>
      </c>
      <c r="AQ54" t="s">
        <v>3489</v>
      </c>
    </row>
    <row r="55" spans="1:44" ht="15" customHeight="1">
      <c r="A55" s="747" t="s">
        <v>3467</v>
      </c>
      <c r="B55" s="1447">
        <v>45984</v>
      </c>
      <c r="C55" s="1447">
        <v>45975</v>
      </c>
      <c r="D55" t="s">
        <v>1671</v>
      </c>
      <c r="E55" s="762">
        <f>_xlfn.XLOOKUP(D55,RUC!$B$3:$B$123,RUC!$D$3:$D$123)</f>
        <v>20517242919</v>
      </c>
      <c r="G55" s="1082">
        <v>68</v>
      </c>
      <c r="H55" s="762" t="s">
        <v>69</v>
      </c>
      <c r="I55" s="703">
        <v>5.87</v>
      </c>
      <c r="J55" s="596">
        <v>1.35</v>
      </c>
      <c r="K55" s="703">
        <f t="shared" si="0"/>
        <v>5.7910000000000004</v>
      </c>
      <c r="L55" s="762">
        <v>0.28100000000000003</v>
      </c>
      <c r="M55" s="994">
        <f t="shared" si="35"/>
        <v>0.27400000000000002</v>
      </c>
      <c r="N55" s="1444">
        <v>0.318</v>
      </c>
      <c r="O55" s="645">
        <f t="shared" si="52"/>
        <v>0.29599999999999999</v>
      </c>
      <c r="P55" s="727">
        <v>90</v>
      </c>
      <c r="Q55" s="1523">
        <v>95.37</v>
      </c>
      <c r="R55" s="706">
        <v>4071.1</v>
      </c>
      <c r="S55" s="1164">
        <v>105</v>
      </c>
      <c r="U55" s="1146">
        <f>_xlfn.XLOOKUP(D55,RUC!$B$3:$B$123,RUC!$F$3:$F$123)</f>
        <v>80</v>
      </c>
      <c r="V55" s="715">
        <v>1.1023000000000001</v>
      </c>
      <c r="Y55">
        <f>_xlfn.XLOOKUP(D55,RUC!$B$3:$B$123,RUC!$G$3:$G$123)</f>
        <v>0</v>
      </c>
      <c r="Z55" s="143">
        <f>_xlfn.XLOOKUP(D55,RUC!$B$3:$B$123,RUC!$H$3:$H$123)</f>
        <v>10</v>
      </c>
      <c r="AA55" s="144">
        <f t="shared" si="43"/>
        <v>10</v>
      </c>
      <c r="AB55" s="145">
        <f t="shared" ref="AB55:AB64" si="54">+((O55*P55*(R55-U55)/100)-S55-AA55+T55)*V55</f>
        <v>1045.2328707919996</v>
      </c>
      <c r="AC55" s="145">
        <f>+(S55-T55)*V55-'data 1'!$F$4</f>
        <v>35.741500000000002</v>
      </c>
      <c r="AD55" s="145">
        <f t="shared" si="45"/>
        <v>66.385468190841067</v>
      </c>
      <c r="AE55" s="145">
        <f t="shared" si="46"/>
        <v>-58.977000000000004</v>
      </c>
      <c r="AF55" s="145">
        <f t="shared" si="47"/>
        <v>-62.935466921414836</v>
      </c>
      <c r="AG55" s="772">
        <f t="shared" ref="AG55:AG62" si="55">AC55+AD55+AE55+AF55+70</f>
        <v>50.214501269426229</v>
      </c>
      <c r="AH55" s="1253">
        <f t="shared" si="6"/>
        <v>53.207999999999998</v>
      </c>
      <c r="AI55" s="1253">
        <f t="shared" si="7"/>
        <v>55.792000000000002</v>
      </c>
      <c r="AJ55" s="156">
        <f t="shared" si="8"/>
        <v>61.710114174159045</v>
      </c>
      <c r="AK55" s="156">
        <f t="shared" si="9"/>
        <v>52.892836137427309</v>
      </c>
      <c r="AL55" s="88"/>
      <c r="AM55" s="716">
        <f t="shared" si="10"/>
        <v>6052.9435547564699</v>
      </c>
      <c r="AN55" s="716" t="str">
        <f>_xlfn.XLOOKUP(D55,RUC!$B$3:$B$578,RUC!$M$3:$M$578)</f>
        <v>Melchor Vera</v>
      </c>
      <c r="AO55" s="1167" t="s">
        <v>2278</v>
      </c>
      <c r="AP55" t="s">
        <v>2349</v>
      </c>
      <c r="AQ55" t="s">
        <v>3490</v>
      </c>
    </row>
    <row r="56" spans="1:44" ht="15" customHeight="1">
      <c r="A56" s="747" t="s">
        <v>3468</v>
      </c>
      <c r="B56" s="1447">
        <v>45984</v>
      </c>
      <c r="C56" s="1447">
        <v>45975</v>
      </c>
      <c r="D56" t="s">
        <v>1671</v>
      </c>
      <c r="E56" s="762">
        <f>_xlfn.XLOOKUP(D56,RUC!$B$3:$B$123,RUC!$D$3:$D$123)</f>
        <v>20517242919</v>
      </c>
      <c r="G56" s="1082">
        <v>63</v>
      </c>
      <c r="H56" s="762" t="s">
        <v>69</v>
      </c>
      <c r="I56" s="703">
        <v>5.14</v>
      </c>
      <c r="J56" s="596">
        <v>1.3</v>
      </c>
      <c r="K56" s="703">
        <f t="shared" si="0"/>
        <v>5.0730000000000004</v>
      </c>
      <c r="L56" s="762">
        <v>0.224</v>
      </c>
      <c r="M56" s="994">
        <f t="shared" si="35"/>
        <v>0.217</v>
      </c>
      <c r="N56" s="1196">
        <f t="shared" si="49"/>
        <v>0.217</v>
      </c>
      <c r="O56" s="645">
        <f t="shared" si="52"/>
        <v>0.217</v>
      </c>
      <c r="P56" s="727">
        <v>85</v>
      </c>
      <c r="Q56" s="1523">
        <v>96.88</v>
      </c>
      <c r="R56" s="706">
        <v>4071.1</v>
      </c>
      <c r="S56" s="1164">
        <v>105</v>
      </c>
      <c r="U56" s="1146">
        <f>_xlfn.XLOOKUP(D56,RUC!$B$3:$B$123,RUC!$F$3:$F$123)</f>
        <v>80</v>
      </c>
      <c r="V56" s="715">
        <v>1.1023000000000001</v>
      </c>
      <c r="Y56">
        <f>_xlfn.XLOOKUP(D56,RUC!$B$3:$B$123,RUC!$G$3:$G$123)</f>
        <v>0</v>
      </c>
      <c r="Z56" s="143">
        <f>_xlfn.XLOOKUP(D56,RUC!$B$3:$B$123,RUC!$H$3:$H$123)</f>
        <v>10</v>
      </c>
      <c r="AA56" s="144">
        <f t="shared" si="43"/>
        <v>10</v>
      </c>
      <c r="AB56" s="145">
        <f t="shared" si="54"/>
        <v>684.70289880850009</v>
      </c>
      <c r="AC56" s="145">
        <f>+(S56-T56)*V56-'data 1'!$F$4</f>
        <v>35.741500000000002</v>
      </c>
      <c r="AD56" s="145">
        <f t="shared" si="45"/>
        <v>117.07303466073597</v>
      </c>
      <c r="AE56" s="145">
        <f t="shared" si="46"/>
        <v>-58.977000000000004</v>
      </c>
      <c r="AF56" s="145">
        <f t="shared" si="47"/>
        <v>29.834900036648023</v>
      </c>
      <c r="AG56" s="772">
        <f t="shared" si="55"/>
        <v>193.67243469738401</v>
      </c>
      <c r="AH56" s="1253">
        <f t="shared" si="6"/>
        <v>37.744999999999997</v>
      </c>
      <c r="AI56" s="1253">
        <f t="shared" si="7"/>
        <v>38.96</v>
      </c>
      <c r="AJ56" s="156">
        <f t="shared" si="8"/>
        <v>49.971271019264023</v>
      </c>
      <c r="AK56" s="156">
        <f t="shared" si="9"/>
        <v>32.081346736397542</v>
      </c>
      <c r="AL56" s="88"/>
      <c r="AM56" s="716">
        <f t="shared" si="10"/>
        <v>3473.4978056555215</v>
      </c>
      <c r="AN56" s="716" t="str">
        <f>_xlfn.XLOOKUP(D56,RUC!$B$3:$B$578,RUC!$M$3:$M$578)</f>
        <v>Melchor Vera</v>
      </c>
      <c r="AO56" s="1167" t="s">
        <v>2278</v>
      </c>
      <c r="AP56" t="s">
        <v>2349</v>
      </c>
      <c r="AQ56" t="s">
        <v>3490</v>
      </c>
    </row>
    <row r="57" spans="1:44" ht="15" customHeight="1">
      <c r="A57" s="747" t="s">
        <v>3469</v>
      </c>
      <c r="B57" s="1447">
        <v>45984</v>
      </c>
      <c r="C57" s="1447">
        <v>45975</v>
      </c>
      <c r="D57" t="s">
        <v>1671</v>
      </c>
      <c r="E57" s="762">
        <f>_xlfn.XLOOKUP(D57,RUC!$B$3:$B$123,RUC!$D$3:$D$123)</f>
        <v>20517242919</v>
      </c>
      <c r="G57" s="1082">
        <v>60</v>
      </c>
      <c r="H57" s="762" t="s">
        <v>69</v>
      </c>
      <c r="I57" s="703">
        <v>5.32</v>
      </c>
      <c r="J57" s="596">
        <v>1.1499999999999999</v>
      </c>
      <c r="K57" s="703">
        <f t="shared" si="0"/>
        <v>5.2590000000000003</v>
      </c>
      <c r="L57" s="994">
        <v>0.28000000000000003</v>
      </c>
      <c r="M57" s="994">
        <f t="shared" si="35"/>
        <v>0.27300000000000002</v>
      </c>
      <c r="N57" s="1196">
        <f t="shared" si="49"/>
        <v>0.27300000000000002</v>
      </c>
      <c r="O57" s="645">
        <f t="shared" si="52"/>
        <v>0.27300000000000002</v>
      </c>
      <c r="P57" s="727">
        <v>90</v>
      </c>
      <c r="Q57" s="1523">
        <v>91.79</v>
      </c>
      <c r="R57" s="706">
        <v>4071.1</v>
      </c>
      <c r="S57" s="1164">
        <v>105</v>
      </c>
      <c r="U57" s="1146">
        <f>_xlfn.XLOOKUP(D57,RUC!$B$3:$B$123,RUC!$F$3:$F$123)</f>
        <v>80</v>
      </c>
      <c r="V57" s="715">
        <v>1.1023000000000001</v>
      </c>
      <c r="Y57">
        <f>_xlfn.XLOOKUP(D57,RUC!$B$3:$B$123,RUC!$G$3:$G$123)</f>
        <v>0</v>
      </c>
      <c r="Z57" s="143">
        <f>_xlfn.XLOOKUP(D57,RUC!$B$3:$B$123,RUC!$H$3:$H$123)</f>
        <v>10</v>
      </c>
      <c r="AA57" s="144">
        <f t="shared" si="43"/>
        <v>10</v>
      </c>
      <c r="AB57" s="145">
        <f t="shared" si="54"/>
        <v>954.16550752100011</v>
      </c>
      <c r="AC57" s="145">
        <f>+(S57-T57)*V57-'data 1'!$F$4</f>
        <v>35.741500000000002</v>
      </c>
      <c r="AD57" s="145">
        <f t="shared" si="45"/>
        <v>22.049740324360076</v>
      </c>
      <c r="AE57" s="145">
        <f t="shared" si="46"/>
        <v>-58.977000000000004</v>
      </c>
      <c r="AF57" s="145">
        <f t="shared" si="47"/>
        <v>28.267397547109027</v>
      </c>
      <c r="AG57" s="772">
        <f t="shared" si="55"/>
        <v>97.081637871469098</v>
      </c>
      <c r="AH57" s="1253">
        <f t="shared" si="6"/>
        <v>46.341000000000001</v>
      </c>
      <c r="AI57" s="1253">
        <f t="shared" si="7"/>
        <v>50.485999999999997</v>
      </c>
      <c r="AJ57" s="156">
        <f t="shared" si="8"/>
        <v>59.182274035640042</v>
      </c>
      <c r="AK57" s="156">
        <f t="shared" si="9"/>
        <v>44.301394458991226</v>
      </c>
      <c r="AL57" s="88"/>
      <c r="AM57" s="716">
        <f t="shared" si="10"/>
        <v>5017.9564040529403</v>
      </c>
      <c r="AN57" s="716" t="str">
        <f>_xlfn.XLOOKUP(D57,RUC!$B$3:$B$578,RUC!$M$3:$M$578)</f>
        <v>Melchor Vera</v>
      </c>
      <c r="AO57" s="1167" t="s">
        <v>2278</v>
      </c>
      <c r="AP57" t="s">
        <v>2349</v>
      </c>
      <c r="AQ57" t="s">
        <v>3490</v>
      </c>
    </row>
    <row r="58" spans="1:44" ht="15" customHeight="1">
      <c r="A58" s="747" t="s">
        <v>3470</v>
      </c>
      <c r="B58" s="1447">
        <v>45984</v>
      </c>
      <c r="C58" s="1447">
        <v>45975</v>
      </c>
      <c r="D58" t="s">
        <v>1671</v>
      </c>
      <c r="E58" s="762">
        <f>_xlfn.XLOOKUP(D58,RUC!$B$3:$B$123,RUC!$D$3:$D$123)</f>
        <v>20517242919</v>
      </c>
      <c r="G58" s="1082">
        <v>65</v>
      </c>
      <c r="H58" s="762" t="s">
        <v>69</v>
      </c>
      <c r="I58" s="703">
        <v>5.53</v>
      </c>
      <c r="J58" s="596">
        <v>1.3</v>
      </c>
      <c r="K58" s="703">
        <f t="shared" si="0"/>
        <v>5.4580000000000002</v>
      </c>
      <c r="L58" s="762">
        <v>0.14299999999999999</v>
      </c>
      <c r="M58" s="994">
        <f t="shared" si="35"/>
        <v>0.13600000000000001</v>
      </c>
      <c r="N58" s="1196">
        <f t="shared" si="49"/>
        <v>0.13600000000000001</v>
      </c>
      <c r="O58" s="645">
        <f t="shared" si="52"/>
        <v>0.13600000000000001</v>
      </c>
      <c r="P58" s="727">
        <v>85</v>
      </c>
      <c r="Q58" s="1523">
        <v>97.2</v>
      </c>
      <c r="R58" s="706">
        <v>4071.1</v>
      </c>
      <c r="S58" s="1164">
        <v>95</v>
      </c>
      <c r="U58" s="1146">
        <f>_xlfn.XLOOKUP(D58,RUC!$B$3:$B$123,RUC!$F$3:$F$123)</f>
        <v>80</v>
      </c>
      <c r="V58" s="715">
        <v>1.1023000000000001</v>
      </c>
      <c r="Y58">
        <f>_xlfn.XLOOKUP(D58,RUC!$B$3:$B$123,RUC!$G$3:$G$123)</f>
        <v>0</v>
      </c>
      <c r="Z58" s="143">
        <f>_xlfn.XLOOKUP(D58,RUC!$B$3:$B$123,RUC!$H$3:$H$123)</f>
        <v>10</v>
      </c>
      <c r="AA58" s="144">
        <f t="shared" si="43"/>
        <v>10</v>
      </c>
      <c r="AB58" s="145">
        <f t="shared" si="54"/>
        <v>392.82792966800008</v>
      </c>
      <c r="AC58" s="145">
        <f>+(S58-T58)*V58-'data 1'!$F$4</f>
        <v>24.718500000000006</v>
      </c>
      <c r="AD58" s="145">
        <f t="shared" si="45"/>
        <v>76.751749740380006</v>
      </c>
      <c r="AE58" s="145">
        <f t="shared" si="46"/>
        <v>-58.977000000000004</v>
      </c>
      <c r="AF58" s="145">
        <f t="shared" si="47"/>
        <v>29.933446362119913</v>
      </c>
      <c r="AG58" s="772">
        <f t="shared" si="55"/>
        <v>142.42669610249993</v>
      </c>
      <c r="AH58" s="1253">
        <f t="shared" si="6"/>
        <v>26.01</v>
      </c>
      <c r="AI58" s="1253">
        <f t="shared" si="7"/>
        <v>26.76</v>
      </c>
      <c r="AJ58" s="156">
        <f t="shared" si="8"/>
        <v>32.006674248120014</v>
      </c>
      <c r="AK58" s="156">
        <f t="shared" si="9"/>
        <v>21.632187306129641</v>
      </c>
      <c r="AL58" s="88"/>
      <c r="AM58" s="716">
        <f t="shared" si="10"/>
        <v>2144.0548401279443</v>
      </c>
      <c r="AN58" s="716" t="str">
        <f>_xlfn.XLOOKUP(D58,RUC!$B$3:$B$578,RUC!$M$3:$M$578)</f>
        <v>Melchor Vera</v>
      </c>
      <c r="AO58" s="1167" t="s">
        <v>2280</v>
      </c>
      <c r="AP58" t="s">
        <v>2349</v>
      </c>
      <c r="AQ58" t="s">
        <v>3490</v>
      </c>
    </row>
    <row r="59" spans="1:44" ht="15" customHeight="1">
      <c r="A59" s="747" t="s">
        <v>3471</v>
      </c>
      <c r="B59" s="1447">
        <v>45984</v>
      </c>
      <c r="C59" s="1447">
        <v>45975</v>
      </c>
      <c r="D59" t="s">
        <v>1671</v>
      </c>
      <c r="E59" s="762">
        <f>_xlfn.XLOOKUP(D59,RUC!$B$3:$B$123,RUC!$D$3:$D$123)</f>
        <v>20517242919</v>
      </c>
      <c r="G59" s="1082">
        <v>40</v>
      </c>
      <c r="H59" s="762" t="s">
        <v>69</v>
      </c>
      <c r="I59" s="703">
        <v>3.76</v>
      </c>
      <c r="J59" s="596">
        <v>1.2</v>
      </c>
      <c r="K59" s="703">
        <f t="shared" si="0"/>
        <v>3.7149999999999999</v>
      </c>
      <c r="L59" s="762">
        <v>0.44800000000000001</v>
      </c>
      <c r="M59" s="994">
        <f t="shared" si="35"/>
        <v>0.441</v>
      </c>
      <c r="N59" s="1196">
        <f t="shared" si="49"/>
        <v>0.441</v>
      </c>
      <c r="O59" s="645">
        <f t="shared" si="52"/>
        <v>0.441</v>
      </c>
      <c r="P59" s="727">
        <v>90</v>
      </c>
      <c r="Q59" s="1523">
        <v>90.18</v>
      </c>
      <c r="R59" s="706">
        <v>4071.1</v>
      </c>
      <c r="S59" s="1164">
        <v>115</v>
      </c>
      <c r="U59" s="1146">
        <f>_xlfn.XLOOKUP(D59,RUC!$B$3:$B$123,RUC!$F$3:$F$123)</f>
        <v>80</v>
      </c>
      <c r="V59" s="715">
        <v>1.1023000000000001</v>
      </c>
      <c r="Y59">
        <f>_xlfn.XLOOKUP(D59,RUC!$B$3:$B$123,RUC!$G$3:$G$123)</f>
        <v>0</v>
      </c>
      <c r="Z59" s="143">
        <f>_xlfn.XLOOKUP(D59,RUC!$B$3:$B$123,RUC!$H$3:$H$123)</f>
        <v>10</v>
      </c>
      <c r="AA59" s="144">
        <f t="shared" si="43"/>
        <v>10</v>
      </c>
      <c r="AB59" s="145">
        <f t="shared" si="54"/>
        <v>1608.330204457</v>
      </c>
      <c r="AC59" s="145">
        <f>+(S59-T59)*V59-'data 1'!$F$4</f>
        <v>46.764500000000012</v>
      </c>
      <c r="AD59" s="145">
        <f t="shared" si="45"/>
        <v>3.5476677169921347</v>
      </c>
      <c r="AE59" s="145">
        <f t="shared" si="46"/>
        <v>-58.977000000000004</v>
      </c>
      <c r="AF59" s="145">
        <f t="shared" si="47"/>
        <v>27.771586347078031</v>
      </c>
      <c r="AG59" s="772">
        <f t="shared" si="55"/>
        <v>89.106754064070174</v>
      </c>
      <c r="AH59" s="1253">
        <f t="shared" si="6"/>
        <v>51.457999999999998</v>
      </c>
      <c r="AI59" s="1253">
        <f t="shared" si="7"/>
        <v>57.061999999999998</v>
      </c>
      <c r="AJ59" s="156">
        <f t="shared" si="8"/>
        <v>93.030743611008063</v>
      </c>
      <c r="AK59" s="156">
        <f t="shared" si="9"/>
        <v>50.553238970822179</v>
      </c>
      <c r="AL59" s="88"/>
      <c r="AM59" s="716">
        <f t="shared" si="10"/>
        <v>5974.9467095577547</v>
      </c>
      <c r="AN59" s="716" t="str">
        <f>_xlfn.XLOOKUP(D59,RUC!$B$3:$B$578,RUC!$M$3:$M$578)</f>
        <v>Melchor Vera</v>
      </c>
      <c r="AO59" s="1167" t="s">
        <v>2278</v>
      </c>
      <c r="AP59" t="s">
        <v>2349</v>
      </c>
      <c r="AQ59" t="s">
        <v>3490</v>
      </c>
    </row>
    <row r="60" spans="1:44" ht="15" customHeight="1">
      <c r="A60" s="747" t="s">
        <v>3472</v>
      </c>
      <c r="B60" s="1447">
        <v>45984</v>
      </c>
      <c r="C60" s="1447">
        <v>45975</v>
      </c>
      <c r="D60" t="s">
        <v>1671</v>
      </c>
      <c r="E60" s="762">
        <f>_xlfn.XLOOKUP(D60,RUC!$B$3:$B$123,RUC!$D$3:$D$123)</f>
        <v>20517242919</v>
      </c>
      <c r="G60" s="1082">
        <v>15</v>
      </c>
      <c r="H60" s="762" t="s">
        <v>69</v>
      </c>
      <c r="I60" s="703">
        <v>1.51</v>
      </c>
      <c r="J60" s="596">
        <v>1.25</v>
      </c>
      <c r="K60" s="703">
        <f t="shared" ref="K60:K110" si="56">ROUND(+I60-(I60*(J60/100)),3)</f>
        <v>1.4910000000000001</v>
      </c>
      <c r="L60" s="994">
        <v>0.46</v>
      </c>
      <c r="M60" s="994">
        <f t="shared" si="35"/>
        <v>0.45300000000000001</v>
      </c>
      <c r="N60" s="1196">
        <f t="shared" si="49"/>
        <v>0.45300000000000001</v>
      </c>
      <c r="O60" s="645">
        <f t="shared" si="52"/>
        <v>0.45300000000000001</v>
      </c>
      <c r="P60" s="727">
        <v>90</v>
      </c>
      <c r="Q60" s="1554">
        <v>88.91</v>
      </c>
      <c r="R60" s="706">
        <v>4071.1</v>
      </c>
      <c r="S60" s="1164">
        <v>115</v>
      </c>
      <c r="U60" s="1146">
        <f>_xlfn.XLOOKUP(D60,RUC!$B$3:$B$123,RUC!$F$3:$F$123)</f>
        <v>80</v>
      </c>
      <c r="V60" s="715">
        <v>1.1023000000000001</v>
      </c>
      <c r="Y60">
        <f>_xlfn.XLOOKUP(D60,RUC!$B$3:$B$123,RUC!$G$3:$G$123)</f>
        <v>0</v>
      </c>
      <c r="Z60" s="143">
        <f>_xlfn.XLOOKUP(D60,RUC!$B$3:$B$123,RUC!$H$3:$H$123)</f>
        <v>10</v>
      </c>
      <c r="AA60" s="144">
        <f t="shared" si="43"/>
        <v>10</v>
      </c>
      <c r="AB60" s="145">
        <f t="shared" si="54"/>
        <v>1655.8436113810001</v>
      </c>
      <c r="AC60" s="145">
        <f>+(S60-T60)*V60-'data 1'!$F$4</f>
        <v>46.764500000000012</v>
      </c>
      <c r="AD60" s="145">
        <f t="shared" si="45"/>
        <v>-22.05853910342007</v>
      </c>
      <c r="AE60" s="145">
        <f t="shared" si="46"/>
        <v>-58.977000000000004</v>
      </c>
      <c r="AF60" s="145">
        <f t="shared" si="47"/>
        <v>27.380480617861021</v>
      </c>
      <c r="AG60" s="772">
        <f t="shared" si="55"/>
        <v>63.10944151444096</v>
      </c>
      <c r="AH60" s="1253">
        <f t="shared" ref="AH60:AH110" si="57">ROUND((31.1035*L60*Q60*1.1023*K60/100),3)</f>
        <v>20.907</v>
      </c>
      <c r="AI60" s="1253">
        <f t="shared" ref="AI60:AI110" si="58">ROUND((31.1035*L60*1.1023*K60),3)</f>
        <v>23.515000000000001</v>
      </c>
      <c r="AJ60" s="156">
        <f t="shared" ref="AJ60:AJ110" si="59">+((+$AJ$2-R60+U60)*L60*Q60*V60)/100</f>
        <v>94.17739844342006</v>
      </c>
      <c r="AK60" s="156">
        <f t="shared" ref="AK60:AK110" si="60">31.1035*1.1023*K60*P60*O60/100</f>
        <v>20.841425687605639</v>
      </c>
      <c r="AL60" s="88"/>
      <c r="AM60" s="716">
        <f t="shared" ref="AM60:AM110" si="61">+IF(AB60*K60&gt;0,AB60*K60,0)</f>
        <v>2468.8628245690711</v>
      </c>
      <c r="AN60" s="716" t="str">
        <f>_xlfn.XLOOKUP(D60,RUC!$B$3:$B$578,RUC!$M$3:$M$578)</f>
        <v>Melchor Vera</v>
      </c>
      <c r="AO60" s="1167" t="s">
        <v>2278</v>
      </c>
      <c r="AP60" t="s">
        <v>2349</v>
      </c>
      <c r="AQ60" t="s">
        <v>3490</v>
      </c>
    </row>
    <row r="61" spans="1:44" ht="15" customHeight="1">
      <c r="A61" s="747" t="s">
        <v>3473</v>
      </c>
      <c r="B61" s="1447">
        <v>45984</v>
      </c>
      <c r="C61" s="1447">
        <v>45975</v>
      </c>
      <c r="D61" t="s">
        <v>1671</v>
      </c>
      <c r="E61" s="762">
        <f>_xlfn.XLOOKUP(D61,RUC!$B$3:$B$123,RUC!$D$3:$D$123)</f>
        <v>20517242919</v>
      </c>
      <c r="G61" s="1082">
        <v>24</v>
      </c>
      <c r="H61" s="762" t="s">
        <v>69</v>
      </c>
      <c r="I61" s="703">
        <v>2.2200000000000002</v>
      </c>
      <c r="J61" s="596">
        <v>1.1499999999999999</v>
      </c>
      <c r="K61" s="703">
        <f t="shared" si="56"/>
        <v>2.194</v>
      </c>
      <c r="L61" s="762">
        <v>0.20799999999999999</v>
      </c>
      <c r="M61" s="994">
        <f t="shared" si="35"/>
        <v>0.20100000000000001</v>
      </c>
      <c r="N61" s="1196">
        <f t="shared" si="49"/>
        <v>0.20100000000000001</v>
      </c>
      <c r="O61" s="645">
        <f t="shared" si="52"/>
        <v>0.20100000000000001</v>
      </c>
      <c r="P61" s="727">
        <v>85</v>
      </c>
      <c r="Q61" s="1523">
        <v>88.94</v>
      </c>
      <c r="R61" s="706">
        <v>4071.1</v>
      </c>
      <c r="S61" s="1164">
        <v>105</v>
      </c>
      <c r="U61" s="1146">
        <f>_xlfn.XLOOKUP(D61,RUC!$B$3:$B$123,RUC!$F$3:$F$123)</f>
        <v>80</v>
      </c>
      <c r="V61" s="715">
        <v>1.1023000000000001</v>
      </c>
      <c r="Y61">
        <f>_xlfn.XLOOKUP(D61,RUC!$B$3:$B$123,RUC!$G$3:$G$123)</f>
        <v>0</v>
      </c>
      <c r="Z61" s="143">
        <f>_xlfn.XLOOKUP(D61,RUC!$B$3:$B$123,RUC!$H$3:$H$123)</f>
        <v>10</v>
      </c>
      <c r="AA61" s="144">
        <f t="shared" si="43"/>
        <v>10</v>
      </c>
      <c r="AB61" s="145">
        <f t="shared" si="54"/>
        <v>624.87120120050008</v>
      </c>
      <c r="AC61" s="145">
        <f>+(S61-T61)*V61-'data 1'!$F$4</f>
        <v>35.741500000000002</v>
      </c>
      <c r="AD61" s="145">
        <f t="shared" si="45"/>
        <v>36.053877076255979</v>
      </c>
      <c r="AE61" s="145">
        <f t="shared" si="46"/>
        <v>-58.977000000000004</v>
      </c>
      <c r="AF61" s="145">
        <f t="shared" si="47"/>
        <v>27.38971933587392</v>
      </c>
      <c r="AG61" s="772">
        <f t="shared" si="55"/>
        <v>110.2080964121299</v>
      </c>
      <c r="AH61" s="1253">
        <f t="shared" si="57"/>
        <v>13.916</v>
      </c>
      <c r="AI61" s="1253">
        <f t="shared" si="58"/>
        <v>15.646000000000001</v>
      </c>
      <c r="AJ61" s="156">
        <f t="shared" si="59"/>
        <v>42.598931651744017</v>
      </c>
      <c r="AK61" s="156">
        <f t="shared" si="60"/>
        <v>12.851702855063445</v>
      </c>
      <c r="AL61" s="88"/>
      <c r="AM61" s="716">
        <f t="shared" si="61"/>
        <v>1370.9674154338973</v>
      </c>
      <c r="AN61" s="716" t="str">
        <f>_xlfn.XLOOKUP(D61,RUC!$B$3:$B$578,RUC!$M$3:$M$578)</f>
        <v>Melchor Vera</v>
      </c>
      <c r="AO61" s="1167" t="s">
        <v>2278</v>
      </c>
      <c r="AP61" t="s">
        <v>2349</v>
      </c>
      <c r="AQ61" t="s">
        <v>3490</v>
      </c>
    </row>
    <row r="62" spans="1:44" ht="15" customHeight="1">
      <c r="A62" s="747" t="s">
        <v>3474</v>
      </c>
      <c r="B62" s="1447">
        <v>45984</v>
      </c>
      <c r="C62" s="1447">
        <v>45975</v>
      </c>
      <c r="D62" t="s">
        <v>1671</v>
      </c>
      <c r="E62" s="762">
        <f>_xlfn.XLOOKUP(D62,RUC!$B$3:$B$123,RUC!$D$3:$D$123)</f>
        <v>20517242919</v>
      </c>
      <c r="G62" s="1082">
        <v>40</v>
      </c>
      <c r="H62" s="762" t="s">
        <v>69</v>
      </c>
      <c r="I62" s="703">
        <v>3.53</v>
      </c>
      <c r="J62" s="596">
        <v>1.2</v>
      </c>
      <c r="K62" s="703">
        <f t="shared" si="56"/>
        <v>3.488</v>
      </c>
      <c r="L62" s="762">
        <v>0.159</v>
      </c>
      <c r="M62" s="994">
        <f t="shared" si="35"/>
        <v>0.152</v>
      </c>
      <c r="N62" s="1196">
        <f t="shared" si="49"/>
        <v>0.152</v>
      </c>
      <c r="O62" s="645">
        <f t="shared" si="52"/>
        <v>0.152</v>
      </c>
      <c r="P62" s="727">
        <v>85</v>
      </c>
      <c r="Q62" s="1523">
        <v>92.45</v>
      </c>
      <c r="R62" s="706">
        <v>4071.1</v>
      </c>
      <c r="S62" s="1164">
        <v>95</v>
      </c>
      <c r="U62" s="1146">
        <f>_xlfn.XLOOKUP(D62,RUC!$B$3:$B$123,RUC!$F$3:$F$123)</f>
        <v>80</v>
      </c>
      <c r="V62" s="715">
        <v>1.1023000000000001</v>
      </c>
      <c r="Y62">
        <f>_xlfn.XLOOKUP(D62,RUC!$B$3:$B$123,RUC!$G$3:$G$123)</f>
        <v>0</v>
      </c>
      <c r="Z62" s="143">
        <f>_xlfn.XLOOKUP(D62,RUC!$B$3:$B$123,RUC!$H$3:$H$123)</f>
        <v>10</v>
      </c>
      <c r="AA62" s="144">
        <f t="shared" si="43"/>
        <v>10</v>
      </c>
      <c r="AB62" s="145">
        <f t="shared" si="54"/>
        <v>452.65962727599992</v>
      </c>
      <c r="AC62" s="145">
        <f>+(S62-T62)*V62-'data 1'!$F$4</f>
        <v>24.718500000000006</v>
      </c>
      <c r="AD62" s="145">
        <f t="shared" si="45"/>
        <v>52.112968677615029</v>
      </c>
      <c r="AE62" s="145">
        <f t="shared" si="46"/>
        <v>-58.977000000000004</v>
      </c>
      <c r="AF62" s="145">
        <f t="shared" si="47"/>
        <v>28.470649343395024</v>
      </c>
      <c r="AG62" s="772">
        <f t="shared" si="55"/>
        <v>116.32511802101006</v>
      </c>
      <c r="AH62" s="1253">
        <f t="shared" si="57"/>
        <v>17.579000000000001</v>
      </c>
      <c r="AI62" s="1253">
        <f t="shared" si="58"/>
        <v>19.013999999999999</v>
      </c>
      <c r="AJ62" s="156">
        <f t="shared" si="59"/>
        <v>33.84872287288502</v>
      </c>
      <c r="AK62" s="156">
        <f t="shared" si="60"/>
        <v>15.450696410577279</v>
      </c>
      <c r="AL62" s="88"/>
      <c r="AM62" s="716">
        <f t="shared" si="61"/>
        <v>1578.8767799386878</v>
      </c>
      <c r="AN62" s="716" t="str">
        <f>_xlfn.XLOOKUP(D62,RUC!$B$3:$B$578,RUC!$M$3:$M$578)</f>
        <v>Melchor Vera</v>
      </c>
      <c r="AO62" s="1167" t="s">
        <v>2280</v>
      </c>
      <c r="AP62" t="s">
        <v>2349</v>
      </c>
      <c r="AQ62" t="s">
        <v>3490</v>
      </c>
    </row>
    <row r="63" spans="1:44" ht="15" customHeight="1">
      <c r="A63" s="747" t="s">
        <v>3475</v>
      </c>
      <c r="B63" s="1447">
        <v>45986</v>
      </c>
      <c r="C63" s="1447">
        <v>45975</v>
      </c>
      <c r="D63" t="s">
        <v>3464</v>
      </c>
      <c r="E63" s="762">
        <f>_xlfn.XLOOKUP(D63,RUC!$B$3:$B$123,RUC!$D$3:$D$123)</f>
        <v>20614284740</v>
      </c>
      <c r="G63" s="1082" t="s">
        <v>2985</v>
      </c>
      <c r="H63" s="762" t="s">
        <v>116</v>
      </c>
      <c r="I63" s="703">
        <v>7.99</v>
      </c>
      <c r="J63" s="596">
        <v>1.25</v>
      </c>
      <c r="K63" s="703">
        <f t="shared" si="56"/>
        <v>7.89</v>
      </c>
      <c r="L63" s="762">
        <v>0.251</v>
      </c>
      <c r="M63" s="994">
        <f t="shared" si="35"/>
        <v>0.23300000000000001</v>
      </c>
      <c r="N63" s="1196">
        <f t="shared" si="49"/>
        <v>0.23300000000000001</v>
      </c>
      <c r="O63" s="645">
        <f t="shared" si="52"/>
        <v>0.23300000000000001</v>
      </c>
      <c r="P63" s="727">
        <v>90</v>
      </c>
      <c r="Q63" s="1523">
        <v>98.41</v>
      </c>
      <c r="R63" s="706">
        <v>4071.1</v>
      </c>
      <c r="S63" s="1551">
        <v>102</v>
      </c>
      <c r="U63" s="1146">
        <f>_xlfn.XLOOKUP(D63,RUC!$B$3:$B$123,RUC!$F$3:$F$123)</f>
        <v>120</v>
      </c>
      <c r="V63" s="715">
        <v>1.1023000000000001</v>
      </c>
      <c r="Y63">
        <f>_xlfn.XLOOKUP(D63,RUC!$B$3:$B$123,RUC!$G$3:$G$123)</f>
        <v>20</v>
      </c>
      <c r="Z63" s="143">
        <f>_xlfn.XLOOKUP(D63,RUC!$B$3:$B$123,RUC!$H$3:$H$123)</f>
        <v>30</v>
      </c>
      <c r="AA63" s="144">
        <f t="shared" si="43"/>
        <v>50</v>
      </c>
      <c r="AB63" s="145">
        <f t="shared" si="54"/>
        <v>745.75629204100017</v>
      </c>
      <c r="AC63" s="145">
        <f>+(S63-T63)*V63-'data 1'!$F$4</f>
        <v>32.434600000000003</v>
      </c>
      <c r="AD63" s="145">
        <f t="shared" si="45"/>
        <v>91.936411090522981</v>
      </c>
      <c r="AE63" s="145">
        <f t="shared" si="46"/>
        <v>-14.884999999999998</v>
      </c>
      <c r="AF63" s="145">
        <f t="shared" si="47"/>
        <v>77.148869386913958</v>
      </c>
      <c r="AG63" s="772">
        <f t="shared" ref="AG63:AG65" si="62">AC63+AD63+AE63+AF63+70-53</f>
        <v>203.63488047743692</v>
      </c>
      <c r="AH63" s="1253">
        <f t="shared" si="57"/>
        <v>66.819000000000003</v>
      </c>
      <c r="AI63" s="1253">
        <f t="shared" si="58"/>
        <v>67.897999999999996</v>
      </c>
      <c r="AJ63" s="156">
        <f t="shared" si="59"/>
        <v>67.770026788477026</v>
      </c>
      <c r="AK63" s="156">
        <f t="shared" si="60"/>
        <v>56.726305946530658</v>
      </c>
      <c r="AM63" s="716">
        <f t="shared" si="61"/>
        <v>5884.0171442034907</v>
      </c>
      <c r="AN63" s="716" t="str">
        <f>_xlfn.XLOOKUP(D63,RUC!$B$3:$B$578,RUC!$M$3:$M$578)</f>
        <v xml:space="preserve">Walter Achulla </v>
      </c>
      <c r="AO63" s="1167" t="s">
        <v>2280</v>
      </c>
      <c r="AP63" t="s">
        <v>3491</v>
      </c>
      <c r="AQ63" t="s">
        <v>3492</v>
      </c>
      <c r="AR63" t="s">
        <v>3554</v>
      </c>
    </row>
    <row r="64" spans="1:44" ht="15" customHeight="1">
      <c r="A64" s="747" t="s">
        <v>3476</v>
      </c>
      <c r="B64" s="1447">
        <v>45986</v>
      </c>
      <c r="C64" s="1447">
        <v>45975</v>
      </c>
      <c r="D64" t="s">
        <v>3464</v>
      </c>
      <c r="E64" s="762">
        <f>_xlfn.XLOOKUP(D64,RUC!$B$3:$B$123,RUC!$D$3:$D$123)</f>
        <v>20614284740</v>
      </c>
      <c r="G64" s="1082" t="s">
        <v>2985</v>
      </c>
      <c r="H64" s="762" t="s">
        <v>116</v>
      </c>
      <c r="I64" s="703">
        <v>8.06</v>
      </c>
      <c r="J64" s="596">
        <v>1.3</v>
      </c>
      <c r="K64" s="703">
        <f t="shared" si="56"/>
        <v>7.9550000000000001</v>
      </c>
      <c r="L64" s="762">
        <v>0.45400000000000001</v>
      </c>
      <c r="M64" s="994">
        <f t="shared" si="35"/>
        <v>0.42699999999999999</v>
      </c>
      <c r="N64" s="1444">
        <v>0.47799999999999998</v>
      </c>
      <c r="O64" s="645">
        <f t="shared" si="52"/>
        <v>0.45300000000000001</v>
      </c>
      <c r="P64" s="727">
        <v>90</v>
      </c>
      <c r="Q64" s="1523">
        <v>96.04</v>
      </c>
      <c r="R64" s="706">
        <v>4071.1</v>
      </c>
      <c r="S64" s="1551">
        <v>122</v>
      </c>
      <c r="U64" s="1146">
        <f>_xlfn.XLOOKUP(D64,RUC!$B$3:$B$123,RUC!$F$3:$F$123)</f>
        <v>120</v>
      </c>
      <c r="V64" s="715">
        <v>1.1023000000000001</v>
      </c>
      <c r="Y64">
        <f>_xlfn.XLOOKUP(D64,RUC!$B$3:$B$123,RUC!$G$3:$G$123)</f>
        <v>20</v>
      </c>
      <c r="Z64" s="143">
        <f>_xlfn.XLOOKUP(D64,RUC!$B$3:$B$123,RUC!$H$3:$H$123)</f>
        <v>30</v>
      </c>
      <c r="AA64" s="144">
        <f t="shared" si="43"/>
        <v>50</v>
      </c>
      <c r="AB64" s="145">
        <f t="shared" si="54"/>
        <v>1586.059202981</v>
      </c>
      <c r="AC64" s="145">
        <f>+(S64-T64)*V64-'data 1'!$F$4</f>
        <v>54.48060000000001</v>
      </c>
      <c r="AD64" s="145">
        <f t="shared" si="45"/>
        <v>119.42922674864812</v>
      </c>
      <c r="AE64" s="145">
        <f t="shared" si="46"/>
        <v>-14.884999999999998</v>
      </c>
      <c r="AF64" s="145">
        <f t="shared" si="47"/>
        <v>4.1828277478120039</v>
      </c>
      <c r="AG64" s="772">
        <f t="shared" si="62"/>
        <v>180.20765449646015</v>
      </c>
      <c r="AH64" s="1253">
        <f t="shared" si="57"/>
        <v>118.92100000000001</v>
      </c>
      <c r="AI64" s="1253">
        <f t="shared" si="58"/>
        <v>123.824</v>
      </c>
      <c r="AJ64" s="156">
        <f t="shared" si="59"/>
        <v>119.62796314935206</v>
      </c>
      <c r="AK64" s="156">
        <f t="shared" si="60"/>
        <v>111.19620479202069</v>
      </c>
      <c r="AM64" s="716">
        <f t="shared" si="61"/>
        <v>12617.100959713855</v>
      </c>
      <c r="AN64" s="716" t="str">
        <f>_xlfn.XLOOKUP(D64,RUC!$B$3:$B$578,RUC!$M$3:$M$578)</f>
        <v xml:space="preserve">Walter Achulla </v>
      </c>
      <c r="AO64" s="1167" t="s">
        <v>2280</v>
      </c>
      <c r="AP64" t="s">
        <v>3493</v>
      </c>
      <c r="AQ64" t="s">
        <v>3494</v>
      </c>
      <c r="AR64" t="s">
        <v>3554</v>
      </c>
    </row>
    <row r="65" spans="1:43" ht="15" customHeight="1">
      <c r="A65" s="747" t="s">
        <v>3497</v>
      </c>
      <c r="B65" s="1447">
        <v>45985</v>
      </c>
      <c r="C65" s="1447">
        <v>45977</v>
      </c>
      <c r="D65" t="s">
        <v>3509</v>
      </c>
      <c r="E65" s="762">
        <f>_xlfn.XLOOKUP(D65,RUC!$B$3:$B$123,RUC!$D$3:$D$123)</f>
        <v>10304932789</v>
      </c>
      <c r="G65" s="1082">
        <v>128</v>
      </c>
      <c r="H65" s="762" t="s">
        <v>69</v>
      </c>
      <c r="I65" s="703">
        <v>14.02</v>
      </c>
      <c r="J65" s="596">
        <v>1.2</v>
      </c>
      <c r="K65" s="703">
        <f t="shared" si="56"/>
        <v>13.852</v>
      </c>
      <c r="L65" s="994">
        <v>0.125</v>
      </c>
      <c r="M65" s="994">
        <f t="shared" si="35"/>
        <v>0.107</v>
      </c>
      <c r="N65" s="1196">
        <f t="shared" si="49"/>
        <v>0.107</v>
      </c>
      <c r="O65" s="645">
        <f t="shared" si="52"/>
        <v>0.107</v>
      </c>
      <c r="P65" s="727">
        <v>80</v>
      </c>
      <c r="Q65" s="1523">
        <v>98.4</v>
      </c>
      <c r="R65" s="706">
        <v>4072.5</v>
      </c>
      <c r="S65" s="765">
        <f>IF((_xlfn.XLOOKUP(D65,RUC!$B$3:$B$119,RUC!$E$3:$E$119)+ROUNDDOWN(O65,1)*100)&lt;95,95,((_xlfn.XLOOKUP(D65,RUC!$B$3:$B$119,RUC!$E$3:$E$119)+ROUNDDOWN(O65,1)*100)))</f>
        <v>100</v>
      </c>
      <c r="U65" s="1146">
        <f>_xlfn.XLOOKUP(D65,RUC!$B$3:$B$123,RUC!$F$3:$F$123)</f>
        <v>120</v>
      </c>
      <c r="V65" s="715">
        <v>1.1023000000000001</v>
      </c>
      <c r="Y65">
        <f>_xlfn.XLOOKUP(D65,RUC!$B$3:$B$123,RUC!$G$3:$G$123)</f>
        <v>0</v>
      </c>
      <c r="Z65" s="143">
        <f>_xlfn.XLOOKUP(D65,RUC!$B$3:$B$123,RUC!$H$3:$H$123)</f>
        <v>30</v>
      </c>
      <c r="AA65" s="144">
        <f t="shared" si="43"/>
        <v>30</v>
      </c>
      <c r="AB65" s="145">
        <f t="shared" ref="AB65:AB68" si="63">+((O65*P65*(R65-U65)/100)-S65-AA65+T65)*V65</f>
        <v>229.64656820000002</v>
      </c>
      <c r="AC65" s="145">
        <f>+(S65-T65)*V65-'data 1'!$F$4</f>
        <v>30.230000000000004</v>
      </c>
      <c r="AD65" s="145">
        <f t="shared" si="45"/>
        <v>100.20733725000004</v>
      </c>
      <c r="AE65" s="145">
        <f t="shared" si="46"/>
        <v>-36.930999999999997</v>
      </c>
      <c r="AF65" s="145">
        <f t="shared" si="47"/>
        <v>77.168363364000029</v>
      </c>
      <c r="AG65" s="772">
        <f t="shared" si="62"/>
        <v>187.67470061400007</v>
      </c>
      <c r="AH65" s="1253">
        <f t="shared" si="57"/>
        <v>58.414999999999999</v>
      </c>
      <c r="AI65" s="1253">
        <f t="shared" si="58"/>
        <v>59.365000000000002</v>
      </c>
      <c r="AJ65" s="156">
        <f t="shared" si="59"/>
        <v>33.556767750000006</v>
      </c>
      <c r="AK65" s="156">
        <f t="shared" si="60"/>
        <v>40.653254314992161</v>
      </c>
      <c r="AM65" s="716">
        <f t="shared" si="61"/>
        <v>3181.0642627064003</v>
      </c>
      <c r="AN65" s="716" t="str">
        <f>_xlfn.XLOOKUP(D65,RUC!$B$3:$B$578,RUC!$M$3:$M$578)</f>
        <v>SIN ACOPIO</v>
      </c>
      <c r="AO65" s="1167" t="s">
        <v>2279</v>
      </c>
      <c r="AP65" t="s">
        <v>3511</v>
      </c>
      <c r="AQ65" t="s">
        <v>3512</v>
      </c>
    </row>
    <row r="66" spans="1:43" ht="15" customHeight="1">
      <c r="A66" s="747" t="s">
        <v>3498</v>
      </c>
      <c r="B66" s="1447">
        <v>45980</v>
      </c>
      <c r="C66" s="1447">
        <v>45977</v>
      </c>
      <c r="D66" t="s">
        <v>2004</v>
      </c>
      <c r="E66" s="762">
        <f>_xlfn.XLOOKUP(D66,RUC!$B$3:$B$123,RUC!$D$3:$D$123)</f>
        <v>20612921866</v>
      </c>
      <c r="G66" s="1082" t="s">
        <v>2985</v>
      </c>
      <c r="H66" s="762" t="s">
        <v>116</v>
      </c>
      <c r="I66" s="703">
        <v>6.7</v>
      </c>
      <c r="J66" s="596">
        <v>1.35</v>
      </c>
      <c r="K66" s="703">
        <f t="shared" si="56"/>
        <v>6.61</v>
      </c>
      <c r="L66" s="994">
        <v>0.16</v>
      </c>
      <c r="M66" s="994">
        <f t="shared" si="35"/>
        <v>0.14199999999999999</v>
      </c>
      <c r="N66" s="1196">
        <f t="shared" si="49"/>
        <v>0.14199999999999999</v>
      </c>
      <c r="O66" s="645">
        <f t="shared" si="52"/>
        <v>0.14199999999999999</v>
      </c>
      <c r="P66" s="727">
        <v>90</v>
      </c>
      <c r="Q66" s="1523">
        <v>96.25</v>
      </c>
      <c r="R66" s="706">
        <v>4072.5</v>
      </c>
      <c r="S66" s="765">
        <f>IF((_xlfn.XLOOKUP(D66,RUC!$B$3:$B$119,RUC!$E$3:$E$119)+ROUNDDOWN(O66,1)*100)&lt;95,95,((_xlfn.XLOOKUP(D66,RUC!$B$3:$B$119,RUC!$E$3:$E$119)+ROUNDDOWN(O66,1)*100)))</f>
        <v>95</v>
      </c>
      <c r="U66" s="1146">
        <f>_xlfn.XLOOKUP(D66,RUC!$B$3:$B$123,RUC!$F$3:$F$123)</f>
        <v>100</v>
      </c>
      <c r="V66" s="715">
        <v>1.1023000000000001</v>
      </c>
      <c r="Y66">
        <f>_xlfn.XLOOKUP(D66,RUC!$B$3:$B$123,RUC!$G$3:$G$123)</f>
        <v>0</v>
      </c>
      <c r="Z66" s="143">
        <f>_xlfn.XLOOKUP(D66,RUC!$B$3:$B$123,RUC!$H$3:$H$123)</f>
        <v>30</v>
      </c>
      <c r="AA66" s="144">
        <f t="shared" si="43"/>
        <v>30</v>
      </c>
      <c r="AB66" s="145">
        <f t="shared" si="63"/>
        <v>421.83422664999995</v>
      </c>
      <c r="AC66" s="145">
        <f>+(S66-T66)*V66-'data 1'!$F$4</f>
        <v>24.718500000000006</v>
      </c>
      <c r="AD66" s="145">
        <f t="shared" si="45"/>
        <v>43.788867500000009</v>
      </c>
      <c r="AE66" s="145">
        <f t="shared" si="46"/>
        <v>-36.930999999999997</v>
      </c>
      <c r="AF66" s="145">
        <f t="shared" si="47"/>
        <v>75.864212943750076</v>
      </c>
      <c r="AG66" s="772">
        <f>AC66+AD66+AE66+AF66+70-10</f>
        <v>167.44058044375009</v>
      </c>
      <c r="AH66" s="1253">
        <f t="shared" si="57"/>
        <v>34.9</v>
      </c>
      <c r="AI66" s="1253">
        <f t="shared" si="58"/>
        <v>36.26</v>
      </c>
      <c r="AJ66" s="156">
        <f t="shared" si="59"/>
        <v>38.619080500000003</v>
      </c>
      <c r="AK66" s="156">
        <f t="shared" si="60"/>
        <v>28.962855838341898</v>
      </c>
      <c r="AM66" s="716">
        <f t="shared" si="61"/>
        <v>2788.3242381564996</v>
      </c>
      <c r="AN66" s="716" t="str">
        <f>_xlfn.XLOOKUP(D66,RUC!$B$3:$B$578,RUC!$M$3:$M$578)</f>
        <v>Ronald Garibay</v>
      </c>
      <c r="AO66" s="1167" t="s">
        <v>2280</v>
      </c>
      <c r="AP66" t="s">
        <v>3520</v>
      </c>
      <c r="AQ66" t="s">
        <v>3521</v>
      </c>
    </row>
    <row r="67" spans="1:43" ht="14.25" customHeight="1">
      <c r="A67" s="747" t="s">
        <v>3499</v>
      </c>
      <c r="B67" s="1447">
        <v>45981</v>
      </c>
      <c r="C67" s="1447">
        <v>45977</v>
      </c>
      <c r="D67" t="s">
        <v>1484</v>
      </c>
      <c r="E67" s="762">
        <f>_xlfn.XLOOKUP(D67,RUC!$B$3:$B$123,RUC!$D$3:$D$123)</f>
        <v>10761932735</v>
      </c>
      <c r="G67" s="1082">
        <v>15</v>
      </c>
      <c r="H67" s="762" t="s">
        <v>108</v>
      </c>
      <c r="I67" s="703">
        <v>1.33</v>
      </c>
      <c r="J67" s="596">
        <v>9</v>
      </c>
      <c r="K67" s="703">
        <f t="shared" si="56"/>
        <v>1.21</v>
      </c>
      <c r="L67" s="994">
        <v>0.59899999999999998</v>
      </c>
      <c r="M67" s="994">
        <f t="shared" si="35"/>
        <v>0.56299999999999994</v>
      </c>
      <c r="N67" s="1444">
        <v>0.60499999999999998</v>
      </c>
      <c r="O67" s="645">
        <f t="shared" si="52"/>
        <v>0.58399999999999996</v>
      </c>
      <c r="P67" s="727">
        <v>90</v>
      </c>
      <c r="Q67" s="1550">
        <v>98.5</v>
      </c>
      <c r="R67" s="706">
        <v>4072.5</v>
      </c>
      <c r="S67" s="765">
        <f>IF((_xlfn.XLOOKUP(D67,RUC!$B$3:$B$119,RUC!$E$3:$E$119)+ROUNDDOWN(O67,1)*100)&lt;95,95,((_xlfn.XLOOKUP(D67,RUC!$B$3:$B$119,RUC!$E$3:$E$119)+ROUNDDOWN(O67,1)*100)))</f>
        <v>140</v>
      </c>
      <c r="U67" s="1146">
        <f>_xlfn.XLOOKUP(D67,RUC!$B$3:$B$123,RUC!$F$3:$F$123)</f>
        <v>120</v>
      </c>
      <c r="V67" s="715">
        <v>1.1023000000000001</v>
      </c>
      <c r="Y67">
        <f>_xlfn.XLOOKUP(D67,RUC!$B$3:$B$123,RUC!$G$3:$G$123)</f>
        <v>20</v>
      </c>
      <c r="Z67" s="143">
        <f>_xlfn.XLOOKUP(D67,RUC!$B$3:$B$123,RUC!$H$3:$H$123)</f>
        <v>30</v>
      </c>
      <c r="AA67" s="144">
        <f t="shared" si="43"/>
        <v>50</v>
      </c>
      <c r="AB67" s="145">
        <f t="shared" si="63"/>
        <v>2080.5184981999996</v>
      </c>
      <c r="AC67" s="145">
        <f>+(S67-T67)*V67-'data 1'!$F$4</f>
        <v>74.322000000000003</v>
      </c>
      <c r="AD67" s="145">
        <f t="shared" si="45"/>
        <v>221.82854678624997</v>
      </c>
      <c r="AE67" s="145">
        <f t="shared" si="46"/>
        <v>-14.884999999999998</v>
      </c>
      <c r="AF67" s="145">
        <f t="shared" si="47"/>
        <v>64.372322081250061</v>
      </c>
      <c r="AG67" s="772">
        <f t="shared" ref="AG67:AG68" si="64">AC67+AD67+AE67+AF67+70-53</f>
        <v>362.6378688675</v>
      </c>
      <c r="AH67" s="1253">
        <f t="shared" si="57"/>
        <v>24.477</v>
      </c>
      <c r="AI67" s="1253">
        <f t="shared" si="58"/>
        <v>24.85</v>
      </c>
      <c r="AJ67" s="156">
        <f t="shared" si="59"/>
        <v>160.96744978875003</v>
      </c>
      <c r="AK67" s="156">
        <f t="shared" si="60"/>
        <v>21.804683950486798</v>
      </c>
      <c r="AM67" s="716">
        <f t="shared" si="61"/>
        <v>2517.4273828219993</v>
      </c>
      <c r="AN67" s="716" t="str">
        <f>_xlfn.XLOOKUP(D67,RUC!$B$3:$B$578,RUC!$M$3:$M$578)</f>
        <v>Richard Sapacayo</v>
      </c>
      <c r="AO67" s="1167" t="s">
        <v>2277</v>
      </c>
      <c r="AP67" t="s">
        <v>3513</v>
      </c>
      <c r="AQ67" t="s">
        <v>3514</v>
      </c>
    </row>
    <row r="68" spans="1:43" ht="15" customHeight="1">
      <c r="A68" s="747" t="s">
        <v>3500</v>
      </c>
      <c r="B68" s="1447">
        <v>45981</v>
      </c>
      <c r="C68" s="1447">
        <v>45977</v>
      </c>
      <c r="D68" t="s">
        <v>1484</v>
      </c>
      <c r="E68" s="762">
        <f>_xlfn.XLOOKUP(D68,RUC!$B$3:$B$123,RUC!$D$3:$D$123)</f>
        <v>10761932735</v>
      </c>
      <c r="G68" s="1082">
        <v>54</v>
      </c>
      <c r="H68" s="762" t="s">
        <v>108</v>
      </c>
      <c r="I68" s="703">
        <v>4.49</v>
      </c>
      <c r="J68" s="596">
        <v>8.65</v>
      </c>
      <c r="K68" s="703">
        <f t="shared" si="56"/>
        <v>4.1020000000000003</v>
      </c>
      <c r="L68" s="762">
        <v>0.245</v>
      </c>
      <c r="M68" s="994">
        <f t="shared" si="35"/>
        <v>0.22700000000000001</v>
      </c>
      <c r="N68" s="1196">
        <f t="shared" ref="N68:N72" si="65">+M68</f>
        <v>0.22700000000000001</v>
      </c>
      <c r="O68" s="645">
        <f t="shared" si="52"/>
        <v>0.22700000000000001</v>
      </c>
      <c r="P68" s="727">
        <v>90</v>
      </c>
      <c r="Q68" s="1550">
        <v>93.47</v>
      </c>
      <c r="R68" s="706">
        <v>4072.5</v>
      </c>
      <c r="S68" s="765">
        <f>IF((_xlfn.XLOOKUP(D68,RUC!$B$3:$B$119,RUC!$E$3:$E$119)+ROUNDDOWN(O68,1)*100)&lt;95,95,((_xlfn.XLOOKUP(D68,RUC!$B$3:$B$119,RUC!$E$3:$E$119)+ROUNDDOWN(O68,1)*100)))</f>
        <v>110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3">
        <f>_xlfn.XLOOKUP(D68,RUC!$B$3:$B$123,RUC!$H$3:$H$123)</f>
        <v>30</v>
      </c>
      <c r="AA68" s="144">
        <f t="shared" si="43"/>
        <v>50</v>
      </c>
      <c r="AB68" s="145">
        <f t="shared" si="63"/>
        <v>713.73456522499998</v>
      </c>
      <c r="AC68" s="145">
        <f>+(S68-T68)*V68-'data 1'!$F$4</f>
        <v>41.253</v>
      </c>
      <c r="AD68" s="145">
        <f t="shared" si="45"/>
        <v>37.039681636124989</v>
      </c>
      <c r="AE68" s="145">
        <f t="shared" si="46"/>
        <v>-14.884999999999998</v>
      </c>
      <c r="AF68" s="145">
        <f t="shared" si="47"/>
        <v>73.302102882449958</v>
      </c>
      <c r="AG68" s="772">
        <f t="shared" si="64"/>
        <v>153.70978451857496</v>
      </c>
      <c r="AH68" s="1253">
        <f t="shared" si="57"/>
        <v>32.206000000000003</v>
      </c>
      <c r="AI68" s="1253">
        <f t="shared" si="58"/>
        <v>34.456000000000003</v>
      </c>
      <c r="AJ68" s="156">
        <f t="shared" si="59"/>
        <v>62.476017478875001</v>
      </c>
      <c r="AK68" s="156">
        <f t="shared" si="60"/>
        <v>28.732478601878732</v>
      </c>
      <c r="AM68" s="716">
        <f t="shared" si="61"/>
        <v>2927.7391865529503</v>
      </c>
      <c r="AN68" s="716" t="str">
        <f>_xlfn.XLOOKUP(D68,RUC!$B$3:$B$578,RUC!$M$3:$M$578)</f>
        <v>Richard Sapacayo</v>
      </c>
      <c r="AO68" s="1167" t="s">
        <v>2277</v>
      </c>
      <c r="AP68" t="s">
        <v>3513</v>
      </c>
      <c r="AQ68" t="s">
        <v>3514</v>
      </c>
    </row>
    <row r="69" spans="1:43" ht="15" customHeight="1">
      <c r="A69" s="747" t="s">
        <v>3502</v>
      </c>
      <c r="B69" s="1447">
        <v>45985</v>
      </c>
      <c r="C69" s="1447">
        <v>45977</v>
      </c>
      <c r="D69" t="s">
        <v>1484</v>
      </c>
      <c r="E69" s="762">
        <f>_xlfn.XLOOKUP(D69,RUC!$B$3:$B$123,RUC!$D$3:$D$123)</f>
        <v>10761932735</v>
      </c>
      <c r="G69" s="1082">
        <v>23</v>
      </c>
      <c r="H69" s="762" t="s">
        <v>108</v>
      </c>
      <c r="I69" s="703">
        <v>1.9</v>
      </c>
      <c r="J69" s="596">
        <v>7.3</v>
      </c>
      <c r="K69" s="703">
        <f t="shared" si="56"/>
        <v>1.7609999999999999</v>
      </c>
      <c r="L69" s="762">
        <v>0.185</v>
      </c>
      <c r="M69" s="994">
        <f t="shared" si="35"/>
        <v>0.16700000000000001</v>
      </c>
      <c r="N69" s="1196">
        <f t="shared" si="65"/>
        <v>0.16700000000000001</v>
      </c>
      <c r="O69" s="645">
        <f t="shared" si="52"/>
        <v>0.16700000000000001</v>
      </c>
      <c r="P69" s="1563">
        <v>87.25</v>
      </c>
      <c r="Q69" s="1550">
        <v>94.59</v>
      </c>
      <c r="R69" s="706">
        <v>4072.5</v>
      </c>
      <c r="S69" s="765">
        <f>IF((_xlfn.XLOOKUP(D69,RUC!$B$3:$B$119,RUC!$E$3:$E$119)+ROUNDDOWN(O69,1)*100)&lt;95,95,((_xlfn.XLOOKUP(D69,RUC!$B$3:$B$119,RUC!$E$3:$E$119)+ROUNDDOWN(O69,1)*100)))</f>
        <v>100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3">
        <f>_xlfn.XLOOKUP(D69,RUC!$B$3:$B$123,RUC!$H$3:$H$123)</f>
        <v>30</v>
      </c>
      <c r="AA69" s="144">
        <f t="shared" si="43"/>
        <v>50</v>
      </c>
      <c r="AB69" s="145">
        <f t="shared" ref="AB69:AB72" si="66">+((O69*P69*(R69-U69)/100)-S69-AA69+T69)*V69</f>
        <v>469.47937358062495</v>
      </c>
      <c r="AC69" s="145">
        <f>+(S69-T69)*V69-'data 1'!$F$4</f>
        <v>30.230000000000004</v>
      </c>
      <c r="AD69" s="145">
        <f t="shared" si="45"/>
        <v>59.16154054425003</v>
      </c>
      <c r="AE69" s="145">
        <f t="shared" si="46"/>
        <v>-14.884999999999998</v>
      </c>
      <c r="AF69" s="145">
        <f t="shared" si="47"/>
        <v>74.180441977649949</v>
      </c>
      <c r="AG69" s="772">
        <f t="shared" ref="AG69:AG72" si="67">AC69+AD69+AE69+AF69+70-53</f>
        <v>165.68698252190001</v>
      </c>
      <c r="AH69" s="1253">
        <f t="shared" si="57"/>
        <v>10.565</v>
      </c>
      <c r="AI69" s="1253">
        <f t="shared" si="58"/>
        <v>11.17</v>
      </c>
      <c r="AJ69" s="156">
        <f t="shared" si="59"/>
        <v>47.741049786375008</v>
      </c>
      <c r="AK69" s="156">
        <f t="shared" si="60"/>
        <v>8.7973188337391566</v>
      </c>
      <c r="AM69" s="716">
        <f t="shared" si="61"/>
        <v>826.75317687548045</v>
      </c>
      <c r="AN69" s="716" t="str">
        <f>_xlfn.XLOOKUP(D69,RUC!$B$3:$B$578,RUC!$M$3:$M$578)</f>
        <v>Richard Sapacayo</v>
      </c>
      <c r="AO69" s="1167" t="s">
        <v>2278</v>
      </c>
      <c r="AP69" t="s">
        <v>3513</v>
      </c>
      <c r="AQ69" t="s">
        <v>3514</v>
      </c>
    </row>
    <row r="70" spans="1:43" ht="15" customHeight="1">
      <c r="A70" s="747" t="s">
        <v>3503</v>
      </c>
      <c r="B70" s="1447">
        <v>45985</v>
      </c>
      <c r="C70" s="1447">
        <v>45977</v>
      </c>
      <c r="D70" t="s">
        <v>1484</v>
      </c>
      <c r="E70" s="762">
        <f>_xlfn.XLOOKUP(D70,RUC!$B$3:$B$123,RUC!$D$3:$D$123)</f>
        <v>10761932735</v>
      </c>
      <c r="G70" s="1082" t="s">
        <v>2985</v>
      </c>
      <c r="H70" s="762" t="s">
        <v>69</v>
      </c>
      <c r="I70" s="703">
        <v>10.36</v>
      </c>
      <c r="J70">
        <v>8.0500000000000007</v>
      </c>
      <c r="K70" s="703">
        <f t="shared" si="56"/>
        <v>9.5259999999999998</v>
      </c>
      <c r="L70" s="762">
        <v>0.215</v>
      </c>
      <c r="M70" s="994">
        <f>ROUND(+IF(AN70="Melchor Vera",IF(L70&gt;0.467,L70*0.985,(L70-0.007)),IF(L70&gt;0.3,L70*0.94,(L70-0.018))),3)</f>
        <v>0.19700000000000001</v>
      </c>
      <c r="N70" s="1444">
        <v>0.23799999999999999</v>
      </c>
      <c r="O70" s="645">
        <f t="shared" si="52"/>
        <v>0.218</v>
      </c>
      <c r="P70" s="727">
        <v>90</v>
      </c>
      <c r="Q70" s="1550">
        <v>95.81</v>
      </c>
      <c r="R70" s="706">
        <v>4072.5</v>
      </c>
      <c r="S70" s="1562">
        <v>115</v>
      </c>
      <c r="U70" s="1146">
        <f>_xlfn.XLOOKUP(D70,RUC!$B$3:$B$123,RUC!$F$3:$F$123)</f>
        <v>120</v>
      </c>
      <c r="V70" s="715">
        <v>1.1023000000000001</v>
      </c>
      <c r="Y70" s="1561">
        <v>35</v>
      </c>
      <c r="Z70" s="143">
        <f>_xlfn.XLOOKUP(D70,RUC!$B$3:$B$123,RUC!$H$3:$H$123)</f>
        <v>30</v>
      </c>
      <c r="AA70" s="144">
        <f t="shared" si="43"/>
        <v>65</v>
      </c>
      <c r="AB70" s="145">
        <f>+((O70*P70*(R70-U70)/100)-S70-AA70+T70)*V70</f>
        <v>656.39815515000009</v>
      </c>
      <c r="AC70" s="145">
        <f>+(S70-T70)*V70-'data 1'!$F$4</f>
        <v>46.764500000000012</v>
      </c>
      <c r="AD70" s="145">
        <f t="shared" si="45"/>
        <v>54.42347622862502</v>
      </c>
      <c r="AE70" s="145">
        <f t="shared" si="46"/>
        <v>1.6495000000000033</v>
      </c>
      <c r="AF70" s="145">
        <f t="shared" si="47"/>
        <v>-12.522867367725011</v>
      </c>
      <c r="AG70" s="772">
        <f>AC70+AD70+AE70+AF70+70-53</f>
        <v>107.31460886090002</v>
      </c>
      <c r="AH70" s="1253">
        <f t="shared" si="57"/>
        <v>67.277000000000001</v>
      </c>
      <c r="AI70" s="1253">
        <f t="shared" si="58"/>
        <v>70.22</v>
      </c>
      <c r="AJ70" s="156">
        <f t="shared" si="59"/>
        <v>56.198446536375002</v>
      </c>
      <c r="AK70" s="156">
        <f t="shared" si="60"/>
        <v>64.079431407915663</v>
      </c>
      <c r="AM70" s="716">
        <f t="shared" si="61"/>
        <v>6252.8488259589003</v>
      </c>
      <c r="AN70" s="716" t="str">
        <f>_xlfn.XLOOKUP(D70,RUC!$B$3:$B$578,RUC!$M$3:$M$578)</f>
        <v>Richard Sapacayo</v>
      </c>
      <c r="AO70" s="1167" t="s">
        <v>2278</v>
      </c>
      <c r="AP70" t="s">
        <v>3513</v>
      </c>
      <c r="AQ70" t="s">
        <v>3514</v>
      </c>
    </row>
    <row r="71" spans="1:43" ht="15" customHeight="1">
      <c r="A71" s="747" t="s">
        <v>3504</v>
      </c>
      <c r="B71" s="1447">
        <v>45985</v>
      </c>
      <c r="C71" s="1447">
        <v>45977</v>
      </c>
      <c r="D71" t="s">
        <v>1484</v>
      </c>
      <c r="E71" s="762">
        <f>_xlfn.XLOOKUP(D71,RUC!$B$3:$B$123,RUC!$D$3:$D$123)</f>
        <v>10761932735</v>
      </c>
      <c r="G71" s="1082" t="s">
        <v>2985</v>
      </c>
      <c r="H71" s="762" t="s">
        <v>69</v>
      </c>
      <c r="I71" s="703">
        <v>18.84</v>
      </c>
      <c r="J71" s="596">
        <v>8.4</v>
      </c>
      <c r="K71" s="703">
        <f t="shared" si="56"/>
        <v>17.257000000000001</v>
      </c>
      <c r="L71" s="762">
        <v>0.21299999999999999</v>
      </c>
      <c r="M71" s="994">
        <f t="shared" si="35"/>
        <v>0.19500000000000001</v>
      </c>
      <c r="N71" s="1444">
        <v>0.27</v>
      </c>
      <c r="O71" s="645">
        <f t="shared" si="52"/>
        <v>0.23300000000000001</v>
      </c>
      <c r="P71" s="727">
        <v>90</v>
      </c>
      <c r="Q71" s="1550">
        <v>98.12</v>
      </c>
      <c r="R71" s="706">
        <v>4072.5</v>
      </c>
      <c r="S71" s="1562">
        <v>115</v>
      </c>
      <c r="U71" s="1146">
        <f>_xlfn.XLOOKUP(D71,RUC!$B$3:$B$123,RUC!$F$3:$F$123)</f>
        <v>120</v>
      </c>
      <c r="V71" s="715">
        <v>1.1023000000000001</v>
      </c>
      <c r="Y71" s="1561">
        <v>38</v>
      </c>
      <c r="Z71" s="143">
        <f>_xlfn.XLOOKUP(D71,RUC!$B$3:$B$123,RUC!$H$3:$H$123)</f>
        <v>30</v>
      </c>
      <c r="AA71" s="144">
        <f t="shared" si="43"/>
        <v>68</v>
      </c>
      <c r="AB71" s="145">
        <f t="shared" si="66"/>
        <v>711.90860527500001</v>
      </c>
      <c r="AC71" s="145">
        <f>+(S71-T71)*V71-'data 1'!$F$4</f>
        <v>46.764500000000012</v>
      </c>
      <c r="AD71" s="145">
        <f t="shared" si="45"/>
        <v>75.354174875700039</v>
      </c>
      <c r="AE71" s="145">
        <f t="shared" si="46"/>
        <v>4.9564000000000021</v>
      </c>
      <c r="AF71" s="145">
        <f t="shared" si="47"/>
        <v>-85.498642878000084</v>
      </c>
      <c r="AG71" s="772">
        <f t="shared" si="67"/>
        <v>58.57643199769997</v>
      </c>
      <c r="AH71" s="1253">
        <f t="shared" si="57"/>
        <v>123.655</v>
      </c>
      <c r="AI71" s="1253">
        <f t="shared" si="58"/>
        <v>126.024</v>
      </c>
      <c r="AJ71" s="156">
        <f t="shared" si="59"/>
        <v>57.01802284530001</v>
      </c>
      <c r="AK71" s="156">
        <f t="shared" si="60"/>
        <v>124.07171884908489</v>
      </c>
      <c r="AM71" s="716">
        <f t="shared" si="61"/>
        <v>12285.406801230676</v>
      </c>
      <c r="AN71" s="716" t="str">
        <f>_xlfn.XLOOKUP(D71,RUC!$B$3:$B$578,RUC!$M$3:$M$578)</f>
        <v>Richard Sapacayo</v>
      </c>
      <c r="AO71" s="1167" t="s">
        <v>2278</v>
      </c>
      <c r="AP71" t="s">
        <v>3513</v>
      </c>
      <c r="AQ71" t="s">
        <v>3514</v>
      </c>
    </row>
    <row r="72" spans="1:43" ht="15" customHeight="1">
      <c r="A72" s="747" t="s">
        <v>3505</v>
      </c>
      <c r="B72" s="1447">
        <v>45985</v>
      </c>
      <c r="C72" s="1447">
        <v>45978</v>
      </c>
      <c r="D72" t="s">
        <v>1484</v>
      </c>
      <c r="E72" s="762">
        <f>_xlfn.XLOOKUP(D72,RUC!$B$3:$B$123,RUC!$D$3:$D$123)</f>
        <v>10761932735</v>
      </c>
      <c r="G72" s="1082">
        <v>55</v>
      </c>
      <c r="H72" s="762" t="s">
        <v>69</v>
      </c>
      <c r="I72" s="703">
        <v>5.22</v>
      </c>
      <c r="J72" s="596">
        <v>6.3</v>
      </c>
      <c r="K72" s="703">
        <f t="shared" si="56"/>
        <v>4.891</v>
      </c>
      <c r="L72" s="762">
        <v>0.36099999999999999</v>
      </c>
      <c r="M72" s="994">
        <f t="shared" si="35"/>
        <v>0.33900000000000002</v>
      </c>
      <c r="N72" s="1196">
        <f t="shared" si="65"/>
        <v>0.33900000000000002</v>
      </c>
      <c r="O72" s="645">
        <f t="shared" si="52"/>
        <v>0.33900000000000002</v>
      </c>
      <c r="P72" s="727">
        <v>90</v>
      </c>
      <c r="Q72" s="1550">
        <v>97.51</v>
      </c>
      <c r="R72" s="706">
        <v>4072.5</v>
      </c>
      <c r="S72" s="765">
        <f>IF((_xlfn.XLOOKUP(D72,RUC!$B$3:$B$119,RUC!$E$3:$E$119)+ROUNDDOWN(O72,1)*100)&lt;95,95,((_xlfn.XLOOKUP(D72,RUC!$B$3:$B$119,RUC!$E$3:$E$119)+ROUNDDOWN(O72,1)*100)))</f>
        <v>120</v>
      </c>
      <c r="U72" s="1146">
        <f>_xlfn.XLOOKUP(D72,RUC!$B$3:$B$123,RUC!$F$3:$F$123)</f>
        <v>120</v>
      </c>
      <c r="V72" s="715">
        <v>1.1023000000000001</v>
      </c>
      <c r="Y72">
        <f>_xlfn.XLOOKUP(D72,RUC!$B$3:$B$123,RUC!$G$3:$G$123)</f>
        <v>20</v>
      </c>
      <c r="Z72" s="143">
        <f>_xlfn.XLOOKUP(D72,RUC!$B$3:$B$123,RUC!$H$3:$H$123)</f>
        <v>30</v>
      </c>
      <c r="AA72" s="144">
        <f t="shared" si="43"/>
        <v>50</v>
      </c>
      <c r="AB72" s="145">
        <f t="shared" si="66"/>
        <v>1141.8811128250002</v>
      </c>
      <c r="AC72" s="145">
        <f>+(S72-T72)*V72-'data 1'!$F$4</f>
        <v>52.27600000000001</v>
      </c>
      <c r="AD72" s="145">
        <f t="shared" si="45"/>
        <v>118.11874525732509</v>
      </c>
      <c r="AE72" s="145">
        <f t="shared" si="46"/>
        <v>-14.884999999999998</v>
      </c>
      <c r="AF72" s="145">
        <f t="shared" si="47"/>
        <v>93.463819137149855</v>
      </c>
      <c r="AG72" s="772">
        <f t="shared" si="67"/>
        <v>265.97356439447498</v>
      </c>
      <c r="AH72" s="1253">
        <f t="shared" si="57"/>
        <v>59.029000000000003</v>
      </c>
      <c r="AI72" s="1253">
        <f t="shared" si="58"/>
        <v>60.536000000000001</v>
      </c>
      <c r="AJ72" s="156">
        <f t="shared" si="59"/>
        <v>96.035404293675001</v>
      </c>
      <c r="AK72" s="156">
        <f t="shared" si="60"/>
        <v>51.162168033823008</v>
      </c>
      <c r="AM72" s="716">
        <f t="shared" si="61"/>
        <v>5584.9405228270762</v>
      </c>
      <c r="AN72" s="716" t="str">
        <f>_xlfn.XLOOKUP(D72,RUC!$B$3:$B$578,RUC!$M$3:$M$578)</f>
        <v>Richard Sapacayo</v>
      </c>
      <c r="AO72" s="1167" t="s">
        <v>2280</v>
      </c>
      <c r="AP72" t="s">
        <v>3515</v>
      </c>
      <c r="AQ72" t="s">
        <v>3516</v>
      </c>
    </row>
    <row r="73" spans="1:43" ht="15" customHeight="1">
      <c r="A73" s="747" t="s">
        <v>3507</v>
      </c>
      <c r="B73" s="1447">
        <v>45985</v>
      </c>
      <c r="C73" s="1447">
        <v>45978</v>
      </c>
      <c r="D73" t="s">
        <v>3510</v>
      </c>
      <c r="E73" s="762">
        <f>_xlfn.XLOOKUP(D73,RUC!$B$3:$B$123,RUC!$D$3:$D$123)</f>
        <v>10408856049</v>
      </c>
      <c r="G73" s="1082">
        <v>170</v>
      </c>
      <c r="H73" s="762" t="s">
        <v>69</v>
      </c>
      <c r="I73" s="703">
        <v>15.89</v>
      </c>
      <c r="J73">
        <v>7.95</v>
      </c>
      <c r="K73" s="703">
        <f t="shared" si="56"/>
        <v>14.627000000000001</v>
      </c>
      <c r="L73" s="762">
        <v>0.23599999999999999</v>
      </c>
      <c r="M73" s="994">
        <f t="shared" si="35"/>
        <v>0.218</v>
      </c>
      <c r="N73" s="1196">
        <v>0.218</v>
      </c>
      <c r="O73" s="645">
        <f t="shared" si="52"/>
        <v>0.218</v>
      </c>
      <c r="P73" s="727">
        <v>90</v>
      </c>
      <c r="Q73" s="1523">
        <v>98.73</v>
      </c>
      <c r="R73" s="706">
        <v>4072.5</v>
      </c>
      <c r="S73" s="765">
        <f>IF((_xlfn.XLOOKUP(D73,RUC!$B$3:$B$119,RUC!$E$3:$E$119)+ROUNDDOWN(O73,1)*100)&lt;95,95,((_xlfn.XLOOKUP(D73,RUC!$B$3:$B$119,RUC!$E$3:$E$119)+ROUNDDOWN(O73,1)*100)))</f>
        <v>110</v>
      </c>
      <c r="U73" s="1146">
        <f>_xlfn.XLOOKUP(D73,RUC!$B$3:$B$123,RUC!$F$3:$F$123)</f>
        <v>120</v>
      </c>
      <c r="V73" s="715">
        <v>1.1023000000000001</v>
      </c>
      <c r="Y73">
        <f>_xlfn.XLOOKUP(D73,RUC!$B$3:$B$123,RUC!$G$3:$G$123)</f>
        <v>20</v>
      </c>
      <c r="Z73" s="143">
        <f>_xlfn.XLOOKUP(D73,RUC!$B$3:$B$123,RUC!$H$3:$H$123)</f>
        <v>30</v>
      </c>
      <c r="AA73" s="144">
        <f t="shared" si="43"/>
        <v>50</v>
      </c>
      <c r="AB73" s="145">
        <f t="shared" ref="AB73:AB112" si="68">+((O73*P73*(R73-U73)/100)-S73-AA73+T73)*V73</f>
        <v>678.44415515000003</v>
      </c>
      <c r="AC73" s="145">
        <f>+(S73-T73)*V73-'data 1'!$F$4</f>
        <v>41.253</v>
      </c>
      <c r="AD73" s="145">
        <f t="shared" si="45"/>
        <v>89.763118604100057</v>
      </c>
      <c r="AE73" s="145">
        <f t="shared" si="46"/>
        <v>-14.884999999999998</v>
      </c>
      <c r="AF73" s="145">
        <f t="shared" si="47"/>
        <v>77.42715970454995</v>
      </c>
      <c r="AG73" s="772">
        <f t="shared" ref="AG73:AG112" si="69">AC73+AD73+AE73+AF73+70-53</f>
        <v>210.55827830865002</v>
      </c>
      <c r="AH73" s="1253">
        <f t="shared" si="57"/>
        <v>116.849</v>
      </c>
      <c r="AI73" s="1253">
        <f t="shared" si="58"/>
        <v>118.352</v>
      </c>
      <c r="AJ73" s="156">
        <f t="shared" si="59"/>
        <v>63.567649143900006</v>
      </c>
      <c r="AK73" s="156">
        <f t="shared" si="60"/>
        <v>98.392803191642074</v>
      </c>
      <c r="AM73" s="716">
        <f t="shared" si="61"/>
        <v>9923.6026573790514</v>
      </c>
      <c r="AN73" s="716" t="str">
        <f>_xlfn.XLOOKUP(D73,RUC!$B$3:$B$578,RUC!$M$3:$M$578)</f>
        <v>Richard Sapacayo</v>
      </c>
      <c r="AO73" s="1167" t="s">
        <v>2279</v>
      </c>
      <c r="AP73" t="s">
        <v>3517</v>
      </c>
      <c r="AQ73" t="s">
        <v>3518</v>
      </c>
    </row>
    <row r="74" spans="1:43" ht="15" customHeight="1">
      <c r="A74" s="747" t="s">
        <v>3508</v>
      </c>
      <c r="B74" s="1447">
        <v>45985</v>
      </c>
      <c r="C74" s="1447">
        <v>45978</v>
      </c>
      <c r="D74" t="s">
        <v>3510</v>
      </c>
      <c r="E74" s="762">
        <f>_xlfn.XLOOKUP(D74,RUC!$B$3:$B$123,RUC!$D$3:$D$123)</f>
        <v>10408856049</v>
      </c>
      <c r="G74" s="1082" t="s">
        <v>2985</v>
      </c>
      <c r="H74" s="762" t="s">
        <v>69</v>
      </c>
      <c r="I74" s="703">
        <v>20.3</v>
      </c>
      <c r="J74">
        <v>6.65</v>
      </c>
      <c r="K74" s="703">
        <f t="shared" si="56"/>
        <v>18.95</v>
      </c>
      <c r="L74" s="762">
        <v>0.32900000000000001</v>
      </c>
      <c r="M74" s="994">
        <f t="shared" si="35"/>
        <v>0.309</v>
      </c>
      <c r="N74" s="1444">
        <v>0.37</v>
      </c>
      <c r="O74" s="645">
        <f t="shared" si="52"/>
        <v>0.34</v>
      </c>
      <c r="P74" s="727">
        <v>90</v>
      </c>
      <c r="Q74" s="1523">
        <v>99.09</v>
      </c>
      <c r="R74" s="706">
        <v>4072.5</v>
      </c>
      <c r="S74" s="765">
        <f>IF((_xlfn.XLOOKUP(D74,RUC!$B$3:$B$119,RUC!$E$3:$E$119)+ROUNDDOWN(O74,1)*100)&lt;95,95,((_xlfn.XLOOKUP(D74,RUC!$B$3:$B$119,RUC!$E$3:$E$119)+ROUNDDOWN(O74,1)*100)))</f>
        <v>120</v>
      </c>
      <c r="U74" s="1146">
        <f>_xlfn.XLOOKUP(D74,RUC!$B$3:$B$123,RUC!$F$3:$F$123)</f>
        <v>120</v>
      </c>
      <c r="V74" s="715">
        <v>1.1023000000000001</v>
      </c>
      <c r="Y74">
        <f>_xlfn.XLOOKUP(D74,RUC!$B$3:$B$123,RUC!$G$3:$G$123)</f>
        <v>20</v>
      </c>
      <c r="Z74" s="143">
        <f>_xlfn.XLOOKUP(D74,RUC!$B$3:$B$123,RUC!$H$3:$H$123)</f>
        <v>30</v>
      </c>
      <c r="AA74" s="144">
        <f t="shared" si="43"/>
        <v>50</v>
      </c>
      <c r="AB74" s="145">
        <f t="shared" si="68"/>
        <v>1145.8022695</v>
      </c>
      <c r="AC74" s="145">
        <f>+(S74-T74)*V74-'data 1'!$F$4</f>
        <v>52.27600000000001</v>
      </c>
      <c r="AD74" s="145">
        <f t="shared" si="45"/>
        <v>130.29611515357507</v>
      </c>
      <c r="AE74" s="145">
        <f t="shared" si="46"/>
        <v>-14.884999999999998</v>
      </c>
      <c r="AF74" s="145">
        <f t="shared" si="47"/>
        <v>-47.48912849092504</v>
      </c>
      <c r="AG74" s="772">
        <f t="shared" si="69"/>
        <v>137.19798666265007</v>
      </c>
      <c r="AH74" s="1253">
        <f t="shared" si="57"/>
        <v>211.809</v>
      </c>
      <c r="AI74" s="1253">
        <f t="shared" si="58"/>
        <v>213.75399999999999</v>
      </c>
      <c r="AJ74" s="156">
        <f t="shared" si="59"/>
        <v>88.940739697425016</v>
      </c>
      <c r="AK74" s="156">
        <f t="shared" si="60"/>
        <v>198.81067968553504</v>
      </c>
      <c r="AM74" s="716">
        <f t="shared" si="61"/>
        <v>21712.953007025</v>
      </c>
      <c r="AN74" s="716" t="str">
        <f>_xlfn.XLOOKUP(D74,RUC!$B$3:$B$578,RUC!$M$3:$M$578)</f>
        <v>Richard Sapacayo</v>
      </c>
      <c r="AO74" s="1167" t="s">
        <v>2279</v>
      </c>
      <c r="AP74" t="s">
        <v>3517</v>
      </c>
      <c r="AQ74" t="s">
        <v>3518</v>
      </c>
    </row>
    <row r="75" spans="1:43" ht="15" customHeight="1">
      <c r="A75" s="747" t="s">
        <v>3540</v>
      </c>
      <c r="B75" s="1447">
        <v>45989</v>
      </c>
      <c r="C75" s="1447">
        <v>45979</v>
      </c>
      <c r="D75" t="s">
        <v>2004</v>
      </c>
      <c r="E75" s="762">
        <f>_xlfn.XLOOKUP(D75,RUC!$B$3:$B$123,RUC!$D$3:$D$123)</f>
        <v>20612921866</v>
      </c>
      <c r="G75" s="1082" t="s">
        <v>2985</v>
      </c>
      <c r="H75" s="762" t="s">
        <v>69</v>
      </c>
      <c r="I75" s="703">
        <v>9.32</v>
      </c>
      <c r="J75" s="596">
        <v>2.7</v>
      </c>
      <c r="K75" s="703">
        <f t="shared" si="56"/>
        <v>9.0679999999999996</v>
      </c>
      <c r="L75" s="762">
        <v>0.10299999999999999</v>
      </c>
      <c r="M75" s="994">
        <f t="shared" si="35"/>
        <v>8.5000000000000006E-2</v>
      </c>
      <c r="N75" s="1444">
        <v>0.159</v>
      </c>
      <c r="O75" s="645">
        <f t="shared" si="52"/>
        <v>0.122</v>
      </c>
      <c r="P75" s="727">
        <v>80</v>
      </c>
      <c r="Q75" s="1523">
        <v>87.38</v>
      </c>
      <c r="R75" s="706">
        <v>4060.85</v>
      </c>
      <c r="S75" s="765">
        <f>IF((_xlfn.XLOOKUP(D75,RUC!$B$3:$B$119,RUC!$E$3:$E$119)+ROUNDDOWN(O75,1)*100)&lt;95,95,((_xlfn.XLOOKUP(D75,RUC!$B$3:$B$119,RUC!$E$3:$E$119)+ROUNDDOWN(O75,1)*100)))</f>
        <v>95</v>
      </c>
      <c r="U75" s="1146">
        <f>_xlfn.XLOOKUP(D75,RUC!$B$3:$B$123,RUC!$F$3:$F$123)</f>
        <v>100</v>
      </c>
      <c r="V75" s="715">
        <v>1.1023000000000001</v>
      </c>
      <c r="Y75" s="1445">
        <v>40</v>
      </c>
      <c r="Z75" s="143">
        <f>_xlfn.XLOOKUP(D75,RUC!$B$3:$B$123,RUC!$H$3:$H$123)</f>
        <v>30</v>
      </c>
      <c r="AA75" s="144">
        <f t="shared" si="43"/>
        <v>70</v>
      </c>
      <c r="AB75" s="145">
        <f t="shared" si="68"/>
        <v>244.246487608</v>
      </c>
      <c r="AC75" s="145">
        <f>+(S75-T75)*V75-'data 1'!$F$4</f>
        <v>24.718500000000006</v>
      </c>
      <c r="AD75" s="145">
        <f t="shared" si="45"/>
        <v>33.188054120936982</v>
      </c>
      <c r="AE75" s="145">
        <f t="shared" si="46"/>
        <v>7.1610000000000014</v>
      </c>
      <c r="AF75" s="145">
        <f t="shared" si="47"/>
        <v>-72.48595155190101</v>
      </c>
      <c r="AG75" s="772">
        <f>AC75+AD75+AE75+AF75+70-10</f>
        <v>52.581602569035979</v>
      </c>
      <c r="AH75" s="1253">
        <f t="shared" si="57"/>
        <v>27.981000000000002</v>
      </c>
      <c r="AI75" s="1253">
        <f t="shared" si="58"/>
        <v>32.023000000000003</v>
      </c>
      <c r="AJ75" s="156">
        <f t="shared" si="59"/>
        <v>23.725723111063008</v>
      </c>
      <c r="AK75" s="156">
        <f t="shared" si="60"/>
        <v>30.343830126530239</v>
      </c>
      <c r="AM75" s="716">
        <f t="shared" si="61"/>
        <v>2214.8271496293437</v>
      </c>
      <c r="AN75" s="716" t="str">
        <f>_xlfn.XLOOKUP(D75,RUC!$B$3:$B$578,RUC!$M$3:$M$578)</f>
        <v>Ronald Garibay</v>
      </c>
      <c r="AO75" s="1167" t="s">
        <v>2279</v>
      </c>
      <c r="AP75" t="s">
        <v>3561</v>
      </c>
      <c r="AQ75" t="s">
        <v>3562</v>
      </c>
    </row>
    <row r="76" spans="1:43" ht="15" customHeight="1">
      <c r="A76" s="747" t="s">
        <v>3541</v>
      </c>
      <c r="B76" s="1447">
        <v>45988</v>
      </c>
      <c r="C76" s="1447">
        <v>45980</v>
      </c>
      <c r="D76" t="s">
        <v>93</v>
      </c>
      <c r="E76" s="762">
        <f>_xlfn.XLOOKUP(D76,RUC!$B$3:$B$123,RUC!$D$3:$D$123)</f>
        <v>20169040231</v>
      </c>
      <c r="G76" s="1082">
        <v>130</v>
      </c>
      <c r="H76" s="762" t="s">
        <v>69</v>
      </c>
      <c r="I76" s="703">
        <v>10.08</v>
      </c>
      <c r="J76" s="596">
        <v>1.2</v>
      </c>
      <c r="K76" s="703">
        <f t="shared" si="56"/>
        <v>9.9589999999999996</v>
      </c>
      <c r="L76" s="762">
        <v>0.26800000000000002</v>
      </c>
      <c r="M76" s="994">
        <f t="shared" si="35"/>
        <v>0.25</v>
      </c>
      <c r="N76" s="1196">
        <f t="shared" ref="N76:N97" si="70">+M76</f>
        <v>0.25</v>
      </c>
      <c r="O76" s="645">
        <f t="shared" si="52"/>
        <v>0.25</v>
      </c>
      <c r="P76" s="727">
        <v>84</v>
      </c>
      <c r="Q76" s="1545">
        <v>84.7</v>
      </c>
      <c r="R76" s="706">
        <v>4126.95</v>
      </c>
      <c r="S76" s="765">
        <f>IF((_xlfn.XLOOKUP(D76,RUC!$B$3:$B$119,RUC!$E$3:$E$119)+ROUNDDOWN(O76,1)*100)&lt;95,95,((_xlfn.XLOOKUP(D76,RUC!$B$3:$B$119,RUC!$E$3:$E$119)+ROUNDDOWN(O76,1)*100)))</f>
        <v>105</v>
      </c>
      <c r="U76" s="1146">
        <f>_xlfn.XLOOKUP(D76,RUC!$B$3:$B$123,RUC!$F$3:$F$123)</f>
        <v>120</v>
      </c>
      <c r="V76" s="715">
        <v>1.1023000000000001</v>
      </c>
      <c r="Y76">
        <f>_xlfn.XLOOKUP(D76,RUC!$B$3:$B$123,RUC!$G$3:$G$123)</f>
        <v>20</v>
      </c>
      <c r="Z76" s="1454">
        <v>35</v>
      </c>
      <c r="AA76" s="144">
        <f t="shared" si="43"/>
        <v>55</v>
      </c>
      <c r="AB76" s="145">
        <f t="shared" si="68"/>
        <v>751.17280684999992</v>
      </c>
      <c r="AC76" s="145">
        <f>+(S76-T76)*V76-'data 1'!$F$4</f>
        <v>35.741500000000002</v>
      </c>
      <c r="AD76" s="145">
        <f t="shared" si="45"/>
        <v>8.2860312078600344</v>
      </c>
      <c r="AE76" s="145">
        <f t="shared" si="46"/>
        <v>-9.3734999999999999</v>
      </c>
      <c r="AF76" s="145">
        <f t="shared" si="47"/>
        <v>67.339462577310059</v>
      </c>
      <c r="AG76" s="772">
        <f t="shared" si="69"/>
        <v>118.9934937851701</v>
      </c>
      <c r="AH76" s="1253">
        <f t="shared" si="57"/>
        <v>77.507000000000005</v>
      </c>
      <c r="AI76" s="1253">
        <f t="shared" si="58"/>
        <v>91.507999999999996</v>
      </c>
      <c r="AJ76" s="156">
        <f t="shared" si="59"/>
        <v>48.304525208940049</v>
      </c>
      <c r="AK76" s="156">
        <f t="shared" si="60"/>
        <v>71.704117713889502</v>
      </c>
      <c r="AM76" s="716">
        <f t="shared" si="61"/>
        <v>7480.9299834191488</v>
      </c>
      <c r="AN76" s="716" t="str">
        <f>_xlfn.XLOOKUP(D76,RUC!$B$3:$B$578,RUC!$M$3:$M$578)</f>
        <v>Ronald Miranda</v>
      </c>
      <c r="AO76" s="1167" t="s">
        <v>2281</v>
      </c>
      <c r="AP76" t="s">
        <v>3563</v>
      </c>
      <c r="AQ76" t="s">
        <v>3413</v>
      </c>
    </row>
    <row r="77" spans="1:43" ht="15" customHeight="1">
      <c r="A77" s="747" t="s">
        <v>3542</v>
      </c>
      <c r="B77" s="1447">
        <v>45985</v>
      </c>
      <c r="C77" s="1447">
        <v>45980</v>
      </c>
      <c r="D77" t="s">
        <v>2444</v>
      </c>
      <c r="E77" s="762">
        <f>_xlfn.XLOOKUP(D77,RUC!$B$3:$B$123,RUC!$D$3:$D$123)</f>
        <v>20608774000</v>
      </c>
      <c r="G77" s="1082">
        <v>16</v>
      </c>
      <c r="H77" s="762" t="s">
        <v>108</v>
      </c>
      <c r="I77" s="703">
        <v>1.4</v>
      </c>
      <c r="J77" s="596">
        <v>22</v>
      </c>
      <c r="K77" s="703">
        <f t="shared" si="56"/>
        <v>1.0920000000000001</v>
      </c>
      <c r="L77" s="994">
        <v>1.532</v>
      </c>
      <c r="M77" s="994">
        <f t="shared" si="35"/>
        <v>1.44</v>
      </c>
      <c r="N77" s="1196">
        <f t="shared" si="70"/>
        <v>1.44</v>
      </c>
      <c r="O77" s="645">
        <f t="shared" si="52"/>
        <v>1.44</v>
      </c>
      <c r="P77" s="727">
        <v>90</v>
      </c>
      <c r="Q77" s="1545">
        <v>93.16</v>
      </c>
      <c r="R77" s="706">
        <v>4126.95</v>
      </c>
      <c r="S77" s="765">
        <f>IF((_xlfn.XLOOKUP(D77,RUC!$B$3:$B$119,RUC!$E$3:$E$119)+ROUNDDOWN(O77,1)*100)&lt;95,95,((_xlfn.XLOOKUP(D77,RUC!$B$3:$B$119,RUC!$E$3:$E$119)+ROUNDDOWN(O77,1)*100)))</f>
        <v>225</v>
      </c>
      <c r="U77" s="1146">
        <f>_xlfn.XLOOKUP(D77,RUC!$B$3:$B$123,RUC!$F$3:$F$123)</f>
        <v>120</v>
      </c>
      <c r="V77" s="715">
        <v>1.1023000000000001</v>
      </c>
      <c r="Y77">
        <f>_xlfn.XLOOKUP(D77,RUC!$B$3:$B$123,RUC!$G$3:$G$123)</f>
        <v>20</v>
      </c>
      <c r="Z77" s="1454">
        <v>35</v>
      </c>
      <c r="AA77" s="144">
        <f t="shared" si="43"/>
        <v>55</v>
      </c>
      <c r="AB77" s="145">
        <f t="shared" si="68"/>
        <v>5415.6078365600006</v>
      </c>
      <c r="AC77" s="145">
        <f>+(S77-T77)*V77-'data 1'!$F$4</f>
        <v>168.01750000000001</v>
      </c>
      <c r="AD77" s="145">
        <f t="shared" si="45"/>
        <v>213.82554051703175</v>
      </c>
      <c r="AE77" s="145">
        <f t="shared" si="46"/>
        <v>-9.3734999999999999</v>
      </c>
      <c r="AF77" s="145">
        <f t="shared" si="47"/>
        <v>378.55678781359234</v>
      </c>
      <c r="AG77" s="772">
        <f t="shared" si="69"/>
        <v>768.02632833062421</v>
      </c>
      <c r="AH77" s="1253">
        <f t="shared" si="57"/>
        <v>53.433999999999997</v>
      </c>
      <c r="AI77" s="1253">
        <f t="shared" si="58"/>
        <v>57.357999999999997</v>
      </c>
      <c r="AJ77" s="156">
        <f t="shared" si="59"/>
        <v>303.70913755696824</v>
      </c>
      <c r="AK77" s="156">
        <f t="shared" si="60"/>
        <v>48.521778300777605</v>
      </c>
      <c r="AM77" s="716">
        <f t="shared" si="61"/>
        <v>5913.8437575235212</v>
      </c>
      <c r="AN77" s="716" t="str">
        <f>_xlfn.XLOOKUP(D77,RUC!$B$3:$B$578,RUC!$M$3:$M$578)</f>
        <v>Ronald Miranda</v>
      </c>
      <c r="AO77" s="1167" t="s">
        <v>2281</v>
      </c>
      <c r="AP77" t="s">
        <v>3564</v>
      </c>
      <c r="AQ77" t="s">
        <v>3576</v>
      </c>
    </row>
    <row r="78" spans="1:43" ht="15" customHeight="1">
      <c r="A78" s="747" t="s">
        <v>3544</v>
      </c>
      <c r="B78" s="1447">
        <v>45988</v>
      </c>
      <c r="C78" s="1447">
        <v>45980</v>
      </c>
      <c r="D78" t="s">
        <v>2444</v>
      </c>
      <c r="E78" s="762">
        <f>_xlfn.XLOOKUP(D78,RUC!$B$3:$B$123,RUC!$D$3:$D$123)</f>
        <v>20608774000</v>
      </c>
      <c r="G78" s="1082">
        <v>6</v>
      </c>
      <c r="H78" s="762" t="s">
        <v>108</v>
      </c>
      <c r="I78" s="703">
        <v>0.43</v>
      </c>
      <c r="J78" s="596">
        <v>25.65</v>
      </c>
      <c r="K78" s="703">
        <f t="shared" si="56"/>
        <v>0.32</v>
      </c>
      <c r="L78" s="762">
        <v>3.5350000000000001</v>
      </c>
      <c r="M78" s="994">
        <f t="shared" si="35"/>
        <v>3.323</v>
      </c>
      <c r="N78" s="1196">
        <f t="shared" si="70"/>
        <v>3.323</v>
      </c>
      <c r="O78" s="645">
        <f t="shared" si="52"/>
        <v>3.323</v>
      </c>
      <c r="P78" s="727">
        <v>80</v>
      </c>
      <c r="Q78" s="1545">
        <v>80.540000000000006</v>
      </c>
      <c r="R78" s="706">
        <v>4126.95</v>
      </c>
      <c r="S78" s="765">
        <f>IF((_xlfn.XLOOKUP(D78,RUC!$B$3:$B$119,RUC!$E$3:$E$119)+ROUNDDOWN(O78,1)*100)&lt;95,95,((_xlfn.XLOOKUP(D78,RUC!$B$3:$B$119,RUC!$E$3:$E$119)+ROUNDDOWN(O78,1)*100)))</f>
        <v>415</v>
      </c>
      <c r="U78" s="1146">
        <f>_xlfn.XLOOKUP(D78,RUC!$B$3:$B$123,RUC!$F$3:$F$123)</f>
        <v>120</v>
      </c>
      <c r="V78" s="715">
        <v>1.1023000000000001</v>
      </c>
      <c r="Y78" s="1445">
        <v>40</v>
      </c>
      <c r="Z78" s="1454">
        <v>35</v>
      </c>
      <c r="AA78" s="144">
        <f t="shared" si="43"/>
        <v>75</v>
      </c>
      <c r="AB78" s="145">
        <f t="shared" si="68"/>
        <v>11201.656242523997</v>
      </c>
      <c r="AC78" s="145">
        <f>+(S78-T78)*V78-'data 1'!$F$4</f>
        <v>377.4545</v>
      </c>
      <c r="AD78" s="145">
        <f t="shared" si="45"/>
        <v>84.313459342665993</v>
      </c>
      <c r="AE78" s="145">
        <f t="shared" si="46"/>
        <v>12.672499999999999</v>
      </c>
      <c r="AF78" s="145">
        <f t="shared" si="47"/>
        <v>754.1560455116288</v>
      </c>
      <c r="AG78" s="772">
        <f t="shared" si="69"/>
        <v>1245.5965048542948</v>
      </c>
      <c r="AH78" s="1253">
        <f t="shared" si="57"/>
        <v>31.236000000000001</v>
      </c>
      <c r="AI78" s="1253">
        <f t="shared" si="58"/>
        <v>38.783999999999999</v>
      </c>
      <c r="AJ78" s="156">
        <f t="shared" si="59"/>
        <v>605.85773481733565</v>
      </c>
      <c r="AK78" s="156">
        <f t="shared" si="60"/>
        <v>29.166168189478402</v>
      </c>
      <c r="AM78" s="716">
        <f t="shared" si="61"/>
        <v>3584.529997607679</v>
      </c>
      <c r="AN78" s="716" t="str">
        <f>_xlfn.XLOOKUP(D78,RUC!$B$3:$B$578,RUC!$M$3:$M$578)</f>
        <v>Ronald Miranda</v>
      </c>
      <c r="AO78" s="1167" t="s">
        <v>2279</v>
      </c>
      <c r="AP78" t="s">
        <v>3564</v>
      </c>
      <c r="AQ78" t="s">
        <v>3576</v>
      </c>
    </row>
    <row r="79" spans="1:43" ht="15" customHeight="1">
      <c r="A79" s="747" t="s">
        <v>3545</v>
      </c>
      <c r="B79" s="1447">
        <v>45985</v>
      </c>
      <c r="C79" s="1447">
        <v>45980</v>
      </c>
      <c r="D79" t="s">
        <v>2444</v>
      </c>
      <c r="E79" s="762">
        <f>_xlfn.XLOOKUP(D79,RUC!$B$3:$B$123,RUC!$D$3:$D$123)</f>
        <v>20608774000</v>
      </c>
      <c r="G79" s="1082">
        <v>17</v>
      </c>
      <c r="H79" s="762" t="s">
        <v>69</v>
      </c>
      <c r="I79" s="703">
        <v>1.22</v>
      </c>
      <c r="J79" s="596">
        <v>6.05</v>
      </c>
      <c r="K79" s="703">
        <f t="shared" si="56"/>
        <v>1.1459999999999999</v>
      </c>
      <c r="L79" s="762">
        <v>0.61199999999999999</v>
      </c>
      <c r="M79" s="994">
        <f t="shared" si="35"/>
        <v>0.57499999999999996</v>
      </c>
      <c r="N79" s="1196">
        <f t="shared" si="70"/>
        <v>0.57499999999999996</v>
      </c>
      <c r="O79" s="645">
        <f t="shared" si="52"/>
        <v>0.57499999999999996</v>
      </c>
      <c r="P79" s="727">
        <v>90</v>
      </c>
      <c r="Q79" s="1523">
        <v>91.34</v>
      </c>
      <c r="R79" s="706">
        <v>4126.95</v>
      </c>
      <c r="S79" s="765">
        <f>IF((_xlfn.XLOOKUP(D79,RUC!$B$3:$B$119,RUC!$E$3:$E$119)+ROUNDDOWN(O79,1)*100)&lt;95,95,((_xlfn.XLOOKUP(D79,RUC!$B$3:$B$119,RUC!$E$3:$E$119)+ROUNDDOWN(O79,1)*100)))</f>
        <v>135</v>
      </c>
      <c r="U79" s="1146">
        <f>_xlfn.XLOOKUP(D79,RUC!$B$3:$B$123,RUC!$F$3:$F$123)</f>
        <v>120</v>
      </c>
      <c r="V79" s="715">
        <v>1.1023000000000001</v>
      </c>
      <c r="Y79">
        <f>_xlfn.XLOOKUP(D79,RUC!$B$3:$B$123,RUC!$G$3:$G$123)</f>
        <v>20</v>
      </c>
      <c r="Z79" s="1454">
        <v>35</v>
      </c>
      <c r="AA79" s="144">
        <f t="shared" si="43"/>
        <v>55</v>
      </c>
      <c r="AB79" s="145">
        <f t="shared" si="68"/>
        <v>2076.2885597374998</v>
      </c>
      <c r="AC79" s="145">
        <f>+(S79-T79)*V79-'data 1'!$F$4</f>
        <v>68.810500000000019</v>
      </c>
      <c r="AD79" s="145">
        <f t="shared" si="45"/>
        <v>36.22179356578809</v>
      </c>
      <c r="AE79" s="145">
        <f t="shared" si="46"/>
        <v>-9.3734999999999999</v>
      </c>
      <c r="AF79" s="145">
        <f t="shared" si="47"/>
        <v>149.27135047686315</v>
      </c>
      <c r="AG79" s="772">
        <f t="shared" si="69"/>
        <v>261.93014404265125</v>
      </c>
      <c r="AH79" s="1253">
        <f t="shared" si="57"/>
        <v>21.963999999999999</v>
      </c>
      <c r="AI79" s="1253">
        <f t="shared" si="58"/>
        <v>24.045999999999999</v>
      </c>
      <c r="AJ79" s="156">
        <f t="shared" si="59"/>
        <v>118.95481962421212</v>
      </c>
      <c r="AK79" s="156">
        <f t="shared" si="60"/>
        <v>20.333120809992749</v>
      </c>
      <c r="AM79" s="716">
        <f t="shared" si="61"/>
        <v>2379.4266894591747</v>
      </c>
      <c r="AN79" s="716" t="str">
        <f>_xlfn.XLOOKUP(D79,RUC!$B$3:$B$578,RUC!$M$3:$M$578)</f>
        <v>Ronald Miranda</v>
      </c>
      <c r="AO79" s="1167" t="s">
        <v>2280</v>
      </c>
      <c r="AP79" t="s">
        <v>3564</v>
      </c>
      <c r="AQ79" t="s">
        <v>3576</v>
      </c>
    </row>
    <row r="80" spans="1:43" ht="15" customHeight="1">
      <c r="A80" s="747" t="s">
        <v>3546</v>
      </c>
      <c r="B80" s="1447">
        <v>45985</v>
      </c>
      <c r="C80" s="1447">
        <v>45980</v>
      </c>
      <c r="D80" t="s">
        <v>2444</v>
      </c>
      <c r="E80" s="762">
        <f>_xlfn.XLOOKUP(D80,RUC!$B$3:$B$123,RUC!$D$3:$D$123)</f>
        <v>20608774000</v>
      </c>
      <c r="G80" s="1082">
        <v>67</v>
      </c>
      <c r="H80" s="762" t="s">
        <v>108</v>
      </c>
      <c r="I80" s="703">
        <v>5.45</v>
      </c>
      <c r="J80" s="596">
        <v>26.51</v>
      </c>
      <c r="K80" s="703">
        <f t="shared" si="56"/>
        <v>4.0049999999999999</v>
      </c>
      <c r="L80" s="994">
        <v>0.54</v>
      </c>
      <c r="M80" s="994">
        <f t="shared" si="35"/>
        <v>0.50800000000000001</v>
      </c>
      <c r="N80" s="1196">
        <f t="shared" si="70"/>
        <v>0.50800000000000001</v>
      </c>
      <c r="O80" s="645">
        <f t="shared" si="52"/>
        <v>0.50800000000000001</v>
      </c>
      <c r="P80" s="727">
        <v>90</v>
      </c>
      <c r="Q80" s="1523">
        <v>93.47</v>
      </c>
      <c r="R80" s="706">
        <v>4126.95</v>
      </c>
      <c r="S80" s="765">
        <f>IF((_xlfn.XLOOKUP(D80,RUC!$B$3:$B$119,RUC!$E$3:$E$119)+ROUNDDOWN(O80,1)*100)&lt;95,95,((_xlfn.XLOOKUP(D80,RUC!$B$3:$B$119,RUC!$E$3:$E$119)+ROUNDDOWN(O80,1)*100)))</f>
        <v>135</v>
      </c>
      <c r="U80" s="1146">
        <f>_xlfn.XLOOKUP(D80,RUC!$B$3:$B$123,RUC!$F$3:$F$123)</f>
        <v>120</v>
      </c>
      <c r="V80" s="715">
        <v>1.1023000000000001</v>
      </c>
      <c r="Y80">
        <f>_xlfn.XLOOKUP(D80,RUC!$B$3:$B$123,RUC!$G$3:$G$123)</f>
        <v>20</v>
      </c>
      <c r="Z80" s="143">
        <f>_xlfn.XLOOKUP(D80,RUC!$B$3:$B$123,RUC!$H$3:$H$123)</f>
        <v>30</v>
      </c>
      <c r="AA80" s="144">
        <f t="shared" si="43"/>
        <v>50</v>
      </c>
      <c r="AB80" s="145">
        <f t="shared" si="68"/>
        <v>1815.463342342</v>
      </c>
      <c r="AC80" s="145">
        <f>+(S80-T80)*V80-'data 1'!$F$4</f>
        <v>68.810500000000019</v>
      </c>
      <c r="AD80" s="145">
        <f t="shared" si="45"/>
        <v>82.763141136929974</v>
      </c>
      <c r="AE80" s="145">
        <f t="shared" si="46"/>
        <v>-14.884999999999998</v>
      </c>
      <c r="AF80" s="145">
        <f t="shared" si="47"/>
        <v>132.11007880574414</v>
      </c>
      <c r="AG80" s="772">
        <f t="shared" si="69"/>
        <v>285.79871994267415</v>
      </c>
      <c r="AH80" s="1253">
        <f t="shared" si="57"/>
        <v>69.307000000000002</v>
      </c>
      <c r="AI80" s="1253">
        <f t="shared" si="58"/>
        <v>74.149000000000001</v>
      </c>
      <c r="AJ80" s="156">
        <f t="shared" si="59"/>
        <v>107.40774923307009</v>
      </c>
      <c r="AK80" s="156">
        <f t="shared" si="60"/>
        <v>62.779494062922303</v>
      </c>
      <c r="AM80" s="716">
        <f t="shared" si="61"/>
        <v>7270.9306860797096</v>
      </c>
      <c r="AN80" s="716" t="str">
        <f>_xlfn.XLOOKUP(D80,RUC!$B$3:$B$578,RUC!$M$3:$M$578)</f>
        <v>Ronald Miranda</v>
      </c>
      <c r="AO80" s="1167" t="s">
        <v>2277</v>
      </c>
      <c r="AP80" t="s">
        <v>3564</v>
      </c>
      <c r="AQ80" t="s">
        <v>3576</v>
      </c>
    </row>
    <row r="81" spans="1:44" ht="15" customHeight="1">
      <c r="A81" s="747" t="s">
        <v>3547</v>
      </c>
      <c r="B81" s="1447">
        <v>45989</v>
      </c>
      <c r="C81" s="1447">
        <v>45980</v>
      </c>
      <c r="D81" t="s">
        <v>3316</v>
      </c>
      <c r="E81" s="762">
        <f>_xlfn.XLOOKUP(D81,RUC!$B$3:$B$123,RUC!$D$3:$D$123)</f>
        <v>20613935151</v>
      </c>
      <c r="G81" s="1082">
        <v>130</v>
      </c>
      <c r="H81" s="762" t="s">
        <v>69</v>
      </c>
      <c r="I81" s="703">
        <v>9.24</v>
      </c>
      <c r="J81" s="596">
        <v>1.2</v>
      </c>
      <c r="K81" s="703">
        <f t="shared" si="56"/>
        <v>9.1289999999999996</v>
      </c>
      <c r="L81" s="762">
        <v>0.33100000000000002</v>
      </c>
      <c r="M81" s="994">
        <f t="shared" si="35"/>
        <v>0.311</v>
      </c>
      <c r="N81" s="1444">
        <v>0.39200000000000002</v>
      </c>
      <c r="O81" s="645">
        <f t="shared" si="52"/>
        <v>0.35199999999999998</v>
      </c>
      <c r="P81" s="727">
        <v>90</v>
      </c>
      <c r="Q81" s="1523">
        <v>94.56</v>
      </c>
      <c r="R81" s="706">
        <v>4126.95</v>
      </c>
      <c r="S81" s="765">
        <f>IF((_xlfn.XLOOKUP(D81,RUC!$B$3:$B$119,RUC!$E$3:$E$119)+ROUNDDOWN(O81,1)*100)&lt;95,95,((_xlfn.XLOOKUP(D81,RUC!$B$3:$B$119,RUC!$E$3:$E$119)+ROUNDDOWN(O81,1)*100)))</f>
        <v>120</v>
      </c>
      <c r="U81" s="1146">
        <f>_xlfn.XLOOKUP(D81,RUC!$B$3:$B$123,RUC!$F$3:$F$123)</f>
        <v>120</v>
      </c>
      <c r="V81" s="715">
        <v>1.1023000000000001</v>
      </c>
      <c r="Y81" s="1445">
        <v>40</v>
      </c>
      <c r="Z81" s="143">
        <f>_xlfn.XLOOKUP(D81,RUC!$B$3:$B$123,RUC!$H$3:$H$123)</f>
        <v>30</v>
      </c>
      <c r="AA81" s="144">
        <f t="shared" si="43"/>
        <v>70</v>
      </c>
      <c r="AB81" s="145">
        <f t="shared" si="68"/>
        <v>1189.824560048</v>
      </c>
      <c r="AC81" s="145">
        <f>+(S81-T81)*V81-'data 1'!$F$4</f>
        <v>52.27600000000001</v>
      </c>
      <c r="AD81" s="145">
        <f t="shared" si="45"/>
        <v>66.666332963196041</v>
      </c>
      <c r="AE81" s="145">
        <f t="shared" si="46"/>
        <v>7.1610000000000014</v>
      </c>
      <c r="AF81" s="145">
        <f t="shared" si="47"/>
        <v>-87.708258695735836</v>
      </c>
      <c r="AG81" s="772">
        <f t="shared" si="69"/>
        <v>55.395074267460217</v>
      </c>
      <c r="AH81" s="1253">
        <f t="shared" si="57"/>
        <v>97.963999999999999</v>
      </c>
      <c r="AI81" s="1253">
        <f t="shared" si="58"/>
        <v>103.6</v>
      </c>
      <c r="AJ81" s="156">
        <f t="shared" si="59"/>
        <v>66.604729781304073</v>
      </c>
      <c r="AK81" s="156">
        <f t="shared" si="60"/>
        <v>99.155646218676964</v>
      </c>
      <c r="AM81" s="716">
        <f t="shared" si="61"/>
        <v>10861.908408678191</v>
      </c>
      <c r="AN81" s="716" t="str">
        <f>_xlfn.XLOOKUP(D81,RUC!$B$3:$B$578,RUC!$M$3:$M$578)</f>
        <v xml:space="preserve">Dante </v>
      </c>
      <c r="AO81" s="1167" t="s">
        <v>2281</v>
      </c>
      <c r="AP81" t="s">
        <v>3565</v>
      </c>
      <c r="AQ81" t="s">
        <v>3566</v>
      </c>
    </row>
    <row r="82" spans="1:44" ht="15" customHeight="1">
      <c r="A82" s="747" t="s">
        <v>3548</v>
      </c>
      <c r="B82" s="1447">
        <v>45985</v>
      </c>
      <c r="C82" s="1447">
        <v>45980</v>
      </c>
      <c r="D82" t="s">
        <v>2444</v>
      </c>
      <c r="E82" s="762">
        <f>_xlfn.XLOOKUP(D82,RUC!$B$3:$B$123,RUC!$D$3:$D$123)</f>
        <v>20608774000</v>
      </c>
      <c r="G82" s="1082">
        <v>36</v>
      </c>
      <c r="H82" s="762" t="s">
        <v>2005</v>
      </c>
      <c r="I82" s="703">
        <v>2.72</v>
      </c>
      <c r="J82" s="596">
        <v>20.079999999999998</v>
      </c>
      <c r="K82" s="703">
        <f t="shared" si="56"/>
        <v>2.1739999999999999</v>
      </c>
      <c r="L82" s="762">
        <v>0.379</v>
      </c>
      <c r="M82" s="994">
        <f t="shared" si="35"/>
        <v>0.35599999999999998</v>
      </c>
      <c r="N82" s="1196">
        <f t="shared" si="70"/>
        <v>0.35599999999999998</v>
      </c>
      <c r="O82" s="645">
        <f t="shared" si="52"/>
        <v>0.35599999999999998</v>
      </c>
      <c r="P82" s="727">
        <v>90</v>
      </c>
      <c r="Q82" s="1523">
        <v>96.05</v>
      </c>
      <c r="R82" s="706">
        <v>4126.95</v>
      </c>
      <c r="S82" s="765">
        <f>IF((_xlfn.XLOOKUP(D82,RUC!$B$3:$B$119,RUC!$E$3:$E$119)+ROUNDDOWN(O82,1)*100)&lt;95,95,((_xlfn.XLOOKUP(D82,RUC!$B$3:$B$119,RUC!$E$3:$E$119)+ROUNDDOWN(O82,1)*100)))</f>
        <v>115</v>
      </c>
      <c r="U82" s="1146">
        <f>_xlfn.XLOOKUP(D82,RUC!$B$3:$B$123,RUC!$F$3:$F$123)</f>
        <v>120</v>
      </c>
      <c r="V82" s="715">
        <v>1.1023000000000001</v>
      </c>
      <c r="Y82">
        <f>_xlfn.XLOOKUP(D82,RUC!$B$3:$B$123,RUC!$G$3:$G$123)</f>
        <v>20</v>
      </c>
      <c r="Z82" s="143">
        <f>_xlfn.XLOOKUP(D82,RUC!$B$3:$B$123,RUC!$H$3:$H$123)</f>
        <v>30</v>
      </c>
      <c r="AA82" s="144">
        <f t="shared" si="43"/>
        <v>50</v>
      </c>
      <c r="AB82" s="145">
        <f t="shared" si="68"/>
        <v>1233.282759594</v>
      </c>
      <c r="AC82" s="145">
        <f>+(S82-T82)*V82-'data 1'!$F$4</f>
        <v>46.764500000000012</v>
      </c>
      <c r="AD82" s="145">
        <f t="shared" si="45"/>
        <v>101.27641395555743</v>
      </c>
      <c r="AE82" s="145">
        <f t="shared" si="46"/>
        <v>-14.884999999999998</v>
      </c>
      <c r="AF82" s="145">
        <f t="shared" si="47"/>
        <v>97.575084450127576</v>
      </c>
      <c r="AG82" s="772">
        <f t="shared" si="69"/>
        <v>247.730998405685</v>
      </c>
      <c r="AH82" s="1253">
        <f t="shared" si="57"/>
        <v>27.132999999999999</v>
      </c>
      <c r="AI82" s="1253">
        <f t="shared" si="58"/>
        <v>28.248999999999999</v>
      </c>
      <c r="AJ82" s="156">
        <f t="shared" si="59"/>
        <v>77.465119030942574</v>
      </c>
      <c r="AK82" s="156">
        <f t="shared" si="60"/>
        <v>23.881473332072279</v>
      </c>
      <c r="AM82" s="716">
        <f t="shared" si="61"/>
        <v>2681.156719357356</v>
      </c>
      <c r="AN82" s="716" t="str">
        <f>_xlfn.XLOOKUP(D82,RUC!$B$3:$B$578,RUC!$M$3:$M$578)</f>
        <v>Ronald Miranda</v>
      </c>
      <c r="AO82" s="1167" t="s">
        <v>2277</v>
      </c>
      <c r="AP82" t="s">
        <v>3564</v>
      </c>
      <c r="AQ82" t="s">
        <v>3576</v>
      </c>
    </row>
    <row r="83" spans="1:44" ht="15" customHeight="1">
      <c r="A83" s="747" t="s">
        <v>3549</v>
      </c>
      <c r="B83" s="1447">
        <v>45985</v>
      </c>
      <c r="C83" s="1447">
        <v>45980</v>
      </c>
      <c r="D83" t="s">
        <v>2444</v>
      </c>
      <c r="E83" s="762">
        <f>_xlfn.XLOOKUP(D83,RUC!$B$3:$B$123,RUC!$D$3:$D$123)</f>
        <v>20608774000</v>
      </c>
      <c r="G83" s="1082">
        <v>40</v>
      </c>
      <c r="H83" s="762" t="s">
        <v>2005</v>
      </c>
      <c r="I83" s="703">
        <v>3.04</v>
      </c>
      <c r="J83" s="596">
        <v>18.71</v>
      </c>
      <c r="K83" s="703">
        <f t="shared" si="56"/>
        <v>2.4710000000000001</v>
      </c>
      <c r="L83" s="762">
        <v>0.40799999999999997</v>
      </c>
      <c r="M83" s="994">
        <f t="shared" si="35"/>
        <v>0.38400000000000001</v>
      </c>
      <c r="N83" s="1196">
        <f t="shared" si="70"/>
        <v>0.38400000000000001</v>
      </c>
      <c r="O83" s="645">
        <f t="shared" si="52"/>
        <v>0.38400000000000001</v>
      </c>
      <c r="P83" s="727">
        <v>90</v>
      </c>
      <c r="Q83" s="1523">
        <v>94.85</v>
      </c>
      <c r="R83" s="706">
        <v>4126.95</v>
      </c>
      <c r="S83" s="765">
        <f>IF((_xlfn.XLOOKUP(D83,RUC!$B$3:$B$119,RUC!$E$3:$E$119)+ROUNDDOWN(O83,1)*100)&lt;95,95,((_xlfn.XLOOKUP(D83,RUC!$B$3:$B$119,RUC!$E$3:$E$119)+ROUNDDOWN(O83,1)*100)))</f>
        <v>115</v>
      </c>
      <c r="U83" s="1146">
        <f>_xlfn.XLOOKUP(D83,RUC!$B$3:$B$123,RUC!$F$3:$F$123)</f>
        <v>120</v>
      </c>
      <c r="V83" s="715">
        <v>1.1023000000000001</v>
      </c>
      <c r="Y83">
        <f>_xlfn.XLOOKUP(D83,RUC!$B$3:$B$123,RUC!$G$3:$G$123)</f>
        <v>20</v>
      </c>
      <c r="Z83" s="143">
        <f>_xlfn.XLOOKUP(D83,RUC!$B$3:$B$123,RUC!$H$3:$H$123)</f>
        <v>30</v>
      </c>
      <c r="AA83" s="144">
        <f t="shared" si="43"/>
        <v>50</v>
      </c>
      <c r="AB83" s="145">
        <f t="shared" si="68"/>
        <v>1344.5876564160003</v>
      </c>
      <c r="AC83" s="145">
        <f>+(S83-T83)*V83-'data 1'!$F$4</f>
        <v>46.764500000000012</v>
      </c>
      <c r="AD83" s="145">
        <f t="shared" si="45"/>
        <v>87.400845171179881</v>
      </c>
      <c r="AE83" s="145">
        <f t="shared" si="46"/>
        <v>-14.884999999999998</v>
      </c>
      <c r="AF83" s="145">
        <f t="shared" si="47"/>
        <v>100.54542346253986</v>
      </c>
      <c r="AG83" s="772">
        <f t="shared" si="69"/>
        <v>236.82576863371975</v>
      </c>
      <c r="AH83" s="1253">
        <f t="shared" si="57"/>
        <v>32.784999999999997</v>
      </c>
      <c r="AI83" s="1253">
        <f t="shared" si="58"/>
        <v>34.564999999999998</v>
      </c>
      <c r="AJ83" s="156">
        <f t="shared" si="59"/>
        <v>82.350665216820076</v>
      </c>
      <c r="AK83" s="156">
        <f t="shared" si="60"/>
        <v>29.278953402007684</v>
      </c>
      <c r="AM83" s="716">
        <f t="shared" si="61"/>
        <v>3322.4760990039367</v>
      </c>
      <c r="AN83" s="716" t="str">
        <f>_xlfn.XLOOKUP(D83,RUC!$B$3:$B$578,RUC!$M$3:$M$578)</f>
        <v>Ronald Miranda</v>
      </c>
      <c r="AO83" s="1167" t="s">
        <v>2280</v>
      </c>
      <c r="AP83" t="s">
        <v>3564</v>
      </c>
      <c r="AQ83" t="s">
        <v>3576</v>
      </c>
    </row>
    <row r="84" spans="1:44" ht="15" customHeight="1">
      <c r="A84" s="747" t="s">
        <v>3550</v>
      </c>
      <c r="B84" s="1447">
        <v>45985</v>
      </c>
      <c r="C84" s="1447">
        <v>45980</v>
      </c>
      <c r="D84" t="s">
        <v>2004</v>
      </c>
      <c r="E84" s="762">
        <f>_xlfn.XLOOKUP(D84,RUC!$B$3:$B$123,RUC!$D$3:$D$123)</f>
        <v>20612921866</v>
      </c>
      <c r="G84" s="1082" t="s">
        <v>2985</v>
      </c>
      <c r="H84" s="762" t="s">
        <v>69</v>
      </c>
      <c r="I84" s="703">
        <v>10.45</v>
      </c>
      <c r="J84" s="596">
        <v>1.3</v>
      </c>
      <c r="K84" s="703">
        <f t="shared" si="56"/>
        <v>10.314</v>
      </c>
      <c r="L84" s="762">
        <v>0.224</v>
      </c>
      <c r="M84" s="994">
        <f t="shared" si="35"/>
        <v>0.20599999999999999</v>
      </c>
      <c r="N84" s="1196">
        <f t="shared" si="70"/>
        <v>0.20599999999999999</v>
      </c>
      <c r="O84" s="645">
        <f t="shared" si="52"/>
        <v>0.20599999999999999</v>
      </c>
      <c r="P84" s="727">
        <v>89</v>
      </c>
      <c r="Q84" s="1523">
        <v>89.73</v>
      </c>
      <c r="R84" s="706">
        <v>4126.95</v>
      </c>
      <c r="S84" s="765">
        <f>IF((_xlfn.XLOOKUP(D84,RUC!$B$3:$B$119,RUC!$E$3:$E$119)+ROUNDDOWN(O84,1)*100)&lt;95,95,((_xlfn.XLOOKUP(D84,RUC!$B$3:$B$119,RUC!$E$3:$E$119)+ROUNDDOWN(O84,1)*100)))</f>
        <v>100</v>
      </c>
      <c r="U84" s="1146">
        <f>_xlfn.XLOOKUP(D84,RUC!$B$3:$B$123,RUC!$F$3:$F$123)</f>
        <v>100</v>
      </c>
      <c r="V84" s="715">
        <v>1.1023000000000001</v>
      </c>
      <c r="Y84">
        <f>_xlfn.XLOOKUP(D84,RUC!$B$3:$B$123,RUC!$G$3:$G$123)</f>
        <v>0</v>
      </c>
      <c r="Z84" s="143">
        <f>_xlfn.XLOOKUP(D84,RUC!$B$3:$B$123,RUC!$H$3:$H$123)</f>
        <v>30</v>
      </c>
      <c r="AA84" s="144">
        <f t="shared" si="43"/>
        <v>30</v>
      </c>
      <c r="AB84" s="145">
        <f t="shared" si="68"/>
        <v>670.53020662989991</v>
      </c>
      <c r="AC84" s="145">
        <f>+(S84-T84)*V84-'data 1'!$F$4</f>
        <v>30.230000000000004</v>
      </c>
      <c r="AD84" s="145">
        <f t="shared" si="45"/>
        <v>7.2585007018720402</v>
      </c>
      <c r="AE84" s="145">
        <f t="shared" si="46"/>
        <v>-36.930999999999997</v>
      </c>
      <c r="AF84" s="145">
        <f t="shared" si="47"/>
        <v>71.694562277529073</v>
      </c>
      <c r="AG84" s="772">
        <f>AC84+AD84+AE84+AF84+70-10</f>
        <v>132.2520629794011</v>
      </c>
      <c r="AH84" s="1253">
        <f t="shared" si="57"/>
        <v>71.075999999999993</v>
      </c>
      <c r="AI84" s="1253">
        <f t="shared" si="58"/>
        <v>79.210999999999999</v>
      </c>
      <c r="AJ84" s="156">
        <f t="shared" si="59"/>
        <v>38.340440400528038</v>
      </c>
      <c r="AK84" s="156">
        <f t="shared" si="60"/>
        <v>64.83259772702732</v>
      </c>
      <c r="AM84" s="716">
        <f t="shared" si="61"/>
        <v>6915.8485511807876</v>
      </c>
      <c r="AN84" s="716" t="str">
        <f>_xlfn.XLOOKUP(D84,RUC!$B$3:$B$578,RUC!$M$3:$M$578)</f>
        <v>Ronald Garibay</v>
      </c>
      <c r="AO84" s="1167" t="s">
        <v>2280</v>
      </c>
      <c r="AP84" t="s">
        <v>3127</v>
      </c>
      <c r="AQ84" t="s">
        <v>3567</v>
      </c>
    </row>
    <row r="85" spans="1:44" ht="15" customHeight="1">
      <c r="A85" s="747" t="s">
        <v>3551</v>
      </c>
      <c r="B85" s="1447">
        <v>45985</v>
      </c>
      <c r="C85" s="1447">
        <v>45980</v>
      </c>
      <c r="D85" t="s">
        <v>2444</v>
      </c>
      <c r="E85" s="762">
        <f>_xlfn.XLOOKUP(D85,RUC!$B$3:$B$123,RUC!$D$3:$D$123)</f>
        <v>20608774000</v>
      </c>
      <c r="G85" s="1082">
        <v>15</v>
      </c>
      <c r="H85" s="762" t="s">
        <v>108</v>
      </c>
      <c r="I85" s="703">
        <v>1.17</v>
      </c>
      <c r="J85" s="596">
        <v>24.86</v>
      </c>
      <c r="K85" s="703">
        <f t="shared" si="56"/>
        <v>0.879</v>
      </c>
      <c r="L85" s="994">
        <v>0.55000000000000004</v>
      </c>
      <c r="M85" s="994">
        <f t="shared" si="35"/>
        <v>0.51700000000000002</v>
      </c>
      <c r="N85" s="1196">
        <f t="shared" si="70"/>
        <v>0.51700000000000002</v>
      </c>
      <c r="O85" s="645">
        <f t="shared" si="52"/>
        <v>0.51700000000000002</v>
      </c>
      <c r="P85" s="727">
        <v>90</v>
      </c>
      <c r="Q85" s="1523">
        <v>96</v>
      </c>
      <c r="R85" s="706">
        <v>4126.95</v>
      </c>
      <c r="S85" s="765">
        <f>IF((_xlfn.XLOOKUP(D85,RUC!$B$3:$B$119,RUC!$E$3:$E$119)+ROUNDDOWN(O85,1)*100)&lt;95,95,((_xlfn.XLOOKUP(D85,RUC!$B$3:$B$119,RUC!$E$3:$E$119)+ROUNDDOWN(O85,1)*100)))</f>
        <v>135</v>
      </c>
      <c r="U85" s="1146">
        <f>_xlfn.XLOOKUP(D85,RUC!$B$3:$B$123,RUC!$F$3:$F$123)</f>
        <v>120</v>
      </c>
      <c r="V85" s="715">
        <v>1.1023000000000001</v>
      </c>
      <c r="Y85">
        <f>_xlfn.XLOOKUP(D85,RUC!$B$3:$B$123,RUC!$G$3:$G$123)</f>
        <v>20</v>
      </c>
      <c r="Z85" s="143">
        <f>_xlfn.XLOOKUP(D85,RUC!$B$3:$B$123,RUC!$H$3:$H$123)</f>
        <v>30</v>
      </c>
      <c r="AA85" s="144">
        <f t="shared" si="43"/>
        <v>50</v>
      </c>
      <c r="AB85" s="145">
        <f>+((O85*P85*(R85-U85)/100)-S85-AA85+T85)*V85</f>
        <v>1851.2399163205002</v>
      </c>
      <c r="AC85" s="145">
        <f>+(S85-T85)*V85-'data 1'!$F$4</f>
        <v>68.810500000000019</v>
      </c>
      <c r="AD85" s="145">
        <f t="shared" si="45"/>
        <v>145.75641250500001</v>
      </c>
      <c r="AE85" s="145">
        <f t="shared" si="46"/>
        <v>-14.884999999999998</v>
      </c>
      <c r="AF85" s="145">
        <f t="shared" si="47"/>
        <v>139.92615600480013</v>
      </c>
      <c r="AG85" s="772">
        <f t="shared" si="69"/>
        <v>356.6080685098002</v>
      </c>
      <c r="AH85" s="1253">
        <f t="shared" si="57"/>
        <v>15.912000000000001</v>
      </c>
      <c r="AI85" s="1253">
        <f t="shared" si="58"/>
        <v>16.574999999999999</v>
      </c>
      <c r="AJ85" s="156">
        <f t="shared" si="59"/>
        <v>112.35787992000013</v>
      </c>
      <c r="AK85" s="156">
        <f t="shared" si="60"/>
        <v>14.022679141445538</v>
      </c>
      <c r="AM85" s="716">
        <f t="shared" si="61"/>
        <v>1627.2398864457198</v>
      </c>
      <c r="AN85" s="716" t="str">
        <f>_xlfn.XLOOKUP(D85,RUC!$B$3:$B$578,RUC!$M$3:$M$578)</f>
        <v>Ronald Miranda</v>
      </c>
      <c r="AO85" s="1167" t="s">
        <v>2280</v>
      </c>
      <c r="AP85" t="s">
        <v>3564</v>
      </c>
      <c r="AQ85" t="s">
        <v>3576</v>
      </c>
    </row>
    <row r="86" spans="1:44" ht="15" customHeight="1">
      <c r="A86" s="747" t="s">
        <v>3553</v>
      </c>
      <c r="B86" s="1447">
        <v>45985</v>
      </c>
      <c r="C86" s="1447">
        <v>45981</v>
      </c>
      <c r="D86" t="s">
        <v>3464</v>
      </c>
      <c r="E86" s="762">
        <f>_xlfn.XLOOKUP(D86,RUC!$B$3:$B$123,RUC!$D$3:$D$123)</f>
        <v>20614284740</v>
      </c>
      <c r="G86" s="1082">
        <v>15</v>
      </c>
      <c r="H86" s="762" t="s">
        <v>108</v>
      </c>
      <c r="I86" s="703">
        <v>1.22</v>
      </c>
      <c r="J86" s="596">
        <v>4.2</v>
      </c>
      <c r="K86" s="703">
        <f t="shared" si="56"/>
        <v>1.169</v>
      </c>
      <c r="L86" s="762">
        <v>2.544</v>
      </c>
      <c r="M86" s="994">
        <f t="shared" si="35"/>
        <v>2.391</v>
      </c>
      <c r="N86" s="1196">
        <f t="shared" si="70"/>
        <v>2.391</v>
      </c>
      <c r="O86" s="645">
        <f t="shared" si="52"/>
        <v>2.391</v>
      </c>
      <c r="P86" s="727">
        <v>90</v>
      </c>
      <c r="Q86" s="1560">
        <v>87.78</v>
      </c>
      <c r="R86" s="706">
        <v>4090.6</v>
      </c>
      <c r="S86" s="765">
        <f>IF((_xlfn.XLOOKUP(D86,RUC!$B$3:$B$119,RUC!$E$3:$E$119)+ROUNDDOWN(O86,1)*100)&lt;95,95,((_xlfn.XLOOKUP(D86,RUC!$B$3:$B$119,RUC!$E$3:$E$119)+ROUNDDOWN(O86,1)*100)))</f>
        <v>320</v>
      </c>
      <c r="U86" s="1146">
        <f>_xlfn.XLOOKUP(D86,RUC!$B$3:$B$123,RUC!$F$3:$F$123)</f>
        <v>120</v>
      </c>
      <c r="V86" s="715">
        <v>1.1023000000000001</v>
      </c>
      <c r="Y86">
        <f>_xlfn.XLOOKUP(D86,RUC!$B$3:$B$123,RUC!$G$3:$G$123)</f>
        <v>20</v>
      </c>
      <c r="Z86" s="143">
        <f>_xlfn.XLOOKUP(D86,RUC!$B$3:$B$123,RUC!$H$3:$H$123)</f>
        <v>30</v>
      </c>
      <c r="AA86" s="144">
        <f t="shared" si="43"/>
        <v>50</v>
      </c>
      <c r="AB86" s="145">
        <f t="shared" si="68"/>
        <v>9010.5685225219986</v>
      </c>
      <c r="AC86" s="145">
        <f>+(S86-T86)*V86-'data 1'!$F$4</f>
        <v>272.73599999999999</v>
      </c>
      <c r="AD86" s="145">
        <f t="shared" si="45"/>
        <v>-247.18722788678389</v>
      </c>
      <c r="AE86" s="145">
        <f t="shared" si="46"/>
        <v>-14.884999999999998</v>
      </c>
      <c r="AF86" s="145">
        <f t="shared" si="47"/>
        <v>587.8180977280922</v>
      </c>
      <c r="AG86" s="772">
        <f t="shared" si="69"/>
        <v>615.48186984130825</v>
      </c>
      <c r="AH86" s="1253">
        <f t="shared" si="57"/>
        <v>89.503</v>
      </c>
      <c r="AI86" s="1253">
        <f t="shared" si="58"/>
        <v>101.96299999999999</v>
      </c>
      <c r="AJ86" s="156">
        <f t="shared" si="59"/>
        <v>564.6845487507843</v>
      </c>
      <c r="AK86" s="156">
        <f t="shared" si="60"/>
        <v>86.247331330865364</v>
      </c>
      <c r="AM86" s="716">
        <f t="shared" si="61"/>
        <v>10533.354602828216</v>
      </c>
      <c r="AN86" s="716" t="s">
        <v>3591</v>
      </c>
      <c r="AO86" s="1167" t="s">
        <v>2277</v>
      </c>
      <c r="AP86" t="s">
        <v>3570</v>
      </c>
      <c r="AQ86" t="s">
        <v>3571</v>
      </c>
    </row>
    <row r="87" spans="1:44" ht="15" customHeight="1">
      <c r="A87" s="747" t="s">
        <v>3555</v>
      </c>
      <c r="B87" s="1447">
        <v>45985</v>
      </c>
      <c r="C87" s="1447">
        <v>45982</v>
      </c>
      <c r="D87" t="s">
        <v>2004</v>
      </c>
      <c r="E87" s="762">
        <f>_xlfn.XLOOKUP(D87,RUC!$B$3:$B$123,RUC!$D$3:$D$123)</f>
        <v>20612921866</v>
      </c>
      <c r="G87" s="1553" t="s">
        <v>2985</v>
      </c>
      <c r="H87" s="1552" t="s">
        <v>69</v>
      </c>
      <c r="I87" s="703">
        <v>21.23</v>
      </c>
      <c r="J87" s="596">
        <v>1.2</v>
      </c>
      <c r="K87" s="703">
        <f t="shared" si="56"/>
        <v>20.975000000000001</v>
      </c>
      <c r="L87" s="762">
        <v>0.308</v>
      </c>
      <c r="M87" s="994">
        <f t="shared" si="35"/>
        <v>0.28999999999999998</v>
      </c>
      <c r="N87" s="1444">
        <v>0.33600000000000002</v>
      </c>
      <c r="O87" s="645">
        <f t="shared" si="52"/>
        <v>0.313</v>
      </c>
      <c r="P87" s="727">
        <v>90</v>
      </c>
      <c r="Q87" s="1523">
        <v>96.1</v>
      </c>
      <c r="R87" s="706">
        <v>4072.85</v>
      </c>
      <c r="S87" s="765">
        <f>IF((_xlfn.XLOOKUP(D87,RUC!$B$3:$B$119,RUC!$E$3:$E$119)+ROUNDDOWN(O87,1)*100)&lt;95,95,((_xlfn.XLOOKUP(D87,RUC!$B$3:$B$119,RUC!$E$3:$E$119)+ROUNDDOWN(O87,1)*100)))</f>
        <v>110</v>
      </c>
      <c r="U87" s="1146">
        <f>_xlfn.XLOOKUP(D87,RUC!$B$3:$B$123,RUC!$F$3:$F$123)</f>
        <v>100</v>
      </c>
      <c r="V87" s="715">
        <v>1.1023000000000001</v>
      </c>
      <c r="Y87">
        <f>_xlfn.XLOOKUP(D87,RUC!$B$3:$B$123,RUC!$G$3:$G$123)</f>
        <v>0</v>
      </c>
      <c r="Z87" s="143">
        <f>_xlfn.XLOOKUP(D87,RUC!$B$3:$B$123,RUC!$H$3:$H$123)</f>
        <v>30</v>
      </c>
      <c r="AA87" s="144">
        <f t="shared" si="43"/>
        <v>30</v>
      </c>
      <c r="AB87" s="145">
        <f t="shared" si="68"/>
        <v>1079.3190787435001</v>
      </c>
      <c r="AC87" s="145">
        <f>+(S87-T87)*V87-'data 1'!$F$4</f>
        <v>41.253</v>
      </c>
      <c r="AD87" s="145">
        <f t="shared" si="45"/>
        <v>82.277772763339925</v>
      </c>
      <c r="AE87" s="145">
        <f t="shared" si="46"/>
        <v>-36.930999999999997</v>
      </c>
      <c r="AF87" s="145">
        <f t="shared" si="47"/>
        <v>-21.042404626775021</v>
      </c>
      <c r="AG87" s="772">
        <f>AC87+AD87+AE87+AF87+70-10</f>
        <v>125.55736813656489</v>
      </c>
      <c r="AH87" s="1253">
        <f t="shared" si="57"/>
        <v>212.85599999999999</v>
      </c>
      <c r="AI87" s="1253">
        <f t="shared" si="58"/>
        <v>221.494</v>
      </c>
      <c r="AJ87" s="156">
        <f t="shared" si="59"/>
        <v>74.111679070660031</v>
      </c>
      <c r="AK87" s="156">
        <f t="shared" si="60"/>
        <v>202.58061524204291</v>
      </c>
      <c r="AM87" s="716">
        <f t="shared" si="61"/>
        <v>22638.717676644916</v>
      </c>
      <c r="AN87" s="716" t="str">
        <f>_xlfn.XLOOKUP(D87,RUC!$B$3:$B$578,RUC!$M$3:$M$578)</f>
        <v>Ronald Garibay</v>
      </c>
      <c r="AO87" s="1167" t="s">
        <v>2280</v>
      </c>
      <c r="AP87" t="s">
        <v>3572</v>
      </c>
      <c r="AQ87" t="s">
        <v>3573</v>
      </c>
    </row>
    <row r="88" spans="1:44" ht="15" customHeight="1">
      <c r="A88" s="747" t="s">
        <v>3556</v>
      </c>
      <c r="B88" s="1447">
        <v>45988</v>
      </c>
      <c r="C88" s="1447">
        <v>45982</v>
      </c>
      <c r="D88" t="s">
        <v>3510</v>
      </c>
      <c r="E88" s="762">
        <f>_xlfn.XLOOKUP(D88,RUC!$B$3:$B$123,RUC!$D$3:$D$123)</f>
        <v>10408856049</v>
      </c>
      <c r="G88" s="1082">
        <v>130</v>
      </c>
      <c r="H88" s="762" t="s">
        <v>69</v>
      </c>
      <c r="I88" s="703">
        <v>12.3</v>
      </c>
      <c r="J88" s="596">
        <v>6.95</v>
      </c>
      <c r="K88" s="703">
        <f t="shared" si="56"/>
        <v>11.445</v>
      </c>
      <c r="L88" s="994">
        <v>0.34</v>
      </c>
      <c r="M88" s="994">
        <f t="shared" si="35"/>
        <v>0.32</v>
      </c>
      <c r="N88" s="1444">
        <v>0.38500000000000001</v>
      </c>
      <c r="O88" s="645">
        <f t="shared" si="52"/>
        <v>0.35299999999999998</v>
      </c>
      <c r="P88" s="727">
        <v>90</v>
      </c>
      <c r="Q88" s="1523">
        <v>95.59</v>
      </c>
      <c r="R88" s="706">
        <v>4072.85</v>
      </c>
      <c r="S88" s="765">
        <f>IF((_xlfn.XLOOKUP(D88,RUC!$B$3:$B$119,RUC!$E$3:$E$119)+ROUNDDOWN(O88,1)*100)&lt;95,95,((_xlfn.XLOOKUP(D88,RUC!$B$3:$B$119,RUC!$E$3:$E$119)+ROUNDDOWN(O88,1)*100)))</f>
        <v>120</v>
      </c>
      <c r="U88" s="1146">
        <f>_xlfn.XLOOKUP(D88,RUC!$B$3:$B$123,RUC!$F$3:$F$123)</f>
        <v>120</v>
      </c>
      <c r="V88" s="715">
        <v>1.1023000000000001</v>
      </c>
      <c r="Y88" s="1445">
        <v>40</v>
      </c>
      <c r="Z88" s="143">
        <f>_xlfn.XLOOKUP(D88,RUC!$B$3:$B$123,RUC!$H$3:$H$123)</f>
        <v>30</v>
      </c>
      <c r="AA88" s="144">
        <f t="shared" si="43"/>
        <v>70</v>
      </c>
      <c r="AB88" s="145">
        <f t="shared" si="68"/>
        <v>1174.8538765234998</v>
      </c>
      <c r="AC88" s="145">
        <f>+(S88-T88)*V88-'data 1'!$F$4</f>
        <v>52.27600000000001</v>
      </c>
      <c r="AD88" s="145">
        <f t="shared" si="45"/>
        <v>82.813447904330062</v>
      </c>
      <c r="AE88" s="145">
        <f t="shared" si="46"/>
        <v>7.1610000000000014</v>
      </c>
      <c r="AF88" s="145">
        <f t="shared" si="47"/>
        <v>-54.145947231018319</v>
      </c>
      <c r="AG88" s="772">
        <f t="shared" si="69"/>
        <v>105.10450067331178</v>
      </c>
      <c r="AH88" s="1253">
        <f t="shared" si="57"/>
        <v>127.53100000000001</v>
      </c>
      <c r="AI88" s="1253">
        <f t="shared" si="58"/>
        <v>133.41499999999999</v>
      </c>
      <c r="AJ88" s="156">
        <f t="shared" si="59"/>
        <v>88.542504225670058</v>
      </c>
      <c r="AK88" s="156">
        <f t="shared" si="60"/>
        <v>124.66429378198582</v>
      </c>
      <c r="AM88" s="716">
        <f t="shared" si="61"/>
        <v>13446.202616811455</v>
      </c>
      <c r="AN88" s="716" t="str">
        <f>_xlfn.XLOOKUP(D88,RUC!$B$3:$B$578,RUC!$M$3:$M$578)</f>
        <v>Richard Sapacayo</v>
      </c>
      <c r="AO88" s="1167" t="s">
        <v>2281</v>
      </c>
      <c r="AP88" t="s">
        <v>3574</v>
      </c>
      <c r="AQ88" t="s">
        <v>3575</v>
      </c>
    </row>
    <row r="89" spans="1:44" ht="15" customHeight="1">
      <c r="A89" s="747" t="s">
        <v>3558</v>
      </c>
      <c r="B89" s="1447">
        <v>45988</v>
      </c>
      <c r="C89" s="1447">
        <v>45982</v>
      </c>
      <c r="D89" t="s">
        <v>2004</v>
      </c>
      <c r="E89" s="762">
        <f>_xlfn.XLOOKUP(D89,RUC!$B$3:$B$123,RUC!$D$3:$D$123)</f>
        <v>20612921866</v>
      </c>
      <c r="G89" s="1082" t="s">
        <v>2985</v>
      </c>
      <c r="H89" s="762" t="s">
        <v>69</v>
      </c>
      <c r="I89" s="703">
        <v>20.18</v>
      </c>
      <c r="J89" s="596">
        <v>1.25</v>
      </c>
      <c r="K89" s="703">
        <f t="shared" si="56"/>
        <v>19.928000000000001</v>
      </c>
      <c r="L89" s="1082">
        <v>0.30199999999999999</v>
      </c>
      <c r="M89" s="994">
        <f t="shared" si="35"/>
        <v>0.28399999999999997</v>
      </c>
      <c r="N89" s="1444">
        <v>0.32300000000000001</v>
      </c>
      <c r="O89" s="645">
        <f t="shared" si="52"/>
        <v>0.30399999999999999</v>
      </c>
      <c r="P89" s="727">
        <v>90</v>
      </c>
      <c r="Q89" s="1523">
        <v>97.02</v>
      </c>
      <c r="R89" s="706">
        <v>4072.85</v>
      </c>
      <c r="S89" s="765">
        <f>IF((_xlfn.XLOOKUP(D89,RUC!$B$3:$B$119,RUC!$E$3:$E$119)+ROUNDDOWN(O89,1)*100)&lt;95,95,((_xlfn.XLOOKUP(D89,RUC!$B$3:$B$119,RUC!$E$3:$E$119)+ROUNDDOWN(O89,1)*100)))</f>
        <v>110</v>
      </c>
      <c r="U89" s="1146">
        <f>_xlfn.XLOOKUP(D89,RUC!$B$3:$B$123,RUC!$F$3:$F$123)</f>
        <v>100</v>
      </c>
      <c r="V89" s="715">
        <v>1.1023000000000001</v>
      </c>
      <c r="Y89">
        <f>_xlfn.XLOOKUP(D89,RUC!$B$3:$B$123,RUC!$G$3:$G$123)</f>
        <v>0</v>
      </c>
      <c r="Z89" s="143">
        <f>_xlfn.XLOOKUP(D89,RUC!$B$3:$B$123,RUC!$H$3:$H$123)</f>
        <v>30</v>
      </c>
      <c r="AA89" s="144">
        <f t="shared" si="43"/>
        <v>30</v>
      </c>
      <c r="AB89" s="145">
        <f t="shared" si="68"/>
        <v>1043.8469710479999</v>
      </c>
      <c r="AC89" s="145">
        <f>+(S89-T89)*V89-'data 1'!$F$4</f>
        <v>41.253</v>
      </c>
      <c r="AD89" s="145">
        <f t="shared" si="45"/>
        <v>92.842329875021946</v>
      </c>
      <c r="AE89" s="145">
        <f t="shared" si="46"/>
        <v>-36.930999999999997</v>
      </c>
      <c r="AF89" s="145">
        <f t="shared" si="47"/>
        <v>-8.4975404657220075</v>
      </c>
      <c r="AG89" s="772">
        <f>AC89+AD89+AE89+AF89+70-10</f>
        <v>148.66678940929995</v>
      </c>
      <c r="AH89" s="1253">
        <f t="shared" si="57"/>
        <v>200.18899999999999</v>
      </c>
      <c r="AI89" s="1253">
        <f t="shared" si="58"/>
        <v>206.33799999999999</v>
      </c>
      <c r="AJ89" s="156">
        <f t="shared" si="59"/>
        <v>73.363621539978027</v>
      </c>
      <c r="AK89" s="156">
        <f t="shared" si="60"/>
        <v>186.93424869332546</v>
      </c>
      <c r="AM89" s="716">
        <f t="shared" si="61"/>
        <v>20801.782439044542</v>
      </c>
      <c r="AN89" s="716" t="str">
        <f>_xlfn.XLOOKUP(D89,RUC!$B$3:$B$578,RUC!$M$3:$M$578)</f>
        <v>Ronald Garibay</v>
      </c>
      <c r="AO89" s="1167" t="s">
        <v>2280</v>
      </c>
      <c r="AP89" t="s">
        <v>3601</v>
      </c>
      <c r="AQ89" t="s">
        <v>3602</v>
      </c>
    </row>
    <row r="90" spans="1:44" ht="15" customHeight="1">
      <c r="A90" s="747" t="s">
        <v>3559</v>
      </c>
      <c r="B90" s="1447">
        <v>45992</v>
      </c>
      <c r="C90" s="1447">
        <v>45983</v>
      </c>
      <c r="D90" t="s">
        <v>3510</v>
      </c>
      <c r="E90" s="762">
        <f>_xlfn.XLOOKUP(D90,RUC!$B$3:$B$123,RUC!$D$3:$D$123)</f>
        <v>10408856049</v>
      </c>
      <c r="G90" s="1082" t="s">
        <v>2985</v>
      </c>
      <c r="H90" s="762" t="s">
        <v>69</v>
      </c>
      <c r="I90" s="703">
        <v>32.36</v>
      </c>
      <c r="J90" s="596">
        <v>4.0999999999999996</v>
      </c>
      <c r="K90" s="703">
        <f t="shared" si="56"/>
        <v>31.033000000000001</v>
      </c>
      <c r="L90" s="1082">
        <v>0.121</v>
      </c>
      <c r="M90" s="994">
        <f t="shared" ref="M90:M112" si="71">ROUND(+IF(AN90="Melchor Vera",IF(L90&gt;0.467,L90*0.985,(L90-0.007)),IF(L90&gt;0.3,L90*0.94,(L90-0.018))),3)</f>
        <v>0.10299999999999999</v>
      </c>
      <c r="N90" s="1196">
        <f t="shared" si="70"/>
        <v>0.10299999999999999</v>
      </c>
      <c r="O90" s="645">
        <f t="shared" si="52"/>
        <v>0.10299999999999999</v>
      </c>
      <c r="P90" s="727">
        <v>80</v>
      </c>
      <c r="Q90" s="1523">
        <v>97.52</v>
      </c>
      <c r="R90" s="706">
        <v>4072.85</v>
      </c>
      <c r="S90" s="765">
        <f>IF((_xlfn.XLOOKUP(D90,RUC!$B$3:$B$119,RUC!$E$3:$E$119)+ROUNDDOWN(O90,1)*100)&lt;95,95,((_xlfn.XLOOKUP(D90,RUC!$B$3:$B$119,RUC!$E$3:$E$119)+ROUNDDOWN(O90,1)*100)))</f>
        <v>100</v>
      </c>
      <c r="U90" s="1146">
        <f>_xlfn.XLOOKUP(D90,RUC!$B$3:$B$123,RUC!$F$3:$F$123)</f>
        <v>120</v>
      </c>
      <c r="V90" s="715">
        <v>1.1023000000000001</v>
      </c>
      <c r="Y90">
        <f>_xlfn.XLOOKUP(D90,RUC!$B$3:$B$123,RUC!$G$3:$G$123)</f>
        <v>20</v>
      </c>
      <c r="Z90" s="143">
        <f>_xlfn.XLOOKUP(D90,RUC!$B$3:$B$123,RUC!$H$3:$H$123)</f>
        <v>30</v>
      </c>
      <c r="AA90" s="144">
        <f t="shared" si="43"/>
        <v>50</v>
      </c>
      <c r="AB90" s="145">
        <f t="shared" si="68"/>
        <v>193.69046813199998</v>
      </c>
      <c r="AC90" s="145">
        <f>+(S90-T90)*V90-'data 1'!$F$4</f>
        <v>30.230000000000004</v>
      </c>
      <c r="AD90" s="145">
        <f t="shared" si="45"/>
        <v>92.369717184755984</v>
      </c>
      <c r="AE90" s="145">
        <f t="shared" si="46"/>
        <v>-14.884999999999998</v>
      </c>
      <c r="AF90" s="145">
        <f t="shared" si="47"/>
        <v>76.485012055848017</v>
      </c>
      <c r="AG90" s="772">
        <f t="shared" si="69"/>
        <v>201.199729240604</v>
      </c>
      <c r="AH90" s="1253">
        <f t="shared" si="57"/>
        <v>125.54900000000001</v>
      </c>
      <c r="AI90" s="1253">
        <f t="shared" si="58"/>
        <v>128.74100000000001</v>
      </c>
      <c r="AJ90" s="156">
        <f t="shared" si="59"/>
        <v>32.14692856324401</v>
      </c>
      <c r="AK90" s="156">
        <f t="shared" si="60"/>
        <v>87.671824062105571</v>
      </c>
      <c r="AM90" s="716">
        <f t="shared" si="61"/>
        <v>6010.7962975403552</v>
      </c>
      <c r="AN90" s="716" t="str">
        <f>_xlfn.XLOOKUP(D90,RUC!$B$3:$B$578,RUC!$M$3:$M$578)</f>
        <v>Richard Sapacayo</v>
      </c>
      <c r="AO90" s="1167" t="s">
        <v>2281</v>
      </c>
      <c r="AP90" t="s">
        <v>3603</v>
      </c>
      <c r="AQ90" t="s">
        <v>3604</v>
      </c>
    </row>
    <row r="91" spans="1:44" ht="15" customHeight="1">
      <c r="A91" s="747" t="s">
        <v>3560</v>
      </c>
      <c r="B91" s="1447">
        <v>45988</v>
      </c>
      <c r="C91" s="1447">
        <v>45983</v>
      </c>
      <c r="D91" t="s">
        <v>2004</v>
      </c>
      <c r="E91" s="762">
        <f>_xlfn.XLOOKUP(D91,RUC!$B$3:$B$123,RUC!$D$3:$D$123)</f>
        <v>20612921866</v>
      </c>
      <c r="G91" s="1082" t="s">
        <v>2985</v>
      </c>
      <c r="H91" s="762" t="s">
        <v>69</v>
      </c>
      <c r="I91" s="703">
        <v>17.57</v>
      </c>
      <c r="J91" s="596">
        <v>1.3</v>
      </c>
      <c r="K91" s="703">
        <f t="shared" si="56"/>
        <v>17.341999999999999</v>
      </c>
      <c r="L91" s="1082">
        <v>0.32500000000000001</v>
      </c>
      <c r="M91" s="994">
        <f t="shared" si="71"/>
        <v>0.30599999999999999</v>
      </c>
      <c r="N91" s="1196">
        <f t="shared" si="70"/>
        <v>0.30599999999999999</v>
      </c>
      <c r="O91" s="645">
        <f t="shared" si="52"/>
        <v>0.30599999999999999</v>
      </c>
      <c r="P91" s="727">
        <v>90</v>
      </c>
      <c r="Q91" s="1523">
        <v>96</v>
      </c>
      <c r="R91" s="706">
        <v>4072.85</v>
      </c>
      <c r="S91" s="765">
        <f>IF((_xlfn.XLOOKUP(D91,RUC!$B$3:$B$119,RUC!$E$3:$E$119)+ROUNDDOWN(O91,1)*100)&lt;95,95,((_xlfn.XLOOKUP(D91,RUC!$B$3:$B$119,RUC!$E$3:$E$119)+ROUNDDOWN(O91,1)*100)))</f>
        <v>110</v>
      </c>
      <c r="U91" s="1146">
        <f>_xlfn.XLOOKUP(D91,RUC!$B$3:$B$123,RUC!$F$3:$F$123)</f>
        <v>100</v>
      </c>
      <c r="V91" s="715">
        <v>1.1023000000000001</v>
      </c>
      <c r="Y91">
        <f>_xlfn.XLOOKUP(D91,RUC!$B$3:$B$123,RUC!$G$3:$G$123)</f>
        <v>0</v>
      </c>
      <c r="Z91" s="143">
        <f>_xlfn.XLOOKUP(D91,RUC!$B$3:$B$123,RUC!$H$3:$H$123)</f>
        <v>30</v>
      </c>
      <c r="AA91" s="144">
        <f t="shared" si="43"/>
        <v>30</v>
      </c>
      <c r="AB91" s="145">
        <f t="shared" si="68"/>
        <v>1051.7296616469998</v>
      </c>
      <c r="AC91" s="145">
        <f>+(S91-T91)*V91-'data 1'!$F$4</f>
        <v>41.253</v>
      </c>
      <c r="AD91" s="145">
        <f t="shared" si="45"/>
        <v>85.3958148225</v>
      </c>
      <c r="AE91" s="145">
        <f t="shared" si="46"/>
        <v>-36.930999999999997</v>
      </c>
      <c r="AF91" s="145">
        <f t="shared" si="47"/>
        <v>79.87793140320008</v>
      </c>
      <c r="AG91" s="772">
        <f>AC91+AD91+AE91+AF91+70-10</f>
        <v>229.59574622570008</v>
      </c>
      <c r="AH91" s="1253">
        <f t="shared" si="57"/>
        <v>185.50800000000001</v>
      </c>
      <c r="AI91" s="1253">
        <f t="shared" si="58"/>
        <v>193.238</v>
      </c>
      <c r="AJ91" s="156">
        <f t="shared" si="59"/>
        <v>78.120882840000036</v>
      </c>
      <c r="AK91" s="156">
        <f t="shared" si="60"/>
        <v>163.74656075967772</v>
      </c>
      <c r="AM91" s="716">
        <f t="shared" si="61"/>
        <v>18239.095792282271</v>
      </c>
      <c r="AN91" s="716" t="str">
        <f>_xlfn.XLOOKUP(D91,RUC!$B$3:$B$578,RUC!$M$3:$M$578)</f>
        <v>Ronald Garibay</v>
      </c>
      <c r="AO91" s="1167" t="s">
        <v>2280</v>
      </c>
      <c r="AP91" t="s">
        <v>3327</v>
      </c>
      <c r="AQ91" t="s">
        <v>3605</v>
      </c>
    </row>
    <row r="92" spans="1:44" ht="15" customHeight="1">
      <c r="A92" s="747" t="s">
        <v>3578</v>
      </c>
      <c r="B92" s="1447">
        <v>45989</v>
      </c>
      <c r="C92" s="1447">
        <v>45985</v>
      </c>
      <c r="D92" t="s">
        <v>93</v>
      </c>
      <c r="E92" s="762">
        <f>_xlfn.XLOOKUP(D92,RUC!$B$3:$B$123,RUC!$D$3:$D$123)</f>
        <v>20169040231</v>
      </c>
      <c r="G92" s="1082">
        <v>8</v>
      </c>
      <c r="H92" s="762" t="s">
        <v>69</v>
      </c>
      <c r="I92" s="703">
        <v>0.78</v>
      </c>
      <c r="J92" s="596">
        <v>1.2</v>
      </c>
      <c r="K92" s="703">
        <f t="shared" si="56"/>
        <v>0.77100000000000002</v>
      </c>
      <c r="L92" s="1082">
        <v>0.45600000000000002</v>
      </c>
      <c r="M92" s="994">
        <f t="shared" si="71"/>
        <v>0.42899999999999999</v>
      </c>
      <c r="N92" s="1196">
        <f t="shared" si="70"/>
        <v>0.42899999999999999</v>
      </c>
      <c r="O92" s="645">
        <f t="shared" si="52"/>
        <v>0.42899999999999999</v>
      </c>
      <c r="P92" s="727">
        <v>90</v>
      </c>
      <c r="Q92" s="1476">
        <v>91.67</v>
      </c>
      <c r="R92" s="706">
        <v>4082.05</v>
      </c>
      <c r="S92" s="765">
        <f>IF((_xlfn.XLOOKUP(D92,RUC!$B$3:$B$119,RUC!$E$3:$E$119)+ROUNDDOWN(O92,1)*100)&lt;95,95,((_xlfn.XLOOKUP(D92,RUC!$B$3:$B$119,RUC!$E$3:$E$119)+ROUNDDOWN(O92,1)*100)))</f>
        <v>125</v>
      </c>
      <c r="U92" s="1146">
        <f>_xlfn.XLOOKUP(D92,RUC!$B$3:$B$123,RUC!$F$3:$F$123)</f>
        <v>120</v>
      </c>
      <c r="V92" s="715">
        <v>1.1023000000000001</v>
      </c>
      <c r="Y92">
        <f>_xlfn.XLOOKUP(D92,RUC!$B$3:$B$123,RUC!$G$3:$G$123)</f>
        <v>20</v>
      </c>
      <c r="Z92" s="1454">
        <v>35</v>
      </c>
      <c r="AA92" s="144">
        <f t="shared" si="43"/>
        <v>55</v>
      </c>
      <c r="AB92" s="145">
        <f t="shared" si="68"/>
        <v>1487.8266747615</v>
      </c>
      <c r="AC92" s="145">
        <f>+(S92-T92)*V92-'data 1'!$F$4</f>
        <v>57.787499999999994</v>
      </c>
      <c r="AD92" s="145">
        <f t="shared" si="45"/>
        <v>33.258378623268037</v>
      </c>
      <c r="AE92" s="145">
        <f t="shared" si="46"/>
        <v>-9.3734999999999999</v>
      </c>
      <c r="AF92" s="145">
        <f t="shared" si="47"/>
        <v>108.09628157719362</v>
      </c>
      <c r="AG92" s="772">
        <f t="shared" si="69"/>
        <v>206.76866020046168</v>
      </c>
      <c r="AH92" s="1253">
        <f t="shared" si="57"/>
        <v>11.05</v>
      </c>
      <c r="AI92" s="1253">
        <f t="shared" si="58"/>
        <v>12.054</v>
      </c>
      <c r="AJ92" s="156">
        <f t="shared" si="59"/>
        <v>109.64216197273191</v>
      </c>
      <c r="AK92" s="156">
        <f t="shared" si="60"/>
        <v>10.206180599426954</v>
      </c>
      <c r="AM92" s="716">
        <f t="shared" si="61"/>
        <v>1147.1143662411166</v>
      </c>
      <c r="AN92" s="716" t="str">
        <f>_xlfn.XLOOKUP(D92,RUC!$B$3:$B$578,RUC!$M$3:$M$578)</f>
        <v>Ronald Miranda</v>
      </c>
      <c r="AO92" s="1167" t="s">
        <v>2279</v>
      </c>
      <c r="AP92" t="s">
        <v>3606</v>
      </c>
      <c r="AQ92" t="s">
        <v>3607</v>
      </c>
    </row>
    <row r="93" spans="1:44" ht="15" customHeight="1">
      <c r="A93" s="747" t="s">
        <v>3579</v>
      </c>
      <c r="B93" s="1447">
        <v>45989</v>
      </c>
      <c r="C93" s="1447">
        <v>45985</v>
      </c>
      <c r="D93" t="s">
        <v>93</v>
      </c>
      <c r="E93" s="762">
        <f>_xlfn.XLOOKUP(D93,RUC!$B$3:$B$123,RUC!$D$3:$D$123)</f>
        <v>20169040231</v>
      </c>
      <c r="G93" s="1082">
        <v>23</v>
      </c>
      <c r="H93" s="762" t="s">
        <v>69</v>
      </c>
      <c r="I93" s="703">
        <v>2.21</v>
      </c>
      <c r="J93" s="596">
        <v>1.5</v>
      </c>
      <c r="K93" s="703">
        <f t="shared" si="56"/>
        <v>2.177</v>
      </c>
      <c r="L93" s="1082">
        <v>0.27300000000000002</v>
      </c>
      <c r="M93" s="994">
        <f t="shared" si="71"/>
        <v>0.255</v>
      </c>
      <c r="N93" s="1196">
        <f t="shared" si="70"/>
        <v>0.255</v>
      </c>
      <c r="O93" s="645">
        <f t="shared" si="52"/>
        <v>0.255</v>
      </c>
      <c r="P93" s="727">
        <v>90</v>
      </c>
      <c r="Q93" s="1476">
        <v>96.7</v>
      </c>
      <c r="R93" s="706">
        <v>4082.05</v>
      </c>
      <c r="S93" s="765">
        <f>IF((_xlfn.XLOOKUP(D93,RUC!$B$3:$B$119,RUC!$E$3:$E$119)+ROUNDDOWN(O93,1)*100)&lt;95,95,((_xlfn.XLOOKUP(D93,RUC!$B$3:$B$119,RUC!$E$3:$E$119)+ROUNDDOWN(O93,1)*100)))</f>
        <v>105</v>
      </c>
      <c r="U93" s="1146">
        <f>_xlfn.XLOOKUP(D93,RUC!$B$3:$B$123,RUC!$F$3:$F$123)</f>
        <v>120</v>
      </c>
      <c r="V93" s="715">
        <v>1.1023000000000001</v>
      </c>
      <c r="Y93">
        <f>_xlfn.XLOOKUP(D93,RUC!$B$3:$B$123,RUC!$G$3:$G$123)</f>
        <v>20</v>
      </c>
      <c r="Z93" s="1454">
        <v>35</v>
      </c>
      <c r="AA93" s="144">
        <f t="shared" si="43"/>
        <v>55</v>
      </c>
      <c r="AB93" s="145">
        <f t="shared" si="68"/>
        <v>825.94289059250002</v>
      </c>
      <c r="AC93" s="145">
        <f>+(S93-T93)*V93-'data 1'!$F$4</f>
        <v>35.741500000000002</v>
      </c>
      <c r="AD93" s="145">
        <f t="shared" si="45"/>
        <v>79.88352287506504</v>
      </c>
      <c r="AE93" s="145">
        <f t="shared" si="46"/>
        <v>-9.3734999999999999</v>
      </c>
      <c r="AF93" s="145">
        <f t="shared" si="47"/>
        <v>76.018402447290072</v>
      </c>
      <c r="AG93" s="772">
        <f t="shared" si="69"/>
        <v>199.26992532235511</v>
      </c>
      <c r="AH93" s="1253">
        <f t="shared" si="57"/>
        <v>19.704000000000001</v>
      </c>
      <c r="AI93" s="1253">
        <f t="shared" si="58"/>
        <v>20.376999999999999</v>
      </c>
      <c r="AJ93" s="156">
        <f t="shared" si="59"/>
        <v>69.242802609434946</v>
      </c>
      <c r="AK93" s="156">
        <f t="shared" si="60"/>
        <v>17.129717005623078</v>
      </c>
      <c r="AM93" s="716">
        <f t="shared" si="61"/>
        <v>1798.0776728198725</v>
      </c>
      <c r="AN93" s="716" t="str">
        <f>_xlfn.XLOOKUP(D93,RUC!$B$3:$B$578,RUC!$M$3:$M$578)</f>
        <v>Ronald Miranda</v>
      </c>
      <c r="AO93" s="1167" t="s">
        <v>2279</v>
      </c>
      <c r="AP93" t="s">
        <v>3606</v>
      </c>
      <c r="AQ93" t="s">
        <v>3607</v>
      </c>
    </row>
    <row r="94" spans="1:44" ht="15" customHeight="1">
      <c r="A94" s="747" t="s">
        <v>3580</v>
      </c>
      <c r="B94" s="1447">
        <v>45989</v>
      </c>
      <c r="C94" s="1447">
        <v>45985</v>
      </c>
      <c r="D94" t="s">
        <v>93</v>
      </c>
      <c r="E94" s="762">
        <f>_xlfn.XLOOKUP(D94,RUC!$B$3:$B$123,RUC!$D$3:$D$123)</f>
        <v>20169040231</v>
      </c>
      <c r="G94" s="1082">
        <v>19</v>
      </c>
      <c r="H94" s="762" t="s">
        <v>69</v>
      </c>
      <c r="I94" s="703">
        <v>1.78</v>
      </c>
      <c r="J94" s="596">
        <v>4.6500000000000004</v>
      </c>
      <c r="K94" s="703">
        <f t="shared" si="56"/>
        <v>1.6970000000000001</v>
      </c>
      <c r="L94" s="1082">
        <v>0.13700000000000001</v>
      </c>
      <c r="M94" s="994">
        <f t="shared" si="71"/>
        <v>0.11899999999999999</v>
      </c>
      <c r="N94" s="1196">
        <f t="shared" si="70"/>
        <v>0.11899999999999999</v>
      </c>
      <c r="O94" s="645">
        <f t="shared" si="52"/>
        <v>0.11899999999999999</v>
      </c>
      <c r="P94" s="727">
        <v>80</v>
      </c>
      <c r="Q94" s="1476">
        <v>97.08</v>
      </c>
      <c r="R94" s="706">
        <v>4082.05</v>
      </c>
      <c r="S94" s="765">
        <f>IF((_xlfn.XLOOKUP(D94,RUC!$B$3:$B$119,RUC!$E$3:$E$119)+ROUNDDOWN(O94,1)*100)&lt;95,95,((_xlfn.XLOOKUP(D94,RUC!$B$3:$B$119,RUC!$E$3:$E$119)+ROUNDDOWN(O94,1)*100)))</f>
        <v>95</v>
      </c>
      <c r="U94" s="1146">
        <f>_xlfn.XLOOKUP(D94,RUC!$B$3:$B$123,RUC!$F$3:$F$123)</f>
        <v>120</v>
      </c>
      <c r="V94" s="715">
        <v>1.1023000000000001</v>
      </c>
      <c r="Y94">
        <f>_xlfn.XLOOKUP(D94,RUC!$B$3:$B$123,RUC!$G$3:$G$123)</f>
        <v>20</v>
      </c>
      <c r="Z94" s="1454">
        <v>35</v>
      </c>
      <c r="AA94" s="144">
        <f t="shared" ref="AA94:AA112" si="72">+Y94+Z94</f>
        <v>55</v>
      </c>
      <c r="AB94" s="145">
        <f t="shared" si="68"/>
        <v>250.42840646800002</v>
      </c>
      <c r="AC94" s="145">
        <f>+(S94-T94)*V94-'data 1'!$F$4</f>
        <v>24.718500000000006</v>
      </c>
      <c r="AD94" s="145">
        <f t="shared" ref="AD94:AD112" si="73">+(Q94-P94)*(R94-U94)*L94*V94/100</f>
        <v>102.19465758391401</v>
      </c>
      <c r="AE94" s="145">
        <f t="shared" ref="AE94:AE112" si="74">+(Y94*V94-70)+V94*(Z94-IF(D94="UNTUCA",IF(+((W94-3)*2.5+(X94-3)*3.1)&gt;0,+((W94-3)*1.5+(X94-3)*3.1),0),IF(+((W94-3)*1.5+(X94-3)*3.1)&gt;0,+((W94-3)*1.5+(X94-3)*3.1),0)))</f>
        <v>-9.3734999999999999</v>
      </c>
      <c r="AF94" s="145">
        <f t="shared" ref="AF94:AF112" si="75">(L94-O94)*(R94-U94)*Q94*V94/100</f>
        <v>76.317130398996071</v>
      </c>
      <c r="AG94" s="772">
        <f t="shared" si="69"/>
        <v>210.85678798291008</v>
      </c>
      <c r="AH94" s="1253">
        <f t="shared" si="57"/>
        <v>7.7380000000000004</v>
      </c>
      <c r="AI94" s="1253">
        <f t="shared" si="58"/>
        <v>7.9710000000000001</v>
      </c>
      <c r="AJ94" s="156">
        <f t="shared" si="59"/>
        <v>34.88476898808598</v>
      </c>
      <c r="AK94" s="156">
        <f t="shared" si="60"/>
        <v>5.5389552951849206</v>
      </c>
      <c r="AM94" s="716">
        <f t="shared" si="61"/>
        <v>424.97700577619605</v>
      </c>
      <c r="AN94" s="716" t="str">
        <f>_xlfn.XLOOKUP(D94,RUC!$B$3:$B$578,RUC!$M$3:$M$578)</f>
        <v>Ronald Miranda</v>
      </c>
      <c r="AO94" s="1167" t="s">
        <v>2279</v>
      </c>
      <c r="AP94" t="s">
        <v>3606</v>
      </c>
      <c r="AQ94" t="s">
        <v>3607</v>
      </c>
    </row>
    <row r="95" spans="1:44" ht="15" customHeight="1">
      <c r="A95" s="747" t="s">
        <v>3581</v>
      </c>
      <c r="B95" s="1447">
        <v>45988</v>
      </c>
      <c r="C95" s="1447">
        <v>45985</v>
      </c>
      <c r="D95" t="s">
        <v>93</v>
      </c>
      <c r="E95" s="762">
        <f>_xlfn.XLOOKUP(D95,RUC!$B$3:$B$123,RUC!$D$3:$D$123)</f>
        <v>20169040231</v>
      </c>
      <c r="G95" s="1082">
        <v>61</v>
      </c>
      <c r="H95" s="762" t="s">
        <v>69</v>
      </c>
      <c r="I95" s="703">
        <v>5.39</v>
      </c>
      <c r="J95" s="596">
        <v>1.25</v>
      </c>
      <c r="K95" s="703">
        <f t="shared" si="56"/>
        <v>5.3230000000000004</v>
      </c>
      <c r="L95" s="1082">
        <v>0.746</v>
      </c>
      <c r="M95" s="994">
        <f t="shared" si="71"/>
        <v>0.70099999999999996</v>
      </c>
      <c r="N95" s="1196">
        <f t="shared" si="70"/>
        <v>0.70099999999999996</v>
      </c>
      <c r="O95" s="645">
        <f t="shared" si="52"/>
        <v>0.70099999999999996</v>
      </c>
      <c r="P95" s="727">
        <v>90</v>
      </c>
      <c r="Q95" s="1476">
        <v>96.88</v>
      </c>
      <c r="R95" s="706">
        <v>4082.05</v>
      </c>
      <c r="S95" s="765">
        <f>IF((_xlfn.XLOOKUP(D95,RUC!$B$3:$B$119,RUC!$E$3:$E$119)+ROUNDDOWN(O95,1)*100)&lt;95,95,((_xlfn.XLOOKUP(D95,RUC!$B$3:$B$119,RUC!$E$3:$E$119)+ROUNDDOWN(O95,1)*100)))</f>
        <v>155</v>
      </c>
      <c r="U95" s="1146">
        <f>_xlfn.XLOOKUP(D95,RUC!$B$3:$B$123,RUC!$F$3:$F$123)</f>
        <v>120</v>
      </c>
      <c r="V95" s="715">
        <v>1.1023000000000001</v>
      </c>
      <c r="Y95">
        <f>_xlfn.XLOOKUP(D95,RUC!$B$3:$B$123,RUC!$G$3:$G$123)</f>
        <v>20</v>
      </c>
      <c r="Z95" s="1454">
        <v>35</v>
      </c>
      <c r="AA95" s="144">
        <f t="shared" si="72"/>
        <v>55</v>
      </c>
      <c r="AB95" s="145">
        <f t="shared" si="68"/>
        <v>2523.8892913935001</v>
      </c>
      <c r="AC95" s="145">
        <f>+(S95-T95)*V95-'data 1'!$F$4</f>
        <v>90.856500000000011</v>
      </c>
      <c r="AD95" s="145">
        <f t="shared" si="73"/>
        <v>224.15427449883188</v>
      </c>
      <c r="AE95" s="145">
        <f t="shared" si="74"/>
        <v>-9.3734999999999999</v>
      </c>
      <c r="AF95" s="145">
        <f t="shared" si="75"/>
        <v>190.39976290314019</v>
      </c>
      <c r="AG95" s="772">
        <f t="shared" si="69"/>
        <v>513.03703740197216</v>
      </c>
      <c r="AH95" s="1253">
        <f t="shared" si="57"/>
        <v>131.898</v>
      </c>
      <c r="AI95" s="1253">
        <f t="shared" si="58"/>
        <v>136.14599999999999</v>
      </c>
      <c r="AJ95" s="156">
        <f t="shared" si="59"/>
        <v>189.56513921816787</v>
      </c>
      <c r="AK95" s="156">
        <f t="shared" si="60"/>
        <v>115.13995698032564</v>
      </c>
      <c r="AM95" s="716">
        <f t="shared" si="61"/>
        <v>13434.662698087603</v>
      </c>
      <c r="AN95" s="716" t="str">
        <f>_xlfn.XLOOKUP(D95,RUC!$B$3:$B$578,RUC!$M$3:$M$578)</f>
        <v>Ronald Miranda</v>
      </c>
      <c r="AO95" s="1167" t="s">
        <v>2279</v>
      </c>
      <c r="AP95" t="s">
        <v>3606</v>
      </c>
      <c r="AQ95" t="s">
        <v>3607</v>
      </c>
    </row>
    <row r="96" spans="1:44" ht="15" customHeight="1">
      <c r="A96" s="747" t="s">
        <v>3582</v>
      </c>
      <c r="B96" s="1447">
        <v>45992</v>
      </c>
      <c r="C96" s="1447">
        <v>45985</v>
      </c>
      <c r="D96" t="s">
        <v>93</v>
      </c>
      <c r="E96" s="762">
        <f>_xlfn.XLOOKUP(D96,RUC!$B$3:$B$123,RUC!$D$3:$D$123)</f>
        <v>20169040231</v>
      </c>
      <c r="G96" s="1082">
        <v>50</v>
      </c>
      <c r="H96" s="762" t="s">
        <v>108</v>
      </c>
      <c r="I96" s="703">
        <v>4.2699999999999996</v>
      </c>
      <c r="J96" s="596">
        <v>17.13</v>
      </c>
      <c r="K96" s="703">
        <f t="shared" si="56"/>
        <v>3.5390000000000001</v>
      </c>
      <c r="L96" s="1082">
        <v>1.4059999999999999</v>
      </c>
      <c r="M96" s="994">
        <f t="shared" si="71"/>
        <v>1.3220000000000001</v>
      </c>
      <c r="N96" s="1196">
        <f t="shared" si="70"/>
        <v>1.3220000000000001</v>
      </c>
      <c r="O96" s="645">
        <f t="shared" si="52"/>
        <v>1.3220000000000001</v>
      </c>
      <c r="P96" s="727">
        <v>85</v>
      </c>
      <c r="Q96" s="1476">
        <v>85.78</v>
      </c>
      <c r="R96" s="706">
        <v>4082.05</v>
      </c>
      <c r="S96" s="765">
        <f>IF((_xlfn.XLOOKUP(D96,RUC!$B$3:$B$119,RUC!$E$3:$E$119)+ROUNDDOWN(O96,1)*100)&lt;95,95,((_xlfn.XLOOKUP(D96,RUC!$B$3:$B$119,RUC!$E$3:$E$119)+ROUNDDOWN(O96,1)*100)))</f>
        <v>215</v>
      </c>
      <c r="U96" s="1146">
        <f>_xlfn.XLOOKUP(D96,RUC!$B$3:$B$123,RUC!$F$3:$F$123)</f>
        <v>120</v>
      </c>
      <c r="V96" s="715">
        <v>1.1023000000000001</v>
      </c>
      <c r="Y96">
        <f>_xlfn.XLOOKUP(D96,RUC!$B$3:$B$123,RUC!$G$3:$G$123)</f>
        <v>20</v>
      </c>
      <c r="Z96" s="1454">
        <v>35</v>
      </c>
      <c r="AA96" s="144">
        <f t="shared" si="72"/>
        <v>55</v>
      </c>
      <c r="AB96" s="145">
        <f t="shared" si="68"/>
        <v>4609.990101345501</v>
      </c>
      <c r="AC96" s="145">
        <f>+(S96-T96)*V96-'data 1'!$F$4</f>
        <v>156.99450000000002</v>
      </c>
      <c r="AD96" s="145">
        <f t="shared" si="73"/>
        <v>47.896048256862066</v>
      </c>
      <c r="AE96" s="145">
        <f t="shared" si="74"/>
        <v>-9.3734999999999999</v>
      </c>
      <c r="AF96" s="145">
        <f t="shared" si="75"/>
        <v>314.69155417786749</v>
      </c>
      <c r="AG96" s="772">
        <f t="shared" si="69"/>
        <v>527.20860243472953</v>
      </c>
      <c r="AH96" s="1253">
        <f t="shared" si="57"/>
        <v>146.339</v>
      </c>
      <c r="AI96" s="1253">
        <f t="shared" si="58"/>
        <v>170.59800000000001</v>
      </c>
      <c r="AJ96" s="156">
        <f t="shared" si="59"/>
        <v>316.34201683463777</v>
      </c>
      <c r="AK96" s="156">
        <f t="shared" si="60"/>
        <v>136.34525006276712</v>
      </c>
      <c r="AM96" s="716">
        <f t="shared" si="61"/>
        <v>16314.754968661729</v>
      </c>
      <c r="AN96" s="716" t="str">
        <f>_xlfn.XLOOKUP(D96,RUC!$B$3:$B$578,RUC!$M$3:$M$578)</f>
        <v>Ronald Miranda</v>
      </c>
      <c r="AO96" s="1167" t="s">
        <v>2281</v>
      </c>
      <c r="AP96" t="s">
        <v>3606</v>
      </c>
      <c r="AQ96" t="s">
        <v>3607</v>
      </c>
      <c r="AR96" t="s">
        <v>3663</v>
      </c>
    </row>
    <row r="97" spans="1:44" ht="15" customHeight="1">
      <c r="A97" s="747" t="s">
        <v>3583</v>
      </c>
      <c r="B97" s="1447">
        <v>45992</v>
      </c>
      <c r="C97" s="1447">
        <v>45985</v>
      </c>
      <c r="D97" t="s">
        <v>93</v>
      </c>
      <c r="E97" s="762">
        <f>_xlfn.XLOOKUP(D97,RUC!$B$3:$B$123,RUC!$D$3:$D$123)</f>
        <v>20169040231</v>
      </c>
      <c r="G97" s="1082">
        <v>15</v>
      </c>
      <c r="H97" s="762" t="s">
        <v>69</v>
      </c>
      <c r="I97" s="703">
        <v>1.38</v>
      </c>
      <c r="J97" s="596">
        <v>1.2</v>
      </c>
      <c r="K97" s="703">
        <f t="shared" si="56"/>
        <v>1.363</v>
      </c>
      <c r="L97" s="1082">
        <v>0.53100000000000003</v>
      </c>
      <c r="M97" s="994">
        <f t="shared" si="71"/>
        <v>0.499</v>
      </c>
      <c r="N97" s="1196">
        <f t="shared" si="70"/>
        <v>0.499</v>
      </c>
      <c r="O97" s="645">
        <f t="shared" si="52"/>
        <v>0.499</v>
      </c>
      <c r="P97" s="727">
        <v>85</v>
      </c>
      <c r="Q97" s="1476">
        <v>86.25</v>
      </c>
      <c r="R97" s="706">
        <v>4082.05</v>
      </c>
      <c r="S97" s="765">
        <f>IF((_xlfn.XLOOKUP(D97,RUC!$B$3:$B$119,RUC!$E$3:$E$119)+ROUNDDOWN(O97,1)*100)&lt;95,95,((_xlfn.XLOOKUP(D97,RUC!$B$3:$B$119,RUC!$E$3:$E$119)+ROUNDDOWN(O97,1)*100)))</f>
        <v>125</v>
      </c>
      <c r="U97" s="1146">
        <f>_xlfn.XLOOKUP(D97,RUC!$B$3:$B$123,RUC!$F$3:$F$123)</f>
        <v>120</v>
      </c>
      <c r="V97" s="715">
        <v>1.1023000000000001</v>
      </c>
      <c r="Y97">
        <f>_xlfn.XLOOKUP(D97,RUC!$B$3:$B$123,RUC!$G$3:$G$123)</f>
        <v>20</v>
      </c>
      <c r="Z97" s="1454">
        <v>35</v>
      </c>
      <c r="AA97" s="144">
        <f t="shared" si="72"/>
        <v>55</v>
      </c>
      <c r="AB97" s="145">
        <f t="shared" si="68"/>
        <v>1654.0050163172502</v>
      </c>
      <c r="AC97" s="145">
        <f>+(S97-T97)*V97-'data 1'!$F$4</f>
        <v>57.787499999999994</v>
      </c>
      <c r="AD97" s="145">
        <f t="shared" si="73"/>
        <v>28.988403208312505</v>
      </c>
      <c r="AE97" s="145">
        <f t="shared" si="74"/>
        <v>-9.3734999999999999</v>
      </c>
      <c r="AF97" s="145">
        <f t="shared" si="75"/>
        <v>120.53934893400012</v>
      </c>
      <c r="AG97" s="772">
        <f t="shared" si="69"/>
        <v>214.94175214231262</v>
      </c>
      <c r="AH97" s="1253">
        <f t="shared" si="57"/>
        <v>21.402000000000001</v>
      </c>
      <c r="AI97" s="1253">
        <f t="shared" si="58"/>
        <v>24.814</v>
      </c>
      <c r="AJ97" s="156">
        <f t="shared" si="59"/>
        <v>120.12658787643743</v>
      </c>
      <c r="AK97" s="156">
        <f t="shared" si="60"/>
        <v>19.820946826338421</v>
      </c>
      <c r="AM97" s="716">
        <f t="shared" si="61"/>
        <v>2254.4088372404121</v>
      </c>
      <c r="AN97" s="716" t="str">
        <f>_xlfn.XLOOKUP(D97,RUC!$B$3:$B$578,RUC!$M$3:$M$578)</f>
        <v>Ronald Miranda</v>
      </c>
      <c r="AO97" s="1167" t="s">
        <v>2281</v>
      </c>
      <c r="AP97" t="s">
        <v>3606</v>
      </c>
      <c r="AQ97" t="s">
        <v>3607</v>
      </c>
      <c r="AR97" t="s">
        <v>3663</v>
      </c>
    </row>
    <row r="98" spans="1:44" ht="15" customHeight="1">
      <c r="A98" s="747" t="s">
        <v>3613</v>
      </c>
      <c r="B98" s="1447">
        <v>45991</v>
      </c>
      <c r="C98" s="1447">
        <v>45986</v>
      </c>
      <c r="D98" t="s">
        <v>2444</v>
      </c>
      <c r="E98" s="762">
        <f>_xlfn.XLOOKUP(D98,RUC!$B$3:$B$123,RUC!$D$3:$D$123)</f>
        <v>20608774000</v>
      </c>
      <c r="G98" s="1082">
        <v>37</v>
      </c>
      <c r="H98" s="762" t="s">
        <v>2005</v>
      </c>
      <c r="I98" s="703">
        <v>2.67</v>
      </c>
      <c r="J98" s="596">
        <v>14.3</v>
      </c>
      <c r="K98" s="703">
        <f t="shared" si="56"/>
        <v>2.2879999999999998</v>
      </c>
      <c r="L98" s="1082">
        <v>0.27100000000000002</v>
      </c>
      <c r="M98" s="994">
        <f t="shared" si="71"/>
        <v>0.253</v>
      </c>
      <c r="N98" s="1196">
        <f t="shared" ref="N98:N112" si="76">+M98</f>
        <v>0.253</v>
      </c>
      <c r="O98" s="645">
        <f t="shared" si="52"/>
        <v>0.253</v>
      </c>
      <c r="P98" s="727">
        <v>90</v>
      </c>
      <c r="Q98" s="1476">
        <v>96.68</v>
      </c>
      <c r="R98" s="706">
        <v>4126.45</v>
      </c>
      <c r="S98" s="765">
        <f>IF((_xlfn.XLOOKUP(D98,RUC!$B$3:$B$119,RUC!$E$3:$E$119)+ROUNDDOWN(O98,1)*100)&lt;95,95,((_xlfn.XLOOKUP(D98,RUC!$B$3:$B$119,RUC!$E$3:$E$119)+ROUNDDOWN(O98,1)*100)))</f>
        <v>105</v>
      </c>
      <c r="U98" s="1146">
        <f>_xlfn.XLOOKUP(D98,RUC!$B$3:$B$123,RUC!$F$3:$F$123)</f>
        <v>120</v>
      </c>
      <c r="V98" s="715">
        <v>1.1023000000000001</v>
      </c>
      <c r="Y98">
        <f>_xlfn.XLOOKUP(D98,RUC!$B$3:$B$123,RUC!$G$3:$G$123)</f>
        <v>20</v>
      </c>
      <c r="Z98" s="1454">
        <v>35</v>
      </c>
      <c r="AA98" s="144">
        <f t="shared" si="72"/>
        <v>55</v>
      </c>
      <c r="AB98" s="145">
        <f t="shared" si="68"/>
        <v>829.22574942949996</v>
      </c>
      <c r="AC98" s="145">
        <f>+(S98-T98)*V98-'data 1'!$F$4</f>
        <v>35.741500000000002</v>
      </c>
      <c r="AD98" s="145">
        <f t="shared" si="73"/>
        <v>79.947573681038079</v>
      </c>
      <c r="AE98" s="145">
        <f t="shared" si="74"/>
        <v>-9.3734999999999999</v>
      </c>
      <c r="AF98" s="145">
        <f t="shared" si="75"/>
        <v>76.854390272604078</v>
      </c>
      <c r="AG98" s="772">
        <f t="shared" si="69"/>
        <v>200.16996395364214</v>
      </c>
      <c r="AH98" s="1253">
        <f t="shared" si="57"/>
        <v>20.553000000000001</v>
      </c>
      <c r="AI98" s="1253">
        <f t="shared" si="58"/>
        <v>21.259</v>
      </c>
      <c r="AJ98" s="156">
        <f t="shared" si="59"/>
        <v>55.898340610462057</v>
      </c>
      <c r="AK98" s="156">
        <f t="shared" si="60"/>
        <v>17.861919181357678</v>
      </c>
      <c r="AM98" s="716">
        <f t="shared" si="61"/>
        <v>1897.2685146946958</v>
      </c>
      <c r="AN98" s="716" t="str">
        <f>_xlfn.XLOOKUP(D98,RUC!$B$3:$B$578,RUC!$M$3:$M$578)</f>
        <v>Ronald Miranda</v>
      </c>
      <c r="AO98" s="1167" t="s">
        <v>2281</v>
      </c>
      <c r="AP98" t="s">
        <v>3636</v>
      </c>
      <c r="AQ98" t="s">
        <v>3637</v>
      </c>
    </row>
    <row r="99" spans="1:44" ht="15" customHeight="1">
      <c r="A99" s="747" t="s">
        <v>3614</v>
      </c>
      <c r="B99" s="1447">
        <v>45991</v>
      </c>
      <c r="C99" s="1447">
        <v>45986</v>
      </c>
      <c r="D99" t="s">
        <v>2444</v>
      </c>
      <c r="E99" s="762">
        <f>_xlfn.XLOOKUP(D99,RUC!$B$3:$B$123,RUC!$D$3:$D$123)</f>
        <v>20608774000</v>
      </c>
      <c r="G99" s="1082">
        <v>40</v>
      </c>
      <c r="H99" s="762" t="s">
        <v>2005</v>
      </c>
      <c r="I99" s="703">
        <v>3.16</v>
      </c>
      <c r="J99" s="596">
        <v>6.4</v>
      </c>
      <c r="K99" s="703">
        <f t="shared" si="56"/>
        <v>2.9580000000000002</v>
      </c>
      <c r="L99" s="1192">
        <v>0.23499999999999999</v>
      </c>
      <c r="M99" s="994">
        <f t="shared" si="71"/>
        <v>0.217</v>
      </c>
      <c r="N99" s="1196">
        <f t="shared" si="76"/>
        <v>0.217</v>
      </c>
      <c r="O99" s="645">
        <f t="shared" si="52"/>
        <v>0.217</v>
      </c>
      <c r="P99" s="727">
        <v>90</v>
      </c>
      <c r="Q99" s="1476">
        <v>93.64</v>
      </c>
      <c r="R99" s="706">
        <v>4126.45</v>
      </c>
      <c r="S99" s="765">
        <f>IF((_xlfn.XLOOKUP(D99,RUC!$B$3:$B$119,RUC!$E$3:$E$119)+ROUNDDOWN(O99,1)*100)&lt;95,95,((_xlfn.XLOOKUP(D99,RUC!$B$3:$B$119,RUC!$E$3:$E$119)+ROUNDDOWN(O99,1)*100)))</f>
        <v>105</v>
      </c>
      <c r="U99" s="1146">
        <f>_xlfn.XLOOKUP(D99,RUC!$B$3:$B$123,RUC!$F$3:$F$123)</f>
        <v>120</v>
      </c>
      <c r="V99" s="715">
        <v>1.1023000000000001</v>
      </c>
      <c r="Y99">
        <f>_xlfn.XLOOKUP(D99,RUC!$B$3:$B$123,RUC!$G$3:$G$123)</f>
        <v>20</v>
      </c>
      <c r="Z99" s="1454">
        <v>35</v>
      </c>
      <c r="AA99" s="144">
        <f t="shared" si="72"/>
        <v>55</v>
      </c>
      <c r="AB99" s="145">
        <f t="shared" si="68"/>
        <v>686.13731077550005</v>
      </c>
      <c r="AC99" s="145">
        <f>+(S99-T99)*V99-'data 1'!$F$4</f>
        <v>35.741500000000002</v>
      </c>
      <c r="AD99" s="145">
        <f t="shared" si="73"/>
        <v>37.777114328590002</v>
      </c>
      <c r="AE99" s="145">
        <f t="shared" si="74"/>
        <v>-9.3734999999999999</v>
      </c>
      <c r="AF99" s="145">
        <f t="shared" si="75"/>
        <v>74.437785530891958</v>
      </c>
      <c r="AG99" s="772">
        <f t="shared" si="69"/>
        <v>155.58289985948198</v>
      </c>
      <c r="AH99" s="1253">
        <f t="shared" si="57"/>
        <v>22.317</v>
      </c>
      <c r="AI99" s="1253">
        <f t="shared" si="58"/>
        <v>23.832999999999998</v>
      </c>
      <c r="AJ99" s="156">
        <f t="shared" si="59"/>
        <v>46.948557208910046</v>
      </c>
      <c r="AK99" s="156">
        <f t="shared" si="60"/>
        <v>19.806579534476075</v>
      </c>
      <c r="AM99" s="716">
        <f t="shared" si="61"/>
        <v>2029.5941652739293</v>
      </c>
      <c r="AN99" s="716" t="str">
        <f>_xlfn.XLOOKUP(D99,RUC!$B$3:$B$578,RUC!$M$3:$M$578)</f>
        <v>Ronald Miranda</v>
      </c>
      <c r="AO99" s="1167" t="s">
        <v>2281</v>
      </c>
      <c r="AP99" t="s">
        <v>3636</v>
      </c>
      <c r="AQ99" t="s">
        <v>3637</v>
      </c>
    </row>
    <row r="100" spans="1:44" ht="15" customHeight="1">
      <c r="A100" s="747" t="s">
        <v>3615</v>
      </c>
      <c r="B100" s="1447">
        <v>45991</v>
      </c>
      <c r="C100" s="1447">
        <v>45986</v>
      </c>
      <c r="D100" t="s">
        <v>2444</v>
      </c>
      <c r="E100" s="762">
        <f>_xlfn.XLOOKUP(D100,RUC!$B$3:$B$123,RUC!$D$3:$D$123)</f>
        <v>20608774000</v>
      </c>
      <c r="G100" s="1082">
        <v>40</v>
      </c>
      <c r="H100" s="762" t="s">
        <v>2005</v>
      </c>
      <c r="I100" s="703">
        <v>2.99</v>
      </c>
      <c r="J100" s="596">
        <v>13.83</v>
      </c>
      <c r="K100" s="703">
        <f t="shared" si="56"/>
        <v>2.5760000000000001</v>
      </c>
      <c r="L100" s="1082">
        <v>0.48299999999999998</v>
      </c>
      <c r="M100" s="994">
        <f t="shared" si="71"/>
        <v>0.45400000000000001</v>
      </c>
      <c r="N100" s="1196">
        <f t="shared" si="76"/>
        <v>0.45400000000000001</v>
      </c>
      <c r="O100" s="645">
        <f t="shared" si="52"/>
        <v>0.45400000000000001</v>
      </c>
      <c r="P100" s="727">
        <v>90</v>
      </c>
      <c r="Q100" s="1476">
        <v>94</v>
      </c>
      <c r="R100" s="706">
        <v>4126.45</v>
      </c>
      <c r="S100" s="765">
        <f>IF((_xlfn.XLOOKUP(D100,RUC!$B$3:$B$119,RUC!$E$3:$E$119)+ROUNDDOWN(O100,1)*100)&lt;95,95,((_xlfn.XLOOKUP(D100,RUC!$B$3:$B$119,RUC!$E$3:$E$119)+ROUNDDOWN(O100,1)*100)))</f>
        <v>125</v>
      </c>
      <c r="U100" s="1146">
        <f>_xlfn.XLOOKUP(D100,RUC!$B$3:$B$123,RUC!$F$3:$F$123)</f>
        <v>120</v>
      </c>
      <c r="V100" s="715">
        <v>1.1023000000000001</v>
      </c>
      <c r="Y100">
        <f>_xlfn.XLOOKUP(D100,RUC!$B$3:$B$123,RUC!$G$3:$G$123)</f>
        <v>20</v>
      </c>
      <c r="Z100" s="1454">
        <v>35</v>
      </c>
      <c r="AA100" s="144">
        <f t="shared" si="72"/>
        <v>55</v>
      </c>
      <c r="AB100" s="145">
        <f t="shared" si="68"/>
        <v>1606.0901985809999</v>
      </c>
      <c r="AC100" s="145">
        <f>+(S100-T100)*V100-'data 1'!$F$4</f>
        <v>57.787499999999994</v>
      </c>
      <c r="AD100" s="145">
        <f t="shared" si="73"/>
        <v>85.323106012199986</v>
      </c>
      <c r="AE100" s="145">
        <f t="shared" si="74"/>
        <v>-9.3734999999999999</v>
      </c>
      <c r="AF100" s="145">
        <f t="shared" si="75"/>
        <v>120.38860610209987</v>
      </c>
      <c r="AG100" s="772">
        <f t="shared" si="69"/>
        <v>271.12571211429986</v>
      </c>
      <c r="AH100" s="1253">
        <f t="shared" si="57"/>
        <v>40.098999999999997</v>
      </c>
      <c r="AI100" s="1253">
        <f t="shared" si="58"/>
        <v>42.658000000000001</v>
      </c>
      <c r="AJ100" s="156">
        <f t="shared" si="59"/>
        <v>96.86524191330011</v>
      </c>
      <c r="AK100" s="156">
        <f t="shared" si="60"/>
        <v>36.087208619424487</v>
      </c>
      <c r="AM100" s="716">
        <f t="shared" si="61"/>
        <v>4137.2883515446556</v>
      </c>
      <c r="AN100" s="716" t="str">
        <f>_xlfn.XLOOKUP(D100,RUC!$B$3:$B$578,RUC!$M$3:$M$578)</f>
        <v>Ronald Miranda</v>
      </c>
      <c r="AO100" s="1167" t="s">
        <v>2281</v>
      </c>
      <c r="AP100" t="s">
        <v>3636</v>
      </c>
      <c r="AQ100" t="s">
        <v>3637</v>
      </c>
    </row>
    <row r="101" spans="1:44" ht="15" customHeight="1">
      <c r="A101" s="747" t="s">
        <v>3617</v>
      </c>
      <c r="B101" s="1447">
        <v>45989</v>
      </c>
      <c r="C101" s="1447">
        <v>45986</v>
      </c>
      <c r="D101" t="s">
        <v>2444</v>
      </c>
      <c r="E101" s="762">
        <f>_xlfn.XLOOKUP(D101,RUC!$B$3:$B$123,RUC!$D$3:$D$123)</f>
        <v>20608774000</v>
      </c>
      <c r="G101" s="1082">
        <v>50</v>
      </c>
      <c r="H101" s="762" t="s">
        <v>2005</v>
      </c>
      <c r="I101" s="703">
        <v>3.45</v>
      </c>
      <c r="J101" s="596">
        <v>21.78</v>
      </c>
      <c r="K101" s="703">
        <f t="shared" si="56"/>
        <v>2.6989999999999998</v>
      </c>
      <c r="L101" s="1082">
        <v>0.251</v>
      </c>
      <c r="M101" s="994">
        <f t="shared" si="71"/>
        <v>0.23300000000000001</v>
      </c>
      <c r="N101" s="1196">
        <f t="shared" si="76"/>
        <v>0.23300000000000001</v>
      </c>
      <c r="O101" s="645">
        <f t="shared" si="52"/>
        <v>0.23300000000000001</v>
      </c>
      <c r="P101" s="727">
        <v>90</v>
      </c>
      <c r="Q101" s="1476">
        <v>92.83</v>
      </c>
      <c r="R101" s="706">
        <v>4126.45</v>
      </c>
      <c r="S101" s="765">
        <f>IF((_xlfn.XLOOKUP(D101,RUC!$B$3:$B$119,RUC!$E$3:$E$119)+ROUNDDOWN(O101,1)*100)&lt;95,95,((_xlfn.XLOOKUP(D101,RUC!$B$3:$B$119,RUC!$E$3:$E$119)+ROUNDDOWN(O101,1)*100)))</f>
        <v>105</v>
      </c>
      <c r="U101" s="1146">
        <f>_xlfn.XLOOKUP(D101,RUC!$B$3:$B$123,RUC!$F$3:$F$123)</f>
        <v>120</v>
      </c>
      <c r="V101" s="715">
        <v>1.1023000000000001</v>
      </c>
      <c r="Y101">
        <f>_xlfn.XLOOKUP(D101,RUC!$B$3:$B$123,RUC!$G$3:$G$123)</f>
        <v>20</v>
      </c>
      <c r="Z101" s="1454">
        <v>35</v>
      </c>
      <c r="AA101" s="144">
        <f t="shared" si="72"/>
        <v>55</v>
      </c>
      <c r="AB101" s="145">
        <f t="shared" si="68"/>
        <v>749.73217239949997</v>
      </c>
      <c r="AC101" s="145">
        <f>+(S101-T101)*V101-'data 1'!$F$4</f>
        <v>35.741500000000002</v>
      </c>
      <c r="AD101" s="145">
        <f t="shared" si="73"/>
        <v>31.370373650955486</v>
      </c>
      <c r="AE101" s="145">
        <f t="shared" si="74"/>
        <v>-9.3734999999999999</v>
      </c>
      <c r="AF101" s="145">
        <f t="shared" si="75"/>
        <v>73.793887556948945</v>
      </c>
      <c r="AG101" s="772">
        <f t="shared" si="69"/>
        <v>148.53226120790444</v>
      </c>
      <c r="AH101" s="1253">
        <f t="shared" si="57"/>
        <v>21.561</v>
      </c>
      <c r="AI101" s="1253">
        <f t="shared" si="58"/>
        <v>23.227</v>
      </c>
      <c r="AJ101" s="156">
        <f t="shared" si="59"/>
        <v>49.711292500544552</v>
      </c>
      <c r="AK101" s="156">
        <f t="shared" si="60"/>
        <v>19.404854214155417</v>
      </c>
      <c r="AM101" s="716">
        <f t="shared" si="61"/>
        <v>2023.5271333062503</v>
      </c>
      <c r="AN101" s="716" t="str">
        <f>_xlfn.XLOOKUP(D101,RUC!$B$3:$B$578,RUC!$M$3:$M$578)</f>
        <v>Ronald Miranda</v>
      </c>
      <c r="AO101" s="1167" t="s">
        <v>2281</v>
      </c>
      <c r="AP101" t="s">
        <v>3636</v>
      </c>
      <c r="AQ101" t="s">
        <v>3637</v>
      </c>
    </row>
    <row r="102" spans="1:44" ht="15" customHeight="1">
      <c r="A102" s="747" t="s">
        <v>3618</v>
      </c>
      <c r="B102" s="1447">
        <v>45989</v>
      </c>
      <c r="C102" s="1447">
        <v>45986</v>
      </c>
      <c r="D102" t="s">
        <v>2444</v>
      </c>
      <c r="E102" s="762">
        <f>_xlfn.XLOOKUP(D102,RUC!$B$3:$B$123,RUC!$D$3:$D$123)</f>
        <v>20608774000</v>
      </c>
      <c r="G102" s="1082">
        <v>50</v>
      </c>
      <c r="H102" s="762" t="s">
        <v>2005</v>
      </c>
      <c r="I102" s="703">
        <v>3.45</v>
      </c>
      <c r="J102" s="596">
        <v>20.55</v>
      </c>
      <c r="K102" s="703">
        <f t="shared" si="56"/>
        <v>2.7410000000000001</v>
      </c>
      <c r="L102" s="1082">
        <v>0.23799999999999999</v>
      </c>
      <c r="M102" s="994">
        <f t="shared" si="71"/>
        <v>0.22</v>
      </c>
      <c r="N102" s="1196">
        <f t="shared" si="76"/>
        <v>0.22</v>
      </c>
      <c r="O102" s="645">
        <f t="shared" si="52"/>
        <v>0.22</v>
      </c>
      <c r="P102" s="727">
        <v>90</v>
      </c>
      <c r="Q102" s="1476">
        <v>94.54</v>
      </c>
      <c r="R102" s="706">
        <v>4126.45</v>
      </c>
      <c r="S102" s="765">
        <f>IF((_xlfn.XLOOKUP(D102,RUC!$B$3:$B$119,RUC!$E$3:$E$119)+ROUNDDOWN(O102,1)*100)&lt;95,95,((_xlfn.XLOOKUP(D102,RUC!$B$3:$B$119,RUC!$E$3:$E$119)+ROUNDDOWN(O102,1)*100)))</f>
        <v>105</v>
      </c>
      <c r="U102" s="1146">
        <f>_xlfn.XLOOKUP(D102,RUC!$B$3:$B$123,RUC!$F$3:$F$123)</f>
        <v>120</v>
      </c>
      <c r="V102" s="715">
        <v>1.1023000000000001</v>
      </c>
      <c r="Y102">
        <f>_xlfn.XLOOKUP(D102,RUC!$B$3:$B$123,RUC!$G$3:$G$123)</f>
        <v>20</v>
      </c>
      <c r="Z102" s="1454">
        <v>35</v>
      </c>
      <c r="AA102" s="144">
        <f t="shared" si="72"/>
        <v>55</v>
      </c>
      <c r="AB102" s="145">
        <f t="shared" si="68"/>
        <v>698.0613473300001</v>
      </c>
      <c r="AC102" s="145">
        <f>+(S102-T102)*V102-'data 1'!$F$4</f>
        <v>35.741500000000002</v>
      </c>
      <c r="AD102" s="145">
        <f t="shared" si="73"/>
        <v>47.71911102914207</v>
      </c>
      <c r="AE102" s="145">
        <f t="shared" si="74"/>
        <v>-9.3734999999999999</v>
      </c>
      <c r="AF102" s="145">
        <f t="shared" si="75"/>
        <v>75.153227724161951</v>
      </c>
      <c r="AG102" s="772">
        <f t="shared" si="69"/>
        <v>166.24033875330403</v>
      </c>
      <c r="AH102" s="1253">
        <f t="shared" si="57"/>
        <v>21.145</v>
      </c>
      <c r="AI102" s="1253">
        <f t="shared" si="58"/>
        <v>22.366</v>
      </c>
      <c r="AJ102" s="156">
        <f t="shared" si="59"/>
        <v>48.004896545858053</v>
      </c>
      <c r="AK102" s="156">
        <f t="shared" si="60"/>
        <v>18.607297231719901</v>
      </c>
      <c r="AM102" s="716">
        <f t="shared" si="61"/>
        <v>1913.3861530315303</v>
      </c>
      <c r="AN102" s="716" t="str">
        <f>_xlfn.XLOOKUP(D102,RUC!$B$3:$B$578,RUC!$M$3:$M$578)</f>
        <v>Ronald Miranda</v>
      </c>
      <c r="AO102" s="1167" t="s">
        <v>2281</v>
      </c>
      <c r="AP102" t="s">
        <v>3636</v>
      </c>
      <c r="AQ102" t="s">
        <v>3637</v>
      </c>
    </row>
    <row r="103" spans="1:44" ht="15" customHeight="1">
      <c r="A103" s="747" t="s">
        <v>3619</v>
      </c>
      <c r="B103" s="1447">
        <v>45989</v>
      </c>
      <c r="C103" s="1447">
        <v>45986</v>
      </c>
      <c r="D103" t="s">
        <v>2444</v>
      </c>
      <c r="E103" s="762">
        <f>_xlfn.XLOOKUP(D103,RUC!$B$3:$B$123,RUC!$D$3:$D$123)</f>
        <v>20608774000</v>
      </c>
      <c r="G103" s="1082">
        <v>50</v>
      </c>
      <c r="H103" s="762" t="s">
        <v>2005</v>
      </c>
      <c r="I103" s="703">
        <v>3.55</v>
      </c>
      <c r="J103" s="596">
        <v>20.7</v>
      </c>
      <c r="K103" s="703">
        <f t="shared" si="56"/>
        <v>2.8149999999999999</v>
      </c>
      <c r="L103" s="1082">
        <v>0.20499999999999999</v>
      </c>
      <c r="M103" s="994">
        <f t="shared" si="71"/>
        <v>0.187</v>
      </c>
      <c r="N103" s="1196">
        <f t="shared" si="76"/>
        <v>0.187</v>
      </c>
      <c r="O103" s="645">
        <f t="shared" si="52"/>
        <v>0.187</v>
      </c>
      <c r="P103" s="727">
        <v>90</v>
      </c>
      <c r="Q103" s="1476">
        <v>92.68</v>
      </c>
      <c r="R103" s="706">
        <v>4126.45</v>
      </c>
      <c r="S103" s="765">
        <f>IF((_xlfn.XLOOKUP(D103,RUC!$B$3:$B$119,RUC!$E$3:$E$119)+ROUNDDOWN(O103,1)*100)&lt;95,95,((_xlfn.XLOOKUP(D103,RUC!$B$3:$B$119,RUC!$E$3:$E$119)+ROUNDDOWN(O103,1)*100)))</f>
        <v>95</v>
      </c>
      <c r="U103" s="1146">
        <f>_xlfn.XLOOKUP(D103,RUC!$B$3:$B$123,RUC!$F$3:$F$123)</f>
        <v>120</v>
      </c>
      <c r="V103" s="715">
        <v>1.1023000000000001</v>
      </c>
      <c r="Y103">
        <f>_xlfn.XLOOKUP(D103,RUC!$B$3:$B$123,RUC!$G$3:$G$123)</f>
        <v>20</v>
      </c>
      <c r="Z103" s="1454">
        <v>35</v>
      </c>
      <c r="AA103" s="144">
        <f t="shared" si="72"/>
        <v>55</v>
      </c>
      <c r="AB103" s="145">
        <f t="shared" si="68"/>
        <v>577.91994523050005</v>
      </c>
      <c r="AC103" s="145">
        <f>+(S103-T103)*V103-'data 1'!$F$4</f>
        <v>24.718500000000006</v>
      </c>
      <c r="AD103" s="145">
        <f t="shared" si="73"/>
        <v>24.263206233490063</v>
      </c>
      <c r="AE103" s="145">
        <f t="shared" si="74"/>
        <v>-9.3734999999999999</v>
      </c>
      <c r="AF103" s="145">
        <f t="shared" si="75"/>
        <v>73.674647191403949</v>
      </c>
      <c r="AG103" s="772">
        <f t="shared" si="69"/>
        <v>130.28285342489403</v>
      </c>
      <c r="AH103" s="1253">
        <f t="shared" si="57"/>
        <v>18.337</v>
      </c>
      <c r="AI103" s="1253">
        <f t="shared" si="58"/>
        <v>19.785</v>
      </c>
      <c r="AJ103" s="156">
        <f t="shared" si="59"/>
        <v>40.535251249010031</v>
      </c>
      <c r="AK103" s="156">
        <f t="shared" si="60"/>
        <v>16.243199726814222</v>
      </c>
      <c r="AM103" s="716">
        <f t="shared" si="61"/>
        <v>1626.8446458238575</v>
      </c>
      <c r="AN103" s="716" t="str">
        <f>_xlfn.XLOOKUP(D103,RUC!$B$3:$B$578,RUC!$M$3:$M$578)</f>
        <v>Ronald Miranda</v>
      </c>
      <c r="AO103" s="1167" t="s">
        <v>2281</v>
      </c>
      <c r="AP103" t="s">
        <v>3636</v>
      </c>
      <c r="AQ103" t="s">
        <v>3637</v>
      </c>
    </row>
    <row r="104" spans="1:44" ht="15" customHeight="1">
      <c r="A104" s="747" t="s">
        <v>3620</v>
      </c>
      <c r="B104" s="1447">
        <v>45991</v>
      </c>
      <c r="C104" s="1447">
        <v>45986</v>
      </c>
      <c r="D104" t="s">
        <v>3642</v>
      </c>
      <c r="E104" s="762" t="str">
        <f>_xlfn.XLOOKUP(D104,RUC!$B$3:$B$123,RUC!$D$3:$D$123)</f>
        <v>20601769396*</v>
      </c>
      <c r="G104" s="1082">
        <v>74</v>
      </c>
      <c r="H104" s="762" t="s">
        <v>108</v>
      </c>
      <c r="I104" s="703">
        <v>4.04</v>
      </c>
      <c r="J104" s="596">
        <v>4.0999999999999996</v>
      </c>
      <c r="K104" s="703">
        <f t="shared" si="56"/>
        <v>3.8740000000000001</v>
      </c>
      <c r="L104" s="1082">
        <v>0.752</v>
      </c>
      <c r="M104" s="994">
        <f t="shared" si="71"/>
        <v>0.70699999999999996</v>
      </c>
      <c r="N104" s="1196">
        <f t="shared" si="76"/>
        <v>0.70699999999999996</v>
      </c>
      <c r="O104" s="645">
        <f t="shared" ref="O104:O112" si="77">+ROUND((M104+N104)/2,3)</f>
        <v>0.70699999999999996</v>
      </c>
      <c r="P104" s="727">
        <v>90</v>
      </c>
      <c r="Q104" s="1476">
        <v>98.01</v>
      </c>
      <c r="R104" s="706">
        <v>4126.45</v>
      </c>
      <c r="S104" s="765">
        <f>IF((_xlfn.XLOOKUP(D104,RUC!$B$3:$B$119,RUC!$E$3:$E$119)+ROUNDDOWN(O104,1)*100)&lt;95,95,((_xlfn.XLOOKUP(D104,RUC!$B$3:$B$119,RUC!$E$3:$E$119)+ROUNDDOWN(O104,1)*100)))</f>
        <v>160</v>
      </c>
      <c r="U104" s="1146">
        <f>_xlfn.XLOOKUP(D104,RUC!$B$3:$B$123,RUC!$F$3:$F$123)</f>
        <v>120</v>
      </c>
      <c r="V104" s="715">
        <v>1.1023000000000001</v>
      </c>
      <c r="Y104">
        <f>_xlfn.XLOOKUP(D104,RUC!$B$3:$B$123,RUC!$G$3:$G$123)</f>
        <v>20</v>
      </c>
      <c r="Z104" s="143">
        <f>_xlfn.XLOOKUP(D104,RUC!$B$3:$B$123,RUC!$H$3:$H$123)</f>
        <v>30</v>
      </c>
      <c r="AA104" s="144">
        <f t="shared" si="72"/>
        <v>50</v>
      </c>
      <c r="AB104" s="145">
        <f t="shared" si="68"/>
        <v>2578.6149480105</v>
      </c>
      <c r="AC104" s="145">
        <f>+(S104-T104)*V104-'data 1'!$F$4</f>
        <v>96.367999999999995</v>
      </c>
      <c r="AD104" s="145">
        <f t="shared" si="73"/>
        <v>266.0173061731922</v>
      </c>
      <c r="AE104" s="145">
        <f t="shared" si="74"/>
        <v>-14.884999999999998</v>
      </c>
      <c r="AF104" s="145">
        <f t="shared" si="75"/>
        <v>194.77913711775767</v>
      </c>
      <c r="AG104" s="772">
        <f t="shared" si="69"/>
        <v>559.27944329094987</v>
      </c>
      <c r="AH104" s="1253">
        <f t="shared" si="57"/>
        <v>97.894000000000005</v>
      </c>
      <c r="AI104" s="1253">
        <f t="shared" si="58"/>
        <v>99.882000000000005</v>
      </c>
      <c r="AJ104" s="156">
        <f t="shared" si="59"/>
        <v>157.24658153080816</v>
      </c>
      <c r="AK104" s="156">
        <f t="shared" si="60"/>
        <v>84.514379820416906</v>
      </c>
      <c r="AM104" s="716">
        <f t="shared" si="61"/>
        <v>9989.5543085926765</v>
      </c>
      <c r="AN104" s="716" t="str">
        <f>_xlfn.XLOOKUP(D104,RUC!$B$3:$B$578,RUC!$M$3:$M$578)</f>
        <v>Zudaire</v>
      </c>
      <c r="AO104" s="1167" t="s">
        <v>2279</v>
      </c>
      <c r="AP104" s="1569" t="s">
        <v>3675</v>
      </c>
      <c r="AQ104" t="s">
        <v>3638</v>
      </c>
    </row>
    <row r="105" spans="1:44" ht="15" customHeight="1">
      <c r="A105" s="747" t="s">
        <v>3621</v>
      </c>
      <c r="B105" s="1447">
        <v>45991</v>
      </c>
      <c r="C105" s="1447">
        <v>45986</v>
      </c>
      <c r="D105" t="s">
        <v>3642</v>
      </c>
      <c r="E105" s="762" t="str">
        <f>_xlfn.XLOOKUP(D105,RUC!$B$3:$B$123,RUC!$D$3:$D$123)</f>
        <v>20601769396*</v>
      </c>
      <c r="G105" s="1082">
        <v>75</v>
      </c>
      <c r="H105" s="762" t="s">
        <v>108</v>
      </c>
      <c r="I105" s="703">
        <v>3.79</v>
      </c>
      <c r="J105" s="596">
        <v>2.9</v>
      </c>
      <c r="K105" s="703">
        <f t="shared" si="56"/>
        <v>3.68</v>
      </c>
      <c r="L105" s="1082">
        <v>0.64100000000000001</v>
      </c>
      <c r="M105" s="994">
        <f t="shared" si="71"/>
        <v>0.60299999999999998</v>
      </c>
      <c r="N105" s="1196">
        <f t="shared" si="76"/>
        <v>0.60299999999999998</v>
      </c>
      <c r="O105" s="645">
        <f t="shared" si="77"/>
        <v>0.60299999999999998</v>
      </c>
      <c r="P105" s="727">
        <v>90</v>
      </c>
      <c r="Q105" s="1476">
        <v>98.91</v>
      </c>
      <c r="R105" s="706">
        <v>4126.45</v>
      </c>
      <c r="S105" s="765">
        <f>IF((_xlfn.XLOOKUP(D105,RUC!$B$3:$B$119,RUC!$E$3:$E$119)+ROUNDDOWN(O105,1)*100)&lt;95,95,((_xlfn.XLOOKUP(D105,RUC!$B$3:$B$119,RUC!$E$3:$E$119)+ROUNDDOWN(O105,1)*100)))</f>
        <v>150</v>
      </c>
      <c r="U105" s="1146">
        <f>_xlfn.XLOOKUP(D105,RUC!$B$3:$B$123,RUC!$F$3:$F$123)</f>
        <v>120</v>
      </c>
      <c r="V105" s="715">
        <v>1.1023000000000001</v>
      </c>
      <c r="Y105">
        <f>_xlfn.XLOOKUP(D105,RUC!$B$3:$B$123,RUC!$G$3:$G$123)</f>
        <v>20</v>
      </c>
      <c r="Z105" s="143">
        <f>_xlfn.XLOOKUP(D105,RUC!$B$3:$B$123,RUC!$H$3:$H$123)</f>
        <v>30</v>
      </c>
      <c r="AA105" s="144">
        <f t="shared" si="72"/>
        <v>50</v>
      </c>
      <c r="AB105" s="145">
        <f t="shared" si="68"/>
        <v>2176.2713474544998</v>
      </c>
      <c r="AC105" s="145">
        <f>+(S105-T105)*V105-'data 1'!$F$4</f>
        <v>85.344999999999999</v>
      </c>
      <c r="AD105" s="145">
        <f t="shared" si="73"/>
        <v>252.22914523733843</v>
      </c>
      <c r="AE105" s="145">
        <f t="shared" si="74"/>
        <v>-14.884999999999998</v>
      </c>
      <c r="AF105" s="145">
        <f t="shared" si="75"/>
        <v>165.99053819634315</v>
      </c>
      <c r="AG105" s="772">
        <f t="shared" si="69"/>
        <v>505.67968343368159</v>
      </c>
      <c r="AH105" s="1253">
        <f t="shared" si="57"/>
        <v>79.994</v>
      </c>
      <c r="AI105" s="1253">
        <f t="shared" si="58"/>
        <v>80.875</v>
      </c>
      <c r="AJ105" s="156">
        <f t="shared" si="59"/>
        <v>135.26679949716163</v>
      </c>
      <c r="AK105" s="156">
        <f t="shared" si="60"/>
        <v>68.472582748624802</v>
      </c>
      <c r="AM105" s="716">
        <f t="shared" si="61"/>
        <v>8008.6785586325595</v>
      </c>
      <c r="AN105" s="716" t="str">
        <f>_xlfn.XLOOKUP(D105,RUC!$B$3:$B$578,RUC!$M$3:$M$578)</f>
        <v>Zudaire</v>
      </c>
      <c r="AO105" s="1167" t="s">
        <v>2279</v>
      </c>
      <c r="AP105" s="1569" t="s">
        <v>3675</v>
      </c>
      <c r="AQ105" t="s">
        <v>3638</v>
      </c>
    </row>
    <row r="106" spans="1:44" ht="15" customHeight="1">
      <c r="A106" s="747" t="s">
        <v>3622</v>
      </c>
      <c r="B106" s="1447">
        <v>45991</v>
      </c>
      <c r="C106" s="1447">
        <v>45986</v>
      </c>
      <c r="D106" t="s">
        <v>3642</v>
      </c>
      <c r="E106" s="762" t="str">
        <f>_xlfn.XLOOKUP(D106,RUC!$B$3:$B$123,RUC!$D$3:$D$123)</f>
        <v>20601769396*</v>
      </c>
      <c r="G106" s="1082">
        <v>112</v>
      </c>
      <c r="H106" s="762" t="s">
        <v>108</v>
      </c>
      <c r="I106" s="703">
        <v>3.04</v>
      </c>
      <c r="J106" s="596">
        <v>13.86</v>
      </c>
      <c r="K106" s="703">
        <f t="shared" si="56"/>
        <v>2.6190000000000002</v>
      </c>
      <c r="L106" s="1082">
        <v>0.17299999999999999</v>
      </c>
      <c r="M106" s="994">
        <f t="shared" si="71"/>
        <v>0.155</v>
      </c>
      <c r="N106" s="1196">
        <f t="shared" si="76"/>
        <v>0.155</v>
      </c>
      <c r="O106" s="645">
        <f t="shared" si="77"/>
        <v>0.155</v>
      </c>
      <c r="P106" s="727">
        <v>85</v>
      </c>
      <c r="Q106" s="1476">
        <v>84.97</v>
      </c>
      <c r="R106" s="706">
        <v>4126.45</v>
      </c>
      <c r="S106" s="765">
        <f>IF((_xlfn.XLOOKUP(D106,RUC!$B$3:$B$119,RUC!$E$3:$E$119)+ROUNDDOWN(O106,1)*100)&lt;95,95,((_xlfn.XLOOKUP(D106,RUC!$B$3:$B$119,RUC!$E$3:$E$119)+ROUNDDOWN(O106,1)*100)))</f>
        <v>100</v>
      </c>
      <c r="U106" s="1146">
        <f>_xlfn.XLOOKUP(D106,RUC!$B$3:$B$123,RUC!$F$3:$F$123)</f>
        <v>120</v>
      </c>
      <c r="V106" s="715">
        <v>1.1023000000000001</v>
      </c>
      <c r="Y106">
        <f>_xlfn.XLOOKUP(D106,RUC!$B$3:$B$123,RUC!$G$3:$G$123)</f>
        <v>20</v>
      </c>
      <c r="Z106" s="143">
        <f>_xlfn.XLOOKUP(D106,RUC!$B$3:$B$123,RUC!$H$3:$H$123)</f>
        <v>30</v>
      </c>
      <c r="AA106" s="144">
        <f t="shared" si="72"/>
        <v>50</v>
      </c>
      <c r="AB106" s="145">
        <f t="shared" si="68"/>
        <v>416.5038207612501</v>
      </c>
      <c r="AC106" s="145">
        <f>+(S106-T106)*V106-'data 1'!$F$4</f>
        <v>30.230000000000004</v>
      </c>
      <c r="AD106" s="145">
        <f t="shared" si="73"/>
        <v>-0.22920648043650868</v>
      </c>
      <c r="AE106" s="145">
        <f t="shared" si="74"/>
        <v>-14.884999999999998</v>
      </c>
      <c r="AF106" s="145">
        <f t="shared" si="75"/>
        <v>67.545692402390955</v>
      </c>
      <c r="AG106" s="772">
        <f t="shared" si="69"/>
        <v>99.661485921954466</v>
      </c>
      <c r="AH106" s="1253">
        <f t="shared" si="57"/>
        <v>13.199</v>
      </c>
      <c r="AI106" s="1253">
        <f t="shared" si="58"/>
        <v>15.534000000000001</v>
      </c>
      <c r="AJ106" s="156">
        <f t="shared" si="59"/>
        <v>31.36206888968653</v>
      </c>
      <c r="AK106" s="156">
        <f t="shared" si="60"/>
        <v>11.830284574163663</v>
      </c>
      <c r="AM106" s="716">
        <f t="shared" si="61"/>
        <v>1090.823506573714</v>
      </c>
      <c r="AN106" s="716" t="str">
        <f>_xlfn.XLOOKUP(D106,RUC!$B$3:$B$578,RUC!$M$3:$M$578)</f>
        <v>Zudaire</v>
      </c>
      <c r="AO106" s="1167" t="s">
        <v>2279</v>
      </c>
      <c r="AP106" s="1569" t="s">
        <v>3675</v>
      </c>
      <c r="AQ106" t="s">
        <v>3638</v>
      </c>
    </row>
    <row r="107" spans="1:44" ht="15" customHeight="1">
      <c r="A107" s="747" t="s">
        <v>3623</v>
      </c>
      <c r="B107" s="1447">
        <v>45991</v>
      </c>
      <c r="C107" s="1447">
        <v>45986</v>
      </c>
      <c r="D107" t="s">
        <v>3642</v>
      </c>
      <c r="E107" s="762" t="str">
        <f>_xlfn.XLOOKUP(D107,RUC!$B$3:$B$123,RUC!$D$3:$D$123)</f>
        <v>20601769396*</v>
      </c>
      <c r="G107" s="1082">
        <v>74</v>
      </c>
      <c r="H107" s="762" t="s">
        <v>108</v>
      </c>
      <c r="I107" s="703">
        <v>1.98</v>
      </c>
      <c r="J107" s="596">
        <v>16.850000000000001</v>
      </c>
      <c r="K107" s="703">
        <f t="shared" si="56"/>
        <v>1.6459999999999999</v>
      </c>
      <c r="L107" s="1082">
        <v>0.17599999999999999</v>
      </c>
      <c r="M107" s="994">
        <f t="shared" si="71"/>
        <v>0.158</v>
      </c>
      <c r="N107" s="1196">
        <f t="shared" si="76"/>
        <v>0.158</v>
      </c>
      <c r="O107" s="645">
        <f t="shared" si="77"/>
        <v>0.158</v>
      </c>
      <c r="P107" s="727">
        <v>85</v>
      </c>
      <c r="Q107" s="1476">
        <v>85.23</v>
      </c>
      <c r="R107" s="706">
        <v>4126.45</v>
      </c>
      <c r="S107" s="765">
        <f>IF((_xlfn.XLOOKUP(D107,RUC!$B$3:$B$119,RUC!$E$3:$E$119)+ROUNDDOWN(O107,1)*100)&lt;95,95,((_xlfn.XLOOKUP(D107,RUC!$B$3:$B$119,RUC!$E$3:$E$119)+ROUNDDOWN(O107,1)*100)))</f>
        <v>100</v>
      </c>
      <c r="U107" s="1146">
        <f>_xlfn.XLOOKUP(D107,RUC!$B$3:$B$123,RUC!$F$3:$F$123)</f>
        <v>120</v>
      </c>
      <c r="V107" s="715">
        <v>1.1023000000000001</v>
      </c>
      <c r="Y107">
        <f>_xlfn.XLOOKUP(D107,RUC!$B$3:$B$123,RUC!$G$3:$G$123)</f>
        <v>20</v>
      </c>
      <c r="Z107" s="143">
        <f>_xlfn.XLOOKUP(D107,RUC!$B$3:$B$123,RUC!$H$3:$H$123)</f>
        <v>30</v>
      </c>
      <c r="AA107" s="144">
        <f t="shared" si="72"/>
        <v>50</v>
      </c>
      <c r="AB107" s="145">
        <f t="shared" si="68"/>
        <v>427.7654108404999</v>
      </c>
      <c r="AC107" s="145">
        <f>+(S107-T107)*V107-'data 1'!$F$4</f>
        <v>30.230000000000004</v>
      </c>
      <c r="AD107" s="145">
        <f t="shared" si="73"/>
        <v>1.7877222212080306</v>
      </c>
      <c r="AE107" s="145">
        <f t="shared" si="74"/>
        <v>-14.884999999999998</v>
      </c>
      <c r="AF107" s="145">
        <f t="shared" si="75"/>
        <v>67.752375702668957</v>
      </c>
      <c r="AG107" s="772">
        <f t="shared" si="69"/>
        <v>101.885097923877</v>
      </c>
      <c r="AH107" s="1253">
        <f t="shared" si="57"/>
        <v>8.4649999999999999</v>
      </c>
      <c r="AI107" s="1253">
        <f t="shared" si="58"/>
        <v>9.9320000000000004</v>
      </c>
      <c r="AJ107" s="156">
        <f t="shared" si="59"/>
        <v>32.003548830792028</v>
      </c>
      <c r="AK107" s="156">
        <f t="shared" si="60"/>
        <v>7.5790524544792888</v>
      </c>
      <c r="AM107" s="716">
        <f t="shared" si="61"/>
        <v>704.10186624346284</v>
      </c>
      <c r="AN107" s="716" t="str">
        <f>_xlfn.XLOOKUP(D107,RUC!$B$3:$B$578,RUC!$M$3:$M$578)</f>
        <v>Zudaire</v>
      </c>
      <c r="AO107" s="1167" t="s">
        <v>2279</v>
      </c>
      <c r="AP107" s="1569" t="s">
        <v>3675</v>
      </c>
      <c r="AQ107" t="s">
        <v>3638</v>
      </c>
    </row>
    <row r="108" spans="1:44" ht="15" customHeight="1">
      <c r="A108" s="747" t="s">
        <v>3624</v>
      </c>
      <c r="B108" s="1447">
        <v>45991</v>
      </c>
      <c r="C108" s="1447">
        <v>45986</v>
      </c>
      <c r="D108" t="s">
        <v>3642</v>
      </c>
      <c r="E108" s="762" t="str">
        <f>_xlfn.XLOOKUP(D108,RUC!$B$3:$B$123,RUC!$D$3:$D$123)</f>
        <v>20601769396*</v>
      </c>
      <c r="G108" s="1082">
        <v>90</v>
      </c>
      <c r="H108" s="762" t="s">
        <v>108</v>
      </c>
      <c r="I108" s="703">
        <v>2.31</v>
      </c>
      <c r="J108" s="596">
        <v>15.45</v>
      </c>
      <c r="K108" s="703">
        <f t="shared" si="56"/>
        <v>1.9530000000000001</v>
      </c>
      <c r="L108" s="1082">
        <v>0.26700000000000002</v>
      </c>
      <c r="M108" s="994">
        <f t="shared" si="71"/>
        <v>0.249</v>
      </c>
      <c r="N108" s="1196">
        <f t="shared" si="76"/>
        <v>0.249</v>
      </c>
      <c r="O108" s="645">
        <f t="shared" si="77"/>
        <v>0.249</v>
      </c>
      <c r="P108" s="727">
        <v>90</v>
      </c>
      <c r="Q108" s="1476">
        <v>90.64</v>
      </c>
      <c r="R108" s="706">
        <v>4126.45</v>
      </c>
      <c r="S108" s="765">
        <f>IF((_xlfn.XLOOKUP(D108,RUC!$B$3:$B$119,RUC!$E$3:$E$119)+ROUNDDOWN(O108,1)*100)&lt;95,95,((_xlfn.XLOOKUP(D108,RUC!$B$3:$B$119,RUC!$E$3:$E$119)+ROUNDDOWN(O108,1)*100)))</f>
        <v>110</v>
      </c>
      <c r="U108" s="1146">
        <f>_xlfn.XLOOKUP(D108,RUC!$B$3:$B$123,RUC!$F$3:$F$123)</f>
        <v>120</v>
      </c>
      <c r="V108" s="715">
        <v>1.1023000000000001</v>
      </c>
      <c r="Y108">
        <f>_xlfn.XLOOKUP(D108,RUC!$B$3:$B$123,RUC!$G$3:$G$123)</f>
        <v>20</v>
      </c>
      <c r="Z108" s="143">
        <f>_xlfn.XLOOKUP(D108,RUC!$B$3:$B$123,RUC!$H$3:$H$123)</f>
        <v>30</v>
      </c>
      <c r="AA108" s="144">
        <f t="shared" si="72"/>
        <v>50</v>
      </c>
      <c r="AB108" s="145">
        <f t="shared" si="68"/>
        <v>813.32703402350012</v>
      </c>
      <c r="AC108" s="145">
        <f>+(S108-T108)*V108-'data 1'!$F$4</f>
        <v>41.253</v>
      </c>
      <c r="AD108" s="145">
        <f t="shared" si="73"/>
        <v>7.5465902460480061</v>
      </c>
      <c r="AE108" s="145">
        <f t="shared" si="74"/>
        <v>-14.884999999999998</v>
      </c>
      <c r="AF108" s="145">
        <f t="shared" si="75"/>
        <v>72.05297821999207</v>
      </c>
      <c r="AG108" s="772">
        <f t="shared" si="69"/>
        <v>122.96756846604006</v>
      </c>
      <c r="AH108" s="1253">
        <f t="shared" si="57"/>
        <v>16.204999999999998</v>
      </c>
      <c r="AI108" s="1253">
        <f t="shared" si="58"/>
        <v>17.878</v>
      </c>
      <c r="AJ108" s="156">
        <f t="shared" si="59"/>
        <v>51.632617411452046</v>
      </c>
      <c r="AK108" s="156">
        <f t="shared" si="60"/>
        <v>15.005593217295768</v>
      </c>
      <c r="AM108" s="716">
        <f t="shared" si="61"/>
        <v>1588.4276974478958</v>
      </c>
      <c r="AN108" s="716" t="str">
        <f>_xlfn.XLOOKUP(D108,RUC!$B$3:$B$578,RUC!$M$3:$M$578)</f>
        <v>Zudaire</v>
      </c>
      <c r="AO108" s="1167" t="s">
        <v>2279</v>
      </c>
      <c r="AP108" s="1569" t="s">
        <v>3675</v>
      </c>
      <c r="AQ108" t="s">
        <v>3638</v>
      </c>
    </row>
    <row r="109" spans="1:44" ht="15" customHeight="1">
      <c r="A109" s="747" t="s">
        <v>3625</v>
      </c>
      <c r="B109" s="1447">
        <v>45991</v>
      </c>
      <c r="C109" s="1447">
        <v>45986</v>
      </c>
      <c r="D109" t="s">
        <v>3642</v>
      </c>
      <c r="E109" s="762" t="str">
        <f>_xlfn.XLOOKUP(D109,RUC!$B$3:$B$123,RUC!$D$3:$D$123)</f>
        <v>20601769396*</v>
      </c>
      <c r="G109" s="1082">
        <v>74</v>
      </c>
      <c r="H109" s="762" t="s">
        <v>108</v>
      </c>
      <c r="I109" s="703">
        <v>1.92</v>
      </c>
      <c r="J109" s="596">
        <v>15.48</v>
      </c>
      <c r="K109" s="703">
        <f t="shared" si="56"/>
        <v>1.623</v>
      </c>
      <c r="L109" s="1082">
        <v>1.204</v>
      </c>
      <c r="M109" s="994">
        <f t="shared" si="71"/>
        <v>1.1319999999999999</v>
      </c>
      <c r="N109" s="1196">
        <f t="shared" si="76"/>
        <v>1.1319999999999999</v>
      </c>
      <c r="O109" s="645">
        <f t="shared" si="77"/>
        <v>1.1319999999999999</v>
      </c>
      <c r="P109" s="727">
        <v>90</v>
      </c>
      <c r="Q109" s="1476">
        <v>96.01</v>
      </c>
      <c r="R109" s="706">
        <v>4126.45</v>
      </c>
      <c r="S109" s="765">
        <f>IF((_xlfn.XLOOKUP(D109,RUC!$B$3:$B$119,RUC!$E$3:$E$119)+ROUNDDOWN(O109,1)*100)&lt;95,95,((_xlfn.XLOOKUP(D109,RUC!$B$3:$B$119,RUC!$E$3:$E$119)+ROUNDDOWN(O109,1)*100)))</f>
        <v>200</v>
      </c>
      <c r="U109" s="1146">
        <f>_xlfn.XLOOKUP(D109,RUC!$B$3:$B$123,RUC!$F$3:$F$123)</f>
        <v>120</v>
      </c>
      <c r="V109" s="715">
        <v>1.1023000000000001</v>
      </c>
      <c r="Y109">
        <f>_xlfn.XLOOKUP(D109,RUC!$B$3:$B$123,RUC!$G$3:$G$123)</f>
        <v>20</v>
      </c>
      <c r="Z109" s="143">
        <f>_xlfn.XLOOKUP(D109,RUC!$B$3:$B$123,RUC!$H$3:$H$123)</f>
        <v>30</v>
      </c>
      <c r="AA109" s="144">
        <f t="shared" si="72"/>
        <v>50</v>
      </c>
      <c r="AB109" s="145">
        <f t="shared" si="68"/>
        <v>4223.7614598979999</v>
      </c>
      <c r="AC109" s="145">
        <f>+(S109-T109)*V109-'data 1'!$F$4</f>
        <v>140.46</v>
      </c>
      <c r="AD109" s="145">
        <f t="shared" si="73"/>
        <v>319.56594618453425</v>
      </c>
      <c r="AE109" s="145">
        <f t="shared" si="74"/>
        <v>-14.884999999999998</v>
      </c>
      <c r="AF109" s="145">
        <f t="shared" si="75"/>
        <v>305.28713322601226</v>
      </c>
      <c r="AG109" s="772">
        <f t="shared" si="69"/>
        <v>767.42807941054662</v>
      </c>
      <c r="AH109" s="1253">
        <f t="shared" si="57"/>
        <v>64.323999999999998</v>
      </c>
      <c r="AI109" s="1253">
        <f t="shared" si="58"/>
        <v>66.997</v>
      </c>
      <c r="AJ109" s="156">
        <f t="shared" si="59"/>
        <v>246.62434207346624</v>
      </c>
      <c r="AK109" s="156">
        <f t="shared" si="60"/>
        <v>56.691314279486818</v>
      </c>
      <c r="AM109" s="716">
        <f t="shared" si="61"/>
        <v>6855.1648494144538</v>
      </c>
      <c r="AN109" s="716" t="str">
        <f>_xlfn.XLOOKUP(D109,RUC!$B$3:$B$578,RUC!$M$3:$M$578)</f>
        <v>Zudaire</v>
      </c>
      <c r="AO109" s="1167" t="s">
        <v>2279</v>
      </c>
      <c r="AP109" s="1569" t="s">
        <v>3675</v>
      </c>
      <c r="AQ109" t="s">
        <v>3638</v>
      </c>
    </row>
    <row r="110" spans="1:44" ht="15" customHeight="1">
      <c r="A110" s="747" t="s">
        <v>3626</v>
      </c>
      <c r="B110" s="1447">
        <v>45991</v>
      </c>
      <c r="C110" s="1447">
        <v>45986</v>
      </c>
      <c r="D110" t="s">
        <v>3642</v>
      </c>
      <c r="E110" s="762" t="str">
        <f>_xlfn.XLOOKUP(D110,RUC!$B$3:$B$123,RUC!$D$3:$D$123)</f>
        <v>20601769396*</v>
      </c>
      <c r="G110" s="1082">
        <v>79</v>
      </c>
      <c r="H110" s="762" t="s">
        <v>108</v>
      </c>
      <c r="I110" s="703">
        <v>2</v>
      </c>
      <c r="J110" s="596">
        <v>15.75</v>
      </c>
      <c r="K110" s="703">
        <f t="shared" si="56"/>
        <v>1.6850000000000001</v>
      </c>
      <c r="L110" s="1082">
        <v>0.28499999999999998</v>
      </c>
      <c r="M110" s="994">
        <f t="shared" si="71"/>
        <v>0.26700000000000002</v>
      </c>
      <c r="N110" s="1196">
        <f t="shared" si="76"/>
        <v>0.26700000000000002</v>
      </c>
      <c r="O110" s="645">
        <f t="shared" si="77"/>
        <v>0.26700000000000002</v>
      </c>
      <c r="P110" s="727">
        <v>85</v>
      </c>
      <c r="Q110" s="1476">
        <v>85.61</v>
      </c>
      <c r="R110" s="706">
        <v>4126.45</v>
      </c>
      <c r="S110" s="765">
        <f>IF((_xlfn.XLOOKUP(D110,RUC!$B$3:$B$119,RUC!$E$3:$E$119)+ROUNDDOWN(O110,1)*100)&lt;95,95,((_xlfn.XLOOKUP(D110,RUC!$B$3:$B$119,RUC!$E$3:$E$119)+ROUNDDOWN(O110,1)*100)))</f>
        <v>110</v>
      </c>
      <c r="U110" s="1146">
        <f>_xlfn.XLOOKUP(D110,RUC!$B$3:$B$123,RUC!$F$3:$F$123)</f>
        <v>120</v>
      </c>
      <c r="V110" s="715">
        <v>1.1023000000000001</v>
      </c>
      <c r="Y110">
        <f>_xlfn.XLOOKUP(D110,RUC!$B$3:$B$123,RUC!$G$3:$G$123)</f>
        <v>20</v>
      </c>
      <c r="Z110" s="143">
        <f>_xlfn.XLOOKUP(D110,RUC!$B$3:$B$123,RUC!$H$3:$H$123)</f>
        <v>30</v>
      </c>
      <c r="AA110" s="144">
        <f t="shared" si="72"/>
        <v>50</v>
      </c>
      <c r="AB110" s="145">
        <f t="shared" si="68"/>
        <v>825.91351705324996</v>
      </c>
      <c r="AC110" s="145">
        <f>+(S110-T110)*V110-'data 1'!$F$4</f>
        <v>41.253</v>
      </c>
      <c r="AD110" s="145">
        <f t="shared" si="73"/>
        <v>7.6777546481474932</v>
      </c>
      <c r="AE110" s="145">
        <f t="shared" si="74"/>
        <v>-14.884999999999998</v>
      </c>
      <c r="AF110" s="145">
        <f t="shared" si="75"/>
        <v>68.054451295382847</v>
      </c>
      <c r="AG110" s="772">
        <f t="shared" si="69"/>
        <v>119.10020594353034</v>
      </c>
      <c r="AH110" s="1253">
        <f t="shared" si="57"/>
        <v>14.095000000000001</v>
      </c>
      <c r="AI110" s="1253">
        <f t="shared" si="58"/>
        <v>16.465</v>
      </c>
      <c r="AJ110" s="156">
        <f t="shared" si="59"/>
        <v>52.054986733102538</v>
      </c>
      <c r="AK110" s="156">
        <f t="shared" si="60"/>
        <v>13.111100958241538</v>
      </c>
      <c r="AM110" s="716">
        <f t="shared" si="61"/>
        <v>1391.6642762347262</v>
      </c>
      <c r="AN110" s="716" t="str">
        <f>_xlfn.XLOOKUP(D110,RUC!$B$3:$B$578,RUC!$M$3:$M$578)</f>
        <v>Zudaire</v>
      </c>
      <c r="AO110" s="1167" t="s">
        <v>2279</v>
      </c>
      <c r="AP110" s="1569" t="s">
        <v>3675</v>
      </c>
      <c r="AQ110" t="s">
        <v>3638</v>
      </c>
    </row>
    <row r="111" spans="1:44" ht="15" customHeight="1">
      <c r="A111" s="747" t="s">
        <v>3628</v>
      </c>
      <c r="B111" s="1447">
        <v>45991</v>
      </c>
      <c r="C111" s="1447">
        <v>45986</v>
      </c>
      <c r="D111" t="s">
        <v>3642</v>
      </c>
      <c r="E111" s="762" t="str">
        <f>_xlfn.XLOOKUP(D111,RUC!$B$3:$B$123,RUC!$D$3:$D$123)</f>
        <v>20601769396*</v>
      </c>
      <c r="G111" s="1082">
        <v>24</v>
      </c>
      <c r="H111" s="762" t="s">
        <v>108</v>
      </c>
      <c r="I111" s="703">
        <v>0.62</v>
      </c>
      <c r="J111" s="596">
        <v>12.28</v>
      </c>
      <c r="K111" s="703">
        <f t="shared" ref="K111:K112" si="78">ROUND(+I111-(I111*(J111/100)),3)</f>
        <v>0.54400000000000004</v>
      </c>
      <c r="L111" s="1082">
        <v>0.375</v>
      </c>
      <c r="M111" s="994">
        <f t="shared" si="71"/>
        <v>0.35299999999999998</v>
      </c>
      <c r="N111" s="1196">
        <f t="shared" si="76"/>
        <v>0.35299999999999998</v>
      </c>
      <c r="O111" s="645">
        <f t="shared" si="77"/>
        <v>0.35299999999999998</v>
      </c>
      <c r="P111" s="727">
        <v>88</v>
      </c>
      <c r="Q111" s="1476">
        <v>87.88</v>
      </c>
      <c r="R111" s="706">
        <v>4126.45</v>
      </c>
      <c r="S111" s="765">
        <f>IF((_xlfn.XLOOKUP(D111,RUC!$B$3:$B$119,RUC!$E$3:$E$119)+ROUNDDOWN(O111,1)*100)&lt;95,95,((_xlfn.XLOOKUP(D111,RUC!$B$3:$B$119,RUC!$E$3:$E$119)+ROUNDDOWN(O111,1)*100)))</f>
        <v>120</v>
      </c>
      <c r="U111" s="1146">
        <f>_xlfn.XLOOKUP(D111,RUC!$B$3:$B$123,RUC!$F$3:$F$123)</f>
        <v>120</v>
      </c>
      <c r="V111" s="715">
        <v>1.1023000000000001</v>
      </c>
      <c r="Y111">
        <f>_xlfn.XLOOKUP(D111,RUC!$B$3:$B$123,RUC!$G$3:$G$123)</f>
        <v>20</v>
      </c>
      <c r="Z111" s="143">
        <f>_xlfn.XLOOKUP(D111,RUC!$B$3:$B$123,RUC!$H$3:$H$123)</f>
        <v>30</v>
      </c>
      <c r="AA111" s="144">
        <f t="shared" si="72"/>
        <v>50</v>
      </c>
      <c r="AB111" s="145">
        <f t="shared" si="68"/>
        <v>1184.4914871444</v>
      </c>
      <c r="AC111" s="145">
        <f>+(S111-T111)*V111-'data 1'!$F$4</f>
        <v>52.27600000000001</v>
      </c>
      <c r="AD111" s="145">
        <f t="shared" si="73"/>
        <v>-1.9873394257500754</v>
      </c>
      <c r="AE111" s="145">
        <f t="shared" si="74"/>
        <v>-14.884999999999998</v>
      </c>
      <c r="AF111" s="145">
        <f t="shared" si="75"/>
        <v>85.383167825956079</v>
      </c>
      <c r="AG111" s="772">
        <f t="shared" si="69"/>
        <v>137.78682840020602</v>
      </c>
      <c r="AH111" s="1253">
        <f t="shared" ref="AH111:AH112" si="79">ROUND((31.1035*L111*Q111*1.1023*K111/100),3)</f>
        <v>6.1470000000000002</v>
      </c>
      <c r="AI111" s="1253">
        <f t="shared" ref="AI111:AI112" si="80">ROUND((31.1035*L111*1.1023*K111),3)</f>
        <v>6.9939999999999998</v>
      </c>
      <c r="AJ111" s="156">
        <f t="shared" ref="AJ111:AJ112" si="81">+((+$AJ$2-R111+U111)*L111*Q111*V111)/100</f>
        <v>70.309546875750073</v>
      </c>
      <c r="AK111" s="156">
        <f t="shared" ref="AK111:AK112" si="82">31.1035*1.1023*K111*P111*O111/100</f>
        <v>5.7938246414554886</v>
      </c>
      <c r="AM111" s="716">
        <f t="shared" ref="AM111:AM112" si="83">+IF(AB111*K111&gt;0,AB111*K111,0)</f>
        <v>644.36336900655363</v>
      </c>
      <c r="AN111" s="716" t="str">
        <f>_xlfn.XLOOKUP(D111,RUC!$B$3:$B$578,RUC!$M$3:$M$578)</f>
        <v>Zudaire</v>
      </c>
      <c r="AO111" s="1167" t="s">
        <v>2279</v>
      </c>
      <c r="AP111" s="1569" t="s">
        <v>3675</v>
      </c>
      <c r="AQ111" t="s">
        <v>3638</v>
      </c>
    </row>
    <row r="112" spans="1:44" ht="15" customHeight="1">
      <c r="A112" s="747" t="s">
        <v>3629</v>
      </c>
      <c r="B112" s="1447">
        <v>45991</v>
      </c>
      <c r="C112" s="1447">
        <v>45986</v>
      </c>
      <c r="D112" t="s">
        <v>3642</v>
      </c>
      <c r="E112" s="762" t="str">
        <f>_xlfn.XLOOKUP(D112,RUC!$B$3:$B$123,RUC!$D$3:$D$123)</f>
        <v>20601769396*</v>
      </c>
      <c r="G112" s="1082">
        <v>52</v>
      </c>
      <c r="H112" s="762" t="s">
        <v>108</v>
      </c>
      <c r="I112" s="703">
        <v>1.47</v>
      </c>
      <c r="J112" s="596">
        <v>15.06</v>
      </c>
      <c r="K112" s="703">
        <f t="shared" si="78"/>
        <v>1.2490000000000001</v>
      </c>
      <c r="L112" s="1082">
        <v>0.17599999999999999</v>
      </c>
      <c r="M112" s="994">
        <f t="shared" si="71"/>
        <v>0.158</v>
      </c>
      <c r="N112" s="1196">
        <f t="shared" si="76"/>
        <v>0.158</v>
      </c>
      <c r="O112" s="645">
        <f t="shared" si="77"/>
        <v>0.158</v>
      </c>
      <c r="P112" s="727">
        <v>80</v>
      </c>
      <c r="Q112" s="1476">
        <v>81.819999999999993</v>
      </c>
      <c r="R112" s="706">
        <v>4126.45</v>
      </c>
      <c r="S112" s="765">
        <f>IF((_xlfn.XLOOKUP(D112,RUC!$B$3:$B$119,RUC!$E$3:$E$119)+ROUNDDOWN(O112,1)*100)&lt;95,95,((_xlfn.XLOOKUP(D112,RUC!$B$3:$B$119,RUC!$E$3:$E$119)+ROUNDDOWN(O112,1)*100)))</f>
        <v>100</v>
      </c>
      <c r="U112" s="1146">
        <f>_xlfn.XLOOKUP(D112,RUC!$B$3:$B$123,RUC!$F$3:$F$123)</f>
        <v>120</v>
      </c>
      <c r="V112" s="715">
        <v>1.1023000000000001</v>
      </c>
      <c r="Y112">
        <f>_xlfn.XLOOKUP(D112,RUC!$B$3:$B$123,RUC!$G$3:$G$123)</f>
        <v>20</v>
      </c>
      <c r="Z112" s="143">
        <f>_xlfn.XLOOKUP(D112,RUC!$B$3:$B$123,RUC!$H$3:$H$123)</f>
        <v>30</v>
      </c>
      <c r="AA112" s="144">
        <f t="shared" si="72"/>
        <v>50</v>
      </c>
      <c r="AB112" s="145">
        <f t="shared" si="68"/>
        <v>392.87656314399999</v>
      </c>
      <c r="AC112" s="145">
        <f>+(S112-T112)*V112-'data 1'!$F$4</f>
        <v>30.230000000000004</v>
      </c>
      <c r="AD112" s="145">
        <f t="shared" si="73"/>
        <v>14.146323663471946</v>
      </c>
      <c r="AE112" s="145">
        <f t="shared" si="74"/>
        <v>-14.884999999999998</v>
      </c>
      <c r="AF112" s="145">
        <f t="shared" si="75"/>
        <v>65.041644725945943</v>
      </c>
      <c r="AG112" s="772">
        <f t="shared" si="69"/>
        <v>111.5329683894179</v>
      </c>
      <c r="AH112" s="1253">
        <f t="shared" si="79"/>
        <v>6.1669999999999998</v>
      </c>
      <c r="AI112" s="1253">
        <f t="shared" si="80"/>
        <v>7.5369999999999999</v>
      </c>
      <c r="AJ112" s="156">
        <f t="shared" si="81"/>
        <v>30.723106480528021</v>
      </c>
      <c r="AK112" s="156">
        <f t="shared" si="82"/>
        <v>5.4127576388504819</v>
      </c>
      <c r="AM112" s="716">
        <f t="shared" si="83"/>
        <v>490.70282736685601</v>
      </c>
      <c r="AN112" s="716" t="str">
        <f>_xlfn.XLOOKUP(D112,RUC!$B$3:$B$578,RUC!$M$3:$M$578)</f>
        <v>Zudaire</v>
      </c>
      <c r="AO112" s="1167" t="s">
        <v>2279</v>
      </c>
      <c r="AP112" s="1569" t="s">
        <v>3675</v>
      </c>
      <c r="AQ112" t="s">
        <v>3638</v>
      </c>
    </row>
    <row r="113" spans="7:18" ht="15" customHeight="1">
      <c r="G113" s="1082"/>
      <c r="R113" s="706"/>
    </row>
    <row r="114" spans="7:18" ht="15" customHeight="1">
      <c r="G114" s="1082"/>
      <c r="R114" s="706"/>
    </row>
    <row r="115" spans="7:18" ht="15" customHeight="1">
      <c r="G115" s="1082"/>
      <c r="M115" s="703"/>
      <c r="R115" s="706"/>
    </row>
    <row r="116" spans="7:18" ht="15" customHeight="1">
      <c r="G116" s="1082"/>
      <c r="R116" s="706"/>
    </row>
    <row r="117" spans="7:18" ht="15" customHeight="1">
      <c r="G117" s="1082"/>
      <c r="R117" s="706"/>
    </row>
    <row r="118" spans="7:18" ht="15" customHeight="1">
      <c r="G118" s="1082"/>
      <c r="R118" s="706"/>
    </row>
    <row r="119" spans="7:18" ht="15" customHeight="1">
      <c r="G119" s="1082"/>
      <c r="R119" s="706"/>
    </row>
    <row r="120" spans="7:18" ht="15" customHeight="1">
      <c r="G120" s="1082"/>
      <c r="R120" s="706"/>
    </row>
    <row r="121" spans="7:18" ht="15" customHeight="1">
      <c r="G121" s="1082"/>
      <c r="R121" s="706"/>
    </row>
    <row r="122" spans="7:18" ht="15" customHeight="1">
      <c r="G122" s="1082"/>
      <c r="R122" s="706"/>
    </row>
    <row r="123" spans="7:18" ht="15" customHeight="1">
      <c r="G123" s="1082"/>
      <c r="R123" s="706"/>
    </row>
    <row r="124" spans="7:18" ht="15" customHeight="1">
      <c r="G124" s="1082"/>
      <c r="R124" s="706"/>
    </row>
    <row r="125" spans="7:18" ht="15" customHeight="1">
      <c r="G125" s="1082"/>
      <c r="R125" s="706"/>
    </row>
    <row r="126" spans="7:18" ht="15" customHeight="1">
      <c r="G126" s="1082"/>
      <c r="R126" s="706"/>
    </row>
    <row r="127" spans="7:18" ht="15" customHeight="1">
      <c r="G127" s="1082"/>
      <c r="R127" s="706"/>
    </row>
    <row r="128" spans="7:18" ht="15" customHeight="1">
      <c r="G128" s="1082"/>
      <c r="R128" s="706"/>
    </row>
    <row r="129" spans="7:18" ht="15" customHeight="1">
      <c r="G129" s="1082"/>
      <c r="R129" s="706"/>
    </row>
    <row r="130" spans="7:18" ht="15" customHeight="1">
      <c r="G130" s="1082"/>
      <c r="R130" s="706"/>
    </row>
    <row r="131" spans="7:18" ht="15" customHeight="1">
      <c r="G131" s="1082"/>
      <c r="R131" s="706"/>
    </row>
    <row r="132" spans="7:18" ht="15" customHeight="1">
      <c r="G132" s="1082"/>
      <c r="R132" s="706"/>
    </row>
    <row r="133" spans="7:18" ht="15" customHeight="1">
      <c r="G133" s="1082"/>
      <c r="R133" s="706"/>
    </row>
    <row r="134" spans="7:18" ht="15" customHeight="1">
      <c r="G134" s="1082"/>
      <c r="R134" s="706"/>
    </row>
    <row r="135" spans="7:18" ht="15" customHeight="1">
      <c r="G135" s="1082"/>
      <c r="R135" s="706"/>
    </row>
    <row r="136" spans="7:18" ht="15" customHeight="1">
      <c r="G136" s="1082"/>
      <c r="R136" s="706"/>
    </row>
    <row r="137" spans="7:18" ht="15" customHeight="1">
      <c r="G137" s="1082"/>
      <c r="R137" s="706"/>
    </row>
    <row r="138" spans="7:18" ht="15" customHeight="1">
      <c r="G138" s="1082"/>
      <c r="R138" s="706"/>
    </row>
    <row r="139" spans="7:18" ht="15" customHeight="1">
      <c r="G139" s="1082"/>
      <c r="R139" s="706"/>
    </row>
    <row r="140" spans="7:18" ht="15" customHeight="1">
      <c r="G140" s="1082"/>
      <c r="R140" s="706"/>
    </row>
    <row r="141" spans="7:18" ht="15" customHeight="1">
      <c r="G141" s="1082"/>
      <c r="R141" s="706"/>
    </row>
    <row r="142" spans="7:18" ht="15" customHeight="1">
      <c r="G142" s="1082"/>
      <c r="R142" s="706"/>
    </row>
    <row r="143" spans="7:18" ht="15" customHeight="1">
      <c r="G143" s="1082"/>
      <c r="R143" s="706"/>
    </row>
    <row r="144" spans="7:18" ht="15" customHeight="1">
      <c r="G144" s="1082"/>
      <c r="R144" s="706"/>
    </row>
    <row r="145" spans="7:18" ht="15" customHeight="1">
      <c r="G145" s="1082"/>
      <c r="R145" s="706"/>
    </row>
    <row r="146" spans="7:18" ht="15" customHeight="1">
      <c r="G146" s="1082"/>
      <c r="R146" s="706"/>
    </row>
    <row r="147" spans="7:18" ht="15" customHeight="1">
      <c r="G147" s="1082"/>
      <c r="R147" s="706"/>
    </row>
    <row r="148" spans="7:18" ht="15" customHeight="1">
      <c r="G148" s="1082"/>
      <c r="R148" s="706"/>
    </row>
    <row r="149" spans="7:18" ht="15" customHeight="1">
      <c r="G149" s="1082"/>
      <c r="R149" s="706"/>
    </row>
    <row r="150" spans="7:18" ht="15" customHeight="1">
      <c r="G150" s="1082"/>
      <c r="R150" s="706"/>
    </row>
    <row r="151" spans="7:18" ht="15" customHeight="1">
      <c r="G151" s="1082"/>
      <c r="R151" s="706"/>
    </row>
    <row r="152" spans="7:18" ht="15" customHeight="1">
      <c r="G152" s="1082"/>
      <c r="R152" s="706"/>
    </row>
    <row r="153" spans="7:18" ht="15" customHeight="1">
      <c r="G153" s="1082"/>
      <c r="R153" s="706"/>
    </row>
    <row r="154" spans="7:18" ht="15" customHeight="1">
      <c r="G154" s="1082"/>
      <c r="R154" s="706"/>
    </row>
    <row r="155" spans="7:18" ht="15" customHeight="1">
      <c r="G155" s="1082"/>
      <c r="R155" s="706"/>
    </row>
    <row r="156" spans="7:18" ht="15" customHeight="1">
      <c r="G156" s="1082"/>
      <c r="R156" s="706"/>
    </row>
    <row r="157" spans="7:18" ht="15" customHeight="1">
      <c r="G157" s="1082"/>
      <c r="R157" s="706"/>
    </row>
    <row r="158" spans="7:18" ht="15" customHeight="1">
      <c r="G158" s="1082"/>
      <c r="R158" s="706"/>
    </row>
    <row r="159" spans="7:18" ht="15" customHeight="1">
      <c r="G159" s="1082"/>
      <c r="R159" s="706"/>
    </row>
    <row r="160" spans="7:18" ht="15" customHeight="1">
      <c r="G160" s="1082"/>
      <c r="R160" s="706"/>
    </row>
    <row r="161" spans="7:18" ht="15" customHeight="1">
      <c r="G161" s="1082"/>
      <c r="R161" s="706"/>
    </row>
    <row r="162" spans="7:18" ht="15" customHeight="1">
      <c r="G162" s="1082"/>
      <c r="R162" s="706"/>
    </row>
    <row r="163" spans="7:18" ht="15" customHeight="1">
      <c r="G163" s="1082"/>
      <c r="R163" s="706"/>
    </row>
    <row r="164" spans="7:18" ht="15" customHeight="1">
      <c r="G164" s="1082"/>
      <c r="R164" s="706"/>
    </row>
    <row r="165" spans="7:18" ht="15" customHeight="1">
      <c r="G165" s="1082"/>
      <c r="R165" s="706"/>
    </row>
    <row r="166" spans="7:18" ht="15" customHeight="1">
      <c r="G166" s="1082"/>
      <c r="R166" s="706"/>
    </row>
    <row r="167" spans="7:18" ht="15" customHeight="1">
      <c r="G167" s="1082"/>
      <c r="R167" s="706"/>
    </row>
    <row r="168" spans="7:18" ht="15" customHeight="1">
      <c r="G168" s="1082"/>
      <c r="R168" s="706"/>
    </row>
    <row r="169" spans="7:18" ht="15" customHeight="1">
      <c r="G169" s="1082"/>
      <c r="R169" s="706"/>
    </row>
    <row r="170" spans="7:18" ht="15" customHeight="1">
      <c r="G170" s="1082"/>
      <c r="R170" s="706"/>
    </row>
    <row r="171" spans="7:18" ht="15" customHeight="1">
      <c r="G171" s="1082"/>
      <c r="R171" s="706"/>
    </row>
    <row r="172" spans="7:18" ht="15" customHeight="1">
      <c r="G172" s="1082"/>
      <c r="R172" s="706"/>
    </row>
    <row r="173" spans="7:18" ht="15" customHeight="1">
      <c r="G173" s="1082"/>
      <c r="R173" s="706"/>
    </row>
    <row r="174" spans="7:18" ht="15" customHeight="1">
      <c r="G174" s="1082"/>
      <c r="R174" s="706"/>
    </row>
    <row r="175" spans="7:18" ht="15" customHeight="1">
      <c r="G175" s="1082"/>
      <c r="R175" s="706"/>
    </row>
    <row r="176" spans="7:18" ht="15" customHeight="1">
      <c r="G176" s="1082"/>
      <c r="R176" s="706"/>
    </row>
    <row r="177" spans="7:18" ht="15" customHeight="1">
      <c r="G177" s="1082"/>
      <c r="R177" s="706"/>
    </row>
    <row r="178" spans="7:18" ht="15" customHeight="1">
      <c r="G178" s="1082"/>
      <c r="R178" s="706"/>
    </row>
    <row r="179" spans="7:18" ht="15" customHeight="1">
      <c r="G179" s="1082"/>
      <c r="R179" s="706"/>
    </row>
    <row r="180" spans="7:18" ht="15" customHeight="1">
      <c r="G180" s="1082"/>
      <c r="R180" s="706"/>
    </row>
    <row r="181" spans="7:18" ht="15" customHeight="1">
      <c r="G181" s="1082"/>
      <c r="R181" s="706"/>
    </row>
    <row r="182" spans="7:18" ht="15" customHeight="1">
      <c r="G182" s="1082"/>
      <c r="R182" s="706"/>
    </row>
    <row r="183" spans="7:18" ht="15" customHeight="1">
      <c r="G183" s="1082"/>
      <c r="R183" s="706"/>
    </row>
    <row r="184" spans="7:18" ht="15" customHeight="1">
      <c r="G184" s="1082"/>
      <c r="R184" s="706"/>
    </row>
    <row r="185" spans="7:18" ht="15" customHeight="1">
      <c r="G185" s="1082"/>
      <c r="R185" s="706"/>
    </row>
    <row r="186" spans="7:18" ht="15" customHeight="1">
      <c r="G186" s="1082"/>
      <c r="R186" s="706"/>
    </row>
    <row r="187" spans="7:18" ht="15" customHeight="1">
      <c r="G187" s="1082"/>
      <c r="R187" s="706"/>
    </row>
    <row r="188" spans="7:18" ht="15" customHeight="1">
      <c r="G188" s="1082"/>
      <c r="R188" s="706"/>
    </row>
    <row r="189" spans="7:18" ht="15" customHeight="1">
      <c r="G189" s="1082"/>
      <c r="R189" s="706"/>
    </row>
    <row r="190" spans="7:18" ht="15" customHeight="1">
      <c r="G190" s="1082"/>
      <c r="R190" s="706"/>
    </row>
    <row r="191" spans="7:18" ht="15" customHeight="1">
      <c r="G191" s="1082"/>
      <c r="R191" s="706"/>
    </row>
    <row r="192" spans="7:18" ht="15" customHeight="1">
      <c r="G192" s="1082"/>
      <c r="R192" s="706"/>
    </row>
    <row r="193" spans="7:18" ht="15" customHeight="1">
      <c r="G193" s="1082"/>
      <c r="R193" s="706"/>
    </row>
    <row r="194" spans="7:18" ht="15" customHeight="1">
      <c r="G194" s="1082"/>
      <c r="R194" s="706"/>
    </row>
    <row r="195" spans="7:18" ht="15" customHeight="1">
      <c r="G195" s="1082"/>
      <c r="R195" s="706"/>
    </row>
    <row r="196" spans="7:18" ht="15" customHeight="1">
      <c r="G196" s="1082"/>
      <c r="R196" s="706"/>
    </row>
    <row r="197" spans="7:18" ht="15" customHeight="1">
      <c r="G197" s="1082"/>
      <c r="R197" s="706"/>
    </row>
    <row r="198" spans="7:18" ht="15" customHeight="1">
      <c r="G198" s="1082"/>
      <c r="R198" s="706"/>
    </row>
    <row r="199" spans="7:18" ht="15" customHeight="1">
      <c r="G199" s="1082"/>
      <c r="R199" s="706"/>
    </row>
    <row r="200" spans="7:18" ht="15" customHeight="1">
      <c r="G200" s="1082"/>
      <c r="R200" s="706"/>
    </row>
    <row r="201" spans="7:18" ht="15" customHeight="1">
      <c r="G201" s="1082"/>
      <c r="R201" s="706"/>
    </row>
    <row r="202" spans="7:18" ht="15" customHeight="1">
      <c r="G202" s="1082"/>
      <c r="R202" s="706"/>
    </row>
    <row r="203" spans="7:18" ht="15" customHeight="1">
      <c r="G203" s="1082"/>
      <c r="R203" s="706"/>
    </row>
    <row r="204" spans="7:18" ht="15" customHeight="1">
      <c r="G204" s="1082"/>
      <c r="R204" s="706"/>
    </row>
    <row r="205" spans="7:18" ht="15" customHeight="1">
      <c r="G205" s="1082"/>
      <c r="R205" s="706"/>
    </row>
    <row r="206" spans="7:18" ht="15" customHeight="1">
      <c r="G206" s="1082"/>
      <c r="R206" s="706"/>
    </row>
    <row r="207" spans="7:18" ht="15" customHeight="1">
      <c r="G207" s="1082"/>
      <c r="R207" s="706"/>
    </row>
    <row r="208" spans="7:18" ht="15" customHeight="1">
      <c r="G208" s="1082"/>
      <c r="R208" s="706"/>
    </row>
    <row r="209" spans="7:18" ht="15" customHeight="1">
      <c r="G209" s="1082"/>
      <c r="R209" s="706"/>
    </row>
    <row r="210" spans="7:18" ht="15" customHeight="1">
      <c r="G210" s="1082"/>
      <c r="R210" s="706"/>
    </row>
    <row r="211" spans="7:18" ht="15" customHeight="1">
      <c r="G211" s="1082"/>
      <c r="R211" s="706"/>
    </row>
    <row r="212" spans="7:18" ht="15" customHeight="1">
      <c r="G212" s="1082"/>
      <c r="R212" s="706"/>
    </row>
    <row r="213" spans="7:18" ht="15" customHeight="1">
      <c r="G213" s="1082"/>
      <c r="R213" s="706"/>
    </row>
    <row r="214" spans="7:18" ht="15" customHeight="1">
      <c r="G214" s="1082"/>
      <c r="R214" s="706"/>
    </row>
    <row r="215" spans="7:18" ht="15" customHeight="1">
      <c r="G215" s="1082"/>
      <c r="R215" s="706"/>
    </row>
    <row r="216" spans="7:18" ht="15" customHeight="1">
      <c r="G216" s="1082"/>
      <c r="R216" s="706"/>
    </row>
    <row r="217" spans="7:18" ht="15" customHeight="1">
      <c r="G217" s="1082"/>
      <c r="R217" s="706"/>
    </row>
    <row r="218" spans="7:18" ht="15" customHeight="1">
      <c r="G218" s="1082"/>
      <c r="R218" s="706"/>
    </row>
    <row r="219" spans="7:18" ht="15" customHeight="1">
      <c r="G219" s="1082"/>
      <c r="R219" s="706"/>
    </row>
    <row r="220" spans="7:18" ht="15" customHeight="1">
      <c r="G220" s="1082"/>
      <c r="R220" s="706"/>
    </row>
    <row r="221" spans="7:18" ht="15" customHeight="1">
      <c r="G221" s="1082"/>
      <c r="R221" s="706"/>
    </row>
    <row r="222" spans="7:18" ht="15" customHeight="1">
      <c r="G222" s="1082"/>
      <c r="R222" s="706"/>
    </row>
    <row r="223" spans="7:18" ht="15" customHeight="1">
      <c r="G223" s="1082"/>
      <c r="R223" s="706"/>
    </row>
    <row r="224" spans="7:18" ht="15" customHeight="1">
      <c r="G224" s="1082"/>
      <c r="R224" s="706"/>
    </row>
    <row r="225" spans="7:18" ht="15" customHeight="1">
      <c r="G225" s="1082"/>
      <c r="R225" s="706"/>
    </row>
    <row r="226" spans="7:18" ht="15" customHeight="1">
      <c r="G226" s="1082"/>
      <c r="R226" s="706"/>
    </row>
    <row r="227" spans="7:18" ht="15" customHeight="1">
      <c r="G227" s="1082"/>
      <c r="R227" s="706"/>
    </row>
    <row r="228" spans="7:18" ht="15" customHeight="1">
      <c r="G228" s="1082"/>
      <c r="R228" s="706"/>
    </row>
    <row r="229" spans="7:18" ht="15" customHeight="1">
      <c r="G229" s="1082"/>
      <c r="R229" s="706"/>
    </row>
    <row r="230" spans="7:18" ht="15" customHeight="1">
      <c r="G230" s="1082"/>
      <c r="R230" s="706"/>
    </row>
    <row r="231" spans="7:18" ht="15" customHeight="1">
      <c r="G231" s="1082"/>
      <c r="R231" s="706"/>
    </row>
    <row r="232" spans="7:18" ht="15" customHeight="1">
      <c r="G232" s="1082"/>
      <c r="R232" s="706"/>
    </row>
    <row r="233" spans="7:18" ht="15" customHeight="1">
      <c r="G233" s="1082"/>
      <c r="R233" s="706"/>
    </row>
    <row r="234" spans="7:18" ht="15" customHeight="1">
      <c r="G234" s="1082"/>
      <c r="R234" s="706"/>
    </row>
    <row r="235" spans="7:18" ht="15" customHeight="1">
      <c r="G235" s="1082"/>
      <c r="R235" s="706"/>
    </row>
    <row r="236" spans="7:18" ht="15" customHeight="1">
      <c r="G236" s="1082"/>
      <c r="R236" s="706"/>
    </row>
    <row r="237" spans="7:18" ht="15" customHeight="1">
      <c r="G237" s="1082"/>
      <c r="R237" s="706"/>
    </row>
    <row r="238" spans="7:18" ht="15" customHeight="1">
      <c r="G238" s="1082"/>
      <c r="R238" s="706"/>
    </row>
    <row r="239" spans="7:18" ht="15" customHeight="1">
      <c r="G239" s="1082"/>
      <c r="R239" s="706"/>
    </row>
    <row r="240" spans="7:18" ht="15" customHeight="1">
      <c r="G240" s="1082"/>
      <c r="R240" s="706"/>
    </row>
    <row r="241" spans="7:18" ht="15" customHeight="1">
      <c r="G241" s="1082"/>
      <c r="R241" s="706"/>
    </row>
    <row r="242" spans="7:18" ht="15" customHeight="1">
      <c r="G242" s="1082"/>
      <c r="R242" s="706"/>
    </row>
    <row r="243" spans="7:18" ht="15" customHeight="1">
      <c r="G243" s="1082"/>
      <c r="R243" s="706"/>
    </row>
    <row r="244" spans="7:18" ht="15" customHeight="1">
      <c r="G244" s="1082"/>
      <c r="R244" s="706"/>
    </row>
    <row r="245" spans="7:18" ht="15" customHeight="1">
      <c r="G245" s="1082"/>
      <c r="R245" s="706"/>
    </row>
    <row r="246" spans="7:18" ht="15" customHeight="1">
      <c r="G246" s="1082"/>
      <c r="R246" s="706"/>
    </row>
    <row r="247" spans="7:18" ht="15" customHeight="1">
      <c r="G247" s="1082"/>
      <c r="R247" s="706"/>
    </row>
    <row r="248" spans="7:18" ht="15" customHeight="1">
      <c r="G248" s="1082"/>
      <c r="R248" s="706"/>
    </row>
    <row r="249" spans="7:18" ht="15" customHeight="1">
      <c r="G249" s="1082"/>
      <c r="R249" s="706"/>
    </row>
    <row r="250" spans="7:18" ht="15" customHeight="1">
      <c r="G250" s="1082"/>
      <c r="R250" s="706"/>
    </row>
    <row r="251" spans="7:18" ht="15" customHeight="1">
      <c r="G251" s="1082"/>
      <c r="R251" s="706"/>
    </row>
    <row r="252" spans="7:18" ht="15" customHeight="1">
      <c r="G252" s="1082"/>
      <c r="R252" s="706"/>
    </row>
    <row r="253" spans="7:18" ht="15" customHeight="1">
      <c r="G253" s="1082"/>
      <c r="R253" s="706"/>
    </row>
    <row r="254" spans="7:18" ht="15" customHeight="1">
      <c r="G254" s="1082"/>
      <c r="R254" s="706"/>
    </row>
    <row r="255" spans="7:18" ht="15" customHeight="1">
      <c r="G255" s="1082"/>
      <c r="R255" s="706"/>
    </row>
    <row r="256" spans="7:18" ht="15" customHeight="1">
      <c r="G256" s="1082"/>
      <c r="R256" s="706"/>
    </row>
    <row r="257" spans="7:18" ht="15" customHeight="1">
      <c r="G257" s="1082"/>
      <c r="R257" s="706"/>
    </row>
    <row r="258" spans="7:18" ht="15" customHeight="1">
      <c r="G258" s="1082"/>
      <c r="R258" s="706"/>
    </row>
    <row r="259" spans="7:18" ht="15" customHeight="1">
      <c r="G259" s="1082"/>
      <c r="R259" s="706"/>
    </row>
    <row r="260" spans="7:18" ht="15" customHeight="1">
      <c r="G260" s="1082"/>
      <c r="R260" s="706"/>
    </row>
    <row r="261" spans="7:18" ht="15" customHeight="1">
      <c r="G261" s="1082"/>
      <c r="R261" s="706"/>
    </row>
    <row r="262" spans="7:18" ht="15" customHeight="1">
      <c r="G262" s="1082"/>
      <c r="R262" s="706"/>
    </row>
    <row r="263" spans="7:18" ht="15" customHeight="1">
      <c r="G263" s="1082"/>
      <c r="R263" s="706"/>
    </row>
    <row r="264" spans="7:18" ht="15" customHeight="1">
      <c r="G264" s="1082"/>
      <c r="R264" s="706"/>
    </row>
    <row r="265" spans="7:18" ht="15" customHeight="1">
      <c r="G265" s="1082"/>
      <c r="R265" s="706"/>
    </row>
    <row r="266" spans="7:18" ht="15" customHeight="1">
      <c r="G266" s="1082"/>
      <c r="R266" s="706"/>
    </row>
    <row r="267" spans="7:18" ht="15" customHeight="1">
      <c r="G267" s="1082"/>
      <c r="R267" s="706"/>
    </row>
    <row r="268" spans="7:18" ht="15" customHeight="1">
      <c r="G268" s="1082"/>
      <c r="R268" s="706"/>
    </row>
    <row r="269" spans="7:18" ht="15" customHeight="1">
      <c r="G269" s="1082"/>
      <c r="R269" s="706"/>
    </row>
    <row r="270" spans="7:18" ht="15" customHeight="1">
      <c r="G270" s="1082"/>
      <c r="R270" s="706"/>
    </row>
    <row r="271" spans="7:18" ht="15" customHeight="1">
      <c r="G271" s="1082"/>
      <c r="R271" s="706"/>
    </row>
    <row r="272" spans="7:18" ht="15" customHeight="1">
      <c r="G272" s="1082"/>
      <c r="R272" s="706"/>
    </row>
    <row r="273" spans="7:18" ht="15" customHeight="1">
      <c r="G273" s="1082"/>
      <c r="R273" s="706"/>
    </row>
    <row r="274" spans="7:18" ht="15" customHeight="1">
      <c r="G274" s="1082"/>
      <c r="R274" s="706"/>
    </row>
    <row r="275" spans="7:18" ht="15" customHeight="1">
      <c r="G275" s="1082"/>
      <c r="R275" s="706"/>
    </row>
    <row r="276" spans="7:18" ht="15" customHeight="1">
      <c r="G276" s="1082"/>
      <c r="R276" s="706"/>
    </row>
    <row r="277" spans="7:18" ht="15" customHeight="1">
      <c r="G277" s="1082"/>
      <c r="R277" s="706"/>
    </row>
    <row r="278" spans="7:18" ht="15" customHeight="1">
      <c r="G278" s="1082"/>
      <c r="R278" s="706"/>
    </row>
    <row r="279" spans="7:18" ht="15" customHeight="1">
      <c r="G279" s="1082"/>
      <c r="R279" s="706"/>
    </row>
    <row r="280" spans="7:18" ht="15" customHeight="1">
      <c r="G280" s="1082"/>
      <c r="R280" s="706"/>
    </row>
    <row r="281" spans="7:18" ht="15" customHeight="1">
      <c r="G281" s="1082"/>
      <c r="R281" s="706"/>
    </row>
    <row r="282" spans="7:18" ht="15" customHeight="1">
      <c r="G282" s="1082"/>
      <c r="R282" s="706"/>
    </row>
    <row r="283" spans="7:18" ht="15" customHeight="1">
      <c r="G283" s="1082"/>
      <c r="R283" s="706"/>
    </row>
    <row r="284" spans="7:18" ht="15" customHeight="1">
      <c r="G284" s="1082"/>
      <c r="R284" s="706"/>
    </row>
    <row r="285" spans="7:18" ht="15" customHeight="1">
      <c r="G285" s="1082"/>
      <c r="R285" s="706"/>
    </row>
    <row r="286" spans="7:18" ht="15" customHeight="1">
      <c r="G286" s="1082"/>
      <c r="R286" s="706"/>
    </row>
    <row r="287" spans="7:18" ht="15" customHeight="1">
      <c r="G287" s="1082"/>
      <c r="R287" s="706"/>
    </row>
    <row r="288" spans="7:18" ht="15" customHeight="1">
      <c r="G288" s="1082"/>
      <c r="R288" s="706"/>
    </row>
    <row r="289" spans="7:18" ht="15" customHeight="1">
      <c r="G289" s="1082"/>
      <c r="R289" s="706"/>
    </row>
    <row r="290" spans="7:18" ht="15" customHeight="1">
      <c r="G290" s="1082"/>
      <c r="R290" s="706"/>
    </row>
    <row r="291" spans="7:18" ht="15" customHeight="1">
      <c r="G291" s="1082"/>
      <c r="R291" s="706"/>
    </row>
    <row r="292" spans="7:18" ht="15" customHeight="1">
      <c r="G292" s="1082"/>
      <c r="R292" s="706"/>
    </row>
    <row r="293" spans="7:18" ht="15" customHeight="1">
      <c r="G293" s="1082"/>
      <c r="R293" s="706"/>
    </row>
    <row r="294" spans="7:18" ht="15" customHeight="1">
      <c r="G294" s="1082"/>
      <c r="R294" s="706"/>
    </row>
    <row r="295" spans="7:18" ht="15" customHeight="1">
      <c r="G295" s="1082"/>
      <c r="R295" s="706"/>
    </row>
    <row r="296" spans="7:18" ht="15" customHeight="1">
      <c r="G296" s="1082"/>
      <c r="R296" s="706"/>
    </row>
    <row r="297" spans="7:18" ht="15" customHeight="1">
      <c r="G297" s="1082"/>
      <c r="R297" s="706"/>
    </row>
    <row r="298" spans="7:18" ht="15" customHeight="1">
      <c r="G298" s="1082"/>
      <c r="R298" s="706"/>
    </row>
    <row r="299" spans="7:18" ht="15" customHeight="1">
      <c r="G299" s="1082"/>
      <c r="R299" s="706"/>
    </row>
    <row r="300" spans="7:18" ht="15" customHeight="1">
      <c r="G300" s="1082"/>
      <c r="R300" s="706"/>
    </row>
    <row r="301" spans="7:18" ht="15" customHeight="1">
      <c r="G301" s="1082"/>
      <c r="R301" s="706"/>
    </row>
    <row r="302" spans="7:18" ht="15" customHeight="1">
      <c r="G302" s="1082"/>
      <c r="R302" s="706"/>
    </row>
    <row r="303" spans="7:18" ht="15" customHeight="1">
      <c r="G303" s="1082"/>
      <c r="R303" s="706"/>
    </row>
    <row r="304" spans="7:18" ht="15" customHeight="1">
      <c r="G304" s="1082"/>
      <c r="R304" s="706"/>
    </row>
    <row r="305" spans="7:18" ht="15" customHeight="1">
      <c r="G305" s="1082"/>
      <c r="R305" s="706"/>
    </row>
    <row r="306" spans="7:18" ht="15" customHeight="1">
      <c r="G306" s="1082"/>
      <c r="R306" s="706"/>
    </row>
    <row r="307" spans="7:18" ht="15" customHeight="1">
      <c r="G307" s="1082"/>
      <c r="R307" s="706"/>
    </row>
    <row r="308" spans="7:18" ht="15" customHeight="1">
      <c r="G308" s="1082"/>
      <c r="R308" s="706"/>
    </row>
    <row r="309" spans="7:18" ht="15" customHeight="1">
      <c r="G309" s="1082"/>
      <c r="R309" s="706"/>
    </row>
    <row r="310" spans="7:18" ht="15" customHeight="1">
      <c r="G310" s="1082"/>
      <c r="R310" s="706"/>
    </row>
    <row r="311" spans="7:18" ht="15" customHeight="1">
      <c r="G311" s="1082"/>
      <c r="R311" s="706"/>
    </row>
    <row r="312" spans="7:18" ht="15" customHeight="1">
      <c r="G312" s="1082"/>
      <c r="R312" s="706"/>
    </row>
    <row r="313" spans="7:18" ht="15" customHeight="1">
      <c r="G313" s="1082"/>
      <c r="R313" s="706"/>
    </row>
    <row r="314" spans="7:18" ht="15" customHeight="1">
      <c r="G314" s="1082"/>
      <c r="R314" s="706"/>
    </row>
    <row r="315" spans="7:18" ht="15" customHeight="1">
      <c r="G315" s="1082"/>
      <c r="R315" s="706"/>
    </row>
    <row r="316" spans="7:18" ht="15" customHeight="1">
      <c r="G316" s="1082"/>
      <c r="R316" s="706"/>
    </row>
    <row r="317" spans="7:18" ht="15" customHeight="1">
      <c r="G317" s="1082"/>
      <c r="R317" s="706"/>
    </row>
    <row r="318" spans="7:18" ht="15" customHeight="1">
      <c r="G318" s="1082"/>
      <c r="R318" s="706"/>
    </row>
    <row r="319" spans="7:18" ht="15" customHeight="1">
      <c r="G319" s="1082"/>
      <c r="R319" s="706"/>
    </row>
    <row r="320" spans="7:18" ht="15" customHeight="1">
      <c r="G320" s="1082"/>
      <c r="R320" s="706"/>
    </row>
    <row r="321" spans="7:18" ht="15" customHeight="1">
      <c r="G321" s="1082"/>
      <c r="R321" s="706"/>
    </row>
    <row r="322" spans="7:18" ht="15" customHeight="1">
      <c r="G322" s="1082"/>
      <c r="R322" s="706"/>
    </row>
    <row r="323" spans="7:18" ht="15" customHeight="1">
      <c r="G323" s="1082"/>
      <c r="R323" s="706"/>
    </row>
    <row r="324" spans="7:18" ht="15" customHeight="1">
      <c r="G324" s="1082"/>
      <c r="R324" s="706"/>
    </row>
    <row r="325" spans="7:18" ht="15" customHeight="1">
      <c r="G325" s="1082"/>
      <c r="R325" s="706"/>
    </row>
    <row r="326" spans="7:18" ht="15" customHeight="1">
      <c r="G326" s="1082"/>
      <c r="R326" s="706"/>
    </row>
    <row r="327" spans="7:18" ht="15" customHeight="1">
      <c r="G327" s="1082"/>
      <c r="R327" s="706"/>
    </row>
    <row r="328" spans="7:18" ht="15" customHeight="1">
      <c r="G328" s="1082"/>
      <c r="R328" s="706"/>
    </row>
    <row r="329" spans="7:18" ht="15" customHeight="1">
      <c r="G329" s="1082"/>
      <c r="R329" s="706"/>
    </row>
    <row r="330" spans="7:18" ht="15" customHeight="1">
      <c r="G330" s="1082"/>
      <c r="R330" s="706"/>
    </row>
    <row r="331" spans="7:18" ht="15" customHeight="1">
      <c r="G331" s="1082"/>
      <c r="R331" s="706"/>
    </row>
    <row r="332" spans="7:18" ht="15" customHeight="1">
      <c r="G332" s="1082"/>
      <c r="R332" s="706"/>
    </row>
    <row r="333" spans="7:18" ht="15" customHeight="1">
      <c r="G333" s="1082"/>
      <c r="R333" s="706"/>
    </row>
    <row r="334" spans="7:18" ht="15" customHeight="1">
      <c r="G334" s="1082"/>
      <c r="R334" s="706"/>
    </row>
    <row r="335" spans="7:18" ht="15" customHeight="1">
      <c r="G335" s="1082"/>
      <c r="R335" s="706"/>
    </row>
    <row r="336" spans="7:18" ht="15" customHeight="1">
      <c r="G336" s="1082"/>
      <c r="R336" s="706"/>
    </row>
    <row r="337" spans="7:18" ht="15" customHeight="1">
      <c r="G337" s="1082"/>
      <c r="R337" s="706"/>
    </row>
    <row r="338" spans="7:18" ht="15" customHeight="1">
      <c r="G338" s="1082"/>
      <c r="R338" s="706"/>
    </row>
    <row r="339" spans="7:18" ht="15" customHeight="1">
      <c r="G339" s="1082"/>
      <c r="R339" s="706"/>
    </row>
    <row r="340" spans="7:18" ht="15" customHeight="1">
      <c r="G340" s="1082"/>
      <c r="R340" s="706"/>
    </row>
    <row r="341" spans="7:18" ht="15" customHeight="1">
      <c r="G341" s="1082"/>
      <c r="R341" s="706"/>
    </row>
    <row r="342" spans="7:18" ht="15" customHeight="1">
      <c r="G342" s="1082"/>
      <c r="R342" s="706"/>
    </row>
    <row r="343" spans="7:18" ht="15" customHeight="1">
      <c r="G343" s="1082"/>
      <c r="R343" s="706"/>
    </row>
    <row r="344" spans="7:18" ht="15" customHeight="1">
      <c r="G344" s="1082"/>
      <c r="R344" s="706"/>
    </row>
    <row r="345" spans="7:18" ht="15" customHeight="1">
      <c r="G345" s="1082"/>
      <c r="R345" s="706"/>
    </row>
    <row r="346" spans="7:18" ht="15" customHeight="1">
      <c r="G346" s="1082"/>
      <c r="R346" s="706"/>
    </row>
    <row r="347" spans="7:18" ht="15" customHeight="1">
      <c r="G347" s="1082"/>
      <c r="R347" s="706"/>
    </row>
    <row r="348" spans="7:18" ht="15" customHeight="1">
      <c r="G348" s="1082"/>
      <c r="R348" s="706"/>
    </row>
    <row r="349" spans="7:18" ht="15" customHeight="1">
      <c r="G349" s="1082"/>
      <c r="R349" s="706"/>
    </row>
    <row r="350" spans="7:18" ht="15" customHeight="1">
      <c r="G350" s="1082"/>
      <c r="R350" s="706"/>
    </row>
    <row r="351" spans="7:18" ht="15" customHeight="1">
      <c r="G351" s="1082"/>
      <c r="R351" s="706"/>
    </row>
    <row r="352" spans="7:18" ht="15" customHeight="1">
      <c r="G352" s="1082"/>
      <c r="R352" s="706"/>
    </row>
    <row r="353" spans="7:18" ht="15" customHeight="1">
      <c r="G353" s="1082"/>
      <c r="R353" s="706"/>
    </row>
    <row r="354" spans="7:18" ht="15" customHeight="1">
      <c r="G354" s="1082"/>
      <c r="R354" s="706"/>
    </row>
    <row r="355" spans="7:18" ht="15" customHeight="1">
      <c r="G355" s="1082"/>
      <c r="R355" s="706"/>
    </row>
    <row r="356" spans="7:18" ht="15" customHeight="1">
      <c r="G356" s="1082"/>
      <c r="R356" s="706"/>
    </row>
    <row r="357" spans="7:18" ht="15" customHeight="1">
      <c r="G357" s="1082"/>
      <c r="R357" s="706"/>
    </row>
    <row r="358" spans="7:18" ht="15" customHeight="1">
      <c r="G358" s="1082"/>
      <c r="R358" s="706"/>
    </row>
    <row r="359" spans="7:18" ht="15" customHeight="1">
      <c r="G359" s="1082"/>
      <c r="R359" s="706"/>
    </row>
    <row r="360" spans="7:18" ht="15" customHeight="1">
      <c r="G360" s="1082"/>
      <c r="R360" s="706"/>
    </row>
    <row r="361" spans="7:18" ht="15" customHeight="1">
      <c r="G361" s="1082"/>
      <c r="R361" s="706"/>
    </row>
    <row r="362" spans="7:18" ht="15" customHeight="1">
      <c r="G362" s="1082"/>
      <c r="R362" s="706"/>
    </row>
    <row r="363" spans="7:18" ht="15" customHeight="1">
      <c r="G363" s="1082"/>
      <c r="R363" s="706"/>
    </row>
    <row r="364" spans="7:18" ht="15" customHeight="1">
      <c r="G364" s="1082"/>
      <c r="R364" s="706"/>
    </row>
    <row r="365" spans="7:18" ht="15" customHeight="1">
      <c r="G365" s="1082"/>
      <c r="R365" s="706"/>
    </row>
    <row r="366" spans="7:18" ht="15" customHeight="1">
      <c r="G366" s="1082"/>
      <c r="R366" s="706"/>
    </row>
    <row r="367" spans="7:18" ht="15" customHeight="1">
      <c r="G367" s="1082"/>
      <c r="R367" s="706"/>
    </row>
    <row r="368" spans="7:18" ht="15" customHeight="1">
      <c r="G368" s="1082"/>
      <c r="R368" s="706"/>
    </row>
    <row r="369" spans="7:18" ht="15" customHeight="1">
      <c r="G369" s="1082"/>
      <c r="R369" s="706"/>
    </row>
    <row r="370" spans="7:18" ht="15" customHeight="1">
      <c r="G370" s="1082"/>
      <c r="R370" s="706"/>
    </row>
    <row r="371" spans="7:18" ht="15" customHeight="1">
      <c r="G371" s="1082"/>
      <c r="R371" s="706"/>
    </row>
    <row r="372" spans="7:18" ht="15" customHeight="1">
      <c r="G372" s="1082"/>
      <c r="R372" s="706"/>
    </row>
    <row r="373" spans="7:18" ht="15" customHeight="1">
      <c r="G373" s="1082"/>
      <c r="R373" s="706"/>
    </row>
    <row r="374" spans="7:18" ht="15" customHeight="1">
      <c r="G374" s="1082"/>
      <c r="R374" s="706"/>
    </row>
    <row r="375" spans="7:18" ht="15" customHeight="1">
      <c r="G375" s="1082"/>
      <c r="R375" s="706"/>
    </row>
    <row r="376" spans="7:18" ht="15" customHeight="1">
      <c r="G376" s="1082"/>
      <c r="R376" s="706"/>
    </row>
    <row r="377" spans="7:18" ht="15" customHeight="1">
      <c r="G377" s="1082"/>
      <c r="R377" s="706"/>
    </row>
    <row r="378" spans="7:18" ht="15" customHeight="1">
      <c r="G378" s="1082"/>
      <c r="R378" s="706"/>
    </row>
    <row r="379" spans="7:18" ht="15" customHeight="1">
      <c r="G379" s="1082"/>
      <c r="R379" s="706"/>
    </row>
    <row r="380" spans="7:18" ht="15" customHeight="1">
      <c r="G380" s="1082"/>
      <c r="R380" s="706"/>
    </row>
    <row r="381" spans="7:18" ht="15" customHeight="1">
      <c r="G381" s="1082"/>
      <c r="R381" s="706"/>
    </row>
    <row r="382" spans="7:18" ht="15" customHeight="1">
      <c r="G382" s="1082"/>
      <c r="R382" s="706"/>
    </row>
    <row r="383" spans="7:18" ht="15" customHeight="1">
      <c r="G383" s="1082"/>
      <c r="R383" s="706"/>
    </row>
    <row r="384" spans="7:18" ht="15" customHeight="1">
      <c r="G384" s="1082"/>
      <c r="R384" s="706"/>
    </row>
    <row r="385" spans="7:18" ht="15" customHeight="1">
      <c r="G385" s="1082"/>
      <c r="R385" s="706"/>
    </row>
    <row r="386" spans="7:18" ht="15" customHeight="1">
      <c r="G386" s="1082"/>
      <c r="R386" s="706"/>
    </row>
    <row r="387" spans="7:18" ht="15" customHeight="1">
      <c r="G387" s="1082"/>
      <c r="R387" s="706"/>
    </row>
    <row r="388" spans="7:18" ht="15" customHeight="1">
      <c r="G388" s="1082"/>
      <c r="R388" s="706"/>
    </row>
    <row r="389" spans="7:18" ht="15" customHeight="1">
      <c r="G389" s="1082"/>
      <c r="R389" s="706"/>
    </row>
    <row r="390" spans="7:18" ht="15" customHeight="1">
      <c r="G390" s="1082"/>
      <c r="R390" s="706"/>
    </row>
    <row r="391" spans="7:18" ht="15" customHeight="1">
      <c r="G391" s="1082"/>
      <c r="R391" s="706"/>
    </row>
    <row r="392" spans="7:18" ht="15" customHeight="1">
      <c r="G392" s="1082"/>
      <c r="R392" s="706"/>
    </row>
    <row r="393" spans="7:18" ht="15" customHeight="1">
      <c r="G393" s="1082"/>
      <c r="R393" s="706"/>
    </row>
    <row r="394" spans="7:18" ht="15" customHeight="1">
      <c r="G394" s="1082"/>
      <c r="R394" s="706"/>
    </row>
    <row r="395" spans="7:18" ht="15" customHeight="1">
      <c r="G395" s="1082"/>
      <c r="R395" s="706"/>
    </row>
    <row r="396" spans="7:18" ht="15" customHeight="1">
      <c r="G396" s="1082"/>
      <c r="R396" s="706"/>
    </row>
    <row r="397" spans="7:18" ht="15" customHeight="1">
      <c r="G397" s="1082"/>
      <c r="R397" s="706"/>
    </row>
    <row r="398" spans="7:18" ht="15" customHeight="1">
      <c r="G398" s="1082"/>
      <c r="R398" s="706"/>
    </row>
    <row r="399" spans="7:18" ht="15" customHeight="1">
      <c r="G399" s="1082"/>
      <c r="R399" s="706"/>
    </row>
    <row r="400" spans="7:18" ht="15" customHeight="1">
      <c r="G400" s="1082"/>
      <c r="R400" s="706"/>
    </row>
    <row r="401" spans="7:18" ht="15" customHeight="1">
      <c r="G401" s="1082"/>
      <c r="R401" s="706"/>
    </row>
    <row r="402" spans="7:18" ht="15" customHeight="1">
      <c r="G402" s="1082"/>
      <c r="R402" s="706"/>
    </row>
    <row r="403" spans="7:18" ht="15" customHeight="1">
      <c r="G403" s="1082"/>
      <c r="R403" s="706"/>
    </row>
    <row r="404" spans="7:18" ht="15" customHeight="1">
      <c r="G404" s="1082"/>
      <c r="R404" s="706"/>
    </row>
    <row r="405" spans="7:18" ht="15" customHeight="1">
      <c r="G405" s="1082"/>
      <c r="R405" s="706"/>
    </row>
    <row r="406" spans="7:18" ht="15" customHeight="1">
      <c r="G406" s="1082"/>
      <c r="R406" s="706"/>
    </row>
    <row r="407" spans="7:18" ht="15" customHeight="1">
      <c r="G407" s="1082"/>
      <c r="R407" s="706"/>
    </row>
    <row r="408" spans="7:18" ht="15" customHeight="1">
      <c r="G408" s="1082"/>
      <c r="R408" s="706"/>
    </row>
    <row r="409" spans="7:18" ht="15" customHeight="1">
      <c r="G409" s="1082"/>
      <c r="R409" s="706"/>
    </row>
    <row r="410" spans="7:18" ht="15" customHeight="1">
      <c r="G410" s="1082"/>
      <c r="R410" s="706"/>
    </row>
    <row r="411" spans="7:18" ht="15" customHeight="1">
      <c r="G411" s="1082"/>
      <c r="R411" s="706"/>
    </row>
    <row r="412" spans="7:18" ht="15" customHeight="1">
      <c r="G412" s="1082"/>
      <c r="R412" s="706"/>
    </row>
    <row r="413" spans="7:18" ht="15" customHeight="1">
      <c r="G413" s="1082"/>
      <c r="R413" s="706"/>
    </row>
    <row r="414" spans="7:18" ht="15" customHeight="1">
      <c r="G414" s="1082"/>
      <c r="R414" s="706"/>
    </row>
    <row r="415" spans="7:18" ht="15" customHeight="1">
      <c r="G415" s="1082"/>
      <c r="R415" s="706"/>
    </row>
    <row r="416" spans="7:18" ht="15" customHeight="1">
      <c r="G416" s="1082"/>
      <c r="R416" s="706"/>
    </row>
    <row r="417" spans="7:18" ht="15" customHeight="1">
      <c r="G417" s="1082"/>
      <c r="R417" s="706"/>
    </row>
    <row r="418" spans="7:18" ht="15" customHeight="1">
      <c r="G418" s="1082"/>
      <c r="R418" s="706"/>
    </row>
    <row r="419" spans="7:18" ht="15" customHeight="1">
      <c r="G419" s="1082"/>
      <c r="R419" s="706"/>
    </row>
    <row r="420" spans="7:18" ht="15" customHeight="1">
      <c r="G420" s="1082"/>
      <c r="R420" s="706"/>
    </row>
    <row r="421" spans="7:18" ht="15" customHeight="1">
      <c r="G421" s="1082"/>
      <c r="R421" s="706"/>
    </row>
    <row r="422" spans="7:18" ht="15" customHeight="1">
      <c r="G422" s="1082"/>
      <c r="R422" s="706"/>
    </row>
    <row r="423" spans="7:18" ht="15" customHeight="1">
      <c r="G423" s="1082"/>
      <c r="R423" s="706"/>
    </row>
    <row r="424" spans="7:18" ht="15" customHeight="1">
      <c r="G424" s="1082"/>
      <c r="R424" s="706"/>
    </row>
    <row r="425" spans="7:18" ht="15" customHeight="1">
      <c r="G425" s="1082"/>
      <c r="R425" s="706"/>
    </row>
    <row r="426" spans="7:18" ht="15" customHeight="1">
      <c r="G426" s="1082"/>
      <c r="R426" s="706"/>
    </row>
    <row r="427" spans="7:18" ht="15" customHeight="1">
      <c r="G427" s="1082"/>
      <c r="R427" s="706"/>
    </row>
    <row r="428" spans="7:18" ht="15" customHeight="1">
      <c r="G428" s="1082"/>
      <c r="R428" s="706"/>
    </row>
    <row r="429" spans="7:18" ht="15" customHeight="1">
      <c r="G429" s="1082"/>
      <c r="R429" s="706"/>
    </row>
    <row r="430" spans="7:18" ht="15" customHeight="1">
      <c r="G430" s="1082"/>
      <c r="R430" s="706"/>
    </row>
    <row r="431" spans="7:18" ht="15" customHeight="1">
      <c r="G431" s="1082"/>
      <c r="R431" s="706"/>
    </row>
    <row r="432" spans="7:18" ht="15" customHeight="1">
      <c r="G432" s="1082"/>
      <c r="R432" s="706"/>
    </row>
    <row r="433" spans="7:18" ht="15" customHeight="1">
      <c r="G433" s="1082"/>
      <c r="R433" s="706"/>
    </row>
    <row r="434" spans="7:18" ht="15" customHeight="1">
      <c r="G434" s="1082"/>
      <c r="R434" s="706"/>
    </row>
    <row r="435" spans="7:18" ht="15" customHeight="1">
      <c r="G435" s="1082"/>
      <c r="R435" s="706"/>
    </row>
    <row r="436" spans="7:18" ht="15" customHeight="1">
      <c r="G436" s="1082"/>
      <c r="R436" s="706"/>
    </row>
    <row r="437" spans="7:18" ht="15" customHeight="1">
      <c r="G437" s="1082"/>
      <c r="R437" s="706"/>
    </row>
    <row r="438" spans="7:18" ht="15" customHeight="1">
      <c r="G438" s="1082"/>
      <c r="R438" s="706"/>
    </row>
    <row r="439" spans="7:18" ht="15" customHeight="1">
      <c r="G439" s="1082"/>
      <c r="R439" s="706"/>
    </row>
    <row r="440" spans="7:18" ht="15" customHeight="1">
      <c r="G440" s="1082"/>
      <c r="R440" s="706"/>
    </row>
    <row r="441" spans="7:18" ht="15" customHeight="1">
      <c r="G441" s="1082"/>
      <c r="R441" s="706"/>
    </row>
    <row r="442" spans="7:18" ht="15" customHeight="1">
      <c r="G442" s="1082"/>
      <c r="R442" s="706"/>
    </row>
    <row r="443" spans="7:18" ht="15" customHeight="1">
      <c r="G443" s="1082"/>
      <c r="R443" s="706"/>
    </row>
    <row r="444" spans="7:18" ht="15" customHeight="1">
      <c r="G444" s="1082"/>
      <c r="R444" s="706"/>
    </row>
    <row r="445" spans="7:18" ht="15" customHeight="1">
      <c r="G445" s="1082"/>
      <c r="R445" s="706"/>
    </row>
    <row r="446" spans="7:18" ht="15" customHeight="1">
      <c r="G446" s="1082"/>
      <c r="R446" s="706"/>
    </row>
    <row r="447" spans="7:18" ht="15" customHeight="1">
      <c r="G447" s="1082"/>
      <c r="R447" s="706"/>
    </row>
    <row r="448" spans="7:18" ht="15" customHeight="1">
      <c r="G448" s="1082"/>
      <c r="R448" s="706"/>
    </row>
    <row r="449" spans="7:18" ht="15" customHeight="1">
      <c r="G449" s="1082"/>
      <c r="R449" s="706"/>
    </row>
    <row r="450" spans="7:18" ht="15" customHeight="1">
      <c r="G450" s="1082"/>
      <c r="R450" s="706"/>
    </row>
    <row r="451" spans="7:18" ht="15" customHeight="1">
      <c r="G451" s="1082"/>
      <c r="R451" s="706"/>
    </row>
    <row r="452" spans="7:18" ht="15" customHeight="1">
      <c r="G452" s="1082"/>
      <c r="R452" s="706"/>
    </row>
    <row r="453" spans="7:18" ht="15" customHeight="1">
      <c r="G453" s="1082"/>
      <c r="R453" s="706"/>
    </row>
    <row r="454" spans="7:18" ht="15" customHeight="1">
      <c r="G454" s="1082"/>
      <c r="R454" s="706"/>
    </row>
    <row r="455" spans="7:18" ht="15" customHeight="1">
      <c r="G455" s="1082"/>
      <c r="R455" s="706"/>
    </row>
    <row r="456" spans="7:18" ht="15" customHeight="1">
      <c r="G456" s="1082"/>
      <c r="R456" s="706"/>
    </row>
    <row r="457" spans="7:18" ht="15" customHeight="1">
      <c r="G457" s="1082"/>
      <c r="R457" s="706"/>
    </row>
    <row r="458" spans="7:18" ht="15" customHeight="1">
      <c r="G458" s="1082"/>
      <c r="R458" s="706"/>
    </row>
    <row r="459" spans="7:18" ht="15" customHeight="1">
      <c r="G459" s="1082"/>
      <c r="R459" s="706"/>
    </row>
    <row r="460" spans="7:18" ht="15" customHeight="1">
      <c r="G460" s="1082"/>
      <c r="R460" s="706"/>
    </row>
    <row r="461" spans="7:18" ht="15" customHeight="1">
      <c r="G461" s="1082"/>
      <c r="R461" s="706"/>
    </row>
    <row r="462" spans="7:18" ht="15" customHeight="1">
      <c r="G462" s="1082"/>
      <c r="R462" s="706"/>
    </row>
    <row r="463" spans="7:18" ht="15" customHeight="1">
      <c r="G463" s="1082"/>
      <c r="R463" s="706"/>
    </row>
    <row r="464" spans="7:18" ht="15" customHeight="1">
      <c r="G464" s="1082"/>
      <c r="R464" s="706"/>
    </row>
    <row r="465" spans="7:18" ht="15" customHeight="1">
      <c r="G465" s="1082"/>
      <c r="R465" s="706"/>
    </row>
    <row r="466" spans="7:18" ht="15" customHeight="1">
      <c r="G466" s="1082"/>
      <c r="R466" s="706"/>
    </row>
    <row r="467" spans="7:18" ht="15" customHeight="1">
      <c r="G467" s="1082"/>
      <c r="R467" s="706"/>
    </row>
    <row r="468" spans="7:18" ht="15" customHeight="1">
      <c r="G468" s="1082"/>
      <c r="R468" s="706"/>
    </row>
    <row r="469" spans="7:18" ht="15" customHeight="1">
      <c r="G469" s="1082"/>
      <c r="R469" s="706"/>
    </row>
    <row r="470" spans="7:18" ht="15" customHeight="1">
      <c r="G470" s="1082"/>
      <c r="R470" s="706"/>
    </row>
    <row r="471" spans="7:18" ht="15" customHeight="1">
      <c r="G471" s="1082"/>
      <c r="R471" s="706"/>
    </row>
    <row r="472" spans="7:18" ht="15" customHeight="1">
      <c r="G472" s="1082"/>
      <c r="R472" s="706"/>
    </row>
    <row r="473" spans="7:18" ht="15" customHeight="1">
      <c r="G473" s="1082"/>
      <c r="R473" s="706"/>
    </row>
    <row r="474" spans="7:18" ht="15" customHeight="1">
      <c r="G474" s="1082"/>
      <c r="R474" s="706"/>
    </row>
    <row r="475" spans="7:18" ht="15" customHeight="1">
      <c r="G475" s="1082"/>
      <c r="R475" s="706"/>
    </row>
    <row r="476" spans="7:18" ht="15" customHeight="1">
      <c r="G476" s="1082"/>
      <c r="R476" s="706"/>
    </row>
    <row r="477" spans="7:18" ht="15" customHeight="1">
      <c r="G477" s="1082"/>
      <c r="R477" s="706"/>
    </row>
    <row r="478" spans="7:18" ht="15" customHeight="1">
      <c r="G478" s="1082"/>
      <c r="R478" s="706"/>
    </row>
    <row r="479" spans="7:18" ht="15" customHeight="1">
      <c r="G479" s="1082"/>
      <c r="R479" s="706"/>
    </row>
    <row r="480" spans="7:18" ht="15" customHeight="1">
      <c r="G480" s="1082"/>
      <c r="R480" s="706"/>
    </row>
    <row r="481" spans="7:18" ht="15" customHeight="1">
      <c r="G481" s="1082"/>
      <c r="R481" s="706"/>
    </row>
    <row r="482" spans="7:18" ht="15" customHeight="1">
      <c r="G482" s="1082"/>
      <c r="R482" s="706"/>
    </row>
    <row r="483" spans="7:18" ht="15" customHeight="1">
      <c r="G483" s="1082"/>
      <c r="R483" s="706"/>
    </row>
    <row r="484" spans="7:18" ht="15" customHeight="1">
      <c r="G484" s="1082"/>
      <c r="R484" s="706"/>
    </row>
    <row r="485" spans="7:18" ht="15" customHeight="1">
      <c r="G485" s="1082"/>
      <c r="R485" s="706"/>
    </row>
    <row r="486" spans="7:18" ht="15" customHeight="1">
      <c r="G486" s="1082"/>
      <c r="R486" s="706"/>
    </row>
    <row r="487" spans="7:18" ht="15" customHeight="1">
      <c r="G487" s="1082"/>
      <c r="R487" s="706"/>
    </row>
    <row r="488" spans="7:18" ht="15" customHeight="1">
      <c r="G488" s="1082"/>
      <c r="R488" s="706"/>
    </row>
    <row r="489" spans="7:18" ht="15" customHeight="1">
      <c r="G489" s="1082"/>
      <c r="R489" s="706"/>
    </row>
    <row r="490" spans="7:18" ht="15" customHeight="1">
      <c r="G490" s="1082"/>
      <c r="R490" s="706"/>
    </row>
    <row r="491" spans="7:18" ht="15" customHeight="1">
      <c r="G491" s="1082"/>
      <c r="R491" s="706"/>
    </row>
    <row r="492" spans="7:18" ht="15" customHeight="1">
      <c r="G492" s="1082"/>
      <c r="R492" s="706"/>
    </row>
    <row r="493" spans="7:18" ht="15" customHeight="1">
      <c r="G493" s="1082"/>
      <c r="R493" s="706"/>
    </row>
    <row r="494" spans="7:18" ht="15" customHeight="1">
      <c r="G494" s="1082"/>
      <c r="R494" s="706"/>
    </row>
    <row r="495" spans="7:18" ht="15" customHeight="1">
      <c r="G495" s="1082"/>
      <c r="R495" s="706"/>
    </row>
    <row r="496" spans="7:18" ht="15" customHeight="1">
      <c r="G496" s="1082"/>
      <c r="R496" s="706"/>
    </row>
    <row r="497" spans="7:18" ht="15" customHeight="1">
      <c r="G497" s="1082"/>
      <c r="R497" s="706"/>
    </row>
    <row r="498" spans="7:18" ht="15" customHeight="1">
      <c r="G498" s="1082"/>
      <c r="R498" s="706"/>
    </row>
    <row r="499" spans="7:18" ht="15" customHeight="1">
      <c r="G499" s="1082"/>
      <c r="R499" s="706"/>
    </row>
    <row r="500" spans="7:18" ht="15" customHeight="1">
      <c r="G500" s="1082"/>
      <c r="R500" s="706"/>
    </row>
    <row r="501" spans="7:18" ht="15" customHeight="1">
      <c r="G501" s="1082"/>
      <c r="R501" s="706"/>
    </row>
    <row r="502" spans="7:18" ht="15" customHeight="1">
      <c r="G502" s="1082"/>
      <c r="R502" s="706"/>
    </row>
    <row r="503" spans="7:18" ht="15" customHeight="1">
      <c r="G503" s="1082"/>
      <c r="R503" s="706"/>
    </row>
    <row r="504" spans="7:18" ht="15" customHeight="1">
      <c r="G504" s="1082"/>
      <c r="R504" s="706"/>
    </row>
    <row r="505" spans="7:18" ht="15" customHeight="1">
      <c r="G505" s="1082"/>
      <c r="R505" s="706"/>
    </row>
    <row r="506" spans="7:18" ht="15" customHeight="1">
      <c r="G506" s="1082"/>
      <c r="R506" s="706"/>
    </row>
    <row r="507" spans="7:18" ht="15" customHeight="1">
      <c r="R507" s="706"/>
    </row>
    <row r="508" spans="7:18" ht="15" customHeight="1">
      <c r="R508" s="706"/>
    </row>
    <row r="509" spans="7:18" ht="15" customHeight="1">
      <c r="R509" s="706"/>
    </row>
    <row r="510" spans="7:18" ht="15" customHeight="1">
      <c r="R510" s="706"/>
    </row>
    <row r="511" spans="7:18" ht="15" customHeight="1">
      <c r="R511" s="706"/>
    </row>
    <row r="512" spans="7:18" ht="15" customHeight="1">
      <c r="R512" s="706"/>
    </row>
    <row r="513" spans="18:18" ht="15" customHeight="1">
      <c r="R513" s="706"/>
    </row>
    <row r="514" spans="18:18" ht="15" customHeight="1">
      <c r="R514" s="706"/>
    </row>
    <row r="515" spans="18:18" ht="15" customHeight="1">
      <c r="R515" s="706"/>
    </row>
    <row r="516" spans="18:18" ht="15" customHeight="1">
      <c r="R516" s="706"/>
    </row>
    <row r="517" spans="18:18" ht="15" customHeight="1">
      <c r="R517" s="706"/>
    </row>
    <row r="518" spans="18:18" ht="15" customHeight="1">
      <c r="R518" s="706"/>
    </row>
    <row r="519" spans="18:18" ht="15" customHeight="1">
      <c r="R519" s="706"/>
    </row>
    <row r="520" spans="18:18" ht="15" customHeight="1">
      <c r="R520" s="706"/>
    </row>
    <row r="521" spans="18:18" ht="15" customHeight="1">
      <c r="R521" s="706"/>
    </row>
    <row r="522" spans="18:18" ht="15" customHeight="1">
      <c r="R522" s="706"/>
    </row>
    <row r="523" spans="18:18" ht="15" customHeight="1">
      <c r="R523" s="706"/>
    </row>
    <row r="524" spans="18:18" ht="15" customHeight="1">
      <c r="R524" s="706"/>
    </row>
    <row r="525" spans="18:18" ht="15" customHeight="1">
      <c r="R525" s="706"/>
    </row>
    <row r="526" spans="18:18" ht="15" customHeight="1">
      <c r="R526" s="706"/>
    </row>
    <row r="527" spans="18:18" ht="15" customHeight="1">
      <c r="R527" s="706"/>
    </row>
    <row r="528" spans="18:18" ht="15" customHeight="1">
      <c r="R528" s="706"/>
    </row>
    <row r="529" spans="18:18" ht="15" customHeight="1">
      <c r="R529" s="706"/>
    </row>
    <row r="530" spans="18:18" ht="15" customHeight="1">
      <c r="R530" s="706"/>
    </row>
    <row r="531" spans="18:18" ht="15" customHeight="1">
      <c r="R531" s="706"/>
    </row>
    <row r="532" spans="18:18" ht="15" customHeight="1">
      <c r="R532" s="706"/>
    </row>
    <row r="533" spans="18:18" ht="15" customHeight="1">
      <c r="R533" s="706"/>
    </row>
    <row r="534" spans="18:18" ht="15" customHeight="1">
      <c r="R534" s="706"/>
    </row>
    <row r="535" spans="18:18" ht="15" customHeight="1">
      <c r="R535" s="706"/>
    </row>
    <row r="536" spans="18:18" ht="15" customHeight="1">
      <c r="R536" s="706"/>
    </row>
    <row r="537" spans="18:18" ht="15" customHeight="1">
      <c r="R537" s="706"/>
    </row>
    <row r="538" spans="18:18" ht="15" customHeight="1">
      <c r="R538" s="706"/>
    </row>
    <row r="539" spans="18:18" ht="15" customHeight="1">
      <c r="R539" s="706"/>
    </row>
    <row r="540" spans="18:18" ht="15" customHeight="1">
      <c r="R540" s="706"/>
    </row>
    <row r="541" spans="18:18" ht="15" customHeight="1">
      <c r="R541" s="706"/>
    </row>
    <row r="542" spans="18:18" ht="15" customHeight="1">
      <c r="R542" s="706"/>
    </row>
    <row r="543" spans="18:18" ht="15" customHeight="1">
      <c r="R543" s="706"/>
    </row>
    <row r="544" spans="18:18" ht="15" customHeight="1">
      <c r="R544" s="706"/>
    </row>
    <row r="545" spans="18:18" ht="15" customHeight="1">
      <c r="R545" s="706"/>
    </row>
    <row r="546" spans="18:18" ht="15" customHeight="1">
      <c r="R546" s="706"/>
    </row>
    <row r="547" spans="18:18" ht="15" customHeight="1">
      <c r="R547" s="706"/>
    </row>
    <row r="548" spans="18:18" ht="15" customHeight="1">
      <c r="R548" s="706"/>
    </row>
    <row r="549" spans="18:18" ht="15" customHeight="1">
      <c r="R549" s="706"/>
    </row>
    <row r="550" spans="18:18" ht="15" customHeight="1">
      <c r="R550" s="706"/>
    </row>
    <row r="551" spans="18:18" ht="15" customHeight="1">
      <c r="R551" s="706"/>
    </row>
    <row r="552" spans="18:18" ht="15" customHeight="1">
      <c r="R552" s="706"/>
    </row>
    <row r="553" spans="18:18" ht="15" customHeight="1">
      <c r="R553" s="706"/>
    </row>
    <row r="554" spans="18:18" ht="15" customHeight="1">
      <c r="R554" s="706"/>
    </row>
    <row r="555" spans="18:18" ht="15" customHeight="1">
      <c r="R555" s="706"/>
    </row>
    <row r="556" spans="18:18" ht="15" customHeight="1">
      <c r="R556" s="706"/>
    </row>
    <row r="557" spans="18:18" ht="15" customHeight="1">
      <c r="R557" s="706"/>
    </row>
    <row r="558" spans="18:18" ht="15" customHeight="1">
      <c r="R558" s="706"/>
    </row>
    <row r="559" spans="18:18" ht="15" customHeight="1">
      <c r="R559" s="706"/>
    </row>
    <row r="560" spans="18:18" ht="15" customHeight="1">
      <c r="R560" s="706"/>
    </row>
    <row r="561" spans="18:18" ht="15" customHeight="1">
      <c r="R561" s="706"/>
    </row>
    <row r="562" spans="18:18" ht="15" customHeight="1">
      <c r="R562" s="706"/>
    </row>
    <row r="563" spans="18:18" ht="15" customHeight="1">
      <c r="R563" s="706"/>
    </row>
    <row r="564" spans="18:18" ht="15" customHeight="1">
      <c r="R564" s="706"/>
    </row>
    <row r="565" spans="18:18" ht="15" customHeight="1">
      <c r="R565" s="706"/>
    </row>
    <row r="566" spans="18:18" ht="15" customHeight="1">
      <c r="R566" s="706"/>
    </row>
    <row r="567" spans="18:18" ht="15" customHeight="1">
      <c r="R567" s="706"/>
    </row>
    <row r="568" spans="18:18" ht="15" customHeight="1">
      <c r="R568" s="706"/>
    </row>
    <row r="569" spans="18:18" ht="15" customHeight="1">
      <c r="R569" s="706"/>
    </row>
    <row r="570" spans="18:18" ht="15" customHeight="1">
      <c r="R570" s="706"/>
    </row>
    <row r="571" spans="18:18" ht="15" customHeight="1">
      <c r="R571" s="706"/>
    </row>
    <row r="572" spans="18:18" ht="15" customHeight="1">
      <c r="R572" s="706"/>
    </row>
    <row r="573" spans="18:18" ht="15" customHeight="1">
      <c r="R573" s="706"/>
    </row>
    <row r="574" spans="18:18" ht="15" customHeight="1">
      <c r="R574" s="706"/>
    </row>
    <row r="575" spans="18:18" ht="15" customHeight="1">
      <c r="R575" s="706"/>
    </row>
    <row r="576" spans="18:18" ht="15" customHeight="1">
      <c r="R576" s="706"/>
    </row>
    <row r="577" spans="18:18" ht="15" customHeight="1">
      <c r="R577" s="706"/>
    </row>
  </sheetData>
  <autoFilter ref="A3:AO112" xr:uid="{00000000-0009-0000-0000-00000C000000}"/>
  <mergeCells count="2">
    <mergeCell ref="AV5:BD5"/>
    <mergeCell ref="AV20:BA20"/>
  </mergeCells>
  <pageMargins left="0.7" right="0.7" top="0.75" bottom="0.75" header="0" footer="0"/>
  <pageSetup scale="14" fitToHeight="0" orientation="landscape" horizontalDpi="360" verticalDpi="360" r:id="rId1"/>
  <ignoredErrors>
    <ignoredError sqref="AJ3" formula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1BADE-DC5C-49DC-BA65-F51C160E0AA5}">
  <sheetPr>
    <tabColor rgb="FF00B050"/>
    <pageSetUpPr fitToPage="1"/>
  </sheetPr>
  <dimension ref="A1:BD451"/>
  <sheetViews>
    <sheetView showGridLines="0" zoomScale="80" zoomScaleNormal="80" workbookViewId="0">
      <pane xSplit="4" ySplit="3" topLeftCell="AV4" activePane="bottomRight" state="frozen"/>
      <selection activeCell="AW6" sqref="AW6:AX6"/>
      <selection pane="topRight" activeCell="AW6" sqref="AW6:AX6"/>
      <selection pane="bottomLeft" activeCell="AW6" sqref="AW6:AX6"/>
      <selection pane="bottomRight" activeCell="AW6" sqref="AW6:AX6"/>
    </sheetView>
  </sheetViews>
  <sheetFormatPr baseColWidth="10" defaultColWidth="14.44140625" defaultRowHeight="15" customHeight="1"/>
  <cols>
    <col min="1" max="1" width="14.5546875" customWidth="1"/>
    <col min="2" max="2" width="12.44140625" style="762" customWidth="1"/>
    <col min="3" max="3" width="11.6640625" style="762" customWidth="1"/>
    <col min="4" max="4" width="42.5546875" customWidth="1"/>
    <col min="5" max="5" width="13.109375" customWidth="1"/>
    <col min="6" max="6" width="17.33203125" customWidth="1"/>
    <col min="7" max="7" width="11.6640625" customWidth="1"/>
    <col min="8" max="8" width="11.44140625" style="762" customWidth="1"/>
    <col min="9" max="9" width="11.5546875" customWidth="1"/>
    <col min="10" max="10" width="10.66406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6.332031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0.88671875" customWidth="1"/>
    <col min="43" max="43" width="12.6640625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5636.9210000000003</v>
      </c>
      <c r="F1" s="1075" t="s">
        <v>1906</v>
      </c>
      <c r="G1" s="1076">
        <f>+$AM3</f>
        <v>510556.56851034006</v>
      </c>
      <c r="H1" s="1448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B2" s="1144"/>
      <c r="D2" s="1075" t="s">
        <v>1907</v>
      </c>
      <c r="E2" s="1076">
        <f>+AH3</f>
        <v>5082.3840000000009</v>
      </c>
      <c r="F2" s="1079" t="s">
        <v>1908</v>
      </c>
      <c r="G2" s="1080">
        <f>+Q2</f>
        <v>90.90871498690376</v>
      </c>
      <c r="H2" s="90"/>
      <c r="I2" s="1251">
        <f>SUBTOTAL(9,I4:I1237)</f>
        <v>568.4</v>
      </c>
      <c r="J2" s="81"/>
      <c r="K2" s="91">
        <f>SUBTOTAL(9,K4:K1237)</f>
        <v>529.26400000000012</v>
      </c>
      <c r="L2" s="1202">
        <f>+SUMPRODUCT(L5:L1237,K5:K1237)/K2</f>
        <v>0.31064211433235589</v>
      </c>
      <c r="M2" s="6"/>
      <c r="O2" s="703"/>
      <c r="P2" s="94">
        <f>+SUMPRODUCT(P4:P1237,AH4:AH1237)/SUM(AH4:AH1237)</f>
        <v>86.488747209970768</v>
      </c>
      <c r="Q2" s="1201">
        <f>+SUMPRODUCT(Q4:Q1237,AH4:AH1237)/SUM(AH4:AH1237)</f>
        <v>90.90871498690376</v>
      </c>
      <c r="R2" s="1151">
        <f>+SUMPRODUCT(R4:R1237,AH4:AH1237)/SUM(AH4:AH1237)</f>
        <v>4174.2648336095817</v>
      </c>
      <c r="S2" s="6"/>
      <c r="AB2" s="83"/>
      <c r="AC2" s="83"/>
      <c r="AD2" s="83"/>
      <c r="AE2" s="83"/>
      <c r="AF2" s="83"/>
      <c r="AG2" s="1209">
        <f>SUMPRODUCT($AG4:$AG1237,$K4:$K1237)/SUM($K4:$K1237)</f>
        <v>174.01432800519927</v>
      </c>
      <c r="AH2" s="702"/>
      <c r="AI2" s="631"/>
      <c r="AJ2" s="252">
        <v>4360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679" t="s">
        <v>39</v>
      </c>
      <c r="C3" s="679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SUBTOTAL(9,AH4:AH1237)</f>
        <v>5082.3840000000009</v>
      </c>
      <c r="AI3" s="1252">
        <f>SUBTOTAL(9,AI4:AI1237)</f>
        <v>5636.9210000000003</v>
      </c>
      <c r="AJ3" s="1388">
        <f>SUMPRODUCT(K4:K1237,AJ4:AJ1237)/K2</f>
        <v>92.812454346646362</v>
      </c>
      <c r="AK3" s="118">
        <f>SUBTOTAL(9,AK4:AK1237)</f>
        <v>4666.420633384435</v>
      </c>
      <c r="AL3" s="88"/>
      <c r="AM3" s="118">
        <f>SUBTOTAL(9,AM4:AM1237)</f>
        <v>510556.56851034006</v>
      </c>
      <c r="AN3" s="1182" t="s">
        <v>2247</v>
      </c>
      <c r="AO3" s="1168" t="s">
        <v>2283</v>
      </c>
      <c r="AP3" t="s">
        <v>2351</v>
      </c>
      <c r="AQ3" t="s">
        <v>2352</v>
      </c>
      <c r="AS3" s="1216"/>
    </row>
    <row r="4" spans="1:56" s="677" customFormat="1" ht="15.75" customHeight="1" thickBot="1">
      <c r="A4" s="720"/>
      <c r="B4" s="671"/>
      <c r="C4" s="723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56" ht="15" customHeight="1" thickBot="1">
      <c r="A5" s="1491" t="s">
        <v>3110</v>
      </c>
      <c r="B5" s="747"/>
      <c r="C5" s="1447">
        <v>45947</v>
      </c>
      <c r="D5" t="s">
        <v>2004</v>
      </c>
      <c r="E5" s="762">
        <f>_xlfn.XLOOKUP(D5,RUC!$B$3:$B$123,RUC!$D$3:$D$123)</f>
        <v>20612921866</v>
      </c>
      <c r="G5" s="1082" t="s">
        <v>2985</v>
      </c>
      <c r="H5" s="762" t="s">
        <v>116</v>
      </c>
      <c r="I5" s="703">
        <v>5.52</v>
      </c>
      <c r="J5" s="596">
        <v>1.3</v>
      </c>
      <c r="K5" s="703">
        <f t="shared" ref="K5:K66" si="0">ROUND(+I5-(I5*(J5/100)),3)</f>
        <v>5.4480000000000004</v>
      </c>
      <c r="L5" s="762">
        <v>5.7000000000000002E-2</v>
      </c>
      <c r="M5" s="994">
        <v>4.2000000000000003E-2</v>
      </c>
      <c r="N5" s="1196">
        <f>+M5</f>
        <v>4.2000000000000003E-2</v>
      </c>
      <c r="O5" s="645">
        <f t="shared" ref="O5:O66" si="1">+ROUND((M5+N5)/2,3)</f>
        <v>4.2000000000000003E-2</v>
      </c>
      <c r="P5" s="727">
        <v>90</v>
      </c>
      <c r="Q5" s="1490">
        <v>92.98</v>
      </c>
      <c r="R5" s="706">
        <v>4224.75</v>
      </c>
      <c r="S5" s="765">
        <f>IF((_xlfn.XLOOKUP(D5,RUC!$B$3:$B$119,RUC!$E$3:$E$119)+ROUNDDOWN(O5,1)*100)&lt;95,95,((_xlfn.XLOOKUP(D5,RUC!$B$3:$B$119,RUC!$E$3:$E$119)+ROUNDDOWN(O5,1)*100)))</f>
        <v>95</v>
      </c>
      <c r="U5" s="1146">
        <f>_xlfn.XLOOKUP(D5,RUC!$B$3:$B$123,RUC!$F$3:$F$123)</f>
        <v>100</v>
      </c>
      <c r="V5" s="715">
        <v>1.1023000000000001</v>
      </c>
      <c r="Y5">
        <f>_xlfn.XLOOKUP(D5,RUC!$B$3:$B$123,RUC!$G$3:$G$123)</f>
        <v>0</v>
      </c>
      <c r="Z5" s="143">
        <f>_xlfn.XLOOKUP(D5,RUC!$B$3:$B$123,RUC!$H$3:$H$123)</f>
        <v>30</v>
      </c>
      <c r="AA5" s="144">
        <f t="shared" ref="AA5:AA66" si="2">+Y5+Z5</f>
        <v>30</v>
      </c>
      <c r="AB5" s="145">
        <v>0</v>
      </c>
      <c r="AC5" s="145">
        <f>+(S5-T5)*V5-'data 1'!$F$4</f>
        <v>24.718500000000006</v>
      </c>
      <c r="AD5" s="145">
        <f t="shared" ref="AD5:AD66" si="3">+(Q5-P5)*(R5-U5)*L5*V5/100</f>
        <v>7.7230448758050105</v>
      </c>
      <c r="AE5" s="145">
        <f t="shared" ref="AE5:AE66" si="4">+(Y5*V5-70)+V5*(Z5-IF(D5="UNTUCA",IF(+((W5-3)*2.5+(X5-3)*3.1)&gt;0,+((W5-3)*1.5+(X5-3)*3.1),0),IF(+((W5-3)*1.5+(X5-3)*3.1)&gt;0,+((W5-3)*1.5+(X5-3)*3.1),0)))</f>
        <v>-36.930999999999997</v>
      </c>
      <c r="AF5" s="145">
        <f t="shared" ref="AF5:AF66" si="5">(L5-O5)*(R5-U5)*Q5*V5/100</f>
        <v>63.412991217974998</v>
      </c>
      <c r="AG5" s="772">
        <f>AC5+AD5+AE5+AF5+70-10+34.08</f>
        <v>153.00353609377999</v>
      </c>
      <c r="AH5" s="1253">
        <f t="shared" ref="AH5:AH66" si="6">ROUND((31.1035*L5*Q5*1.1023*K5/100),3)</f>
        <v>9.8989999999999991</v>
      </c>
      <c r="AI5" s="1253">
        <f t="shared" ref="AI5:AI66" si="7">ROUND((31.1035*L5*1.1023*K5),3)</f>
        <v>10.647</v>
      </c>
      <c r="AJ5" s="156">
        <f t="shared" ref="AJ5:AJ66" si="8">+((+$AJ$2-R5+U5)*L5*Q5*V5)/100</f>
        <v>13.743388932495002</v>
      </c>
      <c r="AK5" s="156">
        <f t="shared" ref="AK5:AK66" si="9">31.1035*1.1023*K5*P5*O5/100</f>
        <v>7.0605408168439219</v>
      </c>
      <c r="AL5" s="88"/>
      <c r="AM5" s="716">
        <f t="shared" ref="AM5:AM66" si="10">+IF(AB5*K5&gt;0,AB5*K5,0)</f>
        <v>0</v>
      </c>
      <c r="AN5" s="716" t="str">
        <f>_xlfn.XLOOKUP(D5,RUC!$B$3:$B$578,RUC!$M$3:$M$578)</f>
        <v>Ronald Garibay</v>
      </c>
      <c r="AO5" s="1167" t="s">
        <v>2277</v>
      </c>
      <c r="AP5" s="1492" t="s">
        <v>3136</v>
      </c>
      <c r="AQ5" s="1492" t="s">
        <v>3137</v>
      </c>
      <c r="AV5" s="1982" t="s">
        <v>3823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1491" t="s">
        <v>3210</v>
      </c>
      <c r="C6" s="1447">
        <v>45953</v>
      </c>
      <c r="D6" t="s">
        <v>2368</v>
      </c>
      <c r="E6" s="762">
        <f>_xlfn.XLOOKUP(D6,RUC!$B$3:$B$123,RUC!$D$3:$D$123)</f>
        <v>20612719757</v>
      </c>
      <c r="G6" s="1082">
        <v>132</v>
      </c>
      <c r="H6" s="762" t="s">
        <v>108</v>
      </c>
      <c r="I6" s="703">
        <v>8.8000000000000007</v>
      </c>
      <c r="J6" s="596">
        <v>19.03</v>
      </c>
      <c r="K6" s="703">
        <f t="shared" si="0"/>
        <v>7.125</v>
      </c>
      <c r="L6" s="762">
        <v>7.3999999999999996E-2</v>
      </c>
      <c r="M6" s="762">
        <v>5.8999999999999997E-2</v>
      </c>
      <c r="N6" s="1196">
        <f>+M6</f>
        <v>5.8999999999999997E-2</v>
      </c>
      <c r="O6" s="645">
        <f t="shared" si="1"/>
        <v>5.8999999999999997E-2</v>
      </c>
      <c r="P6" s="727">
        <v>80</v>
      </c>
      <c r="Q6" s="881">
        <v>94.59</v>
      </c>
      <c r="R6" s="706">
        <v>4143.75</v>
      </c>
      <c r="S6" s="765">
        <f>IF((_xlfn.XLOOKUP(D6,RUC!$B$3:$B$119,RUC!$E$3:$E$119)+ROUNDDOWN(O6,1)*100)&lt;95,95,((_xlfn.XLOOKUP(D6,RUC!$B$3:$B$119,RUC!$E$3:$E$119)+ROUNDDOWN(O6,1)*100)))</f>
        <v>95</v>
      </c>
      <c r="U6" s="1146">
        <f>_xlfn.XLOOKUP(D6,RUC!$B$3:$B$123,RUC!$F$3:$F$123)</f>
        <v>120</v>
      </c>
      <c r="V6" s="715">
        <v>1.1023000000000001</v>
      </c>
      <c r="Y6">
        <f>_xlfn.XLOOKUP(D6,RUC!$B$3:$B$123,RUC!$G$3:$G$123)</f>
        <v>20</v>
      </c>
      <c r="Z6" s="143">
        <f>_xlfn.XLOOKUP(D6,RUC!$B$3:$B$123,RUC!$H$3:$H$123)</f>
        <v>30</v>
      </c>
      <c r="AA6" s="144">
        <f t="shared" si="2"/>
        <v>50</v>
      </c>
      <c r="AB6" s="145">
        <f>+((O6*P6*(R6-U6)/100)-S6-AA6+T6)*V6</f>
        <v>49.516418299999991</v>
      </c>
      <c r="AC6" s="145">
        <f>+(S6-T6)*V6-'data 1'!$F$4</f>
        <v>24.718500000000006</v>
      </c>
      <c r="AD6" s="145">
        <f t="shared" si="3"/>
        <v>47.887019659275005</v>
      </c>
      <c r="AE6" s="145">
        <f t="shared" si="4"/>
        <v>-14.884999999999998</v>
      </c>
      <c r="AF6" s="145">
        <f t="shared" si="5"/>
        <v>62.9313838093125</v>
      </c>
      <c r="AG6" s="772">
        <f t="shared" ref="AG6" si="11">AC6+AD6+AE6+AF6+70-53</f>
        <v>137.65190346858753</v>
      </c>
      <c r="AH6" s="1253">
        <f t="shared" si="6"/>
        <v>17.099</v>
      </c>
      <c r="AI6" s="1253">
        <f t="shared" si="7"/>
        <v>18.077000000000002</v>
      </c>
      <c r="AJ6" s="156">
        <f t="shared" si="8"/>
        <v>25.944126045525</v>
      </c>
      <c r="AK6" s="156">
        <f t="shared" si="9"/>
        <v>11.530176001215001</v>
      </c>
      <c r="AL6" s="88"/>
      <c r="AM6" s="716">
        <f t="shared" si="10"/>
        <v>352.80448038749995</v>
      </c>
      <c r="AN6" s="716" t="str">
        <f>_xlfn.XLOOKUP(D6,RUC!$B$3:$B$578,RUC!$M$3:$M$578)</f>
        <v>SIN ACOPIADOR</v>
      </c>
      <c r="AO6" s="1167" t="s">
        <v>2278</v>
      </c>
      <c r="AP6" t="s">
        <v>3192</v>
      </c>
      <c r="AQ6" t="s">
        <v>3218</v>
      </c>
      <c r="AW6" s="1469">
        <f>SUM(AW8:AW17)</f>
        <v>529.2639999999999</v>
      </c>
      <c r="AX6" s="1470">
        <f>SUMPRODUCT(AW8:AW17,AX8:AX17)/SUM(AW8:AW17)</f>
        <v>0.31064211433235589</v>
      </c>
      <c r="AY6" s="704"/>
      <c r="AZ6" s="1471">
        <f>SUMPRODUCT(AZ8:AZ17,$BB8:$BB17)/SUM($BB8:$BB17)/100</f>
        <v>0.90908714986903794</v>
      </c>
      <c r="BA6" s="707">
        <f>SUM(BA8:BA17)</f>
        <v>5636.9185230355279</v>
      </c>
      <c r="BB6" s="707">
        <f>SUM(BB8:BB17)</f>
        <v>5082.384</v>
      </c>
    </row>
    <row r="7" spans="1:56" ht="15" customHeight="1" thickBot="1">
      <c r="A7" s="1491" t="s">
        <v>3248</v>
      </c>
      <c r="B7" s="1447">
        <v>45965</v>
      </c>
      <c r="C7" s="1447">
        <v>45956</v>
      </c>
      <c r="D7" t="s">
        <v>1671</v>
      </c>
      <c r="E7" s="762">
        <f>_xlfn.XLOOKUP(D7,RUC!$B$3:$B$123,RUC!$D$3:$D$123)</f>
        <v>20517242919</v>
      </c>
      <c r="G7" s="1082">
        <v>43</v>
      </c>
      <c r="H7" s="762" t="s">
        <v>69</v>
      </c>
      <c r="I7" s="703">
        <v>3.7</v>
      </c>
      <c r="J7" s="596">
        <v>1.1000000000000001</v>
      </c>
      <c r="K7" s="703">
        <f t="shared" si="0"/>
        <v>3.6589999999999998</v>
      </c>
      <c r="L7" s="762">
        <v>5.8000000000000003E-2</v>
      </c>
      <c r="M7" s="762">
        <v>4.2999999999999997E-2</v>
      </c>
      <c r="N7" s="1196">
        <f>+M7</f>
        <v>4.2999999999999997E-2</v>
      </c>
      <c r="O7" s="645">
        <f t="shared" si="1"/>
        <v>4.2999999999999997E-2</v>
      </c>
      <c r="P7" s="727">
        <v>85</v>
      </c>
      <c r="Q7" s="1476">
        <v>94.83</v>
      </c>
      <c r="R7" s="706">
        <v>3970.8</v>
      </c>
      <c r="S7" s="1164">
        <v>95</v>
      </c>
      <c r="U7" s="1146">
        <f>_xlfn.XLOOKUP(D7,RUC!$B$3:$B$123,RUC!$F$3:$F$123)</f>
        <v>80</v>
      </c>
      <c r="V7" s="715">
        <v>1.1023000000000001</v>
      </c>
      <c r="Y7">
        <f>_xlfn.XLOOKUP(D7,RUC!$B$3:$B$123,RUC!$G$3:$G$123)</f>
        <v>0</v>
      </c>
      <c r="Z7" s="143">
        <f>_xlfn.XLOOKUP(D7,RUC!$B$3:$B$123,RUC!$H$3:$H$123)</f>
        <v>10</v>
      </c>
      <c r="AA7" s="144">
        <f t="shared" si="2"/>
        <v>10</v>
      </c>
      <c r="AB7" s="145">
        <v>1E-3</v>
      </c>
      <c r="AC7" s="145">
        <f>+(S7-T7)*V7-'data 1'!$F$4</f>
        <v>24.718500000000006</v>
      </c>
      <c r="AD7" s="145">
        <f t="shared" si="3"/>
        <v>24.452328748376004</v>
      </c>
      <c r="AE7" s="145">
        <f t="shared" si="4"/>
        <v>-58.977000000000004</v>
      </c>
      <c r="AF7" s="145">
        <f t="shared" si="5"/>
        <v>61.006445834580035</v>
      </c>
      <c r="AG7" s="772">
        <f>AC7+AD7+AE7+AF7+70+41.02</f>
        <v>162.22027458295605</v>
      </c>
      <c r="AH7" s="1253">
        <f t="shared" si="6"/>
        <v>6.9</v>
      </c>
      <c r="AI7" s="1253">
        <f t="shared" si="7"/>
        <v>7.2759999999999998</v>
      </c>
      <c r="AJ7" s="156">
        <f t="shared" si="8"/>
        <v>28.446677878823994</v>
      </c>
      <c r="AK7" s="156">
        <f t="shared" si="9"/>
        <v>4.585206084679422</v>
      </c>
      <c r="AL7" s="88"/>
      <c r="AM7" s="716">
        <f t="shared" si="10"/>
        <v>3.6589999999999999E-3</v>
      </c>
      <c r="AN7" s="716" t="str">
        <f>_xlfn.XLOOKUP(D7,RUC!$B$3:$B$578,RUC!$M$3:$M$578)</f>
        <v>Melchor Vera</v>
      </c>
      <c r="AO7" s="1167" t="s">
        <v>2277</v>
      </c>
      <c r="AP7" t="s">
        <v>3254</v>
      </c>
      <c r="AQ7" t="s">
        <v>3255</v>
      </c>
      <c r="AV7" s="762"/>
      <c r="AW7" s="762" t="s">
        <v>15</v>
      </c>
      <c r="AX7" s="762" t="s">
        <v>2522</v>
      </c>
      <c r="AY7" s="1214" t="s">
        <v>2522</v>
      </c>
      <c r="AZ7" s="762" t="s">
        <v>2523</v>
      </c>
      <c r="BA7" s="762" t="s">
        <v>2558</v>
      </c>
      <c r="BB7" s="762" t="s">
        <v>2559</v>
      </c>
      <c r="BC7" s="1555" t="s">
        <v>2565</v>
      </c>
      <c r="BD7" s="729" t="s">
        <v>2579</v>
      </c>
    </row>
    <row r="8" spans="1:56" ht="15.75" customHeight="1">
      <c r="A8" s="1491" t="s">
        <v>3278</v>
      </c>
      <c r="B8" s="1447">
        <v>45969</v>
      </c>
      <c r="C8" s="1447">
        <v>45959</v>
      </c>
      <c r="D8" t="s">
        <v>1484</v>
      </c>
      <c r="E8" s="762">
        <f>_xlfn.XLOOKUP(D8,RUC!$B$3:$B$123,RUC!$D$3:$D$123)</f>
        <v>10761932735</v>
      </c>
      <c r="G8" s="1082" t="s">
        <v>2985</v>
      </c>
      <c r="H8" s="762" t="s">
        <v>69</v>
      </c>
      <c r="I8" s="703">
        <v>18.97</v>
      </c>
      <c r="J8" s="596">
        <v>7.75</v>
      </c>
      <c r="K8" s="703">
        <f t="shared" si="0"/>
        <v>17.5</v>
      </c>
      <c r="L8" s="762">
        <v>9.8000000000000004E-2</v>
      </c>
      <c r="M8" s="762">
        <v>8.3000000000000004E-2</v>
      </c>
      <c r="N8" s="1196">
        <f>+M8</f>
        <v>8.3000000000000004E-2</v>
      </c>
      <c r="O8" s="645">
        <f t="shared" si="1"/>
        <v>8.3000000000000004E-2</v>
      </c>
      <c r="P8" s="727">
        <v>80</v>
      </c>
      <c r="Q8" s="1476">
        <v>95.92</v>
      </c>
      <c r="R8" s="706">
        <v>4006.7</v>
      </c>
      <c r="S8" s="765">
        <f>IF((_xlfn.XLOOKUP(D8,RUC!$B$3:$B$119,RUC!$E$3:$E$119)+ROUNDDOWN(O8,1)*100)&lt;95,95,((_xlfn.XLOOKUP(D8,RUC!$B$3:$B$119,RUC!$E$3:$E$119)+ROUNDDOWN(O8,1)*100)))</f>
        <v>95</v>
      </c>
      <c r="U8" s="1146">
        <f>_xlfn.XLOOKUP(D8,RUC!$B$3:$B$123,RUC!$F$3:$F$123)</f>
        <v>120</v>
      </c>
      <c r="V8" s="715">
        <v>1.1023000000000001</v>
      </c>
      <c r="Y8">
        <f>_xlfn.XLOOKUP(D8,RUC!$B$3:$B$123,RUC!$G$3:$G$123)</f>
        <v>20</v>
      </c>
      <c r="Z8" s="143">
        <f>_xlfn.XLOOKUP(D8,RUC!$B$3:$B$123,RUC!$H$3:$H$123)</f>
        <v>30</v>
      </c>
      <c r="AA8" s="144">
        <f t="shared" si="2"/>
        <v>50</v>
      </c>
      <c r="AB8" s="145">
        <v>1E-3</v>
      </c>
      <c r="AC8" s="145">
        <f>+(S8-T8)*V8-'data 1'!$F$4</f>
        <v>24.718500000000006</v>
      </c>
      <c r="AD8" s="145">
        <f t="shared" si="3"/>
        <v>66.842081691055995</v>
      </c>
      <c r="AE8" s="145">
        <f t="shared" si="4"/>
        <v>-14.884999999999998</v>
      </c>
      <c r="AF8" s="145">
        <f t="shared" si="5"/>
        <v>61.642643791079998</v>
      </c>
      <c r="AG8" s="772">
        <f>AC8+AD8+AE8+AF8+70-53+124.64</f>
        <v>279.95822548213602</v>
      </c>
      <c r="AH8" s="1253">
        <f t="shared" si="6"/>
        <v>56.4</v>
      </c>
      <c r="AI8" s="1253">
        <f t="shared" si="7"/>
        <v>58.798999999999999</v>
      </c>
      <c r="AJ8" s="156">
        <f t="shared" si="8"/>
        <v>49.042382209744027</v>
      </c>
      <c r="AK8" s="156">
        <f t="shared" si="9"/>
        <v>39.839620914100003</v>
      </c>
      <c r="AL8" s="88"/>
      <c r="AM8" s="716">
        <f t="shared" si="10"/>
        <v>1.7500000000000002E-2</v>
      </c>
      <c r="AN8" s="716" t="str">
        <f>_xlfn.XLOOKUP(D8,RUC!$B$3:$B$578,RUC!$M$3:$M$578)</f>
        <v>Richard Sapacayo</v>
      </c>
      <c r="AO8" s="1167" t="s">
        <v>2277</v>
      </c>
      <c r="AP8" t="s">
        <v>3291</v>
      </c>
      <c r="AQ8" t="s">
        <v>3292</v>
      </c>
      <c r="AV8" s="1556" t="s">
        <v>2277</v>
      </c>
      <c r="AW8" s="1227">
        <f t="shared" ref="AW8:AW17" si="12">SUMIF($AO$4:$AO$1345,AV8,$K$4:$K$1345)</f>
        <v>155.01899999999998</v>
      </c>
      <c r="AX8" s="1227" cm="1">
        <f t="array" ref="AX8">+SUMPRODUCT(IF($AO$4:$AO$1345=AV8,$L$4:$L$1345*$K$4:$K$1345/AW8))</f>
        <v>0.307118817693315</v>
      </c>
      <c r="AY8" s="1228">
        <f t="shared" ref="AY8:AY17" si="13">31.1035*1.1023*AX8*(100-AZ8)/100</f>
        <v>1.1842649006358814</v>
      </c>
      <c r="AZ8" s="1229" cm="1">
        <f t="array" ref="AZ8">+SUMPRODUCT(IF($AO$4:$AO$1345=AV8,($Q$4:$Q$1345*$AH$4:$AH$1345)/SUMIF($AO$4:$AO$1345,$AV8,$AH$4:$AH$1345)))</f>
        <v>88.753086336481672</v>
      </c>
      <c r="BA8" s="1441">
        <f t="shared" ref="BA8:BA17" si="14">+AX8*31.1035*1.1023*AW8</f>
        <v>1632.3016795902383</v>
      </c>
      <c r="BB8" s="1230">
        <f t="shared" ref="BB8:BB17" si="15">SUMIF($AO$4:$AO$445,$AV8,$AH$4:$AH$445)</f>
        <v>1441.0710000000001</v>
      </c>
      <c r="BC8" s="1229">
        <f>+BA8-BB8</f>
        <v>191.2306795902382</v>
      </c>
      <c r="BD8" s="1231">
        <f>+AW8</f>
        <v>155.01899999999998</v>
      </c>
    </row>
    <row r="9" spans="1:56" ht="15" customHeight="1">
      <c r="A9" s="1491" t="s">
        <v>3311</v>
      </c>
      <c r="B9" s="1447">
        <v>45967</v>
      </c>
      <c r="C9" s="1447">
        <v>45962</v>
      </c>
      <c r="D9" t="s">
        <v>1671</v>
      </c>
      <c r="E9" s="762">
        <f>_xlfn.XLOOKUP(D9,RUC!$B$3:$B$123,RUC!$D$3:$D$123)</f>
        <v>20517242919</v>
      </c>
      <c r="G9" s="1082">
        <v>34</v>
      </c>
      <c r="H9" s="762" t="s">
        <v>69</v>
      </c>
      <c r="I9" s="703">
        <v>2.91</v>
      </c>
      <c r="J9" s="596">
        <v>1.65</v>
      </c>
      <c r="K9" s="703">
        <f t="shared" si="0"/>
        <v>2.8620000000000001</v>
      </c>
      <c r="L9" s="1192">
        <v>7.8E-2</v>
      </c>
      <c r="M9" s="762">
        <v>7.0999999999999994E-2</v>
      </c>
      <c r="N9" s="1196">
        <f t="shared" ref="N9:N15" si="16">+M9</f>
        <v>7.0999999999999994E-2</v>
      </c>
      <c r="O9" s="645">
        <f t="shared" si="1"/>
        <v>7.0999999999999994E-2</v>
      </c>
      <c r="P9" s="727">
        <v>85</v>
      </c>
      <c r="Q9" s="1476">
        <v>97.44</v>
      </c>
      <c r="R9" s="706">
        <v>4013.2</v>
      </c>
      <c r="S9" s="765">
        <f>IF((_xlfn.XLOOKUP(D9,RUC!$B$3:$B$119,RUC!$E$3:$E$119)+ROUNDDOWN(O9,1)*100)&lt;95,95,((_xlfn.XLOOKUP(D9,RUC!$B$3:$B$119,RUC!$E$3:$E$119)+ROUNDDOWN(O9,1)*100)))</f>
        <v>95</v>
      </c>
      <c r="U9" s="1146">
        <f>_xlfn.XLOOKUP(D9,RUC!$B$3:$B$123,RUC!$F$3:$F$123)</f>
        <v>80</v>
      </c>
      <c r="V9" s="715">
        <v>1.1023000000000001</v>
      </c>
      <c r="Y9">
        <f>_xlfn.XLOOKUP(D9,RUC!$B$3:$B$123,RUC!$G$3:$G$123)</f>
        <v>0</v>
      </c>
      <c r="Z9" s="143">
        <f>_xlfn.XLOOKUP(D9,RUC!$B$3:$B$123,RUC!$H$3:$H$123)</f>
        <v>10</v>
      </c>
      <c r="AA9" s="144">
        <f t="shared" si="2"/>
        <v>10</v>
      </c>
      <c r="AB9" s="145">
        <v>1E-3</v>
      </c>
      <c r="AC9" s="145">
        <f>+(S9-T9)*V9-'data 1'!$F$4</f>
        <v>24.718500000000006</v>
      </c>
      <c r="AD9" s="145">
        <f t="shared" si="3"/>
        <v>42.068867504351992</v>
      </c>
      <c r="AE9" s="145">
        <f t="shared" si="4"/>
        <v>-58.977000000000004</v>
      </c>
      <c r="AF9" s="145">
        <f t="shared" si="5"/>
        <v>29.572031028288023</v>
      </c>
      <c r="AG9" s="772">
        <f>AC9+AD9+AE9+AF9+70+161.3</f>
        <v>268.68239853264004</v>
      </c>
      <c r="AH9" s="1253">
        <f t="shared" si="6"/>
        <v>7.4580000000000002</v>
      </c>
      <c r="AI9" s="1253">
        <f t="shared" si="7"/>
        <v>7.6539999999999999</v>
      </c>
      <c r="AJ9" s="156">
        <f t="shared" si="8"/>
        <v>35.756590117248017</v>
      </c>
      <c r="AK9" s="156">
        <f t="shared" si="9"/>
        <v>5.9218305091556855</v>
      </c>
      <c r="AL9" s="88"/>
      <c r="AM9" s="716">
        <f t="shared" si="10"/>
        <v>2.862E-3</v>
      </c>
      <c r="AN9" s="716" t="str">
        <f>_xlfn.XLOOKUP(D9,RUC!$B$3:$B$578,RUC!$M$3:$M$578)</f>
        <v>Melchor Vera</v>
      </c>
      <c r="AO9" s="1167" t="s">
        <v>2277</v>
      </c>
      <c r="AP9" t="s">
        <v>3331</v>
      </c>
      <c r="AQ9" t="s">
        <v>3332</v>
      </c>
      <c r="AV9" s="1557" t="s">
        <v>2278</v>
      </c>
      <c r="AW9" s="703">
        <f t="shared" si="12"/>
        <v>92.527999999999992</v>
      </c>
      <c r="AX9" s="703" cm="1">
        <f t="array" ref="AX9">+SUMPRODUCT(IF($AO$4:$AO$1345=AV9,$L$4:$L$1345*$K$4:$K$1345/AW9))</f>
        <v>0.30069024511499221</v>
      </c>
      <c r="AY9" s="1215">
        <f t="shared" si="13"/>
        <v>1.1885811848709849</v>
      </c>
      <c r="AZ9" s="596" cm="1">
        <f t="array" ref="AZ9">+SUMPRODUCT(IF($AO$4:$AO$1345=AV9,($Q$4:$Q$1345*$AH$4:$AH$1345)/SUMIF($AO$4:$AO$1345,$AV9,$AH$4:$AH$1345)))</f>
        <v>88.470766293549715</v>
      </c>
      <c r="BA9" s="1481">
        <f t="shared" si="14"/>
        <v>953.89722052570926</v>
      </c>
      <c r="BB9" s="1237">
        <f t="shared" si="15"/>
        <v>837.00300000000004</v>
      </c>
      <c r="BC9" s="596">
        <f t="shared" ref="BC9:BC17" si="17">+BC8+BA9-BB9</f>
        <v>308.1249001159473</v>
      </c>
      <c r="BD9" s="1238">
        <f t="shared" ref="BD9:BD17" si="18">+BD8+AW9</f>
        <v>247.54699999999997</v>
      </c>
    </row>
    <row r="10" spans="1:56" ht="15" customHeight="1">
      <c r="A10" s="1491" t="s">
        <v>3314</v>
      </c>
      <c r="B10" s="1447">
        <v>45967</v>
      </c>
      <c r="C10" s="1447">
        <v>45962</v>
      </c>
      <c r="D10" t="s">
        <v>1671</v>
      </c>
      <c r="E10" s="762">
        <f>_xlfn.XLOOKUP(D10,RUC!$B$3:$B$123,RUC!$D$3:$D$123)</f>
        <v>20517242919</v>
      </c>
      <c r="G10" s="1082">
        <v>61</v>
      </c>
      <c r="H10" s="762" t="s">
        <v>69</v>
      </c>
      <c r="I10" s="703">
        <v>5.63</v>
      </c>
      <c r="J10" s="596">
        <v>1.7</v>
      </c>
      <c r="K10" s="703">
        <f t="shared" si="0"/>
        <v>5.5339999999999998</v>
      </c>
      <c r="L10" s="1192">
        <v>7.4999999999999997E-2</v>
      </c>
      <c r="M10" s="762">
        <v>6.8000000000000005E-2</v>
      </c>
      <c r="N10" s="1196">
        <f t="shared" si="16"/>
        <v>6.8000000000000005E-2</v>
      </c>
      <c r="O10" s="645">
        <f t="shared" si="1"/>
        <v>6.8000000000000005E-2</v>
      </c>
      <c r="P10" s="727">
        <v>85</v>
      </c>
      <c r="Q10" s="1476">
        <v>94.67</v>
      </c>
      <c r="R10" s="706">
        <v>4013.2</v>
      </c>
      <c r="S10" s="765">
        <f>IF((_xlfn.XLOOKUP(D10,RUC!$B$3:$B$119,RUC!$E$3:$E$119)+ROUNDDOWN(O10,1)*100)&lt;95,95,((_xlfn.XLOOKUP(D10,RUC!$B$3:$B$119,RUC!$E$3:$E$119)+ROUNDDOWN(O10,1)*100)))</f>
        <v>95</v>
      </c>
      <c r="U10" s="1146">
        <f>_xlfn.XLOOKUP(D10,RUC!$B$3:$B$123,RUC!$F$3:$F$123)</f>
        <v>80</v>
      </c>
      <c r="V10" s="715">
        <v>1.1023000000000001</v>
      </c>
      <c r="Y10">
        <f>_xlfn.XLOOKUP(D10,RUC!$B$3:$B$123,RUC!$G$3:$G$123)</f>
        <v>0</v>
      </c>
      <c r="Z10" s="143">
        <f>_xlfn.XLOOKUP(D10,RUC!$B$3:$B$123,RUC!$H$3:$H$123)</f>
        <v>10</v>
      </c>
      <c r="AA10" s="144">
        <f t="shared" si="2"/>
        <v>10</v>
      </c>
      <c r="AB10" s="145">
        <v>1E-3</v>
      </c>
      <c r="AC10" s="145">
        <f>+(S10-T10)*V10-'data 1'!$F$4</f>
        <v>24.718500000000006</v>
      </c>
      <c r="AD10" s="145">
        <f t="shared" si="3"/>
        <v>31.443695025900002</v>
      </c>
      <c r="AE10" s="145">
        <f t="shared" si="4"/>
        <v>-58.977000000000004</v>
      </c>
      <c r="AF10" s="145">
        <f t="shared" si="5"/>
        <v>28.73136471108397</v>
      </c>
      <c r="AG10" s="772">
        <f>AC10+AD10+AE10+AF10+70+134</f>
        <v>229.91655973698397</v>
      </c>
      <c r="AH10" s="1253">
        <f t="shared" si="6"/>
        <v>13.472</v>
      </c>
      <c r="AI10" s="1253">
        <f t="shared" si="7"/>
        <v>14.23</v>
      </c>
      <c r="AJ10" s="156">
        <f t="shared" si="8"/>
        <v>33.403952594100012</v>
      </c>
      <c r="AK10" s="156">
        <f t="shared" si="9"/>
        <v>10.966702505690861</v>
      </c>
      <c r="AL10" s="88"/>
      <c r="AM10" s="716">
        <f t="shared" si="10"/>
        <v>5.5339999999999999E-3</v>
      </c>
      <c r="AN10" s="716" t="str">
        <f>_xlfn.XLOOKUP(D10,RUC!$B$3:$B$578,RUC!$M$3:$M$578)</f>
        <v>Melchor Vera</v>
      </c>
      <c r="AO10" s="1167" t="s">
        <v>2277</v>
      </c>
      <c r="AP10" t="s">
        <v>3331</v>
      </c>
      <c r="AQ10" t="s">
        <v>3332</v>
      </c>
      <c r="AV10" s="1557" t="s">
        <v>2280</v>
      </c>
      <c r="AW10" s="703">
        <f t="shared" si="12"/>
        <v>113.645</v>
      </c>
      <c r="AX10" s="703" cm="1">
        <f t="array" ref="AX10">+SUMPRODUCT(IF($AO$4:$AO$1345=AV10,$L$4:$L$1345*$K$4:$K$1345/AW10))</f>
        <v>0.3010488098904483</v>
      </c>
      <c r="AY10" s="1215">
        <f t="shared" si="13"/>
        <v>0.53771911516051185</v>
      </c>
      <c r="AZ10" s="596" cm="1">
        <f t="array" ref="AZ10">+SUMPRODUCT(IF($AO$4:$AO$1345=AV10,($Q$4:$Q$1345*$AH$4:$AH$1345)/SUMIF($AO$4:$AO$1345,$AV10,$AH$4:$AH$1345)))</f>
        <v>94.790338672711187</v>
      </c>
      <c r="BA10" s="1237">
        <f t="shared" si="14"/>
        <v>1172.9954214551306</v>
      </c>
      <c r="BB10" s="1237">
        <f t="shared" si="15"/>
        <v>1110.866</v>
      </c>
      <c r="BC10" s="596">
        <f t="shared" si="17"/>
        <v>370.25432157107798</v>
      </c>
      <c r="BD10" s="1238">
        <f t="shared" si="18"/>
        <v>361.19199999999995</v>
      </c>
    </row>
    <row r="11" spans="1:56" ht="15" customHeight="1">
      <c r="A11" s="1491" t="s">
        <v>3396</v>
      </c>
      <c r="B11" s="1447">
        <v>45980</v>
      </c>
      <c r="C11" s="1447">
        <v>45969</v>
      </c>
      <c r="D11" t="s">
        <v>1484</v>
      </c>
      <c r="E11" s="762">
        <f>_xlfn.XLOOKUP(D11,RUC!$B$3:$B$123,RUC!$D$3:$D$123)</f>
        <v>10761932735</v>
      </c>
      <c r="G11" s="1082" t="s">
        <v>2985</v>
      </c>
      <c r="H11" s="762" t="s">
        <v>69</v>
      </c>
      <c r="I11" s="703">
        <v>16.95</v>
      </c>
      <c r="J11" s="596">
        <v>12.88</v>
      </c>
      <c r="K11" s="703">
        <f t="shared" si="0"/>
        <v>14.766999999999999</v>
      </c>
      <c r="L11" s="762">
        <v>7.1999999999999995E-2</v>
      </c>
      <c r="M11" s="994">
        <f>ROUND(+IF(AN11="Melchor Vera",IF(L11&gt;0.467,L11*0.985,(L11-0.007)),IF(L11&gt;0.3,L11*0.94,(L11-0.018))),3)</f>
        <v>5.3999999999999999E-2</v>
      </c>
      <c r="N11" s="1196">
        <f t="shared" si="16"/>
        <v>5.3999999999999999E-2</v>
      </c>
      <c r="O11" s="645">
        <f t="shared" si="1"/>
        <v>5.3999999999999999E-2</v>
      </c>
      <c r="P11" s="727">
        <v>80</v>
      </c>
      <c r="Q11">
        <v>97.22</v>
      </c>
      <c r="R11" s="706">
        <v>3994.1</v>
      </c>
      <c r="S11" s="765">
        <f>IF((_xlfn.XLOOKUP(D11,RUC!$B$3:$B$119,RUC!$E$3:$E$119)+ROUNDDOWN(O11,1)*100)&lt;95,95,((_xlfn.XLOOKUP(D11,RUC!$B$3:$B$119,RUC!$E$3:$E$119)+ROUNDDOWN(O11,1)*100)))</f>
        <v>95</v>
      </c>
      <c r="U11" s="1146">
        <f>_xlfn.XLOOKUP(D11,RUC!$B$3:$B$123,RUC!$F$3:$F$123)</f>
        <v>120</v>
      </c>
      <c r="V11" s="715">
        <v>1.1023000000000001</v>
      </c>
      <c r="Y11">
        <f>_xlfn.XLOOKUP(D11,RUC!$B$3:$B$123,RUC!$G$3:$G$123)</f>
        <v>20</v>
      </c>
      <c r="Z11" s="143">
        <f>_xlfn.XLOOKUP(D11,RUC!$B$3:$B$123,RUC!$H$3:$H$123)</f>
        <v>30</v>
      </c>
      <c r="AA11" s="144">
        <f t="shared" si="2"/>
        <v>50</v>
      </c>
      <c r="AB11" s="145">
        <v>1E-3</v>
      </c>
      <c r="AC11" s="145">
        <f>+(S11-T11)*V11-'data 1'!$F$4</f>
        <v>24.718500000000006</v>
      </c>
      <c r="AD11" s="145">
        <f t="shared" si="3"/>
        <v>52.946380659311991</v>
      </c>
      <c r="AE11" s="145">
        <f t="shared" si="4"/>
        <v>-14.884999999999998</v>
      </c>
      <c r="AF11" s="145">
        <f t="shared" si="5"/>
        <v>74.730649356827968</v>
      </c>
      <c r="AG11" s="772">
        <f>AC11+AD11+AE11+AF11+70-53+24.65</f>
        <v>179.16053001613997</v>
      </c>
      <c r="AH11" s="1253">
        <f t="shared" si="6"/>
        <v>35.44</v>
      </c>
      <c r="AI11" s="1253">
        <f t="shared" si="7"/>
        <v>36.453000000000003</v>
      </c>
      <c r="AJ11" s="156">
        <f t="shared" si="8"/>
        <v>37.491672927888004</v>
      </c>
      <c r="AK11" s="156">
        <f t="shared" si="9"/>
        <v>21.871828454443918</v>
      </c>
      <c r="AM11" s="716">
        <f t="shared" si="10"/>
        <v>1.4767000000000001E-2</v>
      </c>
      <c r="AN11" s="716" t="str">
        <f>_xlfn.XLOOKUP(D11,RUC!$B$3:$B$578,RUC!$M$3:$M$578)</f>
        <v>Richard Sapacayo</v>
      </c>
      <c r="AO11" s="1167" t="s">
        <v>2278</v>
      </c>
      <c r="AP11" t="s">
        <v>2903</v>
      </c>
      <c r="AQ11" t="s">
        <v>3414</v>
      </c>
      <c r="AV11" s="1557" t="s">
        <v>2279</v>
      </c>
      <c r="AW11" s="703">
        <f t="shared" si="12"/>
        <v>104.90499999999999</v>
      </c>
      <c r="AX11" s="703" cm="1">
        <f t="array" ref="AX11">+SUMPRODUCT(IF($AO$4:$AO$1345=AV11,$L$4:$L$1345*$K$4:$K$1345/AW11))</f>
        <v>0.33900806443925458</v>
      </c>
      <c r="AY11" s="1215">
        <f t="shared" si="13"/>
        <v>0.58336446711703549</v>
      </c>
      <c r="AZ11" s="596" cm="1">
        <f t="array" ref="AZ11">+SUMPRODUCT(IF($AO$4:$AO$1345=AV11,($Q$4:$Q$1345*$AH$4:$AH$1345)/SUMIF($AO$4:$AO$1345,$AV11,$AH$4:$AH$1345)))</f>
        <v>94.980957492382203</v>
      </c>
      <c r="BA11" s="1237">
        <f t="shared" si="14"/>
        <v>1219.3132321558901</v>
      </c>
      <c r="BB11" s="1237">
        <f t="shared" si="15"/>
        <v>1157.816</v>
      </c>
      <c r="BC11" s="596">
        <f t="shared" si="17"/>
        <v>431.75155372696804</v>
      </c>
      <c r="BD11" s="1238">
        <f t="shared" si="18"/>
        <v>466.09699999999992</v>
      </c>
    </row>
    <row r="12" spans="1:56" ht="15" customHeight="1">
      <c r="A12" s="1491" t="s">
        <v>3459</v>
      </c>
      <c r="B12" s="1447"/>
      <c r="C12" s="1447">
        <v>45973</v>
      </c>
      <c r="D12" t="s">
        <v>2004</v>
      </c>
      <c r="E12" s="762">
        <f>_xlfn.XLOOKUP(D12,RUC!$B$3:$B$123,RUC!$D$3:$D$123)</f>
        <v>20612921866</v>
      </c>
      <c r="G12" s="1082" t="s">
        <v>2985</v>
      </c>
      <c r="H12" s="762" t="s">
        <v>69</v>
      </c>
      <c r="I12" s="703">
        <v>14.33</v>
      </c>
      <c r="J12" s="596">
        <v>2.0499999999999998</v>
      </c>
      <c r="K12" s="703">
        <f t="shared" si="0"/>
        <v>14.036</v>
      </c>
      <c r="L12" s="762">
        <v>7.6999999999999999E-2</v>
      </c>
      <c r="M12" s="994">
        <f t="shared" ref="M12:M70" si="19">ROUND(+IF(AN12="Melchor Vera",IF(L12&gt;0.467,L12*0.985,(L12-0.007)),IF(L12&gt;0.3,L12*0.94,(L12-0.018))),3)</f>
        <v>5.8999999999999997E-2</v>
      </c>
      <c r="N12" s="1196">
        <f t="shared" si="16"/>
        <v>5.8999999999999997E-2</v>
      </c>
      <c r="O12" s="645">
        <f t="shared" si="1"/>
        <v>5.8999999999999997E-2</v>
      </c>
      <c r="P12" s="727">
        <v>90</v>
      </c>
      <c r="Q12" s="1523">
        <v>96.1</v>
      </c>
      <c r="R12" s="706">
        <v>4136.75</v>
      </c>
      <c r="S12" s="765">
        <f>IF((_xlfn.XLOOKUP(D12,RUC!$B$3:$B$119,RUC!$E$3:$E$119)+ROUNDDOWN(O12,1)*100)&lt;95,95,((_xlfn.XLOOKUP(D12,RUC!$B$3:$B$119,RUC!$E$3:$E$119)+ROUNDDOWN(O12,1)*100)))</f>
        <v>95</v>
      </c>
      <c r="U12" s="1146">
        <f>_xlfn.XLOOKUP(D12,RUC!$B$3:$B$123,RUC!$F$3:$F$123)</f>
        <v>100</v>
      </c>
      <c r="V12" s="715">
        <v>1.1023000000000001</v>
      </c>
      <c r="Y12">
        <f>_xlfn.XLOOKUP(D12,RUC!$B$3:$B$123,RUC!$G$3:$G$123)</f>
        <v>0</v>
      </c>
      <c r="Z12" s="143">
        <f>_xlfn.XLOOKUP(D12,RUC!$B$3:$B$123,RUC!$H$3:$H$123)</f>
        <v>30</v>
      </c>
      <c r="AA12" s="144">
        <f t="shared" si="2"/>
        <v>30</v>
      </c>
      <c r="AB12" s="145">
        <v>1E-3</v>
      </c>
      <c r="AC12" s="145">
        <f>+(S12-T12)*V12-'data 1'!$F$4</f>
        <v>24.718500000000006</v>
      </c>
      <c r="AD12" s="145">
        <f t="shared" si="3"/>
        <v>20.900285638924981</v>
      </c>
      <c r="AE12" s="145">
        <f t="shared" si="4"/>
        <v>-36.930999999999997</v>
      </c>
      <c r="AF12" s="145">
        <f t="shared" si="5"/>
        <v>76.971075363450012</v>
      </c>
      <c r="AG12" s="772">
        <f>AC12+AD12+AE12+AF12+70-10+98.49</f>
        <v>244.14886100237499</v>
      </c>
      <c r="AH12" s="1253">
        <f t="shared" si="6"/>
        <v>35.61</v>
      </c>
      <c r="AI12" s="1253">
        <f t="shared" si="7"/>
        <v>37.055</v>
      </c>
      <c r="AJ12" s="156">
        <f t="shared" si="8"/>
        <v>26.366498194574998</v>
      </c>
      <c r="AK12" s="156">
        <f t="shared" si="9"/>
        <v>25.553297424166381</v>
      </c>
      <c r="AL12" s="88"/>
      <c r="AM12" s="716">
        <f t="shared" si="10"/>
        <v>1.4036E-2</v>
      </c>
      <c r="AN12" s="716" t="str">
        <f>_xlfn.XLOOKUP(D12,RUC!$B$3:$B$578,RUC!$M$3:$M$578)</f>
        <v>Ronald Garibay</v>
      </c>
      <c r="AO12" s="1167" t="s">
        <v>2278</v>
      </c>
      <c r="AP12" t="s">
        <v>3484</v>
      </c>
      <c r="AQ12" t="s">
        <v>3485</v>
      </c>
      <c r="AV12" s="1557" t="s">
        <v>2281</v>
      </c>
      <c r="AW12" s="703">
        <f t="shared" si="12"/>
        <v>63.166999999999994</v>
      </c>
      <c r="AX12" s="703" cm="1">
        <f t="array" ref="AX12">+SUMPRODUCT(IF($AO$4:$AO$1345=AV12,$L$4:$L$1345*$K$4:$K$1345/AW12))</f>
        <v>0.30401690756249317</v>
      </c>
      <c r="AY12" s="1215">
        <f t="shared" si="13"/>
        <v>1.702642558715012</v>
      </c>
      <c r="AZ12" s="596" cm="1">
        <f t="array" ref="AZ12">+SUMPRODUCT(IF($AO$4:$AO$1345=AV12,($Q$4:$Q$1345*$AH$4:$AH$1345)/SUMIF($AO$4:$AO$1345,$AV12,$AH$4:$AH$1345)))</f>
        <v>83.665092545572676</v>
      </c>
      <c r="BA12" s="1237">
        <f t="shared" si="14"/>
        <v>658.41096930855997</v>
      </c>
      <c r="BB12" s="1237">
        <f t="shared" si="15"/>
        <v>535.62800000000004</v>
      </c>
      <c r="BC12" s="596">
        <f t="shared" si="17"/>
        <v>554.53452303552797</v>
      </c>
      <c r="BD12" s="1238">
        <f t="shared" si="18"/>
        <v>529.2639999999999</v>
      </c>
    </row>
    <row r="13" spans="1:56" ht="15" customHeight="1">
      <c r="A13" s="747" t="s">
        <v>3496</v>
      </c>
      <c r="B13" s="1447">
        <v>45985</v>
      </c>
      <c r="C13" s="1447">
        <v>45977</v>
      </c>
      <c r="D13" t="s">
        <v>3509</v>
      </c>
      <c r="E13" s="762">
        <f>_xlfn.XLOOKUP(D13,RUC!$B$3:$B$123,RUC!$D$3:$D$123)</f>
        <v>10304932789</v>
      </c>
      <c r="G13" s="1082">
        <v>128</v>
      </c>
      <c r="H13" s="762" t="s">
        <v>69</v>
      </c>
      <c r="I13" s="703">
        <v>13.23</v>
      </c>
      <c r="J13" s="596">
        <v>1.3</v>
      </c>
      <c r="K13" s="703">
        <f t="shared" si="0"/>
        <v>13.058</v>
      </c>
      <c r="L13" s="994">
        <v>0.123</v>
      </c>
      <c r="M13" s="994">
        <f t="shared" si="19"/>
        <v>0.105</v>
      </c>
      <c r="N13" s="1196">
        <f t="shared" si="16"/>
        <v>0.105</v>
      </c>
      <c r="O13" s="645">
        <f t="shared" si="1"/>
        <v>0.105</v>
      </c>
      <c r="P13" s="727">
        <v>80</v>
      </c>
      <c r="Q13" s="1523">
        <v>97.56</v>
      </c>
      <c r="R13" s="706">
        <v>4072.5</v>
      </c>
      <c r="S13" s="765">
        <f>IF((_xlfn.XLOOKUP(D13,RUC!$B$3:$B$119,RUC!$E$3:$E$119)+ROUNDDOWN(O13,1)*100)&lt;95,95,((_xlfn.XLOOKUP(D13,RUC!$B$3:$B$119,RUC!$E$3:$E$119)+ROUNDDOWN(O13,1)*100)))</f>
        <v>100</v>
      </c>
      <c r="U13" s="1146">
        <f>_xlfn.XLOOKUP(D13,RUC!$B$3:$B$123,RUC!$F$3:$F$123)</f>
        <v>120</v>
      </c>
      <c r="V13" s="715">
        <v>1.1023000000000001</v>
      </c>
      <c r="Y13">
        <f>_xlfn.XLOOKUP(D13,RUC!$B$3:$B$123,RUC!$G$3:$G$123)</f>
        <v>0</v>
      </c>
      <c r="Z13" s="143">
        <f>_xlfn.XLOOKUP(D13,RUC!$B$3:$B$123,RUC!$H$3:$H$123)</f>
        <v>30</v>
      </c>
      <c r="AA13" s="144">
        <f t="shared" si="2"/>
        <v>30</v>
      </c>
      <c r="AB13" s="145">
        <f>+((O13*P13*(R13-U13)/100)-S13-AA13+T13)*V13</f>
        <v>222.675623</v>
      </c>
      <c r="AC13" s="145">
        <f>+(S13-T13)*V13-'data 1'!$F$4</f>
        <v>30.230000000000004</v>
      </c>
      <c r="AD13" s="145">
        <f t="shared" si="3"/>
        <v>94.102531991100022</v>
      </c>
      <c r="AE13" s="145">
        <f t="shared" si="4"/>
        <v>-36.930999999999997</v>
      </c>
      <c r="AF13" s="145">
        <f t="shared" si="5"/>
        <v>76.509609042600019</v>
      </c>
      <c r="AG13" s="772">
        <f t="shared" ref="AG13" si="20">AC13+AD13+AE13+AF13+70-53</f>
        <v>180.91114103370006</v>
      </c>
      <c r="AH13" s="1253">
        <f t="shared" si="6"/>
        <v>53.722999999999999</v>
      </c>
      <c r="AI13" s="1253">
        <f t="shared" si="7"/>
        <v>55.067</v>
      </c>
      <c r="AJ13" s="156">
        <f t="shared" si="8"/>
        <v>53.901930975300004</v>
      </c>
      <c r="AK13" s="156">
        <f t="shared" si="9"/>
        <v>37.606682161179599</v>
      </c>
      <c r="AM13" s="716">
        <f t="shared" si="10"/>
        <v>2907.6982851339999</v>
      </c>
      <c r="AN13" s="716" t="str">
        <f>_xlfn.XLOOKUP(D13,RUC!$B$3:$B$578,RUC!$M$3:$M$578)</f>
        <v>SIN ACOPIO</v>
      </c>
      <c r="AO13" s="1167" t="s">
        <v>2277</v>
      </c>
      <c r="AP13" t="s">
        <v>3511</v>
      </c>
      <c r="AQ13" t="s">
        <v>3512</v>
      </c>
      <c r="AV13" s="1557" t="s">
        <v>2297</v>
      </c>
      <c r="AW13" s="703">
        <f t="shared" si="12"/>
        <v>0</v>
      </c>
      <c r="AX13" s="703" cm="1">
        <f t="array" ref="AX13">+SUMPRODUCT(IF($AO$4:$AO$1345=AV13,$L$4:$L$1345*$K$4:$K$1345/AW13))</f>
        <v>0</v>
      </c>
      <c r="AY13" s="1215">
        <f t="shared" si="13"/>
        <v>0</v>
      </c>
      <c r="AZ13" s="596" cm="1">
        <f t="array" ref="AZ13">+SUMPRODUCT(IF('33'!$AO$4:$AO$1237=AV13,('33'!$Q$4:$Q$1237*'33'!$AH$4:$AH$1237)/SUMIF('33'!$AO$4:$AO$1237,#REF!,'33'!$AH$4:$AH$1237)))</f>
        <v>0</v>
      </c>
      <c r="BA13" s="1237">
        <f t="shared" si="14"/>
        <v>0</v>
      </c>
      <c r="BB13" s="1237">
        <f t="shared" si="15"/>
        <v>0</v>
      </c>
      <c r="BC13" s="596">
        <f t="shared" si="17"/>
        <v>554.53452303552797</v>
      </c>
      <c r="BD13" s="1238">
        <f t="shared" si="18"/>
        <v>529.2639999999999</v>
      </c>
    </row>
    <row r="14" spans="1:56" ht="15" customHeight="1">
      <c r="A14" s="1491" t="s">
        <v>3501</v>
      </c>
      <c r="B14" s="1542">
        <v>45985</v>
      </c>
      <c r="C14" s="1447">
        <v>45977</v>
      </c>
      <c r="D14" t="s">
        <v>1484</v>
      </c>
      <c r="E14" s="762">
        <f>_xlfn.XLOOKUP(D14,RUC!$B$3:$B$123,RUC!$D$3:$D$123)</f>
        <v>10761932735</v>
      </c>
      <c r="G14" s="1082">
        <v>12</v>
      </c>
      <c r="H14" s="762" t="s">
        <v>108</v>
      </c>
      <c r="I14" s="703">
        <v>1.07</v>
      </c>
      <c r="J14" s="596">
        <v>8.5</v>
      </c>
      <c r="K14" s="703">
        <f t="shared" si="0"/>
        <v>0.97899999999999998</v>
      </c>
      <c r="L14" s="762">
        <v>6.7000000000000004E-2</v>
      </c>
      <c r="M14" s="994">
        <f t="shared" si="19"/>
        <v>4.9000000000000002E-2</v>
      </c>
      <c r="N14" s="1196">
        <f t="shared" si="16"/>
        <v>4.9000000000000002E-2</v>
      </c>
      <c r="O14" s="645">
        <f t="shared" si="1"/>
        <v>4.9000000000000002E-2</v>
      </c>
      <c r="P14" s="727">
        <v>80</v>
      </c>
      <c r="Q14" s="1550">
        <v>95.52</v>
      </c>
      <c r="R14" s="706">
        <v>4072.5</v>
      </c>
      <c r="S14" s="765">
        <f>IF((_xlfn.XLOOKUP(D14,RUC!$B$3:$B$119,RUC!$E$3:$E$119)+ROUNDDOWN(O14,1)*100)&lt;95,95,((_xlfn.XLOOKUP(D14,RUC!$B$3:$B$119,RUC!$E$3:$E$119)+ROUNDDOWN(O14,1)*100)))</f>
        <v>95</v>
      </c>
      <c r="U14" s="1146">
        <f>_xlfn.XLOOKUP(D14,RUC!$B$3:$B$123,RUC!$F$3:$F$123)</f>
        <v>120</v>
      </c>
      <c r="V14" s="715">
        <v>1.1023000000000001</v>
      </c>
      <c r="Y14">
        <f>_xlfn.XLOOKUP(D14,RUC!$B$3:$B$123,RUC!$G$3:$G$123)</f>
        <v>20</v>
      </c>
      <c r="Z14" s="143">
        <f>_xlfn.XLOOKUP(D14,RUC!$B$3:$B$123,RUC!$H$3:$H$123)</f>
        <v>30</v>
      </c>
      <c r="AA14" s="144">
        <f t="shared" si="2"/>
        <v>50</v>
      </c>
      <c r="AB14" s="145">
        <v>1E-3</v>
      </c>
      <c r="AC14" s="145">
        <f>+(S14-T14)*V14-'data 1'!$F$4</f>
        <v>24.718500000000006</v>
      </c>
      <c r="AD14" s="145">
        <f t="shared" si="3"/>
        <v>45.304172854799987</v>
      </c>
      <c r="AE14" s="145">
        <f t="shared" si="4"/>
        <v>-14.884999999999998</v>
      </c>
      <c r="AF14" s="145">
        <f t="shared" si="5"/>
        <v>74.909777119200001</v>
      </c>
      <c r="AG14" s="772">
        <f>AC14+AD14+AE14+AF14+70-53+10.95</f>
        <v>157.99744997399998</v>
      </c>
      <c r="AH14" s="1253">
        <f t="shared" si="6"/>
        <v>2.1480000000000001</v>
      </c>
      <c r="AI14" s="1253">
        <f t="shared" si="7"/>
        <v>2.2490000000000001</v>
      </c>
      <c r="AJ14" s="156">
        <f t="shared" si="8"/>
        <v>28.747265300399999</v>
      </c>
      <c r="AK14" s="156">
        <f t="shared" si="9"/>
        <v>1.31576348011724</v>
      </c>
      <c r="AM14" s="716">
        <f t="shared" si="10"/>
        <v>9.7900000000000005E-4</v>
      </c>
      <c r="AN14" s="716" t="str">
        <f>_xlfn.XLOOKUP(D14,RUC!$B$3:$B$578,RUC!$M$3:$M$578)</f>
        <v>Richard Sapacayo</v>
      </c>
      <c r="AO14" s="1167" t="s">
        <v>2277</v>
      </c>
      <c r="AP14" t="s">
        <v>3513</v>
      </c>
      <c r="AQ14" t="s">
        <v>3514</v>
      </c>
      <c r="AV14" s="1557" t="s">
        <v>2518</v>
      </c>
      <c r="AW14" s="703">
        <f t="shared" si="12"/>
        <v>0</v>
      </c>
      <c r="AX14" s="703" cm="1">
        <f t="array" ref="AX14">+SUMPRODUCT(IF($AO$4:$AO$1345=AV14,$L$4:$L$1345*$K$4:$K$1345/AW14))</f>
        <v>0</v>
      </c>
      <c r="AY14" s="1215">
        <f t="shared" si="13"/>
        <v>0</v>
      </c>
      <c r="AZ14" s="596" cm="1">
        <f t="array" ref="AZ14">+SUMPRODUCT(IF('33'!$AO$4:$AO$1237=AV14,('33'!$Q$4:$Q$1237*'33'!$AH$4:$AH$1237)/SUMIF('33'!$AO$4:$AO$1237,#REF!,'33'!$AH$4:$AH$1237)))</f>
        <v>0</v>
      </c>
      <c r="BA14" s="1237">
        <f t="shared" si="14"/>
        <v>0</v>
      </c>
      <c r="BB14" s="1237">
        <f t="shared" si="15"/>
        <v>0</v>
      </c>
      <c r="BC14" s="596">
        <f t="shared" si="17"/>
        <v>554.53452303552797</v>
      </c>
      <c r="BD14" s="1238">
        <f t="shared" si="18"/>
        <v>529.2639999999999</v>
      </c>
    </row>
    <row r="15" spans="1:56" ht="15" customHeight="1">
      <c r="A15" s="1491" t="s">
        <v>3506</v>
      </c>
      <c r="B15" s="1542">
        <v>45985</v>
      </c>
      <c r="C15" s="1447">
        <v>45978</v>
      </c>
      <c r="D15" t="s">
        <v>1484</v>
      </c>
      <c r="E15" s="762">
        <f>_xlfn.XLOOKUP(D15,RUC!$B$3:$B$123,RUC!$D$3:$D$123)</f>
        <v>10761932735</v>
      </c>
      <c r="G15" s="1082" t="s">
        <v>2985</v>
      </c>
      <c r="H15" s="762" t="s">
        <v>69</v>
      </c>
      <c r="I15" s="703">
        <v>17.12</v>
      </c>
      <c r="J15" s="596">
        <v>2.95</v>
      </c>
      <c r="K15" s="703">
        <f t="shared" si="0"/>
        <v>16.614999999999998</v>
      </c>
      <c r="L15" s="762">
        <v>7.6999999999999999E-2</v>
      </c>
      <c r="M15" s="994">
        <f t="shared" si="19"/>
        <v>5.8999999999999997E-2</v>
      </c>
      <c r="N15" s="1196">
        <f t="shared" si="16"/>
        <v>5.8999999999999997E-2</v>
      </c>
      <c r="O15" s="645">
        <f t="shared" si="1"/>
        <v>5.8999999999999997E-2</v>
      </c>
      <c r="P15" s="727">
        <v>80</v>
      </c>
      <c r="Q15" s="1550">
        <v>96.1</v>
      </c>
      <c r="R15" s="706">
        <v>4072.5</v>
      </c>
      <c r="S15" s="765">
        <f>IF((_xlfn.XLOOKUP(D15,RUC!$B$3:$B$119,RUC!$E$3:$E$119)+ROUNDDOWN(O15,1)*100)&lt;95,95,((_xlfn.XLOOKUP(D15,RUC!$B$3:$B$119,RUC!$E$3:$E$119)+ROUNDDOWN(O15,1)*100)))</f>
        <v>95</v>
      </c>
      <c r="U15" s="1146">
        <f>_xlfn.XLOOKUP(D15,RUC!$B$3:$B$123,RUC!$F$3:$F$123)</f>
        <v>120</v>
      </c>
      <c r="V15" s="715">
        <v>1.1023000000000001</v>
      </c>
      <c r="Y15">
        <f>_xlfn.XLOOKUP(D15,RUC!$B$3:$B$123,RUC!$G$3:$G$123)</f>
        <v>20</v>
      </c>
      <c r="Z15" s="143">
        <f>_xlfn.XLOOKUP(D15,RUC!$B$3:$B$123,RUC!$H$3:$H$123)</f>
        <v>30</v>
      </c>
      <c r="AA15" s="144">
        <f t="shared" si="2"/>
        <v>50</v>
      </c>
      <c r="AB15" s="145">
        <v>1E-3</v>
      </c>
      <c r="AC15" s="145">
        <f>+(S15-T15)*V15-'data 1'!$F$4</f>
        <v>24.718500000000006</v>
      </c>
      <c r="AD15" s="145">
        <f t="shared" si="3"/>
        <v>54.011754777749985</v>
      </c>
      <c r="AE15" s="145">
        <f t="shared" si="4"/>
        <v>-14.884999999999998</v>
      </c>
      <c r="AF15" s="145">
        <f t="shared" si="5"/>
        <v>75.364631293500011</v>
      </c>
      <c r="AG15" s="772">
        <f>AC15+AD15+AE15+AF15+70-53+71.51</f>
        <v>227.71988607125002</v>
      </c>
      <c r="AH15" s="1253">
        <f t="shared" si="6"/>
        <v>42.152999999999999</v>
      </c>
      <c r="AI15" s="1253">
        <f t="shared" si="7"/>
        <v>43.863</v>
      </c>
      <c r="AJ15" s="156">
        <f t="shared" si="8"/>
        <v>33.23850893825</v>
      </c>
      <c r="AK15" s="156">
        <f t="shared" si="9"/>
        <v>26.887561299675394</v>
      </c>
      <c r="AM15" s="716">
        <f t="shared" si="10"/>
        <v>1.6614999999999998E-2</v>
      </c>
      <c r="AN15" s="716" t="str">
        <f>_xlfn.XLOOKUP(D15,RUC!$B$3:$B$578,RUC!$M$3:$M$578)</f>
        <v>Richard Sapacayo</v>
      </c>
      <c r="AO15" s="1167" t="s">
        <v>2278</v>
      </c>
      <c r="AP15" t="s">
        <v>3515</v>
      </c>
      <c r="AQ15" t="s">
        <v>3516</v>
      </c>
      <c r="AV15" s="1557" t="s">
        <v>2519</v>
      </c>
      <c r="AW15" s="703">
        <f t="shared" si="12"/>
        <v>0</v>
      </c>
      <c r="AX15" s="703" cm="1">
        <f t="array" ref="AX15">+SUMPRODUCT(IF($AO$4:$AO$1345=AV15,$L$4:$L$1345*$K$4:$K$1345/AW15))</f>
        <v>0</v>
      </c>
      <c r="AY15" s="1215">
        <f t="shared" si="13"/>
        <v>0</v>
      </c>
      <c r="AZ15" s="596" cm="1">
        <f t="array" ref="AZ15">+SUMPRODUCT(IF('33'!$AO$4:$AO$1237=AV15,('33'!$Q$4:$Q$1237*'33'!$AH$4:$AH$1237)/SUMIF('33'!$AO$4:$AO$1237,#REF!,'33'!$AH$4:$AH$1237)))</f>
        <v>0</v>
      </c>
      <c r="BA15" s="1237">
        <f t="shared" si="14"/>
        <v>0</v>
      </c>
      <c r="BB15" s="1237">
        <f t="shared" si="15"/>
        <v>0</v>
      </c>
      <c r="BC15" s="596">
        <f t="shared" si="17"/>
        <v>554.53452303552797</v>
      </c>
      <c r="BD15" s="1238">
        <f t="shared" si="18"/>
        <v>529.2639999999999</v>
      </c>
    </row>
    <row r="16" spans="1:56" ht="15" customHeight="1">
      <c r="A16" s="747" t="s">
        <v>3543</v>
      </c>
      <c r="B16" s="1447">
        <v>45989</v>
      </c>
      <c r="C16" s="1447">
        <v>45980</v>
      </c>
      <c r="D16" t="s">
        <v>3316</v>
      </c>
      <c r="E16" s="762">
        <f>_xlfn.XLOOKUP(D16,RUC!$B$3:$B$123,RUC!$D$3:$D$123)</f>
        <v>20613935151</v>
      </c>
      <c r="G16" s="1082" t="s">
        <v>2985</v>
      </c>
      <c r="H16" s="762" t="s">
        <v>69</v>
      </c>
      <c r="I16" s="703">
        <v>6.66</v>
      </c>
      <c r="J16" s="596">
        <v>1.3</v>
      </c>
      <c r="K16" s="703">
        <f t="shared" si="0"/>
        <v>6.5730000000000004</v>
      </c>
      <c r="L16" s="762">
        <v>0.111</v>
      </c>
      <c r="M16" s="994">
        <f t="shared" si="19"/>
        <v>9.2999999999999999E-2</v>
      </c>
      <c r="N16" s="1444">
        <v>0.152</v>
      </c>
      <c r="O16" s="645">
        <f t="shared" si="1"/>
        <v>0.123</v>
      </c>
      <c r="P16" s="727">
        <v>80</v>
      </c>
      <c r="Q16" s="1523">
        <v>91.89</v>
      </c>
      <c r="R16" s="706">
        <v>4126.95</v>
      </c>
      <c r="S16" s="765">
        <f>IF((_xlfn.XLOOKUP(D16,RUC!$B$3:$B$119,RUC!$E$3:$E$119)+ROUNDDOWN(O16,1)*100)&lt;95,95,((_xlfn.XLOOKUP(D16,RUC!$B$3:$B$119,RUC!$E$3:$E$119)+ROUNDDOWN(O16,1)*100)))</f>
        <v>100</v>
      </c>
      <c r="U16" s="1146">
        <f>_xlfn.XLOOKUP(D16,RUC!$B$3:$B$123,RUC!$F$3:$F$123)</f>
        <v>120</v>
      </c>
      <c r="V16" s="715">
        <v>1.1023000000000001</v>
      </c>
      <c r="Y16">
        <f>_xlfn.XLOOKUP(D16,RUC!$B$3:$B$123,RUC!$G$3:$G$123)</f>
        <v>20</v>
      </c>
      <c r="Z16" s="143">
        <f>_xlfn.XLOOKUP(D16,RUC!$B$3:$B$123,RUC!$H$3:$H$123)</f>
        <v>30</v>
      </c>
      <c r="AA16" s="144">
        <f t="shared" si="2"/>
        <v>50</v>
      </c>
      <c r="AB16" s="145">
        <f t="shared" ref="AB16:AB24" si="21">+((O16*P16*(R16-U16)/100)-S16-AA16+T16)*V16</f>
        <v>269.27412092400004</v>
      </c>
      <c r="AC16" s="145">
        <f>+(S16-T16)*V16-'data 1'!$F$4</f>
        <v>30.230000000000004</v>
      </c>
      <c r="AD16" s="145">
        <f t="shared" si="3"/>
        <v>58.293289593931497</v>
      </c>
      <c r="AE16" s="145">
        <f t="shared" si="4"/>
        <v>-14.884999999999998</v>
      </c>
      <c r="AF16" s="145">
        <f t="shared" si="5"/>
        <v>-48.703842709397989</v>
      </c>
      <c r="AG16" s="772">
        <f>AC16+AD16+AE16+AF16+70-53</f>
        <v>41.934446884533529</v>
      </c>
      <c r="AH16" s="1253">
        <f t="shared" si="6"/>
        <v>22.986000000000001</v>
      </c>
      <c r="AI16" s="1253">
        <f t="shared" si="7"/>
        <v>25.015000000000001</v>
      </c>
      <c r="AJ16" s="156">
        <f t="shared" si="8"/>
        <v>39.694218279268526</v>
      </c>
      <c r="AK16" s="156">
        <f t="shared" si="9"/>
        <v>22.175212996220761</v>
      </c>
      <c r="AM16" s="716">
        <f t="shared" si="10"/>
        <v>1769.9387968334524</v>
      </c>
      <c r="AN16" s="716" t="str">
        <f>_xlfn.XLOOKUP(D16,RUC!$B$3:$B$578,RUC!$M$3:$M$578)</f>
        <v xml:space="preserve">Dante </v>
      </c>
      <c r="AO16" s="1167" t="s">
        <v>2277</v>
      </c>
      <c r="AP16" t="s">
        <v>3565</v>
      </c>
      <c r="AQ16" t="s">
        <v>3566</v>
      </c>
      <c r="AV16" s="1557" t="s">
        <v>2520</v>
      </c>
      <c r="AW16" s="703">
        <f t="shared" si="12"/>
        <v>0</v>
      </c>
      <c r="AX16" s="703" cm="1">
        <f t="array" ref="AX16">+SUMPRODUCT(IF($AO$4:$AO$1345=AV16,$L$4:$L$1345*$K$4:$K$1345/AW16))</f>
        <v>0</v>
      </c>
      <c r="AY16" s="1215">
        <f t="shared" si="13"/>
        <v>0</v>
      </c>
      <c r="AZ16" s="596" cm="1">
        <f t="array" ref="AZ16">+SUMPRODUCT(IF('33'!$AO$4:$AO$1237=AV16,('33'!$Q$4:$Q$1237*'33'!$AH$4:$AH$1237)/SUMIF('33'!$AO$4:$AO$1237,#REF!,'33'!$AH$4:$AH$1237)))</f>
        <v>0</v>
      </c>
      <c r="BA16" s="1237">
        <f t="shared" si="14"/>
        <v>0</v>
      </c>
      <c r="BB16" s="1237">
        <f t="shared" si="15"/>
        <v>0</v>
      </c>
      <c r="BC16" s="596">
        <f t="shared" si="17"/>
        <v>554.53452303552797</v>
      </c>
      <c r="BD16" s="1238">
        <f t="shared" si="18"/>
        <v>529.2639999999999</v>
      </c>
    </row>
    <row r="17" spans="1:56" ht="15" customHeight="1" thickBot="1">
      <c r="A17" s="747" t="s">
        <v>3552</v>
      </c>
      <c r="B17" s="1447">
        <v>45985</v>
      </c>
      <c r="C17" s="1447">
        <v>45981</v>
      </c>
      <c r="D17" t="s">
        <v>3316</v>
      </c>
      <c r="E17" s="762">
        <f>_xlfn.XLOOKUP(D17,RUC!$B$3:$B$123,RUC!$D$3:$D$123)</f>
        <v>20613935151</v>
      </c>
      <c r="G17" s="1082" t="s">
        <v>2985</v>
      </c>
      <c r="H17" s="762" t="s">
        <v>108</v>
      </c>
      <c r="I17" s="703">
        <v>23.52</v>
      </c>
      <c r="J17" s="596">
        <v>14.92</v>
      </c>
      <c r="K17" s="703">
        <f t="shared" si="0"/>
        <v>20.010999999999999</v>
      </c>
      <c r="L17" s="762">
        <v>0.185</v>
      </c>
      <c r="M17" s="994">
        <f t="shared" si="19"/>
        <v>0.16700000000000001</v>
      </c>
      <c r="N17" s="1444">
        <v>0.23799999999999999</v>
      </c>
      <c r="O17" s="645">
        <f t="shared" si="1"/>
        <v>0.20300000000000001</v>
      </c>
      <c r="P17" s="727">
        <v>90</v>
      </c>
      <c r="Q17" s="1523">
        <v>94.59</v>
      </c>
      <c r="R17" s="706">
        <v>4090.6</v>
      </c>
      <c r="S17" s="765">
        <f>IF((_xlfn.XLOOKUP(D17,RUC!$B$3:$B$119,RUC!$E$3:$E$119)+ROUNDDOWN(O17,1)*100)&lt;95,95,((_xlfn.XLOOKUP(D17,RUC!$B$3:$B$119,RUC!$E$3:$E$119)+ROUNDDOWN(O17,1)*100)))</f>
        <v>110</v>
      </c>
      <c r="U17" s="1146">
        <f>_xlfn.XLOOKUP(D17,RUC!$B$3:$B$123,RUC!$F$3:$F$123)</f>
        <v>120</v>
      </c>
      <c r="V17" s="715">
        <v>1.1023000000000001</v>
      </c>
      <c r="Y17" s="1445">
        <v>40</v>
      </c>
      <c r="Z17" s="143">
        <f>_xlfn.XLOOKUP(D17,RUC!$B$3:$B$123,RUC!$H$3:$H$123)</f>
        <v>30</v>
      </c>
      <c r="AA17" s="144">
        <f t="shared" si="2"/>
        <v>70</v>
      </c>
      <c r="AB17" s="145">
        <f t="shared" si="21"/>
        <v>601.22596782599999</v>
      </c>
      <c r="AC17" s="145">
        <f>+(S17-T17)*V17-'data 1'!$F$4</f>
        <v>41.253</v>
      </c>
      <c r="AD17" s="145">
        <f t="shared" si="3"/>
        <v>37.165532494770034</v>
      </c>
      <c r="AE17" s="145">
        <f t="shared" si="4"/>
        <v>7.1610000000000014</v>
      </c>
      <c r="AF17" s="145">
        <f t="shared" si="5"/>
        <v>-74.52014242035608</v>
      </c>
      <c r="AG17" s="772">
        <f t="shared" ref="AG17:AG25" si="22">AC17+AD17+AE17+AF17+70-53</f>
        <v>28.059390074413955</v>
      </c>
      <c r="AH17" s="1253">
        <f t="shared" si="6"/>
        <v>120.059</v>
      </c>
      <c r="AI17" s="1253">
        <f t="shared" si="7"/>
        <v>126.926</v>
      </c>
      <c r="AJ17" s="156">
        <f t="shared" si="8"/>
        <v>75.11258499723003</v>
      </c>
      <c r="AK17" s="156">
        <f t="shared" si="9"/>
        <v>125.3477112790641</v>
      </c>
      <c r="AM17" s="716">
        <f t="shared" si="10"/>
        <v>12031.132842166086</v>
      </c>
      <c r="AN17" s="716" t="str">
        <f>_xlfn.XLOOKUP(D17,RUC!$B$3:$B$578,RUC!$M$3:$M$578)</f>
        <v xml:space="preserve">Dante </v>
      </c>
      <c r="AO17" s="1167" t="s">
        <v>2277</v>
      </c>
      <c r="AP17" t="s">
        <v>3568</v>
      </c>
      <c r="AQ17" t="s">
        <v>3569</v>
      </c>
      <c r="AV17" s="1558" t="s">
        <v>2521</v>
      </c>
      <c r="AW17" s="1254">
        <f t="shared" si="12"/>
        <v>0</v>
      </c>
      <c r="AX17" s="1254" cm="1">
        <f t="array" ref="AX17">+SUMPRODUCT(IF('33'!$AO$4:$AO$1237=AV17,'33'!$L$4:$L$1237*'33'!$K$4:$K$1237/AW17))</f>
        <v>0</v>
      </c>
      <c r="AY17" s="1241">
        <f t="shared" si="13"/>
        <v>0</v>
      </c>
      <c r="AZ17" s="1242" cm="1">
        <f t="array" ref="AZ17">+SUMPRODUCT(IF('33'!$AO$4:$AO$1237=AV17,('33'!$Q$4:$Q$1237*'33'!$AH$4:$AH$1237)/SUMIF('33'!$AO$4:$AO$1237,#REF!,'33'!$AH$4:$AH$1237)))</f>
        <v>0</v>
      </c>
      <c r="BA17" s="1243">
        <f t="shared" si="14"/>
        <v>0</v>
      </c>
      <c r="BB17" s="1243">
        <f t="shared" si="15"/>
        <v>0</v>
      </c>
      <c r="BC17" s="1242">
        <f t="shared" si="17"/>
        <v>554.53452303552797</v>
      </c>
      <c r="BD17" s="1436">
        <f t="shared" si="18"/>
        <v>529.2639999999999</v>
      </c>
    </row>
    <row r="18" spans="1:56" ht="15" customHeight="1">
      <c r="A18" s="747" t="s">
        <v>3557</v>
      </c>
      <c r="B18" s="1447">
        <v>45988</v>
      </c>
      <c r="C18" s="1447">
        <v>45982</v>
      </c>
      <c r="D18" t="s">
        <v>3510</v>
      </c>
      <c r="E18" s="762">
        <f>_xlfn.XLOOKUP(D18,RUC!$B$3:$B$123,RUC!$D$3:$D$123)</f>
        <v>10408856049</v>
      </c>
      <c r="G18" s="1082" t="s">
        <v>2985</v>
      </c>
      <c r="H18" s="762" t="s">
        <v>69</v>
      </c>
      <c r="I18" s="703">
        <v>24.33</v>
      </c>
      <c r="J18" s="596">
        <v>3.95</v>
      </c>
      <c r="K18" s="703">
        <f t="shared" si="0"/>
        <v>23.369</v>
      </c>
      <c r="L18" s="1082">
        <v>0.123</v>
      </c>
      <c r="M18" s="994">
        <f t="shared" si="19"/>
        <v>0.105</v>
      </c>
      <c r="N18" s="1444">
        <v>0.157</v>
      </c>
      <c r="O18" s="645">
        <f t="shared" si="1"/>
        <v>0.13100000000000001</v>
      </c>
      <c r="P18" s="727">
        <v>85</v>
      </c>
      <c r="Q18" s="1523">
        <v>97.56</v>
      </c>
      <c r="R18" s="706">
        <v>4072.85</v>
      </c>
      <c r="S18" s="765">
        <f>IF((_xlfn.XLOOKUP(D18,RUC!$B$3:$B$119,RUC!$E$3:$E$119)+ROUNDDOWN(O18,1)*100)&lt;95,95,((_xlfn.XLOOKUP(D18,RUC!$B$3:$B$119,RUC!$E$3:$E$119)+ROUNDDOWN(O18,1)*100)))</f>
        <v>100</v>
      </c>
      <c r="U18" s="1146">
        <f>_xlfn.XLOOKUP(D18,RUC!$B$3:$B$123,RUC!$F$3:$F$123)</f>
        <v>120</v>
      </c>
      <c r="V18" s="715">
        <v>1.1023000000000001</v>
      </c>
      <c r="Y18" s="1445">
        <v>40</v>
      </c>
      <c r="Z18" s="143">
        <f>_xlfn.XLOOKUP(D18,RUC!$B$3:$B$123,RUC!$H$3:$H$123)</f>
        <v>30</v>
      </c>
      <c r="AA18" s="144">
        <f t="shared" si="2"/>
        <v>70</v>
      </c>
      <c r="AB18" s="145">
        <f t="shared" si="21"/>
        <v>297.78617689924999</v>
      </c>
      <c r="AC18" s="145">
        <f>+(S18-T18)*V18-'data 1'!$F$4</f>
        <v>30.230000000000004</v>
      </c>
      <c r="AD18" s="145">
        <f t="shared" si="3"/>
        <v>67.313921602884008</v>
      </c>
      <c r="AE18" s="145">
        <f t="shared" si="4"/>
        <v>7.1610000000000014</v>
      </c>
      <c r="AF18" s="145">
        <f t="shared" si="5"/>
        <v>-34.00728181646403</v>
      </c>
      <c r="AG18" s="772">
        <f t="shared" si="22"/>
        <v>87.697639786419984</v>
      </c>
      <c r="AH18" s="1253">
        <f t="shared" si="6"/>
        <v>96.144999999999996</v>
      </c>
      <c r="AI18" s="1253">
        <f t="shared" si="7"/>
        <v>98.549000000000007</v>
      </c>
      <c r="AJ18" s="156">
        <f t="shared" si="8"/>
        <v>53.855634838266013</v>
      </c>
      <c r="AK18" s="156">
        <f t="shared" si="9"/>
        <v>89.215316232459116</v>
      </c>
      <c r="AM18" s="716">
        <f t="shared" si="10"/>
        <v>6958.9651679585731</v>
      </c>
      <c r="AN18" s="716" t="str">
        <f>_xlfn.XLOOKUP(D18,RUC!$B$3:$B$578,RUC!$M$3:$M$578)</f>
        <v>Richard Sapacayo</v>
      </c>
      <c r="AO18" s="1167" t="s">
        <v>2277</v>
      </c>
      <c r="AP18" t="s">
        <v>3574</v>
      </c>
      <c r="AQ18" t="s">
        <v>3575</v>
      </c>
    </row>
    <row r="19" spans="1:56" ht="15" customHeight="1" thickBot="1">
      <c r="A19" s="1491" t="s">
        <v>3584</v>
      </c>
      <c r="C19" s="1447">
        <v>45985</v>
      </c>
      <c r="D19" t="s">
        <v>93</v>
      </c>
      <c r="E19" s="762">
        <f>_xlfn.XLOOKUP(D19,RUC!$B$3:$B$123,RUC!$D$3:$D$123)</f>
        <v>20169040231</v>
      </c>
      <c r="G19" s="1082">
        <v>90</v>
      </c>
      <c r="H19" s="762" t="s">
        <v>69</v>
      </c>
      <c r="I19" s="703">
        <v>9.41</v>
      </c>
      <c r="J19" s="596">
        <v>2.75</v>
      </c>
      <c r="K19" s="703">
        <f t="shared" si="0"/>
        <v>9.1509999999999998</v>
      </c>
      <c r="L19" s="1082">
        <v>7.1999999999999995E-2</v>
      </c>
      <c r="M19" s="994">
        <f t="shared" si="19"/>
        <v>5.3999999999999999E-2</v>
      </c>
      <c r="N19" s="1196">
        <f t="shared" ref="N19:N20" si="23">+M19</f>
        <v>5.3999999999999999E-2</v>
      </c>
      <c r="O19" s="645">
        <f t="shared" si="1"/>
        <v>5.3999999999999999E-2</v>
      </c>
      <c r="P19" s="727">
        <v>90</v>
      </c>
      <c r="Q19" s="1476">
        <v>95.83</v>
      </c>
      <c r="R19" s="706">
        <v>4082.05</v>
      </c>
      <c r="S19" s="765">
        <f>IF((_xlfn.XLOOKUP(D19,RUC!$B$3:$B$119,RUC!$E$3:$E$119)+ROUNDDOWN(O19,1)*100)&lt;95,95,((_xlfn.XLOOKUP(D19,RUC!$B$3:$B$119,RUC!$E$3:$E$119)+ROUNDDOWN(O19,1)*100)))</f>
        <v>95</v>
      </c>
      <c r="U19" s="1146">
        <f>_xlfn.XLOOKUP(D19,RUC!$B$3:$B$123,RUC!$F$3:$F$123)</f>
        <v>120</v>
      </c>
      <c r="V19" s="715">
        <v>1.1023000000000001</v>
      </c>
      <c r="Y19">
        <f>_xlfn.XLOOKUP(D19,RUC!$B$3:$B$123,RUC!$G$3:$G$123)</f>
        <v>20</v>
      </c>
      <c r="Z19" s="1454">
        <v>35</v>
      </c>
      <c r="AA19" s="144">
        <f t="shared" si="2"/>
        <v>55</v>
      </c>
      <c r="AB19" s="145">
        <f t="shared" si="21"/>
        <v>46.909070949000011</v>
      </c>
      <c r="AC19" s="145">
        <f>+(S19-T19)*V19-'data 1'!$F$4</f>
        <v>24.718500000000006</v>
      </c>
      <c r="AD19" s="145">
        <f t="shared" si="3"/>
        <v>18.332462720483996</v>
      </c>
      <c r="AE19" s="145">
        <f t="shared" si="4"/>
        <v>-9.3734999999999999</v>
      </c>
      <c r="AF19" s="145">
        <f t="shared" si="5"/>
        <v>75.334472663120991</v>
      </c>
      <c r="AG19" s="772">
        <f t="shared" si="22"/>
        <v>126.01193538360499</v>
      </c>
      <c r="AH19" s="1253">
        <f t="shared" si="6"/>
        <v>21.648</v>
      </c>
      <c r="AI19" s="1253">
        <f t="shared" si="7"/>
        <v>22.59</v>
      </c>
      <c r="AJ19" s="156">
        <f t="shared" si="8"/>
        <v>30.266506880315987</v>
      </c>
      <c r="AK19" s="156">
        <f t="shared" si="9"/>
        <v>15.248035481813728</v>
      </c>
      <c r="AM19" s="716">
        <f t="shared" si="10"/>
        <v>429.26490825429909</v>
      </c>
      <c r="AN19" s="716" t="str">
        <f>_xlfn.XLOOKUP(D19,RUC!$B$3:$B$578,RUC!$M$3:$M$578)</f>
        <v>Ronald Miranda</v>
      </c>
      <c r="AO19" s="1167" t="s">
        <v>2279</v>
      </c>
      <c r="AP19" t="s">
        <v>3606</v>
      </c>
      <c r="AQ19" t="s">
        <v>3607</v>
      </c>
    </row>
    <row r="20" spans="1:56" ht="15" customHeight="1" thickBot="1">
      <c r="A20" s="747" t="s">
        <v>3585</v>
      </c>
      <c r="B20" s="1447">
        <v>45994</v>
      </c>
      <c r="C20" s="1447">
        <v>45985</v>
      </c>
      <c r="D20" t="s">
        <v>2444</v>
      </c>
      <c r="E20" s="762">
        <f>_xlfn.XLOOKUP(D20,RUC!$B$3:$B$123,RUC!$D$3:$D$123)</f>
        <v>20608774000</v>
      </c>
      <c r="G20" s="1082">
        <v>42</v>
      </c>
      <c r="H20" s="762" t="s">
        <v>108</v>
      </c>
      <c r="I20" s="703">
        <v>3.09</v>
      </c>
      <c r="J20" s="596">
        <v>29.71</v>
      </c>
      <c r="K20" s="703">
        <f t="shared" si="0"/>
        <v>2.1720000000000002</v>
      </c>
      <c r="L20" s="1082">
        <v>11.622</v>
      </c>
      <c r="M20" s="1564">
        <v>10.721</v>
      </c>
      <c r="N20" s="1196">
        <f t="shared" si="23"/>
        <v>10.721</v>
      </c>
      <c r="O20" s="1147">
        <v>11.695</v>
      </c>
      <c r="P20" s="1199">
        <v>85</v>
      </c>
      <c r="Q20" s="1476">
        <v>82.56</v>
      </c>
      <c r="R20" s="706">
        <v>4082.05</v>
      </c>
      <c r="S20" s="765">
        <f>IF((_xlfn.XLOOKUP(D20,RUC!$B$3:$B$119,RUC!$E$3:$E$119)+ROUNDDOWN(O20,1)*100)&lt;95,95,((_xlfn.XLOOKUP(D20,RUC!$B$3:$B$119,RUC!$E$3:$E$119)+ROUNDDOWN(O20,1)*100)))</f>
        <v>1245</v>
      </c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54">
        <v>35</v>
      </c>
      <c r="AA20" s="144">
        <f t="shared" si="2"/>
        <v>55</v>
      </c>
      <c r="AB20" s="145">
        <f t="shared" si="21"/>
        <v>41981.920612886257</v>
      </c>
      <c r="AC20" s="145">
        <f>+(S20-T20)*V20-'data 1'!$F$4</f>
        <v>1292.3635000000002</v>
      </c>
      <c r="AD20" s="145">
        <f t="shared" si="3"/>
        <v>-1238.484161043011</v>
      </c>
      <c r="AE20" s="145">
        <f t="shared" si="4"/>
        <v>-9.3734999999999999</v>
      </c>
      <c r="AF20" s="145">
        <f t="shared" si="5"/>
        <v>-263.21601134179343</v>
      </c>
      <c r="AG20" s="772">
        <f t="shared" si="22"/>
        <v>-201.71017238480428</v>
      </c>
      <c r="AH20" s="1253">
        <f t="shared" si="6"/>
        <v>714.52800000000002</v>
      </c>
      <c r="AI20" s="1253">
        <f t="shared" si="7"/>
        <v>865.46600000000001</v>
      </c>
      <c r="AJ20" s="156">
        <f t="shared" si="8"/>
        <v>4208.9994775221103</v>
      </c>
      <c r="AK20" s="156">
        <f t="shared" si="9"/>
        <v>740.26640757245752</v>
      </c>
      <c r="AM20" s="716">
        <f t="shared" si="10"/>
        <v>91184.731571188953</v>
      </c>
      <c r="AN20" s="716" t="str">
        <f>_xlfn.XLOOKUP(D20,RUC!$B$3:$B$578,RUC!$M$3:$M$578)</f>
        <v>Ronald Miranda</v>
      </c>
      <c r="AO20" s="1167" t="s">
        <v>2277</v>
      </c>
      <c r="AP20" t="s">
        <v>3608</v>
      </c>
      <c r="AQ20" t="s">
        <v>3609</v>
      </c>
      <c r="AR20" s="1571" t="s">
        <v>3676</v>
      </c>
      <c r="AV20" s="1982" t="s">
        <v>3646</v>
      </c>
      <c r="AW20" s="1983"/>
      <c r="AX20" s="1983"/>
      <c r="AY20" s="1983"/>
      <c r="AZ20" s="1983"/>
      <c r="BA20" s="1984"/>
    </row>
    <row r="21" spans="1:56" ht="15" customHeight="1">
      <c r="A21" s="747" t="s">
        <v>3598</v>
      </c>
      <c r="B21" s="1447">
        <v>45994</v>
      </c>
      <c r="C21" s="1447">
        <v>45985</v>
      </c>
      <c r="D21" t="s">
        <v>2444</v>
      </c>
      <c r="E21" s="762">
        <f>_xlfn.XLOOKUP(D21,RUC!$B$3:$B$123,RUC!$D$3:$D$123)</f>
        <v>20608774000</v>
      </c>
      <c r="G21" s="1082">
        <v>51</v>
      </c>
      <c r="H21" s="762" t="s">
        <v>108</v>
      </c>
      <c r="I21" s="703">
        <v>3.5</v>
      </c>
      <c r="J21" s="596">
        <v>32.85</v>
      </c>
      <c r="K21" s="703">
        <f t="shared" si="0"/>
        <v>2.35</v>
      </c>
      <c r="L21" s="1082">
        <v>3.1389999999999998</v>
      </c>
      <c r="M21" s="994">
        <f t="shared" si="19"/>
        <v>2.9510000000000001</v>
      </c>
      <c r="N21" s="1444">
        <v>3.169</v>
      </c>
      <c r="O21" s="645">
        <f t="shared" si="1"/>
        <v>3.06</v>
      </c>
      <c r="P21" s="1199">
        <v>81</v>
      </c>
      <c r="Q21" s="1476">
        <v>77.319999999999993</v>
      </c>
      <c r="R21" s="706">
        <v>4082.05</v>
      </c>
      <c r="S21" s="765">
        <f>IF((_xlfn.XLOOKUP(D21,RUC!$B$3:$B$119,RUC!$E$3:$E$119)+ROUNDDOWN(O21,1)*100)&lt;95,95,((_xlfn.XLOOKUP(D21,RUC!$B$3:$B$119,RUC!$E$3:$E$119)+ROUNDDOWN(O21,1)*100)))</f>
        <v>385</v>
      </c>
      <c r="U21" s="1146">
        <f>_xlfn.XLOOKUP(D21,RUC!$B$3:$B$123,RUC!$F$3:$F$123)</f>
        <v>120</v>
      </c>
      <c r="V21" s="715">
        <v>1.1023000000000001</v>
      </c>
      <c r="Y21">
        <f>_xlfn.XLOOKUP(D21,RUC!$B$3:$B$123,RUC!$G$3:$G$123)</f>
        <v>20</v>
      </c>
      <c r="Z21" s="1454">
        <v>35</v>
      </c>
      <c r="AA21" s="144">
        <f t="shared" si="2"/>
        <v>55</v>
      </c>
      <c r="AB21" s="145">
        <f t="shared" si="21"/>
        <v>10339.945618399002</v>
      </c>
      <c r="AC21" s="145">
        <f>+(S21-T21)*V21-'data 1'!$F$4</f>
        <v>344.38550000000004</v>
      </c>
      <c r="AD21" s="145">
        <f t="shared" si="3"/>
        <v>-504.49735507176899</v>
      </c>
      <c r="AE21" s="145">
        <f t="shared" si="4"/>
        <v>-9.3734999999999999</v>
      </c>
      <c r="AF21" s="145">
        <f t="shared" si="5"/>
        <v>266.77104866180116</v>
      </c>
      <c r="AG21" s="772">
        <f t="shared" si="22"/>
        <v>114.2856935900322</v>
      </c>
      <c r="AH21" s="1253">
        <f t="shared" si="6"/>
        <v>195.55099999999999</v>
      </c>
      <c r="AI21" s="1253">
        <f t="shared" si="7"/>
        <v>252.911</v>
      </c>
      <c r="AJ21" s="156">
        <f t="shared" si="8"/>
        <v>1064.6613234843173</v>
      </c>
      <c r="AK21" s="156">
        <f t="shared" si="9"/>
        <v>199.70244262871552</v>
      </c>
      <c r="AM21" s="716">
        <f t="shared" si="10"/>
        <v>24298.872203237657</v>
      </c>
      <c r="AN21" s="716" t="str">
        <f>_xlfn.XLOOKUP(D21,RUC!$B$3:$B$578,RUC!$M$3:$M$578)</f>
        <v>Ronald Miranda</v>
      </c>
      <c r="AO21" s="1167" t="s">
        <v>2278</v>
      </c>
      <c r="AP21" t="s">
        <v>3608</v>
      </c>
      <c r="AQ21" t="s">
        <v>3609</v>
      </c>
      <c r="AR21" t="s">
        <v>3663</v>
      </c>
      <c r="BA21" s="1482">
        <f>SUM(BA23:BA32)</f>
        <v>0</v>
      </c>
    </row>
    <row r="22" spans="1:56" ht="15" customHeight="1" thickBot="1">
      <c r="A22" s="747" t="s">
        <v>3599</v>
      </c>
      <c r="B22" s="1447">
        <v>45994</v>
      </c>
      <c r="C22" s="1447">
        <v>45985</v>
      </c>
      <c r="D22" t="s">
        <v>2444</v>
      </c>
      <c r="E22" s="762">
        <f>_xlfn.XLOOKUP(D22,RUC!$B$3:$B$123,RUC!$D$3:$D$123)</f>
        <v>20608774000</v>
      </c>
      <c r="G22" s="1082">
        <v>29</v>
      </c>
      <c r="H22" s="762" t="s">
        <v>108</v>
      </c>
      <c r="I22" s="703">
        <v>2</v>
      </c>
      <c r="J22" s="596">
        <v>29.6</v>
      </c>
      <c r="K22" s="703">
        <f t="shared" si="0"/>
        <v>1.4079999999999999</v>
      </c>
      <c r="L22" s="1082">
        <v>2.613</v>
      </c>
      <c r="M22" s="994">
        <f t="shared" si="19"/>
        <v>2.456</v>
      </c>
      <c r="N22" s="1444">
        <v>2.64</v>
      </c>
      <c r="O22" s="645">
        <f t="shared" si="1"/>
        <v>2.548</v>
      </c>
      <c r="P22" s="1199">
        <v>80</v>
      </c>
      <c r="Q22" s="1476">
        <v>80.66</v>
      </c>
      <c r="R22" s="706">
        <v>4082.05</v>
      </c>
      <c r="S22" s="765">
        <f>IF((_xlfn.XLOOKUP(D22,RUC!$B$3:$B$119,RUC!$E$3:$E$119)+ROUNDDOWN(O22,1)*100)&lt;95,95,((_xlfn.XLOOKUP(D22,RUC!$B$3:$B$119,RUC!$E$3:$E$119)+ROUNDDOWN(O22,1)*100)))</f>
        <v>335</v>
      </c>
      <c r="U22" s="1146">
        <f>_xlfn.XLOOKUP(D22,RUC!$B$3:$B$123,RUC!$F$3:$F$123)</f>
        <v>120</v>
      </c>
      <c r="V22" s="715">
        <v>1.1023000000000001</v>
      </c>
      <c r="Y22">
        <f>_xlfn.XLOOKUP(D22,RUC!$B$3:$B$123,RUC!$G$3:$G$123)</f>
        <v>20</v>
      </c>
      <c r="Z22" s="1454">
        <v>35</v>
      </c>
      <c r="AA22" s="144">
        <f t="shared" si="2"/>
        <v>55</v>
      </c>
      <c r="AB22" s="145">
        <f t="shared" si="21"/>
        <v>8472.5453502560013</v>
      </c>
      <c r="AC22" s="145">
        <f>+(S22-T22)*V22-'data 1'!$F$4</f>
        <v>289.27050000000003</v>
      </c>
      <c r="AD22" s="145">
        <f t="shared" si="3"/>
        <v>75.318750139346619</v>
      </c>
      <c r="AE22" s="145">
        <f t="shared" si="4"/>
        <v>-9.3734999999999999</v>
      </c>
      <c r="AF22" s="145">
        <f t="shared" si="5"/>
        <v>228.97672192973482</v>
      </c>
      <c r="AG22" s="772">
        <f t="shared" si="22"/>
        <v>601.19247206908153</v>
      </c>
      <c r="AH22" s="1253">
        <f t="shared" si="6"/>
        <v>101.744</v>
      </c>
      <c r="AI22" s="1253">
        <f t="shared" si="7"/>
        <v>126.14</v>
      </c>
      <c r="AJ22" s="156">
        <f t="shared" si="8"/>
        <v>924.54050730705251</v>
      </c>
      <c r="AK22" s="156">
        <f t="shared" si="9"/>
        <v>98.401367681576971</v>
      </c>
      <c r="AM22" s="716">
        <f t="shared" si="10"/>
        <v>11929.34385316045</v>
      </c>
      <c r="AN22" s="716" t="str">
        <f>_xlfn.XLOOKUP(D22,RUC!$B$3:$B$578,RUC!$M$3:$M$578)</f>
        <v>Ronald Miranda</v>
      </c>
      <c r="AO22" s="1167" t="s">
        <v>2278</v>
      </c>
      <c r="AP22" t="s">
        <v>3608</v>
      </c>
      <c r="AQ22" t="s">
        <v>3609</v>
      </c>
      <c r="AR22" t="s">
        <v>3663</v>
      </c>
      <c r="AV22" s="762"/>
      <c r="AW22" s="762" t="s">
        <v>15</v>
      </c>
      <c r="AX22" s="762" t="s">
        <v>2522</v>
      </c>
      <c r="AY22" s="762" t="s">
        <v>2558</v>
      </c>
      <c r="AZ22" s="1483" t="s">
        <v>2598</v>
      </c>
      <c r="BA22" s="762" t="s">
        <v>2559</v>
      </c>
    </row>
    <row r="23" spans="1:56" ht="15" customHeight="1">
      <c r="A23" s="747" t="s">
        <v>3600</v>
      </c>
      <c r="B23" s="1447">
        <v>45992</v>
      </c>
      <c r="C23" s="1447">
        <v>45986</v>
      </c>
      <c r="D23" t="s">
        <v>2004</v>
      </c>
      <c r="E23" s="762">
        <f>_xlfn.XLOOKUP(D23,RUC!$B$3:$B$123,RUC!$D$3:$D$123)</f>
        <v>20612921866</v>
      </c>
      <c r="G23" s="1082" t="s">
        <v>2985</v>
      </c>
      <c r="H23" s="762" t="s">
        <v>69</v>
      </c>
      <c r="I23" s="703">
        <v>10.17</v>
      </c>
      <c r="J23" s="596">
        <v>1.25</v>
      </c>
      <c r="K23" s="703">
        <f t="shared" si="0"/>
        <v>10.042999999999999</v>
      </c>
      <c r="L23" s="1082">
        <v>0.158</v>
      </c>
      <c r="M23" s="994">
        <f t="shared" si="19"/>
        <v>0.14000000000000001</v>
      </c>
      <c r="N23" s="1196">
        <f t="shared" ref="N23:N42" si="24">+M23</f>
        <v>0.14000000000000001</v>
      </c>
      <c r="O23" s="645">
        <f t="shared" si="1"/>
        <v>0.14000000000000001</v>
      </c>
      <c r="P23" s="727">
        <v>85</v>
      </c>
      <c r="Q23" s="1476">
        <v>94.3</v>
      </c>
      <c r="R23" s="706">
        <v>4126.45</v>
      </c>
      <c r="S23" s="765">
        <f>IF((_xlfn.XLOOKUP(D23,RUC!$B$3:$B$119,RUC!$E$3:$E$119)+ROUNDDOWN(O23,1)*100)&lt;95,95,((_xlfn.XLOOKUP(D23,RUC!$B$3:$B$119,RUC!$E$3:$E$119)+ROUNDDOWN(O23,1)*100)))</f>
        <v>95</v>
      </c>
      <c r="U23" s="1146">
        <f>_xlfn.XLOOKUP(D23,RUC!$B$3:$B$123,RUC!$F$3:$F$123)</f>
        <v>100</v>
      </c>
      <c r="V23" s="715">
        <v>1.1023000000000001</v>
      </c>
      <c r="Y23">
        <f>_xlfn.XLOOKUP(D23,RUC!$B$3:$B$123,RUC!$G$3:$G$123)</f>
        <v>0</v>
      </c>
      <c r="Z23" s="143">
        <f>_xlfn.XLOOKUP(D23,RUC!$B$3:$B$123,RUC!$H$3:$H$123)</f>
        <v>30</v>
      </c>
      <c r="AA23" s="144">
        <f t="shared" si="2"/>
        <v>30</v>
      </c>
      <c r="AB23" s="145">
        <f t="shared" si="21"/>
        <v>390.37684436500001</v>
      </c>
      <c r="AC23" s="145">
        <f>+(S23-T23)*V23-'data 1'!$F$4</f>
        <v>24.718500000000006</v>
      </c>
      <c r="AD23" s="145">
        <f t="shared" si="3"/>
        <v>65.217200639489988</v>
      </c>
      <c r="AE23" s="145">
        <f t="shared" si="4"/>
        <v>-36.930999999999997</v>
      </c>
      <c r="AF23" s="145">
        <f t="shared" si="5"/>
        <v>75.336651943289951</v>
      </c>
      <c r="AG23" s="772">
        <f>AC23+AD23+AE23+AF23+70-10</f>
        <v>188.34135258277996</v>
      </c>
      <c r="AH23" s="1253">
        <f t="shared" si="6"/>
        <v>51.302999999999997</v>
      </c>
      <c r="AI23" s="1253">
        <f t="shared" si="7"/>
        <v>54.404000000000003</v>
      </c>
      <c r="AJ23" s="156">
        <f t="shared" si="8"/>
        <v>54.780946552010036</v>
      </c>
      <c r="AK23" s="156">
        <f t="shared" si="9"/>
        <v>40.975050110151848</v>
      </c>
      <c r="AL23" s="88"/>
      <c r="AM23" s="716">
        <f t="shared" si="10"/>
        <v>3920.5546479576947</v>
      </c>
      <c r="AN23" s="716" t="str">
        <f>_xlfn.XLOOKUP(D23,RUC!$B$3:$B$578,RUC!$M$3:$M$578)</f>
        <v>Ronald Garibay</v>
      </c>
      <c r="AO23" s="1167" t="s">
        <v>2278</v>
      </c>
      <c r="AP23" t="s">
        <v>3610</v>
      </c>
      <c r="AQ23" t="s">
        <v>3611</v>
      </c>
      <c r="AV23" s="1556" t="s">
        <v>2277</v>
      </c>
      <c r="AW23" s="1227">
        <f t="shared" ref="AW23:AW32" si="25">SUMIF($AO$4:$AO$1345,AV23,$K$4:$K$1345)</f>
        <v>155.01899999999998</v>
      </c>
      <c r="AX23" s="1227">
        <v>0.26400000000000001</v>
      </c>
      <c r="AY23" s="1229">
        <f t="shared" ref="AY23:AY32" si="26">AW23*AX23*31.1035*1.1023</f>
        <v>1403.1300545124589</v>
      </c>
      <c r="AZ23" s="596"/>
      <c r="BA23" s="1255">
        <f t="shared" ref="BA23:BA32" si="27">AY23*AZ23/100</f>
        <v>0</v>
      </c>
      <c r="BB23" s="1573" t="s">
        <v>3978</v>
      </c>
      <c r="BC23" s="1574">
        <f>+BB6</f>
        <v>5082.384</v>
      </c>
    </row>
    <row r="24" spans="1:56" ht="15" customHeight="1">
      <c r="A24" s="747" t="s">
        <v>3612</v>
      </c>
      <c r="B24" s="1447">
        <v>45992</v>
      </c>
      <c r="C24" s="1447">
        <v>45986</v>
      </c>
      <c r="D24" t="s">
        <v>93</v>
      </c>
      <c r="E24" s="762">
        <f>_xlfn.XLOOKUP(D24,RUC!$B$3:$B$123,RUC!$D$3:$D$123)</f>
        <v>20169040231</v>
      </c>
      <c r="G24" s="1082">
        <v>26</v>
      </c>
      <c r="H24" s="762" t="s">
        <v>69</v>
      </c>
      <c r="I24" s="703">
        <v>2.31</v>
      </c>
      <c r="J24" s="596">
        <v>1.2</v>
      </c>
      <c r="K24" s="703">
        <f t="shared" si="0"/>
        <v>2.282</v>
      </c>
      <c r="L24" s="1082">
        <v>0.78400000000000003</v>
      </c>
      <c r="M24" s="994">
        <f t="shared" si="19"/>
        <v>0.73699999999999999</v>
      </c>
      <c r="N24" s="1196">
        <f t="shared" si="24"/>
        <v>0.73699999999999999</v>
      </c>
      <c r="O24" s="645">
        <f t="shared" si="1"/>
        <v>0.73699999999999999</v>
      </c>
      <c r="P24" s="727">
        <v>90</v>
      </c>
      <c r="Q24" s="1476">
        <v>94.01</v>
      </c>
      <c r="R24" s="706">
        <v>4126.45</v>
      </c>
      <c r="S24" s="765">
        <f>IF((_xlfn.XLOOKUP(D24,RUC!$B$3:$B$119,RUC!$E$3:$E$119)+ROUNDDOWN(O24,1)*100)&lt;95,95,((_xlfn.XLOOKUP(D24,RUC!$B$3:$B$119,RUC!$E$3:$E$119)+ROUNDDOWN(O24,1)*100)))</f>
        <v>155</v>
      </c>
      <c r="U24" s="1146">
        <f>_xlfn.XLOOKUP(D24,RUC!$B$3:$B$123,RUC!$F$3:$F$123)</f>
        <v>120</v>
      </c>
      <c r="V24" s="715">
        <v>1.1023000000000001</v>
      </c>
      <c r="Y24">
        <f>_xlfn.XLOOKUP(D24,RUC!$B$3:$B$123,RUC!$G$3:$G$123)</f>
        <v>20</v>
      </c>
      <c r="Z24" s="1454">
        <v>35</v>
      </c>
      <c r="AA24" s="144">
        <f t="shared" si="2"/>
        <v>55</v>
      </c>
      <c r="AB24" s="145">
        <f t="shared" si="21"/>
        <v>2697.8553135555003</v>
      </c>
      <c r="AC24" s="145">
        <f>+(S24-T24)*V24-'data 1'!$F$4</f>
        <v>90.856500000000011</v>
      </c>
      <c r="AD24" s="145">
        <f t="shared" si="3"/>
        <v>138.84171511666418</v>
      </c>
      <c r="AE24" s="145">
        <f t="shared" si="4"/>
        <v>-9.3734999999999999</v>
      </c>
      <c r="AF24" s="145">
        <f t="shared" si="5"/>
        <v>195.13332516652471</v>
      </c>
      <c r="AG24" s="772">
        <f t="shared" si="22"/>
        <v>432.45804028318889</v>
      </c>
      <c r="AH24" s="1253">
        <f t="shared" si="6"/>
        <v>57.664999999999999</v>
      </c>
      <c r="AI24" s="1253">
        <f t="shared" si="7"/>
        <v>61.34</v>
      </c>
      <c r="AJ24" s="156">
        <f t="shared" si="8"/>
        <v>287.23725278253619</v>
      </c>
      <c r="AK24" s="156">
        <f t="shared" si="9"/>
        <v>51.896098193115328</v>
      </c>
      <c r="AM24" s="716">
        <f t="shared" si="10"/>
        <v>6156.5058255336517</v>
      </c>
      <c r="AN24" s="716" t="str">
        <f>_xlfn.XLOOKUP(D24,RUC!$B$3:$B$578,RUC!$M$3:$M$578)</f>
        <v>Ronald Miranda</v>
      </c>
      <c r="AO24" s="1167" t="s">
        <v>2278</v>
      </c>
      <c r="AP24" t="s">
        <v>3634</v>
      </c>
      <c r="AQ24" t="s">
        <v>3635</v>
      </c>
      <c r="AV24" s="1557" t="s">
        <v>2278</v>
      </c>
      <c r="AW24" s="703">
        <f t="shared" si="25"/>
        <v>92.527999999999992</v>
      </c>
      <c r="AX24" s="703">
        <v>0.216</v>
      </c>
      <c r="AY24" s="596">
        <f t="shared" si="26"/>
        <v>685.22941126592627</v>
      </c>
      <c r="AZ24" s="596"/>
      <c r="BA24" s="1256">
        <f t="shared" si="27"/>
        <v>0</v>
      </c>
      <c r="BB24" s="1575" t="s">
        <v>3981</v>
      </c>
      <c r="BC24" s="1576">
        <f>+'32'!BC26+'32'!BC27</f>
        <v>1126.3389999999999</v>
      </c>
    </row>
    <row r="25" spans="1:56" ht="15" customHeight="1">
      <c r="A25" s="747" t="s">
        <v>3616</v>
      </c>
      <c r="B25" s="1447">
        <v>45991</v>
      </c>
      <c r="C25" s="1447">
        <v>45986</v>
      </c>
      <c r="D25" t="s">
        <v>93</v>
      </c>
      <c r="E25" s="762">
        <f>_xlfn.XLOOKUP(D25,RUC!$B$3:$B$123,RUC!$D$3:$D$123)</f>
        <v>20169040231</v>
      </c>
      <c r="G25" s="1082">
        <v>22</v>
      </c>
      <c r="H25" s="762" t="s">
        <v>69</v>
      </c>
      <c r="I25" s="703">
        <v>1.95</v>
      </c>
      <c r="J25" s="596">
        <v>1.1499999999999999</v>
      </c>
      <c r="K25" s="703">
        <f t="shared" si="0"/>
        <v>1.9279999999999999</v>
      </c>
      <c r="L25" s="1082">
        <v>0.26600000000000001</v>
      </c>
      <c r="M25" s="994">
        <f t="shared" si="19"/>
        <v>0.248</v>
      </c>
      <c r="N25" s="1196">
        <f t="shared" si="24"/>
        <v>0.248</v>
      </c>
      <c r="O25" s="645">
        <f t="shared" si="1"/>
        <v>0.248</v>
      </c>
      <c r="P25" s="727">
        <v>90</v>
      </c>
      <c r="Q25" s="1476">
        <v>91.35</v>
      </c>
      <c r="R25" s="706">
        <v>4126.45</v>
      </c>
      <c r="S25" s="765">
        <f>IF((_xlfn.XLOOKUP(D25,RUC!$B$3:$B$119,RUC!$E$3:$E$119)+ROUNDDOWN(O25,1)*100)&lt;95,95,((_xlfn.XLOOKUP(D25,RUC!$B$3:$B$119,RUC!$E$3:$E$119)+ROUNDDOWN(O25,1)*100)))</f>
        <v>105</v>
      </c>
      <c r="U25" s="1146">
        <f>_xlfn.XLOOKUP(D25,RUC!$B$3:$B$123,RUC!$F$3:$F$123)</f>
        <v>120</v>
      </c>
      <c r="V25" s="715">
        <v>1.1023000000000001</v>
      </c>
      <c r="Y25">
        <f>_xlfn.XLOOKUP(D25,RUC!$B$3:$B$123,RUC!$G$3:$G$123)</f>
        <v>20</v>
      </c>
      <c r="Z25" s="1454">
        <v>35</v>
      </c>
      <c r="AA25" s="144">
        <f t="shared" si="2"/>
        <v>55</v>
      </c>
      <c r="AB25" s="145">
        <f>+((O25*P25*(R25-U25)/100)-S25-AA25+T25)*V25</f>
        <v>809.35235517199987</v>
      </c>
      <c r="AC25" s="145">
        <f>+(S25-T25)*V25-'data 1'!$F$4</f>
        <v>35.741500000000002</v>
      </c>
      <c r="AD25" s="145">
        <f t="shared" si="3"/>
        <v>15.858968617484933</v>
      </c>
      <c r="AE25" s="145">
        <f t="shared" si="4"/>
        <v>-9.3734999999999999</v>
      </c>
      <c r="AF25" s="145">
        <f t="shared" si="5"/>
        <v>72.617382616905061</v>
      </c>
      <c r="AG25" s="772">
        <f t="shared" si="22"/>
        <v>131.84435123438999</v>
      </c>
      <c r="AH25" s="1253">
        <f t="shared" si="6"/>
        <v>16.062000000000001</v>
      </c>
      <c r="AI25" s="1253">
        <f t="shared" si="7"/>
        <v>17.582999999999998</v>
      </c>
      <c r="AJ25" s="156">
        <f t="shared" si="8"/>
        <v>94.698006631515042</v>
      </c>
      <c r="AK25" s="156">
        <f t="shared" si="9"/>
        <v>14.75401732540128</v>
      </c>
      <c r="AM25" s="716">
        <f t="shared" si="10"/>
        <v>1560.4313407716156</v>
      </c>
      <c r="AN25" s="716" t="str">
        <f>_xlfn.XLOOKUP(D25,RUC!$B$3:$B$578,RUC!$M$3:$M$578)</f>
        <v>Ronald Miranda</v>
      </c>
      <c r="AO25" s="1167" t="s">
        <v>2281</v>
      </c>
      <c r="AP25" t="s">
        <v>3634</v>
      </c>
      <c r="AQ25" t="s">
        <v>3635</v>
      </c>
      <c r="AV25" s="1557" t="s">
        <v>2280</v>
      </c>
      <c r="AW25" s="703">
        <f t="shared" si="25"/>
        <v>113.645</v>
      </c>
      <c r="AX25" s="703">
        <v>0.18099999999999999</v>
      </c>
      <c r="AY25" s="596">
        <f t="shared" si="26"/>
        <v>705.24168941454718</v>
      </c>
      <c r="AZ25" s="596"/>
      <c r="BA25" s="1256">
        <f t="shared" si="27"/>
        <v>0</v>
      </c>
      <c r="BB25" s="1577" t="s">
        <v>3982</v>
      </c>
      <c r="BC25" s="1581">
        <v>5116.38</v>
      </c>
    </row>
    <row r="26" spans="1:56" ht="15" customHeight="1">
      <c r="A26" s="1491" t="s">
        <v>3627</v>
      </c>
      <c r="B26" s="1542">
        <v>45991</v>
      </c>
      <c r="C26" s="1447">
        <v>45986</v>
      </c>
      <c r="D26" t="s">
        <v>3642</v>
      </c>
      <c r="E26" s="762" t="str">
        <f>_xlfn.XLOOKUP(D26,RUC!$B$3:$B$123,RUC!$D$3:$D$123)</f>
        <v>20601769396*</v>
      </c>
      <c r="G26" s="1082">
        <v>32</v>
      </c>
      <c r="H26" s="762" t="s">
        <v>108</v>
      </c>
      <c r="I26" s="703">
        <v>0.77</v>
      </c>
      <c r="J26" s="596">
        <v>17.809999999999999</v>
      </c>
      <c r="K26" s="703">
        <f t="shared" si="0"/>
        <v>0.63300000000000001</v>
      </c>
      <c r="L26" s="1082">
        <v>0.109</v>
      </c>
      <c r="M26" s="994">
        <f t="shared" si="19"/>
        <v>9.0999999999999998E-2</v>
      </c>
      <c r="N26" s="1196">
        <f t="shared" si="24"/>
        <v>9.0999999999999998E-2</v>
      </c>
      <c r="O26" s="645">
        <f t="shared" si="1"/>
        <v>9.0999999999999998E-2</v>
      </c>
      <c r="P26" s="727">
        <v>80</v>
      </c>
      <c r="Q26" s="1476">
        <v>80.39</v>
      </c>
      <c r="R26" s="706">
        <v>4126.45</v>
      </c>
      <c r="S26" s="765">
        <f>IF((_xlfn.XLOOKUP(D26,RUC!$B$3:$B$119,RUC!$E$3:$E$119)+ROUNDDOWN(O26,1)*100)&lt;95,95,((_xlfn.XLOOKUP(D26,RUC!$B$3:$B$119,RUC!$E$3:$E$119)+ROUNDDOWN(O26,1)*100)))</f>
        <v>95</v>
      </c>
      <c r="U26" s="1146">
        <f>_xlfn.XLOOKUP(D26,RUC!$B$3:$B$123,RUC!$F$3:$F$123)</f>
        <v>120</v>
      </c>
      <c r="V26" s="715">
        <v>1.1023000000000001</v>
      </c>
      <c r="Y26">
        <f>_xlfn.XLOOKUP(D26,RUC!$B$3:$B$123,RUC!$G$3:$G$123)</f>
        <v>20</v>
      </c>
      <c r="Z26" s="143">
        <f>_xlfn.XLOOKUP(D26,RUC!$B$3:$B$123,RUC!$H$3:$H$123)</f>
        <v>30</v>
      </c>
      <c r="AA26" s="144">
        <f t="shared" si="2"/>
        <v>50</v>
      </c>
      <c r="AB26" s="145">
        <v>1E-3</v>
      </c>
      <c r="AC26" s="145">
        <f>+(S26-T26)*V26-'data 1'!$F$4</f>
        <v>24.718500000000006</v>
      </c>
      <c r="AD26" s="145">
        <f t="shared" si="3"/>
        <v>1.8773733108585029</v>
      </c>
      <c r="AE26" s="145">
        <f t="shared" si="4"/>
        <v>-14.884999999999998</v>
      </c>
      <c r="AF26" s="145">
        <f t="shared" si="5"/>
        <v>63.904886574417006</v>
      </c>
      <c r="AG26" s="772">
        <f>AC26+AD26+AE26+AF26+70-53+161.67</f>
        <v>254.2857598852755</v>
      </c>
      <c r="AH26" s="1253">
        <f t="shared" si="6"/>
        <v>1.9019999999999999</v>
      </c>
      <c r="AI26" s="1253">
        <f t="shared" si="7"/>
        <v>2.3660000000000001</v>
      </c>
      <c r="AJ26" s="156">
        <f t="shared" si="8"/>
        <v>34.149093179941516</v>
      </c>
      <c r="AK26" s="156">
        <f t="shared" si="9"/>
        <v>1.5799529662753202</v>
      </c>
      <c r="AM26" s="716">
        <f t="shared" si="10"/>
        <v>6.3299999999999999E-4</v>
      </c>
      <c r="AN26" s="716" t="str">
        <f>_xlfn.XLOOKUP(D26,RUC!$B$3:$B$578,RUC!$M$3:$M$578)</f>
        <v>Zudaire</v>
      </c>
      <c r="AO26" s="1167" t="s">
        <v>2277</v>
      </c>
      <c r="AP26" s="1569" t="s">
        <v>3675</v>
      </c>
      <c r="AQ26" t="s">
        <v>3638</v>
      </c>
      <c r="AV26" s="1557" t="s">
        <v>2279</v>
      </c>
      <c r="AW26" s="703">
        <f t="shared" si="25"/>
        <v>104.90499999999999</v>
      </c>
      <c r="AX26" s="703">
        <v>0.16200000000000001</v>
      </c>
      <c r="AY26" s="596">
        <f t="shared" si="26"/>
        <v>582.66679860841043</v>
      </c>
      <c r="AZ26" s="596"/>
      <c r="BA26" s="1256">
        <f t="shared" si="27"/>
        <v>0</v>
      </c>
      <c r="BB26" s="1577" t="s">
        <v>3979</v>
      </c>
      <c r="BC26" s="1581">
        <v>1009.085</v>
      </c>
    </row>
    <row r="27" spans="1:56" ht="15" customHeight="1">
      <c r="A27" s="747" t="s">
        <v>3630</v>
      </c>
      <c r="B27" s="1447">
        <v>45991</v>
      </c>
      <c r="C27" s="1447">
        <v>45988</v>
      </c>
      <c r="D27" t="s">
        <v>2004</v>
      </c>
      <c r="E27" s="762">
        <f>_xlfn.XLOOKUP(D27,RUC!$B$3:$B$123,RUC!$D$3:$D$123)</f>
        <v>20612921866</v>
      </c>
      <c r="G27" s="1082">
        <v>50</v>
      </c>
      <c r="H27" s="762" t="s">
        <v>69</v>
      </c>
      <c r="I27" s="703">
        <v>5.33</v>
      </c>
      <c r="J27" s="596">
        <v>1.5</v>
      </c>
      <c r="K27" s="703">
        <f t="shared" si="0"/>
        <v>5.25</v>
      </c>
      <c r="L27" s="1082">
        <v>0.314</v>
      </c>
      <c r="M27" s="994">
        <f t="shared" si="19"/>
        <v>0.29499999999999998</v>
      </c>
      <c r="N27" s="1196">
        <f t="shared" si="24"/>
        <v>0.29499999999999998</v>
      </c>
      <c r="O27" s="645">
        <f t="shared" si="1"/>
        <v>0.29499999999999998</v>
      </c>
      <c r="P27" s="727">
        <v>90</v>
      </c>
      <c r="Q27" s="1476">
        <v>94.9</v>
      </c>
      <c r="R27" s="706">
        <v>4153.95</v>
      </c>
      <c r="S27" s="765">
        <f>IF((_xlfn.XLOOKUP(D27,RUC!$B$3:$B$119,RUC!$E$3:$E$119)+ROUNDDOWN(O27,1)*100)&lt;95,95,((_xlfn.XLOOKUP(D27,RUC!$B$3:$B$119,RUC!$E$3:$E$119)+ROUNDDOWN(O27,1)*100)))</f>
        <v>100</v>
      </c>
      <c r="U27" s="1146">
        <f>_xlfn.XLOOKUP(D27,RUC!$B$3:$B$123,RUC!$F$3:$F$123)</f>
        <v>100</v>
      </c>
      <c r="V27" s="715">
        <v>1.1023000000000001</v>
      </c>
      <c r="Y27">
        <f>_xlfn.XLOOKUP(D27,RUC!$B$3:$B$123,RUC!$G$3:$G$123)</f>
        <v>0</v>
      </c>
      <c r="Z27" s="143">
        <f>_xlfn.XLOOKUP(D27,RUC!$B$3:$B$123,RUC!$H$3:$H$123)</f>
        <v>30</v>
      </c>
      <c r="AA27" s="144">
        <f t="shared" si="2"/>
        <v>30</v>
      </c>
      <c r="AB27" s="145">
        <f t="shared" ref="AB27:AB77" si="28">+((O27*P27*(R27-U27)/100)-S27-AA27+T27)*V27</f>
        <v>1043.1326420674998</v>
      </c>
      <c r="AC27" s="145">
        <f>+(S27-T27)*V27-'data 1'!$F$4</f>
        <v>30.230000000000004</v>
      </c>
      <c r="AD27" s="145">
        <f t="shared" si="3"/>
        <v>68.754942541810081</v>
      </c>
      <c r="AE27" s="145">
        <f t="shared" si="4"/>
        <v>-36.930999999999997</v>
      </c>
      <c r="AF27" s="145">
        <f t="shared" si="5"/>
        <v>80.574572271635077</v>
      </c>
      <c r="AG27" s="772">
        <f t="shared" ref="AG27:AG30" si="29">AC27+AD27+AE27+AF27+70-10</f>
        <v>202.62851481344518</v>
      </c>
      <c r="AH27" s="1253">
        <f t="shared" si="6"/>
        <v>53.637</v>
      </c>
      <c r="AI27" s="1253">
        <f t="shared" si="7"/>
        <v>56.518999999999998</v>
      </c>
      <c r="AJ27" s="156">
        <f t="shared" si="8"/>
        <v>100.52823364519007</v>
      </c>
      <c r="AK27" s="156">
        <f t="shared" si="9"/>
        <v>47.789545268193748</v>
      </c>
      <c r="AL27" s="88"/>
      <c r="AM27" s="716">
        <f t="shared" si="10"/>
        <v>5476.4463708543735</v>
      </c>
      <c r="AN27" s="716" t="str">
        <f>_xlfn.XLOOKUP(D27,RUC!$B$3:$B$578,RUC!$M$3:$M$578)</f>
        <v>Ronald Garibay</v>
      </c>
      <c r="AO27" s="1167" t="s">
        <v>2278</v>
      </c>
      <c r="AP27" s="1566" t="s">
        <v>3659</v>
      </c>
      <c r="AQ27" s="1566" t="s">
        <v>3660</v>
      </c>
      <c r="AV27" s="1557" t="s">
        <v>2281</v>
      </c>
      <c r="AW27" s="703">
        <f t="shared" si="25"/>
        <v>63.166999999999994</v>
      </c>
      <c r="AX27" s="703"/>
      <c r="AY27" s="596">
        <f t="shared" si="26"/>
        <v>0</v>
      </c>
      <c r="AZ27" s="596"/>
      <c r="BA27" s="1256">
        <f t="shared" si="27"/>
        <v>0</v>
      </c>
      <c r="BB27" s="1577" t="s">
        <v>3980</v>
      </c>
      <c r="BC27" s="1581">
        <v>178.32400000000001</v>
      </c>
    </row>
    <row r="28" spans="1:56" ht="15" customHeight="1">
      <c r="A28" s="747" t="s">
        <v>3631</v>
      </c>
      <c r="B28" s="1447">
        <v>45991</v>
      </c>
      <c r="C28" s="1447">
        <v>45988</v>
      </c>
      <c r="D28" t="s">
        <v>2004</v>
      </c>
      <c r="E28" s="762">
        <f>_xlfn.XLOOKUP(D28,RUC!$B$3:$B$123,RUC!$D$3:$D$123)</f>
        <v>20612921866</v>
      </c>
      <c r="G28" s="1082">
        <v>50</v>
      </c>
      <c r="H28" s="762" t="s">
        <v>69</v>
      </c>
      <c r="I28" s="703">
        <v>5.31</v>
      </c>
      <c r="J28" s="596">
        <v>1.45</v>
      </c>
      <c r="K28" s="703">
        <f t="shared" si="0"/>
        <v>5.2329999999999997</v>
      </c>
      <c r="L28" s="1082">
        <v>0.42299999999999999</v>
      </c>
      <c r="M28" s="994">
        <f t="shared" si="19"/>
        <v>0.39800000000000002</v>
      </c>
      <c r="N28" s="1196">
        <f t="shared" si="24"/>
        <v>0.39800000000000002</v>
      </c>
      <c r="O28" s="645">
        <f t="shared" si="1"/>
        <v>0.39800000000000002</v>
      </c>
      <c r="P28" s="727">
        <v>90</v>
      </c>
      <c r="Q28" s="1476">
        <v>94.8</v>
      </c>
      <c r="R28" s="706">
        <v>4153.95</v>
      </c>
      <c r="S28" s="765">
        <f>IF((_xlfn.XLOOKUP(D28,RUC!$B$3:$B$119,RUC!$E$3:$E$119)+ROUNDDOWN(O28,1)*100)&lt;95,95,((_xlfn.XLOOKUP(D28,RUC!$B$3:$B$119,RUC!$E$3:$E$119)+ROUNDDOWN(O28,1)*100)))</f>
        <v>110</v>
      </c>
      <c r="U28" s="1146">
        <f>_xlfn.XLOOKUP(D28,RUC!$B$3:$B$123,RUC!$F$3:$F$123)</f>
        <v>100</v>
      </c>
      <c r="V28" s="715">
        <v>1.1023000000000001</v>
      </c>
      <c r="Y28">
        <f>_xlfn.XLOOKUP(D28,RUC!$B$3:$B$123,RUC!$G$3:$G$123)</f>
        <v>0</v>
      </c>
      <c r="Z28" s="143">
        <f>_xlfn.XLOOKUP(D28,RUC!$B$3:$B$123,RUC!$H$3:$H$123)</f>
        <v>30</v>
      </c>
      <c r="AA28" s="144">
        <f t="shared" si="2"/>
        <v>30</v>
      </c>
      <c r="AB28" s="145">
        <f t="shared" si="28"/>
        <v>1446.3552662470001</v>
      </c>
      <c r="AC28" s="145">
        <f>+(S28-T28)*V28-'data 1'!$F$4</f>
        <v>41.253</v>
      </c>
      <c r="AD28" s="145">
        <f t="shared" si="3"/>
        <v>90.731857101839964</v>
      </c>
      <c r="AE28" s="145">
        <f t="shared" si="4"/>
        <v>-36.930999999999997</v>
      </c>
      <c r="AF28" s="145">
        <f t="shared" si="5"/>
        <v>105.90745731449987</v>
      </c>
      <c r="AG28" s="772">
        <f t="shared" si="29"/>
        <v>260.96131441633986</v>
      </c>
      <c r="AH28" s="1253">
        <f t="shared" si="6"/>
        <v>71.945999999999998</v>
      </c>
      <c r="AI28" s="1253">
        <f t="shared" si="7"/>
        <v>75.893000000000001</v>
      </c>
      <c r="AJ28" s="156">
        <f t="shared" si="8"/>
        <v>135.28227435066009</v>
      </c>
      <c r="AK28" s="156">
        <f t="shared" si="9"/>
        <v>64.266609055435822</v>
      </c>
      <c r="AL28" s="88"/>
      <c r="AM28" s="716">
        <f t="shared" si="10"/>
        <v>7568.7771082705513</v>
      </c>
      <c r="AN28" s="716" t="str">
        <f>_xlfn.XLOOKUP(D28,RUC!$B$3:$B$578,RUC!$M$3:$M$578)</f>
        <v>Ronald Garibay</v>
      </c>
      <c r="AO28" s="1167" t="s">
        <v>2278</v>
      </c>
      <c r="AP28" s="1566" t="s">
        <v>3659</v>
      </c>
      <c r="AQ28" s="1566" t="s">
        <v>3660</v>
      </c>
      <c r="AV28" s="1557" t="s">
        <v>2297</v>
      </c>
      <c r="AW28" s="703">
        <f t="shared" si="25"/>
        <v>0</v>
      </c>
      <c r="AY28" s="596">
        <f t="shared" si="26"/>
        <v>0</v>
      </c>
      <c r="BA28" s="1256">
        <f t="shared" si="27"/>
        <v>0</v>
      </c>
      <c r="BB28" s="1579" t="s">
        <v>3206</v>
      </c>
      <c r="BC28" s="1580">
        <f>-BC23-BC24+BC25+BC26+BC27</f>
        <v>95.066000000000201</v>
      </c>
    </row>
    <row r="29" spans="1:56" ht="15" customHeight="1">
      <c r="A29" s="747" t="s">
        <v>3632</v>
      </c>
      <c r="B29" s="1447">
        <v>45991</v>
      </c>
      <c r="C29" s="1447">
        <v>45988</v>
      </c>
      <c r="D29" t="s">
        <v>2004</v>
      </c>
      <c r="E29" s="762">
        <f>_xlfn.XLOOKUP(D29,RUC!$B$3:$B$123,RUC!$D$3:$D$123)</f>
        <v>20612921866</v>
      </c>
      <c r="G29" s="1082" t="s">
        <v>2985</v>
      </c>
      <c r="H29" s="762" t="s">
        <v>69</v>
      </c>
      <c r="I29" s="703">
        <v>18.93</v>
      </c>
      <c r="J29" s="596">
        <v>3.5</v>
      </c>
      <c r="K29" s="703">
        <f t="shared" si="0"/>
        <v>18.266999999999999</v>
      </c>
      <c r="L29" s="1082">
        <v>0.182</v>
      </c>
      <c r="M29" s="994">
        <f t="shared" si="19"/>
        <v>0.16400000000000001</v>
      </c>
      <c r="N29" s="1196">
        <f t="shared" si="24"/>
        <v>0.16400000000000001</v>
      </c>
      <c r="O29" s="645">
        <f t="shared" si="1"/>
        <v>0.16400000000000001</v>
      </c>
      <c r="P29" s="727">
        <v>90</v>
      </c>
      <c r="Q29" s="1476">
        <v>96.7</v>
      </c>
      <c r="R29" s="706">
        <v>4153.95</v>
      </c>
      <c r="S29" s="765">
        <f>IF((_xlfn.XLOOKUP(D29,RUC!$B$3:$B$119,RUC!$E$3:$E$119)+ROUNDDOWN(O29,1)*100)&lt;95,95,((_xlfn.XLOOKUP(D29,RUC!$B$3:$B$119,RUC!$E$3:$E$119)+ROUNDDOWN(O29,1)*100)))</f>
        <v>95</v>
      </c>
      <c r="U29" s="1146">
        <f>_xlfn.XLOOKUP(D29,RUC!$B$3:$B$123,RUC!$F$3:$F$123)</f>
        <v>100</v>
      </c>
      <c r="V29" s="715">
        <v>1.1023000000000001</v>
      </c>
      <c r="Y29">
        <f>_xlfn.XLOOKUP(D29,RUC!$B$3:$B$123,RUC!$G$3:$G$123)</f>
        <v>0</v>
      </c>
      <c r="Z29" s="143">
        <f>_xlfn.XLOOKUP(D29,RUC!$B$3:$B$123,RUC!$H$3:$H$123)</f>
        <v>30</v>
      </c>
      <c r="AA29" s="144">
        <f t="shared" si="2"/>
        <v>30</v>
      </c>
      <c r="AB29" s="145">
        <f t="shared" si="28"/>
        <v>521.78805694599998</v>
      </c>
      <c r="AC29" s="145">
        <f>+(S29-T29)*V29-'data 1'!$F$4</f>
        <v>24.718500000000006</v>
      </c>
      <c r="AD29" s="145">
        <f t="shared" si="3"/>
        <v>54.490950822490021</v>
      </c>
      <c r="AE29" s="145">
        <f t="shared" si="4"/>
        <v>-36.930999999999997</v>
      </c>
      <c r="AF29" s="145">
        <f t="shared" si="5"/>
        <v>77.781654093509957</v>
      </c>
      <c r="AG29" s="772">
        <f t="shared" si="29"/>
        <v>180.060104916</v>
      </c>
      <c r="AH29" s="1253">
        <f t="shared" si="6"/>
        <v>110.223</v>
      </c>
      <c r="AI29" s="1253">
        <f t="shared" si="7"/>
        <v>113.985</v>
      </c>
      <c r="AJ29" s="156">
        <f t="shared" si="8"/>
        <v>59.373144886510048</v>
      </c>
      <c r="AK29" s="156">
        <f t="shared" si="9"/>
        <v>92.440578685980071</v>
      </c>
      <c r="AL29" s="88"/>
      <c r="AM29" s="716">
        <f t="shared" si="10"/>
        <v>9531.5024362325821</v>
      </c>
      <c r="AN29" s="716" t="str">
        <f>_xlfn.XLOOKUP(D29,RUC!$B$3:$B$578,RUC!$M$3:$M$578)</f>
        <v>Ronald Garibay</v>
      </c>
      <c r="AO29" s="1167" t="s">
        <v>2277</v>
      </c>
      <c r="AP29" s="1566" t="s">
        <v>3661</v>
      </c>
      <c r="AQ29" s="1566" t="s">
        <v>3662</v>
      </c>
      <c r="AV29" s="1557" t="s">
        <v>2518</v>
      </c>
      <c r="AW29" s="703">
        <f t="shared" si="25"/>
        <v>0</v>
      </c>
      <c r="AY29" s="596">
        <f t="shared" si="26"/>
        <v>0</v>
      </c>
      <c r="BA29" s="1256">
        <f t="shared" si="27"/>
        <v>0</v>
      </c>
    </row>
    <row r="30" spans="1:56" ht="15" customHeight="1">
      <c r="A30" s="747" t="s">
        <v>3633</v>
      </c>
      <c r="B30" s="1447">
        <v>45994</v>
      </c>
      <c r="C30" s="1447">
        <v>45988</v>
      </c>
      <c r="D30" t="s">
        <v>2004</v>
      </c>
      <c r="E30" s="762">
        <f>_xlfn.XLOOKUP(D30,RUC!$B$3:$B$123,RUC!$D$3:$D$123)</f>
        <v>20612921866</v>
      </c>
      <c r="G30" s="1082" t="s">
        <v>2985</v>
      </c>
      <c r="H30" s="762" t="s">
        <v>69</v>
      </c>
      <c r="I30" s="703">
        <v>9.9</v>
      </c>
      <c r="J30" s="596">
        <v>1.5</v>
      </c>
      <c r="K30" s="703">
        <f t="shared" si="0"/>
        <v>9.7520000000000007</v>
      </c>
      <c r="L30" s="1082">
        <v>0.19800000000000001</v>
      </c>
      <c r="M30" s="994">
        <f t="shared" si="19"/>
        <v>0.18</v>
      </c>
      <c r="N30" s="1196">
        <f t="shared" si="24"/>
        <v>0.18</v>
      </c>
      <c r="O30" s="645">
        <f t="shared" si="1"/>
        <v>0.18</v>
      </c>
      <c r="P30" s="727">
        <v>89</v>
      </c>
      <c r="Q30" s="1476">
        <v>89.9</v>
      </c>
      <c r="R30" s="706">
        <v>4153.95</v>
      </c>
      <c r="S30" s="765">
        <f>IF((_xlfn.XLOOKUP(D30,RUC!$B$3:$B$119,RUC!$E$3:$E$119)+ROUNDDOWN(O30,1)*100)&lt;95,95,((_xlfn.XLOOKUP(D30,RUC!$B$3:$B$119,RUC!$E$3:$E$119)+ROUNDDOWN(O30,1)*100)))</f>
        <v>95</v>
      </c>
      <c r="U30" s="1146">
        <f>_xlfn.XLOOKUP(D30,RUC!$B$3:$B$123,RUC!$F$3:$F$123)</f>
        <v>100</v>
      </c>
      <c r="V30" s="715">
        <v>1.1023000000000001</v>
      </c>
      <c r="Y30">
        <f>_xlfn.XLOOKUP(D30,RUC!$B$3:$B$123,RUC!$G$3:$G$123)</f>
        <v>0</v>
      </c>
      <c r="Z30" s="143">
        <f>_xlfn.XLOOKUP(D30,RUC!$B$3:$B$123,RUC!$H$3:$H$123)</f>
        <v>30</v>
      </c>
      <c r="AA30" s="144">
        <f t="shared" si="2"/>
        <v>30</v>
      </c>
      <c r="AB30" s="145">
        <f t="shared" si="28"/>
        <v>578.09328741699994</v>
      </c>
      <c r="AC30" s="145">
        <f>+(S30-T30)*V30-'data 1'!$F$4</f>
        <v>24.718500000000006</v>
      </c>
      <c r="AD30" s="145">
        <f t="shared" si="3"/>
        <v>7.9631683094700509</v>
      </c>
      <c r="AE30" s="145">
        <f t="shared" si="4"/>
        <v>-36.930999999999997</v>
      </c>
      <c r="AF30" s="145">
        <f t="shared" si="5"/>
        <v>72.312003133470071</v>
      </c>
      <c r="AG30" s="772">
        <f t="shared" si="29"/>
        <v>128.06267144294014</v>
      </c>
      <c r="AH30" s="1253">
        <f t="shared" si="6"/>
        <v>59.515000000000001</v>
      </c>
      <c r="AI30" s="1253">
        <f t="shared" si="7"/>
        <v>66.201999999999998</v>
      </c>
      <c r="AJ30" s="156">
        <f t="shared" si="8"/>
        <v>60.050561587830046</v>
      </c>
      <c r="AK30" s="156">
        <f t="shared" si="9"/>
        <v>53.563046903028734</v>
      </c>
      <c r="AL30" s="88"/>
      <c r="AM30" s="716">
        <f t="shared" si="10"/>
        <v>5637.5657388905838</v>
      </c>
      <c r="AN30" s="716" t="str">
        <f>_xlfn.XLOOKUP(D30,RUC!$B$3:$B$578,RUC!$M$3:$M$578)</f>
        <v>Ronald Garibay</v>
      </c>
      <c r="AO30" s="1167" t="s">
        <v>2277</v>
      </c>
      <c r="AP30" t="s">
        <v>3639</v>
      </c>
      <c r="AQ30" t="s">
        <v>3193</v>
      </c>
      <c r="AV30" s="1557" t="s">
        <v>2519</v>
      </c>
      <c r="AW30" s="703">
        <f t="shared" si="25"/>
        <v>0</v>
      </c>
      <c r="AY30" s="596">
        <f t="shared" si="26"/>
        <v>0</v>
      </c>
      <c r="BA30" s="1256">
        <f t="shared" si="27"/>
        <v>0</v>
      </c>
    </row>
    <row r="31" spans="1:56" ht="15" customHeight="1">
      <c r="A31" s="747" t="s">
        <v>3647</v>
      </c>
      <c r="B31" s="1447">
        <v>45995</v>
      </c>
      <c r="C31" s="1447">
        <v>45990</v>
      </c>
      <c r="D31" t="s">
        <v>1671</v>
      </c>
      <c r="E31" s="762">
        <f>_xlfn.XLOOKUP(D31,RUC!$B$3:$B$123,RUC!$D$3:$D$123)</f>
        <v>20517242919</v>
      </c>
      <c r="G31" s="1082">
        <v>57</v>
      </c>
      <c r="H31" s="762" t="s">
        <v>69</v>
      </c>
      <c r="I31" s="703">
        <v>5.59</v>
      </c>
      <c r="J31" s="596">
        <v>1.8</v>
      </c>
      <c r="K31" s="703">
        <f t="shared" si="0"/>
        <v>5.4889999999999999</v>
      </c>
      <c r="L31" s="1082">
        <v>0.34799999999999998</v>
      </c>
      <c r="M31" s="994">
        <f t="shared" si="19"/>
        <v>0.34100000000000003</v>
      </c>
      <c r="N31" s="1196">
        <f t="shared" si="24"/>
        <v>0.34100000000000003</v>
      </c>
      <c r="O31" s="645">
        <f t="shared" si="1"/>
        <v>0.34100000000000003</v>
      </c>
      <c r="P31" s="1199">
        <v>90</v>
      </c>
      <c r="Q31" s="1476">
        <v>88.79</v>
      </c>
      <c r="R31" s="706">
        <v>4191.05</v>
      </c>
      <c r="S31" s="762">
        <v>110</v>
      </c>
      <c r="U31" s="1146">
        <f>_xlfn.XLOOKUP(D31,RUC!$B$3:$B$123,RUC!$F$3:$F$123)</f>
        <v>80</v>
      </c>
      <c r="V31" s="715">
        <v>1.1023000000000001</v>
      </c>
      <c r="Y31">
        <f>_xlfn.XLOOKUP(D31,RUC!$B$3:$B$123,RUC!$G$3:$G$123)</f>
        <v>0</v>
      </c>
      <c r="Z31" s="143">
        <f>_xlfn.XLOOKUP(D31,RUC!$B$3:$B$123,RUC!$H$3:$H$123)</f>
        <v>10</v>
      </c>
      <c r="AA31" s="144">
        <f t="shared" si="2"/>
        <v>10</v>
      </c>
      <c r="AB31" s="145">
        <f t="shared" si="28"/>
        <v>1258.4752363635</v>
      </c>
      <c r="AC31" s="145">
        <f>+(S31-T31)*V31-'data 1'!$F$4</f>
        <v>41.253</v>
      </c>
      <c r="AD31" s="145">
        <f t="shared" si="3"/>
        <v>-19.081705135481901</v>
      </c>
      <c r="AE31" s="145">
        <f t="shared" si="4"/>
        <v>-58.977000000000004</v>
      </c>
      <c r="AF31" s="145">
        <f t="shared" si="5"/>
        <v>28.165318212349305</v>
      </c>
      <c r="AG31" s="772">
        <f t="shared" ref="AG31:AG38" si="30">AC31+AD31+AE31+AF31+70</f>
        <v>61.359613076867404</v>
      </c>
      <c r="AH31" s="1253">
        <f t="shared" si="6"/>
        <v>58.149000000000001</v>
      </c>
      <c r="AI31" s="1253">
        <f t="shared" si="7"/>
        <v>65.491</v>
      </c>
      <c r="AJ31" s="156">
        <f t="shared" si="8"/>
        <v>84.79207005508195</v>
      </c>
      <c r="AK31" s="156">
        <f t="shared" si="9"/>
        <v>57.756276717479501</v>
      </c>
      <c r="AL31" s="88"/>
      <c r="AM31" s="716">
        <f t="shared" si="10"/>
        <v>6907.7705723992513</v>
      </c>
      <c r="AN31" s="716" t="str">
        <f>_xlfn.XLOOKUP(D31,RUC!$B$3:$B$578,RUC!$M$3:$M$578)</f>
        <v>Melchor Vera</v>
      </c>
      <c r="AO31" s="1167" t="s">
        <v>2277</v>
      </c>
      <c r="AP31" t="s">
        <v>2449</v>
      </c>
      <c r="AQ31" t="s">
        <v>3669</v>
      </c>
      <c r="AV31" s="1557" t="s">
        <v>2520</v>
      </c>
      <c r="AW31" s="703">
        <f t="shared" si="25"/>
        <v>0</v>
      </c>
      <c r="AY31" s="596">
        <f t="shared" si="26"/>
        <v>0</v>
      </c>
      <c r="BA31" s="1256">
        <f t="shared" si="27"/>
        <v>0</v>
      </c>
    </row>
    <row r="32" spans="1:56" ht="15" customHeight="1" thickBot="1">
      <c r="A32" s="747" t="s">
        <v>3648</v>
      </c>
      <c r="B32" s="1447">
        <v>45995</v>
      </c>
      <c r="C32" s="1447">
        <v>45990</v>
      </c>
      <c r="D32" t="s">
        <v>1671</v>
      </c>
      <c r="E32" s="762">
        <f>_xlfn.XLOOKUP(D32,RUC!$B$3:$B$123,RUC!$D$3:$D$123)</f>
        <v>20517242919</v>
      </c>
      <c r="G32" s="1082">
        <v>58</v>
      </c>
      <c r="H32" s="762" t="s">
        <v>69</v>
      </c>
      <c r="I32" s="703">
        <v>4.58</v>
      </c>
      <c r="J32" s="596">
        <v>1.65</v>
      </c>
      <c r="K32" s="703">
        <f t="shared" si="0"/>
        <v>4.5039999999999996</v>
      </c>
      <c r="L32" s="1082">
        <v>0.23100000000000001</v>
      </c>
      <c r="M32" s="994">
        <f t="shared" si="19"/>
        <v>0.224</v>
      </c>
      <c r="N32" s="1444">
        <v>0.254</v>
      </c>
      <c r="O32" s="645">
        <f t="shared" si="1"/>
        <v>0.23899999999999999</v>
      </c>
      <c r="P32" s="727">
        <v>85</v>
      </c>
      <c r="Q32" s="1476">
        <v>94.37</v>
      </c>
      <c r="R32" s="706">
        <v>4191.05</v>
      </c>
      <c r="S32" s="762">
        <v>105</v>
      </c>
      <c r="U32" s="1146">
        <f>_xlfn.XLOOKUP(D32,RUC!$B$3:$B$123,RUC!$F$3:$F$123)</f>
        <v>80</v>
      </c>
      <c r="V32" s="715">
        <v>1.1023000000000001</v>
      </c>
      <c r="Y32">
        <f>_xlfn.XLOOKUP(D32,RUC!$B$3:$B$123,RUC!$G$3:$G$123)</f>
        <v>0</v>
      </c>
      <c r="Z32" s="143">
        <f>_xlfn.XLOOKUP(D32,RUC!$B$3:$B$123,RUC!$H$3:$H$123)</f>
        <v>10</v>
      </c>
      <c r="AA32" s="144">
        <f t="shared" si="2"/>
        <v>10</v>
      </c>
      <c r="AB32" s="145">
        <f t="shared" si="28"/>
        <v>793.83215580724982</v>
      </c>
      <c r="AC32" s="145">
        <f>+(S32-T32)*V32-'data 1'!$F$4</f>
        <v>35.741500000000002</v>
      </c>
      <c r="AD32" s="145">
        <f t="shared" si="3"/>
        <v>98.085347949550567</v>
      </c>
      <c r="AE32" s="145">
        <f t="shared" si="4"/>
        <v>-58.977000000000004</v>
      </c>
      <c r="AF32" s="145">
        <f t="shared" si="5"/>
        <v>-34.211845989083919</v>
      </c>
      <c r="AG32" s="772">
        <f t="shared" si="30"/>
        <v>110.63800196046665</v>
      </c>
      <c r="AH32" s="1253">
        <f t="shared" si="6"/>
        <v>33.662999999999997</v>
      </c>
      <c r="AI32" s="1253">
        <f t="shared" si="7"/>
        <v>35.670999999999999</v>
      </c>
      <c r="AJ32" s="156">
        <f t="shared" si="8"/>
        <v>59.821579116799469</v>
      </c>
      <c r="AK32" s="156">
        <f t="shared" si="9"/>
        <v>31.370704926938178</v>
      </c>
      <c r="AL32" s="88"/>
      <c r="AM32" s="716">
        <f t="shared" si="10"/>
        <v>3575.4200297558527</v>
      </c>
      <c r="AN32" s="716" t="str">
        <f>_xlfn.XLOOKUP(D32,RUC!$B$3:$B$578,RUC!$M$3:$M$578)</f>
        <v>Melchor Vera</v>
      </c>
      <c r="AO32" s="1167" t="s">
        <v>2277</v>
      </c>
      <c r="AP32" t="s">
        <v>2449</v>
      </c>
      <c r="AQ32" t="s">
        <v>3669</v>
      </c>
      <c r="AV32" s="1558" t="s">
        <v>2521</v>
      </c>
      <c r="AW32" s="1254">
        <f t="shared" si="25"/>
        <v>0</v>
      </c>
      <c r="AX32" s="1257"/>
      <c r="AY32" s="1242">
        <f t="shared" si="26"/>
        <v>0</v>
      </c>
      <c r="AZ32" s="1257"/>
      <c r="BA32" s="1258">
        <f t="shared" si="27"/>
        <v>0</v>
      </c>
    </row>
    <row r="33" spans="1:43" ht="15" customHeight="1">
      <c r="A33" s="747" t="s">
        <v>3649</v>
      </c>
      <c r="B33" s="1447">
        <v>45995</v>
      </c>
      <c r="C33" s="1447">
        <v>45990</v>
      </c>
      <c r="D33" t="s">
        <v>1671</v>
      </c>
      <c r="E33" s="762">
        <f>_xlfn.XLOOKUP(D33,RUC!$B$3:$B$123,RUC!$D$3:$D$123)</f>
        <v>20517242919</v>
      </c>
      <c r="G33" s="1082">
        <v>58</v>
      </c>
      <c r="H33" s="762" t="s">
        <v>69</v>
      </c>
      <c r="I33" s="703">
        <v>4.55</v>
      </c>
      <c r="J33" s="596">
        <v>1.7</v>
      </c>
      <c r="K33" s="703">
        <f t="shared" si="0"/>
        <v>4.4729999999999999</v>
      </c>
      <c r="L33" s="1082">
        <v>0.159</v>
      </c>
      <c r="M33" s="994">
        <f t="shared" si="19"/>
        <v>0.152</v>
      </c>
      <c r="N33" s="1196">
        <f t="shared" si="24"/>
        <v>0.152</v>
      </c>
      <c r="O33" s="645">
        <f t="shared" si="1"/>
        <v>0.152</v>
      </c>
      <c r="P33" s="727">
        <v>85</v>
      </c>
      <c r="Q33" s="1476">
        <v>98.11</v>
      </c>
      <c r="R33" s="706">
        <v>4191.05</v>
      </c>
      <c r="S33" s="762">
        <v>95</v>
      </c>
      <c r="U33" s="1146">
        <f>_xlfn.XLOOKUP(D33,RUC!$B$3:$B$123,RUC!$F$3:$F$123)</f>
        <v>80</v>
      </c>
      <c r="V33" s="715">
        <v>1.1023000000000001</v>
      </c>
      <c r="Y33">
        <f>_xlfn.XLOOKUP(D33,RUC!$B$3:$B$123,RUC!$G$3:$G$123)</f>
        <v>0</v>
      </c>
      <c r="Z33" s="143">
        <f>_xlfn.XLOOKUP(D33,RUC!$B$3:$B$123,RUC!$H$3:$H$123)</f>
        <v>10</v>
      </c>
      <c r="AA33" s="144">
        <f t="shared" si="2"/>
        <v>10</v>
      </c>
      <c r="AB33" s="145">
        <f t="shared" si="28"/>
        <v>469.74256561800013</v>
      </c>
      <c r="AC33" s="145">
        <f>+(S33-T33)*V33-'data 1'!$F$4</f>
        <v>24.718500000000006</v>
      </c>
      <c r="AD33" s="145">
        <f t="shared" si="3"/>
        <v>94.460965939633496</v>
      </c>
      <c r="AE33" s="145">
        <f t="shared" si="4"/>
        <v>-58.977000000000004</v>
      </c>
      <c r="AF33" s="145">
        <f t="shared" si="5"/>
        <v>31.121740847095531</v>
      </c>
      <c r="AG33" s="772">
        <f t="shared" si="30"/>
        <v>161.32420678672904</v>
      </c>
      <c r="AH33" s="1253">
        <f t="shared" si="6"/>
        <v>23.922999999999998</v>
      </c>
      <c r="AI33" s="1253">
        <f t="shared" si="7"/>
        <v>24.384</v>
      </c>
      <c r="AJ33" s="156">
        <f t="shared" si="8"/>
        <v>42.807743730316467</v>
      </c>
      <c r="AK33" s="156">
        <f t="shared" si="9"/>
        <v>19.813923464596382</v>
      </c>
      <c r="AL33" s="88"/>
      <c r="AM33" s="716">
        <f t="shared" si="10"/>
        <v>2101.1584960093146</v>
      </c>
      <c r="AN33" s="716" t="str">
        <f>_xlfn.XLOOKUP(D33,RUC!$B$3:$B$578,RUC!$M$3:$M$578)</f>
        <v>Melchor Vera</v>
      </c>
      <c r="AO33" s="1167" t="s">
        <v>2277</v>
      </c>
      <c r="AP33" t="s">
        <v>2449</v>
      </c>
      <c r="AQ33" t="s">
        <v>3669</v>
      </c>
    </row>
    <row r="34" spans="1:43" ht="15" customHeight="1">
      <c r="A34" s="747" t="s">
        <v>3650</v>
      </c>
      <c r="B34" s="1447">
        <v>45995</v>
      </c>
      <c r="C34" s="1447">
        <v>45990</v>
      </c>
      <c r="D34" t="s">
        <v>1671</v>
      </c>
      <c r="E34" s="762">
        <f>_xlfn.XLOOKUP(D34,RUC!$B$3:$B$123,RUC!$D$3:$D$123)</f>
        <v>20517242919</v>
      </c>
      <c r="G34" s="1082">
        <v>61</v>
      </c>
      <c r="H34" s="762" t="s">
        <v>69</v>
      </c>
      <c r="I34" s="703">
        <v>6.41</v>
      </c>
      <c r="J34" s="596">
        <v>5</v>
      </c>
      <c r="K34" s="703">
        <f t="shared" si="0"/>
        <v>6.09</v>
      </c>
      <c r="L34" s="1082">
        <v>0.53600000000000003</v>
      </c>
      <c r="M34" s="994">
        <f t="shared" si="19"/>
        <v>0.52800000000000002</v>
      </c>
      <c r="N34" s="1444">
        <v>0.58099999999999996</v>
      </c>
      <c r="O34" s="645">
        <f t="shared" si="1"/>
        <v>0.55500000000000005</v>
      </c>
      <c r="P34" s="1199">
        <v>90</v>
      </c>
      <c r="Q34" s="1476">
        <v>88.06</v>
      </c>
      <c r="R34" s="706">
        <v>4191.05</v>
      </c>
      <c r="S34" s="762">
        <v>120</v>
      </c>
      <c r="U34" s="1146">
        <f>_xlfn.XLOOKUP(D34,RUC!$B$3:$B$123,RUC!$F$3:$F$123)</f>
        <v>80</v>
      </c>
      <c r="V34" s="715">
        <v>1.1023000000000001</v>
      </c>
      <c r="Y34">
        <f>_xlfn.XLOOKUP(D34,RUC!$B$3:$B$123,RUC!$G$3:$G$123)</f>
        <v>0</v>
      </c>
      <c r="Z34" s="143">
        <f>_xlfn.XLOOKUP(D34,RUC!$B$3:$B$123,RUC!$H$3:$H$123)</f>
        <v>10</v>
      </c>
      <c r="AA34" s="144">
        <f t="shared" si="2"/>
        <v>10</v>
      </c>
      <c r="AB34" s="145">
        <f t="shared" si="28"/>
        <v>2120.2404022924998</v>
      </c>
      <c r="AC34" s="145">
        <f>+(S34-T34)*V34-'data 1'!$F$4</f>
        <v>52.27600000000001</v>
      </c>
      <c r="AD34" s="145">
        <f t="shared" si="3"/>
        <v>-47.121497739335958</v>
      </c>
      <c r="AE34" s="145">
        <f t="shared" si="4"/>
        <v>-58.977000000000004</v>
      </c>
      <c r="AF34" s="145">
        <f t="shared" si="5"/>
        <v>-75.820186497531068</v>
      </c>
      <c r="AG34" s="772">
        <f t="shared" si="30"/>
        <v>-59.642684236867012</v>
      </c>
      <c r="AH34" s="1253">
        <f t="shared" si="6"/>
        <v>98.552999999999997</v>
      </c>
      <c r="AI34" s="1253">
        <f t="shared" si="7"/>
        <v>111.916</v>
      </c>
      <c r="AJ34" s="156">
        <f t="shared" si="8"/>
        <v>129.52553918813592</v>
      </c>
      <c r="AK34" s="156">
        <f t="shared" si="9"/>
        <v>104.29460760563778</v>
      </c>
      <c r="AL34" s="88"/>
      <c r="AM34" s="716">
        <f t="shared" si="10"/>
        <v>12912.264049961323</v>
      </c>
      <c r="AN34" s="716" t="str">
        <f>_xlfn.XLOOKUP(D34,RUC!$B$3:$B$578,RUC!$M$3:$M$578)</f>
        <v>Melchor Vera</v>
      </c>
      <c r="AO34" s="1167" t="s">
        <v>2278</v>
      </c>
      <c r="AP34" t="s">
        <v>2449</v>
      </c>
      <c r="AQ34" t="s">
        <v>3669</v>
      </c>
    </row>
    <row r="35" spans="1:43" ht="15" customHeight="1">
      <c r="A35" s="747" t="s">
        <v>3651</v>
      </c>
      <c r="B35" s="1447">
        <v>46000</v>
      </c>
      <c r="C35" s="1447">
        <v>45990</v>
      </c>
      <c r="D35" t="s">
        <v>1671</v>
      </c>
      <c r="E35" s="762">
        <f>_xlfn.XLOOKUP(D35,RUC!$B$3:$B$123,RUC!$D$3:$D$123)</f>
        <v>20517242919</v>
      </c>
      <c r="G35" s="1082">
        <v>57</v>
      </c>
      <c r="H35" s="762" t="s">
        <v>69</v>
      </c>
      <c r="I35" s="703">
        <v>5.24</v>
      </c>
      <c r="J35" s="596">
        <v>1.3</v>
      </c>
      <c r="K35" s="703">
        <f t="shared" si="0"/>
        <v>5.1719999999999997</v>
      </c>
      <c r="L35" s="1082">
        <v>0.35299999999999998</v>
      </c>
      <c r="M35" s="994">
        <f t="shared" si="19"/>
        <v>0.34599999999999997</v>
      </c>
      <c r="N35" s="1196">
        <f t="shared" si="24"/>
        <v>0.34599999999999997</v>
      </c>
      <c r="O35" s="645">
        <f t="shared" si="1"/>
        <v>0.34599999999999997</v>
      </c>
      <c r="P35" s="727">
        <v>87</v>
      </c>
      <c r="Q35" s="1476">
        <v>87.54</v>
      </c>
      <c r="R35" s="706">
        <v>4191.05</v>
      </c>
      <c r="S35" s="762">
        <v>110</v>
      </c>
      <c r="U35" s="1146">
        <f>_xlfn.XLOOKUP(D35,RUC!$B$3:$B$123,RUC!$F$3:$F$123)</f>
        <v>80</v>
      </c>
      <c r="V35" s="715">
        <v>1.1023000000000001</v>
      </c>
      <c r="Y35">
        <f>_xlfn.XLOOKUP(D35,RUC!$B$3:$B$123,RUC!$G$3:$G$123)</f>
        <v>0</v>
      </c>
      <c r="Z35" s="143">
        <f>_xlfn.XLOOKUP(D35,RUC!$B$3:$B$123,RUC!$H$3:$H$123)</f>
        <v>10</v>
      </c>
      <c r="AA35" s="144">
        <f t="shared" si="2"/>
        <v>10</v>
      </c>
      <c r="AB35" s="145">
        <f t="shared" si="28"/>
        <v>1231.8293671233</v>
      </c>
      <c r="AC35" s="145">
        <f>+(S35-T35)*V35-'data 1'!$F$4</f>
        <v>41.253</v>
      </c>
      <c r="AD35" s="145">
        <f t="shared" si="3"/>
        <v>8.6381557730731018</v>
      </c>
      <c r="AE35" s="145">
        <f t="shared" si="4"/>
        <v>-58.977000000000004</v>
      </c>
      <c r="AF35" s="145">
        <f t="shared" si="5"/>
        <v>27.768802301037031</v>
      </c>
      <c r="AG35" s="772">
        <f t="shared" si="30"/>
        <v>88.682958074110132</v>
      </c>
      <c r="AH35" s="1253">
        <f t="shared" si="6"/>
        <v>54.795999999999999</v>
      </c>
      <c r="AI35" s="1253">
        <f t="shared" si="7"/>
        <v>62.594999999999999</v>
      </c>
      <c r="AJ35" s="156">
        <f t="shared" si="8"/>
        <v>84.799479329876945</v>
      </c>
      <c r="AK35" s="156">
        <f t="shared" si="9"/>
        <v>53.378078605914489</v>
      </c>
      <c r="AL35" s="88"/>
      <c r="AM35" s="716">
        <f t="shared" si="10"/>
        <v>6371.0214867617069</v>
      </c>
      <c r="AN35" s="716" t="str">
        <f>_xlfn.XLOOKUP(D35,RUC!$B$3:$B$578,RUC!$M$3:$M$578)</f>
        <v>Melchor Vera</v>
      </c>
      <c r="AO35" s="1167" t="s">
        <v>2280</v>
      </c>
      <c r="AP35" t="s">
        <v>2449</v>
      </c>
      <c r="AQ35" t="s">
        <v>3669</v>
      </c>
    </row>
    <row r="36" spans="1:43" ht="15" customHeight="1">
      <c r="A36" s="747" t="s">
        <v>3652</v>
      </c>
      <c r="B36" s="1447">
        <v>45995</v>
      </c>
      <c r="C36" s="1447">
        <v>45990</v>
      </c>
      <c r="D36" t="s">
        <v>1671</v>
      </c>
      <c r="E36" s="762">
        <f>_xlfn.XLOOKUP(D36,RUC!$B$3:$B$123,RUC!$D$3:$D$123)</f>
        <v>20517242919</v>
      </c>
      <c r="G36" s="1082">
        <v>20</v>
      </c>
      <c r="H36" s="762" t="s">
        <v>69</v>
      </c>
      <c r="I36" s="703">
        <v>1.84</v>
      </c>
      <c r="J36" s="596">
        <v>1</v>
      </c>
      <c r="K36" s="703">
        <f t="shared" si="0"/>
        <v>1.8220000000000001</v>
      </c>
      <c r="L36" s="1082">
        <v>0.223</v>
      </c>
      <c r="M36" s="994">
        <f t="shared" si="19"/>
        <v>0.216</v>
      </c>
      <c r="N36" s="1196">
        <f t="shared" si="24"/>
        <v>0.216</v>
      </c>
      <c r="O36" s="645">
        <f t="shared" si="1"/>
        <v>0.216</v>
      </c>
      <c r="P36" s="727">
        <v>85</v>
      </c>
      <c r="Q36" s="1476">
        <v>91.03</v>
      </c>
      <c r="R36" s="706">
        <v>4191.05</v>
      </c>
      <c r="S36" s="762">
        <v>105</v>
      </c>
      <c r="U36" s="1146">
        <f>_xlfn.XLOOKUP(D36,RUC!$B$3:$B$123,RUC!$F$3:$F$123)</f>
        <v>80</v>
      </c>
      <c r="V36" s="715">
        <v>1.1023000000000001</v>
      </c>
      <c r="Y36">
        <f>_xlfn.XLOOKUP(D36,RUC!$B$3:$B$123,RUC!$G$3:$G$123)</f>
        <v>0</v>
      </c>
      <c r="Z36" s="143">
        <f>_xlfn.XLOOKUP(D36,RUC!$B$3:$B$123,RUC!$H$3:$H$123)</f>
        <v>10</v>
      </c>
      <c r="AA36" s="144">
        <f t="shared" si="2"/>
        <v>10</v>
      </c>
      <c r="AB36" s="145">
        <f t="shared" si="28"/>
        <v>705.23917219400005</v>
      </c>
      <c r="AC36" s="145">
        <f>+(S36-T36)*V36-'data 1'!$F$4</f>
        <v>35.741500000000002</v>
      </c>
      <c r="AD36" s="145">
        <f t="shared" si="3"/>
        <v>60.936112089463514</v>
      </c>
      <c r="AE36" s="145">
        <f t="shared" si="4"/>
        <v>-58.977000000000004</v>
      </c>
      <c r="AF36" s="145">
        <f t="shared" si="5"/>
        <v>28.875874725421532</v>
      </c>
      <c r="AG36" s="772">
        <f t="shared" si="30"/>
        <v>136.57648681488504</v>
      </c>
      <c r="AH36" s="1253">
        <f t="shared" si="6"/>
        <v>12.680999999999999</v>
      </c>
      <c r="AI36" s="1253">
        <f t="shared" si="7"/>
        <v>13.93</v>
      </c>
      <c r="AJ36" s="156">
        <f t="shared" si="8"/>
        <v>55.705919060486465</v>
      </c>
      <c r="AK36" s="156">
        <f t="shared" si="9"/>
        <v>11.46912058217556</v>
      </c>
      <c r="AL36" s="88"/>
      <c r="AM36" s="716">
        <f t="shared" si="10"/>
        <v>1284.945771737468</v>
      </c>
      <c r="AN36" s="716" t="str">
        <f>_xlfn.XLOOKUP(D36,RUC!$B$3:$B$578,RUC!$M$3:$M$578)</f>
        <v>Melchor Vera</v>
      </c>
      <c r="AO36" s="1167" t="s">
        <v>2277</v>
      </c>
      <c r="AP36" t="s">
        <v>2449</v>
      </c>
      <c r="AQ36" t="s">
        <v>3669</v>
      </c>
    </row>
    <row r="37" spans="1:43" ht="15" customHeight="1">
      <c r="A37" s="747" t="s">
        <v>3653</v>
      </c>
      <c r="B37" s="1447">
        <v>45995</v>
      </c>
      <c r="C37" s="1447">
        <v>45990</v>
      </c>
      <c r="D37" t="s">
        <v>1671</v>
      </c>
      <c r="E37" s="762">
        <f>_xlfn.XLOOKUP(D37,RUC!$B$3:$B$123,RUC!$D$3:$D$123)</f>
        <v>20517242919</v>
      </c>
      <c r="G37" s="1082">
        <v>42</v>
      </c>
      <c r="H37" s="762" t="s">
        <v>69</v>
      </c>
      <c r="I37" s="703">
        <v>3.65</v>
      </c>
      <c r="J37" s="596">
        <v>1.2</v>
      </c>
      <c r="K37" s="703">
        <f t="shared" si="0"/>
        <v>3.6059999999999999</v>
      </c>
      <c r="L37" s="1082">
        <v>0.156</v>
      </c>
      <c r="M37" s="994">
        <f t="shared" si="19"/>
        <v>0.14899999999999999</v>
      </c>
      <c r="N37" s="1444">
        <v>0.17199999999999999</v>
      </c>
      <c r="O37" s="645">
        <f t="shared" si="1"/>
        <v>0.161</v>
      </c>
      <c r="P37" s="727">
        <v>85</v>
      </c>
      <c r="Q37" s="1476">
        <v>98.08</v>
      </c>
      <c r="R37" s="706">
        <v>4191.05</v>
      </c>
      <c r="S37" s="762">
        <v>95</v>
      </c>
      <c r="U37" s="1146">
        <f>_xlfn.XLOOKUP(D37,RUC!$B$3:$B$123,RUC!$F$3:$F$123)</f>
        <v>80</v>
      </c>
      <c r="V37" s="715">
        <v>1.1023000000000001</v>
      </c>
      <c r="Y37">
        <f>_xlfn.XLOOKUP(D37,RUC!$B$3:$B$123,RUC!$G$3:$G$123)</f>
        <v>0</v>
      </c>
      <c r="Z37" s="143">
        <f>_xlfn.XLOOKUP(D37,RUC!$B$3:$B$123,RUC!$H$3:$H$123)</f>
        <v>10</v>
      </c>
      <c r="AA37" s="144">
        <f t="shared" si="2"/>
        <v>10</v>
      </c>
      <c r="AB37" s="145">
        <f t="shared" si="28"/>
        <v>504.40938529275002</v>
      </c>
      <c r="AC37" s="145">
        <f>+(S37-T37)*V37-'data 1'!$F$4</f>
        <v>24.718500000000006</v>
      </c>
      <c r="AD37" s="145">
        <f t="shared" si="3"/>
        <v>92.466604195991991</v>
      </c>
      <c r="AE37" s="145">
        <f t="shared" si="4"/>
        <v>-58.977000000000004</v>
      </c>
      <c r="AF37" s="145">
        <f t="shared" si="5"/>
        <v>-22.223017475160024</v>
      </c>
      <c r="AG37" s="772">
        <f t="shared" si="30"/>
        <v>105.98508672083197</v>
      </c>
      <c r="AH37" s="1253">
        <f t="shared" si="6"/>
        <v>18.916</v>
      </c>
      <c r="AI37" s="1253">
        <f t="shared" si="7"/>
        <v>19.286999999999999</v>
      </c>
      <c r="AJ37" s="156">
        <f t="shared" si="8"/>
        <v>41.987207709407969</v>
      </c>
      <c r="AK37" s="156">
        <f t="shared" si="9"/>
        <v>16.919191008840858</v>
      </c>
      <c r="AL37" s="88"/>
      <c r="AM37" s="716">
        <f t="shared" si="10"/>
        <v>1818.9002433656565</v>
      </c>
      <c r="AN37" s="716" t="str">
        <f>_xlfn.XLOOKUP(D37,RUC!$B$3:$B$578,RUC!$M$3:$M$578)</f>
        <v>Melchor Vera</v>
      </c>
      <c r="AO37" s="1167" t="s">
        <v>2277</v>
      </c>
      <c r="AP37" t="s">
        <v>2449</v>
      </c>
      <c r="AQ37" t="s">
        <v>3669</v>
      </c>
    </row>
    <row r="38" spans="1:43" ht="15" customHeight="1">
      <c r="A38" s="747" t="s">
        <v>3654</v>
      </c>
      <c r="B38" s="1447">
        <v>45995</v>
      </c>
      <c r="C38" s="1447">
        <v>45990</v>
      </c>
      <c r="D38" t="s">
        <v>1671</v>
      </c>
      <c r="E38" s="762">
        <f>_xlfn.XLOOKUP(D38,RUC!$B$3:$B$123,RUC!$D$3:$D$123)</f>
        <v>20517242919</v>
      </c>
      <c r="G38" s="1082">
        <v>60</v>
      </c>
      <c r="H38" s="762" t="s">
        <v>69</v>
      </c>
      <c r="I38" s="703">
        <v>5.37</v>
      </c>
      <c r="J38" s="596">
        <v>1.1499999999999999</v>
      </c>
      <c r="K38" s="703">
        <f t="shared" si="0"/>
        <v>5.3079999999999998</v>
      </c>
      <c r="L38" s="1082">
        <v>0.105</v>
      </c>
      <c r="M38" s="994">
        <f t="shared" si="19"/>
        <v>9.8000000000000004E-2</v>
      </c>
      <c r="N38" s="1444">
        <v>0.129</v>
      </c>
      <c r="O38" s="645">
        <f t="shared" si="1"/>
        <v>0.114</v>
      </c>
      <c r="P38" s="727">
        <v>85</v>
      </c>
      <c r="Q38" s="1476">
        <v>96.19</v>
      </c>
      <c r="R38" s="706">
        <v>4191.05</v>
      </c>
      <c r="S38" s="762">
        <v>95</v>
      </c>
      <c r="U38" s="1146">
        <f>_xlfn.XLOOKUP(D38,RUC!$B$3:$B$123,RUC!$F$3:$F$123)</f>
        <v>80</v>
      </c>
      <c r="V38" s="715">
        <v>1.1023000000000001</v>
      </c>
      <c r="Y38">
        <f>_xlfn.XLOOKUP(D38,RUC!$B$3:$B$123,RUC!$G$3:$G$123)</f>
        <v>0</v>
      </c>
      <c r="Z38" s="143">
        <f>_xlfn.XLOOKUP(D38,RUC!$B$3:$B$123,RUC!$H$3:$H$123)</f>
        <v>10</v>
      </c>
      <c r="AA38" s="144">
        <f t="shared" si="2"/>
        <v>10</v>
      </c>
      <c r="AB38" s="145">
        <f t="shared" si="28"/>
        <v>323.37154921350003</v>
      </c>
      <c r="AC38" s="145">
        <f>+(S38-T38)*V38-'data 1'!$F$4</f>
        <v>24.718500000000006</v>
      </c>
      <c r="AD38" s="145">
        <f t="shared" si="3"/>
        <v>53.244156571042495</v>
      </c>
      <c r="AE38" s="145">
        <f t="shared" si="4"/>
        <v>-58.977000000000004</v>
      </c>
      <c r="AF38" s="145">
        <f t="shared" si="5"/>
        <v>-39.230604523696542</v>
      </c>
      <c r="AG38" s="772">
        <f t="shared" si="30"/>
        <v>49.755052047345956</v>
      </c>
      <c r="AH38" s="1253">
        <f t="shared" si="6"/>
        <v>18.381</v>
      </c>
      <c r="AI38" s="1253">
        <f t="shared" si="7"/>
        <v>19.109000000000002</v>
      </c>
      <c r="AJ38" s="156">
        <f t="shared" si="8"/>
        <v>27.716038876207485</v>
      </c>
      <c r="AK38" s="156">
        <f t="shared" si="9"/>
        <v>17.63452477365486</v>
      </c>
      <c r="AL38" s="88"/>
      <c r="AM38" s="716">
        <f t="shared" si="10"/>
        <v>1716.4561832252582</v>
      </c>
      <c r="AN38" s="716" t="str">
        <f>_xlfn.XLOOKUP(D38,RUC!$B$3:$B$578,RUC!$M$3:$M$578)</f>
        <v>Melchor Vera</v>
      </c>
      <c r="AO38" s="1167" t="s">
        <v>2277</v>
      </c>
      <c r="AP38" t="s">
        <v>2449</v>
      </c>
      <c r="AQ38" t="s">
        <v>3669</v>
      </c>
    </row>
    <row r="39" spans="1:43" ht="15" customHeight="1">
      <c r="A39" s="747" t="s">
        <v>3655</v>
      </c>
      <c r="B39" s="1447">
        <v>45994</v>
      </c>
      <c r="C39" s="1447">
        <v>45990</v>
      </c>
      <c r="D39" t="s">
        <v>93</v>
      </c>
      <c r="E39" s="762">
        <f>_xlfn.XLOOKUP(D39,RUC!$B$3:$B$123,RUC!$D$3:$D$123)</f>
        <v>20169040231</v>
      </c>
      <c r="G39" s="1082">
        <v>70</v>
      </c>
      <c r="H39" s="762" t="s">
        <v>69</v>
      </c>
      <c r="I39" s="703">
        <v>6.52</v>
      </c>
      <c r="J39" s="596">
        <v>4.55</v>
      </c>
      <c r="K39" s="703">
        <f t="shared" si="0"/>
        <v>6.2229999999999999</v>
      </c>
      <c r="L39" s="1082">
        <v>0.22500000000000001</v>
      </c>
      <c r="M39" s="994">
        <f t="shared" si="19"/>
        <v>0.20699999999999999</v>
      </c>
      <c r="N39" s="1196">
        <f t="shared" si="24"/>
        <v>0.20699999999999999</v>
      </c>
      <c r="O39" s="645">
        <f t="shared" si="1"/>
        <v>0.20699999999999999</v>
      </c>
      <c r="P39" s="727">
        <v>90</v>
      </c>
      <c r="Q39" s="1476">
        <v>96.7</v>
      </c>
      <c r="R39" s="706">
        <v>4191.05</v>
      </c>
      <c r="S39" s="765">
        <f>IF((_xlfn.XLOOKUP(D39,RUC!$B$3:$B$119,RUC!$E$3:$E$119)+ROUNDDOWN(O39,1)*100)&lt;95,95,((_xlfn.XLOOKUP(D39,RUC!$B$3:$B$119,RUC!$E$3:$E$119)+ROUNDDOWN(O39,1)*100)))</f>
        <v>105</v>
      </c>
      <c r="U39" s="1146">
        <f>_xlfn.XLOOKUP(D39,RUC!$B$3:$B$123,RUC!$F$3:$F$123)</f>
        <v>120</v>
      </c>
      <c r="V39" s="715">
        <v>1.1023000000000001</v>
      </c>
      <c r="Y39">
        <f>_xlfn.XLOOKUP(D39,RUC!$B$3:$B$123,RUC!$G$3:$G$123)</f>
        <v>20</v>
      </c>
      <c r="Z39" s="1454">
        <v>35</v>
      </c>
      <c r="AA39" s="144">
        <f t="shared" si="2"/>
        <v>55</v>
      </c>
      <c r="AB39" s="145">
        <f t="shared" si="28"/>
        <v>659.65668071450011</v>
      </c>
      <c r="AC39" s="145">
        <f>+(S39-T39)*V39-'data 1'!$F$4</f>
        <v>35.741500000000002</v>
      </c>
      <c r="AD39" s="145">
        <f t="shared" si="3"/>
        <v>67.649340106125038</v>
      </c>
      <c r="AE39" s="145">
        <f t="shared" si="4"/>
        <v>-9.3734999999999999</v>
      </c>
      <c r="AF39" s="145">
        <f t="shared" si="5"/>
        <v>78.109745531490077</v>
      </c>
      <c r="AG39" s="772">
        <f t="shared" ref="AG39:AG42" si="31">AC39+AD39+AE39+AF39+70-53</f>
        <v>189.1270856376151</v>
      </c>
      <c r="AH39" s="1253">
        <f t="shared" si="6"/>
        <v>46.420999999999999</v>
      </c>
      <c r="AI39" s="1253">
        <f t="shared" si="7"/>
        <v>48.006</v>
      </c>
      <c r="AJ39" s="156">
        <f t="shared" si="8"/>
        <v>69.299722956374964</v>
      </c>
      <c r="AK39" s="156">
        <f t="shared" si="9"/>
        <v>39.748589780288441</v>
      </c>
      <c r="AM39" s="716">
        <f t="shared" si="10"/>
        <v>4105.0435240863344</v>
      </c>
      <c r="AN39" s="716" t="str">
        <f>_xlfn.XLOOKUP(D39,RUC!$B$3:$B$578,RUC!$M$3:$M$578)</f>
        <v>Ronald Miranda</v>
      </c>
      <c r="AO39" s="1167" t="s">
        <v>2278</v>
      </c>
      <c r="AP39" t="s">
        <v>3670</v>
      </c>
      <c r="AQ39" t="s">
        <v>3671</v>
      </c>
    </row>
    <row r="40" spans="1:43" ht="15" customHeight="1">
      <c r="A40" s="747" t="s">
        <v>3656</v>
      </c>
      <c r="B40" s="1447">
        <v>46003</v>
      </c>
      <c r="C40" s="1447">
        <v>45990</v>
      </c>
      <c r="D40" t="s">
        <v>93</v>
      </c>
      <c r="E40" s="762">
        <f>_xlfn.XLOOKUP(D40,RUC!$B$3:$B$123,RUC!$D$3:$D$123)</f>
        <v>20169040231</v>
      </c>
      <c r="G40" s="1082">
        <v>88</v>
      </c>
      <c r="H40" s="762" t="s">
        <v>69</v>
      </c>
      <c r="I40" s="703">
        <v>7.96</v>
      </c>
      <c r="J40" s="596">
        <v>1.1000000000000001</v>
      </c>
      <c r="K40" s="703">
        <f t="shared" si="0"/>
        <v>7.8719999999999999</v>
      </c>
      <c r="L40" s="1082">
        <v>0.36599999999999999</v>
      </c>
      <c r="M40" s="994">
        <f t="shared" si="19"/>
        <v>0.34399999999999997</v>
      </c>
      <c r="N40" s="1196">
        <f t="shared" si="24"/>
        <v>0.34399999999999997</v>
      </c>
      <c r="O40" s="645">
        <f t="shared" si="1"/>
        <v>0.34399999999999997</v>
      </c>
      <c r="P40" s="727">
        <v>64</v>
      </c>
      <c r="Q40" s="1572">
        <v>63.11</v>
      </c>
      <c r="R40" s="706">
        <v>4191.05</v>
      </c>
      <c r="S40" s="765">
        <f>IF((_xlfn.XLOOKUP(D40,RUC!$B$3:$B$119,RUC!$E$3:$E$119)+ROUNDDOWN(O40,1)*100)&lt;95,95,((_xlfn.XLOOKUP(D40,RUC!$B$3:$B$119,RUC!$E$3:$E$119)+ROUNDDOWN(O40,1)*100)))</f>
        <v>115</v>
      </c>
      <c r="U40" s="1146">
        <f>_xlfn.XLOOKUP(D40,RUC!$B$3:$B$123,RUC!$F$3:$F$123)</f>
        <v>120</v>
      </c>
      <c r="V40" s="715">
        <v>1.1023000000000001</v>
      </c>
      <c r="Y40">
        <f>_xlfn.XLOOKUP(D40,RUC!$B$3:$B$123,RUC!$G$3:$G$123)</f>
        <v>20</v>
      </c>
      <c r="Z40" s="1454">
        <v>35</v>
      </c>
      <c r="AA40" s="144">
        <f t="shared" si="2"/>
        <v>55</v>
      </c>
      <c r="AB40" s="145">
        <f t="shared" si="28"/>
        <v>800.58105424640007</v>
      </c>
      <c r="AC40" s="145">
        <f>+(S40-T40)*V40-'data 1'!$F$4</f>
        <v>46.764500000000012</v>
      </c>
      <c r="AD40" s="145">
        <f t="shared" si="3"/>
        <v>-14.61764248502101</v>
      </c>
      <c r="AE40" s="145">
        <f t="shared" si="4"/>
        <v>-9.3734999999999999</v>
      </c>
      <c r="AF40" s="145">
        <f t="shared" si="5"/>
        <v>62.305603177543055</v>
      </c>
      <c r="AG40" s="772">
        <f t="shared" si="31"/>
        <v>102.07896069252206</v>
      </c>
      <c r="AH40" s="1253">
        <f t="shared" si="6"/>
        <v>62.341000000000001</v>
      </c>
      <c r="AI40" s="1253">
        <f t="shared" si="7"/>
        <v>98.781000000000006</v>
      </c>
      <c r="AJ40" s="156">
        <f t="shared" si="8"/>
        <v>73.57017206822097</v>
      </c>
      <c r="AK40" s="156">
        <f t="shared" si="9"/>
        <v>59.419989572468729</v>
      </c>
      <c r="AM40" s="716">
        <f t="shared" si="10"/>
        <v>6302.1740590276613</v>
      </c>
      <c r="AN40" s="716" t="str">
        <f>_xlfn.XLOOKUP(D40,RUC!$B$3:$B$578,RUC!$M$3:$M$578)</f>
        <v>Ronald Miranda</v>
      </c>
      <c r="AO40" s="1167" t="s">
        <v>2281</v>
      </c>
      <c r="AP40" t="s">
        <v>3670</v>
      </c>
      <c r="AQ40" t="s">
        <v>3671</v>
      </c>
    </row>
    <row r="41" spans="1:43" ht="15" customHeight="1">
      <c r="A41" s="747" t="s">
        <v>3657</v>
      </c>
      <c r="B41" s="1447">
        <v>46003</v>
      </c>
      <c r="C41" s="1447">
        <v>45990</v>
      </c>
      <c r="D41" t="s">
        <v>93</v>
      </c>
      <c r="E41" s="762">
        <f>_xlfn.XLOOKUP(D41,RUC!$B$3:$B$123,RUC!$D$3:$D$123)</f>
        <v>20169040231</v>
      </c>
      <c r="G41" s="1082">
        <v>80</v>
      </c>
      <c r="H41" s="762" t="s">
        <v>69</v>
      </c>
      <c r="I41" s="703">
        <v>7.05</v>
      </c>
      <c r="J41" s="596">
        <v>1.2</v>
      </c>
      <c r="K41" s="703">
        <f t="shared" si="0"/>
        <v>6.9649999999999999</v>
      </c>
      <c r="L41" s="1082">
        <v>0.35499999999999998</v>
      </c>
      <c r="M41" s="994">
        <f t="shared" si="19"/>
        <v>0.33400000000000002</v>
      </c>
      <c r="N41" s="1196">
        <f t="shared" si="24"/>
        <v>0.33400000000000002</v>
      </c>
      <c r="O41" s="645">
        <f t="shared" si="1"/>
        <v>0.33400000000000002</v>
      </c>
      <c r="P41" s="727">
        <v>65</v>
      </c>
      <c r="Q41" s="1572">
        <v>64.790000000000006</v>
      </c>
      <c r="R41" s="706">
        <v>4191.05</v>
      </c>
      <c r="S41" s="765">
        <f>IF((_xlfn.XLOOKUP(D41,RUC!$B$3:$B$119,RUC!$E$3:$E$119)+ROUNDDOWN(O41,1)*100)&lt;95,95,((_xlfn.XLOOKUP(D41,RUC!$B$3:$B$119,RUC!$E$3:$E$119)+ROUNDDOWN(O41,1)*100)))</f>
        <v>115</v>
      </c>
      <c r="U41" s="1146">
        <f>_xlfn.XLOOKUP(D41,RUC!$B$3:$B$123,RUC!$F$3:$F$123)</f>
        <v>120</v>
      </c>
      <c r="V41" s="715">
        <v>1.1023000000000001</v>
      </c>
      <c r="Y41">
        <f>_xlfn.XLOOKUP(D41,RUC!$B$3:$B$123,RUC!$G$3:$G$123)</f>
        <v>20</v>
      </c>
      <c r="Z41" s="1454">
        <v>35</v>
      </c>
      <c r="AA41" s="144">
        <f t="shared" si="2"/>
        <v>55</v>
      </c>
      <c r="AB41" s="145">
        <f t="shared" si="28"/>
        <v>786.84924789650006</v>
      </c>
      <c r="AC41" s="145">
        <f>+(S41-T41)*V41-'data 1'!$F$4</f>
        <v>46.764500000000012</v>
      </c>
      <c r="AD41" s="145">
        <f t="shared" si="3"/>
        <v>-3.345444978382401</v>
      </c>
      <c r="AE41" s="145">
        <f t="shared" si="4"/>
        <v>-9.3734999999999999</v>
      </c>
      <c r="AF41" s="145">
        <f t="shared" si="5"/>
        <v>61.056726802648399</v>
      </c>
      <c r="AG41" s="772">
        <f t="shared" si="31"/>
        <v>112.10228182426602</v>
      </c>
      <c r="AH41" s="1253">
        <f t="shared" si="6"/>
        <v>54.924999999999997</v>
      </c>
      <c r="AI41" s="1253">
        <f t="shared" si="7"/>
        <v>84.772999999999996</v>
      </c>
      <c r="AJ41" s="156">
        <f t="shared" si="8"/>
        <v>73.258637843132462</v>
      </c>
      <c r="AK41" s="156">
        <f t="shared" si="9"/>
        <v>51.842986698487074</v>
      </c>
      <c r="AM41" s="716">
        <f t="shared" si="10"/>
        <v>5480.4050115991231</v>
      </c>
      <c r="AN41" s="716" t="str">
        <f>_xlfn.XLOOKUP(D41,RUC!$B$3:$B$578,RUC!$M$3:$M$578)</f>
        <v>Ronald Miranda</v>
      </c>
      <c r="AO41" s="1167" t="s">
        <v>2281</v>
      </c>
      <c r="AP41" t="s">
        <v>3670</v>
      </c>
      <c r="AQ41" t="s">
        <v>3671</v>
      </c>
    </row>
    <row r="42" spans="1:43" ht="15" customHeight="1">
      <c r="A42" s="747" t="s">
        <v>3658</v>
      </c>
      <c r="B42" s="1447">
        <v>46003</v>
      </c>
      <c r="C42" s="1447">
        <v>45990</v>
      </c>
      <c r="D42" t="s">
        <v>93</v>
      </c>
      <c r="E42" s="762">
        <f>_xlfn.XLOOKUP(D42,RUC!$B$3:$B$123,RUC!$D$3:$D$123)</f>
        <v>20169040231</v>
      </c>
      <c r="G42" s="1082">
        <v>80</v>
      </c>
      <c r="H42" s="762" t="s">
        <v>69</v>
      </c>
      <c r="I42" s="703">
        <v>7.57</v>
      </c>
      <c r="J42" s="596">
        <v>1.75</v>
      </c>
      <c r="K42" s="703">
        <f t="shared" si="0"/>
        <v>7.4379999999999997</v>
      </c>
      <c r="L42" s="1082">
        <v>0.27300000000000002</v>
      </c>
      <c r="M42" s="994">
        <f t="shared" si="19"/>
        <v>0.255</v>
      </c>
      <c r="N42" s="1196">
        <f t="shared" si="24"/>
        <v>0.255</v>
      </c>
      <c r="O42" s="645">
        <f t="shared" si="1"/>
        <v>0.255</v>
      </c>
      <c r="P42" s="727">
        <v>66</v>
      </c>
      <c r="Q42" s="1572">
        <v>66.67</v>
      </c>
      <c r="R42" s="706">
        <v>4191.05</v>
      </c>
      <c r="S42" s="765">
        <f>IF((_xlfn.XLOOKUP(D42,RUC!$B$3:$B$119,RUC!$E$3:$E$119)+ROUNDDOWN(O42,1)*100)&lt;95,95,((_xlfn.XLOOKUP(D42,RUC!$B$3:$B$119,RUC!$E$3:$E$119)+ROUNDDOWN(O42,1)*100)))</f>
        <v>105</v>
      </c>
      <c r="U42" s="1146">
        <f>_xlfn.XLOOKUP(D42,RUC!$B$3:$B$123,RUC!$F$3:$F$123)</f>
        <v>120</v>
      </c>
      <c r="V42" s="715">
        <v>1.1023000000000001</v>
      </c>
      <c r="Y42">
        <f>_xlfn.XLOOKUP(D42,RUC!$B$3:$B$123,RUC!$G$3:$G$123)</f>
        <v>20</v>
      </c>
      <c r="Z42" s="1454">
        <v>35</v>
      </c>
      <c r="AA42" s="144">
        <f t="shared" si="2"/>
        <v>55</v>
      </c>
      <c r="AB42" s="145">
        <f t="shared" si="28"/>
        <v>578.88134924450026</v>
      </c>
      <c r="AC42" s="145">
        <f>+(S42-T42)*V42-'data 1'!$F$4</f>
        <v>35.741500000000002</v>
      </c>
      <c r="AD42" s="145">
        <f t="shared" si="3"/>
        <v>8.2081199328765226</v>
      </c>
      <c r="AE42" s="145">
        <f t="shared" si="4"/>
        <v>-9.3734999999999999</v>
      </c>
      <c r="AF42" s="145">
        <f t="shared" si="5"/>
        <v>53.852913491049051</v>
      </c>
      <c r="AG42" s="772">
        <f t="shared" si="31"/>
        <v>105.42903342392557</v>
      </c>
      <c r="AH42" s="1253">
        <f t="shared" si="6"/>
        <v>46.414999999999999</v>
      </c>
      <c r="AI42" s="1253">
        <f t="shared" si="7"/>
        <v>69.619</v>
      </c>
      <c r="AJ42" s="156">
        <f t="shared" si="8"/>
        <v>57.971642907223469</v>
      </c>
      <c r="AK42" s="156">
        <f t="shared" si="9"/>
        <v>42.918976755965971</v>
      </c>
      <c r="AM42" s="716">
        <f t="shared" si="10"/>
        <v>4305.719475680593</v>
      </c>
      <c r="AN42" s="716" t="str">
        <f>_xlfn.XLOOKUP(D42,RUC!$B$3:$B$578,RUC!$M$3:$M$578)</f>
        <v>Ronald Miranda</v>
      </c>
      <c r="AO42" s="1167" t="s">
        <v>2281</v>
      </c>
      <c r="AP42" t="s">
        <v>3670</v>
      </c>
      <c r="AQ42" t="s">
        <v>3671</v>
      </c>
    </row>
    <row r="43" spans="1:43" ht="15" customHeight="1">
      <c r="A43" s="747" t="s">
        <v>3664</v>
      </c>
      <c r="B43" s="1447">
        <v>45934</v>
      </c>
      <c r="C43" s="1447">
        <v>45991</v>
      </c>
      <c r="D43" t="s">
        <v>2004</v>
      </c>
      <c r="E43" s="762">
        <f>_xlfn.XLOOKUP(D43,RUC!$B$3:$B$123,RUC!$D$3:$D$123)</f>
        <v>20612921866</v>
      </c>
      <c r="G43" s="1082">
        <v>10</v>
      </c>
      <c r="H43" s="762" t="s">
        <v>69</v>
      </c>
      <c r="I43" s="703">
        <v>1.1200000000000001</v>
      </c>
      <c r="J43">
        <v>1.25</v>
      </c>
      <c r="K43" s="703">
        <f t="shared" si="0"/>
        <v>1.1060000000000001</v>
      </c>
      <c r="L43" s="1082">
        <v>0.82599999999999996</v>
      </c>
      <c r="M43" s="994">
        <f t="shared" si="19"/>
        <v>0.77600000000000002</v>
      </c>
      <c r="N43" s="1444">
        <v>0.84799999999999998</v>
      </c>
      <c r="O43" s="645">
        <f t="shared" si="1"/>
        <v>0.81200000000000006</v>
      </c>
      <c r="P43" s="727">
        <v>90</v>
      </c>
      <c r="Q43" s="1476">
        <v>95.4</v>
      </c>
      <c r="R43" s="706">
        <v>4238.8500000000004</v>
      </c>
      <c r="S43" s="765">
        <f>IF((_xlfn.XLOOKUP(D43,RUC!$B$3:$B$119,RUC!$E$3:$E$119)+ROUNDDOWN(O43,1)*100)&lt;95,95,((_xlfn.XLOOKUP(D43,RUC!$B$3:$B$119,RUC!$E$3:$E$119)+ROUNDDOWN(O43,1)*100)))</f>
        <v>160</v>
      </c>
      <c r="U43" s="1146">
        <f>_xlfn.XLOOKUP(D43,RUC!$B$3:$B$123,RUC!$F$3:$F$123)</f>
        <v>100</v>
      </c>
      <c r="V43" s="715">
        <v>1.1023000000000001</v>
      </c>
      <c r="Y43">
        <f>_xlfn.XLOOKUP(D43,RUC!$B$3:$B$123,RUC!$G$3:$G$123)</f>
        <v>0</v>
      </c>
      <c r="Z43" s="143">
        <f>_xlfn.XLOOKUP(D43,RUC!$B$3:$B$123,RUC!$H$3:$H$123)</f>
        <v>30</v>
      </c>
      <c r="AA43" s="144">
        <f t="shared" si="2"/>
        <v>30</v>
      </c>
      <c r="AB43" s="145">
        <f t="shared" si="28"/>
        <v>3124.6584826340004</v>
      </c>
      <c r="AC43" s="145">
        <f>+(S43-T43)*V43-'data 1'!$F$4</f>
        <v>96.367999999999995</v>
      </c>
      <c r="AD43" s="145">
        <f t="shared" si="3"/>
        <v>203.49479325042026</v>
      </c>
      <c r="AE43" s="145">
        <f t="shared" si="4"/>
        <v>-36.930999999999997</v>
      </c>
      <c r="AF43" s="145">
        <f t="shared" si="5"/>
        <v>60.933469165379584</v>
      </c>
      <c r="AG43" s="772">
        <f>AC43+AD43+AE43+AF43+70-10</f>
        <v>383.86526241579986</v>
      </c>
      <c r="AH43" s="1253">
        <f t="shared" si="6"/>
        <v>29.881</v>
      </c>
      <c r="AI43" s="1253">
        <f t="shared" si="7"/>
        <v>31.321999999999999</v>
      </c>
      <c r="AJ43" s="156">
        <f t="shared" si="8"/>
        <v>192.09460735457972</v>
      </c>
      <c r="AK43" s="156">
        <f t="shared" si="9"/>
        <v>27.711672315155646</v>
      </c>
      <c r="AL43" s="88"/>
      <c r="AM43" s="716">
        <f t="shared" si="10"/>
        <v>3455.8722817932048</v>
      </c>
      <c r="AN43" s="716" t="str">
        <f>_xlfn.XLOOKUP(D43,RUC!$B$3:$B$578,RUC!$M$3:$M$578)</f>
        <v>Ronald Garibay</v>
      </c>
      <c r="AO43" s="1167" t="s">
        <v>2278</v>
      </c>
      <c r="AP43" t="s">
        <v>3672</v>
      </c>
      <c r="AQ43" t="s">
        <v>3673</v>
      </c>
    </row>
    <row r="44" spans="1:43" ht="15" customHeight="1">
      <c r="A44" s="747" t="s">
        <v>3665</v>
      </c>
      <c r="B44" s="1447">
        <v>45996</v>
      </c>
      <c r="C44" s="1447">
        <v>45991</v>
      </c>
      <c r="D44" t="s">
        <v>1484</v>
      </c>
      <c r="E44" s="762">
        <f>_xlfn.XLOOKUP(D44,RUC!$B$3:$B$123,RUC!$D$3:$D$123)</f>
        <v>10761932735</v>
      </c>
      <c r="G44" s="1082">
        <v>193</v>
      </c>
      <c r="H44" s="762" t="s">
        <v>69</v>
      </c>
      <c r="I44" s="703">
        <v>15.56</v>
      </c>
      <c r="J44">
        <v>16.05</v>
      </c>
      <c r="K44" s="703">
        <f t="shared" si="0"/>
        <v>13.063000000000001</v>
      </c>
      <c r="L44" s="1082">
        <v>0.14499999999999999</v>
      </c>
      <c r="M44" s="994">
        <f t="shared" si="19"/>
        <v>0.127</v>
      </c>
      <c r="N44" s="1196">
        <f t="shared" ref="N44:N45" si="32">+M44</f>
        <v>0.127</v>
      </c>
      <c r="O44" s="645">
        <f t="shared" si="1"/>
        <v>0.127</v>
      </c>
      <c r="P44" s="727">
        <v>80</v>
      </c>
      <c r="Q44" s="1476">
        <v>95.17</v>
      </c>
      <c r="R44" s="706">
        <v>4238.8500000000004</v>
      </c>
      <c r="S44" s="765">
        <f>IF((_xlfn.XLOOKUP(D44,RUC!$B$3:$B$119,RUC!$E$3:$E$119)+ROUNDDOWN(O44,1)*100)&lt;95,95,((_xlfn.XLOOKUP(D44,RUC!$B$3:$B$119,RUC!$E$3:$E$119)+ROUNDDOWN(O44,1)*100)))</f>
        <v>100</v>
      </c>
      <c r="U44" s="1146">
        <f>_xlfn.XLOOKUP(D44,RUC!$B$3:$B$123,RUC!$F$3:$F$123)</f>
        <v>120</v>
      </c>
      <c r="V44" s="715">
        <v>1.1023000000000001</v>
      </c>
      <c r="Y44">
        <f>_xlfn.XLOOKUP(D44,RUC!$B$3:$B$123,RUC!$G$3:$G$123)</f>
        <v>20</v>
      </c>
      <c r="Z44" s="143">
        <f>_xlfn.XLOOKUP(D44,RUC!$B$3:$B$123,RUC!$H$3:$H$123)</f>
        <v>30</v>
      </c>
      <c r="AA44" s="144">
        <f t="shared" si="2"/>
        <v>50</v>
      </c>
      <c r="AB44" s="145">
        <f t="shared" si="28"/>
        <v>295.94016886800006</v>
      </c>
      <c r="AC44" s="145">
        <f>+(S44-T44)*V44-'data 1'!$F$4</f>
        <v>30.230000000000004</v>
      </c>
      <c r="AD44" s="145">
        <f t="shared" si="3"/>
        <v>99.868693080757524</v>
      </c>
      <c r="AE44" s="145">
        <f t="shared" si="4"/>
        <v>-14.884999999999998</v>
      </c>
      <c r="AF44" s="145">
        <f t="shared" si="5"/>
        <v>77.776493246162957</v>
      </c>
      <c r="AG44" s="772">
        <f t="shared" ref="AG44:AG55" si="33">AC44+AD44+AE44+AF44+70-53</f>
        <v>209.99018632692048</v>
      </c>
      <c r="AH44" s="1253">
        <f t="shared" si="6"/>
        <v>61.804000000000002</v>
      </c>
      <c r="AI44" s="1253">
        <f t="shared" si="7"/>
        <v>64.941000000000003</v>
      </c>
      <c r="AJ44" s="156">
        <f t="shared" si="8"/>
        <v>36.682180641242446</v>
      </c>
      <c r="AK44" s="156">
        <f t="shared" si="9"/>
        <v>45.503594448270441</v>
      </c>
      <c r="AM44" s="716">
        <f t="shared" si="10"/>
        <v>3865.8664259226848</v>
      </c>
      <c r="AN44" s="716" t="str">
        <f>_xlfn.XLOOKUP(D44,RUC!$B$3:$B$578,RUC!$M$3:$M$578)</f>
        <v>Richard Sapacayo</v>
      </c>
      <c r="AO44" s="1167" t="s">
        <v>2280</v>
      </c>
      <c r="AP44" t="s">
        <v>3065</v>
      </c>
      <c r="AQ44" t="s">
        <v>3674</v>
      </c>
    </row>
    <row r="45" spans="1:43" ht="15" customHeight="1">
      <c r="A45" s="1491" t="s">
        <v>3666</v>
      </c>
      <c r="B45" s="1542">
        <v>45996</v>
      </c>
      <c r="C45" s="1447">
        <v>45991</v>
      </c>
      <c r="D45" t="s">
        <v>1484</v>
      </c>
      <c r="E45" s="762">
        <f>_xlfn.XLOOKUP(D45,RUC!$B$3:$B$123,RUC!$D$3:$D$123)</f>
        <v>10761932735</v>
      </c>
      <c r="G45" s="1082">
        <v>20</v>
      </c>
      <c r="H45" s="762" t="s">
        <v>69</v>
      </c>
      <c r="I45" s="703">
        <v>1.78</v>
      </c>
      <c r="J45">
        <v>15.51</v>
      </c>
      <c r="K45" s="703">
        <f t="shared" si="0"/>
        <v>1.504</v>
      </c>
      <c r="L45" s="1082">
        <v>7.9000000000000001E-2</v>
      </c>
      <c r="M45" s="994">
        <f t="shared" si="19"/>
        <v>6.0999999999999999E-2</v>
      </c>
      <c r="N45" s="1196">
        <f t="shared" si="32"/>
        <v>6.0999999999999999E-2</v>
      </c>
      <c r="O45" s="645">
        <f t="shared" si="1"/>
        <v>6.0999999999999999E-2</v>
      </c>
      <c r="P45" s="727">
        <v>80</v>
      </c>
      <c r="Q45" s="1476">
        <v>94.94</v>
      </c>
      <c r="R45" s="706">
        <v>4238.8500000000004</v>
      </c>
      <c r="S45" s="765">
        <f>IF((_xlfn.XLOOKUP(D45,RUC!$B$3:$B$119,RUC!$E$3:$E$119)+ROUNDDOWN(O45,1)*100)&lt;95,95,((_xlfn.XLOOKUP(D45,RUC!$B$3:$B$119,RUC!$E$3:$E$119)+ROUNDDOWN(O45,1)*100)))</f>
        <v>95</v>
      </c>
      <c r="U45" s="1146">
        <f>_xlfn.XLOOKUP(D45,RUC!$B$3:$B$123,RUC!$F$3:$F$123)</f>
        <v>120</v>
      </c>
      <c r="V45" s="715">
        <v>1.1023000000000001</v>
      </c>
      <c r="Y45">
        <f>_xlfn.XLOOKUP(D45,RUC!$B$3:$B$123,RUC!$G$3:$G$123)</f>
        <v>20</v>
      </c>
      <c r="Z45" s="143">
        <f>_xlfn.XLOOKUP(D45,RUC!$B$3:$B$123,RUC!$H$3:$H$123)</f>
        <v>30</v>
      </c>
      <c r="AA45" s="144">
        <f t="shared" si="2"/>
        <v>50</v>
      </c>
      <c r="AB45" s="145">
        <v>0</v>
      </c>
      <c r="AC45" s="145">
        <f>+(S45-T45)*V45-'data 1'!$F$4</f>
        <v>24.718500000000006</v>
      </c>
      <c r="AD45" s="145">
        <f t="shared" si="3"/>
        <v>53.586263130722998</v>
      </c>
      <c r="AE45" s="145">
        <f t="shared" si="4"/>
        <v>-14.884999999999998</v>
      </c>
      <c r="AF45" s="145">
        <f t="shared" si="5"/>
        <v>77.588528620266018</v>
      </c>
      <c r="AG45" s="772">
        <f>AC45+AD45+AE45+AF45+70-53+61.73</f>
        <v>219.73829175098902</v>
      </c>
      <c r="AH45" s="1253">
        <f t="shared" si="6"/>
        <v>3.8679999999999999</v>
      </c>
      <c r="AI45" s="1253">
        <f t="shared" si="7"/>
        <v>4.0739999999999998</v>
      </c>
      <c r="AJ45" s="156">
        <f t="shared" si="8"/>
        <v>19.937164506076972</v>
      </c>
      <c r="AK45" s="156">
        <f t="shared" si="9"/>
        <v>2.5163829130073605</v>
      </c>
      <c r="AM45" s="716">
        <f t="shared" si="10"/>
        <v>0</v>
      </c>
      <c r="AN45" s="716" t="str">
        <f>_xlfn.XLOOKUP(D45,RUC!$B$3:$B$578,RUC!$M$3:$M$578)</f>
        <v>Richard Sapacayo</v>
      </c>
      <c r="AO45" s="1167" t="s">
        <v>2279</v>
      </c>
      <c r="AP45" t="s">
        <v>3065</v>
      </c>
      <c r="AQ45" t="s">
        <v>3674</v>
      </c>
    </row>
    <row r="46" spans="1:43" ht="15" customHeight="1">
      <c r="A46" s="747" t="s">
        <v>3667</v>
      </c>
      <c r="B46" s="1447">
        <v>45996</v>
      </c>
      <c r="C46" s="1447">
        <v>45991</v>
      </c>
      <c r="D46" t="s">
        <v>1484</v>
      </c>
      <c r="E46" s="762">
        <f>_xlfn.XLOOKUP(D46,RUC!$B$3:$B$123,RUC!$D$3:$D$123)</f>
        <v>10761932735</v>
      </c>
      <c r="G46" s="1082">
        <v>25</v>
      </c>
      <c r="H46" s="762" t="s">
        <v>69</v>
      </c>
      <c r="I46" s="703">
        <v>2.1</v>
      </c>
      <c r="J46">
        <v>11.38</v>
      </c>
      <c r="K46" s="703">
        <f t="shared" si="0"/>
        <v>1.861</v>
      </c>
      <c r="L46" s="1082">
        <v>0.872</v>
      </c>
      <c r="M46" s="994">
        <f t="shared" si="19"/>
        <v>0.82</v>
      </c>
      <c r="N46" s="1444">
        <v>0.86899999999999999</v>
      </c>
      <c r="O46" s="645">
        <f t="shared" si="1"/>
        <v>0.84499999999999997</v>
      </c>
      <c r="P46" s="727">
        <v>90</v>
      </c>
      <c r="Q46" s="1476">
        <v>94.95</v>
      </c>
      <c r="R46" s="706">
        <v>4238.8500000000004</v>
      </c>
      <c r="S46" s="765">
        <f>IF((_xlfn.XLOOKUP(D46,RUC!$B$3:$B$119,RUC!$E$3:$E$119)+ROUNDDOWN(O46,1)*100)&lt;95,95,((_xlfn.XLOOKUP(D46,RUC!$B$3:$B$119,RUC!$E$3:$E$119)+ROUNDDOWN(O46,1)*100)))</f>
        <v>170</v>
      </c>
      <c r="U46" s="1146">
        <f>_xlfn.XLOOKUP(D46,RUC!$B$3:$B$123,RUC!$F$3:$F$123)</f>
        <v>120</v>
      </c>
      <c r="V46" s="715">
        <v>1.1023000000000001</v>
      </c>
      <c r="Y46">
        <f>_xlfn.XLOOKUP(D46,RUC!$B$3:$B$123,RUC!$G$3:$G$123)</f>
        <v>20</v>
      </c>
      <c r="Z46" s="143">
        <f>_xlfn.XLOOKUP(D46,RUC!$B$3:$B$123,RUC!$H$3:$H$123)</f>
        <v>30</v>
      </c>
      <c r="AA46" s="144">
        <f t="shared" si="2"/>
        <v>50</v>
      </c>
      <c r="AB46" s="145">
        <f t="shared" si="28"/>
        <v>3210.3224539775006</v>
      </c>
      <c r="AC46" s="145">
        <f>+(S46-T46)*V46-'data 1'!$F$4</f>
        <v>107.39100000000002</v>
      </c>
      <c r="AD46" s="145">
        <f t="shared" si="3"/>
        <v>195.97355343522014</v>
      </c>
      <c r="AE46" s="145">
        <f t="shared" si="4"/>
        <v>-14.884999999999998</v>
      </c>
      <c r="AF46" s="145">
        <f t="shared" si="5"/>
        <v>116.39505149295763</v>
      </c>
      <c r="AG46" s="772">
        <f t="shared" si="33"/>
        <v>421.8746049281778</v>
      </c>
      <c r="AH46" s="1253">
        <f t="shared" si="6"/>
        <v>52.828000000000003</v>
      </c>
      <c r="AI46" s="1253">
        <f t="shared" si="7"/>
        <v>55.637999999999998</v>
      </c>
      <c r="AJ46" s="156">
        <f t="shared" si="8"/>
        <v>220.08909655277969</v>
      </c>
      <c r="AK46" s="156">
        <f t="shared" si="9"/>
        <v>48.523783995978519</v>
      </c>
      <c r="AM46" s="716">
        <f t="shared" si="10"/>
        <v>5974.4100868521282</v>
      </c>
      <c r="AN46" s="716" t="str">
        <f>_xlfn.XLOOKUP(D46,RUC!$B$3:$B$578,RUC!$M$3:$M$578)</f>
        <v>Richard Sapacayo</v>
      </c>
      <c r="AO46" s="1167" t="s">
        <v>2280</v>
      </c>
      <c r="AP46" t="s">
        <v>3065</v>
      </c>
      <c r="AQ46" t="s">
        <v>3674</v>
      </c>
    </row>
    <row r="47" spans="1:43" ht="15" customHeight="1">
      <c r="A47" s="747" t="s">
        <v>3668</v>
      </c>
      <c r="B47" s="1447">
        <v>45996</v>
      </c>
      <c r="C47" s="1447">
        <v>45991</v>
      </c>
      <c r="D47" t="s">
        <v>1484</v>
      </c>
      <c r="E47" s="762">
        <f>_xlfn.XLOOKUP(D47,RUC!$B$3:$B$123,RUC!$D$3:$D$123)</f>
        <v>10761932735</v>
      </c>
      <c r="G47" s="1082" t="s">
        <v>2985</v>
      </c>
      <c r="H47" s="762" t="s">
        <v>69</v>
      </c>
      <c r="I47" s="703">
        <v>15.26</v>
      </c>
      <c r="J47">
        <v>17.510000000000002</v>
      </c>
      <c r="K47" s="703">
        <f t="shared" si="0"/>
        <v>12.587999999999999</v>
      </c>
      <c r="L47" s="1082">
        <v>0.25600000000000001</v>
      </c>
      <c r="M47" s="994">
        <f t="shared" si="19"/>
        <v>0.23799999999999999</v>
      </c>
      <c r="N47" s="1444">
        <v>0.29399999999999998</v>
      </c>
      <c r="O47" s="645">
        <f t="shared" si="1"/>
        <v>0.26600000000000001</v>
      </c>
      <c r="P47" s="727">
        <v>90</v>
      </c>
      <c r="Q47" s="1476">
        <v>96.48</v>
      </c>
      <c r="R47" s="706">
        <v>4238.8500000000004</v>
      </c>
      <c r="S47" s="765">
        <f>IF((_xlfn.XLOOKUP(D47,RUC!$B$3:$B$119,RUC!$E$3:$E$119)+ROUNDDOWN(O47,1)*100)&lt;95,95,((_xlfn.XLOOKUP(D47,RUC!$B$3:$B$119,RUC!$E$3:$E$119)+ROUNDDOWN(O47,1)*100)))</f>
        <v>110</v>
      </c>
      <c r="U47" s="1146">
        <f>_xlfn.XLOOKUP(D47,RUC!$B$3:$B$123,RUC!$F$3:$F$123)</f>
        <v>120</v>
      </c>
      <c r="V47" s="715">
        <v>1.1023000000000001</v>
      </c>
      <c r="Y47">
        <f>_xlfn.XLOOKUP(D47,RUC!$B$3:$B$123,RUC!$G$3:$G$123)</f>
        <v>20</v>
      </c>
      <c r="Z47" s="143">
        <f>_xlfn.XLOOKUP(D47,RUC!$B$3:$B$123,RUC!$H$3:$H$123)</f>
        <v>30</v>
      </c>
      <c r="AA47" s="144">
        <f t="shared" si="2"/>
        <v>50</v>
      </c>
      <c r="AB47" s="145">
        <f t="shared" si="28"/>
        <v>910.55788018700014</v>
      </c>
      <c r="AC47" s="145">
        <f>+(S47-T47)*V47-'data 1'!$F$4</f>
        <v>41.253</v>
      </c>
      <c r="AD47" s="145">
        <f t="shared" si="3"/>
        <v>75.316608359424052</v>
      </c>
      <c r="AE47" s="145">
        <f t="shared" si="4"/>
        <v>-14.884999999999998</v>
      </c>
      <c r="AF47" s="145">
        <f t="shared" si="5"/>
        <v>-43.803930209040047</v>
      </c>
      <c r="AG47" s="772">
        <f t="shared" si="33"/>
        <v>74.880678150384014</v>
      </c>
      <c r="AH47" s="1253">
        <f t="shared" si="6"/>
        <v>106.59699999999999</v>
      </c>
      <c r="AI47" s="1253">
        <f t="shared" si="7"/>
        <v>110.486</v>
      </c>
      <c r="AJ47" s="156">
        <f t="shared" si="8"/>
        <v>65.654475134975911</v>
      </c>
      <c r="AK47" s="156">
        <f t="shared" si="9"/>
        <v>103.32132086675196</v>
      </c>
      <c r="AM47" s="716">
        <f t="shared" si="10"/>
        <v>11462.102595793956</v>
      </c>
      <c r="AN47" s="716" t="str">
        <f>_xlfn.XLOOKUP(D47,RUC!$B$3:$B$578,RUC!$M$3:$M$578)</f>
        <v>Richard Sapacayo</v>
      </c>
      <c r="AO47" s="1167" t="s">
        <v>2280</v>
      </c>
      <c r="AP47" t="s">
        <v>3065</v>
      </c>
      <c r="AQ47" t="s">
        <v>3674</v>
      </c>
    </row>
    <row r="48" spans="1:43" ht="15" customHeight="1">
      <c r="A48" s="747" t="s">
        <v>3677</v>
      </c>
      <c r="B48" s="1447">
        <v>46002</v>
      </c>
      <c r="C48" s="1447">
        <v>45993</v>
      </c>
      <c r="D48" t="s">
        <v>1484</v>
      </c>
      <c r="E48" s="762">
        <f>_xlfn.XLOOKUP(D48,RUC!$B$3:$B$123,RUC!$D$3:$D$123)</f>
        <v>10761932735</v>
      </c>
      <c r="G48" s="1082">
        <v>100</v>
      </c>
      <c r="H48" s="762" t="s">
        <v>69</v>
      </c>
      <c r="I48" s="703">
        <v>8.4700000000000006</v>
      </c>
      <c r="J48">
        <v>4.05</v>
      </c>
      <c r="K48" s="703">
        <f t="shared" si="0"/>
        <v>8.1270000000000007</v>
      </c>
      <c r="L48" s="1082">
        <v>0.13100000000000001</v>
      </c>
      <c r="M48" s="994">
        <f t="shared" si="19"/>
        <v>0.113</v>
      </c>
      <c r="N48" s="1444">
        <v>0.16400000000000001</v>
      </c>
      <c r="O48" s="645">
        <f t="shared" si="1"/>
        <v>0.13900000000000001</v>
      </c>
      <c r="P48" s="727">
        <v>85</v>
      </c>
      <c r="Q48" s="1476">
        <v>97.71</v>
      </c>
      <c r="R48" s="706">
        <v>4214.75</v>
      </c>
      <c r="S48" s="765">
        <f>IF((_xlfn.XLOOKUP(D48,RUC!$B$3:$B$119,RUC!$E$3:$E$119)+ROUNDDOWN(O48,1)*100)&lt;95,95,((_xlfn.XLOOKUP(D48,RUC!$B$3:$B$119,RUC!$E$3:$E$119)+ROUNDDOWN(O48,1)*100)))</f>
        <v>100</v>
      </c>
      <c r="U48" s="1146">
        <f>_xlfn.XLOOKUP(D48,RUC!$B$3:$B$123,RUC!$F$3:$F$123)</f>
        <v>120</v>
      </c>
      <c r="V48" s="715">
        <v>1.1023000000000001</v>
      </c>
      <c r="Z48" s="143">
        <f>_xlfn.XLOOKUP(D48,RUC!$B$3:$B$123,RUC!$H$3:$H$123)</f>
        <v>30</v>
      </c>
      <c r="AA48" s="144">
        <f t="shared" si="2"/>
        <v>30</v>
      </c>
      <c r="AB48" s="145">
        <f t="shared" si="28"/>
        <v>389.98791158875002</v>
      </c>
      <c r="AC48" s="145">
        <f>+(S48-T48)*V48-'data 1'!$F$4</f>
        <v>30.230000000000004</v>
      </c>
      <c r="AD48" s="145">
        <f t="shared" si="3"/>
        <v>75.152606065542471</v>
      </c>
      <c r="AE48" s="145">
        <f t="shared" si="4"/>
        <v>-36.930999999999997</v>
      </c>
      <c r="AF48" s="145">
        <f t="shared" si="5"/>
        <v>-35.282244016140034</v>
      </c>
      <c r="AG48" s="772">
        <f t="shared" si="33"/>
        <v>50.169362049402451</v>
      </c>
      <c r="AH48" s="1253">
        <f t="shared" si="6"/>
        <v>35.665999999999997</v>
      </c>
      <c r="AI48" s="1253">
        <f t="shared" si="7"/>
        <v>36.500999999999998</v>
      </c>
      <c r="AJ48" s="156">
        <f t="shared" si="8"/>
        <v>37.425318838507508</v>
      </c>
      <c r="AK48" s="156">
        <f t="shared" si="9"/>
        <v>32.92100274681966</v>
      </c>
      <c r="AM48" s="716">
        <f t="shared" si="10"/>
        <v>3169.4317574817719</v>
      </c>
      <c r="AN48" s="716" t="str">
        <f>_xlfn.XLOOKUP(D48,RUC!$B$3:$B$578,RUC!$M$3:$M$578)</f>
        <v>Richard Sapacayo</v>
      </c>
      <c r="AO48" s="1167" t="s">
        <v>2279</v>
      </c>
      <c r="AP48" t="s">
        <v>3486</v>
      </c>
      <c r="AQ48" t="s">
        <v>3734</v>
      </c>
    </row>
    <row r="49" spans="1:43" ht="15" customHeight="1">
      <c r="A49" s="747" t="s">
        <v>3678</v>
      </c>
      <c r="B49" s="1447">
        <v>46002</v>
      </c>
      <c r="C49" s="1447">
        <v>45993</v>
      </c>
      <c r="D49" t="s">
        <v>1484</v>
      </c>
      <c r="E49" s="762">
        <f>_xlfn.XLOOKUP(D49,RUC!$B$3:$B$123,RUC!$D$3:$D$123)</f>
        <v>10761932735</v>
      </c>
      <c r="G49" s="1082">
        <v>100</v>
      </c>
      <c r="H49" s="762" t="s">
        <v>69</v>
      </c>
      <c r="I49" s="703">
        <v>8.6199999999999992</v>
      </c>
      <c r="J49">
        <v>4.45</v>
      </c>
      <c r="K49" s="703">
        <f t="shared" si="0"/>
        <v>8.2360000000000007</v>
      </c>
      <c r="L49" s="1082">
        <v>0.22700000000000001</v>
      </c>
      <c r="M49" s="994">
        <f t="shared" si="19"/>
        <v>0.20899999999999999</v>
      </c>
      <c r="N49" s="1444">
        <v>0.252</v>
      </c>
      <c r="O49" s="645">
        <f t="shared" si="1"/>
        <v>0.23100000000000001</v>
      </c>
      <c r="P49" s="727">
        <v>90</v>
      </c>
      <c r="Q49" s="1476">
        <v>98.68</v>
      </c>
      <c r="R49" s="706">
        <v>4214.75</v>
      </c>
      <c r="S49" s="765">
        <f>IF((_xlfn.XLOOKUP(D49,RUC!$B$3:$B$119,RUC!$E$3:$E$119)+ROUNDDOWN(O49,1)*100)&lt;95,95,((_xlfn.XLOOKUP(D49,RUC!$B$3:$B$119,RUC!$E$3:$E$119)+ROUNDDOWN(O49,1)*100)))</f>
        <v>110</v>
      </c>
      <c r="U49" s="1146">
        <f>_xlfn.XLOOKUP(D49,RUC!$B$3:$B$123,RUC!$F$3:$F$123)</f>
        <v>120</v>
      </c>
      <c r="V49" s="715">
        <v>1.1023000000000001</v>
      </c>
      <c r="Z49" s="143">
        <f>_xlfn.XLOOKUP(D49,RUC!$B$3:$B$123,RUC!$H$3:$H$123)</f>
        <v>30</v>
      </c>
      <c r="AA49" s="144">
        <f t="shared" si="2"/>
        <v>30</v>
      </c>
      <c r="AB49" s="145">
        <f t="shared" si="28"/>
        <v>784.06436410750007</v>
      </c>
      <c r="AC49" s="145">
        <f>+(S49-T49)*V49-'data 1'!$F$4</f>
        <v>41.253</v>
      </c>
      <c r="AD49" s="145">
        <f t="shared" si="3"/>
        <v>88.935014737030087</v>
      </c>
      <c r="AE49" s="145">
        <f t="shared" si="4"/>
        <v>-36.930999999999997</v>
      </c>
      <c r="AF49" s="145">
        <f t="shared" si="5"/>
        <v>-17.81625135356002</v>
      </c>
      <c r="AG49" s="772">
        <f t="shared" si="33"/>
        <v>92.440763383470056</v>
      </c>
      <c r="AH49" s="1253">
        <f t="shared" si="6"/>
        <v>63.253</v>
      </c>
      <c r="AI49" s="1253">
        <f t="shared" si="7"/>
        <v>64.099000000000004</v>
      </c>
      <c r="AJ49" s="156">
        <f t="shared" si="8"/>
        <v>65.495309386270009</v>
      </c>
      <c r="AK49" s="156">
        <f t="shared" si="9"/>
        <v>58.705649398200421</v>
      </c>
      <c r="AM49" s="716">
        <f t="shared" si="10"/>
        <v>6457.5541027893714</v>
      </c>
      <c r="AN49" s="716" t="str">
        <f>_xlfn.XLOOKUP(D49,RUC!$B$3:$B$578,RUC!$M$3:$M$578)</f>
        <v>Richard Sapacayo</v>
      </c>
      <c r="AO49" s="1167" t="s">
        <v>2279</v>
      </c>
      <c r="AP49" t="s">
        <v>3486</v>
      </c>
      <c r="AQ49" t="s">
        <v>3734</v>
      </c>
    </row>
    <row r="50" spans="1:43" ht="15" customHeight="1">
      <c r="A50" s="747" t="s">
        <v>3679</v>
      </c>
      <c r="B50" s="1447">
        <v>46000</v>
      </c>
      <c r="C50" s="1447">
        <v>45993</v>
      </c>
      <c r="D50" t="s">
        <v>1484</v>
      </c>
      <c r="E50" s="762">
        <f>_xlfn.XLOOKUP(D50,RUC!$B$3:$B$123,RUC!$D$3:$D$123)</f>
        <v>10761932735</v>
      </c>
      <c r="G50" s="1082">
        <v>7</v>
      </c>
      <c r="H50" s="762" t="s">
        <v>69</v>
      </c>
      <c r="I50" s="703">
        <v>0.66</v>
      </c>
      <c r="J50">
        <v>11.65</v>
      </c>
      <c r="K50" s="703">
        <f t="shared" si="0"/>
        <v>0.58299999999999996</v>
      </c>
      <c r="L50" s="1082">
        <v>0.97499999999999998</v>
      </c>
      <c r="M50" s="994">
        <f t="shared" si="19"/>
        <v>0.91700000000000004</v>
      </c>
      <c r="N50" s="1515">
        <v>1.0269999999999999</v>
      </c>
      <c r="O50" s="645">
        <f t="shared" si="1"/>
        <v>0.97199999999999998</v>
      </c>
      <c r="P50" s="727">
        <v>90</v>
      </c>
      <c r="Q50" s="1476">
        <v>96.62</v>
      </c>
      <c r="R50" s="706">
        <v>4214.75</v>
      </c>
      <c r="S50" s="765">
        <f>IF((_xlfn.XLOOKUP(D50,RUC!$B$3:$B$119,RUC!$E$3:$E$119)+ROUNDDOWN(O50,1)*100)&lt;95,95,((_xlfn.XLOOKUP(D50,RUC!$B$3:$B$119,RUC!$E$3:$E$119)+ROUNDDOWN(O50,1)*100)))</f>
        <v>180</v>
      </c>
      <c r="U50" s="1146">
        <f>_xlfn.XLOOKUP(D50,RUC!$B$3:$B$123,RUC!$F$3:$F$123)</f>
        <v>120</v>
      </c>
      <c r="V50" s="715">
        <v>1.1023000000000001</v>
      </c>
      <c r="Y50">
        <f>_xlfn.XLOOKUP(D50,RUC!$B$3:$B$123,RUC!$G$3:$G$123)</f>
        <v>20</v>
      </c>
      <c r="Z50" s="143">
        <f>_xlfn.XLOOKUP(D50,RUC!$B$3:$B$123,RUC!$H$3:$H$123)</f>
        <v>30</v>
      </c>
      <c r="AA50" s="144">
        <f t="shared" si="2"/>
        <v>50</v>
      </c>
      <c r="AB50" s="145">
        <f t="shared" si="28"/>
        <v>3695.0058307900008</v>
      </c>
      <c r="AC50" s="145">
        <f>+(S50-T50)*V50-'data 1'!$F$4</f>
        <v>118.41400000000002</v>
      </c>
      <c r="AD50" s="145">
        <f t="shared" si="3"/>
        <v>291.33308259412519</v>
      </c>
      <c r="AE50" s="145">
        <f t="shared" si="4"/>
        <v>-14.884999999999998</v>
      </c>
      <c r="AF50" s="145">
        <f t="shared" si="5"/>
        <v>13.083245382405014</v>
      </c>
      <c r="AG50" s="772">
        <f t="shared" si="33"/>
        <v>424.94532797653028</v>
      </c>
      <c r="AH50" s="1253">
        <f t="shared" si="6"/>
        <v>18.829999999999998</v>
      </c>
      <c r="AI50" s="1253">
        <f t="shared" si="7"/>
        <v>19.489000000000001</v>
      </c>
      <c r="AJ50" s="156">
        <f t="shared" si="8"/>
        <v>275.43989797837503</v>
      </c>
      <c r="AK50" s="156">
        <f t="shared" si="9"/>
        <v>17.485835902759622</v>
      </c>
      <c r="AM50" s="716">
        <f t="shared" si="10"/>
        <v>2154.1883993505703</v>
      </c>
      <c r="AN50" s="716" t="str">
        <f>_xlfn.XLOOKUP(D50,RUC!$B$3:$B$578,RUC!$M$3:$M$578)</f>
        <v>Richard Sapacayo</v>
      </c>
      <c r="AO50" s="1167" t="s">
        <v>2280</v>
      </c>
      <c r="AP50" t="s">
        <v>3735</v>
      </c>
      <c r="AQ50" t="s">
        <v>3736</v>
      </c>
    </row>
    <row r="51" spans="1:43" ht="15" customHeight="1">
      <c r="A51" s="747" t="s">
        <v>3680</v>
      </c>
      <c r="B51" s="1447">
        <v>46000</v>
      </c>
      <c r="C51" s="1447">
        <v>45993</v>
      </c>
      <c r="D51" t="s">
        <v>1484</v>
      </c>
      <c r="E51" s="762">
        <f>_xlfn.XLOOKUP(D51,RUC!$B$3:$B$123,RUC!$D$3:$D$123)</f>
        <v>10761932735</v>
      </c>
      <c r="G51" s="1082">
        <v>126</v>
      </c>
      <c r="H51" s="762" t="s">
        <v>2005</v>
      </c>
      <c r="I51" s="703">
        <v>10.37</v>
      </c>
      <c r="J51">
        <v>16.78</v>
      </c>
      <c r="K51" s="703">
        <f t="shared" si="0"/>
        <v>8.6300000000000008</v>
      </c>
      <c r="L51" s="1082">
        <v>0.33200000000000002</v>
      </c>
      <c r="M51" s="994">
        <f t="shared" si="19"/>
        <v>0.312</v>
      </c>
      <c r="N51" s="1196">
        <f t="shared" ref="N51:N52" si="34">+M51</f>
        <v>0.312</v>
      </c>
      <c r="O51" s="645">
        <f t="shared" si="1"/>
        <v>0.312</v>
      </c>
      <c r="P51" s="727">
        <v>90</v>
      </c>
      <c r="Q51" s="1476">
        <v>94.28</v>
      </c>
      <c r="R51" s="706">
        <v>4214.75</v>
      </c>
      <c r="S51" s="765">
        <f>IF((_xlfn.XLOOKUP(D51,RUC!$B$3:$B$119,RUC!$E$3:$E$119)+ROUNDDOWN(O51,1)*100)&lt;95,95,((_xlfn.XLOOKUP(D51,RUC!$B$3:$B$119,RUC!$E$3:$E$119)+ROUNDDOWN(O51,1)*100)))</f>
        <v>120</v>
      </c>
      <c r="U51" s="1146">
        <f>_xlfn.XLOOKUP(D51,RUC!$B$3:$B$123,RUC!$F$3:$F$123)</f>
        <v>120</v>
      </c>
      <c r="V51" s="715">
        <v>1.1023000000000001</v>
      </c>
      <c r="Y51">
        <f>_xlfn.XLOOKUP(D51,RUC!$B$3:$B$123,RUC!$G$3:$G$123)</f>
        <v>20</v>
      </c>
      <c r="Z51" s="143">
        <f>_xlfn.XLOOKUP(D51,RUC!$B$3:$B$123,RUC!$H$3:$H$123)</f>
        <v>30</v>
      </c>
      <c r="AA51" s="144">
        <f t="shared" si="2"/>
        <v>50</v>
      </c>
      <c r="AB51" s="145">
        <f t="shared" si="28"/>
        <v>1080.0399333399998</v>
      </c>
      <c r="AC51" s="145">
        <f>+(S51-T51)*V51-'data 1'!$F$4</f>
        <v>52.27600000000001</v>
      </c>
      <c r="AD51" s="145">
        <f t="shared" si="3"/>
        <v>64.137060507080037</v>
      </c>
      <c r="AE51" s="145">
        <f t="shared" si="4"/>
        <v>-14.884999999999998</v>
      </c>
      <c r="AF51" s="145">
        <f t="shared" si="5"/>
        <v>85.109250993800075</v>
      </c>
      <c r="AG51" s="772">
        <f t="shared" si="33"/>
        <v>203.63731150088012</v>
      </c>
      <c r="AH51" s="1253">
        <f t="shared" si="6"/>
        <v>92.614000000000004</v>
      </c>
      <c r="AI51" s="1253">
        <f t="shared" si="7"/>
        <v>98.233000000000004</v>
      </c>
      <c r="AJ51" s="156">
        <f t="shared" si="8"/>
        <v>91.519335371720004</v>
      </c>
      <c r="AK51" s="156">
        <f t="shared" si="9"/>
        <v>83.083918003117219</v>
      </c>
      <c r="AM51" s="716">
        <f t="shared" si="10"/>
        <v>9320.7446247241987</v>
      </c>
      <c r="AN51" s="716" t="str">
        <f>_xlfn.XLOOKUP(D51,RUC!$B$3:$B$578,RUC!$M$3:$M$578)</f>
        <v>Richard Sapacayo</v>
      </c>
      <c r="AO51" s="1167" t="s">
        <v>2280</v>
      </c>
      <c r="AP51" t="s">
        <v>3735</v>
      </c>
      <c r="AQ51" t="s">
        <v>3736</v>
      </c>
    </row>
    <row r="52" spans="1:43" ht="15" customHeight="1">
      <c r="A52" s="747" t="s">
        <v>3681</v>
      </c>
      <c r="B52" s="1447">
        <v>46000</v>
      </c>
      <c r="C52" s="1447">
        <v>45993</v>
      </c>
      <c r="D52" t="s">
        <v>1484</v>
      </c>
      <c r="E52" s="762">
        <f>_xlfn.XLOOKUP(D52,RUC!$B$3:$B$123,RUC!$D$3:$D$123)</f>
        <v>10761932735</v>
      </c>
      <c r="G52" s="1082">
        <v>25</v>
      </c>
      <c r="H52" s="762" t="s">
        <v>2005</v>
      </c>
      <c r="I52" s="703">
        <v>2.02</v>
      </c>
      <c r="J52">
        <v>14.71</v>
      </c>
      <c r="K52" s="703">
        <f t="shared" si="0"/>
        <v>1.7230000000000001</v>
      </c>
      <c r="L52" s="1082">
        <v>0.47399999999999998</v>
      </c>
      <c r="M52" s="994">
        <f t="shared" si="19"/>
        <v>0.44600000000000001</v>
      </c>
      <c r="N52" s="1196">
        <f t="shared" si="34"/>
        <v>0.44600000000000001</v>
      </c>
      <c r="O52" s="645">
        <f t="shared" si="1"/>
        <v>0.44600000000000001</v>
      </c>
      <c r="P52" s="727">
        <v>90</v>
      </c>
      <c r="Q52" s="1476">
        <v>92.83</v>
      </c>
      <c r="R52" s="706">
        <v>4214.75</v>
      </c>
      <c r="S52" s="765">
        <f>IF((_xlfn.XLOOKUP(D52,RUC!$B$3:$B$119,RUC!$E$3:$E$119)+ROUNDDOWN(O52,1)*100)&lt;95,95,((_xlfn.XLOOKUP(D52,RUC!$B$3:$B$119,RUC!$E$3:$E$119)+ROUNDDOWN(O52,1)*100)))</f>
        <v>130</v>
      </c>
      <c r="U52" s="1146">
        <f>_xlfn.XLOOKUP(D52,RUC!$B$3:$B$123,RUC!$F$3:$F$123)</f>
        <v>120</v>
      </c>
      <c r="V52" s="715">
        <v>1.1023000000000001</v>
      </c>
      <c r="Y52">
        <f>_xlfn.XLOOKUP(D52,RUC!$B$3:$B$123,RUC!$G$3:$G$123)</f>
        <v>20</v>
      </c>
      <c r="Z52" s="143">
        <f>_xlfn.XLOOKUP(D52,RUC!$B$3:$B$123,RUC!$H$3:$H$123)</f>
        <v>30</v>
      </c>
      <c r="AA52" s="144">
        <f t="shared" si="2"/>
        <v>50</v>
      </c>
      <c r="AB52" s="145">
        <f t="shared" si="28"/>
        <v>1613.3622700950004</v>
      </c>
      <c r="AC52" s="145">
        <f>+(S52-T52)*V52-'data 1'!$F$4</f>
        <v>63.299000000000007</v>
      </c>
      <c r="AD52" s="145">
        <f t="shared" si="3"/>
        <v>60.546908924534961</v>
      </c>
      <c r="AE52" s="145">
        <f t="shared" si="4"/>
        <v>-14.884999999999998</v>
      </c>
      <c r="AF52" s="145">
        <f t="shared" si="5"/>
        <v>117.32041236376989</v>
      </c>
      <c r="AG52" s="772">
        <f t="shared" si="33"/>
        <v>243.28132128830487</v>
      </c>
      <c r="AH52" s="1253">
        <f t="shared" si="6"/>
        <v>25.992999999999999</v>
      </c>
      <c r="AI52" s="1253">
        <f t="shared" si="7"/>
        <v>28.001000000000001</v>
      </c>
      <c r="AJ52" s="156">
        <f t="shared" si="8"/>
        <v>128.653584868065</v>
      </c>
      <c r="AK52" s="156">
        <f t="shared" si="9"/>
        <v>23.712192657114212</v>
      </c>
      <c r="AM52" s="716">
        <f t="shared" si="10"/>
        <v>2779.8231913736859</v>
      </c>
      <c r="AN52" s="716" t="str">
        <f>_xlfn.XLOOKUP(D52,RUC!$B$3:$B$578,RUC!$M$3:$M$578)</f>
        <v>Richard Sapacayo</v>
      </c>
      <c r="AO52" s="1167" t="s">
        <v>2280</v>
      </c>
      <c r="AP52" t="s">
        <v>3735</v>
      </c>
      <c r="AQ52" t="s">
        <v>3736</v>
      </c>
    </row>
    <row r="53" spans="1:43" ht="15" customHeight="1">
      <c r="A53" s="747" t="s">
        <v>3682</v>
      </c>
      <c r="B53" s="1447">
        <v>46000</v>
      </c>
      <c r="C53" s="1447">
        <v>45993</v>
      </c>
      <c r="D53" t="s">
        <v>1484</v>
      </c>
      <c r="E53" s="762">
        <f>_xlfn.XLOOKUP(D53,RUC!$B$3:$B$123,RUC!$D$3:$D$123)</f>
        <v>10761932735</v>
      </c>
      <c r="G53" s="1082">
        <v>19</v>
      </c>
      <c r="H53" s="762" t="s">
        <v>2005</v>
      </c>
      <c r="I53" s="703">
        <v>1.57</v>
      </c>
      <c r="J53">
        <v>14.15</v>
      </c>
      <c r="K53" s="703">
        <f t="shared" si="0"/>
        <v>1.3480000000000001</v>
      </c>
      <c r="L53" s="1082">
        <v>0.46200000000000002</v>
      </c>
      <c r="M53" s="994">
        <f t="shared" si="19"/>
        <v>0.434</v>
      </c>
      <c r="N53" s="1444">
        <v>0.48399999999999999</v>
      </c>
      <c r="O53" s="645">
        <f t="shared" si="1"/>
        <v>0.45900000000000002</v>
      </c>
      <c r="P53" s="727">
        <v>90</v>
      </c>
      <c r="Q53" s="1476">
        <v>94.81</v>
      </c>
      <c r="R53" s="706">
        <v>4214.75</v>
      </c>
      <c r="S53" s="765">
        <f>IF((_xlfn.XLOOKUP(D53,RUC!$B$3:$B$119,RUC!$E$3:$E$119)+ROUNDDOWN(O53,1)*100)&lt;95,95,((_xlfn.XLOOKUP(D53,RUC!$B$3:$B$119,RUC!$E$3:$E$119)+ROUNDDOWN(O53,1)*100)))</f>
        <v>130</v>
      </c>
      <c r="U53" s="1146">
        <f>_xlfn.XLOOKUP(D53,RUC!$B$3:$B$123,RUC!$F$3:$F$123)</f>
        <v>120</v>
      </c>
      <c r="V53" s="715">
        <v>1.1023000000000001</v>
      </c>
      <c r="Y53">
        <f>_xlfn.XLOOKUP(D53,RUC!$B$3:$B$123,RUC!$G$3:$G$123)</f>
        <v>20</v>
      </c>
      <c r="Z53" s="143">
        <f>_xlfn.XLOOKUP(D53,RUC!$B$3:$B$123,RUC!$H$3:$H$123)</f>
        <v>30</v>
      </c>
      <c r="AA53" s="144">
        <f t="shared" si="2"/>
        <v>50</v>
      </c>
      <c r="AB53" s="145">
        <f t="shared" si="28"/>
        <v>1666.1718923175001</v>
      </c>
      <c r="AC53" s="145">
        <f>+(S53-T53)*V53-'data 1'!$F$4</f>
        <v>63.299000000000007</v>
      </c>
      <c r="AD53" s="145">
        <f t="shared" si="3"/>
        <v>100.30307580793504</v>
      </c>
      <c r="AE53" s="145">
        <f t="shared" si="4"/>
        <v>-14.884999999999998</v>
      </c>
      <c r="AF53" s="145">
        <f t="shared" si="5"/>
        <v>12.838154571577514</v>
      </c>
      <c r="AG53" s="772">
        <f t="shared" si="33"/>
        <v>178.55523037951258</v>
      </c>
      <c r="AH53" s="1253">
        <f t="shared" si="6"/>
        <v>20.244</v>
      </c>
      <c r="AI53" s="1253">
        <f t="shared" si="7"/>
        <v>21.352</v>
      </c>
      <c r="AJ53" s="156">
        <f t="shared" si="8"/>
        <v>128.07115379866502</v>
      </c>
      <c r="AK53" s="156">
        <f t="shared" si="9"/>
        <v>19.092120047057342</v>
      </c>
      <c r="AM53" s="716">
        <f t="shared" si="10"/>
        <v>2245.9997108439902</v>
      </c>
      <c r="AN53" s="716" t="str">
        <f>_xlfn.XLOOKUP(D53,RUC!$B$3:$B$578,RUC!$M$3:$M$578)</f>
        <v>Richard Sapacayo</v>
      </c>
      <c r="AO53" s="1167" t="s">
        <v>2280</v>
      </c>
      <c r="AP53" t="s">
        <v>3735</v>
      </c>
      <c r="AQ53" t="s">
        <v>3736</v>
      </c>
    </row>
    <row r="54" spans="1:43" ht="15" customHeight="1">
      <c r="A54" s="747" t="s">
        <v>3683</v>
      </c>
      <c r="B54" s="1447">
        <v>46000</v>
      </c>
      <c r="C54" s="1447">
        <v>45993</v>
      </c>
      <c r="D54" t="s">
        <v>1484</v>
      </c>
      <c r="E54" s="762">
        <f>_xlfn.XLOOKUP(D54,RUC!$B$3:$B$123,RUC!$D$3:$D$123)</f>
        <v>10761932735</v>
      </c>
      <c r="G54" s="1082">
        <v>13</v>
      </c>
      <c r="H54" s="762" t="s">
        <v>2005</v>
      </c>
      <c r="I54" s="703">
        <v>0.97</v>
      </c>
      <c r="J54">
        <v>7.05</v>
      </c>
      <c r="K54" s="703">
        <f t="shared" si="0"/>
        <v>0.90200000000000002</v>
      </c>
      <c r="L54" s="1082">
        <v>1.181</v>
      </c>
      <c r="M54" s="994">
        <f t="shared" si="19"/>
        <v>1.1100000000000001</v>
      </c>
      <c r="N54" s="1444">
        <v>1.1850000000000001</v>
      </c>
      <c r="O54" s="645">
        <f t="shared" si="1"/>
        <v>1.1479999999999999</v>
      </c>
      <c r="P54" s="727">
        <v>90</v>
      </c>
      <c r="Q54" s="1476">
        <v>94.75</v>
      </c>
      <c r="R54" s="706">
        <v>4214.75</v>
      </c>
      <c r="S54" s="765">
        <f>IF((_xlfn.XLOOKUP(D54,RUC!$B$3:$B$119,RUC!$E$3:$E$119)+ROUNDDOWN(O54,1)*100)&lt;95,95,((_xlfn.XLOOKUP(D54,RUC!$B$3:$B$119,RUC!$E$3:$E$119)+ROUNDDOWN(O54,1)*100)))</f>
        <v>200</v>
      </c>
      <c r="U54" s="1146">
        <f>_xlfn.XLOOKUP(D54,RUC!$B$3:$B$123,RUC!$F$3:$F$123)</f>
        <v>120</v>
      </c>
      <c r="V54" s="715">
        <v>1.1023000000000001</v>
      </c>
      <c r="Y54">
        <f>_xlfn.XLOOKUP(D54,RUC!$B$3:$B$123,RUC!$G$3:$G$123)</f>
        <v>20</v>
      </c>
      <c r="Z54" s="143">
        <f>_xlfn.XLOOKUP(D54,RUC!$B$3:$B$123,RUC!$H$3:$H$123)</f>
        <v>30</v>
      </c>
      <c r="AA54" s="144">
        <f t="shared" si="2"/>
        <v>50</v>
      </c>
      <c r="AB54" s="145">
        <f t="shared" si="28"/>
        <v>4387.9208701099997</v>
      </c>
      <c r="AC54" s="145">
        <f>+(S54-T54)*V54-'data 1'!$F$4</f>
        <v>140.46</v>
      </c>
      <c r="AD54" s="145">
        <f t="shared" si="3"/>
        <v>253.20408398518751</v>
      </c>
      <c r="AE54" s="145">
        <f t="shared" si="4"/>
        <v>-14.884999999999998</v>
      </c>
      <c r="AF54" s="145">
        <f t="shared" si="5"/>
        <v>141.13033015743812</v>
      </c>
      <c r="AG54" s="772">
        <f t="shared" si="33"/>
        <v>536.90941414262568</v>
      </c>
      <c r="AH54" s="1253">
        <f t="shared" si="6"/>
        <v>34.604999999999997</v>
      </c>
      <c r="AI54" s="1253">
        <f t="shared" si="7"/>
        <v>36.523000000000003</v>
      </c>
      <c r="AJ54" s="156">
        <f t="shared" si="8"/>
        <v>327.1781679623125</v>
      </c>
      <c r="AK54" s="156">
        <f t="shared" si="9"/>
        <v>31.952143965800524</v>
      </c>
      <c r="AM54" s="716">
        <f t="shared" si="10"/>
        <v>3957.9046248392197</v>
      </c>
      <c r="AN54" s="716" t="str">
        <f>_xlfn.XLOOKUP(D54,RUC!$B$3:$B$578,RUC!$M$3:$M$578)</f>
        <v>Richard Sapacayo</v>
      </c>
      <c r="AO54" s="1167" t="s">
        <v>2280</v>
      </c>
      <c r="AP54" t="s">
        <v>3735</v>
      </c>
      <c r="AQ54" t="s">
        <v>3736</v>
      </c>
    </row>
    <row r="55" spans="1:43" ht="15" customHeight="1">
      <c r="A55" s="747" t="s">
        <v>3684</v>
      </c>
      <c r="B55" s="1447">
        <v>46000</v>
      </c>
      <c r="C55" s="1447">
        <v>45993</v>
      </c>
      <c r="D55" t="s">
        <v>1484</v>
      </c>
      <c r="E55" s="762">
        <f>_xlfn.XLOOKUP(D55,RUC!$B$3:$B$123,RUC!$D$3:$D$123)</f>
        <v>10761932735</v>
      </c>
      <c r="G55" s="1082">
        <v>42</v>
      </c>
      <c r="H55" s="762" t="s">
        <v>2005</v>
      </c>
      <c r="I55" s="703">
        <v>3.58</v>
      </c>
      <c r="J55">
        <v>12.93</v>
      </c>
      <c r="K55" s="703">
        <f t="shared" si="0"/>
        <v>3.117</v>
      </c>
      <c r="L55" s="1082">
        <v>0.55700000000000005</v>
      </c>
      <c r="M55" s="994">
        <f t="shared" si="19"/>
        <v>0.52400000000000002</v>
      </c>
      <c r="N55" s="1444">
        <v>0.57699999999999996</v>
      </c>
      <c r="O55" s="645">
        <f t="shared" si="1"/>
        <v>0.55100000000000005</v>
      </c>
      <c r="P55" s="727">
        <v>90</v>
      </c>
      <c r="Q55" s="1476">
        <v>96.95</v>
      </c>
      <c r="R55" s="706">
        <v>4214.75</v>
      </c>
      <c r="S55" s="765">
        <f>IF((_xlfn.XLOOKUP(D55,RUC!$B$3:$B$119,RUC!$E$3:$E$119)+ROUNDDOWN(O55,1)*100)&lt;95,95,((_xlfn.XLOOKUP(D55,RUC!$B$3:$B$119,RUC!$E$3:$E$119)+ROUNDDOWN(O55,1)*100)))</f>
        <v>140</v>
      </c>
      <c r="U55" s="1146">
        <f>_xlfn.XLOOKUP(D55,RUC!$B$3:$B$123,RUC!$F$3:$F$123)</f>
        <v>120</v>
      </c>
      <c r="V55" s="715">
        <v>1.1023000000000001</v>
      </c>
      <c r="Y55">
        <f>_xlfn.XLOOKUP(D55,RUC!$B$3:$B$123,RUC!$G$3:$G$123)</f>
        <v>20</v>
      </c>
      <c r="Z55" s="143">
        <f>_xlfn.XLOOKUP(D55,RUC!$B$3:$B$123,RUC!$H$3:$H$123)</f>
        <v>30</v>
      </c>
      <c r="AA55" s="144">
        <f t="shared" si="2"/>
        <v>50</v>
      </c>
      <c r="AB55" s="145">
        <f t="shared" si="28"/>
        <v>2028.8785265075003</v>
      </c>
      <c r="AC55" s="145">
        <f>+(S55-T55)*V55-'data 1'!$F$4</f>
        <v>74.322000000000003</v>
      </c>
      <c r="AD55" s="145">
        <f t="shared" si="3"/>
        <v>174.72988809113758</v>
      </c>
      <c r="AE55" s="145">
        <f t="shared" si="4"/>
        <v>-14.884999999999998</v>
      </c>
      <c r="AF55" s="145">
        <f t="shared" si="5"/>
        <v>26.255860894725028</v>
      </c>
      <c r="AG55" s="772">
        <f t="shared" si="33"/>
        <v>277.4227489858626</v>
      </c>
      <c r="AH55" s="1253">
        <f t="shared" si="6"/>
        <v>57.71</v>
      </c>
      <c r="AI55" s="1253">
        <f t="shared" si="7"/>
        <v>59.524999999999999</v>
      </c>
      <c r="AJ55" s="156">
        <f t="shared" si="8"/>
        <v>157.89130292836253</v>
      </c>
      <c r="AK55" s="156">
        <f t="shared" si="9"/>
        <v>52.995620302262424</v>
      </c>
      <c r="AM55" s="716">
        <f t="shared" si="10"/>
        <v>6324.0143671238784</v>
      </c>
      <c r="AN55" s="716" t="str">
        <f>_xlfn.XLOOKUP(D55,RUC!$B$3:$B$578,RUC!$M$3:$M$578)</f>
        <v>Richard Sapacayo</v>
      </c>
      <c r="AO55" s="1167" t="s">
        <v>2280</v>
      </c>
      <c r="AP55" t="s">
        <v>3735</v>
      </c>
      <c r="AQ55" t="s">
        <v>3736</v>
      </c>
    </row>
    <row r="56" spans="1:43" ht="15" customHeight="1">
      <c r="A56" s="747" t="s">
        <v>3685</v>
      </c>
      <c r="B56" s="1447">
        <v>46000</v>
      </c>
      <c r="C56" s="1447">
        <v>45994</v>
      </c>
      <c r="D56" t="s">
        <v>2004</v>
      </c>
      <c r="E56" s="762">
        <f>_xlfn.XLOOKUP(D56,RUC!$B$3:$B$123,RUC!$D$3:$D$123)</f>
        <v>20612921866</v>
      </c>
      <c r="G56" s="1082">
        <v>50</v>
      </c>
      <c r="H56" s="762" t="s">
        <v>69</v>
      </c>
      <c r="I56" s="703">
        <v>5.55</v>
      </c>
      <c r="J56">
        <v>1.3</v>
      </c>
      <c r="K56" s="703">
        <f t="shared" si="0"/>
        <v>5.4779999999999998</v>
      </c>
      <c r="L56" s="1082">
        <v>0.23799999999999999</v>
      </c>
      <c r="M56" s="994">
        <f t="shared" si="19"/>
        <v>0.22</v>
      </c>
      <c r="N56" s="1444">
        <v>0.26100000000000001</v>
      </c>
      <c r="O56" s="645">
        <f t="shared" si="1"/>
        <v>0.24099999999999999</v>
      </c>
      <c r="P56" s="727">
        <v>90</v>
      </c>
      <c r="Q56" s="1476">
        <v>97.48</v>
      </c>
      <c r="R56" s="706">
        <v>4210.3</v>
      </c>
      <c r="S56" s="765">
        <f>IF((_xlfn.XLOOKUP(D56,RUC!$B$3:$B$119,RUC!$E$3:$E$119)+ROUNDDOWN(O56,1)*100)&lt;95,95,((_xlfn.XLOOKUP(D56,RUC!$B$3:$B$119,RUC!$E$3:$E$119)+ROUNDDOWN(O56,1)*100)))</f>
        <v>100</v>
      </c>
      <c r="U56" s="1146">
        <f>_xlfn.XLOOKUP(D56,RUC!$B$3:$B$123,RUC!$F$3:$F$123)</f>
        <v>100</v>
      </c>
      <c r="V56" s="715">
        <v>1.1023000000000001</v>
      </c>
      <c r="Y56">
        <f>_xlfn.XLOOKUP(D56,RUC!$B$3:$B$123,RUC!$G$3:$G$123)</f>
        <v>0</v>
      </c>
      <c r="Z56" s="143">
        <f>_xlfn.XLOOKUP(D56,RUC!$B$3:$B$123,RUC!$H$3:$H$123)</f>
        <v>30</v>
      </c>
      <c r="AA56" s="144">
        <f t="shared" si="2"/>
        <v>30</v>
      </c>
      <c r="AB56" s="145">
        <f t="shared" si="28"/>
        <v>839.42798236099998</v>
      </c>
      <c r="AC56" s="145">
        <f>+(S56-T56)*V56-'data 1'!$F$4</f>
        <v>30.230000000000004</v>
      </c>
      <c r="AD56" s="145">
        <f t="shared" si="3"/>
        <v>80.658823562856057</v>
      </c>
      <c r="AE56" s="145">
        <f t="shared" si="4"/>
        <v>-36.930999999999997</v>
      </c>
      <c r="AF56" s="145">
        <f t="shared" si="5"/>
        <v>-13.249823823036015</v>
      </c>
      <c r="AG56" s="772">
        <f t="shared" ref="AG56:AG57" si="35">AC56+AD56+AE56+AF56+70-10</f>
        <v>120.70799973982005</v>
      </c>
      <c r="AH56" s="1253">
        <f t="shared" si="6"/>
        <v>43.573999999999998</v>
      </c>
      <c r="AI56" s="1253">
        <f t="shared" si="7"/>
        <v>44.7</v>
      </c>
      <c r="AJ56" s="156">
        <f t="shared" si="8"/>
        <v>63.857340506343959</v>
      </c>
      <c r="AK56" s="156">
        <f t="shared" si="9"/>
        <v>40.737150659550508</v>
      </c>
      <c r="AL56" s="88"/>
      <c r="AM56" s="716">
        <f t="shared" si="10"/>
        <v>4598.3864873735574</v>
      </c>
      <c r="AN56" s="716" t="str">
        <f>_xlfn.XLOOKUP(D56,RUC!$B$3:$B$578,RUC!$M$3:$M$578)</f>
        <v>Ronald Garibay</v>
      </c>
      <c r="AO56" s="1167" t="s">
        <v>2280</v>
      </c>
      <c r="AP56" t="s">
        <v>3737</v>
      </c>
      <c r="AQ56" t="s">
        <v>3738</v>
      </c>
    </row>
    <row r="57" spans="1:43" ht="15" customHeight="1">
      <c r="A57" s="747" t="s">
        <v>3687</v>
      </c>
      <c r="B57" s="1447">
        <v>46000</v>
      </c>
      <c r="C57" s="1447">
        <v>45994</v>
      </c>
      <c r="D57" t="s">
        <v>2004</v>
      </c>
      <c r="E57" s="762">
        <f>_xlfn.XLOOKUP(D57,RUC!$B$3:$B$123,RUC!$D$3:$D$123)</f>
        <v>20612921866</v>
      </c>
      <c r="G57" s="1082">
        <v>50</v>
      </c>
      <c r="H57" s="762" t="s">
        <v>69</v>
      </c>
      <c r="I57" s="703">
        <v>5.18</v>
      </c>
      <c r="J57">
        <v>1.35</v>
      </c>
      <c r="K57" s="703">
        <f t="shared" si="0"/>
        <v>5.1100000000000003</v>
      </c>
      <c r="L57" s="1082">
        <v>0.21199999999999999</v>
      </c>
      <c r="M57" s="994">
        <f t="shared" si="19"/>
        <v>0.19400000000000001</v>
      </c>
      <c r="N57" s="1196">
        <f t="shared" ref="N57:N65" si="36">+M57</f>
        <v>0.19400000000000001</v>
      </c>
      <c r="O57" s="645">
        <f t="shared" si="1"/>
        <v>0.19400000000000001</v>
      </c>
      <c r="P57" s="727">
        <v>90</v>
      </c>
      <c r="Q57" s="1476">
        <v>97.17</v>
      </c>
      <c r="R57" s="706">
        <v>4210.3</v>
      </c>
      <c r="S57" s="765">
        <f>IF((_xlfn.XLOOKUP(D57,RUC!$B$3:$B$119,RUC!$E$3:$E$119)+ROUNDDOWN(O57,1)*100)&lt;95,95,((_xlfn.XLOOKUP(D57,RUC!$B$3:$B$119,RUC!$E$3:$E$119)+ROUNDDOWN(O57,1)*100)))</f>
        <v>95</v>
      </c>
      <c r="U57" s="1146">
        <f>_xlfn.XLOOKUP(D57,RUC!$B$3:$B$123,RUC!$F$3:$F$123)</f>
        <v>100</v>
      </c>
      <c r="V57" s="715">
        <v>1.1023000000000001</v>
      </c>
      <c r="Y57">
        <f>_xlfn.XLOOKUP(D57,RUC!$B$3:$B$123,RUC!$G$3:$G$123)</f>
        <v>0</v>
      </c>
      <c r="Z57" s="143">
        <f>_xlfn.XLOOKUP(D57,RUC!$B$3:$B$123,RUC!$H$3:$H$123)</f>
        <v>30</v>
      </c>
      <c r="AA57" s="144">
        <f t="shared" si="2"/>
        <v>30</v>
      </c>
      <c r="AB57" s="145">
        <f t="shared" si="28"/>
        <v>653.28733227400016</v>
      </c>
      <c r="AC57" s="145">
        <f>+(S57-T57)*V57-'data 1'!$F$4</f>
        <v>24.718500000000006</v>
      </c>
      <c r="AD57" s="145">
        <f t="shared" si="3"/>
        <v>68.86972440147602</v>
      </c>
      <c r="AE57" s="145">
        <f t="shared" si="4"/>
        <v>-36.930999999999997</v>
      </c>
      <c r="AF57" s="145">
        <f t="shared" si="5"/>
        <v>79.246125208313956</v>
      </c>
      <c r="AG57" s="772">
        <f t="shared" si="35"/>
        <v>195.90334960978998</v>
      </c>
      <c r="AH57" s="1253">
        <f t="shared" si="6"/>
        <v>36.091000000000001</v>
      </c>
      <c r="AI57" s="1253">
        <f t="shared" si="7"/>
        <v>37.142000000000003</v>
      </c>
      <c r="AJ57" s="156">
        <f t="shared" si="8"/>
        <v>56.70043795772397</v>
      </c>
      <c r="AK57" s="156">
        <f t="shared" si="9"/>
        <v>30.589628930538307</v>
      </c>
      <c r="AL57" s="88"/>
      <c r="AM57" s="716">
        <f t="shared" si="10"/>
        <v>3338.2982679201409</v>
      </c>
      <c r="AN57" s="716" t="str">
        <f>_xlfn.XLOOKUP(D57,RUC!$B$3:$B$578,RUC!$M$3:$M$578)</f>
        <v>Ronald Garibay</v>
      </c>
      <c r="AO57" s="1167" t="s">
        <v>2280</v>
      </c>
      <c r="AP57" t="s">
        <v>3737</v>
      </c>
      <c r="AQ57" t="s">
        <v>3738</v>
      </c>
    </row>
    <row r="58" spans="1:43" ht="15" customHeight="1">
      <c r="A58" s="1491" t="s">
        <v>3688</v>
      </c>
      <c r="B58" s="1542">
        <v>46000</v>
      </c>
      <c r="C58" s="1447">
        <v>45995</v>
      </c>
      <c r="D58" t="s">
        <v>1484</v>
      </c>
      <c r="E58" s="762">
        <f>_xlfn.XLOOKUP(D58,RUC!$B$3:$B$123,RUC!$D$3:$D$123)</f>
        <v>10761932735</v>
      </c>
      <c r="G58" s="1082">
        <v>44</v>
      </c>
      <c r="H58" s="762" t="s">
        <v>69</v>
      </c>
      <c r="I58" s="703">
        <v>3.81</v>
      </c>
      <c r="J58">
        <v>7.65</v>
      </c>
      <c r="K58" s="703">
        <f t="shared" si="0"/>
        <v>3.5190000000000001</v>
      </c>
      <c r="L58" s="1192">
        <v>0.05</v>
      </c>
      <c r="M58" s="994">
        <f t="shared" si="19"/>
        <v>3.2000000000000001E-2</v>
      </c>
      <c r="N58" s="1196">
        <f t="shared" si="36"/>
        <v>3.2000000000000001E-2</v>
      </c>
      <c r="O58" s="645">
        <f t="shared" si="1"/>
        <v>3.2000000000000001E-2</v>
      </c>
      <c r="P58" s="727">
        <v>80</v>
      </c>
      <c r="Q58" s="1476">
        <v>96</v>
      </c>
      <c r="R58" s="706">
        <v>4200.6000000000004</v>
      </c>
      <c r="S58" s="765">
        <f>IF((_xlfn.XLOOKUP(D58,RUC!$B$3:$B$119,RUC!$E$3:$E$119)+ROUNDDOWN(O58,1)*100)&lt;95,95,((_xlfn.XLOOKUP(D58,RUC!$B$3:$B$119,RUC!$E$3:$E$119)+ROUNDDOWN(O58,1)*100)))</f>
        <v>95</v>
      </c>
      <c r="U58" s="1146">
        <f>_xlfn.XLOOKUP(D58,RUC!$B$3:$B$123,RUC!$F$3:$F$123)</f>
        <v>120</v>
      </c>
      <c r="V58" s="715">
        <v>1.1023000000000001</v>
      </c>
      <c r="Y58">
        <f>_xlfn.XLOOKUP(D58,RUC!$B$3:$B$123,RUC!$G$3:$G$123)</f>
        <v>20</v>
      </c>
      <c r="Z58" s="143">
        <f>_xlfn.XLOOKUP(D58,RUC!$B$3:$B$123,RUC!$H$3:$H$123)</f>
        <v>30</v>
      </c>
      <c r="AA58" s="144">
        <f t="shared" si="2"/>
        <v>50</v>
      </c>
      <c r="AB58" s="145">
        <v>0</v>
      </c>
      <c r="AC58" s="145">
        <f>+(S58-T58)*V58-'data 1'!$F$4</f>
        <v>24.718500000000006</v>
      </c>
      <c r="AD58" s="145">
        <f t="shared" si="3"/>
        <v>35.984363040000005</v>
      </c>
      <c r="AE58" s="145">
        <f t="shared" si="4"/>
        <v>-14.884999999999998</v>
      </c>
      <c r="AF58" s="145">
        <f t="shared" si="5"/>
        <v>77.726224166400016</v>
      </c>
      <c r="AG58" s="772">
        <f t="shared" ref="AG58:AG64" si="37">AC58+AD58+AE58+AF58+70-53</f>
        <v>140.54408720640004</v>
      </c>
      <c r="AH58" s="1253">
        <f t="shared" si="6"/>
        <v>5.7910000000000004</v>
      </c>
      <c r="AI58" s="1253">
        <f t="shared" si="7"/>
        <v>6.0330000000000004</v>
      </c>
      <c r="AJ58" s="156">
        <f t="shared" si="8"/>
        <v>14.783165759999982</v>
      </c>
      <c r="AK58" s="156">
        <f t="shared" si="9"/>
        <v>3.0886471820275201</v>
      </c>
      <c r="AM58" s="716">
        <f t="shared" si="10"/>
        <v>0</v>
      </c>
      <c r="AN58" s="716" t="str">
        <f>_xlfn.XLOOKUP(D58,RUC!$B$3:$B$578,RUC!$M$3:$M$578)</f>
        <v>Richard Sapacayo</v>
      </c>
      <c r="AO58" s="1167" t="s">
        <v>2279</v>
      </c>
      <c r="AP58" t="s">
        <v>3741</v>
      </c>
      <c r="AQ58" t="s">
        <v>3742</v>
      </c>
    </row>
    <row r="59" spans="1:43" ht="15" customHeight="1">
      <c r="A59" s="747" t="s">
        <v>3689</v>
      </c>
      <c r="B59" s="1447">
        <v>46000</v>
      </c>
      <c r="C59" s="1447">
        <v>45995</v>
      </c>
      <c r="D59" t="s">
        <v>1484</v>
      </c>
      <c r="E59" s="762">
        <f>_xlfn.XLOOKUP(D59,RUC!$B$3:$B$123,RUC!$D$3:$D$123)</f>
        <v>10761932735</v>
      </c>
      <c r="G59" s="1082">
        <v>57</v>
      </c>
      <c r="H59" s="762" t="s">
        <v>69</v>
      </c>
      <c r="I59" s="703">
        <v>5.07</v>
      </c>
      <c r="J59">
        <v>7.25</v>
      </c>
      <c r="K59" s="703">
        <f t="shared" si="0"/>
        <v>4.702</v>
      </c>
      <c r="L59" s="1082">
        <v>0.156</v>
      </c>
      <c r="M59" s="994">
        <f t="shared" si="19"/>
        <v>0.13800000000000001</v>
      </c>
      <c r="N59" s="1196">
        <f t="shared" si="36"/>
        <v>0.13800000000000001</v>
      </c>
      <c r="O59" s="645">
        <f t="shared" si="1"/>
        <v>0.13800000000000001</v>
      </c>
      <c r="P59" s="727">
        <v>85</v>
      </c>
      <c r="Q59" s="1476">
        <v>97.44</v>
      </c>
      <c r="R59" s="706">
        <v>4200.6000000000004</v>
      </c>
      <c r="S59" s="765">
        <f>IF((_xlfn.XLOOKUP(D59,RUC!$B$3:$B$119,RUC!$E$3:$E$119)+ROUNDDOWN(O59,1)*100)&lt;95,95,((_xlfn.XLOOKUP(D59,RUC!$B$3:$B$119,RUC!$E$3:$E$119)+ROUNDDOWN(O59,1)*100)))</f>
        <v>100</v>
      </c>
      <c r="U59" s="1146">
        <f>_xlfn.XLOOKUP(D59,RUC!$B$3:$B$123,RUC!$F$3:$F$123)</f>
        <v>120</v>
      </c>
      <c r="V59" s="715">
        <v>1.1023000000000001</v>
      </c>
      <c r="Y59">
        <f>_xlfn.XLOOKUP(D59,RUC!$B$3:$B$123,RUC!$G$3:$G$123)</f>
        <v>20</v>
      </c>
      <c r="Z59" s="143">
        <f>_xlfn.XLOOKUP(D59,RUC!$B$3:$B$123,RUC!$H$3:$H$123)</f>
        <v>30</v>
      </c>
      <c r="AA59" s="144">
        <f t="shared" si="2"/>
        <v>50</v>
      </c>
      <c r="AB59" s="145">
        <f t="shared" si="28"/>
        <v>362.27572307400015</v>
      </c>
      <c r="AC59" s="145">
        <f>+(S59-T59)*V59-'data 1'!$F$4</f>
        <v>30.230000000000004</v>
      </c>
      <c r="AD59" s="145">
        <f t="shared" si="3"/>
        <v>87.290867862432009</v>
      </c>
      <c r="AE59" s="145">
        <f t="shared" si="4"/>
        <v>-14.884999999999998</v>
      </c>
      <c r="AF59" s="145">
        <f t="shared" si="5"/>
        <v>78.892117528895966</v>
      </c>
      <c r="AG59" s="772">
        <f t="shared" si="37"/>
        <v>198.52798539132797</v>
      </c>
      <c r="AH59" s="1253">
        <f t="shared" si="6"/>
        <v>24.504999999999999</v>
      </c>
      <c r="AI59" s="1253">
        <f t="shared" si="7"/>
        <v>25.149000000000001</v>
      </c>
      <c r="AJ59" s="156">
        <f t="shared" si="8"/>
        <v>46.815329328767938</v>
      </c>
      <c r="AK59" s="156">
        <f t="shared" si="9"/>
        <v>18.909920637882031</v>
      </c>
      <c r="AM59" s="716">
        <f t="shared" si="10"/>
        <v>1703.4204498939487</v>
      </c>
      <c r="AN59" s="716" t="str">
        <f>_xlfn.XLOOKUP(D59,RUC!$B$3:$B$578,RUC!$M$3:$M$578)</f>
        <v>Richard Sapacayo</v>
      </c>
      <c r="AO59" s="1167" t="s">
        <v>2280</v>
      </c>
      <c r="AP59" t="s">
        <v>3741</v>
      </c>
      <c r="AQ59" t="s">
        <v>3742</v>
      </c>
    </row>
    <row r="60" spans="1:43" ht="15" customHeight="1">
      <c r="A60" s="747" t="s">
        <v>3690</v>
      </c>
      <c r="B60" s="1447">
        <v>46000</v>
      </c>
      <c r="C60" s="1447">
        <v>45995</v>
      </c>
      <c r="D60" t="s">
        <v>1484</v>
      </c>
      <c r="E60" s="762">
        <f>_xlfn.XLOOKUP(D60,RUC!$B$3:$B$123,RUC!$D$3:$D$123)</f>
        <v>10761932735</v>
      </c>
      <c r="G60" s="1082">
        <v>51</v>
      </c>
      <c r="H60" s="762" t="s">
        <v>69</v>
      </c>
      <c r="I60" s="703">
        <v>4.12</v>
      </c>
      <c r="J60">
        <v>11.55</v>
      </c>
      <c r="K60" s="703">
        <f t="shared" si="0"/>
        <v>3.6440000000000001</v>
      </c>
      <c r="L60" s="1082">
        <v>0.157</v>
      </c>
      <c r="M60" s="994">
        <f t="shared" si="19"/>
        <v>0.13900000000000001</v>
      </c>
      <c r="N60" s="1196">
        <f t="shared" si="36"/>
        <v>0.13900000000000001</v>
      </c>
      <c r="O60" s="645">
        <f t="shared" si="1"/>
        <v>0.13900000000000001</v>
      </c>
      <c r="P60" s="727">
        <v>85</v>
      </c>
      <c r="Q60" s="1476">
        <v>96.82</v>
      </c>
      <c r="R60" s="706">
        <v>4200.6000000000004</v>
      </c>
      <c r="S60" s="765">
        <f>IF((_xlfn.XLOOKUP(D60,RUC!$B$3:$B$119,RUC!$E$3:$E$119)+ROUNDDOWN(O60,1)*100)&lt;95,95,((_xlfn.XLOOKUP(D60,RUC!$B$3:$B$119,RUC!$E$3:$E$119)+ROUNDDOWN(O60,1)*100)))</f>
        <v>100</v>
      </c>
      <c r="U60" s="1146">
        <f>_xlfn.XLOOKUP(D60,RUC!$B$3:$B$123,RUC!$F$3:$F$123)</f>
        <v>120</v>
      </c>
      <c r="V60" s="715">
        <v>1.1023000000000001</v>
      </c>
      <c r="Y60">
        <f>_xlfn.XLOOKUP(D60,RUC!$B$3:$B$123,RUC!$G$3:$G$123)</f>
        <v>20</v>
      </c>
      <c r="Z60" s="143">
        <f>_xlfn.XLOOKUP(D60,RUC!$B$3:$B$123,RUC!$H$3:$H$123)</f>
        <v>30</v>
      </c>
      <c r="AA60" s="144">
        <f t="shared" si="2"/>
        <v>50</v>
      </c>
      <c r="AB60" s="145">
        <f t="shared" si="28"/>
        <v>366.0990616470001</v>
      </c>
      <c r="AC60" s="145">
        <f>+(S60-T60)*V60-'data 1'!$F$4</f>
        <v>30.230000000000004</v>
      </c>
      <c r="AD60" s="145">
        <f t="shared" si="3"/>
        <v>83.472027334811955</v>
      </c>
      <c r="AE60" s="145">
        <f t="shared" si="4"/>
        <v>-14.884999999999998</v>
      </c>
      <c r="AF60" s="145">
        <f t="shared" si="5"/>
        <v>78.390135664487957</v>
      </c>
      <c r="AG60" s="772">
        <f t="shared" si="37"/>
        <v>194.20716299929992</v>
      </c>
      <c r="AH60" s="1253">
        <f t="shared" si="6"/>
        <v>18.991</v>
      </c>
      <c r="AI60" s="1253">
        <f t="shared" si="7"/>
        <v>19.614999999999998</v>
      </c>
      <c r="AJ60" s="156">
        <f t="shared" si="8"/>
        <v>46.815637311387938</v>
      </c>
      <c r="AK60" s="156">
        <f t="shared" si="9"/>
        <v>14.761182971503731</v>
      </c>
      <c r="AM60" s="716">
        <f t="shared" si="10"/>
        <v>1334.0649806416684</v>
      </c>
      <c r="AN60" s="716" t="str">
        <f>_xlfn.XLOOKUP(D60,RUC!$B$3:$B$578,RUC!$M$3:$M$578)</f>
        <v>Richard Sapacayo</v>
      </c>
      <c r="AO60" s="1167" t="s">
        <v>2279</v>
      </c>
      <c r="AP60" t="s">
        <v>3741</v>
      </c>
      <c r="AQ60" t="s">
        <v>3742</v>
      </c>
    </row>
    <row r="61" spans="1:43" ht="15" customHeight="1">
      <c r="A61" s="747" t="s">
        <v>3691</v>
      </c>
      <c r="B61" s="1447">
        <v>46000</v>
      </c>
      <c r="C61" s="1447">
        <v>45995</v>
      </c>
      <c r="D61" t="s">
        <v>1484</v>
      </c>
      <c r="E61" s="762">
        <f>_xlfn.XLOOKUP(D61,RUC!$B$3:$B$123,RUC!$D$3:$D$123)</f>
        <v>10761932735</v>
      </c>
      <c r="G61" s="1082">
        <v>8</v>
      </c>
      <c r="H61" s="762" t="s">
        <v>69</v>
      </c>
      <c r="I61" s="703">
        <v>0.56000000000000005</v>
      </c>
      <c r="J61">
        <v>5.75</v>
      </c>
      <c r="K61" s="703">
        <f t="shared" si="0"/>
        <v>0.52800000000000002</v>
      </c>
      <c r="L61" s="1082">
        <v>0.40899999999999997</v>
      </c>
      <c r="M61" s="994">
        <f t="shared" si="19"/>
        <v>0.38400000000000001</v>
      </c>
      <c r="N61" s="1444">
        <v>0.45700000000000002</v>
      </c>
      <c r="O61" s="645">
        <f t="shared" si="1"/>
        <v>0.42099999999999999</v>
      </c>
      <c r="P61" s="727">
        <v>90</v>
      </c>
      <c r="Q61" s="1476">
        <v>98.04</v>
      </c>
      <c r="R61" s="706">
        <v>4200.6000000000004</v>
      </c>
      <c r="S61" s="765">
        <f>IF((_xlfn.XLOOKUP(D61,RUC!$B$3:$B$119,RUC!$E$3:$E$119)+ROUNDDOWN(O61,1)*100)&lt;95,95,((_xlfn.XLOOKUP(D61,RUC!$B$3:$B$119,RUC!$E$3:$E$119)+ROUNDDOWN(O61,1)*100)))</f>
        <v>130</v>
      </c>
      <c r="U61" s="1146">
        <f>_xlfn.XLOOKUP(D61,RUC!$B$3:$B$123,RUC!$F$3:$F$123)</f>
        <v>120</v>
      </c>
      <c r="V61" s="715">
        <v>1.1023000000000001</v>
      </c>
      <c r="Y61">
        <f>_xlfn.XLOOKUP(D61,RUC!$B$3:$B$123,RUC!$G$3:$G$123)</f>
        <v>20</v>
      </c>
      <c r="Z61" s="143">
        <f>_xlfn.XLOOKUP(D61,RUC!$B$3:$B$123,RUC!$H$3:$H$123)</f>
        <v>30</v>
      </c>
      <c r="AA61" s="144">
        <f t="shared" si="2"/>
        <v>50</v>
      </c>
      <c r="AB61" s="145">
        <f t="shared" si="28"/>
        <v>1505.8953944820003</v>
      </c>
      <c r="AC61" s="145">
        <f>+(S61-T61)*V61-'data 1'!$F$4</f>
        <v>63.299000000000007</v>
      </c>
      <c r="AD61" s="145">
        <f t="shared" si="3"/>
        <v>147.91192505776814</v>
      </c>
      <c r="AE61" s="145">
        <f t="shared" si="4"/>
        <v>-14.884999999999998</v>
      </c>
      <c r="AF61" s="145">
        <f t="shared" si="5"/>
        <v>-52.91860428662406</v>
      </c>
      <c r="AG61" s="772">
        <f t="shared" si="37"/>
        <v>160.4073207711441</v>
      </c>
      <c r="AH61" s="1253">
        <f t="shared" si="6"/>
        <v>7.2590000000000003</v>
      </c>
      <c r="AI61" s="1253">
        <f t="shared" si="7"/>
        <v>7.4039999999999999</v>
      </c>
      <c r="AJ61" s="156">
        <f t="shared" si="8"/>
        <v>123.49597970503186</v>
      </c>
      <c r="AK61" s="156">
        <f t="shared" si="9"/>
        <v>6.8591073049725617</v>
      </c>
      <c r="AM61" s="716">
        <f t="shared" si="10"/>
        <v>795.11276828649613</v>
      </c>
      <c r="AN61" s="716" t="str">
        <f>_xlfn.XLOOKUP(D61,RUC!$B$3:$B$578,RUC!$M$3:$M$578)</f>
        <v>Richard Sapacayo</v>
      </c>
      <c r="AO61" s="1167" t="s">
        <v>2280</v>
      </c>
      <c r="AP61" t="s">
        <v>3741</v>
      </c>
      <c r="AQ61" t="s">
        <v>3742</v>
      </c>
    </row>
    <row r="62" spans="1:43" ht="15" customHeight="1">
      <c r="A62" s="747" t="s">
        <v>3692</v>
      </c>
      <c r="B62" s="1447">
        <v>46000</v>
      </c>
      <c r="C62" s="1447">
        <v>45995</v>
      </c>
      <c r="D62" t="s">
        <v>1484</v>
      </c>
      <c r="E62" s="762">
        <f>_xlfn.XLOOKUP(D62,RUC!$B$3:$B$123,RUC!$D$3:$D$123)</f>
        <v>10761932735</v>
      </c>
      <c r="G62" s="1082">
        <v>104</v>
      </c>
      <c r="H62" s="762" t="s">
        <v>69</v>
      </c>
      <c r="I62" s="703">
        <v>7.85</v>
      </c>
      <c r="J62">
        <v>7.95</v>
      </c>
      <c r="K62" s="703">
        <f t="shared" si="0"/>
        <v>7.226</v>
      </c>
      <c r="L62" s="1082">
        <v>0.16500000000000001</v>
      </c>
      <c r="M62" s="994">
        <f t="shared" si="19"/>
        <v>0.14699999999999999</v>
      </c>
      <c r="N62" s="1444">
        <v>0.187</v>
      </c>
      <c r="O62" s="645">
        <f t="shared" si="1"/>
        <v>0.16700000000000001</v>
      </c>
      <c r="P62" s="727">
        <v>90</v>
      </c>
      <c r="Q62" s="1476">
        <v>98.18</v>
      </c>
      <c r="R62" s="706">
        <v>4200.6000000000004</v>
      </c>
      <c r="S62" s="765">
        <f>IF((_xlfn.XLOOKUP(D62,RUC!$B$3:$B$119,RUC!$E$3:$E$119)+ROUNDDOWN(O62,1)*100)&lt;95,95,((_xlfn.XLOOKUP(D62,RUC!$B$3:$B$119,RUC!$E$3:$E$119)+ROUNDDOWN(O62,1)*100)))</f>
        <v>100</v>
      </c>
      <c r="U62" s="1146">
        <f>_xlfn.XLOOKUP(D62,RUC!$B$3:$B$123,RUC!$F$3:$F$123)</f>
        <v>120</v>
      </c>
      <c r="V62" s="715">
        <v>1.1023000000000001</v>
      </c>
      <c r="Y62">
        <f>_xlfn.XLOOKUP(D62,RUC!$B$3:$B$123,RUC!$G$3:$G$123)</f>
        <v>20</v>
      </c>
      <c r="Z62" s="143">
        <f>_xlfn.XLOOKUP(D62,RUC!$B$3:$B$123,RUC!$H$3:$H$123)</f>
        <v>30</v>
      </c>
      <c r="AA62" s="144">
        <f t="shared" si="2"/>
        <v>50</v>
      </c>
      <c r="AB62" s="145">
        <f t="shared" si="28"/>
        <v>510.71122061400013</v>
      </c>
      <c r="AC62" s="145">
        <f>+(S62-T62)*V62-'data 1'!$F$4</f>
        <v>30.230000000000004</v>
      </c>
      <c r="AD62" s="145">
        <f t="shared" si="3"/>
        <v>60.710118493860065</v>
      </c>
      <c r="AE62" s="145">
        <f t="shared" si="4"/>
        <v>-14.884999999999998</v>
      </c>
      <c r="AF62" s="145">
        <f t="shared" si="5"/>
        <v>-8.8323619081680089</v>
      </c>
      <c r="AG62" s="772">
        <f t="shared" si="37"/>
        <v>84.222756585692082</v>
      </c>
      <c r="AH62" s="1253">
        <f t="shared" si="6"/>
        <v>40.134</v>
      </c>
      <c r="AI62" s="1253">
        <f t="shared" si="7"/>
        <v>40.878</v>
      </c>
      <c r="AJ62" s="156">
        <f t="shared" si="8"/>
        <v>49.89226049213994</v>
      </c>
      <c r="AK62" s="156">
        <f t="shared" si="9"/>
        <v>37.2362559716098</v>
      </c>
      <c r="AM62" s="716">
        <f t="shared" si="10"/>
        <v>3690.3992801567647</v>
      </c>
      <c r="AN62" s="716" t="str">
        <f>_xlfn.XLOOKUP(D62,RUC!$B$3:$B$578,RUC!$M$3:$M$578)</f>
        <v>Richard Sapacayo</v>
      </c>
      <c r="AO62" s="1167" t="s">
        <v>2280</v>
      </c>
      <c r="AP62" t="s">
        <v>3741</v>
      </c>
      <c r="AQ62" t="s">
        <v>3742</v>
      </c>
    </row>
    <row r="63" spans="1:43" ht="15" customHeight="1">
      <c r="A63" s="747" t="s">
        <v>3693</v>
      </c>
      <c r="B63" s="1447">
        <v>46000</v>
      </c>
      <c r="C63" s="1447">
        <v>45995</v>
      </c>
      <c r="D63" t="s">
        <v>1484</v>
      </c>
      <c r="E63" s="762">
        <f>_xlfn.XLOOKUP(D63,RUC!$B$3:$B$123,RUC!$D$3:$D$123)</f>
        <v>10761932735</v>
      </c>
      <c r="G63" s="1082">
        <v>14</v>
      </c>
      <c r="H63" s="762" t="s">
        <v>69</v>
      </c>
      <c r="I63" s="703">
        <v>1</v>
      </c>
      <c r="J63">
        <v>3.4</v>
      </c>
      <c r="K63" s="703">
        <f t="shared" si="0"/>
        <v>0.96599999999999997</v>
      </c>
      <c r="L63" s="1082">
        <v>0.57399999999999995</v>
      </c>
      <c r="M63" s="994">
        <f t="shared" si="19"/>
        <v>0.54</v>
      </c>
      <c r="N63" s="1196">
        <f t="shared" si="36"/>
        <v>0.54</v>
      </c>
      <c r="O63" s="645">
        <f t="shared" si="1"/>
        <v>0.54</v>
      </c>
      <c r="P63" s="727">
        <v>90</v>
      </c>
      <c r="Q63" s="1476">
        <v>99.48</v>
      </c>
      <c r="R63" s="706">
        <v>4200.6000000000004</v>
      </c>
      <c r="S63" s="765">
        <f>IF((_xlfn.XLOOKUP(D63,RUC!$B$3:$B$119,RUC!$E$3:$E$119)+ROUNDDOWN(O63,1)*100)&lt;95,95,((_xlfn.XLOOKUP(D63,RUC!$B$3:$B$119,RUC!$E$3:$E$119)+ROUNDDOWN(O63,1)*100)))</f>
        <v>140</v>
      </c>
      <c r="U63" s="1146">
        <f>_xlfn.XLOOKUP(D63,RUC!$B$3:$B$123,RUC!$F$3:$F$123)</f>
        <v>120</v>
      </c>
      <c r="V63" s="715">
        <v>1.1023000000000001</v>
      </c>
      <c r="Y63">
        <f>_xlfn.XLOOKUP(D63,RUC!$B$3:$B$123,RUC!$G$3:$G$123)</f>
        <v>20</v>
      </c>
      <c r="Z63" s="143">
        <f>_xlfn.XLOOKUP(D63,RUC!$B$3:$B$123,RUC!$H$3:$H$123)</f>
        <v>30</v>
      </c>
      <c r="AA63" s="144">
        <f t="shared" si="2"/>
        <v>50</v>
      </c>
      <c r="AB63" s="145">
        <f t="shared" si="28"/>
        <v>1976.6130546800005</v>
      </c>
      <c r="AC63" s="145">
        <f>+(S63-T63)*V63-'data 1'!$F$4</f>
        <v>74.322000000000003</v>
      </c>
      <c r="AD63" s="145">
        <f t="shared" si="3"/>
        <v>244.76203896177608</v>
      </c>
      <c r="AE63" s="145">
        <f t="shared" si="4"/>
        <v>-14.884999999999998</v>
      </c>
      <c r="AF63" s="145">
        <f t="shared" si="5"/>
        <v>152.13828849681565</v>
      </c>
      <c r="AG63" s="772">
        <f t="shared" si="37"/>
        <v>473.33732745859174</v>
      </c>
      <c r="AH63" s="1253">
        <f t="shared" si="6"/>
        <v>18.911999999999999</v>
      </c>
      <c r="AI63" s="1253">
        <f t="shared" si="7"/>
        <v>19.010999999999999</v>
      </c>
      <c r="AJ63" s="156">
        <f t="shared" si="8"/>
        <v>175.86275735582382</v>
      </c>
      <c r="AK63" s="156">
        <f t="shared" si="9"/>
        <v>16.0961668401618</v>
      </c>
      <c r="AM63" s="716">
        <f t="shared" si="10"/>
        <v>1909.4082108208804</v>
      </c>
      <c r="AN63" s="716" t="str">
        <f>_xlfn.XLOOKUP(D63,RUC!$B$3:$B$578,RUC!$M$3:$M$578)</f>
        <v>Richard Sapacayo</v>
      </c>
      <c r="AO63" s="1167" t="s">
        <v>2280</v>
      </c>
      <c r="AP63" t="s">
        <v>3741</v>
      </c>
      <c r="AQ63" t="s">
        <v>3742</v>
      </c>
    </row>
    <row r="64" spans="1:43" ht="15" customHeight="1">
      <c r="A64" s="747" t="s">
        <v>3694</v>
      </c>
      <c r="B64" s="1447">
        <v>46000</v>
      </c>
      <c r="C64" s="1447">
        <v>45995</v>
      </c>
      <c r="D64" t="s">
        <v>1484</v>
      </c>
      <c r="E64" s="762">
        <f>_xlfn.XLOOKUP(D64,RUC!$B$3:$B$123,RUC!$D$3:$D$123)</f>
        <v>10761932735</v>
      </c>
      <c r="G64" s="1082">
        <v>107</v>
      </c>
      <c r="H64" s="762" t="s">
        <v>69</v>
      </c>
      <c r="I64" s="703">
        <v>9.86</v>
      </c>
      <c r="J64">
        <v>12.45</v>
      </c>
      <c r="K64" s="703">
        <f t="shared" si="0"/>
        <v>8.6319999999999997</v>
      </c>
      <c r="L64" s="1082">
        <v>0.123</v>
      </c>
      <c r="M64" s="994">
        <f t="shared" si="19"/>
        <v>0.105</v>
      </c>
      <c r="N64" s="1196">
        <f t="shared" si="36"/>
        <v>0.105</v>
      </c>
      <c r="O64" s="645">
        <f t="shared" si="1"/>
        <v>0.105</v>
      </c>
      <c r="P64" s="727">
        <v>80</v>
      </c>
      <c r="Q64" s="1476">
        <v>96.75</v>
      </c>
      <c r="R64" s="706">
        <v>4200.6000000000004</v>
      </c>
      <c r="S64" s="765">
        <f>IF((_xlfn.XLOOKUP(D64,RUC!$B$3:$B$119,RUC!$E$3:$E$119)+ROUNDDOWN(O64,1)*100)&lt;95,95,((_xlfn.XLOOKUP(D64,RUC!$B$3:$B$119,RUC!$E$3:$E$119)+ROUNDDOWN(O64,1)*100)))</f>
        <v>100</v>
      </c>
      <c r="U64" s="1146">
        <f>_xlfn.XLOOKUP(D64,RUC!$B$3:$B$123,RUC!$F$3:$F$123)</f>
        <v>120</v>
      </c>
      <c r="V64" s="715">
        <v>1.1023000000000001</v>
      </c>
      <c r="Y64">
        <f>_xlfn.XLOOKUP(D64,RUC!$B$3:$B$123,RUC!$G$3:$G$123)</f>
        <v>20</v>
      </c>
      <c r="Z64" s="143">
        <f>_xlfn.XLOOKUP(D64,RUC!$B$3:$B$123,RUC!$H$3:$H$123)</f>
        <v>30</v>
      </c>
      <c r="AA64" s="144">
        <f t="shared" si="2"/>
        <v>50</v>
      </c>
      <c r="AB64" s="145">
        <f t="shared" si="28"/>
        <v>212.49081192</v>
      </c>
      <c r="AC64" s="145">
        <f>+(S64-T64)*V64-'data 1'!$F$4</f>
        <v>30.230000000000004</v>
      </c>
      <c r="AD64" s="145">
        <f t="shared" si="3"/>
        <v>92.67097994145</v>
      </c>
      <c r="AE64" s="145">
        <f t="shared" si="4"/>
        <v>-14.884999999999998</v>
      </c>
      <c r="AF64" s="145">
        <f t="shared" si="5"/>
        <v>78.333460292700025</v>
      </c>
      <c r="AG64" s="772">
        <f t="shared" si="37"/>
        <v>203.34944023415005</v>
      </c>
      <c r="AH64" s="1253">
        <f t="shared" si="6"/>
        <v>35.219000000000001</v>
      </c>
      <c r="AI64" s="1253">
        <f t="shared" si="7"/>
        <v>36.402000000000001</v>
      </c>
      <c r="AJ64" s="156">
        <f t="shared" si="8"/>
        <v>36.650701736549962</v>
      </c>
      <c r="AK64" s="156">
        <f t="shared" si="9"/>
        <v>24.859923450398398</v>
      </c>
      <c r="AM64" s="716">
        <f t="shared" si="10"/>
        <v>1834.2206884934399</v>
      </c>
      <c r="AN64" s="716" t="str">
        <f>_xlfn.XLOOKUP(D64,RUC!$B$3:$B$578,RUC!$M$3:$M$578)</f>
        <v>Richard Sapacayo</v>
      </c>
      <c r="AO64" s="1167" t="s">
        <v>2280</v>
      </c>
      <c r="AP64" t="s">
        <v>3741</v>
      </c>
      <c r="AQ64" t="s">
        <v>3742</v>
      </c>
    </row>
    <row r="65" spans="1:44" ht="15" customHeight="1">
      <c r="A65" s="747" t="s">
        <v>3695</v>
      </c>
      <c r="B65" s="1447">
        <v>46000</v>
      </c>
      <c r="C65" s="1447">
        <v>45996</v>
      </c>
      <c r="D65" t="s">
        <v>2004</v>
      </c>
      <c r="E65" s="762">
        <f>_xlfn.XLOOKUP(D65,RUC!$B$3:$B$123,RUC!$D$3:$D$123)</f>
        <v>20612921866</v>
      </c>
      <c r="G65" s="1082" t="s">
        <v>2985</v>
      </c>
      <c r="H65" s="762" t="s">
        <v>69</v>
      </c>
      <c r="I65" s="703">
        <v>9.8699999999999992</v>
      </c>
      <c r="J65" s="596">
        <v>2.2999999999999998</v>
      </c>
      <c r="K65" s="703">
        <f t="shared" si="0"/>
        <v>9.6430000000000007</v>
      </c>
      <c r="L65" s="1192">
        <v>0.22</v>
      </c>
      <c r="M65" s="994">
        <f t="shared" si="19"/>
        <v>0.20200000000000001</v>
      </c>
      <c r="N65" s="1196">
        <f t="shared" si="36"/>
        <v>0.20200000000000001</v>
      </c>
      <c r="O65" s="645">
        <f t="shared" si="1"/>
        <v>0.20200000000000001</v>
      </c>
      <c r="P65" s="727">
        <v>90</v>
      </c>
      <c r="Q65" s="1476">
        <v>96.82</v>
      </c>
      <c r="R65" s="706">
        <v>4243</v>
      </c>
      <c r="S65" s="765">
        <f>IF((_xlfn.XLOOKUP(D65,RUC!$B$3:$B$119,RUC!$E$3:$E$119)+ROUNDDOWN(O65,1)*100)&lt;95,95,((_xlfn.XLOOKUP(D65,RUC!$B$3:$B$119,RUC!$E$3:$E$119)+ROUNDDOWN(O65,1)*100)))</f>
        <v>100</v>
      </c>
      <c r="U65" s="1146">
        <f>_xlfn.XLOOKUP(D65,RUC!$B$3:$B$123,RUC!$F$3:$F$123)</f>
        <v>100</v>
      </c>
      <c r="V65" s="715">
        <v>1.1023000000000001</v>
      </c>
      <c r="Y65">
        <f>_xlfn.XLOOKUP(D65,RUC!$B$3:$B$123,RUC!$G$3:$G$123)</f>
        <v>0</v>
      </c>
      <c r="Z65" s="143">
        <f>_xlfn.XLOOKUP(D65,RUC!$B$3:$B$123,RUC!$H$3:$H$123)</f>
        <v>30</v>
      </c>
      <c r="AA65" s="144">
        <f t="shared" si="2"/>
        <v>30</v>
      </c>
      <c r="AB65" s="145">
        <f t="shared" si="28"/>
        <v>686.95049402000006</v>
      </c>
      <c r="AC65" s="145">
        <f>+(S65-T65)*V65-'data 1'!$F$4</f>
        <v>30.230000000000004</v>
      </c>
      <c r="AD65" s="145">
        <f t="shared" si="3"/>
        <v>68.520700815599938</v>
      </c>
      <c r="AE65" s="145">
        <f t="shared" si="4"/>
        <v>-36.930999999999997</v>
      </c>
      <c r="AF65" s="145">
        <f t="shared" si="5"/>
        <v>79.588867337639954</v>
      </c>
      <c r="AG65" s="772">
        <f t="shared" ref="AG65" si="38">AC65+AD65+AE65+AF65+70-10</f>
        <v>201.40856815323991</v>
      </c>
      <c r="AH65" s="1253">
        <f t="shared" si="6"/>
        <v>70.421999999999997</v>
      </c>
      <c r="AI65" s="1253">
        <f t="shared" si="7"/>
        <v>72.734999999999999</v>
      </c>
      <c r="AJ65" s="156">
        <f t="shared" si="8"/>
        <v>50.950365096399999</v>
      </c>
      <c r="AK65" s="156">
        <f t="shared" si="9"/>
        <v>60.105624648446074</v>
      </c>
      <c r="AL65" s="88"/>
      <c r="AM65" s="716">
        <f t="shared" si="10"/>
        <v>6624.2636138348607</v>
      </c>
      <c r="AN65" s="716" t="str">
        <f>_xlfn.XLOOKUP(D65,RUC!$B$3:$B$578,RUC!$M$3:$M$578)</f>
        <v>Ronald Garibay</v>
      </c>
      <c r="AO65" s="1167" t="s">
        <v>2280</v>
      </c>
      <c r="AP65" t="s">
        <v>3743</v>
      </c>
      <c r="AQ65" t="s">
        <v>3744</v>
      </c>
    </row>
    <row r="66" spans="1:44" ht="15" customHeight="1">
      <c r="A66" s="747" t="s">
        <v>3696</v>
      </c>
      <c r="B66" s="1447">
        <v>46003</v>
      </c>
      <c r="C66" s="1447">
        <v>45996</v>
      </c>
      <c r="D66" t="s">
        <v>2004</v>
      </c>
      <c r="E66" s="762">
        <f>_xlfn.XLOOKUP(D66,RUC!$B$3:$B$123,RUC!$D$3:$D$123)</f>
        <v>20612921866</v>
      </c>
      <c r="G66" s="1082" t="s">
        <v>2985</v>
      </c>
      <c r="H66" s="762" t="s">
        <v>69</v>
      </c>
      <c r="I66" s="703">
        <v>10.91</v>
      </c>
      <c r="J66" s="596">
        <v>3.55</v>
      </c>
      <c r="K66" s="703">
        <f t="shared" si="0"/>
        <v>10.523</v>
      </c>
      <c r="L66" s="1082">
        <v>9.5000000000000001E-2</v>
      </c>
      <c r="M66" s="994">
        <f t="shared" si="19"/>
        <v>7.6999999999999999E-2</v>
      </c>
      <c r="N66" s="1444">
        <v>0.16200000000000001</v>
      </c>
      <c r="O66" s="645">
        <f t="shared" si="1"/>
        <v>0.12</v>
      </c>
      <c r="P66" s="727">
        <v>90</v>
      </c>
      <c r="Q66" s="1476">
        <v>97.89</v>
      </c>
      <c r="R66" s="706">
        <v>4243</v>
      </c>
      <c r="S66" s="765">
        <f>IF((_xlfn.XLOOKUP(D66,RUC!$B$3:$B$119,RUC!$E$3:$E$119)+ROUNDDOWN(O66,1)*100)&lt;95,95,((_xlfn.XLOOKUP(D66,RUC!$B$3:$B$119,RUC!$E$3:$E$119)+ROUNDDOWN(O66,1)*100)))</f>
        <v>95</v>
      </c>
      <c r="U66" s="1146">
        <f>_xlfn.XLOOKUP(D66,RUC!$B$3:$B$123,RUC!$F$3:$F$123)</f>
        <v>100</v>
      </c>
      <c r="V66" s="715">
        <v>1.1023000000000001</v>
      </c>
      <c r="Y66">
        <f>_xlfn.XLOOKUP(D66,RUC!$B$3:$B$123,RUC!$G$3:$G$123)</f>
        <v>0</v>
      </c>
      <c r="Z66" s="143">
        <f>_xlfn.XLOOKUP(D66,RUC!$B$3:$B$123,RUC!$H$3:$H$123)</f>
        <v>30</v>
      </c>
      <c r="AA66" s="144">
        <f t="shared" si="2"/>
        <v>30</v>
      </c>
      <c r="AB66" s="145">
        <f t="shared" si="28"/>
        <v>355.4300212</v>
      </c>
      <c r="AC66" s="145">
        <f>+(S66-T66)*V66-'data 1'!$F$4</f>
        <v>24.718500000000006</v>
      </c>
      <c r="AD66" s="145">
        <f t="shared" si="3"/>
        <v>34.230666019950007</v>
      </c>
      <c r="AE66" s="145">
        <f t="shared" si="4"/>
        <v>-36.930999999999997</v>
      </c>
      <c r="AF66" s="145">
        <f t="shared" si="5"/>
        <v>-111.76172025524998</v>
      </c>
      <c r="AG66" s="772">
        <f>AC66+AD66+AE66+AF66+70-10</f>
        <v>-29.743554235299968</v>
      </c>
      <c r="AH66" s="1253">
        <f t="shared" si="6"/>
        <v>33.551000000000002</v>
      </c>
      <c r="AI66" s="1253">
        <f t="shared" si="7"/>
        <v>34.274999999999999</v>
      </c>
      <c r="AJ66" s="156">
        <f t="shared" si="8"/>
        <v>22.244439904050004</v>
      </c>
      <c r="AK66" s="156">
        <f t="shared" si="9"/>
        <v>38.964794952616195</v>
      </c>
      <c r="AL66" s="88"/>
      <c r="AM66" s="716">
        <f t="shared" si="10"/>
        <v>3740.1901130875999</v>
      </c>
      <c r="AN66" s="716" t="str">
        <f>_xlfn.XLOOKUP(D66,RUC!$B$3:$B$578,RUC!$M$3:$M$578)</f>
        <v>Ronald Garibay</v>
      </c>
      <c r="AO66" s="1167" t="s">
        <v>2279</v>
      </c>
      <c r="AP66" t="s">
        <v>3324</v>
      </c>
      <c r="AQ66" t="s">
        <v>3762</v>
      </c>
    </row>
    <row r="67" spans="1:44" ht="15" customHeight="1">
      <c r="A67" s="747" t="s">
        <v>3697</v>
      </c>
      <c r="B67" s="1447">
        <v>46000</v>
      </c>
      <c r="C67" s="1447">
        <v>45996</v>
      </c>
      <c r="D67" t="s">
        <v>2444</v>
      </c>
      <c r="E67" s="762">
        <f>_xlfn.XLOOKUP(D67,RUC!$B$3:$B$123,RUC!$D$3:$D$123)</f>
        <v>20608774000</v>
      </c>
      <c r="G67" s="1082">
        <v>50</v>
      </c>
      <c r="H67" s="762" t="s">
        <v>2005</v>
      </c>
      <c r="I67" s="703">
        <v>3.49</v>
      </c>
      <c r="J67" s="596">
        <v>22.9</v>
      </c>
      <c r="K67" s="703">
        <f t="shared" ref="K67:K87" si="39">ROUND(+I67-(I67*(J67/100)),3)</f>
        <v>2.6909999999999998</v>
      </c>
      <c r="L67" s="1082">
        <v>0.39900000000000002</v>
      </c>
      <c r="M67" s="994">
        <f t="shared" si="19"/>
        <v>0.375</v>
      </c>
      <c r="N67" s="1196">
        <f t="shared" ref="N67:N70" si="40">+M67</f>
        <v>0.375</v>
      </c>
      <c r="O67" s="645">
        <f t="shared" ref="O67:O70" si="41">+ROUND((M67+N67)/2,3)</f>
        <v>0.375</v>
      </c>
      <c r="P67" s="727">
        <v>90</v>
      </c>
      <c r="Q67" s="1476">
        <v>96.24</v>
      </c>
      <c r="R67" s="706">
        <v>4243</v>
      </c>
      <c r="S67" s="765">
        <f>IF((_xlfn.XLOOKUP(D67,RUC!$B$3:$B$119,RUC!$E$3:$E$119)+ROUNDDOWN(O67,1)*100)&lt;95,95,((_xlfn.XLOOKUP(D67,RUC!$B$3:$B$119,RUC!$E$3:$E$119)+ROUNDDOWN(O67,1)*100)))</f>
        <v>115</v>
      </c>
      <c r="U67" s="1146">
        <f>_xlfn.XLOOKUP(D67,RUC!$B$3:$B$123,RUC!$F$3:$F$123)</f>
        <v>120</v>
      </c>
      <c r="V67" s="715">
        <v>1.1023000000000001</v>
      </c>
      <c r="Y67">
        <f>_xlfn.XLOOKUP(D67,RUC!$B$3:$B$123,RUC!$G$3:$G$123)</f>
        <v>20</v>
      </c>
      <c r="Z67" s="1454">
        <v>35</v>
      </c>
      <c r="AA67" s="144">
        <f t="shared" ref="AA67:AA87" si="42">+Y67+Z67</f>
        <v>55</v>
      </c>
      <c r="AB67" s="145">
        <f t="shared" si="28"/>
        <v>1346.4732287500001</v>
      </c>
      <c r="AC67" s="145">
        <f>+(S67-T67)*V67-'data 1'!$F$4</f>
        <v>46.764500000000012</v>
      </c>
      <c r="AD67" s="145">
        <f t="shared" ref="AD67:AD87" si="43">+(Q67-P67)*(R67-U67)*L67*V67/100</f>
        <v>113.15418673103991</v>
      </c>
      <c r="AE67" s="145">
        <f t="shared" ref="AE67:AE87" si="44">+(Y67*V67-70)+V67*(Z67-IF(D67="UNTUCA",IF(+((W67-3)*2.5+(X67-3)*3.1)&gt;0,+((W67-3)*1.5+(X67-3)*3.1),0),IF(+((W67-3)*1.5+(X67-3)*3.1)&gt;0,+((W67-3)*1.5+(X67-3)*3.1),0)))</f>
        <v>-9.3734999999999999</v>
      </c>
      <c r="AF67" s="145">
        <f t="shared" ref="AF67:AF87" si="45">(L67-O67)*(R67-U67)*Q67*V67/100</f>
        <v>104.97357751104009</v>
      </c>
      <c r="AG67" s="772">
        <f t="shared" ref="AG67:AG87" si="46">AC67+AD67+AE67+AF67+70-53</f>
        <v>272.51876424208001</v>
      </c>
      <c r="AH67" s="1253">
        <f t="shared" ref="AH67:AH87" si="47">ROUND((31.1035*L67*Q67*1.1023*K67/100),3)</f>
        <v>35.427999999999997</v>
      </c>
      <c r="AI67" s="1253">
        <f t="shared" ref="AI67:AI87" si="48">ROUND((31.1035*L67*1.1023*K67),3)</f>
        <v>36.813000000000002</v>
      </c>
      <c r="AJ67" s="156">
        <f t="shared" ref="AJ67:AJ87" si="49">+((+$AJ$2-R67+U67)*L67*Q67*V67)/100</f>
        <v>100.31749141176</v>
      </c>
      <c r="AK67" s="156">
        <f t="shared" ref="AK67:AK87" si="50">31.1035*1.1023*K67*P67*O67/100</f>
        <v>31.138417994360626</v>
      </c>
      <c r="AM67" s="716">
        <f t="shared" ref="AM67:AM87" si="51">+IF(AB67*K67&gt;0,AB67*K67,0)</f>
        <v>3623.3594585662499</v>
      </c>
      <c r="AN67" s="716" t="str">
        <f>_xlfn.XLOOKUP(D67,RUC!$B$3:$B$578,RUC!$M$3:$M$578)</f>
        <v>Ronald Miranda</v>
      </c>
      <c r="AO67" s="1167" t="s">
        <v>2280</v>
      </c>
      <c r="AP67" t="s">
        <v>3745</v>
      </c>
      <c r="AQ67" t="s">
        <v>3746</v>
      </c>
    </row>
    <row r="68" spans="1:44" ht="15" customHeight="1">
      <c r="A68" s="747" t="s">
        <v>3698</v>
      </c>
      <c r="B68" s="1447">
        <v>46000</v>
      </c>
      <c r="C68" s="1447">
        <v>45996</v>
      </c>
      <c r="D68" t="s">
        <v>2444</v>
      </c>
      <c r="E68" s="762">
        <f>_xlfn.XLOOKUP(D68,RUC!$B$3:$B$123,RUC!$D$3:$D$123)</f>
        <v>20608774000</v>
      </c>
      <c r="G68" s="1082">
        <v>50</v>
      </c>
      <c r="H68" s="762" t="s">
        <v>2005</v>
      </c>
      <c r="I68" s="703">
        <v>3.4</v>
      </c>
      <c r="J68" s="596">
        <v>21.33</v>
      </c>
      <c r="K68" s="703">
        <f t="shared" si="39"/>
        <v>2.6749999999999998</v>
      </c>
      <c r="L68" s="1082">
        <v>0.24299999999999999</v>
      </c>
      <c r="M68" s="994">
        <f t="shared" si="19"/>
        <v>0.22500000000000001</v>
      </c>
      <c r="N68" s="1196">
        <f t="shared" si="40"/>
        <v>0.22500000000000001</v>
      </c>
      <c r="O68" s="645">
        <f t="shared" si="41"/>
        <v>0.22500000000000001</v>
      </c>
      <c r="P68" s="727">
        <v>90</v>
      </c>
      <c r="Q68" s="1476">
        <v>93.42</v>
      </c>
      <c r="R68" s="706">
        <v>4243</v>
      </c>
      <c r="S68" s="765">
        <f>IF((_xlfn.XLOOKUP(D68,RUC!$B$3:$B$119,RUC!$E$3:$E$119)+ROUNDDOWN(O68,1)*100)&lt;95,95,((_xlfn.XLOOKUP(D68,RUC!$B$3:$B$119,RUC!$E$3:$E$119)+ROUNDDOWN(O68,1)*100)))</f>
        <v>105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54">
        <v>35</v>
      </c>
      <c r="AA68" s="144">
        <f t="shared" si="42"/>
        <v>55</v>
      </c>
      <c r="AB68" s="145">
        <f t="shared" si="28"/>
        <v>743.95053725000002</v>
      </c>
      <c r="AC68" s="145">
        <f>+(S68-T68)*V68-'data 1'!$F$4</f>
        <v>35.741500000000002</v>
      </c>
      <c r="AD68" s="145">
        <f t="shared" si="43"/>
        <v>37.769872768740022</v>
      </c>
      <c r="AE68" s="145">
        <f t="shared" si="44"/>
        <v>-9.3734999999999999</v>
      </c>
      <c r="AF68" s="145">
        <f t="shared" si="45"/>
        <v>76.423251333239961</v>
      </c>
      <c r="AG68" s="772">
        <f t="shared" si="46"/>
        <v>157.56112410197997</v>
      </c>
      <c r="AH68" s="1253">
        <f t="shared" si="47"/>
        <v>20.82</v>
      </c>
      <c r="AI68" s="1253">
        <f t="shared" si="48"/>
        <v>22.286000000000001</v>
      </c>
      <c r="AJ68" s="156">
        <f t="shared" si="49"/>
        <v>59.305406898060006</v>
      </c>
      <c r="AK68" s="156">
        <f t="shared" si="50"/>
        <v>18.571966139334378</v>
      </c>
      <c r="AM68" s="716">
        <f t="shared" si="51"/>
        <v>1990.0676871437499</v>
      </c>
      <c r="AN68" s="716" t="str">
        <f>_xlfn.XLOOKUP(D68,RUC!$B$3:$B$578,RUC!$M$3:$M$578)</f>
        <v>Ronald Miranda</v>
      </c>
      <c r="AO68" s="1167" t="s">
        <v>2280</v>
      </c>
      <c r="AP68" t="s">
        <v>3745</v>
      </c>
      <c r="AQ68" t="s">
        <v>3746</v>
      </c>
    </row>
    <row r="69" spans="1:44" ht="15" customHeight="1">
      <c r="A69" s="747" t="s">
        <v>3699</v>
      </c>
      <c r="B69" s="1447">
        <v>46000</v>
      </c>
      <c r="C69" s="1447">
        <v>45996</v>
      </c>
      <c r="D69" t="s">
        <v>2444</v>
      </c>
      <c r="E69" s="762">
        <f>_xlfn.XLOOKUP(D69,RUC!$B$3:$B$123,RUC!$D$3:$D$123)</f>
        <v>20608774000</v>
      </c>
      <c r="G69" s="1082">
        <v>50</v>
      </c>
      <c r="H69" s="762" t="s">
        <v>2005</v>
      </c>
      <c r="I69" s="703">
        <v>3.33</v>
      </c>
      <c r="J69" s="596">
        <v>21.65</v>
      </c>
      <c r="K69" s="703">
        <f t="shared" si="39"/>
        <v>2.609</v>
      </c>
      <c r="L69" s="1082">
        <v>0.21099999999999999</v>
      </c>
      <c r="M69" s="994">
        <f t="shared" si="19"/>
        <v>0.193</v>
      </c>
      <c r="N69" s="1196">
        <f t="shared" si="40"/>
        <v>0.193</v>
      </c>
      <c r="O69" s="645">
        <f t="shared" si="41"/>
        <v>0.193</v>
      </c>
      <c r="P69" s="727">
        <v>90</v>
      </c>
      <c r="Q69" s="1476">
        <v>94.31</v>
      </c>
      <c r="R69" s="706">
        <v>4243</v>
      </c>
      <c r="S69" s="765">
        <f>IF((_xlfn.XLOOKUP(D69,RUC!$B$3:$B$119,RUC!$E$3:$E$119)+ROUNDDOWN(O69,1)*100)&lt;95,95,((_xlfn.XLOOKUP(D69,RUC!$B$3:$B$119,RUC!$E$3:$E$119)+ROUNDDOWN(O69,1)*100)))</f>
        <v>95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54">
        <v>35</v>
      </c>
      <c r="AA69" s="144">
        <f t="shared" si="42"/>
        <v>55</v>
      </c>
      <c r="AB69" s="145">
        <f t="shared" si="28"/>
        <v>624.08378973000003</v>
      </c>
      <c r="AC69" s="145">
        <f>+(S69-T69)*V69-'data 1'!$F$4</f>
        <v>24.718500000000006</v>
      </c>
      <c r="AD69" s="145">
        <f t="shared" si="43"/>
        <v>41.330710170890022</v>
      </c>
      <c r="AE69" s="145">
        <f t="shared" si="44"/>
        <v>-9.3734999999999999</v>
      </c>
      <c r="AF69" s="145">
        <f t="shared" si="45"/>
        <v>77.151325553819959</v>
      </c>
      <c r="AG69" s="772">
        <f t="shared" si="46"/>
        <v>150.82703572470999</v>
      </c>
      <c r="AH69" s="1253">
        <f t="shared" si="47"/>
        <v>17.8</v>
      </c>
      <c r="AI69" s="1253">
        <f t="shared" si="48"/>
        <v>18.873999999999999</v>
      </c>
      <c r="AJ69" s="156">
        <f t="shared" si="49"/>
        <v>51.986233553910004</v>
      </c>
      <c r="AK69" s="156">
        <f t="shared" si="50"/>
        <v>15.537565298279567</v>
      </c>
      <c r="AM69" s="716">
        <f t="shared" si="51"/>
        <v>1628.2346074055702</v>
      </c>
      <c r="AN69" s="716" t="str">
        <f>_xlfn.XLOOKUP(D69,RUC!$B$3:$B$578,RUC!$M$3:$M$578)</f>
        <v>Ronald Miranda</v>
      </c>
      <c r="AO69" s="1167" t="s">
        <v>2280</v>
      </c>
      <c r="AP69" t="s">
        <v>3745</v>
      </c>
      <c r="AQ69" t="s">
        <v>3746</v>
      </c>
    </row>
    <row r="70" spans="1:44" ht="15" customHeight="1">
      <c r="A70" s="747" t="s">
        <v>3700</v>
      </c>
      <c r="B70" s="1447">
        <v>46000</v>
      </c>
      <c r="C70" s="1447">
        <v>45996</v>
      </c>
      <c r="D70" t="s">
        <v>93</v>
      </c>
      <c r="E70" s="762">
        <f>_xlfn.XLOOKUP(D70,RUC!$B$3:$B$123,RUC!$D$3:$D$123)</f>
        <v>20169040231</v>
      </c>
      <c r="G70" s="1082">
        <v>58</v>
      </c>
      <c r="H70" s="762" t="s">
        <v>69</v>
      </c>
      <c r="I70" s="703">
        <v>5.47</v>
      </c>
      <c r="J70" s="596">
        <v>1.75</v>
      </c>
      <c r="K70" s="703">
        <f t="shared" si="39"/>
        <v>5.3739999999999997</v>
      </c>
      <c r="L70" s="1192">
        <v>0.38</v>
      </c>
      <c r="M70" s="994">
        <f t="shared" si="19"/>
        <v>0.35699999999999998</v>
      </c>
      <c r="N70" s="1196">
        <f t="shared" si="40"/>
        <v>0.35699999999999998</v>
      </c>
      <c r="O70" s="645">
        <f t="shared" si="41"/>
        <v>0.35699999999999998</v>
      </c>
      <c r="P70" s="727">
        <v>90</v>
      </c>
      <c r="Q70" s="1476">
        <v>96</v>
      </c>
      <c r="R70" s="706">
        <v>4243</v>
      </c>
      <c r="S70" s="765">
        <f>IF((_xlfn.XLOOKUP(D70,RUC!$B$3:$B$119,RUC!$E$3:$E$119)+ROUNDDOWN(O70,1)*100)&lt;95,95,((_xlfn.XLOOKUP(D70,RUC!$B$3:$B$119,RUC!$E$3:$E$119)+ROUNDDOWN(O70,1)*100)))</f>
        <v>115</v>
      </c>
      <c r="U70" s="1146">
        <f>_xlfn.XLOOKUP(D70,RUC!$B$3:$B$123,RUC!$F$3:$F$123)</f>
        <v>120</v>
      </c>
      <c r="V70" s="715">
        <v>1.1023000000000001</v>
      </c>
      <c r="Y70">
        <f>_xlfn.XLOOKUP(D70,RUC!$B$3:$B$123,RUC!$G$3:$G$123)</f>
        <v>20</v>
      </c>
      <c r="Z70" s="1454">
        <v>35</v>
      </c>
      <c r="AA70" s="144">
        <f t="shared" si="42"/>
        <v>55</v>
      </c>
      <c r="AB70" s="145">
        <f t="shared" si="28"/>
        <v>1272.8477457699998</v>
      </c>
      <c r="AC70" s="145">
        <f>+(S70-T70)*V70-'data 1'!$F$4</f>
        <v>46.764500000000012</v>
      </c>
      <c r="AD70" s="145">
        <f t="shared" si="43"/>
        <v>103.62105012000002</v>
      </c>
      <c r="AE70" s="145">
        <f t="shared" si="44"/>
        <v>-9.3734999999999999</v>
      </c>
      <c r="AF70" s="145">
        <f t="shared" si="45"/>
        <v>100.34880643200009</v>
      </c>
      <c r="AG70" s="772">
        <f t="shared" si="46"/>
        <v>258.36085655200009</v>
      </c>
      <c r="AH70" s="1253">
        <f t="shared" si="47"/>
        <v>67.213999999999999</v>
      </c>
      <c r="AI70" s="1253">
        <f t="shared" si="48"/>
        <v>70.015000000000001</v>
      </c>
      <c r="AJ70" s="156">
        <f t="shared" si="49"/>
        <v>95.302212479999994</v>
      </c>
      <c r="AK70" s="156">
        <f t="shared" si="50"/>
        <v>59.199420699818901</v>
      </c>
      <c r="AM70" s="716">
        <f t="shared" si="51"/>
        <v>6840.2837857679788</v>
      </c>
      <c r="AN70" s="716" t="str">
        <f>_xlfn.XLOOKUP(D70,RUC!$B$3:$B$578,RUC!$M$3:$M$578)</f>
        <v>Ronald Miranda</v>
      </c>
      <c r="AO70" s="1167" t="s">
        <v>2280</v>
      </c>
      <c r="AP70" t="s">
        <v>3747</v>
      </c>
      <c r="AQ70" t="s">
        <v>3748</v>
      </c>
    </row>
    <row r="71" spans="1:44" ht="15" customHeight="1">
      <c r="A71" s="747" t="s">
        <v>3704</v>
      </c>
      <c r="B71" s="1447">
        <v>46002</v>
      </c>
      <c r="C71" s="1447">
        <v>45996</v>
      </c>
      <c r="D71" t="s">
        <v>1967</v>
      </c>
      <c r="E71" s="762">
        <f>_xlfn.XLOOKUP(D71,RUC!$B$3:$B$123,RUC!$D$3:$D$123)</f>
        <v>20601769396</v>
      </c>
      <c r="G71" s="1082">
        <v>68</v>
      </c>
      <c r="H71" s="762" t="s">
        <v>108</v>
      </c>
      <c r="I71" s="703">
        <v>3.95</v>
      </c>
      <c r="J71" s="596">
        <v>3.6</v>
      </c>
      <c r="K71" s="703">
        <f t="shared" si="39"/>
        <v>3.8079999999999998</v>
      </c>
      <c r="L71" s="1192">
        <v>0.74</v>
      </c>
      <c r="M71" s="994">
        <f t="shared" ref="M71:M81" si="52">ROUND(+IF(AN71="Melchor Vera",IF(L71&gt;0.467,L71*0.985,(L71-0.007)),IF(L71&gt;0.3,L71*0.94,(L71-0.018))),3)</f>
        <v>0.69599999999999995</v>
      </c>
      <c r="N71" s="1196">
        <f t="shared" ref="N71:N84" si="53">+M71</f>
        <v>0.69599999999999995</v>
      </c>
      <c r="O71" s="645">
        <f t="shared" ref="O71:O87" si="54">+ROUND((M71+N71)/2,3)</f>
        <v>0.69599999999999995</v>
      </c>
      <c r="P71" s="727">
        <v>90</v>
      </c>
      <c r="Q71" s="1476">
        <v>98.38</v>
      </c>
      <c r="R71" s="706">
        <v>4243</v>
      </c>
      <c r="S71" s="765">
        <f>IF((_xlfn.XLOOKUP(D71,RUC!$B$3:$B$119,RUC!$E$3:$E$119)+ROUNDDOWN(O71,1)*100)&lt;95,95,((_xlfn.XLOOKUP(D71,RUC!$B$3:$B$119,RUC!$E$3:$E$119)+ROUNDDOWN(O71,1)*100)))</f>
        <v>150</v>
      </c>
      <c r="U71" s="1146">
        <f>_xlfn.XLOOKUP(D71,RUC!$B$3:$B$123,RUC!$F$3:$F$123)</f>
        <v>120</v>
      </c>
      <c r="V71" s="715">
        <v>1.1023000000000001</v>
      </c>
      <c r="Y71">
        <f>_xlfn.XLOOKUP(D71,RUC!$B$3:$B$123,RUC!$G$3:$G$123)</f>
        <v>20</v>
      </c>
      <c r="Z71" s="143">
        <f>_xlfn.XLOOKUP(D71,RUC!$B$3:$B$123,RUC!$H$3:$H$123)</f>
        <v>30</v>
      </c>
      <c r="AA71" s="144">
        <f t="shared" si="42"/>
        <v>50</v>
      </c>
      <c r="AB71" s="145">
        <f t="shared" si="28"/>
        <v>2626.3920085599998</v>
      </c>
      <c r="AC71" s="145">
        <f>+(S71-T71)*V71-'data 1'!$F$4</f>
        <v>85.344999999999999</v>
      </c>
      <c r="AD71" s="145">
        <f t="shared" si="43"/>
        <v>281.83107719479989</v>
      </c>
      <c r="AE71" s="145">
        <f t="shared" si="44"/>
        <v>-14.884999999999998</v>
      </c>
      <c r="AF71" s="145">
        <f t="shared" si="45"/>
        <v>196.73092634888016</v>
      </c>
      <c r="AG71" s="772">
        <f t="shared" si="46"/>
        <v>566.02200354368006</v>
      </c>
      <c r="AH71" s="1253">
        <f t="shared" si="47"/>
        <v>95.048000000000002</v>
      </c>
      <c r="AI71" s="1253">
        <f t="shared" si="48"/>
        <v>96.613</v>
      </c>
      <c r="AJ71" s="156">
        <f t="shared" si="49"/>
        <v>190.18956774119999</v>
      </c>
      <c r="AK71" s="156">
        <f t="shared" si="50"/>
        <v>81.782005819772138</v>
      </c>
      <c r="AM71" s="716">
        <f t="shared" si="51"/>
        <v>10001.300768596479</v>
      </c>
      <c r="AN71" s="716" t="str">
        <f>_xlfn.XLOOKUP(D71,RUC!$B$3:$B$578,RUC!$M$3:$M$578)</f>
        <v>Evelyn</v>
      </c>
      <c r="AO71" s="1167" t="s">
        <v>2281</v>
      </c>
      <c r="AP71" t="s">
        <v>3749</v>
      </c>
      <c r="AQ71" t="s">
        <v>3750</v>
      </c>
    </row>
    <row r="72" spans="1:44" ht="15" customHeight="1">
      <c r="A72" s="747" t="s">
        <v>3707</v>
      </c>
      <c r="B72" s="1447">
        <v>46001</v>
      </c>
      <c r="C72" s="1447">
        <v>45996</v>
      </c>
      <c r="D72" t="s">
        <v>2444</v>
      </c>
      <c r="E72" s="762">
        <f>_xlfn.XLOOKUP(D72,RUC!$B$3:$B$123,RUC!$D$3:$D$123)</f>
        <v>20608774000</v>
      </c>
      <c r="G72" s="1082">
        <v>21</v>
      </c>
      <c r="H72" s="762" t="s">
        <v>69</v>
      </c>
      <c r="I72" s="703">
        <v>1.76</v>
      </c>
      <c r="J72" s="596">
        <v>2.35</v>
      </c>
      <c r="K72" s="703">
        <f t="shared" si="39"/>
        <v>1.7190000000000001</v>
      </c>
      <c r="L72" s="1082">
        <v>0.32600000000000001</v>
      </c>
      <c r="M72" s="994">
        <f t="shared" si="52"/>
        <v>0.30599999999999999</v>
      </c>
      <c r="N72" s="1196">
        <f t="shared" si="53"/>
        <v>0.30599999999999999</v>
      </c>
      <c r="O72" s="645">
        <f t="shared" si="54"/>
        <v>0.30599999999999999</v>
      </c>
      <c r="P72" s="727">
        <v>90</v>
      </c>
      <c r="Q72" s="1476">
        <v>96.32</v>
      </c>
      <c r="R72" s="706">
        <v>4243</v>
      </c>
      <c r="S72" s="765">
        <f>IF((_xlfn.XLOOKUP(D72,RUC!$B$3:$B$119,RUC!$E$3:$E$119)+ROUNDDOWN(O72,1)*100)&lt;95,95,((_xlfn.XLOOKUP(D72,RUC!$B$3:$B$119,RUC!$E$3:$E$119)+ROUNDDOWN(O72,1)*100)))</f>
        <v>115</v>
      </c>
      <c r="U72" s="1146">
        <f>_xlfn.XLOOKUP(D72,RUC!$B$3:$B$123,RUC!$F$3:$F$123)</f>
        <v>120</v>
      </c>
      <c r="V72" s="715">
        <v>1.1023000000000001</v>
      </c>
      <c r="Y72">
        <f>_xlfn.XLOOKUP(D72,RUC!$B$3:$B$123,RUC!$G$3:$G$123)</f>
        <v>20</v>
      </c>
      <c r="Z72" s="1454">
        <v>35</v>
      </c>
      <c r="AA72" s="144">
        <f t="shared" si="42"/>
        <v>55</v>
      </c>
      <c r="AB72" s="145">
        <f t="shared" si="28"/>
        <v>1064.24221066</v>
      </c>
      <c r="AC72" s="145">
        <f>+(S72-T72)*V72-'data 1'!$F$4</f>
        <v>46.764500000000012</v>
      </c>
      <c r="AD72" s="145">
        <f t="shared" si="43"/>
        <v>93.637071045279924</v>
      </c>
      <c r="AE72" s="145">
        <f t="shared" si="44"/>
        <v>-9.3734999999999999</v>
      </c>
      <c r="AF72" s="145">
        <f t="shared" si="45"/>
        <v>87.550697785600079</v>
      </c>
      <c r="AG72" s="772">
        <f t="shared" si="46"/>
        <v>235.57876883087999</v>
      </c>
      <c r="AH72" s="1253">
        <f t="shared" si="47"/>
        <v>18.506</v>
      </c>
      <c r="AI72" s="1253">
        <f t="shared" si="48"/>
        <v>19.213000000000001</v>
      </c>
      <c r="AJ72" s="156">
        <f t="shared" si="49"/>
        <v>82.031797384320001</v>
      </c>
      <c r="AK72" s="156">
        <f t="shared" si="50"/>
        <v>16.231134698759433</v>
      </c>
      <c r="AM72" s="716">
        <f t="shared" si="51"/>
        <v>1829.4323601245401</v>
      </c>
      <c r="AN72" s="716" t="str">
        <f>_xlfn.XLOOKUP(D72,RUC!$B$3:$B$578,RUC!$M$3:$M$578)</f>
        <v>Ronald Miranda</v>
      </c>
      <c r="AO72" s="1167" t="s">
        <v>2281</v>
      </c>
      <c r="AP72" t="s">
        <v>3745</v>
      </c>
      <c r="AQ72" t="s">
        <v>3746</v>
      </c>
    </row>
    <row r="73" spans="1:44" ht="15" customHeight="1">
      <c r="A73" s="747" t="s">
        <v>3709</v>
      </c>
      <c r="B73" s="1447">
        <v>46000</v>
      </c>
      <c r="C73" s="1447">
        <v>45996</v>
      </c>
      <c r="D73" t="s">
        <v>1484</v>
      </c>
      <c r="E73" s="762">
        <f>_xlfn.XLOOKUP(D73,RUC!$B$3:$B$123,RUC!$D$3:$D$123)</f>
        <v>10761932735</v>
      </c>
      <c r="G73" s="1082">
        <v>65</v>
      </c>
      <c r="H73" s="762" t="s">
        <v>69</v>
      </c>
      <c r="I73" s="703">
        <v>6.46</v>
      </c>
      <c r="J73" s="596">
        <v>6.7</v>
      </c>
      <c r="K73" s="703">
        <f t="shared" si="39"/>
        <v>6.0270000000000001</v>
      </c>
      <c r="L73" s="1082">
        <v>0.11899999999999999</v>
      </c>
      <c r="M73" s="994">
        <f t="shared" si="52"/>
        <v>0.10100000000000001</v>
      </c>
      <c r="N73" s="1196">
        <f t="shared" si="53"/>
        <v>0.10100000000000001</v>
      </c>
      <c r="O73" s="645">
        <f t="shared" si="54"/>
        <v>0.10100000000000001</v>
      </c>
      <c r="P73" s="727">
        <v>80</v>
      </c>
      <c r="Q73" s="1476">
        <v>98.32</v>
      </c>
      <c r="R73" s="706">
        <v>4243</v>
      </c>
      <c r="S73" s="765">
        <f>IF((_xlfn.XLOOKUP(D73,RUC!$B$3:$B$119,RUC!$E$3:$E$119)+ROUNDDOWN(O73,1)*100)&lt;95,95,((_xlfn.XLOOKUP(D73,RUC!$B$3:$B$119,RUC!$E$3:$E$119)+ROUNDDOWN(O73,1)*100)))</f>
        <v>100</v>
      </c>
      <c r="U73" s="1146">
        <f>_xlfn.XLOOKUP(D73,RUC!$B$3:$B$123,RUC!$F$3:$F$123)</f>
        <v>120</v>
      </c>
      <c r="V73" s="715">
        <v>1.1023000000000001</v>
      </c>
      <c r="Y73">
        <f>_xlfn.XLOOKUP(D73,RUC!$B$3:$B$123,RUC!$G$3:$G$123)</f>
        <v>20</v>
      </c>
      <c r="Z73" s="143">
        <f>_xlfn.XLOOKUP(D73,RUC!$B$3:$B$123,RUC!$H$3:$H$123)</f>
        <v>30</v>
      </c>
      <c r="AA73" s="144">
        <f t="shared" si="42"/>
        <v>50</v>
      </c>
      <c r="AB73" s="145">
        <f t="shared" si="28"/>
        <v>201.87345832000005</v>
      </c>
      <c r="AC73" s="145">
        <f>+(S73-T73)*V73-'data 1'!$F$4</f>
        <v>30.230000000000004</v>
      </c>
      <c r="AD73" s="145">
        <f t="shared" si="43"/>
        <v>99.079903046319956</v>
      </c>
      <c r="AE73" s="145">
        <f t="shared" si="44"/>
        <v>-14.884999999999998</v>
      </c>
      <c r="AF73" s="145">
        <f t="shared" si="45"/>
        <v>80.431749851039953</v>
      </c>
      <c r="AG73" s="772">
        <f t="shared" si="46"/>
        <v>211.85665289735994</v>
      </c>
      <c r="AH73" s="1253">
        <f t="shared" si="47"/>
        <v>24.177</v>
      </c>
      <c r="AI73" s="1253">
        <f t="shared" si="48"/>
        <v>24.59</v>
      </c>
      <c r="AJ73" s="156">
        <f t="shared" si="49"/>
        <v>30.565885696079999</v>
      </c>
      <c r="AK73" s="156">
        <f t="shared" si="50"/>
        <v>16.696353129209882</v>
      </c>
      <c r="AM73" s="716">
        <f t="shared" si="51"/>
        <v>1216.6913332946403</v>
      </c>
      <c r="AN73" s="716" t="str">
        <f>_xlfn.XLOOKUP(D73,RUC!$B$3:$B$578,RUC!$M$3:$M$578)</f>
        <v>Richard Sapacayo</v>
      </c>
      <c r="AO73" s="1167" t="s">
        <v>2279</v>
      </c>
      <c r="AP73" t="s">
        <v>3491</v>
      </c>
      <c r="AQ73" t="s">
        <v>3751</v>
      </c>
    </row>
    <row r="74" spans="1:44" ht="15" customHeight="1">
      <c r="A74" s="747" t="s">
        <v>3710</v>
      </c>
      <c r="B74" s="1447">
        <v>46000</v>
      </c>
      <c r="C74" s="1447">
        <v>45996</v>
      </c>
      <c r="D74" t="s">
        <v>1484</v>
      </c>
      <c r="E74" s="762">
        <f>_xlfn.XLOOKUP(D74,RUC!$B$3:$B$123,RUC!$D$3:$D$123)</f>
        <v>10761932735</v>
      </c>
      <c r="G74" s="1082">
        <v>179</v>
      </c>
      <c r="H74" s="762" t="s">
        <v>69</v>
      </c>
      <c r="I74" s="703">
        <v>16.98</v>
      </c>
      <c r="J74" s="596">
        <v>8.4</v>
      </c>
      <c r="K74" s="703">
        <f t="shared" si="39"/>
        <v>15.554</v>
      </c>
      <c r="L74" s="1082">
        <v>0.13800000000000001</v>
      </c>
      <c r="M74" s="994">
        <f t="shared" si="52"/>
        <v>0.12</v>
      </c>
      <c r="N74" s="1196">
        <f t="shared" si="53"/>
        <v>0.12</v>
      </c>
      <c r="O74" s="645">
        <f t="shared" si="54"/>
        <v>0.12</v>
      </c>
      <c r="P74" s="727">
        <v>80</v>
      </c>
      <c r="Q74" s="1476">
        <v>96.38</v>
      </c>
      <c r="R74" s="706">
        <v>4243</v>
      </c>
      <c r="S74" s="765">
        <f>IF((_xlfn.XLOOKUP(D74,RUC!$B$3:$B$119,RUC!$E$3:$E$119)+ROUNDDOWN(O74,1)*100)&lt;95,95,((_xlfn.XLOOKUP(D74,RUC!$B$3:$B$119,RUC!$E$3:$E$119)+ROUNDDOWN(O74,1)*100)))</f>
        <v>100</v>
      </c>
      <c r="U74" s="1146">
        <f>_xlfn.XLOOKUP(D74,RUC!$B$3:$B$123,RUC!$F$3:$F$123)</f>
        <v>120</v>
      </c>
      <c r="V74" s="715">
        <v>1.1023000000000001</v>
      </c>
      <c r="Y74">
        <f>_xlfn.XLOOKUP(D74,RUC!$B$3:$B$123,RUC!$G$3:$G$123)</f>
        <v>20</v>
      </c>
      <c r="Z74" s="143">
        <f>_xlfn.XLOOKUP(D74,RUC!$B$3:$B$123,RUC!$H$3:$H$123)</f>
        <v>30</v>
      </c>
      <c r="AA74" s="144">
        <f t="shared" si="42"/>
        <v>50</v>
      </c>
      <c r="AB74" s="145">
        <f t="shared" si="28"/>
        <v>270.95415839999993</v>
      </c>
      <c r="AC74" s="145">
        <f>+(S74-T74)*V74-'data 1'!$F$4</f>
        <v>30.230000000000004</v>
      </c>
      <c r="AD74" s="145">
        <f t="shared" si="43"/>
        <v>102.73209058475997</v>
      </c>
      <c r="AE74" s="145">
        <f t="shared" si="44"/>
        <v>-14.884999999999998</v>
      </c>
      <c r="AF74" s="145">
        <f t="shared" si="45"/>
        <v>78.844711662360083</v>
      </c>
      <c r="AG74" s="772">
        <f t="shared" si="46"/>
        <v>213.92180224712007</v>
      </c>
      <c r="AH74" s="1253">
        <f t="shared" si="47"/>
        <v>70.927999999999997</v>
      </c>
      <c r="AI74" s="1253">
        <f t="shared" si="48"/>
        <v>73.591999999999999</v>
      </c>
      <c r="AJ74" s="156">
        <f t="shared" si="49"/>
        <v>34.746747778439996</v>
      </c>
      <c r="AK74" s="156">
        <f t="shared" si="50"/>
        <v>51.194392870051203</v>
      </c>
      <c r="AM74" s="716">
        <f t="shared" si="51"/>
        <v>4214.4209797535987</v>
      </c>
      <c r="AN74" s="716" t="str">
        <f>_xlfn.XLOOKUP(D74,RUC!$B$3:$B$578,RUC!$M$3:$M$578)</f>
        <v>Richard Sapacayo</v>
      </c>
      <c r="AO74" s="1167" t="s">
        <v>2279</v>
      </c>
      <c r="AP74" t="s">
        <v>3491</v>
      </c>
      <c r="AQ74" t="s">
        <v>3751</v>
      </c>
    </row>
    <row r="75" spans="1:44" ht="15" customHeight="1">
      <c r="A75" s="747" t="s">
        <v>3717</v>
      </c>
      <c r="B75" s="1447">
        <v>46002</v>
      </c>
      <c r="C75" s="1447">
        <v>45997</v>
      </c>
      <c r="D75" t="s">
        <v>93</v>
      </c>
      <c r="E75" s="762">
        <f>_xlfn.XLOOKUP(D75,RUC!$B$3:$B$123,RUC!$D$3:$D$123)</f>
        <v>20169040231</v>
      </c>
      <c r="G75" s="1082">
        <v>65</v>
      </c>
      <c r="H75" s="762" t="s">
        <v>69</v>
      </c>
      <c r="I75" s="703">
        <v>5.32</v>
      </c>
      <c r="J75" s="596">
        <v>1.3</v>
      </c>
      <c r="K75" s="703">
        <f t="shared" si="39"/>
        <v>5.2510000000000003</v>
      </c>
      <c r="L75" s="1192">
        <v>0.31</v>
      </c>
      <c r="M75" s="994">
        <f t="shared" si="52"/>
        <v>0.29099999999999998</v>
      </c>
      <c r="N75" s="1196">
        <f t="shared" si="53"/>
        <v>0.29099999999999998</v>
      </c>
      <c r="O75" s="645">
        <f t="shared" si="54"/>
        <v>0.29099999999999998</v>
      </c>
      <c r="P75" s="727">
        <v>88</v>
      </c>
      <c r="Q75" s="1476">
        <v>91.29</v>
      </c>
      <c r="R75" s="706">
        <v>4243</v>
      </c>
      <c r="S75" s="765">
        <f>IF((_xlfn.XLOOKUP(D75,RUC!$B$3:$B$119,RUC!$E$3:$E$119)+ROUNDDOWN(O75,1)*100)&lt;95,95,((_xlfn.XLOOKUP(D75,RUC!$B$3:$B$119,RUC!$E$3:$E$119)+ROUNDDOWN(O75,1)*100)))</f>
        <v>105</v>
      </c>
      <c r="U75" s="1146">
        <f>_xlfn.XLOOKUP(D75,RUC!$B$3:$B$123,RUC!$F$3:$F$123)</f>
        <v>120</v>
      </c>
      <c r="V75" s="715">
        <v>1.1023000000000001</v>
      </c>
      <c r="Y75">
        <f>_xlfn.XLOOKUP(D75,RUC!$B$3:$B$123,RUC!$G$3:$G$123)</f>
        <v>20</v>
      </c>
      <c r="Z75" s="1454">
        <v>35</v>
      </c>
      <c r="AA75" s="144">
        <f t="shared" si="42"/>
        <v>55</v>
      </c>
      <c r="AB75" s="145">
        <f t="shared" si="28"/>
        <v>987.46000503200003</v>
      </c>
      <c r="AC75" s="145">
        <f>+(S75-T75)*V75-'data 1'!$F$4</f>
        <v>35.741500000000002</v>
      </c>
      <c r="AD75" s="145">
        <f t="shared" si="43"/>
        <v>46.352240797100094</v>
      </c>
      <c r="AE75" s="145">
        <f t="shared" si="44"/>
        <v>-9.3734999999999999</v>
      </c>
      <c r="AF75" s="145">
        <f t="shared" si="45"/>
        <v>78.829713878790074</v>
      </c>
      <c r="AG75" s="772">
        <f t="shared" si="46"/>
        <v>168.54995467589018</v>
      </c>
      <c r="AH75" s="1253">
        <f t="shared" si="47"/>
        <v>50.948999999999998</v>
      </c>
      <c r="AI75" s="1253">
        <f t="shared" si="48"/>
        <v>55.81</v>
      </c>
      <c r="AJ75" s="156">
        <f t="shared" si="49"/>
        <v>73.932102054900014</v>
      </c>
      <c r="AK75" s="156">
        <f t="shared" si="50"/>
        <v>46.102741204352839</v>
      </c>
      <c r="AM75" s="716">
        <f t="shared" si="51"/>
        <v>5185.1524864230323</v>
      </c>
      <c r="AN75" s="716" t="str">
        <f>_xlfn.XLOOKUP(D75,RUC!$B$3:$B$578,RUC!$M$3:$M$578)</f>
        <v>Ronald Miranda</v>
      </c>
      <c r="AO75" s="1167" t="s">
        <v>2281</v>
      </c>
      <c r="AP75" t="s">
        <v>3753</v>
      </c>
      <c r="AQ75" t="s">
        <v>3754</v>
      </c>
      <c r="AR75" t="s">
        <v>3663</v>
      </c>
    </row>
    <row r="76" spans="1:44" ht="15" customHeight="1">
      <c r="A76" s="747" t="s">
        <v>3718</v>
      </c>
      <c r="B76" s="1447">
        <v>46002</v>
      </c>
      <c r="C76" s="1447">
        <v>45997</v>
      </c>
      <c r="D76" t="s">
        <v>93</v>
      </c>
      <c r="E76" s="762">
        <f>_xlfn.XLOOKUP(D76,RUC!$B$3:$B$123,RUC!$D$3:$D$123)</f>
        <v>20169040231</v>
      </c>
      <c r="G76" s="1082">
        <v>65</v>
      </c>
      <c r="H76" s="762" t="s">
        <v>69</v>
      </c>
      <c r="I76" s="703">
        <v>5.08</v>
      </c>
      <c r="J76" s="596">
        <v>1.2</v>
      </c>
      <c r="K76" s="703">
        <f t="shared" si="39"/>
        <v>5.0190000000000001</v>
      </c>
      <c r="L76" s="1192">
        <v>0.28299999999999997</v>
      </c>
      <c r="M76" s="994">
        <f t="shared" si="52"/>
        <v>0.26500000000000001</v>
      </c>
      <c r="N76" s="1196">
        <f t="shared" si="53"/>
        <v>0.26500000000000001</v>
      </c>
      <c r="O76" s="645">
        <f t="shared" si="54"/>
        <v>0.26500000000000001</v>
      </c>
      <c r="P76" s="727">
        <v>88</v>
      </c>
      <c r="Q76" s="1476">
        <v>89.4</v>
      </c>
      <c r="R76" s="706">
        <v>4243</v>
      </c>
      <c r="S76" s="765">
        <f>IF((_xlfn.XLOOKUP(D76,RUC!$B$3:$B$119,RUC!$E$3:$E$119)+ROUNDDOWN(O76,1)*100)&lt;95,95,((_xlfn.XLOOKUP(D76,RUC!$B$3:$B$119,RUC!$E$3:$E$119)+ROUNDDOWN(O76,1)*100)))</f>
        <v>105</v>
      </c>
      <c r="U76" s="1146">
        <f>_xlfn.XLOOKUP(D76,RUC!$B$3:$B$123,RUC!$F$3:$F$123)</f>
        <v>120</v>
      </c>
      <c r="V76" s="715">
        <v>1.1023000000000001</v>
      </c>
      <c r="Y76">
        <f>_xlfn.XLOOKUP(D76,RUC!$B$3:$B$123,RUC!$G$3:$G$123)</f>
        <v>20</v>
      </c>
      <c r="Z76" s="1454">
        <v>35</v>
      </c>
      <c r="AA76" s="144">
        <f t="shared" si="42"/>
        <v>55</v>
      </c>
      <c r="AB76" s="145">
        <f t="shared" si="28"/>
        <v>883.4753722800001</v>
      </c>
      <c r="AC76" s="145">
        <f>+(S76-T76)*V76-'data 1'!$F$4</f>
        <v>35.741500000000002</v>
      </c>
      <c r="AD76" s="145">
        <f t="shared" si="43"/>
        <v>18.006429849800075</v>
      </c>
      <c r="AE76" s="145">
        <f t="shared" si="44"/>
        <v>-9.3734999999999999</v>
      </c>
      <c r="AF76" s="145">
        <f t="shared" si="45"/>
        <v>73.134646426799861</v>
      </c>
      <c r="AG76" s="772">
        <f t="shared" si="46"/>
        <v>134.50907627659993</v>
      </c>
      <c r="AH76" s="1253">
        <f t="shared" si="47"/>
        <v>43.536000000000001</v>
      </c>
      <c r="AI76" s="1253">
        <f t="shared" si="48"/>
        <v>48.698</v>
      </c>
      <c r="AJ76" s="156">
        <f t="shared" si="49"/>
        <v>66.095532790200011</v>
      </c>
      <c r="AK76" s="156">
        <f t="shared" si="50"/>
        <v>40.128674163671946</v>
      </c>
      <c r="AM76" s="716">
        <f t="shared" si="51"/>
        <v>4434.1628934733208</v>
      </c>
      <c r="AN76" s="716" t="str">
        <f>_xlfn.XLOOKUP(D76,RUC!$B$3:$B$578,RUC!$M$3:$M$578)</f>
        <v>Ronald Miranda</v>
      </c>
      <c r="AO76" s="1167" t="s">
        <v>2281</v>
      </c>
      <c r="AP76" t="s">
        <v>3753</v>
      </c>
      <c r="AQ76" t="s">
        <v>3754</v>
      </c>
      <c r="AR76" t="s">
        <v>3663</v>
      </c>
    </row>
    <row r="77" spans="1:44" ht="15" customHeight="1">
      <c r="A77" s="747" t="s">
        <v>3719</v>
      </c>
      <c r="B77" s="1447">
        <v>46002</v>
      </c>
      <c r="C77" s="1447">
        <v>45997</v>
      </c>
      <c r="D77" t="s">
        <v>93</v>
      </c>
      <c r="E77" s="762">
        <f>_xlfn.XLOOKUP(D77,RUC!$B$3:$B$123,RUC!$D$3:$D$123)</f>
        <v>20169040231</v>
      </c>
      <c r="G77" s="1082">
        <v>65</v>
      </c>
      <c r="H77" s="762" t="s">
        <v>69</v>
      </c>
      <c r="I77" s="703">
        <v>5.08</v>
      </c>
      <c r="J77" s="596">
        <v>1.2</v>
      </c>
      <c r="K77" s="703">
        <f t="shared" si="39"/>
        <v>5.0190000000000001</v>
      </c>
      <c r="L77" s="1192">
        <v>0.20499999999999999</v>
      </c>
      <c r="M77" s="994">
        <f t="shared" si="52"/>
        <v>0.187</v>
      </c>
      <c r="N77" s="1196">
        <f t="shared" si="53"/>
        <v>0.187</v>
      </c>
      <c r="O77" s="645">
        <f t="shared" si="54"/>
        <v>0.187</v>
      </c>
      <c r="P77" s="727">
        <v>85</v>
      </c>
      <c r="Q77" s="1476">
        <v>91.22</v>
      </c>
      <c r="R77" s="706">
        <v>4243</v>
      </c>
      <c r="S77" s="765">
        <f>IF((_xlfn.XLOOKUP(D77,RUC!$B$3:$B$119,RUC!$E$3:$E$119)+ROUNDDOWN(O77,1)*100)&lt;95,95,((_xlfn.XLOOKUP(D77,RUC!$B$3:$B$119,RUC!$E$3:$E$119)+ROUNDDOWN(O77,1)*100)))</f>
        <v>95</v>
      </c>
      <c r="U77" s="1146">
        <f>_xlfn.XLOOKUP(D77,RUC!$B$3:$B$123,RUC!$F$3:$F$123)</f>
        <v>120</v>
      </c>
      <c r="V77" s="715">
        <v>1.1023000000000001</v>
      </c>
      <c r="Y77">
        <f>_xlfn.XLOOKUP(D77,RUC!$B$3:$B$123,RUC!$G$3:$G$123)</f>
        <v>20</v>
      </c>
      <c r="Z77" s="1454">
        <v>35</v>
      </c>
      <c r="AA77" s="144">
        <f t="shared" si="42"/>
        <v>55</v>
      </c>
      <c r="AB77" s="145">
        <f t="shared" si="28"/>
        <v>557.04824195500009</v>
      </c>
      <c r="AC77" s="145">
        <f>+(S77-T77)*V77-'data 1'!$F$4</f>
        <v>24.718500000000006</v>
      </c>
      <c r="AD77" s="145">
        <f t="shared" si="43"/>
        <v>57.950526757899986</v>
      </c>
      <c r="AE77" s="145">
        <f t="shared" si="44"/>
        <v>-9.3734999999999999</v>
      </c>
      <c r="AF77" s="145">
        <f t="shared" si="45"/>
        <v>74.62351730483995</v>
      </c>
      <c r="AG77" s="772">
        <f t="shared" si="46"/>
        <v>164.91904406273994</v>
      </c>
      <c r="AH77" s="1253">
        <f t="shared" si="47"/>
        <v>32.179000000000002</v>
      </c>
      <c r="AI77" s="1253">
        <f t="shared" si="48"/>
        <v>35.276000000000003</v>
      </c>
      <c r="AJ77" s="156">
        <f t="shared" si="49"/>
        <v>48.85309494509999</v>
      </c>
      <c r="AK77" s="156">
        <f t="shared" si="50"/>
        <v>27.351855738917902</v>
      </c>
      <c r="AM77" s="716">
        <f t="shared" si="51"/>
        <v>2795.8251263721454</v>
      </c>
      <c r="AN77" s="716" t="str">
        <f>_xlfn.XLOOKUP(D77,RUC!$B$3:$B$578,RUC!$M$3:$M$578)</f>
        <v>Ronald Miranda</v>
      </c>
      <c r="AO77" s="1167" t="s">
        <v>2281</v>
      </c>
      <c r="AP77" t="s">
        <v>3753</v>
      </c>
      <c r="AQ77" t="s">
        <v>3754</v>
      </c>
    </row>
    <row r="78" spans="1:44" ht="15" customHeight="1">
      <c r="A78" s="747" t="s">
        <v>3720</v>
      </c>
      <c r="B78" s="1447">
        <v>46002</v>
      </c>
      <c r="C78" s="1447">
        <v>45997</v>
      </c>
      <c r="D78" t="s">
        <v>93</v>
      </c>
      <c r="E78" s="762">
        <f>_xlfn.XLOOKUP(D78,RUC!$B$3:$B$123,RUC!$D$3:$D$123)</f>
        <v>20169040231</v>
      </c>
      <c r="G78" s="1082">
        <v>65</v>
      </c>
      <c r="H78" s="762" t="s">
        <v>69</v>
      </c>
      <c r="I78" s="703">
        <v>5.03</v>
      </c>
      <c r="J78" s="596">
        <v>1.3</v>
      </c>
      <c r="K78" s="703">
        <f t="shared" si="39"/>
        <v>4.9649999999999999</v>
      </c>
      <c r="L78" s="1082">
        <v>0.16800000000000001</v>
      </c>
      <c r="M78" s="994">
        <f t="shared" si="52"/>
        <v>0.15</v>
      </c>
      <c r="N78" s="1196">
        <f t="shared" si="53"/>
        <v>0.15</v>
      </c>
      <c r="O78" s="645">
        <f t="shared" si="54"/>
        <v>0.15</v>
      </c>
      <c r="P78" s="727">
        <v>85</v>
      </c>
      <c r="Q78" s="1476">
        <v>89.88</v>
      </c>
      <c r="R78" s="706">
        <v>4243</v>
      </c>
      <c r="S78" s="765">
        <f>IF((_xlfn.XLOOKUP(D78,RUC!$B$3:$B$119,RUC!$E$3:$E$119)+ROUNDDOWN(O78,1)*100)&lt;95,95,((_xlfn.XLOOKUP(D78,RUC!$B$3:$B$119,RUC!$E$3:$E$119)+ROUNDDOWN(O78,1)*100)))</f>
        <v>95</v>
      </c>
      <c r="U78" s="1146">
        <f>_xlfn.XLOOKUP(D78,RUC!$B$3:$B$123,RUC!$F$3:$F$123)</f>
        <v>120</v>
      </c>
      <c r="V78" s="715">
        <v>1.1023000000000001</v>
      </c>
      <c r="Y78">
        <f>_xlfn.XLOOKUP(D78,RUC!$B$3:$B$123,RUC!$G$3:$G$123)</f>
        <v>20</v>
      </c>
      <c r="Z78" s="1454">
        <v>35</v>
      </c>
      <c r="AA78" s="144">
        <f t="shared" si="42"/>
        <v>55</v>
      </c>
      <c r="AB78" s="145">
        <f t="shared" ref="AB78:AB87" si="55">+((O78*P78*(R78-U78)/100)-S78-AA78+T78)*V78</f>
        <v>414.11481975000004</v>
      </c>
      <c r="AC78" s="145">
        <f>+(S78-T78)*V78-'data 1'!$F$4</f>
        <v>24.718500000000006</v>
      </c>
      <c r="AD78" s="145">
        <f t="shared" si="43"/>
        <v>37.259948127359969</v>
      </c>
      <c r="AE78" s="145">
        <f t="shared" si="44"/>
        <v>-9.3734999999999999</v>
      </c>
      <c r="AF78" s="145">
        <f t="shared" si="45"/>
        <v>73.527315669360064</v>
      </c>
      <c r="AG78" s="772">
        <f t="shared" si="46"/>
        <v>143.13226379672005</v>
      </c>
      <c r="AH78" s="1253">
        <f t="shared" si="47"/>
        <v>25.704000000000001</v>
      </c>
      <c r="AI78" s="1253">
        <f t="shared" si="48"/>
        <v>28.597999999999999</v>
      </c>
      <c r="AJ78" s="156">
        <f t="shared" si="49"/>
        <v>39.447592107840002</v>
      </c>
      <c r="AK78" s="156">
        <f t="shared" si="50"/>
        <v>21.703936337701872</v>
      </c>
      <c r="AM78" s="716">
        <f t="shared" si="51"/>
        <v>2056.0800800587504</v>
      </c>
      <c r="AN78" s="716" t="str">
        <f>_xlfn.XLOOKUP(D78,RUC!$B$3:$B$578,RUC!$M$3:$M$578)</f>
        <v>Ronald Miranda</v>
      </c>
      <c r="AO78" s="1167" t="s">
        <v>2281</v>
      </c>
      <c r="AP78" t="s">
        <v>3753</v>
      </c>
      <c r="AQ78" t="s">
        <v>3754</v>
      </c>
    </row>
    <row r="79" spans="1:44" ht="15" customHeight="1">
      <c r="A79" s="747" t="s">
        <v>3721</v>
      </c>
      <c r="B79" s="1447">
        <v>46002</v>
      </c>
      <c r="C79" s="1447">
        <v>45997</v>
      </c>
      <c r="D79" t="s">
        <v>93</v>
      </c>
      <c r="E79" s="762">
        <f>_xlfn.XLOOKUP(D79,RUC!$B$3:$B$123,RUC!$D$3:$D$123)</f>
        <v>20169040231</v>
      </c>
      <c r="G79" s="1082">
        <v>56</v>
      </c>
      <c r="H79" s="762" t="s">
        <v>69</v>
      </c>
      <c r="I79" s="703">
        <v>4.58</v>
      </c>
      <c r="J79" s="596">
        <v>1.2</v>
      </c>
      <c r="K79" s="703">
        <f t="shared" si="39"/>
        <v>4.5250000000000004</v>
      </c>
      <c r="L79" s="1082">
        <v>0.20100000000000001</v>
      </c>
      <c r="M79" s="994">
        <f t="shared" si="52"/>
        <v>0.183</v>
      </c>
      <c r="N79" s="1196">
        <f t="shared" si="53"/>
        <v>0.183</v>
      </c>
      <c r="O79" s="645">
        <f t="shared" si="54"/>
        <v>0.183</v>
      </c>
      <c r="P79" s="727">
        <v>85</v>
      </c>
      <c r="Q79" s="1572">
        <v>82.09</v>
      </c>
      <c r="R79" s="706">
        <v>4243</v>
      </c>
      <c r="S79" s="765">
        <f>IF((_xlfn.XLOOKUP(D79,RUC!$B$3:$B$119,RUC!$E$3:$E$119)+ROUNDDOWN(O79,1)*100)&lt;95,95,((_xlfn.XLOOKUP(D79,RUC!$B$3:$B$119,RUC!$E$3:$E$119)+ROUNDDOWN(O79,1)*100)))</f>
        <v>95</v>
      </c>
      <c r="U79" s="1146">
        <f>_xlfn.XLOOKUP(D79,RUC!$B$3:$B$123,RUC!$F$3:$F$123)</f>
        <v>120</v>
      </c>
      <c r="V79" s="715">
        <v>1.1023000000000001</v>
      </c>
      <c r="Y79">
        <f>_xlfn.XLOOKUP(D79,RUC!$B$3:$B$123,RUC!$G$3:$G$123)</f>
        <v>20</v>
      </c>
      <c r="Z79" s="1454">
        <v>35</v>
      </c>
      <c r="AA79" s="144">
        <f t="shared" si="42"/>
        <v>55</v>
      </c>
      <c r="AB79" s="145">
        <f t="shared" si="55"/>
        <v>541.59598009499996</v>
      </c>
      <c r="AC79" s="145">
        <f>+(S79-T79)*V79-'data 1'!$F$4</f>
        <v>24.718500000000006</v>
      </c>
      <c r="AD79" s="145">
        <f t="shared" si="43"/>
        <v>-26.58288966038997</v>
      </c>
      <c r="AE79" s="145">
        <f t="shared" si="44"/>
        <v>-9.3734999999999999</v>
      </c>
      <c r="AF79" s="145">
        <f t="shared" si="45"/>
        <v>67.154621086980072</v>
      </c>
      <c r="AG79" s="772">
        <f t="shared" si="46"/>
        <v>72.916731426590104</v>
      </c>
      <c r="AH79" s="1253">
        <f t="shared" si="47"/>
        <v>25.597999999999999</v>
      </c>
      <c r="AI79" s="1253">
        <f t="shared" si="48"/>
        <v>31.183</v>
      </c>
      <c r="AJ79" s="156">
        <f t="shared" si="49"/>
        <v>43.105676620590003</v>
      </c>
      <c r="AK79" s="156">
        <f t="shared" si="50"/>
        <v>24.132241803078188</v>
      </c>
      <c r="AM79" s="716">
        <f t="shared" si="51"/>
        <v>2450.7218099298748</v>
      </c>
      <c r="AN79" s="716" t="str">
        <f>_xlfn.XLOOKUP(D79,RUC!$B$3:$B$578,RUC!$M$3:$M$578)</f>
        <v>Ronald Miranda</v>
      </c>
      <c r="AO79" s="1167" t="s">
        <v>2281</v>
      </c>
      <c r="AP79" t="s">
        <v>3753</v>
      </c>
      <c r="AQ79" t="s">
        <v>3754</v>
      </c>
    </row>
    <row r="80" spans="1:44" ht="15" customHeight="1">
      <c r="A80" s="747" t="s">
        <v>3722</v>
      </c>
      <c r="B80" s="1447">
        <v>46002</v>
      </c>
      <c r="C80" s="1447">
        <v>45997</v>
      </c>
      <c r="D80" t="s">
        <v>93</v>
      </c>
      <c r="E80" s="762">
        <f>_xlfn.XLOOKUP(D80,RUC!$B$3:$B$123,RUC!$D$3:$D$123)</f>
        <v>20169040231</v>
      </c>
      <c r="G80" s="1082">
        <v>54</v>
      </c>
      <c r="H80" s="762" t="s">
        <v>69</v>
      </c>
      <c r="I80" s="703">
        <v>4.46</v>
      </c>
      <c r="J80" s="596">
        <v>1.3</v>
      </c>
      <c r="K80" s="703">
        <f t="shared" si="39"/>
        <v>4.4020000000000001</v>
      </c>
      <c r="L80" s="1082">
        <v>0.32700000000000001</v>
      </c>
      <c r="M80" s="994">
        <f t="shared" si="52"/>
        <v>0.307</v>
      </c>
      <c r="N80" s="1196">
        <f t="shared" si="53"/>
        <v>0.307</v>
      </c>
      <c r="O80" s="645">
        <f t="shared" si="54"/>
        <v>0.307</v>
      </c>
      <c r="P80" s="727">
        <v>83</v>
      </c>
      <c r="Q80" s="1476">
        <v>90.21</v>
      </c>
      <c r="R80" s="706">
        <v>4243</v>
      </c>
      <c r="S80" s="765">
        <f>IF((_xlfn.XLOOKUP(D80,RUC!$B$3:$B$119,RUC!$E$3:$E$119)+ROUNDDOWN(O80,1)*100)&lt;95,95,((_xlfn.XLOOKUP(D80,RUC!$B$3:$B$119,RUC!$E$3:$E$119)+ROUNDDOWN(O80,1)*100)))</f>
        <v>115</v>
      </c>
      <c r="U80" s="1146">
        <f>_xlfn.XLOOKUP(D80,RUC!$B$3:$B$123,RUC!$F$3:$F$123)</f>
        <v>120</v>
      </c>
      <c r="V80" s="715">
        <v>1.1023000000000001</v>
      </c>
      <c r="Y80">
        <f>_xlfn.XLOOKUP(D80,RUC!$B$3:$B$123,RUC!$G$3:$G$123)</f>
        <v>20</v>
      </c>
      <c r="Z80" s="1454">
        <v>35</v>
      </c>
      <c r="AA80" s="144">
        <f t="shared" si="42"/>
        <v>55</v>
      </c>
      <c r="AB80" s="145">
        <f t="shared" si="55"/>
        <v>970.6651307489999</v>
      </c>
      <c r="AC80" s="145">
        <f>+(S80-T80)*V80-'data 1'!$F$4</f>
        <v>46.764500000000012</v>
      </c>
      <c r="AD80" s="145">
        <f t="shared" si="43"/>
        <v>107.15098299842992</v>
      </c>
      <c r="AE80" s="145">
        <f t="shared" si="44"/>
        <v>-9.3734999999999999</v>
      </c>
      <c r="AF80" s="145">
        <f t="shared" si="45"/>
        <v>81.996973081800078</v>
      </c>
      <c r="AG80" s="772">
        <f t="shared" si="46"/>
        <v>243.53895608022998</v>
      </c>
      <c r="AH80" s="1253">
        <f t="shared" si="47"/>
        <v>44.521000000000001</v>
      </c>
      <c r="AI80" s="1253">
        <f t="shared" si="48"/>
        <v>49.351999999999997</v>
      </c>
      <c r="AJ80" s="156">
        <f t="shared" si="49"/>
        <v>77.06382994017001</v>
      </c>
      <c r="AK80" s="156">
        <f t="shared" si="50"/>
        <v>38.457015327148241</v>
      </c>
      <c r="AM80" s="716">
        <f t="shared" si="51"/>
        <v>4272.8679055570974</v>
      </c>
      <c r="AN80" s="716" t="str">
        <f>_xlfn.XLOOKUP(D80,RUC!$B$3:$B$578,RUC!$M$3:$M$578)</f>
        <v>Ronald Miranda</v>
      </c>
      <c r="AO80" s="1167" t="s">
        <v>2281</v>
      </c>
      <c r="AP80" t="s">
        <v>3753</v>
      </c>
      <c r="AQ80" t="s">
        <v>3754</v>
      </c>
      <c r="AR80" t="s">
        <v>3663</v>
      </c>
    </row>
    <row r="81" spans="1:43" ht="15" customHeight="1">
      <c r="A81" s="747" t="s">
        <v>3723</v>
      </c>
      <c r="B81" s="1447">
        <v>46002</v>
      </c>
      <c r="C81" s="1447">
        <v>45997</v>
      </c>
      <c r="D81" t="s">
        <v>93</v>
      </c>
      <c r="E81" s="762">
        <f>_xlfn.XLOOKUP(D81,RUC!$B$3:$B$123,RUC!$D$3:$D$123)</f>
        <v>20169040231</v>
      </c>
      <c r="G81" s="1082">
        <v>54</v>
      </c>
      <c r="H81" s="762" t="s">
        <v>69</v>
      </c>
      <c r="I81" s="703">
        <v>4.3099999999999996</v>
      </c>
      <c r="J81" s="596">
        <v>1.25</v>
      </c>
      <c r="K81" s="703">
        <f t="shared" si="39"/>
        <v>4.2560000000000002</v>
      </c>
      <c r="L81" s="1082">
        <v>0.157</v>
      </c>
      <c r="M81" s="994">
        <f t="shared" si="52"/>
        <v>0.13900000000000001</v>
      </c>
      <c r="N81" s="1196">
        <f t="shared" si="53"/>
        <v>0.13900000000000001</v>
      </c>
      <c r="O81" s="645">
        <f t="shared" si="54"/>
        <v>0.13900000000000001</v>
      </c>
      <c r="P81" s="727">
        <v>85</v>
      </c>
      <c r="Q81" s="1476">
        <v>86.62</v>
      </c>
      <c r="R81" s="706">
        <v>4243</v>
      </c>
      <c r="S81" s="765">
        <f>IF((_xlfn.XLOOKUP(D81,RUC!$B$3:$B$119,RUC!$E$3:$E$119)+ROUNDDOWN(O81,1)*100)&lt;95,95,((_xlfn.XLOOKUP(D81,RUC!$B$3:$B$119,RUC!$E$3:$E$119)+ROUNDDOWN(O81,1)*100)))</f>
        <v>95</v>
      </c>
      <c r="U81" s="1146">
        <f>_xlfn.XLOOKUP(D81,RUC!$B$3:$B$123,RUC!$F$3:$F$123)</f>
        <v>120</v>
      </c>
      <c r="V81" s="715">
        <v>1.1023000000000001</v>
      </c>
      <c r="Y81">
        <f>_xlfn.XLOOKUP(D81,RUC!$B$3:$B$123,RUC!$G$3:$G$123)</f>
        <v>20</v>
      </c>
      <c r="Z81" s="1454">
        <v>35</v>
      </c>
      <c r="AA81" s="144">
        <f t="shared" si="42"/>
        <v>55</v>
      </c>
      <c r="AB81" s="145">
        <f t="shared" si="55"/>
        <v>371.62109963500001</v>
      </c>
      <c r="AC81" s="145">
        <f>+(S81-T81)*V81-'data 1'!$F$4</f>
        <v>24.718500000000006</v>
      </c>
      <c r="AD81" s="145">
        <f t="shared" si="43"/>
        <v>11.559200827860034</v>
      </c>
      <c r="AE81" s="145">
        <f t="shared" si="44"/>
        <v>-9.3734999999999999</v>
      </c>
      <c r="AF81" s="145">
        <f t="shared" si="45"/>
        <v>70.860437063639964</v>
      </c>
      <c r="AG81" s="772">
        <f t="shared" si="46"/>
        <v>114.7646378915</v>
      </c>
      <c r="AH81" s="1253">
        <f t="shared" si="47"/>
        <v>19.844000000000001</v>
      </c>
      <c r="AI81" s="1253">
        <f t="shared" si="48"/>
        <v>22.908999999999999</v>
      </c>
      <c r="AJ81" s="156">
        <f t="shared" si="49"/>
        <v>35.527609382340003</v>
      </c>
      <c r="AK81" s="156">
        <f t="shared" si="50"/>
        <v>17.240283953545525</v>
      </c>
      <c r="AM81" s="716">
        <f t="shared" si="51"/>
        <v>1581.61940004656</v>
      </c>
      <c r="AN81" s="716" t="str">
        <f>_xlfn.XLOOKUP(D81,RUC!$B$3:$B$578,RUC!$M$3:$M$578)</f>
        <v>Ronald Miranda</v>
      </c>
      <c r="AO81" s="1167" t="s">
        <v>2281</v>
      </c>
      <c r="AP81" t="s">
        <v>3753</v>
      </c>
      <c r="AQ81" t="s">
        <v>3754</v>
      </c>
    </row>
    <row r="82" spans="1:43" ht="15" customHeight="1">
      <c r="A82" s="747" t="s">
        <v>3725</v>
      </c>
      <c r="B82" s="1447">
        <v>46003</v>
      </c>
      <c r="C82" s="1447">
        <v>45997</v>
      </c>
      <c r="D82" t="s">
        <v>93</v>
      </c>
      <c r="E82" s="762">
        <f>_xlfn.XLOOKUP(D82,RUC!$B$3:$B$123,RUC!$D$3:$D$123)</f>
        <v>20169040231</v>
      </c>
      <c r="G82" s="1082">
        <v>85</v>
      </c>
      <c r="H82" s="762" t="s">
        <v>69</v>
      </c>
      <c r="I82" s="703">
        <v>7.5</v>
      </c>
      <c r="J82" s="596">
        <v>1.4</v>
      </c>
      <c r="K82" s="703">
        <f t="shared" si="39"/>
        <v>7.3949999999999996</v>
      </c>
      <c r="L82" s="1082">
        <v>0.26400000000000001</v>
      </c>
      <c r="M82" s="994">
        <f t="shared" ref="M82:M87" si="56">ROUND(+IF(AN82="Melchor Vera",IF(L82&gt;0.467,L82*0.985,(L82-0.007)),IF(L82&gt;0.3,L82*0.94,(L82-0.018))),3)</f>
        <v>0.246</v>
      </c>
      <c r="N82" s="1196">
        <f t="shared" si="53"/>
        <v>0.246</v>
      </c>
      <c r="O82" s="645">
        <f t="shared" si="54"/>
        <v>0.246</v>
      </c>
      <c r="P82" s="727">
        <v>90</v>
      </c>
      <c r="Q82" s="1476">
        <v>94.78</v>
      </c>
      <c r="R82" s="706">
        <v>4243</v>
      </c>
      <c r="S82" s="765">
        <f>IF((_xlfn.XLOOKUP(D82,RUC!$B$3:$B$119,RUC!$E$3:$E$119)+ROUNDDOWN(O82,1)*100)&lt;95,95,((_xlfn.XLOOKUP(D82,RUC!$B$3:$B$119,RUC!$E$3:$E$119)+ROUNDDOWN(O82,1)*100)))</f>
        <v>105</v>
      </c>
      <c r="U82" s="1146">
        <f>_xlfn.XLOOKUP(D82,RUC!$B$3:$B$123,RUC!$F$3:$F$123)</f>
        <v>120</v>
      </c>
      <c r="V82" s="715">
        <v>1.1023000000000001</v>
      </c>
      <c r="Y82">
        <f>_xlfn.XLOOKUP(D82,RUC!$B$3:$B$123,RUC!$G$3:$G$123)</f>
        <v>20</v>
      </c>
      <c r="Z82" s="1454">
        <v>35</v>
      </c>
      <c r="AA82" s="144">
        <f t="shared" si="42"/>
        <v>55</v>
      </c>
      <c r="AB82" s="145">
        <f t="shared" si="55"/>
        <v>829.84693406000008</v>
      </c>
      <c r="AC82" s="145">
        <f>+(S82-T82)*V82-'data 1'!$F$4</f>
        <v>35.741500000000002</v>
      </c>
      <c r="AD82" s="145">
        <f t="shared" si="43"/>
        <v>57.351524371680028</v>
      </c>
      <c r="AE82" s="145">
        <f t="shared" si="44"/>
        <v>-9.3734999999999999</v>
      </c>
      <c r="AF82" s="145">
        <f t="shared" si="45"/>
        <v>77.535814187160071</v>
      </c>
      <c r="AG82" s="772">
        <f t="shared" si="46"/>
        <v>178.25533855884009</v>
      </c>
      <c r="AH82" s="1253">
        <f t="shared" si="47"/>
        <v>63.441000000000003</v>
      </c>
      <c r="AI82" s="1253">
        <f t="shared" si="48"/>
        <v>66.935000000000002</v>
      </c>
      <c r="AJ82" s="156">
        <f t="shared" si="49"/>
        <v>65.368539925920018</v>
      </c>
      <c r="AK82" s="156">
        <f t="shared" si="50"/>
        <v>56.133854441026642</v>
      </c>
      <c r="AM82" s="716">
        <f t="shared" si="51"/>
        <v>6136.7180773737</v>
      </c>
      <c r="AN82" s="716" t="str">
        <f>_xlfn.XLOOKUP(D82,RUC!$B$3:$B$578,RUC!$M$3:$M$578)</f>
        <v>Ronald Miranda</v>
      </c>
      <c r="AO82" s="1167" t="s">
        <v>2279</v>
      </c>
      <c r="AP82" t="s">
        <v>3755</v>
      </c>
      <c r="AQ82" t="s">
        <v>3756</v>
      </c>
    </row>
    <row r="83" spans="1:43" ht="15" customHeight="1">
      <c r="A83" s="747" t="s">
        <v>3726</v>
      </c>
      <c r="B83" s="1447">
        <v>46003</v>
      </c>
      <c r="C83" s="1447">
        <v>45997</v>
      </c>
      <c r="D83" t="s">
        <v>93</v>
      </c>
      <c r="E83" s="762">
        <f>_xlfn.XLOOKUP(D83,RUC!$B$3:$B$123,RUC!$D$3:$D$123)</f>
        <v>20169040231</v>
      </c>
      <c r="G83" s="1082">
        <v>11</v>
      </c>
      <c r="H83" s="762" t="s">
        <v>108</v>
      </c>
      <c r="I83" s="703">
        <v>1.1000000000000001</v>
      </c>
      <c r="J83" s="596">
        <v>21</v>
      </c>
      <c r="K83" s="703">
        <f t="shared" si="39"/>
        <v>0.86899999999999999</v>
      </c>
      <c r="L83" s="1082">
        <v>0.371</v>
      </c>
      <c r="M83" s="994">
        <f t="shared" si="56"/>
        <v>0.34899999999999998</v>
      </c>
      <c r="N83" s="1196">
        <f t="shared" si="53"/>
        <v>0.34899999999999998</v>
      </c>
      <c r="O83" s="645">
        <f t="shared" si="54"/>
        <v>0.34899999999999998</v>
      </c>
      <c r="P83" s="727">
        <v>90</v>
      </c>
      <c r="Q83" s="1476">
        <v>91.6</v>
      </c>
      <c r="R83" s="706">
        <v>4243</v>
      </c>
      <c r="S83" s="765">
        <f>IF((_xlfn.XLOOKUP(D83,RUC!$B$3:$B$119,RUC!$E$3:$E$119)+ROUNDDOWN(O83,1)*100)&lt;95,95,((_xlfn.XLOOKUP(D83,RUC!$B$3:$B$119,RUC!$E$3:$E$119)+ROUNDDOWN(O83,1)*100)))</f>
        <v>115</v>
      </c>
      <c r="U83" s="1146">
        <f>_xlfn.XLOOKUP(D83,RUC!$B$3:$B$123,RUC!$F$3:$F$123)</f>
        <v>120</v>
      </c>
      <c r="V83" s="715">
        <v>1.1023000000000001</v>
      </c>
      <c r="Y83">
        <f>_xlfn.XLOOKUP(D83,RUC!$B$3:$B$123,RUC!$G$3:$G$123)</f>
        <v>20</v>
      </c>
      <c r="Z83" s="1454">
        <v>35</v>
      </c>
      <c r="AA83" s="144">
        <f t="shared" si="42"/>
        <v>55</v>
      </c>
      <c r="AB83" s="145">
        <f t="shared" si="55"/>
        <v>1240.12530889</v>
      </c>
      <c r="AC83" s="145">
        <f>+(S83-T83)*V83-'data 1'!$F$4</f>
        <v>46.764500000000012</v>
      </c>
      <c r="AD83" s="145">
        <f t="shared" si="43"/>
        <v>26.977831294399905</v>
      </c>
      <c r="AE83" s="145">
        <f t="shared" si="44"/>
        <v>-9.3734999999999999</v>
      </c>
      <c r="AF83" s="145">
        <f t="shared" si="45"/>
        <v>91.586465000800075</v>
      </c>
      <c r="AG83" s="772">
        <f t="shared" si="46"/>
        <v>172.95529629519999</v>
      </c>
      <c r="AH83" s="1253">
        <f t="shared" si="47"/>
        <v>10.125</v>
      </c>
      <c r="AI83" s="1253">
        <f t="shared" si="48"/>
        <v>11.054</v>
      </c>
      <c r="AJ83" s="156">
        <f t="shared" si="49"/>
        <v>88.780489803599991</v>
      </c>
      <c r="AK83" s="156">
        <f t="shared" si="50"/>
        <v>9.3582960958728432</v>
      </c>
      <c r="AM83" s="716">
        <f t="shared" si="51"/>
        <v>1077.66889342541</v>
      </c>
      <c r="AN83" s="716" t="str">
        <f>_xlfn.XLOOKUP(D83,RUC!$B$3:$B$578,RUC!$M$3:$M$578)</f>
        <v>Ronald Miranda</v>
      </c>
      <c r="AO83" s="1167" t="s">
        <v>2279</v>
      </c>
      <c r="AP83" t="s">
        <v>3755</v>
      </c>
      <c r="AQ83" t="s">
        <v>3756</v>
      </c>
    </row>
    <row r="84" spans="1:43" ht="15" customHeight="1">
      <c r="A84" s="747" t="s">
        <v>3727</v>
      </c>
      <c r="B84" s="1447">
        <v>46001</v>
      </c>
      <c r="C84" s="1447">
        <v>45997</v>
      </c>
      <c r="D84" t="s">
        <v>93</v>
      </c>
      <c r="E84" s="762">
        <f>_xlfn.XLOOKUP(D84,RUC!$B$3:$B$123,RUC!$D$3:$D$123)</f>
        <v>20169040231</v>
      </c>
      <c r="G84" s="1082">
        <v>51</v>
      </c>
      <c r="H84" s="762" t="s">
        <v>69</v>
      </c>
      <c r="I84" s="703">
        <v>4.5599999999999996</v>
      </c>
      <c r="J84" s="596">
        <v>1.35</v>
      </c>
      <c r="K84" s="703">
        <f t="shared" si="39"/>
        <v>4.4980000000000002</v>
      </c>
      <c r="L84" s="1082">
        <v>0.496</v>
      </c>
      <c r="M84" s="994">
        <f t="shared" si="56"/>
        <v>0.46600000000000003</v>
      </c>
      <c r="N84" s="1196">
        <f t="shared" si="53"/>
        <v>0.46600000000000003</v>
      </c>
      <c r="O84" s="645">
        <f t="shared" si="54"/>
        <v>0.46600000000000003</v>
      </c>
      <c r="P84" s="727">
        <v>90</v>
      </c>
      <c r="Q84" s="1476">
        <v>90.32</v>
      </c>
      <c r="R84" s="706">
        <v>4243</v>
      </c>
      <c r="S84" s="765">
        <f>IF((_xlfn.XLOOKUP(D84,RUC!$B$3:$B$119,RUC!$E$3:$E$119)+ROUNDDOWN(O84,1)*100)&lt;95,95,((_xlfn.XLOOKUP(D84,RUC!$B$3:$B$119,RUC!$E$3:$E$119)+ROUNDDOWN(O84,1)*100)))</f>
        <v>125</v>
      </c>
      <c r="U84" s="1146">
        <f>_xlfn.XLOOKUP(D84,RUC!$B$3:$B$123,RUC!$F$3:$F$123)</f>
        <v>120</v>
      </c>
      <c r="V84" s="715">
        <v>1.1023000000000001</v>
      </c>
      <c r="Y84">
        <f>_xlfn.XLOOKUP(D84,RUC!$B$3:$B$123,RUC!$G$3:$G$123)</f>
        <v>20</v>
      </c>
      <c r="Z84" s="1454">
        <v>35</v>
      </c>
      <c r="AA84" s="144">
        <f t="shared" si="42"/>
        <v>55</v>
      </c>
      <c r="AB84" s="145">
        <f t="shared" si="55"/>
        <v>1707.6679482600005</v>
      </c>
      <c r="AC84" s="145">
        <f>+(S84-T84)*V84-'data 1'!$F$4</f>
        <v>57.787499999999994</v>
      </c>
      <c r="AD84" s="145">
        <f t="shared" si="43"/>
        <v>7.2134794188798468</v>
      </c>
      <c r="AE84" s="145">
        <f t="shared" si="44"/>
        <v>-9.3734999999999999</v>
      </c>
      <c r="AF84" s="145">
        <f t="shared" si="45"/>
        <v>123.14543745839988</v>
      </c>
      <c r="AG84" s="772">
        <f t="shared" si="46"/>
        <v>195.77291687727973</v>
      </c>
      <c r="AH84" s="1253">
        <f t="shared" si="47"/>
        <v>69.087000000000003</v>
      </c>
      <c r="AI84" s="1253">
        <f t="shared" si="48"/>
        <v>76.491</v>
      </c>
      <c r="AJ84" s="156">
        <f t="shared" si="49"/>
        <v>117.03446086271998</v>
      </c>
      <c r="AK84" s="156">
        <f t="shared" si="50"/>
        <v>64.678054283268679</v>
      </c>
      <c r="AM84" s="716">
        <f t="shared" si="51"/>
        <v>7681.0904312734829</v>
      </c>
      <c r="AN84" s="716" t="str">
        <f>_xlfn.XLOOKUP(D84,RUC!$B$3:$B$578,RUC!$M$3:$M$578)</f>
        <v>Ronald Miranda</v>
      </c>
      <c r="AO84" s="1167" t="s">
        <v>2280</v>
      </c>
      <c r="AP84" t="s">
        <v>3755</v>
      </c>
      <c r="AQ84" t="s">
        <v>3756</v>
      </c>
    </row>
    <row r="85" spans="1:43" ht="15" customHeight="1">
      <c r="A85" s="747" t="s">
        <v>3731</v>
      </c>
      <c r="B85" s="1447">
        <v>46001</v>
      </c>
      <c r="C85" s="1447">
        <v>45997</v>
      </c>
      <c r="D85" t="s">
        <v>93</v>
      </c>
      <c r="E85" s="762">
        <f>_xlfn.XLOOKUP(D85,RUC!$B$3:$B$123,RUC!$D$3:$D$123)</f>
        <v>20169040231</v>
      </c>
      <c r="G85" s="1082">
        <v>52</v>
      </c>
      <c r="H85" s="762" t="s">
        <v>69</v>
      </c>
      <c r="I85" s="703">
        <v>4.59</v>
      </c>
      <c r="J85" s="596">
        <v>1.4</v>
      </c>
      <c r="K85" s="703">
        <f t="shared" si="39"/>
        <v>4.5259999999999998</v>
      </c>
      <c r="L85" s="1082">
        <v>0.69799999999999995</v>
      </c>
      <c r="M85" s="994">
        <f t="shared" si="56"/>
        <v>0.65600000000000003</v>
      </c>
      <c r="N85" s="1444">
        <v>0.72899999999999998</v>
      </c>
      <c r="O85" s="645">
        <f t="shared" si="54"/>
        <v>0.69299999999999995</v>
      </c>
      <c r="P85" s="727">
        <v>90</v>
      </c>
      <c r="Q85" s="1476">
        <v>90.83</v>
      </c>
      <c r="R85" s="706">
        <v>4243</v>
      </c>
      <c r="S85" s="765">
        <f>IF((_xlfn.XLOOKUP(D85,RUC!$B$3:$B$119,RUC!$E$3:$E$119)+ROUNDDOWN(O85,1)*100)&lt;95,95,((_xlfn.XLOOKUP(D85,RUC!$B$3:$B$119,RUC!$E$3:$E$119)+ROUNDDOWN(O85,1)*100)))</f>
        <v>145</v>
      </c>
      <c r="U85" s="1146">
        <f>_xlfn.XLOOKUP(D85,RUC!$B$3:$B$123,RUC!$F$3:$F$123)</f>
        <v>120</v>
      </c>
      <c r="V85" s="715">
        <v>1.1023000000000001</v>
      </c>
      <c r="Y85">
        <f>_xlfn.XLOOKUP(D85,RUC!$B$3:$B$123,RUC!$G$3:$G$123)</f>
        <v>20</v>
      </c>
      <c r="Z85" s="1454">
        <v>35</v>
      </c>
      <c r="AA85" s="144">
        <f t="shared" si="42"/>
        <v>55</v>
      </c>
      <c r="AB85" s="145">
        <f t="shared" si="55"/>
        <v>2614.1210947299996</v>
      </c>
      <c r="AC85" s="145">
        <f>+(S85-T85)*V85-'data 1'!$F$4</f>
        <v>79.833500000000015</v>
      </c>
      <c r="AD85" s="145">
        <f t="shared" si="43"/>
        <v>26.329745252859944</v>
      </c>
      <c r="AE85" s="145">
        <f t="shared" si="44"/>
        <v>-9.3734999999999999</v>
      </c>
      <c r="AF85" s="145">
        <f t="shared" si="45"/>
        <v>20.640131540350023</v>
      </c>
      <c r="AG85" s="772">
        <f t="shared" si="46"/>
        <v>134.42987679320998</v>
      </c>
      <c r="AH85" s="1253">
        <f t="shared" si="47"/>
        <v>98.38</v>
      </c>
      <c r="AI85" s="1253">
        <f t="shared" si="48"/>
        <v>108.313</v>
      </c>
      <c r="AJ85" s="156">
        <f t="shared" si="49"/>
        <v>165.62766918233999</v>
      </c>
      <c r="AK85" s="156">
        <f t="shared" si="50"/>
        <v>96.783063080228899</v>
      </c>
      <c r="AM85" s="716">
        <f t="shared" si="51"/>
        <v>11831.512074747978</v>
      </c>
      <c r="AN85" s="716" t="str">
        <f>_xlfn.XLOOKUP(D85,RUC!$B$3:$B$578,RUC!$M$3:$M$578)</f>
        <v>Ronald Miranda</v>
      </c>
      <c r="AO85" s="1167" t="s">
        <v>2280</v>
      </c>
      <c r="AP85" t="s">
        <v>3755</v>
      </c>
      <c r="AQ85" t="s">
        <v>3756</v>
      </c>
    </row>
    <row r="86" spans="1:43" ht="15" customHeight="1">
      <c r="A86" s="747" t="s">
        <v>3732</v>
      </c>
      <c r="B86" s="1447">
        <v>46001</v>
      </c>
      <c r="C86" s="1447">
        <v>45997</v>
      </c>
      <c r="D86" t="s">
        <v>93</v>
      </c>
      <c r="E86" s="762">
        <f>_xlfn.XLOOKUP(D86,RUC!$B$3:$B$123,RUC!$D$3:$D$123)</f>
        <v>20169040231</v>
      </c>
      <c r="G86" s="1082">
        <v>100</v>
      </c>
      <c r="H86" s="762" t="s">
        <v>69</v>
      </c>
      <c r="I86" s="703">
        <v>9.9700000000000006</v>
      </c>
      <c r="J86" s="596">
        <v>1.35</v>
      </c>
      <c r="K86" s="703">
        <f t="shared" si="39"/>
        <v>9.8350000000000009</v>
      </c>
      <c r="L86" s="1192">
        <v>2.19</v>
      </c>
      <c r="M86" s="994">
        <f t="shared" si="56"/>
        <v>2.0590000000000002</v>
      </c>
      <c r="N86" s="1196">
        <f t="shared" ref="N86" si="57">+M86</f>
        <v>2.0590000000000002</v>
      </c>
      <c r="O86" s="645">
        <f t="shared" si="54"/>
        <v>2.0590000000000002</v>
      </c>
      <c r="P86" s="727">
        <v>90</v>
      </c>
      <c r="Q86" s="1476">
        <v>94.43</v>
      </c>
      <c r="R86" s="706">
        <v>4243</v>
      </c>
      <c r="S86" s="765">
        <f>IF((_xlfn.XLOOKUP(D86,RUC!$B$3:$B$119,RUC!$E$3:$E$119)+ROUNDDOWN(O86,1)*100)&lt;95,95,((_xlfn.XLOOKUP(D86,RUC!$B$3:$B$119,RUC!$E$3:$E$119)+ROUNDDOWN(O86,1)*100)))</f>
        <v>285</v>
      </c>
      <c r="U86" s="1146">
        <f>_xlfn.XLOOKUP(D86,RUC!$B$3:$B$123,RUC!$F$3:$F$123)</f>
        <v>120</v>
      </c>
      <c r="V86" s="715">
        <v>1.1023000000000001</v>
      </c>
      <c r="Y86">
        <f>_xlfn.XLOOKUP(D86,RUC!$B$3:$B$123,RUC!$G$3:$G$123)</f>
        <v>20</v>
      </c>
      <c r="Z86" s="1454">
        <v>38</v>
      </c>
      <c r="AA86" s="144">
        <f t="shared" si="42"/>
        <v>58</v>
      </c>
      <c r="AB86" s="145">
        <f t="shared" si="55"/>
        <v>8043.8482919899998</v>
      </c>
      <c r="AC86" s="145">
        <f>+(S86-T86)*V86-'data 1'!$F$4</f>
        <v>234.15550000000002</v>
      </c>
      <c r="AD86" s="145">
        <f t="shared" si="43"/>
        <v>440.92120260930068</v>
      </c>
      <c r="AE86" s="145">
        <f t="shared" si="44"/>
        <v>-6.0666000000000011</v>
      </c>
      <c r="AF86" s="145">
        <f t="shared" si="45"/>
        <v>562.20464251356918</v>
      </c>
      <c r="AG86" s="772">
        <f t="shared" si="46"/>
        <v>1248.2147451228698</v>
      </c>
      <c r="AH86" s="1253">
        <f t="shared" si="47"/>
        <v>697.32899999999995</v>
      </c>
      <c r="AI86" s="1253">
        <f t="shared" si="48"/>
        <v>738.46100000000001</v>
      </c>
      <c r="AJ86" s="156">
        <f t="shared" si="49"/>
        <v>540.25930796670002</v>
      </c>
      <c r="AK86" s="156">
        <f t="shared" si="50"/>
        <v>624.85937427630006</v>
      </c>
      <c r="AM86" s="716">
        <f t="shared" si="51"/>
        <v>79111.247951721656</v>
      </c>
      <c r="AN86" s="716" t="str">
        <f>_xlfn.XLOOKUP(D86,RUC!$B$3:$B$578,RUC!$M$3:$M$578)</f>
        <v>Ronald Miranda</v>
      </c>
      <c r="AO86" s="1167" t="s">
        <v>2279</v>
      </c>
      <c r="AP86" t="s">
        <v>3755</v>
      </c>
      <c r="AQ86" t="s">
        <v>3756</v>
      </c>
    </row>
    <row r="87" spans="1:43" ht="15" customHeight="1">
      <c r="A87" s="747" t="s">
        <v>3733</v>
      </c>
      <c r="B87" s="1447">
        <v>46002</v>
      </c>
      <c r="C87" s="1447">
        <v>45998</v>
      </c>
      <c r="D87" t="s">
        <v>1484</v>
      </c>
      <c r="E87" s="762">
        <f>_xlfn.XLOOKUP(D87,RUC!$B$3:$B$123,RUC!$D$3:$D$123)</f>
        <v>10761932735</v>
      </c>
      <c r="G87" s="1082" t="s">
        <v>2985</v>
      </c>
      <c r="H87" s="762" t="s">
        <v>69</v>
      </c>
      <c r="I87" s="703">
        <v>24.38</v>
      </c>
      <c r="J87" s="596">
        <v>15.83</v>
      </c>
      <c r="K87" s="703">
        <f t="shared" si="39"/>
        <v>20.521000000000001</v>
      </c>
      <c r="L87" s="1082">
        <v>0.16700000000000001</v>
      </c>
      <c r="M87" s="994">
        <f t="shared" si="56"/>
        <v>0.14899999999999999</v>
      </c>
      <c r="N87" s="1444">
        <v>0.20399999999999999</v>
      </c>
      <c r="O87" s="645">
        <f t="shared" si="54"/>
        <v>0.17699999999999999</v>
      </c>
      <c r="P87" s="727">
        <v>90</v>
      </c>
      <c r="Q87" s="1476">
        <v>92.81</v>
      </c>
      <c r="R87" s="706">
        <v>4188.25</v>
      </c>
      <c r="S87" s="765">
        <f>IF((_xlfn.XLOOKUP(D87,RUC!$B$3:$B$119,RUC!$E$3:$E$119)+ROUNDDOWN(O87,1)*100)&lt;95,95,((_xlfn.XLOOKUP(D87,RUC!$B$3:$B$119,RUC!$E$3:$E$119)+ROUNDDOWN(O87,1)*100)))</f>
        <v>100</v>
      </c>
      <c r="U87" s="1146">
        <f>_xlfn.XLOOKUP(D87,RUC!$B$3:$B$123,RUC!$F$3:$F$123)</f>
        <v>120</v>
      </c>
      <c r="V87" s="715">
        <v>1.1023000000000001</v>
      </c>
      <c r="Y87">
        <f>_xlfn.XLOOKUP(D87,RUC!$B$3:$B$123,RUC!$G$3:$G$123)</f>
        <v>20</v>
      </c>
      <c r="Z87" s="143">
        <f>_xlfn.XLOOKUP(D87,RUC!$B$3:$B$123,RUC!$H$3:$H$123)</f>
        <v>30</v>
      </c>
      <c r="AA87" s="144">
        <f t="shared" si="42"/>
        <v>50</v>
      </c>
      <c r="AB87" s="145">
        <f t="shared" si="55"/>
        <v>549.02501361750001</v>
      </c>
      <c r="AC87" s="145">
        <f>+(S87-T87)*V87-'data 1'!$F$4</f>
        <v>30.230000000000004</v>
      </c>
      <c r="AD87" s="145">
        <f t="shared" si="43"/>
        <v>21.044093929082518</v>
      </c>
      <c r="AE87" s="145">
        <f t="shared" si="44"/>
        <v>-14.884999999999998</v>
      </c>
      <c r="AF87" s="145">
        <f t="shared" si="45"/>
        <v>-41.620013159974931</v>
      </c>
      <c r="AG87" s="772">
        <f t="shared" si="46"/>
        <v>11.769080769107603</v>
      </c>
      <c r="AH87" s="1253">
        <f t="shared" si="47"/>
        <v>109.048</v>
      </c>
      <c r="AI87" s="1253">
        <f t="shared" si="48"/>
        <v>117.496</v>
      </c>
      <c r="AJ87" s="156">
        <f t="shared" si="49"/>
        <v>49.845036224017512</v>
      </c>
      <c r="AK87" s="156">
        <f t="shared" si="50"/>
        <v>112.07877239412618</v>
      </c>
      <c r="AM87" s="716">
        <f t="shared" si="51"/>
        <v>11266.542304444718</v>
      </c>
      <c r="AN87" s="716" t="str">
        <f>_xlfn.XLOOKUP(D87,RUC!$B$3:$B$578,RUC!$M$3:$M$578)</f>
        <v>Richard Sapacayo</v>
      </c>
      <c r="AO87" s="1167" t="s">
        <v>2279</v>
      </c>
      <c r="AP87" t="s">
        <v>3760</v>
      </c>
      <c r="AQ87" t="s">
        <v>3761</v>
      </c>
    </row>
    <row r="88" spans="1:43" ht="15" customHeight="1">
      <c r="A88" s="1582"/>
      <c r="G88" s="1082"/>
      <c r="R88" s="706"/>
    </row>
    <row r="89" spans="1:43" ht="15" customHeight="1">
      <c r="A89" s="1582"/>
      <c r="G89" s="1082"/>
      <c r="R89" s="706"/>
    </row>
    <row r="90" spans="1:43" ht="15" customHeight="1">
      <c r="A90" s="1582"/>
      <c r="G90" s="1082"/>
      <c r="R90" s="706"/>
    </row>
    <row r="91" spans="1:43" ht="15" customHeight="1">
      <c r="A91" s="1582"/>
      <c r="G91" s="1082"/>
      <c r="R91" s="706"/>
    </row>
    <row r="92" spans="1:43" ht="15" customHeight="1">
      <c r="A92" s="1582"/>
      <c r="G92" s="1082"/>
      <c r="R92" s="706"/>
    </row>
    <row r="93" spans="1:43" ht="15" customHeight="1">
      <c r="A93" s="1582"/>
      <c r="G93" s="1082"/>
      <c r="R93" s="706"/>
    </row>
    <row r="94" spans="1:43" ht="15" customHeight="1">
      <c r="A94" s="1582"/>
      <c r="G94" s="1082"/>
      <c r="R94" s="706"/>
    </row>
    <row r="95" spans="1:43" ht="15" customHeight="1">
      <c r="A95" s="1582"/>
      <c r="G95" s="1082"/>
      <c r="R95" s="706"/>
    </row>
    <row r="96" spans="1:43" ht="15" customHeight="1">
      <c r="A96" s="1582"/>
      <c r="G96" s="1082"/>
      <c r="R96" s="706"/>
    </row>
    <row r="97" spans="1:18" ht="15" customHeight="1">
      <c r="A97" s="1582"/>
      <c r="G97" s="1082"/>
      <c r="R97" s="706"/>
    </row>
    <row r="98" spans="1:18" ht="15" customHeight="1">
      <c r="A98" s="1582"/>
      <c r="G98" s="1082"/>
      <c r="R98" s="706"/>
    </row>
    <row r="99" spans="1:18" ht="15" customHeight="1">
      <c r="A99" s="1582"/>
      <c r="G99" s="1082"/>
      <c r="R99" s="706"/>
    </row>
    <row r="100" spans="1:18" ht="15" customHeight="1">
      <c r="A100" s="1582"/>
      <c r="G100" s="1082"/>
      <c r="R100" s="706"/>
    </row>
    <row r="101" spans="1:18" ht="15" customHeight="1">
      <c r="A101" s="1582"/>
      <c r="G101" s="1082"/>
      <c r="R101" s="706"/>
    </row>
    <row r="102" spans="1:18" ht="15" customHeight="1">
      <c r="A102" s="1582"/>
      <c r="G102" s="1082"/>
      <c r="R102" s="706"/>
    </row>
    <row r="103" spans="1:18" ht="15" customHeight="1">
      <c r="A103" s="1582"/>
      <c r="G103" s="1082"/>
      <c r="R103" s="706"/>
    </row>
    <row r="104" spans="1:18" ht="15" customHeight="1">
      <c r="A104" s="1582"/>
      <c r="G104" s="1082"/>
      <c r="R104" s="706"/>
    </row>
    <row r="105" spans="1:18" ht="15" customHeight="1">
      <c r="A105" s="1582"/>
      <c r="G105" s="1082"/>
      <c r="R105" s="706"/>
    </row>
    <row r="106" spans="1:18" ht="15" customHeight="1">
      <c r="A106" s="1582"/>
      <c r="G106" s="1082"/>
      <c r="R106" s="706"/>
    </row>
    <row r="107" spans="1:18" ht="15" customHeight="1">
      <c r="A107" s="1582"/>
      <c r="G107" s="1082"/>
      <c r="R107" s="706"/>
    </row>
    <row r="108" spans="1:18" ht="15" customHeight="1">
      <c r="A108" s="1582"/>
      <c r="G108" s="1082"/>
      <c r="R108" s="706"/>
    </row>
    <row r="109" spans="1:18" ht="15" customHeight="1">
      <c r="A109" s="1582"/>
      <c r="G109" s="1082"/>
      <c r="R109" s="706"/>
    </row>
    <row r="110" spans="1:18" ht="15" customHeight="1">
      <c r="A110" s="1582"/>
      <c r="G110" s="1082"/>
      <c r="R110" s="706"/>
    </row>
    <row r="111" spans="1:18" ht="15" customHeight="1">
      <c r="A111" s="1582"/>
      <c r="G111" s="1082"/>
      <c r="R111" s="706"/>
    </row>
    <row r="112" spans="1:18" ht="15" customHeight="1">
      <c r="A112" s="1582"/>
      <c r="G112" s="1082"/>
      <c r="R112" s="706"/>
    </row>
    <row r="113" spans="1:18" ht="15" customHeight="1">
      <c r="A113" s="1582"/>
      <c r="G113" s="1082"/>
      <c r="R113" s="706"/>
    </row>
    <row r="114" spans="1:18" ht="15" customHeight="1">
      <c r="G114" s="1082"/>
      <c r="R114" s="706"/>
    </row>
    <row r="115" spans="1:18" ht="15" customHeight="1">
      <c r="G115" s="1082"/>
      <c r="R115" s="706"/>
    </row>
    <row r="116" spans="1:18" ht="15" customHeight="1">
      <c r="G116" s="1082"/>
      <c r="R116" s="706"/>
    </row>
    <row r="117" spans="1:18" ht="15" customHeight="1">
      <c r="G117" s="1082"/>
      <c r="R117" s="706"/>
    </row>
    <row r="118" spans="1:18" ht="15" customHeight="1">
      <c r="G118" s="1082"/>
      <c r="R118" s="706"/>
    </row>
    <row r="119" spans="1:18" ht="15" customHeight="1">
      <c r="G119" s="1082"/>
      <c r="R119" s="706"/>
    </row>
    <row r="120" spans="1:18" ht="15" customHeight="1">
      <c r="G120" s="1082"/>
      <c r="R120" s="706"/>
    </row>
    <row r="121" spans="1:18" ht="15" customHeight="1">
      <c r="G121" s="1082"/>
      <c r="R121" s="706"/>
    </row>
    <row r="122" spans="1:18" ht="15" customHeight="1">
      <c r="G122" s="1082"/>
      <c r="R122" s="706"/>
    </row>
    <row r="123" spans="1:18" ht="15" customHeight="1">
      <c r="G123" s="1082"/>
      <c r="R123" s="706"/>
    </row>
    <row r="124" spans="1:18" ht="15" customHeight="1">
      <c r="G124" s="1082"/>
      <c r="R124" s="706"/>
    </row>
    <row r="125" spans="1:18" ht="15" customHeight="1">
      <c r="G125" s="1082"/>
      <c r="R125" s="706"/>
    </row>
    <row r="126" spans="1:18" ht="15" customHeight="1">
      <c r="G126" s="1082"/>
      <c r="R126" s="706"/>
    </row>
    <row r="127" spans="1:18" ht="15" customHeight="1">
      <c r="G127" s="1082"/>
      <c r="R127" s="706"/>
    </row>
    <row r="128" spans="1:18" ht="15" customHeight="1">
      <c r="G128" s="1082"/>
      <c r="R128" s="706"/>
    </row>
    <row r="129" spans="7:18" ht="15" customHeight="1">
      <c r="G129" s="1082"/>
      <c r="R129" s="706"/>
    </row>
    <row r="130" spans="7:18" ht="15" customHeight="1">
      <c r="G130" s="1082"/>
      <c r="R130" s="706"/>
    </row>
    <row r="131" spans="7:18" ht="15" customHeight="1">
      <c r="G131" s="1082"/>
      <c r="R131" s="706"/>
    </row>
    <row r="132" spans="7:18" ht="15" customHeight="1">
      <c r="G132" s="1082"/>
      <c r="R132" s="706"/>
    </row>
    <row r="133" spans="7:18" ht="15" customHeight="1">
      <c r="G133" s="1082"/>
      <c r="R133" s="706"/>
    </row>
    <row r="134" spans="7:18" ht="15" customHeight="1">
      <c r="G134" s="1082"/>
      <c r="R134" s="706"/>
    </row>
    <row r="135" spans="7:18" ht="15" customHeight="1">
      <c r="G135" s="1082"/>
      <c r="R135" s="706"/>
    </row>
    <row r="136" spans="7:18" ht="15" customHeight="1">
      <c r="G136" s="1082"/>
      <c r="R136" s="706"/>
    </row>
    <row r="137" spans="7:18" ht="15" customHeight="1">
      <c r="G137" s="1082"/>
      <c r="R137" s="706"/>
    </row>
    <row r="138" spans="7:18" ht="15" customHeight="1">
      <c r="G138" s="1082"/>
      <c r="R138" s="706"/>
    </row>
    <row r="139" spans="7:18" ht="15" customHeight="1">
      <c r="G139" s="1082"/>
      <c r="R139" s="706"/>
    </row>
    <row r="140" spans="7:18" ht="15" customHeight="1">
      <c r="G140" s="1082"/>
      <c r="R140" s="706"/>
    </row>
    <row r="141" spans="7:18" ht="15" customHeight="1">
      <c r="G141" s="1082"/>
      <c r="R141" s="706"/>
    </row>
    <row r="142" spans="7:18" ht="15" customHeight="1">
      <c r="G142" s="1082"/>
      <c r="R142" s="706"/>
    </row>
    <row r="143" spans="7:18" ht="15" customHeight="1">
      <c r="G143" s="1082"/>
      <c r="R143" s="706"/>
    </row>
    <row r="144" spans="7:18" ht="15" customHeight="1">
      <c r="G144" s="1082"/>
      <c r="R144" s="706"/>
    </row>
    <row r="145" spans="7:18" ht="15" customHeight="1">
      <c r="G145" s="1082"/>
      <c r="R145" s="706"/>
    </row>
    <row r="146" spans="7:18" ht="15" customHeight="1">
      <c r="G146" s="1082"/>
      <c r="R146" s="706"/>
    </row>
    <row r="147" spans="7:18" ht="15" customHeight="1">
      <c r="G147" s="1082"/>
      <c r="R147" s="706"/>
    </row>
    <row r="148" spans="7:18" ht="15" customHeight="1">
      <c r="G148" s="1082"/>
      <c r="R148" s="706"/>
    </row>
    <row r="149" spans="7:18" ht="15" customHeight="1">
      <c r="G149" s="1082"/>
      <c r="R149" s="706"/>
    </row>
    <row r="150" spans="7:18" ht="15" customHeight="1">
      <c r="G150" s="1082"/>
      <c r="R150" s="706"/>
    </row>
    <row r="151" spans="7:18" ht="15" customHeight="1">
      <c r="G151" s="1082"/>
      <c r="R151" s="706"/>
    </row>
    <row r="152" spans="7:18" ht="15" customHeight="1">
      <c r="G152" s="1082"/>
      <c r="R152" s="706"/>
    </row>
    <row r="153" spans="7:18" ht="15" customHeight="1">
      <c r="G153" s="1082"/>
      <c r="R153" s="706"/>
    </row>
    <row r="154" spans="7:18" ht="15" customHeight="1">
      <c r="G154" s="1082"/>
      <c r="R154" s="706"/>
    </row>
    <row r="155" spans="7:18" ht="15" customHeight="1">
      <c r="G155" s="1082"/>
      <c r="R155" s="706"/>
    </row>
    <row r="156" spans="7:18" ht="15" customHeight="1">
      <c r="G156" s="1082"/>
      <c r="R156" s="706"/>
    </row>
    <row r="157" spans="7:18" ht="15" customHeight="1">
      <c r="G157" s="1082"/>
      <c r="R157" s="706"/>
    </row>
    <row r="158" spans="7:18" ht="15" customHeight="1">
      <c r="G158" s="1082"/>
      <c r="R158" s="706"/>
    </row>
    <row r="159" spans="7:18" ht="15" customHeight="1">
      <c r="G159" s="1082"/>
      <c r="R159" s="706"/>
    </row>
    <row r="160" spans="7:18" ht="15" customHeight="1">
      <c r="G160" s="1082"/>
      <c r="R160" s="706"/>
    </row>
    <row r="161" spans="7:18" ht="15" customHeight="1">
      <c r="G161" s="1082"/>
      <c r="R161" s="706"/>
    </row>
    <row r="162" spans="7:18" ht="15" customHeight="1">
      <c r="G162" s="1082"/>
      <c r="R162" s="706"/>
    </row>
    <row r="163" spans="7:18" ht="15" customHeight="1">
      <c r="G163" s="1082"/>
      <c r="R163" s="706"/>
    </row>
    <row r="164" spans="7:18" ht="15" customHeight="1">
      <c r="G164" s="1082"/>
      <c r="R164" s="706"/>
    </row>
    <row r="165" spans="7:18" ht="15" customHeight="1">
      <c r="G165" s="1082"/>
      <c r="R165" s="706"/>
    </row>
    <row r="166" spans="7:18" ht="15" customHeight="1">
      <c r="G166" s="1082"/>
      <c r="R166" s="706"/>
    </row>
    <row r="167" spans="7:18" ht="15" customHeight="1">
      <c r="G167" s="1082"/>
      <c r="R167" s="706"/>
    </row>
    <row r="168" spans="7:18" ht="15" customHeight="1">
      <c r="G168" s="1082"/>
      <c r="R168" s="706"/>
    </row>
    <row r="169" spans="7:18" ht="15" customHeight="1">
      <c r="G169" s="1082"/>
      <c r="R169" s="706"/>
    </row>
    <row r="170" spans="7:18" ht="15" customHeight="1">
      <c r="G170" s="1082"/>
      <c r="R170" s="706"/>
    </row>
    <row r="171" spans="7:18" ht="15" customHeight="1">
      <c r="G171" s="1082"/>
      <c r="R171" s="706"/>
    </row>
    <row r="172" spans="7:18" ht="15" customHeight="1">
      <c r="G172" s="1082"/>
      <c r="R172" s="706"/>
    </row>
    <row r="173" spans="7:18" ht="15" customHeight="1">
      <c r="G173" s="1082"/>
      <c r="R173" s="706"/>
    </row>
    <row r="174" spans="7:18" ht="15" customHeight="1">
      <c r="G174" s="1082"/>
      <c r="R174" s="706"/>
    </row>
    <row r="175" spans="7:18" ht="15" customHeight="1">
      <c r="G175" s="1082"/>
      <c r="R175" s="706"/>
    </row>
    <row r="176" spans="7:18" ht="15" customHeight="1">
      <c r="G176" s="1082"/>
      <c r="R176" s="706"/>
    </row>
    <row r="177" spans="7:18" ht="15" customHeight="1">
      <c r="G177" s="1082"/>
      <c r="R177" s="706"/>
    </row>
    <row r="178" spans="7:18" ht="15" customHeight="1">
      <c r="G178" s="1082"/>
      <c r="R178" s="706"/>
    </row>
    <row r="179" spans="7:18" ht="15" customHeight="1">
      <c r="G179" s="1082"/>
      <c r="R179" s="706"/>
    </row>
    <row r="180" spans="7:18" ht="15" customHeight="1">
      <c r="G180" s="1082"/>
      <c r="R180" s="706"/>
    </row>
    <row r="181" spans="7:18" ht="15" customHeight="1">
      <c r="G181" s="1082"/>
      <c r="R181" s="706"/>
    </row>
    <row r="182" spans="7:18" ht="15" customHeight="1">
      <c r="G182" s="1082"/>
      <c r="R182" s="706"/>
    </row>
    <row r="183" spans="7:18" ht="15" customHeight="1">
      <c r="G183" s="1082"/>
      <c r="R183" s="706"/>
    </row>
    <row r="184" spans="7:18" ht="15" customHeight="1">
      <c r="G184" s="1082"/>
      <c r="R184" s="706"/>
    </row>
    <row r="185" spans="7:18" ht="15" customHeight="1">
      <c r="G185" s="1082"/>
      <c r="R185" s="706"/>
    </row>
    <row r="186" spans="7:18" ht="15" customHeight="1">
      <c r="G186" s="1082"/>
      <c r="R186" s="706"/>
    </row>
    <row r="187" spans="7:18" ht="15" customHeight="1">
      <c r="G187" s="1082"/>
      <c r="R187" s="706"/>
    </row>
    <row r="188" spans="7:18" ht="15" customHeight="1">
      <c r="G188" s="1082"/>
      <c r="R188" s="706"/>
    </row>
    <row r="189" spans="7:18" ht="15" customHeight="1">
      <c r="G189" s="1082"/>
      <c r="R189" s="706"/>
    </row>
    <row r="190" spans="7:18" ht="15" customHeight="1">
      <c r="G190" s="1082"/>
      <c r="R190" s="706"/>
    </row>
    <row r="191" spans="7:18" ht="15" customHeight="1">
      <c r="G191" s="1082"/>
      <c r="R191" s="706"/>
    </row>
    <row r="192" spans="7:18" ht="15" customHeight="1">
      <c r="G192" s="1082"/>
      <c r="R192" s="706"/>
    </row>
    <row r="193" spans="7:18" ht="15" customHeight="1">
      <c r="G193" s="1082"/>
      <c r="R193" s="706"/>
    </row>
    <row r="194" spans="7:18" ht="15" customHeight="1">
      <c r="G194" s="1082"/>
      <c r="R194" s="706"/>
    </row>
    <row r="195" spans="7:18" ht="15" customHeight="1">
      <c r="G195" s="1082"/>
      <c r="R195" s="706"/>
    </row>
    <row r="196" spans="7:18" ht="15" customHeight="1">
      <c r="G196" s="1082"/>
      <c r="R196" s="706"/>
    </row>
    <row r="197" spans="7:18" ht="15" customHeight="1">
      <c r="G197" s="1082"/>
      <c r="R197" s="706"/>
    </row>
    <row r="198" spans="7:18" ht="15" customHeight="1">
      <c r="G198" s="1082"/>
      <c r="R198" s="706"/>
    </row>
    <row r="199" spans="7:18" ht="15" customHeight="1">
      <c r="G199" s="1082"/>
      <c r="R199" s="706"/>
    </row>
    <row r="200" spans="7:18" ht="15" customHeight="1">
      <c r="G200" s="1082"/>
      <c r="R200" s="706"/>
    </row>
    <row r="201" spans="7:18" ht="15" customHeight="1">
      <c r="G201" s="1082"/>
      <c r="R201" s="706"/>
    </row>
    <row r="202" spans="7:18" ht="15" customHeight="1">
      <c r="G202" s="1082"/>
      <c r="R202" s="706"/>
    </row>
    <row r="203" spans="7:18" ht="15" customHeight="1">
      <c r="G203" s="1082"/>
      <c r="R203" s="706"/>
    </row>
    <row r="204" spans="7:18" ht="15" customHeight="1">
      <c r="G204" s="1082"/>
      <c r="R204" s="706"/>
    </row>
    <row r="205" spans="7:18" ht="15" customHeight="1">
      <c r="G205" s="1082"/>
      <c r="R205" s="706"/>
    </row>
    <row r="206" spans="7:18" ht="15" customHeight="1">
      <c r="G206" s="1082"/>
      <c r="R206" s="706"/>
    </row>
    <row r="207" spans="7:18" ht="15" customHeight="1">
      <c r="G207" s="1082"/>
      <c r="R207" s="706"/>
    </row>
    <row r="208" spans="7:18" ht="15" customHeight="1">
      <c r="G208" s="1082"/>
      <c r="R208" s="706"/>
    </row>
    <row r="209" spans="7:18" ht="15" customHeight="1">
      <c r="G209" s="1082"/>
      <c r="R209" s="706"/>
    </row>
    <row r="210" spans="7:18" ht="15" customHeight="1">
      <c r="G210" s="1082"/>
      <c r="R210" s="706"/>
    </row>
    <row r="211" spans="7:18" ht="15" customHeight="1">
      <c r="G211" s="1082"/>
      <c r="R211" s="706"/>
    </row>
    <row r="212" spans="7:18" ht="15" customHeight="1">
      <c r="G212" s="1082"/>
      <c r="R212" s="706"/>
    </row>
    <row r="213" spans="7:18" ht="15" customHeight="1">
      <c r="G213" s="1082"/>
      <c r="R213" s="706"/>
    </row>
    <row r="214" spans="7:18" ht="15" customHeight="1">
      <c r="G214" s="1082"/>
      <c r="R214" s="706"/>
    </row>
    <row r="215" spans="7:18" ht="15" customHeight="1">
      <c r="G215" s="1082"/>
      <c r="R215" s="706"/>
    </row>
    <row r="216" spans="7:18" ht="15" customHeight="1">
      <c r="G216" s="1082"/>
      <c r="R216" s="706"/>
    </row>
    <row r="217" spans="7:18" ht="15" customHeight="1">
      <c r="G217" s="1082"/>
      <c r="R217" s="706"/>
    </row>
    <row r="218" spans="7:18" ht="15" customHeight="1">
      <c r="G218" s="1082"/>
      <c r="R218" s="706"/>
    </row>
    <row r="219" spans="7:18" ht="15" customHeight="1">
      <c r="G219" s="1082"/>
      <c r="R219" s="706"/>
    </row>
    <row r="220" spans="7:18" ht="15" customHeight="1">
      <c r="G220" s="1082"/>
      <c r="R220" s="706"/>
    </row>
    <row r="221" spans="7:18" ht="15" customHeight="1">
      <c r="G221" s="1082"/>
      <c r="R221" s="706"/>
    </row>
    <row r="222" spans="7:18" ht="15" customHeight="1">
      <c r="G222" s="1082"/>
      <c r="R222" s="706"/>
    </row>
    <row r="223" spans="7:18" ht="15" customHeight="1">
      <c r="G223" s="1082"/>
      <c r="R223" s="706"/>
    </row>
    <row r="224" spans="7:18" ht="15" customHeight="1">
      <c r="G224" s="1082"/>
      <c r="R224" s="706"/>
    </row>
    <row r="225" spans="7:18" ht="15" customHeight="1">
      <c r="G225" s="1082"/>
      <c r="R225" s="706"/>
    </row>
    <row r="226" spans="7:18" ht="15" customHeight="1">
      <c r="G226" s="1082"/>
      <c r="R226" s="706"/>
    </row>
    <row r="227" spans="7:18" ht="15" customHeight="1">
      <c r="G227" s="1082"/>
      <c r="R227" s="706"/>
    </row>
    <row r="228" spans="7:18" ht="15" customHeight="1">
      <c r="G228" s="1082"/>
      <c r="R228" s="706"/>
    </row>
    <row r="229" spans="7:18" ht="15" customHeight="1">
      <c r="G229" s="1082"/>
      <c r="R229" s="706"/>
    </row>
    <row r="230" spans="7:18" ht="15" customHeight="1">
      <c r="G230" s="1082"/>
      <c r="R230" s="706"/>
    </row>
    <row r="231" spans="7:18" ht="15" customHeight="1">
      <c r="G231" s="1082"/>
      <c r="R231" s="706"/>
    </row>
    <row r="232" spans="7:18" ht="15" customHeight="1">
      <c r="G232" s="1082"/>
      <c r="R232" s="706"/>
    </row>
    <row r="233" spans="7:18" ht="15" customHeight="1">
      <c r="G233" s="1082"/>
      <c r="R233" s="706"/>
    </row>
    <row r="234" spans="7:18" ht="15" customHeight="1">
      <c r="G234" s="1082"/>
      <c r="R234" s="706"/>
    </row>
    <row r="235" spans="7:18" ht="15" customHeight="1">
      <c r="G235" s="1082"/>
      <c r="R235" s="706"/>
    </row>
    <row r="236" spans="7:18" ht="15" customHeight="1">
      <c r="G236" s="1082"/>
      <c r="R236" s="706"/>
    </row>
    <row r="237" spans="7:18" ht="15" customHeight="1">
      <c r="G237" s="1082"/>
      <c r="R237" s="706"/>
    </row>
    <row r="238" spans="7:18" ht="15" customHeight="1">
      <c r="G238" s="1082"/>
      <c r="R238" s="706"/>
    </row>
    <row r="239" spans="7:18" ht="15" customHeight="1">
      <c r="G239" s="1082"/>
      <c r="R239" s="706"/>
    </row>
    <row r="240" spans="7:18" ht="15" customHeight="1">
      <c r="G240" s="1082"/>
      <c r="R240" s="706"/>
    </row>
    <row r="241" spans="7:18" ht="15" customHeight="1">
      <c r="G241" s="1082"/>
      <c r="R241" s="706"/>
    </row>
    <row r="242" spans="7:18" ht="15" customHeight="1">
      <c r="G242" s="1082"/>
      <c r="R242" s="706"/>
    </row>
    <row r="243" spans="7:18" ht="15" customHeight="1">
      <c r="G243" s="1082"/>
      <c r="R243" s="706"/>
    </row>
    <row r="244" spans="7:18" ht="15" customHeight="1">
      <c r="G244" s="1082"/>
      <c r="R244" s="706"/>
    </row>
    <row r="245" spans="7:18" ht="15" customHeight="1">
      <c r="G245" s="1082"/>
      <c r="R245" s="706"/>
    </row>
    <row r="246" spans="7:18" ht="15" customHeight="1">
      <c r="G246" s="1082"/>
      <c r="R246" s="706"/>
    </row>
    <row r="247" spans="7:18" ht="15" customHeight="1">
      <c r="G247" s="1082"/>
      <c r="R247" s="706"/>
    </row>
    <row r="248" spans="7:18" ht="15" customHeight="1">
      <c r="G248" s="1082"/>
      <c r="R248" s="706"/>
    </row>
    <row r="249" spans="7:18" ht="15" customHeight="1">
      <c r="G249" s="1082"/>
      <c r="R249" s="706"/>
    </row>
    <row r="250" spans="7:18" ht="15" customHeight="1">
      <c r="G250" s="1082"/>
      <c r="R250" s="706"/>
    </row>
    <row r="251" spans="7:18" ht="15" customHeight="1">
      <c r="G251" s="1082"/>
      <c r="R251" s="706"/>
    </row>
    <row r="252" spans="7:18" ht="15" customHeight="1">
      <c r="G252" s="1082"/>
      <c r="R252" s="706"/>
    </row>
    <row r="253" spans="7:18" ht="15" customHeight="1">
      <c r="G253" s="1082"/>
      <c r="R253" s="706"/>
    </row>
    <row r="254" spans="7:18" ht="15" customHeight="1">
      <c r="G254" s="1082"/>
      <c r="R254" s="706"/>
    </row>
    <row r="255" spans="7:18" ht="15" customHeight="1">
      <c r="G255" s="1082"/>
      <c r="R255" s="706"/>
    </row>
    <row r="256" spans="7:18" ht="15" customHeight="1">
      <c r="G256" s="1082"/>
      <c r="R256" s="706"/>
    </row>
    <row r="257" spans="7:18" ht="15" customHeight="1">
      <c r="G257" s="1082"/>
      <c r="R257" s="706"/>
    </row>
    <row r="258" spans="7:18" ht="15" customHeight="1">
      <c r="G258" s="1082"/>
      <c r="R258" s="706"/>
    </row>
    <row r="259" spans="7:18" ht="15" customHeight="1">
      <c r="G259" s="1082"/>
      <c r="R259" s="706"/>
    </row>
    <row r="260" spans="7:18" ht="15" customHeight="1">
      <c r="G260" s="1082"/>
      <c r="R260" s="706"/>
    </row>
    <row r="261" spans="7:18" ht="15" customHeight="1">
      <c r="G261" s="1082"/>
      <c r="R261" s="706"/>
    </row>
    <row r="262" spans="7:18" ht="15" customHeight="1">
      <c r="G262" s="1082"/>
      <c r="R262" s="706"/>
    </row>
    <row r="263" spans="7:18" ht="15" customHeight="1">
      <c r="G263" s="1082"/>
      <c r="R263" s="706"/>
    </row>
    <row r="264" spans="7:18" ht="15" customHeight="1">
      <c r="G264" s="1082"/>
      <c r="R264" s="706"/>
    </row>
    <row r="265" spans="7:18" ht="15" customHeight="1">
      <c r="G265" s="1082"/>
      <c r="R265" s="706"/>
    </row>
    <row r="266" spans="7:18" ht="15" customHeight="1">
      <c r="G266" s="1082"/>
      <c r="R266" s="706"/>
    </row>
    <row r="267" spans="7:18" ht="15" customHeight="1">
      <c r="G267" s="1082"/>
      <c r="R267" s="706"/>
    </row>
    <row r="268" spans="7:18" ht="15" customHeight="1">
      <c r="G268" s="1082"/>
      <c r="R268" s="706"/>
    </row>
    <row r="269" spans="7:18" ht="15" customHeight="1">
      <c r="G269" s="1082"/>
      <c r="R269" s="706"/>
    </row>
    <row r="270" spans="7:18" ht="15" customHeight="1">
      <c r="G270" s="1082"/>
      <c r="R270" s="706"/>
    </row>
    <row r="271" spans="7:18" ht="15" customHeight="1">
      <c r="G271" s="1082"/>
      <c r="R271" s="706"/>
    </row>
    <row r="272" spans="7:18" ht="15" customHeight="1">
      <c r="G272" s="1082"/>
      <c r="R272" s="706"/>
    </row>
    <row r="273" spans="7:18" ht="15" customHeight="1">
      <c r="G273" s="1082"/>
      <c r="R273" s="706"/>
    </row>
    <row r="274" spans="7:18" ht="15" customHeight="1">
      <c r="G274" s="1082"/>
      <c r="R274" s="706"/>
    </row>
    <row r="275" spans="7:18" ht="15" customHeight="1">
      <c r="G275" s="1082"/>
      <c r="R275" s="706"/>
    </row>
    <row r="276" spans="7:18" ht="15" customHeight="1">
      <c r="G276" s="1082"/>
      <c r="R276" s="706"/>
    </row>
    <row r="277" spans="7:18" ht="15" customHeight="1">
      <c r="G277" s="1082"/>
      <c r="R277" s="706"/>
    </row>
    <row r="278" spans="7:18" ht="15" customHeight="1">
      <c r="G278" s="1082"/>
      <c r="R278" s="706"/>
    </row>
    <row r="279" spans="7:18" ht="15" customHeight="1">
      <c r="G279" s="1082"/>
      <c r="R279" s="706"/>
    </row>
    <row r="280" spans="7:18" ht="15" customHeight="1">
      <c r="G280" s="1082"/>
      <c r="R280" s="706"/>
    </row>
    <row r="281" spans="7:18" ht="15" customHeight="1">
      <c r="G281" s="1082"/>
      <c r="R281" s="706"/>
    </row>
    <row r="282" spans="7:18" ht="15" customHeight="1">
      <c r="G282" s="1082"/>
      <c r="R282" s="706"/>
    </row>
    <row r="283" spans="7:18" ht="15" customHeight="1">
      <c r="G283" s="1082"/>
      <c r="R283" s="706"/>
    </row>
    <row r="284" spans="7:18" ht="15" customHeight="1">
      <c r="G284" s="1082"/>
      <c r="R284" s="706"/>
    </row>
    <row r="285" spans="7:18" ht="15" customHeight="1">
      <c r="G285" s="1082"/>
      <c r="R285" s="706"/>
    </row>
    <row r="286" spans="7:18" ht="15" customHeight="1">
      <c r="G286" s="1082"/>
      <c r="R286" s="706"/>
    </row>
    <row r="287" spans="7:18" ht="15" customHeight="1">
      <c r="G287" s="1082"/>
      <c r="R287" s="706"/>
    </row>
    <row r="288" spans="7:18" ht="15" customHeight="1">
      <c r="G288" s="1082"/>
      <c r="R288" s="706"/>
    </row>
    <row r="289" spans="7:18" ht="15" customHeight="1">
      <c r="G289" s="1082"/>
      <c r="R289" s="706"/>
    </row>
    <row r="290" spans="7:18" ht="15" customHeight="1">
      <c r="G290" s="1082"/>
      <c r="R290" s="706"/>
    </row>
    <row r="291" spans="7:18" ht="15" customHeight="1">
      <c r="G291" s="1082"/>
      <c r="R291" s="706"/>
    </row>
    <row r="292" spans="7:18" ht="15" customHeight="1">
      <c r="G292" s="1082"/>
      <c r="R292" s="706"/>
    </row>
    <row r="293" spans="7:18" ht="15" customHeight="1">
      <c r="G293" s="1082"/>
      <c r="R293" s="706"/>
    </row>
    <row r="294" spans="7:18" ht="15" customHeight="1">
      <c r="G294" s="1082"/>
      <c r="R294" s="706"/>
    </row>
    <row r="295" spans="7:18" ht="15" customHeight="1">
      <c r="G295" s="1082"/>
      <c r="R295" s="706"/>
    </row>
    <row r="296" spans="7:18" ht="15" customHeight="1">
      <c r="G296" s="1082"/>
      <c r="R296" s="706"/>
    </row>
    <row r="297" spans="7:18" ht="15" customHeight="1">
      <c r="G297" s="1082"/>
      <c r="R297" s="706"/>
    </row>
    <row r="298" spans="7:18" ht="15" customHeight="1">
      <c r="G298" s="1082"/>
      <c r="R298" s="706"/>
    </row>
    <row r="299" spans="7:18" ht="15" customHeight="1">
      <c r="G299" s="1082"/>
      <c r="R299" s="706"/>
    </row>
    <row r="300" spans="7:18" ht="15" customHeight="1">
      <c r="G300" s="1082"/>
      <c r="R300" s="706"/>
    </row>
    <row r="301" spans="7:18" ht="15" customHeight="1">
      <c r="G301" s="1082"/>
      <c r="R301" s="706"/>
    </row>
    <row r="302" spans="7:18" ht="15" customHeight="1">
      <c r="G302" s="1082"/>
      <c r="R302" s="706"/>
    </row>
    <row r="303" spans="7:18" ht="15" customHeight="1">
      <c r="G303" s="1082"/>
      <c r="R303" s="706"/>
    </row>
    <row r="304" spans="7:18" ht="15" customHeight="1">
      <c r="G304" s="1082"/>
      <c r="R304" s="706"/>
    </row>
    <row r="305" spans="7:18" ht="15" customHeight="1">
      <c r="G305" s="1082"/>
      <c r="R305" s="706"/>
    </row>
    <row r="306" spans="7:18" ht="15" customHeight="1">
      <c r="G306" s="1082"/>
      <c r="R306" s="706"/>
    </row>
    <row r="307" spans="7:18" ht="15" customHeight="1">
      <c r="G307" s="1082"/>
      <c r="R307" s="706"/>
    </row>
    <row r="308" spans="7:18" ht="15" customHeight="1">
      <c r="G308" s="1082"/>
      <c r="R308" s="706"/>
    </row>
    <row r="309" spans="7:18" ht="15" customHeight="1">
      <c r="G309" s="1082"/>
      <c r="R309" s="706"/>
    </row>
    <row r="310" spans="7:18" ht="15" customHeight="1">
      <c r="G310" s="1082"/>
      <c r="R310" s="706"/>
    </row>
    <row r="311" spans="7:18" ht="15" customHeight="1">
      <c r="G311" s="1082"/>
      <c r="R311" s="706"/>
    </row>
    <row r="312" spans="7:18" ht="15" customHeight="1">
      <c r="G312" s="1082"/>
      <c r="R312" s="706"/>
    </row>
    <row r="313" spans="7:18" ht="15" customHeight="1">
      <c r="G313" s="1082"/>
      <c r="R313" s="706"/>
    </row>
    <row r="314" spans="7:18" ht="15" customHeight="1">
      <c r="G314" s="1082"/>
      <c r="R314" s="706"/>
    </row>
    <row r="315" spans="7:18" ht="15" customHeight="1">
      <c r="G315" s="1082"/>
      <c r="R315" s="706"/>
    </row>
    <row r="316" spans="7:18" ht="15" customHeight="1">
      <c r="G316" s="1082"/>
      <c r="R316" s="706"/>
    </row>
    <row r="317" spans="7:18" ht="15" customHeight="1">
      <c r="G317" s="1082"/>
      <c r="R317" s="706"/>
    </row>
    <row r="318" spans="7:18" ht="15" customHeight="1">
      <c r="G318" s="1082"/>
      <c r="R318" s="706"/>
    </row>
    <row r="319" spans="7:18" ht="15" customHeight="1">
      <c r="G319" s="1082"/>
      <c r="R319" s="706"/>
    </row>
    <row r="320" spans="7:18" ht="15" customHeight="1">
      <c r="G320" s="1082"/>
      <c r="R320" s="706"/>
    </row>
    <row r="321" spans="7:18" ht="15" customHeight="1">
      <c r="G321" s="1082"/>
      <c r="R321" s="706"/>
    </row>
    <row r="322" spans="7:18" ht="15" customHeight="1">
      <c r="G322" s="1082"/>
      <c r="R322" s="706"/>
    </row>
    <row r="323" spans="7:18" ht="15" customHeight="1">
      <c r="G323" s="1082"/>
      <c r="R323" s="706"/>
    </row>
    <row r="324" spans="7:18" ht="15" customHeight="1">
      <c r="G324" s="1082"/>
      <c r="R324" s="706"/>
    </row>
    <row r="325" spans="7:18" ht="15" customHeight="1">
      <c r="G325" s="1082"/>
      <c r="R325" s="706"/>
    </row>
    <row r="326" spans="7:18" ht="15" customHeight="1">
      <c r="G326" s="1082"/>
      <c r="R326" s="706"/>
    </row>
    <row r="327" spans="7:18" ht="15" customHeight="1">
      <c r="G327" s="1082"/>
      <c r="R327" s="706"/>
    </row>
    <row r="328" spans="7:18" ht="15" customHeight="1">
      <c r="G328" s="1082"/>
      <c r="R328" s="706"/>
    </row>
    <row r="329" spans="7:18" ht="15" customHeight="1">
      <c r="G329" s="1082"/>
      <c r="R329" s="706"/>
    </row>
    <row r="330" spans="7:18" ht="15" customHeight="1">
      <c r="G330" s="1082"/>
      <c r="R330" s="706"/>
    </row>
    <row r="331" spans="7:18" ht="15" customHeight="1">
      <c r="G331" s="1082"/>
      <c r="R331" s="706"/>
    </row>
    <row r="332" spans="7:18" ht="15" customHeight="1">
      <c r="G332" s="1082"/>
      <c r="R332" s="706"/>
    </row>
    <row r="333" spans="7:18" ht="15" customHeight="1">
      <c r="G333" s="1082"/>
      <c r="R333" s="706"/>
    </row>
    <row r="334" spans="7:18" ht="15" customHeight="1">
      <c r="G334" s="1082"/>
      <c r="R334" s="706"/>
    </row>
    <row r="335" spans="7:18" ht="15" customHeight="1">
      <c r="G335" s="1082"/>
      <c r="R335" s="706"/>
    </row>
    <row r="336" spans="7:18" ht="15" customHeight="1">
      <c r="G336" s="1082"/>
      <c r="R336" s="706"/>
    </row>
    <row r="337" spans="7:18" ht="15" customHeight="1">
      <c r="G337" s="1082"/>
      <c r="R337" s="706"/>
    </row>
    <row r="338" spans="7:18" ht="15" customHeight="1">
      <c r="G338" s="1082"/>
      <c r="R338" s="706"/>
    </row>
    <row r="339" spans="7:18" ht="15" customHeight="1">
      <c r="G339" s="1082"/>
      <c r="R339" s="706"/>
    </row>
    <row r="340" spans="7:18" ht="15" customHeight="1">
      <c r="G340" s="1082"/>
      <c r="R340" s="706"/>
    </row>
    <row r="341" spans="7:18" ht="15" customHeight="1">
      <c r="G341" s="1082"/>
      <c r="R341" s="706"/>
    </row>
    <row r="342" spans="7:18" ht="15" customHeight="1">
      <c r="G342" s="1082"/>
      <c r="R342" s="706"/>
    </row>
    <row r="343" spans="7:18" ht="15" customHeight="1">
      <c r="G343" s="1082"/>
      <c r="R343" s="706"/>
    </row>
    <row r="344" spans="7:18" ht="15" customHeight="1">
      <c r="G344" s="1082"/>
      <c r="R344" s="706"/>
    </row>
    <row r="345" spans="7:18" ht="15" customHeight="1">
      <c r="G345" s="1082"/>
      <c r="R345" s="706"/>
    </row>
    <row r="346" spans="7:18" ht="15" customHeight="1">
      <c r="G346" s="1082"/>
      <c r="R346" s="706"/>
    </row>
    <row r="347" spans="7:18" ht="15" customHeight="1">
      <c r="G347" s="1082"/>
      <c r="R347" s="706"/>
    </row>
    <row r="348" spans="7:18" ht="15" customHeight="1">
      <c r="G348" s="1082"/>
      <c r="R348" s="706"/>
    </row>
    <row r="349" spans="7:18" ht="15" customHeight="1">
      <c r="G349" s="1082"/>
      <c r="R349" s="706"/>
    </row>
    <row r="350" spans="7:18" ht="15" customHeight="1">
      <c r="G350" s="1082"/>
      <c r="R350" s="706"/>
    </row>
    <row r="351" spans="7:18" ht="15" customHeight="1">
      <c r="G351" s="1082"/>
      <c r="R351" s="706"/>
    </row>
    <row r="352" spans="7:18" ht="15" customHeight="1">
      <c r="G352" s="1082"/>
      <c r="R352" s="706"/>
    </row>
    <row r="353" spans="7:18" ht="15" customHeight="1">
      <c r="G353" s="1082"/>
      <c r="R353" s="706"/>
    </row>
    <row r="354" spans="7:18" ht="15" customHeight="1">
      <c r="G354" s="1082"/>
      <c r="R354" s="706"/>
    </row>
    <row r="355" spans="7:18" ht="15" customHeight="1">
      <c r="G355" s="1082"/>
      <c r="R355" s="706"/>
    </row>
    <row r="356" spans="7:18" ht="15" customHeight="1">
      <c r="G356" s="1082"/>
      <c r="R356" s="706"/>
    </row>
    <row r="357" spans="7:18" ht="15" customHeight="1">
      <c r="G357" s="1082"/>
      <c r="R357" s="706"/>
    </row>
    <row r="358" spans="7:18" ht="15" customHeight="1">
      <c r="G358" s="1082"/>
      <c r="R358" s="706"/>
    </row>
    <row r="359" spans="7:18" ht="15" customHeight="1">
      <c r="G359" s="1082"/>
      <c r="R359" s="706"/>
    </row>
    <row r="360" spans="7:18" ht="15" customHeight="1">
      <c r="G360" s="1082"/>
      <c r="R360" s="706"/>
    </row>
    <row r="361" spans="7:18" ht="15" customHeight="1">
      <c r="G361" s="1082"/>
      <c r="R361" s="706"/>
    </row>
    <row r="362" spans="7:18" ht="15" customHeight="1">
      <c r="G362" s="1082"/>
      <c r="R362" s="706"/>
    </row>
    <row r="363" spans="7:18" ht="15" customHeight="1">
      <c r="G363" s="1082"/>
      <c r="R363" s="706"/>
    </row>
    <row r="364" spans="7:18" ht="15" customHeight="1">
      <c r="G364" s="1082"/>
      <c r="R364" s="706"/>
    </row>
    <row r="365" spans="7:18" ht="15" customHeight="1">
      <c r="G365" s="1082"/>
      <c r="R365" s="706"/>
    </row>
    <row r="366" spans="7:18" ht="15" customHeight="1">
      <c r="G366" s="1082"/>
      <c r="R366" s="706"/>
    </row>
    <row r="367" spans="7:18" ht="15" customHeight="1">
      <c r="G367" s="1082"/>
      <c r="R367" s="706"/>
    </row>
    <row r="368" spans="7:18" ht="15" customHeight="1">
      <c r="G368" s="1082"/>
      <c r="R368" s="706"/>
    </row>
    <row r="369" spans="7:18" ht="15" customHeight="1">
      <c r="G369" s="1082"/>
      <c r="R369" s="706"/>
    </row>
    <row r="370" spans="7:18" ht="15" customHeight="1">
      <c r="G370" s="1082"/>
      <c r="R370" s="706"/>
    </row>
    <row r="371" spans="7:18" ht="15" customHeight="1">
      <c r="G371" s="1082"/>
      <c r="R371" s="706"/>
    </row>
    <row r="372" spans="7:18" ht="15" customHeight="1">
      <c r="G372" s="1082"/>
      <c r="R372" s="706"/>
    </row>
    <row r="373" spans="7:18" ht="15" customHeight="1">
      <c r="G373" s="1082"/>
      <c r="R373" s="706"/>
    </row>
    <row r="374" spans="7:18" ht="15" customHeight="1">
      <c r="G374" s="1082"/>
      <c r="R374" s="706"/>
    </row>
    <row r="375" spans="7:18" ht="15" customHeight="1">
      <c r="G375" s="1082"/>
      <c r="R375" s="706"/>
    </row>
    <row r="376" spans="7:18" ht="15" customHeight="1">
      <c r="G376" s="1082"/>
      <c r="R376" s="706"/>
    </row>
    <row r="377" spans="7:18" ht="15" customHeight="1">
      <c r="G377" s="1082"/>
      <c r="R377" s="706"/>
    </row>
    <row r="378" spans="7:18" ht="15" customHeight="1">
      <c r="G378" s="1082"/>
      <c r="R378" s="706"/>
    </row>
    <row r="379" spans="7:18" ht="15" customHeight="1">
      <c r="G379" s="1082"/>
      <c r="R379" s="706"/>
    </row>
    <row r="380" spans="7:18" ht="15" customHeight="1">
      <c r="G380" s="1082"/>
      <c r="R380" s="706"/>
    </row>
    <row r="381" spans="7:18" ht="15" customHeight="1">
      <c r="R381" s="706"/>
    </row>
    <row r="382" spans="7:18" ht="15" customHeight="1">
      <c r="R382" s="706"/>
    </row>
    <row r="383" spans="7:18" ht="15" customHeight="1">
      <c r="R383" s="706"/>
    </row>
    <row r="384" spans="7:18" ht="15" customHeight="1">
      <c r="R384" s="706"/>
    </row>
    <row r="385" spans="18:18" ht="15" customHeight="1">
      <c r="R385" s="706"/>
    </row>
    <row r="386" spans="18:18" ht="15" customHeight="1">
      <c r="R386" s="706"/>
    </row>
    <row r="387" spans="18:18" ht="15" customHeight="1">
      <c r="R387" s="706"/>
    </row>
    <row r="388" spans="18:18" ht="15" customHeight="1">
      <c r="R388" s="706"/>
    </row>
    <row r="389" spans="18:18" ht="15" customHeight="1">
      <c r="R389" s="706"/>
    </row>
    <row r="390" spans="18:18" ht="15" customHeight="1">
      <c r="R390" s="706"/>
    </row>
    <row r="391" spans="18:18" ht="15" customHeight="1">
      <c r="R391" s="706"/>
    </row>
    <row r="392" spans="18:18" ht="15" customHeight="1">
      <c r="R392" s="706"/>
    </row>
    <row r="393" spans="18:18" ht="15" customHeight="1">
      <c r="R393" s="706"/>
    </row>
    <row r="394" spans="18:18" ht="15" customHeight="1">
      <c r="R394" s="706"/>
    </row>
    <row r="395" spans="18:18" ht="15" customHeight="1">
      <c r="R395" s="706"/>
    </row>
    <row r="396" spans="18:18" ht="15" customHeight="1">
      <c r="R396" s="706"/>
    </row>
    <row r="397" spans="18:18" ht="15" customHeight="1">
      <c r="R397" s="706"/>
    </row>
    <row r="398" spans="18:18" ht="15" customHeight="1">
      <c r="R398" s="706"/>
    </row>
    <row r="399" spans="18:18" ht="15" customHeight="1">
      <c r="R399" s="706"/>
    </row>
    <row r="400" spans="18:18" ht="15" customHeight="1">
      <c r="R400" s="706"/>
    </row>
    <row r="401" spans="18:18" ht="15" customHeight="1">
      <c r="R401" s="706"/>
    </row>
    <row r="402" spans="18:18" ht="15" customHeight="1">
      <c r="R402" s="706"/>
    </row>
    <row r="403" spans="18:18" ht="15" customHeight="1">
      <c r="R403" s="706"/>
    </row>
    <row r="404" spans="18:18" ht="15" customHeight="1">
      <c r="R404" s="706"/>
    </row>
    <row r="405" spans="18:18" ht="15" customHeight="1">
      <c r="R405" s="706"/>
    </row>
    <row r="406" spans="18:18" ht="15" customHeight="1">
      <c r="R406" s="706"/>
    </row>
    <row r="407" spans="18:18" ht="15" customHeight="1">
      <c r="R407" s="706"/>
    </row>
    <row r="408" spans="18:18" ht="15" customHeight="1">
      <c r="R408" s="706"/>
    </row>
    <row r="409" spans="18:18" ht="15" customHeight="1">
      <c r="R409" s="706"/>
    </row>
    <row r="410" spans="18:18" ht="15" customHeight="1">
      <c r="R410" s="706"/>
    </row>
    <row r="411" spans="18:18" ht="15" customHeight="1">
      <c r="R411" s="706"/>
    </row>
    <row r="412" spans="18:18" ht="15" customHeight="1">
      <c r="R412" s="706"/>
    </row>
    <row r="413" spans="18:18" ht="15" customHeight="1">
      <c r="R413" s="706"/>
    </row>
    <row r="414" spans="18:18" ht="15" customHeight="1">
      <c r="R414" s="706"/>
    </row>
    <row r="415" spans="18:18" ht="15" customHeight="1">
      <c r="R415" s="706"/>
    </row>
    <row r="416" spans="18:18" ht="15" customHeight="1">
      <c r="R416" s="706"/>
    </row>
    <row r="417" spans="18:18" ht="15" customHeight="1">
      <c r="R417" s="706"/>
    </row>
    <row r="418" spans="18:18" ht="15" customHeight="1">
      <c r="R418" s="706"/>
    </row>
    <row r="419" spans="18:18" ht="15" customHeight="1">
      <c r="R419" s="706"/>
    </row>
    <row r="420" spans="18:18" ht="15" customHeight="1">
      <c r="R420" s="706"/>
    </row>
    <row r="421" spans="18:18" ht="15" customHeight="1">
      <c r="R421" s="706"/>
    </row>
    <row r="422" spans="18:18" ht="15" customHeight="1">
      <c r="R422" s="706"/>
    </row>
    <row r="423" spans="18:18" ht="15" customHeight="1">
      <c r="R423" s="706"/>
    </row>
    <row r="424" spans="18:18" ht="15" customHeight="1">
      <c r="R424" s="706"/>
    </row>
    <row r="425" spans="18:18" ht="15" customHeight="1">
      <c r="R425" s="706"/>
    </row>
    <row r="426" spans="18:18" ht="15" customHeight="1">
      <c r="R426" s="706"/>
    </row>
    <row r="427" spans="18:18" ht="15" customHeight="1">
      <c r="R427" s="706"/>
    </row>
    <row r="428" spans="18:18" ht="15" customHeight="1">
      <c r="R428" s="706"/>
    </row>
    <row r="429" spans="18:18" ht="15" customHeight="1">
      <c r="R429" s="706"/>
    </row>
    <row r="430" spans="18:18" ht="15" customHeight="1">
      <c r="R430" s="706"/>
    </row>
    <row r="431" spans="18:18" ht="15" customHeight="1">
      <c r="R431" s="706"/>
    </row>
    <row r="432" spans="18:18" ht="15" customHeight="1">
      <c r="R432" s="706"/>
    </row>
    <row r="433" spans="18:18" ht="15" customHeight="1">
      <c r="R433" s="706"/>
    </row>
    <row r="434" spans="18:18" ht="15" customHeight="1">
      <c r="R434" s="706"/>
    </row>
    <row r="435" spans="18:18" ht="15" customHeight="1">
      <c r="R435" s="706"/>
    </row>
    <row r="436" spans="18:18" ht="15" customHeight="1">
      <c r="R436" s="706"/>
    </row>
    <row r="437" spans="18:18" ht="15" customHeight="1">
      <c r="R437" s="706"/>
    </row>
    <row r="438" spans="18:18" ht="15" customHeight="1">
      <c r="R438" s="706"/>
    </row>
    <row r="439" spans="18:18" ht="15" customHeight="1">
      <c r="R439" s="706"/>
    </row>
    <row r="440" spans="18:18" ht="15" customHeight="1">
      <c r="R440" s="706"/>
    </row>
    <row r="441" spans="18:18" ht="15" customHeight="1">
      <c r="R441" s="706"/>
    </row>
    <row r="442" spans="18:18" ht="15" customHeight="1">
      <c r="R442" s="706"/>
    </row>
    <row r="443" spans="18:18" ht="15" customHeight="1">
      <c r="R443" s="706"/>
    </row>
    <row r="444" spans="18:18" ht="15" customHeight="1">
      <c r="R444" s="706"/>
    </row>
    <row r="445" spans="18:18" ht="15" customHeight="1">
      <c r="R445" s="706"/>
    </row>
    <row r="446" spans="18:18" ht="15" customHeight="1">
      <c r="R446" s="706"/>
    </row>
    <row r="447" spans="18:18" ht="15" customHeight="1">
      <c r="R447" s="706"/>
    </row>
    <row r="448" spans="18:18" ht="15" customHeight="1">
      <c r="R448" s="706"/>
    </row>
    <row r="449" spans="18:18" ht="15" customHeight="1">
      <c r="R449" s="706"/>
    </row>
    <row r="450" spans="18:18" ht="15" customHeight="1">
      <c r="R450" s="706"/>
    </row>
    <row r="451" spans="18:18" ht="15" customHeight="1">
      <c r="R451" s="706"/>
    </row>
  </sheetData>
  <autoFilter ref="A3:AO87" xr:uid="{00000000-0009-0000-0000-00000C000000}"/>
  <mergeCells count="2">
    <mergeCell ref="AV5:BD5"/>
    <mergeCell ref="AV20:BA20"/>
  </mergeCells>
  <pageMargins left="0.7" right="0.7" top="0.75" bottom="0.75" header="0" footer="0"/>
  <pageSetup scale="14" fitToHeight="0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42691-3854-4063-8B1E-3B52677D8789}">
  <sheetPr>
    <tabColor rgb="FF00B050"/>
    <pageSetUpPr fitToPage="1"/>
  </sheetPr>
  <dimension ref="A1:BD233"/>
  <sheetViews>
    <sheetView showGridLines="0" zoomScale="80" zoomScaleNormal="80" workbookViewId="0">
      <pane xSplit="4" ySplit="3" topLeftCell="AS4" activePane="bottomRight" state="frozen"/>
      <selection activeCell="AW6" sqref="AW6:AX6"/>
      <selection pane="topRight" activeCell="AW6" sqref="AW6:AX6"/>
      <selection pane="bottomLeft" activeCell="AW6" sqref="AW6:AX6"/>
      <selection pane="bottomRight" activeCell="AW6" sqref="AW6:AX6"/>
    </sheetView>
  </sheetViews>
  <sheetFormatPr baseColWidth="10" defaultColWidth="14.44140625" defaultRowHeight="15" customHeight="1"/>
  <cols>
    <col min="1" max="1" width="14.5546875" customWidth="1"/>
    <col min="2" max="2" width="12.44140625" style="762" customWidth="1"/>
    <col min="3" max="3" width="11.6640625" style="762" customWidth="1"/>
    <col min="4" max="4" width="42.5546875" customWidth="1"/>
    <col min="5" max="5" width="13.109375" customWidth="1"/>
    <col min="6" max="6" width="15.33203125" customWidth="1"/>
    <col min="7" max="7" width="13.33203125" customWidth="1"/>
    <col min="8" max="8" width="11.44140625" style="762" customWidth="1"/>
    <col min="9" max="9" width="11.5546875" customWidth="1"/>
    <col min="10" max="10" width="10.66406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6.332031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0.88671875" customWidth="1"/>
    <col min="43" max="43" width="12.6640625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4738.3649999999989</v>
      </c>
      <c r="F1" s="1075" t="s">
        <v>1906</v>
      </c>
      <c r="G1" s="1076">
        <f>+$AM3</f>
        <v>455554.60441527021</v>
      </c>
      <c r="H1" s="1448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B2" s="1144"/>
      <c r="D2" s="1075" t="s">
        <v>1907</v>
      </c>
      <c r="E2" s="1076">
        <f>+AH3</f>
        <v>4321.2350000000015</v>
      </c>
      <c r="F2" s="1079" t="s">
        <v>1908</v>
      </c>
      <c r="G2" s="1080">
        <f>+Q2</f>
        <v>91.478242548715826</v>
      </c>
      <c r="H2" s="90"/>
      <c r="I2" s="1251">
        <f>SUBTOTAL(9,I4:I1019)</f>
        <v>468.81000000000006</v>
      </c>
      <c r="J2" s="81"/>
      <c r="K2" s="91">
        <f>SUBTOTAL(9,K4:K1019)</f>
        <v>434.39799999999991</v>
      </c>
      <c r="L2" s="1202">
        <f>+SUMPRODUCT(L5:L1019,K5:K1019)/K2</f>
        <v>0.31814994313970146</v>
      </c>
      <c r="M2" s="6"/>
      <c r="O2" s="703"/>
      <c r="P2" s="94">
        <f>+SUMPRODUCT(P4:P1019,AH4:AH1019)/SUM(AH4:AH1019)</f>
        <v>87.331713040369209</v>
      </c>
      <c r="Q2" s="1201">
        <f>+SUMPRODUCT(Q4:Q1019,AH4:AH1019)/SUM(AH4:AH1019)</f>
        <v>91.478242548715826</v>
      </c>
      <c r="R2" s="1151">
        <f>+SUMPRODUCT(R4:R1019,AH4:AH1019)/SUM(AH4:AH1019)</f>
        <v>4282.9423453943127</v>
      </c>
      <c r="S2" s="6"/>
      <c r="AB2" s="83"/>
      <c r="AC2" s="83"/>
      <c r="AD2" s="83"/>
      <c r="AE2" s="83"/>
      <c r="AF2" s="83"/>
      <c r="AG2" s="1209">
        <f>SUMPRODUCT($AG4:$AG1019,$K4:$K1019)/SUM($K4:$K1019)</f>
        <v>169.12385403872094</v>
      </c>
      <c r="AH2" s="702"/>
      <c r="AI2" s="631"/>
      <c r="AJ2" s="252">
        <v>4460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679" t="s">
        <v>39</v>
      </c>
      <c r="C3" s="679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SUBTOTAL(9,AH4:AH1019)</f>
        <v>4321.2350000000015</v>
      </c>
      <c r="AI3" s="1252">
        <f>SUBTOTAL(9,AI4:AI1019)</f>
        <v>4738.3649999999989</v>
      </c>
      <c r="AJ3" s="1388">
        <f>SUMPRODUCT(K4:K1019,AJ4:AJ1019)/K2</f>
        <v>92.323917342597596</v>
      </c>
      <c r="AK3" s="118">
        <f>SUBTOTAL(9,AK4:AK1019)</f>
        <v>3950.0038991037782</v>
      </c>
      <c r="AL3" s="88"/>
      <c r="AM3" s="118">
        <f>SUBTOTAL(9,AM4:AM1019)</f>
        <v>455554.60441527021</v>
      </c>
      <c r="AN3" s="1182" t="s">
        <v>2247</v>
      </c>
      <c r="AO3" s="1168" t="s">
        <v>2283</v>
      </c>
      <c r="AP3" t="s">
        <v>2351</v>
      </c>
      <c r="AQ3" t="s">
        <v>2352</v>
      </c>
      <c r="AS3" s="1216"/>
    </row>
    <row r="4" spans="1:56" s="677" customFormat="1" ht="15.75" customHeight="1" thickBot="1">
      <c r="A4" s="720"/>
      <c r="B4" s="671"/>
      <c r="C4" s="723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56" ht="15" customHeight="1" thickBot="1">
      <c r="A5" s="747" t="s">
        <v>3701</v>
      </c>
      <c r="B5" s="1447">
        <v>46005</v>
      </c>
      <c r="C5" s="1447">
        <v>45996</v>
      </c>
      <c r="D5" t="s">
        <v>1967</v>
      </c>
      <c r="E5" s="762">
        <f>_xlfn.XLOOKUP(D5,RUC!$B$3:$B$123,RUC!$D$3:$D$123)</f>
        <v>20601769396</v>
      </c>
      <c r="G5" s="1082">
        <v>69</v>
      </c>
      <c r="H5" s="762" t="s">
        <v>108</v>
      </c>
      <c r="I5" s="703">
        <v>3.56</v>
      </c>
      <c r="J5" s="596">
        <v>4.3</v>
      </c>
      <c r="K5" s="703">
        <f t="shared" ref="K5:K62" si="0">ROUND(+I5-(I5*(J5/100)),3)</f>
        <v>3.407</v>
      </c>
      <c r="L5" s="1082">
        <v>0.79200000000000004</v>
      </c>
      <c r="M5" s="994">
        <v>0.74099999999999999</v>
      </c>
      <c r="N5" s="1444">
        <v>0.85399999999999998</v>
      </c>
      <c r="O5" s="1147">
        <v>0.8</v>
      </c>
      <c r="P5" s="727">
        <v>90</v>
      </c>
      <c r="Q5" s="1476">
        <v>98.35</v>
      </c>
      <c r="R5" s="706">
        <v>4243</v>
      </c>
      <c r="S5" s="765">
        <f>IF((_xlfn.XLOOKUP(D5,RUC!$B$3:$B$119,RUC!$E$3:$E$119)+ROUNDDOWN(O5,1)*100)&lt;95,95,((_xlfn.XLOOKUP(D5,RUC!$B$3:$B$119,RUC!$E$3:$E$119)+ROUNDDOWN(O5,1)*100)))</f>
        <v>170</v>
      </c>
      <c r="U5" s="1146">
        <f>_xlfn.XLOOKUP(D5,RUC!$B$3:$B$123,RUC!$F$3:$F$123)</f>
        <v>120</v>
      </c>
      <c r="V5" s="715">
        <v>1.1023000000000001</v>
      </c>
      <c r="Y5" s="1445">
        <v>40</v>
      </c>
      <c r="Z5" s="143">
        <f>_xlfn.XLOOKUP(D5,RUC!$B$3:$B$123,RUC!$H$3:$H$123)</f>
        <v>30</v>
      </c>
      <c r="AA5" s="144">
        <f t="shared" ref="AA5:AA62" si="1">+Y5+Z5</f>
        <v>70</v>
      </c>
      <c r="AB5" s="145">
        <f t="shared" ref="AB5:AB20" si="2">+((O5*P5*(R5-U5)/100)-S5-AA5+T5)*V5</f>
        <v>3007.6916879999999</v>
      </c>
      <c r="AC5" s="145">
        <f>+(S5-T5)*V5-'data 1'!$F$4</f>
        <v>107.39100000000002</v>
      </c>
      <c r="AD5" s="145">
        <f t="shared" ref="AD5:AD62" si="3">+(Q5-P5)*(R5-U5)*L5*V5/100</f>
        <v>300.5555827427998</v>
      </c>
      <c r="AE5" s="145">
        <f t="shared" ref="AE5:AE62" si="4">+(Y5*V5-70)+V5*(Z5-IF(D5="UNTUCA",IF(+((W5-3)*2.5+(X5-3)*3.1)&gt;0,+((W5-3)*1.5+(X5-3)*3.1),0),IF(+((W5-3)*1.5+(X5-3)*3.1)&gt;0,+((W5-3)*1.5+(X5-3)*3.1),0)))</f>
        <v>7.1610000000000014</v>
      </c>
      <c r="AF5" s="145">
        <f t="shared" ref="AF5:AF62" si="5">(L5-O5)*(R5-U5)*Q5*V5/100</f>
        <v>-35.758351857200033</v>
      </c>
      <c r="AG5" s="772">
        <f t="shared" ref="AG5:AG25" si="6">AC5+AD5+AE5+AF5+70-53</f>
        <v>396.34923088559981</v>
      </c>
      <c r="AH5" s="1253">
        <f t="shared" ref="AH5:AH62" si="7">ROUND((31.1035*L5*Q5*1.1023*K5/100),3)</f>
        <v>90.986999999999995</v>
      </c>
      <c r="AI5" s="1253">
        <f t="shared" ref="AI5:AI62" si="8">ROUND((31.1035*L5*1.1023*K5),3)</f>
        <v>92.513999999999996</v>
      </c>
      <c r="AJ5" s="156">
        <f t="shared" ref="AJ5:AJ62" si="9">+((+$AJ$2-R5+U5)*L5*Q5*V5)/100</f>
        <v>289.3538425932</v>
      </c>
      <c r="AK5" s="156">
        <f t="shared" ref="AK5:AK62" si="10">31.1035*1.1023*K5*P5*O5/100</f>
        <v>84.10342830217202</v>
      </c>
      <c r="AM5" s="716">
        <f t="shared" ref="AM5:AM62" si="11">+IF(AB5*K5&gt;0,AB5*K5,0)</f>
        <v>10247.205581016</v>
      </c>
      <c r="AN5" s="716" t="str">
        <f>_xlfn.XLOOKUP(D5,RUC!$B$3:$B$578,RUC!$M$3:$M$578)</f>
        <v>Evelyn</v>
      </c>
      <c r="AO5" s="1167" t="s">
        <v>2277</v>
      </c>
      <c r="AP5" t="s">
        <v>3749</v>
      </c>
      <c r="AQ5" t="s">
        <v>3750</v>
      </c>
      <c r="AR5" t="s">
        <v>3822</v>
      </c>
      <c r="AV5" s="1982" t="s">
        <v>3824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747" t="s">
        <v>3702</v>
      </c>
      <c r="B6" s="1447">
        <v>46000</v>
      </c>
      <c r="C6" s="1447">
        <v>45996</v>
      </c>
      <c r="D6" t="s">
        <v>93</v>
      </c>
      <c r="E6" s="762">
        <f>_xlfn.XLOOKUP(D6,RUC!$B$3:$B$123,RUC!$D$3:$D$123)</f>
        <v>20169040231</v>
      </c>
      <c r="G6" s="1082">
        <v>21</v>
      </c>
      <c r="H6" s="762" t="s">
        <v>69</v>
      </c>
      <c r="I6" s="703">
        <v>1.87</v>
      </c>
      <c r="J6" s="596">
        <v>1.4</v>
      </c>
      <c r="K6" s="703">
        <f t="shared" si="0"/>
        <v>1.8440000000000001</v>
      </c>
      <c r="L6" s="1082">
        <v>0.218</v>
      </c>
      <c r="M6" s="994">
        <f t="shared" ref="M6:M14" si="12">ROUND(+IF(AN6="Melchor Vera",IF(L6&gt;0.467,L6*0.985,(L6-0.007)),IF(L6&gt;0.3,L6*0.94,(L6-0.018))),3)</f>
        <v>0.2</v>
      </c>
      <c r="N6" s="1196">
        <f t="shared" ref="N6:N15" si="13">+M6</f>
        <v>0.2</v>
      </c>
      <c r="O6" s="645">
        <f t="shared" ref="O6:O32" si="14">+ROUND((M6+N6)/2,3)</f>
        <v>0.2</v>
      </c>
      <c r="P6" s="727">
        <v>90</v>
      </c>
      <c r="Q6" s="1476">
        <v>96.79</v>
      </c>
      <c r="R6" s="706">
        <v>4243</v>
      </c>
      <c r="S6" s="765">
        <f>IF((_xlfn.XLOOKUP(D6,RUC!$B$3:$B$119,RUC!$E$3:$E$119)+ROUNDDOWN(O6,1)*100)&lt;95,95,((_xlfn.XLOOKUP(D6,RUC!$B$3:$B$119,RUC!$E$3:$E$119)+ROUNDDOWN(O6,1)*100)))</f>
        <v>105</v>
      </c>
      <c r="U6" s="1146">
        <f>_xlfn.XLOOKUP(D6,RUC!$B$3:$B$123,RUC!$F$3:$F$123)</f>
        <v>120</v>
      </c>
      <c r="V6" s="715">
        <v>1.1023000000000001</v>
      </c>
      <c r="Y6">
        <f>_xlfn.XLOOKUP(D6,RUC!$B$3:$B$123,RUC!$G$3:$G$123)</f>
        <v>20</v>
      </c>
      <c r="Z6" s="1454">
        <v>35</v>
      </c>
      <c r="AA6" s="144">
        <f t="shared" si="1"/>
        <v>55</v>
      </c>
      <c r="AB6" s="145">
        <f t="shared" si="2"/>
        <v>641.69292200000007</v>
      </c>
      <c r="AC6" s="145">
        <f>+(S6-T6)*V6-'data 1'!$F$4</f>
        <v>35.741500000000002</v>
      </c>
      <c r="AD6" s="145">
        <f t="shared" si="3"/>
        <v>67.272785442380069</v>
      </c>
      <c r="AE6" s="145">
        <f t="shared" si="4"/>
        <v>-9.3734999999999999</v>
      </c>
      <c r="AF6" s="145">
        <f t="shared" si="5"/>
        <v>79.180116640379964</v>
      </c>
      <c r="AG6" s="772">
        <f t="shared" si="6"/>
        <v>189.82090208276003</v>
      </c>
      <c r="AH6" s="1253">
        <f t="shared" si="7"/>
        <v>13.34</v>
      </c>
      <c r="AI6" s="1253">
        <f t="shared" si="8"/>
        <v>13.782</v>
      </c>
      <c r="AJ6" s="156">
        <f t="shared" si="9"/>
        <v>78.38206334521999</v>
      </c>
      <c r="AK6" s="156">
        <f t="shared" si="10"/>
        <v>11.380006001556001</v>
      </c>
      <c r="AM6" s="716">
        <f t="shared" si="11"/>
        <v>1183.2817481680001</v>
      </c>
      <c r="AN6" s="716" t="str">
        <f>_xlfn.XLOOKUP(D6,RUC!$B$3:$B$578,RUC!$M$3:$M$578)</f>
        <v>Ronald Miranda</v>
      </c>
      <c r="AO6" s="1167" t="s">
        <v>2277</v>
      </c>
      <c r="AP6" t="s">
        <v>3747</v>
      </c>
      <c r="AQ6" t="s">
        <v>3748</v>
      </c>
      <c r="AW6" s="1469">
        <f>SUM(AW8:AW17)</f>
        <v>434.39800000000002</v>
      </c>
      <c r="AX6" s="1470">
        <f>SUMPRODUCT(AW8:AW17,AX8:AX17)/SUM(AW8:AW17)</f>
        <v>0.31814994313970141</v>
      </c>
      <c r="AY6" s="704"/>
      <c r="AZ6" s="1471">
        <f>SUMPRODUCT(AZ8:AZ17,$BB8:$BB17)/SUM($BB8:$BB17)/100</f>
        <v>0.91478242548715827</v>
      </c>
      <c r="BA6" s="707">
        <f>SUM(BA8:BA17)</f>
        <v>4738.3674501603982</v>
      </c>
      <c r="BB6" s="707">
        <f>SUM(BB8:BB17)</f>
        <v>4321.2349999999997</v>
      </c>
    </row>
    <row r="7" spans="1:56" ht="15" customHeight="1" thickBot="1">
      <c r="A7" s="1491" t="s">
        <v>3705</v>
      </c>
      <c r="C7" s="1447">
        <v>45996</v>
      </c>
      <c r="D7" t="s">
        <v>1967</v>
      </c>
      <c r="E7" s="762">
        <f>_xlfn.XLOOKUP(D7,RUC!$B$3:$B$123,RUC!$D$3:$D$123)</f>
        <v>20601769396</v>
      </c>
      <c r="G7" s="1082">
        <v>51</v>
      </c>
      <c r="H7" s="762" t="s">
        <v>108</v>
      </c>
      <c r="I7" s="703">
        <v>3.54</v>
      </c>
      <c r="J7" s="596">
        <v>16.5</v>
      </c>
      <c r="K7" s="703">
        <f t="shared" si="0"/>
        <v>2.956</v>
      </c>
      <c r="L7" s="1082">
        <v>6.4000000000000001E-2</v>
      </c>
      <c r="M7" s="994">
        <f t="shared" si="12"/>
        <v>4.5999999999999999E-2</v>
      </c>
      <c r="N7" s="1196">
        <f t="shared" si="13"/>
        <v>4.5999999999999999E-2</v>
      </c>
      <c r="O7" s="645">
        <f t="shared" si="14"/>
        <v>4.5999999999999999E-2</v>
      </c>
      <c r="P7" s="727">
        <v>80</v>
      </c>
      <c r="Q7" s="1476">
        <v>95.45</v>
      </c>
      <c r="R7" s="706">
        <v>4243</v>
      </c>
      <c r="S7" s="765">
        <f>IF((_xlfn.XLOOKUP(D7,RUC!$B$3:$B$119,RUC!$E$3:$E$119)+ROUNDDOWN(O7,1)*100)&lt;95,95,((_xlfn.XLOOKUP(D7,RUC!$B$3:$B$119,RUC!$E$3:$E$119)+ROUNDDOWN(O7,1)*100)))</f>
        <v>95</v>
      </c>
      <c r="U7" s="1146">
        <f>_xlfn.XLOOKUP(D7,RUC!$B$3:$B$123,RUC!$F$3:$F$123)</f>
        <v>120</v>
      </c>
      <c r="V7" s="715">
        <v>1.1023000000000001</v>
      </c>
      <c r="Y7">
        <f>_xlfn.XLOOKUP(D7,RUC!$B$3:$B$123,RUC!$G$3:$G$123)</f>
        <v>20</v>
      </c>
      <c r="Z7" s="143">
        <f>_xlfn.XLOOKUP(D7,RUC!$B$3:$B$123,RUC!$H$3:$H$123)</f>
        <v>30</v>
      </c>
      <c r="AA7" s="144">
        <f t="shared" si="1"/>
        <v>50</v>
      </c>
      <c r="AB7" s="145">
        <f t="shared" si="2"/>
        <v>7.4145107199999831</v>
      </c>
      <c r="AC7" s="145">
        <f>+(S7-T7)*V7-'data 1'!$F$4</f>
        <v>24.718500000000006</v>
      </c>
      <c r="AD7" s="145">
        <f t="shared" si="3"/>
        <v>44.938813315200015</v>
      </c>
      <c r="AE7" s="145">
        <f t="shared" si="4"/>
        <v>-14.884999999999998</v>
      </c>
      <c r="AF7" s="145">
        <f t="shared" si="5"/>
        <v>78.083915004900021</v>
      </c>
      <c r="AG7" s="772">
        <f t="shared" si="6"/>
        <v>149.85622832010003</v>
      </c>
      <c r="AH7" s="1253">
        <f t="shared" si="7"/>
        <v>6.1909999999999998</v>
      </c>
      <c r="AI7" s="1253">
        <f t="shared" si="8"/>
        <v>6.4859999999999998</v>
      </c>
      <c r="AJ7" s="156">
        <f t="shared" si="9"/>
        <v>22.692670908800004</v>
      </c>
      <c r="AK7" s="156">
        <f t="shared" si="10"/>
        <v>3.7295919403894398</v>
      </c>
      <c r="AM7" s="716">
        <f t="shared" si="11"/>
        <v>21.917293688319951</v>
      </c>
      <c r="AN7" s="716" t="str">
        <f>_xlfn.XLOOKUP(D7,RUC!$B$3:$B$578,RUC!$M$3:$M$578)</f>
        <v>Evelyn</v>
      </c>
      <c r="AO7" s="1167" t="s">
        <v>2280</v>
      </c>
      <c r="AP7" t="s">
        <v>3749</v>
      </c>
      <c r="AQ7" t="s">
        <v>3750</v>
      </c>
      <c r="AV7" s="762"/>
      <c r="AW7" s="762" t="s">
        <v>15</v>
      </c>
      <c r="AX7" s="762" t="s">
        <v>2522</v>
      </c>
      <c r="AY7" s="1214" t="s">
        <v>2522</v>
      </c>
      <c r="AZ7" s="762" t="s">
        <v>2523</v>
      </c>
      <c r="BA7" s="762" t="s">
        <v>2558</v>
      </c>
      <c r="BB7" s="762" t="s">
        <v>2559</v>
      </c>
      <c r="BC7" s="1555" t="s">
        <v>2565</v>
      </c>
      <c r="BD7" s="729" t="s">
        <v>2579</v>
      </c>
    </row>
    <row r="8" spans="1:56" ht="15" customHeight="1">
      <c r="A8" s="1491" t="s">
        <v>3706</v>
      </c>
      <c r="C8" s="1447">
        <v>45996</v>
      </c>
      <c r="D8" t="s">
        <v>1967</v>
      </c>
      <c r="E8" s="762">
        <f>_xlfn.XLOOKUP(D8,RUC!$B$3:$B$123,RUC!$D$3:$D$123)</f>
        <v>20601769396</v>
      </c>
      <c r="G8" s="1082">
        <v>52</v>
      </c>
      <c r="H8" s="762" t="s">
        <v>108</v>
      </c>
      <c r="I8" s="703">
        <v>3.62</v>
      </c>
      <c r="J8" s="596">
        <v>21.2</v>
      </c>
      <c r="K8" s="703">
        <f t="shared" si="0"/>
        <v>2.8530000000000002</v>
      </c>
      <c r="L8" s="1082">
        <v>5.0999999999999997E-2</v>
      </c>
      <c r="M8" s="994">
        <f t="shared" si="12"/>
        <v>3.3000000000000002E-2</v>
      </c>
      <c r="N8" s="1196">
        <f t="shared" si="13"/>
        <v>3.3000000000000002E-2</v>
      </c>
      <c r="O8" s="645">
        <f t="shared" si="14"/>
        <v>3.3000000000000002E-2</v>
      </c>
      <c r="P8" s="727">
        <v>80</v>
      </c>
      <c r="Q8" s="1572">
        <v>83.02</v>
      </c>
      <c r="R8" s="706">
        <v>4243</v>
      </c>
      <c r="S8" s="765">
        <f>IF((_xlfn.XLOOKUP(D8,RUC!$B$3:$B$119,RUC!$E$3:$E$119)+ROUNDDOWN(O8,1)*100)&lt;95,95,((_xlfn.XLOOKUP(D8,RUC!$B$3:$B$119,RUC!$E$3:$E$119)+ROUNDDOWN(O8,1)*100)))</f>
        <v>95</v>
      </c>
      <c r="U8" s="1146">
        <f>_xlfn.XLOOKUP(D8,RUC!$B$3:$B$123,RUC!$F$3:$F$123)</f>
        <v>120</v>
      </c>
      <c r="V8" s="715">
        <v>1.1023000000000001</v>
      </c>
      <c r="Y8">
        <f>_xlfn.XLOOKUP(D8,RUC!$B$3:$B$123,RUC!$G$3:$G$123)</f>
        <v>20</v>
      </c>
      <c r="Z8" s="143">
        <f>_xlfn.XLOOKUP(D8,RUC!$B$3:$B$123,RUC!$H$3:$H$123)</f>
        <v>30</v>
      </c>
      <c r="AA8" s="144">
        <f t="shared" si="1"/>
        <v>50</v>
      </c>
      <c r="AB8" s="145">
        <f t="shared" si="2"/>
        <v>-39.851231439999985</v>
      </c>
      <c r="AC8" s="145">
        <f>+(S8-T8)*V8-'data 1'!$F$4</f>
        <v>24.718500000000006</v>
      </c>
      <c r="AD8" s="145">
        <f t="shared" si="3"/>
        <v>6.9998746225799904</v>
      </c>
      <c r="AE8" s="145">
        <f t="shared" si="4"/>
        <v>-14.884999999999998</v>
      </c>
      <c r="AF8" s="145">
        <f t="shared" si="5"/>
        <v>67.915417744439978</v>
      </c>
      <c r="AG8" s="772">
        <f t="shared" si="6"/>
        <v>101.74879236701997</v>
      </c>
      <c r="AH8" s="1253">
        <f t="shared" si="7"/>
        <v>4.1420000000000003</v>
      </c>
      <c r="AI8" s="1253">
        <f t="shared" si="8"/>
        <v>4.9889999999999999</v>
      </c>
      <c r="AJ8" s="156">
        <f t="shared" si="9"/>
        <v>15.728330029019999</v>
      </c>
      <c r="AK8" s="156">
        <f t="shared" si="10"/>
        <v>2.5823479996155605</v>
      </c>
      <c r="AM8" s="716">
        <f t="shared" si="11"/>
        <v>0</v>
      </c>
      <c r="AN8" s="716" t="str">
        <f>_xlfn.XLOOKUP(D8,RUC!$B$3:$B$578,RUC!$M$3:$M$578)</f>
        <v>Evelyn</v>
      </c>
      <c r="AO8" s="1167" t="s">
        <v>2280</v>
      </c>
      <c r="AP8" t="s">
        <v>3749</v>
      </c>
      <c r="AQ8" t="s">
        <v>3750</v>
      </c>
      <c r="AV8" s="1556" t="s">
        <v>2277</v>
      </c>
      <c r="AW8" s="1227">
        <f t="shared" ref="AW8:AW17" si="15">SUMIF($AO$4:$AO$1127,AV8,$K$4:$K$1127)</f>
        <v>156.99</v>
      </c>
      <c r="AX8" s="1227" cm="1">
        <f t="array" ref="AX8">+SUMPRODUCT(IF($AO$4:$AO$1127=AV8,$L$4:$L$1127*$K$4:$K$1127/AW8))</f>
        <v>0.30816895343652467</v>
      </c>
      <c r="AY8" s="1228">
        <f t="shared" ref="AY8:AY17" si="16">31.1035*1.1023*AX8*(100-AZ8)/100</f>
        <v>1.034974332794022</v>
      </c>
      <c r="AZ8" s="1229" cm="1">
        <f t="array" ref="AZ8">+SUMPRODUCT(IF($AO$4:$AO$1127=AV8,($Q$4:$Q$1127*$AH$4:$AH$1127)/SUMIF($AO$4:$AO$1127,$AV8,$AH$4:$AH$1127)))</f>
        <v>90.204386823366974</v>
      </c>
      <c r="BA8" s="1441">
        <f t="shared" ref="BA8:BA17" si="17">+AX8*31.1035*1.1023*AW8</f>
        <v>1658.7080111832447</v>
      </c>
      <c r="BB8" s="1230">
        <f t="shared" ref="BB8:BB17" si="18">SUMIF($AO$4:$AO$227,$AV8,$AH$4:$AH$227)</f>
        <v>1489.212</v>
      </c>
      <c r="BC8" s="1229">
        <f>+BA8-BB8</f>
        <v>169.49601118324472</v>
      </c>
      <c r="BD8" s="1231">
        <f>+AW8</f>
        <v>156.99</v>
      </c>
    </row>
    <row r="9" spans="1:56" ht="15" customHeight="1">
      <c r="A9" s="1491" t="s">
        <v>3708</v>
      </c>
      <c r="C9" s="1447">
        <v>45996</v>
      </c>
      <c r="D9" t="s">
        <v>1967</v>
      </c>
      <c r="E9" s="762">
        <f>_xlfn.XLOOKUP(D9,RUC!$B$3:$B$123,RUC!$D$3:$D$123)</f>
        <v>20601769396</v>
      </c>
      <c r="G9" s="1082">
        <v>52</v>
      </c>
      <c r="H9" s="762" t="s">
        <v>108</v>
      </c>
      <c r="I9" s="703">
        <v>3.56</v>
      </c>
      <c r="J9" s="596">
        <v>24.2</v>
      </c>
      <c r="K9" s="703">
        <f t="shared" si="0"/>
        <v>2.698</v>
      </c>
      <c r="L9" s="1082">
        <v>5.8999999999999997E-2</v>
      </c>
      <c r="M9" s="994">
        <f t="shared" si="12"/>
        <v>4.1000000000000002E-2</v>
      </c>
      <c r="N9" s="1196">
        <f t="shared" si="13"/>
        <v>4.1000000000000002E-2</v>
      </c>
      <c r="O9" s="645">
        <f t="shared" si="14"/>
        <v>4.1000000000000002E-2</v>
      </c>
      <c r="P9" s="727">
        <v>80</v>
      </c>
      <c r="Q9" s="1476">
        <v>90.32</v>
      </c>
      <c r="R9" s="706">
        <v>4243</v>
      </c>
      <c r="S9" s="765">
        <f>IF((_xlfn.XLOOKUP(D9,RUC!$B$3:$B$119,RUC!$E$3:$E$119)+ROUNDDOWN(O9,1)*100)&lt;95,95,((_xlfn.XLOOKUP(D9,RUC!$B$3:$B$119,RUC!$E$3:$E$119)+ROUNDDOWN(O9,1)*100)))</f>
        <v>95</v>
      </c>
      <c r="U9" s="1146">
        <f>_xlfn.XLOOKUP(D9,RUC!$B$3:$B$123,RUC!$F$3:$F$123)</f>
        <v>120</v>
      </c>
      <c r="V9" s="715">
        <v>1.1023000000000001</v>
      </c>
      <c r="Y9">
        <f>_xlfn.XLOOKUP(D9,RUC!$B$3:$B$123,RUC!$G$3:$G$123)</f>
        <v>20</v>
      </c>
      <c r="Z9" s="143">
        <f>_xlfn.XLOOKUP(D9,RUC!$B$3:$B$123,RUC!$H$3:$H$123)</f>
        <v>30</v>
      </c>
      <c r="AA9" s="144">
        <f t="shared" si="1"/>
        <v>50</v>
      </c>
      <c r="AB9" s="145">
        <f t="shared" si="2"/>
        <v>-10.764620880000008</v>
      </c>
      <c r="AC9" s="145">
        <f>+(S9-T9)*V9-'data 1'!$F$4</f>
        <v>24.718500000000006</v>
      </c>
      <c r="AD9" s="145">
        <f t="shared" si="3"/>
        <v>27.67227412151998</v>
      </c>
      <c r="AE9" s="145">
        <f t="shared" si="4"/>
        <v>-14.884999999999998</v>
      </c>
      <c r="AF9" s="145">
        <f t="shared" si="5"/>
        <v>73.887262475039975</v>
      </c>
      <c r="AG9" s="772">
        <f t="shared" si="6"/>
        <v>128.39303659655997</v>
      </c>
      <c r="AH9" s="1253">
        <f t="shared" si="7"/>
        <v>4.9290000000000003</v>
      </c>
      <c r="AI9" s="1253">
        <f t="shared" si="8"/>
        <v>5.4580000000000002</v>
      </c>
      <c r="AJ9" s="156">
        <f t="shared" si="9"/>
        <v>19.795462308879998</v>
      </c>
      <c r="AK9" s="156">
        <f t="shared" si="10"/>
        <v>3.0340648442519207</v>
      </c>
      <c r="AM9" s="716">
        <f t="shared" si="11"/>
        <v>0</v>
      </c>
      <c r="AN9" s="716" t="str">
        <f>_xlfn.XLOOKUP(D9,RUC!$B$3:$B$578,RUC!$M$3:$M$578)</f>
        <v>Evelyn</v>
      </c>
      <c r="AO9" s="1167" t="s">
        <v>2280</v>
      </c>
      <c r="AP9" t="s">
        <v>3749</v>
      </c>
      <c r="AQ9" t="s">
        <v>3750</v>
      </c>
      <c r="AV9" s="1557" t="s">
        <v>2278</v>
      </c>
      <c r="AW9" s="703">
        <f t="shared" si="15"/>
        <v>152.89000000000001</v>
      </c>
      <c r="AX9" s="703" cm="1">
        <f t="array" ref="AX9">+SUMPRODUCT(IF($AO$4:$AO$1127=AV9,$L$4:$L$1127*$K$4:$K$1127/AW9))</f>
        <v>0.31810034011380739</v>
      </c>
      <c r="AY9" s="1215">
        <f t="shared" si="16"/>
        <v>1.1230233159188623</v>
      </c>
      <c r="AZ9" s="596" cm="1">
        <f t="array" ref="AZ9">+SUMPRODUCT(IF($AO$4:$AO$1127=AV9,($Q$4:$Q$1127*$AH$4:$AH$1127)/SUMIF($AO$4:$AO$1127,$AV9,$AH$4:$AH$1127)))</f>
        <v>89.702884827241206</v>
      </c>
      <c r="BA9" s="1481">
        <f t="shared" si="17"/>
        <v>1667.4479394487867</v>
      </c>
      <c r="BB9" s="1237">
        <f t="shared" si="18"/>
        <v>1493.2089999999998</v>
      </c>
      <c r="BC9" s="596">
        <f t="shared" ref="BC9:BC17" si="19">+BC8+BA9-BB9</f>
        <v>343.73495063203154</v>
      </c>
      <c r="BD9" s="1238">
        <f t="shared" ref="BD9:BD17" si="20">+BD8+AW9</f>
        <v>309.88</v>
      </c>
    </row>
    <row r="10" spans="1:56" ht="15" customHeight="1">
      <c r="A10" s="747" t="s">
        <v>3712</v>
      </c>
      <c r="B10" s="1447">
        <v>46005</v>
      </c>
      <c r="C10" s="1447">
        <v>45996</v>
      </c>
      <c r="D10" t="s">
        <v>1967</v>
      </c>
      <c r="E10" s="762">
        <f>_xlfn.XLOOKUP(D10,RUC!$B$3:$B$123,RUC!$D$3:$D$123)</f>
        <v>20601769396</v>
      </c>
      <c r="G10" s="1082">
        <v>51</v>
      </c>
      <c r="H10" s="762" t="s">
        <v>69</v>
      </c>
      <c r="I10" s="703">
        <v>4.4800000000000004</v>
      </c>
      <c r="J10" s="596">
        <v>8.5</v>
      </c>
      <c r="K10" s="703">
        <f t="shared" si="0"/>
        <v>4.0990000000000002</v>
      </c>
      <c r="L10" s="1082">
        <v>0.14899999999999999</v>
      </c>
      <c r="M10" s="994">
        <f t="shared" si="12"/>
        <v>0.13100000000000001</v>
      </c>
      <c r="N10" s="1196">
        <f t="shared" si="13"/>
        <v>0.13100000000000001</v>
      </c>
      <c r="O10" s="645">
        <f t="shared" si="14"/>
        <v>0.13100000000000001</v>
      </c>
      <c r="P10" s="727">
        <v>74</v>
      </c>
      <c r="Q10" s="1572">
        <v>74.5</v>
      </c>
      <c r="R10" s="706">
        <v>4243</v>
      </c>
      <c r="S10" s="765">
        <f>IF((_xlfn.XLOOKUP(D10,RUC!$B$3:$B$119,RUC!$E$3:$E$119)+ROUNDDOWN(O10,1)*100)&lt;95,95,((_xlfn.XLOOKUP(D10,RUC!$B$3:$B$119,RUC!$E$3:$E$119)+ROUNDDOWN(O10,1)*100)))</f>
        <v>100</v>
      </c>
      <c r="U10" s="1146">
        <f>_xlfn.XLOOKUP(D10,RUC!$B$3:$B$123,RUC!$F$3:$F$123)</f>
        <v>120</v>
      </c>
      <c r="V10" s="715">
        <v>1.1023000000000001</v>
      </c>
      <c r="Y10">
        <f>_xlfn.XLOOKUP(D10,RUC!$B$3:$B$123,RUC!$G$3:$G$123)</f>
        <v>20</v>
      </c>
      <c r="Z10" s="143">
        <f>_xlfn.XLOOKUP(D10,RUC!$B$3:$B$123,RUC!$H$3:$H$123)</f>
        <v>30</v>
      </c>
      <c r="AA10" s="144">
        <f t="shared" si="1"/>
        <v>50</v>
      </c>
      <c r="AB10" s="145">
        <f t="shared" si="2"/>
        <v>275.22625432600006</v>
      </c>
      <c r="AC10" s="145">
        <f>+(S10-T10)*V10-'data 1'!$F$4</f>
        <v>30.230000000000004</v>
      </c>
      <c r="AD10" s="145">
        <f t="shared" si="3"/>
        <v>3.3858632605000003</v>
      </c>
      <c r="AE10" s="145">
        <f t="shared" si="4"/>
        <v>-14.884999999999998</v>
      </c>
      <c r="AF10" s="145">
        <f t="shared" si="5"/>
        <v>60.945538688999967</v>
      </c>
      <c r="AG10" s="772">
        <f t="shared" si="6"/>
        <v>96.676401949499962</v>
      </c>
      <c r="AH10" s="1253">
        <f t="shared" si="7"/>
        <v>15.6</v>
      </c>
      <c r="AI10" s="1253">
        <f t="shared" si="8"/>
        <v>20.94</v>
      </c>
      <c r="AJ10" s="156">
        <f t="shared" si="9"/>
        <v>41.235593475499996</v>
      </c>
      <c r="AK10" s="156">
        <f t="shared" si="10"/>
        <v>13.623540996507133</v>
      </c>
      <c r="AM10" s="716">
        <f t="shared" si="11"/>
        <v>1128.1524164822742</v>
      </c>
      <c r="AN10" s="716" t="str">
        <f>_xlfn.XLOOKUP(D10,RUC!$B$3:$B$578,RUC!$M$3:$M$578)</f>
        <v>Evelyn</v>
      </c>
      <c r="AO10" s="1167" t="s">
        <v>2277</v>
      </c>
      <c r="AP10" t="s">
        <v>3749</v>
      </c>
      <c r="AQ10" t="s">
        <v>3750</v>
      </c>
      <c r="AV10" s="1557" t="s">
        <v>2280</v>
      </c>
      <c r="AW10" s="703">
        <f t="shared" si="15"/>
        <v>124.518</v>
      </c>
      <c r="AX10" s="703" cm="1">
        <f t="array" ref="AX10">+SUMPRODUCT(IF($AO$4:$AO$1127=AV10,$L$4:$L$1127*$K$4:$K$1127/AW10))</f>
        <v>0.33079469634912223</v>
      </c>
      <c r="AY10" s="1215">
        <f t="shared" si="16"/>
        <v>0.58121455162499469</v>
      </c>
      <c r="AZ10" s="596" cm="1">
        <f t="array" ref="AZ10">+SUMPRODUCT(IF($AO$4:$AO$1127=AV10,($Q$4:$Q$1127*$AH$4:$AH$1127)/SUMIF($AO$4:$AO$1127,$AV10,$AH$4:$AH$1127)))</f>
        <v>94.875294984964299</v>
      </c>
      <c r="BA10" s="1237">
        <f t="shared" si="17"/>
        <v>1412.2114995283669</v>
      </c>
      <c r="BB10" s="1237">
        <f t="shared" si="18"/>
        <v>1338.8139999999999</v>
      </c>
      <c r="BC10" s="596">
        <f t="shared" si="19"/>
        <v>417.13245016039855</v>
      </c>
      <c r="BD10" s="1238">
        <f t="shared" si="20"/>
        <v>434.39800000000002</v>
      </c>
    </row>
    <row r="11" spans="1:56" ht="15" customHeight="1">
      <c r="A11" s="747" t="s">
        <v>3713</v>
      </c>
      <c r="B11" s="1447">
        <v>46005</v>
      </c>
      <c r="C11" s="1447">
        <v>45996</v>
      </c>
      <c r="D11" t="s">
        <v>1967</v>
      </c>
      <c r="E11" s="762">
        <f>_xlfn.XLOOKUP(D11,RUC!$B$3:$B$123,RUC!$D$3:$D$123)</f>
        <v>20601769396</v>
      </c>
      <c r="G11" s="1082">
        <v>51</v>
      </c>
      <c r="H11" s="762" t="s">
        <v>69</v>
      </c>
      <c r="I11" s="703">
        <v>4.6100000000000003</v>
      </c>
      <c r="J11" s="596">
        <v>9.92</v>
      </c>
      <c r="K11" s="703">
        <f t="shared" si="0"/>
        <v>4.1529999999999996</v>
      </c>
      <c r="L11" s="1082">
        <v>0.19900000000000001</v>
      </c>
      <c r="M11" s="994">
        <f t="shared" si="12"/>
        <v>0.18099999999999999</v>
      </c>
      <c r="N11" s="1196">
        <f t="shared" si="13"/>
        <v>0.18099999999999999</v>
      </c>
      <c r="O11" s="645">
        <f t="shared" si="14"/>
        <v>0.18099999999999999</v>
      </c>
      <c r="P11" s="727">
        <v>70</v>
      </c>
      <c r="Q11" s="1572">
        <v>69.349999999999994</v>
      </c>
      <c r="R11" s="706">
        <v>4243</v>
      </c>
      <c r="S11" s="765">
        <f>IF((_xlfn.XLOOKUP(D11,RUC!$B$3:$B$119,RUC!$E$3:$E$119)+ROUNDDOWN(O11,1)*100)&lt;95,95,((_xlfn.XLOOKUP(D11,RUC!$B$3:$B$119,RUC!$E$3:$E$119)+ROUNDDOWN(O11,1)*100)))</f>
        <v>100</v>
      </c>
      <c r="U11" s="1146">
        <f>_xlfn.XLOOKUP(D11,RUC!$B$3:$B$123,RUC!$F$3:$F$123)</f>
        <v>120</v>
      </c>
      <c r="V11" s="715">
        <v>1.1023000000000001</v>
      </c>
      <c r="Y11">
        <f>_xlfn.XLOOKUP(D11,RUC!$B$3:$B$123,RUC!$G$3:$G$123)</f>
        <v>20</v>
      </c>
      <c r="Z11" s="143">
        <f>_xlfn.XLOOKUP(D11,RUC!$B$3:$B$123,RUC!$H$3:$H$123)</f>
        <v>30</v>
      </c>
      <c r="AA11" s="144">
        <f t="shared" si="1"/>
        <v>50</v>
      </c>
      <c r="AB11" s="145">
        <f t="shared" si="2"/>
        <v>410.47899343</v>
      </c>
      <c r="AC11" s="145">
        <f>+(S11-T11)*V11-'data 1'!$F$4</f>
        <v>30.230000000000004</v>
      </c>
      <c r="AD11" s="145">
        <f t="shared" si="3"/>
        <v>-5.8786766811500524</v>
      </c>
      <c r="AE11" s="145">
        <f t="shared" si="4"/>
        <v>-14.884999999999998</v>
      </c>
      <c r="AF11" s="145">
        <f t="shared" si="5"/>
        <v>56.732524940700053</v>
      </c>
      <c r="AG11" s="772">
        <f t="shared" si="6"/>
        <v>83.198848259550005</v>
      </c>
      <c r="AH11" s="1253">
        <f t="shared" si="7"/>
        <v>19.649999999999999</v>
      </c>
      <c r="AI11" s="1253">
        <f t="shared" si="8"/>
        <v>28.335000000000001</v>
      </c>
      <c r="AJ11" s="156">
        <f t="shared" si="9"/>
        <v>51.265978388150003</v>
      </c>
      <c r="AK11" s="156">
        <f t="shared" si="10"/>
        <v>18.040460339628051</v>
      </c>
      <c r="AM11" s="716">
        <f t="shared" si="11"/>
        <v>1704.7192597147898</v>
      </c>
      <c r="AN11" s="716" t="str">
        <f>_xlfn.XLOOKUP(D11,RUC!$B$3:$B$578,RUC!$M$3:$M$578)</f>
        <v>Evelyn</v>
      </c>
      <c r="AO11" s="1167" t="s">
        <v>2277</v>
      </c>
      <c r="AP11" t="s">
        <v>3749</v>
      </c>
      <c r="AQ11" t="s">
        <v>3750</v>
      </c>
      <c r="AV11" s="1557" t="s">
        <v>2279</v>
      </c>
      <c r="AW11" s="703">
        <f t="shared" si="15"/>
        <v>0</v>
      </c>
      <c r="AX11" s="703" cm="1">
        <f t="array" ref="AX11">+SUMPRODUCT(IF($AO$4:$AO$1127=AV11,$L$4:$L$1127*$K$4:$K$1127/AW11))</f>
        <v>0</v>
      </c>
      <c r="AY11" s="1215">
        <f t="shared" si="16"/>
        <v>0</v>
      </c>
      <c r="AZ11" s="596" cm="1">
        <f t="array" ref="AZ11">+SUMPRODUCT(IF($AO$4:$AO$1127=AV11,($Q$4:$Q$1127*$AH$4:$AH$1127)/SUMIF($AO$4:$AO$1127,$AV11,$AH$4:$AH$1127)))</f>
        <v>0</v>
      </c>
      <c r="BA11" s="1237">
        <f t="shared" si="17"/>
        <v>0</v>
      </c>
      <c r="BB11" s="1237">
        <f t="shared" si="18"/>
        <v>0</v>
      </c>
      <c r="BC11" s="596">
        <f t="shared" si="19"/>
        <v>417.13245016039855</v>
      </c>
      <c r="BD11" s="1238">
        <f t="shared" si="20"/>
        <v>434.39800000000002</v>
      </c>
    </row>
    <row r="12" spans="1:56" ht="15" customHeight="1">
      <c r="A12" s="747" t="s">
        <v>3714</v>
      </c>
      <c r="B12" s="1447">
        <v>46006</v>
      </c>
      <c r="C12" s="1447">
        <v>45996</v>
      </c>
      <c r="D12" t="s">
        <v>1484</v>
      </c>
      <c r="E12" s="762">
        <f>_xlfn.XLOOKUP(D12,RUC!$B$3:$B$123,RUC!$D$3:$D$123)</f>
        <v>10761932735</v>
      </c>
      <c r="G12" s="1082">
        <v>27</v>
      </c>
      <c r="H12" s="762" t="s">
        <v>69</v>
      </c>
      <c r="I12" s="703">
        <v>2.38</v>
      </c>
      <c r="J12" s="596">
        <v>15.9</v>
      </c>
      <c r="K12" s="703">
        <f t="shared" si="0"/>
        <v>2.0019999999999998</v>
      </c>
      <c r="L12" s="1082">
        <v>0.52600000000000002</v>
      </c>
      <c r="M12" s="994">
        <f t="shared" si="12"/>
        <v>0.49399999999999999</v>
      </c>
      <c r="N12" s="1196">
        <f t="shared" si="13"/>
        <v>0.49399999999999999</v>
      </c>
      <c r="O12" s="645">
        <f t="shared" si="14"/>
        <v>0.49399999999999999</v>
      </c>
      <c r="P12" s="727">
        <v>90</v>
      </c>
      <c r="Q12" s="1476">
        <v>94.3</v>
      </c>
      <c r="R12" s="706">
        <v>4243</v>
      </c>
      <c r="S12" s="765">
        <f>IF((_xlfn.XLOOKUP(D12,RUC!$B$3:$B$119,RUC!$E$3:$E$119)+ROUNDDOWN(O12,1)*100)&lt;95,95,((_xlfn.XLOOKUP(D12,RUC!$B$3:$B$119,RUC!$E$3:$E$119)+ROUNDDOWN(O12,1)*100)))</f>
        <v>130</v>
      </c>
      <c r="U12" s="1146">
        <f>_xlfn.XLOOKUP(D12,RUC!$B$3:$B$123,RUC!$F$3:$F$123)</f>
        <v>120</v>
      </c>
      <c r="V12" s="715">
        <v>1.1023000000000001</v>
      </c>
      <c r="Y12">
        <f>_xlfn.XLOOKUP(D12,RUC!$B$3:$B$123,RUC!$G$3:$G$123)</f>
        <v>20</v>
      </c>
      <c r="Z12" s="143">
        <f>_xlfn.XLOOKUP(D12,RUC!$B$3:$B$123,RUC!$H$3:$H$123)</f>
        <v>30</v>
      </c>
      <c r="AA12" s="144">
        <f t="shared" si="1"/>
        <v>50</v>
      </c>
      <c r="AB12" s="145">
        <f t="shared" si="2"/>
        <v>1822.1964773400002</v>
      </c>
      <c r="AC12" s="145">
        <f>+(S12-T12)*V12-'data 1'!$F$4</f>
        <v>63.299000000000007</v>
      </c>
      <c r="AD12" s="145">
        <f t="shared" si="3"/>
        <v>102.79389963219994</v>
      </c>
      <c r="AE12" s="145">
        <f t="shared" si="4"/>
        <v>-14.884999999999998</v>
      </c>
      <c r="AF12" s="145">
        <f t="shared" si="5"/>
        <v>137.14336879040013</v>
      </c>
      <c r="AG12" s="772">
        <f t="shared" si="6"/>
        <v>305.35126842260007</v>
      </c>
      <c r="AH12" s="1253">
        <f t="shared" si="7"/>
        <v>34.045999999999999</v>
      </c>
      <c r="AI12" s="1253">
        <f t="shared" si="8"/>
        <v>36.103999999999999</v>
      </c>
      <c r="AJ12" s="156">
        <f t="shared" si="9"/>
        <v>184.25833615179999</v>
      </c>
      <c r="AK12" s="156">
        <f t="shared" si="10"/>
        <v>30.517053621114055</v>
      </c>
      <c r="AM12" s="716">
        <f t="shared" si="11"/>
        <v>3648.0373476346799</v>
      </c>
      <c r="AN12" s="716" t="str">
        <f>_xlfn.XLOOKUP(D12,RUC!$B$3:$B$578,RUC!$M$3:$M$578)</f>
        <v>Richard Sapacayo</v>
      </c>
      <c r="AO12" s="1167" t="s">
        <v>2277</v>
      </c>
      <c r="AP12" t="s">
        <v>3493</v>
      </c>
      <c r="AQ12" t="s">
        <v>3752</v>
      </c>
      <c r="AV12" s="1557" t="s">
        <v>2281</v>
      </c>
      <c r="AW12" s="703">
        <f t="shared" si="15"/>
        <v>0</v>
      </c>
      <c r="AX12" s="703" cm="1">
        <f t="array" ref="AX12">+SUMPRODUCT(IF($AO$4:$AO$1127=AV12,$L$4:$L$1127*$K$4:$K$1127/AW12))</f>
        <v>0</v>
      </c>
      <c r="AY12" s="1215">
        <f t="shared" si="16"/>
        <v>0</v>
      </c>
      <c r="AZ12" s="596" cm="1">
        <f t="array" ref="AZ12">+SUMPRODUCT(IF($AO$4:$AO$1127=AV12,($Q$4:$Q$1127*$AH$4:$AH$1127)/SUMIF($AO$4:$AO$1127,$AV12,$AH$4:$AH$1127)))</f>
        <v>0</v>
      </c>
      <c r="BA12" s="1237">
        <f t="shared" si="17"/>
        <v>0</v>
      </c>
      <c r="BB12" s="1237">
        <f t="shared" si="18"/>
        <v>0</v>
      </c>
      <c r="BC12" s="596">
        <f t="shared" si="19"/>
        <v>417.13245016039855</v>
      </c>
      <c r="BD12" s="1238">
        <f t="shared" si="20"/>
        <v>434.39800000000002</v>
      </c>
    </row>
    <row r="13" spans="1:56" ht="15" customHeight="1">
      <c r="A13" s="747" t="s">
        <v>3715</v>
      </c>
      <c r="B13" s="1447">
        <v>46005</v>
      </c>
      <c r="C13" s="1447">
        <v>45996</v>
      </c>
      <c r="D13" t="s">
        <v>1967</v>
      </c>
      <c r="E13" s="762">
        <f>_xlfn.XLOOKUP(D13,RUC!$B$3:$B$123,RUC!$D$3:$D$123)</f>
        <v>20601769396</v>
      </c>
      <c r="G13" s="1082">
        <v>52</v>
      </c>
      <c r="H13" s="762" t="s">
        <v>69</v>
      </c>
      <c r="I13" s="703">
        <v>4.72</v>
      </c>
      <c r="J13" s="596">
        <v>8.9</v>
      </c>
      <c r="K13" s="703">
        <f t="shared" si="0"/>
        <v>4.3</v>
      </c>
      <c r="L13" s="1192">
        <v>0.16</v>
      </c>
      <c r="M13" s="994">
        <f t="shared" si="12"/>
        <v>0.14199999999999999</v>
      </c>
      <c r="N13" s="1196">
        <f t="shared" si="13"/>
        <v>0.14199999999999999</v>
      </c>
      <c r="O13" s="645">
        <f t="shared" si="14"/>
        <v>0.14199999999999999</v>
      </c>
      <c r="P13" s="727">
        <v>81</v>
      </c>
      <c r="Q13" s="1572">
        <v>81.25</v>
      </c>
      <c r="R13" s="706">
        <v>4243</v>
      </c>
      <c r="S13" s="765">
        <f>IF((_xlfn.XLOOKUP(D13,RUC!$B$3:$B$119,RUC!$E$3:$E$119)+ROUNDDOWN(O13,1)*100)&lt;95,95,((_xlfn.XLOOKUP(D13,RUC!$B$3:$B$119,RUC!$E$3:$E$119)+ROUNDDOWN(O13,1)*100)))</f>
        <v>100</v>
      </c>
      <c r="U13" s="1146">
        <f>_xlfn.XLOOKUP(D13,RUC!$B$3:$B$123,RUC!$F$3:$F$123)</f>
        <v>120</v>
      </c>
      <c r="V13" s="715">
        <v>1.1023000000000001</v>
      </c>
      <c r="Y13">
        <f>_xlfn.XLOOKUP(D13,RUC!$B$3:$B$123,RUC!$G$3:$G$123)</f>
        <v>20</v>
      </c>
      <c r="Z13" s="143">
        <f>_xlfn.XLOOKUP(D13,RUC!$B$3:$B$123,RUC!$H$3:$H$123)</f>
        <v>30</v>
      </c>
      <c r="AA13" s="144">
        <f t="shared" si="1"/>
        <v>50</v>
      </c>
      <c r="AB13" s="145">
        <f t="shared" si="2"/>
        <v>357.39592915799989</v>
      </c>
      <c r="AC13" s="145">
        <f>+(S13-T13)*V13-'data 1'!$F$4</f>
        <v>30.230000000000004</v>
      </c>
      <c r="AD13" s="145">
        <f t="shared" si="3"/>
        <v>1.8179131600000002</v>
      </c>
      <c r="AE13" s="145">
        <f t="shared" si="4"/>
        <v>-14.884999999999998</v>
      </c>
      <c r="AF13" s="145">
        <f t="shared" si="5"/>
        <v>66.467449912500058</v>
      </c>
      <c r="AG13" s="772">
        <f t="shared" si="6"/>
        <v>100.63036307250007</v>
      </c>
      <c r="AH13" s="1253">
        <f t="shared" si="7"/>
        <v>19.166</v>
      </c>
      <c r="AI13" s="1253">
        <f t="shared" si="8"/>
        <v>23.588000000000001</v>
      </c>
      <c r="AJ13" s="156">
        <f t="shared" si="9"/>
        <v>48.291763000000003</v>
      </c>
      <c r="AK13" s="156">
        <f t="shared" si="10"/>
        <v>16.957072934097297</v>
      </c>
      <c r="AM13" s="716">
        <f t="shared" si="11"/>
        <v>1536.8024953793995</v>
      </c>
      <c r="AN13" s="716" t="str">
        <f>_xlfn.XLOOKUP(D13,RUC!$B$3:$B$578,RUC!$M$3:$M$578)</f>
        <v>Evelyn</v>
      </c>
      <c r="AO13" s="1167" t="s">
        <v>2277</v>
      </c>
      <c r="AP13" t="s">
        <v>3749</v>
      </c>
      <c r="AQ13" t="s">
        <v>3750</v>
      </c>
      <c r="AV13" s="1557" t="s">
        <v>2297</v>
      </c>
      <c r="AW13" s="703">
        <f t="shared" si="15"/>
        <v>0</v>
      </c>
      <c r="AX13" s="703" cm="1">
        <f t="array" ref="AX13">+SUMPRODUCT(IF($AO$4:$AO$1127=AV13,$L$4:$L$1127*$K$4:$K$1127/AW13))</f>
        <v>0</v>
      </c>
      <c r="AY13" s="1215">
        <f t="shared" si="16"/>
        <v>0</v>
      </c>
      <c r="AZ13" s="596" cm="1">
        <f t="array" ref="AZ13">+SUMPRODUCT(IF('34'!$AO$4:$AO$1019=AV13,('34'!$Q$4:$Q$1019*'34'!$AH$4:$AH$1019)/SUMIF('34'!$AO$4:$AO$1019,#REF!,'34'!$AH$4:$AH$1019)))</f>
        <v>0</v>
      </c>
      <c r="BA13" s="1237">
        <f t="shared" si="17"/>
        <v>0</v>
      </c>
      <c r="BB13" s="1237">
        <f t="shared" si="18"/>
        <v>0</v>
      </c>
      <c r="BC13" s="596">
        <f t="shared" si="19"/>
        <v>417.13245016039855</v>
      </c>
      <c r="BD13" s="1238">
        <f t="shared" si="20"/>
        <v>434.39800000000002</v>
      </c>
    </row>
    <row r="14" spans="1:56" ht="15" customHeight="1">
      <c r="A14" s="747" t="s">
        <v>3716</v>
      </c>
      <c r="B14" s="1447">
        <v>46006</v>
      </c>
      <c r="C14" s="1447">
        <v>45996</v>
      </c>
      <c r="D14" t="s">
        <v>1484</v>
      </c>
      <c r="E14" s="762">
        <f>_xlfn.XLOOKUP(D14,RUC!$B$3:$B$123,RUC!$D$3:$D$123)</f>
        <v>10761932735</v>
      </c>
      <c r="G14" s="1082" t="s">
        <v>2985</v>
      </c>
      <c r="H14" s="762" t="s">
        <v>69</v>
      </c>
      <c r="I14" s="703">
        <v>41.13</v>
      </c>
      <c r="J14" s="596">
        <v>6.8</v>
      </c>
      <c r="K14" s="703">
        <f t="shared" si="0"/>
        <v>38.332999999999998</v>
      </c>
      <c r="L14" s="1192">
        <v>0.124</v>
      </c>
      <c r="M14" s="994">
        <f t="shared" si="12"/>
        <v>0.106</v>
      </c>
      <c r="N14" s="1196">
        <f t="shared" si="13"/>
        <v>0.106</v>
      </c>
      <c r="O14" s="645">
        <f t="shared" si="14"/>
        <v>0.106</v>
      </c>
      <c r="P14" s="727">
        <v>80</v>
      </c>
      <c r="Q14" s="1476">
        <v>94.35</v>
      </c>
      <c r="R14" s="706">
        <v>4243</v>
      </c>
      <c r="S14" s="765">
        <f>IF((_xlfn.XLOOKUP(D14,RUC!$B$3:$B$119,RUC!$E$3:$E$119)+ROUNDDOWN(O14,1)*100)&lt;95,95,((_xlfn.XLOOKUP(D14,RUC!$B$3:$B$119,RUC!$E$3:$E$119)+ROUNDDOWN(O14,1)*100)))</f>
        <v>100</v>
      </c>
      <c r="U14" s="1146">
        <f>_xlfn.XLOOKUP(D14,RUC!$B$3:$B$123,RUC!$F$3:$F$123)</f>
        <v>120</v>
      </c>
      <c r="V14" s="715">
        <v>1.1023000000000001</v>
      </c>
      <c r="Y14">
        <f>_xlfn.XLOOKUP(D14,RUC!$B$3:$B$123,RUC!$G$3:$G$123)</f>
        <v>20</v>
      </c>
      <c r="Z14" s="143">
        <f>_xlfn.XLOOKUP(D14,RUC!$B$3:$B$123,RUC!$H$3:$H$123)</f>
        <v>30</v>
      </c>
      <c r="AA14" s="144">
        <f t="shared" si="1"/>
        <v>50</v>
      </c>
      <c r="AB14" s="145">
        <f t="shared" si="2"/>
        <v>220.05258992000003</v>
      </c>
      <c r="AC14" s="145">
        <f>+(S14-T14)*V14-'data 1'!$F$4</f>
        <v>30.230000000000004</v>
      </c>
      <c r="AD14" s="145">
        <f t="shared" si="3"/>
        <v>80.869866922599982</v>
      </c>
      <c r="AE14" s="145">
        <f t="shared" si="4"/>
        <v>-14.884999999999998</v>
      </c>
      <c r="AF14" s="145">
        <f t="shared" si="5"/>
        <v>77.184047990700023</v>
      </c>
      <c r="AG14" s="772">
        <f t="shared" si="6"/>
        <v>190.39891491330002</v>
      </c>
      <c r="AH14" s="1253">
        <f t="shared" si="7"/>
        <v>153.761</v>
      </c>
      <c r="AI14" s="1253">
        <f t="shared" si="8"/>
        <v>162.96799999999999</v>
      </c>
      <c r="AJ14" s="156">
        <f t="shared" si="9"/>
        <v>43.460357849399998</v>
      </c>
      <c r="AK14" s="156">
        <f t="shared" si="10"/>
        <v>111.44939895423111</v>
      </c>
      <c r="AM14" s="716">
        <f t="shared" si="11"/>
        <v>8435.2759294033604</v>
      </c>
      <c r="AN14" s="716" t="str">
        <f>_xlfn.XLOOKUP(D14,RUC!$B$3:$B$578,RUC!$M$3:$M$578)</f>
        <v>Richard Sapacayo</v>
      </c>
      <c r="AO14" s="1167" t="s">
        <v>2277</v>
      </c>
      <c r="AP14" t="s">
        <v>3493</v>
      </c>
      <c r="AQ14" t="s">
        <v>3752</v>
      </c>
      <c r="AV14" s="1557" t="s">
        <v>2518</v>
      </c>
      <c r="AW14" s="703">
        <f t="shared" si="15"/>
        <v>0</v>
      </c>
      <c r="AX14" s="703" cm="1">
        <f t="array" ref="AX14">+SUMPRODUCT(IF($AO$4:$AO$1127=AV14,$L$4:$L$1127*$K$4:$K$1127/AW14))</f>
        <v>0</v>
      </c>
      <c r="AY14" s="1215">
        <f t="shared" si="16"/>
        <v>0</v>
      </c>
      <c r="AZ14" s="596" cm="1">
        <f t="array" ref="AZ14">+SUMPRODUCT(IF('34'!$AO$4:$AO$1019=AV14,('34'!$Q$4:$Q$1019*'34'!$AH$4:$AH$1019)/SUMIF('34'!$AO$4:$AO$1019,#REF!,'34'!$AH$4:$AH$1019)))</f>
        <v>0</v>
      </c>
      <c r="BA14" s="1237">
        <f t="shared" si="17"/>
        <v>0</v>
      </c>
      <c r="BB14" s="1237">
        <f t="shared" si="18"/>
        <v>0</v>
      </c>
      <c r="BC14" s="596">
        <f t="shared" si="19"/>
        <v>417.13245016039855</v>
      </c>
      <c r="BD14" s="1238">
        <f t="shared" si="20"/>
        <v>434.39800000000002</v>
      </c>
    </row>
    <row r="15" spans="1:56" ht="15" customHeight="1">
      <c r="A15" s="747" t="s">
        <v>3724</v>
      </c>
      <c r="B15" s="1447">
        <v>46006</v>
      </c>
      <c r="C15" s="1447">
        <v>45997</v>
      </c>
      <c r="D15" t="s">
        <v>93</v>
      </c>
      <c r="E15" s="762">
        <f>_xlfn.XLOOKUP(D15,RUC!$B$3:$B$123,RUC!$D$3:$D$123)</f>
        <v>20169040231</v>
      </c>
      <c r="G15" s="1082">
        <v>46</v>
      </c>
      <c r="H15" s="762" t="s">
        <v>69</v>
      </c>
      <c r="I15" s="703">
        <v>4.2</v>
      </c>
      <c r="J15" s="596">
        <v>1.3</v>
      </c>
      <c r="K15" s="703">
        <f t="shared" si="0"/>
        <v>4.1449999999999996</v>
      </c>
      <c r="L15" s="1082">
        <v>0.42499999999999999</v>
      </c>
      <c r="M15" s="994">
        <v>0.40899999999999997</v>
      </c>
      <c r="N15" s="1196">
        <f t="shared" si="13"/>
        <v>0.40899999999999997</v>
      </c>
      <c r="O15" s="645">
        <f t="shared" si="14"/>
        <v>0.40899999999999997</v>
      </c>
      <c r="P15" s="727">
        <v>87</v>
      </c>
      <c r="Q15" s="1476">
        <v>87.13</v>
      </c>
      <c r="R15" s="706">
        <v>4243</v>
      </c>
      <c r="S15" s="765">
        <f>IF((_xlfn.XLOOKUP(D15,RUC!$B$3:$B$119,RUC!$E$3:$E$119)+ROUNDDOWN(O15,1)*100)&lt;95,95,((_xlfn.XLOOKUP(D15,RUC!$B$3:$B$119,RUC!$E$3:$E$119)+ROUNDDOWN(O15,1)*100)))</f>
        <v>125</v>
      </c>
      <c r="U15" s="1146">
        <f>_xlfn.XLOOKUP(D15,RUC!$B$3:$B$123,RUC!$F$3:$F$123)</f>
        <v>120</v>
      </c>
      <c r="V15" s="715">
        <v>1.1023000000000001</v>
      </c>
      <c r="Y15">
        <f>_xlfn.XLOOKUP(D15,RUC!$B$3:$B$123,RUC!$G$3:$G$123)</f>
        <v>20</v>
      </c>
      <c r="Z15" s="1454">
        <v>35</v>
      </c>
      <c r="AA15" s="144">
        <f t="shared" si="1"/>
        <v>55</v>
      </c>
      <c r="AB15" s="145">
        <f t="shared" si="2"/>
        <v>1418.7560993070001</v>
      </c>
      <c r="AC15" s="145">
        <f>+(S15-T15)*V15-'data 1'!$F$4</f>
        <v>57.787499999999994</v>
      </c>
      <c r="AD15" s="145">
        <f t="shared" si="3"/>
        <v>2.5109925522499119</v>
      </c>
      <c r="AE15" s="145">
        <f t="shared" si="4"/>
        <v>-9.3734999999999999</v>
      </c>
      <c r="AF15" s="145">
        <f t="shared" si="5"/>
        <v>63.357909452320065</v>
      </c>
      <c r="AG15" s="772">
        <f t="shared" si="6"/>
        <v>131.28290200456996</v>
      </c>
      <c r="AH15" s="1253">
        <f t="shared" si="7"/>
        <v>52.625</v>
      </c>
      <c r="AI15" s="1253">
        <f t="shared" si="8"/>
        <v>60.398000000000003</v>
      </c>
      <c r="AJ15" s="156">
        <f t="shared" si="9"/>
        <v>137.55815821774999</v>
      </c>
      <c r="AK15" s="156">
        <f t="shared" si="10"/>
        <v>50.568045115651564</v>
      </c>
      <c r="AM15" s="716">
        <f t="shared" si="11"/>
        <v>5880.7440316275151</v>
      </c>
      <c r="AN15" s="716" t="str">
        <f>_xlfn.XLOOKUP(D15,RUC!$B$3:$B$578,RUC!$M$3:$M$578)</f>
        <v>Ronald Miranda</v>
      </c>
      <c r="AO15" s="1167" t="s">
        <v>2278</v>
      </c>
      <c r="AP15" t="s">
        <v>3753</v>
      </c>
      <c r="AQ15" t="s">
        <v>3754</v>
      </c>
      <c r="AR15" t="s">
        <v>3663</v>
      </c>
      <c r="AV15" s="1557" t="s">
        <v>2519</v>
      </c>
      <c r="AW15" s="703">
        <f t="shared" si="15"/>
        <v>0</v>
      </c>
      <c r="AX15" s="703" cm="1">
        <f t="array" ref="AX15">+SUMPRODUCT(IF($AO$4:$AO$1127=AV15,$L$4:$L$1127*$K$4:$K$1127/AW15))</f>
        <v>0</v>
      </c>
      <c r="AY15" s="1215">
        <f t="shared" si="16"/>
        <v>0</v>
      </c>
      <c r="AZ15" s="596" cm="1">
        <f t="array" ref="AZ15">+SUMPRODUCT(IF('34'!$AO$4:$AO$1019=AV15,('34'!$Q$4:$Q$1019*'34'!$AH$4:$AH$1019)/SUMIF('34'!$AO$4:$AO$1019,#REF!,'34'!$AH$4:$AH$1019)))</f>
        <v>0</v>
      </c>
      <c r="BA15" s="1237">
        <f t="shared" si="17"/>
        <v>0</v>
      </c>
      <c r="BB15" s="1237">
        <f t="shared" si="18"/>
        <v>0</v>
      </c>
      <c r="BC15" s="596">
        <f t="shared" si="19"/>
        <v>417.13245016039855</v>
      </c>
      <c r="BD15" s="1238">
        <f t="shared" si="20"/>
        <v>434.39800000000002</v>
      </c>
    </row>
    <row r="16" spans="1:56" ht="15" customHeight="1">
      <c r="A16" s="747" t="s">
        <v>3728</v>
      </c>
      <c r="B16" s="1447">
        <v>46006</v>
      </c>
      <c r="C16" s="1447">
        <v>45997</v>
      </c>
      <c r="D16" t="s">
        <v>1484</v>
      </c>
      <c r="E16" s="762">
        <f>_xlfn.XLOOKUP(D16,RUC!$B$3:$B$123,RUC!$D$3:$D$123)</f>
        <v>10761932735</v>
      </c>
      <c r="G16" s="1082" t="s">
        <v>2985</v>
      </c>
      <c r="H16" s="762" t="s">
        <v>69</v>
      </c>
      <c r="I16" s="703">
        <v>21.26</v>
      </c>
      <c r="J16" s="596">
        <v>6.5</v>
      </c>
      <c r="K16" s="703">
        <f t="shared" si="0"/>
        <v>19.878</v>
      </c>
      <c r="L16" s="1082">
        <v>0.13400000000000001</v>
      </c>
      <c r="M16" s="994">
        <f t="shared" ref="M16:M66" si="21">ROUND(+IF(AN16="Melchor Vera",IF(L16&gt;0.467,L16*0.985,(L16-0.007)),IF(L16&gt;0.3,L16*0.94,(L16-0.018))),3)</f>
        <v>0.11600000000000001</v>
      </c>
      <c r="N16" s="1444">
        <v>0.16600000000000001</v>
      </c>
      <c r="O16" s="645">
        <f t="shared" si="14"/>
        <v>0.14099999999999999</v>
      </c>
      <c r="P16" s="727">
        <v>90</v>
      </c>
      <c r="Q16" s="1476">
        <v>97.01</v>
      </c>
      <c r="R16" s="706">
        <v>4243</v>
      </c>
      <c r="S16" s="765">
        <f>IF((_xlfn.XLOOKUP(D16,RUC!$B$3:$B$119,RUC!$E$3:$E$119)+ROUNDDOWN(O16,1)*100)&lt;95,95,((_xlfn.XLOOKUP(D16,RUC!$B$3:$B$119,RUC!$E$3:$E$119)+ROUNDDOWN(O16,1)*100)))</f>
        <v>100</v>
      </c>
      <c r="U16" s="1146">
        <f>_xlfn.XLOOKUP(D16,RUC!$B$3:$B$123,RUC!$F$3:$F$123)</f>
        <v>120</v>
      </c>
      <c r="V16" s="715">
        <v>1.1023000000000001</v>
      </c>
      <c r="Y16">
        <f>_xlfn.XLOOKUP(D16,RUC!$B$3:$B$123,RUC!$G$3:$G$123)</f>
        <v>20</v>
      </c>
      <c r="Z16" s="143">
        <f>_xlfn.XLOOKUP(D16,RUC!$B$3:$B$123,RUC!$H$3:$H$123)</f>
        <v>30</v>
      </c>
      <c r="AA16" s="144">
        <f t="shared" si="1"/>
        <v>50</v>
      </c>
      <c r="AB16" s="145">
        <f t="shared" si="2"/>
        <v>411.38795000999994</v>
      </c>
      <c r="AC16" s="145">
        <f>+(S16-T16)*V16-'data 1'!$F$4</f>
        <v>30.230000000000004</v>
      </c>
      <c r="AD16" s="145">
        <f t="shared" si="3"/>
        <v>42.690963692860031</v>
      </c>
      <c r="AE16" s="145">
        <f t="shared" si="4"/>
        <v>-14.884999999999998</v>
      </c>
      <c r="AF16" s="145">
        <f t="shared" si="5"/>
        <v>-30.862257239029908</v>
      </c>
      <c r="AG16" s="772">
        <f t="shared" si="6"/>
        <v>44.173706453830121</v>
      </c>
      <c r="AH16" s="1253">
        <f t="shared" si="7"/>
        <v>88.593999999999994</v>
      </c>
      <c r="AI16" s="1253">
        <f t="shared" si="8"/>
        <v>91.323999999999998</v>
      </c>
      <c r="AJ16" s="156">
        <f t="shared" si="9"/>
        <v>48.28931126434</v>
      </c>
      <c r="AK16" s="156">
        <f t="shared" si="10"/>
        <v>86.485515350187512</v>
      </c>
      <c r="AM16" s="716">
        <f t="shared" si="11"/>
        <v>8177.5696702987789</v>
      </c>
      <c r="AN16" s="716" t="str">
        <f>_xlfn.XLOOKUP(D16,RUC!$B$3:$B$578,RUC!$M$3:$M$578)</f>
        <v>Richard Sapacayo</v>
      </c>
      <c r="AO16" s="1167" t="s">
        <v>2277</v>
      </c>
      <c r="AP16" t="s">
        <v>3757</v>
      </c>
      <c r="AQ16" t="s">
        <v>3758</v>
      </c>
      <c r="AV16" s="1557" t="s">
        <v>2520</v>
      </c>
      <c r="AW16" s="703">
        <f t="shared" si="15"/>
        <v>0</v>
      </c>
      <c r="AX16" s="703" cm="1">
        <f t="array" ref="AX16">+SUMPRODUCT(IF($AO$4:$AO$1127=AV16,$L$4:$L$1127*$K$4:$K$1127/AW16))</f>
        <v>0</v>
      </c>
      <c r="AY16" s="1215">
        <f t="shared" si="16"/>
        <v>0</v>
      </c>
      <c r="AZ16" s="596" cm="1">
        <f t="array" ref="AZ16">+SUMPRODUCT(IF('34'!$AO$4:$AO$1019=AV16,('34'!$Q$4:$Q$1019*'34'!$AH$4:$AH$1019)/SUMIF('34'!$AO$4:$AO$1019,#REF!,'34'!$AH$4:$AH$1019)))</f>
        <v>0</v>
      </c>
      <c r="BA16" s="1237">
        <f t="shared" si="17"/>
        <v>0</v>
      </c>
      <c r="BB16" s="1237">
        <f t="shared" si="18"/>
        <v>0</v>
      </c>
      <c r="BC16" s="596">
        <f t="shared" si="19"/>
        <v>417.13245016039855</v>
      </c>
      <c r="BD16" s="1238">
        <f t="shared" si="20"/>
        <v>434.39800000000002</v>
      </c>
    </row>
    <row r="17" spans="1:56" ht="15" customHeight="1" thickBot="1">
      <c r="A17" s="747" t="s">
        <v>3729</v>
      </c>
      <c r="B17" s="1447">
        <v>46002</v>
      </c>
      <c r="C17" s="1447">
        <v>45997</v>
      </c>
      <c r="D17" t="s">
        <v>2444</v>
      </c>
      <c r="E17" s="762">
        <f>_xlfn.XLOOKUP(D17,RUC!$B$3:$B$123,RUC!$D$3:$D$123)</f>
        <v>20608774000</v>
      </c>
      <c r="G17" s="1082">
        <v>8</v>
      </c>
      <c r="H17" s="762" t="s">
        <v>108</v>
      </c>
      <c r="I17" s="703">
        <v>0.74</v>
      </c>
      <c r="J17" s="596">
        <v>24.9</v>
      </c>
      <c r="K17" s="703">
        <f t="shared" si="0"/>
        <v>0.55600000000000005</v>
      </c>
      <c r="L17" s="1082">
        <v>1.2370000000000001</v>
      </c>
      <c r="M17" s="994">
        <f t="shared" si="21"/>
        <v>1.163</v>
      </c>
      <c r="N17" s="1196">
        <f t="shared" ref="N17" si="22">+M17</f>
        <v>1.163</v>
      </c>
      <c r="O17" s="645">
        <f t="shared" si="14"/>
        <v>1.163</v>
      </c>
      <c r="P17" s="727">
        <v>90</v>
      </c>
      <c r="Q17" s="1476">
        <v>90.06</v>
      </c>
      <c r="R17" s="706">
        <v>4243</v>
      </c>
      <c r="S17" s="765">
        <f>IF((_xlfn.XLOOKUP(D17,RUC!$B$3:$B$119,RUC!$E$3:$E$119)+ROUNDDOWN(O17,1)*100)&lt;95,95,((_xlfn.XLOOKUP(D17,RUC!$B$3:$B$119,RUC!$E$3:$E$119)+ROUNDDOWN(O17,1)*100)))</f>
        <v>195</v>
      </c>
      <c r="U17" s="1146">
        <f>_xlfn.XLOOKUP(D17,RUC!$B$3:$B$123,RUC!$F$3:$F$123)</f>
        <v>120</v>
      </c>
      <c r="V17" s="715">
        <v>1.1023000000000001</v>
      </c>
      <c r="Y17">
        <f>_xlfn.XLOOKUP(D17,RUC!$B$3:$B$123,RUC!$G$3:$G$123)</f>
        <v>20</v>
      </c>
      <c r="Z17" s="1454">
        <v>35</v>
      </c>
      <c r="AA17" s="144">
        <f t="shared" si="1"/>
        <v>55</v>
      </c>
      <c r="AB17" s="145">
        <f t="shared" si="2"/>
        <v>4481.4492614300007</v>
      </c>
      <c r="AC17" s="145">
        <f>+(S17-T17)*V17-'data 1'!$F$4</f>
        <v>134.94850000000002</v>
      </c>
      <c r="AD17" s="145">
        <f t="shared" si="3"/>
        <v>3.3731378683801285</v>
      </c>
      <c r="AE17" s="145">
        <f t="shared" si="4"/>
        <v>-9.3734999999999999</v>
      </c>
      <c r="AF17" s="145">
        <f t="shared" si="5"/>
        <v>302.88432950076026</v>
      </c>
      <c r="AG17" s="772">
        <f t="shared" si="6"/>
        <v>448.83246736914043</v>
      </c>
      <c r="AH17" s="1253">
        <f t="shared" si="7"/>
        <v>21.236999999999998</v>
      </c>
      <c r="AI17" s="1253">
        <f t="shared" si="8"/>
        <v>23.581</v>
      </c>
      <c r="AJ17" s="156">
        <f t="shared" si="9"/>
        <v>413.8389376492201</v>
      </c>
      <c r="AK17" s="156">
        <f t="shared" si="10"/>
        <v>19.952902713595861</v>
      </c>
      <c r="AM17" s="716">
        <f t="shared" si="11"/>
        <v>2491.6857893550805</v>
      </c>
      <c r="AN17" s="716" t="str">
        <f>_xlfn.XLOOKUP(D17,RUC!$B$3:$B$578,RUC!$M$3:$M$578)</f>
        <v>Ronald Miranda</v>
      </c>
      <c r="AO17" s="1167" t="s">
        <v>2277</v>
      </c>
      <c r="AP17" t="s">
        <v>2473</v>
      </c>
      <c r="AQ17" t="s">
        <v>3759</v>
      </c>
      <c r="AV17" s="1558" t="s">
        <v>2521</v>
      </c>
      <c r="AW17" s="1254">
        <f t="shared" si="15"/>
        <v>0</v>
      </c>
      <c r="AX17" s="1254" cm="1">
        <f t="array" ref="AX17">+SUMPRODUCT(IF('34'!$AO$4:$AO$1019=AV17,'34'!$L$4:$L$1019*'34'!$K$4:$K$1019/AW17))</f>
        <v>0</v>
      </c>
      <c r="AY17" s="1241">
        <f t="shared" si="16"/>
        <v>0</v>
      </c>
      <c r="AZ17" s="1242" cm="1">
        <f t="array" ref="AZ17">+SUMPRODUCT(IF('34'!$AO$4:$AO$1019=AV17,('34'!$Q$4:$Q$1019*'34'!$AH$4:$AH$1019)/SUMIF('34'!$AO$4:$AO$1019,#REF!,'34'!$AH$4:$AH$1019)))</f>
        <v>0</v>
      </c>
      <c r="BA17" s="1243">
        <f t="shared" si="17"/>
        <v>0</v>
      </c>
      <c r="BB17" s="1243">
        <f t="shared" si="18"/>
        <v>0</v>
      </c>
      <c r="BC17" s="1242">
        <f t="shared" si="19"/>
        <v>417.13245016039855</v>
      </c>
      <c r="BD17" s="1436">
        <f t="shared" si="20"/>
        <v>434.39800000000002</v>
      </c>
    </row>
    <row r="18" spans="1:56" ht="15" customHeight="1">
      <c r="A18" s="747" t="s">
        <v>3730</v>
      </c>
      <c r="B18" s="1447">
        <v>46006</v>
      </c>
      <c r="C18" s="1447">
        <v>45997</v>
      </c>
      <c r="D18" t="s">
        <v>1484</v>
      </c>
      <c r="E18" s="762">
        <f>_xlfn.XLOOKUP(D18,RUC!$B$3:$B$123,RUC!$D$3:$D$123)</f>
        <v>10761932735</v>
      </c>
      <c r="G18" s="1082" t="s">
        <v>2985</v>
      </c>
      <c r="H18" s="762" t="s">
        <v>69</v>
      </c>
      <c r="I18" s="703">
        <v>8.51</v>
      </c>
      <c r="J18" s="596">
        <v>9.6999999999999993</v>
      </c>
      <c r="K18" s="703">
        <f t="shared" si="0"/>
        <v>7.6849999999999996</v>
      </c>
      <c r="L18" s="1192">
        <v>0.13</v>
      </c>
      <c r="M18" s="994">
        <f t="shared" si="21"/>
        <v>0.112</v>
      </c>
      <c r="N18" s="1444">
        <v>0.16300000000000001</v>
      </c>
      <c r="O18" s="645">
        <f t="shared" si="14"/>
        <v>0.13800000000000001</v>
      </c>
      <c r="P18" s="727">
        <v>90</v>
      </c>
      <c r="Q18" s="1476">
        <v>98.46</v>
      </c>
      <c r="R18" s="706">
        <v>4243</v>
      </c>
      <c r="S18" s="765">
        <f>IF((_xlfn.XLOOKUP(D18,RUC!$B$3:$B$119,RUC!$E$3:$E$119)+ROUNDDOWN(O18,1)*100)&lt;95,95,((_xlfn.XLOOKUP(D18,RUC!$B$3:$B$119,RUC!$E$3:$E$119)+ROUNDDOWN(O18,1)*100)))</f>
        <v>100</v>
      </c>
      <c r="U18" s="1146">
        <f>_xlfn.XLOOKUP(D18,RUC!$B$3:$B$123,RUC!$F$3:$F$123)</f>
        <v>120</v>
      </c>
      <c r="V18" s="715">
        <v>1.1023000000000001</v>
      </c>
      <c r="Y18">
        <f>_xlfn.XLOOKUP(D18,RUC!$B$3:$B$123,RUC!$G$3:$G$123)</f>
        <v>20</v>
      </c>
      <c r="Z18" s="143">
        <f>_xlfn.XLOOKUP(D18,RUC!$B$3:$B$123,RUC!$H$3:$H$123)</f>
        <v>30</v>
      </c>
      <c r="AA18" s="144">
        <f t="shared" si="1"/>
        <v>50</v>
      </c>
      <c r="AB18" s="145">
        <f t="shared" si="2"/>
        <v>399.11703618000001</v>
      </c>
      <c r="AC18" s="145">
        <f>+(S18-T18)*V18-'data 1'!$F$4</f>
        <v>30.230000000000004</v>
      </c>
      <c r="AD18" s="145">
        <f t="shared" si="3"/>
        <v>49.983522334199968</v>
      </c>
      <c r="AE18" s="145">
        <f t="shared" si="4"/>
        <v>-14.884999999999998</v>
      </c>
      <c r="AF18" s="145">
        <f t="shared" si="5"/>
        <v>-35.798345946720033</v>
      </c>
      <c r="AG18" s="772">
        <f t="shared" si="6"/>
        <v>46.530176387479955</v>
      </c>
      <c r="AH18" s="1253">
        <f t="shared" si="7"/>
        <v>33.725000000000001</v>
      </c>
      <c r="AI18" s="1253">
        <f t="shared" si="8"/>
        <v>34.253</v>
      </c>
      <c r="AJ18" s="156">
        <f t="shared" si="9"/>
        <v>47.548069849799994</v>
      </c>
      <c r="AK18" s="156">
        <f t="shared" si="10"/>
        <v>32.724614329799856</v>
      </c>
      <c r="AM18" s="716">
        <f t="shared" si="11"/>
        <v>3067.2144230433</v>
      </c>
      <c r="AN18" s="716" t="str">
        <f>_xlfn.XLOOKUP(D18,RUC!$B$3:$B$578,RUC!$M$3:$M$578)</f>
        <v>Richard Sapacayo</v>
      </c>
      <c r="AO18" s="1167" t="s">
        <v>2277</v>
      </c>
      <c r="AP18" t="s">
        <v>3757</v>
      </c>
      <c r="AQ18" t="s">
        <v>3758</v>
      </c>
    </row>
    <row r="19" spans="1:56" ht="15" customHeight="1" thickBot="1">
      <c r="A19" s="747" t="s">
        <v>3768</v>
      </c>
      <c r="B19" s="1447">
        <v>46005</v>
      </c>
      <c r="C19" s="1447">
        <v>45999</v>
      </c>
      <c r="D19" t="s">
        <v>1967</v>
      </c>
      <c r="E19" s="762">
        <f>_xlfn.XLOOKUP(D19,RUC!$B$3:$B$123,RUC!$D$3:$D$123)</f>
        <v>20601769396</v>
      </c>
      <c r="G19" s="1082">
        <v>54</v>
      </c>
      <c r="H19" s="762" t="s">
        <v>2005</v>
      </c>
      <c r="I19" s="703">
        <v>4.26</v>
      </c>
      <c r="J19" s="596">
        <v>16.2</v>
      </c>
      <c r="K19" s="703">
        <f t="shared" si="0"/>
        <v>3.57</v>
      </c>
      <c r="L19" s="1192">
        <v>0.55600000000000005</v>
      </c>
      <c r="M19" s="994">
        <f t="shared" si="21"/>
        <v>0.52300000000000002</v>
      </c>
      <c r="N19" s="1196">
        <f t="shared" ref="N19:N20" si="23">+M19</f>
        <v>0.52300000000000002</v>
      </c>
      <c r="O19" s="645">
        <f t="shared" si="14"/>
        <v>0.52300000000000002</v>
      </c>
      <c r="P19" s="727">
        <v>83</v>
      </c>
      <c r="Q19" s="1476">
        <v>83.27</v>
      </c>
      <c r="R19" s="706">
        <v>4188.25</v>
      </c>
      <c r="S19" s="765">
        <f>IF((_xlfn.XLOOKUP(D19,RUC!$B$3:$B$119,RUC!$E$3:$E$119)+ROUNDDOWN(O19,1)*100)&lt;95,95,((_xlfn.XLOOKUP(D19,RUC!$B$3:$B$119,RUC!$E$3:$E$119)+ROUNDDOWN(O19,1)*100)))</f>
        <v>140</v>
      </c>
      <c r="U19" s="1146">
        <f>_xlfn.XLOOKUP(D19,RUC!$B$3:$B$123,RUC!$F$3:$F$123)</f>
        <v>120</v>
      </c>
      <c r="V19" s="715">
        <v>1.1023000000000001</v>
      </c>
      <c r="Y19">
        <f>_xlfn.XLOOKUP(D19,RUC!$B$3:$B$123,RUC!$G$3:$G$123)</f>
        <v>20</v>
      </c>
      <c r="Z19" s="143">
        <f>_xlfn.XLOOKUP(D19,RUC!$B$3:$B$123,RUC!$H$3:$H$123)</f>
        <v>30</v>
      </c>
      <c r="AA19" s="144">
        <f t="shared" si="1"/>
        <v>50</v>
      </c>
      <c r="AB19" s="145">
        <f t="shared" si="2"/>
        <v>1737.2100760277501</v>
      </c>
      <c r="AC19" s="145">
        <f>+(S19-T19)*V19-'data 1'!$F$4</f>
        <v>74.322000000000003</v>
      </c>
      <c r="AD19" s="145">
        <f t="shared" si="3"/>
        <v>6.7320292808699023</v>
      </c>
      <c r="AE19" s="145">
        <f t="shared" si="4"/>
        <v>-14.884999999999998</v>
      </c>
      <c r="AF19" s="145">
        <f t="shared" si="5"/>
        <v>123.2281546842226</v>
      </c>
      <c r="AG19" s="772">
        <f t="shared" si="6"/>
        <v>206.39718396509249</v>
      </c>
      <c r="AH19" s="1253">
        <f t="shared" si="7"/>
        <v>56.667999999999999</v>
      </c>
      <c r="AI19" s="1253">
        <f t="shared" si="8"/>
        <v>68.054000000000002</v>
      </c>
      <c r="AJ19" s="156">
        <f t="shared" si="9"/>
        <v>199.92733124573002</v>
      </c>
      <c r="AK19" s="156">
        <f t="shared" si="10"/>
        <v>53.132110432089469</v>
      </c>
      <c r="AM19" s="716">
        <f t="shared" si="11"/>
        <v>6201.8399714190673</v>
      </c>
      <c r="AN19" s="716" t="str">
        <f>_xlfn.XLOOKUP(D19,RUC!$B$3:$B$578,RUC!$M$3:$M$578)</f>
        <v>Evelyn</v>
      </c>
      <c r="AO19" s="1167" t="s">
        <v>2277</v>
      </c>
      <c r="AP19" t="s">
        <v>3783</v>
      </c>
      <c r="AQ19" t="s">
        <v>3567</v>
      </c>
    </row>
    <row r="20" spans="1:56" ht="15" customHeight="1" thickBot="1">
      <c r="A20" s="747" t="s">
        <v>3769</v>
      </c>
      <c r="B20" s="1447">
        <v>46005</v>
      </c>
      <c r="C20" s="1447">
        <v>45999</v>
      </c>
      <c r="D20" t="s">
        <v>1967</v>
      </c>
      <c r="E20" s="762">
        <f>_xlfn.XLOOKUP(D20,RUC!$B$3:$B$123,RUC!$D$3:$D$123)</f>
        <v>20601769396</v>
      </c>
      <c r="G20" s="1082">
        <v>55</v>
      </c>
      <c r="H20" s="762" t="s">
        <v>2005</v>
      </c>
      <c r="I20" s="703">
        <v>4.3</v>
      </c>
      <c r="J20" s="596">
        <v>13.22</v>
      </c>
      <c r="K20" s="703">
        <f t="shared" si="0"/>
        <v>3.7320000000000002</v>
      </c>
      <c r="L20" s="1192">
        <v>0.51300000000000001</v>
      </c>
      <c r="M20" s="994">
        <f t="shared" si="21"/>
        <v>0.48199999999999998</v>
      </c>
      <c r="N20" s="1196">
        <f t="shared" si="23"/>
        <v>0.48199999999999998</v>
      </c>
      <c r="O20" s="645">
        <f t="shared" si="14"/>
        <v>0.48199999999999998</v>
      </c>
      <c r="P20" s="727">
        <v>85</v>
      </c>
      <c r="Q20" s="1476">
        <v>85.19</v>
      </c>
      <c r="R20" s="706">
        <v>4188.25</v>
      </c>
      <c r="S20" s="765">
        <f>IF((_xlfn.XLOOKUP(D20,RUC!$B$3:$B$119,RUC!$E$3:$E$119)+ROUNDDOWN(O20,1)*100)&lt;95,95,((_xlfn.XLOOKUP(D20,RUC!$B$3:$B$119,RUC!$E$3:$E$119)+ROUNDDOWN(O20,1)*100)))</f>
        <v>130</v>
      </c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3">
        <f>_xlfn.XLOOKUP(D20,RUC!$B$3:$B$123,RUC!$H$3:$H$123)</f>
        <v>30</v>
      </c>
      <c r="AA20" s="144">
        <f t="shared" si="1"/>
        <v>50</v>
      </c>
      <c r="AB20" s="145">
        <f t="shared" si="2"/>
        <v>1638.8577801574997</v>
      </c>
      <c r="AC20" s="145">
        <f>+(S20-T20)*V20-'data 1'!$F$4</f>
        <v>63.299000000000007</v>
      </c>
      <c r="AD20" s="145">
        <f t="shared" si="3"/>
        <v>4.3709758460324482</v>
      </c>
      <c r="AE20" s="145">
        <f t="shared" si="4"/>
        <v>-14.884999999999998</v>
      </c>
      <c r="AF20" s="145">
        <f t="shared" si="5"/>
        <v>118.42891558457761</v>
      </c>
      <c r="AG20" s="772">
        <f t="shared" si="6"/>
        <v>188.21389143061006</v>
      </c>
      <c r="AH20" s="1253">
        <f t="shared" si="7"/>
        <v>55.918999999999997</v>
      </c>
      <c r="AI20" s="1253">
        <f t="shared" si="8"/>
        <v>65.64</v>
      </c>
      <c r="AJ20" s="156">
        <f t="shared" si="9"/>
        <v>188.71863902781749</v>
      </c>
      <c r="AK20" s="156">
        <f t="shared" si="10"/>
        <v>52.422372042605218</v>
      </c>
      <c r="AM20" s="716">
        <f t="shared" si="11"/>
        <v>6116.2172355477896</v>
      </c>
      <c r="AN20" s="716" t="str">
        <f>_xlfn.XLOOKUP(D20,RUC!$B$3:$B$578,RUC!$M$3:$M$578)</f>
        <v>Evelyn</v>
      </c>
      <c r="AO20" s="1167" t="s">
        <v>2277</v>
      </c>
      <c r="AP20" t="s">
        <v>3783</v>
      </c>
      <c r="AQ20" t="s">
        <v>3567</v>
      </c>
      <c r="AV20" s="1982" t="s">
        <v>3863</v>
      </c>
      <c r="AW20" s="1983"/>
      <c r="AX20" s="1983"/>
      <c r="AY20" s="1983"/>
      <c r="AZ20" s="1983"/>
      <c r="BA20" s="1984"/>
    </row>
    <row r="21" spans="1:56" ht="15" customHeight="1">
      <c r="A21" s="747" t="s">
        <v>3770</v>
      </c>
      <c r="B21" s="1447">
        <v>46003</v>
      </c>
      <c r="C21" s="1447">
        <v>45999</v>
      </c>
      <c r="D21" t="s">
        <v>1484</v>
      </c>
      <c r="E21" s="762">
        <f>_xlfn.XLOOKUP(D21,RUC!$B$3:$B$123,RUC!$D$3:$D$123)</f>
        <v>10761932735</v>
      </c>
      <c r="G21" s="1082">
        <v>11</v>
      </c>
      <c r="H21" s="762" t="s">
        <v>69</v>
      </c>
      <c r="I21" s="703">
        <v>0.91</v>
      </c>
      <c r="J21" s="596">
        <v>11.83</v>
      </c>
      <c r="K21" s="703">
        <f t="shared" si="0"/>
        <v>0.80200000000000005</v>
      </c>
      <c r="L21" s="1192">
        <v>0.86199999999999999</v>
      </c>
      <c r="M21" s="994">
        <f t="shared" si="21"/>
        <v>0.81</v>
      </c>
      <c r="N21" s="1444">
        <v>0.89800000000000002</v>
      </c>
      <c r="O21" s="645">
        <f t="shared" si="14"/>
        <v>0.85399999999999998</v>
      </c>
      <c r="P21" s="727">
        <v>90</v>
      </c>
      <c r="Q21" s="1476">
        <v>95.77</v>
      </c>
      <c r="R21" s="706">
        <v>4188.25</v>
      </c>
      <c r="S21" s="765">
        <f>IF((_xlfn.XLOOKUP(D21,RUC!$B$3:$B$119,RUC!$E$3:$E$119)+ROUNDDOWN(O21,1)*100)&lt;95,95,((_xlfn.XLOOKUP(D21,RUC!$B$3:$B$119,RUC!$E$3:$E$119)+ROUNDDOWN(O21,1)*100)))</f>
        <v>170</v>
      </c>
      <c r="U21" s="1146">
        <f>_xlfn.XLOOKUP(D21,RUC!$B$3:$B$123,RUC!$F$3:$F$123)</f>
        <v>120</v>
      </c>
      <c r="V21" s="715">
        <v>1.1023000000000001</v>
      </c>
      <c r="Y21">
        <f>_xlfn.XLOOKUP(D21,RUC!$B$3:$B$123,RUC!$G$3:$G$123)</f>
        <v>20</v>
      </c>
      <c r="Z21" s="143">
        <f>_xlfn.XLOOKUP(D21,RUC!$B$3:$B$123,RUC!$H$3:$H$123)</f>
        <v>30</v>
      </c>
      <c r="AA21" s="144">
        <f t="shared" si="1"/>
        <v>50</v>
      </c>
      <c r="AB21" s="145">
        <f>+((O21*P21*(R21-U21)/100)-S21-AA21+T21)*V21</f>
        <v>3204.2284159850001</v>
      </c>
      <c r="AC21" s="145">
        <f>+(S21-T21)*V21-'data 1'!$F$4</f>
        <v>107.39100000000002</v>
      </c>
      <c r="AD21" s="145">
        <f t="shared" si="3"/>
        <v>223.04398691336482</v>
      </c>
      <c r="AE21" s="145">
        <f t="shared" si="4"/>
        <v>-14.884999999999998</v>
      </c>
      <c r="AF21" s="145">
        <f t="shared" si="5"/>
        <v>34.357924019660025</v>
      </c>
      <c r="AG21" s="772">
        <f t="shared" si="6"/>
        <v>366.90791093302482</v>
      </c>
      <c r="AH21" s="1253">
        <f t="shared" si="7"/>
        <v>22.7</v>
      </c>
      <c r="AI21" s="1253">
        <f t="shared" si="8"/>
        <v>23.702000000000002</v>
      </c>
      <c r="AJ21" s="156">
        <f t="shared" si="9"/>
        <v>356.48853393083499</v>
      </c>
      <c r="AK21" s="156">
        <f t="shared" si="10"/>
        <v>21.134102902694462</v>
      </c>
      <c r="AM21" s="716">
        <f t="shared" si="11"/>
        <v>2569.7911896199703</v>
      </c>
      <c r="AN21" s="716" t="str">
        <f>_xlfn.XLOOKUP(D21,RUC!$B$3:$B$578,RUC!$M$3:$M$578)</f>
        <v>Richard Sapacayo</v>
      </c>
      <c r="AO21" s="1167" t="s">
        <v>2280</v>
      </c>
      <c r="AP21" t="s">
        <v>3784</v>
      </c>
      <c r="AQ21" t="s">
        <v>3785</v>
      </c>
      <c r="BA21" s="1482">
        <f>SUM(BA23:BA32)</f>
        <v>0</v>
      </c>
    </row>
    <row r="22" spans="1:56" ht="15" customHeight="1" thickBot="1">
      <c r="A22" s="747" t="s">
        <v>3771</v>
      </c>
      <c r="B22" s="1447">
        <v>46003</v>
      </c>
      <c r="C22" s="1447">
        <v>45999</v>
      </c>
      <c r="D22" t="s">
        <v>1484</v>
      </c>
      <c r="E22" s="762">
        <f>_xlfn.XLOOKUP(D22,RUC!$B$3:$B$123,RUC!$D$3:$D$123)</f>
        <v>10761932735</v>
      </c>
      <c r="G22" s="1082">
        <v>50</v>
      </c>
      <c r="H22" s="762" t="s">
        <v>69</v>
      </c>
      <c r="I22" s="703">
        <v>4.87</v>
      </c>
      <c r="J22" s="596">
        <v>14.28</v>
      </c>
      <c r="K22" s="703">
        <f t="shared" si="0"/>
        <v>4.1749999999999998</v>
      </c>
      <c r="L22" s="1192">
        <v>0.25600000000000001</v>
      </c>
      <c r="M22" s="994">
        <f t="shared" si="21"/>
        <v>0.23799999999999999</v>
      </c>
      <c r="N22" s="1196">
        <f t="shared" ref="N22:N30" si="24">+M22</f>
        <v>0.23799999999999999</v>
      </c>
      <c r="O22" s="645">
        <f t="shared" si="14"/>
        <v>0.23799999999999999</v>
      </c>
      <c r="P22" s="727">
        <v>90</v>
      </c>
      <c r="Q22" s="1476">
        <v>92.58</v>
      </c>
      <c r="R22" s="706">
        <v>4188.25</v>
      </c>
      <c r="S22" s="765">
        <f>IF((_xlfn.XLOOKUP(D22,RUC!$B$3:$B$119,RUC!$E$3:$E$119)+ROUNDDOWN(O22,1)*100)&lt;95,95,((_xlfn.XLOOKUP(D22,RUC!$B$3:$B$119,RUC!$E$3:$E$119)+ROUNDDOWN(O22,1)*100)))</f>
        <v>110</v>
      </c>
      <c r="U22" s="1146">
        <f>_xlfn.XLOOKUP(D22,RUC!$B$3:$B$123,RUC!$F$3:$F$123)</f>
        <v>120</v>
      </c>
      <c r="V22" s="715">
        <v>1.1023000000000001</v>
      </c>
      <c r="Y22">
        <f>_xlfn.XLOOKUP(D22,RUC!$B$3:$B$123,RUC!$G$3:$G$123)</f>
        <v>20</v>
      </c>
      <c r="Z22" s="143">
        <f>_xlfn.XLOOKUP(D22,RUC!$B$3:$B$123,RUC!$H$3:$H$123)</f>
        <v>30</v>
      </c>
      <c r="AA22" s="144">
        <f t="shared" si="1"/>
        <v>50</v>
      </c>
      <c r="AB22" s="145">
        <f t="shared" ref="AB22:AB65" si="25">+((O22*P22*(R22-U22)/100)-S22-AA22+T22)*V22</f>
        <v>784.19732904499995</v>
      </c>
      <c r="AC22" s="145">
        <f>+(S22-T22)*V22-'data 1'!$F$4</f>
        <v>41.253</v>
      </c>
      <c r="AD22" s="145">
        <f t="shared" si="3"/>
        <v>29.618776308479983</v>
      </c>
      <c r="AE22" s="145">
        <f t="shared" si="4"/>
        <v>-14.884999999999998</v>
      </c>
      <c r="AF22" s="145">
        <f t="shared" si="5"/>
        <v>74.730368204190071</v>
      </c>
      <c r="AG22" s="772">
        <f t="shared" si="6"/>
        <v>147.71714451267005</v>
      </c>
      <c r="AH22" s="1253">
        <f t="shared" si="7"/>
        <v>33.924999999999997</v>
      </c>
      <c r="AI22" s="1253">
        <f t="shared" si="8"/>
        <v>36.643999999999998</v>
      </c>
      <c r="AJ22" s="156">
        <f t="shared" si="9"/>
        <v>102.34484068992001</v>
      </c>
      <c r="AK22" s="156">
        <f t="shared" si="10"/>
        <v>30.660908252294252</v>
      </c>
      <c r="AM22" s="716">
        <f t="shared" si="11"/>
        <v>3274.0238487628744</v>
      </c>
      <c r="AN22" s="716" t="str">
        <f>_xlfn.XLOOKUP(D22,RUC!$B$3:$B$578,RUC!$M$3:$M$578)</f>
        <v>Richard Sapacayo</v>
      </c>
      <c r="AO22" s="1167" t="s">
        <v>2277</v>
      </c>
      <c r="AP22" t="s">
        <v>3784</v>
      </c>
      <c r="AQ22" t="s">
        <v>3785</v>
      </c>
      <c r="AV22" s="762"/>
      <c r="AW22" s="762" t="s">
        <v>15</v>
      </c>
      <c r="AX22" s="762" t="s">
        <v>2522</v>
      </c>
      <c r="AY22" s="762" t="s">
        <v>2558</v>
      </c>
      <c r="AZ22" s="1483" t="s">
        <v>2598</v>
      </c>
      <c r="BA22" s="762" t="s">
        <v>2559</v>
      </c>
    </row>
    <row r="23" spans="1:56" ht="15" customHeight="1">
      <c r="A23" s="747" t="s">
        <v>3772</v>
      </c>
      <c r="B23" s="1447">
        <v>46003</v>
      </c>
      <c r="C23" s="1447">
        <v>45999</v>
      </c>
      <c r="D23" t="s">
        <v>1484</v>
      </c>
      <c r="E23" s="762">
        <f>_xlfn.XLOOKUP(D23,RUC!$B$3:$B$123,RUC!$D$3:$D$123)</f>
        <v>10761932735</v>
      </c>
      <c r="G23" s="1082">
        <v>61</v>
      </c>
      <c r="H23" s="762" t="s">
        <v>69</v>
      </c>
      <c r="I23" s="703">
        <v>4.46</v>
      </c>
      <c r="J23" s="596">
        <v>6.9</v>
      </c>
      <c r="K23" s="703">
        <f t="shared" si="0"/>
        <v>4.1520000000000001</v>
      </c>
      <c r="L23" s="1192">
        <v>0.16900000000000001</v>
      </c>
      <c r="M23" s="994">
        <f t="shared" si="21"/>
        <v>0.151</v>
      </c>
      <c r="N23" s="1196">
        <f t="shared" si="24"/>
        <v>0.151</v>
      </c>
      <c r="O23" s="645">
        <f t="shared" si="14"/>
        <v>0.151</v>
      </c>
      <c r="P23" s="727">
        <v>90</v>
      </c>
      <c r="Q23" s="1476">
        <v>90.53</v>
      </c>
      <c r="R23" s="706">
        <v>4188.25</v>
      </c>
      <c r="S23" s="765">
        <f>IF((_xlfn.XLOOKUP(D23,RUC!$B$3:$B$119,RUC!$E$3:$E$119)+ROUNDDOWN(O23,1)*100)&lt;95,95,((_xlfn.XLOOKUP(D23,RUC!$B$3:$B$119,RUC!$E$3:$E$119)+ROUNDDOWN(O23,1)*100)))</f>
        <v>100</v>
      </c>
      <c r="U23" s="1146">
        <f>_xlfn.XLOOKUP(D23,RUC!$B$3:$B$123,RUC!$F$3:$F$123)</f>
        <v>120</v>
      </c>
      <c r="V23" s="715">
        <v>1.1023000000000001</v>
      </c>
      <c r="Y23">
        <f>_xlfn.XLOOKUP(D23,RUC!$B$3:$B$123,RUC!$G$3:$G$123)</f>
        <v>20</v>
      </c>
      <c r="Z23" s="143">
        <f>_xlfn.XLOOKUP(D23,RUC!$B$3:$B$123,RUC!$H$3:$H$123)</f>
        <v>30</v>
      </c>
      <c r="AA23" s="144">
        <f t="shared" si="1"/>
        <v>50</v>
      </c>
      <c r="AB23" s="145">
        <f t="shared" si="25"/>
        <v>444.08930540250003</v>
      </c>
      <c r="AC23" s="145">
        <f>+(S23-T23)*V23-'data 1'!$F$4</f>
        <v>30.230000000000004</v>
      </c>
      <c r="AD23" s="145">
        <f t="shared" si="3"/>
        <v>4.0167057200075096</v>
      </c>
      <c r="AE23" s="145">
        <f t="shared" si="4"/>
        <v>-14.884999999999998</v>
      </c>
      <c r="AF23" s="145">
        <f t="shared" si="5"/>
        <v>73.075612805415076</v>
      </c>
      <c r="AG23" s="772">
        <f t="shared" si="6"/>
        <v>109.4373185254226</v>
      </c>
      <c r="AH23" s="1253">
        <f t="shared" si="7"/>
        <v>21.779</v>
      </c>
      <c r="AI23" s="1253">
        <f t="shared" si="8"/>
        <v>24.058</v>
      </c>
      <c r="AJ23" s="156">
        <f t="shared" si="9"/>
        <v>66.067524973092503</v>
      </c>
      <c r="AK23" s="156">
        <f t="shared" si="10"/>
        <v>19.345763347851243</v>
      </c>
      <c r="AM23" s="716">
        <f t="shared" si="11"/>
        <v>1843.8587960311802</v>
      </c>
      <c r="AN23" s="716" t="str">
        <f>_xlfn.XLOOKUP(D23,RUC!$B$3:$B$578,RUC!$M$3:$M$578)</f>
        <v>Richard Sapacayo</v>
      </c>
      <c r="AO23" s="1167" t="s">
        <v>2277</v>
      </c>
      <c r="AP23" t="s">
        <v>3784</v>
      </c>
      <c r="AQ23" t="s">
        <v>3785</v>
      </c>
      <c r="AV23" s="1556" t="s">
        <v>2277</v>
      </c>
      <c r="AW23" s="1227">
        <f t="shared" ref="AW23:AW32" si="26">SUMIF($AO$4:$AO$1127,AV23,$K$4:$K$1127)</f>
        <v>156.99</v>
      </c>
      <c r="AX23" s="1227"/>
      <c r="AY23" s="1229">
        <f t="shared" ref="AY23:AY32" si="27">AW23*AX23*31.1035*1.1023</f>
        <v>0</v>
      </c>
      <c r="AZ23" s="596"/>
      <c r="BA23" s="1255">
        <f t="shared" ref="BA23:BA32" si="28">AY23*AZ23/100</f>
        <v>0</v>
      </c>
      <c r="BB23" s="1573" t="s">
        <v>4256</v>
      </c>
      <c r="BC23" s="1574">
        <f>+BB6</f>
        <v>4321.2349999999997</v>
      </c>
    </row>
    <row r="24" spans="1:56" ht="15" customHeight="1">
      <c r="A24" s="747" t="s">
        <v>3773</v>
      </c>
      <c r="B24" s="1447">
        <v>46002</v>
      </c>
      <c r="C24" s="1447">
        <v>45999</v>
      </c>
      <c r="D24" t="s">
        <v>1484</v>
      </c>
      <c r="E24" s="762">
        <f>_xlfn.XLOOKUP(D24,RUC!$B$3:$B$123,RUC!$D$3:$D$123)</f>
        <v>10761932735</v>
      </c>
      <c r="G24" s="1082">
        <v>45</v>
      </c>
      <c r="H24" s="762" t="s">
        <v>69</v>
      </c>
      <c r="I24" s="703">
        <v>3.76</v>
      </c>
      <c r="J24" s="596">
        <v>10.9</v>
      </c>
      <c r="K24" s="703">
        <f t="shared" si="0"/>
        <v>3.35</v>
      </c>
      <c r="L24" s="1192">
        <v>0.51400000000000001</v>
      </c>
      <c r="M24" s="994">
        <f t="shared" si="21"/>
        <v>0.48299999999999998</v>
      </c>
      <c r="N24" s="1196">
        <f t="shared" si="24"/>
        <v>0.48299999999999998</v>
      </c>
      <c r="O24" s="645">
        <f t="shared" si="14"/>
        <v>0.48299999999999998</v>
      </c>
      <c r="P24" s="727">
        <v>89</v>
      </c>
      <c r="Q24" s="1476">
        <v>89.88</v>
      </c>
      <c r="R24" s="706">
        <v>4188.25</v>
      </c>
      <c r="S24" s="765">
        <f>IF((_xlfn.XLOOKUP(D24,RUC!$B$3:$B$119,RUC!$E$3:$E$119)+ROUNDDOWN(O24,1)*100)&lt;95,95,((_xlfn.XLOOKUP(D24,RUC!$B$3:$B$119,RUC!$E$3:$E$119)+ROUNDDOWN(O24,1)*100)))</f>
        <v>130</v>
      </c>
      <c r="U24" s="1146">
        <f>_xlfn.XLOOKUP(D24,RUC!$B$3:$B$123,RUC!$F$3:$F$123)</f>
        <v>120</v>
      </c>
      <c r="V24" s="715">
        <v>1.1023000000000001</v>
      </c>
      <c r="Y24">
        <f>_xlfn.XLOOKUP(D24,RUC!$B$3:$B$123,RUC!$G$3:$G$123)</f>
        <v>20</v>
      </c>
      <c r="Z24" s="143">
        <f>_xlfn.XLOOKUP(D24,RUC!$B$3:$B$123,RUC!$H$3:$H$123)</f>
        <v>30</v>
      </c>
      <c r="AA24" s="144">
        <f t="shared" si="1"/>
        <v>50</v>
      </c>
      <c r="AB24" s="145">
        <f t="shared" si="25"/>
        <v>1729.3087730932502</v>
      </c>
      <c r="AC24" s="145">
        <f>+(S24-T24)*V24-'data 1'!$F$4</f>
        <v>63.299000000000007</v>
      </c>
      <c r="AD24" s="145">
        <f t="shared" si="3"/>
        <v>20.283982709319897</v>
      </c>
      <c r="AE24" s="145">
        <f t="shared" si="4"/>
        <v>-14.884999999999998</v>
      </c>
      <c r="AF24" s="145">
        <f t="shared" si="5"/>
        <v>124.94883123303011</v>
      </c>
      <c r="AG24" s="772">
        <f t="shared" si="6"/>
        <v>210.64681394235004</v>
      </c>
      <c r="AH24" s="1253">
        <f t="shared" si="7"/>
        <v>53.061999999999998</v>
      </c>
      <c r="AI24" s="1253">
        <f t="shared" si="8"/>
        <v>59.036000000000001</v>
      </c>
      <c r="AJ24" s="156">
        <f t="shared" si="9"/>
        <v>199.49636887278001</v>
      </c>
      <c r="AK24" s="156">
        <f t="shared" si="10"/>
        <v>49.373170199529234</v>
      </c>
      <c r="AM24" s="716">
        <f t="shared" si="11"/>
        <v>5793.1843898623883</v>
      </c>
      <c r="AN24" s="716" t="str">
        <f>_xlfn.XLOOKUP(D24,RUC!$B$3:$B$578,RUC!$M$3:$M$578)</f>
        <v>Richard Sapacayo</v>
      </c>
      <c r="AO24" s="1167" t="s">
        <v>2280</v>
      </c>
      <c r="AP24" t="s">
        <v>3784</v>
      </c>
      <c r="AQ24" t="s">
        <v>3785</v>
      </c>
      <c r="AV24" s="1557" t="s">
        <v>2278</v>
      </c>
      <c r="AW24" s="703">
        <f t="shared" si="26"/>
        <v>152.89000000000001</v>
      </c>
      <c r="AX24" s="703"/>
      <c r="AY24" s="596">
        <f t="shared" si="27"/>
        <v>0</v>
      </c>
      <c r="AZ24" s="596"/>
      <c r="BA24" s="1256">
        <f t="shared" si="28"/>
        <v>0</v>
      </c>
      <c r="BB24" s="1575" t="s">
        <v>4257</v>
      </c>
      <c r="BC24" s="1576">
        <f>+'32'!BC26+'32'!BC27</f>
        <v>1126.3389999999999</v>
      </c>
    </row>
    <row r="25" spans="1:56" ht="15" customHeight="1">
      <c r="A25" s="747" t="s">
        <v>3774</v>
      </c>
      <c r="B25" s="1447">
        <v>46002</v>
      </c>
      <c r="C25" s="1447">
        <v>45999</v>
      </c>
      <c r="D25" t="s">
        <v>1484</v>
      </c>
      <c r="E25" s="762">
        <f>_xlfn.XLOOKUP(D25,RUC!$B$3:$B$123,RUC!$D$3:$D$123)</f>
        <v>10761932735</v>
      </c>
      <c r="G25" s="1082">
        <v>141</v>
      </c>
      <c r="H25" s="762" t="s">
        <v>69</v>
      </c>
      <c r="I25" s="703">
        <v>12.25</v>
      </c>
      <c r="J25" s="596">
        <v>7.8</v>
      </c>
      <c r="K25" s="703">
        <f t="shared" si="0"/>
        <v>11.295</v>
      </c>
      <c r="L25" s="1192">
        <v>0.21099999999999999</v>
      </c>
      <c r="M25" s="994">
        <f t="shared" si="21"/>
        <v>0.193</v>
      </c>
      <c r="N25" s="1444">
        <v>0.23699999999999999</v>
      </c>
      <c r="O25" s="645">
        <f t="shared" si="14"/>
        <v>0.215</v>
      </c>
      <c r="P25" s="727">
        <v>87</v>
      </c>
      <c r="Q25" s="1476">
        <v>87.2</v>
      </c>
      <c r="R25" s="706">
        <v>4188.25</v>
      </c>
      <c r="S25" s="765">
        <f>IF((_xlfn.XLOOKUP(D25,RUC!$B$3:$B$119,RUC!$E$3:$E$119)+ROUNDDOWN(O25,1)*100)&lt;95,95,((_xlfn.XLOOKUP(D25,RUC!$B$3:$B$119,RUC!$E$3:$E$119)+ROUNDDOWN(O25,1)*100)))</f>
        <v>110</v>
      </c>
      <c r="U25" s="1146">
        <f>_xlfn.XLOOKUP(D25,RUC!$B$3:$B$123,RUC!$F$3:$F$123)</f>
        <v>120</v>
      </c>
      <c r="V25" s="715">
        <v>1.1023000000000001</v>
      </c>
      <c r="Y25">
        <f>_xlfn.XLOOKUP(D25,RUC!$B$3:$B$123,RUC!$G$3:$G$123)</f>
        <v>20</v>
      </c>
      <c r="Z25" s="143">
        <f>_xlfn.XLOOKUP(D25,RUC!$B$3:$B$123,RUC!$H$3:$H$123)</f>
        <v>30</v>
      </c>
      <c r="AA25" s="144">
        <f t="shared" si="1"/>
        <v>50</v>
      </c>
      <c r="AB25" s="145">
        <f t="shared" si="25"/>
        <v>662.44500092374994</v>
      </c>
      <c r="AC25" s="145">
        <f>+(S25-T25)*V25-'data 1'!$F$4</f>
        <v>41.253</v>
      </c>
      <c r="AD25" s="145">
        <f t="shared" si="3"/>
        <v>1.892430293450027</v>
      </c>
      <c r="AE25" s="145">
        <f t="shared" si="4"/>
        <v>-14.884999999999998</v>
      </c>
      <c r="AF25" s="145">
        <f t="shared" si="5"/>
        <v>-15.641698728800016</v>
      </c>
      <c r="AG25" s="772">
        <f t="shared" si="6"/>
        <v>29.618731564650005</v>
      </c>
      <c r="AH25" s="1253">
        <f t="shared" si="7"/>
        <v>71.251999999999995</v>
      </c>
      <c r="AI25" s="1253">
        <f t="shared" si="8"/>
        <v>81.709999999999994</v>
      </c>
      <c r="AJ25" s="156">
        <f t="shared" si="9"/>
        <v>79.452533991799996</v>
      </c>
      <c r="AK25" s="156">
        <f t="shared" si="10"/>
        <v>72.435759323529496</v>
      </c>
      <c r="AM25" s="716">
        <f t="shared" si="11"/>
        <v>7482.3162854337552</v>
      </c>
      <c r="AN25" s="716" t="str">
        <f>_xlfn.XLOOKUP(D25,RUC!$B$3:$B$578,RUC!$M$3:$M$578)</f>
        <v>Richard Sapacayo</v>
      </c>
      <c r="AO25" s="1167" t="s">
        <v>2278</v>
      </c>
      <c r="AP25" t="s">
        <v>3784</v>
      </c>
      <c r="AQ25" t="s">
        <v>3785</v>
      </c>
      <c r="AV25" s="1557" t="s">
        <v>2280</v>
      </c>
      <c r="AW25" s="703">
        <f t="shared" si="26"/>
        <v>124.518</v>
      </c>
      <c r="AX25" s="703"/>
      <c r="AY25" s="596">
        <f t="shared" si="27"/>
        <v>0</v>
      </c>
      <c r="AZ25" s="596"/>
      <c r="BA25" s="1256">
        <f t="shared" si="28"/>
        <v>0</v>
      </c>
      <c r="BB25" s="1577" t="s">
        <v>4258</v>
      </c>
      <c r="BC25" s="1581">
        <v>4538.6499999999996</v>
      </c>
    </row>
    <row r="26" spans="1:56" ht="15" customHeight="1">
      <c r="A26" s="747" t="s">
        <v>3775</v>
      </c>
      <c r="B26" s="1447">
        <v>46004</v>
      </c>
      <c r="C26" s="1447">
        <v>45999</v>
      </c>
      <c r="D26" t="s">
        <v>2004</v>
      </c>
      <c r="E26" s="762">
        <f>_xlfn.XLOOKUP(D26,RUC!$B$3:$B$123,RUC!$D$3:$D$123)</f>
        <v>20612921866</v>
      </c>
      <c r="G26" s="1082" t="s">
        <v>2985</v>
      </c>
      <c r="H26" s="762" t="s">
        <v>69</v>
      </c>
      <c r="I26" s="703">
        <v>10.46</v>
      </c>
      <c r="J26" s="596">
        <v>1.2</v>
      </c>
      <c r="K26" s="703">
        <f t="shared" si="0"/>
        <v>10.334</v>
      </c>
      <c r="L26" s="1192">
        <v>0.17799999999999999</v>
      </c>
      <c r="M26" s="994">
        <f t="shared" si="21"/>
        <v>0.16</v>
      </c>
      <c r="N26" s="1196">
        <f t="shared" si="24"/>
        <v>0.16</v>
      </c>
      <c r="O26" s="645">
        <f t="shared" si="14"/>
        <v>0.16</v>
      </c>
      <c r="P26" s="727">
        <v>90</v>
      </c>
      <c r="Q26" s="1476">
        <v>90.45</v>
      </c>
      <c r="R26" s="706">
        <v>4188.25</v>
      </c>
      <c r="S26" s="765">
        <f>IF((_xlfn.XLOOKUP(D26,RUC!$B$3:$B$119,RUC!$E$3:$E$119)+ROUNDDOWN(O26,1)*100)&lt;95,95,((_xlfn.XLOOKUP(D26,RUC!$B$3:$B$119,RUC!$E$3:$E$119)+ROUNDDOWN(O26,1)*100)))</f>
        <v>95</v>
      </c>
      <c r="U26" s="1146">
        <f>_xlfn.XLOOKUP(D26,RUC!$B$3:$B$123,RUC!$F$3:$F$123)</f>
        <v>100</v>
      </c>
      <c r="V26" s="715">
        <v>1.1023000000000001</v>
      </c>
      <c r="Y26">
        <f>_xlfn.XLOOKUP(D26,RUC!$B$3:$B$123,RUC!$G$3:$G$123)</f>
        <v>0</v>
      </c>
      <c r="Z26" s="143">
        <f>_xlfn.XLOOKUP(D26,RUC!$B$3:$B$123,RUC!$H$3:$H$123)</f>
        <v>30</v>
      </c>
      <c r="AA26" s="144">
        <f t="shared" si="1"/>
        <v>30</v>
      </c>
      <c r="AB26" s="145">
        <f t="shared" si="25"/>
        <v>511.1453284000001</v>
      </c>
      <c r="AC26" s="145">
        <f>+(S26-T26)*V26-'data 1'!$F$4</f>
        <v>24.718500000000006</v>
      </c>
      <c r="AD26" s="145">
        <f t="shared" si="3"/>
        <v>3.6096888579750233</v>
      </c>
      <c r="AE26" s="145">
        <f t="shared" si="4"/>
        <v>-36.930999999999997</v>
      </c>
      <c r="AF26" s="145">
        <f t="shared" si="5"/>
        <v>73.369967910974964</v>
      </c>
      <c r="AG26" s="772">
        <f>AC26+AD26+AE26+AF26+70-10</f>
        <v>124.76715676895</v>
      </c>
      <c r="AH26" s="1253">
        <f t="shared" si="7"/>
        <v>57.042999999999999</v>
      </c>
      <c r="AI26" s="1253">
        <f t="shared" si="8"/>
        <v>63.066000000000003</v>
      </c>
      <c r="AJ26" s="156">
        <f t="shared" si="9"/>
        <v>65.974993805024994</v>
      </c>
      <c r="AK26" s="156">
        <f t="shared" si="10"/>
        <v>51.019948815652796</v>
      </c>
      <c r="AL26" s="88"/>
      <c r="AM26" s="716">
        <f t="shared" si="11"/>
        <v>5282.1758236856012</v>
      </c>
      <c r="AN26" s="716" t="str">
        <f>_xlfn.XLOOKUP(D26,RUC!$B$3:$B$578,RUC!$M$3:$M$578)</f>
        <v>Ronald Garibay</v>
      </c>
      <c r="AO26" s="1167" t="s">
        <v>2278</v>
      </c>
      <c r="AP26" t="s">
        <v>3786</v>
      </c>
      <c r="AQ26" t="s">
        <v>3787</v>
      </c>
      <c r="AV26" s="1557" t="s">
        <v>2279</v>
      </c>
      <c r="AW26" s="703">
        <f t="shared" si="26"/>
        <v>0</v>
      </c>
      <c r="AX26" s="703"/>
      <c r="AY26" s="596">
        <f t="shared" si="27"/>
        <v>0</v>
      </c>
      <c r="AZ26" s="596"/>
      <c r="BA26" s="1256">
        <f t="shared" si="28"/>
        <v>0</v>
      </c>
      <c r="BB26" s="1577" t="s">
        <v>4259</v>
      </c>
      <c r="BC26" s="1581">
        <v>951.60500000000002</v>
      </c>
    </row>
    <row r="27" spans="1:56" ht="15" customHeight="1">
      <c r="A27" s="747" t="s">
        <v>3776</v>
      </c>
      <c r="B27" s="1447">
        <v>46004</v>
      </c>
      <c r="C27" s="1447">
        <v>46000</v>
      </c>
      <c r="D27" t="s">
        <v>2444</v>
      </c>
      <c r="E27" s="762">
        <f>_xlfn.XLOOKUP(D27,RUC!$B$3:$B$123,RUC!$D$3:$D$123)</f>
        <v>20608774000</v>
      </c>
      <c r="G27" s="1082">
        <v>17</v>
      </c>
      <c r="H27" s="762" t="s">
        <v>69</v>
      </c>
      <c r="I27" s="703">
        <v>1.5</v>
      </c>
      <c r="J27" s="596">
        <v>1.3</v>
      </c>
      <c r="K27" s="703">
        <f t="shared" si="0"/>
        <v>1.4810000000000001</v>
      </c>
      <c r="L27" s="1192">
        <v>0.318</v>
      </c>
      <c r="M27" s="994">
        <f t="shared" si="21"/>
        <v>0.29899999999999999</v>
      </c>
      <c r="N27" s="1196">
        <f t="shared" si="24"/>
        <v>0.29899999999999999</v>
      </c>
      <c r="O27" s="645">
        <f t="shared" si="14"/>
        <v>0.29899999999999999</v>
      </c>
      <c r="P27" s="727">
        <v>90</v>
      </c>
      <c r="Q27" s="1476">
        <v>94.97</v>
      </c>
      <c r="R27" s="706">
        <v>4198</v>
      </c>
      <c r="S27" s="765">
        <f>IF((_xlfn.XLOOKUP(D27,RUC!$B$3:$B$119,RUC!$E$3:$E$119)+ROUNDDOWN(O27,1)*100)&lt;95,95,((_xlfn.XLOOKUP(D27,RUC!$B$3:$B$119,RUC!$E$3:$E$119)+ROUNDDOWN(O27,1)*100)))</f>
        <v>105</v>
      </c>
      <c r="U27" s="1146">
        <f>_xlfn.XLOOKUP(D27,RUC!$B$3:$B$123,RUC!$F$3:$F$123)</f>
        <v>120</v>
      </c>
      <c r="V27" s="715">
        <v>1.1023000000000001</v>
      </c>
      <c r="Y27">
        <f>_xlfn.XLOOKUP(D27,RUC!$B$3:$B$123,RUC!$G$3:$G$123)</f>
        <v>20</v>
      </c>
      <c r="Z27" s="1454">
        <v>35</v>
      </c>
      <c r="AA27" s="144">
        <f t="shared" si="1"/>
        <v>55</v>
      </c>
      <c r="AB27" s="145">
        <f t="shared" si="25"/>
        <v>1033.2847765399999</v>
      </c>
      <c r="AC27" s="145">
        <f>+(S27-T27)*V27-'data 1'!$F$4</f>
        <v>35.741500000000002</v>
      </c>
      <c r="AD27" s="145">
        <f t="shared" si="3"/>
        <v>71.044512345239994</v>
      </c>
      <c r="AE27" s="145">
        <f t="shared" si="4"/>
        <v>-9.3734999999999999</v>
      </c>
      <c r="AF27" s="145">
        <f t="shared" si="5"/>
        <v>81.112365647420077</v>
      </c>
      <c r="AG27" s="772">
        <f t="shared" ref="AG27:AG33" si="29">AC27+AD27+AE27+AF27+70-53</f>
        <v>195.52487799266009</v>
      </c>
      <c r="AH27" s="1253">
        <f t="shared" si="7"/>
        <v>15.335000000000001</v>
      </c>
      <c r="AI27" s="1253">
        <f t="shared" si="8"/>
        <v>16.146999999999998</v>
      </c>
      <c r="AJ27" s="156">
        <f t="shared" si="9"/>
        <v>127.16767416155999</v>
      </c>
      <c r="AK27" s="156">
        <f t="shared" si="10"/>
        <v>13.663999125821656</v>
      </c>
      <c r="AM27" s="716">
        <f t="shared" si="11"/>
        <v>1530.29475405574</v>
      </c>
      <c r="AN27" s="716" t="str">
        <f>_xlfn.XLOOKUP(D27,RUC!$B$3:$B$578,RUC!$M$3:$M$578)</f>
        <v>Ronald Miranda</v>
      </c>
      <c r="AO27" s="1167" t="s">
        <v>2277</v>
      </c>
      <c r="AP27" t="s">
        <v>3788</v>
      </c>
      <c r="AQ27" t="s">
        <v>3751</v>
      </c>
      <c r="AV27" s="1557" t="s">
        <v>2281</v>
      </c>
      <c r="AW27" s="703">
        <f t="shared" si="26"/>
        <v>0</v>
      </c>
      <c r="AX27" s="703"/>
      <c r="AY27" s="596">
        <f t="shared" si="27"/>
        <v>0</v>
      </c>
      <c r="AZ27" s="596"/>
      <c r="BA27" s="1256">
        <f t="shared" si="28"/>
        <v>0</v>
      </c>
      <c r="BB27" s="1577" t="s">
        <v>4260</v>
      </c>
      <c r="BC27" s="1581">
        <v>154.48500000000001</v>
      </c>
    </row>
    <row r="28" spans="1:56" ht="15" customHeight="1">
      <c r="A28" s="747" t="s">
        <v>3777</v>
      </c>
      <c r="B28" s="1447">
        <v>46004</v>
      </c>
      <c r="C28" s="1447">
        <v>46000</v>
      </c>
      <c r="D28" t="s">
        <v>93</v>
      </c>
      <c r="E28" s="762">
        <f>_xlfn.XLOOKUP(D28,RUC!$B$3:$B$123,RUC!$D$3:$D$123)</f>
        <v>20169040231</v>
      </c>
      <c r="G28" s="1082">
        <v>10</v>
      </c>
      <c r="H28" s="762" t="s">
        <v>69</v>
      </c>
      <c r="I28" s="703">
        <v>1.04</v>
      </c>
      <c r="J28" s="596">
        <v>4.5999999999999996</v>
      </c>
      <c r="K28" s="703">
        <f t="shared" si="0"/>
        <v>0.99199999999999999</v>
      </c>
      <c r="L28" s="1192">
        <v>0.13500000000000001</v>
      </c>
      <c r="M28" s="994">
        <f t="shared" si="21"/>
        <v>0.11700000000000001</v>
      </c>
      <c r="N28" s="1196">
        <f t="shared" si="24"/>
        <v>0.11700000000000001</v>
      </c>
      <c r="O28" s="645">
        <f t="shared" si="14"/>
        <v>0.11700000000000001</v>
      </c>
      <c r="P28" s="727">
        <v>80</v>
      </c>
      <c r="Q28" s="1476">
        <v>97.04</v>
      </c>
      <c r="R28" s="706">
        <v>4198</v>
      </c>
      <c r="S28" s="765">
        <f>IF((_xlfn.XLOOKUP(D28,RUC!$B$3:$B$119,RUC!$E$3:$E$119)+ROUNDDOWN(O28,1)*100)&lt;95,95,((_xlfn.XLOOKUP(D28,RUC!$B$3:$B$119,RUC!$E$3:$E$119)+ROUNDDOWN(O28,1)*100)))</f>
        <v>95</v>
      </c>
      <c r="U28" s="1146">
        <f>_xlfn.XLOOKUP(D28,RUC!$B$3:$B$123,RUC!$F$3:$F$123)</f>
        <v>120</v>
      </c>
      <c r="V28" s="715">
        <v>1.1023000000000001</v>
      </c>
      <c r="Y28">
        <f>_xlfn.XLOOKUP(D28,RUC!$B$3:$B$123,RUC!$G$3:$G$123)</f>
        <v>20</v>
      </c>
      <c r="Z28" s="1454">
        <v>38</v>
      </c>
      <c r="AA28" s="144">
        <f t="shared" si="1"/>
        <v>58</v>
      </c>
      <c r="AB28" s="145">
        <f t="shared" si="25"/>
        <v>252.09689184000004</v>
      </c>
      <c r="AC28" s="145">
        <f>+(S28-T28)*V28-'data 1'!$F$4</f>
        <v>24.718500000000006</v>
      </c>
      <c r="AD28" s="145">
        <f t="shared" si="3"/>
        <v>103.40710691760003</v>
      </c>
      <c r="AE28" s="145">
        <f t="shared" si="4"/>
        <v>-6.0666000000000011</v>
      </c>
      <c r="AF28" s="145">
        <f t="shared" si="5"/>
        <v>78.518197615680023</v>
      </c>
      <c r="AG28" s="772">
        <f t="shared" si="29"/>
        <v>217.57720453328005</v>
      </c>
      <c r="AH28" s="1253">
        <f t="shared" si="7"/>
        <v>4.4560000000000004</v>
      </c>
      <c r="AI28" s="1253">
        <f t="shared" si="8"/>
        <v>4.5910000000000002</v>
      </c>
      <c r="AJ28" s="156">
        <f t="shared" si="9"/>
        <v>55.162980914400016</v>
      </c>
      <c r="AK28" s="156">
        <f t="shared" si="10"/>
        <v>3.1834394229081608</v>
      </c>
      <c r="AM28" s="716">
        <f t="shared" si="11"/>
        <v>250.08011670528003</v>
      </c>
      <c r="AN28" s="716" t="str">
        <f>_xlfn.XLOOKUP(D28,RUC!$B$3:$B$578,RUC!$M$3:$M$578)</f>
        <v>Ronald Miranda</v>
      </c>
      <c r="AO28" s="1167" t="s">
        <v>2277</v>
      </c>
      <c r="AP28" t="s">
        <v>3789</v>
      </c>
      <c r="AQ28" t="s">
        <v>3790</v>
      </c>
      <c r="AV28" s="1557" t="s">
        <v>2297</v>
      </c>
      <c r="AW28" s="703">
        <f t="shared" si="26"/>
        <v>0</v>
      </c>
      <c r="AY28" s="596">
        <f t="shared" si="27"/>
        <v>0</v>
      </c>
      <c r="BA28" s="1256">
        <f t="shared" si="28"/>
        <v>0</v>
      </c>
      <c r="BB28" s="1579" t="s">
        <v>3206</v>
      </c>
      <c r="BC28" s="1580">
        <f>-BC23-BC24+BC25+BC26+BC27</f>
        <v>197.16600000000005</v>
      </c>
    </row>
    <row r="29" spans="1:56" ht="15" customHeight="1">
      <c r="A29" s="1491" t="s">
        <v>3778</v>
      </c>
      <c r="B29" s="1542">
        <v>46004</v>
      </c>
      <c r="C29" s="1447">
        <v>46000</v>
      </c>
      <c r="D29" t="s">
        <v>93</v>
      </c>
      <c r="E29" s="762">
        <f>_xlfn.XLOOKUP(D29,RUC!$B$3:$B$123,RUC!$D$3:$D$123)</f>
        <v>20169040231</v>
      </c>
      <c r="G29" s="1082">
        <v>14</v>
      </c>
      <c r="H29" s="762" t="s">
        <v>69</v>
      </c>
      <c r="I29" s="703">
        <v>1.37</v>
      </c>
      <c r="J29" s="596">
        <v>4.8</v>
      </c>
      <c r="K29" s="703">
        <f t="shared" si="0"/>
        <v>1.304</v>
      </c>
      <c r="L29" s="1192">
        <v>0.05</v>
      </c>
      <c r="M29" s="994">
        <f t="shared" si="21"/>
        <v>3.2000000000000001E-2</v>
      </c>
      <c r="N29" s="1196">
        <f t="shared" si="24"/>
        <v>3.2000000000000001E-2</v>
      </c>
      <c r="O29" s="645">
        <f t="shared" si="14"/>
        <v>3.2000000000000001E-2</v>
      </c>
      <c r="P29" s="727">
        <v>80</v>
      </c>
      <c r="Q29" s="1476">
        <v>88</v>
      </c>
      <c r="R29" s="706">
        <v>4198</v>
      </c>
      <c r="S29" s="765">
        <f>IF((_xlfn.XLOOKUP(D29,RUC!$B$3:$B$119,RUC!$E$3:$E$119)+ROUNDDOWN(O29,1)*100)&lt;95,95,((_xlfn.XLOOKUP(D29,RUC!$B$3:$B$119,RUC!$E$3:$E$119)+ROUNDDOWN(O29,1)*100)))</f>
        <v>95</v>
      </c>
      <c r="U29" s="1146">
        <f>_xlfn.XLOOKUP(D29,RUC!$B$3:$B$123,RUC!$F$3:$F$123)</f>
        <v>120</v>
      </c>
      <c r="V29" s="715">
        <v>1.1023000000000001</v>
      </c>
      <c r="Y29">
        <f>_xlfn.XLOOKUP(D29,RUC!$B$3:$B$123,RUC!$G$3:$G$123)</f>
        <v>20</v>
      </c>
      <c r="Z29" s="1454">
        <v>38</v>
      </c>
      <c r="AA29" s="144">
        <f t="shared" si="1"/>
        <v>58</v>
      </c>
      <c r="AB29" s="145">
        <v>1E-3</v>
      </c>
      <c r="AC29" s="145">
        <f>+(S29-T29)*V29-'data 1'!$F$4</f>
        <v>24.718500000000006</v>
      </c>
      <c r="AD29" s="145">
        <f t="shared" si="3"/>
        <v>17.980717600000002</v>
      </c>
      <c r="AE29" s="145">
        <f t="shared" si="4"/>
        <v>-6.0666000000000011</v>
      </c>
      <c r="AF29" s="145">
        <f t="shared" si="5"/>
        <v>71.20364169600002</v>
      </c>
      <c r="AG29" s="772">
        <f t="shared" si="29"/>
        <v>124.83625929600004</v>
      </c>
      <c r="AH29" s="1253">
        <f t="shared" si="7"/>
        <v>1.9670000000000001</v>
      </c>
      <c r="AI29" s="1253">
        <f t="shared" si="8"/>
        <v>2.2349999999999999</v>
      </c>
      <c r="AJ29" s="156">
        <f t="shared" si="9"/>
        <v>18.527458400000004</v>
      </c>
      <c r="AK29" s="156">
        <f t="shared" si="10"/>
        <v>1.1445285380403201</v>
      </c>
      <c r="AM29" s="716">
        <f t="shared" si="11"/>
        <v>1.304E-3</v>
      </c>
      <c r="AN29" s="716" t="str">
        <f>_xlfn.XLOOKUP(D29,RUC!$B$3:$B$578,RUC!$M$3:$M$578)</f>
        <v>Ronald Miranda</v>
      </c>
      <c r="AO29" s="1167" t="s">
        <v>2280</v>
      </c>
      <c r="AP29" t="s">
        <v>3789</v>
      </c>
      <c r="AQ29" t="s">
        <v>3790</v>
      </c>
      <c r="AV29" s="1557" t="s">
        <v>2518</v>
      </c>
      <c r="AW29" s="703">
        <f t="shared" si="26"/>
        <v>0</v>
      </c>
      <c r="AY29" s="596">
        <f t="shared" si="27"/>
        <v>0</v>
      </c>
      <c r="BA29" s="1256">
        <f t="shared" si="28"/>
        <v>0</v>
      </c>
    </row>
    <row r="30" spans="1:56" ht="15" customHeight="1">
      <c r="A30" s="747" t="s">
        <v>3779</v>
      </c>
      <c r="B30" s="1447">
        <v>46006</v>
      </c>
      <c r="C30" s="1447">
        <v>46000</v>
      </c>
      <c r="D30" t="s">
        <v>93</v>
      </c>
      <c r="E30" s="762">
        <f>_xlfn.XLOOKUP(D30,RUC!$B$3:$B$123,RUC!$D$3:$D$123)</f>
        <v>20169040231</v>
      </c>
      <c r="G30" s="1082">
        <v>68</v>
      </c>
      <c r="H30" s="762" t="s">
        <v>69</v>
      </c>
      <c r="I30" s="703">
        <v>6.31</v>
      </c>
      <c r="J30" s="596">
        <v>1.3</v>
      </c>
      <c r="K30" s="703">
        <f t="shared" si="0"/>
        <v>6.2279999999999998</v>
      </c>
      <c r="L30" s="1192">
        <v>0.187</v>
      </c>
      <c r="M30" s="994">
        <f t="shared" si="21"/>
        <v>0.16900000000000001</v>
      </c>
      <c r="N30" s="1196">
        <f t="shared" si="24"/>
        <v>0.16900000000000001</v>
      </c>
      <c r="O30" s="645">
        <f t="shared" si="14"/>
        <v>0.16900000000000001</v>
      </c>
      <c r="P30" s="727">
        <v>85</v>
      </c>
      <c r="Q30" s="1476">
        <v>90.91</v>
      </c>
      <c r="R30" s="706">
        <v>4198</v>
      </c>
      <c r="S30" s="765">
        <f>IF((_xlfn.XLOOKUP(D30,RUC!$B$3:$B$119,RUC!$E$3:$E$119)+ROUNDDOWN(O30,1)*100)&lt;95,95,((_xlfn.XLOOKUP(D30,RUC!$B$3:$B$119,RUC!$E$3:$E$119)+ROUNDDOWN(O30,1)*100)))</f>
        <v>95</v>
      </c>
      <c r="U30" s="1146">
        <f>_xlfn.XLOOKUP(D30,RUC!$B$3:$B$123,RUC!$F$3:$F$123)</f>
        <v>120</v>
      </c>
      <c r="V30" s="715">
        <v>1.1023000000000001</v>
      </c>
      <c r="Y30">
        <f>_xlfn.XLOOKUP(D30,RUC!$B$3:$B$123,RUC!$G$3:$G$123)</f>
        <v>20</v>
      </c>
      <c r="Z30" s="1454">
        <v>38</v>
      </c>
      <c r="AA30" s="144">
        <f t="shared" si="1"/>
        <v>58</v>
      </c>
      <c r="AB30" s="145">
        <f t="shared" si="25"/>
        <v>477.08062081000003</v>
      </c>
      <c r="AC30" s="145">
        <f>+(S30-T30)*V30-'data 1'!$F$4</f>
        <v>24.718500000000006</v>
      </c>
      <c r="AD30" s="145">
        <f t="shared" si="3"/>
        <v>49.679374174979969</v>
      </c>
      <c r="AE30" s="145">
        <f t="shared" si="4"/>
        <v>-6.0666000000000011</v>
      </c>
      <c r="AF30" s="145">
        <f t="shared" si="5"/>
        <v>73.558216665719954</v>
      </c>
      <c r="AG30" s="772">
        <f t="shared" si="29"/>
        <v>158.88949084069992</v>
      </c>
      <c r="AH30" s="1253">
        <f t="shared" si="7"/>
        <v>36.299999999999997</v>
      </c>
      <c r="AI30" s="1253">
        <f t="shared" si="8"/>
        <v>39.93</v>
      </c>
      <c r="AJ30" s="156">
        <f t="shared" si="9"/>
        <v>71.58407783362</v>
      </c>
      <c r="AK30" s="156">
        <f t="shared" si="10"/>
        <v>30.673497846786208</v>
      </c>
      <c r="AM30" s="716">
        <f t="shared" si="11"/>
        <v>2971.2581064046799</v>
      </c>
      <c r="AN30" s="716" t="str">
        <f>_xlfn.XLOOKUP(D30,RUC!$B$3:$B$578,RUC!$M$3:$M$578)</f>
        <v>Ronald Miranda</v>
      </c>
      <c r="AO30" s="1167" t="s">
        <v>2277</v>
      </c>
      <c r="AP30" t="s">
        <v>3789</v>
      </c>
      <c r="AQ30" t="s">
        <v>3790</v>
      </c>
      <c r="AV30" s="1557" t="s">
        <v>2519</v>
      </c>
      <c r="AW30" s="703">
        <f t="shared" si="26"/>
        <v>0</v>
      </c>
      <c r="AY30" s="596">
        <f t="shared" si="27"/>
        <v>0</v>
      </c>
      <c r="BA30" s="1256">
        <f t="shared" si="28"/>
        <v>0</v>
      </c>
    </row>
    <row r="31" spans="1:56" ht="15" customHeight="1">
      <c r="A31" s="747" t="s">
        <v>3780</v>
      </c>
      <c r="B31" s="1447">
        <v>46006</v>
      </c>
      <c r="C31" s="1447">
        <v>46000</v>
      </c>
      <c r="D31" t="s">
        <v>2444</v>
      </c>
      <c r="E31" s="762">
        <f>_xlfn.XLOOKUP(D31,RUC!$B$3:$B$123,RUC!$D$3:$D$123)</f>
        <v>20608774000</v>
      </c>
      <c r="G31" s="1082">
        <v>92</v>
      </c>
      <c r="H31" s="762" t="s">
        <v>108</v>
      </c>
      <c r="I31" s="703">
        <v>7.79</v>
      </c>
      <c r="J31" s="596">
        <v>23.3</v>
      </c>
      <c r="K31" s="703">
        <f t="shared" si="0"/>
        <v>5.9749999999999996</v>
      </c>
      <c r="L31" s="1192">
        <v>2.3940000000000001</v>
      </c>
      <c r="M31" s="994">
        <f t="shared" si="21"/>
        <v>2.25</v>
      </c>
      <c r="N31" s="1444">
        <v>2.5099999999999998</v>
      </c>
      <c r="O31" s="645">
        <f t="shared" si="14"/>
        <v>2.38</v>
      </c>
      <c r="P31" s="727">
        <v>84</v>
      </c>
      <c r="Q31" s="1476">
        <v>84.8</v>
      </c>
      <c r="R31" s="706">
        <v>4198</v>
      </c>
      <c r="S31" s="765">
        <f>IF((_xlfn.XLOOKUP(D31,RUC!$B$3:$B$119,RUC!$E$3:$E$119)+ROUNDDOWN(O31,1)*100)&lt;95,95,((_xlfn.XLOOKUP(D31,RUC!$B$3:$B$119,RUC!$E$3:$E$119)+ROUNDDOWN(O31,1)*100)))</f>
        <v>315</v>
      </c>
      <c r="U31" s="1146">
        <f>_xlfn.XLOOKUP(D31,RUC!$B$3:$B$123,RUC!$F$3:$F$123)</f>
        <v>120</v>
      </c>
      <c r="V31" s="715">
        <v>1.1023000000000001</v>
      </c>
      <c r="Y31">
        <f>_xlfn.XLOOKUP(D31,RUC!$B$3:$B$123,RUC!$G$3:$G$123)</f>
        <v>20</v>
      </c>
      <c r="Z31" s="1454">
        <v>35</v>
      </c>
      <c r="AA31" s="144">
        <f t="shared" si="1"/>
        <v>55</v>
      </c>
      <c r="AB31" s="145">
        <f t="shared" si="25"/>
        <v>8578.9116564799988</v>
      </c>
      <c r="AC31" s="145">
        <f>+(S31-T31)*V31-'data 1'!$F$4</f>
        <v>267.22450000000003</v>
      </c>
      <c r="AD31" s="145">
        <f t="shared" si="3"/>
        <v>86.091675868799697</v>
      </c>
      <c r="AE31" s="145">
        <f t="shared" si="4"/>
        <v>-9.3734999999999999</v>
      </c>
      <c r="AF31" s="145">
        <f t="shared" si="5"/>
        <v>53.366769836800898</v>
      </c>
      <c r="AG31" s="772">
        <f t="shared" si="29"/>
        <v>414.30944570560064</v>
      </c>
      <c r="AH31" s="1253">
        <f t="shared" si="7"/>
        <v>415.87900000000002</v>
      </c>
      <c r="AI31" s="1253">
        <f t="shared" si="8"/>
        <v>490.423</v>
      </c>
      <c r="AJ31" s="156">
        <f t="shared" si="9"/>
        <v>854.83671880320003</v>
      </c>
      <c r="AK31" s="156">
        <f t="shared" si="10"/>
        <v>409.546503042621</v>
      </c>
      <c r="AM31" s="716">
        <f t="shared" si="11"/>
        <v>51258.997147467991</v>
      </c>
      <c r="AN31" s="716" t="str">
        <f>_xlfn.XLOOKUP(D31,RUC!$B$3:$B$578,RUC!$M$3:$M$578)</f>
        <v>Ronald Miranda</v>
      </c>
      <c r="AO31" s="1167" t="s">
        <v>2278</v>
      </c>
      <c r="AP31" t="s">
        <v>3788</v>
      </c>
      <c r="AQ31" t="s">
        <v>3751</v>
      </c>
      <c r="AR31" t="s">
        <v>3663</v>
      </c>
      <c r="AV31" s="1557" t="s">
        <v>2520</v>
      </c>
      <c r="AW31" s="703">
        <f t="shared" si="26"/>
        <v>0</v>
      </c>
      <c r="AY31" s="596">
        <f t="shared" si="27"/>
        <v>0</v>
      </c>
      <c r="BA31" s="1256">
        <f t="shared" si="28"/>
        <v>0</v>
      </c>
    </row>
    <row r="32" spans="1:56" ht="15" customHeight="1" thickBot="1">
      <c r="A32" s="747" t="s">
        <v>3781</v>
      </c>
      <c r="B32" s="1447">
        <v>46006</v>
      </c>
      <c r="C32" s="1447">
        <v>46000</v>
      </c>
      <c r="D32" t="s">
        <v>2444</v>
      </c>
      <c r="E32" s="762">
        <f>_xlfn.XLOOKUP(D32,RUC!$B$3:$B$123,RUC!$D$3:$D$123)</f>
        <v>20608774000</v>
      </c>
      <c r="G32" s="1082">
        <v>91</v>
      </c>
      <c r="H32" s="762" t="s">
        <v>108</v>
      </c>
      <c r="I32" s="703">
        <v>7.68</v>
      </c>
      <c r="J32" s="596">
        <v>23.8</v>
      </c>
      <c r="K32" s="703">
        <f t="shared" si="0"/>
        <v>5.8520000000000003</v>
      </c>
      <c r="L32" s="1192">
        <v>1.958</v>
      </c>
      <c r="M32" s="994">
        <f t="shared" si="21"/>
        <v>1.841</v>
      </c>
      <c r="N32" s="1444">
        <v>2.0270000000000001</v>
      </c>
      <c r="O32" s="645">
        <f t="shared" si="14"/>
        <v>1.9339999999999999</v>
      </c>
      <c r="P32" s="727">
        <v>83</v>
      </c>
      <c r="Q32" s="1476">
        <v>83.71</v>
      </c>
      <c r="R32" s="706">
        <v>4198</v>
      </c>
      <c r="S32" s="765">
        <f>IF((_xlfn.XLOOKUP(D32,RUC!$B$3:$B$119,RUC!$E$3:$E$119)+ROUNDDOWN(O32,1)*100)&lt;95,95,((_xlfn.XLOOKUP(D32,RUC!$B$3:$B$119,RUC!$E$3:$E$119)+ROUNDDOWN(O32,1)*100)))</f>
        <v>275</v>
      </c>
      <c r="U32" s="1146">
        <f>_xlfn.XLOOKUP(D32,RUC!$B$3:$B$123,RUC!$F$3:$F$123)</f>
        <v>120</v>
      </c>
      <c r="V32" s="715">
        <v>1.1023000000000001</v>
      </c>
      <c r="Y32">
        <f>_xlfn.XLOOKUP(D32,RUC!$B$3:$B$123,RUC!$G$3:$G$123)</f>
        <v>20</v>
      </c>
      <c r="Z32" s="1454">
        <v>35</v>
      </c>
      <c r="AA32" s="144">
        <f t="shared" si="1"/>
        <v>55</v>
      </c>
      <c r="AB32" s="145">
        <f t="shared" si="25"/>
        <v>6851.9928764680008</v>
      </c>
      <c r="AC32" s="145">
        <f>+(S32-T32)*V32-'data 1'!$F$4</f>
        <v>223.13249999999999</v>
      </c>
      <c r="AD32" s="145">
        <f t="shared" si="3"/>
        <v>62.491084982919453</v>
      </c>
      <c r="AE32" s="145">
        <f t="shared" si="4"/>
        <v>-9.3734999999999999</v>
      </c>
      <c r="AF32" s="145">
        <f t="shared" si="5"/>
        <v>90.30995221776007</v>
      </c>
      <c r="AG32" s="772">
        <f t="shared" si="29"/>
        <v>383.56003720067952</v>
      </c>
      <c r="AH32" s="1253">
        <f t="shared" si="7"/>
        <v>328.85399999999998</v>
      </c>
      <c r="AI32" s="1253">
        <f t="shared" si="8"/>
        <v>392.84899999999999</v>
      </c>
      <c r="AJ32" s="156">
        <f t="shared" si="9"/>
        <v>690.16542648548</v>
      </c>
      <c r="AK32" s="156">
        <f t="shared" si="10"/>
        <v>322.06827622409412</v>
      </c>
      <c r="AM32" s="716">
        <f t="shared" si="11"/>
        <v>40097.862313090744</v>
      </c>
      <c r="AN32" s="716" t="str">
        <f>_xlfn.XLOOKUP(D32,RUC!$B$3:$B$578,RUC!$M$3:$M$578)</f>
        <v>Ronald Miranda</v>
      </c>
      <c r="AO32" s="1167" t="s">
        <v>2277</v>
      </c>
      <c r="AP32" t="s">
        <v>3788</v>
      </c>
      <c r="AQ32" t="s">
        <v>3751</v>
      </c>
      <c r="AR32" t="s">
        <v>3663</v>
      </c>
      <c r="AV32" s="1558" t="s">
        <v>2521</v>
      </c>
      <c r="AW32" s="1254">
        <f t="shared" si="26"/>
        <v>0</v>
      </c>
      <c r="AX32" s="1257"/>
      <c r="AY32" s="1242">
        <f t="shared" si="27"/>
        <v>0</v>
      </c>
      <c r="AZ32" s="1257"/>
      <c r="BA32" s="1258">
        <f t="shared" si="28"/>
        <v>0</v>
      </c>
    </row>
    <row r="33" spans="1:44" ht="15" customHeight="1">
      <c r="A33" s="747" t="s">
        <v>3782</v>
      </c>
      <c r="B33" s="1447">
        <v>46006</v>
      </c>
      <c r="C33" s="1447">
        <v>46000</v>
      </c>
      <c r="D33" t="s">
        <v>93</v>
      </c>
      <c r="E33" s="762">
        <f>_xlfn.XLOOKUP(D33,RUC!$B$3:$B$123,RUC!$D$3:$D$123)</f>
        <v>20169040231</v>
      </c>
      <c r="G33" s="1082">
        <v>48</v>
      </c>
      <c r="H33" s="762" t="s">
        <v>69</v>
      </c>
      <c r="I33" s="703">
        <v>4.28</v>
      </c>
      <c r="J33" s="596">
        <v>1.25</v>
      </c>
      <c r="K33" s="703">
        <f t="shared" si="0"/>
        <v>4.2270000000000003</v>
      </c>
      <c r="L33" s="1192">
        <v>0.74199999999999999</v>
      </c>
      <c r="M33" s="994">
        <f t="shared" si="21"/>
        <v>0.69699999999999995</v>
      </c>
      <c r="N33" s="1444">
        <v>0.85899999999999999</v>
      </c>
      <c r="O33" s="1546">
        <v>0.74</v>
      </c>
      <c r="P33" s="727">
        <v>90</v>
      </c>
      <c r="Q33" s="1476">
        <v>90.43</v>
      </c>
      <c r="R33" s="706">
        <v>4198</v>
      </c>
      <c r="S33" s="765">
        <f>IF((_xlfn.XLOOKUP(D33,RUC!$B$3:$B$119,RUC!$E$3:$E$119)+ROUNDDOWN(O33,1)*100)&lt;95,95,((_xlfn.XLOOKUP(D33,RUC!$B$3:$B$119,RUC!$E$3:$E$119)+ROUNDDOWN(O33,1)*100)))</f>
        <v>155</v>
      </c>
      <c r="U33" s="1146">
        <f>_xlfn.XLOOKUP(D33,RUC!$B$3:$B$123,RUC!$F$3:$F$123)</f>
        <v>120</v>
      </c>
      <c r="V33" s="715">
        <v>1.1023000000000001</v>
      </c>
      <c r="Y33">
        <f>_xlfn.XLOOKUP(D33,RUC!$B$3:$B$123,RUC!$G$3:$G$123)</f>
        <v>20</v>
      </c>
      <c r="Z33" s="1454">
        <v>38</v>
      </c>
      <c r="AA33" s="144">
        <f t="shared" si="1"/>
        <v>58</v>
      </c>
      <c r="AB33" s="145">
        <f t="shared" si="25"/>
        <v>2758.9995804</v>
      </c>
      <c r="AC33" s="145">
        <f>+(S33-T33)*V33-'data 1'!$F$4</f>
        <v>90.856500000000011</v>
      </c>
      <c r="AD33" s="145">
        <f t="shared" si="3"/>
        <v>14.342319393640228</v>
      </c>
      <c r="AE33" s="145">
        <f t="shared" si="4"/>
        <v>-6.0666000000000011</v>
      </c>
      <c r="AF33" s="145">
        <f t="shared" si="5"/>
        <v>8.1299814628400089</v>
      </c>
      <c r="AG33" s="772">
        <f t="shared" si="29"/>
        <v>124.26220085648026</v>
      </c>
      <c r="AH33" s="1253">
        <f t="shared" si="7"/>
        <v>97.242999999999995</v>
      </c>
      <c r="AI33" s="1253">
        <f t="shared" si="8"/>
        <v>107.53400000000001</v>
      </c>
      <c r="AJ33" s="156">
        <f t="shared" si="9"/>
        <v>282.53978246116003</v>
      </c>
      <c r="AK33" s="156">
        <f t="shared" si="10"/>
        <v>96.519607301375103</v>
      </c>
      <c r="AM33" s="716">
        <f t="shared" si="11"/>
        <v>11662.291226350801</v>
      </c>
      <c r="AN33" s="716" t="str">
        <f>_xlfn.XLOOKUP(D33,RUC!$B$3:$B$578,RUC!$M$3:$M$578)</f>
        <v>Ronald Miranda</v>
      </c>
      <c r="AO33" s="1167" t="s">
        <v>2278</v>
      </c>
      <c r="AP33" t="s">
        <v>3789</v>
      </c>
      <c r="AQ33" t="s">
        <v>3790</v>
      </c>
      <c r="AR33" s="1584" t="s">
        <v>3838</v>
      </c>
    </row>
    <row r="34" spans="1:44" ht="15" customHeight="1">
      <c r="A34" s="747" t="s">
        <v>3793</v>
      </c>
      <c r="B34" s="1447">
        <v>46004</v>
      </c>
      <c r="C34" s="1447">
        <v>46001</v>
      </c>
      <c r="D34" t="s">
        <v>2004</v>
      </c>
      <c r="E34" s="762">
        <f>_xlfn.XLOOKUP(D34,RUC!$B$3:$B$123,RUC!$D$3:$D$123)</f>
        <v>20612921866</v>
      </c>
      <c r="G34" s="1082" t="s">
        <v>2985</v>
      </c>
      <c r="H34" s="762" t="s">
        <v>69</v>
      </c>
      <c r="I34" s="703">
        <v>10.25</v>
      </c>
      <c r="J34" s="596">
        <v>1.4</v>
      </c>
      <c r="K34" s="703">
        <f t="shared" si="0"/>
        <v>10.106999999999999</v>
      </c>
      <c r="L34" s="1192">
        <v>0.22600000000000001</v>
      </c>
      <c r="M34" s="994">
        <f t="shared" si="21"/>
        <v>0.20799999999999999</v>
      </c>
      <c r="N34" s="1196">
        <f t="shared" ref="N34:N65" si="30">+M34</f>
        <v>0.20799999999999999</v>
      </c>
      <c r="O34" s="645">
        <f t="shared" ref="O34:O69" si="31">+ROUND((M34+N34)/2,3)</f>
        <v>0.20799999999999999</v>
      </c>
      <c r="P34" s="727">
        <v>85</v>
      </c>
      <c r="Q34" s="1476">
        <v>91.59</v>
      </c>
      <c r="R34" s="706">
        <v>4200.1499999999996</v>
      </c>
      <c r="S34" s="765">
        <f>IF((_xlfn.XLOOKUP(D34,RUC!$B$3:$B$119,RUC!$E$3:$E$119)+ROUNDDOWN(O34,1)*100)&lt;95,95,((_xlfn.XLOOKUP(D34,RUC!$B$3:$B$119,RUC!$E$3:$E$119)+ROUNDDOWN(O34,1)*100)))</f>
        <v>100</v>
      </c>
      <c r="U34" s="1146">
        <f>_xlfn.XLOOKUP(D34,RUC!$B$3:$B$123,RUC!$F$3:$F$123)</f>
        <v>100</v>
      </c>
      <c r="V34" s="715">
        <v>1.1023000000000001</v>
      </c>
      <c r="Y34">
        <f>_xlfn.XLOOKUP(D34,RUC!$B$3:$B$123,RUC!$G$3:$G$123)</f>
        <v>0</v>
      </c>
      <c r="Z34" s="143">
        <f>_xlfn.XLOOKUP(D34,RUC!$B$3:$B$123,RUC!$H$3:$H$123)</f>
        <v>30</v>
      </c>
      <c r="AA34" s="144">
        <f t="shared" si="1"/>
        <v>30</v>
      </c>
      <c r="AB34" s="145">
        <f t="shared" si="25"/>
        <v>655.7654569959999</v>
      </c>
      <c r="AC34" s="145">
        <f>+(S34-T34)*V34-'data 1'!$F$4</f>
        <v>30.230000000000004</v>
      </c>
      <c r="AD34" s="145">
        <f t="shared" si="3"/>
        <v>67.31214131122303</v>
      </c>
      <c r="AE34" s="145">
        <f t="shared" si="4"/>
        <v>-36.930999999999997</v>
      </c>
      <c r="AF34" s="145">
        <f t="shared" si="5"/>
        <v>74.510952776739074</v>
      </c>
      <c r="AG34" s="772">
        <f>AC34+AD34+AE34+AF34+70-10</f>
        <v>195.12209408796213</v>
      </c>
      <c r="AH34" s="1253">
        <f t="shared" si="7"/>
        <v>71.727999999999994</v>
      </c>
      <c r="AI34" s="1253">
        <f t="shared" si="8"/>
        <v>78.313999999999993</v>
      </c>
      <c r="AJ34" s="156">
        <f t="shared" si="9"/>
        <v>82.106551611477101</v>
      </c>
      <c r="AK34" s="156">
        <f t="shared" si="10"/>
        <v>61.26516332937468</v>
      </c>
      <c r="AM34" s="716">
        <f t="shared" si="11"/>
        <v>6627.8214738585702</v>
      </c>
      <c r="AN34" s="716" t="str">
        <f>_xlfn.XLOOKUP(D34,RUC!$B$3:$B$578,RUC!$M$3:$M$578)</f>
        <v>Ronald Garibay</v>
      </c>
      <c r="AO34" s="1167" t="s">
        <v>2278</v>
      </c>
      <c r="AP34" t="s">
        <v>3794</v>
      </c>
      <c r="AQ34" t="s">
        <v>3795</v>
      </c>
    </row>
    <row r="35" spans="1:44" ht="15" customHeight="1">
      <c r="A35" s="747" t="s">
        <v>3796</v>
      </c>
      <c r="B35" s="1447">
        <v>46007</v>
      </c>
      <c r="C35" s="1447">
        <v>46003</v>
      </c>
      <c r="D35" t="s">
        <v>1671</v>
      </c>
      <c r="E35" s="762">
        <f>_xlfn.XLOOKUP(D35,RUC!$B$3:$B$123,RUC!$D$3:$D$123)</f>
        <v>20517242919</v>
      </c>
      <c r="G35" s="1082">
        <v>74</v>
      </c>
      <c r="H35" s="762" t="s">
        <v>69</v>
      </c>
      <c r="I35" s="703">
        <v>7.46</v>
      </c>
      <c r="J35" s="596">
        <v>1.7</v>
      </c>
      <c r="K35" s="703">
        <f t="shared" si="0"/>
        <v>7.3330000000000002</v>
      </c>
      <c r="L35" s="1192">
        <v>0.34399999999999997</v>
      </c>
      <c r="M35" s="994">
        <f t="shared" si="21"/>
        <v>0.33700000000000002</v>
      </c>
      <c r="N35" s="1196">
        <f t="shared" si="30"/>
        <v>0.33700000000000002</v>
      </c>
      <c r="O35" s="645">
        <f>+ROUND((M35+N35)/2,3)</f>
        <v>0.33700000000000002</v>
      </c>
      <c r="P35" s="727">
        <v>90</v>
      </c>
      <c r="Q35" s="1476">
        <v>94.48</v>
      </c>
      <c r="R35" s="706">
        <v>4346.95</v>
      </c>
      <c r="S35" s="1164">
        <v>110</v>
      </c>
      <c r="U35" s="1146">
        <f>_xlfn.XLOOKUP(D35,RUC!$B$3:$B$123,RUC!$F$3:$F$123)</f>
        <v>80</v>
      </c>
      <c r="V35" s="715">
        <v>1.1023000000000001</v>
      </c>
      <c r="Y35">
        <f>_xlfn.XLOOKUP(D35,RUC!$B$3:$B$123,RUC!$G$3:$G$123)</f>
        <v>0</v>
      </c>
      <c r="Z35" s="143">
        <f>_xlfn.XLOOKUP(D35,RUC!$B$3:$B$123,RUC!$H$3:$H$123)</f>
        <v>10</v>
      </c>
      <c r="AA35" s="144">
        <f t="shared" si="1"/>
        <v>10</v>
      </c>
      <c r="AB35" s="145">
        <f t="shared" si="25"/>
        <v>1294.2831101505001</v>
      </c>
      <c r="AC35" s="145">
        <f>+(S35-T35)*V35-'data 1'!$F$4</f>
        <v>41.253</v>
      </c>
      <c r="AD35" s="145">
        <f t="shared" si="3"/>
        <v>72.485947109632065</v>
      </c>
      <c r="AE35" s="145">
        <f t="shared" si="4"/>
        <v>-58.977000000000004</v>
      </c>
      <c r="AF35" s="145">
        <f t="shared" si="5"/>
        <v>31.106796343195782</v>
      </c>
      <c r="AG35" s="772">
        <f>AC35+AD35+AE35+AF35+70</f>
        <v>155.86874345282786</v>
      </c>
      <c r="AH35" s="1253">
        <f t="shared" si="7"/>
        <v>81.712999999999994</v>
      </c>
      <c r="AI35" s="1253">
        <f t="shared" si="8"/>
        <v>86.486999999999995</v>
      </c>
      <c r="AJ35" s="156">
        <f t="shared" si="9"/>
        <v>69.162063223968062</v>
      </c>
      <c r="AK35" s="156">
        <f t="shared" si="10"/>
        <v>76.25409384807817</v>
      </c>
      <c r="AM35" s="716">
        <f t="shared" si="11"/>
        <v>9490.9780467336168</v>
      </c>
      <c r="AN35" s="716" t="str">
        <f>_xlfn.XLOOKUP(D35,RUC!$B$3:$B$578,RUC!$M$3:$M$578)</f>
        <v>Melchor Vera</v>
      </c>
      <c r="AO35" s="1167" t="s">
        <v>2277</v>
      </c>
      <c r="AP35" t="s">
        <v>2487</v>
      </c>
      <c r="AQ35" t="s">
        <v>3825</v>
      </c>
    </row>
    <row r="36" spans="1:44" ht="15" customHeight="1">
      <c r="A36" s="747" t="s">
        <v>3797</v>
      </c>
      <c r="B36" s="1447">
        <v>46007</v>
      </c>
      <c r="C36" s="1447">
        <v>46003</v>
      </c>
      <c r="D36" t="s">
        <v>1671</v>
      </c>
      <c r="E36" s="762">
        <f>_xlfn.XLOOKUP(D36,RUC!$B$3:$B$123,RUC!$D$3:$D$123)</f>
        <v>20517242919</v>
      </c>
      <c r="G36" s="1082">
        <v>48</v>
      </c>
      <c r="H36" s="762" t="s">
        <v>69</v>
      </c>
      <c r="I36" s="703">
        <v>4.7300000000000004</v>
      </c>
      <c r="J36" s="596">
        <v>1.9</v>
      </c>
      <c r="K36" s="703">
        <f t="shared" si="0"/>
        <v>4.6399999999999997</v>
      </c>
      <c r="L36" s="1192">
        <v>0.17899999999999999</v>
      </c>
      <c r="M36" s="994">
        <f t="shared" si="21"/>
        <v>0.17199999999999999</v>
      </c>
      <c r="N36" s="1196">
        <f t="shared" si="30"/>
        <v>0.17199999999999999</v>
      </c>
      <c r="O36" s="645">
        <f t="shared" si="31"/>
        <v>0.17199999999999999</v>
      </c>
      <c r="P36" s="727">
        <v>85</v>
      </c>
      <c r="Q36" s="1572">
        <v>94.97</v>
      </c>
      <c r="R36" s="706">
        <v>4346.95</v>
      </c>
      <c r="S36" s="1164">
        <v>95</v>
      </c>
      <c r="U36" s="1146">
        <f>_xlfn.XLOOKUP(D36,RUC!$B$3:$B$123,RUC!$F$3:$F$123)</f>
        <v>80</v>
      </c>
      <c r="V36" s="715">
        <v>1.1023000000000001</v>
      </c>
      <c r="Y36">
        <f>_xlfn.XLOOKUP(D36,RUC!$B$3:$B$123,RUC!$G$3:$G$123)</f>
        <v>0</v>
      </c>
      <c r="Z36" s="143">
        <f>_xlfn.XLOOKUP(D36,RUC!$B$3:$B$123,RUC!$H$3:$H$123)</f>
        <v>10</v>
      </c>
      <c r="AA36" s="144">
        <f t="shared" si="1"/>
        <v>10</v>
      </c>
      <c r="AB36" s="145">
        <f t="shared" si="25"/>
        <v>571.904203607</v>
      </c>
      <c r="AC36" s="145">
        <f>+(S36-T36)*V36-'data 1'!$F$4</f>
        <v>24.718500000000006</v>
      </c>
      <c r="AD36" s="145">
        <f t="shared" si="3"/>
        <v>83.939340084005494</v>
      </c>
      <c r="AE36" s="145">
        <f t="shared" si="4"/>
        <v>-58.977000000000004</v>
      </c>
      <c r="AF36" s="145">
        <f t="shared" si="5"/>
        <v>31.268124986381526</v>
      </c>
      <c r="AG36" s="772">
        <f t="shared" ref="AG36:AG41" si="32">AC36+AD36+AE36+AF36+70</f>
        <v>150.94896507038703</v>
      </c>
      <c r="AH36" s="1253">
        <f t="shared" si="7"/>
        <v>27.044</v>
      </c>
      <c r="AI36" s="1253">
        <f t="shared" si="8"/>
        <v>28.475999999999999</v>
      </c>
      <c r="AJ36" s="156">
        <f t="shared" si="9"/>
        <v>36.175045193644536</v>
      </c>
      <c r="AK36" s="156">
        <f t="shared" si="10"/>
        <v>23.258110120702398</v>
      </c>
      <c r="AM36" s="716">
        <f t="shared" si="11"/>
        <v>2653.63550473648</v>
      </c>
      <c r="AN36" s="716" t="str">
        <f>_xlfn.XLOOKUP(D36,RUC!$B$3:$B$578,RUC!$M$3:$M$578)</f>
        <v>Melchor Vera</v>
      </c>
      <c r="AO36" s="1167" t="s">
        <v>2277</v>
      </c>
      <c r="AP36" t="s">
        <v>2487</v>
      </c>
      <c r="AQ36" t="s">
        <v>3825</v>
      </c>
    </row>
    <row r="37" spans="1:44" ht="15" customHeight="1">
      <c r="A37" s="747" t="s">
        <v>3798</v>
      </c>
      <c r="B37" s="1447">
        <v>46007</v>
      </c>
      <c r="C37" s="1447">
        <v>46003</v>
      </c>
      <c r="D37" t="s">
        <v>1671</v>
      </c>
      <c r="E37" s="762">
        <f>_xlfn.XLOOKUP(D37,RUC!$B$3:$B$123,RUC!$D$3:$D$123)</f>
        <v>20517242919</v>
      </c>
      <c r="G37" s="1082">
        <v>60</v>
      </c>
      <c r="H37" s="762" t="s">
        <v>69</v>
      </c>
      <c r="I37" s="703">
        <v>5.79</v>
      </c>
      <c r="J37" s="596">
        <v>2.4</v>
      </c>
      <c r="K37" s="703">
        <f t="shared" si="0"/>
        <v>5.6509999999999998</v>
      </c>
      <c r="L37" s="1192">
        <v>0.17</v>
      </c>
      <c r="M37" s="994">
        <f t="shared" si="21"/>
        <v>0.16300000000000001</v>
      </c>
      <c r="N37" s="1196">
        <f t="shared" si="30"/>
        <v>0.16300000000000001</v>
      </c>
      <c r="O37" s="645">
        <f t="shared" si="31"/>
        <v>0.16300000000000001</v>
      </c>
      <c r="P37" s="727">
        <v>85</v>
      </c>
      <c r="Q37" s="1572">
        <v>95.29</v>
      </c>
      <c r="R37" s="706">
        <v>4346.95</v>
      </c>
      <c r="S37" s="1164">
        <v>95</v>
      </c>
      <c r="U37" s="1146">
        <f>_xlfn.XLOOKUP(D37,RUC!$B$3:$B$123,RUC!$F$3:$F$123)</f>
        <v>80</v>
      </c>
      <c r="V37" s="715">
        <v>1.1023000000000001</v>
      </c>
      <c r="Y37">
        <f>_xlfn.XLOOKUP(D37,RUC!$B$3:$B$123,RUC!$G$3:$G$123)</f>
        <v>0</v>
      </c>
      <c r="Z37" s="143">
        <f>_xlfn.XLOOKUP(D37,RUC!$B$3:$B$123,RUC!$H$3:$H$123)</f>
        <v>10</v>
      </c>
      <c r="AA37" s="144">
        <f t="shared" si="1"/>
        <v>10</v>
      </c>
      <c r="AB37" s="145">
        <f t="shared" si="25"/>
        <v>535.92274237175013</v>
      </c>
      <c r="AC37" s="145">
        <f>+(S37-T37)*V37-'data 1'!$F$4</f>
        <v>24.718500000000006</v>
      </c>
      <c r="AD37" s="145">
        <f t="shared" si="3"/>
        <v>82.277608024605058</v>
      </c>
      <c r="AE37" s="145">
        <f t="shared" si="4"/>
        <v>-58.977000000000004</v>
      </c>
      <c r="AF37" s="145">
        <f t="shared" si="5"/>
        <v>31.373482467645527</v>
      </c>
      <c r="AG37" s="772">
        <f t="shared" si="32"/>
        <v>149.39259049225058</v>
      </c>
      <c r="AH37" s="1253">
        <f t="shared" si="7"/>
        <v>31.385999999999999</v>
      </c>
      <c r="AI37" s="1253">
        <f t="shared" si="8"/>
        <v>32.936999999999998</v>
      </c>
      <c r="AJ37" s="156">
        <f t="shared" si="9"/>
        <v>34.47195083689504</v>
      </c>
      <c r="AK37" s="156">
        <f t="shared" si="10"/>
        <v>26.843609146464701</v>
      </c>
      <c r="AM37" s="716">
        <f t="shared" si="11"/>
        <v>3028.4994171427597</v>
      </c>
      <c r="AN37" s="716" t="str">
        <f>_xlfn.XLOOKUP(D37,RUC!$B$3:$B$578,RUC!$M$3:$M$578)</f>
        <v>Melchor Vera</v>
      </c>
      <c r="AO37" s="1167" t="s">
        <v>2277</v>
      </c>
      <c r="AP37" t="s">
        <v>2487</v>
      </c>
      <c r="AQ37" t="s">
        <v>3825</v>
      </c>
    </row>
    <row r="38" spans="1:44" ht="15" customHeight="1">
      <c r="A38" s="747" t="s">
        <v>3799</v>
      </c>
      <c r="B38" s="1447">
        <v>46007</v>
      </c>
      <c r="C38" s="1447">
        <v>46003</v>
      </c>
      <c r="D38" t="s">
        <v>1671</v>
      </c>
      <c r="E38" s="762">
        <f>_xlfn.XLOOKUP(D38,RUC!$B$3:$B$123,RUC!$D$3:$D$123)</f>
        <v>20517242919</v>
      </c>
      <c r="G38" s="1082">
        <v>90</v>
      </c>
      <c r="H38" s="762" t="s">
        <v>69</v>
      </c>
      <c r="I38" s="703">
        <v>9.26</v>
      </c>
      <c r="J38" s="596">
        <v>2.8</v>
      </c>
      <c r="K38" s="703">
        <f t="shared" si="0"/>
        <v>9.0009999999999994</v>
      </c>
      <c r="L38" s="1192">
        <v>0.63200000000000001</v>
      </c>
      <c r="M38" s="994">
        <f t="shared" si="21"/>
        <v>0.623</v>
      </c>
      <c r="N38" s="1196">
        <f t="shared" si="30"/>
        <v>0.623</v>
      </c>
      <c r="O38" s="645">
        <f t="shared" si="31"/>
        <v>0.623</v>
      </c>
      <c r="P38" s="727">
        <v>90</v>
      </c>
      <c r="Q38" s="1476">
        <v>89.4</v>
      </c>
      <c r="R38" s="706">
        <v>4346.95</v>
      </c>
      <c r="S38" s="1164">
        <v>125</v>
      </c>
      <c r="U38" s="1146">
        <f>_xlfn.XLOOKUP(D38,RUC!$B$3:$B$123,RUC!$F$3:$F$123)</f>
        <v>80</v>
      </c>
      <c r="V38" s="715">
        <v>1.1023000000000001</v>
      </c>
      <c r="Y38">
        <f>_xlfn.XLOOKUP(D38,RUC!$B$3:$B$123,RUC!$G$3:$G$123)</f>
        <v>0</v>
      </c>
      <c r="Z38" s="143">
        <f>_xlfn.XLOOKUP(D38,RUC!$B$3:$B$123,RUC!$H$3:$H$123)</f>
        <v>10</v>
      </c>
      <c r="AA38" s="144">
        <f t="shared" si="1"/>
        <v>10</v>
      </c>
      <c r="AB38" s="145">
        <f t="shared" si="25"/>
        <v>2488.4189528895004</v>
      </c>
      <c r="AC38" s="145">
        <f>+(S38-T38)*V38-'data 1'!$F$4</f>
        <v>57.787499999999994</v>
      </c>
      <c r="AD38" s="145">
        <f t="shared" si="3"/>
        <v>-17.835516471119831</v>
      </c>
      <c r="AE38" s="145">
        <f t="shared" si="4"/>
        <v>-58.977000000000004</v>
      </c>
      <c r="AF38" s="145">
        <f t="shared" si="5"/>
        <v>37.844030993310035</v>
      </c>
      <c r="AG38" s="772">
        <f t="shared" si="32"/>
        <v>88.819014522190201</v>
      </c>
      <c r="AH38" s="1253">
        <f t="shared" si="7"/>
        <v>174.363</v>
      </c>
      <c r="AI38" s="1253">
        <f t="shared" si="8"/>
        <v>195.03700000000001</v>
      </c>
      <c r="AJ38" s="156">
        <f t="shared" si="9"/>
        <v>120.23314586712011</v>
      </c>
      <c r="AK38" s="156">
        <f t="shared" si="10"/>
        <v>173.03357753379464</v>
      </c>
      <c r="AM38" s="716">
        <f t="shared" si="11"/>
        <v>22398.258994958393</v>
      </c>
      <c r="AN38" s="716" t="str">
        <f>_xlfn.XLOOKUP(D38,RUC!$B$3:$B$578,RUC!$M$3:$M$578)</f>
        <v>Melchor Vera</v>
      </c>
      <c r="AO38" s="1167" t="s">
        <v>2277</v>
      </c>
      <c r="AP38" t="s">
        <v>2487</v>
      </c>
      <c r="AQ38" t="s">
        <v>3825</v>
      </c>
    </row>
    <row r="39" spans="1:44" ht="15" customHeight="1">
      <c r="A39" s="747" t="s">
        <v>3800</v>
      </c>
      <c r="B39" s="1447">
        <v>46007</v>
      </c>
      <c r="C39" s="1447">
        <v>46003</v>
      </c>
      <c r="D39" t="s">
        <v>1671</v>
      </c>
      <c r="E39" s="762">
        <f>_xlfn.XLOOKUP(D39,RUC!$B$3:$B$123,RUC!$D$3:$D$123)</f>
        <v>20517242919</v>
      </c>
      <c r="G39" s="1082">
        <v>60</v>
      </c>
      <c r="H39" s="762" t="s">
        <v>69</v>
      </c>
      <c r="I39" s="703">
        <v>5.88</v>
      </c>
      <c r="J39" s="596">
        <v>1.3</v>
      </c>
      <c r="K39" s="703">
        <f t="shared" si="0"/>
        <v>5.8040000000000003</v>
      </c>
      <c r="L39" s="1192">
        <v>0.30199999999999999</v>
      </c>
      <c r="M39" s="994">
        <f t="shared" si="21"/>
        <v>0.29499999999999998</v>
      </c>
      <c r="N39" s="1196">
        <f t="shared" si="30"/>
        <v>0.29499999999999998</v>
      </c>
      <c r="O39" s="645">
        <f t="shared" si="31"/>
        <v>0.29499999999999998</v>
      </c>
      <c r="P39" s="727">
        <v>90</v>
      </c>
      <c r="Q39" s="1476">
        <v>93.38</v>
      </c>
      <c r="R39" s="706">
        <v>4346.95</v>
      </c>
      <c r="S39" s="1164">
        <v>105</v>
      </c>
      <c r="U39" s="1146">
        <f>_xlfn.XLOOKUP(D39,RUC!$B$3:$B$123,RUC!$F$3:$F$123)</f>
        <v>80</v>
      </c>
      <c r="V39" s="715">
        <v>1.1023000000000001</v>
      </c>
      <c r="Y39">
        <f>_xlfn.XLOOKUP(D39,RUC!$B$3:$B$123,RUC!$G$3:$G$123)</f>
        <v>0</v>
      </c>
      <c r="Z39" s="143">
        <f>_xlfn.XLOOKUP(D39,RUC!$B$3:$B$123,RUC!$H$3:$H$123)</f>
        <v>10</v>
      </c>
      <c r="AA39" s="144">
        <f t="shared" si="1"/>
        <v>10</v>
      </c>
      <c r="AB39" s="145">
        <f t="shared" si="25"/>
        <v>1122.0038605174998</v>
      </c>
      <c r="AC39" s="145">
        <f>+(S39-T39)*V39-'data 1'!$F$4</f>
        <v>35.741500000000002</v>
      </c>
      <c r="AD39" s="145">
        <f t="shared" si="3"/>
        <v>48.011027935285938</v>
      </c>
      <c r="AE39" s="145">
        <f t="shared" si="4"/>
        <v>-58.977000000000004</v>
      </c>
      <c r="AF39" s="145">
        <f t="shared" si="5"/>
        <v>30.744630001351023</v>
      </c>
      <c r="AG39" s="772">
        <f t="shared" si="32"/>
        <v>125.52015793663696</v>
      </c>
      <c r="AH39" s="1253">
        <f t="shared" si="7"/>
        <v>56.116999999999997</v>
      </c>
      <c r="AI39" s="1253">
        <f t="shared" si="8"/>
        <v>60.095999999999997</v>
      </c>
      <c r="AJ39" s="156">
        <f t="shared" si="9"/>
        <v>60.010939502514056</v>
      </c>
      <c r="AK39" s="156">
        <f t="shared" si="10"/>
        <v>52.832480140304106</v>
      </c>
      <c r="AM39" s="716">
        <f t="shared" si="11"/>
        <v>6512.1104064435694</v>
      </c>
      <c r="AN39" s="716" t="str">
        <f>_xlfn.XLOOKUP(D39,RUC!$B$3:$B$578,RUC!$M$3:$M$578)</f>
        <v>Melchor Vera</v>
      </c>
      <c r="AO39" s="1167" t="s">
        <v>2277</v>
      </c>
      <c r="AP39" t="s">
        <v>2487</v>
      </c>
      <c r="AQ39" t="s">
        <v>3825</v>
      </c>
    </row>
    <row r="40" spans="1:44" ht="15" customHeight="1">
      <c r="A40" s="747" t="s">
        <v>3801</v>
      </c>
      <c r="B40" s="1447">
        <v>46007</v>
      </c>
      <c r="C40" s="1447">
        <v>46003</v>
      </c>
      <c r="D40" t="s">
        <v>1671</v>
      </c>
      <c r="E40" s="762">
        <f>_xlfn.XLOOKUP(D40,RUC!$B$3:$B$123,RUC!$D$3:$D$123)</f>
        <v>20517242919</v>
      </c>
      <c r="G40" s="1082">
        <v>35</v>
      </c>
      <c r="H40" s="762" t="s">
        <v>69</v>
      </c>
      <c r="I40" s="703">
        <v>3.3</v>
      </c>
      <c r="J40" s="596">
        <v>1.5</v>
      </c>
      <c r="K40" s="703">
        <f t="shared" si="0"/>
        <v>3.2509999999999999</v>
      </c>
      <c r="L40" s="1192">
        <v>0.36799999999999999</v>
      </c>
      <c r="M40" s="994">
        <f t="shared" si="21"/>
        <v>0.36099999999999999</v>
      </c>
      <c r="N40" s="1196">
        <f t="shared" si="30"/>
        <v>0.36099999999999999</v>
      </c>
      <c r="O40" s="645">
        <f t="shared" si="31"/>
        <v>0.36099999999999999</v>
      </c>
      <c r="P40" s="727">
        <v>90</v>
      </c>
      <c r="Q40" s="1476">
        <v>92.39</v>
      </c>
      <c r="R40" s="706">
        <v>4346.95</v>
      </c>
      <c r="S40" s="1164">
        <v>110</v>
      </c>
      <c r="U40" s="1146">
        <f>_xlfn.XLOOKUP(D40,RUC!$B$3:$B$123,RUC!$F$3:$F$123)</f>
        <v>80</v>
      </c>
      <c r="V40" s="715">
        <v>1.1023000000000001</v>
      </c>
      <c r="Y40">
        <f>_xlfn.XLOOKUP(D40,RUC!$B$3:$B$123,RUC!$G$3:$G$123)</f>
        <v>0</v>
      </c>
      <c r="Z40" s="143">
        <f>_xlfn.XLOOKUP(D40,RUC!$B$3:$B$123,RUC!$H$3:$H$123)</f>
        <v>10</v>
      </c>
      <c r="AA40" s="144">
        <f t="shared" si="1"/>
        <v>10</v>
      </c>
      <c r="AB40" s="145">
        <f t="shared" si="25"/>
        <v>1395.8778242265003</v>
      </c>
      <c r="AC40" s="145">
        <f>+(S40-T40)*V40-'data 1'!$F$4</f>
        <v>41.253</v>
      </c>
      <c r="AD40" s="145">
        <f t="shared" si="3"/>
        <v>41.367862464872012</v>
      </c>
      <c r="AE40" s="145">
        <f t="shared" si="4"/>
        <v>-58.977000000000004</v>
      </c>
      <c r="AF40" s="145">
        <f t="shared" si="5"/>
        <v>30.418680293690528</v>
      </c>
      <c r="AG40" s="772">
        <f t="shared" si="32"/>
        <v>124.06254275856253</v>
      </c>
      <c r="AH40" s="1253">
        <f t="shared" si="7"/>
        <v>37.896000000000001</v>
      </c>
      <c r="AI40" s="1253">
        <f t="shared" si="8"/>
        <v>41.018000000000001</v>
      </c>
      <c r="AJ40" s="156">
        <f t="shared" si="9"/>
        <v>72.350643664728082</v>
      </c>
      <c r="AK40" s="156">
        <f t="shared" si="10"/>
        <v>36.2139376992737</v>
      </c>
      <c r="AM40" s="716">
        <f t="shared" si="11"/>
        <v>4537.998806560352</v>
      </c>
      <c r="AN40" s="716" t="str">
        <f>_xlfn.XLOOKUP(D40,RUC!$B$3:$B$578,RUC!$M$3:$M$578)</f>
        <v>Melchor Vera</v>
      </c>
      <c r="AO40" s="1167" t="s">
        <v>2277</v>
      </c>
      <c r="AP40" t="s">
        <v>2487</v>
      </c>
      <c r="AQ40" t="s">
        <v>3825</v>
      </c>
    </row>
    <row r="41" spans="1:44" ht="15" customHeight="1">
      <c r="A41" s="747" t="s">
        <v>3802</v>
      </c>
      <c r="B41" s="1447">
        <v>46007</v>
      </c>
      <c r="C41" s="1447">
        <v>46003</v>
      </c>
      <c r="D41" t="s">
        <v>1671</v>
      </c>
      <c r="E41" s="762">
        <f>_xlfn.XLOOKUP(D41,RUC!$B$3:$B$123,RUC!$D$3:$D$123)</f>
        <v>20517242919</v>
      </c>
      <c r="G41" s="1082">
        <v>45</v>
      </c>
      <c r="H41" s="762" t="s">
        <v>69</v>
      </c>
      <c r="I41" s="703">
        <v>4.1399999999999997</v>
      </c>
      <c r="J41" s="596">
        <v>1.9</v>
      </c>
      <c r="K41" s="703">
        <f t="shared" si="0"/>
        <v>4.0609999999999999</v>
      </c>
      <c r="L41" s="1192">
        <v>0.22800000000000001</v>
      </c>
      <c r="M41" s="994">
        <f t="shared" si="21"/>
        <v>0.221</v>
      </c>
      <c r="N41" s="1196">
        <f t="shared" si="30"/>
        <v>0.221</v>
      </c>
      <c r="O41" s="645">
        <f t="shared" si="31"/>
        <v>0.221</v>
      </c>
      <c r="P41" s="727">
        <v>85</v>
      </c>
      <c r="Q41" s="1476">
        <v>94.74</v>
      </c>
      <c r="R41" s="706">
        <v>4346.95</v>
      </c>
      <c r="S41" s="1164">
        <v>105</v>
      </c>
      <c r="U41" s="1146">
        <f>_xlfn.XLOOKUP(D41,RUC!$B$3:$B$123,RUC!$F$3:$F$123)</f>
        <v>80</v>
      </c>
      <c r="V41" s="715">
        <v>1.1023000000000001</v>
      </c>
      <c r="Y41">
        <f>_xlfn.XLOOKUP(D41,RUC!$B$3:$B$123,RUC!$G$3:$G$123)</f>
        <v>0</v>
      </c>
      <c r="Z41" s="143">
        <f>_xlfn.XLOOKUP(D41,RUC!$B$3:$B$123,RUC!$H$3:$H$123)</f>
        <v>10</v>
      </c>
      <c r="AA41" s="144">
        <f t="shared" si="1"/>
        <v>10</v>
      </c>
      <c r="AB41" s="145">
        <f t="shared" si="25"/>
        <v>756.78027033224998</v>
      </c>
      <c r="AC41" s="145">
        <f>+(S41-T41)*V41-'data 1'!$F$4</f>
        <v>35.741500000000002</v>
      </c>
      <c r="AD41" s="145">
        <f t="shared" si="3"/>
        <v>104.45065437169197</v>
      </c>
      <c r="AE41" s="145">
        <f t="shared" si="4"/>
        <v>-58.977000000000004</v>
      </c>
      <c r="AF41" s="145">
        <f t="shared" si="5"/>
        <v>31.192399296723028</v>
      </c>
      <c r="AG41" s="772">
        <f t="shared" si="32"/>
        <v>182.40755366841501</v>
      </c>
      <c r="AH41" s="1253">
        <f t="shared" si="7"/>
        <v>30.074999999999999</v>
      </c>
      <c r="AI41" s="1253">
        <f t="shared" si="8"/>
        <v>31.745000000000001</v>
      </c>
      <c r="AJ41" s="156">
        <f t="shared" si="9"/>
        <v>45.966119392908041</v>
      </c>
      <c r="AK41" s="156">
        <f t="shared" si="10"/>
        <v>26.154911699626744</v>
      </c>
      <c r="AM41" s="716">
        <f t="shared" si="11"/>
        <v>3073.284677819267</v>
      </c>
      <c r="AN41" s="716" t="str">
        <f>_xlfn.XLOOKUP(D41,RUC!$B$3:$B$578,RUC!$M$3:$M$578)</f>
        <v>Melchor Vera</v>
      </c>
      <c r="AO41" s="1167" t="s">
        <v>2277</v>
      </c>
      <c r="AP41" t="s">
        <v>2487</v>
      </c>
      <c r="AQ41" t="s">
        <v>3825</v>
      </c>
    </row>
    <row r="42" spans="1:44" ht="15" customHeight="1">
      <c r="A42" s="747" t="s">
        <v>3803</v>
      </c>
      <c r="B42" s="1447">
        <v>46007</v>
      </c>
      <c r="C42" s="1447">
        <v>46003</v>
      </c>
      <c r="D42" t="s">
        <v>1671</v>
      </c>
      <c r="E42" s="762">
        <f>_xlfn.XLOOKUP(D42,RUC!$B$3:$B$123,RUC!$D$3:$D$123)</f>
        <v>20517242919</v>
      </c>
      <c r="G42" s="1082">
        <v>9</v>
      </c>
      <c r="H42" s="762" t="s">
        <v>69</v>
      </c>
      <c r="I42" s="703">
        <v>0.82</v>
      </c>
      <c r="J42" s="596">
        <v>1.2</v>
      </c>
      <c r="K42" s="703">
        <f t="shared" si="0"/>
        <v>0.81</v>
      </c>
      <c r="L42" s="1192">
        <v>0.27400000000000002</v>
      </c>
      <c r="M42" s="994">
        <f t="shared" si="21"/>
        <v>0.26700000000000002</v>
      </c>
      <c r="N42" s="1444">
        <v>0.29299999999999998</v>
      </c>
      <c r="O42" s="645">
        <f t="shared" si="31"/>
        <v>0.28000000000000003</v>
      </c>
      <c r="P42" s="727">
        <v>90</v>
      </c>
      <c r="Q42" s="1476">
        <v>95.62</v>
      </c>
      <c r="R42" s="706">
        <v>4346.95</v>
      </c>
      <c r="S42" s="1164">
        <v>105</v>
      </c>
      <c r="U42" s="1146">
        <f>_xlfn.XLOOKUP(D42,RUC!$B$3:$B$123,RUC!$F$3:$F$123)</f>
        <v>80</v>
      </c>
      <c r="V42" s="715">
        <v>1.1023000000000001</v>
      </c>
      <c r="Y42">
        <f>_xlfn.XLOOKUP(D42,RUC!$B$3:$B$123,RUC!$G$3:$G$123)</f>
        <v>0</v>
      </c>
      <c r="Z42" s="143">
        <f>_xlfn.XLOOKUP(D42,RUC!$B$3:$B$123,RUC!$H$3:$H$123)</f>
        <v>10</v>
      </c>
      <c r="AA42" s="144">
        <f t="shared" si="1"/>
        <v>10</v>
      </c>
      <c r="AB42" s="145">
        <f t="shared" si="25"/>
        <v>1058.50716422</v>
      </c>
      <c r="AC42" s="145">
        <f>+(S42-T42)*V42-'data 1'!$F$4</f>
        <v>35.741500000000002</v>
      </c>
      <c r="AD42" s="145">
        <f t="shared" si="3"/>
        <v>72.427624218218071</v>
      </c>
      <c r="AE42" s="145">
        <f t="shared" si="4"/>
        <v>-58.977000000000004</v>
      </c>
      <c r="AF42" s="145">
        <f t="shared" si="5"/>
        <v>-26.984684888742027</v>
      </c>
      <c r="AG42" s="772">
        <f>AC42+AD42+AE42+AF42+70</f>
        <v>92.207439329476045</v>
      </c>
      <c r="AH42" s="1253">
        <f t="shared" si="7"/>
        <v>7.2759999999999998</v>
      </c>
      <c r="AI42" s="1253">
        <f t="shared" si="8"/>
        <v>7.609</v>
      </c>
      <c r="AJ42" s="156">
        <f t="shared" si="9"/>
        <v>55.753086571182067</v>
      </c>
      <c r="AK42" s="156">
        <f t="shared" si="10"/>
        <v>6.9983334087660012</v>
      </c>
      <c r="AM42" s="716">
        <f t="shared" si="11"/>
        <v>857.39080301820013</v>
      </c>
      <c r="AN42" s="716" t="str">
        <f>_xlfn.XLOOKUP(D42,RUC!$B$3:$B$578,RUC!$M$3:$M$578)</f>
        <v>Melchor Vera</v>
      </c>
      <c r="AO42" s="1167" t="s">
        <v>2277</v>
      </c>
      <c r="AP42" t="s">
        <v>2487</v>
      </c>
      <c r="AQ42" t="s">
        <v>3825</v>
      </c>
    </row>
    <row r="43" spans="1:44" ht="15" customHeight="1">
      <c r="A43" s="747" t="s">
        <v>3804</v>
      </c>
      <c r="B43" s="1447">
        <v>46007</v>
      </c>
      <c r="C43" s="1447">
        <v>46003</v>
      </c>
      <c r="D43" t="s">
        <v>2368</v>
      </c>
      <c r="E43" s="762">
        <f>_xlfn.XLOOKUP(D43,RUC!$B$3:$B$123,RUC!$D$3:$D$123)</f>
        <v>20612719757</v>
      </c>
      <c r="G43" s="1082">
        <v>45</v>
      </c>
      <c r="H43" s="762" t="s">
        <v>2005</v>
      </c>
      <c r="I43" s="703">
        <v>3.41</v>
      </c>
      <c r="J43" s="596">
        <v>14.33</v>
      </c>
      <c r="K43" s="703">
        <f t="shared" si="0"/>
        <v>2.9209999999999998</v>
      </c>
      <c r="L43" s="1192">
        <v>0.28100000000000003</v>
      </c>
      <c r="M43" s="994">
        <f t="shared" si="21"/>
        <v>0.26300000000000001</v>
      </c>
      <c r="N43" s="1196">
        <f t="shared" si="30"/>
        <v>0.26300000000000001</v>
      </c>
      <c r="O43" s="645">
        <f t="shared" si="31"/>
        <v>0.26300000000000001</v>
      </c>
      <c r="P43" s="727">
        <v>90</v>
      </c>
      <c r="Q43" s="1476">
        <v>93.59</v>
      </c>
      <c r="R43" s="706">
        <v>4346.95</v>
      </c>
      <c r="S43" s="765">
        <f>IF((_xlfn.XLOOKUP(D43,RUC!$B$3:$B$119,RUC!$E$3:$E$119)+ROUNDDOWN(O43,1)*100)&lt;95,95,((_xlfn.XLOOKUP(D43,RUC!$B$3:$B$119,RUC!$E$3:$E$119)+ROUNDDOWN(O43,1)*100)))</f>
        <v>110</v>
      </c>
      <c r="U43" s="1146">
        <f>_xlfn.XLOOKUP(D43,RUC!$B$3:$B$123,RUC!$F$3:$F$123)</f>
        <v>120</v>
      </c>
      <c r="V43" s="715">
        <v>1.1023000000000001</v>
      </c>
      <c r="Y43">
        <f>_xlfn.XLOOKUP(D43,RUC!$B$3:$B$123,RUC!$G$3:$G$123)</f>
        <v>20</v>
      </c>
      <c r="Z43" s="143">
        <f>_xlfn.XLOOKUP(D43,RUC!$B$3:$B$123,RUC!$H$3:$H$123)</f>
        <v>30</v>
      </c>
      <c r="AA43" s="144">
        <f t="shared" si="1"/>
        <v>50</v>
      </c>
      <c r="AB43" s="145">
        <f t="shared" si="25"/>
        <v>926.5041653495</v>
      </c>
      <c r="AC43" s="145">
        <f>+(S43-T43)*V43-'data 1'!$F$4</f>
        <v>41.253</v>
      </c>
      <c r="AD43" s="145">
        <f t="shared" si="3"/>
        <v>47.00322820798155</v>
      </c>
      <c r="AE43" s="145">
        <f t="shared" si="4"/>
        <v>-14.884999999999998</v>
      </c>
      <c r="AF43" s="145">
        <f t="shared" si="5"/>
        <v>78.492628102707073</v>
      </c>
      <c r="AG43" s="772">
        <f t="shared" ref="AG43:AG58" si="33">AC43+AD43+AE43+AF43+70-53</f>
        <v>168.86385631068862</v>
      </c>
      <c r="AH43" s="1253">
        <f t="shared" si="7"/>
        <v>26.338000000000001</v>
      </c>
      <c r="AI43" s="1253">
        <f t="shared" si="8"/>
        <v>28.140999999999998</v>
      </c>
      <c r="AJ43" s="156">
        <f t="shared" si="9"/>
        <v>67.559228563718563</v>
      </c>
      <c r="AK43" s="156">
        <f t="shared" si="10"/>
        <v>23.704941297541637</v>
      </c>
      <c r="AM43" s="716">
        <f t="shared" si="11"/>
        <v>2706.3186669858892</v>
      </c>
      <c r="AN43" s="716" t="str">
        <f>_xlfn.XLOOKUP(D43,RUC!$B$3:$B$578,RUC!$M$3:$M$578)</f>
        <v>SIN ACOPIADOR</v>
      </c>
      <c r="AO43" s="1167" t="s">
        <v>2278</v>
      </c>
      <c r="AP43" t="s">
        <v>3659</v>
      </c>
      <c r="AQ43" t="s">
        <v>3826</v>
      </c>
    </row>
    <row r="44" spans="1:44" ht="15" customHeight="1">
      <c r="A44" s="747" t="s">
        <v>3805</v>
      </c>
      <c r="B44" s="1447">
        <v>46007</v>
      </c>
      <c r="C44" s="1447">
        <v>46003</v>
      </c>
      <c r="D44" t="s">
        <v>2368</v>
      </c>
      <c r="E44" s="762">
        <f>_xlfn.XLOOKUP(D44,RUC!$B$3:$B$123,RUC!$D$3:$D$123)</f>
        <v>20612719757</v>
      </c>
      <c r="G44" s="1082">
        <v>43</v>
      </c>
      <c r="H44" s="762" t="s">
        <v>2005</v>
      </c>
      <c r="I44" s="703">
        <v>3.35</v>
      </c>
      <c r="J44" s="596">
        <v>13.5</v>
      </c>
      <c r="K44" s="703">
        <f t="shared" si="0"/>
        <v>2.8980000000000001</v>
      </c>
      <c r="L44" s="1192">
        <v>0.29599999999999999</v>
      </c>
      <c r="M44" s="994">
        <f t="shared" si="21"/>
        <v>0.27800000000000002</v>
      </c>
      <c r="N44" s="1196">
        <f t="shared" si="30"/>
        <v>0.27800000000000002</v>
      </c>
      <c r="O44" s="645">
        <f t="shared" si="31"/>
        <v>0.27800000000000002</v>
      </c>
      <c r="P44" s="727">
        <v>90</v>
      </c>
      <c r="Q44" s="1572">
        <v>96.62</v>
      </c>
      <c r="R44" s="706">
        <v>4346.95</v>
      </c>
      <c r="S44" s="765">
        <f>IF((_xlfn.XLOOKUP(D44,RUC!$B$3:$B$119,RUC!$E$3:$E$119)+ROUNDDOWN(O44,1)*100)&lt;95,95,((_xlfn.XLOOKUP(D44,RUC!$B$3:$B$119,RUC!$E$3:$E$119)+ROUNDDOWN(O44,1)*100)))</f>
        <v>110</v>
      </c>
      <c r="U44" s="1146">
        <f>_xlfn.XLOOKUP(D44,RUC!$B$3:$B$123,RUC!$F$3:$F$123)</f>
        <v>120</v>
      </c>
      <c r="V44" s="715">
        <v>1.1023000000000001</v>
      </c>
      <c r="Y44">
        <f>_xlfn.XLOOKUP(D44,RUC!$B$3:$B$123,RUC!$G$3:$G$123)</f>
        <v>20</v>
      </c>
      <c r="Z44" s="143">
        <f>_xlfn.XLOOKUP(D44,RUC!$B$3:$B$123,RUC!$H$3:$H$123)</f>
        <v>30</v>
      </c>
      <c r="AA44" s="144">
        <f t="shared" si="1"/>
        <v>50</v>
      </c>
      <c r="AB44" s="145">
        <f t="shared" si="25"/>
        <v>989.40561964700021</v>
      </c>
      <c r="AC44" s="145">
        <f>+(S44-T44)*V44-'data 1'!$F$4</f>
        <v>41.253</v>
      </c>
      <c r="AD44" s="145">
        <f t="shared" si="3"/>
        <v>91.30122794447206</v>
      </c>
      <c r="AE44" s="145">
        <f t="shared" si="4"/>
        <v>-14.884999999999998</v>
      </c>
      <c r="AF44" s="145">
        <f t="shared" si="5"/>
        <v>81.033846856325823</v>
      </c>
      <c r="AG44" s="772">
        <f t="shared" si="33"/>
        <v>215.70307480079794</v>
      </c>
      <c r="AH44" s="1253">
        <f t="shared" si="7"/>
        <v>28.416</v>
      </c>
      <c r="AI44" s="1253">
        <f t="shared" si="8"/>
        <v>29.41</v>
      </c>
      <c r="AJ44" s="156">
        <f t="shared" si="9"/>
        <v>73.469597213128068</v>
      </c>
      <c r="AK44" s="156">
        <f t="shared" si="10"/>
        <v>24.859635453138786</v>
      </c>
      <c r="AM44" s="716">
        <f t="shared" si="11"/>
        <v>2867.2974857370068</v>
      </c>
      <c r="AN44" s="716" t="str">
        <f>_xlfn.XLOOKUP(D44,RUC!$B$3:$B$578,RUC!$M$3:$M$578)</f>
        <v>SIN ACOPIADOR</v>
      </c>
      <c r="AO44" s="1167" t="s">
        <v>2278</v>
      </c>
      <c r="AP44" t="s">
        <v>3659</v>
      </c>
      <c r="AQ44" t="s">
        <v>3826</v>
      </c>
    </row>
    <row r="45" spans="1:44" ht="15" customHeight="1">
      <c r="A45" s="747" t="s">
        <v>3806</v>
      </c>
      <c r="B45" s="1447">
        <v>46007</v>
      </c>
      <c r="C45" s="1447">
        <v>46003</v>
      </c>
      <c r="D45" t="s">
        <v>2368</v>
      </c>
      <c r="E45" s="762">
        <f>_xlfn.XLOOKUP(D45,RUC!$B$3:$B$123,RUC!$D$3:$D$123)</f>
        <v>20612719757</v>
      </c>
      <c r="G45" s="1082">
        <v>55</v>
      </c>
      <c r="H45" s="762" t="s">
        <v>2005</v>
      </c>
      <c r="I45" s="703">
        <v>4.67</v>
      </c>
      <c r="J45" s="596">
        <v>8.8000000000000007</v>
      </c>
      <c r="K45" s="703">
        <f t="shared" si="0"/>
        <v>4.2590000000000003</v>
      </c>
      <c r="L45" s="1192">
        <v>0.13200000000000001</v>
      </c>
      <c r="M45" s="994">
        <f t="shared" si="21"/>
        <v>0.114</v>
      </c>
      <c r="N45" s="1196">
        <f t="shared" si="30"/>
        <v>0.114</v>
      </c>
      <c r="O45" s="645">
        <f t="shared" si="31"/>
        <v>0.114</v>
      </c>
      <c r="P45" s="727">
        <v>80</v>
      </c>
      <c r="Q45" s="1476">
        <v>90.91</v>
      </c>
      <c r="R45" s="706">
        <v>4346.95</v>
      </c>
      <c r="S45" s="765">
        <f>IF((_xlfn.XLOOKUP(D45,RUC!$B$3:$B$119,RUC!$E$3:$E$119)+ROUNDDOWN(O45,1)*100)&lt;95,95,((_xlfn.XLOOKUP(D45,RUC!$B$3:$B$119,RUC!$E$3:$E$119)+ROUNDDOWN(O45,1)*100)))</f>
        <v>100</v>
      </c>
      <c r="U45" s="1146">
        <f>_xlfn.XLOOKUP(D45,RUC!$B$3:$B$123,RUC!$F$3:$F$123)</f>
        <v>120</v>
      </c>
      <c r="V45" s="715">
        <v>1.1023000000000001</v>
      </c>
      <c r="Y45">
        <f>_xlfn.XLOOKUP(D45,RUC!$B$3:$B$123,RUC!$G$3:$G$123)</f>
        <v>20</v>
      </c>
      <c r="Z45" s="143">
        <f>_xlfn.XLOOKUP(D45,RUC!$B$3:$B$123,RUC!$H$3:$H$123)</f>
        <v>30</v>
      </c>
      <c r="AA45" s="144">
        <f t="shared" si="1"/>
        <v>50</v>
      </c>
      <c r="AB45" s="145">
        <f t="shared" si="25"/>
        <v>259.589269032</v>
      </c>
      <c r="AC45" s="145">
        <f>+(S45-T45)*V45-'data 1'!$F$4</f>
        <v>30.230000000000004</v>
      </c>
      <c r="AD45" s="145">
        <f t="shared" si="3"/>
        <v>67.100475824381988</v>
      </c>
      <c r="AE45" s="145">
        <f t="shared" si="4"/>
        <v>-14.884999999999998</v>
      </c>
      <c r="AF45" s="145">
        <f t="shared" si="5"/>
        <v>76.244949469143009</v>
      </c>
      <c r="AG45" s="772">
        <f t="shared" si="33"/>
        <v>175.69042529352498</v>
      </c>
      <c r="AH45" s="1253">
        <f t="shared" si="7"/>
        <v>17.523</v>
      </c>
      <c r="AI45" s="1253">
        <f t="shared" si="8"/>
        <v>19.274999999999999</v>
      </c>
      <c r="AJ45" s="156">
        <f t="shared" si="9"/>
        <v>30.827230069218025</v>
      </c>
      <c r="AK45" s="156">
        <f t="shared" si="10"/>
        <v>13.317157854691443</v>
      </c>
      <c r="AM45" s="716">
        <f t="shared" si="11"/>
        <v>1105.5906968072882</v>
      </c>
      <c r="AN45" s="716" t="str">
        <f>_xlfn.XLOOKUP(D45,RUC!$B$3:$B$578,RUC!$M$3:$M$578)</f>
        <v>SIN ACOPIADOR</v>
      </c>
      <c r="AO45" s="1167" t="s">
        <v>2278</v>
      </c>
      <c r="AP45" t="s">
        <v>3659</v>
      </c>
      <c r="AQ45" t="s">
        <v>3826</v>
      </c>
    </row>
    <row r="46" spans="1:44" ht="15" customHeight="1">
      <c r="A46" s="747" t="s">
        <v>3807</v>
      </c>
      <c r="B46" s="1447">
        <v>46013</v>
      </c>
      <c r="C46" s="1447">
        <v>46003</v>
      </c>
      <c r="D46" t="s">
        <v>1484</v>
      </c>
      <c r="E46" s="762">
        <f>_xlfn.XLOOKUP(D46,RUC!$B$3:$B$123,RUC!$D$3:$D$123)</f>
        <v>10761932735</v>
      </c>
      <c r="G46" s="1082">
        <v>163</v>
      </c>
      <c r="H46" s="762" t="s">
        <v>69</v>
      </c>
      <c r="I46" s="703">
        <v>13.51</v>
      </c>
      <c r="J46" s="596">
        <v>8.8000000000000007</v>
      </c>
      <c r="K46" s="703">
        <f t="shared" si="0"/>
        <v>12.321</v>
      </c>
      <c r="L46" s="1192">
        <v>0.28899999999999998</v>
      </c>
      <c r="M46" s="994">
        <f t="shared" si="21"/>
        <v>0.27100000000000002</v>
      </c>
      <c r="N46" s="1444">
        <v>0.33900000000000002</v>
      </c>
      <c r="O46" s="645">
        <f t="shared" si="31"/>
        <v>0.30499999999999999</v>
      </c>
      <c r="P46" s="727">
        <v>90</v>
      </c>
      <c r="Q46" s="1476">
        <v>94.81</v>
      </c>
      <c r="R46" s="706">
        <v>4346.95</v>
      </c>
      <c r="S46" s="765">
        <f>IF((_xlfn.XLOOKUP(D46,RUC!$B$3:$B$119,RUC!$E$3:$E$119)+ROUNDDOWN(O46,1)*100)&lt;95,95,((_xlfn.XLOOKUP(D46,RUC!$B$3:$B$119,RUC!$E$3:$E$119)+ROUNDDOWN(O46,1)*100)))</f>
        <v>120</v>
      </c>
      <c r="U46" s="1146">
        <f>_xlfn.XLOOKUP(D46,RUC!$B$3:$B$123,RUC!$F$3:$F$123)</f>
        <v>120</v>
      </c>
      <c r="V46" s="715">
        <v>1.1023000000000001</v>
      </c>
      <c r="Y46">
        <f>_xlfn.XLOOKUP(D46,RUC!$B$3:$B$123,RUC!$G$3:$G$123)</f>
        <v>20</v>
      </c>
      <c r="Z46" s="143">
        <f>_xlfn.XLOOKUP(D46,RUC!$B$3:$B$123,RUC!$H$3:$H$123)</f>
        <v>30</v>
      </c>
      <c r="AA46" s="144">
        <f t="shared" si="1"/>
        <v>50</v>
      </c>
      <c r="AB46" s="145">
        <f t="shared" si="25"/>
        <v>1091.6052373825</v>
      </c>
      <c r="AC46" s="145">
        <f>+(S46-T46)*V46-'data 1'!$F$4</f>
        <v>52.27600000000001</v>
      </c>
      <c r="AD46" s="145">
        <f t="shared" si="3"/>
        <v>64.769394521786523</v>
      </c>
      <c r="AE46" s="145">
        <f t="shared" si="4"/>
        <v>-14.884999999999998</v>
      </c>
      <c r="AF46" s="145">
        <f t="shared" si="5"/>
        <v>-70.680733415656064</v>
      </c>
      <c r="AG46" s="772">
        <f t="shared" si="33"/>
        <v>48.479661106130479</v>
      </c>
      <c r="AH46" s="1253">
        <f t="shared" si="7"/>
        <v>115.746</v>
      </c>
      <c r="AI46" s="1253">
        <f t="shared" si="8"/>
        <v>122.08199999999999</v>
      </c>
      <c r="AJ46" s="156">
        <f t="shared" si="9"/>
        <v>70.38836931191355</v>
      </c>
      <c r="AK46" s="156">
        <f t="shared" si="10"/>
        <v>115.95710806203174</v>
      </c>
      <c r="AM46" s="716">
        <f t="shared" si="11"/>
        <v>13449.668129789783</v>
      </c>
      <c r="AN46" s="716" t="str">
        <f>_xlfn.XLOOKUP(D46,RUC!$B$3:$B$578,RUC!$M$3:$M$578)</f>
        <v>Richard Sapacayo</v>
      </c>
      <c r="AO46" s="1167" t="s">
        <v>2280</v>
      </c>
      <c r="AP46" t="s">
        <v>2383</v>
      </c>
      <c r="AQ46" t="s">
        <v>3827</v>
      </c>
    </row>
    <row r="47" spans="1:44" ht="15" customHeight="1">
      <c r="A47" s="747" t="s">
        <v>3808</v>
      </c>
      <c r="B47" s="1447">
        <v>46013</v>
      </c>
      <c r="C47" s="1447">
        <v>46003</v>
      </c>
      <c r="D47" t="s">
        <v>1484</v>
      </c>
      <c r="E47" s="762">
        <f>_xlfn.XLOOKUP(D47,RUC!$B$3:$B$123,RUC!$D$3:$D$123)</f>
        <v>10761932735</v>
      </c>
      <c r="G47" s="1082">
        <v>108</v>
      </c>
      <c r="H47" s="762" t="s">
        <v>69</v>
      </c>
      <c r="I47" s="703">
        <v>9.56</v>
      </c>
      <c r="J47" s="596">
        <v>11.4</v>
      </c>
      <c r="K47" s="703">
        <f t="shared" si="0"/>
        <v>8.4700000000000006</v>
      </c>
      <c r="L47" s="1192">
        <v>0.97399999999999998</v>
      </c>
      <c r="M47" s="994">
        <f t="shared" si="21"/>
        <v>0.91600000000000004</v>
      </c>
      <c r="N47" s="1196">
        <f t="shared" ref="N47:N52" si="34">+M47</f>
        <v>0.91600000000000004</v>
      </c>
      <c r="O47" s="645">
        <f t="shared" si="31"/>
        <v>0.91600000000000004</v>
      </c>
      <c r="P47" s="727">
        <v>90</v>
      </c>
      <c r="Q47" s="1476">
        <v>96.71</v>
      </c>
      <c r="R47" s="706">
        <v>4346.95</v>
      </c>
      <c r="S47" s="765">
        <f>IF((_xlfn.XLOOKUP(D47,RUC!$B$3:$B$119,RUC!$E$3:$E$119)+ROUNDDOWN(O47,1)*100)&lt;95,95,((_xlfn.XLOOKUP(D47,RUC!$B$3:$B$119,RUC!$E$3:$E$119)+ROUNDDOWN(O47,1)*100)))</f>
        <v>180</v>
      </c>
      <c r="U47" s="1146">
        <f>_xlfn.XLOOKUP(D47,RUC!$B$3:$B$123,RUC!$F$3:$F$123)</f>
        <v>120</v>
      </c>
      <c r="V47" s="715">
        <v>1.1023000000000001</v>
      </c>
      <c r="Y47">
        <f>_xlfn.XLOOKUP(D47,RUC!$B$3:$B$123,RUC!$G$3:$G$123)</f>
        <v>20</v>
      </c>
      <c r="Z47" s="143">
        <f>_xlfn.XLOOKUP(D47,RUC!$B$3:$B$123,RUC!$H$3:$H$123)</f>
        <v>30</v>
      </c>
      <c r="AA47" s="144">
        <f t="shared" si="1"/>
        <v>50</v>
      </c>
      <c r="AB47" s="145">
        <f>+((O47*P47*(R47-U47)/100)-S47-AA47+T47)*V47</f>
        <v>3587.6531424339996</v>
      </c>
      <c r="AC47" s="145">
        <f>+(S47-T47)*V47-'data 1'!$F$4</f>
        <v>118.41400000000002</v>
      </c>
      <c r="AD47" s="145">
        <f t="shared" si="3"/>
        <v>304.5147930514687</v>
      </c>
      <c r="AE47" s="145">
        <f t="shared" si="4"/>
        <v>-14.884999999999998</v>
      </c>
      <c r="AF47" s="145">
        <f>(L47-O47)*(R47-U47)*Q47*V47/100</f>
        <v>261.35228104922271</v>
      </c>
      <c r="AG47" s="772">
        <f t="shared" si="33"/>
        <v>686.39607410069141</v>
      </c>
      <c r="AH47" s="1253">
        <f t="shared" si="7"/>
        <v>273.541</v>
      </c>
      <c r="AI47" s="1253">
        <f t="shared" si="8"/>
        <v>282.84699999999998</v>
      </c>
      <c r="AJ47" s="156">
        <f t="shared" si="9"/>
        <v>241.97987879073119</v>
      </c>
      <c r="AK47" s="156">
        <f>31.1035*1.1023*K47*P47*O47/100</f>
        <v>239.40348200431745</v>
      </c>
      <c r="AM47" s="716">
        <f t="shared" si="11"/>
        <v>30387.422116415979</v>
      </c>
      <c r="AN47" s="716" t="str">
        <f>_xlfn.XLOOKUP(D47,RUC!$B$3:$B$578,RUC!$M$3:$M$578)</f>
        <v>Richard Sapacayo</v>
      </c>
      <c r="AO47" s="1167" t="s">
        <v>2280</v>
      </c>
      <c r="AP47" t="s">
        <v>2383</v>
      </c>
      <c r="AQ47" t="s">
        <v>3827</v>
      </c>
    </row>
    <row r="48" spans="1:44" ht="15" customHeight="1">
      <c r="A48" s="747" t="s">
        <v>3809</v>
      </c>
      <c r="B48" s="1447">
        <v>46008</v>
      </c>
      <c r="C48" s="1447">
        <v>46003</v>
      </c>
      <c r="D48" t="s">
        <v>1967</v>
      </c>
      <c r="E48" s="762">
        <f>_xlfn.XLOOKUP(D48,RUC!$B$3:$B$123,RUC!$D$3:$D$123)</f>
        <v>20601769396</v>
      </c>
      <c r="G48" s="1082">
        <v>52</v>
      </c>
      <c r="H48" s="762" t="s">
        <v>2005</v>
      </c>
      <c r="I48" s="703">
        <v>4.13</v>
      </c>
      <c r="J48" s="596">
        <v>12.4</v>
      </c>
      <c r="K48" s="703">
        <f t="shared" si="0"/>
        <v>3.6179999999999999</v>
      </c>
      <c r="L48" s="1192">
        <v>0.24399999999999999</v>
      </c>
      <c r="M48" s="994">
        <f t="shared" si="21"/>
        <v>0.22600000000000001</v>
      </c>
      <c r="N48" s="1196">
        <f t="shared" si="34"/>
        <v>0.22600000000000001</v>
      </c>
      <c r="O48" s="645">
        <f t="shared" si="31"/>
        <v>0.22600000000000001</v>
      </c>
      <c r="P48" s="727">
        <v>90</v>
      </c>
      <c r="Q48" s="1476">
        <v>92.62</v>
      </c>
      <c r="R48" s="706">
        <v>4346.95</v>
      </c>
      <c r="S48" s="765">
        <f>IF((_xlfn.XLOOKUP(D48,RUC!$B$3:$B$119,RUC!$E$3:$E$119)+ROUNDDOWN(O48,1)*100)&lt;95,95,((_xlfn.XLOOKUP(D48,RUC!$B$3:$B$119,RUC!$E$3:$E$119)+ROUNDDOWN(O48,1)*100)))</f>
        <v>110</v>
      </c>
      <c r="U48" s="1146">
        <f>_xlfn.XLOOKUP(D48,RUC!$B$3:$B$123,RUC!$F$3:$F$123)</f>
        <v>120</v>
      </c>
      <c r="V48" s="715">
        <v>1.1023000000000001</v>
      </c>
      <c r="Y48">
        <f>_xlfn.XLOOKUP(D48,RUC!$B$3:$B$123,RUC!$G$3:$G$123)</f>
        <v>20</v>
      </c>
      <c r="Z48" s="143">
        <f>_xlfn.XLOOKUP(D48,RUC!$B$3:$B$123,RUC!$H$3:$H$123)</f>
        <v>30</v>
      </c>
      <c r="AA48" s="144">
        <f t="shared" si="1"/>
        <v>50</v>
      </c>
      <c r="AB48" s="145">
        <f>+((O48*P48*(R48-U48)/100)-S48-AA48+T48)*V48</f>
        <v>771.34724474899997</v>
      </c>
      <c r="AC48" s="145">
        <f>+(S48-T48)*V48-'data 1'!$F$4</f>
        <v>41.253</v>
      </c>
      <c r="AD48" s="145">
        <f t="shared" si="3"/>
        <v>29.78640126170805</v>
      </c>
      <c r="AE48" s="145">
        <f t="shared" si="4"/>
        <v>-14.884999999999998</v>
      </c>
      <c r="AF48" s="145">
        <f>(L48-O48)*(R48-U48)*Q48*V48/100</f>
        <v>77.679102627125943</v>
      </c>
      <c r="AG48" s="772">
        <f t="shared" si="33"/>
        <v>150.833503888834</v>
      </c>
      <c r="AH48" s="1253">
        <f t="shared" si="7"/>
        <v>28.033000000000001</v>
      </c>
      <c r="AI48" s="1253">
        <f t="shared" si="8"/>
        <v>30.266999999999999</v>
      </c>
      <c r="AJ48" s="156">
        <f t="shared" si="9"/>
        <v>58.055519774692044</v>
      </c>
      <c r="AK48" s="156">
        <f>31.1035*1.1023*K48*P48*O48/100</f>
        <v>25.23065820846066</v>
      </c>
      <c r="AM48" s="716">
        <f t="shared" si="11"/>
        <v>2790.734331501882</v>
      </c>
      <c r="AN48" s="716" t="str">
        <f>_xlfn.XLOOKUP(D48,RUC!$B$3:$B$578,RUC!$M$3:$M$578)</f>
        <v>Evelyn</v>
      </c>
      <c r="AO48" s="1167" t="s">
        <v>2278</v>
      </c>
      <c r="AP48" t="s">
        <v>3484</v>
      </c>
      <c r="AQ48" t="s">
        <v>3189</v>
      </c>
    </row>
    <row r="49" spans="1:44" ht="15" customHeight="1">
      <c r="A49" s="747" t="s">
        <v>3810</v>
      </c>
      <c r="B49" s="1447">
        <v>46008</v>
      </c>
      <c r="C49" s="1447">
        <v>46003</v>
      </c>
      <c r="D49" t="s">
        <v>1967</v>
      </c>
      <c r="E49" s="762">
        <f>_xlfn.XLOOKUP(D49,RUC!$B$3:$B$123,RUC!$D$3:$D$123)</f>
        <v>20601769396</v>
      </c>
      <c r="G49" s="1082">
        <v>53</v>
      </c>
      <c r="H49" s="762" t="s">
        <v>2005</v>
      </c>
      <c r="I49" s="703">
        <v>3.64</v>
      </c>
      <c r="J49" s="596">
        <v>12.3</v>
      </c>
      <c r="K49" s="703">
        <f t="shared" si="0"/>
        <v>3.1920000000000002</v>
      </c>
      <c r="L49" s="1192">
        <v>0.28199999999999997</v>
      </c>
      <c r="M49" s="994">
        <f t="shared" si="21"/>
        <v>0.26400000000000001</v>
      </c>
      <c r="N49" s="1196">
        <f t="shared" si="34"/>
        <v>0.26400000000000001</v>
      </c>
      <c r="O49" s="645">
        <f t="shared" si="31"/>
        <v>0.26400000000000001</v>
      </c>
      <c r="P49" s="727">
        <v>85</v>
      </c>
      <c r="Q49" s="1476">
        <v>86.52</v>
      </c>
      <c r="R49" s="706">
        <v>4346.95</v>
      </c>
      <c r="S49" s="765">
        <f>IF((_xlfn.XLOOKUP(D49,RUC!$B$3:$B$119,RUC!$E$3:$E$119)+ROUNDDOWN(O49,1)*100)&lt;95,95,((_xlfn.XLOOKUP(D49,RUC!$B$3:$B$119,RUC!$E$3:$E$119)+ROUNDDOWN(O49,1)*100)))</f>
        <v>110</v>
      </c>
      <c r="U49" s="1146">
        <f>_xlfn.XLOOKUP(D49,RUC!$B$3:$B$123,RUC!$F$3:$F$123)</f>
        <v>120</v>
      </c>
      <c r="V49" s="715">
        <v>1.1023000000000001</v>
      </c>
      <c r="Y49">
        <f>_xlfn.XLOOKUP(D49,RUC!$B$3:$B$123,RUC!$G$3:$G$123)</f>
        <v>20</v>
      </c>
      <c r="Z49" s="143">
        <f>_xlfn.XLOOKUP(D49,RUC!$B$3:$B$123,RUC!$H$3:$H$123)</f>
        <v>30</v>
      </c>
      <c r="AA49" s="144">
        <f t="shared" si="1"/>
        <v>50</v>
      </c>
      <c r="AB49" s="145">
        <f t="shared" si="25"/>
        <v>869.19395143400016</v>
      </c>
      <c r="AC49" s="145">
        <f>+(S49-T49)*V49-'data 1'!$F$4</f>
        <v>41.253</v>
      </c>
      <c r="AD49" s="145">
        <f t="shared" si="3"/>
        <v>19.971910644503943</v>
      </c>
      <c r="AE49" s="145">
        <f t="shared" si="4"/>
        <v>-14.884999999999998</v>
      </c>
      <c r="AF49" s="145">
        <f t="shared" si="5"/>
        <v>72.563117677595827</v>
      </c>
      <c r="AG49" s="772">
        <f t="shared" si="33"/>
        <v>135.90302832209977</v>
      </c>
      <c r="AH49" s="1253">
        <f t="shared" si="7"/>
        <v>26.702000000000002</v>
      </c>
      <c r="AI49" s="1253">
        <f t="shared" si="8"/>
        <v>30.861999999999998</v>
      </c>
      <c r="AJ49" s="156">
        <f t="shared" si="9"/>
        <v>62.677913942196049</v>
      </c>
      <c r="AK49" s="156">
        <f t="shared" si="10"/>
        <v>24.558102322316646</v>
      </c>
      <c r="AM49" s="716">
        <f t="shared" si="11"/>
        <v>2774.4670929773288</v>
      </c>
      <c r="AN49" s="716" t="str">
        <f>_xlfn.XLOOKUP(D49,RUC!$B$3:$B$578,RUC!$M$3:$M$578)</f>
        <v>Evelyn</v>
      </c>
      <c r="AO49" s="1167" t="s">
        <v>2278</v>
      </c>
      <c r="AP49" t="s">
        <v>3484</v>
      </c>
      <c r="AQ49" t="s">
        <v>3189</v>
      </c>
      <c r="AR49" t="s">
        <v>3663</v>
      </c>
    </row>
    <row r="50" spans="1:44" ht="15" customHeight="1">
      <c r="A50" s="747" t="s">
        <v>3811</v>
      </c>
      <c r="B50" s="1447">
        <v>46008</v>
      </c>
      <c r="C50" s="1447">
        <v>46003</v>
      </c>
      <c r="D50" t="s">
        <v>1967</v>
      </c>
      <c r="E50" s="762">
        <f>_xlfn.XLOOKUP(D50,RUC!$B$3:$B$123,RUC!$D$3:$D$123)</f>
        <v>20601769396</v>
      </c>
      <c r="G50" s="1082">
        <v>50</v>
      </c>
      <c r="H50" s="762" t="s">
        <v>2005</v>
      </c>
      <c r="I50" s="703">
        <v>4.38</v>
      </c>
      <c r="J50" s="596">
        <v>9.5</v>
      </c>
      <c r="K50" s="703">
        <f t="shared" si="0"/>
        <v>3.964</v>
      </c>
      <c r="L50" s="1192">
        <v>0.192</v>
      </c>
      <c r="M50" s="994">
        <f t="shared" si="21"/>
        <v>0.17399999999999999</v>
      </c>
      <c r="N50" s="1196">
        <f t="shared" si="34"/>
        <v>0.17399999999999999</v>
      </c>
      <c r="O50" s="645">
        <f t="shared" si="31"/>
        <v>0.17399999999999999</v>
      </c>
      <c r="P50" s="727">
        <v>90</v>
      </c>
      <c r="Q50" s="1476">
        <v>93.75</v>
      </c>
      <c r="R50" s="706">
        <v>4346.95</v>
      </c>
      <c r="S50" s="765">
        <f>IF((_xlfn.XLOOKUP(D50,RUC!$B$3:$B$119,RUC!$E$3:$E$119)+ROUNDDOWN(O50,1)*100)&lt;95,95,((_xlfn.XLOOKUP(D50,RUC!$B$3:$B$119,RUC!$E$3:$E$119)+ROUNDDOWN(O50,1)*100)))</f>
        <v>100</v>
      </c>
      <c r="U50" s="1146">
        <f>_xlfn.XLOOKUP(D50,RUC!$B$3:$B$123,RUC!$F$3:$F$123)</f>
        <v>120</v>
      </c>
      <c r="V50" s="715">
        <v>1.1023000000000001</v>
      </c>
      <c r="Y50">
        <f>_xlfn.XLOOKUP(D50,RUC!$B$3:$B$123,RUC!$G$3:$G$123)</f>
        <v>20</v>
      </c>
      <c r="Z50" s="143">
        <f>_xlfn.XLOOKUP(D50,RUC!$B$3:$B$123,RUC!$H$3:$H$123)</f>
        <v>30</v>
      </c>
      <c r="AA50" s="144">
        <f t="shared" si="1"/>
        <v>50</v>
      </c>
      <c r="AB50" s="145">
        <f t="shared" si="25"/>
        <v>564.31186985099998</v>
      </c>
      <c r="AC50" s="145">
        <f>+(S50-T50)*V50-'data 1'!$F$4</f>
        <v>30.230000000000004</v>
      </c>
      <c r="AD50" s="145">
        <f t="shared" si="3"/>
        <v>33.547442291999999</v>
      </c>
      <c r="AE50" s="145">
        <f t="shared" si="4"/>
        <v>-14.884999999999998</v>
      </c>
      <c r="AF50" s="145">
        <f t="shared" si="5"/>
        <v>78.626817871875076</v>
      </c>
      <c r="AG50" s="772">
        <f t="shared" si="33"/>
        <v>144.51926016387509</v>
      </c>
      <c r="AH50" s="1253">
        <f t="shared" si="7"/>
        <v>24.463000000000001</v>
      </c>
      <c r="AI50" s="1253">
        <f t="shared" si="8"/>
        <v>26.094000000000001</v>
      </c>
      <c r="AJ50" s="156">
        <f t="shared" si="9"/>
        <v>46.240382700000033</v>
      </c>
      <c r="AK50" s="156">
        <f t="shared" si="10"/>
        <v>21.283079770849316</v>
      </c>
      <c r="AM50" s="716">
        <f t="shared" si="11"/>
        <v>2236.9322520893638</v>
      </c>
      <c r="AN50" s="716" t="str">
        <f>_xlfn.XLOOKUP(D50,RUC!$B$3:$B$578,RUC!$M$3:$M$578)</f>
        <v>Evelyn</v>
      </c>
      <c r="AO50" s="1167" t="s">
        <v>2278</v>
      </c>
      <c r="AP50" t="s">
        <v>3484</v>
      </c>
      <c r="AQ50" t="s">
        <v>3189</v>
      </c>
    </row>
    <row r="51" spans="1:44" ht="15" customHeight="1">
      <c r="A51" s="747" t="s">
        <v>3812</v>
      </c>
      <c r="B51" s="1447">
        <v>46008</v>
      </c>
      <c r="C51" s="1447">
        <v>46003</v>
      </c>
      <c r="D51" t="s">
        <v>1967</v>
      </c>
      <c r="E51" s="762">
        <f>_xlfn.XLOOKUP(D51,RUC!$B$3:$B$123,RUC!$D$3:$D$123)</f>
        <v>20601769396</v>
      </c>
      <c r="G51" s="1082">
        <v>50</v>
      </c>
      <c r="H51" s="762" t="s">
        <v>2005</v>
      </c>
      <c r="I51" s="703">
        <v>4.49</v>
      </c>
      <c r="J51" s="596">
        <v>8.6999999999999993</v>
      </c>
      <c r="K51" s="703">
        <f t="shared" si="0"/>
        <v>4.0990000000000002</v>
      </c>
      <c r="L51" s="1192">
        <v>0.191</v>
      </c>
      <c r="M51" s="994">
        <f t="shared" si="21"/>
        <v>0.17299999999999999</v>
      </c>
      <c r="N51" s="1196">
        <f t="shared" si="34"/>
        <v>0.17299999999999999</v>
      </c>
      <c r="O51" s="645">
        <f t="shared" si="31"/>
        <v>0.17299999999999999</v>
      </c>
      <c r="P51" s="727">
        <v>90</v>
      </c>
      <c r="Q51" s="1476">
        <v>92.15</v>
      </c>
      <c r="R51" s="706">
        <v>4346.95</v>
      </c>
      <c r="S51" s="765">
        <f>IF((_xlfn.XLOOKUP(D51,RUC!$B$3:$B$119,RUC!$E$3:$E$119)+ROUNDDOWN(O51,1)*100)&lt;95,95,((_xlfn.XLOOKUP(D51,RUC!$B$3:$B$119,RUC!$E$3:$E$119)+ROUNDDOWN(O51,1)*100)))</f>
        <v>100</v>
      </c>
      <c r="U51" s="1146">
        <f>_xlfn.XLOOKUP(D51,RUC!$B$3:$B$123,RUC!$F$3:$F$123)</f>
        <v>120</v>
      </c>
      <c r="V51" s="715">
        <v>1.1023000000000001</v>
      </c>
      <c r="Y51">
        <f>_xlfn.XLOOKUP(D51,RUC!$B$3:$B$123,RUC!$G$3:$G$123)</f>
        <v>20</v>
      </c>
      <c r="Z51" s="143">
        <f>_xlfn.XLOOKUP(D51,RUC!$B$3:$B$123,RUC!$H$3:$H$123)</f>
        <v>30</v>
      </c>
      <c r="AA51" s="144">
        <f t="shared" si="1"/>
        <v>50</v>
      </c>
      <c r="AB51" s="145">
        <f t="shared" si="25"/>
        <v>560.11843956449979</v>
      </c>
      <c r="AC51" s="145">
        <f>+(S51-T51)*V51-'data 1'!$F$4</f>
        <v>30.230000000000004</v>
      </c>
      <c r="AD51" s="145">
        <f t="shared" si="3"/>
        <v>19.133690523902548</v>
      </c>
      <c r="AE51" s="145">
        <f t="shared" si="4"/>
        <v>-14.884999999999998</v>
      </c>
      <c r="AF51" s="145">
        <f t="shared" si="5"/>
        <v>77.284920180195073</v>
      </c>
      <c r="AG51" s="772">
        <f t="shared" si="33"/>
        <v>128.76361070409763</v>
      </c>
      <c r="AH51" s="1253">
        <f t="shared" si="7"/>
        <v>24.734999999999999</v>
      </c>
      <c r="AI51" s="1253">
        <f t="shared" si="8"/>
        <v>26.841999999999999</v>
      </c>
      <c r="AJ51" s="156">
        <f t="shared" si="9"/>
        <v>45.214488431597537</v>
      </c>
      <c r="AK51" s="156">
        <f t="shared" si="10"/>
        <v>21.881424934559114</v>
      </c>
      <c r="AM51" s="716">
        <f t="shared" si="11"/>
        <v>2295.9254837748849</v>
      </c>
      <c r="AN51" s="716" t="str">
        <f>_xlfn.XLOOKUP(D51,RUC!$B$3:$B$578,RUC!$M$3:$M$578)</f>
        <v>Evelyn</v>
      </c>
      <c r="AO51" s="1167" t="s">
        <v>2278</v>
      </c>
      <c r="AP51" t="s">
        <v>3484</v>
      </c>
      <c r="AQ51" t="s">
        <v>3189</v>
      </c>
    </row>
    <row r="52" spans="1:44" ht="15" customHeight="1">
      <c r="A52" s="747" t="s">
        <v>3813</v>
      </c>
      <c r="B52" s="1447">
        <v>46008</v>
      </c>
      <c r="C52" s="1447">
        <v>46003</v>
      </c>
      <c r="D52" t="s">
        <v>1967</v>
      </c>
      <c r="E52" s="762">
        <f>_xlfn.XLOOKUP(D52,RUC!$B$3:$B$123,RUC!$D$3:$D$123)</f>
        <v>20601769396</v>
      </c>
      <c r="G52" s="1082">
        <v>50</v>
      </c>
      <c r="H52" s="762" t="s">
        <v>2005</v>
      </c>
      <c r="I52" s="703">
        <v>4.42</v>
      </c>
      <c r="J52" s="596">
        <v>8.9499999999999993</v>
      </c>
      <c r="K52" s="703">
        <f t="shared" si="0"/>
        <v>4.024</v>
      </c>
      <c r="L52" s="1192">
        <v>0.19900000000000001</v>
      </c>
      <c r="M52" s="994">
        <f t="shared" si="21"/>
        <v>0.18099999999999999</v>
      </c>
      <c r="N52" s="1196">
        <f t="shared" si="34"/>
        <v>0.18099999999999999</v>
      </c>
      <c r="O52" s="645">
        <f t="shared" si="31"/>
        <v>0.18099999999999999</v>
      </c>
      <c r="P52" s="727">
        <v>90</v>
      </c>
      <c r="Q52" s="1476">
        <v>94.97</v>
      </c>
      <c r="R52" s="706">
        <v>4346.95</v>
      </c>
      <c r="S52" s="765">
        <f>IF((_xlfn.XLOOKUP(D52,RUC!$B$3:$B$119,RUC!$E$3:$E$119)+ROUNDDOWN(O52,1)*100)&lt;95,95,((_xlfn.XLOOKUP(D52,RUC!$B$3:$B$119,RUC!$E$3:$E$119)+ROUNDDOWN(O52,1)*100)))</f>
        <v>100</v>
      </c>
      <c r="U52" s="1146">
        <f>_xlfn.XLOOKUP(D52,RUC!$B$3:$B$123,RUC!$F$3:$F$123)</f>
        <v>120</v>
      </c>
      <c r="V52" s="715">
        <v>1.1023000000000001</v>
      </c>
      <c r="Y52">
        <f>_xlfn.XLOOKUP(D52,RUC!$B$3:$B$123,RUC!$G$3:$G$123)</f>
        <v>20</v>
      </c>
      <c r="Z52" s="143">
        <f>_xlfn.XLOOKUP(D52,RUC!$B$3:$B$123,RUC!$H$3:$H$123)</f>
        <v>30</v>
      </c>
      <c r="AA52" s="144">
        <f t="shared" si="1"/>
        <v>50</v>
      </c>
      <c r="AB52" s="145">
        <f t="shared" si="25"/>
        <v>593.66588185649994</v>
      </c>
      <c r="AC52" s="145">
        <f>+(S52-T52)*V52-'data 1'!$F$4</f>
        <v>30.230000000000004</v>
      </c>
      <c r="AD52" s="145">
        <f t="shared" si="3"/>
        <v>46.082537291745481</v>
      </c>
      <c r="AE52" s="145">
        <f t="shared" si="4"/>
        <v>-14.884999999999998</v>
      </c>
      <c r="AF52" s="145">
        <f t="shared" si="5"/>
        <v>79.650014861781074</v>
      </c>
      <c r="AG52" s="772">
        <f t="shared" si="33"/>
        <v>158.07755215352657</v>
      </c>
      <c r="AH52" s="1253">
        <f t="shared" si="7"/>
        <v>26.074000000000002</v>
      </c>
      <c r="AI52" s="1253">
        <f t="shared" si="8"/>
        <v>27.454999999999998</v>
      </c>
      <c r="AJ52" s="156">
        <f t="shared" si="9"/>
        <v>48.549909992154547</v>
      </c>
      <c r="AK52" s="156">
        <f t="shared" si="10"/>
        <v>22.47440100650028</v>
      </c>
      <c r="AM52" s="716">
        <f t="shared" si="11"/>
        <v>2388.911508590556</v>
      </c>
      <c r="AN52" s="716" t="str">
        <f>_xlfn.XLOOKUP(D52,RUC!$B$3:$B$578,RUC!$M$3:$M$578)</f>
        <v>Evelyn</v>
      </c>
      <c r="AO52" s="1167" t="s">
        <v>2278</v>
      </c>
      <c r="AP52" t="s">
        <v>3484</v>
      </c>
      <c r="AQ52" t="s">
        <v>3189</v>
      </c>
    </row>
    <row r="53" spans="1:44" ht="15" customHeight="1">
      <c r="A53" s="747" t="s">
        <v>3814</v>
      </c>
      <c r="B53" s="1447">
        <v>46008</v>
      </c>
      <c r="C53" s="1447">
        <v>46003</v>
      </c>
      <c r="D53" t="s">
        <v>1967</v>
      </c>
      <c r="E53" s="762">
        <f>_xlfn.XLOOKUP(D53,RUC!$B$3:$B$123,RUC!$D$3:$D$123)</f>
        <v>20601769396</v>
      </c>
      <c r="G53" s="1082">
        <v>50</v>
      </c>
      <c r="H53" s="762" t="s">
        <v>2005</v>
      </c>
      <c r="I53" s="703">
        <v>4.33</v>
      </c>
      <c r="J53" s="596">
        <v>9.92</v>
      </c>
      <c r="K53" s="703">
        <f t="shared" si="0"/>
        <v>3.9</v>
      </c>
      <c r="L53" s="1192">
        <v>0.17599999999999999</v>
      </c>
      <c r="M53" s="994">
        <f t="shared" si="21"/>
        <v>0.158</v>
      </c>
      <c r="N53" s="1196">
        <f t="shared" si="30"/>
        <v>0.158</v>
      </c>
      <c r="O53" s="645">
        <f t="shared" si="31"/>
        <v>0.158</v>
      </c>
      <c r="P53" s="727">
        <v>90</v>
      </c>
      <c r="Q53" s="1476">
        <v>90.91</v>
      </c>
      <c r="R53" s="706">
        <v>4346.95</v>
      </c>
      <c r="S53" s="765">
        <f>IF((_xlfn.XLOOKUP(D53,RUC!$B$3:$B$119,RUC!$E$3:$E$119)+ROUNDDOWN(O53,1)*100)&lt;95,95,((_xlfn.XLOOKUP(D53,RUC!$B$3:$B$119,RUC!$E$3:$E$119)+ROUNDDOWN(O53,1)*100)))</f>
        <v>100</v>
      </c>
      <c r="U53" s="1146">
        <f>_xlfn.XLOOKUP(D53,RUC!$B$3:$B$123,RUC!$F$3:$F$123)</f>
        <v>120</v>
      </c>
      <c r="V53" s="715">
        <v>1.1023000000000001</v>
      </c>
      <c r="Y53">
        <f>_xlfn.XLOOKUP(D53,RUC!$B$3:$B$123,RUC!$G$3:$G$123)</f>
        <v>20</v>
      </c>
      <c r="Z53" s="143">
        <f>_xlfn.XLOOKUP(D53,RUC!$B$3:$B$123,RUC!$H$3:$H$123)</f>
        <v>30</v>
      </c>
      <c r="AA53" s="144">
        <f t="shared" si="1"/>
        <v>50</v>
      </c>
      <c r="AB53" s="145">
        <f t="shared" si="25"/>
        <v>497.21698526699998</v>
      </c>
      <c r="AC53" s="145">
        <f>+(S53-T53)*V53-'data 1'!$F$4</f>
        <v>30.230000000000004</v>
      </c>
      <c r="AD53" s="145">
        <f t="shared" si="3"/>
        <v>7.4624421631759716</v>
      </c>
      <c r="AE53" s="145">
        <f t="shared" si="4"/>
        <v>-14.884999999999998</v>
      </c>
      <c r="AF53" s="145">
        <f t="shared" si="5"/>
        <v>76.244949469142938</v>
      </c>
      <c r="AG53" s="772">
        <f t="shared" si="33"/>
        <v>116.05239163231892</v>
      </c>
      <c r="AH53" s="1253">
        <f t="shared" si="7"/>
        <v>21.393999999999998</v>
      </c>
      <c r="AI53" s="1253">
        <f t="shared" si="8"/>
        <v>23.533000000000001</v>
      </c>
      <c r="AJ53" s="156">
        <f t="shared" si="9"/>
        <v>41.102973425624029</v>
      </c>
      <c r="AK53" s="156">
        <f t="shared" si="10"/>
        <v>19.013990504768998</v>
      </c>
      <c r="AM53" s="716">
        <f t="shared" si="11"/>
        <v>1939.1462425412999</v>
      </c>
      <c r="AN53" s="716" t="str">
        <f>_xlfn.XLOOKUP(D53,RUC!$B$3:$B$578,RUC!$M$3:$M$578)</f>
        <v>Evelyn</v>
      </c>
      <c r="AO53" s="1167" t="s">
        <v>2278</v>
      </c>
      <c r="AP53" t="s">
        <v>3484</v>
      </c>
      <c r="AQ53" t="s">
        <v>3189</v>
      </c>
    </row>
    <row r="54" spans="1:44" ht="15" customHeight="1">
      <c r="A54" s="747" t="s">
        <v>3815</v>
      </c>
      <c r="B54" s="1447">
        <v>46008</v>
      </c>
      <c r="C54" s="1447">
        <v>46003</v>
      </c>
      <c r="D54" t="s">
        <v>1967</v>
      </c>
      <c r="E54" s="762">
        <f>_xlfn.XLOOKUP(D54,RUC!$B$3:$B$123,RUC!$D$3:$D$123)</f>
        <v>20601769396</v>
      </c>
      <c r="G54" s="1082">
        <v>50</v>
      </c>
      <c r="H54" s="762" t="s">
        <v>2005</v>
      </c>
      <c r="I54" s="703">
        <v>4.42</v>
      </c>
      <c r="J54" s="596">
        <v>9.5</v>
      </c>
      <c r="K54" s="703">
        <f t="shared" si="0"/>
        <v>4</v>
      </c>
      <c r="L54" s="1192">
        <v>0.17</v>
      </c>
      <c r="M54" s="994">
        <f t="shared" si="21"/>
        <v>0.152</v>
      </c>
      <c r="N54" s="1196">
        <f t="shared" si="30"/>
        <v>0.152</v>
      </c>
      <c r="O54" s="645">
        <f t="shared" si="31"/>
        <v>0.152</v>
      </c>
      <c r="P54" s="727">
        <v>90</v>
      </c>
      <c r="Q54" s="1476">
        <v>92.94</v>
      </c>
      <c r="R54" s="706">
        <v>4346.95</v>
      </c>
      <c r="S54" s="765">
        <f>IF((_xlfn.XLOOKUP(D54,RUC!$B$3:$B$119,RUC!$E$3:$E$119)+ROUNDDOWN(O54,1)*100)&lt;95,95,((_xlfn.XLOOKUP(D54,RUC!$B$3:$B$119,RUC!$E$3:$E$119)+ROUNDDOWN(O54,1)*100)))</f>
        <v>100</v>
      </c>
      <c r="U54" s="1146">
        <f>_xlfn.XLOOKUP(D54,RUC!$B$3:$B$123,RUC!$F$3:$F$123)</f>
        <v>120</v>
      </c>
      <c r="V54" s="715">
        <v>1.1023000000000001</v>
      </c>
      <c r="Y54">
        <f>_xlfn.XLOOKUP(D54,RUC!$B$3:$B$123,RUC!$G$3:$G$123)</f>
        <v>20</v>
      </c>
      <c r="Z54" s="143">
        <f>_xlfn.XLOOKUP(D54,RUC!$B$3:$B$123,RUC!$H$3:$H$123)</f>
        <v>30</v>
      </c>
      <c r="AA54" s="144">
        <f t="shared" si="1"/>
        <v>50</v>
      </c>
      <c r="AB54" s="145">
        <f t="shared" si="25"/>
        <v>472.05640354799999</v>
      </c>
      <c r="AC54" s="145">
        <f>+(S54-T54)*V54-'data 1'!$F$4</f>
        <v>30.230000000000004</v>
      </c>
      <c r="AD54" s="145">
        <f t="shared" si="3"/>
        <v>23.287516191029979</v>
      </c>
      <c r="AE54" s="145">
        <f t="shared" si="4"/>
        <v>-14.884999999999998</v>
      </c>
      <c r="AF54" s="145">
        <f t="shared" si="5"/>
        <v>77.947482165462077</v>
      </c>
      <c r="AG54" s="772">
        <f t="shared" si="33"/>
        <v>133.57999835649207</v>
      </c>
      <c r="AH54" s="1253">
        <f t="shared" si="7"/>
        <v>21.667999999999999</v>
      </c>
      <c r="AI54" s="1253">
        <f t="shared" si="8"/>
        <v>23.314</v>
      </c>
      <c r="AJ54" s="156">
        <f t="shared" si="9"/>
        <v>40.588266587970033</v>
      </c>
      <c r="AK54" s="156">
        <f t="shared" si="10"/>
        <v>18.760964340960001</v>
      </c>
      <c r="AM54" s="716">
        <f t="shared" si="11"/>
        <v>1888.225614192</v>
      </c>
      <c r="AN54" s="716" t="str">
        <f>_xlfn.XLOOKUP(D54,RUC!$B$3:$B$578,RUC!$M$3:$M$578)</f>
        <v>Evelyn</v>
      </c>
      <c r="AO54" s="1167" t="s">
        <v>2278</v>
      </c>
      <c r="AP54" t="s">
        <v>3484</v>
      </c>
      <c r="AQ54" t="s">
        <v>3189</v>
      </c>
    </row>
    <row r="55" spans="1:44" ht="15" customHeight="1">
      <c r="A55" s="747" t="s">
        <v>3816</v>
      </c>
      <c r="B55" s="1447">
        <v>46008</v>
      </c>
      <c r="C55" s="1447">
        <v>46003</v>
      </c>
      <c r="D55" t="s">
        <v>1967</v>
      </c>
      <c r="E55" s="762">
        <f>_xlfn.XLOOKUP(D55,RUC!$B$3:$B$123,RUC!$D$3:$D$123)</f>
        <v>20601769396</v>
      </c>
      <c r="G55" s="1082">
        <v>50</v>
      </c>
      <c r="H55" s="762" t="s">
        <v>2005</v>
      </c>
      <c r="I55" s="703">
        <v>4.3899999999999997</v>
      </c>
      <c r="J55" s="596">
        <v>10.199999999999999</v>
      </c>
      <c r="K55" s="703">
        <f t="shared" si="0"/>
        <v>3.9420000000000002</v>
      </c>
      <c r="L55" s="1192">
        <v>0.14499999999999999</v>
      </c>
      <c r="M55" s="994">
        <f t="shared" si="21"/>
        <v>0.127</v>
      </c>
      <c r="N55" s="1196">
        <f t="shared" si="30"/>
        <v>0.127</v>
      </c>
      <c r="O55" s="645">
        <f t="shared" si="31"/>
        <v>0.127</v>
      </c>
      <c r="P55" s="727">
        <v>80</v>
      </c>
      <c r="Q55" s="1476">
        <v>95.17</v>
      </c>
      <c r="R55" s="706">
        <v>4346.95</v>
      </c>
      <c r="S55" s="765">
        <f>IF((_xlfn.XLOOKUP(D55,RUC!$B$3:$B$119,RUC!$E$3:$E$119)+ROUNDDOWN(O55,1)*100)&lt;95,95,((_xlfn.XLOOKUP(D55,RUC!$B$3:$B$119,RUC!$E$3:$E$119)+ROUNDDOWN(O55,1)*100)))</f>
        <v>100</v>
      </c>
      <c r="U55" s="1146">
        <f>_xlfn.XLOOKUP(D55,RUC!$B$3:$B$123,RUC!$F$3:$F$123)</f>
        <v>120</v>
      </c>
      <c r="V55" s="715">
        <v>1.1023000000000001</v>
      </c>
      <c r="Y55">
        <f>_xlfn.XLOOKUP(D55,RUC!$B$3:$B$123,RUC!$G$3:$G$123)</f>
        <v>20</v>
      </c>
      <c r="Z55" s="143">
        <f>_xlfn.XLOOKUP(D55,RUC!$B$3:$B$123,RUC!$H$3:$H$123)</f>
        <v>30</v>
      </c>
      <c r="AA55" s="144">
        <f t="shared" si="1"/>
        <v>50</v>
      </c>
      <c r="AB55" s="145">
        <f t="shared" si="25"/>
        <v>308.04668567600004</v>
      </c>
      <c r="AC55" s="145">
        <f>+(S55-T55)*V55-'data 1'!$F$4</f>
        <v>30.230000000000004</v>
      </c>
      <c r="AD55" s="145">
        <f t="shared" si="3"/>
        <v>102.48976588555252</v>
      </c>
      <c r="AE55" s="145">
        <f t="shared" si="4"/>
        <v>-14.884999999999998</v>
      </c>
      <c r="AF55" s="145">
        <f t="shared" si="5"/>
        <v>79.817752073240939</v>
      </c>
      <c r="AG55" s="772">
        <f t="shared" si="33"/>
        <v>214.65251795879351</v>
      </c>
      <c r="AH55" s="1253">
        <f t="shared" si="7"/>
        <v>18.651</v>
      </c>
      <c r="AI55" s="1253">
        <f t="shared" si="8"/>
        <v>19.597000000000001</v>
      </c>
      <c r="AJ55" s="156">
        <f t="shared" si="9"/>
        <v>35.450060951447533</v>
      </c>
      <c r="AK55" s="156">
        <f t="shared" si="10"/>
        <v>13.731544768818962</v>
      </c>
      <c r="AM55" s="716">
        <f t="shared" si="11"/>
        <v>1214.3200349347921</v>
      </c>
      <c r="AN55" s="716" t="str">
        <f>_xlfn.XLOOKUP(D55,RUC!$B$3:$B$578,RUC!$M$3:$M$578)</f>
        <v>Evelyn</v>
      </c>
      <c r="AO55" s="1167" t="s">
        <v>2278</v>
      </c>
      <c r="AP55" t="s">
        <v>3484</v>
      </c>
      <c r="AQ55" t="s">
        <v>3189</v>
      </c>
    </row>
    <row r="56" spans="1:44" ht="15" customHeight="1">
      <c r="A56" s="747" t="s">
        <v>3817</v>
      </c>
      <c r="B56" s="1447">
        <v>46009</v>
      </c>
      <c r="C56" s="1447">
        <v>46004</v>
      </c>
      <c r="D56" t="s">
        <v>1265</v>
      </c>
      <c r="E56" s="762">
        <f>_xlfn.XLOOKUP(D56,RUC!$B$3:$B$123,RUC!$D$3:$D$123)</f>
        <v>20606527439</v>
      </c>
      <c r="G56" s="1082">
        <v>130</v>
      </c>
      <c r="H56" s="762" t="s">
        <v>69</v>
      </c>
      <c r="I56" s="703">
        <v>14.29</v>
      </c>
      <c r="J56" s="596">
        <v>11.8</v>
      </c>
      <c r="K56" s="703">
        <f t="shared" si="0"/>
        <v>12.603999999999999</v>
      </c>
      <c r="L56" s="1192">
        <v>0.30099999999999999</v>
      </c>
      <c r="M56" s="994">
        <f t="shared" si="21"/>
        <v>0.28299999999999997</v>
      </c>
      <c r="N56" s="1196">
        <f t="shared" si="30"/>
        <v>0.28299999999999997</v>
      </c>
      <c r="O56" s="645">
        <f t="shared" si="31"/>
        <v>0.28299999999999997</v>
      </c>
      <c r="P56" s="727">
        <v>90</v>
      </c>
      <c r="Q56" s="1476">
        <v>90.7</v>
      </c>
      <c r="R56" s="706">
        <v>4346.95</v>
      </c>
      <c r="S56" s="765">
        <f>IF((_xlfn.XLOOKUP(D56,RUC!$B$3:$B$119,RUC!$E$3:$E$119)+ROUNDDOWN(O56,1)*100)&lt;95,95,((_xlfn.XLOOKUP(D56,RUC!$B$3:$B$119,RUC!$E$3:$E$119)+ROUNDDOWN(O56,1)*100)))</f>
        <v>100</v>
      </c>
      <c r="U56" s="1146">
        <f>_xlfn.XLOOKUP(D56,RUC!$B$3:$B$123,RUC!$F$3:$F$123)</f>
        <v>110</v>
      </c>
      <c r="V56" s="715">
        <v>1.1023000000000001</v>
      </c>
      <c r="Y56">
        <f>_xlfn.XLOOKUP(D56,RUC!$B$3:$B$123,RUC!$G$3:$G$123)</f>
        <v>0</v>
      </c>
      <c r="Z56" s="143">
        <f>_xlfn.XLOOKUP(D56,RUC!$B$3:$B$123,RUC!$H$3:$H$123)</f>
        <v>35</v>
      </c>
      <c r="AA56" s="144">
        <f t="shared" si="1"/>
        <v>35</v>
      </c>
      <c r="AB56" s="145">
        <f t="shared" si="25"/>
        <v>1040.7378291795001</v>
      </c>
      <c r="AC56" s="145">
        <f>+(S56-T56)*V56-'data 1'!$F$4</f>
        <v>30.230000000000004</v>
      </c>
      <c r="AD56" s="145">
        <f t="shared" si="3"/>
        <v>9.8405116983950407</v>
      </c>
      <c r="AE56" s="145">
        <f t="shared" si="4"/>
        <v>-31.419499999999999</v>
      </c>
      <c r="AF56" s="145">
        <f t="shared" si="5"/>
        <v>76.248786895110058</v>
      </c>
      <c r="AG56" s="772">
        <f t="shared" si="33"/>
        <v>101.8997985935051</v>
      </c>
      <c r="AH56" s="1253">
        <f t="shared" si="7"/>
        <v>117.97499999999999</v>
      </c>
      <c r="AI56" s="1253">
        <f t="shared" si="8"/>
        <v>130.072</v>
      </c>
      <c r="AJ56" s="156">
        <f t="shared" si="9"/>
        <v>67.123689171105056</v>
      </c>
      <c r="AK56" s="156">
        <f t="shared" si="10"/>
        <v>110.06428299116632</v>
      </c>
      <c r="AM56" s="716">
        <f t="shared" si="11"/>
        <v>13117.459598978417</v>
      </c>
      <c r="AN56" s="716" t="str">
        <f>_xlfn.XLOOKUP(D56,RUC!$B$3:$B$578,RUC!$M$3:$M$578)</f>
        <v>Robinson Tuya</v>
      </c>
      <c r="AO56" s="1167" t="s">
        <v>2278</v>
      </c>
      <c r="AP56" t="s">
        <v>3828</v>
      </c>
      <c r="AQ56" t="s">
        <v>3829</v>
      </c>
    </row>
    <row r="57" spans="1:44" ht="15" customHeight="1">
      <c r="A57" s="747" t="s">
        <v>3818</v>
      </c>
      <c r="B57" s="1447">
        <v>46009</v>
      </c>
      <c r="C57" s="1447">
        <v>46004</v>
      </c>
      <c r="D57" t="s">
        <v>1265</v>
      </c>
      <c r="E57" s="762">
        <f>_xlfn.XLOOKUP(D57,RUC!$B$3:$B$123,RUC!$D$3:$D$123)</f>
        <v>20606527439</v>
      </c>
      <c r="G57" s="1082">
        <v>67</v>
      </c>
      <c r="H57" s="762" t="s">
        <v>69</v>
      </c>
      <c r="I57" s="703">
        <v>6.66</v>
      </c>
      <c r="J57" s="596">
        <v>8</v>
      </c>
      <c r="K57" s="703">
        <f t="shared" si="0"/>
        <v>6.1269999999999998</v>
      </c>
      <c r="L57" s="1192">
        <v>0.25</v>
      </c>
      <c r="M57" s="994">
        <f t="shared" si="21"/>
        <v>0.23200000000000001</v>
      </c>
      <c r="N57" s="1196">
        <f t="shared" si="30"/>
        <v>0.23200000000000001</v>
      </c>
      <c r="O57" s="645">
        <f t="shared" si="31"/>
        <v>0.23200000000000001</v>
      </c>
      <c r="P57" s="727">
        <v>90</v>
      </c>
      <c r="Q57" s="1476">
        <v>92.4</v>
      </c>
      <c r="R57" s="706">
        <v>4346.95</v>
      </c>
      <c r="S57" s="765">
        <f>IF((_xlfn.XLOOKUP(D57,RUC!$B$3:$B$119,RUC!$E$3:$E$119)+ROUNDDOWN(O57,1)*100)&lt;95,95,((_xlfn.XLOOKUP(D57,RUC!$B$3:$B$119,RUC!$E$3:$E$119)+ROUNDDOWN(O57,1)*100)))</f>
        <v>100</v>
      </c>
      <c r="U57" s="1146">
        <f>_xlfn.XLOOKUP(D57,RUC!$B$3:$B$123,RUC!$F$3:$F$123)</f>
        <v>110</v>
      </c>
      <c r="V57" s="715">
        <v>1.1023000000000001</v>
      </c>
      <c r="Y57">
        <f>_xlfn.XLOOKUP(D57,RUC!$B$3:$B$123,RUC!$G$3:$G$123)</f>
        <v>0</v>
      </c>
      <c r="Z57" s="143">
        <f>_xlfn.XLOOKUP(D57,RUC!$B$3:$B$123,RUC!$H$3:$H$123)</f>
        <v>35</v>
      </c>
      <c r="AA57" s="144">
        <f t="shared" si="1"/>
        <v>35</v>
      </c>
      <c r="AB57" s="145">
        <f t="shared" si="25"/>
        <v>826.36692886800006</v>
      </c>
      <c r="AC57" s="145">
        <f>+(S57-T57)*V57-'data 1'!$F$4</f>
        <v>30.230000000000004</v>
      </c>
      <c r="AD57" s="145">
        <f t="shared" si="3"/>
        <v>28.022339910000071</v>
      </c>
      <c r="AE57" s="145">
        <f t="shared" si="4"/>
        <v>-31.419499999999999</v>
      </c>
      <c r="AF57" s="145">
        <f t="shared" si="5"/>
        <v>77.677926230519958</v>
      </c>
      <c r="AG57" s="772">
        <f t="shared" si="33"/>
        <v>121.51076614052005</v>
      </c>
      <c r="AH57" s="1253">
        <f t="shared" si="7"/>
        <v>48.524999999999999</v>
      </c>
      <c r="AI57" s="1253">
        <f t="shared" si="8"/>
        <v>52.517000000000003</v>
      </c>
      <c r="AJ57" s="156">
        <f t="shared" si="9"/>
        <v>56.795511465000054</v>
      </c>
      <c r="AK57" s="156">
        <f t="shared" si="10"/>
        <v>43.861900355194685</v>
      </c>
      <c r="AM57" s="716">
        <f t="shared" si="11"/>
        <v>5063.1501731742364</v>
      </c>
      <c r="AN57" s="716" t="str">
        <f>_xlfn.XLOOKUP(D57,RUC!$B$3:$B$578,RUC!$M$3:$M$578)</f>
        <v>Robinson Tuya</v>
      </c>
      <c r="AO57" s="1167" t="s">
        <v>2278</v>
      </c>
      <c r="AP57" t="s">
        <v>3828</v>
      </c>
      <c r="AQ57" t="s">
        <v>3829</v>
      </c>
    </row>
    <row r="58" spans="1:44" ht="15" customHeight="1">
      <c r="A58" s="747" t="s">
        <v>3819</v>
      </c>
      <c r="B58" s="1447">
        <v>46009</v>
      </c>
      <c r="C58" s="1447">
        <v>46004</v>
      </c>
      <c r="D58" t="s">
        <v>1265</v>
      </c>
      <c r="E58" s="762">
        <f>_xlfn.XLOOKUP(D58,RUC!$B$3:$B$123,RUC!$D$3:$D$123)</f>
        <v>20606527439</v>
      </c>
      <c r="G58" s="1082">
        <v>48</v>
      </c>
      <c r="H58" s="762" t="s">
        <v>69</v>
      </c>
      <c r="I58" s="703">
        <v>5.23</v>
      </c>
      <c r="J58" s="596">
        <v>8.3000000000000007</v>
      </c>
      <c r="K58" s="703">
        <f t="shared" si="0"/>
        <v>4.7960000000000003</v>
      </c>
      <c r="L58" s="1192">
        <v>0.316</v>
      </c>
      <c r="M58" s="994">
        <f t="shared" si="21"/>
        <v>0.29699999999999999</v>
      </c>
      <c r="N58" s="1196">
        <f t="shared" si="30"/>
        <v>0.29699999999999999</v>
      </c>
      <c r="O58" s="645">
        <f t="shared" si="31"/>
        <v>0.29699999999999999</v>
      </c>
      <c r="P58" s="727">
        <v>90</v>
      </c>
      <c r="Q58" s="1476">
        <v>95.57</v>
      </c>
      <c r="R58" s="706">
        <v>4346.95</v>
      </c>
      <c r="S58" s="765">
        <f>IF((_xlfn.XLOOKUP(D58,RUC!$B$3:$B$119,RUC!$E$3:$E$119)+ROUNDDOWN(O58,1)*100)&lt;95,95,((_xlfn.XLOOKUP(D58,RUC!$B$3:$B$119,RUC!$E$3:$E$119)+ROUNDDOWN(O58,1)*100)))</f>
        <v>100</v>
      </c>
      <c r="U58" s="1146">
        <f>_xlfn.XLOOKUP(D58,RUC!$B$3:$B$123,RUC!$F$3:$F$123)</f>
        <v>110</v>
      </c>
      <c r="V58" s="715">
        <v>1.1023000000000001</v>
      </c>
      <c r="Y58">
        <f>_xlfn.XLOOKUP(D58,RUC!$B$3:$B$123,RUC!$G$3:$G$123)</f>
        <v>0</v>
      </c>
      <c r="Z58" s="143">
        <f>_xlfn.XLOOKUP(D58,RUC!$B$3:$B$123,RUC!$H$3:$H$123)</f>
        <v>35</v>
      </c>
      <c r="AA58" s="144">
        <f t="shared" si="1"/>
        <v>35</v>
      </c>
      <c r="AB58" s="145">
        <f t="shared" si="25"/>
        <v>1099.5847429905</v>
      </c>
      <c r="AC58" s="145">
        <f>+(S58-T58)*V58-'data 1'!$F$4</f>
        <v>30.230000000000004</v>
      </c>
      <c r="AD58" s="145">
        <f t="shared" si="3"/>
        <v>82.204468203981904</v>
      </c>
      <c r="AE58" s="145">
        <f t="shared" si="4"/>
        <v>-31.419499999999999</v>
      </c>
      <c r="AF58" s="145">
        <f t="shared" si="5"/>
        <v>84.806342464625573</v>
      </c>
      <c r="AG58" s="772">
        <f t="shared" si="33"/>
        <v>182.82131066860748</v>
      </c>
      <c r="AH58" s="1253">
        <f t="shared" si="7"/>
        <v>49.658999999999999</v>
      </c>
      <c r="AI58" s="1253">
        <f t="shared" si="8"/>
        <v>51.960999999999999</v>
      </c>
      <c r="AJ58" s="156">
        <f t="shared" si="9"/>
        <v>74.252435571618065</v>
      </c>
      <c r="AK58" s="156">
        <f t="shared" si="10"/>
        <v>43.952866346768943</v>
      </c>
      <c r="AM58" s="716">
        <f t="shared" si="11"/>
        <v>5273.6084273824381</v>
      </c>
      <c r="AN58" s="716" t="str">
        <f>_xlfn.XLOOKUP(D58,RUC!$B$3:$B$578,RUC!$M$3:$M$578)</f>
        <v>Robinson Tuya</v>
      </c>
      <c r="AO58" s="1167" t="s">
        <v>2278</v>
      </c>
      <c r="AP58" t="s">
        <v>3828</v>
      </c>
      <c r="AQ58" t="s">
        <v>3829</v>
      </c>
    </row>
    <row r="59" spans="1:44" ht="15" customHeight="1">
      <c r="A59" s="747" t="s">
        <v>3820</v>
      </c>
      <c r="B59" s="1447">
        <v>46009</v>
      </c>
      <c r="C59" s="1447">
        <v>46004</v>
      </c>
      <c r="D59" t="s">
        <v>2004</v>
      </c>
      <c r="E59" s="762">
        <f>_xlfn.XLOOKUP(D59,RUC!$B$3:$B$123,RUC!$D$3:$D$123)</f>
        <v>20612921866</v>
      </c>
      <c r="G59" s="1082">
        <v>50</v>
      </c>
      <c r="H59" s="762" t="s">
        <v>69</v>
      </c>
      <c r="I59" s="703">
        <v>5.63</v>
      </c>
      <c r="J59" s="596">
        <v>1.3</v>
      </c>
      <c r="K59" s="703">
        <f t="shared" si="0"/>
        <v>5.5570000000000004</v>
      </c>
      <c r="L59" s="1192">
        <v>0.49</v>
      </c>
      <c r="M59" s="994">
        <f t="shared" si="21"/>
        <v>0.46100000000000002</v>
      </c>
      <c r="N59" s="1196">
        <f t="shared" si="30"/>
        <v>0.46100000000000002</v>
      </c>
      <c r="O59" s="645">
        <f t="shared" si="31"/>
        <v>0.46100000000000002</v>
      </c>
      <c r="P59" s="727">
        <v>90</v>
      </c>
      <c r="Q59" s="1476">
        <v>97.96</v>
      </c>
      <c r="R59" s="706">
        <v>4346.95</v>
      </c>
      <c r="S59" s="765">
        <f>IF((_xlfn.XLOOKUP(D59,RUC!$B$3:$B$119,RUC!$E$3:$E$119)+ROUNDDOWN(O59,1)*100)&lt;95,95,((_xlfn.XLOOKUP(D59,RUC!$B$3:$B$119,RUC!$E$3:$E$119)+ROUNDDOWN(O59,1)*100)))</f>
        <v>120</v>
      </c>
      <c r="U59" s="1146">
        <f>_xlfn.XLOOKUP(D59,RUC!$B$3:$B$123,RUC!$F$3:$F$123)</f>
        <v>100</v>
      </c>
      <c r="V59" s="715">
        <v>1.1023000000000001</v>
      </c>
      <c r="Y59">
        <f>_xlfn.XLOOKUP(D59,RUC!$B$3:$B$123,RUC!$G$3:$G$123)</f>
        <v>0</v>
      </c>
      <c r="Z59" s="143">
        <f>_xlfn.XLOOKUP(D59,RUC!$B$3:$B$123,RUC!$H$3:$H$123)</f>
        <v>30</v>
      </c>
      <c r="AA59" s="144">
        <f t="shared" si="1"/>
        <v>30</v>
      </c>
      <c r="AB59" s="145">
        <f t="shared" si="25"/>
        <v>1776.9732474765001</v>
      </c>
      <c r="AC59" s="145">
        <f>+(S59-T59)*V59-'data 1'!$F$4</f>
        <v>52.27600000000001</v>
      </c>
      <c r="AD59" s="145">
        <f t="shared" si="3"/>
        <v>182.59383206693985</v>
      </c>
      <c r="AE59" s="145">
        <f t="shared" si="4"/>
        <v>-36.930999999999997</v>
      </c>
      <c r="AF59" s="145">
        <f t="shared" si="5"/>
        <v>132.99145264307384</v>
      </c>
      <c r="AG59" s="772">
        <f t="shared" ref="AG59:AG60" si="35">AC59+AD59+AE59+AF59+70-10</f>
        <v>390.93028471001372</v>
      </c>
      <c r="AH59" s="1253">
        <f t="shared" si="7"/>
        <v>91.451999999999998</v>
      </c>
      <c r="AI59" s="1253">
        <f t="shared" si="8"/>
        <v>93.356999999999999</v>
      </c>
      <c r="AJ59" s="156">
        <f t="shared" si="9"/>
        <v>112.72654658006009</v>
      </c>
      <c r="AK59" s="156">
        <f t="shared" si="10"/>
        <v>79.048366688308391</v>
      </c>
      <c r="AM59" s="716">
        <f t="shared" si="11"/>
        <v>9874.640336226912</v>
      </c>
      <c r="AN59" s="716" t="str">
        <f>_xlfn.XLOOKUP(D59,RUC!$B$3:$B$578,RUC!$M$3:$M$578)</f>
        <v>Ronald Garibay</v>
      </c>
      <c r="AO59" s="1167" t="s">
        <v>2280</v>
      </c>
      <c r="AP59" t="s">
        <v>3830</v>
      </c>
      <c r="AQ59" t="s">
        <v>3831</v>
      </c>
    </row>
    <row r="60" spans="1:44" ht="15" customHeight="1">
      <c r="A60" s="747" t="s">
        <v>3821</v>
      </c>
      <c r="B60" s="1447">
        <v>46009</v>
      </c>
      <c r="C60" s="1447">
        <v>46004</v>
      </c>
      <c r="D60" t="s">
        <v>2004</v>
      </c>
      <c r="E60" s="762">
        <f>_xlfn.XLOOKUP(D60,RUC!$B$3:$B$123,RUC!$D$3:$D$123)</f>
        <v>20612921866</v>
      </c>
      <c r="G60" s="1082">
        <v>50</v>
      </c>
      <c r="H60" s="762" t="s">
        <v>69</v>
      </c>
      <c r="I60" s="703">
        <v>4.79</v>
      </c>
      <c r="J60" s="596">
        <v>1.4</v>
      </c>
      <c r="K60" s="703">
        <f t="shared" si="0"/>
        <v>4.7229999999999999</v>
      </c>
      <c r="L60" s="1192">
        <v>0.57199999999999995</v>
      </c>
      <c r="M60" s="994">
        <f t="shared" si="21"/>
        <v>0.53800000000000003</v>
      </c>
      <c r="N60" s="1196">
        <f t="shared" si="30"/>
        <v>0.53800000000000003</v>
      </c>
      <c r="O60" s="645">
        <f t="shared" si="31"/>
        <v>0.53800000000000003</v>
      </c>
      <c r="P60" s="727">
        <v>90</v>
      </c>
      <c r="Q60" s="1476">
        <v>97.2</v>
      </c>
      <c r="R60" s="706">
        <v>4346.95</v>
      </c>
      <c r="S60" s="765">
        <f>IF((_xlfn.XLOOKUP(D60,RUC!$B$3:$B$119,RUC!$E$3:$E$119)+ROUNDDOWN(O60,1)*100)&lt;95,95,((_xlfn.XLOOKUP(D60,RUC!$B$3:$B$119,RUC!$E$3:$E$119)+ROUNDDOWN(O60,1)*100)))</f>
        <v>130</v>
      </c>
      <c r="U60" s="1146">
        <f>_xlfn.XLOOKUP(D60,RUC!$B$3:$B$123,RUC!$F$3:$F$123)</f>
        <v>100</v>
      </c>
      <c r="V60" s="715">
        <v>1.1023000000000001</v>
      </c>
      <c r="Y60">
        <f>_xlfn.XLOOKUP(D60,RUC!$B$3:$B$123,RUC!$G$3:$G$123)</f>
        <v>0</v>
      </c>
      <c r="Z60" s="143">
        <f>_xlfn.XLOOKUP(D60,RUC!$B$3:$B$123,RUC!$H$3:$H$123)</f>
        <v>30</v>
      </c>
      <c r="AA60" s="144">
        <f t="shared" si="1"/>
        <v>30</v>
      </c>
      <c r="AB60" s="145">
        <f t="shared" si="25"/>
        <v>2090.3721673370001</v>
      </c>
      <c r="AC60" s="145">
        <f>+(S60-T60)*V60-'data 1'!$F$4</f>
        <v>63.299000000000007</v>
      </c>
      <c r="AD60" s="145">
        <f t="shared" si="3"/>
        <v>192.79931237424006</v>
      </c>
      <c r="AE60" s="145">
        <f t="shared" si="4"/>
        <v>-36.930999999999997</v>
      </c>
      <c r="AF60" s="145">
        <f t="shared" si="5"/>
        <v>154.71133632827966</v>
      </c>
      <c r="AG60" s="772">
        <f t="shared" si="35"/>
        <v>433.87864870251974</v>
      </c>
      <c r="AH60" s="1253">
        <f t="shared" si="7"/>
        <v>90.03</v>
      </c>
      <c r="AI60" s="1253">
        <f t="shared" si="8"/>
        <v>92.623999999999995</v>
      </c>
      <c r="AJ60" s="156">
        <f t="shared" si="9"/>
        <v>130.5700708197601</v>
      </c>
      <c r="AK60" s="156">
        <f t="shared" si="10"/>
        <v>78.406451653464643</v>
      </c>
      <c r="AM60" s="716">
        <f t="shared" si="11"/>
        <v>9872.8277463326503</v>
      </c>
      <c r="AN60" s="716" t="str">
        <f>_xlfn.XLOOKUP(D60,RUC!$B$3:$B$578,RUC!$M$3:$M$578)</f>
        <v>Ronald Garibay</v>
      </c>
      <c r="AO60" s="1167" t="s">
        <v>2280</v>
      </c>
      <c r="AP60" t="s">
        <v>3830</v>
      </c>
      <c r="AQ60" t="s">
        <v>3831</v>
      </c>
    </row>
    <row r="61" spans="1:44" ht="15" customHeight="1">
      <c r="A61" s="747" t="s">
        <v>3832</v>
      </c>
      <c r="B61" s="1447">
        <v>46011</v>
      </c>
      <c r="C61" s="1447">
        <v>46005</v>
      </c>
      <c r="D61" t="s">
        <v>1484</v>
      </c>
      <c r="E61" s="762">
        <f>_xlfn.XLOOKUP(D61,RUC!$B$3:$B$123,RUC!$D$3:$D$123)</f>
        <v>10761932735</v>
      </c>
      <c r="G61" s="1082" t="s">
        <v>2985</v>
      </c>
      <c r="H61" s="762" t="s">
        <v>69</v>
      </c>
      <c r="I61" s="703">
        <v>34.74</v>
      </c>
      <c r="J61" s="596">
        <v>7.4</v>
      </c>
      <c r="K61" s="703">
        <f t="shared" si="0"/>
        <v>32.168999999999997</v>
      </c>
      <c r="L61" s="1192">
        <v>0.152</v>
      </c>
      <c r="M61" s="994">
        <f t="shared" si="21"/>
        <v>0.13400000000000001</v>
      </c>
      <c r="N61" s="1196">
        <f t="shared" si="30"/>
        <v>0.13400000000000001</v>
      </c>
      <c r="O61" s="645">
        <f t="shared" si="31"/>
        <v>0.13400000000000001</v>
      </c>
      <c r="P61" s="727">
        <v>85</v>
      </c>
      <c r="Q61" s="1476">
        <v>92.11</v>
      </c>
      <c r="R61" s="706">
        <v>4315.8500000000004</v>
      </c>
      <c r="S61" s="765">
        <f>IF((_xlfn.XLOOKUP(D61,RUC!$B$3:$B$119,RUC!$E$3:$E$119)+ROUNDDOWN(O61,1)*100)&lt;95,95,((_xlfn.XLOOKUP(D61,RUC!$B$3:$B$119,RUC!$E$3:$E$119)+ROUNDDOWN(O61,1)*100)))</f>
        <v>100</v>
      </c>
      <c r="U61" s="1146">
        <f>_xlfn.XLOOKUP(D61,RUC!$B$3:$B$123,RUC!$F$3:$F$123)</f>
        <v>120</v>
      </c>
      <c r="V61" s="715">
        <v>1.1023000000000001</v>
      </c>
      <c r="Y61">
        <f>_xlfn.XLOOKUP(D61,RUC!$B$3:$B$123,RUC!$G$3:$G$123)</f>
        <v>20</v>
      </c>
      <c r="Z61" s="143">
        <f>_xlfn.XLOOKUP(D61,RUC!$B$3:$B$123,RUC!$H$3:$H$123)</f>
        <v>30</v>
      </c>
      <c r="AA61" s="144">
        <f t="shared" si="1"/>
        <v>50</v>
      </c>
      <c r="AB61" s="145">
        <f t="shared" si="25"/>
        <v>361.45223332450013</v>
      </c>
      <c r="AC61" s="145">
        <f>+(S61-T61)*V61-'data 1'!$F$4</f>
        <v>30.230000000000004</v>
      </c>
      <c r="AD61" s="145">
        <f t="shared" si="3"/>
        <v>49.984223529276008</v>
      </c>
      <c r="AE61" s="145">
        <f t="shared" si="4"/>
        <v>-14.884999999999998</v>
      </c>
      <c r="AF61" s="145">
        <f t="shared" si="5"/>
        <v>76.682991826808973</v>
      </c>
      <c r="AG61" s="772">
        <f t="shared" ref="AG61:AG64" si="36">AC61+AD61+AE61+AF61+70-53</f>
        <v>159.01221535608499</v>
      </c>
      <c r="AH61" s="1253">
        <f t="shared" si="7"/>
        <v>154.41800000000001</v>
      </c>
      <c r="AI61" s="1253">
        <f t="shared" si="8"/>
        <v>167.64500000000001</v>
      </c>
      <c r="AJ61" s="156">
        <f t="shared" si="9"/>
        <v>40.766252742323942</v>
      </c>
      <c r="AK61" s="156">
        <f t="shared" si="10"/>
        <v>125.62334522775328</v>
      </c>
      <c r="AM61" s="716">
        <f t="shared" si="11"/>
        <v>11627.556893815843</v>
      </c>
      <c r="AN61" s="716" t="str">
        <f>_xlfn.XLOOKUP(D61,RUC!$B$3:$B$578,RUC!$M$3:$M$578)</f>
        <v>Richard Sapacayo</v>
      </c>
      <c r="AO61" s="1167" t="s">
        <v>2278</v>
      </c>
      <c r="AP61" t="s">
        <v>3977</v>
      </c>
      <c r="AQ61" t="s">
        <v>3744</v>
      </c>
    </row>
    <row r="62" spans="1:44" ht="15" customHeight="1">
      <c r="A62" s="747" t="s">
        <v>3833</v>
      </c>
      <c r="B62" s="1447">
        <v>46010</v>
      </c>
      <c r="C62" s="1447">
        <v>46005</v>
      </c>
      <c r="D62" t="s">
        <v>2368</v>
      </c>
      <c r="E62" s="762">
        <f>_xlfn.XLOOKUP(D62,RUC!$B$3:$B$123,RUC!$D$3:$D$123)</f>
        <v>20612719757</v>
      </c>
      <c r="G62" s="1082">
        <v>50</v>
      </c>
      <c r="H62" s="762" t="s">
        <v>2005</v>
      </c>
      <c r="I62" s="703">
        <v>4.28</v>
      </c>
      <c r="J62" s="596">
        <v>11.7</v>
      </c>
      <c r="K62" s="703">
        <f t="shared" si="0"/>
        <v>3.7789999999999999</v>
      </c>
      <c r="L62" s="1192">
        <v>0.23899999999999999</v>
      </c>
      <c r="M62" s="994">
        <f t="shared" si="21"/>
        <v>0.221</v>
      </c>
      <c r="N62" s="1196">
        <f t="shared" si="30"/>
        <v>0.221</v>
      </c>
      <c r="O62" s="645">
        <f t="shared" si="31"/>
        <v>0.221</v>
      </c>
      <c r="P62" s="727">
        <v>90</v>
      </c>
      <c r="Q62" s="1476">
        <v>92.05</v>
      </c>
      <c r="R62" s="706">
        <v>4315.8500000000004</v>
      </c>
      <c r="S62" s="765">
        <f>IF((_xlfn.XLOOKUP(D62,RUC!$B$3:$B$119,RUC!$E$3:$E$119)+ROUNDDOWN(O62,1)*100)&lt;95,95,((_xlfn.XLOOKUP(D62,RUC!$B$3:$B$119,RUC!$E$3:$E$119)+ROUNDDOWN(O62,1)*100)))</f>
        <v>110</v>
      </c>
      <c r="U62" s="1146">
        <f>_xlfn.XLOOKUP(D62,RUC!$B$3:$B$123,RUC!$F$3:$F$123)</f>
        <v>120</v>
      </c>
      <c r="V62" s="715">
        <v>1.1023000000000001</v>
      </c>
      <c r="Y62">
        <f>_xlfn.XLOOKUP(D62,RUC!$B$3:$B$123,RUC!$G$3:$G$123)</f>
        <v>20</v>
      </c>
      <c r="Z62" s="143">
        <f>_xlfn.XLOOKUP(D62,RUC!$B$3:$B$123,RUC!$H$3:$H$123)</f>
        <v>30</v>
      </c>
      <c r="AA62" s="144">
        <f t="shared" si="1"/>
        <v>50</v>
      </c>
      <c r="AB62" s="145">
        <f t="shared" si="25"/>
        <v>743.56149699950015</v>
      </c>
      <c r="AC62" s="145">
        <f>+(S62-T62)*V62-'data 1'!$F$4</f>
        <v>41.253</v>
      </c>
      <c r="AD62" s="145">
        <f t="shared" si="3"/>
        <v>22.660606186772476</v>
      </c>
      <c r="AE62" s="145">
        <f t="shared" si="4"/>
        <v>-14.884999999999998</v>
      </c>
      <c r="AF62" s="145">
        <f t="shared" si="5"/>
        <v>76.633040903894965</v>
      </c>
      <c r="AG62" s="772">
        <f t="shared" si="36"/>
        <v>142.66164709066743</v>
      </c>
      <c r="AH62" s="1253">
        <f t="shared" si="7"/>
        <v>28.504000000000001</v>
      </c>
      <c r="AI62" s="1253">
        <f t="shared" si="8"/>
        <v>30.966000000000001</v>
      </c>
      <c r="AJ62" s="156">
        <f t="shared" si="9"/>
        <v>64.057814313727405</v>
      </c>
      <c r="AK62" s="156">
        <f t="shared" si="10"/>
        <v>25.770375358604955</v>
      </c>
      <c r="AM62" s="716">
        <f t="shared" si="11"/>
        <v>2809.9188971611111</v>
      </c>
      <c r="AN62" s="716" t="str">
        <f>_xlfn.XLOOKUP(D62,RUC!$B$3:$B$578,RUC!$M$3:$M$578)</f>
        <v>SIN ACOPIADOR</v>
      </c>
      <c r="AO62" s="1167" t="s">
        <v>2278</v>
      </c>
      <c r="AP62" t="s">
        <v>3639</v>
      </c>
      <c r="AQ62" t="s">
        <v>3852</v>
      </c>
    </row>
    <row r="63" spans="1:44" ht="15" customHeight="1">
      <c r="A63" s="747" t="s">
        <v>3834</v>
      </c>
      <c r="B63" s="1447">
        <v>46010</v>
      </c>
      <c r="C63" s="1447">
        <v>46005</v>
      </c>
      <c r="D63" t="s">
        <v>2368</v>
      </c>
      <c r="E63" s="762">
        <f>_xlfn.XLOOKUP(D63,RUC!$B$3:$B$123,RUC!$D$3:$D$123)</f>
        <v>20612719757</v>
      </c>
      <c r="G63" s="1082">
        <v>50</v>
      </c>
      <c r="H63" s="762" t="s">
        <v>2005</v>
      </c>
      <c r="I63" s="703">
        <v>3.74</v>
      </c>
      <c r="J63" s="596">
        <v>13.2</v>
      </c>
      <c r="K63" s="703">
        <f t="shared" ref="K63:K70" si="37">ROUND(+I63-(I63*(J63/100)),3)</f>
        <v>3.246</v>
      </c>
      <c r="L63" s="1192">
        <v>0.26100000000000001</v>
      </c>
      <c r="M63" s="994">
        <f t="shared" si="21"/>
        <v>0.24299999999999999</v>
      </c>
      <c r="N63" s="1196">
        <f t="shared" si="30"/>
        <v>0.24299999999999999</v>
      </c>
      <c r="O63" s="645">
        <f t="shared" si="31"/>
        <v>0.24299999999999999</v>
      </c>
      <c r="P63" s="727">
        <v>90</v>
      </c>
      <c r="Q63" s="1476">
        <v>95.02</v>
      </c>
      <c r="R63" s="706">
        <v>4315.8500000000004</v>
      </c>
      <c r="S63" s="765">
        <f>IF((_xlfn.XLOOKUP(D63,RUC!$B$3:$B$119,RUC!$E$3:$E$119)+ROUNDDOWN(O63,1)*100)&lt;95,95,((_xlfn.XLOOKUP(D63,RUC!$B$3:$B$119,RUC!$E$3:$E$119)+ROUNDDOWN(O63,1)*100)))</f>
        <v>110</v>
      </c>
      <c r="U63" s="1146">
        <f>_xlfn.XLOOKUP(D63,RUC!$B$3:$B$123,RUC!$F$3:$F$123)</f>
        <v>120</v>
      </c>
      <c r="V63" s="715">
        <v>1.1023000000000001</v>
      </c>
      <c r="Y63">
        <f>_xlfn.XLOOKUP(D63,RUC!$B$3:$B$123,RUC!$G$3:$G$123)</f>
        <v>20</v>
      </c>
      <c r="Z63" s="143">
        <f>_xlfn.XLOOKUP(D63,RUC!$B$3:$B$123,RUC!$H$3:$H$123)</f>
        <v>30</v>
      </c>
      <c r="AA63" s="144">
        <f t="shared" ref="AA63:AA70" si="38">+Y63+Z63</f>
        <v>50</v>
      </c>
      <c r="AB63" s="145">
        <f t="shared" si="25"/>
        <v>835.13818900850015</v>
      </c>
      <c r="AC63" s="145">
        <f>+(S63-T63)*V63-'data 1'!$F$4</f>
        <v>41.253</v>
      </c>
      <c r="AD63" s="145">
        <f t="shared" ref="AD63:AD70" si="39">+(Q63-P63)*(R63-U63)*L63*V63/100</f>
        <v>60.59879464850097</v>
      </c>
      <c r="AE63" s="145">
        <f t="shared" ref="AE63:AE70" si="40">+(Y63*V63-70)+V63*(Z63-IF(D63="UNTUCA",IF(+((W63-3)*2.5+(X63-3)*3.1)&gt;0,+((W63-3)*1.5+(X63-3)*3.1),0),IF(+((W63-3)*1.5+(X63-3)*3.1)&gt;0,+((W63-3)*1.5+(X63-3)*3.1),0)))</f>
        <v>-14.884999999999998</v>
      </c>
      <c r="AF63" s="145">
        <f t="shared" ref="AF63:AF70" si="41">(L63-O63)*(R63-U63)*Q63*V63/100</f>
        <v>79.105611588138075</v>
      </c>
      <c r="AG63" s="772">
        <f t="shared" si="36"/>
        <v>183.07240623663904</v>
      </c>
      <c r="AH63" s="1253">
        <f t="shared" ref="AH63:AH70" si="42">ROUND((31.1035*L63*Q63*1.1023*K63/100),3)</f>
        <v>27.6</v>
      </c>
      <c r="AI63" s="1253">
        <f t="shared" ref="AI63:AI70" si="43">ROUND((31.1035*L63*1.1023*K63),3)</f>
        <v>29.047000000000001</v>
      </c>
      <c r="AJ63" s="156">
        <f t="shared" ref="AJ63:AJ70" si="44">+((+$AJ$2-R63+U63)*L63*Q63*V63)/100</f>
        <v>72.211431739598893</v>
      </c>
      <c r="AK63" s="156">
        <f t="shared" ref="AK63:AK70" si="45">31.1035*1.1023*K63*P63*O63/100</f>
        <v>24.339203833772611</v>
      </c>
      <c r="AM63" s="716">
        <f t="shared" ref="AM63:AM70" si="46">+IF(AB63*K63&gt;0,AB63*K63,0)</f>
        <v>2710.8585615215916</v>
      </c>
      <c r="AN63" s="716" t="str">
        <f>_xlfn.XLOOKUP(D63,RUC!$B$3:$B$578,RUC!$M$3:$M$578)</f>
        <v>SIN ACOPIADOR</v>
      </c>
      <c r="AO63" s="1167" t="s">
        <v>2278</v>
      </c>
      <c r="AP63" t="s">
        <v>3639</v>
      </c>
      <c r="AQ63" t="s">
        <v>3852</v>
      </c>
    </row>
    <row r="64" spans="1:44" ht="15" customHeight="1">
      <c r="A64" s="747" t="s">
        <v>3835</v>
      </c>
      <c r="B64" s="1447">
        <v>46010</v>
      </c>
      <c r="C64" s="1447">
        <v>46005</v>
      </c>
      <c r="D64" t="s">
        <v>2368</v>
      </c>
      <c r="E64" s="762">
        <f>_xlfn.XLOOKUP(D64,RUC!$B$3:$B$123,RUC!$D$3:$D$123)</f>
        <v>20612719757</v>
      </c>
      <c r="G64" s="1082">
        <v>50</v>
      </c>
      <c r="H64" s="762" t="s">
        <v>2005</v>
      </c>
      <c r="I64" s="703">
        <v>3.69</v>
      </c>
      <c r="J64" s="596">
        <v>11.4</v>
      </c>
      <c r="K64" s="703">
        <f t="shared" si="37"/>
        <v>3.2690000000000001</v>
      </c>
      <c r="L64" s="1192">
        <v>0.34799999999999998</v>
      </c>
      <c r="M64" s="994">
        <f t="shared" si="21"/>
        <v>0.32700000000000001</v>
      </c>
      <c r="N64" s="1196">
        <f t="shared" si="30"/>
        <v>0.32700000000000001</v>
      </c>
      <c r="O64" s="645">
        <f t="shared" si="31"/>
        <v>0.32700000000000001</v>
      </c>
      <c r="P64" s="727">
        <v>90</v>
      </c>
      <c r="Q64" s="1476">
        <v>94.25</v>
      </c>
      <c r="R64" s="706">
        <v>4315.8500000000004</v>
      </c>
      <c r="S64" s="765">
        <f>IF((_xlfn.XLOOKUP(D64,RUC!$B$3:$B$119,RUC!$E$3:$E$119)+ROUNDDOWN(O64,1)*100)&lt;95,95,((_xlfn.XLOOKUP(D64,RUC!$B$3:$B$119,RUC!$E$3:$E$119)+ROUNDDOWN(O64,1)*100)))</f>
        <v>120</v>
      </c>
      <c r="U64" s="1146">
        <f>_xlfn.XLOOKUP(D64,RUC!$B$3:$B$123,RUC!$F$3:$F$123)</f>
        <v>120</v>
      </c>
      <c r="V64" s="715">
        <v>1.1023000000000001</v>
      </c>
      <c r="Y64">
        <f>_xlfn.XLOOKUP(D64,RUC!$B$3:$B$123,RUC!$G$3:$G$123)</f>
        <v>20</v>
      </c>
      <c r="Z64" s="143">
        <f>_xlfn.XLOOKUP(D64,RUC!$B$3:$B$123,RUC!$H$3:$H$123)</f>
        <v>30</v>
      </c>
      <c r="AA64" s="144">
        <f t="shared" si="38"/>
        <v>50</v>
      </c>
      <c r="AB64" s="145">
        <f t="shared" si="25"/>
        <v>1173.7716494065003</v>
      </c>
      <c r="AC64" s="145">
        <f>+(S64-T64)*V64-'data 1'!$F$4</f>
        <v>52.27600000000001</v>
      </c>
      <c r="AD64" s="145">
        <f t="shared" si="39"/>
        <v>68.40501387945001</v>
      </c>
      <c r="AE64" s="145">
        <f t="shared" si="40"/>
        <v>-14.884999999999998</v>
      </c>
      <c r="AF64" s="145">
        <f t="shared" si="41"/>
        <v>91.542003868087335</v>
      </c>
      <c r="AG64" s="772">
        <f t="shared" si="36"/>
        <v>214.33801774753738</v>
      </c>
      <c r="AH64" s="1253">
        <f t="shared" si="42"/>
        <v>36.761000000000003</v>
      </c>
      <c r="AI64" s="1253">
        <f t="shared" si="43"/>
        <v>39.003</v>
      </c>
      <c r="AJ64" s="156">
        <f t="shared" si="44"/>
        <v>95.501683034549856</v>
      </c>
      <c r="AK64" s="156">
        <f t="shared" si="45"/>
        <v>32.984830139482938</v>
      </c>
      <c r="AM64" s="716">
        <f t="shared" si="46"/>
        <v>3837.0595219098495</v>
      </c>
      <c r="AN64" s="716" t="str">
        <f>_xlfn.XLOOKUP(D64,RUC!$B$3:$B$578,RUC!$M$3:$M$578)</f>
        <v>SIN ACOPIADOR</v>
      </c>
      <c r="AO64" s="1167" t="s">
        <v>2278</v>
      </c>
      <c r="AP64" t="s">
        <v>3639</v>
      </c>
      <c r="AQ64" t="s">
        <v>3852</v>
      </c>
    </row>
    <row r="65" spans="1:43" ht="15" customHeight="1">
      <c r="A65" s="747" t="s">
        <v>3837</v>
      </c>
      <c r="B65" s="1447">
        <v>46013</v>
      </c>
      <c r="C65" s="1447">
        <v>46007</v>
      </c>
      <c r="D65" t="s">
        <v>2004</v>
      </c>
      <c r="E65" s="762">
        <f>_xlfn.XLOOKUP(D65,RUC!$B$3:$B$123,RUC!$D$3:$D$123)</f>
        <v>20612921866</v>
      </c>
      <c r="G65" s="1082" t="s">
        <v>2985</v>
      </c>
      <c r="H65" s="762" t="s">
        <v>69</v>
      </c>
      <c r="I65" s="703">
        <v>10.54</v>
      </c>
      <c r="J65" s="596">
        <v>1.2</v>
      </c>
      <c r="K65" s="703">
        <f t="shared" si="37"/>
        <v>10.414</v>
      </c>
      <c r="L65" s="1192">
        <v>0.19900000000000001</v>
      </c>
      <c r="M65" s="994">
        <f t="shared" si="21"/>
        <v>0.18099999999999999</v>
      </c>
      <c r="N65" s="1196">
        <f t="shared" si="30"/>
        <v>0.18099999999999999</v>
      </c>
      <c r="O65" s="645">
        <f t="shared" si="31"/>
        <v>0.18099999999999999</v>
      </c>
      <c r="P65" s="727">
        <v>90</v>
      </c>
      <c r="Q65" s="1476">
        <v>92.46</v>
      </c>
      <c r="R65" s="706">
        <v>4324.2</v>
      </c>
      <c r="S65" s="765">
        <f>IF((_xlfn.XLOOKUP(D65,RUC!$B$3:$B$119,RUC!$E$3:$E$119)+ROUNDDOWN(O65,1)*100)&lt;95,95,((_xlfn.XLOOKUP(D65,RUC!$B$3:$B$119,RUC!$E$3:$E$119)+ROUNDDOWN(O65,1)*100)))</f>
        <v>95</v>
      </c>
      <c r="U65" s="1146">
        <f>_xlfn.XLOOKUP(D65,RUC!$B$3:$B$123,RUC!$F$3:$F$123)</f>
        <v>100</v>
      </c>
      <c r="V65" s="715">
        <v>1.1023000000000001</v>
      </c>
      <c r="Y65">
        <f>_xlfn.XLOOKUP(D65,RUC!$B$3:$B$123,RUC!$G$3:$G$123)</f>
        <v>0</v>
      </c>
      <c r="Z65" s="143">
        <f>_xlfn.XLOOKUP(D65,RUC!$B$3:$B$123,RUC!$H$3:$H$123)</f>
        <v>30</v>
      </c>
      <c r="AA65" s="144">
        <f t="shared" si="38"/>
        <v>30</v>
      </c>
      <c r="AB65" s="145">
        <f t="shared" si="25"/>
        <v>620.72957901400002</v>
      </c>
      <c r="AC65" s="145">
        <f>+(S65-T65)*V65-'data 1'!$F$4</f>
        <v>24.718500000000006</v>
      </c>
      <c r="AD65" s="145">
        <f t="shared" si="39"/>
        <v>22.794625589963943</v>
      </c>
      <c r="AE65" s="145">
        <f t="shared" si="40"/>
        <v>-36.930999999999997</v>
      </c>
      <c r="AF65" s="145">
        <f t="shared" si="41"/>
        <v>77.494463122248064</v>
      </c>
      <c r="AG65" s="772">
        <f>AC65+AD65+AE65+AF65+70-10</f>
        <v>148.07658871221201</v>
      </c>
      <c r="AH65" s="1253">
        <f t="shared" si="42"/>
        <v>65.694999999999993</v>
      </c>
      <c r="AI65" s="1253">
        <f t="shared" si="43"/>
        <v>71.052999999999997</v>
      </c>
      <c r="AJ65" s="156">
        <f t="shared" si="44"/>
        <v>47.824514917236037</v>
      </c>
      <c r="AK65" s="156">
        <f t="shared" si="45"/>
        <v>58.16312427477483</v>
      </c>
      <c r="AM65" s="716">
        <f t="shared" si="46"/>
        <v>6464.2778358517962</v>
      </c>
      <c r="AN65" s="716" t="str">
        <f>_xlfn.XLOOKUP(D65,RUC!$B$3:$B$578,RUC!$M$3:$M$578)</f>
        <v>Ronald Garibay</v>
      </c>
      <c r="AO65" s="1167" t="s">
        <v>2280</v>
      </c>
      <c r="AP65" t="s">
        <v>3853</v>
      </c>
      <c r="AQ65" t="s">
        <v>3854</v>
      </c>
    </row>
    <row r="66" spans="1:43" ht="15" customHeight="1">
      <c r="A66" s="747" t="s">
        <v>3851</v>
      </c>
      <c r="B66" s="1447">
        <v>46019</v>
      </c>
      <c r="C66" s="1447">
        <v>46008</v>
      </c>
      <c r="D66" t="s">
        <v>1484</v>
      </c>
      <c r="E66" s="762">
        <f>_xlfn.XLOOKUP(D66,RUC!$B$3:$B$123,RUC!$D$3:$D$123)</f>
        <v>10761932735</v>
      </c>
      <c r="G66" s="1082" t="s">
        <v>2985</v>
      </c>
      <c r="H66" s="762" t="s">
        <v>69</v>
      </c>
      <c r="I66" s="703">
        <v>22.35</v>
      </c>
      <c r="J66" s="596">
        <v>7.8</v>
      </c>
      <c r="K66" s="703">
        <f t="shared" si="37"/>
        <v>20.606999999999999</v>
      </c>
      <c r="L66" s="1192">
        <v>0.11799999999999999</v>
      </c>
      <c r="M66" s="994">
        <f t="shared" si="21"/>
        <v>0.1</v>
      </c>
      <c r="N66" s="1444">
        <v>0.152</v>
      </c>
      <c r="O66" s="645">
        <f t="shared" si="31"/>
        <v>0.126</v>
      </c>
      <c r="P66" s="727">
        <v>80</v>
      </c>
      <c r="Q66" s="1476">
        <v>97.46</v>
      </c>
      <c r="R66" s="706">
        <v>4342.1000000000004</v>
      </c>
      <c r="S66" s="765">
        <f>IF((_xlfn.XLOOKUP(D66,RUC!$B$3:$B$119,RUC!$E$3:$E$119)+ROUNDDOWN(O66,1)*100)&lt;95,95,((_xlfn.XLOOKUP(D66,RUC!$B$3:$B$119,RUC!$E$3:$E$119)+ROUNDDOWN(O66,1)*100)))</f>
        <v>100</v>
      </c>
      <c r="U66" s="1146">
        <f>_xlfn.XLOOKUP(D66,RUC!$B$3:$B$123,RUC!$F$3:$F$123)</f>
        <v>120</v>
      </c>
      <c r="V66" s="715">
        <v>1.1023000000000001</v>
      </c>
      <c r="Y66">
        <f>_xlfn.XLOOKUP(D66,RUC!$B$3:$B$123,RUC!$G$3:$G$123)</f>
        <v>20</v>
      </c>
      <c r="Z66" s="143">
        <f>_xlfn.XLOOKUP(D66,RUC!$B$3:$B$123,RUC!$H$3:$H$123)</f>
        <v>30</v>
      </c>
      <c r="AA66" s="144">
        <f t="shared" si="38"/>
        <v>50</v>
      </c>
      <c r="AB66" s="145">
        <f t="shared" ref="AB66:AB69" si="47">+((O66*P66*(R66-U66)/100)-S66-AA66+T66)*V66</f>
        <v>303.78029966400004</v>
      </c>
      <c r="AC66" s="145">
        <f>+(S66-T66)*V66-'data 1'!$F$4</f>
        <v>30.230000000000004</v>
      </c>
      <c r="AD66" s="145">
        <f t="shared" si="39"/>
        <v>95.885860356323974</v>
      </c>
      <c r="AE66" s="145">
        <f t="shared" si="40"/>
        <v>-14.884999999999998</v>
      </c>
      <c r="AF66" s="145">
        <f t="shared" si="41"/>
        <v>-36.286469607344031</v>
      </c>
      <c r="AG66" s="772">
        <f t="shared" ref="AG66:AG68" si="48">AC66+AD66+AE66+AF66+70-53</f>
        <v>91.944390748979941</v>
      </c>
      <c r="AH66" s="1253">
        <f t="shared" si="42"/>
        <v>81.251999999999995</v>
      </c>
      <c r="AI66" s="1253">
        <f t="shared" si="43"/>
        <v>83.369</v>
      </c>
      <c r="AJ66" s="156">
        <f t="shared" si="44"/>
        <v>30.158008814075952</v>
      </c>
      <c r="AK66" s="156">
        <f t="shared" si="45"/>
        <v>71.217114347872069</v>
      </c>
      <c r="AM66" s="716">
        <f t="shared" si="46"/>
        <v>6260.0006351760485</v>
      </c>
      <c r="AN66" s="716" t="str">
        <f>_xlfn.XLOOKUP(D66,RUC!$B$3:$B$578,RUC!$M$3:$M$578)</f>
        <v>Richard Sapacayo</v>
      </c>
      <c r="AO66" s="1167" t="s">
        <v>2280</v>
      </c>
      <c r="AP66" t="s">
        <v>3857</v>
      </c>
      <c r="AQ66" t="s">
        <v>3858</v>
      </c>
    </row>
    <row r="67" spans="1:43" ht="15" customHeight="1">
      <c r="A67" s="747" t="s">
        <v>3866</v>
      </c>
      <c r="B67" s="1447">
        <v>46015</v>
      </c>
      <c r="C67" s="1447">
        <v>46009</v>
      </c>
      <c r="D67" t="s">
        <v>2444</v>
      </c>
      <c r="E67" s="762">
        <f>_xlfn.XLOOKUP(D67,RUC!$B$3:$B$123,RUC!$D$3:$D$123)</f>
        <v>20608774000</v>
      </c>
      <c r="G67" s="1082">
        <v>36</v>
      </c>
      <c r="H67" s="762" t="s">
        <v>69</v>
      </c>
      <c r="I67" s="703">
        <v>3.06</v>
      </c>
      <c r="J67" s="596">
        <v>1.1499999999999999</v>
      </c>
      <c r="K67" s="703">
        <f t="shared" si="37"/>
        <v>3.0249999999999999</v>
      </c>
      <c r="L67" s="1192">
        <v>0.27200000000000002</v>
      </c>
      <c r="M67" s="994">
        <f t="shared" ref="M67:M70" si="49">ROUND(+IF(AN67="Melchor Vera",IF(L67&gt;0.467,L67*0.985,(L67-0.007)),IF(L67&gt;0.3,L67*0.94,(L67-0.018))),3)</f>
        <v>0.254</v>
      </c>
      <c r="N67" s="1196">
        <f t="shared" ref="N67:N70" si="50">+M67</f>
        <v>0.254</v>
      </c>
      <c r="O67" s="645">
        <f t="shared" si="31"/>
        <v>0.254</v>
      </c>
      <c r="P67" s="727">
        <v>90</v>
      </c>
      <c r="Q67" s="1476">
        <v>96.32</v>
      </c>
      <c r="R67" s="706">
        <v>4333.3500000000004</v>
      </c>
      <c r="S67" s="765">
        <f>IF((_xlfn.XLOOKUP(D67,RUC!$B$3:$B$119,RUC!$E$3:$E$119)+ROUNDDOWN(O67,1)*100)&lt;95,95,((_xlfn.XLOOKUP(D67,RUC!$B$3:$B$119,RUC!$E$3:$E$119)+ROUNDDOWN(O67,1)*100)))</f>
        <v>105</v>
      </c>
      <c r="U67" s="1146">
        <f>_xlfn.XLOOKUP(D67,RUC!$B$3:$B$123,RUC!$F$3:$F$123)</f>
        <v>120</v>
      </c>
      <c r="V67" s="715">
        <v>1.1023000000000001</v>
      </c>
      <c r="Y67" s="1445">
        <v>25</v>
      </c>
      <c r="Z67" s="1454">
        <v>35</v>
      </c>
      <c r="AA67" s="144">
        <f t="shared" si="38"/>
        <v>60</v>
      </c>
      <c r="AB67" s="145">
        <f t="shared" si="47"/>
        <v>879.82478616300023</v>
      </c>
      <c r="AC67" s="145">
        <f>+(S67-T67)*V67-'data 1'!$F$4</f>
        <v>35.741500000000002</v>
      </c>
      <c r="AD67" s="145">
        <f t="shared" si="39"/>
        <v>79.838676119231934</v>
      </c>
      <c r="AE67" s="145">
        <f t="shared" si="40"/>
        <v>-3.8619999999999948</v>
      </c>
      <c r="AF67" s="145">
        <f t="shared" si="41"/>
        <v>80.522328223008074</v>
      </c>
      <c r="AG67" s="772">
        <f t="shared" si="48"/>
        <v>209.24050434224</v>
      </c>
      <c r="AH67" s="1253">
        <f t="shared" si="42"/>
        <v>27.172000000000001</v>
      </c>
      <c r="AI67" s="1253">
        <f t="shared" si="43"/>
        <v>28.21</v>
      </c>
      <c r="AJ67" s="156">
        <f t="shared" si="44"/>
        <v>71.230551219967907</v>
      </c>
      <c r="AK67" s="156">
        <f t="shared" si="45"/>
        <v>23.708860117395751</v>
      </c>
      <c r="AM67" s="716">
        <f t="shared" si="46"/>
        <v>2661.4699781430754</v>
      </c>
      <c r="AN67" s="716" t="str">
        <f>_xlfn.XLOOKUP(D67,RUC!$B$3:$B$578,RUC!$M$3:$M$578)</f>
        <v>Ronald Miranda</v>
      </c>
      <c r="AO67" s="1167" t="s">
        <v>2280</v>
      </c>
      <c r="AP67" t="s">
        <v>3901</v>
      </c>
      <c r="AQ67" t="s">
        <v>3902</v>
      </c>
    </row>
    <row r="68" spans="1:43" ht="15" customHeight="1">
      <c r="A68" s="747" t="s">
        <v>3867</v>
      </c>
      <c r="B68" s="1447">
        <v>46015</v>
      </c>
      <c r="C68" s="1447">
        <v>46009</v>
      </c>
      <c r="D68" t="s">
        <v>2444</v>
      </c>
      <c r="E68" s="762">
        <f>_xlfn.XLOOKUP(D68,RUC!$B$3:$B$123,RUC!$D$3:$D$123)</f>
        <v>20608774000</v>
      </c>
      <c r="G68" s="1082">
        <v>55</v>
      </c>
      <c r="H68" s="762" t="s">
        <v>69</v>
      </c>
      <c r="I68" s="703">
        <v>4.5999999999999996</v>
      </c>
      <c r="J68" s="596">
        <v>1.1499999999999999</v>
      </c>
      <c r="K68" s="703">
        <f t="shared" si="37"/>
        <v>4.5469999999999997</v>
      </c>
      <c r="L68" s="1192">
        <v>0.42399999999999999</v>
      </c>
      <c r="M68" s="994">
        <f t="shared" si="49"/>
        <v>0.39900000000000002</v>
      </c>
      <c r="N68" s="1196">
        <f t="shared" si="50"/>
        <v>0.39900000000000002</v>
      </c>
      <c r="O68" s="645">
        <f t="shared" si="31"/>
        <v>0.39900000000000002</v>
      </c>
      <c r="P68" s="727">
        <v>90</v>
      </c>
      <c r="Q68" s="1476">
        <v>97.88</v>
      </c>
      <c r="R68" s="706">
        <v>4333.3500000000004</v>
      </c>
      <c r="S68" s="765">
        <f>IF((_xlfn.XLOOKUP(D68,RUC!$B$3:$B$119,RUC!$E$3:$E$119)+ROUNDDOWN(O68,1)*100)&lt;95,95,((_xlfn.XLOOKUP(D68,RUC!$B$3:$B$119,RUC!$E$3:$E$119)+ROUNDDOWN(O68,1)*100)))</f>
        <v>115</v>
      </c>
      <c r="U68" s="1146">
        <f>_xlfn.XLOOKUP(D68,RUC!$B$3:$B$123,RUC!$F$3:$F$123)</f>
        <v>120</v>
      </c>
      <c r="V68" s="715">
        <v>1.1023000000000001</v>
      </c>
      <c r="Y68" s="1445">
        <v>25</v>
      </c>
      <c r="Z68" s="1454">
        <v>35</v>
      </c>
      <c r="AA68" s="144">
        <f t="shared" si="38"/>
        <v>60</v>
      </c>
      <c r="AB68" s="145">
        <f t="shared" si="47"/>
        <v>1474.8928156655006</v>
      </c>
      <c r="AC68" s="145">
        <f>+(S68-T68)*V68-'data 1'!$F$4</f>
        <v>46.764500000000012</v>
      </c>
      <c r="AD68" s="145">
        <f t="shared" si="39"/>
        <v>155.17416555489592</v>
      </c>
      <c r="AE68" s="145">
        <f t="shared" si="40"/>
        <v>-3.8619999999999948</v>
      </c>
      <c r="AF68" s="145">
        <f t="shared" si="41"/>
        <v>113.64787350134986</v>
      </c>
      <c r="AG68" s="772">
        <f t="shared" si="48"/>
        <v>328.72453905624582</v>
      </c>
      <c r="AH68" s="1253">
        <f t="shared" si="42"/>
        <v>64.697999999999993</v>
      </c>
      <c r="AI68" s="1253">
        <f t="shared" si="43"/>
        <v>66.099999999999994</v>
      </c>
      <c r="AJ68" s="156">
        <f t="shared" si="44"/>
        <v>112.83419750670382</v>
      </c>
      <c r="AK68" s="156">
        <f t="shared" si="45"/>
        <v>55.982131313288981</v>
      </c>
      <c r="AM68" s="716">
        <f t="shared" si="46"/>
        <v>6706.3376328310305</v>
      </c>
      <c r="AN68" s="716" t="str">
        <f>_xlfn.XLOOKUP(D68,RUC!$B$3:$B$578,RUC!$M$3:$M$578)</f>
        <v>Ronald Miranda</v>
      </c>
      <c r="AO68" s="1167" t="s">
        <v>2280</v>
      </c>
      <c r="AP68" t="s">
        <v>3901</v>
      </c>
      <c r="AQ68" t="s">
        <v>3902</v>
      </c>
    </row>
    <row r="69" spans="1:43" ht="15" customHeight="1">
      <c r="A69" s="747" t="s">
        <v>3878</v>
      </c>
      <c r="B69" s="1447">
        <v>46017</v>
      </c>
      <c r="C69" s="1447">
        <v>46010</v>
      </c>
      <c r="D69" t="s">
        <v>2004</v>
      </c>
      <c r="E69" s="762">
        <f>_xlfn.XLOOKUP(D69,RUC!$B$3:$B$123,RUC!$D$3:$D$123)</f>
        <v>20612921866</v>
      </c>
      <c r="G69" s="1082" t="s">
        <v>2985</v>
      </c>
      <c r="H69" s="762" t="s">
        <v>69</v>
      </c>
      <c r="I69" s="703">
        <v>20.49</v>
      </c>
      <c r="J69" s="596">
        <v>1.5</v>
      </c>
      <c r="K69" s="703">
        <f t="shared" si="37"/>
        <v>20.183</v>
      </c>
      <c r="L69" s="1192">
        <v>0.35799999999999998</v>
      </c>
      <c r="M69" s="994">
        <f t="shared" si="49"/>
        <v>0.33700000000000002</v>
      </c>
      <c r="N69" s="1196">
        <f t="shared" si="50"/>
        <v>0.33700000000000002</v>
      </c>
      <c r="O69" s="645">
        <f t="shared" si="31"/>
        <v>0.33700000000000002</v>
      </c>
      <c r="P69" s="727">
        <v>90</v>
      </c>
      <c r="Q69" s="1476">
        <v>94.13</v>
      </c>
      <c r="R69" s="706">
        <v>4337.6000000000004</v>
      </c>
      <c r="S69" s="765">
        <f>IF((_xlfn.XLOOKUP(D69,RUC!$B$3:$B$119,RUC!$E$3:$E$119)+ROUNDDOWN(O69,1)*100)&lt;95,95,((_xlfn.XLOOKUP(D69,RUC!$B$3:$B$119,RUC!$E$3:$E$119)+ROUNDDOWN(O69,1)*100)))</f>
        <v>110</v>
      </c>
      <c r="U69" s="1146">
        <f>_xlfn.XLOOKUP(D69,RUC!$B$3:$B$123,RUC!$F$3:$F$123)</f>
        <v>100</v>
      </c>
      <c r="V69" s="715">
        <v>1.1023000000000001</v>
      </c>
      <c r="Y69">
        <f>_xlfn.XLOOKUP(D69,RUC!$B$3:$B$123,RUC!$G$3:$G$123)</f>
        <v>0</v>
      </c>
      <c r="Z69" s="143">
        <f>_xlfn.XLOOKUP(D69,RUC!$B$3:$B$123,RUC!$H$3:$H$123)</f>
        <v>30</v>
      </c>
      <c r="AA69" s="144">
        <f t="shared" si="38"/>
        <v>30</v>
      </c>
      <c r="AB69" s="145">
        <f t="shared" si="47"/>
        <v>1262.4245953840002</v>
      </c>
      <c r="AC69" s="145">
        <f>+(S69-T69)*V69-'data 1'!$F$4</f>
        <v>41.253</v>
      </c>
      <c r="AD69" s="145">
        <f t="shared" si="39"/>
        <v>69.064177749391931</v>
      </c>
      <c r="AE69" s="145">
        <f t="shared" si="40"/>
        <v>-36.930999999999997</v>
      </c>
      <c r="AF69" s="145">
        <f t="shared" si="41"/>
        <v>92.335163122103836</v>
      </c>
      <c r="AG69" s="772">
        <f>AC69+AD69+AE69+AF69+70-10</f>
        <v>225.72134087149578</v>
      </c>
      <c r="AH69" s="1253">
        <f t="shared" si="42"/>
        <v>233.18799999999999</v>
      </c>
      <c r="AI69" s="1253">
        <f t="shared" si="43"/>
        <v>247.73</v>
      </c>
      <c r="AJ69" s="156">
        <f t="shared" si="44"/>
        <v>82.612483027807869</v>
      </c>
      <c r="AK69" s="156">
        <f t="shared" si="45"/>
        <v>209.87813666108843</v>
      </c>
      <c r="AM69" s="716">
        <f t="shared" si="46"/>
        <v>25479.515608635276</v>
      </c>
      <c r="AN69" s="716" t="str">
        <f>_xlfn.XLOOKUP(D69,RUC!$B$3:$B$578,RUC!$M$3:$M$578)</f>
        <v>Ronald Garibay</v>
      </c>
      <c r="AO69" s="1167" t="s">
        <v>2280</v>
      </c>
      <c r="AP69" t="s">
        <v>3905</v>
      </c>
      <c r="AQ69" t="s">
        <v>3906</v>
      </c>
    </row>
    <row r="70" spans="1:43" ht="15" customHeight="1">
      <c r="A70" s="747" t="s">
        <v>3896</v>
      </c>
      <c r="B70" s="1447">
        <v>46017</v>
      </c>
      <c r="C70" s="1447">
        <v>46010</v>
      </c>
      <c r="D70" t="s">
        <v>2004</v>
      </c>
      <c r="E70" s="762">
        <f>_xlfn.XLOOKUP(D70,RUC!$B$3:$B$123,RUC!$D$3:$D$123)</f>
        <v>20612921866</v>
      </c>
      <c r="G70" s="1082" t="s">
        <v>2985</v>
      </c>
      <c r="H70" s="762" t="s">
        <v>69</v>
      </c>
      <c r="I70" s="703">
        <v>20.97</v>
      </c>
      <c r="J70" s="596">
        <v>1.25</v>
      </c>
      <c r="K70" s="703">
        <f t="shared" si="37"/>
        <v>20.707999999999998</v>
      </c>
      <c r="L70" s="1192">
        <v>0.314</v>
      </c>
      <c r="M70" s="994">
        <f t="shared" si="49"/>
        <v>0.29499999999999998</v>
      </c>
      <c r="N70" s="1196">
        <f t="shared" si="50"/>
        <v>0.29499999999999998</v>
      </c>
      <c r="O70" s="645">
        <f t="shared" ref="O70" si="51">+ROUND((M70+N70)/2,3)</f>
        <v>0.29499999999999998</v>
      </c>
      <c r="P70" s="727">
        <v>90</v>
      </c>
      <c r="Q70" s="1476">
        <v>91.08</v>
      </c>
      <c r="R70" s="706">
        <v>4337.6000000000004</v>
      </c>
      <c r="S70" s="765">
        <f>IF((_xlfn.XLOOKUP(D70,RUC!$B$3:$B$119,RUC!$E$3:$E$119)+ROUNDDOWN(O70,1)*100)&lt;95,95,((_xlfn.XLOOKUP(D70,RUC!$B$3:$B$119,RUC!$E$3:$E$119)+ROUNDDOWN(O70,1)*100)))</f>
        <v>100</v>
      </c>
      <c r="U70" s="1146">
        <f>_xlfn.XLOOKUP(D70,RUC!$B$3:$B$123,RUC!$F$3:$F$123)</f>
        <v>100</v>
      </c>
      <c r="V70" s="715">
        <v>1.1023000000000001</v>
      </c>
      <c r="Y70">
        <f>_xlfn.XLOOKUP(D70,RUC!$B$3:$B$123,RUC!$G$3:$G$123)</f>
        <v>0</v>
      </c>
      <c r="Z70" s="143">
        <f>_xlfn.XLOOKUP(D70,RUC!$B$3:$B$123,RUC!$H$3:$H$123)</f>
        <v>30</v>
      </c>
      <c r="AA70" s="144">
        <f t="shared" si="38"/>
        <v>30</v>
      </c>
      <c r="AB70" s="145">
        <f t="shared" ref="AB70" si="52">+((O70*P70*(R70-U70)/100)-S70-AA70+T70)*V70</f>
        <v>1096.8797704399999</v>
      </c>
      <c r="AC70" s="145">
        <f>+(S70-T70)*V70-'data 1'!$F$4</f>
        <v>30.230000000000004</v>
      </c>
      <c r="AD70" s="145">
        <f t="shared" si="39"/>
        <v>15.840656294975977</v>
      </c>
      <c r="AE70" s="145">
        <f t="shared" si="40"/>
        <v>-36.930999999999997</v>
      </c>
      <c r="AF70" s="145">
        <f t="shared" si="41"/>
        <v>80.834431857696075</v>
      </c>
      <c r="AG70" s="772">
        <f>AC70+AD70+AE70+AF70+70-10</f>
        <v>149.97408815267207</v>
      </c>
      <c r="AH70" s="1253">
        <f t="shared" si="42"/>
        <v>203.04900000000001</v>
      </c>
      <c r="AI70" s="1253">
        <f t="shared" si="43"/>
        <v>222.934</v>
      </c>
      <c r="AJ70" s="156">
        <f t="shared" si="44"/>
        <v>70.111177386623879</v>
      </c>
      <c r="AK70" s="156">
        <f t="shared" si="45"/>
        <v>188.50017207881069</v>
      </c>
      <c r="AM70" s="716">
        <f t="shared" si="46"/>
        <v>22714.186286271517</v>
      </c>
      <c r="AN70" s="716" t="str">
        <f>_xlfn.XLOOKUP(D70,RUC!$B$3:$B$578,RUC!$M$3:$M$578)</f>
        <v>Ronald Garibay</v>
      </c>
      <c r="AO70" s="1167" t="s">
        <v>2280</v>
      </c>
      <c r="AP70" t="s">
        <v>3911</v>
      </c>
      <c r="AQ70" t="s">
        <v>3912</v>
      </c>
    </row>
    <row r="71" spans="1:43" ht="15" customHeight="1">
      <c r="G71" s="1082"/>
      <c r="R71" s="706"/>
    </row>
    <row r="72" spans="1:43" ht="15" customHeight="1">
      <c r="G72" s="1082"/>
      <c r="R72" s="706"/>
    </row>
    <row r="73" spans="1:43" ht="15" customHeight="1">
      <c r="G73" s="1082"/>
      <c r="R73" s="706"/>
    </row>
    <row r="74" spans="1:43" ht="15" customHeight="1">
      <c r="G74" s="1082"/>
      <c r="R74" s="706"/>
    </row>
    <row r="75" spans="1:43" ht="15" customHeight="1">
      <c r="G75" s="1082"/>
      <c r="R75" s="706"/>
    </row>
    <row r="76" spans="1:43" ht="15" customHeight="1">
      <c r="G76" s="1082"/>
      <c r="R76" s="706"/>
    </row>
    <row r="77" spans="1:43" ht="15" customHeight="1">
      <c r="G77" s="1082"/>
      <c r="R77" s="706"/>
    </row>
    <row r="78" spans="1:43" ht="15" customHeight="1">
      <c r="G78" s="1082"/>
      <c r="R78" s="706"/>
    </row>
    <row r="79" spans="1:43" ht="15" customHeight="1">
      <c r="G79" s="1082"/>
      <c r="R79" s="706"/>
    </row>
    <row r="80" spans="1:43" ht="15" customHeight="1">
      <c r="G80" s="1082"/>
      <c r="R80" s="706"/>
    </row>
    <row r="81" spans="7:18" ht="15" customHeight="1">
      <c r="G81" s="1082"/>
      <c r="R81" s="706"/>
    </row>
    <row r="82" spans="7:18" ht="15" customHeight="1">
      <c r="G82" s="1082"/>
      <c r="R82" s="706"/>
    </row>
    <row r="83" spans="7:18" ht="15" customHeight="1">
      <c r="G83" s="1082"/>
      <c r="R83" s="706"/>
    </row>
    <row r="84" spans="7:18" ht="15" customHeight="1">
      <c r="G84" s="1082"/>
      <c r="R84" s="706"/>
    </row>
    <row r="85" spans="7:18" ht="15" customHeight="1">
      <c r="G85" s="1082"/>
      <c r="R85" s="706"/>
    </row>
    <row r="86" spans="7:18" ht="15" customHeight="1">
      <c r="G86" s="1082"/>
      <c r="R86" s="706"/>
    </row>
    <row r="87" spans="7:18" ht="15" customHeight="1">
      <c r="G87" s="1082"/>
      <c r="R87" s="706"/>
    </row>
    <row r="88" spans="7:18" ht="15" customHeight="1">
      <c r="G88" s="1082"/>
      <c r="R88" s="706"/>
    </row>
    <row r="89" spans="7:18" ht="15" customHeight="1">
      <c r="G89" s="1082"/>
      <c r="R89" s="706"/>
    </row>
    <row r="90" spans="7:18" ht="15" customHeight="1">
      <c r="G90" s="1082"/>
      <c r="R90" s="706"/>
    </row>
    <row r="91" spans="7:18" ht="15" customHeight="1">
      <c r="G91" s="1082"/>
      <c r="R91" s="706"/>
    </row>
    <row r="92" spans="7:18" ht="15" customHeight="1">
      <c r="G92" s="1082"/>
      <c r="R92" s="706"/>
    </row>
    <row r="93" spans="7:18" ht="15" customHeight="1">
      <c r="G93" s="1082"/>
      <c r="R93" s="706"/>
    </row>
    <row r="94" spans="7:18" ht="15" customHeight="1">
      <c r="G94" s="1082"/>
      <c r="R94" s="706"/>
    </row>
    <row r="95" spans="7:18" ht="15" customHeight="1">
      <c r="G95" s="1082"/>
      <c r="R95" s="706"/>
    </row>
    <row r="96" spans="7:18" ht="15" customHeight="1">
      <c r="G96" s="1082"/>
      <c r="R96" s="706"/>
    </row>
    <row r="97" spans="7:18" ht="15" customHeight="1">
      <c r="G97" s="1082"/>
      <c r="R97" s="706"/>
    </row>
    <row r="98" spans="7:18" ht="15" customHeight="1">
      <c r="G98" s="1082"/>
      <c r="R98" s="706"/>
    </row>
    <row r="99" spans="7:18" ht="15" customHeight="1">
      <c r="G99" s="1082"/>
      <c r="R99" s="706"/>
    </row>
    <row r="100" spans="7:18" ht="15" customHeight="1">
      <c r="G100" s="1082"/>
      <c r="R100" s="706"/>
    </row>
    <row r="101" spans="7:18" ht="15" customHeight="1">
      <c r="G101" s="1082"/>
      <c r="R101" s="706"/>
    </row>
    <row r="102" spans="7:18" ht="15" customHeight="1">
      <c r="G102" s="1082"/>
      <c r="R102" s="706"/>
    </row>
    <row r="103" spans="7:18" ht="15" customHeight="1">
      <c r="G103" s="1082"/>
      <c r="R103" s="706"/>
    </row>
    <row r="104" spans="7:18" ht="15" customHeight="1">
      <c r="G104" s="1082"/>
      <c r="R104" s="706"/>
    </row>
    <row r="105" spans="7:18" ht="15" customHeight="1">
      <c r="G105" s="1082"/>
      <c r="R105" s="706"/>
    </row>
    <row r="106" spans="7:18" ht="15" customHeight="1">
      <c r="G106" s="1082"/>
      <c r="R106" s="706"/>
    </row>
    <row r="107" spans="7:18" ht="15" customHeight="1">
      <c r="G107" s="1082"/>
      <c r="R107" s="706"/>
    </row>
    <row r="108" spans="7:18" ht="15" customHeight="1">
      <c r="G108" s="1082"/>
      <c r="R108" s="706"/>
    </row>
    <row r="109" spans="7:18" ht="15" customHeight="1">
      <c r="G109" s="1082"/>
      <c r="R109" s="706"/>
    </row>
    <row r="110" spans="7:18" ht="15" customHeight="1">
      <c r="G110" s="1082"/>
      <c r="R110" s="706"/>
    </row>
    <row r="111" spans="7:18" ht="15" customHeight="1">
      <c r="G111" s="1082"/>
      <c r="R111" s="706"/>
    </row>
    <row r="112" spans="7:18" ht="15" customHeight="1">
      <c r="G112" s="1082"/>
      <c r="R112" s="706"/>
    </row>
    <row r="113" spans="7:18" ht="15" customHeight="1">
      <c r="G113" s="1082"/>
      <c r="R113" s="706"/>
    </row>
    <row r="114" spans="7:18" ht="15" customHeight="1">
      <c r="G114" s="1082"/>
      <c r="R114" s="706"/>
    </row>
    <row r="115" spans="7:18" ht="15" customHeight="1">
      <c r="G115" s="1082"/>
      <c r="R115" s="706"/>
    </row>
    <row r="116" spans="7:18" ht="15" customHeight="1">
      <c r="G116" s="1082"/>
      <c r="R116" s="706"/>
    </row>
    <row r="117" spans="7:18" ht="15" customHeight="1">
      <c r="G117" s="1082"/>
      <c r="R117" s="706"/>
    </row>
    <row r="118" spans="7:18" ht="15" customHeight="1">
      <c r="G118" s="1082"/>
      <c r="R118" s="706"/>
    </row>
    <row r="119" spans="7:18" ht="15" customHeight="1">
      <c r="G119" s="1082"/>
      <c r="R119" s="706"/>
    </row>
    <row r="120" spans="7:18" ht="15" customHeight="1">
      <c r="G120" s="1082"/>
      <c r="R120" s="706"/>
    </row>
    <row r="121" spans="7:18" ht="15" customHeight="1">
      <c r="G121" s="1082"/>
      <c r="R121" s="706"/>
    </row>
    <row r="122" spans="7:18" ht="15" customHeight="1">
      <c r="G122" s="1082"/>
      <c r="R122" s="706"/>
    </row>
    <row r="123" spans="7:18" ht="15" customHeight="1">
      <c r="G123" s="1082"/>
      <c r="R123" s="706"/>
    </row>
    <row r="124" spans="7:18" ht="15" customHeight="1">
      <c r="G124" s="1082"/>
      <c r="R124" s="706"/>
    </row>
    <row r="125" spans="7:18" ht="15" customHeight="1">
      <c r="G125" s="1082"/>
      <c r="R125" s="706"/>
    </row>
    <row r="126" spans="7:18" ht="15" customHeight="1">
      <c r="G126" s="1082"/>
      <c r="R126" s="706"/>
    </row>
    <row r="127" spans="7:18" ht="15" customHeight="1">
      <c r="G127" s="1082"/>
      <c r="R127" s="706"/>
    </row>
    <row r="128" spans="7:18" ht="15" customHeight="1">
      <c r="G128" s="1082"/>
      <c r="R128" s="706"/>
    </row>
    <row r="129" spans="7:18" ht="15" customHeight="1">
      <c r="G129" s="1082"/>
      <c r="R129" s="706"/>
    </row>
    <row r="130" spans="7:18" ht="15" customHeight="1">
      <c r="G130" s="1082"/>
      <c r="R130" s="706"/>
    </row>
    <row r="131" spans="7:18" ht="15" customHeight="1">
      <c r="G131" s="1082"/>
      <c r="R131" s="706"/>
    </row>
    <row r="132" spans="7:18" ht="15" customHeight="1">
      <c r="G132" s="1082"/>
      <c r="R132" s="706"/>
    </row>
    <row r="133" spans="7:18" ht="15" customHeight="1">
      <c r="G133" s="1082"/>
      <c r="R133" s="706"/>
    </row>
    <row r="134" spans="7:18" ht="15" customHeight="1">
      <c r="G134" s="1082"/>
      <c r="R134" s="706"/>
    </row>
    <row r="135" spans="7:18" ht="15" customHeight="1">
      <c r="G135" s="1082"/>
      <c r="R135" s="706"/>
    </row>
    <row r="136" spans="7:18" ht="15" customHeight="1">
      <c r="G136" s="1082"/>
      <c r="R136" s="706"/>
    </row>
    <row r="137" spans="7:18" ht="15" customHeight="1">
      <c r="G137" s="1082"/>
      <c r="R137" s="706"/>
    </row>
    <row r="138" spans="7:18" ht="15" customHeight="1">
      <c r="G138" s="1082"/>
      <c r="R138" s="706"/>
    </row>
    <row r="139" spans="7:18" ht="15" customHeight="1">
      <c r="G139" s="1082"/>
      <c r="R139" s="706"/>
    </row>
    <row r="140" spans="7:18" ht="15" customHeight="1">
      <c r="G140" s="1082"/>
      <c r="R140" s="706"/>
    </row>
    <row r="141" spans="7:18" ht="15" customHeight="1">
      <c r="G141" s="1082"/>
      <c r="R141" s="706"/>
    </row>
    <row r="142" spans="7:18" ht="15" customHeight="1">
      <c r="G142" s="1082"/>
      <c r="R142" s="706"/>
    </row>
    <row r="143" spans="7:18" ht="15" customHeight="1">
      <c r="G143" s="1082"/>
      <c r="R143" s="706"/>
    </row>
    <row r="144" spans="7:18" ht="15" customHeight="1">
      <c r="G144" s="1082"/>
      <c r="R144" s="706"/>
    </row>
    <row r="145" spans="7:18" ht="15" customHeight="1">
      <c r="G145" s="1082"/>
      <c r="R145" s="706"/>
    </row>
    <row r="146" spans="7:18" ht="15" customHeight="1">
      <c r="G146" s="1082"/>
      <c r="R146" s="706"/>
    </row>
    <row r="147" spans="7:18" ht="15" customHeight="1">
      <c r="G147" s="1082"/>
      <c r="R147" s="706"/>
    </row>
    <row r="148" spans="7:18" ht="15" customHeight="1">
      <c r="G148" s="1082"/>
      <c r="R148" s="706"/>
    </row>
    <row r="149" spans="7:18" ht="15" customHeight="1">
      <c r="G149" s="1082"/>
      <c r="R149" s="706"/>
    </row>
    <row r="150" spans="7:18" ht="15" customHeight="1">
      <c r="G150" s="1082"/>
      <c r="R150" s="706"/>
    </row>
    <row r="151" spans="7:18" ht="15" customHeight="1">
      <c r="G151" s="1082"/>
      <c r="R151" s="706"/>
    </row>
    <row r="152" spans="7:18" ht="15" customHeight="1">
      <c r="G152" s="1082"/>
      <c r="R152" s="706"/>
    </row>
    <row r="153" spans="7:18" ht="15" customHeight="1">
      <c r="G153" s="1082"/>
      <c r="R153" s="706"/>
    </row>
    <row r="154" spans="7:18" ht="15" customHeight="1">
      <c r="G154" s="1082"/>
      <c r="R154" s="706"/>
    </row>
    <row r="155" spans="7:18" ht="15" customHeight="1">
      <c r="G155" s="1082"/>
      <c r="R155" s="706"/>
    </row>
    <row r="156" spans="7:18" ht="15" customHeight="1">
      <c r="G156" s="1082"/>
      <c r="R156" s="706"/>
    </row>
    <row r="157" spans="7:18" ht="15" customHeight="1">
      <c r="G157" s="1082"/>
      <c r="R157" s="706"/>
    </row>
    <row r="158" spans="7:18" ht="15" customHeight="1">
      <c r="G158" s="1082"/>
      <c r="R158" s="706"/>
    </row>
    <row r="159" spans="7:18" ht="15" customHeight="1">
      <c r="G159" s="1082"/>
      <c r="R159" s="706"/>
    </row>
    <row r="160" spans="7:18" ht="15" customHeight="1">
      <c r="G160" s="1082"/>
      <c r="R160" s="706"/>
    </row>
    <row r="161" spans="7:18" ht="15" customHeight="1">
      <c r="G161" s="1082"/>
      <c r="R161" s="706"/>
    </row>
    <row r="162" spans="7:18" ht="15" customHeight="1">
      <c r="G162" s="1082"/>
      <c r="R162" s="706"/>
    </row>
    <row r="163" spans="7:18" ht="15" customHeight="1">
      <c r="R163" s="706"/>
    </row>
    <row r="164" spans="7:18" ht="15" customHeight="1">
      <c r="R164" s="706"/>
    </row>
    <row r="165" spans="7:18" ht="15" customHeight="1">
      <c r="R165" s="706"/>
    </row>
    <row r="166" spans="7:18" ht="15" customHeight="1">
      <c r="R166" s="706"/>
    </row>
    <row r="167" spans="7:18" ht="15" customHeight="1">
      <c r="R167" s="706"/>
    </row>
    <row r="168" spans="7:18" ht="15" customHeight="1">
      <c r="R168" s="706"/>
    </row>
    <row r="169" spans="7:18" ht="15" customHeight="1">
      <c r="R169" s="706"/>
    </row>
    <row r="170" spans="7:18" ht="15" customHeight="1">
      <c r="R170" s="706"/>
    </row>
    <row r="171" spans="7:18" ht="15" customHeight="1">
      <c r="R171" s="706"/>
    </row>
    <row r="172" spans="7:18" ht="15" customHeight="1">
      <c r="R172" s="706"/>
    </row>
    <row r="173" spans="7:18" ht="15" customHeight="1">
      <c r="R173" s="706"/>
    </row>
    <row r="174" spans="7:18" ht="15" customHeight="1">
      <c r="R174" s="706"/>
    </row>
    <row r="175" spans="7:18" ht="15" customHeight="1">
      <c r="R175" s="706"/>
    </row>
    <row r="176" spans="7:18" ht="15" customHeight="1">
      <c r="R176" s="706"/>
    </row>
    <row r="177" spans="18:18" ht="15" customHeight="1">
      <c r="R177" s="706"/>
    </row>
    <row r="178" spans="18:18" ht="15" customHeight="1">
      <c r="R178" s="706"/>
    </row>
    <row r="179" spans="18:18" ht="15" customHeight="1">
      <c r="R179" s="706"/>
    </row>
    <row r="180" spans="18:18" ht="15" customHeight="1">
      <c r="R180" s="706"/>
    </row>
    <row r="181" spans="18:18" ht="15" customHeight="1">
      <c r="R181" s="706"/>
    </row>
    <row r="182" spans="18:18" ht="15" customHeight="1">
      <c r="R182" s="706"/>
    </row>
    <row r="183" spans="18:18" ht="15" customHeight="1">
      <c r="R183" s="706"/>
    </row>
    <row r="184" spans="18:18" ht="15" customHeight="1">
      <c r="R184" s="706"/>
    </row>
    <row r="185" spans="18:18" ht="15" customHeight="1">
      <c r="R185" s="706"/>
    </row>
    <row r="186" spans="18:18" ht="15" customHeight="1">
      <c r="R186" s="706"/>
    </row>
    <row r="187" spans="18:18" ht="15" customHeight="1">
      <c r="R187" s="706"/>
    </row>
    <row r="188" spans="18:18" ht="15" customHeight="1">
      <c r="R188" s="706"/>
    </row>
    <row r="189" spans="18:18" ht="15" customHeight="1">
      <c r="R189" s="706"/>
    </row>
    <row r="190" spans="18:18" ht="15" customHeight="1">
      <c r="R190" s="706"/>
    </row>
    <row r="191" spans="18:18" ht="15" customHeight="1">
      <c r="R191" s="706"/>
    </row>
    <row r="192" spans="18:18" ht="15" customHeight="1">
      <c r="R192" s="706"/>
    </row>
    <row r="193" spans="18:18" ht="15" customHeight="1">
      <c r="R193" s="706"/>
    </row>
    <row r="194" spans="18:18" ht="15" customHeight="1">
      <c r="R194" s="706"/>
    </row>
    <row r="195" spans="18:18" ht="15" customHeight="1">
      <c r="R195" s="706"/>
    </row>
    <row r="196" spans="18:18" ht="15" customHeight="1">
      <c r="R196" s="706"/>
    </row>
    <row r="197" spans="18:18" ht="15" customHeight="1">
      <c r="R197" s="706"/>
    </row>
    <row r="198" spans="18:18" ht="15" customHeight="1">
      <c r="R198" s="706"/>
    </row>
    <row r="199" spans="18:18" ht="15" customHeight="1">
      <c r="R199" s="706"/>
    </row>
    <row r="200" spans="18:18" ht="15" customHeight="1">
      <c r="R200" s="706"/>
    </row>
    <row r="201" spans="18:18" ht="15" customHeight="1">
      <c r="R201" s="706"/>
    </row>
    <row r="202" spans="18:18" ht="15" customHeight="1">
      <c r="R202" s="706"/>
    </row>
    <row r="203" spans="18:18" ht="15" customHeight="1">
      <c r="R203" s="706"/>
    </row>
    <row r="204" spans="18:18" ht="15" customHeight="1">
      <c r="R204" s="706"/>
    </row>
    <row r="205" spans="18:18" ht="15" customHeight="1">
      <c r="R205" s="706"/>
    </row>
    <row r="206" spans="18:18" ht="15" customHeight="1">
      <c r="R206" s="706"/>
    </row>
    <row r="207" spans="18:18" ht="15" customHeight="1">
      <c r="R207" s="706"/>
    </row>
    <row r="208" spans="18:18" ht="15" customHeight="1">
      <c r="R208" s="706"/>
    </row>
    <row r="209" spans="18:18" ht="15" customHeight="1">
      <c r="R209" s="706"/>
    </row>
    <row r="210" spans="18:18" ht="15" customHeight="1">
      <c r="R210" s="706"/>
    </row>
    <row r="211" spans="18:18" ht="15" customHeight="1">
      <c r="R211" s="706"/>
    </row>
    <row r="212" spans="18:18" ht="15" customHeight="1">
      <c r="R212" s="706"/>
    </row>
    <row r="213" spans="18:18" ht="15" customHeight="1">
      <c r="R213" s="706"/>
    </row>
    <row r="214" spans="18:18" ht="15" customHeight="1">
      <c r="R214" s="706"/>
    </row>
    <row r="215" spans="18:18" ht="15" customHeight="1">
      <c r="R215" s="706"/>
    </row>
    <row r="216" spans="18:18" ht="15" customHeight="1">
      <c r="R216" s="706"/>
    </row>
    <row r="217" spans="18:18" ht="15" customHeight="1">
      <c r="R217" s="706"/>
    </row>
    <row r="218" spans="18:18" ht="15" customHeight="1">
      <c r="R218" s="706"/>
    </row>
    <row r="219" spans="18:18" ht="15" customHeight="1">
      <c r="R219" s="706"/>
    </row>
    <row r="220" spans="18:18" ht="15" customHeight="1">
      <c r="R220" s="706"/>
    </row>
    <row r="221" spans="18:18" ht="15" customHeight="1">
      <c r="R221" s="706"/>
    </row>
    <row r="222" spans="18:18" ht="15" customHeight="1">
      <c r="R222" s="706"/>
    </row>
    <row r="223" spans="18:18" ht="15" customHeight="1">
      <c r="R223" s="706"/>
    </row>
    <row r="224" spans="18:18" ht="15" customHeight="1">
      <c r="R224" s="706"/>
    </row>
    <row r="225" spans="18:18" ht="15" customHeight="1">
      <c r="R225" s="706"/>
    </row>
    <row r="226" spans="18:18" ht="15" customHeight="1">
      <c r="R226" s="706"/>
    </row>
    <row r="227" spans="18:18" ht="15" customHeight="1">
      <c r="R227" s="706"/>
    </row>
    <row r="228" spans="18:18" ht="15" customHeight="1">
      <c r="R228" s="706"/>
    </row>
    <row r="229" spans="18:18" ht="15" customHeight="1">
      <c r="R229" s="706"/>
    </row>
    <row r="230" spans="18:18" ht="15" customHeight="1">
      <c r="R230" s="706"/>
    </row>
    <row r="231" spans="18:18" ht="15" customHeight="1">
      <c r="R231" s="706"/>
    </row>
    <row r="232" spans="18:18" ht="15" customHeight="1">
      <c r="R232" s="706"/>
    </row>
    <row r="233" spans="18:18" ht="15" customHeight="1">
      <c r="R233" s="706"/>
    </row>
  </sheetData>
  <autoFilter ref="A3:AO70" xr:uid="{00000000-0009-0000-0000-00000C000000}"/>
  <mergeCells count="2">
    <mergeCell ref="AV5:BD5"/>
    <mergeCell ref="AV20:BA20"/>
  </mergeCells>
  <pageMargins left="0.7" right="0.7" top="0.75" bottom="0.75" header="0" footer="0"/>
  <pageSetup scale="14" fitToHeight="0" orientation="landscape" horizontalDpi="360" verticalDpi="360" r:id="rId1"/>
  <ignoredErrors>
    <ignoredError sqref="AJ3" formula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07B-3332-4F6C-A354-B368FB8CE3FD}">
  <sheetPr>
    <tabColor rgb="FF00B050"/>
    <pageSetUpPr fitToPage="1"/>
  </sheetPr>
  <dimension ref="A1:BD151"/>
  <sheetViews>
    <sheetView showGridLines="0" zoomScale="85" zoomScaleNormal="85" workbookViewId="0">
      <pane xSplit="4" ySplit="3" topLeftCell="AT4" activePane="bottomRight" state="frozen"/>
      <selection activeCell="AW6" sqref="AW6:AX6"/>
      <selection pane="topRight" activeCell="AW6" sqref="AW6:AX6"/>
      <selection pane="bottomLeft" activeCell="AW6" sqref="AW6:AX6"/>
      <selection pane="bottomRight" activeCell="AW6" sqref="AW6:AX6"/>
    </sheetView>
  </sheetViews>
  <sheetFormatPr baseColWidth="10" defaultColWidth="14.44140625" defaultRowHeight="15" customHeight="1"/>
  <cols>
    <col min="1" max="1" width="14.5546875" customWidth="1"/>
    <col min="2" max="2" width="12.44140625" style="762" customWidth="1"/>
    <col min="3" max="3" width="11.6640625" style="762" customWidth="1"/>
    <col min="4" max="4" width="42.5546875" customWidth="1"/>
    <col min="5" max="5" width="13.109375" customWidth="1"/>
    <col min="6" max="6" width="15.33203125" customWidth="1"/>
    <col min="7" max="7" width="13.33203125" customWidth="1"/>
    <col min="8" max="8" width="11.44140625" style="762" customWidth="1"/>
    <col min="9" max="9" width="11.5546875" customWidth="1"/>
    <col min="10" max="10" width="10.66406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7.66406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0.88671875" customWidth="1"/>
    <col min="43" max="43" width="12.6640625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5065.8650000000007</v>
      </c>
      <c r="F1" s="1075" t="s">
        <v>1906</v>
      </c>
      <c r="G1" s="1076">
        <f>+$AM3</f>
        <v>485453.71316404484</v>
      </c>
      <c r="H1" s="1448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B2" s="1144"/>
      <c r="D2" s="1075" t="s">
        <v>1907</v>
      </c>
      <c r="E2" s="1076">
        <f>+AH3</f>
        <v>4578.6610000000028</v>
      </c>
      <c r="F2" s="1079" t="s">
        <v>1908</v>
      </c>
      <c r="G2" s="1080">
        <f>+Q2</f>
        <v>90.999091223394743</v>
      </c>
      <c r="H2" s="90"/>
      <c r="I2" s="1251">
        <f>SUBTOTAL(9,I4:I937)</f>
        <v>494.81999999999982</v>
      </c>
      <c r="J2" s="81"/>
      <c r="K2" s="91">
        <f>SUBTOTAL(9,K4:K937)</f>
        <v>452.23200000000008</v>
      </c>
      <c r="L2" s="1202">
        <f>+SUMPRODUCT(L5:L937,K5:K937)/K2</f>
        <v>0.32672571158166591</v>
      </c>
      <c r="M2" s="6"/>
      <c r="O2" s="703"/>
      <c r="P2" s="94">
        <f>+SUMPRODUCT(P4:P937,AH4:AH937)/SUM(AH4:AH937)</f>
        <v>87.114240385999267</v>
      </c>
      <c r="Q2" s="1201">
        <f>+SUMPRODUCT(Q4:Q937,AH4:AH937)/SUM(AH4:AH937)</f>
        <v>90.999091223394743</v>
      </c>
      <c r="R2" s="1151">
        <f>+SUMPRODUCT(R4:R937,AH4:AH937)/SUM(AH4:AH937)</f>
        <v>4398.1202491951226</v>
      </c>
      <c r="S2" s="6"/>
      <c r="AB2" s="83"/>
      <c r="AC2" s="83"/>
      <c r="AD2" s="83"/>
      <c r="AE2" s="83"/>
      <c r="AF2" s="83"/>
      <c r="AG2" s="1209">
        <f>SUMPRODUCT($AG4:$AG937,$K4:$K937)/SUM($K4:$K937)</f>
        <v>201.22673759017206</v>
      </c>
      <c r="AH2" s="702"/>
      <c r="AI2" s="631"/>
      <c r="AJ2" s="252">
        <v>4610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679" t="s">
        <v>39</v>
      </c>
      <c r="C3" s="679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SUBTOTAL(9,AH4:AH937)</f>
        <v>4578.6610000000028</v>
      </c>
      <c r="AI3" s="1252">
        <f>SUBTOTAL(9,AI4:AI937)</f>
        <v>5065.8650000000007</v>
      </c>
      <c r="AJ3" s="1388">
        <f>SUMPRODUCT(K4:K937,AJ4:AJ937)/K2</f>
        <v>106.33385397947863</v>
      </c>
      <c r="AK3" s="118">
        <f>SUBTOTAL(9,AK4:AK937)</f>
        <v>4131.8916427875347</v>
      </c>
      <c r="AL3" s="88"/>
      <c r="AM3" s="118">
        <f>SUBTOTAL(9,AM4:AM937)</f>
        <v>485453.71316404484</v>
      </c>
      <c r="AN3" s="1182" t="s">
        <v>2247</v>
      </c>
      <c r="AO3" s="1168" t="s">
        <v>2283</v>
      </c>
      <c r="AP3" t="s">
        <v>2351</v>
      </c>
      <c r="AQ3" t="s">
        <v>2352</v>
      </c>
      <c r="AS3" s="1216"/>
    </row>
    <row r="4" spans="1:56" s="677" customFormat="1" ht="15.75" customHeight="1" thickBot="1">
      <c r="A4" s="720"/>
      <c r="B4" s="671"/>
      <c r="C4" s="723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56" ht="15" customHeight="1" thickBot="1">
      <c r="A5" s="747" t="s">
        <v>3711</v>
      </c>
      <c r="B5" s="1447">
        <v>46005</v>
      </c>
      <c r="C5" s="1447">
        <v>45996</v>
      </c>
      <c r="D5" t="s">
        <v>1967</v>
      </c>
      <c r="E5" s="762">
        <f>_xlfn.XLOOKUP(D5,RUC!$B$3:$B$123,RUC!$D$3:$D$123)</f>
        <v>20601769396</v>
      </c>
      <c r="G5" s="1082">
        <v>8</v>
      </c>
      <c r="H5" s="762" t="s">
        <v>69</v>
      </c>
      <c r="I5" s="703">
        <v>0.56999999999999995</v>
      </c>
      <c r="J5" s="596">
        <v>1.5</v>
      </c>
      <c r="K5" s="703">
        <f t="shared" ref="K5:K46" si="0">ROUND(+I5-(I5*(J5/100)),3)</f>
        <v>0.56100000000000005</v>
      </c>
      <c r="L5" s="1082">
        <v>1.1160000000000001</v>
      </c>
      <c r="M5" s="994">
        <f t="shared" ref="M5:M41" si="1">ROUND(+IF(AN5="Melchor Vera",IF(L5&gt;0.467,L5*0.985,(L5-0.007)),IF(L5&gt;0.3,L5*0.94,(L5-0.018))),3)</f>
        <v>1.0489999999999999</v>
      </c>
      <c r="N5" s="1196">
        <f t="shared" ref="N5:N37" si="2">+M5</f>
        <v>1.0489999999999999</v>
      </c>
      <c r="O5" s="645">
        <f t="shared" ref="O5:O46" si="3">+ROUND((M5+N5)/2,3)</f>
        <v>1.0489999999999999</v>
      </c>
      <c r="P5" s="727">
        <v>90</v>
      </c>
      <c r="Q5" s="1476">
        <v>90.59</v>
      </c>
      <c r="R5" s="706">
        <v>4243</v>
      </c>
      <c r="S5" s="765">
        <f>IF((_xlfn.XLOOKUP(D5,RUC!$B$3:$B$119,RUC!$E$3:$E$119)+ROUNDDOWN(O5,1)*100)&lt;95,95,((_xlfn.XLOOKUP(D5,RUC!$B$3:$B$119,RUC!$E$3:$E$119)+ROUNDDOWN(O5,1)*100)))</f>
        <v>190</v>
      </c>
      <c r="U5" s="1146">
        <f>_xlfn.XLOOKUP(D5,RUC!$B$3:$B$123,RUC!$F$3:$F$123)</f>
        <v>120</v>
      </c>
      <c r="V5" s="715">
        <v>1.1023000000000001</v>
      </c>
      <c r="Y5">
        <f>_xlfn.XLOOKUP(D5,RUC!$B$3:$B$123,RUC!$G$3:$G$123)</f>
        <v>20</v>
      </c>
      <c r="Z5" s="143">
        <f>_xlfn.XLOOKUP(D5,RUC!$B$3:$B$123,RUC!$H$3:$H$123)</f>
        <v>30</v>
      </c>
      <c r="AA5" s="144">
        <f t="shared" ref="AA5:AA46" si="4">+Y5+Z5</f>
        <v>50</v>
      </c>
      <c r="AB5" s="145">
        <f t="shared" ref="AB5:AB7" si="5">+((O5*P5*(R5-U5)/100)-S5-AA5+T5)*V5</f>
        <v>4026.1775358900004</v>
      </c>
      <c r="AC5" s="145">
        <f>+(S5-T5)*V5-'data 1'!$F$4</f>
        <v>129.43700000000001</v>
      </c>
      <c r="AD5" s="145">
        <f t="shared" ref="AD5:AD46" si="6">+(Q5-P5)*(R5-U5)*L5*V5/100</f>
        <v>29.924668526760179</v>
      </c>
      <c r="AE5" s="145">
        <f t="shared" ref="AE5:AE46" si="7">+(Y5*V5-70)+V5*(Z5-IF(D5="UNTUCA",IF(+((W5-3)*2.5+(X5-3)*3.1)&gt;0,+((W5-3)*1.5+(X5-3)*3.1),0),IF(+((W5-3)*1.5+(X5-3)*3.1)&gt;0,+((W5-3)*1.5+(X5-3)*3.1),0)))</f>
        <v>-14.884999999999998</v>
      </c>
      <c r="AF5" s="145">
        <f t="shared" ref="AF5:AF46" si="8">(L5-O5)*(R5-U5)*Q5*V5/100</f>
        <v>275.84696155037074</v>
      </c>
      <c r="AG5" s="772">
        <f t="shared" ref="AG5:AG7" si="9">AC5+AD5+AE5+AF5+70-53</f>
        <v>437.32363007713093</v>
      </c>
      <c r="AH5" s="1253">
        <f t="shared" ref="AH5:AH46" si="10">ROUND((31.1035*L5*Q5*1.1023*K5/100),3)</f>
        <v>19.445</v>
      </c>
      <c r="AI5" s="1253">
        <f t="shared" ref="AI5:AI46" si="11">ROUND((31.1035*L5*1.1023*K5),3)</f>
        <v>21.465</v>
      </c>
      <c r="AJ5" s="156">
        <f t="shared" ref="AJ5:AJ46" si="12">+((+$AJ$2-R5+U5)*L5*Q5*V5)/100</f>
        <v>542.71674670644018</v>
      </c>
      <c r="AK5" s="156">
        <f t="shared" ref="AK5:AK46" si="13">31.1035*1.1023*K5*P5*O5/100</f>
        <v>18.158916355340807</v>
      </c>
      <c r="AM5" s="716">
        <f t="shared" ref="AM5:AM46" si="14">+IF(AB5*K5&gt;0,AB5*K5,0)</f>
        <v>2258.6855976342904</v>
      </c>
      <c r="AN5" s="716" t="str">
        <f>_xlfn.XLOOKUP(D5,RUC!$B$3:$B$578,RUC!$M$3:$M$578)</f>
        <v>Evelyn</v>
      </c>
      <c r="AO5" s="1167" t="s">
        <v>2277</v>
      </c>
      <c r="AP5" t="s">
        <v>3749</v>
      </c>
      <c r="AQ5" t="s">
        <v>3750</v>
      </c>
      <c r="AV5" s="1982" t="s">
        <v>4113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747" t="s">
        <v>3791</v>
      </c>
      <c r="B6" s="1447">
        <v>46024</v>
      </c>
      <c r="C6" s="1447">
        <v>46001</v>
      </c>
      <c r="D6" t="s">
        <v>1484</v>
      </c>
      <c r="E6" s="762">
        <f>_xlfn.XLOOKUP(D6,RUC!$B$3:$B$123,RUC!$D$3:$D$123)</f>
        <v>10761932735</v>
      </c>
      <c r="G6" s="1082">
        <v>120</v>
      </c>
      <c r="H6" s="762" t="s">
        <v>69</v>
      </c>
      <c r="I6" s="703">
        <v>7.79</v>
      </c>
      <c r="J6" s="596">
        <v>3.6</v>
      </c>
      <c r="K6" s="703">
        <f t="shared" si="0"/>
        <v>7.51</v>
      </c>
      <c r="L6" s="1192">
        <v>0.25600000000000001</v>
      </c>
      <c r="M6" s="994">
        <f t="shared" si="1"/>
        <v>0.23799999999999999</v>
      </c>
      <c r="N6" s="1196">
        <f t="shared" si="2"/>
        <v>0.23799999999999999</v>
      </c>
      <c r="O6" s="645">
        <f t="shared" si="3"/>
        <v>0.23799999999999999</v>
      </c>
      <c r="P6" s="727">
        <v>78</v>
      </c>
      <c r="Q6" s="1028">
        <v>79.3</v>
      </c>
      <c r="R6" s="706">
        <v>4200.1499999999996</v>
      </c>
      <c r="S6" s="765">
        <f>IF((_xlfn.XLOOKUP(D6,RUC!$B$3:$B$119,RUC!$E$3:$E$119)+ROUNDDOWN(O6,1)*100)&lt;95,95,((_xlfn.XLOOKUP(D6,RUC!$B$3:$B$119,RUC!$E$3:$E$119)+ROUNDDOWN(O6,1)*100)))</f>
        <v>110</v>
      </c>
      <c r="U6" s="1146">
        <f>_xlfn.XLOOKUP(D6,RUC!$B$3:$B$123,RUC!$F$3:$F$123)</f>
        <v>120</v>
      </c>
      <c r="V6" s="715">
        <v>1.1023000000000001</v>
      </c>
      <c r="Y6">
        <f>_xlfn.XLOOKUP(D6,RUC!$B$3:$B$123,RUC!$G$3:$G$123)</f>
        <v>20</v>
      </c>
      <c r="Z6" s="143">
        <f>_xlfn.XLOOKUP(D6,RUC!$B$3:$B$123,RUC!$H$3:$H$123)</f>
        <v>30</v>
      </c>
      <c r="AA6" s="144">
        <f t="shared" si="4"/>
        <v>50</v>
      </c>
      <c r="AB6" s="145">
        <f t="shared" si="5"/>
        <v>658.55706040580003</v>
      </c>
      <c r="AC6" s="145">
        <f>+(S6-T6)*V6-'data 1'!$F$4</f>
        <v>41.253</v>
      </c>
      <c r="AD6" s="145">
        <f t="shared" si="6"/>
        <v>14.967844220159966</v>
      </c>
      <c r="AE6" s="145">
        <f t="shared" si="7"/>
        <v>-14.884999999999998</v>
      </c>
      <c r="AF6" s="145">
        <f t="shared" si="8"/>
        <v>64.19801935053006</v>
      </c>
      <c r="AG6" s="772">
        <f t="shared" si="9"/>
        <v>122.53386357069002</v>
      </c>
      <c r="AH6" s="1253">
        <f t="shared" si="10"/>
        <v>52.271000000000001</v>
      </c>
      <c r="AI6" s="1253">
        <f t="shared" si="11"/>
        <v>65.915999999999997</v>
      </c>
      <c r="AJ6" s="156">
        <f t="shared" si="12"/>
        <v>118.56756439424009</v>
      </c>
      <c r="AK6" s="156">
        <f t="shared" si="13"/>
        <v>47.799193176391015</v>
      </c>
      <c r="AM6" s="716">
        <f t="shared" si="14"/>
        <v>4945.763523647558</v>
      </c>
      <c r="AN6" s="716" t="str">
        <f>_xlfn.XLOOKUP(D6,RUC!$B$3:$B$578,RUC!$M$3:$M$578)</f>
        <v>Richard Sapacayo</v>
      </c>
      <c r="AO6" s="1167" t="s">
        <v>2278</v>
      </c>
      <c r="AP6" t="s">
        <v>3570</v>
      </c>
      <c r="AQ6" t="s">
        <v>2384</v>
      </c>
      <c r="AW6" s="1469">
        <f>SUM(AW8:AW17)</f>
        <v>452.23200000000008</v>
      </c>
      <c r="AX6" s="1470">
        <f>SUMPRODUCT(AW8:AW17,AX8:AX17)/SUM(AW8:AW17)</f>
        <v>0.32672571158166602</v>
      </c>
      <c r="AY6" s="704"/>
      <c r="AZ6" s="1471">
        <f>SUMPRODUCT(AZ8:AZ17,$BB8:$BB17)/SUM($BB8:$BB17)/100</f>
        <v>0.9099909122339479</v>
      </c>
      <c r="BA6" s="707">
        <f>SUM(BA8:BA17)</f>
        <v>5065.8656939167277</v>
      </c>
      <c r="BB6" s="707">
        <f>SUM(BB8:BB17)</f>
        <v>4578.6610000000001</v>
      </c>
    </row>
    <row r="7" spans="1:56" ht="15" customHeight="1" thickBot="1">
      <c r="A7" s="747" t="s">
        <v>3792</v>
      </c>
      <c r="B7" s="1447">
        <v>46024</v>
      </c>
      <c r="C7" s="1447">
        <v>46001</v>
      </c>
      <c r="D7" t="s">
        <v>1484</v>
      </c>
      <c r="E7" s="762">
        <f>_xlfn.XLOOKUP(D7,RUC!$B$3:$B$123,RUC!$D$3:$D$123)</f>
        <v>10761932735</v>
      </c>
      <c r="G7" s="1082" t="s">
        <v>2985</v>
      </c>
      <c r="H7" s="762" t="s">
        <v>69</v>
      </c>
      <c r="I7" s="703">
        <v>8.17</v>
      </c>
      <c r="J7" s="596">
        <v>4</v>
      </c>
      <c r="K7" s="703">
        <f t="shared" si="0"/>
        <v>7.843</v>
      </c>
      <c r="L7" s="1192">
        <v>0.154</v>
      </c>
      <c r="M7" s="994">
        <f t="shared" si="1"/>
        <v>0.13600000000000001</v>
      </c>
      <c r="N7" s="1196">
        <f t="shared" si="2"/>
        <v>0.13600000000000001</v>
      </c>
      <c r="O7" s="645">
        <f t="shared" si="3"/>
        <v>0.13600000000000001</v>
      </c>
      <c r="P7" s="727">
        <v>36</v>
      </c>
      <c r="Q7" s="1028">
        <v>37.01</v>
      </c>
      <c r="R7" s="706">
        <v>4200.1499999999996</v>
      </c>
      <c r="S7" s="765">
        <f>IF((_xlfn.XLOOKUP(D7,RUC!$B$3:$B$119,RUC!$E$3:$E$119)+ROUNDDOWN(O7,1)*100)&lt;95,95,((_xlfn.XLOOKUP(D7,RUC!$B$3:$B$119,RUC!$E$3:$E$119)+ROUNDDOWN(O7,1)*100)))</f>
        <v>100</v>
      </c>
      <c r="U7" s="1146">
        <f>_xlfn.XLOOKUP(D7,RUC!$B$3:$B$123,RUC!$F$3:$F$123)</f>
        <v>120</v>
      </c>
      <c r="V7" s="715">
        <v>1.1023000000000001</v>
      </c>
      <c r="Y7">
        <f>_xlfn.XLOOKUP(D7,RUC!$B$3:$B$123,RUC!$G$3:$G$123)</f>
        <v>20</v>
      </c>
      <c r="Z7" s="143">
        <f>_xlfn.XLOOKUP(D7,RUC!$B$3:$B$123,RUC!$H$3:$H$123)</f>
        <v>30</v>
      </c>
      <c r="AA7" s="144">
        <f t="shared" si="4"/>
        <v>50</v>
      </c>
      <c r="AB7" s="145">
        <f t="shared" si="5"/>
        <v>54.855015931200022</v>
      </c>
      <c r="AC7" s="145">
        <f>+(S7-T7)*V7-'data 1'!$F$4</f>
        <v>30.230000000000004</v>
      </c>
      <c r="AD7" s="145">
        <f t="shared" si="6"/>
        <v>6.9954882512129872</v>
      </c>
      <c r="AE7" s="145">
        <f t="shared" si="7"/>
        <v>-14.884999999999998</v>
      </c>
      <c r="AF7" s="145">
        <f t="shared" si="8"/>
        <v>29.96177422652098</v>
      </c>
      <c r="AG7" s="772">
        <f t="shared" si="9"/>
        <v>69.302262477733976</v>
      </c>
      <c r="AH7" s="1253">
        <f t="shared" si="10"/>
        <v>15.326000000000001</v>
      </c>
      <c r="AI7" s="1253">
        <f t="shared" si="11"/>
        <v>41.411000000000001</v>
      </c>
      <c r="AJ7" s="156">
        <f t="shared" si="12"/>
        <v>33.288371688187027</v>
      </c>
      <c r="AK7" s="156">
        <f t="shared" si="13"/>
        <v>13.165358613392305</v>
      </c>
      <c r="AM7" s="716">
        <f t="shared" si="14"/>
        <v>430.22788994840175</v>
      </c>
      <c r="AN7" s="716" t="str">
        <f>_xlfn.XLOOKUP(D7,RUC!$B$3:$B$578,RUC!$M$3:$M$578)</f>
        <v>Richard Sapacayo</v>
      </c>
      <c r="AO7" s="1167" t="s">
        <v>2278</v>
      </c>
      <c r="AP7" t="s">
        <v>3570</v>
      </c>
      <c r="AQ7" t="s">
        <v>2384</v>
      </c>
      <c r="AV7" s="762"/>
      <c r="AW7" s="762" t="s">
        <v>15</v>
      </c>
      <c r="AX7" s="762" t="s">
        <v>2522</v>
      </c>
      <c r="AY7" s="1214" t="s">
        <v>2522</v>
      </c>
      <c r="AZ7" s="762" t="s">
        <v>2523</v>
      </c>
      <c r="BA7" s="762" t="s">
        <v>2558</v>
      </c>
      <c r="BB7" s="762" t="s">
        <v>2559</v>
      </c>
      <c r="BC7" s="1555" t="s">
        <v>2565</v>
      </c>
      <c r="BD7" s="729" t="s">
        <v>2579</v>
      </c>
    </row>
    <row r="8" spans="1:56" ht="15" customHeight="1">
      <c r="A8" s="1491" t="s">
        <v>3860</v>
      </c>
      <c r="B8" s="1542">
        <v>46018</v>
      </c>
      <c r="C8" s="1447">
        <v>46009</v>
      </c>
      <c r="D8" t="s">
        <v>1967</v>
      </c>
      <c r="E8" s="762">
        <f>_xlfn.XLOOKUP(D8,RUC!$B$3:$B$123,RUC!$D$3:$D$123)</f>
        <v>20601769396</v>
      </c>
      <c r="G8" s="1082">
        <v>40</v>
      </c>
      <c r="H8" s="762" t="s">
        <v>108</v>
      </c>
      <c r="I8" s="703">
        <v>3.45</v>
      </c>
      <c r="J8" s="596">
        <v>7.7</v>
      </c>
      <c r="K8" s="703">
        <f t="shared" si="0"/>
        <v>3.1840000000000002</v>
      </c>
      <c r="L8" s="1192">
        <v>5.7000000000000002E-2</v>
      </c>
      <c r="M8" s="994">
        <f t="shared" si="1"/>
        <v>3.9E-2</v>
      </c>
      <c r="N8" s="1196">
        <f t="shared" si="2"/>
        <v>3.9E-2</v>
      </c>
      <c r="O8" s="645">
        <f t="shared" si="3"/>
        <v>3.9E-2</v>
      </c>
      <c r="P8" s="727">
        <v>80</v>
      </c>
      <c r="Q8" s="1476">
        <v>87.72</v>
      </c>
      <c r="R8" s="706">
        <v>4333.3500000000004</v>
      </c>
      <c r="S8" s="765">
        <f>IF((_xlfn.XLOOKUP(D8,RUC!$B$3:$B$119,RUC!$E$3:$E$119)+ROUNDDOWN(O8,1)*100)&lt;95,95,((_xlfn.XLOOKUP(D8,RUC!$B$3:$B$119,RUC!$E$3:$E$119)+ROUNDDOWN(O8,1)*100)))</f>
        <v>95</v>
      </c>
      <c r="U8" s="1146">
        <f>_xlfn.XLOOKUP(D8,RUC!$B$3:$B$123,RUC!$F$3:$F$123)</f>
        <v>120</v>
      </c>
      <c r="V8" s="715">
        <v>1.1023000000000001</v>
      </c>
      <c r="Y8">
        <f>_xlfn.XLOOKUP(D8,RUC!$B$3:$B$123,RUC!$G$3:$G$123)</f>
        <v>20</v>
      </c>
      <c r="Z8" s="143">
        <f>_xlfn.XLOOKUP(D8,RUC!$B$3:$B$123,RUC!$H$3:$H$123)</f>
        <v>30</v>
      </c>
      <c r="AA8" s="144">
        <f t="shared" si="4"/>
        <v>50</v>
      </c>
      <c r="AB8" s="145">
        <v>1E-3</v>
      </c>
      <c r="AC8" s="145">
        <f>+(S8-T8)*V8-'data 1'!$F$4</f>
        <v>24.718500000000006</v>
      </c>
      <c r="AD8" s="145">
        <f t="shared" si="6"/>
        <v>20.437110852282</v>
      </c>
      <c r="AE8" s="145">
        <f t="shared" si="7"/>
        <v>-14.884999999999998</v>
      </c>
      <c r="AF8" s="145">
        <f t="shared" si="8"/>
        <v>73.332834631668021</v>
      </c>
      <c r="AG8" s="772">
        <f t="shared" ref="AG8:AG27" si="15">AC8+AD8+AE8+AF8+70-53</f>
        <v>120.60344548395003</v>
      </c>
      <c r="AH8" s="1253">
        <f t="shared" si="10"/>
        <v>5.4580000000000002</v>
      </c>
      <c r="AI8" s="1253">
        <f t="shared" si="11"/>
        <v>6.2220000000000004</v>
      </c>
      <c r="AJ8" s="156">
        <f t="shared" si="12"/>
        <v>21.861539640917982</v>
      </c>
      <c r="AK8" s="156">
        <f t="shared" si="13"/>
        <v>3.4059378771974398</v>
      </c>
      <c r="AM8" s="716">
        <f t="shared" si="14"/>
        <v>3.1840000000000002E-3</v>
      </c>
      <c r="AN8" s="716" t="str">
        <f>_xlfn.XLOOKUP(D8,RUC!$B$3:$B$578,RUC!$M$3:$M$578)</f>
        <v>Evelyn</v>
      </c>
      <c r="AO8" s="1167" t="s">
        <v>2277</v>
      </c>
      <c r="AP8" t="s">
        <v>3897</v>
      </c>
      <c r="AQ8" t="s">
        <v>3898</v>
      </c>
      <c r="AV8" s="1556" t="s">
        <v>2277</v>
      </c>
      <c r="AW8" s="1227">
        <f t="shared" ref="AW8:AW17" si="16">SUMIF($AO$4:$AO$1045,AV8,$K$4:$K$1045)</f>
        <v>130.86400000000003</v>
      </c>
      <c r="AX8" s="1227" cm="1">
        <f t="array" ref="AX8">+SUMPRODUCT(IF($AO$4:$AO$1045=AV8,$L$4:$L$1045*$K$4:$K$1045/AW8))</f>
        <v>0.31876276898153805</v>
      </c>
      <c r="AY8" s="1228">
        <f t="shared" ref="AY8:AY17" si="17">31.1035*1.1023*AX8*(100-AZ8)/100</f>
        <v>0.83125375424907344</v>
      </c>
      <c r="AZ8" s="1229" cm="1">
        <f t="array" ref="AZ8">+SUMPRODUCT(IF($AO$4:$AO$1045=AV8,($Q$4:$Q$1045*$AH$4:$AH$1045)/SUMIF($AO$4:$AO$1045,$AV8,$AH$4:$AH$1045)))</f>
        <v>92.393988814771859</v>
      </c>
      <c r="BA8" s="1441">
        <f t="shared" ref="BA8:BA17" si="18">+AX8*31.1035*1.1023*AW8</f>
        <v>1430.2002540742767</v>
      </c>
      <c r="BB8" s="1230">
        <f t="shared" ref="BB8:BB17" si="19">SUMIF($AO$4:$AO$145,$AV8,$AH$4:$AH$145)</f>
        <v>1320.1339999999996</v>
      </c>
      <c r="BC8" s="1229">
        <f>+BA8-BB8</f>
        <v>110.06625407427714</v>
      </c>
      <c r="BD8" s="1231">
        <f>+AW8</f>
        <v>130.86400000000003</v>
      </c>
    </row>
    <row r="9" spans="1:56" ht="15" customHeight="1">
      <c r="A9" s="747" t="s">
        <v>3861</v>
      </c>
      <c r="B9" s="1447">
        <v>46018</v>
      </c>
      <c r="C9" s="1447">
        <v>46009</v>
      </c>
      <c r="D9" t="s">
        <v>1967</v>
      </c>
      <c r="E9" s="762">
        <f>_xlfn.XLOOKUP(D9,RUC!$B$3:$B$123,RUC!$D$3:$D$123)</f>
        <v>20601769396</v>
      </c>
      <c r="G9" s="1082">
        <v>85</v>
      </c>
      <c r="H9" s="762" t="s">
        <v>108</v>
      </c>
      <c r="I9" s="703">
        <v>7.09</v>
      </c>
      <c r="J9" s="596">
        <v>8.5</v>
      </c>
      <c r="K9" s="703">
        <f t="shared" si="0"/>
        <v>6.4870000000000001</v>
      </c>
      <c r="L9" s="1192">
        <v>0.18099999999999999</v>
      </c>
      <c r="M9" s="994">
        <f t="shared" si="1"/>
        <v>0.16300000000000001</v>
      </c>
      <c r="N9" s="1196">
        <f t="shared" si="2"/>
        <v>0.16300000000000001</v>
      </c>
      <c r="O9" s="645">
        <f t="shared" si="3"/>
        <v>0.16300000000000001</v>
      </c>
      <c r="P9" s="727">
        <v>90</v>
      </c>
      <c r="Q9" s="1476">
        <v>91.16</v>
      </c>
      <c r="R9" s="706">
        <v>4333.3500000000004</v>
      </c>
      <c r="S9" s="765">
        <f>IF((_xlfn.XLOOKUP(D9,RUC!$B$3:$B$119,RUC!$E$3:$E$119)+ROUNDDOWN(O9,1)*100)&lt;95,95,((_xlfn.XLOOKUP(D9,RUC!$B$3:$B$119,RUC!$E$3:$E$119)+ROUNDDOWN(O9,1)*100)))</f>
        <v>100</v>
      </c>
      <c r="U9" s="1146">
        <f>_xlfn.XLOOKUP(D9,RUC!$B$3:$B$123,RUC!$F$3:$F$123)</f>
        <v>120</v>
      </c>
      <c r="V9" s="715">
        <v>1.1023000000000001</v>
      </c>
      <c r="Y9">
        <f>_xlfn.XLOOKUP(D9,RUC!$B$3:$B$123,RUC!$G$3:$G$123)</f>
        <v>20</v>
      </c>
      <c r="Z9" s="143">
        <f>_xlfn.XLOOKUP(D9,RUC!$B$3:$B$123,RUC!$H$3:$H$123)</f>
        <v>30</v>
      </c>
      <c r="AA9" s="144">
        <f t="shared" si="4"/>
        <v>50</v>
      </c>
      <c r="AB9" s="145">
        <f t="shared" ref="AB9:AB27" si="20">+((O9*P9*(R9-U9)/100)-S9-AA9+T9)*V9</f>
        <v>515.98491592350013</v>
      </c>
      <c r="AC9" s="145">
        <f>+(S9-T9)*V9-'data 1'!$F$4</f>
        <v>30.230000000000004</v>
      </c>
      <c r="AD9" s="145">
        <f t="shared" si="6"/>
        <v>9.7513312302179731</v>
      </c>
      <c r="AE9" s="145">
        <f t="shared" si="7"/>
        <v>-14.884999999999998</v>
      </c>
      <c r="AF9" s="145">
        <f t="shared" si="8"/>
        <v>76.208632068203954</v>
      </c>
      <c r="AG9" s="772">
        <f t="shared" si="15"/>
        <v>118.30496329842194</v>
      </c>
      <c r="AH9" s="1253">
        <f t="shared" si="10"/>
        <v>36.697000000000003</v>
      </c>
      <c r="AI9" s="1253">
        <f t="shared" si="11"/>
        <v>40.256</v>
      </c>
      <c r="AJ9" s="156">
        <f t="shared" si="12"/>
        <v>72.142328784081926</v>
      </c>
      <c r="AK9" s="156">
        <f t="shared" si="13"/>
        <v>32.627446111527348</v>
      </c>
      <c r="AM9" s="716">
        <f t="shared" si="14"/>
        <v>3347.1941495957453</v>
      </c>
      <c r="AN9" s="716" t="str">
        <f>_xlfn.XLOOKUP(D9,RUC!$B$3:$B$578,RUC!$M$3:$M$578)</f>
        <v>Evelyn</v>
      </c>
      <c r="AO9" s="1167" t="s">
        <v>2277</v>
      </c>
      <c r="AP9" t="s">
        <v>3897</v>
      </c>
      <c r="AQ9" t="s">
        <v>3898</v>
      </c>
      <c r="AV9" s="1557" t="s">
        <v>2278</v>
      </c>
      <c r="AW9" s="703">
        <f t="shared" si="16"/>
        <v>157.523</v>
      </c>
      <c r="AX9" s="703" cm="1">
        <f t="array" ref="AX9">+SUMPRODUCT(IF($AO$4:$AO$1045=AV9,$L$4:$L$1045*$K$4:$K$1045/AW9))</f>
        <v>0.32909610660030592</v>
      </c>
      <c r="AY9" s="1215">
        <f t="shared" si="17"/>
        <v>1.1653823614834733</v>
      </c>
      <c r="AZ9" s="596" cm="1">
        <f t="array" ref="AZ9">+SUMPRODUCT(IF($AO$4:$AO$1045=AV9,($Q$4:$Q$1045*$AH$4:$AH$1045)/SUMIF($AO$4:$AO$1045,$AV9,$AH$4:$AH$1045)))</f>
        <v>89.671514909191387</v>
      </c>
      <c r="BA9" s="1481">
        <f t="shared" si="18"/>
        <v>1777.361579301938</v>
      </c>
      <c r="BB9" s="1237">
        <f t="shared" si="19"/>
        <v>1578.154</v>
      </c>
      <c r="BC9" s="596">
        <f t="shared" ref="BC9:BC17" si="21">+BC8+BA9-BB9</f>
        <v>309.27383337621518</v>
      </c>
      <c r="BD9" s="1238">
        <f t="shared" ref="BD9:BD17" si="22">+BD8+AW9</f>
        <v>288.38700000000006</v>
      </c>
    </row>
    <row r="10" spans="1:56" ht="15" customHeight="1">
      <c r="A10" s="747" t="s">
        <v>3864</v>
      </c>
      <c r="B10" s="1447">
        <v>46015</v>
      </c>
      <c r="C10" s="1447">
        <v>46009</v>
      </c>
      <c r="D10" t="s">
        <v>93</v>
      </c>
      <c r="E10" s="762">
        <f>_xlfn.XLOOKUP(D10,RUC!$B$3:$B$123,RUC!$D$3:$D$123)</f>
        <v>20169040231</v>
      </c>
      <c r="G10" s="1082">
        <v>50</v>
      </c>
      <c r="H10" s="762" t="s">
        <v>69</v>
      </c>
      <c r="I10" s="703">
        <v>4.4400000000000004</v>
      </c>
      <c r="J10" s="596">
        <v>1.2</v>
      </c>
      <c r="K10" s="703">
        <f t="shared" si="0"/>
        <v>4.3869999999999996</v>
      </c>
      <c r="L10" s="1192">
        <v>0.19500000000000001</v>
      </c>
      <c r="M10" s="994">
        <f t="shared" si="1"/>
        <v>0.17699999999999999</v>
      </c>
      <c r="N10" s="1196">
        <f t="shared" si="2"/>
        <v>0.17699999999999999</v>
      </c>
      <c r="O10" s="645">
        <f t="shared" si="3"/>
        <v>0.17699999999999999</v>
      </c>
      <c r="P10" s="727">
        <v>85</v>
      </c>
      <c r="Q10" s="1476">
        <v>90.77</v>
      </c>
      <c r="R10" s="706">
        <v>4333.3500000000004</v>
      </c>
      <c r="S10" s="765">
        <f>IF((_xlfn.XLOOKUP(D10,RUC!$B$3:$B$119,RUC!$E$3:$E$119)+ROUNDDOWN(O10,1)*100)&lt;95,95,((_xlfn.XLOOKUP(D10,RUC!$B$3:$B$119,RUC!$E$3:$E$119)+ROUNDDOWN(O10,1)*100)))</f>
        <v>95</v>
      </c>
      <c r="U10" s="1146">
        <f>_xlfn.XLOOKUP(D10,RUC!$B$3:$B$123,RUC!$F$3:$F$123)</f>
        <v>120</v>
      </c>
      <c r="V10" s="715">
        <v>1.1023000000000001</v>
      </c>
      <c r="Y10" s="1445">
        <v>25</v>
      </c>
      <c r="Z10" s="143">
        <f>_xlfn.XLOOKUP(D10,RUC!$B$3:$B$123,RUC!$H$3:$H$123)</f>
        <v>30</v>
      </c>
      <c r="AA10" s="144">
        <f t="shared" si="4"/>
        <v>55</v>
      </c>
      <c r="AB10" s="145">
        <f t="shared" si="20"/>
        <v>533.40132481725004</v>
      </c>
      <c r="AC10" s="145">
        <f>+(S10-T10)*V10-'data 1'!$F$4</f>
        <v>24.718500000000006</v>
      </c>
      <c r="AD10" s="145">
        <f t="shared" si="6"/>
        <v>52.25619324480747</v>
      </c>
      <c r="AE10" s="145">
        <f t="shared" si="7"/>
        <v>-9.3734999999999928</v>
      </c>
      <c r="AF10" s="145">
        <f t="shared" si="8"/>
        <v>75.882596893713071</v>
      </c>
      <c r="AG10" s="772">
        <f t="shared" si="15"/>
        <v>160.48379013852053</v>
      </c>
      <c r="AH10" s="1253">
        <f t="shared" si="10"/>
        <v>26.623000000000001</v>
      </c>
      <c r="AI10" s="1253">
        <f t="shared" si="11"/>
        <v>29.33</v>
      </c>
      <c r="AJ10" s="156">
        <f t="shared" si="12"/>
        <v>77.389887055942424</v>
      </c>
      <c r="AK10" s="156">
        <f t="shared" si="13"/>
        <v>22.629184105121407</v>
      </c>
      <c r="AM10" s="716">
        <f t="shared" si="14"/>
        <v>2340.0316119732756</v>
      </c>
      <c r="AN10" s="716" t="str">
        <f>_xlfn.XLOOKUP(D10,RUC!$B$3:$B$578,RUC!$M$3:$M$578)</f>
        <v>Ronald Miranda</v>
      </c>
      <c r="AO10" s="1167" t="s">
        <v>2278</v>
      </c>
      <c r="AP10" t="s">
        <v>3899</v>
      </c>
      <c r="AQ10" t="s">
        <v>3900</v>
      </c>
      <c r="AV10" s="1557" t="s">
        <v>2280</v>
      </c>
      <c r="AW10" s="703">
        <f t="shared" si="16"/>
        <v>163.845</v>
      </c>
      <c r="AX10" s="703" cm="1">
        <f t="array" ref="AX10">+SUMPRODUCT(IF($AO$4:$AO$1045=AV10,$L$4:$L$1045*$K$4:$K$1045/AW10))</f>
        <v>0.33080682962556079</v>
      </c>
      <c r="AY10" s="1215">
        <f t="shared" si="17"/>
        <v>1.0037471424052515</v>
      </c>
      <c r="AZ10" s="596" cm="1">
        <f t="array" ref="AZ10">+SUMPRODUCT(IF($AO$4:$AO$1045=AV10,($Q$4:$Q$1045*$AH$4:$AH$1045)/SUMIF($AO$4:$AO$1045,$AV10,$AH$4:$AH$1045)))</f>
        <v>91.150050643517829</v>
      </c>
      <c r="BA10" s="1237">
        <f t="shared" si="18"/>
        <v>1858.3038605405125</v>
      </c>
      <c r="BB10" s="1237">
        <f t="shared" si="19"/>
        <v>1680.373</v>
      </c>
      <c r="BC10" s="596">
        <f t="shared" si="21"/>
        <v>487.20469391672759</v>
      </c>
      <c r="BD10" s="1238">
        <f t="shared" si="22"/>
        <v>452.23200000000008</v>
      </c>
    </row>
    <row r="11" spans="1:56" ht="15" customHeight="1">
      <c r="A11" s="747" t="s">
        <v>3865</v>
      </c>
      <c r="B11" s="1447">
        <v>46015</v>
      </c>
      <c r="C11" s="1447">
        <v>46009</v>
      </c>
      <c r="D11" t="s">
        <v>93</v>
      </c>
      <c r="E11" s="762">
        <f>_xlfn.XLOOKUP(D11,RUC!$B$3:$B$123,RUC!$D$3:$D$123)</f>
        <v>20169040231</v>
      </c>
      <c r="G11" s="1082">
        <v>50</v>
      </c>
      <c r="H11" s="762" t="s">
        <v>69</v>
      </c>
      <c r="I11" s="703">
        <v>4.3099999999999996</v>
      </c>
      <c r="J11" s="596">
        <v>1.25</v>
      </c>
      <c r="K11" s="703">
        <f t="shared" si="0"/>
        <v>4.2560000000000002</v>
      </c>
      <c r="L11" s="1192">
        <v>0.161</v>
      </c>
      <c r="M11" s="994">
        <f t="shared" si="1"/>
        <v>0.14299999999999999</v>
      </c>
      <c r="N11" s="1196">
        <f t="shared" si="2"/>
        <v>0.14299999999999999</v>
      </c>
      <c r="O11" s="645">
        <f t="shared" si="3"/>
        <v>0.14299999999999999</v>
      </c>
      <c r="P11" s="727">
        <v>80</v>
      </c>
      <c r="Q11" s="1476">
        <v>96.27</v>
      </c>
      <c r="R11" s="706">
        <v>4333.3500000000004</v>
      </c>
      <c r="S11" s="765">
        <f>IF((_xlfn.XLOOKUP(D11,RUC!$B$3:$B$119,RUC!$E$3:$E$119)+ROUNDDOWN(O11,1)*100)&lt;95,95,((_xlfn.XLOOKUP(D11,RUC!$B$3:$B$119,RUC!$E$3:$E$119)+ROUNDDOWN(O11,1)*100)))</f>
        <v>95</v>
      </c>
      <c r="U11" s="1146">
        <f>_xlfn.XLOOKUP(D11,RUC!$B$3:$B$123,RUC!$F$3:$F$123)</f>
        <v>120</v>
      </c>
      <c r="V11" s="715">
        <v>1.1023000000000001</v>
      </c>
      <c r="Y11" s="1445">
        <v>25</v>
      </c>
      <c r="Z11" s="143">
        <f>_xlfn.XLOOKUP(D11,RUC!$B$3:$B$123,RUC!$H$3:$H$123)</f>
        <v>30</v>
      </c>
      <c r="AA11" s="144">
        <f t="shared" si="4"/>
        <v>55</v>
      </c>
      <c r="AB11" s="145">
        <f t="shared" si="20"/>
        <v>365.97158065200006</v>
      </c>
      <c r="AC11" s="145">
        <f>+(S11-T11)*V11-'data 1'!$F$4</f>
        <v>24.718500000000006</v>
      </c>
      <c r="AD11" s="145">
        <f t="shared" si="6"/>
        <v>121.6580282797635</v>
      </c>
      <c r="AE11" s="145">
        <f t="shared" si="7"/>
        <v>-9.3734999999999928</v>
      </c>
      <c r="AF11" s="145">
        <f t="shared" si="8"/>
        <v>80.480528841663073</v>
      </c>
      <c r="AG11" s="772">
        <f t="shared" si="15"/>
        <v>234.48355712142654</v>
      </c>
      <c r="AH11" s="1253">
        <f t="shared" si="10"/>
        <v>22.617000000000001</v>
      </c>
      <c r="AI11" s="1253">
        <f t="shared" si="11"/>
        <v>23.492999999999999</v>
      </c>
      <c r="AJ11" s="156">
        <f t="shared" si="12"/>
        <v>67.767913420336441</v>
      </c>
      <c r="AK11" s="156">
        <f t="shared" si="13"/>
        <v>16.693089160267519</v>
      </c>
      <c r="AM11" s="716">
        <f t="shared" si="14"/>
        <v>1557.5750472549123</v>
      </c>
      <c r="AN11" s="716" t="str">
        <f>_xlfn.XLOOKUP(D11,RUC!$B$3:$B$578,RUC!$M$3:$M$578)</f>
        <v>Ronald Miranda</v>
      </c>
      <c r="AO11" s="1167" t="s">
        <v>2278</v>
      </c>
      <c r="AP11" t="s">
        <v>3899</v>
      </c>
      <c r="AQ11" t="s">
        <v>3900</v>
      </c>
      <c r="AV11" s="1557" t="s">
        <v>2279</v>
      </c>
      <c r="AW11" s="703">
        <f t="shared" si="16"/>
        <v>0</v>
      </c>
      <c r="AX11" s="703" cm="1">
        <f t="array" ref="AX11">+SUMPRODUCT(IF($AO$4:$AO$1045=AV11,$L$4:$L$1045*$K$4:$K$1045/AW11))</f>
        <v>0</v>
      </c>
      <c r="AY11" s="1215">
        <f t="shared" si="17"/>
        <v>0</v>
      </c>
      <c r="AZ11" s="596" cm="1">
        <f t="array" ref="AZ11">+SUMPRODUCT(IF($AO$4:$AO$1045=AV11,($Q$4:$Q$1045*$AH$4:$AH$1045)/SUMIF($AO$4:$AO$1045,$AV11,$AH$4:$AH$1045)))</f>
        <v>0</v>
      </c>
      <c r="BA11" s="1237">
        <f t="shared" si="18"/>
        <v>0</v>
      </c>
      <c r="BB11" s="1237">
        <f t="shared" si="19"/>
        <v>0</v>
      </c>
      <c r="BC11" s="596">
        <f t="shared" si="21"/>
        <v>487.20469391672759</v>
      </c>
      <c r="BD11" s="1238">
        <f t="shared" si="22"/>
        <v>452.23200000000008</v>
      </c>
    </row>
    <row r="12" spans="1:56" ht="15" customHeight="1">
      <c r="A12" s="747" t="s">
        <v>3868</v>
      </c>
      <c r="B12" s="1447">
        <v>46015</v>
      </c>
      <c r="C12" s="1447">
        <v>46009</v>
      </c>
      <c r="D12" t="s">
        <v>93</v>
      </c>
      <c r="E12" s="762">
        <f>_xlfn.XLOOKUP(D12,RUC!$B$3:$B$123,RUC!$D$3:$D$123)</f>
        <v>20169040231</v>
      </c>
      <c r="G12" s="1082">
        <v>45</v>
      </c>
      <c r="H12" s="762" t="s">
        <v>69</v>
      </c>
      <c r="I12" s="703">
        <v>4.13</v>
      </c>
      <c r="J12" s="596">
        <v>1.35</v>
      </c>
      <c r="K12" s="703">
        <f t="shared" si="0"/>
        <v>4.0739999999999998</v>
      </c>
      <c r="L12" s="1192">
        <v>0.14699999999999999</v>
      </c>
      <c r="M12" s="994">
        <f t="shared" si="1"/>
        <v>0.129</v>
      </c>
      <c r="N12" s="1196">
        <f t="shared" si="2"/>
        <v>0.129</v>
      </c>
      <c r="O12" s="645">
        <f t="shared" si="3"/>
        <v>0.129</v>
      </c>
      <c r="P12" s="727">
        <v>80</v>
      </c>
      <c r="Q12" s="1476">
        <v>90.48</v>
      </c>
      <c r="R12" s="706">
        <v>4333.3500000000004</v>
      </c>
      <c r="S12" s="765">
        <f>IF((_xlfn.XLOOKUP(D12,RUC!$B$3:$B$119,RUC!$E$3:$E$119)+ROUNDDOWN(O12,1)*100)&lt;95,95,((_xlfn.XLOOKUP(D12,RUC!$B$3:$B$119,RUC!$E$3:$E$119)+ROUNDDOWN(O12,1)*100)))</f>
        <v>95</v>
      </c>
      <c r="U12" s="1146">
        <f>_xlfn.XLOOKUP(D12,RUC!$B$3:$B$123,RUC!$F$3:$F$123)</f>
        <v>120</v>
      </c>
      <c r="V12" s="715">
        <v>1.1023000000000001</v>
      </c>
      <c r="Y12" s="1445">
        <v>25</v>
      </c>
      <c r="Z12" s="1454">
        <v>35</v>
      </c>
      <c r="AA12" s="144">
        <f t="shared" si="4"/>
        <v>60</v>
      </c>
      <c r="AB12" s="145">
        <f t="shared" si="20"/>
        <v>308.44307275600011</v>
      </c>
      <c r="AC12" s="145">
        <f>+(S12-T12)*V12-'data 1'!$F$4</f>
        <v>24.718500000000006</v>
      </c>
      <c r="AD12" s="145">
        <f t="shared" si="6"/>
        <v>71.549394360948043</v>
      </c>
      <c r="AE12" s="145">
        <f t="shared" si="7"/>
        <v>-3.8619999999999948</v>
      </c>
      <c r="AF12" s="145">
        <f t="shared" si="8"/>
        <v>75.640160481911963</v>
      </c>
      <c r="AG12" s="772">
        <f t="shared" si="15"/>
        <v>185.04605484286003</v>
      </c>
      <c r="AH12" s="1253">
        <f t="shared" si="10"/>
        <v>18.577999999999999</v>
      </c>
      <c r="AI12" s="1253">
        <f t="shared" si="11"/>
        <v>20.533000000000001</v>
      </c>
      <c r="AJ12" s="156">
        <f t="shared" si="12"/>
        <v>58.153678707851952</v>
      </c>
      <c r="AK12" s="156">
        <f t="shared" si="13"/>
        <v>14.414838838500238</v>
      </c>
      <c r="AM12" s="716">
        <f t="shared" si="14"/>
        <v>1256.5970784079443</v>
      </c>
      <c r="AN12" s="716" t="str">
        <f>_xlfn.XLOOKUP(D12,RUC!$B$3:$B$578,RUC!$M$3:$M$578)</f>
        <v>Ronald Miranda</v>
      </c>
      <c r="AO12" s="1167" t="s">
        <v>2278</v>
      </c>
      <c r="AP12" t="s">
        <v>3899</v>
      </c>
      <c r="AQ12" t="s">
        <v>3900</v>
      </c>
      <c r="AV12" s="1557" t="s">
        <v>2281</v>
      </c>
      <c r="AW12" s="703">
        <f t="shared" si="16"/>
        <v>0</v>
      </c>
      <c r="AX12" s="703" cm="1">
        <f t="array" ref="AX12">+SUMPRODUCT(IF($AO$4:$AO$1045=AV12,$L$4:$L$1045*$K$4:$K$1045/AW12))</f>
        <v>0</v>
      </c>
      <c r="AY12" s="1215">
        <f t="shared" si="17"/>
        <v>0</v>
      </c>
      <c r="AZ12" s="596" cm="1">
        <f t="array" ref="AZ12">+SUMPRODUCT(IF($AO$4:$AO$1045=AV12,($Q$4:$Q$1045*$AH$4:$AH$1045)/SUMIF($AO$4:$AO$1045,$AV12,$AH$4:$AH$1045)))</f>
        <v>0</v>
      </c>
      <c r="BA12" s="1237">
        <f t="shared" si="18"/>
        <v>0</v>
      </c>
      <c r="BB12" s="1237">
        <f t="shared" si="19"/>
        <v>0</v>
      </c>
      <c r="BC12" s="596">
        <f t="shared" si="21"/>
        <v>487.20469391672759</v>
      </c>
      <c r="BD12" s="1238">
        <f t="shared" si="22"/>
        <v>452.23200000000008</v>
      </c>
    </row>
    <row r="13" spans="1:56" ht="15" customHeight="1">
      <c r="A13" s="747" t="s">
        <v>3869</v>
      </c>
      <c r="B13" s="1447">
        <v>46015</v>
      </c>
      <c r="C13" s="1447">
        <v>46009</v>
      </c>
      <c r="D13" t="s">
        <v>93</v>
      </c>
      <c r="E13" s="762">
        <f>_xlfn.XLOOKUP(D13,RUC!$B$3:$B$123,RUC!$D$3:$D$123)</f>
        <v>20169040231</v>
      </c>
      <c r="G13" s="1082">
        <v>65</v>
      </c>
      <c r="H13" s="762" t="s">
        <v>69</v>
      </c>
      <c r="I13" s="703">
        <v>6.79</v>
      </c>
      <c r="J13" s="596">
        <v>1.8</v>
      </c>
      <c r="K13" s="703">
        <f t="shared" si="0"/>
        <v>6.6680000000000001</v>
      </c>
      <c r="L13" s="1192">
        <v>0.26100000000000001</v>
      </c>
      <c r="M13" s="994">
        <f t="shared" si="1"/>
        <v>0.24299999999999999</v>
      </c>
      <c r="N13" s="1196">
        <f t="shared" si="2"/>
        <v>0.24299999999999999</v>
      </c>
      <c r="O13" s="645">
        <f t="shared" si="3"/>
        <v>0.24299999999999999</v>
      </c>
      <c r="P13" s="727">
        <v>88</v>
      </c>
      <c r="Q13" s="1476">
        <v>88.89</v>
      </c>
      <c r="R13" s="706">
        <v>4333.3500000000004</v>
      </c>
      <c r="S13" s="765">
        <f>IF((_xlfn.XLOOKUP(D13,RUC!$B$3:$B$119,RUC!$E$3:$E$119)+ROUNDDOWN(O13,1)*100)&lt;95,95,((_xlfn.XLOOKUP(D13,RUC!$B$3:$B$119,RUC!$E$3:$E$119)+ROUNDDOWN(O13,1)*100)))</f>
        <v>105</v>
      </c>
      <c r="U13" s="1146">
        <f>_xlfn.XLOOKUP(D13,RUC!$B$3:$B$123,RUC!$F$3:$F$123)</f>
        <v>120</v>
      </c>
      <c r="V13" s="715">
        <v>1.1023000000000001</v>
      </c>
      <c r="Y13" s="1445">
        <v>25</v>
      </c>
      <c r="Z13" s="1454">
        <v>35</v>
      </c>
      <c r="AA13" s="144">
        <f t="shared" si="4"/>
        <v>60</v>
      </c>
      <c r="AB13" s="145">
        <f t="shared" si="20"/>
        <v>811.27380075719998</v>
      </c>
      <c r="AC13" s="145">
        <f>+(S13-T13)*V13-'data 1'!$F$4</f>
        <v>35.741500000000002</v>
      </c>
      <c r="AD13" s="145">
        <f t="shared" si="6"/>
        <v>10.788420325144509</v>
      </c>
      <c r="AE13" s="145">
        <f t="shared" si="7"/>
        <v>-3.8619999999999948</v>
      </c>
      <c r="AF13" s="145">
        <f t="shared" si="8"/>
        <v>74.310940155141068</v>
      </c>
      <c r="AG13" s="772">
        <f t="shared" si="15"/>
        <v>133.97886048028559</v>
      </c>
      <c r="AH13" s="1253">
        <f t="shared" si="10"/>
        <v>53.039000000000001</v>
      </c>
      <c r="AI13" s="1253">
        <f t="shared" si="11"/>
        <v>59.668999999999997</v>
      </c>
      <c r="AJ13" s="156">
        <f t="shared" si="12"/>
        <v>101.43800039915541</v>
      </c>
      <c r="AK13" s="156">
        <f t="shared" si="13"/>
        <v>48.887024653920818</v>
      </c>
      <c r="AM13" s="716">
        <f t="shared" si="14"/>
        <v>5409.5737034490094</v>
      </c>
      <c r="AN13" s="716" t="str">
        <f>_xlfn.XLOOKUP(D13,RUC!$B$3:$B$578,RUC!$M$3:$M$578)</f>
        <v>Ronald Miranda</v>
      </c>
      <c r="AO13" s="1167" t="s">
        <v>2278</v>
      </c>
      <c r="AP13" t="s">
        <v>3899</v>
      </c>
      <c r="AQ13" t="s">
        <v>3900</v>
      </c>
      <c r="AR13" t="s">
        <v>3663</v>
      </c>
      <c r="AV13" s="1557" t="s">
        <v>2297</v>
      </c>
      <c r="AW13" s="703">
        <f t="shared" si="16"/>
        <v>0</v>
      </c>
      <c r="AX13" s="703" cm="1">
        <f t="array" ref="AX13">+SUMPRODUCT(IF($AO$4:$AO$1045=AV13,$L$4:$L$1045*$K$4:$K$1045/AW13))</f>
        <v>0</v>
      </c>
      <c r="AY13" s="1215">
        <f t="shared" si="17"/>
        <v>0</v>
      </c>
      <c r="AZ13" s="596" cm="1">
        <f t="array" ref="AZ13">+SUMPRODUCT(IF('35'!$AO$4:$AO$937=AV13,('35'!$Q$4:$Q$937*'35'!$AH$4:$AH$937)/SUMIF('35'!$AO$4:$AO$937,#REF!,'35'!$AH$4:$AH$937)))</f>
        <v>0</v>
      </c>
      <c r="BA13" s="1237">
        <f t="shared" si="18"/>
        <v>0</v>
      </c>
      <c r="BB13" s="1237">
        <f t="shared" si="19"/>
        <v>0</v>
      </c>
      <c r="BC13" s="596">
        <f t="shared" si="21"/>
        <v>487.20469391672759</v>
      </c>
      <c r="BD13" s="1238">
        <f t="shared" si="22"/>
        <v>452.23200000000008</v>
      </c>
    </row>
    <row r="14" spans="1:56" ht="15" customHeight="1">
      <c r="A14" s="747" t="s">
        <v>3870</v>
      </c>
      <c r="B14" s="1447">
        <v>46015</v>
      </c>
      <c r="C14" s="1447">
        <v>46009</v>
      </c>
      <c r="D14" t="s">
        <v>93</v>
      </c>
      <c r="E14" s="762">
        <f>_xlfn.XLOOKUP(D14,RUC!$B$3:$B$123,RUC!$D$3:$D$123)</f>
        <v>20169040231</v>
      </c>
      <c r="G14" s="1082">
        <v>65</v>
      </c>
      <c r="H14" s="762" t="s">
        <v>69</v>
      </c>
      <c r="I14" s="703">
        <v>6.96</v>
      </c>
      <c r="J14" s="596">
        <v>2.2999999999999998</v>
      </c>
      <c r="K14" s="703">
        <f t="shared" si="0"/>
        <v>6.8</v>
      </c>
      <c r="L14" s="1192">
        <v>0.307</v>
      </c>
      <c r="M14" s="994">
        <f t="shared" si="1"/>
        <v>0.28899999999999998</v>
      </c>
      <c r="N14" s="1196">
        <f t="shared" si="2"/>
        <v>0.28899999999999998</v>
      </c>
      <c r="O14" s="645">
        <f t="shared" si="3"/>
        <v>0.28899999999999998</v>
      </c>
      <c r="P14" s="727">
        <v>90</v>
      </c>
      <c r="Q14" s="1476">
        <v>93.16</v>
      </c>
      <c r="R14" s="706">
        <v>4333.3500000000004</v>
      </c>
      <c r="S14" s="765">
        <f>IF((_xlfn.XLOOKUP(D14,RUC!$B$3:$B$119,RUC!$E$3:$E$119)+ROUNDDOWN(O14,1)*100)&lt;95,95,((_xlfn.XLOOKUP(D14,RUC!$B$3:$B$119,RUC!$E$3:$E$119)+ROUNDDOWN(O14,1)*100)))</f>
        <v>105</v>
      </c>
      <c r="U14" s="1146">
        <f>_xlfn.XLOOKUP(D14,RUC!$B$3:$B$123,RUC!$F$3:$F$123)</f>
        <v>120</v>
      </c>
      <c r="V14" s="715">
        <v>1.1023000000000001</v>
      </c>
      <c r="Y14" s="1445">
        <v>25</v>
      </c>
      <c r="Z14" s="1454">
        <v>35</v>
      </c>
      <c r="AA14" s="144">
        <f t="shared" si="4"/>
        <v>60</v>
      </c>
      <c r="AB14" s="145">
        <f t="shared" si="20"/>
        <v>1026.1226208705</v>
      </c>
      <c r="AC14" s="145">
        <f>+(S14-T14)*V14-'data 1'!$F$4</f>
        <v>35.741500000000002</v>
      </c>
      <c r="AD14" s="145">
        <f t="shared" si="6"/>
        <v>45.056017589345956</v>
      </c>
      <c r="AE14" s="145">
        <f t="shared" si="7"/>
        <v>-3.8619999999999948</v>
      </c>
      <c r="AF14" s="145">
        <f t="shared" si="8"/>
        <v>77.880607322004067</v>
      </c>
      <c r="AG14" s="772">
        <f t="shared" si="15"/>
        <v>171.81612491135002</v>
      </c>
      <c r="AH14" s="1253">
        <f t="shared" si="10"/>
        <v>66.679000000000002</v>
      </c>
      <c r="AI14" s="1253">
        <f t="shared" si="11"/>
        <v>71.573999999999998</v>
      </c>
      <c r="AJ14" s="156">
        <f t="shared" si="12"/>
        <v>125.04753104275389</v>
      </c>
      <c r="AK14" s="156">
        <f t="shared" si="13"/>
        <v>60.639880136273995</v>
      </c>
      <c r="AM14" s="716">
        <f t="shared" si="14"/>
        <v>6977.6338219193995</v>
      </c>
      <c r="AN14" s="716" t="str">
        <f>_xlfn.XLOOKUP(D14,RUC!$B$3:$B$578,RUC!$M$3:$M$578)</f>
        <v>Ronald Miranda</v>
      </c>
      <c r="AO14" s="1167" t="s">
        <v>2278</v>
      </c>
      <c r="AP14" t="s">
        <v>3899</v>
      </c>
      <c r="AQ14" t="s">
        <v>3900</v>
      </c>
      <c r="AV14" s="1557" t="s">
        <v>2518</v>
      </c>
      <c r="AW14" s="703">
        <f t="shared" si="16"/>
        <v>0</v>
      </c>
      <c r="AX14" s="703" cm="1">
        <f t="array" ref="AX14">+SUMPRODUCT(IF($AO$4:$AO$1045=AV14,$L$4:$L$1045*$K$4:$K$1045/AW14))</f>
        <v>0</v>
      </c>
      <c r="AY14" s="1215">
        <f t="shared" si="17"/>
        <v>0</v>
      </c>
      <c r="AZ14" s="596" cm="1">
        <f t="array" ref="AZ14">+SUMPRODUCT(IF('35'!$AO$4:$AO$937=AV14,('35'!$Q$4:$Q$937*'35'!$AH$4:$AH$937)/SUMIF('35'!$AO$4:$AO$937,#REF!,'35'!$AH$4:$AH$937)))</f>
        <v>0</v>
      </c>
      <c r="BA14" s="1237">
        <f t="shared" si="18"/>
        <v>0</v>
      </c>
      <c r="BB14" s="1237">
        <f t="shared" si="19"/>
        <v>0</v>
      </c>
      <c r="BC14" s="596">
        <f t="shared" si="21"/>
        <v>487.20469391672759</v>
      </c>
      <c r="BD14" s="1238">
        <f t="shared" si="22"/>
        <v>452.23200000000008</v>
      </c>
    </row>
    <row r="15" spans="1:56" ht="15" customHeight="1">
      <c r="A15" s="747" t="s">
        <v>3871</v>
      </c>
      <c r="B15" s="1447">
        <v>46015</v>
      </c>
      <c r="C15" s="1447">
        <v>46010</v>
      </c>
      <c r="D15" t="s">
        <v>1967</v>
      </c>
      <c r="E15" s="762">
        <f>_xlfn.XLOOKUP(D15,RUC!$B$3:$B$123,RUC!$D$3:$D$123)</f>
        <v>20601769396</v>
      </c>
      <c r="G15" s="1082">
        <v>49</v>
      </c>
      <c r="H15" s="762" t="s">
        <v>108</v>
      </c>
      <c r="I15" s="703">
        <v>2.48</v>
      </c>
      <c r="J15" s="596">
        <v>16.03</v>
      </c>
      <c r="K15" s="703">
        <f t="shared" si="0"/>
        <v>2.0819999999999999</v>
      </c>
      <c r="L15" s="1192">
        <v>0.81299999999999994</v>
      </c>
      <c r="M15" s="994">
        <f t="shared" si="1"/>
        <v>0.76400000000000001</v>
      </c>
      <c r="N15" s="1196">
        <f t="shared" si="2"/>
        <v>0.76400000000000001</v>
      </c>
      <c r="O15" s="645">
        <f t="shared" si="3"/>
        <v>0.76400000000000001</v>
      </c>
      <c r="P15" s="727">
        <v>90</v>
      </c>
      <c r="Q15" s="1476">
        <v>96.19</v>
      </c>
      <c r="R15" s="706">
        <v>4337.6000000000004</v>
      </c>
      <c r="S15" s="765">
        <f>IF((_xlfn.XLOOKUP(D15,RUC!$B$3:$B$119,RUC!$E$3:$E$119)+ROUNDDOWN(O15,1)*100)&lt;95,95,((_xlfn.XLOOKUP(D15,RUC!$B$3:$B$119,RUC!$E$3:$E$119)+ROUNDDOWN(O15,1)*100)))</f>
        <v>160</v>
      </c>
      <c r="U15" s="1146">
        <f>_xlfn.XLOOKUP(D15,RUC!$B$3:$B$123,RUC!$F$3:$F$123)</f>
        <v>120</v>
      </c>
      <c r="V15" s="715">
        <v>1.1023000000000001</v>
      </c>
      <c r="Y15" s="1445">
        <v>30</v>
      </c>
      <c r="Z15" s="1454">
        <v>40</v>
      </c>
      <c r="AA15" s="144">
        <f t="shared" si="4"/>
        <v>70</v>
      </c>
      <c r="AB15" s="145">
        <f t="shared" si="20"/>
        <v>2943.1649860480006</v>
      </c>
      <c r="AC15" s="145">
        <f>+(S15-T15)*V15-'data 1'!$F$4</f>
        <v>96.367999999999995</v>
      </c>
      <c r="AD15" s="145">
        <f t="shared" si="6"/>
        <v>233.96257393785592</v>
      </c>
      <c r="AE15" s="145">
        <f t="shared" si="7"/>
        <v>7.1610000000000014</v>
      </c>
      <c r="AF15" s="145">
        <f t="shared" si="8"/>
        <v>219.1246325098877</v>
      </c>
      <c r="AG15" s="772">
        <f t="shared" si="15"/>
        <v>573.61620644774359</v>
      </c>
      <c r="AH15" s="1253">
        <f t="shared" si="10"/>
        <v>55.823</v>
      </c>
      <c r="AI15" s="1253">
        <f t="shared" si="11"/>
        <v>58.033999999999999</v>
      </c>
      <c r="AJ15" s="156">
        <f t="shared" si="12"/>
        <v>338.25893444024371</v>
      </c>
      <c r="AK15" s="156">
        <f t="shared" si="13"/>
        <v>49.082385537860752</v>
      </c>
      <c r="AM15" s="716">
        <f t="shared" si="14"/>
        <v>6127.6695009519372</v>
      </c>
      <c r="AN15" s="716" t="str">
        <f>_xlfn.XLOOKUP(D15,RUC!$B$3:$B$578,RUC!$M$3:$M$578)</f>
        <v>Evelyn</v>
      </c>
      <c r="AO15" s="1167" t="s">
        <v>2277</v>
      </c>
      <c r="AP15" t="s">
        <v>3007</v>
      </c>
      <c r="AQ15" t="s">
        <v>3903</v>
      </c>
      <c r="AV15" s="1557" t="s">
        <v>2519</v>
      </c>
      <c r="AW15" s="703">
        <f t="shared" si="16"/>
        <v>0</v>
      </c>
      <c r="AX15" s="703" cm="1">
        <f t="array" ref="AX15">+SUMPRODUCT(IF($AO$4:$AO$1045=AV15,$L$4:$L$1045*$K$4:$K$1045/AW15))</f>
        <v>0</v>
      </c>
      <c r="AY15" s="1215">
        <f t="shared" si="17"/>
        <v>0</v>
      </c>
      <c r="AZ15" s="596" cm="1">
        <f t="array" ref="AZ15">+SUMPRODUCT(IF('35'!$AO$4:$AO$937=AV15,('35'!$Q$4:$Q$937*'35'!$AH$4:$AH$937)/SUMIF('35'!$AO$4:$AO$937,#REF!,'35'!$AH$4:$AH$937)))</f>
        <v>0</v>
      </c>
      <c r="BA15" s="1237">
        <f t="shared" si="18"/>
        <v>0</v>
      </c>
      <c r="BB15" s="1237">
        <f t="shared" si="19"/>
        <v>0</v>
      </c>
      <c r="BC15" s="596">
        <f t="shared" si="21"/>
        <v>487.20469391672759</v>
      </c>
      <c r="BD15" s="1238">
        <f t="shared" si="22"/>
        <v>452.23200000000008</v>
      </c>
    </row>
    <row r="16" spans="1:56" ht="15" customHeight="1">
      <c r="A16" s="747" t="s">
        <v>3872</v>
      </c>
      <c r="B16" s="1447">
        <v>46015</v>
      </c>
      <c r="C16" s="1447">
        <v>46010</v>
      </c>
      <c r="D16" t="s">
        <v>1967</v>
      </c>
      <c r="E16" s="762">
        <f>_xlfn.XLOOKUP(D16,RUC!$B$3:$B$123,RUC!$D$3:$D$123)</f>
        <v>20601769396</v>
      </c>
      <c r="G16" s="1082">
        <v>97</v>
      </c>
      <c r="H16" s="762" t="s">
        <v>108</v>
      </c>
      <c r="I16" s="703">
        <v>5.44</v>
      </c>
      <c r="J16" s="596">
        <v>16.899999999999999</v>
      </c>
      <c r="K16" s="703">
        <f t="shared" si="0"/>
        <v>4.5209999999999999</v>
      </c>
      <c r="L16" s="1192">
        <v>0.23899999999999999</v>
      </c>
      <c r="M16" s="994">
        <f t="shared" si="1"/>
        <v>0.221</v>
      </c>
      <c r="N16" s="1196">
        <f t="shared" si="2"/>
        <v>0.221</v>
      </c>
      <c r="O16" s="645">
        <f t="shared" si="3"/>
        <v>0.221</v>
      </c>
      <c r="P16" s="727">
        <v>90</v>
      </c>
      <c r="Q16" s="1476">
        <v>91.63</v>
      </c>
      <c r="R16" s="706">
        <v>4337.6000000000004</v>
      </c>
      <c r="S16" s="765">
        <f>IF((_xlfn.XLOOKUP(D16,RUC!$B$3:$B$119,RUC!$E$3:$E$119)+ROUNDDOWN(O16,1)*100)&lt;95,95,((_xlfn.XLOOKUP(D16,RUC!$B$3:$B$119,RUC!$E$3:$E$119)+ROUNDDOWN(O16,1)*100)))</f>
        <v>110</v>
      </c>
      <c r="U16" s="1146">
        <f>_xlfn.XLOOKUP(D16,RUC!$B$3:$B$123,RUC!$F$3:$F$123)</f>
        <v>120</v>
      </c>
      <c r="V16" s="715">
        <v>1.1023000000000001</v>
      </c>
      <c r="Y16" s="1445">
        <v>30</v>
      </c>
      <c r="Z16" s="1454">
        <v>40</v>
      </c>
      <c r="AA16" s="144">
        <f t="shared" si="4"/>
        <v>70</v>
      </c>
      <c r="AB16" s="145">
        <f t="shared" si="20"/>
        <v>726.28412947200013</v>
      </c>
      <c r="AC16" s="145">
        <f>+(S16-T16)*V16-'data 1'!$F$4</f>
        <v>41.253</v>
      </c>
      <c r="AD16" s="145">
        <f t="shared" si="6"/>
        <v>18.111344911935952</v>
      </c>
      <c r="AE16" s="145">
        <f t="shared" si="7"/>
        <v>7.1610000000000014</v>
      </c>
      <c r="AF16" s="145">
        <f t="shared" si="8"/>
        <v>76.678814120831959</v>
      </c>
      <c r="AG16" s="772">
        <f t="shared" si="15"/>
        <v>160.2041590327679</v>
      </c>
      <c r="AH16" s="1253">
        <f t="shared" si="10"/>
        <v>33.945</v>
      </c>
      <c r="AI16" s="1253">
        <f t="shared" si="11"/>
        <v>37.045999999999999</v>
      </c>
      <c r="AJ16" s="156">
        <f t="shared" si="12"/>
        <v>94.724951947163902</v>
      </c>
      <c r="AK16" s="156">
        <f t="shared" si="13"/>
        <v>30.830343211498544</v>
      </c>
      <c r="AM16" s="716">
        <f t="shared" si="14"/>
        <v>3283.5305493429123</v>
      </c>
      <c r="AN16" s="716" t="str">
        <f>_xlfn.XLOOKUP(D16,RUC!$B$3:$B$578,RUC!$M$3:$M$578)</f>
        <v>Evelyn</v>
      </c>
      <c r="AO16" s="1167" t="s">
        <v>2277</v>
      </c>
      <c r="AP16" t="s">
        <v>3007</v>
      </c>
      <c r="AQ16" t="s">
        <v>3903</v>
      </c>
      <c r="AV16" s="1557" t="s">
        <v>2520</v>
      </c>
      <c r="AW16" s="703">
        <f t="shared" si="16"/>
        <v>0</v>
      </c>
      <c r="AX16" s="703" cm="1">
        <f t="array" ref="AX16">+SUMPRODUCT(IF($AO$4:$AO$1045=AV16,$L$4:$L$1045*$K$4:$K$1045/AW16))</f>
        <v>0</v>
      </c>
      <c r="AY16" s="1215">
        <f t="shared" si="17"/>
        <v>0</v>
      </c>
      <c r="AZ16" s="596" cm="1">
        <f t="array" ref="AZ16">+SUMPRODUCT(IF('35'!$AO$4:$AO$937=AV16,('35'!$Q$4:$Q$937*'35'!$AH$4:$AH$937)/SUMIF('35'!$AO$4:$AO$937,#REF!,'35'!$AH$4:$AH$937)))</f>
        <v>0</v>
      </c>
      <c r="BA16" s="1237">
        <f t="shared" si="18"/>
        <v>0</v>
      </c>
      <c r="BB16" s="1237">
        <f t="shared" si="19"/>
        <v>0</v>
      </c>
      <c r="BC16" s="596">
        <f t="shared" si="21"/>
        <v>487.20469391672759</v>
      </c>
      <c r="BD16" s="1238">
        <f t="shared" si="22"/>
        <v>452.23200000000008</v>
      </c>
    </row>
    <row r="17" spans="1:56" ht="15" customHeight="1" thickBot="1">
      <c r="A17" s="747" t="s">
        <v>3873</v>
      </c>
      <c r="B17" s="1447">
        <v>46015</v>
      </c>
      <c r="C17" s="1447">
        <v>46010</v>
      </c>
      <c r="D17" t="s">
        <v>1967</v>
      </c>
      <c r="E17" s="762">
        <f>_xlfn.XLOOKUP(D17,RUC!$B$3:$B$123,RUC!$D$3:$D$123)</f>
        <v>20601769396</v>
      </c>
      <c r="G17" s="1082">
        <v>30</v>
      </c>
      <c r="H17" s="762" t="s">
        <v>108</v>
      </c>
      <c r="I17" s="703">
        <v>1.65</v>
      </c>
      <c r="J17" s="596">
        <v>17.23</v>
      </c>
      <c r="K17" s="703">
        <f t="shared" si="0"/>
        <v>1.3660000000000001</v>
      </c>
      <c r="L17" s="1192">
        <v>0.22500000000000001</v>
      </c>
      <c r="M17" s="994">
        <f t="shared" si="1"/>
        <v>0.20699999999999999</v>
      </c>
      <c r="N17" s="1196">
        <f t="shared" si="2"/>
        <v>0.20699999999999999</v>
      </c>
      <c r="O17" s="645">
        <f t="shared" si="3"/>
        <v>0.20699999999999999</v>
      </c>
      <c r="P17" s="727">
        <v>90</v>
      </c>
      <c r="Q17" s="1476">
        <v>91.56</v>
      </c>
      <c r="R17" s="706">
        <v>4337.6000000000004</v>
      </c>
      <c r="S17" s="765">
        <f>IF((_xlfn.XLOOKUP(D17,RUC!$B$3:$B$119,RUC!$E$3:$E$119)+ROUNDDOWN(O17,1)*100)&lt;95,95,((_xlfn.XLOOKUP(D17,RUC!$B$3:$B$119,RUC!$E$3:$E$119)+ROUNDDOWN(O17,1)*100)))</f>
        <v>110</v>
      </c>
      <c r="U17" s="1146">
        <f>_xlfn.XLOOKUP(D17,RUC!$B$3:$B$123,RUC!$F$3:$F$123)</f>
        <v>120</v>
      </c>
      <c r="V17" s="715">
        <v>1.1023000000000001</v>
      </c>
      <c r="Y17" s="1445">
        <v>30</v>
      </c>
      <c r="Z17" s="1454">
        <v>40</v>
      </c>
      <c r="AA17" s="144">
        <f t="shared" si="4"/>
        <v>70</v>
      </c>
      <c r="AB17" s="145">
        <f t="shared" si="20"/>
        <v>667.70596742400016</v>
      </c>
      <c r="AC17" s="145">
        <f>+(S17-T17)*V17-'data 1'!$F$4</f>
        <v>41.253</v>
      </c>
      <c r="AD17" s="145">
        <f t="shared" si="6"/>
        <v>16.318202284800027</v>
      </c>
      <c r="AE17" s="145">
        <f t="shared" si="7"/>
        <v>7.1610000000000014</v>
      </c>
      <c r="AF17" s="145">
        <f t="shared" si="8"/>
        <v>76.620235958784093</v>
      </c>
      <c r="AG17" s="772">
        <f t="shared" si="15"/>
        <v>158.35243824358412</v>
      </c>
      <c r="AH17" s="1253">
        <f t="shared" si="10"/>
        <v>9.6479999999999997</v>
      </c>
      <c r="AI17" s="1253">
        <f t="shared" si="11"/>
        <v>10.538</v>
      </c>
      <c r="AJ17" s="156">
        <f t="shared" si="12"/>
        <v>89.108084545199929</v>
      </c>
      <c r="AK17" s="156">
        <f t="shared" si="13"/>
        <v>8.7251444062146906</v>
      </c>
      <c r="AM17" s="716">
        <f t="shared" si="14"/>
        <v>912.08635150118425</v>
      </c>
      <c r="AN17" s="716" t="str">
        <f>_xlfn.XLOOKUP(D17,RUC!$B$3:$B$578,RUC!$M$3:$M$578)</f>
        <v>Evelyn</v>
      </c>
      <c r="AO17" s="1167" t="s">
        <v>2277</v>
      </c>
      <c r="AP17" t="s">
        <v>3007</v>
      </c>
      <c r="AQ17" t="s">
        <v>3903</v>
      </c>
      <c r="AV17" s="1558" t="s">
        <v>2521</v>
      </c>
      <c r="AW17" s="1254">
        <f t="shared" si="16"/>
        <v>0</v>
      </c>
      <c r="AX17" s="1254" cm="1">
        <f t="array" ref="AX17">+SUMPRODUCT(IF('35'!$AO$4:$AO$937=AV17,'35'!$L$4:$L$937*'35'!$K$4:$K$937/AW17))</f>
        <v>0</v>
      </c>
      <c r="AY17" s="1241">
        <f t="shared" si="17"/>
        <v>0</v>
      </c>
      <c r="AZ17" s="1242" cm="1">
        <f t="array" ref="AZ17">+SUMPRODUCT(IF('35'!$AO$4:$AO$937=AV17,('35'!$Q$4:$Q$937*'35'!$AH$4:$AH$937)/SUMIF('35'!$AO$4:$AO$937,#REF!,'35'!$AH$4:$AH$937)))</f>
        <v>0</v>
      </c>
      <c r="BA17" s="1243">
        <f t="shared" si="18"/>
        <v>0</v>
      </c>
      <c r="BB17" s="1243">
        <f t="shared" si="19"/>
        <v>0</v>
      </c>
      <c r="BC17" s="1242">
        <f t="shared" si="21"/>
        <v>487.20469391672759</v>
      </c>
      <c r="BD17" s="1436">
        <f t="shared" si="22"/>
        <v>452.23200000000008</v>
      </c>
    </row>
    <row r="18" spans="1:56" ht="15" customHeight="1">
      <c r="A18" s="747" t="s">
        <v>3874</v>
      </c>
      <c r="B18" s="1447">
        <v>46015</v>
      </c>
      <c r="C18" s="1447">
        <v>46010</v>
      </c>
      <c r="D18" t="s">
        <v>1967</v>
      </c>
      <c r="E18" s="762">
        <f>_xlfn.XLOOKUP(D18,RUC!$B$3:$B$123,RUC!$D$3:$D$123)</f>
        <v>20601769396</v>
      </c>
      <c r="G18" s="1082">
        <v>77</v>
      </c>
      <c r="H18" s="762" t="s">
        <v>108</v>
      </c>
      <c r="I18" s="703">
        <v>4.42</v>
      </c>
      <c r="J18" s="596">
        <v>17.399999999999999</v>
      </c>
      <c r="K18" s="703">
        <f t="shared" si="0"/>
        <v>3.6509999999999998</v>
      </c>
      <c r="L18" s="1192">
        <v>0.316</v>
      </c>
      <c r="M18" s="994">
        <f t="shared" si="1"/>
        <v>0.29699999999999999</v>
      </c>
      <c r="N18" s="1196">
        <f t="shared" si="2"/>
        <v>0.29699999999999999</v>
      </c>
      <c r="O18" s="645">
        <f t="shared" si="3"/>
        <v>0.29699999999999999</v>
      </c>
      <c r="P18" s="727">
        <v>87</v>
      </c>
      <c r="Q18" s="1476">
        <v>87.97</v>
      </c>
      <c r="R18" s="706">
        <v>4337.6000000000004</v>
      </c>
      <c r="S18" s="765">
        <f>IF((_xlfn.XLOOKUP(D18,RUC!$B$3:$B$119,RUC!$E$3:$E$119)+ROUNDDOWN(O18,1)*100)&lt;95,95,((_xlfn.XLOOKUP(D18,RUC!$B$3:$B$119,RUC!$E$3:$E$119)+ROUNDDOWN(O18,1)*100)))</f>
        <v>110</v>
      </c>
      <c r="U18" s="1146">
        <f>_xlfn.XLOOKUP(D18,RUC!$B$3:$B$123,RUC!$F$3:$F$123)</f>
        <v>120</v>
      </c>
      <c r="V18" s="715">
        <v>1.1023000000000001</v>
      </c>
      <c r="Y18" s="1445">
        <v>30</v>
      </c>
      <c r="Z18" s="1454">
        <v>40</v>
      </c>
      <c r="AA18" s="144">
        <f t="shared" si="4"/>
        <v>70</v>
      </c>
      <c r="AB18" s="145">
        <f t="shared" si="20"/>
        <v>1002.8567374272001</v>
      </c>
      <c r="AC18" s="145">
        <f>+(S18-T18)*V18-'data 1'!$F$4</f>
        <v>41.253</v>
      </c>
      <c r="AD18" s="145">
        <f t="shared" si="6"/>
        <v>14.250300183295986</v>
      </c>
      <c r="AE18" s="145">
        <f t="shared" si="7"/>
        <v>7.1610000000000014</v>
      </c>
      <c r="AF18" s="145">
        <f t="shared" si="8"/>
        <v>77.705791580864087</v>
      </c>
      <c r="AG18" s="772">
        <f t="shared" si="15"/>
        <v>157.37009176416007</v>
      </c>
      <c r="AH18" s="1253">
        <f t="shared" si="10"/>
        <v>34.796999999999997</v>
      </c>
      <c r="AI18" s="1253">
        <f t="shared" si="11"/>
        <v>39.555999999999997</v>
      </c>
      <c r="AJ18" s="156">
        <f t="shared" si="12"/>
        <v>120.24041893070391</v>
      </c>
      <c r="AK18" s="156">
        <f t="shared" si="13"/>
        <v>32.344214177992413</v>
      </c>
      <c r="AM18" s="716">
        <f t="shared" si="14"/>
        <v>3661.4299483467071</v>
      </c>
      <c r="AN18" s="716" t="str">
        <f>_xlfn.XLOOKUP(D18,RUC!$B$3:$B$578,RUC!$M$3:$M$578)</f>
        <v>Evelyn</v>
      </c>
      <c r="AO18" s="1167" t="s">
        <v>2277</v>
      </c>
      <c r="AP18" t="s">
        <v>3007</v>
      </c>
      <c r="AQ18" t="s">
        <v>3903</v>
      </c>
    </row>
    <row r="19" spans="1:56" ht="15" customHeight="1" thickBot="1">
      <c r="A19" s="747" t="s">
        <v>3875</v>
      </c>
      <c r="B19" s="1447">
        <v>46015</v>
      </c>
      <c r="C19" s="1447">
        <v>46010</v>
      </c>
      <c r="D19" t="s">
        <v>1967</v>
      </c>
      <c r="E19" s="762">
        <f>_xlfn.XLOOKUP(D19,RUC!$B$3:$B$123,RUC!$D$3:$D$123)</f>
        <v>20601769396</v>
      </c>
      <c r="G19" s="1082">
        <v>69</v>
      </c>
      <c r="H19" s="762" t="s">
        <v>108</v>
      </c>
      <c r="I19" s="703">
        <v>4.29</v>
      </c>
      <c r="J19" s="596">
        <v>16.100000000000001</v>
      </c>
      <c r="K19" s="703">
        <f t="shared" si="0"/>
        <v>3.5990000000000002</v>
      </c>
      <c r="L19" s="1192">
        <v>0.35</v>
      </c>
      <c r="M19" s="994">
        <f t="shared" si="1"/>
        <v>0.32900000000000001</v>
      </c>
      <c r="N19" s="1196">
        <f t="shared" si="2"/>
        <v>0.32900000000000001</v>
      </c>
      <c r="O19" s="645">
        <f t="shared" si="3"/>
        <v>0.32900000000000001</v>
      </c>
      <c r="P19" s="727">
        <v>90</v>
      </c>
      <c r="Q19" s="1476">
        <v>93.71</v>
      </c>
      <c r="R19" s="706">
        <v>4337.6000000000004</v>
      </c>
      <c r="S19" s="765">
        <f>IF((_xlfn.XLOOKUP(D19,RUC!$B$3:$B$119,RUC!$E$3:$E$119)+ROUNDDOWN(O19,1)*100)&lt;95,95,((_xlfn.XLOOKUP(D19,RUC!$B$3:$B$119,RUC!$E$3:$E$119)+ROUNDDOWN(O19,1)*100)))</f>
        <v>120</v>
      </c>
      <c r="U19" s="1146">
        <f>_xlfn.XLOOKUP(D19,RUC!$B$3:$B$123,RUC!$F$3:$F$123)</f>
        <v>120</v>
      </c>
      <c r="V19" s="715">
        <v>1.1023000000000001</v>
      </c>
      <c r="Y19" s="1445">
        <v>30</v>
      </c>
      <c r="Z19" s="1454">
        <v>40</v>
      </c>
      <c r="AA19" s="144">
        <f t="shared" si="4"/>
        <v>70</v>
      </c>
      <c r="AB19" s="145">
        <f t="shared" si="20"/>
        <v>1167.1498081280004</v>
      </c>
      <c r="AC19" s="145">
        <f>+(S19-T19)*V19-'data 1'!$F$4</f>
        <v>52.27600000000001</v>
      </c>
      <c r="AD19" s="145">
        <f t="shared" si="6"/>
        <v>60.368050332799903</v>
      </c>
      <c r="AE19" s="145">
        <f t="shared" si="7"/>
        <v>7.1610000000000014</v>
      </c>
      <c r="AF19" s="145">
        <f t="shared" si="8"/>
        <v>91.489326091967854</v>
      </c>
      <c r="AG19" s="772">
        <f t="shared" si="15"/>
        <v>228.29437642476773</v>
      </c>
      <c r="AH19" s="1253">
        <f t="shared" si="10"/>
        <v>40.470999999999997</v>
      </c>
      <c r="AI19" s="1253">
        <f t="shared" si="11"/>
        <v>43.188000000000002</v>
      </c>
      <c r="AJ19" s="156">
        <f t="shared" si="12"/>
        <v>141.86745842219986</v>
      </c>
      <c r="AK19" s="156">
        <f t="shared" si="13"/>
        <v>36.536700342376406</v>
      </c>
      <c r="AM19" s="716">
        <f t="shared" si="14"/>
        <v>4200.5721594526731</v>
      </c>
      <c r="AN19" s="716" t="str">
        <f>_xlfn.XLOOKUP(D19,RUC!$B$3:$B$578,RUC!$M$3:$M$578)</f>
        <v>Evelyn</v>
      </c>
      <c r="AO19" s="1167" t="s">
        <v>2277</v>
      </c>
      <c r="AP19" t="s">
        <v>3007</v>
      </c>
      <c r="AQ19" t="s">
        <v>3903</v>
      </c>
    </row>
    <row r="20" spans="1:56" ht="15" customHeight="1" thickBot="1">
      <c r="A20" s="747" t="s">
        <v>3876</v>
      </c>
      <c r="B20" s="1447">
        <v>46015</v>
      </c>
      <c r="C20" s="1447">
        <v>46010</v>
      </c>
      <c r="D20" t="s">
        <v>1967</v>
      </c>
      <c r="E20" s="762">
        <f>_xlfn.XLOOKUP(D20,RUC!$B$3:$B$123,RUC!$D$3:$D$123)</f>
        <v>20601769396</v>
      </c>
      <c r="G20" s="1082">
        <v>18</v>
      </c>
      <c r="H20" s="762" t="s">
        <v>108</v>
      </c>
      <c r="I20" s="703">
        <v>1.34</v>
      </c>
      <c r="J20" s="596">
        <v>8.75</v>
      </c>
      <c r="K20" s="703">
        <f t="shared" si="0"/>
        <v>1.2230000000000001</v>
      </c>
      <c r="L20" s="1192">
        <v>0.30399999999999999</v>
      </c>
      <c r="M20" s="994">
        <f t="shared" si="1"/>
        <v>0.28599999999999998</v>
      </c>
      <c r="N20" s="1196">
        <f t="shared" si="2"/>
        <v>0.28599999999999998</v>
      </c>
      <c r="O20" s="645">
        <f t="shared" si="3"/>
        <v>0.28599999999999998</v>
      </c>
      <c r="P20" s="727">
        <v>89</v>
      </c>
      <c r="Q20" s="1476">
        <v>89.8</v>
      </c>
      <c r="R20" s="706">
        <v>4337.6000000000004</v>
      </c>
      <c r="S20" s="765">
        <f>IF((_xlfn.XLOOKUP(D20,RUC!$B$3:$B$119,RUC!$E$3:$E$119)+ROUNDDOWN(O20,1)*100)&lt;95,95,((_xlfn.XLOOKUP(D20,RUC!$B$3:$B$119,RUC!$E$3:$E$119)+ROUNDDOWN(O20,1)*100)))</f>
        <v>110</v>
      </c>
      <c r="U20" s="1146">
        <f>_xlfn.XLOOKUP(D20,RUC!$B$3:$B$123,RUC!$F$3:$F$123)</f>
        <v>120</v>
      </c>
      <c r="V20" s="715">
        <v>1.1023000000000001</v>
      </c>
      <c r="Y20" s="1445">
        <v>30</v>
      </c>
      <c r="Z20" s="1454">
        <v>40</v>
      </c>
      <c r="AA20" s="144">
        <f t="shared" si="4"/>
        <v>70</v>
      </c>
      <c r="AB20" s="145">
        <f t="shared" si="20"/>
        <v>984.9578545792001</v>
      </c>
      <c r="AC20" s="145">
        <f>+(S20-T20)*V20-'data 1'!$F$4</f>
        <v>41.253</v>
      </c>
      <c r="AD20" s="145">
        <f t="shared" si="6"/>
        <v>11.30651508735996</v>
      </c>
      <c r="AE20" s="145">
        <f t="shared" si="7"/>
        <v>7.1610000000000014</v>
      </c>
      <c r="AF20" s="145">
        <f t="shared" si="8"/>
        <v>75.147413598720078</v>
      </c>
      <c r="AG20" s="772">
        <f t="shared" si="15"/>
        <v>151.86792868608003</v>
      </c>
      <c r="AH20" s="1253">
        <f t="shared" si="10"/>
        <v>11.446999999999999</v>
      </c>
      <c r="AI20" s="1253">
        <f t="shared" si="11"/>
        <v>12.747</v>
      </c>
      <c r="AJ20" s="156">
        <f t="shared" si="12"/>
        <v>118.08064761983991</v>
      </c>
      <c r="AK20" s="156">
        <f t="shared" si="13"/>
        <v>10.673124270604083</v>
      </c>
      <c r="AM20" s="716">
        <f t="shared" si="14"/>
        <v>1204.6034561503618</v>
      </c>
      <c r="AN20" s="716" t="str">
        <f>_xlfn.XLOOKUP(D20,RUC!$B$3:$B$578,RUC!$M$3:$M$578)</f>
        <v>Evelyn</v>
      </c>
      <c r="AO20" s="1167" t="s">
        <v>2277</v>
      </c>
      <c r="AP20" t="s">
        <v>3520</v>
      </c>
      <c r="AQ20" t="s">
        <v>3904</v>
      </c>
      <c r="AV20" s="1982" t="s">
        <v>4333</v>
      </c>
      <c r="AW20" s="1983"/>
      <c r="AX20" s="1983"/>
      <c r="AY20" s="1983"/>
      <c r="AZ20" s="1983"/>
      <c r="BA20" s="1984"/>
    </row>
    <row r="21" spans="1:56" ht="15" customHeight="1">
      <c r="A21" s="747" t="s">
        <v>3877</v>
      </c>
      <c r="B21" s="1447">
        <v>46015</v>
      </c>
      <c r="C21" s="1447">
        <v>46010</v>
      </c>
      <c r="D21" t="s">
        <v>1967</v>
      </c>
      <c r="E21" s="762">
        <f>_xlfn.XLOOKUP(D21,RUC!$B$3:$B$123,RUC!$D$3:$D$123)</f>
        <v>20601769396</v>
      </c>
      <c r="G21" s="1082">
        <v>18</v>
      </c>
      <c r="H21" s="762" t="s">
        <v>108</v>
      </c>
      <c r="I21" s="703">
        <v>1.38</v>
      </c>
      <c r="J21" s="596">
        <v>11.5</v>
      </c>
      <c r="K21" s="703">
        <f t="shared" si="0"/>
        <v>1.2210000000000001</v>
      </c>
      <c r="L21" s="1192">
        <v>0.313</v>
      </c>
      <c r="M21" s="994">
        <f t="shared" si="1"/>
        <v>0.29399999999999998</v>
      </c>
      <c r="N21" s="1196">
        <f t="shared" si="2"/>
        <v>0.29399999999999998</v>
      </c>
      <c r="O21" s="645">
        <f t="shared" si="3"/>
        <v>0.29399999999999998</v>
      </c>
      <c r="P21" s="727">
        <v>87</v>
      </c>
      <c r="Q21" s="1476">
        <v>87.86</v>
      </c>
      <c r="R21" s="706">
        <v>4337.6000000000004</v>
      </c>
      <c r="S21" s="765">
        <f>IF((_xlfn.XLOOKUP(D21,RUC!$B$3:$B$119,RUC!$E$3:$E$119)+ROUNDDOWN(O21,1)*100)&lt;95,95,((_xlfn.XLOOKUP(D21,RUC!$B$3:$B$119,RUC!$E$3:$E$119)+ROUNDDOWN(O21,1)*100)))</f>
        <v>110</v>
      </c>
      <c r="U21" s="1146">
        <f>_xlfn.XLOOKUP(D21,RUC!$B$3:$B$123,RUC!$F$3:$F$123)</f>
        <v>120</v>
      </c>
      <c r="V21" s="715">
        <v>1.1023000000000001</v>
      </c>
      <c r="Y21" s="1445">
        <v>30</v>
      </c>
      <c r="Z21" s="1454">
        <v>40</v>
      </c>
      <c r="AA21" s="144">
        <f t="shared" si="4"/>
        <v>70</v>
      </c>
      <c r="AB21" s="145">
        <f t="shared" si="20"/>
        <v>990.72268957440008</v>
      </c>
      <c r="AC21" s="145">
        <f>+(S21-T21)*V21-'data 1'!$F$4</f>
        <v>41.253</v>
      </c>
      <c r="AD21" s="145">
        <f t="shared" si="6"/>
        <v>12.514341000063993</v>
      </c>
      <c r="AE21" s="145">
        <f t="shared" si="7"/>
        <v>7.1610000000000014</v>
      </c>
      <c r="AF21" s="145">
        <f t="shared" si="8"/>
        <v>77.608626216832093</v>
      </c>
      <c r="AG21" s="772">
        <f t="shared" si="15"/>
        <v>155.53696721689607</v>
      </c>
      <c r="AH21" s="1253">
        <f t="shared" si="10"/>
        <v>11.512</v>
      </c>
      <c r="AI21" s="1253">
        <f t="shared" si="11"/>
        <v>13.103</v>
      </c>
      <c r="AJ21" s="156">
        <f t="shared" si="12"/>
        <v>118.9499715765359</v>
      </c>
      <c r="AK21" s="156">
        <f t="shared" si="13"/>
        <v>10.707579714178809</v>
      </c>
      <c r="AM21" s="716">
        <f t="shared" si="14"/>
        <v>1209.6724039703427</v>
      </c>
      <c r="AN21" s="716" t="str">
        <f>_xlfn.XLOOKUP(D21,RUC!$B$3:$B$578,RUC!$M$3:$M$578)</f>
        <v>Evelyn</v>
      </c>
      <c r="AO21" s="1167" t="s">
        <v>2277</v>
      </c>
      <c r="AP21" t="s">
        <v>3520</v>
      </c>
      <c r="AQ21" t="s">
        <v>3904</v>
      </c>
      <c r="BA21" s="1482">
        <f>SUM(BA23:BA32)</f>
        <v>0</v>
      </c>
    </row>
    <row r="22" spans="1:56" ht="15" customHeight="1" thickBot="1">
      <c r="A22" s="747" t="s">
        <v>3879</v>
      </c>
      <c r="B22" s="1447">
        <v>46748</v>
      </c>
      <c r="C22" s="1447">
        <v>46010</v>
      </c>
      <c r="D22" t="s">
        <v>1967</v>
      </c>
      <c r="E22" s="762">
        <f>_xlfn.XLOOKUP(D22,RUC!$B$3:$B$123,RUC!$D$3:$D$123)</f>
        <v>20601769396</v>
      </c>
      <c r="G22" s="1082">
        <v>18</v>
      </c>
      <c r="H22" s="762" t="s">
        <v>108</v>
      </c>
      <c r="I22" s="703">
        <v>1.36</v>
      </c>
      <c r="J22" s="596">
        <v>9.9499999999999993</v>
      </c>
      <c r="K22" s="703">
        <f t="shared" si="0"/>
        <v>1.2250000000000001</v>
      </c>
      <c r="L22" s="1192">
        <v>0.54200000000000004</v>
      </c>
      <c r="M22" s="994">
        <f t="shared" si="1"/>
        <v>0.50900000000000001</v>
      </c>
      <c r="N22" s="1196">
        <f t="shared" si="2"/>
        <v>0.50900000000000001</v>
      </c>
      <c r="O22" s="645">
        <f t="shared" si="3"/>
        <v>0.50900000000000001</v>
      </c>
      <c r="P22" s="727">
        <v>88</v>
      </c>
      <c r="Q22" s="1476">
        <v>88.75</v>
      </c>
      <c r="R22" s="706">
        <v>4337.6000000000004</v>
      </c>
      <c r="S22" s="765">
        <f>IF((_xlfn.XLOOKUP(D22,RUC!$B$3:$B$119,RUC!$E$3:$E$119)+ROUNDDOWN(O22,1)*100)&lt;95,95,((_xlfn.XLOOKUP(D22,RUC!$B$3:$B$119,RUC!$E$3:$E$119)+ROUNDDOWN(O22,1)*100)))</f>
        <v>140</v>
      </c>
      <c r="U22" s="1146">
        <f>_xlfn.XLOOKUP(D22,RUC!$B$3:$B$123,RUC!$F$3:$F$123)</f>
        <v>120</v>
      </c>
      <c r="V22" s="715">
        <v>1.1023000000000001</v>
      </c>
      <c r="Y22" s="1445">
        <v>30</v>
      </c>
      <c r="Z22" s="1454">
        <v>40</v>
      </c>
      <c r="AA22" s="144">
        <f t="shared" si="4"/>
        <v>70</v>
      </c>
      <c r="AB22" s="145">
        <f t="shared" si="20"/>
        <v>1850.9241702016002</v>
      </c>
      <c r="AC22" s="145">
        <f>+(S22-T22)*V22-'data 1'!$F$4</f>
        <v>74.322000000000003</v>
      </c>
      <c r="AD22" s="145">
        <f t="shared" si="6"/>
        <v>18.898430851200004</v>
      </c>
      <c r="AE22" s="145">
        <f t="shared" si="7"/>
        <v>7.1610000000000014</v>
      </c>
      <c r="AF22" s="145">
        <f t="shared" si="8"/>
        <v>136.15935880800015</v>
      </c>
      <c r="AG22" s="772">
        <f t="shared" si="15"/>
        <v>253.54078965920019</v>
      </c>
      <c r="AH22" s="1253">
        <f t="shared" si="10"/>
        <v>20.202999999999999</v>
      </c>
      <c r="AI22" s="1253">
        <f t="shared" si="11"/>
        <v>22.763999999999999</v>
      </c>
      <c r="AJ22" s="156">
        <f t="shared" si="12"/>
        <v>208.06376568299984</v>
      </c>
      <c r="AK22" s="156">
        <f t="shared" si="13"/>
        <v>18.812460993811101</v>
      </c>
      <c r="AM22" s="716">
        <f t="shared" si="14"/>
        <v>2267.3821084969604</v>
      </c>
      <c r="AN22" s="716" t="str">
        <f>_xlfn.XLOOKUP(D22,RUC!$B$3:$B$578,RUC!$M$3:$M$578)</f>
        <v>Evelyn</v>
      </c>
      <c r="AO22" s="1167" t="s">
        <v>2277</v>
      </c>
      <c r="AP22" t="s">
        <v>3520</v>
      </c>
      <c r="AQ22" t="s">
        <v>3904</v>
      </c>
      <c r="AV22" s="762"/>
      <c r="AW22" s="762" t="s">
        <v>15</v>
      </c>
      <c r="AX22" s="762" t="s">
        <v>2522</v>
      </c>
      <c r="AY22" s="762" t="s">
        <v>2558</v>
      </c>
      <c r="AZ22" s="1483" t="s">
        <v>2598</v>
      </c>
      <c r="BA22" s="762" t="s">
        <v>2559</v>
      </c>
    </row>
    <row r="23" spans="1:56" ht="15" customHeight="1">
      <c r="A23" s="747" t="s">
        <v>3880</v>
      </c>
      <c r="B23" s="1447">
        <v>46018</v>
      </c>
      <c r="C23" s="1447">
        <v>46010</v>
      </c>
      <c r="D23" t="s">
        <v>1967</v>
      </c>
      <c r="E23" s="762">
        <f>_xlfn.XLOOKUP(D23,RUC!$B$3:$B$123,RUC!$D$3:$D$123)</f>
        <v>20601769396</v>
      </c>
      <c r="G23" s="1082">
        <v>31</v>
      </c>
      <c r="H23" s="762" t="s">
        <v>108</v>
      </c>
      <c r="I23" s="703">
        <v>1.03</v>
      </c>
      <c r="J23" s="596">
        <v>15.22</v>
      </c>
      <c r="K23" s="703">
        <f t="shared" si="0"/>
        <v>0.873</v>
      </c>
      <c r="L23" s="1192">
        <v>0.46700000000000003</v>
      </c>
      <c r="M23" s="994">
        <f t="shared" si="1"/>
        <v>0.439</v>
      </c>
      <c r="N23" s="1196">
        <f t="shared" si="2"/>
        <v>0.439</v>
      </c>
      <c r="O23" s="645">
        <f t="shared" si="3"/>
        <v>0.439</v>
      </c>
      <c r="P23" s="727">
        <v>90</v>
      </c>
      <c r="Q23" s="1476">
        <v>97.22</v>
      </c>
      <c r="R23" s="706">
        <v>4337.6000000000004</v>
      </c>
      <c r="S23" s="765">
        <f>IF((_xlfn.XLOOKUP(D23,RUC!$B$3:$B$119,RUC!$E$3:$E$119)+ROUNDDOWN(O23,1)*100)&lt;95,95,((_xlfn.XLOOKUP(D23,RUC!$B$3:$B$119,RUC!$E$3:$E$119)+ROUNDDOWN(O23,1)*100)))</f>
        <v>130</v>
      </c>
      <c r="U23" s="1146">
        <f>_xlfn.XLOOKUP(D23,RUC!$B$3:$B$123,RUC!$F$3:$F$123)</f>
        <v>120</v>
      </c>
      <c r="V23" s="715">
        <v>1.1023000000000001</v>
      </c>
      <c r="Y23" s="1445">
        <v>30</v>
      </c>
      <c r="Z23" s="1454">
        <v>40</v>
      </c>
      <c r="AA23" s="144">
        <f t="shared" si="4"/>
        <v>70</v>
      </c>
      <c r="AB23" s="145">
        <f t="shared" si="20"/>
        <v>1616.3837956480004</v>
      </c>
      <c r="AC23" s="145">
        <f>+(S23-T23)*V23-'data 1'!$F$4</f>
        <v>63.299000000000007</v>
      </c>
      <c r="AD23" s="145">
        <f t="shared" si="6"/>
        <v>156.754231828352</v>
      </c>
      <c r="AE23" s="145">
        <f t="shared" si="7"/>
        <v>7.1610000000000014</v>
      </c>
      <c r="AF23" s="145">
        <f t="shared" si="8"/>
        <v>126.55486476236813</v>
      </c>
      <c r="AG23" s="772">
        <f t="shared" si="15"/>
        <v>370.76909659072015</v>
      </c>
      <c r="AH23" s="1253">
        <f t="shared" si="10"/>
        <v>13.589</v>
      </c>
      <c r="AI23" s="1253">
        <f t="shared" si="11"/>
        <v>13.978</v>
      </c>
      <c r="AJ23" s="156">
        <f t="shared" si="12"/>
        <v>196.38183031984784</v>
      </c>
      <c r="AK23" s="156">
        <f t="shared" si="13"/>
        <v>11.825794902598515</v>
      </c>
      <c r="AM23" s="716">
        <f t="shared" si="14"/>
        <v>1411.1030536007042</v>
      </c>
      <c r="AN23" s="716" t="str">
        <f>_xlfn.XLOOKUP(D23,RUC!$B$3:$B$578,RUC!$M$3:$M$578)</f>
        <v>Evelyn</v>
      </c>
      <c r="AO23" s="1167" t="s">
        <v>2277</v>
      </c>
      <c r="AP23" t="s">
        <v>3520</v>
      </c>
      <c r="AQ23" t="s">
        <v>3904</v>
      </c>
      <c r="AV23" s="1556" t="s">
        <v>2277</v>
      </c>
      <c r="AW23" s="1227">
        <f t="shared" ref="AW23:AW32" si="23">SUMIF($AO$4:$AO$1045,AV23,$K$4:$K$1045)</f>
        <v>130.86400000000003</v>
      </c>
      <c r="AX23" s="1227"/>
      <c r="AY23" s="1229">
        <f t="shared" ref="AY23:AY32" si="24">AW23*AX23*31.1035*1.1023</f>
        <v>0</v>
      </c>
      <c r="AZ23" s="596"/>
      <c r="BA23" s="1255">
        <f t="shared" ref="BA23:BA32" si="25">AY23*AZ23/100</f>
        <v>0</v>
      </c>
      <c r="BB23" s="1573" t="s">
        <v>4434</v>
      </c>
      <c r="BC23" s="1574">
        <f>+BB6</f>
        <v>4578.6610000000001</v>
      </c>
    </row>
    <row r="24" spans="1:56" ht="15" customHeight="1">
      <c r="A24" s="747" t="s">
        <v>3881</v>
      </c>
      <c r="B24" s="1447">
        <v>45287</v>
      </c>
      <c r="C24" s="1447">
        <v>46010</v>
      </c>
      <c r="D24" t="s">
        <v>1967</v>
      </c>
      <c r="E24" s="762">
        <f>_xlfn.XLOOKUP(D24,RUC!$B$3:$B$123,RUC!$D$3:$D$123)</f>
        <v>20601769396</v>
      </c>
      <c r="G24" s="1082">
        <v>61</v>
      </c>
      <c r="H24" s="762" t="s">
        <v>108</v>
      </c>
      <c r="I24" s="703">
        <v>1.88</v>
      </c>
      <c r="J24" s="596">
        <v>16.78</v>
      </c>
      <c r="K24" s="703">
        <f t="shared" si="0"/>
        <v>1.5649999999999999</v>
      </c>
      <c r="L24" s="1192">
        <v>0.17</v>
      </c>
      <c r="M24" s="994">
        <f t="shared" si="1"/>
        <v>0.152</v>
      </c>
      <c r="N24" s="1196">
        <f t="shared" si="2"/>
        <v>0.152</v>
      </c>
      <c r="O24" s="645">
        <f t="shared" si="3"/>
        <v>0.152</v>
      </c>
      <c r="P24" s="727">
        <v>90</v>
      </c>
      <c r="Q24" s="1476">
        <v>90.59</v>
      </c>
      <c r="R24" s="706">
        <v>4337.6000000000004</v>
      </c>
      <c r="S24" s="765">
        <f>IF((_xlfn.XLOOKUP(D24,RUC!$B$3:$B$119,RUC!$E$3:$E$119)+ROUNDDOWN(O24,1)*100)&lt;95,95,((_xlfn.XLOOKUP(D24,RUC!$B$3:$B$119,RUC!$E$3:$E$119)+ROUNDDOWN(O24,1)*100)))</f>
        <v>100</v>
      </c>
      <c r="U24" s="1146">
        <f>_xlfn.XLOOKUP(D24,RUC!$B$3:$B$123,RUC!$F$3:$F$123)</f>
        <v>120</v>
      </c>
      <c r="V24" s="715">
        <v>1.1023000000000001</v>
      </c>
      <c r="Y24" s="1445">
        <v>30</v>
      </c>
      <c r="Z24" s="1454">
        <v>40</v>
      </c>
      <c r="AA24" s="144">
        <f t="shared" si="4"/>
        <v>70</v>
      </c>
      <c r="AB24" s="145">
        <f t="shared" si="20"/>
        <v>448.60047366400011</v>
      </c>
      <c r="AC24" s="145">
        <f>+(S24-T24)*V24-'data 1'!$F$4</f>
        <v>30.230000000000004</v>
      </c>
      <c r="AD24" s="145">
        <f t="shared" si="6"/>
        <v>4.6630076614400284</v>
      </c>
      <c r="AE24" s="145">
        <f t="shared" si="7"/>
        <v>7.1610000000000014</v>
      </c>
      <c r="AF24" s="145">
        <f t="shared" si="8"/>
        <v>75.808509998976092</v>
      </c>
      <c r="AG24" s="772">
        <f t="shared" si="15"/>
        <v>134.86251766041613</v>
      </c>
      <c r="AH24" s="1253">
        <f t="shared" si="10"/>
        <v>8.2629999999999999</v>
      </c>
      <c r="AI24" s="1253">
        <f t="shared" si="11"/>
        <v>9.1219999999999999</v>
      </c>
      <c r="AJ24" s="156">
        <f t="shared" si="12"/>
        <v>66.612845707559941</v>
      </c>
      <c r="AK24" s="156">
        <f t="shared" si="13"/>
        <v>7.3402272984006007</v>
      </c>
      <c r="AM24" s="716">
        <f t="shared" si="14"/>
        <v>702.05974128416017</v>
      </c>
      <c r="AN24" s="716" t="str">
        <f>_xlfn.XLOOKUP(D24,RUC!$B$3:$B$578,RUC!$M$3:$M$578)</f>
        <v>Evelyn</v>
      </c>
      <c r="AO24" s="1167" t="s">
        <v>2277</v>
      </c>
      <c r="AP24" t="s">
        <v>3520</v>
      </c>
      <c r="AQ24" t="s">
        <v>3904</v>
      </c>
      <c r="AV24" s="1557" t="s">
        <v>2278</v>
      </c>
      <c r="AW24" s="703">
        <f t="shared" si="23"/>
        <v>157.523</v>
      </c>
      <c r="AX24" s="703"/>
      <c r="AY24" s="596">
        <f t="shared" si="24"/>
        <v>0</v>
      </c>
      <c r="AZ24" s="596"/>
      <c r="BA24" s="1256">
        <f t="shared" si="25"/>
        <v>0</v>
      </c>
      <c r="BB24" s="1575" t="s">
        <v>4435</v>
      </c>
      <c r="BC24" s="1576">
        <f>+'34'!BC26+'34'!BC27</f>
        <v>1106.0900000000001</v>
      </c>
    </row>
    <row r="25" spans="1:56" ht="15" customHeight="1">
      <c r="A25" s="747" t="s">
        <v>3882</v>
      </c>
      <c r="B25" s="1447">
        <v>44557</v>
      </c>
      <c r="C25" s="1447">
        <v>46010</v>
      </c>
      <c r="D25" t="s">
        <v>1967</v>
      </c>
      <c r="E25" s="762">
        <f>_xlfn.XLOOKUP(D25,RUC!$B$3:$B$123,RUC!$D$3:$D$123)</f>
        <v>20601769396</v>
      </c>
      <c r="G25" s="1082">
        <v>116</v>
      </c>
      <c r="H25" s="762" t="s">
        <v>108</v>
      </c>
      <c r="I25" s="703">
        <v>3.29</v>
      </c>
      <c r="J25" s="596">
        <v>16.399999999999999</v>
      </c>
      <c r="K25" s="703">
        <f t="shared" si="0"/>
        <v>2.75</v>
      </c>
      <c r="L25" s="1192">
        <v>0.3</v>
      </c>
      <c r="M25" s="994">
        <f t="shared" si="1"/>
        <v>0.28199999999999997</v>
      </c>
      <c r="N25" s="1196">
        <f t="shared" si="2"/>
        <v>0.28199999999999997</v>
      </c>
      <c r="O25" s="645">
        <f t="shared" si="3"/>
        <v>0.28199999999999997</v>
      </c>
      <c r="P25" s="727">
        <v>90</v>
      </c>
      <c r="Q25" s="1476">
        <v>97</v>
      </c>
      <c r="R25" s="706">
        <v>4337.6000000000004</v>
      </c>
      <c r="S25" s="765">
        <f>IF((_xlfn.XLOOKUP(D25,RUC!$B$3:$B$119,RUC!$E$3:$E$119)+ROUNDDOWN(O25,1)*100)&lt;95,95,((_xlfn.XLOOKUP(D25,RUC!$B$3:$B$119,RUC!$E$3:$E$119)+ROUNDDOWN(O25,1)*100)))</f>
        <v>110</v>
      </c>
      <c r="U25" s="1146">
        <f>_xlfn.XLOOKUP(D25,RUC!$B$3:$B$123,RUC!$F$3:$F$123)</f>
        <v>120</v>
      </c>
      <c r="V25" s="715">
        <v>1.1023000000000001</v>
      </c>
      <c r="Y25" s="1445">
        <v>30</v>
      </c>
      <c r="Z25" s="1454">
        <v>40</v>
      </c>
      <c r="AA25" s="144">
        <f t="shared" si="4"/>
        <v>70</v>
      </c>
      <c r="AB25" s="145">
        <f t="shared" si="20"/>
        <v>981.51754982400007</v>
      </c>
      <c r="AC25" s="145">
        <f>+(S25-T25)*V25-'data 1'!$F$4</f>
        <v>41.253</v>
      </c>
      <c r="AD25" s="145">
        <f t="shared" si="6"/>
        <v>97.630270080000003</v>
      </c>
      <c r="AE25" s="145">
        <f t="shared" si="7"/>
        <v>7.1610000000000014</v>
      </c>
      <c r="AF25" s="145">
        <f t="shared" si="8"/>
        <v>81.172595980800082</v>
      </c>
      <c r="AG25" s="772">
        <f t="shared" si="15"/>
        <v>244.21686606080004</v>
      </c>
      <c r="AH25" s="1253">
        <f t="shared" si="10"/>
        <v>27.437000000000001</v>
      </c>
      <c r="AI25" s="1253">
        <f t="shared" si="11"/>
        <v>28.285</v>
      </c>
      <c r="AJ25" s="156">
        <f t="shared" si="12"/>
        <v>125.8698733199999</v>
      </c>
      <c r="AK25" s="156">
        <f t="shared" si="13"/>
        <v>23.9294865894975</v>
      </c>
      <c r="AM25" s="716">
        <f t="shared" si="14"/>
        <v>2699.1732620160001</v>
      </c>
      <c r="AN25" s="716" t="str">
        <f>_xlfn.XLOOKUP(D25,RUC!$B$3:$B$578,RUC!$M$3:$M$578)</f>
        <v>Evelyn</v>
      </c>
      <c r="AO25" s="1167" t="s">
        <v>2277</v>
      </c>
      <c r="AP25" t="s">
        <v>3520</v>
      </c>
      <c r="AQ25" t="s">
        <v>3904</v>
      </c>
      <c r="AV25" s="1557" t="s">
        <v>2280</v>
      </c>
      <c r="AW25" s="703">
        <f t="shared" si="23"/>
        <v>163.845</v>
      </c>
      <c r="AX25" s="703"/>
      <c r="AY25" s="596">
        <f t="shared" si="24"/>
        <v>0</v>
      </c>
      <c r="AZ25" s="596"/>
      <c r="BA25" s="1256">
        <f t="shared" si="25"/>
        <v>0</v>
      </c>
      <c r="BB25" s="1577" t="s">
        <v>4436</v>
      </c>
      <c r="BC25" s="1581">
        <v>4907.62</v>
      </c>
    </row>
    <row r="26" spans="1:56" ht="15" customHeight="1">
      <c r="A26" s="747" t="s">
        <v>3883</v>
      </c>
      <c r="B26" s="1447">
        <v>43826</v>
      </c>
      <c r="C26" s="1447">
        <v>46010</v>
      </c>
      <c r="D26" t="s">
        <v>1967</v>
      </c>
      <c r="E26" s="762">
        <f>_xlfn.XLOOKUP(D26,RUC!$B$3:$B$123,RUC!$D$3:$D$123)</f>
        <v>20601769396</v>
      </c>
      <c r="G26" s="1082">
        <v>100</v>
      </c>
      <c r="H26" s="762" t="s">
        <v>108</v>
      </c>
      <c r="I26" s="703">
        <v>3.05</v>
      </c>
      <c r="J26" s="596">
        <v>17.579999999999998</v>
      </c>
      <c r="K26" s="703">
        <f t="shared" si="0"/>
        <v>2.5139999999999998</v>
      </c>
      <c r="L26" s="1192">
        <v>0.48899999999999999</v>
      </c>
      <c r="M26" s="994">
        <f t="shared" si="1"/>
        <v>0.46</v>
      </c>
      <c r="N26" s="1196">
        <f t="shared" si="2"/>
        <v>0.46</v>
      </c>
      <c r="O26" s="645">
        <f t="shared" si="3"/>
        <v>0.46</v>
      </c>
      <c r="P26" s="727">
        <v>90</v>
      </c>
      <c r="Q26" s="1476">
        <v>94.07</v>
      </c>
      <c r="R26" s="706">
        <v>4337.6000000000004</v>
      </c>
      <c r="S26" s="765">
        <f>IF((_xlfn.XLOOKUP(D26,RUC!$B$3:$B$119,RUC!$E$3:$E$119)+ROUNDDOWN(O26,1)*100)&lt;95,95,((_xlfn.XLOOKUP(D26,RUC!$B$3:$B$119,RUC!$E$3:$E$119)+ROUNDDOWN(O26,1)*100)))</f>
        <v>130</v>
      </c>
      <c r="U26" s="1146">
        <f>_xlfn.XLOOKUP(D26,RUC!$B$3:$B$123,RUC!$F$3:$F$123)</f>
        <v>120</v>
      </c>
      <c r="V26" s="715">
        <v>1.1023000000000001</v>
      </c>
      <c r="Y26" s="1445">
        <v>30</v>
      </c>
      <c r="Z26" s="1454">
        <v>40</v>
      </c>
      <c r="AA26" s="144">
        <f t="shared" si="4"/>
        <v>70</v>
      </c>
      <c r="AB26" s="145">
        <f t="shared" si="20"/>
        <v>1704.2510387200002</v>
      </c>
      <c r="AC26" s="145">
        <f>+(S26-T26)*V26-'data 1'!$F$4</f>
        <v>63.299000000000007</v>
      </c>
      <c r="AD26" s="145">
        <f t="shared" si="6"/>
        <v>92.526996391103864</v>
      </c>
      <c r="AE26" s="145">
        <f t="shared" si="7"/>
        <v>7.1610000000000014</v>
      </c>
      <c r="AF26" s="145">
        <f t="shared" si="8"/>
        <v>126.82776461254389</v>
      </c>
      <c r="AG26" s="772">
        <f t="shared" si="15"/>
        <v>306.81476100364773</v>
      </c>
      <c r="AH26" s="1253">
        <f t="shared" si="10"/>
        <v>39.649000000000001</v>
      </c>
      <c r="AI26" s="1253">
        <f t="shared" si="11"/>
        <v>42.149000000000001</v>
      </c>
      <c r="AJ26" s="156">
        <f t="shared" si="12"/>
        <v>198.97055404779582</v>
      </c>
      <c r="AK26" s="156">
        <f t="shared" si="13"/>
        <v>35.684094740887801</v>
      </c>
      <c r="AM26" s="716">
        <f t="shared" si="14"/>
        <v>4284.4871113420804</v>
      </c>
      <c r="AN26" s="716" t="str">
        <f>_xlfn.XLOOKUP(D26,RUC!$B$3:$B$578,RUC!$M$3:$M$578)</f>
        <v>Evelyn</v>
      </c>
      <c r="AO26" s="1167" t="s">
        <v>2277</v>
      </c>
      <c r="AP26" t="s">
        <v>3520</v>
      </c>
      <c r="AQ26" t="s">
        <v>3904</v>
      </c>
      <c r="AV26" s="1557" t="s">
        <v>2279</v>
      </c>
      <c r="AW26" s="703">
        <f t="shared" si="23"/>
        <v>0</v>
      </c>
      <c r="AX26" s="703"/>
      <c r="AY26" s="596">
        <f t="shared" si="24"/>
        <v>0</v>
      </c>
      <c r="AZ26" s="596"/>
      <c r="BA26" s="1256">
        <f t="shared" si="25"/>
        <v>0</v>
      </c>
      <c r="BB26" s="1577" t="s">
        <v>4437</v>
      </c>
      <c r="BC26" s="1581">
        <v>843.27499999999998</v>
      </c>
    </row>
    <row r="27" spans="1:56" ht="15" customHeight="1">
      <c r="A27" s="747" t="s">
        <v>3884</v>
      </c>
      <c r="B27" s="1447">
        <v>43096</v>
      </c>
      <c r="C27" s="1447">
        <v>46010</v>
      </c>
      <c r="D27" t="s">
        <v>1967</v>
      </c>
      <c r="E27" s="762">
        <f>_xlfn.XLOOKUP(D27,RUC!$B$3:$B$123,RUC!$D$3:$D$123)</f>
        <v>20601769396</v>
      </c>
      <c r="G27" s="1082">
        <v>100</v>
      </c>
      <c r="H27" s="762" t="s">
        <v>108</v>
      </c>
      <c r="I27" s="703">
        <v>3.13</v>
      </c>
      <c r="J27" s="596">
        <v>15.67</v>
      </c>
      <c r="K27" s="703">
        <f t="shared" si="0"/>
        <v>2.64</v>
      </c>
      <c r="L27" s="1192">
        <v>0.42699999999999999</v>
      </c>
      <c r="M27" s="994">
        <f t="shared" si="1"/>
        <v>0.40100000000000002</v>
      </c>
      <c r="N27" s="1196">
        <f t="shared" si="2"/>
        <v>0.40100000000000002</v>
      </c>
      <c r="O27" s="645">
        <f t="shared" si="3"/>
        <v>0.40100000000000002</v>
      </c>
      <c r="P27" s="727">
        <v>90</v>
      </c>
      <c r="Q27" s="1476">
        <v>96.72</v>
      </c>
      <c r="R27" s="706">
        <v>4337.6000000000004</v>
      </c>
      <c r="S27" s="765">
        <f>IF((_xlfn.XLOOKUP(D27,RUC!$B$3:$B$119,RUC!$E$3:$E$119)+ROUNDDOWN(O27,1)*100)&lt;95,95,((_xlfn.XLOOKUP(D27,RUC!$B$3:$B$119,RUC!$E$3:$E$119)+ROUNDDOWN(O27,1)*100)))</f>
        <v>130</v>
      </c>
      <c r="U27" s="1146">
        <f>_xlfn.XLOOKUP(D27,RUC!$B$3:$B$123,RUC!$F$3:$F$123)</f>
        <v>120</v>
      </c>
      <c r="V27" s="715">
        <v>1.1023000000000001</v>
      </c>
      <c r="Y27" s="1445">
        <v>30</v>
      </c>
      <c r="Z27" s="1454">
        <v>40</v>
      </c>
      <c r="AA27" s="144">
        <f t="shared" si="4"/>
        <v>70</v>
      </c>
      <c r="AB27" s="145">
        <f t="shared" si="20"/>
        <v>1457.3859272320005</v>
      </c>
      <c r="AC27" s="145">
        <f>+(S27-T27)*V27-'data 1'!$F$4</f>
        <v>63.299000000000007</v>
      </c>
      <c r="AD27" s="145">
        <f t="shared" si="6"/>
        <v>133.402001037312</v>
      </c>
      <c r="AE27" s="145">
        <f t="shared" si="7"/>
        <v>7.1610000000000014</v>
      </c>
      <c r="AF27" s="145">
        <f t="shared" si="8"/>
        <v>116.91085370265587</v>
      </c>
      <c r="AG27" s="772">
        <f t="shared" si="15"/>
        <v>337.7728547399679</v>
      </c>
      <c r="AH27" s="1253">
        <f t="shared" si="10"/>
        <v>37.381999999999998</v>
      </c>
      <c r="AI27" s="1253">
        <f t="shared" si="11"/>
        <v>38.649000000000001</v>
      </c>
      <c r="AJ27" s="156">
        <f t="shared" si="12"/>
        <v>178.63763852188782</v>
      </c>
      <c r="AK27" s="156">
        <f t="shared" si="13"/>
        <v>32.66629488472681</v>
      </c>
      <c r="AM27" s="716">
        <f t="shared" si="14"/>
        <v>3847.4988478924815</v>
      </c>
      <c r="AN27" s="716" t="str">
        <f>_xlfn.XLOOKUP(D27,RUC!$B$3:$B$578,RUC!$M$3:$M$578)</f>
        <v>Evelyn</v>
      </c>
      <c r="AO27" s="1167" t="s">
        <v>2277</v>
      </c>
      <c r="AP27" t="s">
        <v>3520</v>
      </c>
      <c r="AQ27" t="s">
        <v>3904</v>
      </c>
      <c r="AV27" s="1557" t="s">
        <v>2281</v>
      </c>
      <c r="AW27" s="703">
        <f t="shared" si="23"/>
        <v>0</v>
      </c>
      <c r="AX27" s="703"/>
      <c r="AY27" s="596">
        <f t="shared" si="24"/>
        <v>0</v>
      </c>
      <c r="AZ27" s="596"/>
      <c r="BA27" s="1256">
        <f t="shared" si="25"/>
        <v>0</v>
      </c>
      <c r="BB27" s="1577" t="s">
        <v>4438</v>
      </c>
      <c r="BC27" s="1581">
        <v>145.30799999999999</v>
      </c>
    </row>
    <row r="28" spans="1:56" ht="15" customHeight="1">
      <c r="A28" s="1491" t="s">
        <v>3885</v>
      </c>
      <c r="B28" s="1542">
        <v>42365</v>
      </c>
      <c r="C28" s="1447">
        <v>46010</v>
      </c>
      <c r="D28" t="s">
        <v>1967</v>
      </c>
      <c r="E28" s="762">
        <f>_xlfn.XLOOKUP(D28,RUC!$B$3:$B$123,RUC!$D$3:$D$123)</f>
        <v>20601769396</v>
      </c>
      <c r="G28" s="1082">
        <v>100</v>
      </c>
      <c r="H28" s="762" t="s">
        <v>108</v>
      </c>
      <c r="I28" s="703">
        <v>3.24</v>
      </c>
      <c r="J28" s="596">
        <v>16.7</v>
      </c>
      <c r="K28" s="703">
        <f t="shared" si="0"/>
        <v>2.6989999999999998</v>
      </c>
      <c r="L28" s="1192">
        <v>9.7000000000000003E-2</v>
      </c>
      <c r="M28" s="994">
        <f t="shared" si="1"/>
        <v>7.9000000000000001E-2</v>
      </c>
      <c r="N28" s="1196">
        <f t="shared" si="2"/>
        <v>7.9000000000000001E-2</v>
      </c>
      <c r="O28" s="645">
        <f t="shared" si="3"/>
        <v>7.9000000000000001E-2</v>
      </c>
      <c r="P28" s="727">
        <v>80</v>
      </c>
      <c r="Q28" s="1476">
        <v>92.78</v>
      </c>
      <c r="R28" s="706">
        <v>4337.6000000000004</v>
      </c>
      <c r="S28" s="765">
        <f>IF((_xlfn.XLOOKUP(D28,RUC!$B$3:$B$119,RUC!$E$3:$E$119)+ROUNDDOWN(O28,1)*100)&lt;95,95,((_xlfn.XLOOKUP(D28,RUC!$B$3:$B$119,RUC!$E$3:$E$119)+ROUNDDOWN(O28,1)*100)))</f>
        <v>95</v>
      </c>
      <c r="U28" s="1146">
        <f>_xlfn.XLOOKUP(D28,RUC!$B$3:$B$123,RUC!$F$3:$F$123)</f>
        <v>120</v>
      </c>
      <c r="V28" s="715">
        <v>1.1023000000000001</v>
      </c>
      <c r="Y28" s="1445">
        <v>30</v>
      </c>
      <c r="Z28" s="1454">
        <v>40</v>
      </c>
      <c r="AA28" s="144">
        <f t="shared" si="4"/>
        <v>70</v>
      </c>
      <c r="AB28" s="145">
        <v>1E-3</v>
      </c>
      <c r="AC28" s="145">
        <f>+(S28-T28)*V28-'data 1'!$F$4</f>
        <v>24.718500000000006</v>
      </c>
      <c r="AD28" s="145">
        <f t="shared" si="6"/>
        <v>57.632543146368015</v>
      </c>
      <c r="AE28" s="145">
        <f t="shared" si="7"/>
        <v>7.1610000000000014</v>
      </c>
      <c r="AF28" s="145">
        <f t="shared" si="8"/>
        <v>77.641169640192018</v>
      </c>
      <c r="AG28" s="772">
        <f>AC28+AD28+AE28+AF28+70-53+11.94</f>
        <v>196.09321278656006</v>
      </c>
      <c r="AH28" s="1253">
        <f t="shared" si="10"/>
        <v>8.3279999999999994</v>
      </c>
      <c r="AI28" s="1253">
        <f t="shared" si="11"/>
        <v>8.9760000000000009</v>
      </c>
      <c r="AJ28" s="156">
        <f t="shared" si="12"/>
        <v>38.927356155431973</v>
      </c>
      <c r="AK28" s="156">
        <f t="shared" si="13"/>
        <v>5.8482917803272407</v>
      </c>
      <c r="AM28" s="716">
        <f t="shared" si="14"/>
        <v>2.699E-3</v>
      </c>
      <c r="AN28" s="716" t="str">
        <f>_xlfn.XLOOKUP(D28,RUC!$B$3:$B$578,RUC!$M$3:$M$578)</f>
        <v>Evelyn</v>
      </c>
      <c r="AO28" s="1167" t="s">
        <v>2277</v>
      </c>
      <c r="AP28" t="s">
        <v>3520</v>
      </c>
      <c r="AQ28" t="s">
        <v>3904</v>
      </c>
      <c r="AV28" s="1557" t="s">
        <v>2297</v>
      </c>
      <c r="AW28" s="703">
        <f t="shared" si="23"/>
        <v>0</v>
      </c>
      <c r="AY28" s="596">
        <f t="shared" si="24"/>
        <v>0</v>
      </c>
      <c r="BA28" s="1256">
        <f t="shared" si="25"/>
        <v>0</v>
      </c>
      <c r="BB28" s="1579" t="s">
        <v>3206</v>
      </c>
      <c r="BC28" s="1580">
        <f>-BC23-BC24+BC25+BC26+BC27</f>
        <v>211.45199999999966</v>
      </c>
    </row>
    <row r="29" spans="1:56" ht="15" customHeight="1">
      <c r="A29" s="1491" t="s">
        <v>3886</v>
      </c>
      <c r="B29" s="1542">
        <v>41635</v>
      </c>
      <c r="C29" s="1447">
        <v>46010</v>
      </c>
      <c r="D29" t="s">
        <v>1967</v>
      </c>
      <c r="E29" s="762">
        <f>_xlfn.XLOOKUP(D29,RUC!$B$3:$B$123,RUC!$D$3:$D$123)</f>
        <v>20601769396</v>
      </c>
      <c r="G29" s="1082">
        <v>100</v>
      </c>
      <c r="H29" s="762" t="s">
        <v>108</v>
      </c>
      <c r="I29" s="703">
        <v>3.29</v>
      </c>
      <c r="J29" s="596">
        <v>19.53</v>
      </c>
      <c r="K29" s="703">
        <f t="shared" si="0"/>
        <v>2.6469999999999998</v>
      </c>
      <c r="L29" s="1192">
        <v>0.10100000000000001</v>
      </c>
      <c r="M29" s="994">
        <f t="shared" si="1"/>
        <v>8.3000000000000004E-2</v>
      </c>
      <c r="N29" s="1196">
        <f t="shared" si="2"/>
        <v>8.3000000000000004E-2</v>
      </c>
      <c r="O29" s="645">
        <f t="shared" si="3"/>
        <v>8.3000000000000004E-2</v>
      </c>
      <c r="P29" s="727">
        <v>80</v>
      </c>
      <c r="Q29" s="1476">
        <v>92.08</v>
      </c>
      <c r="R29" s="706">
        <v>4337.6000000000004</v>
      </c>
      <c r="S29" s="765">
        <f>IF((_xlfn.XLOOKUP(D29,RUC!$B$3:$B$119,RUC!$E$3:$E$119)+ROUNDDOWN(O29,1)*100)&lt;95,95,((_xlfn.XLOOKUP(D29,RUC!$B$3:$B$119,RUC!$E$3:$E$119)+ROUNDDOWN(O29,1)*100)))</f>
        <v>95</v>
      </c>
      <c r="U29" s="1146">
        <f>_xlfn.XLOOKUP(D29,RUC!$B$3:$B$123,RUC!$F$3:$F$123)</f>
        <v>120</v>
      </c>
      <c r="V29" s="715">
        <v>1.1023000000000001</v>
      </c>
      <c r="Y29" s="1445">
        <v>30</v>
      </c>
      <c r="Z29" s="1454">
        <v>40</v>
      </c>
      <c r="AA29" s="144">
        <f t="shared" si="4"/>
        <v>70</v>
      </c>
      <c r="AB29" s="145">
        <v>1E-3</v>
      </c>
      <c r="AC29" s="145">
        <f>+(S29-T29)*V29-'data 1'!$F$4</f>
        <v>24.718500000000006</v>
      </c>
      <c r="AD29" s="145">
        <f t="shared" si="6"/>
        <v>56.722257104384006</v>
      </c>
      <c r="AE29" s="145">
        <f t="shared" si="7"/>
        <v>7.1610000000000014</v>
      </c>
      <c r="AF29" s="145">
        <f t="shared" si="8"/>
        <v>77.055388019712012</v>
      </c>
      <c r="AG29" s="772">
        <f>AC29+AD29+AE29+AF29+70-53+126.82</f>
        <v>309.47714512409601</v>
      </c>
      <c r="AH29" s="1253">
        <f t="shared" si="10"/>
        <v>8.44</v>
      </c>
      <c r="AI29" s="1253">
        <f t="shared" si="11"/>
        <v>9.1660000000000004</v>
      </c>
      <c r="AJ29" s="156">
        <f t="shared" si="12"/>
        <v>40.226800394015967</v>
      </c>
      <c r="AK29" s="156">
        <f t="shared" si="13"/>
        <v>6.0260272319784391</v>
      </c>
      <c r="AM29" s="716">
        <f t="shared" si="14"/>
        <v>2.647E-3</v>
      </c>
      <c r="AN29" s="716" t="str">
        <f>_xlfn.XLOOKUP(D29,RUC!$B$3:$B$578,RUC!$M$3:$M$578)</f>
        <v>Evelyn</v>
      </c>
      <c r="AO29" s="1167" t="s">
        <v>2277</v>
      </c>
      <c r="AP29" t="s">
        <v>3520</v>
      </c>
      <c r="AQ29" t="s">
        <v>3904</v>
      </c>
      <c r="AV29" s="1557" t="s">
        <v>2518</v>
      </c>
      <c r="AW29" s="703">
        <f t="shared" si="23"/>
        <v>0</v>
      </c>
      <c r="AY29" s="596">
        <f t="shared" si="24"/>
        <v>0</v>
      </c>
      <c r="BA29" s="1256">
        <f t="shared" si="25"/>
        <v>0</v>
      </c>
    </row>
    <row r="30" spans="1:56" ht="15" customHeight="1">
      <c r="A30" s="1491" t="s">
        <v>3887</v>
      </c>
      <c r="B30" s="1542">
        <v>40904</v>
      </c>
      <c r="C30" s="1447">
        <v>46010</v>
      </c>
      <c r="D30" t="s">
        <v>1967</v>
      </c>
      <c r="E30" s="762">
        <f>_xlfn.XLOOKUP(D30,RUC!$B$3:$B$123,RUC!$D$3:$D$123)</f>
        <v>20601769396</v>
      </c>
      <c r="G30" s="1082">
        <v>100</v>
      </c>
      <c r="H30" s="762" t="s">
        <v>108</v>
      </c>
      <c r="I30" s="703">
        <v>3.31</v>
      </c>
      <c r="J30" s="596">
        <v>17.88</v>
      </c>
      <c r="K30" s="703">
        <f t="shared" si="0"/>
        <v>2.718</v>
      </c>
      <c r="L30" s="1192">
        <v>0.106</v>
      </c>
      <c r="M30" s="994">
        <f t="shared" si="1"/>
        <v>8.7999999999999995E-2</v>
      </c>
      <c r="N30" s="1196">
        <f t="shared" si="2"/>
        <v>8.7999999999999995E-2</v>
      </c>
      <c r="O30" s="645">
        <f t="shared" si="3"/>
        <v>8.7999999999999995E-2</v>
      </c>
      <c r="P30" s="727">
        <v>80</v>
      </c>
      <c r="Q30" s="1476">
        <v>94.34</v>
      </c>
      <c r="R30" s="706">
        <v>4337.6000000000004</v>
      </c>
      <c r="S30" s="765">
        <f>IF((_xlfn.XLOOKUP(D30,RUC!$B$3:$B$119,RUC!$E$3:$E$119)+ROUNDDOWN(O30,1)*100)&lt;95,95,((_xlfn.XLOOKUP(D30,RUC!$B$3:$B$119,RUC!$E$3:$E$119)+ROUNDDOWN(O30,1)*100)))</f>
        <v>95</v>
      </c>
      <c r="U30" s="1146">
        <f>_xlfn.XLOOKUP(D30,RUC!$B$3:$B$123,RUC!$F$3:$F$123)</f>
        <v>120</v>
      </c>
      <c r="V30" s="715">
        <v>1.1023000000000001</v>
      </c>
      <c r="Y30" s="1445">
        <v>30</v>
      </c>
      <c r="Z30" s="1454">
        <v>40</v>
      </c>
      <c r="AA30" s="144">
        <f t="shared" si="4"/>
        <v>70</v>
      </c>
      <c r="AB30" s="145">
        <v>1E-3</v>
      </c>
      <c r="AC30" s="145">
        <f>+(S30-T30)*V30-'data 1'!$F$4</f>
        <v>24.718500000000006</v>
      </c>
      <c r="AD30" s="145">
        <f t="shared" si="6"/>
        <v>70.667578920192028</v>
      </c>
      <c r="AE30" s="145">
        <f t="shared" si="7"/>
        <v>7.1610000000000014</v>
      </c>
      <c r="AF30" s="145">
        <f t="shared" si="8"/>
        <v>78.946625822976017</v>
      </c>
      <c r="AG30" s="772">
        <f>AC30+AD30+AE30+AF30+70-53+145.41</f>
        <v>343.90370474316808</v>
      </c>
      <c r="AH30" s="1253">
        <f t="shared" si="10"/>
        <v>9.3190000000000008</v>
      </c>
      <c r="AI30" s="1253">
        <f t="shared" si="11"/>
        <v>9.8780000000000001</v>
      </c>
      <c r="AJ30" s="156">
        <f t="shared" si="12"/>
        <v>43.254425017007961</v>
      </c>
      <c r="AK30" s="156">
        <f t="shared" si="13"/>
        <v>6.5604130042809592</v>
      </c>
      <c r="AM30" s="716">
        <f t="shared" si="14"/>
        <v>2.7179999999999999E-3</v>
      </c>
      <c r="AN30" s="716" t="str">
        <f>_xlfn.XLOOKUP(D30,RUC!$B$3:$B$578,RUC!$M$3:$M$578)</f>
        <v>Evelyn</v>
      </c>
      <c r="AO30" s="1167" t="s">
        <v>2277</v>
      </c>
      <c r="AP30" t="s">
        <v>3520</v>
      </c>
      <c r="AQ30" t="s">
        <v>3904</v>
      </c>
      <c r="AV30" s="1557" t="s">
        <v>2519</v>
      </c>
      <c r="AW30" s="703">
        <f t="shared" si="23"/>
        <v>0</v>
      </c>
      <c r="AY30" s="596">
        <f t="shared" si="24"/>
        <v>0</v>
      </c>
      <c r="BA30" s="1256">
        <f t="shared" si="25"/>
        <v>0</v>
      </c>
    </row>
    <row r="31" spans="1:56" ht="15" customHeight="1">
      <c r="A31" s="747" t="s">
        <v>3889</v>
      </c>
      <c r="B31" s="1447">
        <v>46020</v>
      </c>
      <c r="C31" s="1447">
        <v>46010</v>
      </c>
      <c r="D31" t="s">
        <v>93</v>
      </c>
      <c r="E31" s="762">
        <f>_xlfn.XLOOKUP(D31,RUC!$B$3:$B$123,RUC!$D$3:$D$123)</f>
        <v>20169040231</v>
      </c>
      <c r="G31" s="1082">
        <v>17</v>
      </c>
      <c r="H31" s="762" t="s">
        <v>108</v>
      </c>
      <c r="I31" s="703">
        <v>1.69</v>
      </c>
      <c r="J31" s="596">
        <v>23.35</v>
      </c>
      <c r="K31" s="703">
        <f t="shared" si="0"/>
        <v>1.2949999999999999</v>
      </c>
      <c r="L31" s="1192">
        <v>1.411</v>
      </c>
      <c r="M31" s="994">
        <f t="shared" si="1"/>
        <v>1.3260000000000001</v>
      </c>
      <c r="N31" s="1196">
        <f t="shared" si="2"/>
        <v>1.3260000000000001</v>
      </c>
      <c r="O31" s="645">
        <f t="shared" si="3"/>
        <v>1.3260000000000001</v>
      </c>
      <c r="P31" s="727">
        <v>90</v>
      </c>
      <c r="Q31" s="1476">
        <v>96.46</v>
      </c>
      <c r="R31" s="706">
        <v>4337.6000000000004</v>
      </c>
      <c r="S31" s="765">
        <f>IF((_xlfn.XLOOKUP(D31,RUC!$B$3:$B$119,RUC!$E$3:$E$119)+ROUNDDOWN(O31,1)*100)&lt;95,95,((_xlfn.XLOOKUP(D31,RUC!$B$3:$B$119,RUC!$E$3:$E$119)+ROUNDDOWN(O31,1)*100)))</f>
        <v>215</v>
      </c>
      <c r="U31" s="1146">
        <f>_xlfn.XLOOKUP(D31,RUC!$B$3:$B$123,RUC!$F$3:$F$123)</f>
        <v>120</v>
      </c>
      <c r="V31" s="715">
        <v>1.1023000000000001</v>
      </c>
      <c r="Y31" s="1445">
        <v>25</v>
      </c>
      <c r="Z31" s="1454">
        <v>38</v>
      </c>
      <c r="AA31" s="144">
        <f t="shared" si="4"/>
        <v>63</v>
      </c>
      <c r="AB31" s="145">
        <f t="shared" ref="AB31:AB68" si="26">+((O31*P31*(R31-U31)/100)-S31-AA31+T31)*V31</f>
        <v>5241.749376832001</v>
      </c>
      <c r="AC31" s="145">
        <f>+(S31-T31)*V31-'data 1'!$F$4</f>
        <v>156.99450000000002</v>
      </c>
      <c r="AD31" s="145">
        <f t="shared" si="6"/>
        <v>423.76465218828764</v>
      </c>
      <c r="AE31" s="145">
        <f t="shared" si="7"/>
        <v>-0.55509999999999593</v>
      </c>
      <c r="AF31" s="145">
        <f t="shared" si="8"/>
        <v>381.1811178156799</v>
      </c>
      <c r="AG31" s="772">
        <f t="shared" ref="AG31:AG38" si="27">AC31+AD31+AE31+AF31+70-53</f>
        <v>978.38517000396746</v>
      </c>
      <c r="AH31" s="1253">
        <f t="shared" si="10"/>
        <v>60.43</v>
      </c>
      <c r="AI31" s="1253">
        <f t="shared" si="11"/>
        <v>62.648000000000003</v>
      </c>
      <c r="AJ31" s="156">
        <f t="shared" si="12"/>
        <v>588.71225637151144</v>
      </c>
      <c r="AK31" s="156">
        <f t="shared" si="13"/>
        <v>52.98645581803666</v>
      </c>
      <c r="AM31" s="716">
        <f t="shared" si="14"/>
        <v>6788.0654429974411</v>
      </c>
      <c r="AN31" s="716" t="str">
        <f>_xlfn.XLOOKUP(D31,RUC!$B$3:$B$578,RUC!$M$3:$M$578)</f>
        <v>Ronald Miranda</v>
      </c>
      <c r="AO31" s="1167" t="s">
        <v>2280</v>
      </c>
      <c r="AP31" t="s">
        <v>3909</v>
      </c>
      <c r="AQ31" t="s">
        <v>3910</v>
      </c>
      <c r="AV31" s="1557" t="s">
        <v>2520</v>
      </c>
      <c r="AW31" s="703">
        <f t="shared" si="23"/>
        <v>0</v>
      </c>
      <c r="AY31" s="596">
        <f t="shared" si="24"/>
        <v>0</v>
      </c>
      <c r="BA31" s="1256">
        <f t="shared" si="25"/>
        <v>0</v>
      </c>
    </row>
    <row r="32" spans="1:56" ht="15" customHeight="1" thickBot="1">
      <c r="A32" s="747" t="s">
        <v>3890</v>
      </c>
      <c r="B32" s="1447">
        <v>46020</v>
      </c>
      <c r="C32" s="1447">
        <v>46010</v>
      </c>
      <c r="D32" t="s">
        <v>2444</v>
      </c>
      <c r="E32" s="762">
        <f>_xlfn.XLOOKUP(D32,RUC!$B$3:$B$123,RUC!$D$3:$D$123)</f>
        <v>20608774000</v>
      </c>
      <c r="G32" s="1082">
        <v>25</v>
      </c>
      <c r="H32" s="762" t="s">
        <v>69</v>
      </c>
      <c r="I32" s="703">
        <v>1.9</v>
      </c>
      <c r="J32" s="596">
        <v>1.2</v>
      </c>
      <c r="K32" s="703">
        <f t="shared" si="0"/>
        <v>1.877</v>
      </c>
      <c r="L32" s="1192">
        <v>0.39400000000000002</v>
      </c>
      <c r="M32" s="994">
        <f t="shared" si="1"/>
        <v>0.37</v>
      </c>
      <c r="N32" s="1196">
        <f t="shared" si="2"/>
        <v>0.37</v>
      </c>
      <c r="O32" s="645">
        <f t="shared" si="3"/>
        <v>0.37</v>
      </c>
      <c r="P32" s="727">
        <v>90</v>
      </c>
      <c r="Q32" s="1476">
        <v>92.89</v>
      </c>
      <c r="R32" s="706">
        <v>4337.6000000000004</v>
      </c>
      <c r="S32" s="765">
        <f>IF((_xlfn.XLOOKUP(D32,RUC!$B$3:$B$119,RUC!$E$3:$E$119)+ROUNDDOWN(O32,1)*100)&lt;95,95,((_xlfn.XLOOKUP(D32,RUC!$B$3:$B$119,RUC!$E$3:$E$119)+ROUNDDOWN(O32,1)*100)))</f>
        <v>115</v>
      </c>
      <c r="U32" s="1146">
        <f>_xlfn.XLOOKUP(D32,RUC!$B$3:$B$123,RUC!$F$3:$F$123)</f>
        <v>120</v>
      </c>
      <c r="V32" s="715">
        <v>1.1023000000000001</v>
      </c>
      <c r="Y32" s="1445">
        <v>25</v>
      </c>
      <c r="Z32" s="1454">
        <v>35</v>
      </c>
      <c r="AA32" s="144">
        <f t="shared" si="4"/>
        <v>60</v>
      </c>
      <c r="AB32" s="145">
        <f t="shared" si="26"/>
        <v>1355.23463984</v>
      </c>
      <c r="AC32" s="145">
        <f>+(S32-T32)*V32-'data 1'!$F$4</f>
        <v>46.764500000000012</v>
      </c>
      <c r="AD32" s="145">
        <f t="shared" si="6"/>
        <v>52.93699206156802</v>
      </c>
      <c r="AE32" s="145">
        <f t="shared" si="7"/>
        <v>-3.8619999999999948</v>
      </c>
      <c r="AF32" s="145">
        <f t="shared" si="8"/>
        <v>103.64429471692809</v>
      </c>
      <c r="AG32" s="772">
        <f t="shared" si="27"/>
        <v>216.4837867784961</v>
      </c>
      <c r="AH32" s="1253">
        <f t="shared" si="10"/>
        <v>23.553000000000001</v>
      </c>
      <c r="AI32" s="1253">
        <f t="shared" si="11"/>
        <v>25.355</v>
      </c>
      <c r="AJ32" s="156">
        <f t="shared" si="12"/>
        <v>158.30476625023186</v>
      </c>
      <c r="AK32" s="156">
        <f t="shared" si="13"/>
        <v>21.429773232160052</v>
      </c>
      <c r="AM32" s="716">
        <f t="shared" si="14"/>
        <v>2543.7754189796801</v>
      </c>
      <c r="AN32" s="716" t="str">
        <f>_xlfn.XLOOKUP(D32,RUC!$B$3:$B$578,RUC!$M$3:$M$578)</f>
        <v>Ronald Miranda</v>
      </c>
      <c r="AO32" s="1167" t="s">
        <v>2280</v>
      </c>
      <c r="AP32" t="s">
        <v>3907</v>
      </c>
      <c r="AQ32" t="s">
        <v>3908</v>
      </c>
      <c r="AV32" s="1558" t="s">
        <v>2521</v>
      </c>
      <c r="AW32" s="1254">
        <f t="shared" si="23"/>
        <v>0</v>
      </c>
      <c r="AX32" s="1257"/>
      <c r="AY32" s="1242">
        <f t="shared" si="24"/>
        <v>0</v>
      </c>
      <c r="AZ32" s="1257"/>
      <c r="BA32" s="1258">
        <f t="shared" si="25"/>
        <v>0</v>
      </c>
    </row>
    <row r="33" spans="1:44" ht="15" customHeight="1">
      <c r="A33" s="747" t="s">
        <v>3891</v>
      </c>
      <c r="B33" s="1447">
        <v>46020</v>
      </c>
      <c r="C33" s="1447">
        <v>46010</v>
      </c>
      <c r="D33" t="s">
        <v>2444</v>
      </c>
      <c r="E33" s="762">
        <f>_xlfn.XLOOKUP(D33,RUC!$B$3:$B$123,RUC!$D$3:$D$123)</f>
        <v>20608774000</v>
      </c>
      <c r="G33" s="1082">
        <v>100</v>
      </c>
      <c r="H33" s="762" t="s">
        <v>69</v>
      </c>
      <c r="I33" s="703">
        <v>8.3000000000000007</v>
      </c>
      <c r="J33" s="596">
        <v>1.35</v>
      </c>
      <c r="K33" s="703">
        <f t="shared" si="0"/>
        <v>8.1880000000000006</v>
      </c>
      <c r="L33" s="1192">
        <v>0.36699999999999999</v>
      </c>
      <c r="M33" s="994">
        <f t="shared" si="1"/>
        <v>0.34499999999999997</v>
      </c>
      <c r="N33" s="1196">
        <f t="shared" si="2"/>
        <v>0.34499999999999997</v>
      </c>
      <c r="O33" s="645">
        <f t="shared" si="3"/>
        <v>0.34499999999999997</v>
      </c>
      <c r="P33" s="727">
        <v>90</v>
      </c>
      <c r="Q33" s="1476">
        <v>95.91</v>
      </c>
      <c r="R33" s="706">
        <v>4337.6000000000004</v>
      </c>
      <c r="S33" s="765">
        <f>IF((_xlfn.XLOOKUP(D33,RUC!$B$3:$B$119,RUC!$E$3:$E$119)+ROUNDDOWN(O33,1)*100)&lt;95,95,((_xlfn.XLOOKUP(D33,RUC!$B$3:$B$119,RUC!$E$3:$E$119)+ROUNDDOWN(O33,1)*100)))</f>
        <v>115</v>
      </c>
      <c r="U33" s="1146">
        <f>_xlfn.XLOOKUP(D33,RUC!$B$3:$B$123,RUC!$F$3:$F$123)</f>
        <v>120</v>
      </c>
      <c r="V33" s="715">
        <v>1.1023000000000001</v>
      </c>
      <c r="Y33" s="1445">
        <v>25</v>
      </c>
      <c r="Z33" s="1454">
        <v>35</v>
      </c>
      <c r="AA33" s="144">
        <f t="shared" si="4"/>
        <v>60</v>
      </c>
      <c r="AB33" s="145">
        <f t="shared" si="26"/>
        <v>1250.6307790399999</v>
      </c>
      <c r="AC33" s="145">
        <f>+(S33-T33)*V33-'data 1'!$F$4</f>
        <v>46.764500000000012</v>
      </c>
      <c r="AD33" s="145">
        <f t="shared" si="6"/>
        <v>100.83672709305594</v>
      </c>
      <c r="AE33" s="145">
        <f t="shared" si="7"/>
        <v>-3.8619999999999948</v>
      </c>
      <c r="AF33" s="145">
        <f t="shared" si="8"/>
        <v>98.096105940096095</v>
      </c>
      <c r="AG33" s="772">
        <f t="shared" si="27"/>
        <v>258.8353330331521</v>
      </c>
      <c r="AH33" s="1253">
        <f t="shared" si="10"/>
        <v>98.813999999999993</v>
      </c>
      <c r="AI33" s="1253">
        <f t="shared" si="11"/>
        <v>103.027</v>
      </c>
      <c r="AJ33" s="156">
        <f t="shared" si="12"/>
        <v>152.25051185204387</v>
      </c>
      <c r="AK33" s="156">
        <f t="shared" si="13"/>
        <v>87.166279158230722</v>
      </c>
      <c r="AM33" s="716">
        <f t="shared" si="14"/>
        <v>10240.16481877952</v>
      </c>
      <c r="AN33" s="716" t="str">
        <f>_xlfn.XLOOKUP(D33,RUC!$B$3:$B$578,RUC!$M$3:$M$578)</f>
        <v>Ronald Miranda</v>
      </c>
      <c r="AO33" s="1167" t="s">
        <v>2280</v>
      </c>
      <c r="AP33" t="s">
        <v>3907</v>
      </c>
      <c r="AQ33" t="s">
        <v>3908</v>
      </c>
    </row>
    <row r="34" spans="1:44" ht="15" customHeight="1">
      <c r="A34" s="747" t="s">
        <v>3892</v>
      </c>
      <c r="B34" s="1447">
        <v>46020</v>
      </c>
      <c r="C34" s="1447">
        <v>46010</v>
      </c>
      <c r="D34" t="s">
        <v>2444</v>
      </c>
      <c r="E34" s="762">
        <f>_xlfn.XLOOKUP(D34,RUC!$B$3:$B$123,RUC!$D$3:$D$123)</f>
        <v>20608774000</v>
      </c>
      <c r="G34" s="1082">
        <v>24</v>
      </c>
      <c r="H34" s="762" t="s">
        <v>108</v>
      </c>
      <c r="I34" s="703">
        <v>2.0099999999999998</v>
      </c>
      <c r="J34" s="596">
        <v>32.18</v>
      </c>
      <c r="K34" s="703">
        <f t="shared" si="0"/>
        <v>1.363</v>
      </c>
      <c r="L34" s="1192">
        <v>7.843</v>
      </c>
      <c r="M34" s="994">
        <f>ROUND(+IF(AN34="Melchor Vera",IF(L34&gt;0.467,L34*0.985,(L34-0.007)),IF(L34&gt;0.3,L34*0.93,(L34-0.018))),3)</f>
        <v>7.2939999999999996</v>
      </c>
      <c r="N34" s="1444">
        <v>8.1300000000000008</v>
      </c>
      <c r="O34" s="645">
        <f t="shared" si="3"/>
        <v>7.7119999999999997</v>
      </c>
      <c r="P34" s="727">
        <v>85</v>
      </c>
      <c r="Q34" s="1476">
        <v>86.69</v>
      </c>
      <c r="R34" s="706">
        <v>4337.6000000000004</v>
      </c>
      <c r="S34" s="765">
        <f>IF((_xlfn.XLOOKUP(D34,RUC!$B$3:$B$119,RUC!$E$3:$E$119)+ROUNDDOWN(O34,1)*100)&lt;95,95,((_xlfn.XLOOKUP(D34,RUC!$B$3:$B$119,RUC!$E$3:$E$119)+ROUNDDOWN(O34,1)*100)))</f>
        <v>855</v>
      </c>
      <c r="U34" s="1146">
        <f>_xlfn.XLOOKUP(D34,RUC!$B$3:$B$123,RUC!$F$3:$F$123)</f>
        <v>120</v>
      </c>
      <c r="V34" s="715">
        <v>1.1023000000000001</v>
      </c>
      <c r="Y34" s="1445">
        <v>25</v>
      </c>
      <c r="Z34" s="1454">
        <v>35</v>
      </c>
      <c r="AA34" s="144">
        <f t="shared" si="4"/>
        <v>60</v>
      </c>
      <c r="AB34" s="145">
        <f t="shared" si="26"/>
        <v>29466.916758496001</v>
      </c>
      <c r="AC34" s="145">
        <f>+(S34-T34)*V34-'data 1'!$F$4</f>
        <v>862.4665</v>
      </c>
      <c r="AD34" s="145">
        <f t="shared" si="6"/>
        <v>616.21762472441526</v>
      </c>
      <c r="AE34" s="145">
        <f t="shared" si="7"/>
        <v>-3.8619999999999948</v>
      </c>
      <c r="AF34" s="145">
        <f t="shared" si="8"/>
        <v>527.96543944467294</v>
      </c>
      <c r="AG34" s="772">
        <f t="shared" si="27"/>
        <v>2019.787564169088</v>
      </c>
      <c r="AH34" s="1253">
        <f t="shared" si="10"/>
        <v>317.72800000000001</v>
      </c>
      <c r="AI34" s="1253">
        <f t="shared" si="11"/>
        <v>366.51100000000002</v>
      </c>
      <c r="AJ34" s="156">
        <f t="shared" si="12"/>
        <v>2940.8984203416812</v>
      </c>
      <c r="AK34" s="156">
        <f t="shared" si="13"/>
        <v>306.3309457409257</v>
      </c>
      <c r="AM34" s="716">
        <f t="shared" si="14"/>
        <v>40163.407541830049</v>
      </c>
      <c r="AN34" s="716" t="str">
        <f>_xlfn.XLOOKUP(D34,RUC!$B$3:$B$578,RUC!$M$3:$M$578)</f>
        <v>Ronald Miranda</v>
      </c>
      <c r="AO34" s="1167" t="s">
        <v>2278</v>
      </c>
      <c r="AP34" t="s">
        <v>3907</v>
      </c>
      <c r="AQ34" t="s">
        <v>3908</v>
      </c>
      <c r="AR34" t="s">
        <v>3663</v>
      </c>
    </row>
    <row r="35" spans="1:44" ht="15" customHeight="1">
      <c r="A35" s="747" t="s">
        <v>3893</v>
      </c>
      <c r="B35" s="1447">
        <v>46020</v>
      </c>
      <c r="C35" s="1447">
        <v>46010</v>
      </c>
      <c r="D35" t="s">
        <v>2444</v>
      </c>
      <c r="E35" s="762">
        <f>_xlfn.XLOOKUP(D35,RUC!$B$3:$B$123,RUC!$D$3:$D$123)</f>
        <v>20608774000</v>
      </c>
      <c r="G35" s="1082">
        <v>5</v>
      </c>
      <c r="H35" s="762" t="s">
        <v>108</v>
      </c>
      <c r="I35" s="703">
        <v>0.42</v>
      </c>
      <c r="J35" s="596">
        <v>29.93</v>
      </c>
      <c r="K35" s="703">
        <f t="shared" si="0"/>
        <v>0.29399999999999998</v>
      </c>
      <c r="L35" s="1192">
        <v>11.853</v>
      </c>
      <c r="M35" s="994">
        <f>ROUND(+IF(AN35="Melchor Vera",IF(L35&gt;0.467,L35*0.985,(L35-0.007)),IF(L35&gt;0.3,L35*0.93,(L35-0.018))),3)</f>
        <v>11.023</v>
      </c>
      <c r="N35" s="1444">
        <v>11.775</v>
      </c>
      <c r="O35" s="645">
        <f t="shared" si="3"/>
        <v>11.398999999999999</v>
      </c>
      <c r="P35" s="727">
        <v>87</v>
      </c>
      <c r="Q35" s="1476">
        <v>88.48</v>
      </c>
      <c r="R35" s="706">
        <v>4337.6000000000004</v>
      </c>
      <c r="S35" s="765">
        <f>IF((_xlfn.XLOOKUP(D35,RUC!$B$3:$B$119,RUC!$E$3:$E$119)+ROUNDDOWN(O35,1)*100)&lt;95,95,((_xlfn.XLOOKUP(D35,RUC!$B$3:$B$119,RUC!$E$3:$E$119)+ROUNDDOWN(O35,1)*100)))</f>
        <v>1215</v>
      </c>
      <c r="U35" s="1146">
        <f>_xlfn.XLOOKUP(D35,RUC!$B$3:$B$123,RUC!$F$3:$F$123)</f>
        <v>120</v>
      </c>
      <c r="V35" s="715">
        <v>1.1023000000000001</v>
      </c>
      <c r="Y35" s="1445">
        <v>25</v>
      </c>
      <c r="Z35" s="1454">
        <v>35</v>
      </c>
      <c r="AA35" s="144">
        <f t="shared" si="4"/>
        <v>60</v>
      </c>
      <c r="AB35" s="145">
        <f t="shared" si="26"/>
        <v>44699.904658022402</v>
      </c>
      <c r="AC35" s="145">
        <f>+(S35-T35)*V35-'data 1'!$F$4</f>
        <v>1259.2945</v>
      </c>
      <c r="AD35" s="145">
        <f t="shared" si="6"/>
        <v>815.55864526771416</v>
      </c>
      <c r="AE35" s="145">
        <f t="shared" si="7"/>
        <v>-3.8619999999999948</v>
      </c>
      <c r="AF35" s="145">
        <f t="shared" si="8"/>
        <v>1867.5238755676191</v>
      </c>
      <c r="AG35" s="772">
        <f t="shared" si="27"/>
        <v>3955.5150208353334</v>
      </c>
      <c r="AH35" s="1253">
        <f t="shared" si="10"/>
        <v>105.71299999999999</v>
      </c>
      <c r="AI35" s="1253">
        <f t="shared" si="11"/>
        <v>119.477</v>
      </c>
      <c r="AJ35" s="156">
        <f t="shared" si="12"/>
        <v>4536.3045579626851</v>
      </c>
      <c r="AK35" s="156">
        <f t="shared" si="13"/>
        <v>99.963719215335175</v>
      </c>
      <c r="AM35" s="716">
        <f t="shared" si="14"/>
        <v>13141.771969458585</v>
      </c>
      <c r="AN35" s="716" t="str">
        <f>_xlfn.XLOOKUP(D35,RUC!$B$3:$B$578,RUC!$M$3:$M$578)</f>
        <v>Ronald Miranda</v>
      </c>
      <c r="AO35" s="1167" t="s">
        <v>2278</v>
      </c>
      <c r="AP35" t="s">
        <v>3907</v>
      </c>
      <c r="AQ35" t="s">
        <v>3908</v>
      </c>
      <c r="AR35" t="s">
        <v>3663</v>
      </c>
    </row>
    <row r="36" spans="1:44" ht="15" customHeight="1">
      <c r="A36" s="747" t="s">
        <v>3894</v>
      </c>
      <c r="B36" s="1447">
        <v>46020</v>
      </c>
      <c r="C36" s="1447">
        <v>46010</v>
      </c>
      <c r="D36" t="s">
        <v>2444</v>
      </c>
      <c r="E36" s="762">
        <f>_xlfn.XLOOKUP(D36,RUC!$B$3:$B$123,RUC!$D$3:$D$123)</f>
        <v>20608774000</v>
      </c>
      <c r="G36" s="1082">
        <v>22</v>
      </c>
      <c r="H36" s="762" t="s">
        <v>108</v>
      </c>
      <c r="I36" s="703">
        <v>1.87</v>
      </c>
      <c r="J36" s="596">
        <v>32.82</v>
      </c>
      <c r="K36" s="703">
        <f t="shared" si="0"/>
        <v>1.256</v>
      </c>
      <c r="L36" s="1192">
        <v>4.6859999999999999</v>
      </c>
      <c r="M36" s="994">
        <f>ROUND(+IF(AN36="Melchor Vera",IF(L36&gt;0.467,L36*0.985,(L36-0.007)),IF(L36&gt;0.3,L36*0.93,(L36-0.018))),3)</f>
        <v>4.3579999999999997</v>
      </c>
      <c r="N36" s="1196">
        <f t="shared" si="2"/>
        <v>4.3579999999999997</v>
      </c>
      <c r="O36" s="645">
        <f t="shared" si="3"/>
        <v>4.3579999999999997</v>
      </c>
      <c r="P36" s="727">
        <v>84</v>
      </c>
      <c r="Q36" s="1476">
        <v>84.17</v>
      </c>
      <c r="R36" s="706">
        <v>4337.6000000000004</v>
      </c>
      <c r="S36" s="765">
        <f>IF((_xlfn.XLOOKUP(D36,RUC!$B$3:$B$119,RUC!$E$3:$E$119)+ROUNDDOWN(O36,1)*100)&lt;95,95,((_xlfn.XLOOKUP(D36,RUC!$B$3:$B$119,RUC!$E$3:$E$119)+ROUNDDOWN(O36,1)*100)))</f>
        <v>515</v>
      </c>
      <c r="U36" s="1146">
        <f>_xlfn.XLOOKUP(D36,RUC!$B$3:$B$123,RUC!$F$3:$F$123)</f>
        <v>120</v>
      </c>
      <c r="V36" s="715">
        <v>1.1023000000000001</v>
      </c>
      <c r="Y36" s="1445">
        <v>25</v>
      </c>
      <c r="Z36" s="1454">
        <v>35</v>
      </c>
      <c r="AA36" s="144">
        <f t="shared" si="4"/>
        <v>60</v>
      </c>
      <c r="AB36" s="145">
        <f t="shared" si="26"/>
        <v>16385.086180345599</v>
      </c>
      <c r="AC36" s="145">
        <f>+(S36-T36)*V36-'data 1'!$F$4</f>
        <v>487.68450000000007</v>
      </c>
      <c r="AD36" s="145">
        <f t="shared" si="6"/>
        <v>37.035345595776377</v>
      </c>
      <c r="AE36" s="145">
        <f t="shared" si="7"/>
        <v>-3.8619999999999948</v>
      </c>
      <c r="AF36" s="145">
        <f t="shared" si="8"/>
        <v>1283.5014595732493</v>
      </c>
      <c r="AG36" s="772">
        <f t="shared" si="27"/>
        <v>1821.3593051690259</v>
      </c>
      <c r="AH36" s="1253">
        <f t="shared" si="10"/>
        <v>169.84700000000001</v>
      </c>
      <c r="AI36" s="1253">
        <f t="shared" si="11"/>
        <v>201.791</v>
      </c>
      <c r="AJ36" s="156">
        <f t="shared" si="12"/>
        <v>1706.0368891476228</v>
      </c>
      <c r="AK36" s="156">
        <f t="shared" si="13"/>
        <v>157.63956241244938</v>
      </c>
      <c r="AM36" s="716">
        <f t="shared" si="14"/>
        <v>20579.668242514072</v>
      </c>
      <c r="AN36" s="716" t="str">
        <f>_xlfn.XLOOKUP(D36,RUC!$B$3:$B$578,RUC!$M$3:$M$578)</f>
        <v>Ronald Miranda</v>
      </c>
      <c r="AO36" s="1167" t="s">
        <v>2280</v>
      </c>
      <c r="AP36" t="s">
        <v>3907</v>
      </c>
      <c r="AQ36" t="s">
        <v>3908</v>
      </c>
      <c r="AR36" t="s">
        <v>3663</v>
      </c>
    </row>
    <row r="37" spans="1:44" ht="15" customHeight="1">
      <c r="A37" s="747" t="s">
        <v>3895</v>
      </c>
      <c r="B37" s="1447">
        <v>46020</v>
      </c>
      <c r="C37" s="1447">
        <v>46010</v>
      </c>
      <c r="D37" t="s">
        <v>2444</v>
      </c>
      <c r="E37" s="762">
        <f>_xlfn.XLOOKUP(D37,RUC!$B$3:$B$123,RUC!$D$3:$D$123)</f>
        <v>20608774000</v>
      </c>
      <c r="G37" s="1082">
        <v>100</v>
      </c>
      <c r="H37" s="762" t="s">
        <v>69</v>
      </c>
      <c r="I37" s="703">
        <v>8.31</v>
      </c>
      <c r="J37" s="596">
        <v>1.25</v>
      </c>
      <c r="K37" s="703">
        <f t="shared" si="0"/>
        <v>8.2059999999999995</v>
      </c>
      <c r="L37" s="1192">
        <v>0.375</v>
      </c>
      <c r="M37" s="994">
        <f t="shared" si="1"/>
        <v>0.35299999999999998</v>
      </c>
      <c r="N37" s="1196">
        <f t="shared" si="2"/>
        <v>0.35299999999999998</v>
      </c>
      <c r="O37" s="645">
        <f t="shared" si="3"/>
        <v>0.35299999999999998</v>
      </c>
      <c r="P37" s="727">
        <v>90</v>
      </c>
      <c r="Q37" s="1476">
        <v>93.87</v>
      </c>
      <c r="R37" s="706">
        <v>4337.6000000000004</v>
      </c>
      <c r="S37" s="765">
        <f>IF((_xlfn.XLOOKUP(D37,RUC!$B$3:$B$119,RUC!$E$3:$E$119)+ROUNDDOWN(O37,1)*100)&lt;95,95,((_xlfn.XLOOKUP(D37,RUC!$B$3:$B$119,RUC!$E$3:$E$119)+ROUNDDOWN(O37,1)*100)))</f>
        <v>115</v>
      </c>
      <c r="U37" s="1146">
        <f>_xlfn.XLOOKUP(D37,RUC!$B$3:$B$123,RUC!$F$3:$F$123)</f>
        <v>120</v>
      </c>
      <c r="V37" s="715">
        <v>1.1023000000000001</v>
      </c>
      <c r="Y37" s="1445">
        <v>25</v>
      </c>
      <c r="Z37" s="1454">
        <v>35</v>
      </c>
      <c r="AA37" s="144">
        <f t="shared" si="4"/>
        <v>60</v>
      </c>
      <c r="AB37" s="145">
        <f t="shared" si="26"/>
        <v>1284.1040144960002</v>
      </c>
      <c r="AC37" s="145">
        <f>+(S37-T37)*V37-'data 1'!$F$4</f>
        <v>46.764500000000012</v>
      </c>
      <c r="AD37" s="145">
        <f t="shared" si="6"/>
        <v>67.469490216000082</v>
      </c>
      <c r="AE37" s="145">
        <f t="shared" si="7"/>
        <v>-3.8619999999999948</v>
      </c>
      <c r="AF37" s="145">
        <f t="shared" si="8"/>
        <v>96.009607596672097</v>
      </c>
      <c r="AG37" s="772">
        <f t="shared" si="27"/>
        <v>223.38159781267223</v>
      </c>
      <c r="AH37" s="1253">
        <f t="shared" si="10"/>
        <v>99.037000000000006</v>
      </c>
      <c r="AI37" s="1253">
        <f t="shared" si="11"/>
        <v>105.505</v>
      </c>
      <c r="AJ37" s="156">
        <f t="shared" si="12"/>
        <v>152.26037382149988</v>
      </c>
      <c r="AK37" s="156">
        <f t="shared" si="13"/>
        <v>89.383590631277912</v>
      </c>
      <c r="AM37" s="716">
        <f t="shared" si="14"/>
        <v>10537.357542954178</v>
      </c>
      <c r="AN37" s="716" t="str">
        <f>_xlfn.XLOOKUP(D37,RUC!$B$3:$B$578,RUC!$M$3:$M$578)</f>
        <v>Ronald Miranda</v>
      </c>
      <c r="AO37" s="1167" t="s">
        <v>2280</v>
      </c>
      <c r="AP37" t="s">
        <v>3907</v>
      </c>
      <c r="AQ37" t="s">
        <v>3908</v>
      </c>
    </row>
    <row r="38" spans="1:44" ht="15" customHeight="1">
      <c r="A38" s="747" t="s">
        <v>3913</v>
      </c>
      <c r="B38" s="1447">
        <v>46024</v>
      </c>
      <c r="C38" s="1447">
        <v>46011</v>
      </c>
      <c r="D38" t="s">
        <v>1967</v>
      </c>
      <c r="E38" s="762">
        <f>_xlfn.XLOOKUP(D38,RUC!$B$3:$B$123,RUC!$D$3:$D$123)</f>
        <v>20601769396</v>
      </c>
      <c r="G38" s="1082">
        <v>53</v>
      </c>
      <c r="H38" s="762" t="s">
        <v>108</v>
      </c>
      <c r="I38" s="703">
        <v>3.94</v>
      </c>
      <c r="J38" s="596">
        <v>4.7</v>
      </c>
      <c r="K38" s="703">
        <f t="shared" si="0"/>
        <v>3.7549999999999999</v>
      </c>
      <c r="L38" s="1192">
        <v>0.157</v>
      </c>
      <c r="M38" s="994">
        <f t="shared" si="1"/>
        <v>0.13900000000000001</v>
      </c>
      <c r="N38" s="1444">
        <v>0.2</v>
      </c>
      <c r="O38" s="645">
        <f t="shared" si="3"/>
        <v>0.17</v>
      </c>
      <c r="P38" s="727">
        <v>90</v>
      </c>
      <c r="Q38" s="1476">
        <v>90.45</v>
      </c>
      <c r="R38" s="706">
        <v>4337.6000000000004</v>
      </c>
      <c r="S38" s="765">
        <f>IF((_xlfn.XLOOKUP(D38,RUC!$B$3:$B$119,RUC!$E$3:$E$119)+ROUNDDOWN(O38,1)*100)&lt;95,95,((_xlfn.XLOOKUP(D38,RUC!$B$3:$B$119,RUC!$E$3:$E$119)+ROUNDDOWN(O38,1)*100)))</f>
        <v>100</v>
      </c>
      <c r="U38" s="1146">
        <f>_xlfn.XLOOKUP(D38,RUC!$B$3:$B$123,RUC!$F$3:$F$123)</f>
        <v>120</v>
      </c>
      <c r="V38" s="715">
        <v>1.1023000000000001</v>
      </c>
      <c r="Y38" s="1445">
        <v>50</v>
      </c>
      <c r="Z38" s="1454">
        <v>40</v>
      </c>
      <c r="AA38" s="144">
        <f t="shared" si="4"/>
        <v>90</v>
      </c>
      <c r="AB38" s="145">
        <f t="shared" si="26"/>
        <v>501.86925344000008</v>
      </c>
      <c r="AC38" s="145">
        <f>+(S38-T38)*V38-'data 1'!$F$4</f>
        <v>30.230000000000004</v>
      </c>
      <c r="AD38" s="145">
        <f t="shared" si="6"/>
        <v>3.2845612291200212</v>
      </c>
      <c r="AE38" s="145">
        <f t="shared" si="7"/>
        <v>29.207000000000001</v>
      </c>
      <c r="AF38" s="145">
        <f t="shared" si="8"/>
        <v>-54.665977654080059</v>
      </c>
      <c r="AG38" s="772">
        <f t="shared" si="27"/>
        <v>25.055583575039975</v>
      </c>
      <c r="AH38" s="1253">
        <f t="shared" si="10"/>
        <v>18.282</v>
      </c>
      <c r="AI38" s="1253">
        <f t="shared" si="11"/>
        <v>20.212</v>
      </c>
      <c r="AJ38" s="156">
        <f t="shared" si="12"/>
        <v>61.423849366379947</v>
      </c>
      <c r="AK38" s="156">
        <f t="shared" si="13"/>
        <v>19.697469715545751</v>
      </c>
      <c r="AM38" s="716">
        <f t="shared" si="14"/>
        <v>1884.5190466672002</v>
      </c>
      <c r="AN38" s="716" t="str">
        <f>_xlfn.XLOOKUP(D38,RUC!$B$3:$B$578,RUC!$M$3:$M$578)</f>
        <v>Evelyn</v>
      </c>
      <c r="AO38" s="1167" t="s">
        <v>2280</v>
      </c>
      <c r="AP38" t="s">
        <v>3950</v>
      </c>
      <c r="AQ38" t="s">
        <v>3951</v>
      </c>
    </row>
    <row r="39" spans="1:44" ht="15" customHeight="1">
      <c r="A39" s="747" t="s">
        <v>3914</v>
      </c>
      <c r="B39" s="1447">
        <v>46021</v>
      </c>
      <c r="C39" s="1447">
        <v>46011</v>
      </c>
      <c r="D39" t="s">
        <v>2004</v>
      </c>
      <c r="E39" s="762">
        <f>_xlfn.XLOOKUP(D39,RUC!$B$3:$B$123,RUC!$D$3:$D$123)</f>
        <v>20612921866</v>
      </c>
      <c r="G39" s="1082" t="s">
        <v>2985</v>
      </c>
      <c r="H39" s="762" t="s">
        <v>69</v>
      </c>
      <c r="I39" s="703">
        <v>23.31</v>
      </c>
      <c r="J39" s="596">
        <v>1.25</v>
      </c>
      <c r="K39" s="703">
        <f t="shared" si="0"/>
        <v>23.018999999999998</v>
      </c>
      <c r="L39" s="1192">
        <v>0.19700000000000001</v>
      </c>
      <c r="M39" s="994">
        <v>0.14000000000000001</v>
      </c>
      <c r="N39" s="1444">
        <v>0.188</v>
      </c>
      <c r="O39" s="645">
        <f t="shared" si="3"/>
        <v>0.16400000000000001</v>
      </c>
      <c r="P39" s="727">
        <v>90</v>
      </c>
      <c r="Q39" s="1476">
        <v>91.11</v>
      </c>
      <c r="R39" s="706">
        <v>4337.6000000000004</v>
      </c>
      <c r="S39" s="765">
        <f>IF((_xlfn.XLOOKUP(D39,RUC!$B$3:$B$119,RUC!$E$3:$E$119)+ROUNDDOWN(O39,1)*100)&lt;95,95,((_xlfn.XLOOKUP(D39,RUC!$B$3:$B$119,RUC!$E$3:$E$119)+ROUNDDOWN(O39,1)*100)))</f>
        <v>95</v>
      </c>
      <c r="U39" s="1146">
        <f>_xlfn.XLOOKUP(D39,RUC!$B$3:$B$123,RUC!$F$3:$F$123)</f>
        <v>100</v>
      </c>
      <c r="V39" s="715">
        <v>1.1023000000000001</v>
      </c>
      <c r="Y39">
        <f>_xlfn.XLOOKUP(D39,RUC!$B$3:$B$123,RUC!$G$3:$G$123)</f>
        <v>0</v>
      </c>
      <c r="Z39" s="143">
        <f>_xlfn.XLOOKUP(D39,RUC!$B$3:$B$123,RUC!$H$3:$H$123)</f>
        <v>30</v>
      </c>
      <c r="AA39" s="144">
        <f t="shared" si="4"/>
        <v>30</v>
      </c>
      <c r="AB39" s="145">
        <f t="shared" si="26"/>
        <v>551.66781644800005</v>
      </c>
      <c r="AC39" s="145">
        <f>+(S39-T39)*V39-'data 1'!$F$4</f>
        <v>24.718500000000006</v>
      </c>
      <c r="AD39" s="145">
        <f t="shared" si="6"/>
        <v>10.214308539815995</v>
      </c>
      <c r="AE39" s="145">
        <f t="shared" si="7"/>
        <v>-36.930999999999997</v>
      </c>
      <c r="AF39" s="145">
        <f t="shared" si="8"/>
        <v>140.44288875962403</v>
      </c>
      <c r="AG39" s="772">
        <f>AC39+AD39+AE39+AF39+70-10</f>
        <v>198.44469729944004</v>
      </c>
      <c r="AH39" s="1253">
        <f t="shared" si="10"/>
        <v>141.654</v>
      </c>
      <c r="AI39" s="1253">
        <f t="shared" si="11"/>
        <v>155.47499999999999</v>
      </c>
      <c r="AJ39" s="156">
        <f t="shared" si="12"/>
        <v>73.678665736283932</v>
      </c>
      <c r="AK39" s="156">
        <f t="shared" si="13"/>
        <v>116.48818529438741</v>
      </c>
      <c r="AM39" s="716">
        <f t="shared" si="14"/>
        <v>12698.841466816511</v>
      </c>
      <c r="AN39" s="716" t="str">
        <f>_xlfn.XLOOKUP(D39,RUC!$B$3:$B$578,RUC!$M$3:$M$578)</f>
        <v>Ronald Garibay</v>
      </c>
      <c r="AO39" s="1167" t="s">
        <v>2277</v>
      </c>
      <c r="AP39" t="s">
        <v>4068</v>
      </c>
      <c r="AQ39" t="s">
        <v>4069</v>
      </c>
    </row>
    <row r="40" spans="1:44" ht="15" customHeight="1">
      <c r="A40" s="747" t="s">
        <v>3915</v>
      </c>
      <c r="B40" s="1447">
        <v>46024</v>
      </c>
      <c r="C40" s="1447">
        <v>46011</v>
      </c>
      <c r="D40" t="s">
        <v>1967</v>
      </c>
      <c r="E40" s="762">
        <f>_xlfn.XLOOKUP(D40,RUC!$B$3:$B$123,RUC!$D$3:$D$123)</f>
        <v>20601769396</v>
      </c>
      <c r="G40" s="1082">
        <v>54</v>
      </c>
      <c r="H40" s="762" t="s">
        <v>108</v>
      </c>
      <c r="I40" s="703">
        <v>3.97</v>
      </c>
      <c r="J40" s="596">
        <v>2.15</v>
      </c>
      <c r="K40" s="703">
        <f t="shared" si="0"/>
        <v>3.8849999999999998</v>
      </c>
      <c r="L40" s="1192">
        <v>0.14599999999999999</v>
      </c>
      <c r="M40" s="994">
        <f t="shared" si="1"/>
        <v>0.128</v>
      </c>
      <c r="N40" s="1444">
        <v>0.188</v>
      </c>
      <c r="O40" s="645">
        <f t="shared" si="3"/>
        <v>0.158</v>
      </c>
      <c r="P40" s="727">
        <v>80</v>
      </c>
      <c r="Q40" s="1476">
        <v>84.25</v>
      </c>
      <c r="R40" s="706">
        <v>4337.6000000000004</v>
      </c>
      <c r="S40" s="765">
        <f>IF((_xlfn.XLOOKUP(D40,RUC!$B$3:$B$119,RUC!$E$3:$E$119)+ROUNDDOWN(O40,1)*100)&lt;95,95,((_xlfn.XLOOKUP(D40,RUC!$B$3:$B$119,RUC!$E$3:$E$119)+ROUNDDOWN(O40,1)*100)))</f>
        <v>100</v>
      </c>
      <c r="U40" s="1146">
        <f>_xlfn.XLOOKUP(D40,RUC!$B$3:$B$123,RUC!$F$3:$F$123)</f>
        <v>120</v>
      </c>
      <c r="V40" s="715">
        <v>1.1023000000000001</v>
      </c>
      <c r="Y40" s="1445">
        <v>50</v>
      </c>
      <c r="Z40" s="1454">
        <v>40</v>
      </c>
      <c r="AA40" s="144">
        <f t="shared" si="4"/>
        <v>90</v>
      </c>
      <c r="AB40" s="145">
        <f t="shared" si="26"/>
        <v>378.20424467200002</v>
      </c>
      <c r="AC40" s="145">
        <f>+(S40-T40)*V40-'data 1'!$F$4</f>
        <v>30.230000000000004</v>
      </c>
      <c r="AD40" s="145">
        <f t="shared" si="6"/>
        <v>28.847420278400005</v>
      </c>
      <c r="AE40" s="145">
        <f t="shared" si="7"/>
        <v>29.207000000000001</v>
      </c>
      <c r="AF40" s="145">
        <f t="shared" si="8"/>
        <v>-47.002001452800052</v>
      </c>
      <c r="AG40" s="772">
        <f t="shared" ref="AG40:AG51" si="28">AC40+AD40+AE40+AF40+70-53</f>
        <v>58.282418825599962</v>
      </c>
      <c r="AH40" s="1253">
        <f t="shared" si="10"/>
        <v>16.384</v>
      </c>
      <c r="AI40" s="1253">
        <f t="shared" si="11"/>
        <v>19.446999999999999</v>
      </c>
      <c r="AJ40" s="156">
        <f t="shared" si="12"/>
        <v>53.204892672599954</v>
      </c>
      <c r="AK40" s="156">
        <f t="shared" si="13"/>
        <v>16.836319797385201</v>
      </c>
      <c r="AM40" s="716">
        <f t="shared" si="14"/>
        <v>1469.32349055072</v>
      </c>
      <c r="AN40" s="716" t="str">
        <f>_xlfn.XLOOKUP(D40,RUC!$B$3:$B$578,RUC!$M$3:$M$578)</f>
        <v>Evelyn</v>
      </c>
      <c r="AO40" s="1167" t="s">
        <v>2280</v>
      </c>
      <c r="AP40" t="s">
        <v>3950</v>
      </c>
      <c r="AQ40" t="s">
        <v>3951</v>
      </c>
    </row>
    <row r="41" spans="1:44" ht="15" customHeight="1">
      <c r="A41" s="747" t="s">
        <v>3916</v>
      </c>
      <c r="B41" s="1447">
        <v>46024</v>
      </c>
      <c r="C41" s="1447">
        <v>46011</v>
      </c>
      <c r="D41" t="s">
        <v>1967</v>
      </c>
      <c r="E41" s="762">
        <f>_xlfn.XLOOKUP(D41,RUC!$B$3:$B$123,RUC!$D$3:$D$123)</f>
        <v>20601769396</v>
      </c>
      <c r="G41" s="1082">
        <v>54</v>
      </c>
      <c r="H41" s="762" t="s">
        <v>108</v>
      </c>
      <c r="I41" s="703">
        <v>3.96</v>
      </c>
      <c r="J41" s="596">
        <v>3.75</v>
      </c>
      <c r="K41" s="703">
        <f t="shared" si="0"/>
        <v>3.8119999999999998</v>
      </c>
      <c r="L41" s="1192">
        <v>0.214</v>
      </c>
      <c r="M41" s="994">
        <f t="shared" si="1"/>
        <v>0.19600000000000001</v>
      </c>
      <c r="N41" s="1444">
        <v>0.26400000000000001</v>
      </c>
      <c r="O41" s="645">
        <f t="shared" si="3"/>
        <v>0.23</v>
      </c>
      <c r="P41" s="727">
        <v>90</v>
      </c>
      <c r="Q41" s="1476">
        <v>90.65</v>
      </c>
      <c r="R41" s="706">
        <v>4337.6000000000004</v>
      </c>
      <c r="S41" s="765">
        <f>IF((_xlfn.XLOOKUP(D41,RUC!$B$3:$B$119,RUC!$E$3:$E$119)+ROUNDDOWN(O41,1)*100)&lt;95,95,((_xlfn.XLOOKUP(D41,RUC!$B$3:$B$119,RUC!$E$3:$E$119)+ROUNDDOWN(O41,1)*100)))</f>
        <v>110</v>
      </c>
      <c r="U41" s="1146">
        <f>_xlfn.XLOOKUP(D41,RUC!$B$3:$B$123,RUC!$F$3:$F$123)</f>
        <v>120</v>
      </c>
      <c r="V41" s="715">
        <v>1.1023000000000001</v>
      </c>
      <c r="Y41" s="1445">
        <v>50</v>
      </c>
      <c r="Z41" s="1454">
        <v>40</v>
      </c>
      <c r="AA41" s="144">
        <f t="shared" si="4"/>
        <v>90</v>
      </c>
      <c r="AB41" s="145">
        <f t="shared" si="26"/>
        <v>741.89551936000009</v>
      </c>
      <c r="AC41" s="145">
        <f>+(S41-T41)*V41-'data 1'!$F$4</f>
        <v>41.253</v>
      </c>
      <c r="AD41" s="145">
        <f t="shared" si="6"/>
        <v>6.4668431276800575</v>
      </c>
      <c r="AE41" s="145">
        <f t="shared" si="7"/>
        <v>29.207000000000001</v>
      </c>
      <c r="AF41" s="145">
        <f t="shared" si="8"/>
        <v>-67.429973201920077</v>
      </c>
      <c r="AG41" s="772">
        <f t="shared" si="28"/>
        <v>26.496869925759981</v>
      </c>
      <c r="AH41" s="1253">
        <f t="shared" si="10"/>
        <v>25.353999999999999</v>
      </c>
      <c r="AI41" s="1253">
        <f t="shared" si="11"/>
        <v>27.969000000000001</v>
      </c>
      <c r="AJ41" s="156">
        <f t="shared" si="12"/>
        <v>83.909355997319921</v>
      </c>
      <c r="AK41" s="156">
        <f t="shared" si="13"/>
        <v>27.054051144046198</v>
      </c>
      <c r="AM41" s="716">
        <f t="shared" si="14"/>
        <v>2828.1057198003205</v>
      </c>
      <c r="AN41" s="716" t="str">
        <f>_xlfn.XLOOKUP(D41,RUC!$B$3:$B$578,RUC!$M$3:$M$578)</f>
        <v>Evelyn</v>
      </c>
      <c r="AO41" s="1167" t="s">
        <v>2280</v>
      </c>
      <c r="AP41" t="s">
        <v>3950</v>
      </c>
      <c r="AQ41" t="s">
        <v>3951</v>
      </c>
    </row>
    <row r="42" spans="1:44" ht="15" customHeight="1">
      <c r="A42" s="747" t="s">
        <v>3917</v>
      </c>
      <c r="B42" s="1447">
        <v>46018</v>
      </c>
      <c r="C42" s="1447">
        <v>46011</v>
      </c>
      <c r="D42" t="s">
        <v>1967</v>
      </c>
      <c r="E42" s="762">
        <f>_xlfn.XLOOKUP(D42,RUC!$B$3:$B$123,RUC!$D$3:$D$123)</f>
        <v>20601769396</v>
      </c>
      <c r="G42" s="1082">
        <v>50</v>
      </c>
      <c r="H42" s="762" t="s">
        <v>2005</v>
      </c>
      <c r="I42" s="703">
        <v>3.38</v>
      </c>
      <c r="J42" s="596">
        <v>13.7</v>
      </c>
      <c r="K42" s="703">
        <f t="shared" si="0"/>
        <v>2.9169999999999998</v>
      </c>
      <c r="L42" s="1192">
        <v>0.26</v>
      </c>
      <c r="M42" s="994">
        <f>ROUND(+IF(AN42="Melchor Vera",IF(L42&gt;0.467,L42*0.985,(L42-0.007)),IF(L42&gt;0.3,L42*0.94,(L42-0.019))),3)</f>
        <v>0.24099999999999999</v>
      </c>
      <c r="N42" s="1196">
        <f t="shared" ref="N42:N46" si="29">+M42</f>
        <v>0.24099999999999999</v>
      </c>
      <c r="O42" s="645">
        <f t="shared" si="3"/>
        <v>0.24099999999999999</v>
      </c>
      <c r="P42" s="727">
        <v>90</v>
      </c>
      <c r="Q42" s="1476">
        <v>93.85</v>
      </c>
      <c r="R42" s="706">
        <v>4337.6000000000004</v>
      </c>
      <c r="S42" s="765">
        <f>IF((_xlfn.XLOOKUP(D42,RUC!$B$3:$B$119,RUC!$E$3:$E$119)+ROUNDDOWN(O42,1)*100)&lt;95,95,((_xlfn.XLOOKUP(D42,RUC!$B$3:$B$119,RUC!$E$3:$E$119)+ROUNDDOWN(O42,1)*100)))</f>
        <v>110</v>
      </c>
      <c r="U42" s="1146">
        <f>_xlfn.XLOOKUP(D42,RUC!$B$3:$B$123,RUC!$F$3:$F$123)</f>
        <v>120</v>
      </c>
      <c r="V42" s="715">
        <v>1.1023000000000001</v>
      </c>
      <c r="Y42" s="1445">
        <v>30</v>
      </c>
      <c r="Z42" s="1454">
        <v>40</v>
      </c>
      <c r="AA42" s="144">
        <f t="shared" si="4"/>
        <v>70</v>
      </c>
      <c r="AB42" s="145">
        <f t="shared" si="26"/>
        <v>809.96721811199995</v>
      </c>
      <c r="AC42" s="145">
        <f>+(S42-T42)*V42-'data 1'!$F$4</f>
        <v>41.253</v>
      </c>
      <c r="AD42" s="145">
        <f t="shared" si="6"/>
        <v>46.537095404799942</v>
      </c>
      <c r="AE42" s="145">
        <f t="shared" si="7"/>
        <v>7.1610000000000014</v>
      </c>
      <c r="AF42" s="145">
        <f t="shared" si="8"/>
        <v>82.899721949120078</v>
      </c>
      <c r="AG42" s="772">
        <f t="shared" si="28"/>
        <v>194.85081735392004</v>
      </c>
      <c r="AH42" s="1253">
        <f t="shared" si="10"/>
        <v>24.404</v>
      </c>
      <c r="AI42" s="1253">
        <f t="shared" si="11"/>
        <v>26.003</v>
      </c>
      <c r="AJ42" s="156">
        <f t="shared" si="12"/>
        <v>105.54470030519991</v>
      </c>
      <c r="AK42" s="156">
        <f t="shared" si="13"/>
        <v>21.692272448687262</v>
      </c>
      <c r="AM42" s="716">
        <f t="shared" si="14"/>
        <v>2362.6743752327038</v>
      </c>
      <c r="AN42" s="716" t="str">
        <f>_xlfn.XLOOKUP(D42,RUC!$B$3:$B$578,RUC!$M$3:$M$578)</f>
        <v>Evelyn</v>
      </c>
      <c r="AO42" s="1167" t="s">
        <v>2277</v>
      </c>
      <c r="AP42" t="s">
        <v>3950</v>
      </c>
      <c r="AQ42" t="s">
        <v>3951</v>
      </c>
    </row>
    <row r="43" spans="1:44" ht="15" customHeight="1">
      <c r="A43" s="747" t="s">
        <v>3918</v>
      </c>
      <c r="B43" s="1447">
        <v>46018</v>
      </c>
      <c r="C43" s="1447">
        <v>46011</v>
      </c>
      <c r="D43" t="s">
        <v>1967</v>
      </c>
      <c r="E43" s="762">
        <f>_xlfn.XLOOKUP(D43,RUC!$B$3:$B$123,RUC!$D$3:$D$123)</f>
        <v>20601769396</v>
      </c>
      <c r="G43" s="1082">
        <v>52</v>
      </c>
      <c r="H43" s="762" t="s">
        <v>2005</v>
      </c>
      <c r="I43" s="703">
        <v>3.55</v>
      </c>
      <c r="J43" s="596">
        <v>9.6999999999999993</v>
      </c>
      <c r="K43" s="703">
        <f t="shared" si="0"/>
        <v>3.206</v>
      </c>
      <c r="L43" s="1192">
        <v>0.245</v>
      </c>
      <c r="M43" s="994">
        <f t="shared" ref="M43:M45" si="30">ROUND(+IF(AN43="Melchor Vera",IF(L43&gt;0.467,L43*0.985,(L43-0.007)),IF(L43&gt;0.3,L43*0.94,(L43-0.019))),3)</f>
        <v>0.22600000000000001</v>
      </c>
      <c r="N43" s="1196">
        <f t="shared" si="29"/>
        <v>0.22600000000000001</v>
      </c>
      <c r="O43" s="645">
        <f t="shared" si="3"/>
        <v>0.22600000000000001</v>
      </c>
      <c r="P43" s="727">
        <v>90</v>
      </c>
      <c r="Q43" s="1476">
        <v>95.1</v>
      </c>
      <c r="R43" s="706">
        <v>4337.6000000000004</v>
      </c>
      <c r="S43" s="765">
        <f>IF((_xlfn.XLOOKUP(D43,RUC!$B$3:$B$119,RUC!$E$3:$E$119)+ROUNDDOWN(O43,1)*100)&lt;95,95,((_xlfn.XLOOKUP(D43,RUC!$B$3:$B$119,RUC!$E$3:$E$119)+ROUNDDOWN(O43,1)*100)))</f>
        <v>110</v>
      </c>
      <c r="U43" s="1146">
        <f>_xlfn.XLOOKUP(D43,RUC!$B$3:$B$123,RUC!$F$3:$F$123)</f>
        <v>120</v>
      </c>
      <c r="V43" s="715">
        <v>1.1023000000000001</v>
      </c>
      <c r="Y43" s="1445">
        <v>30</v>
      </c>
      <c r="Z43" s="1454">
        <v>40</v>
      </c>
      <c r="AA43" s="144">
        <f t="shared" si="4"/>
        <v>70</v>
      </c>
      <c r="AB43" s="145">
        <f t="shared" si="26"/>
        <v>747.20490163200009</v>
      </c>
      <c r="AC43" s="145">
        <f>+(S43-T43)*V43-'data 1'!$F$4</f>
        <v>41.253</v>
      </c>
      <c r="AD43" s="145">
        <f t="shared" si="6"/>
        <v>58.090010697599944</v>
      </c>
      <c r="AE43" s="145">
        <f t="shared" si="7"/>
        <v>7.1610000000000014</v>
      </c>
      <c r="AF43" s="145">
        <f t="shared" si="8"/>
        <v>84.003873813119952</v>
      </c>
      <c r="AG43" s="772">
        <f t="shared" si="28"/>
        <v>207.50788451071992</v>
      </c>
      <c r="AH43" s="1253">
        <f t="shared" si="10"/>
        <v>25.611000000000001</v>
      </c>
      <c r="AI43" s="1253">
        <f t="shared" si="11"/>
        <v>26.93</v>
      </c>
      <c r="AJ43" s="156">
        <f t="shared" si="12"/>
        <v>100.78024444739991</v>
      </c>
      <c r="AK43" s="156">
        <f t="shared" si="13"/>
        <v>22.35751526156022</v>
      </c>
      <c r="AM43" s="716">
        <f t="shared" si="14"/>
        <v>2395.5389146321922</v>
      </c>
      <c r="AN43" s="716" t="str">
        <f>_xlfn.XLOOKUP(D43,RUC!$B$3:$B$578,RUC!$M$3:$M$578)</f>
        <v>Evelyn</v>
      </c>
      <c r="AO43" s="1167" t="s">
        <v>2277</v>
      </c>
      <c r="AP43" t="s">
        <v>3950</v>
      </c>
      <c r="AQ43" t="s">
        <v>3951</v>
      </c>
    </row>
    <row r="44" spans="1:44" ht="15" customHeight="1">
      <c r="A44" s="747" t="s">
        <v>3919</v>
      </c>
      <c r="B44" s="1447">
        <v>46018</v>
      </c>
      <c r="C44" s="1447">
        <v>46011</v>
      </c>
      <c r="D44" t="s">
        <v>1967</v>
      </c>
      <c r="E44" s="762">
        <f>_xlfn.XLOOKUP(D44,RUC!$B$3:$B$123,RUC!$D$3:$D$123)</f>
        <v>20601769396</v>
      </c>
      <c r="G44" s="1082">
        <v>52</v>
      </c>
      <c r="H44" s="762" t="s">
        <v>2005</v>
      </c>
      <c r="I44" s="703">
        <v>3.49</v>
      </c>
      <c r="J44" s="596">
        <v>12.68</v>
      </c>
      <c r="K44" s="703">
        <f t="shared" si="0"/>
        <v>3.0470000000000002</v>
      </c>
      <c r="L44" s="1192">
        <v>0.22600000000000001</v>
      </c>
      <c r="M44" s="994">
        <f t="shared" si="30"/>
        <v>0.20699999999999999</v>
      </c>
      <c r="N44" s="1196">
        <f t="shared" si="29"/>
        <v>0.20699999999999999</v>
      </c>
      <c r="O44" s="645">
        <f t="shared" si="3"/>
        <v>0.20699999999999999</v>
      </c>
      <c r="P44" s="727">
        <v>90</v>
      </c>
      <c r="Q44" s="1476">
        <v>94.69</v>
      </c>
      <c r="R44" s="706">
        <v>4337.6000000000004</v>
      </c>
      <c r="S44" s="765">
        <f>IF((_xlfn.XLOOKUP(D44,RUC!$B$3:$B$119,RUC!$E$3:$E$119)+ROUNDDOWN(O44,1)*100)&lt;95,95,((_xlfn.XLOOKUP(D44,RUC!$B$3:$B$119,RUC!$E$3:$E$119)+ROUNDDOWN(O44,1)*100)))</f>
        <v>110</v>
      </c>
      <c r="U44" s="1146">
        <f>_xlfn.XLOOKUP(D44,RUC!$B$3:$B$123,RUC!$F$3:$F$123)</f>
        <v>120</v>
      </c>
      <c r="V44" s="715">
        <v>1.1023000000000001</v>
      </c>
      <c r="Y44" s="1445">
        <v>30</v>
      </c>
      <c r="Z44" s="1454">
        <v>40</v>
      </c>
      <c r="AA44" s="144">
        <f t="shared" si="4"/>
        <v>70</v>
      </c>
      <c r="AB44" s="145">
        <f t="shared" si="26"/>
        <v>667.70596742400016</v>
      </c>
      <c r="AC44" s="145">
        <f>+(S44-T44)*V44-'data 1'!$F$4</f>
        <v>41.253</v>
      </c>
      <c r="AD44" s="145">
        <f t="shared" si="6"/>
        <v>49.277251651711978</v>
      </c>
      <c r="AE44" s="145">
        <f t="shared" si="7"/>
        <v>7.1610000000000014</v>
      </c>
      <c r="AF44" s="145">
        <f t="shared" si="8"/>
        <v>83.641712001728081</v>
      </c>
      <c r="AG44" s="772">
        <f t="shared" si="28"/>
        <v>198.33296365344006</v>
      </c>
      <c r="AH44" s="1253">
        <f t="shared" si="10"/>
        <v>22.356000000000002</v>
      </c>
      <c r="AI44" s="1253">
        <f t="shared" si="11"/>
        <v>23.61</v>
      </c>
      <c r="AJ44" s="156">
        <f t="shared" si="12"/>
        <v>92.563839754487901</v>
      </c>
      <c r="AK44" s="156">
        <f t="shared" si="13"/>
        <v>19.46230966744961</v>
      </c>
      <c r="AM44" s="716">
        <f t="shared" si="14"/>
        <v>2034.5000827409285</v>
      </c>
      <c r="AN44" s="716" t="str">
        <f>_xlfn.XLOOKUP(D44,RUC!$B$3:$B$578,RUC!$M$3:$M$578)</f>
        <v>Evelyn</v>
      </c>
      <c r="AO44" s="1167" t="s">
        <v>2277</v>
      </c>
      <c r="AP44" t="s">
        <v>3950</v>
      </c>
      <c r="AQ44" t="s">
        <v>3951</v>
      </c>
    </row>
    <row r="45" spans="1:44" ht="15" customHeight="1">
      <c r="A45" s="747" t="s">
        <v>3920</v>
      </c>
      <c r="B45" s="1447">
        <v>46018</v>
      </c>
      <c r="C45" s="1447">
        <v>46011</v>
      </c>
      <c r="D45" t="s">
        <v>1967</v>
      </c>
      <c r="E45" s="762">
        <f>_xlfn.XLOOKUP(D45,RUC!$B$3:$B$123,RUC!$D$3:$D$123)</f>
        <v>20601769396</v>
      </c>
      <c r="G45" s="1082">
        <v>52</v>
      </c>
      <c r="H45" s="762" t="s">
        <v>2005</v>
      </c>
      <c r="I45" s="703">
        <v>3.5</v>
      </c>
      <c r="J45" s="596">
        <v>9.25</v>
      </c>
      <c r="K45" s="703">
        <f t="shared" si="0"/>
        <v>3.1760000000000002</v>
      </c>
      <c r="L45" s="1192">
        <v>0.28299999999999997</v>
      </c>
      <c r="M45" s="994">
        <f t="shared" si="30"/>
        <v>0.26400000000000001</v>
      </c>
      <c r="N45" s="1196">
        <f t="shared" si="29"/>
        <v>0.26400000000000001</v>
      </c>
      <c r="O45" s="645">
        <f t="shared" si="3"/>
        <v>0.26400000000000001</v>
      </c>
      <c r="P45" s="727">
        <v>90</v>
      </c>
      <c r="Q45" s="1476">
        <v>94.35</v>
      </c>
      <c r="R45" s="706">
        <v>4337.6000000000004</v>
      </c>
      <c r="S45" s="765">
        <f>IF((_xlfn.XLOOKUP(D45,RUC!$B$3:$B$119,RUC!$E$3:$E$119)+ROUNDDOWN(O45,1)*100)&lt;95,95,((_xlfn.XLOOKUP(D45,RUC!$B$3:$B$119,RUC!$E$3:$E$119)+ROUNDDOWN(O45,1)*100)))</f>
        <v>110</v>
      </c>
      <c r="U45" s="1146">
        <f>_xlfn.XLOOKUP(D45,RUC!$B$3:$B$123,RUC!$F$3:$F$123)</f>
        <v>120</v>
      </c>
      <c r="V45" s="715">
        <v>1.1023000000000001</v>
      </c>
      <c r="Y45" s="1445">
        <v>30</v>
      </c>
      <c r="Z45" s="1454">
        <v>40</v>
      </c>
      <c r="AA45" s="144">
        <f t="shared" si="4"/>
        <v>70</v>
      </c>
      <c r="AB45" s="145">
        <f t="shared" si="26"/>
        <v>906.20277004800027</v>
      </c>
      <c r="AC45" s="145">
        <f>+(S45-T45)*V45-'data 1'!$F$4</f>
        <v>41.253</v>
      </c>
      <c r="AD45" s="145">
        <f t="shared" si="6"/>
        <v>57.232259039039917</v>
      </c>
      <c r="AE45" s="145">
        <f t="shared" si="7"/>
        <v>7.1610000000000014</v>
      </c>
      <c r="AF45" s="145">
        <f t="shared" si="8"/>
        <v>83.341382694719826</v>
      </c>
      <c r="AG45" s="772">
        <f t="shared" si="28"/>
        <v>205.98764173375974</v>
      </c>
      <c r="AH45" s="1253">
        <f t="shared" si="10"/>
        <v>29.074999999999999</v>
      </c>
      <c r="AI45" s="1253">
        <f t="shared" si="11"/>
        <v>30.815999999999999</v>
      </c>
      <c r="AJ45" s="156">
        <f t="shared" si="12"/>
        <v>115.49339453645989</v>
      </c>
      <c r="AK45" s="156">
        <f t="shared" si="13"/>
        <v>25.872357245359684</v>
      </c>
      <c r="AM45" s="716">
        <f t="shared" si="14"/>
        <v>2878.0999976724488</v>
      </c>
      <c r="AN45" s="716" t="str">
        <f>_xlfn.XLOOKUP(D45,RUC!$B$3:$B$578,RUC!$M$3:$M$578)</f>
        <v>Evelyn</v>
      </c>
      <c r="AO45" s="1167" t="s">
        <v>2277</v>
      </c>
      <c r="AP45" t="s">
        <v>3950</v>
      </c>
      <c r="AQ45" t="s">
        <v>3951</v>
      </c>
    </row>
    <row r="46" spans="1:44" ht="15" customHeight="1">
      <c r="A46" s="747" t="s">
        <v>3924</v>
      </c>
      <c r="B46" s="1447">
        <v>46028</v>
      </c>
      <c r="C46" s="1447">
        <v>46012</v>
      </c>
      <c r="D46" t="s">
        <v>93</v>
      </c>
      <c r="E46" s="762">
        <f>_xlfn.XLOOKUP(D46,RUC!$B$3:$B$123,RUC!$D$3:$D$123)</f>
        <v>20169040231</v>
      </c>
      <c r="G46" s="1082">
        <v>52</v>
      </c>
      <c r="H46" s="762" t="s">
        <v>69</v>
      </c>
      <c r="I46" s="703">
        <v>4.63</v>
      </c>
      <c r="J46" s="596">
        <v>1.2</v>
      </c>
      <c r="K46" s="703">
        <f t="shared" si="0"/>
        <v>4.5739999999999998</v>
      </c>
      <c r="L46" s="1192">
        <v>0.51800000000000002</v>
      </c>
      <c r="M46" s="994">
        <f t="shared" ref="M46" si="31">ROUND(+IF(AN46="Melchor Vera",IF(L46&gt;0.467,L46*0.985,(L46-0.007)),IF(L46&gt;0.3,L46*0.94,(L46-0.018))),3)</f>
        <v>0.48699999999999999</v>
      </c>
      <c r="N46" s="1196">
        <f t="shared" si="29"/>
        <v>0.48699999999999999</v>
      </c>
      <c r="O46" s="645">
        <f t="shared" si="3"/>
        <v>0.48699999999999999</v>
      </c>
      <c r="P46" s="727">
        <v>90</v>
      </c>
      <c r="Q46" s="1476">
        <v>95.72</v>
      </c>
      <c r="R46" s="1620">
        <v>4421.6499999999996</v>
      </c>
      <c r="S46" s="765">
        <f>IF((_xlfn.XLOOKUP(D46,RUC!$B$3:$B$119,RUC!$E$3:$E$119)+ROUNDDOWN(O46,1)*100)&lt;95,95,((_xlfn.XLOOKUP(D46,RUC!$B$3:$B$119,RUC!$E$3:$E$119)+ROUNDDOWN(O46,1)*100)))</f>
        <v>125</v>
      </c>
      <c r="U46" s="1146">
        <f>_xlfn.XLOOKUP(D46,RUC!$B$3:$B$123,RUC!$F$3:$F$123)</f>
        <v>120</v>
      </c>
      <c r="V46" s="715">
        <v>1.1023000000000001</v>
      </c>
      <c r="Y46" s="1445">
        <v>45</v>
      </c>
      <c r="Z46" s="1454">
        <v>38</v>
      </c>
      <c r="AA46" s="144">
        <f t="shared" si="4"/>
        <v>83</v>
      </c>
      <c r="AB46" s="145">
        <f t="shared" si="26"/>
        <v>1849.0125648485</v>
      </c>
      <c r="AC46" s="145">
        <f>+(S46-T46)*V46-'data 1'!$F$4</f>
        <v>57.787499999999994</v>
      </c>
      <c r="AD46" s="145">
        <f t="shared" si="6"/>
        <v>140.49493491233198</v>
      </c>
      <c r="AE46" s="145">
        <f t="shared" si="7"/>
        <v>21.490900000000003</v>
      </c>
      <c r="AF46" s="145">
        <f t="shared" si="8"/>
        <v>140.70167341579409</v>
      </c>
      <c r="AG46" s="772">
        <f t="shared" si="28"/>
        <v>377.47500832812608</v>
      </c>
      <c r="AH46" s="1253">
        <f t="shared" si="10"/>
        <v>77.757000000000005</v>
      </c>
      <c r="AI46" s="1253">
        <f t="shared" si="11"/>
        <v>81.233000000000004</v>
      </c>
      <c r="AJ46" s="156">
        <f t="shared" si="12"/>
        <v>168.52960770746824</v>
      </c>
      <c r="AK46" s="156">
        <f t="shared" si="13"/>
        <v>68.734804253508798</v>
      </c>
      <c r="AM46" s="716">
        <f t="shared" si="14"/>
        <v>8457.3834716170386</v>
      </c>
      <c r="AN46" s="716" t="str">
        <f>_xlfn.XLOOKUP(D46,RUC!$B$3:$B$578,RUC!$M$3:$M$578)</f>
        <v>Ronald Miranda</v>
      </c>
      <c r="AO46" s="1167" t="s">
        <v>2280</v>
      </c>
      <c r="AP46" t="s">
        <v>3953</v>
      </c>
      <c r="AQ46" t="s">
        <v>3954</v>
      </c>
    </row>
    <row r="47" spans="1:44" ht="15" customHeight="1">
      <c r="A47" s="747" t="s">
        <v>3929</v>
      </c>
      <c r="B47" s="1447">
        <v>46021</v>
      </c>
      <c r="C47" s="1447">
        <v>46012</v>
      </c>
      <c r="D47" t="s">
        <v>93</v>
      </c>
      <c r="E47" s="762">
        <f>_xlfn.XLOOKUP(D47,RUC!$B$3:$B$123,RUC!$D$3:$D$123)</f>
        <v>20169040231</v>
      </c>
      <c r="G47" s="1082">
        <v>59</v>
      </c>
      <c r="H47" s="762" t="s">
        <v>69</v>
      </c>
      <c r="I47" s="703">
        <v>5.63</v>
      </c>
      <c r="J47" s="596">
        <v>5</v>
      </c>
      <c r="K47" s="703">
        <f t="shared" ref="K47:K79" si="32">ROUND(+I47-(I47*(J47/100)),3)</f>
        <v>5.3490000000000002</v>
      </c>
      <c r="L47" s="1192">
        <v>0.316</v>
      </c>
      <c r="M47" s="994">
        <f t="shared" ref="M47" si="33">ROUND(+IF(AN47="Melchor Vera",IF(L47&gt;0.467,L47*0.985,(L47-0.007)),IF(L47&gt;0.3,L47*0.94,(L47-0.018))),3)</f>
        <v>0.29699999999999999</v>
      </c>
      <c r="N47" s="1196">
        <f t="shared" ref="N47" si="34">+M47</f>
        <v>0.29699999999999999</v>
      </c>
      <c r="O47" s="645">
        <f t="shared" ref="O47:O79" si="35">+ROUND((M47+N47)/2,3)</f>
        <v>0.29699999999999999</v>
      </c>
      <c r="P47" s="727">
        <v>90</v>
      </c>
      <c r="Q47" s="1476">
        <v>97.15</v>
      </c>
      <c r="R47" s="706">
        <v>4421.6499999999996</v>
      </c>
      <c r="S47" s="765">
        <f>IF((_xlfn.XLOOKUP(D47,RUC!$B$3:$B$119,RUC!$E$3:$E$119)+ROUNDDOWN(O47,1)*100)&lt;95,95,((_xlfn.XLOOKUP(D47,RUC!$B$3:$B$119,RUC!$E$3:$E$119)+ROUNDDOWN(O47,1)*100)))</f>
        <v>105</v>
      </c>
      <c r="U47" s="1146">
        <f>_xlfn.XLOOKUP(D47,RUC!$B$3:$B$123,RUC!$F$3:$F$123)</f>
        <v>120</v>
      </c>
      <c r="V47" s="715">
        <v>1.1023000000000001</v>
      </c>
      <c r="Y47" s="1445">
        <v>25</v>
      </c>
      <c r="Z47" s="1454">
        <v>38</v>
      </c>
      <c r="AA47" s="144">
        <f t="shared" ref="AA47:AA79" si="36">+Y47+Z47</f>
        <v>63</v>
      </c>
      <c r="AB47" s="145">
        <f t="shared" si="26"/>
        <v>1082.2723609034999</v>
      </c>
      <c r="AC47" s="145">
        <f>+(S47-T47)*V47-'data 1'!$F$4</f>
        <v>35.741500000000002</v>
      </c>
      <c r="AD47" s="145">
        <f t="shared" ref="AD47:AD79" si="37">+(Q47-P47)*(R47-U47)*L47*V47/100</f>
        <v>107.1341685142301</v>
      </c>
      <c r="AE47" s="145">
        <f t="shared" ref="AE47:AE51" si="38">+(Y47*V47-70)+V47*(Z47-IF(D47="UNTUCA",IF(+((W47-3)*2.5+(X47-3)*3.1)&gt;0,+((W47-3)*1.5+(X47-3)*3.1),0),IF(+((W47-3)*1.5+(X47-3)*3.1)&gt;0,+((W47-3)*1.5+(X47-3)*3.1),0)))</f>
        <v>-0.55509999999999593</v>
      </c>
      <c r="AF47" s="145">
        <f t="shared" ref="AF47:AF79" si="39">(L47-O47)*(R47-U47)*Q47*V47/100</f>
        <v>87.52483179250757</v>
      </c>
      <c r="AG47" s="772">
        <f t="shared" si="28"/>
        <v>246.8454003067377</v>
      </c>
      <c r="AH47" s="1253">
        <f t="shared" ref="AH47:AH79" si="40">ROUND((31.1035*L47*Q47*1.1023*K47/100),3)</f>
        <v>56.3</v>
      </c>
      <c r="AI47" s="1253">
        <f t="shared" ref="AI47:AI79" si="41">ROUND((31.1035*L47*1.1023*K47),3)</f>
        <v>57.951999999999998</v>
      </c>
      <c r="AJ47" s="156">
        <f t="shared" ref="AJ47:AJ79" si="42">+((+$AJ$2-R47+U47)*L47*Q47*V47)/100</f>
        <v>104.34548156977014</v>
      </c>
      <c r="AK47" s="156">
        <f t="shared" ref="AK47:AK79" si="43">31.1035*1.1023*K47*P47*O47/100</f>
        <v>49.020826123616978</v>
      </c>
      <c r="AM47" s="716">
        <f t="shared" ref="AM47:AM79" si="44">+IF(AB47*K47&gt;0,AB47*K47,0)</f>
        <v>5789.0748584728217</v>
      </c>
      <c r="AN47" s="716" t="str">
        <f>_xlfn.XLOOKUP(D47,RUC!$B$3:$B$578,RUC!$M$3:$M$578)</f>
        <v>Ronald Miranda</v>
      </c>
      <c r="AO47" s="1167" t="s">
        <v>2280</v>
      </c>
      <c r="AP47" t="s">
        <v>3953</v>
      </c>
      <c r="AQ47" t="s">
        <v>3954</v>
      </c>
    </row>
    <row r="48" spans="1:44" ht="15.75" customHeight="1">
      <c r="A48" s="747" t="s">
        <v>3930</v>
      </c>
      <c r="B48" s="1447">
        <v>46028</v>
      </c>
      <c r="C48" s="1447">
        <v>46012</v>
      </c>
      <c r="D48" t="s">
        <v>93</v>
      </c>
      <c r="E48" s="762">
        <f>_xlfn.XLOOKUP(D48,RUC!$B$3:$B$123,RUC!$D$3:$D$123)</f>
        <v>20169040231</v>
      </c>
      <c r="G48" s="1082">
        <v>78</v>
      </c>
      <c r="H48" s="762" t="s">
        <v>108</v>
      </c>
      <c r="I48" s="703">
        <v>6.63</v>
      </c>
      <c r="J48" s="596">
        <v>31.3</v>
      </c>
      <c r="K48" s="703">
        <f t="shared" si="32"/>
        <v>4.5549999999999997</v>
      </c>
      <c r="L48" s="1192">
        <v>0.86299999999999999</v>
      </c>
      <c r="M48" s="647">
        <v>0.81200000000000006</v>
      </c>
      <c r="N48" s="1444">
        <v>0.878</v>
      </c>
      <c r="O48" s="645">
        <f t="shared" si="35"/>
        <v>0.84499999999999997</v>
      </c>
      <c r="P48" s="727">
        <v>68</v>
      </c>
      <c r="Q48" s="1476">
        <v>68.98</v>
      </c>
      <c r="R48" s="706">
        <v>4421.6499999999996</v>
      </c>
      <c r="S48" s="765">
        <f>IF((_xlfn.XLOOKUP(D48,RUC!$B$3:$B$119,RUC!$E$3:$E$119)+ROUNDDOWN(O48,1)*100)&lt;95,95,((_xlfn.XLOOKUP(D48,RUC!$B$3:$B$119,RUC!$E$3:$E$119)+ROUNDDOWN(O48,1)*100)))</f>
        <v>165</v>
      </c>
      <c r="U48" s="1146">
        <f>_xlfn.XLOOKUP(D48,RUC!$B$3:$B$123,RUC!$F$3:$F$123)</f>
        <v>120</v>
      </c>
      <c r="V48" s="715">
        <v>1.1023000000000001</v>
      </c>
      <c r="Y48" s="1445">
        <v>35</v>
      </c>
      <c r="Z48" s="1454">
        <v>48</v>
      </c>
      <c r="AA48" s="144">
        <f t="shared" si="36"/>
        <v>83</v>
      </c>
      <c r="AB48" s="145">
        <f t="shared" si="26"/>
        <v>2451.2154736069997</v>
      </c>
      <c r="AC48" s="145">
        <f>+(S48-T48)*V48-'data 1'!$F$4</f>
        <v>101.87950000000001</v>
      </c>
      <c r="AD48" s="145">
        <f t="shared" si="37"/>
        <v>40.102527962833157</v>
      </c>
      <c r="AE48" s="145">
        <f t="shared" si="38"/>
        <v>21.490900000000003</v>
      </c>
      <c r="AF48" s="145">
        <f t="shared" si="39"/>
        <v>58.874953082238051</v>
      </c>
      <c r="AG48" s="772">
        <f t="shared" si="28"/>
        <v>239.34788104507123</v>
      </c>
      <c r="AH48" s="1253">
        <f t="shared" si="40"/>
        <v>92.968000000000004</v>
      </c>
      <c r="AI48" s="1253">
        <f t="shared" si="41"/>
        <v>134.77500000000001</v>
      </c>
      <c r="AJ48" s="156">
        <f t="shared" si="42"/>
        <v>202.33813651156728</v>
      </c>
      <c r="AK48" s="156">
        <f t="shared" si="43"/>
        <v>89.735248999429132</v>
      </c>
      <c r="AM48" s="716">
        <f t="shared" si="44"/>
        <v>11165.286482279884</v>
      </c>
      <c r="AN48" s="716" t="str">
        <f>_xlfn.XLOOKUP(D48,RUC!$B$3:$B$578,RUC!$M$3:$M$578)</f>
        <v>Ronald Miranda</v>
      </c>
      <c r="AO48" s="1167" t="s">
        <v>2280</v>
      </c>
      <c r="AP48" t="s">
        <v>3953</v>
      </c>
      <c r="AQ48" t="s">
        <v>3954</v>
      </c>
      <c r="AR48" s="1621" t="s">
        <v>4221</v>
      </c>
    </row>
    <row r="49" spans="1:43" ht="15" customHeight="1">
      <c r="A49" s="747" t="s">
        <v>3933</v>
      </c>
      <c r="B49" s="1447">
        <v>46024</v>
      </c>
      <c r="C49" s="1447">
        <v>46012</v>
      </c>
      <c r="D49" t="s">
        <v>1484</v>
      </c>
      <c r="E49" s="762">
        <f>_xlfn.XLOOKUP(D49,RUC!$B$3:$B$123,RUC!$D$3:$D$123)</f>
        <v>10761932735</v>
      </c>
      <c r="G49" s="1082">
        <v>15</v>
      </c>
      <c r="H49" s="762" t="s">
        <v>69</v>
      </c>
      <c r="I49" s="703">
        <v>1.2</v>
      </c>
      <c r="J49" s="596">
        <v>15.08</v>
      </c>
      <c r="K49" s="703">
        <f t="shared" si="32"/>
        <v>1.0189999999999999</v>
      </c>
      <c r="L49" s="1192">
        <v>0.187</v>
      </c>
      <c r="M49" s="994">
        <f>ROUND(+IF(AN49="Melchor Vera",IF(L49&gt;0.467,L49*0.985,(L49-0.007)),IF(L49&gt;0.3,L49*0.94,(L49-0.019))),3)</f>
        <v>0.16800000000000001</v>
      </c>
      <c r="N49" s="1196">
        <f t="shared" ref="N49:N68" si="45">+M49</f>
        <v>0.16800000000000001</v>
      </c>
      <c r="O49" s="645">
        <f t="shared" si="35"/>
        <v>0.16800000000000001</v>
      </c>
      <c r="P49" s="727">
        <v>90</v>
      </c>
      <c r="Q49" s="1476">
        <v>96.79</v>
      </c>
      <c r="R49" s="706">
        <v>4421.6499999999996</v>
      </c>
      <c r="S49" s="765">
        <f>IF((_xlfn.XLOOKUP(D49,RUC!$B$3:$B$119,RUC!$E$3:$E$119)+ROUNDDOWN(O49,1)*100)&lt;95,95,((_xlfn.XLOOKUP(D49,RUC!$B$3:$B$119,RUC!$E$3:$E$119)+ROUNDDOWN(O49,1)*100)))</f>
        <v>100</v>
      </c>
      <c r="U49" s="1146">
        <f>_xlfn.XLOOKUP(D49,RUC!$B$3:$B$123,RUC!$F$3:$F$123)</f>
        <v>120</v>
      </c>
      <c r="V49" s="715">
        <v>1.1023000000000001</v>
      </c>
      <c r="Y49">
        <f>_xlfn.XLOOKUP(D49,RUC!$B$3:$B$123,RUC!$G$3:$G$123)</f>
        <v>20</v>
      </c>
      <c r="Z49" s="143">
        <f>_xlfn.XLOOKUP(D49,RUC!$B$3:$B$123,RUC!$H$3:$H$123)</f>
        <v>30</v>
      </c>
      <c r="AA49" s="144">
        <f t="shared" si="36"/>
        <v>50</v>
      </c>
      <c r="AB49" s="145">
        <f t="shared" si="26"/>
        <v>551.60136980399989</v>
      </c>
      <c r="AC49" s="145">
        <f>+(S49-T49)*V49-'data 1'!$F$4</f>
        <v>30.230000000000004</v>
      </c>
      <c r="AD49" s="145">
        <f t="shared" si="37"/>
        <v>60.206899082753559</v>
      </c>
      <c r="AE49" s="145">
        <f t="shared" si="38"/>
        <v>-14.884999999999998</v>
      </c>
      <c r="AF49" s="145">
        <f t="shared" si="39"/>
        <v>87.200498910929454</v>
      </c>
      <c r="AG49" s="772">
        <f t="shared" si="28"/>
        <v>179.75239799368302</v>
      </c>
      <c r="AH49" s="1253">
        <f t="shared" si="40"/>
        <v>6.3230000000000004</v>
      </c>
      <c r="AI49" s="1253">
        <f t="shared" si="41"/>
        <v>6.5330000000000004</v>
      </c>
      <c r="AJ49" s="156">
        <f t="shared" si="42"/>
        <v>61.519933390646585</v>
      </c>
      <c r="AK49" s="156">
        <f t="shared" si="43"/>
        <v>5.2824457359500396</v>
      </c>
      <c r="AM49" s="716">
        <f t="shared" si="44"/>
        <v>562.08179583027584</v>
      </c>
      <c r="AN49" s="716" t="str">
        <f>_xlfn.XLOOKUP(D49,RUC!$B$3:$B$578,RUC!$M$3:$M$578)</f>
        <v>Richard Sapacayo</v>
      </c>
      <c r="AO49" s="1167" t="s">
        <v>2278</v>
      </c>
      <c r="AP49" t="s">
        <v>3955</v>
      </c>
      <c r="AQ49" t="s">
        <v>3956</v>
      </c>
    </row>
    <row r="50" spans="1:43" ht="15" customHeight="1">
      <c r="A50" s="747" t="s">
        <v>3934</v>
      </c>
      <c r="B50" s="1447">
        <v>46024</v>
      </c>
      <c r="C50" s="1447">
        <v>46012</v>
      </c>
      <c r="D50" t="s">
        <v>1484</v>
      </c>
      <c r="E50" s="762">
        <f>_xlfn.XLOOKUP(D50,RUC!$B$3:$B$123,RUC!$D$3:$D$123)</f>
        <v>10761932735</v>
      </c>
      <c r="G50" s="1082">
        <v>56</v>
      </c>
      <c r="H50" s="762" t="s">
        <v>69</v>
      </c>
      <c r="I50" s="703">
        <v>4.76</v>
      </c>
      <c r="J50" s="596">
        <v>9.4499999999999993</v>
      </c>
      <c r="K50" s="703">
        <f t="shared" si="32"/>
        <v>4.3099999999999996</v>
      </c>
      <c r="L50" s="1192">
        <v>0.24199999999999999</v>
      </c>
      <c r="M50" s="994">
        <f t="shared" ref="M50:M51" si="46">ROUND(+IF(AN50="Melchor Vera",IF(L50&gt;0.467,L50*0.985,(L50-0.007)),IF(L50&gt;0.3,L50*0.94,(L50-0.018))),3)</f>
        <v>0.224</v>
      </c>
      <c r="N50" s="1196">
        <f t="shared" si="45"/>
        <v>0.224</v>
      </c>
      <c r="O50" s="645">
        <f t="shared" si="35"/>
        <v>0.224</v>
      </c>
      <c r="P50" s="727">
        <v>88</v>
      </c>
      <c r="Q50" s="1476">
        <v>88.02</v>
      </c>
      <c r="R50" s="706">
        <v>4421.6499999999996</v>
      </c>
      <c r="S50" s="765">
        <f>IF((_xlfn.XLOOKUP(D50,RUC!$B$3:$B$119,RUC!$E$3:$E$119)+ROUNDDOWN(O50,1)*100)&lt;95,95,((_xlfn.XLOOKUP(D50,RUC!$B$3:$B$119,RUC!$E$3:$E$119)+ROUNDDOWN(O50,1)*100)))</f>
        <v>110</v>
      </c>
      <c r="U50" s="1146">
        <f>_xlfn.XLOOKUP(D50,RUC!$B$3:$B$123,RUC!$F$3:$F$123)</f>
        <v>120</v>
      </c>
      <c r="V50" s="715">
        <v>1.1023000000000001</v>
      </c>
      <c r="Y50">
        <f>_xlfn.XLOOKUP(D50,RUC!$B$3:$B$123,RUC!$G$3:$G$123)</f>
        <v>20</v>
      </c>
      <c r="Z50" s="143">
        <f>_xlfn.XLOOKUP(D50,RUC!$B$3:$B$123,RUC!$H$3:$H$123)</f>
        <v>30</v>
      </c>
      <c r="AA50" s="144">
        <f t="shared" si="36"/>
        <v>50</v>
      </c>
      <c r="AB50" s="145">
        <f t="shared" si="26"/>
        <v>758.3176376703999</v>
      </c>
      <c r="AC50" s="145">
        <f>+(S50-T50)*V50-'data 1'!$F$4</f>
        <v>41.253</v>
      </c>
      <c r="AD50" s="145">
        <f t="shared" si="37"/>
        <v>0.22949870567795433</v>
      </c>
      <c r="AE50" s="145">
        <f t="shared" si="38"/>
        <v>-14.884999999999998</v>
      </c>
      <c r="AF50" s="145">
        <f t="shared" si="39"/>
        <v>75.125737464461949</v>
      </c>
      <c r="AG50" s="772">
        <f t="shared" si="28"/>
        <v>118.7232361701399</v>
      </c>
      <c r="AH50" s="1253">
        <f t="shared" si="40"/>
        <v>31.475999999999999</v>
      </c>
      <c r="AI50" s="1253">
        <f t="shared" si="41"/>
        <v>35.76</v>
      </c>
      <c r="AJ50" s="156">
        <f t="shared" si="42"/>
        <v>72.400320776322076</v>
      </c>
      <c r="AK50" s="156">
        <f t="shared" si="43"/>
        <v>29.128426834312958</v>
      </c>
      <c r="AM50" s="716">
        <f t="shared" si="44"/>
        <v>3268.3490183594231</v>
      </c>
      <c r="AN50" s="716" t="str">
        <f>_xlfn.XLOOKUP(D50,RUC!$B$3:$B$578,RUC!$M$3:$M$578)</f>
        <v>Richard Sapacayo</v>
      </c>
      <c r="AO50" s="1167" t="s">
        <v>2278</v>
      </c>
      <c r="AP50" t="s">
        <v>3955</v>
      </c>
      <c r="AQ50" t="s">
        <v>3956</v>
      </c>
    </row>
    <row r="51" spans="1:43" ht="15" customHeight="1">
      <c r="A51" s="747" t="s">
        <v>3936</v>
      </c>
      <c r="B51" s="1447">
        <v>46024</v>
      </c>
      <c r="C51" s="1447">
        <v>46012</v>
      </c>
      <c r="D51" t="s">
        <v>1484</v>
      </c>
      <c r="E51" s="762">
        <f>_xlfn.XLOOKUP(D51,RUC!$B$3:$B$123,RUC!$D$3:$D$123)</f>
        <v>10761932735</v>
      </c>
      <c r="G51" s="1082">
        <v>33</v>
      </c>
      <c r="H51" s="762" t="s">
        <v>69</v>
      </c>
      <c r="I51" s="703">
        <v>2.8</v>
      </c>
      <c r="J51" s="596">
        <v>15.55</v>
      </c>
      <c r="K51" s="703">
        <f t="shared" si="32"/>
        <v>2.3650000000000002</v>
      </c>
      <c r="L51" s="1192">
        <v>0.441</v>
      </c>
      <c r="M51" s="994">
        <f t="shared" si="46"/>
        <v>0.41499999999999998</v>
      </c>
      <c r="N51" s="1196">
        <f t="shared" si="45"/>
        <v>0.41499999999999998</v>
      </c>
      <c r="O51" s="645">
        <f t="shared" si="35"/>
        <v>0.41499999999999998</v>
      </c>
      <c r="P51" s="727">
        <v>87</v>
      </c>
      <c r="Q51" s="1476">
        <v>87.76</v>
      </c>
      <c r="R51" s="706">
        <v>4421.6499999999996</v>
      </c>
      <c r="S51" s="765">
        <f>IF((_xlfn.XLOOKUP(D51,RUC!$B$3:$B$119,RUC!$E$3:$E$119)+ROUNDDOWN(O51,1)*100)&lt;95,95,((_xlfn.XLOOKUP(D51,RUC!$B$3:$B$119,RUC!$E$3:$E$119)+ROUNDDOWN(O51,1)*100)))</f>
        <v>130</v>
      </c>
      <c r="U51" s="1146">
        <f>_xlfn.XLOOKUP(D51,RUC!$B$3:$B$123,RUC!$F$3:$F$123)</f>
        <v>120</v>
      </c>
      <c r="V51" s="715">
        <v>1.1023000000000001</v>
      </c>
      <c r="Y51">
        <f>_xlfn.XLOOKUP(D51,RUC!$B$3:$B$123,RUC!$G$3:$G$123)</f>
        <v>20</v>
      </c>
      <c r="Z51" s="143">
        <f>_xlfn.XLOOKUP(D51,RUC!$B$3:$B$123,RUC!$H$3:$H$123)</f>
        <v>30</v>
      </c>
      <c r="AA51" s="144">
        <f t="shared" si="36"/>
        <v>50</v>
      </c>
      <c r="AB51" s="145">
        <f t="shared" si="26"/>
        <v>1513.5799604347499</v>
      </c>
      <c r="AC51" s="145">
        <f>+(S51-T51)*V51-'data 1'!$F$4</f>
        <v>63.299000000000007</v>
      </c>
      <c r="AD51" s="145">
        <f t="shared" si="37"/>
        <v>15.892311197322107</v>
      </c>
      <c r="AE51" s="145">
        <f t="shared" si="38"/>
        <v>-14.884999999999998</v>
      </c>
      <c r="AF51" s="145">
        <f t="shared" si="39"/>
        <v>108.1944146007921</v>
      </c>
      <c r="AG51" s="772">
        <f t="shared" si="28"/>
        <v>189.50072579811422</v>
      </c>
      <c r="AH51" s="1253">
        <f t="shared" si="40"/>
        <v>31.382000000000001</v>
      </c>
      <c r="AI51" s="1253">
        <f t="shared" si="41"/>
        <v>35.758000000000003</v>
      </c>
      <c r="AJ51" s="156">
        <f t="shared" si="42"/>
        <v>131.54639904982818</v>
      </c>
      <c r="AK51" s="156">
        <f t="shared" si="43"/>
        <v>29.275718575645161</v>
      </c>
      <c r="AM51" s="716">
        <f t="shared" si="44"/>
        <v>3579.6166064281838</v>
      </c>
      <c r="AN51" s="716" t="str">
        <f>_xlfn.XLOOKUP(D51,RUC!$B$3:$B$578,RUC!$M$3:$M$578)</f>
        <v>Richard Sapacayo</v>
      </c>
      <c r="AO51" s="1167" t="s">
        <v>2278</v>
      </c>
      <c r="AP51" t="s">
        <v>3955</v>
      </c>
      <c r="AQ51" t="s">
        <v>3956</v>
      </c>
    </row>
    <row r="52" spans="1:43" ht="15" customHeight="1">
      <c r="A52" s="1593" t="s">
        <v>3939</v>
      </c>
      <c r="B52" s="1447">
        <v>46020</v>
      </c>
      <c r="C52" s="1447">
        <v>46012</v>
      </c>
      <c r="D52" t="s">
        <v>4024</v>
      </c>
      <c r="E52" s="762">
        <f>_xlfn.XLOOKUP(D52,RUC!$B$3:$B$123,RUC!$D$3:$D$123)</f>
        <v>20506072248</v>
      </c>
      <c r="G52" s="1082">
        <v>0</v>
      </c>
      <c r="H52" s="762" t="s">
        <v>69</v>
      </c>
      <c r="I52" s="703">
        <v>0</v>
      </c>
      <c r="J52" s="596">
        <v>0</v>
      </c>
      <c r="K52" s="703">
        <f t="shared" si="32"/>
        <v>0</v>
      </c>
      <c r="L52" s="1192">
        <v>0</v>
      </c>
      <c r="M52" s="994">
        <v>0</v>
      </c>
      <c r="N52" s="1196">
        <f t="shared" si="45"/>
        <v>0</v>
      </c>
      <c r="O52" s="645">
        <f t="shared" si="35"/>
        <v>0</v>
      </c>
      <c r="P52" s="727">
        <v>0</v>
      </c>
      <c r="Q52" s="1476">
        <v>0</v>
      </c>
      <c r="R52" s="706">
        <v>4421.6499999999996</v>
      </c>
      <c r="S52" s="1164">
        <v>0</v>
      </c>
      <c r="U52" s="1146">
        <v>0</v>
      </c>
      <c r="V52" s="715">
        <v>0</v>
      </c>
      <c r="Y52">
        <f>_xlfn.XLOOKUP(D52,RUC!$B$3:$B$123,RUC!$G$3:$G$123)</f>
        <v>0</v>
      </c>
      <c r="Z52" s="143">
        <v>0</v>
      </c>
      <c r="AA52" s="144">
        <f t="shared" si="36"/>
        <v>0</v>
      </c>
      <c r="AB52" s="145">
        <f t="shared" si="26"/>
        <v>0</v>
      </c>
      <c r="AC52" s="145">
        <v>0</v>
      </c>
      <c r="AD52" s="145">
        <f t="shared" si="37"/>
        <v>0</v>
      </c>
      <c r="AE52" s="145">
        <v>0</v>
      </c>
      <c r="AF52" s="145">
        <f t="shared" si="39"/>
        <v>0</v>
      </c>
      <c r="AG52" s="772">
        <f>AC52+AD52+AE52+AF52</f>
        <v>0</v>
      </c>
      <c r="AH52" s="1253">
        <f t="shared" si="40"/>
        <v>0</v>
      </c>
      <c r="AI52" s="1253">
        <f t="shared" si="41"/>
        <v>0</v>
      </c>
      <c r="AJ52" s="156">
        <f t="shared" si="42"/>
        <v>0</v>
      </c>
      <c r="AK52" s="156">
        <f t="shared" si="43"/>
        <v>0</v>
      </c>
      <c r="AM52" s="716">
        <f t="shared" si="44"/>
        <v>0</v>
      </c>
      <c r="AN52" s="716" t="str">
        <f>_xlfn.XLOOKUP(D52,RUC!$B$3:$B$578,RUC!$M$3:$M$578)</f>
        <v>Melchor Vera</v>
      </c>
      <c r="AO52" s="1167" t="s">
        <v>2282</v>
      </c>
      <c r="AP52" t="s">
        <v>4111</v>
      </c>
      <c r="AQ52" t="s">
        <v>4112</v>
      </c>
    </row>
    <row r="53" spans="1:43" ht="15" customHeight="1">
      <c r="A53" s="1593" t="s">
        <v>3940</v>
      </c>
      <c r="B53" s="1447">
        <v>46020</v>
      </c>
      <c r="C53" s="1447">
        <v>46012</v>
      </c>
      <c r="D53" t="s">
        <v>4024</v>
      </c>
      <c r="E53" s="762">
        <f>_xlfn.XLOOKUP(D53,RUC!$B$3:$B$123,RUC!$D$3:$D$123)</f>
        <v>20506072248</v>
      </c>
      <c r="G53" s="1082">
        <v>0</v>
      </c>
      <c r="H53" s="762" t="s">
        <v>69</v>
      </c>
      <c r="I53" s="703">
        <v>0</v>
      </c>
      <c r="J53" s="596">
        <v>0</v>
      </c>
      <c r="K53" s="703">
        <f t="shared" si="32"/>
        <v>0</v>
      </c>
      <c r="L53" s="1192">
        <v>0</v>
      </c>
      <c r="M53" s="994">
        <v>0</v>
      </c>
      <c r="N53" s="1196">
        <f t="shared" si="45"/>
        <v>0</v>
      </c>
      <c r="O53" s="645">
        <f t="shared" si="35"/>
        <v>0</v>
      </c>
      <c r="P53" s="727">
        <v>0</v>
      </c>
      <c r="Q53" s="1476">
        <v>0</v>
      </c>
      <c r="R53" s="706">
        <v>4421.6499999999996</v>
      </c>
      <c r="S53" s="1164">
        <v>0</v>
      </c>
      <c r="U53" s="1146">
        <v>0</v>
      </c>
      <c r="V53" s="715">
        <v>0</v>
      </c>
      <c r="Y53">
        <f>_xlfn.XLOOKUP(D53,RUC!$B$3:$B$123,RUC!$G$3:$G$123)</f>
        <v>0</v>
      </c>
      <c r="Z53" s="143">
        <v>0</v>
      </c>
      <c r="AA53" s="144">
        <f t="shared" si="36"/>
        <v>0</v>
      </c>
      <c r="AB53" s="145">
        <f t="shared" si="26"/>
        <v>0</v>
      </c>
      <c r="AC53" s="145">
        <v>0</v>
      </c>
      <c r="AD53" s="145">
        <f t="shared" si="37"/>
        <v>0</v>
      </c>
      <c r="AE53" s="145">
        <v>0</v>
      </c>
      <c r="AF53" s="145">
        <f t="shared" si="39"/>
        <v>0</v>
      </c>
      <c r="AG53" s="772">
        <f t="shared" ref="AG53:AG58" si="47">AC53+AD53+AE53+AF53</f>
        <v>0</v>
      </c>
      <c r="AH53" s="1253">
        <f t="shared" si="40"/>
        <v>0</v>
      </c>
      <c r="AI53" s="1253">
        <f t="shared" si="41"/>
        <v>0</v>
      </c>
      <c r="AJ53" s="156">
        <f t="shared" si="42"/>
        <v>0</v>
      </c>
      <c r="AK53" s="156">
        <f t="shared" si="43"/>
        <v>0</v>
      </c>
      <c r="AM53" s="716">
        <f t="shared" si="44"/>
        <v>0</v>
      </c>
      <c r="AN53" s="716" t="str">
        <f>_xlfn.XLOOKUP(D53,RUC!$B$3:$B$578,RUC!$M$3:$M$578)</f>
        <v>Melchor Vera</v>
      </c>
      <c r="AO53" s="1167" t="s">
        <v>2282</v>
      </c>
      <c r="AP53" t="s">
        <v>4111</v>
      </c>
      <c r="AQ53" t="s">
        <v>4112</v>
      </c>
    </row>
    <row r="54" spans="1:43" ht="15" customHeight="1">
      <c r="A54" s="1593" t="s">
        <v>3941</v>
      </c>
      <c r="B54" s="1447">
        <v>46020</v>
      </c>
      <c r="C54" s="1447">
        <v>46012</v>
      </c>
      <c r="D54" t="s">
        <v>4024</v>
      </c>
      <c r="E54" s="762">
        <f>_xlfn.XLOOKUP(D54,RUC!$B$3:$B$123,RUC!$D$3:$D$123)</f>
        <v>20506072248</v>
      </c>
      <c r="G54" s="1082">
        <v>0</v>
      </c>
      <c r="H54" s="762" t="s">
        <v>69</v>
      </c>
      <c r="I54" s="703">
        <v>0</v>
      </c>
      <c r="J54" s="596">
        <v>0</v>
      </c>
      <c r="K54" s="703">
        <f t="shared" si="32"/>
        <v>0</v>
      </c>
      <c r="L54" s="1192">
        <v>0</v>
      </c>
      <c r="M54" s="994">
        <v>0</v>
      </c>
      <c r="N54" s="1196">
        <f t="shared" si="45"/>
        <v>0</v>
      </c>
      <c r="O54" s="645">
        <f t="shared" si="35"/>
        <v>0</v>
      </c>
      <c r="P54" s="727">
        <v>0</v>
      </c>
      <c r="Q54" s="1476">
        <v>0</v>
      </c>
      <c r="R54" s="706">
        <v>4421.6499999999996</v>
      </c>
      <c r="S54" s="1164">
        <v>0</v>
      </c>
      <c r="U54" s="1146">
        <v>0</v>
      </c>
      <c r="V54" s="715">
        <v>0</v>
      </c>
      <c r="Y54">
        <f>_xlfn.XLOOKUP(D54,RUC!$B$3:$B$123,RUC!$G$3:$G$123)</f>
        <v>0</v>
      </c>
      <c r="Z54" s="143">
        <v>0</v>
      </c>
      <c r="AA54" s="144">
        <f t="shared" si="36"/>
        <v>0</v>
      </c>
      <c r="AB54" s="145">
        <f t="shared" si="26"/>
        <v>0</v>
      </c>
      <c r="AC54" s="145">
        <v>0</v>
      </c>
      <c r="AD54" s="145">
        <f t="shared" si="37"/>
        <v>0</v>
      </c>
      <c r="AE54" s="145">
        <v>0</v>
      </c>
      <c r="AF54" s="145">
        <f t="shared" si="39"/>
        <v>0</v>
      </c>
      <c r="AG54" s="772">
        <f t="shared" si="47"/>
        <v>0</v>
      </c>
      <c r="AH54" s="1253">
        <f t="shared" si="40"/>
        <v>0</v>
      </c>
      <c r="AI54" s="1253">
        <f t="shared" si="41"/>
        <v>0</v>
      </c>
      <c r="AJ54" s="156">
        <f t="shared" si="42"/>
        <v>0</v>
      </c>
      <c r="AK54" s="156">
        <f t="shared" si="43"/>
        <v>0</v>
      </c>
      <c r="AM54" s="716">
        <f t="shared" si="44"/>
        <v>0</v>
      </c>
      <c r="AN54" s="716" t="str">
        <f>_xlfn.XLOOKUP(D54,RUC!$B$3:$B$578,RUC!$M$3:$M$578)</f>
        <v>Melchor Vera</v>
      </c>
      <c r="AO54" s="1167" t="s">
        <v>2282</v>
      </c>
      <c r="AP54" t="s">
        <v>4111</v>
      </c>
      <c r="AQ54" t="s">
        <v>4112</v>
      </c>
    </row>
    <row r="55" spans="1:43" ht="15" customHeight="1">
      <c r="A55" s="1593" t="s">
        <v>3942</v>
      </c>
      <c r="B55" s="1447">
        <v>46020</v>
      </c>
      <c r="C55" s="1447">
        <v>46012</v>
      </c>
      <c r="D55" t="s">
        <v>4024</v>
      </c>
      <c r="E55" s="762">
        <f>_xlfn.XLOOKUP(D55,RUC!$B$3:$B$123,RUC!$D$3:$D$123)</f>
        <v>20506072248</v>
      </c>
      <c r="G55" s="1082">
        <v>0</v>
      </c>
      <c r="H55" s="762" t="s">
        <v>69</v>
      </c>
      <c r="I55" s="703">
        <v>0</v>
      </c>
      <c r="J55" s="596">
        <v>0</v>
      </c>
      <c r="K55" s="703">
        <f t="shared" si="32"/>
        <v>0</v>
      </c>
      <c r="L55" s="1192">
        <v>0</v>
      </c>
      <c r="M55" s="994">
        <v>0</v>
      </c>
      <c r="N55" s="1196">
        <f t="shared" si="45"/>
        <v>0</v>
      </c>
      <c r="O55" s="645">
        <f t="shared" si="35"/>
        <v>0</v>
      </c>
      <c r="P55" s="727">
        <v>0</v>
      </c>
      <c r="Q55" s="1476">
        <v>0</v>
      </c>
      <c r="R55" s="706">
        <v>4421.6499999999996</v>
      </c>
      <c r="S55" s="1164">
        <v>0</v>
      </c>
      <c r="U55" s="1146">
        <v>0</v>
      </c>
      <c r="V55" s="715">
        <v>0</v>
      </c>
      <c r="Y55">
        <f>_xlfn.XLOOKUP(D55,RUC!$B$3:$B$123,RUC!$G$3:$G$123)</f>
        <v>0</v>
      </c>
      <c r="Z55" s="143">
        <v>0</v>
      </c>
      <c r="AA55" s="144">
        <f t="shared" si="36"/>
        <v>0</v>
      </c>
      <c r="AB55" s="145">
        <f t="shared" si="26"/>
        <v>0</v>
      </c>
      <c r="AC55" s="145">
        <v>0</v>
      </c>
      <c r="AD55" s="145">
        <f t="shared" si="37"/>
        <v>0</v>
      </c>
      <c r="AE55" s="145">
        <v>0</v>
      </c>
      <c r="AF55" s="145">
        <f t="shared" si="39"/>
        <v>0</v>
      </c>
      <c r="AG55" s="772">
        <f t="shared" si="47"/>
        <v>0</v>
      </c>
      <c r="AH55" s="1253">
        <f t="shared" si="40"/>
        <v>0</v>
      </c>
      <c r="AI55" s="1253">
        <f t="shared" si="41"/>
        <v>0</v>
      </c>
      <c r="AJ55" s="156">
        <f t="shared" si="42"/>
        <v>0</v>
      </c>
      <c r="AK55" s="156">
        <f t="shared" si="43"/>
        <v>0</v>
      </c>
      <c r="AM55" s="716">
        <f t="shared" si="44"/>
        <v>0</v>
      </c>
      <c r="AN55" s="716" t="str">
        <f>_xlfn.XLOOKUP(D55,RUC!$B$3:$B$578,RUC!$M$3:$M$578)</f>
        <v>Melchor Vera</v>
      </c>
      <c r="AO55" s="1167" t="s">
        <v>2282</v>
      </c>
      <c r="AP55" t="s">
        <v>4111</v>
      </c>
      <c r="AQ55" t="s">
        <v>4112</v>
      </c>
    </row>
    <row r="56" spans="1:43" ht="15" customHeight="1">
      <c r="A56" s="1593" t="s">
        <v>3943</v>
      </c>
      <c r="B56" s="1447">
        <v>46020</v>
      </c>
      <c r="C56" s="1447">
        <v>46012</v>
      </c>
      <c r="D56" t="s">
        <v>4024</v>
      </c>
      <c r="E56" s="762">
        <f>_xlfn.XLOOKUP(D56,RUC!$B$3:$B$123,RUC!$D$3:$D$123)</f>
        <v>20506072248</v>
      </c>
      <c r="G56" s="1082">
        <v>0</v>
      </c>
      <c r="H56" s="762" t="s">
        <v>69</v>
      </c>
      <c r="I56" s="703">
        <v>0</v>
      </c>
      <c r="J56" s="596">
        <v>0</v>
      </c>
      <c r="K56" s="703">
        <f t="shared" si="32"/>
        <v>0</v>
      </c>
      <c r="L56" s="1192">
        <v>0</v>
      </c>
      <c r="M56" s="994">
        <v>0</v>
      </c>
      <c r="N56" s="1196">
        <f t="shared" si="45"/>
        <v>0</v>
      </c>
      <c r="O56" s="645">
        <f t="shared" si="35"/>
        <v>0</v>
      </c>
      <c r="P56" s="727">
        <v>0</v>
      </c>
      <c r="Q56" s="1476">
        <v>0</v>
      </c>
      <c r="R56" s="706">
        <v>4421.6499999999996</v>
      </c>
      <c r="S56" s="1164">
        <v>0</v>
      </c>
      <c r="U56" s="1146">
        <v>0</v>
      </c>
      <c r="V56" s="715">
        <v>0</v>
      </c>
      <c r="Y56">
        <f>_xlfn.XLOOKUP(D56,RUC!$B$3:$B$123,RUC!$G$3:$G$123)</f>
        <v>0</v>
      </c>
      <c r="Z56" s="143">
        <v>0</v>
      </c>
      <c r="AA56" s="144">
        <f t="shared" si="36"/>
        <v>0</v>
      </c>
      <c r="AB56" s="145">
        <f t="shared" si="26"/>
        <v>0</v>
      </c>
      <c r="AC56" s="145">
        <v>0</v>
      </c>
      <c r="AD56" s="145">
        <f t="shared" si="37"/>
        <v>0</v>
      </c>
      <c r="AE56" s="145">
        <v>0</v>
      </c>
      <c r="AF56" s="145">
        <f t="shared" si="39"/>
        <v>0</v>
      </c>
      <c r="AG56" s="772">
        <f t="shared" si="47"/>
        <v>0</v>
      </c>
      <c r="AH56" s="1253">
        <f t="shared" si="40"/>
        <v>0</v>
      </c>
      <c r="AI56" s="1253">
        <f t="shared" si="41"/>
        <v>0</v>
      </c>
      <c r="AJ56" s="156">
        <f t="shared" si="42"/>
        <v>0</v>
      </c>
      <c r="AK56" s="156">
        <f t="shared" si="43"/>
        <v>0</v>
      </c>
      <c r="AM56" s="716">
        <f t="shared" si="44"/>
        <v>0</v>
      </c>
      <c r="AN56" s="716" t="str">
        <f>_xlfn.XLOOKUP(D56,RUC!$B$3:$B$578,RUC!$M$3:$M$578)</f>
        <v>Melchor Vera</v>
      </c>
      <c r="AO56" s="1167" t="s">
        <v>2282</v>
      </c>
      <c r="AP56" t="s">
        <v>4111</v>
      </c>
      <c r="AQ56" t="s">
        <v>4112</v>
      </c>
    </row>
    <row r="57" spans="1:43" ht="15" customHeight="1">
      <c r="A57" s="1593" t="s">
        <v>3944</v>
      </c>
      <c r="B57" s="1447">
        <v>46020</v>
      </c>
      <c r="C57" s="1447">
        <v>46012</v>
      </c>
      <c r="D57" t="s">
        <v>4024</v>
      </c>
      <c r="E57" s="762">
        <f>_xlfn.XLOOKUP(D57,RUC!$B$3:$B$123,RUC!$D$3:$D$123)</f>
        <v>20506072248</v>
      </c>
      <c r="G57" s="1082">
        <v>0</v>
      </c>
      <c r="H57" s="762" t="s">
        <v>69</v>
      </c>
      <c r="I57" s="703">
        <v>0</v>
      </c>
      <c r="J57" s="596">
        <v>0</v>
      </c>
      <c r="K57" s="703">
        <f t="shared" si="32"/>
        <v>0</v>
      </c>
      <c r="L57" s="1192">
        <v>0</v>
      </c>
      <c r="M57" s="994">
        <v>0</v>
      </c>
      <c r="N57" s="1196">
        <f t="shared" si="45"/>
        <v>0</v>
      </c>
      <c r="O57" s="645">
        <f t="shared" si="35"/>
        <v>0</v>
      </c>
      <c r="P57" s="727">
        <v>0</v>
      </c>
      <c r="Q57" s="1476">
        <v>0</v>
      </c>
      <c r="R57" s="706">
        <v>4421.6499999999996</v>
      </c>
      <c r="S57" s="1164">
        <v>0</v>
      </c>
      <c r="U57" s="1146">
        <v>0</v>
      </c>
      <c r="V57" s="715">
        <v>0</v>
      </c>
      <c r="Y57">
        <f>_xlfn.XLOOKUP(D57,RUC!$B$3:$B$123,RUC!$G$3:$G$123)</f>
        <v>0</v>
      </c>
      <c r="Z57" s="143">
        <v>0</v>
      </c>
      <c r="AA57" s="144">
        <f t="shared" si="36"/>
        <v>0</v>
      </c>
      <c r="AB57" s="145">
        <f t="shared" si="26"/>
        <v>0</v>
      </c>
      <c r="AC57" s="145">
        <v>0</v>
      </c>
      <c r="AD57" s="145">
        <f t="shared" si="37"/>
        <v>0</v>
      </c>
      <c r="AE57" s="145">
        <v>0</v>
      </c>
      <c r="AF57" s="145">
        <f t="shared" si="39"/>
        <v>0</v>
      </c>
      <c r="AG57" s="772">
        <f t="shared" si="47"/>
        <v>0</v>
      </c>
      <c r="AH57" s="1253">
        <f t="shared" si="40"/>
        <v>0</v>
      </c>
      <c r="AI57" s="1253">
        <f t="shared" si="41"/>
        <v>0</v>
      </c>
      <c r="AJ57" s="156">
        <f t="shared" si="42"/>
        <v>0</v>
      </c>
      <c r="AK57" s="156">
        <f t="shared" si="43"/>
        <v>0</v>
      </c>
      <c r="AM57" s="716">
        <f t="shared" si="44"/>
        <v>0</v>
      </c>
      <c r="AN57" s="716" t="str">
        <f>_xlfn.XLOOKUP(D57,RUC!$B$3:$B$578,RUC!$M$3:$M$578)</f>
        <v>Melchor Vera</v>
      </c>
      <c r="AO57" s="1167" t="s">
        <v>2282</v>
      </c>
      <c r="AP57" t="s">
        <v>4111</v>
      </c>
      <c r="AQ57" t="s">
        <v>4112</v>
      </c>
    </row>
    <row r="58" spans="1:43" ht="15" customHeight="1">
      <c r="A58" s="1593" t="s">
        <v>3945</v>
      </c>
      <c r="B58" s="1447">
        <v>46020</v>
      </c>
      <c r="C58" s="1447">
        <v>46012</v>
      </c>
      <c r="D58" t="s">
        <v>4024</v>
      </c>
      <c r="E58" s="762">
        <f>_xlfn.XLOOKUP(D58,RUC!$B$3:$B$123,RUC!$D$3:$D$123)</f>
        <v>20506072248</v>
      </c>
      <c r="G58" s="1082">
        <v>0</v>
      </c>
      <c r="H58" s="762" t="s">
        <v>69</v>
      </c>
      <c r="I58" s="703">
        <v>0</v>
      </c>
      <c r="J58" s="596">
        <v>0</v>
      </c>
      <c r="K58" s="703">
        <f t="shared" si="32"/>
        <v>0</v>
      </c>
      <c r="L58" s="1192">
        <v>0</v>
      </c>
      <c r="M58" s="994">
        <v>0</v>
      </c>
      <c r="N58" s="1196">
        <f t="shared" si="45"/>
        <v>0</v>
      </c>
      <c r="O58" s="645">
        <f t="shared" si="35"/>
        <v>0</v>
      </c>
      <c r="P58" s="727">
        <v>0</v>
      </c>
      <c r="Q58" s="1476">
        <v>0</v>
      </c>
      <c r="R58" s="706">
        <v>4421.6499999999996</v>
      </c>
      <c r="S58" s="1164">
        <v>0</v>
      </c>
      <c r="U58" s="1146">
        <v>0</v>
      </c>
      <c r="V58" s="715">
        <v>0</v>
      </c>
      <c r="Y58">
        <f>_xlfn.XLOOKUP(D58,RUC!$B$3:$B$123,RUC!$G$3:$G$123)</f>
        <v>0</v>
      </c>
      <c r="Z58" s="143">
        <v>0</v>
      </c>
      <c r="AA58" s="144">
        <f t="shared" si="36"/>
        <v>0</v>
      </c>
      <c r="AB58" s="145">
        <f t="shared" si="26"/>
        <v>0</v>
      </c>
      <c r="AC58" s="145">
        <v>0</v>
      </c>
      <c r="AD58" s="145">
        <f t="shared" si="37"/>
        <v>0</v>
      </c>
      <c r="AE58" s="145">
        <v>0</v>
      </c>
      <c r="AF58" s="145">
        <f t="shared" si="39"/>
        <v>0</v>
      </c>
      <c r="AG58" s="772">
        <f t="shared" si="47"/>
        <v>0</v>
      </c>
      <c r="AH58" s="1253">
        <f t="shared" si="40"/>
        <v>0</v>
      </c>
      <c r="AI58" s="1253">
        <f t="shared" si="41"/>
        <v>0</v>
      </c>
      <c r="AJ58" s="156">
        <f t="shared" si="42"/>
        <v>0</v>
      </c>
      <c r="AK58" s="156">
        <f t="shared" si="43"/>
        <v>0</v>
      </c>
      <c r="AM58" s="716">
        <f t="shared" si="44"/>
        <v>0</v>
      </c>
      <c r="AN58" s="716" t="str">
        <f>_xlfn.XLOOKUP(D58,RUC!$B$3:$B$578,RUC!$M$3:$M$578)</f>
        <v>Melchor Vera</v>
      </c>
      <c r="AO58" s="1167" t="s">
        <v>2282</v>
      </c>
      <c r="AP58" t="s">
        <v>4111</v>
      </c>
      <c r="AQ58" t="s">
        <v>4112</v>
      </c>
    </row>
    <row r="59" spans="1:43" ht="15" customHeight="1">
      <c r="A59" s="747" t="s">
        <v>3947</v>
      </c>
      <c r="B59" s="1447">
        <v>46021</v>
      </c>
      <c r="C59" s="1447">
        <v>46013</v>
      </c>
      <c r="D59" t="s">
        <v>2444</v>
      </c>
      <c r="E59" s="762">
        <f>_xlfn.XLOOKUP(D59,RUC!$B$3:$B$123,RUC!$D$3:$D$123)</f>
        <v>20608774000</v>
      </c>
      <c r="G59" s="1082">
        <v>50</v>
      </c>
      <c r="H59" s="762" t="s">
        <v>2005</v>
      </c>
      <c r="I59" s="703">
        <v>3.51</v>
      </c>
      <c r="J59" s="596">
        <v>26.65</v>
      </c>
      <c r="K59" s="703">
        <f t="shared" si="32"/>
        <v>2.5750000000000002</v>
      </c>
      <c r="L59" s="1192">
        <v>0.32300000000000001</v>
      </c>
      <c r="M59" s="994">
        <f>ROUND(+IF(AN59="Melchor Vera",IF(L59&gt;0.467,L59*0.985,(L59-0.007)),IF(L59&gt;0.3,L59*0.94,(L59-0.019))),3)</f>
        <v>0.30399999999999999</v>
      </c>
      <c r="N59" s="1196">
        <f t="shared" si="45"/>
        <v>0.30399999999999999</v>
      </c>
      <c r="O59" s="645">
        <f t="shared" si="35"/>
        <v>0.30399999999999999</v>
      </c>
      <c r="P59" s="727">
        <v>90</v>
      </c>
      <c r="Q59" s="1476">
        <v>94.61</v>
      </c>
      <c r="R59" s="706">
        <v>4421.6499999999996</v>
      </c>
      <c r="S59" s="765">
        <f>IF((_xlfn.XLOOKUP(D59,RUC!$B$3:$B$119,RUC!$E$3:$E$119)+ROUNDDOWN(O59,1)*100)&lt;95,95,((_xlfn.XLOOKUP(D59,RUC!$B$3:$B$119,RUC!$E$3:$E$119)+ROUNDDOWN(O59,1)*100)))</f>
        <v>115</v>
      </c>
      <c r="U59" s="1146">
        <f>_xlfn.XLOOKUP(D59,RUC!$B$3:$B$123,RUC!$F$3:$F$123)</f>
        <v>120</v>
      </c>
      <c r="V59" s="715">
        <v>1.1023000000000001</v>
      </c>
      <c r="Y59" s="1445">
        <v>25</v>
      </c>
      <c r="Z59" s="1454">
        <v>35</v>
      </c>
      <c r="AA59" s="144">
        <f t="shared" si="36"/>
        <v>60</v>
      </c>
      <c r="AB59" s="145">
        <f t="shared" si="26"/>
        <v>1104.4290263119999</v>
      </c>
      <c r="AC59" s="145">
        <f>+(S59-T59)*V59-'data 1'!$F$4</f>
        <v>46.764500000000012</v>
      </c>
      <c r="AD59" s="145">
        <f t="shared" si="37"/>
        <v>70.605466470188489</v>
      </c>
      <c r="AE59" s="145">
        <f t="shared" ref="AE59:AE88" si="48">+(Y59*V59-70)+V59*(Z59-IF(D59="UNTUCA",IF(+((W59-3)*2.5+(X59-3)*3.1)&gt;0,+((W59-3)*1.5+(X59-3)*3.1),0),IF(+((W59-3)*1.5+(X59-3)*3.1)&gt;0,+((W59-3)*1.5+(X59-3)*3.1),0)))</f>
        <v>-3.8619999999999948</v>
      </c>
      <c r="AF59" s="145">
        <f t="shared" si="39"/>
        <v>85.236483128040575</v>
      </c>
      <c r="AG59" s="772">
        <f t="shared" ref="AG59:AG77" si="49">AC59+AD59+AE59+AF59+70-53</f>
        <v>215.7444495982291</v>
      </c>
      <c r="AH59" s="1253">
        <f t="shared" si="40"/>
        <v>26.978999999999999</v>
      </c>
      <c r="AI59" s="1253">
        <f t="shared" si="41"/>
        <v>28.515999999999998</v>
      </c>
      <c r="AJ59" s="156">
        <f t="shared" si="42"/>
        <v>103.86837207421163</v>
      </c>
      <c r="AK59" s="156">
        <f t="shared" si="43"/>
        <v>24.154741588986003</v>
      </c>
      <c r="AM59" s="716">
        <f t="shared" si="44"/>
        <v>2843.9047427534001</v>
      </c>
      <c r="AN59" s="716" t="str">
        <f>_xlfn.XLOOKUP(D59,RUC!$B$3:$B$578,RUC!$M$3:$M$578)</f>
        <v>Ronald Miranda</v>
      </c>
      <c r="AO59" s="1167" t="s">
        <v>2278</v>
      </c>
      <c r="AP59" t="s">
        <v>4070</v>
      </c>
      <c r="AQ59" t="s">
        <v>2972</v>
      </c>
    </row>
    <row r="60" spans="1:43" ht="15" customHeight="1">
      <c r="A60" s="747" t="s">
        <v>3948</v>
      </c>
      <c r="B60" s="1447">
        <v>46021</v>
      </c>
      <c r="C60" s="1447">
        <v>46013</v>
      </c>
      <c r="D60" t="s">
        <v>2444</v>
      </c>
      <c r="E60" s="762">
        <f>_xlfn.XLOOKUP(D60,RUC!$B$3:$B$123,RUC!$D$3:$D$123)</f>
        <v>20608774000</v>
      </c>
      <c r="G60" s="1082">
        <v>50</v>
      </c>
      <c r="H60" s="762" t="s">
        <v>2005</v>
      </c>
      <c r="I60" s="703">
        <v>3.45</v>
      </c>
      <c r="J60" s="596">
        <v>27.48</v>
      </c>
      <c r="K60" s="703">
        <f t="shared" si="32"/>
        <v>2.5019999999999998</v>
      </c>
      <c r="L60" s="1192">
        <v>0.28299999999999997</v>
      </c>
      <c r="M60" s="994">
        <f t="shared" ref="M60:M68" si="50">ROUND(+IF(AN60="Melchor Vera",IF(L60&gt;0.467,L60*0.985,(L60-0.007)),IF(L60&gt;0.3,L60*0.94,(L60-0.019))),3)</f>
        <v>0.26400000000000001</v>
      </c>
      <c r="N60" s="1196">
        <f t="shared" si="45"/>
        <v>0.26400000000000001</v>
      </c>
      <c r="O60" s="645">
        <f t="shared" si="35"/>
        <v>0.26400000000000001</v>
      </c>
      <c r="P60" s="727">
        <v>90</v>
      </c>
      <c r="Q60" s="1476">
        <v>92.93</v>
      </c>
      <c r="R60" s="706">
        <v>4421.6499999999996</v>
      </c>
      <c r="S60" s="765">
        <f>IF((_xlfn.XLOOKUP(D60,RUC!$B$3:$B$119,RUC!$E$3:$E$119)+ROUNDDOWN(O60,1)*100)&lt;95,95,((_xlfn.XLOOKUP(D60,RUC!$B$3:$B$119,RUC!$E$3:$E$119)+ROUNDDOWN(O60,1)*100)))</f>
        <v>105</v>
      </c>
      <c r="U60" s="1146">
        <f>_xlfn.XLOOKUP(D60,RUC!$B$3:$B$123,RUC!$F$3:$F$123)</f>
        <v>120</v>
      </c>
      <c r="V60" s="715">
        <v>1.1023000000000001</v>
      </c>
      <c r="Y60" s="1445">
        <v>25</v>
      </c>
      <c r="Z60" s="1454">
        <v>35</v>
      </c>
      <c r="AA60" s="144">
        <f t="shared" si="36"/>
        <v>60</v>
      </c>
      <c r="AB60" s="145">
        <f t="shared" si="26"/>
        <v>944.75050969200004</v>
      </c>
      <c r="AC60" s="145">
        <f>+(S60-T60)*V60-'data 1'!$F$4</f>
        <v>35.741500000000002</v>
      </c>
      <c r="AD60" s="145">
        <f t="shared" si="37"/>
        <v>39.317775157260591</v>
      </c>
      <c r="AE60" s="145">
        <f t="shared" si="48"/>
        <v>-3.8619999999999948</v>
      </c>
      <c r="AF60" s="145">
        <f t="shared" si="39"/>
        <v>83.72292968067633</v>
      </c>
      <c r="AG60" s="772">
        <f t="shared" si="49"/>
        <v>171.92020483793692</v>
      </c>
      <c r="AH60" s="1253">
        <f t="shared" si="40"/>
        <v>22.56</v>
      </c>
      <c r="AI60" s="1253">
        <f t="shared" si="41"/>
        <v>24.276</v>
      </c>
      <c r="AJ60" s="156">
        <f t="shared" si="42"/>
        <v>89.389422771939607</v>
      </c>
      <c r="AK60" s="156">
        <f t="shared" si="43"/>
        <v>20.381812918101357</v>
      </c>
      <c r="AM60" s="716">
        <f t="shared" si="44"/>
        <v>2363.7657752493838</v>
      </c>
      <c r="AN60" s="716" t="str">
        <f>_xlfn.XLOOKUP(D60,RUC!$B$3:$B$578,RUC!$M$3:$M$578)</f>
        <v>Ronald Miranda</v>
      </c>
      <c r="AO60" s="1167" t="s">
        <v>2278</v>
      </c>
      <c r="AP60" t="s">
        <v>4070</v>
      </c>
      <c r="AQ60" t="s">
        <v>2972</v>
      </c>
    </row>
    <row r="61" spans="1:43" ht="15" customHeight="1">
      <c r="A61" s="747" t="s">
        <v>3949</v>
      </c>
      <c r="B61" s="1447">
        <v>46021</v>
      </c>
      <c r="C61" s="1447">
        <v>46013</v>
      </c>
      <c r="D61" t="s">
        <v>2444</v>
      </c>
      <c r="E61" s="762">
        <f>_xlfn.XLOOKUP(D61,RUC!$B$3:$B$123,RUC!$D$3:$D$123)</f>
        <v>20608774000</v>
      </c>
      <c r="G61" s="1082">
        <v>50</v>
      </c>
      <c r="H61" s="762" t="s">
        <v>2005</v>
      </c>
      <c r="I61" s="703">
        <v>3.32</v>
      </c>
      <c r="J61" s="596">
        <v>24.9</v>
      </c>
      <c r="K61" s="703">
        <f t="shared" si="32"/>
        <v>2.4929999999999999</v>
      </c>
      <c r="L61" s="1192">
        <v>0.29499999999999998</v>
      </c>
      <c r="M61" s="994">
        <f t="shared" si="50"/>
        <v>0.27600000000000002</v>
      </c>
      <c r="N61" s="1196">
        <f t="shared" si="45"/>
        <v>0.27600000000000002</v>
      </c>
      <c r="O61" s="645">
        <f t="shared" si="35"/>
        <v>0.27600000000000002</v>
      </c>
      <c r="P61" s="727">
        <v>90</v>
      </c>
      <c r="Q61" s="1476">
        <v>91.53</v>
      </c>
      <c r="R61" s="706">
        <v>4421.6499999999996</v>
      </c>
      <c r="S61" s="765">
        <f>IF((_xlfn.XLOOKUP(D61,RUC!$B$3:$B$119,RUC!$E$3:$E$119)+ROUNDDOWN(O61,1)*100)&lt;95,95,((_xlfn.XLOOKUP(D61,RUC!$B$3:$B$119,RUC!$E$3:$E$119)+ROUNDDOWN(O61,1)*100)))</f>
        <v>105</v>
      </c>
      <c r="U61" s="1146">
        <f>_xlfn.XLOOKUP(D61,RUC!$B$3:$B$123,RUC!$F$3:$F$123)</f>
        <v>120</v>
      </c>
      <c r="V61" s="715">
        <v>1.1023000000000001</v>
      </c>
      <c r="Y61" s="1445">
        <v>25</v>
      </c>
      <c r="Z61" s="1454">
        <v>35</v>
      </c>
      <c r="AA61" s="144">
        <f t="shared" si="36"/>
        <v>60</v>
      </c>
      <c r="AB61" s="145">
        <f t="shared" si="26"/>
        <v>995.96096467800021</v>
      </c>
      <c r="AC61" s="145">
        <f>+(S61-T61)*V61-'data 1'!$F$4</f>
        <v>35.741500000000002</v>
      </c>
      <c r="AD61" s="145">
        <f t="shared" si="37"/>
        <v>21.401702646232515</v>
      </c>
      <c r="AE61" s="145">
        <f t="shared" si="48"/>
        <v>-3.8619999999999948</v>
      </c>
      <c r="AF61" s="145">
        <f t="shared" si="39"/>
        <v>82.46163514120633</v>
      </c>
      <c r="AG61" s="772">
        <f t="shared" si="49"/>
        <v>152.74283778743884</v>
      </c>
      <c r="AH61" s="1253">
        <f t="shared" si="40"/>
        <v>23.079000000000001</v>
      </c>
      <c r="AI61" s="1253">
        <f t="shared" si="41"/>
        <v>25.215</v>
      </c>
      <c r="AJ61" s="156">
        <f t="shared" si="42"/>
        <v>91.776023921767589</v>
      </c>
      <c r="AK61" s="156">
        <f t="shared" si="43"/>
        <v>21.231610546308662</v>
      </c>
      <c r="AM61" s="716">
        <f t="shared" si="44"/>
        <v>2482.9306849422546</v>
      </c>
      <c r="AN61" s="716" t="str">
        <f>_xlfn.XLOOKUP(D61,RUC!$B$3:$B$578,RUC!$M$3:$M$578)</f>
        <v>Ronald Miranda</v>
      </c>
      <c r="AO61" s="1167" t="s">
        <v>2278</v>
      </c>
      <c r="AP61" t="s">
        <v>4070</v>
      </c>
      <c r="AQ61" t="s">
        <v>2972</v>
      </c>
    </row>
    <row r="62" spans="1:43" ht="15" customHeight="1">
      <c r="A62" s="747" t="s">
        <v>3960</v>
      </c>
      <c r="B62" s="1447">
        <v>46020</v>
      </c>
      <c r="C62" s="1447">
        <v>46013</v>
      </c>
      <c r="D62" t="s">
        <v>2444</v>
      </c>
      <c r="E62" s="762">
        <f>_xlfn.XLOOKUP(D62,RUC!$B$3:$B$123,RUC!$D$3:$D$123)</f>
        <v>20608774000</v>
      </c>
      <c r="G62" s="1082">
        <v>31</v>
      </c>
      <c r="H62" s="762" t="s">
        <v>69</v>
      </c>
      <c r="I62" s="703">
        <v>2.99</v>
      </c>
      <c r="J62" s="596">
        <v>1.2</v>
      </c>
      <c r="K62" s="703">
        <f t="shared" si="32"/>
        <v>2.9540000000000002</v>
      </c>
      <c r="L62" s="1192">
        <v>0.39600000000000002</v>
      </c>
      <c r="M62" s="994">
        <f t="shared" si="50"/>
        <v>0.372</v>
      </c>
      <c r="N62" s="1196">
        <f t="shared" si="45"/>
        <v>0.372</v>
      </c>
      <c r="O62" s="645">
        <f t="shared" si="35"/>
        <v>0.372</v>
      </c>
      <c r="P62" s="727">
        <v>90</v>
      </c>
      <c r="Q62" s="1476">
        <v>95.2</v>
      </c>
      <c r="R62" s="706">
        <v>4421.6499999999996</v>
      </c>
      <c r="S62" s="765">
        <f>IF((_xlfn.XLOOKUP(D62,RUC!$B$3:$B$119,RUC!$E$3:$E$119)+ROUNDDOWN(O62,1)*100)&lt;95,95,((_xlfn.XLOOKUP(D62,RUC!$B$3:$B$119,RUC!$E$3:$E$119)+ROUNDDOWN(O62,1)*100)))</f>
        <v>115</v>
      </c>
      <c r="U62" s="1146">
        <f>_xlfn.XLOOKUP(D62,RUC!$B$3:$B$123,RUC!$F$3:$F$123)</f>
        <v>120</v>
      </c>
      <c r="V62" s="715">
        <v>1.1023000000000001</v>
      </c>
      <c r="Y62" s="1445">
        <v>25</v>
      </c>
      <c r="Z62" s="1454">
        <v>35</v>
      </c>
      <c r="AA62" s="144">
        <f t="shared" si="36"/>
        <v>60</v>
      </c>
      <c r="AB62" s="145">
        <f t="shared" si="26"/>
        <v>1394.6216045659996</v>
      </c>
      <c r="AC62" s="145">
        <f>+(S62-T62)*V62-'data 1'!$F$4</f>
        <v>46.764500000000012</v>
      </c>
      <c r="AD62" s="145">
        <f t="shared" si="37"/>
        <v>97.641267506640034</v>
      </c>
      <c r="AE62" s="145">
        <f t="shared" si="48"/>
        <v>-3.8619999999999948</v>
      </c>
      <c r="AF62" s="145">
        <f t="shared" si="39"/>
        <v>108.33856254816008</v>
      </c>
      <c r="AG62" s="772">
        <f t="shared" si="49"/>
        <v>265.88233005480015</v>
      </c>
      <c r="AH62" s="1253">
        <f t="shared" si="40"/>
        <v>38.180999999999997</v>
      </c>
      <c r="AI62" s="1253">
        <f t="shared" si="41"/>
        <v>40.106000000000002</v>
      </c>
      <c r="AJ62" s="156">
        <f t="shared" si="42"/>
        <v>128.13739613136016</v>
      </c>
      <c r="AK62" s="156">
        <f t="shared" si="43"/>
        <v>33.908221353139567</v>
      </c>
      <c r="AM62" s="716">
        <f t="shared" si="44"/>
        <v>4119.7122198879633</v>
      </c>
      <c r="AN62" s="716" t="str">
        <f>_xlfn.XLOOKUP(D62,RUC!$B$3:$B$578,RUC!$M$3:$M$578)</f>
        <v>Ronald Miranda</v>
      </c>
      <c r="AO62" s="1167" t="s">
        <v>2280</v>
      </c>
      <c r="AP62" t="s">
        <v>4070</v>
      </c>
      <c r="AQ62" t="s">
        <v>2972</v>
      </c>
    </row>
    <row r="63" spans="1:43" ht="15" customHeight="1">
      <c r="A63" s="747" t="s">
        <v>3961</v>
      </c>
      <c r="B63" s="1447">
        <v>46024</v>
      </c>
      <c r="C63" s="1447">
        <v>46013</v>
      </c>
      <c r="D63" t="s">
        <v>1967</v>
      </c>
      <c r="E63" s="762">
        <f>_xlfn.XLOOKUP(D63,RUC!$B$3:$B$123,RUC!$D$3:$D$123)</f>
        <v>20601769396</v>
      </c>
      <c r="G63" s="1082">
        <v>40</v>
      </c>
      <c r="H63" s="762" t="s">
        <v>2005</v>
      </c>
      <c r="I63" s="703">
        <v>2.85</v>
      </c>
      <c r="J63" s="596">
        <v>10.4</v>
      </c>
      <c r="K63" s="703">
        <f t="shared" si="32"/>
        <v>2.5539999999999998</v>
      </c>
      <c r="L63" s="1192">
        <v>0.38900000000000001</v>
      </c>
      <c r="M63" s="994">
        <f t="shared" si="50"/>
        <v>0.36599999999999999</v>
      </c>
      <c r="N63" s="1196">
        <f t="shared" si="45"/>
        <v>0.36599999999999999</v>
      </c>
      <c r="O63" s="645">
        <f t="shared" si="35"/>
        <v>0.36599999999999999</v>
      </c>
      <c r="P63" s="727">
        <v>90</v>
      </c>
      <c r="Q63" s="1476">
        <v>92.8</v>
      </c>
      <c r="R63" s="706">
        <v>4421.6499999999996</v>
      </c>
      <c r="S63" s="765">
        <f>IF((_xlfn.XLOOKUP(D63,RUC!$B$3:$B$119,RUC!$E$3:$E$119)+ROUNDDOWN(O63,1)*100)&lt;95,95,((_xlfn.XLOOKUP(D63,RUC!$B$3:$B$119,RUC!$E$3:$E$119)+ROUNDDOWN(O63,1)*100)))</f>
        <v>120</v>
      </c>
      <c r="U63" s="1146">
        <f>_xlfn.XLOOKUP(D63,RUC!$B$3:$B$123,RUC!$F$3:$F$123)</f>
        <v>120</v>
      </c>
      <c r="V63" s="715">
        <v>1.1023000000000001</v>
      </c>
      <c r="Y63">
        <f>_xlfn.XLOOKUP(D63,RUC!$B$3:$B$123,RUC!$G$3:$G$123)</f>
        <v>20</v>
      </c>
      <c r="Z63" s="143">
        <f>_xlfn.XLOOKUP(D63,RUC!$B$3:$B$123,RUC!$H$3:$H$123)</f>
        <v>30</v>
      </c>
      <c r="AA63" s="144">
        <f t="shared" si="36"/>
        <v>50</v>
      </c>
      <c r="AB63" s="145">
        <f t="shared" si="26"/>
        <v>1374.5278770729997</v>
      </c>
      <c r="AC63" s="145">
        <f>+(S63-T63)*V63-'data 1'!$F$4</f>
        <v>52.27600000000001</v>
      </c>
      <c r="AD63" s="145">
        <f t="shared" si="37"/>
        <v>51.646692195139941</v>
      </c>
      <c r="AE63" s="145">
        <f t="shared" si="48"/>
        <v>-14.884999999999998</v>
      </c>
      <c r="AF63" s="145">
        <f t="shared" si="39"/>
        <v>101.20703252048008</v>
      </c>
      <c r="AG63" s="772">
        <f t="shared" si="49"/>
        <v>207.24472471562001</v>
      </c>
      <c r="AH63" s="1253">
        <f t="shared" si="40"/>
        <v>31.61</v>
      </c>
      <c r="AI63" s="1253">
        <f t="shared" si="41"/>
        <v>34.063000000000002</v>
      </c>
      <c r="AJ63" s="156">
        <f t="shared" si="42"/>
        <v>122.69908885136014</v>
      </c>
      <c r="AK63" s="156">
        <f t="shared" si="43"/>
        <v>28.843871827653178</v>
      </c>
      <c r="AM63" s="716">
        <f t="shared" si="44"/>
        <v>3510.5441980444411</v>
      </c>
      <c r="AN63" s="716" t="str">
        <f>_xlfn.XLOOKUP(D63,RUC!$B$3:$B$578,RUC!$M$3:$M$578)</f>
        <v>Evelyn</v>
      </c>
      <c r="AO63" s="1167" t="s">
        <v>2278</v>
      </c>
      <c r="AP63" t="s">
        <v>3561</v>
      </c>
      <c r="AQ63" t="s">
        <v>2906</v>
      </c>
    </row>
    <row r="64" spans="1:43" ht="15" customHeight="1">
      <c r="A64" s="747" t="s">
        <v>3962</v>
      </c>
      <c r="B64" s="1447">
        <v>46024</v>
      </c>
      <c r="C64" s="1447">
        <v>46013</v>
      </c>
      <c r="D64" t="s">
        <v>1967</v>
      </c>
      <c r="E64" s="762">
        <f>_xlfn.XLOOKUP(D64,RUC!$B$3:$B$123,RUC!$D$3:$D$123)</f>
        <v>20601769396</v>
      </c>
      <c r="G64" s="1082">
        <v>55</v>
      </c>
      <c r="H64" s="762" t="s">
        <v>2005</v>
      </c>
      <c r="I64" s="703">
        <v>4.0199999999999996</v>
      </c>
      <c r="J64" s="596">
        <v>10.15</v>
      </c>
      <c r="K64" s="703">
        <f t="shared" si="32"/>
        <v>3.6120000000000001</v>
      </c>
      <c r="L64" s="1192">
        <v>0.17199999999999999</v>
      </c>
      <c r="M64" s="994">
        <f t="shared" si="50"/>
        <v>0.153</v>
      </c>
      <c r="N64" s="1196">
        <f t="shared" si="45"/>
        <v>0.153</v>
      </c>
      <c r="O64" s="645">
        <f t="shared" si="35"/>
        <v>0.153</v>
      </c>
      <c r="P64" s="727">
        <v>85</v>
      </c>
      <c r="Q64" s="1476">
        <v>91.28</v>
      </c>
      <c r="R64" s="706">
        <v>4421.6499999999996</v>
      </c>
      <c r="S64" s="765">
        <f>IF((_xlfn.XLOOKUP(D64,RUC!$B$3:$B$119,RUC!$E$3:$E$119)+ROUNDDOWN(O64,1)*100)&lt;95,95,((_xlfn.XLOOKUP(D64,RUC!$B$3:$B$119,RUC!$E$3:$E$119)+ROUNDDOWN(O64,1)*100)))</f>
        <v>100</v>
      </c>
      <c r="U64" s="1146">
        <f>_xlfn.XLOOKUP(D64,RUC!$B$3:$B$123,RUC!$F$3:$F$123)</f>
        <v>120</v>
      </c>
      <c r="V64" s="715">
        <v>1.1023000000000001</v>
      </c>
      <c r="Y64">
        <f>_xlfn.XLOOKUP(D64,RUC!$B$3:$B$123,RUC!$G$3:$G$123)</f>
        <v>20</v>
      </c>
      <c r="Z64" s="143">
        <f>_xlfn.XLOOKUP(D64,RUC!$B$3:$B$123,RUC!$H$3:$H$123)</f>
        <v>30</v>
      </c>
      <c r="AA64" s="144">
        <f t="shared" si="36"/>
        <v>50</v>
      </c>
      <c r="AB64" s="145">
        <f t="shared" si="26"/>
        <v>451.31422878974996</v>
      </c>
      <c r="AC64" s="145">
        <f>+(S64-T64)*V64-'data 1'!$F$4</f>
        <v>30.230000000000004</v>
      </c>
      <c r="AD64" s="145">
        <f t="shared" si="37"/>
        <v>51.218041720071994</v>
      </c>
      <c r="AE64" s="145">
        <f t="shared" si="48"/>
        <v>-14.884999999999998</v>
      </c>
      <c r="AF64" s="145">
        <f t="shared" si="39"/>
        <v>82.236403973443956</v>
      </c>
      <c r="AG64" s="772">
        <f t="shared" si="49"/>
        <v>165.79944569351596</v>
      </c>
      <c r="AH64" s="1253">
        <f t="shared" si="40"/>
        <v>19.443000000000001</v>
      </c>
      <c r="AI64" s="1253">
        <f t="shared" si="41"/>
        <v>21.3</v>
      </c>
      <c r="AJ64" s="156">
        <f t="shared" si="42"/>
        <v>53.363934015728063</v>
      </c>
      <c r="AK64" s="156">
        <f t="shared" si="43"/>
        <v>16.105238753839831</v>
      </c>
      <c r="AM64" s="716">
        <f t="shared" si="44"/>
        <v>1630.146994388577</v>
      </c>
      <c r="AN64" s="716" t="str">
        <f>_xlfn.XLOOKUP(D64,RUC!$B$3:$B$578,RUC!$M$3:$M$578)</f>
        <v>Evelyn</v>
      </c>
      <c r="AO64" s="1167" t="s">
        <v>2278</v>
      </c>
      <c r="AP64" t="s">
        <v>3561</v>
      </c>
      <c r="AQ64" t="s">
        <v>2906</v>
      </c>
    </row>
    <row r="65" spans="1:43" ht="15" customHeight="1">
      <c r="A65" s="747" t="s">
        <v>3963</v>
      </c>
      <c r="B65" s="1447">
        <v>46024</v>
      </c>
      <c r="C65" s="1447">
        <v>46013</v>
      </c>
      <c r="D65" t="s">
        <v>1967</v>
      </c>
      <c r="E65" s="762">
        <f>_xlfn.XLOOKUP(D65,RUC!$B$3:$B$123,RUC!$D$3:$D$123)</f>
        <v>20601769396</v>
      </c>
      <c r="G65" s="1082">
        <v>55</v>
      </c>
      <c r="H65" s="762" t="s">
        <v>2005</v>
      </c>
      <c r="I65" s="703">
        <v>4.05</v>
      </c>
      <c r="J65" s="596">
        <v>11.22</v>
      </c>
      <c r="K65" s="703">
        <f t="shared" si="32"/>
        <v>3.5960000000000001</v>
      </c>
      <c r="L65" s="1192">
        <v>0.219</v>
      </c>
      <c r="M65" s="994">
        <f t="shared" si="50"/>
        <v>0.2</v>
      </c>
      <c r="N65" s="1196">
        <f t="shared" si="45"/>
        <v>0.2</v>
      </c>
      <c r="O65" s="645">
        <f t="shared" si="35"/>
        <v>0.2</v>
      </c>
      <c r="P65" s="727">
        <v>90</v>
      </c>
      <c r="Q65" s="1476">
        <v>90.87</v>
      </c>
      <c r="R65" s="706">
        <v>4421.6499999999996</v>
      </c>
      <c r="S65" s="765">
        <f>IF((_xlfn.XLOOKUP(D65,RUC!$B$3:$B$119,RUC!$E$3:$E$119)+ROUNDDOWN(O65,1)*100)&lt;95,95,((_xlfn.XLOOKUP(D65,RUC!$B$3:$B$119,RUC!$E$3:$E$119)+ROUNDDOWN(O65,1)*100)))</f>
        <v>110</v>
      </c>
      <c r="U65" s="1146">
        <f>_xlfn.XLOOKUP(D65,RUC!$B$3:$B$123,RUC!$F$3:$F$123)</f>
        <v>120</v>
      </c>
      <c r="V65" s="715">
        <v>1.1023000000000001</v>
      </c>
      <c r="Y65">
        <f>_xlfn.XLOOKUP(D65,RUC!$B$3:$B$123,RUC!$G$3:$G$123)</f>
        <v>20</v>
      </c>
      <c r="Z65" s="143">
        <f>_xlfn.XLOOKUP(D65,RUC!$B$3:$B$123,RUC!$H$3:$H$123)</f>
        <v>30</v>
      </c>
      <c r="AA65" s="144">
        <f t="shared" si="36"/>
        <v>50</v>
      </c>
      <c r="AB65" s="145">
        <f t="shared" si="26"/>
        <v>677.1395831000001</v>
      </c>
      <c r="AC65" s="145">
        <f>+(S65-T65)*V65-'data 1'!$F$4</f>
        <v>41.253</v>
      </c>
      <c r="AD65" s="145">
        <f t="shared" si="37"/>
        <v>9.034377767113547</v>
      </c>
      <c r="AE65" s="145">
        <f t="shared" si="48"/>
        <v>-14.884999999999998</v>
      </c>
      <c r="AF65" s="145">
        <f t="shared" si="39"/>
        <v>81.867024858313457</v>
      </c>
      <c r="AG65" s="772">
        <f t="shared" si="49"/>
        <v>134.26940262542701</v>
      </c>
      <c r="AH65" s="1253">
        <f t="shared" si="40"/>
        <v>24.535</v>
      </c>
      <c r="AI65" s="1253">
        <f t="shared" si="41"/>
        <v>27.001000000000001</v>
      </c>
      <c r="AJ65" s="156">
        <f t="shared" si="42"/>
        <v>67.64074823428659</v>
      </c>
      <c r="AK65" s="156">
        <f t="shared" si="43"/>
        <v>22.192245977003999</v>
      </c>
      <c r="AM65" s="716">
        <f t="shared" si="44"/>
        <v>2434.9939408276005</v>
      </c>
      <c r="AN65" s="716" t="str">
        <f>_xlfn.XLOOKUP(D65,RUC!$B$3:$B$578,RUC!$M$3:$M$578)</f>
        <v>Evelyn</v>
      </c>
      <c r="AO65" s="1167" t="s">
        <v>2278</v>
      </c>
      <c r="AP65" t="s">
        <v>3561</v>
      </c>
      <c r="AQ65" t="s">
        <v>2906</v>
      </c>
    </row>
    <row r="66" spans="1:43" ht="15" customHeight="1">
      <c r="A66" s="747" t="s">
        <v>3964</v>
      </c>
      <c r="B66" s="1447">
        <v>46024</v>
      </c>
      <c r="C66" s="1447">
        <v>46013</v>
      </c>
      <c r="D66" t="s">
        <v>1967</v>
      </c>
      <c r="E66" s="762">
        <f>_xlfn.XLOOKUP(D66,RUC!$B$3:$B$123,RUC!$D$3:$D$123)</f>
        <v>20601769396</v>
      </c>
      <c r="G66" s="1082">
        <v>29</v>
      </c>
      <c r="H66" s="762" t="s">
        <v>108</v>
      </c>
      <c r="I66" s="703">
        <v>2.08</v>
      </c>
      <c r="J66" s="596">
        <v>14.15</v>
      </c>
      <c r="K66" s="703">
        <f t="shared" si="32"/>
        <v>1.786</v>
      </c>
      <c r="L66" s="1192">
        <v>1.161</v>
      </c>
      <c r="M66" s="994">
        <f t="shared" si="50"/>
        <v>1.091</v>
      </c>
      <c r="N66" s="1196">
        <f t="shared" si="45"/>
        <v>1.091</v>
      </c>
      <c r="O66" s="645">
        <f t="shared" si="35"/>
        <v>1.091</v>
      </c>
      <c r="P66" s="727">
        <v>90</v>
      </c>
      <c r="Q66" s="1476">
        <v>95.95</v>
      </c>
      <c r="R66" s="706">
        <v>4421.6499999999996</v>
      </c>
      <c r="S66" s="765">
        <f>IF((_xlfn.XLOOKUP(D66,RUC!$B$3:$B$119,RUC!$E$3:$E$119)+ROUNDDOWN(O66,1)*100)&lt;95,95,((_xlfn.XLOOKUP(D66,RUC!$B$3:$B$119,RUC!$E$3:$E$119)+ROUNDDOWN(O66,1)*100)))</f>
        <v>190</v>
      </c>
      <c r="U66" s="1146">
        <f>_xlfn.XLOOKUP(D66,RUC!$B$3:$B$123,RUC!$F$3:$F$123)</f>
        <v>120</v>
      </c>
      <c r="V66" s="715">
        <v>1.1023000000000001</v>
      </c>
      <c r="Y66" s="1445">
        <v>30</v>
      </c>
      <c r="Z66" s="1454">
        <v>40</v>
      </c>
      <c r="AA66" s="144">
        <f t="shared" si="36"/>
        <v>70</v>
      </c>
      <c r="AB66" s="145">
        <f t="shared" si="26"/>
        <v>4369.2858658104997</v>
      </c>
      <c r="AC66" s="145">
        <f>+(S66-T66)*V66-'data 1'!$F$4</f>
        <v>129.43700000000001</v>
      </c>
      <c r="AD66" s="145">
        <f t="shared" si="37"/>
        <v>327.55487270420258</v>
      </c>
      <c r="AE66" s="145">
        <f t="shared" si="48"/>
        <v>7.1610000000000014</v>
      </c>
      <c r="AF66" s="145">
        <f t="shared" si="39"/>
        <v>318.47687121617525</v>
      </c>
      <c r="AG66" s="772">
        <f t="shared" si="49"/>
        <v>799.6297439203779</v>
      </c>
      <c r="AH66" s="1253">
        <f t="shared" si="40"/>
        <v>68.212999999999994</v>
      </c>
      <c r="AI66" s="1253">
        <f t="shared" si="41"/>
        <v>71.091999999999999</v>
      </c>
      <c r="AJ66" s="156">
        <f t="shared" si="42"/>
        <v>378.63517653879796</v>
      </c>
      <c r="AK66" s="156">
        <f t="shared" si="43"/>
        <v>60.125373031962873</v>
      </c>
      <c r="AM66" s="716">
        <f t="shared" si="44"/>
        <v>7803.5445563375524</v>
      </c>
      <c r="AN66" s="716" t="str">
        <f>_xlfn.XLOOKUP(D66,RUC!$B$3:$B$578,RUC!$M$3:$M$578)</f>
        <v>Evelyn</v>
      </c>
      <c r="AO66" s="1167" t="s">
        <v>2278</v>
      </c>
      <c r="AP66" t="s">
        <v>3561</v>
      </c>
      <c r="AQ66" t="s">
        <v>2906</v>
      </c>
    </row>
    <row r="67" spans="1:43" ht="15" customHeight="1">
      <c r="A67" s="747" t="s">
        <v>3970</v>
      </c>
      <c r="B67" s="1447">
        <v>46024</v>
      </c>
      <c r="C67" s="1447">
        <v>46014</v>
      </c>
      <c r="D67" t="s">
        <v>1967</v>
      </c>
      <c r="E67" s="762">
        <f>_xlfn.XLOOKUP(D67,RUC!$B$3:$B$123,RUC!$D$3:$D$123)</f>
        <v>20601769396</v>
      </c>
      <c r="G67" s="1082">
        <v>49</v>
      </c>
      <c r="H67" s="762" t="s">
        <v>108</v>
      </c>
      <c r="I67" s="703">
        <v>4.53</v>
      </c>
      <c r="J67" s="596">
        <v>10.75</v>
      </c>
      <c r="K67" s="703">
        <f t="shared" si="32"/>
        <v>4.0430000000000001</v>
      </c>
      <c r="L67" s="1192">
        <v>0.68100000000000005</v>
      </c>
      <c r="M67" s="994">
        <f t="shared" si="50"/>
        <v>0.64</v>
      </c>
      <c r="N67" s="1196">
        <f t="shared" si="45"/>
        <v>0.64</v>
      </c>
      <c r="O67" s="645">
        <f t="shared" si="35"/>
        <v>0.64</v>
      </c>
      <c r="P67" s="727">
        <v>90</v>
      </c>
      <c r="Q67" s="1476">
        <v>92.95</v>
      </c>
      <c r="R67" s="706">
        <v>4449.3999999999996</v>
      </c>
      <c r="S67" s="765">
        <f>IF((_xlfn.XLOOKUP(D67,RUC!$B$3:$B$119,RUC!$E$3:$E$119)+ROUNDDOWN(O67,1)*100)&lt;95,95,((_xlfn.XLOOKUP(D67,RUC!$B$3:$B$119,RUC!$E$3:$E$119)+ROUNDDOWN(O67,1)*100)))</f>
        <v>150</v>
      </c>
      <c r="U67" s="1146">
        <f>_xlfn.XLOOKUP(D67,RUC!$B$3:$B$123,RUC!$F$3:$F$123)</f>
        <v>120</v>
      </c>
      <c r="V67" s="715">
        <v>1.1023000000000001</v>
      </c>
      <c r="Y67" s="1445">
        <v>30</v>
      </c>
      <c r="Z67" s="1454">
        <v>40</v>
      </c>
      <c r="AA67" s="144">
        <f t="shared" si="36"/>
        <v>70</v>
      </c>
      <c r="AB67" s="145">
        <f t="shared" si="26"/>
        <v>2506.3374291199998</v>
      </c>
      <c r="AC67" s="145">
        <f>+(S67-T67)*V67-'data 1'!$F$4</f>
        <v>85.344999999999999</v>
      </c>
      <c r="AD67" s="145">
        <f t="shared" si="37"/>
        <v>95.873073036990093</v>
      </c>
      <c r="AE67" s="145">
        <f t="shared" si="48"/>
        <v>7.1610000000000014</v>
      </c>
      <c r="AF67" s="145">
        <f t="shared" si="39"/>
        <v>181.86987614939014</v>
      </c>
      <c r="AG67" s="772">
        <f t="shared" si="49"/>
        <v>387.24894918638023</v>
      </c>
      <c r="AH67" s="1253">
        <f t="shared" si="40"/>
        <v>87.742000000000004</v>
      </c>
      <c r="AI67" s="1253">
        <f t="shared" si="41"/>
        <v>94.397000000000006</v>
      </c>
      <c r="AJ67" s="156">
        <f t="shared" si="42"/>
        <v>195.78705783351029</v>
      </c>
      <c r="AK67" s="156">
        <f t="shared" si="43"/>
        <v>79.842714558422415</v>
      </c>
      <c r="AM67" s="716">
        <f t="shared" si="44"/>
        <v>10133.12222593216</v>
      </c>
      <c r="AN67" s="716" t="str">
        <f>_xlfn.XLOOKUP(D67,RUC!$B$3:$B$578,RUC!$M$3:$M$578)</f>
        <v>Evelyn</v>
      </c>
      <c r="AO67" s="1167" t="s">
        <v>2278</v>
      </c>
      <c r="AP67" t="s">
        <v>4074</v>
      </c>
      <c r="AQ67" t="s">
        <v>2564</v>
      </c>
    </row>
    <row r="68" spans="1:43" ht="15" customHeight="1">
      <c r="A68" s="747" t="s">
        <v>3973</v>
      </c>
      <c r="B68" s="1447">
        <v>46024</v>
      </c>
      <c r="C68" s="1447">
        <v>46014</v>
      </c>
      <c r="D68" t="s">
        <v>1967</v>
      </c>
      <c r="E68" s="762">
        <f>_xlfn.XLOOKUP(D68,RUC!$B$3:$B$123,RUC!$D$3:$D$123)</f>
        <v>20601769396</v>
      </c>
      <c r="G68" s="1082">
        <v>25</v>
      </c>
      <c r="H68" s="762" t="s">
        <v>108</v>
      </c>
      <c r="I68" s="703">
        <v>2.2000000000000002</v>
      </c>
      <c r="J68" s="596">
        <v>9.0500000000000007</v>
      </c>
      <c r="K68" s="703">
        <f t="shared" si="32"/>
        <v>2.0009999999999999</v>
      </c>
      <c r="L68" s="1192">
        <v>0.57299999999999995</v>
      </c>
      <c r="M68" s="994">
        <f t="shared" si="50"/>
        <v>0.53900000000000003</v>
      </c>
      <c r="N68" s="1196">
        <f t="shared" si="45"/>
        <v>0.53900000000000003</v>
      </c>
      <c r="O68" s="645">
        <f t="shared" si="35"/>
        <v>0.53900000000000003</v>
      </c>
      <c r="P68" s="727">
        <v>87</v>
      </c>
      <c r="Q68" s="1476">
        <v>87.96</v>
      </c>
      <c r="R68" s="706">
        <v>4449.3999999999996</v>
      </c>
      <c r="S68" s="765">
        <f>IF((_xlfn.XLOOKUP(D68,RUC!$B$3:$B$119,RUC!$E$3:$E$119)+ROUNDDOWN(O68,1)*100)&lt;95,95,((_xlfn.XLOOKUP(D68,RUC!$B$3:$B$119,RUC!$E$3:$E$119)+ROUNDDOWN(O68,1)*100)))</f>
        <v>140</v>
      </c>
      <c r="U68" s="1146">
        <f>_xlfn.XLOOKUP(D68,RUC!$B$3:$B$123,RUC!$F$3:$F$123)</f>
        <v>120</v>
      </c>
      <c r="V68" s="715">
        <v>1.1023000000000001</v>
      </c>
      <c r="Y68" s="1445">
        <v>30</v>
      </c>
      <c r="Z68" s="1454">
        <v>40</v>
      </c>
      <c r="AA68" s="144">
        <f t="shared" si="36"/>
        <v>70</v>
      </c>
      <c r="AB68" s="145">
        <f t="shared" si="26"/>
        <v>2006.3905229466</v>
      </c>
      <c r="AC68" s="145">
        <f>+(S68-T68)*V68-'data 1'!$F$4</f>
        <v>74.322000000000003</v>
      </c>
      <c r="AD68" s="145">
        <f t="shared" si="37"/>
        <v>26.251454748095824</v>
      </c>
      <c r="AE68" s="145">
        <f t="shared" si="48"/>
        <v>7.1610000000000014</v>
      </c>
      <c r="AF68" s="145">
        <f t="shared" si="39"/>
        <v>142.72224154276765</v>
      </c>
      <c r="AG68" s="772">
        <f t="shared" si="49"/>
        <v>267.45669629086348</v>
      </c>
      <c r="AH68" s="1253">
        <f t="shared" si="40"/>
        <v>34.578000000000003</v>
      </c>
      <c r="AI68" s="1253">
        <f t="shared" si="41"/>
        <v>39.311</v>
      </c>
      <c r="AJ68" s="156">
        <f t="shared" si="42"/>
        <v>155.89325201810416</v>
      </c>
      <c r="AK68" s="156">
        <f t="shared" si="43"/>
        <v>32.170971483591288</v>
      </c>
      <c r="AM68" s="716">
        <f t="shared" si="44"/>
        <v>4014.7874364161462</v>
      </c>
      <c r="AN68" s="716" t="str">
        <f>_xlfn.XLOOKUP(D68,RUC!$B$3:$B$578,RUC!$M$3:$M$578)</f>
        <v>Evelyn</v>
      </c>
      <c r="AO68" s="1167" t="s">
        <v>2278</v>
      </c>
      <c r="AP68" t="s">
        <v>4074</v>
      </c>
      <c r="AQ68" t="s">
        <v>2564</v>
      </c>
    </row>
    <row r="69" spans="1:43" ht="15" customHeight="1">
      <c r="A69" s="747" t="s">
        <v>3990</v>
      </c>
      <c r="B69" s="1447">
        <v>46020</v>
      </c>
      <c r="C69" s="1447">
        <v>46014</v>
      </c>
      <c r="D69" t="s">
        <v>3642</v>
      </c>
      <c r="E69" s="762" t="str">
        <f>_xlfn.XLOOKUP(D69,RUC!$B$3:$B$123,RUC!$D$3:$D$123)</f>
        <v>20601769396*</v>
      </c>
      <c r="G69" s="1082">
        <v>31</v>
      </c>
      <c r="H69" s="762" t="s">
        <v>108</v>
      </c>
      <c r="I69" s="703">
        <v>0.94</v>
      </c>
      <c r="J69" s="596">
        <v>15.65</v>
      </c>
      <c r="K69" s="703">
        <f t="shared" si="32"/>
        <v>0.79300000000000004</v>
      </c>
      <c r="L69" s="1192">
        <v>1.048</v>
      </c>
      <c r="M69" s="994">
        <f t="shared" ref="M69:M105" si="51">ROUND(+IF(AN69="Melchor Vera",IF(L69&gt;0.467,L69*0.985,(L69-0.007)),IF(L69&gt;0.3,L69*0.94,(L69-0.019))),3)</f>
        <v>0.98499999999999999</v>
      </c>
      <c r="N69" s="1196">
        <f t="shared" ref="N69:N77" si="52">+M69</f>
        <v>0.98499999999999999</v>
      </c>
      <c r="O69" s="645">
        <f t="shared" si="35"/>
        <v>0.98499999999999999</v>
      </c>
      <c r="P69" s="727">
        <v>88</v>
      </c>
      <c r="Q69" s="1476">
        <v>89.6</v>
      </c>
      <c r="R69" s="706">
        <v>4449.3999999999996</v>
      </c>
      <c r="S69" s="765">
        <f>IF((_xlfn.XLOOKUP(D69,RUC!$B$3:$B$119,RUC!$E$3:$E$119)+ROUNDDOWN(O69,1)*100)&lt;95,95,((_xlfn.XLOOKUP(D69,RUC!$B$3:$B$119,RUC!$E$3:$E$119)+ROUNDDOWN(O69,1)*100)))</f>
        <v>180</v>
      </c>
      <c r="U69" s="1146">
        <f>_xlfn.XLOOKUP(D69,RUC!$B$3:$B$123,RUC!$F$3:$F$123)</f>
        <v>120</v>
      </c>
      <c r="V69" s="715">
        <v>1.1023000000000001</v>
      </c>
      <c r="Y69" s="1445">
        <v>30</v>
      </c>
      <c r="Z69" s="1454">
        <v>40</v>
      </c>
      <c r="AA69" s="144">
        <f t="shared" si="36"/>
        <v>70</v>
      </c>
      <c r="AB69" s="145">
        <f t="shared" ref="AB69:AB104" si="53">+((O69*P69*(R69-U69)/100)-S69-AA69+T69)*V69</f>
        <v>3861.0525770159998</v>
      </c>
      <c r="AC69" s="145">
        <f>+(S69-T69)*V69-'data 1'!$F$4</f>
        <v>118.41400000000002</v>
      </c>
      <c r="AD69" s="145">
        <f t="shared" si="37"/>
        <v>80.021886492159709</v>
      </c>
      <c r="AE69" s="145">
        <f t="shared" si="48"/>
        <v>7.1610000000000014</v>
      </c>
      <c r="AF69" s="145">
        <f t="shared" si="39"/>
        <v>269.38665605376025</v>
      </c>
      <c r="AG69" s="772">
        <f t="shared" si="49"/>
        <v>491.98354254592005</v>
      </c>
      <c r="AH69" s="1253">
        <f t="shared" si="40"/>
        <v>25.53</v>
      </c>
      <c r="AI69" s="1253">
        <f t="shared" si="41"/>
        <v>28.492999999999999</v>
      </c>
      <c r="AJ69" s="156">
        <f t="shared" si="42"/>
        <v>290.44022626304036</v>
      </c>
      <c r="AK69" s="156">
        <f t="shared" si="43"/>
        <v>23.566829468859822</v>
      </c>
      <c r="AM69" s="716">
        <f t="shared" si="44"/>
        <v>3061.8146935736881</v>
      </c>
      <c r="AN69" s="716" t="str">
        <f>_xlfn.XLOOKUP(D69,RUC!$B$3:$B$578,RUC!$M$3:$M$578)</f>
        <v>Zudaire</v>
      </c>
      <c r="AO69" s="1167" t="s">
        <v>2277</v>
      </c>
      <c r="AP69" t="s">
        <v>4079</v>
      </c>
      <c r="AQ69" t="s">
        <v>2866</v>
      </c>
    </row>
    <row r="70" spans="1:43" ht="15" customHeight="1">
      <c r="A70" s="747" t="s">
        <v>3991</v>
      </c>
      <c r="B70" s="1447">
        <v>46020</v>
      </c>
      <c r="C70" s="1447">
        <v>46014</v>
      </c>
      <c r="D70" t="s">
        <v>3642</v>
      </c>
      <c r="E70" s="762" t="str">
        <f>_xlfn.XLOOKUP(D70,RUC!$B$3:$B$123,RUC!$D$3:$D$123)</f>
        <v>20601769396*</v>
      </c>
      <c r="G70" s="1082">
        <v>105</v>
      </c>
      <c r="H70" s="762" t="s">
        <v>108</v>
      </c>
      <c r="I70" s="703">
        <v>3.03</v>
      </c>
      <c r="J70" s="596">
        <v>19.899999999999999</v>
      </c>
      <c r="K70" s="703">
        <f t="shared" si="32"/>
        <v>2.427</v>
      </c>
      <c r="L70" s="1192">
        <v>0.83699999999999997</v>
      </c>
      <c r="M70" s="994">
        <f t="shared" si="51"/>
        <v>0.78700000000000003</v>
      </c>
      <c r="N70" s="1196">
        <f t="shared" si="52"/>
        <v>0.78700000000000003</v>
      </c>
      <c r="O70" s="645">
        <f t="shared" si="35"/>
        <v>0.78700000000000003</v>
      </c>
      <c r="P70" s="727">
        <v>90</v>
      </c>
      <c r="Q70" s="1476">
        <v>93.91</v>
      </c>
      <c r="R70" s="706">
        <v>4449.3999999999996</v>
      </c>
      <c r="S70" s="765">
        <f>IF((_xlfn.XLOOKUP(D70,RUC!$B$3:$B$119,RUC!$E$3:$E$119)+ROUNDDOWN(O70,1)*100)&lt;95,95,((_xlfn.XLOOKUP(D70,RUC!$B$3:$B$119,RUC!$E$3:$E$119)+ROUNDDOWN(O70,1)*100)))</f>
        <v>160</v>
      </c>
      <c r="U70" s="1146">
        <f>_xlfn.XLOOKUP(D70,RUC!$B$3:$B$123,RUC!$F$3:$F$123)</f>
        <v>120</v>
      </c>
      <c r="V70" s="715">
        <v>1.1023000000000001</v>
      </c>
      <c r="Y70" s="1445">
        <v>30</v>
      </c>
      <c r="Z70" s="1454">
        <v>40</v>
      </c>
      <c r="AA70" s="144">
        <f t="shared" si="36"/>
        <v>70</v>
      </c>
      <c r="AB70" s="145">
        <f t="shared" si="53"/>
        <v>3126.6894042459999</v>
      </c>
      <c r="AC70" s="145">
        <f>+(S70-T70)*V70-'data 1'!$F$4</f>
        <v>96.367999999999995</v>
      </c>
      <c r="AD70" s="145">
        <f t="shared" si="37"/>
        <v>156.18155252045383</v>
      </c>
      <c r="AE70" s="145">
        <f t="shared" si="48"/>
        <v>7.1610000000000014</v>
      </c>
      <c r="AF70" s="145">
        <f t="shared" si="39"/>
        <v>224.08323474709971</v>
      </c>
      <c r="AG70" s="772">
        <f t="shared" si="49"/>
        <v>500.79378726755351</v>
      </c>
      <c r="AH70" s="1253">
        <f t="shared" si="40"/>
        <v>65.406000000000006</v>
      </c>
      <c r="AI70" s="1253">
        <f t="shared" si="41"/>
        <v>69.647000000000006</v>
      </c>
      <c r="AJ70" s="156">
        <f t="shared" si="42"/>
        <v>243.12228713364627</v>
      </c>
      <c r="AK70" s="156">
        <f t="shared" si="43"/>
        <v>58.938094043563012</v>
      </c>
      <c r="AM70" s="716">
        <f t="shared" si="44"/>
        <v>7588.475184105042</v>
      </c>
      <c r="AN70" s="716" t="str">
        <f>_xlfn.XLOOKUP(D70,RUC!$B$3:$B$578,RUC!$M$3:$M$578)</f>
        <v>Zudaire</v>
      </c>
      <c r="AO70" s="1167" t="s">
        <v>2277</v>
      </c>
      <c r="AP70" t="s">
        <v>4079</v>
      </c>
      <c r="AQ70" t="s">
        <v>2866</v>
      </c>
    </row>
    <row r="71" spans="1:43" ht="15" customHeight="1">
      <c r="A71" s="747" t="s">
        <v>3992</v>
      </c>
      <c r="B71" s="1447">
        <v>46020</v>
      </c>
      <c r="C71" s="1447">
        <v>46014</v>
      </c>
      <c r="D71" t="s">
        <v>3642</v>
      </c>
      <c r="E71" s="762" t="str">
        <f>_xlfn.XLOOKUP(D71,RUC!$B$3:$B$123,RUC!$D$3:$D$123)</f>
        <v>20601769396*</v>
      </c>
      <c r="G71" s="1082">
        <v>166</v>
      </c>
      <c r="H71" s="762" t="s">
        <v>108</v>
      </c>
      <c r="I71" s="703">
        <v>4.08</v>
      </c>
      <c r="J71" s="596">
        <v>18.87</v>
      </c>
      <c r="K71" s="703">
        <f t="shared" si="32"/>
        <v>3.31</v>
      </c>
      <c r="L71" s="1192">
        <v>0.30599999999999999</v>
      </c>
      <c r="M71" s="994">
        <f t="shared" si="51"/>
        <v>0.28799999999999998</v>
      </c>
      <c r="N71" s="1196">
        <f t="shared" si="52"/>
        <v>0.28799999999999998</v>
      </c>
      <c r="O71" s="645">
        <f t="shared" si="35"/>
        <v>0.28799999999999998</v>
      </c>
      <c r="P71" s="727">
        <v>90</v>
      </c>
      <c r="Q71" s="1476">
        <v>91.83</v>
      </c>
      <c r="R71" s="706">
        <v>4449.3999999999996</v>
      </c>
      <c r="S71" s="765">
        <f>IF((_xlfn.XLOOKUP(D71,RUC!$B$3:$B$119,RUC!$E$3:$E$119)+ROUNDDOWN(O71,1)*100)&lt;95,95,((_xlfn.XLOOKUP(D71,RUC!$B$3:$B$119,RUC!$E$3:$E$119)+ROUNDDOWN(O71,1)*100)))</f>
        <v>110</v>
      </c>
      <c r="U71" s="1146">
        <f>_xlfn.XLOOKUP(D71,RUC!$B$3:$B$123,RUC!$F$3:$F$123)</f>
        <v>120</v>
      </c>
      <c r="V71" s="715">
        <v>1.1023000000000001</v>
      </c>
      <c r="Y71" s="1445">
        <v>30</v>
      </c>
      <c r="Z71" s="1454">
        <v>40</v>
      </c>
      <c r="AA71" s="144">
        <f t="shared" si="36"/>
        <v>70</v>
      </c>
      <c r="AB71" s="145">
        <f t="shared" si="53"/>
        <v>1038.5655431039997</v>
      </c>
      <c r="AC71" s="145">
        <f>+(S71-T71)*V71-'data 1'!$F$4</f>
        <v>41.253</v>
      </c>
      <c r="AD71" s="145">
        <f t="shared" si="37"/>
        <v>26.723912212475977</v>
      </c>
      <c r="AE71" s="145">
        <f t="shared" si="48"/>
        <v>7.1610000000000014</v>
      </c>
      <c r="AF71" s="145">
        <f t="shared" si="39"/>
        <v>78.88321628002808</v>
      </c>
      <c r="AG71" s="772">
        <f t="shared" si="49"/>
        <v>171.02112849250406</v>
      </c>
      <c r="AH71" s="1253">
        <f t="shared" si="40"/>
        <v>31.888999999999999</v>
      </c>
      <c r="AI71" s="1253">
        <f t="shared" si="41"/>
        <v>34.725999999999999</v>
      </c>
      <c r="AJ71" s="156">
        <f t="shared" si="42"/>
        <v>86.914749918924116</v>
      </c>
      <c r="AK71" s="156">
        <f t="shared" si="43"/>
        <v>29.415217248273599</v>
      </c>
      <c r="AM71" s="716">
        <f t="shared" si="44"/>
        <v>3437.6519476742392</v>
      </c>
      <c r="AN71" s="716" t="str">
        <f>_xlfn.XLOOKUP(D71,RUC!$B$3:$B$578,RUC!$M$3:$M$578)</f>
        <v>Zudaire</v>
      </c>
      <c r="AO71" s="1167" t="s">
        <v>2277</v>
      </c>
      <c r="AP71" t="s">
        <v>4079</v>
      </c>
      <c r="AQ71" t="s">
        <v>2866</v>
      </c>
    </row>
    <row r="72" spans="1:43" ht="15" customHeight="1">
      <c r="A72" s="747" t="s">
        <v>3993</v>
      </c>
      <c r="B72" s="1447">
        <v>46020</v>
      </c>
      <c r="C72" s="1447">
        <v>46014</v>
      </c>
      <c r="D72" t="s">
        <v>3642</v>
      </c>
      <c r="E72" s="762" t="str">
        <f>_xlfn.XLOOKUP(D72,RUC!$B$3:$B$123,RUC!$D$3:$D$123)</f>
        <v>20601769396*</v>
      </c>
      <c r="G72" s="1082">
        <v>50</v>
      </c>
      <c r="H72" s="762" t="s">
        <v>108</v>
      </c>
      <c r="I72" s="703">
        <v>1.56</v>
      </c>
      <c r="J72" s="596">
        <v>18.72</v>
      </c>
      <c r="K72" s="703">
        <f t="shared" si="32"/>
        <v>1.268</v>
      </c>
      <c r="L72" s="1192">
        <v>0.70599999999999996</v>
      </c>
      <c r="M72" s="994">
        <f t="shared" si="51"/>
        <v>0.66400000000000003</v>
      </c>
      <c r="N72" s="1196">
        <f t="shared" si="52"/>
        <v>0.66400000000000003</v>
      </c>
      <c r="O72" s="645">
        <f t="shared" si="35"/>
        <v>0.66400000000000003</v>
      </c>
      <c r="P72" s="727">
        <v>90</v>
      </c>
      <c r="Q72" s="1476">
        <v>95.04</v>
      </c>
      <c r="R72" s="706">
        <v>4449.3999999999996</v>
      </c>
      <c r="S72" s="765">
        <f>IF((_xlfn.XLOOKUP(D72,RUC!$B$3:$B$119,RUC!$E$3:$E$119)+ROUNDDOWN(O72,1)*100)&lt;95,95,((_xlfn.XLOOKUP(D72,RUC!$B$3:$B$119,RUC!$E$3:$E$119)+ROUNDDOWN(O72,1)*100)))</f>
        <v>150</v>
      </c>
      <c r="U72" s="1146">
        <f>_xlfn.XLOOKUP(D72,RUC!$B$3:$B$123,RUC!$F$3:$F$123)</f>
        <v>120</v>
      </c>
      <c r="V72" s="715">
        <v>1.1023000000000001</v>
      </c>
      <c r="Y72" s="1445">
        <v>30</v>
      </c>
      <c r="Z72" s="1454">
        <v>40</v>
      </c>
      <c r="AA72" s="144">
        <f t="shared" si="36"/>
        <v>70</v>
      </c>
      <c r="AB72" s="145">
        <f t="shared" si="53"/>
        <v>2609.4190577120003</v>
      </c>
      <c r="AC72" s="145">
        <f>+(S72-T72)*V72-'data 1'!$F$4</f>
        <v>85.344999999999999</v>
      </c>
      <c r="AD72" s="145">
        <f t="shared" si="37"/>
        <v>169.8098028338882</v>
      </c>
      <c r="AE72" s="145">
        <f t="shared" si="48"/>
        <v>7.1610000000000014</v>
      </c>
      <c r="AF72" s="145">
        <f t="shared" si="39"/>
        <v>190.49484963801569</v>
      </c>
      <c r="AG72" s="772">
        <f t="shared" si="49"/>
        <v>469.81065247190395</v>
      </c>
      <c r="AH72" s="1253">
        <f t="shared" si="40"/>
        <v>29.17</v>
      </c>
      <c r="AI72" s="1253">
        <f t="shared" si="41"/>
        <v>30.693000000000001</v>
      </c>
      <c r="AJ72" s="156">
        <f t="shared" si="42"/>
        <v>207.53846620531229</v>
      </c>
      <c r="AK72" s="156">
        <f t="shared" si="43"/>
        <v>25.979985935526244</v>
      </c>
      <c r="AM72" s="716">
        <f t="shared" si="44"/>
        <v>3308.7433651788165</v>
      </c>
      <c r="AN72" s="716" t="str">
        <f>_xlfn.XLOOKUP(D72,RUC!$B$3:$B$578,RUC!$M$3:$M$578)</f>
        <v>Zudaire</v>
      </c>
      <c r="AO72" s="1167" t="s">
        <v>2277</v>
      </c>
      <c r="AP72" t="s">
        <v>4079</v>
      </c>
      <c r="AQ72" t="s">
        <v>2866</v>
      </c>
    </row>
    <row r="73" spans="1:43" ht="15" customHeight="1">
      <c r="A73" s="747" t="s">
        <v>3994</v>
      </c>
      <c r="B73" s="1447">
        <v>46020</v>
      </c>
      <c r="C73" s="1447">
        <v>46014</v>
      </c>
      <c r="D73" t="s">
        <v>3642</v>
      </c>
      <c r="E73" s="762" t="str">
        <f>_xlfn.XLOOKUP(D73,RUC!$B$3:$B$123,RUC!$D$3:$D$123)</f>
        <v>20601769396*</v>
      </c>
      <c r="G73" s="1082">
        <v>23</v>
      </c>
      <c r="H73" s="762" t="s">
        <v>108</v>
      </c>
      <c r="I73" s="703">
        <v>1.36</v>
      </c>
      <c r="J73" s="596">
        <v>18.5</v>
      </c>
      <c r="K73" s="703">
        <f t="shared" si="32"/>
        <v>1.1080000000000001</v>
      </c>
      <c r="L73" s="1192">
        <v>0.79100000000000004</v>
      </c>
      <c r="M73" s="994">
        <f t="shared" si="51"/>
        <v>0.74399999999999999</v>
      </c>
      <c r="N73" s="1196">
        <f t="shared" si="52"/>
        <v>0.74399999999999999</v>
      </c>
      <c r="O73" s="645">
        <f t="shared" si="35"/>
        <v>0.74399999999999999</v>
      </c>
      <c r="P73" s="727">
        <v>90</v>
      </c>
      <c r="Q73" s="1476">
        <v>96.33</v>
      </c>
      <c r="R73" s="706">
        <v>4449.3999999999996</v>
      </c>
      <c r="S73" s="765">
        <f>IF((_xlfn.XLOOKUP(D73,RUC!$B$3:$B$119,RUC!$E$3:$E$119)+ROUNDDOWN(O73,1)*100)&lt;95,95,((_xlfn.XLOOKUP(D73,RUC!$B$3:$B$119,RUC!$E$3:$E$119)+ROUNDDOWN(O73,1)*100)))</f>
        <v>160</v>
      </c>
      <c r="U73" s="1146">
        <f>_xlfn.XLOOKUP(D73,RUC!$B$3:$B$123,RUC!$F$3:$F$123)</f>
        <v>120</v>
      </c>
      <c r="V73" s="715">
        <v>1.1023000000000001</v>
      </c>
      <c r="Y73" s="1445">
        <v>30</v>
      </c>
      <c r="Z73" s="1454">
        <v>40</v>
      </c>
      <c r="AA73" s="144">
        <f t="shared" si="36"/>
        <v>70</v>
      </c>
      <c r="AB73" s="145">
        <f t="shared" si="53"/>
        <v>2942.001486352</v>
      </c>
      <c r="AC73" s="145">
        <f>+(S73-T73)*V73-'data 1'!$F$4</f>
        <v>96.367999999999995</v>
      </c>
      <c r="AD73" s="145">
        <f t="shared" si="37"/>
        <v>238.95037352268594</v>
      </c>
      <c r="AE73" s="145">
        <f t="shared" si="48"/>
        <v>7.1610000000000014</v>
      </c>
      <c r="AF73" s="145">
        <f t="shared" si="39"/>
        <v>216.06625197526219</v>
      </c>
      <c r="AG73" s="772">
        <f t="shared" si="49"/>
        <v>575.54562549794809</v>
      </c>
      <c r="AH73" s="1253">
        <f t="shared" si="40"/>
        <v>28.946000000000002</v>
      </c>
      <c r="AI73" s="1253">
        <f t="shared" si="41"/>
        <v>30.048999999999999</v>
      </c>
      <c r="AJ73" s="156">
        <f t="shared" si="42"/>
        <v>235.68151319021436</v>
      </c>
      <c r="AK73" s="156">
        <f t="shared" si="43"/>
        <v>25.436905388814239</v>
      </c>
      <c r="AM73" s="716">
        <f t="shared" si="44"/>
        <v>3259.7376468780162</v>
      </c>
      <c r="AN73" s="716" t="str">
        <f>_xlfn.XLOOKUP(D73,RUC!$B$3:$B$578,RUC!$M$3:$M$578)</f>
        <v>Zudaire</v>
      </c>
      <c r="AO73" s="1167" t="s">
        <v>2277</v>
      </c>
      <c r="AP73" t="s">
        <v>4079</v>
      </c>
      <c r="AQ73" t="s">
        <v>2866</v>
      </c>
    </row>
    <row r="74" spans="1:43" ht="15" customHeight="1">
      <c r="A74" s="747" t="s">
        <v>3995</v>
      </c>
      <c r="B74" s="1447">
        <v>46020</v>
      </c>
      <c r="C74" s="1447">
        <v>46015</v>
      </c>
      <c r="D74" t="s">
        <v>3642</v>
      </c>
      <c r="E74" s="762" t="str">
        <f>_xlfn.XLOOKUP(D74,RUC!$B$3:$B$123,RUC!$D$3:$D$123)</f>
        <v>20601769396*</v>
      </c>
      <c r="G74" s="1082">
        <v>45</v>
      </c>
      <c r="H74" s="762" t="s">
        <v>108</v>
      </c>
      <c r="I74" s="703">
        <v>3.24</v>
      </c>
      <c r="J74" s="596">
        <v>18.649999999999999</v>
      </c>
      <c r="K74" s="703">
        <f t="shared" si="32"/>
        <v>2.6360000000000001</v>
      </c>
      <c r="L74" s="1192">
        <v>0.27400000000000002</v>
      </c>
      <c r="M74" s="994">
        <f t="shared" si="51"/>
        <v>0.255</v>
      </c>
      <c r="N74" s="1196">
        <f t="shared" si="52"/>
        <v>0.255</v>
      </c>
      <c r="O74" s="645">
        <f t="shared" si="35"/>
        <v>0.255</v>
      </c>
      <c r="P74" s="727">
        <v>88</v>
      </c>
      <c r="Q74" s="1476">
        <v>88.69</v>
      </c>
      <c r="R74" s="706">
        <v>4480.8</v>
      </c>
      <c r="S74" s="765">
        <f>IF((_xlfn.XLOOKUP(D74,RUC!$B$3:$B$119,RUC!$E$3:$E$119)+ROUNDDOWN(O74,1)*100)&lt;95,95,((_xlfn.XLOOKUP(D74,RUC!$B$3:$B$119,RUC!$E$3:$E$119)+ROUNDDOWN(O74,1)*100)))</f>
        <v>110</v>
      </c>
      <c r="U74" s="1146">
        <f>_xlfn.XLOOKUP(D74,RUC!$B$3:$B$123,RUC!$F$3:$F$123)</f>
        <v>120</v>
      </c>
      <c r="V74" s="715">
        <v>1.1023000000000001</v>
      </c>
      <c r="Y74" s="1445">
        <v>30</v>
      </c>
      <c r="Z74" s="1454">
        <v>40</v>
      </c>
      <c r="AA74" s="144">
        <f t="shared" si="36"/>
        <v>70</v>
      </c>
      <c r="AB74" s="145">
        <f t="shared" si="53"/>
        <v>880.25656809600025</v>
      </c>
      <c r="AC74" s="145">
        <f>+(S74-T74)*V74-'data 1'!$F$4</f>
        <v>41.253</v>
      </c>
      <c r="AD74" s="145">
        <f t="shared" si="37"/>
        <v>9.0879437435039723</v>
      </c>
      <c r="AE74" s="145">
        <f t="shared" si="48"/>
        <v>7.1610000000000014</v>
      </c>
      <c r="AF74" s="145">
        <f t="shared" si="39"/>
        <v>81.001718404824075</v>
      </c>
      <c r="AG74" s="772">
        <f t="shared" si="49"/>
        <v>155.50366214832803</v>
      </c>
      <c r="AH74" s="1253">
        <f t="shared" si="40"/>
        <v>21.962</v>
      </c>
      <c r="AI74" s="1253">
        <f t="shared" si="41"/>
        <v>24.763000000000002</v>
      </c>
      <c r="AJ74" s="156">
        <f t="shared" si="42"/>
        <v>66.75334962749595</v>
      </c>
      <c r="AK74" s="156">
        <f t="shared" si="43"/>
        <v>20.28043788271512</v>
      </c>
      <c r="AM74" s="716">
        <f t="shared" si="44"/>
        <v>2320.3563135010568</v>
      </c>
      <c r="AN74" s="716" t="str">
        <f>_xlfn.XLOOKUP(D74,RUC!$B$3:$B$578,RUC!$M$3:$M$578)</f>
        <v>Zudaire</v>
      </c>
      <c r="AO74" s="1167" t="s">
        <v>2277</v>
      </c>
      <c r="AP74" t="s">
        <v>4079</v>
      </c>
      <c r="AQ74" t="s">
        <v>2866</v>
      </c>
    </row>
    <row r="75" spans="1:43" ht="15" customHeight="1">
      <c r="A75" s="747" t="s">
        <v>3997</v>
      </c>
      <c r="B75" s="1447">
        <v>46020</v>
      </c>
      <c r="C75" s="1447">
        <v>46015</v>
      </c>
      <c r="D75" t="s">
        <v>3642</v>
      </c>
      <c r="E75" s="762" t="str">
        <f>_xlfn.XLOOKUP(D75,RUC!$B$3:$B$123,RUC!$D$3:$D$123)</f>
        <v>20601769396*</v>
      </c>
      <c r="G75" s="1082">
        <v>155</v>
      </c>
      <c r="H75" s="762" t="s">
        <v>108</v>
      </c>
      <c r="I75" s="703">
        <v>4.6399999999999997</v>
      </c>
      <c r="J75" s="596">
        <v>18.25</v>
      </c>
      <c r="K75" s="703">
        <f t="shared" si="32"/>
        <v>3.7930000000000001</v>
      </c>
      <c r="L75" s="1192">
        <v>0.51200000000000001</v>
      </c>
      <c r="M75" s="994">
        <f t="shared" si="51"/>
        <v>0.48099999999999998</v>
      </c>
      <c r="N75" s="1196">
        <f t="shared" si="52"/>
        <v>0.48099999999999998</v>
      </c>
      <c r="O75" s="645">
        <f t="shared" si="35"/>
        <v>0.48099999999999998</v>
      </c>
      <c r="P75" s="727">
        <v>90</v>
      </c>
      <c r="Q75" s="1476">
        <v>92.97</v>
      </c>
      <c r="R75" s="706">
        <v>4480.8</v>
      </c>
      <c r="S75" s="765">
        <f>IF((_xlfn.XLOOKUP(D75,RUC!$B$3:$B$119,RUC!$E$3:$E$119)+ROUNDDOWN(O75,1)*100)&lt;95,95,((_xlfn.XLOOKUP(D75,RUC!$B$3:$B$119,RUC!$E$3:$E$119)+ROUNDDOWN(O75,1)*100)))</f>
        <v>130</v>
      </c>
      <c r="U75" s="1146">
        <f>_xlfn.XLOOKUP(D75,RUC!$B$3:$B$123,RUC!$F$3:$F$123)</f>
        <v>120</v>
      </c>
      <c r="V75" s="715">
        <v>1.1023000000000001</v>
      </c>
      <c r="Y75" s="1445">
        <v>30</v>
      </c>
      <c r="Z75" s="1454">
        <v>40</v>
      </c>
      <c r="AA75" s="144">
        <f t="shared" si="36"/>
        <v>70</v>
      </c>
      <c r="AB75" s="145">
        <f t="shared" si="53"/>
        <v>1860.4512697360001</v>
      </c>
      <c r="AC75" s="145">
        <f>+(S75-T75)*V75-'data 1'!$F$4</f>
        <v>63.299000000000007</v>
      </c>
      <c r="AD75" s="145">
        <f t="shared" si="37"/>
        <v>73.095793790975975</v>
      </c>
      <c r="AE75" s="145">
        <f t="shared" si="48"/>
        <v>7.1610000000000014</v>
      </c>
      <c r="AF75" s="145">
        <f t="shared" si="39"/>
        <v>138.53850642568813</v>
      </c>
      <c r="AG75" s="772">
        <f t="shared" si="49"/>
        <v>299.09430021666412</v>
      </c>
      <c r="AH75" s="1253">
        <f t="shared" si="40"/>
        <v>61.902000000000001</v>
      </c>
      <c r="AI75" s="1253">
        <f t="shared" si="41"/>
        <v>66.582999999999998</v>
      </c>
      <c r="AJ75" s="156">
        <f t="shared" si="42"/>
        <v>130.75570219622389</v>
      </c>
      <c r="AK75" s="156">
        <f t="shared" si="43"/>
        <v>56.296254038603095</v>
      </c>
      <c r="AM75" s="716">
        <f t="shared" si="44"/>
        <v>7056.6916661086489</v>
      </c>
      <c r="AN75" s="716" t="str">
        <f>_xlfn.XLOOKUP(D75,RUC!$B$3:$B$578,RUC!$M$3:$M$578)</f>
        <v>Zudaire</v>
      </c>
      <c r="AO75" s="1167" t="s">
        <v>2277</v>
      </c>
      <c r="AP75" t="s">
        <v>4079</v>
      </c>
      <c r="AQ75" t="s">
        <v>2866</v>
      </c>
    </row>
    <row r="76" spans="1:43" ht="15" customHeight="1">
      <c r="A76" s="747" t="s">
        <v>3998</v>
      </c>
      <c r="B76" s="1447">
        <v>46020</v>
      </c>
      <c r="C76" s="1447">
        <v>46015</v>
      </c>
      <c r="D76" t="s">
        <v>3642</v>
      </c>
      <c r="E76" s="762" t="str">
        <f>_xlfn.XLOOKUP(D76,RUC!$B$3:$B$123,RUC!$D$3:$D$123)</f>
        <v>20601769396*</v>
      </c>
      <c r="G76" s="1082">
        <v>105</v>
      </c>
      <c r="H76" s="762" t="s">
        <v>108</v>
      </c>
      <c r="I76" s="703">
        <v>3.16</v>
      </c>
      <c r="J76" s="596">
        <v>18.100000000000001</v>
      </c>
      <c r="K76" s="703">
        <f t="shared" si="32"/>
        <v>2.5880000000000001</v>
      </c>
      <c r="L76" s="1192">
        <v>0.42199999999999999</v>
      </c>
      <c r="M76" s="994">
        <f t="shared" si="51"/>
        <v>0.39700000000000002</v>
      </c>
      <c r="N76" s="1196">
        <f t="shared" si="52"/>
        <v>0.39700000000000002</v>
      </c>
      <c r="O76" s="645">
        <f t="shared" si="35"/>
        <v>0.39700000000000002</v>
      </c>
      <c r="P76" s="727">
        <v>90</v>
      </c>
      <c r="Q76" s="1476">
        <v>93.13</v>
      </c>
      <c r="R76" s="706">
        <v>4480.8</v>
      </c>
      <c r="S76" s="765">
        <f>IF((_xlfn.XLOOKUP(D76,RUC!$B$3:$B$119,RUC!$E$3:$E$119)+ROUNDDOWN(O76,1)*100)&lt;95,95,((_xlfn.XLOOKUP(D76,RUC!$B$3:$B$119,RUC!$E$3:$E$119)+ROUNDDOWN(O76,1)*100)))</f>
        <v>120</v>
      </c>
      <c r="U76" s="1146">
        <f>_xlfn.XLOOKUP(D76,RUC!$B$3:$B$123,RUC!$F$3:$F$123)</f>
        <v>120</v>
      </c>
      <c r="V76" s="715">
        <v>1.1023000000000001</v>
      </c>
      <c r="Y76" s="1445">
        <v>30</v>
      </c>
      <c r="Z76" s="1454">
        <v>40</v>
      </c>
      <c r="AA76" s="144">
        <f t="shared" si="36"/>
        <v>70</v>
      </c>
      <c r="AB76" s="145">
        <f t="shared" si="53"/>
        <v>1508.0718858320004</v>
      </c>
      <c r="AC76" s="145">
        <f>+(S76-T76)*V76-'data 1'!$F$4</f>
        <v>52.27600000000001</v>
      </c>
      <c r="AD76" s="145">
        <f t="shared" si="37"/>
        <v>63.492549312623908</v>
      </c>
      <c r="AE76" s="145">
        <f t="shared" si="48"/>
        <v>7.1610000000000014</v>
      </c>
      <c r="AF76" s="145">
        <f t="shared" si="39"/>
        <v>111.91687834979984</v>
      </c>
      <c r="AG76" s="772">
        <f t="shared" si="49"/>
        <v>251.84642766242376</v>
      </c>
      <c r="AH76" s="1253">
        <f t="shared" si="40"/>
        <v>34.872</v>
      </c>
      <c r="AI76" s="1253">
        <f t="shared" si="41"/>
        <v>37.444000000000003</v>
      </c>
      <c r="AJ76" s="156">
        <f t="shared" si="42"/>
        <v>107.95677424117592</v>
      </c>
      <c r="AK76" s="156">
        <f t="shared" si="43"/>
        <v>31.703437760885823</v>
      </c>
      <c r="AM76" s="716">
        <f t="shared" si="44"/>
        <v>3902.890040533217</v>
      </c>
      <c r="AN76" s="716" t="str">
        <f>_xlfn.XLOOKUP(D76,RUC!$B$3:$B$578,RUC!$M$3:$M$578)</f>
        <v>Zudaire</v>
      </c>
      <c r="AO76" s="1167" t="s">
        <v>2277</v>
      </c>
      <c r="AP76" t="s">
        <v>4079</v>
      </c>
      <c r="AQ76" t="s">
        <v>2866</v>
      </c>
    </row>
    <row r="77" spans="1:43" ht="15" customHeight="1">
      <c r="A77" s="747" t="s">
        <v>3999</v>
      </c>
      <c r="B77" s="1447">
        <v>46020</v>
      </c>
      <c r="C77" s="1447">
        <v>46015</v>
      </c>
      <c r="D77" t="s">
        <v>3642</v>
      </c>
      <c r="E77" s="762" t="str">
        <f>_xlfn.XLOOKUP(D77,RUC!$B$3:$B$123,RUC!$D$3:$D$123)</f>
        <v>20601769396*</v>
      </c>
      <c r="G77" s="1082">
        <v>98</v>
      </c>
      <c r="H77" s="762" t="s">
        <v>108</v>
      </c>
      <c r="I77" s="703">
        <v>3.04</v>
      </c>
      <c r="J77" s="596">
        <v>17.3</v>
      </c>
      <c r="K77" s="703">
        <f t="shared" si="32"/>
        <v>2.5139999999999998</v>
      </c>
      <c r="L77" s="1192">
        <v>0.222</v>
      </c>
      <c r="M77" s="994">
        <f t="shared" si="51"/>
        <v>0.20300000000000001</v>
      </c>
      <c r="N77" s="1196">
        <f t="shared" si="52"/>
        <v>0.20300000000000001</v>
      </c>
      <c r="O77" s="645">
        <f t="shared" si="35"/>
        <v>0.20300000000000001</v>
      </c>
      <c r="P77" s="727">
        <v>84</v>
      </c>
      <c r="Q77" s="1476">
        <v>84.23</v>
      </c>
      <c r="R77" s="706">
        <v>4480.8</v>
      </c>
      <c r="S77" s="765">
        <f>IF((_xlfn.XLOOKUP(D77,RUC!$B$3:$B$119,RUC!$E$3:$E$119)+ROUNDDOWN(O77,1)*100)&lt;95,95,((_xlfn.XLOOKUP(D77,RUC!$B$3:$B$119,RUC!$E$3:$E$119)+ROUNDDOWN(O77,1)*100)))</f>
        <v>110</v>
      </c>
      <c r="U77" s="1146">
        <f>_xlfn.XLOOKUP(D77,RUC!$B$3:$B$123,RUC!$F$3:$F$123)</f>
        <v>120</v>
      </c>
      <c r="V77" s="715">
        <v>1.1023000000000001</v>
      </c>
      <c r="Y77" s="1445">
        <v>30</v>
      </c>
      <c r="Z77" s="1454">
        <v>40</v>
      </c>
      <c r="AA77" s="144">
        <f t="shared" si="36"/>
        <v>70</v>
      </c>
      <c r="AB77" s="145">
        <f t="shared" si="53"/>
        <v>621.26026591679999</v>
      </c>
      <c r="AC77" s="145">
        <f>+(S77-T77)*V77-'data 1'!$F$4</f>
        <v>41.253</v>
      </c>
      <c r="AD77" s="145">
        <f t="shared" si="37"/>
        <v>2.4544081643040427</v>
      </c>
      <c r="AE77" s="145">
        <f t="shared" si="48"/>
        <v>7.1610000000000014</v>
      </c>
      <c r="AF77" s="145">
        <f t="shared" si="39"/>
        <v>76.928343006407957</v>
      </c>
      <c r="AG77" s="772">
        <f t="shared" si="49"/>
        <v>144.79675117071201</v>
      </c>
      <c r="AH77" s="1253">
        <f t="shared" si="40"/>
        <v>16.117000000000001</v>
      </c>
      <c r="AI77" s="1253">
        <f t="shared" si="41"/>
        <v>19.135000000000002</v>
      </c>
      <c r="AJ77" s="156">
        <f t="shared" si="42"/>
        <v>51.365038804295963</v>
      </c>
      <c r="AK77" s="156">
        <f t="shared" si="43"/>
        <v>14.697709746899005</v>
      </c>
      <c r="AM77" s="716">
        <f t="shared" si="44"/>
        <v>1561.848308514835</v>
      </c>
      <c r="AN77" s="716" t="str">
        <f>_xlfn.XLOOKUP(D77,RUC!$B$3:$B$578,RUC!$M$3:$M$578)</f>
        <v>Zudaire</v>
      </c>
      <c r="AO77" s="1167" t="s">
        <v>2277</v>
      </c>
      <c r="AP77" t="s">
        <v>4079</v>
      </c>
      <c r="AQ77" t="s">
        <v>2866</v>
      </c>
    </row>
    <row r="78" spans="1:43" ht="15" customHeight="1">
      <c r="A78" s="747" t="s">
        <v>4002</v>
      </c>
      <c r="B78" s="1594">
        <v>46024</v>
      </c>
      <c r="C78" s="1447">
        <v>46015</v>
      </c>
      <c r="D78" t="s">
        <v>2004</v>
      </c>
      <c r="E78" s="762">
        <f>_xlfn.XLOOKUP(D78,RUC!$B$3:$B$123,RUC!$D$3:$D$123)</f>
        <v>20612921866</v>
      </c>
      <c r="G78" s="1082">
        <v>50</v>
      </c>
      <c r="H78" s="762" t="s">
        <v>69</v>
      </c>
      <c r="I78" s="703">
        <v>5.35</v>
      </c>
      <c r="J78" s="596">
        <v>1.3</v>
      </c>
      <c r="K78" s="703">
        <f t="shared" si="32"/>
        <v>5.28</v>
      </c>
      <c r="L78" s="1192">
        <v>0.41399999999999998</v>
      </c>
      <c r="M78" s="994">
        <f t="shared" si="51"/>
        <v>0.38900000000000001</v>
      </c>
      <c r="N78" s="1196">
        <f t="shared" ref="N78:N81" si="54">+M78</f>
        <v>0.38900000000000001</v>
      </c>
      <c r="O78" s="645">
        <f t="shared" si="35"/>
        <v>0.38900000000000001</v>
      </c>
      <c r="P78" s="727">
        <v>90</v>
      </c>
      <c r="Q78" s="1476">
        <v>95.89</v>
      </c>
      <c r="R78" s="706">
        <v>4480.8</v>
      </c>
      <c r="S78" s="765">
        <f>IF((_xlfn.XLOOKUP(D78,RUC!$B$3:$B$119,RUC!$E$3:$E$119)+ROUNDDOWN(O78,1)*100)&lt;95,95,((_xlfn.XLOOKUP(D78,RUC!$B$3:$B$119,RUC!$E$3:$E$119)+ROUNDDOWN(O78,1)*100)))</f>
        <v>110</v>
      </c>
      <c r="U78" s="1146">
        <f>_xlfn.XLOOKUP(D78,RUC!$B$3:$B$123,RUC!$F$3:$F$123)</f>
        <v>100</v>
      </c>
      <c r="V78" s="715">
        <v>1.1023000000000001</v>
      </c>
      <c r="Y78">
        <f>_xlfn.XLOOKUP(D78,RUC!$B$3:$B$123,RUC!$G$3:$G$123)</f>
        <v>0</v>
      </c>
      <c r="Z78" s="143">
        <f>_xlfn.XLOOKUP(D78,RUC!$B$3:$B$123,RUC!$H$3:$H$123)</f>
        <v>30</v>
      </c>
      <c r="AA78" s="144">
        <f t="shared" si="36"/>
        <v>30</v>
      </c>
      <c r="AB78" s="145">
        <f t="shared" si="53"/>
        <v>1536.295439584</v>
      </c>
      <c r="AC78" s="145">
        <f>+(S78-T78)*V78-'data 1'!$F$4</f>
        <v>41.253</v>
      </c>
      <c r="AD78" s="145">
        <f t="shared" si="37"/>
        <v>117.75215657606402</v>
      </c>
      <c r="AE78" s="145">
        <f t="shared" si="48"/>
        <v>-36.930999999999997</v>
      </c>
      <c r="AF78" s="145">
        <f t="shared" si="39"/>
        <v>115.76214387439987</v>
      </c>
      <c r="AG78" s="772">
        <f t="shared" ref="AG78:AG79" si="55">AC78+AD78+AE78+AF78+70-10</f>
        <v>297.83630045046391</v>
      </c>
      <c r="AH78" s="1253">
        <f t="shared" si="40"/>
        <v>71.864999999999995</v>
      </c>
      <c r="AI78" s="1253">
        <f t="shared" si="41"/>
        <v>74.944999999999993</v>
      </c>
      <c r="AJ78" s="156">
        <f t="shared" si="42"/>
        <v>100.29703175373592</v>
      </c>
      <c r="AK78" s="156">
        <f t="shared" si="43"/>
        <v>63.377499801290412</v>
      </c>
      <c r="AM78" s="716">
        <f t="shared" si="44"/>
        <v>8111.6399210035197</v>
      </c>
      <c r="AN78" s="716" t="str">
        <f>_xlfn.XLOOKUP(D78,RUC!$B$3:$B$578,RUC!$M$3:$M$578)</f>
        <v>Ronald Garibay</v>
      </c>
      <c r="AO78" s="1167" t="s">
        <v>2280</v>
      </c>
      <c r="AP78" t="s">
        <v>4081</v>
      </c>
      <c r="AQ78" t="s">
        <v>4082</v>
      </c>
    </row>
    <row r="79" spans="1:43" ht="15" customHeight="1">
      <c r="A79" s="747" t="s">
        <v>4003</v>
      </c>
      <c r="B79" s="1594">
        <v>46024</v>
      </c>
      <c r="C79" s="1447">
        <v>46015</v>
      </c>
      <c r="D79" t="s">
        <v>2004</v>
      </c>
      <c r="E79" s="762">
        <f>_xlfn.XLOOKUP(D79,RUC!$B$3:$B$123,RUC!$D$3:$D$123)</f>
        <v>20612921866</v>
      </c>
      <c r="G79" s="1082">
        <v>50</v>
      </c>
      <c r="H79" s="762" t="s">
        <v>69</v>
      </c>
      <c r="I79" s="703">
        <v>5.33</v>
      </c>
      <c r="J79" s="596">
        <v>1.35</v>
      </c>
      <c r="K79" s="703">
        <f t="shared" si="32"/>
        <v>5.258</v>
      </c>
      <c r="L79" s="1192">
        <v>0.36</v>
      </c>
      <c r="M79" s="994">
        <f t="shared" si="51"/>
        <v>0.33800000000000002</v>
      </c>
      <c r="N79" s="1196">
        <f t="shared" si="54"/>
        <v>0.33800000000000002</v>
      </c>
      <c r="O79" s="645">
        <f t="shared" si="35"/>
        <v>0.33800000000000002</v>
      </c>
      <c r="P79" s="727">
        <v>90</v>
      </c>
      <c r="Q79" s="1476">
        <v>93.89</v>
      </c>
      <c r="R79" s="706">
        <v>4480.8</v>
      </c>
      <c r="S79" s="765">
        <f>IF((_xlfn.XLOOKUP(D79,RUC!$B$3:$B$119,RUC!$E$3:$E$119)+ROUNDDOWN(O79,1)*100)&lt;95,95,((_xlfn.XLOOKUP(D79,RUC!$B$3:$B$119,RUC!$E$3:$E$119)+ROUNDDOWN(O79,1)*100)))</f>
        <v>110</v>
      </c>
      <c r="U79" s="1146">
        <f>_xlfn.XLOOKUP(D79,RUC!$B$3:$B$123,RUC!$F$3:$F$123)</f>
        <v>100</v>
      </c>
      <c r="V79" s="715">
        <v>1.1023000000000001</v>
      </c>
      <c r="Y79">
        <f>_xlfn.XLOOKUP(D79,RUC!$B$3:$B$123,RUC!$G$3:$G$123)</f>
        <v>0</v>
      </c>
      <c r="Z79" s="143">
        <f>_xlfn.XLOOKUP(D79,RUC!$B$3:$B$123,RUC!$H$3:$H$123)</f>
        <v>30</v>
      </c>
      <c r="AA79" s="144">
        <f t="shared" si="36"/>
        <v>30</v>
      </c>
      <c r="AB79" s="145">
        <f t="shared" si="53"/>
        <v>1314.6463665280003</v>
      </c>
      <c r="AC79" s="145">
        <f>+(S79-T79)*V79-'data 1'!$F$4</f>
        <v>41.253</v>
      </c>
      <c r="AD79" s="145">
        <f t="shared" si="37"/>
        <v>67.624697583360017</v>
      </c>
      <c r="AE79" s="145">
        <f t="shared" si="48"/>
        <v>-36.930999999999997</v>
      </c>
      <c r="AF79" s="145">
        <f t="shared" si="39"/>
        <v>99.745946039871839</v>
      </c>
      <c r="AG79" s="772">
        <f t="shared" si="55"/>
        <v>231.69264362323185</v>
      </c>
      <c r="AH79" s="1253">
        <f t="shared" si="40"/>
        <v>60.933</v>
      </c>
      <c r="AI79" s="1253">
        <f t="shared" si="41"/>
        <v>64.897999999999996</v>
      </c>
      <c r="AJ79" s="156">
        <f t="shared" si="42"/>
        <v>85.39575066863992</v>
      </c>
      <c r="AK79" s="156">
        <f t="shared" si="43"/>
        <v>54.838915905610982</v>
      </c>
      <c r="AM79" s="716">
        <f t="shared" si="44"/>
        <v>6912.4105952042255</v>
      </c>
      <c r="AN79" s="716" t="str">
        <f>_xlfn.XLOOKUP(D79,RUC!$B$3:$B$578,RUC!$M$3:$M$578)</f>
        <v>Ronald Garibay</v>
      </c>
      <c r="AO79" s="1167" t="s">
        <v>2280</v>
      </c>
      <c r="AP79" t="s">
        <v>4081</v>
      </c>
      <c r="AQ79" t="s">
        <v>4082</v>
      </c>
    </row>
    <row r="80" spans="1:43" ht="15" customHeight="1">
      <c r="A80" s="747" t="s">
        <v>4008</v>
      </c>
      <c r="B80" s="1447">
        <v>46024</v>
      </c>
      <c r="C80" s="1447">
        <v>46015</v>
      </c>
      <c r="D80" t="s">
        <v>2444</v>
      </c>
      <c r="E80" s="762">
        <f>_xlfn.XLOOKUP(D80,RUC!$B$3:$B$123,RUC!$D$3:$D$123)</f>
        <v>20608774000</v>
      </c>
      <c r="G80" s="1082">
        <v>30</v>
      </c>
      <c r="H80" s="762" t="s">
        <v>69</v>
      </c>
      <c r="I80" s="703">
        <v>2.84</v>
      </c>
      <c r="J80" s="596">
        <v>1.5</v>
      </c>
      <c r="K80" s="703">
        <f t="shared" ref="K80:K105" si="56">ROUND(+I80-(I80*(J80/100)),3)</f>
        <v>2.7970000000000002</v>
      </c>
      <c r="L80" s="1192">
        <v>0.25</v>
      </c>
      <c r="M80" s="994">
        <f t="shared" si="51"/>
        <v>0.23100000000000001</v>
      </c>
      <c r="N80" s="1196">
        <f t="shared" si="54"/>
        <v>0.23100000000000001</v>
      </c>
      <c r="O80" s="645">
        <f t="shared" ref="O80:O105" si="57">+ROUND((M80+N80)/2,3)</f>
        <v>0.23100000000000001</v>
      </c>
      <c r="P80" s="727">
        <v>90</v>
      </c>
      <c r="Q80" s="1476">
        <v>94.4</v>
      </c>
      <c r="R80" s="706">
        <v>4480.8</v>
      </c>
      <c r="S80" s="765">
        <f>IF((_xlfn.XLOOKUP(D80,RUC!$B$3:$B$119,RUC!$E$3:$E$119)+ROUNDDOWN(O80,1)*100)&lt;95,95,((_xlfn.XLOOKUP(D80,RUC!$B$3:$B$119,RUC!$E$3:$E$119)+ROUNDDOWN(O80,1)*100)))</f>
        <v>105</v>
      </c>
      <c r="U80" s="1146">
        <f>_xlfn.XLOOKUP(D80,RUC!$B$3:$B$123,RUC!$F$3:$F$123)</f>
        <v>120</v>
      </c>
      <c r="V80" s="715">
        <v>1.1023000000000001</v>
      </c>
      <c r="Y80" s="1445">
        <v>25</v>
      </c>
      <c r="Z80" s="1454">
        <v>35</v>
      </c>
      <c r="AA80" s="144">
        <f t="shared" ref="AA80:AA105" si="58">+Y80+Z80</f>
        <v>60</v>
      </c>
      <c r="AB80" s="145">
        <f t="shared" si="53"/>
        <v>817.47705573600024</v>
      </c>
      <c r="AC80" s="145">
        <f>+(S80-T80)*V80-'data 1'!$F$4</f>
        <v>35.741500000000002</v>
      </c>
      <c r="AD80" s="145">
        <f t="shared" ref="AD80:AD105" si="59">+(Q80-P80)*(R80-U80)*L80*V80/100</f>
        <v>52.876008240000075</v>
      </c>
      <c r="AE80" s="145">
        <f t="shared" si="48"/>
        <v>-3.8619999999999948</v>
      </c>
      <c r="AF80" s="145">
        <f t="shared" ref="AF80:AF105" si="60">(L80-O80)*(R80-U80)*Q80*V80/100</f>
        <v>86.216734890239948</v>
      </c>
      <c r="AG80" s="772">
        <f t="shared" ref="AG80:AG91" si="61">AC80+AD80+AE80+AF80+70-53</f>
        <v>187.97224313024003</v>
      </c>
      <c r="AH80" s="1253">
        <f t="shared" ref="AH80:AH105" si="62">ROUND((31.1035*L80*Q80*1.1023*K80/100),3)</f>
        <v>22.632000000000001</v>
      </c>
      <c r="AI80" s="1253">
        <f t="shared" ref="AI80:AI105" si="63">ROUND((31.1035*L80*1.1023*K80),3)</f>
        <v>23.974</v>
      </c>
      <c r="AJ80" s="156">
        <f t="shared" ref="AJ80:AJ105" si="64">+((+$AJ$2-R80+U80)*L80*Q80*V80)/100</f>
        <v>64.827585759999963</v>
      </c>
      <c r="AK80" s="156">
        <f t="shared" ref="AK80:AK105" si="65">31.1035*1.1023*K80*P80*O80/100</f>
        <v>19.936826295139216</v>
      </c>
      <c r="AM80" s="716">
        <f t="shared" ref="AM80:AM105" si="66">+IF(AB80*K80&gt;0,AB80*K80,0)</f>
        <v>2286.4833248935929</v>
      </c>
      <c r="AN80" s="716" t="str">
        <f>_xlfn.XLOOKUP(D80,RUC!$B$3:$B$578,RUC!$M$3:$M$578)</f>
        <v>Ronald Miranda</v>
      </c>
      <c r="AO80" s="1167" t="s">
        <v>2278</v>
      </c>
      <c r="AP80" t="s">
        <v>4080</v>
      </c>
      <c r="AQ80" t="s">
        <v>3492</v>
      </c>
    </row>
    <row r="81" spans="1:43" ht="15" customHeight="1">
      <c r="A81" s="747" t="s">
        <v>4011</v>
      </c>
      <c r="B81" s="1447">
        <v>46024</v>
      </c>
      <c r="C81" s="1447">
        <v>46015</v>
      </c>
      <c r="D81" t="s">
        <v>2444</v>
      </c>
      <c r="E81" s="762">
        <f>_xlfn.XLOOKUP(D81,RUC!$B$3:$B$123,RUC!$D$3:$D$123)</f>
        <v>20608774000</v>
      </c>
      <c r="G81" s="1082">
        <v>60</v>
      </c>
      <c r="H81" s="762" t="s">
        <v>69</v>
      </c>
      <c r="I81" s="703">
        <v>4.8099999999999996</v>
      </c>
      <c r="J81" s="596">
        <v>1.2</v>
      </c>
      <c r="K81" s="703">
        <f t="shared" si="56"/>
        <v>4.7519999999999998</v>
      </c>
      <c r="L81" s="1192">
        <v>0.53800000000000003</v>
      </c>
      <c r="M81" s="994">
        <f t="shared" si="51"/>
        <v>0.50600000000000001</v>
      </c>
      <c r="N81" s="1590">
        <f t="shared" si="54"/>
        <v>0.50600000000000001</v>
      </c>
      <c r="O81" s="645">
        <f t="shared" si="57"/>
        <v>0.50600000000000001</v>
      </c>
      <c r="P81" s="727">
        <v>78</v>
      </c>
      <c r="Q81" s="1572">
        <v>78.25</v>
      </c>
      <c r="R81" s="706">
        <v>4480.8</v>
      </c>
      <c r="S81" s="765">
        <f>IF((_xlfn.XLOOKUP(D81,RUC!$B$3:$B$119,RUC!$E$3:$E$119)+ROUNDDOWN(O81,1)*100)&lt;95,95,((_xlfn.XLOOKUP(D81,RUC!$B$3:$B$119,RUC!$E$3:$E$119)+ROUNDDOWN(O81,1)*100)))</f>
        <v>135</v>
      </c>
      <c r="U81" s="1146">
        <f>_xlfn.XLOOKUP(D81,RUC!$B$3:$B$123,RUC!$F$3:$F$123)</f>
        <v>120</v>
      </c>
      <c r="V81" s="715">
        <v>1.1023000000000001</v>
      </c>
      <c r="Y81" s="1445">
        <v>25</v>
      </c>
      <c r="Z81" s="1454">
        <v>35</v>
      </c>
      <c r="AA81" s="144">
        <f t="shared" si="58"/>
        <v>60</v>
      </c>
      <c r="AB81" s="145">
        <f t="shared" si="53"/>
        <v>1682.2426756512004</v>
      </c>
      <c r="AC81" s="145">
        <f>+(S81-T81)*V81-'data 1'!$F$4</f>
        <v>68.810500000000019</v>
      </c>
      <c r="AD81" s="145">
        <f t="shared" si="59"/>
        <v>6.4652937348000004</v>
      </c>
      <c r="AE81" s="145">
        <f t="shared" si="48"/>
        <v>-3.8619999999999948</v>
      </c>
      <c r="AF81" s="145">
        <f t="shared" si="60"/>
        <v>120.3650223936001</v>
      </c>
      <c r="AG81" s="772">
        <f t="shared" si="61"/>
        <v>208.77881612840014</v>
      </c>
      <c r="AH81" s="1253">
        <f t="shared" si="62"/>
        <v>68.588999999999999</v>
      </c>
      <c r="AI81" s="1253">
        <f t="shared" si="63"/>
        <v>87.653000000000006</v>
      </c>
      <c r="AJ81" s="156">
        <f t="shared" si="64"/>
        <v>115.64169996259994</v>
      </c>
      <c r="AK81" s="156">
        <f t="shared" si="65"/>
        <v>64.302909052887642</v>
      </c>
      <c r="AM81" s="716">
        <f t="shared" si="66"/>
        <v>7994.0171946945038</v>
      </c>
      <c r="AN81" s="716" t="str">
        <f>_xlfn.XLOOKUP(D81,RUC!$B$3:$B$578,RUC!$M$3:$M$578)</f>
        <v>Ronald Miranda</v>
      </c>
      <c r="AO81" s="1167" t="s">
        <v>2280</v>
      </c>
      <c r="AP81" t="s">
        <v>4080</v>
      </c>
      <c r="AQ81" t="s">
        <v>3492</v>
      </c>
    </row>
    <row r="82" spans="1:43" ht="15" customHeight="1">
      <c r="A82" s="747" t="s">
        <v>4013</v>
      </c>
      <c r="B82" s="1447">
        <v>46024</v>
      </c>
      <c r="C82" s="1447">
        <v>46016</v>
      </c>
      <c r="D82" t="s">
        <v>4067</v>
      </c>
      <c r="E82" s="762">
        <f>_xlfn.XLOOKUP(D82,RUC!$B$3:$B$123,RUC!$D$3:$D$123)</f>
        <v>10239291240</v>
      </c>
      <c r="G82" s="1082" t="s">
        <v>2985</v>
      </c>
      <c r="H82" s="762" t="s">
        <v>69</v>
      </c>
      <c r="I82" s="703">
        <v>30.14</v>
      </c>
      <c r="J82" s="596">
        <v>4.0999999999999996</v>
      </c>
      <c r="K82" s="703">
        <f t="shared" si="56"/>
        <v>28.904</v>
      </c>
      <c r="L82" s="1192">
        <v>0.19700000000000001</v>
      </c>
      <c r="M82" s="994">
        <f t="shared" si="51"/>
        <v>0.17799999999999999</v>
      </c>
      <c r="N82" s="1444">
        <v>0.219</v>
      </c>
      <c r="O82" s="645">
        <f t="shared" si="57"/>
        <v>0.19900000000000001</v>
      </c>
      <c r="P82" s="727">
        <v>90</v>
      </c>
      <c r="Q82" s="1476">
        <v>90.86</v>
      </c>
      <c r="R82" s="706">
        <v>4480.8</v>
      </c>
      <c r="S82" s="765">
        <f>IF((_xlfn.XLOOKUP(D82,RUC!$B$3:$B$119,RUC!$E$3:$E$119)+ROUNDDOWN(O82,1)*100)&lt;95,95,((_xlfn.XLOOKUP(D82,RUC!$B$3:$B$119,RUC!$E$3:$E$119)+ROUNDDOWN(O82,1)*100)))</f>
        <v>95</v>
      </c>
      <c r="U82" s="1146">
        <f>_xlfn.XLOOKUP(D82,RUC!$B$3:$B$123,RUC!$F$3:$F$123)</f>
        <v>100</v>
      </c>
      <c r="V82" s="715">
        <v>1.1023000000000001</v>
      </c>
      <c r="Y82">
        <f>_xlfn.XLOOKUP(D82,RUC!$B$3:$B$123,RUC!$G$3:$G$123)</f>
        <v>0</v>
      </c>
      <c r="Z82" s="143">
        <f>_xlfn.XLOOKUP(D82,RUC!$B$3:$B$123,RUC!$H$3:$H$123)</f>
        <v>30</v>
      </c>
      <c r="AA82" s="144">
        <f t="shared" si="58"/>
        <v>30</v>
      </c>
      <c r="AB82" s="145">
        <f t="shared" si="53"/>
        <v>727.07849094400001</v>
      </c>
      <c r="AC82" s="145">
        <f>+(S82-T82)*V82-'data 1'!$F$4</f>
        <v>24.718500000000006</v>
      </c>
      <c r="AD82" s="145">
        <f t="shared" si="59"/>
        <v>8.181216984127996</v>
      </c>
      <c r="AE82" s="145">
        <f t="shared" si="48"/>
        <v>-36.930999999999997</v>
      </c>
      <c r="AF82" s="145">
        <f t="shared" si="60"/>
        <v>-8.7751785524480095</v>
      </c>
      <c r="AG82" s="772">
        <f t="shared" si="61"/>
        <v>4.1935384316799968</v>
      </c>
      <c r="AH82" s="1253">
        <f t="shared" si="62"/>
        <v>177.381</v>
      </c>
      <c r="AI82" s="1253">
        <f t="shared" si="63"/>
        <v>195.22399999999999</v>
      </c>
      <c r="AJ82" s="156">
        <f t="shared" si="64"/>
        <v>45.222376286471963</v>
      </c>
      <c r="AK82" s="156">
        <f t="shared" si="65"/>
        <v>177.48538774491854</v>
      </c>
      <c r="AM82" s="716">
        <f t="shared" si="66"/>
        <v>21015.476702245378</v>
      </c>
      <c r="AN82" s="716" t="str">
        <f>_xlfn.XLOOKUP(D82,RUC!$B$3:$B$578,RUC!$M$3:$M$578)</f>
        <v>Alfred Torres  *</v>
      </c>
      <c r="AO82" s="1167" t="s">
        <v>2278</v>
      </c>
      <c r="AP82" t="s">
        <v>3254</v>
      </c>
      <c r="AQ82" t="s">
        <v>4084</v>
      </c>
    </row>
    <row r="83" spans="1:43" ht="15" customHeight="1">
      <c r="A83" s="747" t="s">
        <v>4016</v>
      </c>
      <c r="B83" s="1447">
        <v>46024</v>
      </c>
      <c r="C83" s="1447">
        <v>46016</v>
      </c>
      <c r="D83" t="s">
        <v>1967</v>
      </c>
      <c r="E83" s="762">
        <f>_xlfn.XLOOKUP(D83,RUC!$B$3:$B$123,RUC!$D$3:$D$123)</f>
        <v>20601769396</v>
      </c>
      <c r="G83" s="1082">
        <v>57</v>
      </c>
      <c r="H83" s="762" t="s">
        <v>108</v>
      </c>
      <c r="I83" s="703">
        <v>1.89</v>
      </c>
      <c r="J83" s="596">
        <v>16.75</v>
      </c>
      <c r="K83" s="703">
        <f t="shared" si="56"/>
        <v>1.573</v>
      </c>
      <c r="L83" s="1192">
        <v>0.12</v>
      </c>
      <c r="M83" s="994">
        <f t="shared" si="51"/>
        <v>0.10100000000000001</v>
      </c>
      <c r="N83" s="1444">
        <v>0.155</v>
      </c>
      <c r="O83" s="645">
        <f t="shared" si="57"/>
        <v>0.128</v>
      </c>
      <c r="P83" s="727">
        <v>80</v>
      </c>
      <c r="Q83" s="1476">
        <v>85</v>
      </c>
      <c r="R83" s="706">
        <v>4480.8</v>
      </c>
      <c r="S83" s="765">
        <f>IF((_xlfn.XLOOKUP(D83,RUC!$B$3:$B$119,RUC!$E$3:$E$119)+ROUNDDOWN(O83,1)*100)&lt;95,95,((_xlfn.XLOOKUP(D83,RUC!$B$3:$B$119,RUC!$E$3:$E$119)+ROUNDDOWN(O83,1)*100)))</f>
        <v>100</v>
      </c>
      <c r="U83" s="1146">
        <f>_xlfn.XLOOKUP(D83,RUC!$B$3:$B$123,RUC!$F$3:$F$123)</f>
        <v>120</v>
      </c>
      <c r="V83" s="715">
        <v>1.1023000000000001</v>
      </c>
      <c r="Y83" s="1445">
        <v>40</v>
      </c>
      <c r="Z83" s="1454">
        <v>40</v>
      </c>
      <c r="AA83" s="144">
        <f t="shared" si="58"/>
        <v>80</v>
      </c>
      <c r="AB83" s="145">
        <f t="shared" si="53"/>
        <v>293.81356761600006</v>
      </c>
      <c r="AC83" s="145">
        <f>+(S83-T83)*V83-'data 1'!$F$4</f>
        <v>30.230000000000004</v>
      </c>
      <c r="AD83" s="145">
        <f t="shared" si="59"/>
        <v>28.84145904</v>
      </c>
      <c r="AE83" s="145">
        <f t="shared" si="48"/>
        <v>18.183999999999997</v>
      </c>
      <c r="AF83" s="145">
        <f t="shared" si="60"/>
        <v>-32.686986912000037</v>
      </c>
      <c r="AG83" s="772">
        <f t="shared" si="61"/>
        <v>61.568472127999968</v>
      </c>
      <c r="AH83" s="1253">
        <f t="shared" si="62"/>
        <v>5.5010000000000003</v>
      </c>
      <c r="AI83" s="1253">
        <f t="shared" si="63"/>
        <v>6.4720000000000004</v>
      </c>
      <c r="AJ83" s="156">
        <f t="shared" si="64"/>
        <v>28.018702319999985</v>
      </c>
      <c r="AK83" s="156">
        <f t="shared" si="65"/>
        <v>5.5225257372313603</v>
      </c>
      <c r="AM83" s="716">
        <f t="shared" si="66"/>
        <v>462.16874185996807</v>
      </c>
      <c r="AN83" s="716" t="str">
        <f>_xlfn.XLOOKUP(D83,RUC!$B$3:$B$578,RUC!$M$3:$M$578)</f>
        <v>Evelyn</v>
      </c>
      <c r="AO83" s="1167" t="s">
        <v>2278</v>
      </c>
      <c r="AP83" t="s">
        <v>3127</v>
      </c>
      <c r="AQ83" t="s">
        <v>4083</v>
      </c>
    </row>
    <row r="84" spans="1:43" ht="15" customHeight="1">
      <c r="A84" s="747" t="s">
        <v>4017</v>
      </c>
      <c r="B84" s="1447">
        <v>46024</v>
      </c>
      <c r="C84" s="1447">
        <v>46016</v>
      </c>
      <c r="D84" t="s">
        <v>1967</v>
      </c>
      <c r="E84" s="762">
        <f>_xlfn.XLOOKUP(D84,RUC!$B$3:$B$123,RUC!$D$3:$D$123)</f>
        <v>20601769396</v>
      </c>
      <c r="G84" s="1082">
        <v>89</v>
      </c>
      <c r="H84" s="762" t="s">
        <v>108</v>
      </c>
      <c r="I84" s="703">
        <v>3.2</v>
      </c>
      <c r="J84" s="596">
        <v>15.77</v>
      </c>
      <c r="K84" s="703">
        <f t="shared" si="56"/>
        <v>2.6949999999999998</v>
      </c>
      <c r="L84" s="1192">
        <v>0.14899999999999999</v>
      </c>
      <c r="M84" s="994">
        <f t="shared" si="51"/>
        <v>0.13</v>
      </c>
      <c r="N84" s="1196">
        <f t="shared" ref="N84:N104" si="67">+M84</f>
        <v>0.13</v>
      </c>
      <c r="O84" s="645">
        <f t="shared" si="57"/>
        <v>0.13</v>
      </c>
      <c r="P84" s="727">
        <v>85</v>
      </c>
      <c r="Q84" s="1476">
        <v>85.23</v>
      </c>
      <c r="R84" s="706">
        <v>4480.8</v>
      </c>
      <c r="S84" s="765">
        <f>IF((_xlfn.XLOOKUP(D84,RUC!$B$3:$B$119,RUC!$E$3:$E$119)+ROUNDDOWN(O84,1)*100)&lt;95,95,((_xlfn.XLOOKUP(D84,RUC!$B$3:$B$119,RUC!$E$3:$E$119)+ROUNDDOWN(O84,1)*100)))</f>
        <v>100</v>
      </c>
      <c r="U84" s="1146">
        <f>_xlfn.XLOOKUP(D84,RUC!$B$3:$B$123,RUC!$F$3:$F$123)</f>
        <v>120</v>
      </c>
      <c r="V84" s="715">
        <v>1.1023000000000001</v>
      </c>
      <c r="Y84" s="1445">
        <v>30</v>
      </c>
      <c r="Z84" s="1454">
        <v>40</v>
      </c>
      <c r="AA84" s="144">
        <f t="shared" si="58"/>
        <v>70</v>
      </c>
      <c r="AB84" s="145">
        <f t="shared" si="53"/>
        <v>343.77253732000008</v>
      </c>
      <c r="AC84" s="145">
        <f>+(S84-T84)*V84-'data 1'!$F$4</f>
        <v>30.230000000000004</v>
      </c>
      <c r="AD84" s="145">
        <f t="shared" si="59"/>
        <v>1.6473280021680283</v>
      </c>
      <c r="AE84" s="145">
        <f t="shared" si="48"/>
        <v>7.1610000000000014</v>
      </c>
      <c r="AF84" s="145">
        <f t="shared" si="60"/>
        <v>77.841655876007962</v>
      </c>
      <c r="AG84" s="772">
        <f t="shared" si="61"/>
        <v>133.87998387817601</v>
      </c>
      <c r="AH84" s="1253">
        <f t="shared" si="62"/>
        <v>11.734</v>
      </c>
      <c r="AI84" s="1253">
        <f t="shared" si="63"/>
        <v>13.766999999999999</v>
      </c>
      <c r="AJ84" s="156">
        <f t="shared" si="64"/>
        <v>34.884026059931983</v>
      </c>
      <c r="AK84" s="156">
        <f t="shared" si="65"/>
        <v>10.210102847819876</v>
      </c>
      <c r="AM84" s="716">
        <f t="shared" si="66"/>
        <v>926.46698807740017</v>
      </c>
      <c r="AN84" s="716" t="str">
        <f>_xlfn.XLOOKUP(D84,RUC!$B$3:$B$578,RUC!$M$3:$M$578)</f>
        <v>Evelyn</v>
      </c>
      <c r="AO84" s="1167" t="s">
        <v>2278</v>
      </c>
      <c r="AP84" t="s">
        <v>3127</v>
      </c>
      <c r="AQ84" t="s">
        <v>4083</v>
      </c>
    </row>
    <row r="85" spans="1:43" ht="15" customHeight="1">
      <c r="A85" s="747" t="s">
        <v>4018</v>
      </c>
      <c r="B85" s="1447">
        <v>46024</v>
      </c>
      <c r="C85" s="1447">
        <v>46016</v>
      </c>
      <c r="D85" t="s">
        <v>1967</v>
      </c>
      <c r="E85" s="762">
        <f>_xlfn.XLOOKUP(D85,RUC!$B$3:$B$123,RUC!$D$3:$D$123)</f>
        <v>20601769396</v>
      </c>
      <c r="G85" s="1082">
        <v>74</v>
      </c>
      <c r="H85" s="762" t="s">
        <v>108</v>
      </c>
      <c r="I85" s="703">
        <v>2.5299999999999998</v>
      </c>
      <c r="J85" s="596">
        <v>17.899999999999999</v>
      </c>
      <c r="K85" s="703">
        <f t="shared" si="56"/>
        <v>2.077</v>
      </c>
      <c r="L85" s="1192">
        <v>0.155</v>
      </c>
      <c r="M85" s="994">
        <f t="shared" si="51"/>
        <v>0.13600000000000001</v>
      </c>
      <c r="N85" s="1196">
        <f t="shared" si="67"/>
        <v>0.13600000000000001</v>
      </c>
      <c r="O85" s="645">
        <f t="shared" si="57"/>
        <v>0.13600000000000001</v>
      </c>
      <c r="P85" s="727">
        <v>85</v>
      </c>
      <c r="Q85" s="1476">
        <v>87.74</v>
      </c>
      <c r="R85" s="706">
        <v>4480.8</v>
      </c>
      <c r="S85" s="765">
        <f>IF((_xlfn.XLOOKUP(D85,RUC!$B$3:$B$119,RUC!$E$3:$E$119)+ROUNDDOWN(O85,1)*100)&lt;95,95,((_xlfn.XLOOKUP(D85,RUC!$B$3:$B$119,RUC!$E$3:$E$119)+ROUNDDOWN(O85,1)*100)))</f>
        <v>100</v>
      </c>
      <c r="U85" s="1146">
        <f>_xlfn.XLOOKUP(D85,RUC!$B$3:$B$123,RUC!$F$3:$F$123)</f>
        <v>120</v>
      </c>
      <c r="V85" s="715">
        <v>1.1023000000000001</v>
      </c>
      <c r="Y85" s="1445">
        <v>30</v>
      </c>
      <c r="Z85" s="1454">
        <v>40</v>
      </c>
      <c r="AA85" s="144">
        <f t="shared" si="58"/>
        <v>70</v>
      </c>
      <c r="AB85" s="145">
        <f t="shared" si="53"/>
        <v>368.28777750400008</v>
      </c>
      <c r="AC85" s="145">
        <f>+(S85-T85)*V85-'data 1'!$F$4</f>
        <v>30.230000000000004</v>
      </c>
      <c r="AD85" s="145">
        <f t="shared" si="59"/>
        <v>20.414946090479965</v>
      </c>
      <c r="AE85" s="145">
        <f t="shared" si="48"/>
        <v>7.1610000000000014</v>
      </c>
      <c r="AF85" s="145">
        <f t="shared" si="60"/>
        <v>80.134071178703962</v>
      </c>
      <c r="AG85" s="772">
        <f t="shared" si="61"/>
        <v>154.94001726918393</v>
      </c>
      <c r="AH85" s="1253">
        <f t="shared" si="62"/>
        <v>9.6839999999999993</v>
      </c>
      <c r="AI85" s="1253">
        <f t="shared" si="63"/>
        <v>11.038</v>
      </c>
      <c r="AJ85" s="156">
        <f t="shared" si="64"/>
        <v>37.357445680519973</v>
      </c>
      <c r="AK85" s="156">
        <f t="shared" si="65"/>
        <v>8.2319628132706608</v>
      </c>
      <c r="AM85" s="716">
        <f t="shared" si="66"/>
        <v>764.93371387580817</v>
      </c>
      <c r="AN85" s="716" t="str">
        <f>_xlfn.XLOOKUP(D85,RUC!$B$3:$B$578,RUC!$M$3:$M$578)</f>
        <v>Evelyn</v>
      </c>
      <c r="AO85" s="1167" t="s">
        <v>2278</v>
      </c>
      <c r="AP85" t="s">
        <v>3127</v>
      </c>
      <c r="AQ85" t="s">
        <v>4083</v>
      </c>
    </row>
    <row r="86" spans="1:43" ht="15" customHeight="1">
      <c r="A86" s="747" t="s">
        <v>4019</v>
      </c>
      <c r="B86" s="1447">
        <v>46024</v>
      </c>
      <c r="C86" s="1447">
        <v>46016</v>
      </c>
      <c r="D86" t="s">
        <v>1967</v>
      </c>
      <c r="E86" s="762">
        <f>_xlfn.XLOOKUP(D86,RUC!$B$3:$B$123,RUC!$D$3:$D$123)</f>
        <v>20601769396</v>
      </c>
      <c r="G86" s="1082">
        <v>57</v>
      </c>
      <c r="H86" s="762" t="s">
        <v>108</v>
      </c>
      <c r="I86" s="703">
        <v>1.9</v>
      </c>
      <c r="J86" s="596">
        <v>16.899999999999999</v>
      </c>
      <c r="K86" s="703">
        <f t="shared" si="56"/>
        <v>1.579</v>
      </c>
      <c r="L86" s="1192">
        <v>0.22600000000000001</v>
      </c>
      <c r="M86" s="994">
        <f t="shared" si="51"/>
        <v>0.20699999999999999</v>
      </c>
      <c r="N86" s="1196">
        <f t="shared" si="67"/>
        <v>0.20699999999999999</v>
      </c>
      <c r="O86" s="645">
        <f t="shared" si="57"/>
        <v>0.20699999999999999</v>
      </c>
      <c r="P86" s="727">
        <v>90</v>
      </c>
      <c r="Q86" s="1476">
        <v>90.27</v>
      </c>
      <c r="R86" s="706">
        <v>4480.8</v>
      </c>
      <c r="S86" s="765">
        <f>IF((_xlfn.XLOOKUP(D86,RUC!$B$3:$B$119,RUC!$E$3:$E$119)+ROUNDDOWN(O86,1)*100)&lt;95,95,((_xlfn.XLOOKUP(D86,RUC!$B$3:$B$119,RUC!$E$3:$E$119)+ROUNDDOWN(O86,1)*100)))</f>
        <v>110</v>
      </c>
      <c r="U86" s="1146">
        <f>_xlfn.XLOOKUP(D86,RUC!$B$3:$B$123,RUC!$F$3:$F$123)</f>
        <v>120</v>
      </c>
      <c r="V86" s="715">
        <v>1.1023000000000001</v>
      </c>
      <c r="Y86" s="1445">
        <v>30</v>
      </c>
      <c r="Z86" s="1454">
        <v>40</v>
      </c>
      <c r="AA86" s="144">
        <f t="shared" si="58"/>
        <v>70</v>
      </c>
      <c r="AB86" s="145">
        <f t="shared" si="53"/>
        <v>697.11330319199999</v>
      </c>
      <c r="AC86" s="145">
        <f>+(S86-T86)*V86-'data 1'!$F$4</f>
        <v>41.253</v>
      </c>
      <c r="AD86" s="145">
        <f t="shared" si="59"/>
        <v>2.9331763843679575</v>
      </c>
      <c r="AE86" s="145">
        <f t="shared" si="48"/>
        <v>7.1610000000000014</v>
      </c>
      <c r="AF86" s="145">
        <f t="shared" si="60"/>
        <v>82.44475273879209</v>
      </c>
      <c r="AG86" s="772">
        <f t="shared" si="61"/>
        <v>150.79192912316006</v>
      </c>
      <c r="AH86" s="1253">
        <f t="shared" si="62"/>
        <v>11.044</v>
      </c>
      <c r="AI86" s="1253">
        <f t="shared" si="63"/>
        <v>12.234999999999999</v>
      </c>
      <c r="AJ86" s="156">
        <f t="shared" si="64"/>
        <v>56.040206510231954</v>
      </c>
      <c r="AK86" s="156">
        <f t="shared" si="65"/>
        <v>10.085653746275984</v>
      </c>
      <c r="AM86" s="716">
        <f t="shared" si="66"/>
        <v>1100.741905740168</v>
      </c>
      <c r="AN86" s="716" t="str">
        <f>_xlfn.XLOOKUP(D86,RUC!$B$3:$B$578,RUC!$M$3:$M$578)</f>
        <v>Evelyn</v>
      </c>
      <c r="AO86" s="1167" t="s">
        <v>2278</v>
      </c>
      <c r="AP86" t="s">
        <v>3127</v>
      </c>
      <c r="AQ86" t="s">
        <v>4083</v>
      </c>
    </row>
    <row r="87" spans="1:43" ht="15" customHeight="1">
      <c r="A87" s="747" t="s">
        <v>4022</v>
      </c>
      <c r="B87" s="1447">
        <v>46024</v>
      </c>
      <c r="C87" s="1447">
        <v>46016</v>
      </c>
      <c r="D87" t="s">
        <v>1967</v>
      </c>
      <c r="E87" s="762">
        <f>_xlfn.XLOOKUP(D87,RUC!$B$3:$B$123,RUC!$D$3:$D$123)</f>
        <v>20601769396</v>
      </c>
      <c r="G87" s="1082">
        <v>84</v>
      </c>
      <c r="H87" s="762" t="s">
        <v>108</v>
      </c>
      <c r="I87" s="703">
        <v>2.75</v>
      </c>
      <c r="J87" s="596">
        <v>15.08</v>
      </c>
      <c r="K87" s="703">
        <f t="shared" si="56"/>
        <v>2.335</v>
      </c>
      <c r="L87" s="1192">
        <v>1.1319999999999999</v>
      </c>
      <c r="M87" s="994">
        <f t="shared" si="51"/>
        <v>1.0640000000000001</v>
      </c>
      <c r="N87" s="1444">
        <v>1.127</v>
      </c>
      <c r="O87" s="645">
        <f t="shared" si="57"/>
        <v>1.0960000000000001</v>
      </c>
      <c r="P87" s="727">
        <v>90</v>
      </c>
      <c r="Q87" s="1476">
        <v>93.02</v>
      </c>
      <c r="R87" s="706">
        <v>4480.8</v>
      </c>
      <c r="S87" s="765">
        <f>IF((_xlfn.XLOOKUP(D87,RUC!$B$3:$B$119,RUC!$E$3:$E$119)+ROUNDDOWN(O87,1)*100)&lt;95,95,((_xlfn.XLOOKUP(D87,RUC!$B$3:$B$119,RUC!$E$3:$E$119)+ROUNDDOWN(O87,1)*100)))</f>
        <v>190</v>
      </c>
      <c r="U87" s="1146">
        <f>_xlfn.XLOOKUP(D87,RUC!$B$3:$B$123,RUC!$F$3:$F$123)</f>
        <v>120</v>
      </c>
      <c r="V87" s="715">
        <v>1.1023000000000001</v>
      </c>
      <c r="Y87" s="1445">
        <v>40</v>
      </c>
      <c r="Z87" s="1454">
        <v>40</v>
      </c>
      <c r="AA87" s="144">
        <f t="shared" si="58"/>
        <v>80</v>
      </c>
      <c r="AB87" s="145">
        <f t="shared" si="53"/>
        <v>4443.9148661760009</v>
      </c>
      <c r="AC87" s="145">
        <f>+(S87-T87)*V87-'data 1'!$F$4</f>
        <v>129.43700000000001</v>
      </c>
      <c r="AD87" s="145">
        <f t="shared" si="59"/>
        <v>164.33094255417578</v>
      </c>
      <c r="AE87" s="145">
        <f t="shared" si="48"/>
        <v>18.183999999999997</v>
      </c>
      <c r="AF87" s="145">
        <f t="shared" si="60"/>
        <v>160.96995119404716</v>
      </c>
      <c r="AG87" s="772">
        <f t="shared" si="61"/>
        <v>489.92189374822283</v>
      </c>
      <c r="AH87" s="1253">
        <f t="shared" si="62"/>
        <v>84.298000000000002</v>
      </c>
      <c r="AI87" s="1253">
        <f t="shared" si="63"/>
        <v>90.623999999999995</v>
      </c>
      <c r="AJ87" s="156">
        <f t="shared" si="64"/>
        <v>289.24816165302377</v>
      </c>
      <c r="AK87" s="156">
        <f t="shared" si="65"/>
        <v>78.967614313834204</v>
      </c>
      <c r="AM87" s="716">
        <f t="shared" si="66"/>
        <v>10376.541212520962</v>
      </c>
      <c r="AN87" s="716" t="str">
        <f>_xlfn.XLOOKUP(D87,RUC!$B$3:$B$578,RUC!$M$3:$M$578)</f>
        <v>Evelyn</v>
      </c>
      <c r="AO87" s="1167" t="s">
        <v>2280</v>
      </c>
      <c r="AP87" t="s">
        <v>3127</v>
      </c>
      <c r="AQ87" t="s">
        <v>4083</v>
      </c>
    </row>
    <row r="88" spans="1:43" ht="15" customHeight="1">
      <c r="A88" s="747" t="s">
        <v>4023</v>
      </c>
      <c r="B88" s="1447">
        <v>46024</v>
      </c>
      <c r="C88" s="1447">
        <v>46016</v>
      </c>
      <c r="D88" t="s">
        <v>1967</v>
      </c>
      <c r="E88" s="762">
        <f>_xlfn.XLOOKUP(D88,RUC!$B$3:$B$123,RUC!$D$3:$D$123)</f>
        <v>20601769396</v>
      </c>
      <c r="G88" s="1082">
        <v>20</v>
      </c>
      <c r="H88" s="762" t="s">
        <v>108</v>
      </c>
      <c r="I88" s="703">
        <v>0.69</v>
      </c>
      <c r="J88" s="596">
        <v>13.83</v>
      </c>
      <c r="K88" s="703">
        <f t="shared" si="56"/>
        <v>0.59499999999999997</v>
      </c>
      <c r="L88" s="1192">
        <v>0.13600000000000001</v>
      </c>
      <c r="M88" s="994">
        <f t="shared" si="51"/>
        <v>0.11700000000000001</v>
      </c>
      <c r="N88" s="1196">
        <f t="shared" si="67"/>
        <v>0.11700000000000001</v>
      </c>
      <c r="O88" s="645">
        <f t="shared" si="57"/>
        <v>0.11700000000000001</v>
      </c>
      <c r="P88" s="727">
        <v>80</v>
      </c>
      <c r="Q88" s="1476">
        <v>88.97</v>
      </c>
      <c r="R88" s="706">
        <v>4480.8</v>
      </c>
      <c r="S88" s="765">
        <f>IF((_xlfn.XLOOKUP(D88,RUC!$B$3:$B$119,RUC!$E$3:$E$119)+ROUNDDOWN(O88,1)*100)&lt;95,95,((_xlfn.XLOOKUP(D88,RUC!$B$3:$B$119,RUC!$E$3:$E$119)+ROUNDDOWN(O88,1)*100)))</f>
        <v>100</v>
      </c>
      <c r="U88" s="1146">
        <f>_xlfn.XLOOKUP(D88,RUC!$B$3:$B$123,RUC!$F$3:$F$123)</f>
        <v>120</v>
      </c>
      <c r="V88" s="715">
        <v>1.1023000000000001</v>
      </c>
      <c r="Y88" s="1445">
        <v>30</v>
      </c>
      <c r="Z88" s="1454">
        <v>40</v>
      </c>
      <c r="AA88" s="144">
        <f t="shared" si="58"/>
        <v>70</v>
      </c>
      <c r="AB88" s="145">
        <f t="shared" si="53"/>
        <v>262.53576102400001</v>
      </c>
      <c r="AC88" s="145">
        <f>+(S88-T88)*V88-'data 1'!$F$4</f>
        <v>30.230000000000004</v>
      </c>
      <c r="AD88" s="145">
        <f t="shared" si="59"/>
        <v>58.640454520128003</v>
      </c>
      <c r="AE88" s="145">
        <f t="shared" si="48"/>
        <v>7.1610000000000014</v>
      </c>
      <c r="AF88" s="145">
        <f t="shared" si="60"/>
        <v>81.257446008312016</v>
      </c>
      <c r="AG88" s="772">
        <f t="shared" si="61"/>
        <v>194.28890052844002</v>
      </c>
      <c r="AH88" s="1253">
        <f t="shared" si="62"/>
        <v>2.468</v>
      </c>
      <c r="AI88" s="1253">
        <f t="shared" si="63"/>
        <v>2.774</v>
      </c>
      <c r="AJ88" s="156">
        <f t="shared" si="64"/>
        <v>33.237652605471979</v>
      </c>
      <c r="AK88" s="156">
        <f t="shared" si="65"/>
        <v>1.9094218312806002</v>
      </c>
      <c r="AM88" s="716">
        <f t="shared" si="66"/>
        <v>156.20877780928001</v>
      </c>
      <c r="AN88" s="716" t="str">
        <f>_xlfn.XLOOKUP(D88,RUC!$B$3:$B$578,RUC!$M$3:$M$578)</f>
        <v>Evelyn</v>
      </c>
      <c r="AO88" s="1167" t="s">
        <v>2278</v>
      </c>
      <c r="AP88" t="s">
        <v>3127</v>
      </c>
      <c r="AQ88" t="s">
        <v>4083</v>
      </c>
    </row>
    <row r="89" spans="1:43" ht="15" customHeight="1">
      <c r="A89" s="747" t="s">
        <v>4026</v>
      </c>
      <c r="B89" s="1447">
        <v>46024</v>
      </c>
      <c r="C89" s="1447">
        <v>46016</v>
      </c>
      <c r="D89" t="s">
        <v>1967</v>
      </c>
      <c r="E89" s="762">
        <f>_xlfn.XLOOKUP(D89,RUC!$B$3:$B$123,RUC!$D$3:$D$123)</f>
        <v>20601769396</v>
      </c>
      <c r="G89" s="1082">
        <v>64</v>
      </c>
      <c r="H89" s="762" t="s">
        <v>108</v>
      </c>
      <c r="I89" s="703">
        <v>1.87</v>
      </c>
      <c r="J89" s="596">
        <v>15.25</v>
      </c>
      <c r="K89" s="703">
        <f t="shared" si="56"/>
        <v>1.585</v>
      </c>
      <c r="L89" s="1192">
        <v>0.14299999999999999</v>
      </c>
      <c r="M89" s="994">
        <f t="shared" si="51"/>
        <v>0.124</v>
      </c>
      <c r="N89" s="1196">
        <f t="shared" si="67"/>
        <v>0.124</v>
      </c>
      <c r="O89" s="645">
        <f t="shared" si="57"/>
        <v>0.124</v>
      </c>
      <c r="P89" s="727">
        <v>80</v>
      </c>
      <c r="Q89" s="1476">
        <v>84.62</v>
      </c>
      <c r="R89" s="706">
        <v>4480.8</v>
      </c>
      <c r="S89" s="765">
        <f>IF((_xlfn.XLOOKUP(D89,RUC!$B$3:$B$119,RUC!$E$3:$E$119)+ROUNDDOWN(O89,1)*100)&lt;95,95,((_xlfn.XLOOKUP(D89,RUC!$B$3:$B$119,RUC!$E$3:$E$119)+ROUNDDOWN(O89,1)*100)))</f>
        <v>100</v>
      </c>
      <c r="U89" s="1146">
        <f>_xlfn.XLOOKUP(D89,RUC!$B$3:$B$123,RUC!$F$3:$F$123)</f>
        <v>120</v>
      </c>
      <c r="V89" s="715">
        <v>1.1023000000000001</v>
      </c>
      <c r="Y89" s="1445">
        <v>30</v>
      </c>
      <c r="Z89" s="1454">
        <v>40</v>
      </c>
      <c r="AA89" s="144">
        <f t="shared" si="58"/>
        <v>70</v>
      </c>
      <c r="AB89" s="145">
        <f t="shared" si="53"/>
        <v>289.454456128</v>
      </c>
      <c r="AC89" s="145">
        <f>+(S89-T89)*V89-'data 1'!$F$4</f>
        <v>30.230000000000004</v>
      </c>
      <c r="AD89" s="145">
        <f t="shared" si="59"/>
        <v>31.757330548944037</v>
      </c>
      <c r="AE89" s="145">
        <f t="shared" ref="AE89:AE115" si="68">+(Y89*V89-70)+V89*(Z89-IF(D89="UNTUCA",IF(+((W89-3)*2.5+(X89-3)*3.1)&gt;0,+((W89-3)*1.5+(X89-3)*3.1),0),IF(+((W89-3)*1.5+(X89-3)*3.1)&gt;0,+((W89-3)*1.5+(X89-3)*3.1),0)))</f>
        <v>7.1610000000000014</v>
      </c>
      <c r="AF89" s="145">
        <f t="shared" si="60"/>
        <v>77.284535025551975</v>
      </c>
      <c r="AG89" s="772">
        <f t="shared" si="61"/>
        <v>163.43286557449602</v>
      </c>
      <c r="AH89" s="1253">
        <f t="shared" si="62"/>
        <v>6.5759999999999996</v>
      </c>
      <c r="AI89" s="1253">
        <f t="shared" si="63"/>
        <v>7.7709999999999999</v>
      </c>
      <c r="AJ89" s="156">
        <f t="shared" si="64"/>
        <v>33.23968533485597</v>
      </c>
      <c r="AK89" s="156">
        <f t="shared" si="65"/>
        <v>5.3907601338775999</v>
      </c>
      <c r="AM89" s="716">
        <f t="shared" si="66"/>
        <v>458.78531296287997</v>
      </c>
      <c r="AN89" s="716" t="str">
        <f>_xlfn.XLOOKUP(D89,RUC!$B$3:$B$578,RUC!$M$3:$M$578)</f>
        <v>Evelyn</v>
      </c>
      <c r="AO89" s="1167" t="s">
        <v>2278</v>
      </c>
      <c r="AP89" t="s">
        <v>3127</v>
      </c>
      <c r="AQ89" t="s">
        <v>4083</v>
      </c>
    </row>
    <row r="90" spans="1:43" ht="15" customHeight="1">
      <c r="A90" s="747" t="s">
        <v>4027</v>
      </c>
      <c r="B90" s="1447">
        <v>46024</v>
      </c>
      <c r="C90" s="1447">
        <v>46016</v>
      </c>
      <c r="D90" t="s">
        <v>1484</v>
      </c>
      <c r="E90" s="762">
        <f>_xlfn.XLOOKUP(D90,RUC!$B$3:$B$123,RUC!$D$3:$D$123)</f>
        <v>10761932735</v>
      </c>
      <c r="G90" s="1082" t="s">
        <v>2985</v>
      </c>
      <c r="H90" s="762" t="s">
        <v>69</v>
      </c>
      <c r="I90" s="703">
        <v>18.77</v>
      </c>
      <c r="J90" s="596">
        <v>15.8</v>
      </c>
      <c r="K90" s="703">
        <f t="shared" si="56"/>
        <v>15.804</v>
      </c>
      <c r="L90" s="1192">
        <v>0.183</v>
      </c>
      <c r="M90" s="994">
        <f t="shared" si="51"/>
        <v>0.16400000000000001</v>
      </c>
      <c r="N90" s="1196">
        <f t="shared" si="67"/>
        <v>0.16400000000000001</v>
      </c>
      <c r="O90" s="645">
        <f t="shared" si="57"/>
        <v>0.16400000000000001</v>
      </c>
      <c r="P90" s="727">
        <v>89</v>
      </c>
      <c r="Q90" s="1476">
        <v>89.07</v>
      </c>
      <c r="R90" s="706">
        <v>4480.8</v>
      </c>
      <c r="S90" s="765">
        <f>IF((_xlfn.XLOOKUP(D90,RUC!$B$3:$B$119,RUC!$E$3:$E$119)+ROUNDDOWN(O90,1)*100)&lt;95,95,((_xlfn.XLOOKUP(D90,RUC!$B$3:$B$119,RUC!$E$3:$E$119)+ROUNDDOWN(O90,1)*100)))</f>
        <v>100</v>
      </c>
      <c r="U90" s="1146">
        <f>_xlfn.XLOOKUP(D90,RUC!$B$3:$B$123,RUC!$F$3:$F$123)</f>
        <v>120</v>
      </c>
      <c r="V90" s="715">
        <v>1.1023000000000001</v>
      </c>
      <c r="Y90">
        <f>_xlfn.XLOOKUP(D90,RUC!$B$3:$B$123,RUC!$G$3:$G$123)</f>
        <v>20</v>
      </c>
      <c r="Z90" s="143">
        <f>_xlfn.XLOOKUP(D90,RUC!$B$3:$B$123,RUC!$H$3:$H$123)</f>
        <v>30</v>
      </c>
      <c r="AA90" s="144">
        <f t="shared" si="58"/>
        <v>50</v>
      </c>
      <c r="AB90" s="145">
        <f t="shared" si="53"/>
        <v>536.2715602464001</v>
      </c>
      <c r="AC90" s="145">
        <f>+(S90-T90)*V90-'data 1'!$F$4</f>
        <v>30.230000000000004</v>
      </c>
      <c r="AD90" s="145">
        <f t="shared" si="59"/>
        <v>0.61576515050393998</v>
      </c>
      <c r="AE90" s="145">
        <f t="shared" si="68"/>
        <v>-14.884999999999998</v>
      </c>
      <c r="AF90" s="145">
        <f t="shared" si="60"/>
        <v>81.348777295271944</v>
      </c>
      <c r="AG90" s="772">
        <f t="shared" si="61"/>
        <v>114.30954244577589</v>
      </c>
      <c r="AH90" s="1253">
        <f t="shared" si="62"/>
        <v>88.32</v>
      </c>
      <c r="AI90" s="1253">
        <f t="shared" si="63"/>
        <v>99.158000000000001</v>
      </c>
      <c r="AJ90" s="156">
        <f t="shared" si="64"/>
        <v>44.774463162995964</v>
      </c>
      <c r="AK90" s="156">
        <f t="shared" si="65"/>
        <v>79.087881969451516</v>
      </c>
      <c r="AM90" s="716">
        <f t="shared" si="66"/>
        <v>8475.235738134108</v>
      </c>
      <c r="AN90" s="716" t="str">
        <f>_xlfn.XLOOKUP(D90,RUC!$B$3:$B$578,RUC!$M$3:$M$578)</f>
        <v>Richard Sapacayo</v>
      </c>
      <c r="AO90" s="1167" t="s">
        <v>2280</v>
      </c>
      <c r="AP90" t="s">
        <v>4085</v>
      </c>
      <c r="AQ90" t="s">
        <v>4086</v>
      </c>
    </row>
    <row r="91" spans="1:43" ht="15" customHeight="1">
      <c r="A91" s="747" t="s">
        <v>4028</v>
      </c>
      <c r="B91" s="1447">
        <v>46024</v>
      </c>
      <c r="C91" s="1447">
        <v>46016</v>
      </c>
      <c r="D91" t="s">
        <v>1967</v>
      </c>
      <c r="E91" s="762">
        <f>_xlfn.XLOOKUP(D91,RUC!$B$3:$B$123,RUC!$D$3:$D$123)</f>
        <v>20601769396</v>
      </c>
      <c r="G91" s="1082">
        <v>81</v>
      </c>
      <c r="H91" s="762" t="s">
        <v>108</v>
      </c>
      <c r="I91" s="703">
        <v>2.65</v>
      </c>
      <c r="J91" s="596">
        <v>14.25</v>
      </c>
      <c r="K91" s="703">
        <f t="shared" si="56"/>
        <v>2.2719999999999998</v>
      </c>
      <c r="L91" s="1192">
        <v>0.13500000000000001</v>
      </c>
      <c r="M91" s="994">
        <f t="shared" si="51"/>
        <v>0.11600000000000001</v>
      </c>
      <c r="N91" s="1196">
        <f t="shared" si="67"/>
        <v>0.11600000000000001</v>
      </c>
      <c r="O91" s="645">
        <f t="shared" si="57"/>
        <v>0.11600000000000001</v>
      </c>
      <c r="P91" s="727">
        <v>80</v>
      </c>
      <c r="Q91" s="1476">
        <v>88.15</v>
      </c>
      <c r="R91" s="706">
        <v>4480.8</v>
      </c>
      <c r="S91" s="765">
        <f>IF((_xlfn.XLOOKUP(D91,RUC!$B$3:$B$119,RUC!$E$3:$E$119)+ROUNDDOWN(O91,1)*100)&lt;95,95,((_xlfn.XLOOKUP(D91,RUC!$B$3:$B$119,RUC!$E$3:$E$119)+ROUNDDOWN(O91,1)*100)))</f>
        <v>100</v>
      </c>
      <c r="U91" s="1146">
        <f>_xlfn.XLOOKUP(D91,RUC!$B$3:$B$123,RUC!$F$3:$F$123)</f>
        <v>120</v>
      </c>
      <c r="V91" s="715">
        <v>1.1023000000000001</v>
      </c>
      <c r="Y91" s="1445">
        <v>30</v>
      </c>
      <c r="Z91" s="1454">
        <v>40</v>
      </c>
      <c r="AA91" s="144">
        <f t="shared" si="58"/>
        <v>70</v>
      </c>
      <c r="AB91" s="145">
        <f t="shared" si="53"/>
        <v>258.69023315200013</v>
      </c>
      <c r="AC91" s="145">
        <f>+(S91-T91)*V91-'data 1'!$F$4</f>
        <v>30.230000000000004</v>
      </c>
      <c r="AD91" s="145">
        <f t="shared" si="59"/>
        <v>52.888025514600038</v>
      </c>
      <c r="AE91" s="145">
        <f t="shared" si="68"/>
        <v>7.1610000000000014</v>
      </c>
      <c r="AF91" s="145">
        <f t="shared" si="60"/>
        <v>80.508529455240023</v>
      </c>
      <c r="AG91" s="772">
        <f t="shared" si="61"/>
        <v>187.78755496984007</v>
      </c>
      <c r="AH91" s="1253">
        <f t="shared" si="62"/>
        <v>9.27</v>
      </c>
      <c r="AI91" s="1253">
        <f t="shared" si="63"/>
        <v>10.516</v>
      </c>
      <c r="AJ91" s="156">
        <f t="shared" si="64"/>
        <v>32.68917277289998</v>
      </c>
      <c r="AK91" s="156">
        <f t="shared" si="65"/>
        <v>7.2287860730828788</v>
      </c>
      <c r="AM91" s="716">
        <f t="shared" si="66"/>
        <v>587.7442097213443</v>
      </c>
      <c r="AN91" s="716" t="str">
        <f>_xlfn.XLOOKUP(D91,RUC!$B$3:$B$578,RUC!$M$3:$M$578)</f>
        <v>Evelyn</v>
      </c>
      <c r="AO91" s="1167" t="s">
        <v>2278</v>
      </c>
      <c r="AP91" t="s">
        <v>3127</v>
      </c>
      <c r="AQ91" t="s">
        <v>4083</v>
      </c>
    </row>
    <row r="92" spans="1:43" ht="15" customHeight="1">
      <c r="A92" s="747" t="s">
        <v>4031</v>
      </c>
      <c r="B92" s="1447">
        <v>46028</v>
      </c>
      <c r="C92" s="1447">
        <v>46016</v>
      </c>
      <c r="D92" t="s">
        <v>3062</v>
      </c>
      <c r="E92" s="762">
        <f>_xlfn.XLOOKUP(D92,RUC!$B$3:$B$123,RUC!$D$3:$D$123)</f>
        <v>20610807004</v>
      </c>
      <c r="G92" s="1082">
        <v>30</v>
      </c>
      <c r="H92" s="762" t="s">
        <v>2005</v>
      </c>
      <c r="I92" s="703">
        <v>2.31</v>
      </c>
      <c r="J92" s="596">
        <v>19.100000000000001</v>
      </c>
      <c r="K92" s="703">
        <f t="shared" si="56"/>
        <v>1.869</v>
      </c>
      <c r="L92" s="1192">
        <v>0.28199999999999997</v>
      </c>
      <c r="M92" s="994">
        <f t="shared" si="51"/>
        <v>0.26300000000000001</v>
      </c>
      <c r="N92" s="1196">
        <f t="shared" si="67"/>
        <v>0.26300000000000001</v>
      </c>
      <c r="O92" s="645">
        <f t="shared" si="57"/>
        <v>0.26300000000000001</v>
      </c>
      <c r="P92" s="727">
        <v>89</v>
      </c>
      <c r="Q92" s="1476">
        <v>89.01</v>
      </c>
      <c r="R92" s="706">
        <v>4480.8</v>
      </c>
      <c r="S92" s="765">
        <f>IF((_xlfn.XLOOKUP(D92,RUC!$B$3:$B$119,RUC!$E$3:$E$119)+ROUNDDOWN(O92,1)*100)&lt;95,95,((_xlfn.XLOOKUP(D92,RUC!$B$3:$B$119,RUC!$E$3:$E$119)+ROUNDDOWN(O92,1)*100)))</f>
        <v>105</v>
      </c>
      <c r="U92" s="1146">
        <f>_xlfn.XLOOKUP(D92,RUC!$B$3:$B$123,RUC!$F$3:$F$123)</f>
        <v>120</v>
      </c>
      <c r="V92" s="715">
        <v>1.1023000000000001</v>
      </c>
      <c r="Y92">
        <f>_xlfn.XLOOKUP(D92,RUC!$B$3:$B$123,RUC!$G$3:$G$123)</f>
        <v>20</v>
      </c>
      <c r="Z92" s="143">
        <f>_xlfn.XLOOKUP(D92,RUC!$B$3:$B$123,RUC!$H$3:$H$123)</f>
        <v>30</v>
      </c>
      <c r="AA92" s="144">
        <f t="shared" si="58"/>
        <v>50</v>
      </c>
      <c r="AB92" s="145">
        <f t="shared" si="53"/>
        <v>954.29688624880009</v>
      </c>
      <c r="AC92" s="145">
        <f>+(S92-T92)*V92-'data 1'!$F$4</f>
        <v>35.741500000000002</v>
      </c>
      <c r="AD92" s="145">
        <f t="shared" si="59"/>
        <v>0.13555485748806936</v>
      </c>
      <c r="AE92" s="145">
        <f t="shared" si="68"/>
        <v>-14.884999999999998</v>
      </c>
      <c r="AF92" s="145">
        <f t="shared" si="60"/>
        <v>81.293978523095845</v>
      </c>
      <c r="AG92" s="772">
        <f>AC92+AD92+AE92+AF92+70</f>
        <v>172.28603338058392</v>
      </c>
      <c r="AH92" s="1253">
        <f t="shared" si="62"/>
        <v>16.084</v>
      </c>
      <c r="AI92" s="1253">
        <f t="shared" si="63"/>
        <v>18.07</v>
      </c>
      <c r="AJ92" s="156">
        <f t="shared" si="64"/>
        <v>68.950235643911952</v>
      </c>
      <c r="AK92" s="156">
        <f t="shared" si="65"/>
        <v>14.999062879433883</v>
      </c>
      <c r="AM92" s="716">
        <f t="shared" si="66"/>
        <v>1783.5808803990074</v>
      </c>
      <c r="AN92" s="716" t="str">
        <f>_xlfn.XLOOKUP(D92,RUC!$B$3:$B$578,RUC!$M$3:$M$578)</f>
        <v>Renzo</v>
      </c>
      <c r="AO92" s="1167" t="s">
        <v>2278</v>
      </c>
      <c r="AP92" t="s">
        <v>2795</v>
      </c>
      <c r="AQ92" t="s">
        <v>3196</v>
      </c>
    </row>
    <row r="93" spans="1:43" ht="15" customHeight="1">
      <c r="A93" s="747" t="s">
        <v>4032</v>
      </c>
      <c r="B93" s="1447">
        <v>46028</v>
      </c>
      <c r="C93" s="1447">
        <v>46016</v>
      </c>
      <c r="D93" t="s">
        <v>3062</v>
      </c>
      <c r="E93" s="762">
        <f>_xlfn.XLOOKUP(D93,RUC!$B$3:$B$123,RUC!$D$3:$D$123)</f>
        <v>20610807004</v>
      </c>
      <c r="G93" s="1082">
        <v>30</v>
      </c>
      <c r="H93" s="762" t="s">
        <v>69</v>
      </c>
      <c r="I93" s="703">
        <v>2.69</v>
      </c>
      <c r="J93" s="596">
        <v>9.5</v>
      </c>
      <c r="K93" s="703">
        <f t="shared" si="56"/>
        <v>2.4340000000000002</v>
      </c>
      <c r="L93" s="1192">
        <v>0.22700000000000001</v>
      </c>
      <c r="M93" s="994">
        <f t="shared" si="51"/>
        <v>0.20799999999999999</v>
      </c>
      <c r="N93" s="1196">
        <f t="shared" si="67"/>
        <v>0.20799999999999999</v>
      </c>
      <c r="O93" s="645">
        <f t="shared" si="57"/>
        <v>0.20799999999999999</v>
      </c>
      <c r="P93" s="727">
        <v>90</v>
      </c>
      <c r="Q93" s="1476">
        <v>91.63</v>
      </c>
      <c r="R93" s="706">
        <v>4480.8</v>
      </c>
      <c r="S93" s="765">
        <f>IF((_xlfn.XLOOKUP(D93,RUC!$B$3:$B$119,RUC!$E$3:$E$119)+ROUNDDOWN(O93,1)*100)&lt;95,95,((_xlfn.XLOOKUP(D93,RUC!$B$3:$B$119,RUC!$E$3:$E$119)+ROUNDDOWN(O93,1)*100)))</f>
        <v>105</v>
      </c>
      <c r="U93" s="1146">
        <f>_xlfn.XLOOKUP(D93,RUC!$B$3:$B$123,RUC!$F$3:$F$123)</f>
        <v>120</v>
      </c>
      <c r="V93" s="715">
        <v>1.1023000000000001</v>
      </c>
      <c r="Y93">
        <f>_xlfn.XLOOKUP(D93,RUC!$B$3:$B$123,RUC!$G$3:$G$123)</f>
        <v>20</v>
      </c>
      <c r="Z93" s="143">
        <f>_xlfn.XLOOKUP(D93,RUC!$B$3:$B$123,RUC!$H$3:$H$123)</f>
        <v>30</v>
      </c>
      <c r="AA93" s="144">
        <f t="shared" si="58"/>
        <v>50</v>
      </c>
      <c r="AB93" s="145">
        <f t="shared" si="53"/>
        <v>728.99702204799996</v>
      </c>
      <c r="AC93" s="145">
        <f>+(S93-T93)*V93-'data 1'!$F$4</f>
        <v>35.741500000000002</v>
      </c>
      <c r="AD93" s="145">
        <f t="shared" si="59"/>
        <v>17.786047098983953</v>
      </c>
      <c r="AE93" s="145">
        <f t="shared" si="68"/>
        <v>-14.884999999999998</v>
      </c>
      <c r="AF93" s="145">
        <f t="shared" si="60"/>
        <v>83.686858241448078</v>
      </c>
      <c r="AG93" s="772">
        <f t="shared" ref="AG93:AG95" si="69">AC93+AD93+AE93+AF93+70</f>
        <v>192.32940534043203</v>
      </c>
      <c r="AH93" s="1253">
        <f t="shared" si="62"/>
        <v>17.358000000000001</v>
      </c>
      <c r="AI93" s="1253">
        <f t="shared" si="63"/>
        <v>18.943000000000001</v>
      </c>
      <c r="AJ93" s="156">
        <f t="shared" si="64"/>
        <v>57.136204749315965</v>
      </c>
      <c r="AK93" s="156">
        <f t="shared" si="65"/>
        <v>15.621958780964642</v>
      </c>
      <c r="AM93" s="716">
        <f t="shared" si="66"/>
        <v>1774.378751664832</v>
      </c>
      <c r="AN93" s="716" t="str">
        <f>_xlfn.XLOOKUP(D93,RUC!$B$3:$B$578,RUC!$M$3:$M$578)</f>
        <v>Renzo</v>
      </c>
      <c r="AO93" s="1167" t="s">
        <v>2278</v>
      </c>
      <c r="AP93" t="s">
        <v>2795</v>
      </c>
      <c r="AQ93" t="s">
        <v>3196</v>
      </c>
    </row>
    <row r="94" spans="1:43" ht="15" customHeight="1">
      <c r="A94" s="747" t="s">
        <v>4033</v>
      </c>
      <c r="B94" s="1447">
        <v>46028</v>
      </c>
      <c r="C94" s="1447">
        <v>46016</v>
      </c>
      <c r="D94" t="s">
        <v>3062</v>
      </c>
      <c r="E94" s="762">
        <f>_xlfn.XLOOKUP(D94,RUC!$B$3:$B$123,RUC!$D$3:$D$123)</f>
        <v>20610807004</v>
      </c>
      <c r="G94" s="1082">
        <v>30</v>
      </c>
      <c r="H94" s="762" t="s">
        <v>69</v>
      </c>
      <c r="I94" s="703">
        <v>2.57</v>
      </c>
      <c r="J94" s="596">
        <v>9.75</v>
      </c>
      <c r="K94" s="703">
        <f t="shared" si="56"/>
        <v>2.319</v>
      </c>
      <c r="L94" s="1192">
        <v>0.29799999999999999</v>
      </c>
      <c r="M94" s="994">
        <f t="shared" si="51"/>
        <v>0.27900000000000003</v>
      </c>
      <c r="N94" s="1196">
        <f t="shared" si="67"/>
        <v>0.27900000000000003</v>
      </c>
      <c r="O94" s="645">
        <f t="shared" si="57"/>
        <v>0.27900000000000003</v>
      </c>
      <c r="P94" s="727">
        <v>90</v>
      </c>
      <c r="Q94" s="1476">
        <v>92.62</v>
      </c>
      <c r="R94" s="706">
        <v>4480.8</v>
      </c>
      <c r="S94" s="765">
        <f>IF((_xlfn.XLOOKUP(D94,RUC!$B$3:$B$119,RUC!$E$3:$E$119)+ROUNDDOWN(O94,1)*100)&lt;95,95,((_xlfn.XLOOKUP(D94,RUC!$B$3:$B$119,RUC!$E$3:$E$119)+ROUNDDOWN(O94,1)*100)))</f>
        <v>105</v>
      </c>
      <c r="U94" s="1146">
        <f>_xlfn.XLOOKUP(D94,RUC!$B$3:$B$123,RUC!$F$3:$F$123)</f>
        <v>120</v>
      </c>
      <c r="V94" s="715">
        <v>1.1023000000000001</v>
      </c>
      <c r="Y94">
        <f>_xlfn.XLOOKUP(D94,RUC!$B$3:$B$123,RUC!$G$3:$G$123)</f>
        <v>20</v>
      </c>
      <c r="Z94" s="143">
        <f>_xlfn.XLOOKUP(D94,RUC!$B$3:$B$123,RUC!$H$3:$H$123)</f>
        <v>30</v>
      </c>
      <c r="AA94" s="144">
        <f t="shared" si="58"/>
        <v>50</v>
      </c>
      <c r="AB94" s="145">
        <f t="shared" si="53"/>
        <v>1036.1585608240002</v>
      </c>
      <c r="AC94" s="145">
        <f>+(S94-T94)*V94-'data 1'!$F$4</f>
        <v>35.741500000000002</v>
      </c>
      <c r="AD94" s="145">
        <f t="shared" si="59"/>
        <v>37.530429266784068</v>
      </c>
      <c r="AE94" s="145">
        <f t="shared" si="68"/>
        <v>-14.884999999999998</v>
      </c>
      <c r="AF94" s="145">
        <f t="shared" si="60"/>
        <v>84.59103798235185</v>
      </c>
      <c r="AG94" s="772">
        <f t="shared" si="69"/>
        <v>212.97796724913593</v>
      </c>
      <c r="AH94" s="1253">
        <f t="shared" si="62"/>
        <v>21.945</v>
      </c>
      <c r="AI94" s="1253">
        <f t="shared" si="63"/>
        <v>23.693000000000001</v>
      </c>
      <c r="AJ94" s="156">
        <f t="shared" si="64"/>
        <v>75.817399828015951</v>
      </c>
      <c r="AK94" s="156">
        <f t="shared" si="65"/>
        <v>19.964412318364246</v>
      </c>
      <c r="AM94" s="716">
        <f t="shared" si="66"/>
        <v>2402.8517025508563</v>
      </c>
      <c r="AN94" s="716" t="str">
        <f>_xlfn.XLOOKUP(D94,RUC!$B$3:$B$578,RUC!$M$3:$M$578)</f>
        <v>Renzo</v>
      </c>
      <c r="AO94" s="1167" t="s">
        <v>2278</v>
      </c>
      <c r="AP94" t="s">
        <v>2795</v>
      </c>
      <c r="AQ94" t="s">
        <v>3196</v>
      </c>
    </row>
    <row r="95" spans="1:43" ht="15" customHeight="1">
      <c r="A95" s="747" t="s">
        <v>4034</v>
      </c>
      <c r="B95" s="1447">
        <v>46028</v>
      </c>
      <c r="C95" s="1447">
        <v>46016</v>
      </c>
      <c r="D95" t="s">
        <v>3062</v>
      </c>
      <c r="E95" s="762">
        <f>_xlfn.XLOOKUP(D95,RUC!$B$3:$B$123,RUC!$D$3:$D$123)</f>
        <v>20610807004</v>
      </c>
      <c r="G95" s="1082">
        <v>30</v>
      </c>
      <c r="H95" s="762" t="s">
        <v>2005</v>
      </c>
      <c r="I95" s="703">
        <v>2.41</v>
      </c>
      <c r="J95" s="596">
        <v>15.05</v>
      </c>
      <c r="K95" s="703">
        <f t="shared" si="56"/>
        <v>2.0470000000000002</v>
      </c>
      <c r="L95" s="1192">
        <v>0.183</v>
      </c>
      <c r="M95" s="994">
        <f t="shared" si="51"/>
        <v>0.16400000000000001</v>
      </c>
      <c r="N95" s="1196">
        <f t="shared" si="67"/>
        <v>0.16400000000000001</v>
      </c>
      <c r="O95" s="645">
        <f t="shared" si="57"/>
        <v>0.16400000000000001</v>
      </c>
      <c r="P95" s="727">
        <v>85</v>
      </c>
      <c r="Q95" s="1476">
        <v>92.9</v>
      </c>
      <c r="R95" s="706">
        <v>4480.8</v>
      </c>
      <c r="S95" s="765">
        <f>IF((_xlfn.XLOOKUP(D95,RUC!$B$3:$B$119,RUC!$E$3:$E$119)+ROUNDDOWN(O95,1)*100)&lt;95,95,((_xlfn.XLOOKUP(D95,RUC!$B$3:$B$119,RUC!$E$3:$E$119)+ROUNDDOWN(O95,1)*100)))</f>
        <v>95</v>
      </c>
      <c r="U95" s="1146">
        <f>_xlfn.XLOOKUP(D95,RUC!$B$3:$B$123,RUC!$F$3:$F$123)</f>
        <v>120</v>
      </c>
      <c r="V95" s="715">
        <v>1.1023000000000001</v>
      </c>
      <c r="Y95">
        <f>_xlfn.XLOOKUP(D95,RUC!$B$3:$B$123,RUC!$G$3:$G$123)</f>
        <v>20</v>
      </c>
      <c r="Z95" s="143">
        <f>_xlfn.XLOOKUP(D95,RUC!$B$3:$B$123,RUC!$H$3:$H$123)</f>
        <v>30</v>
      </c>
      <c r="AA95" s="144">
        <f t="shared" si="58"/>
        <v>50</v>
      </c>
      <c r="AB95" s="145">
        <f t="shared" si="53"/>
        <v>510.2497316960002</v>
      </c>
      <c r="AC95" s="145">
        <f>+(S95-T95)*V95-'data 1'!$F$4</f>
        <v>24.718500000000006</v>
      </c>
      <c r="AD95" s="145">
        <f t="shared" si="59"/>
        <v>69.493495556880063</v>
      </c>
      <c r="AE95" s="145">
        <f t="shared" si="68"/>
        <v>-14.884999999999998</v>
      </c>
      <c r="AF95" s="145">
        <f t="shared" si="60"/>
        <v>84.846765585839961</v>
      </c>
      <c r="AG95" s="772">
        <f t="shared" si="69"/>
        <v>234.17376114272002</v>
      </c>
      <c r="AH95" s="1253">
        <f t="shared" si="62"/>
        <v>11.930999999999999</v>
      </c>
      <c r="AI95" s="1253">
        <f t="shared" si="63"/>
        <v>12.843</v>
      </c>
      <c r="AJ95" s="156">
        <f t="shared" si="64"/>
        <v>46.699760052119963</v>
      </c>
      <c r="AK95" s="156">
        <f t="shared" si="65"/>
        <v>9.7833971937659925</v>
      </c>
      <c r="AM95" s="716">
        <f t="shared" si="66"/>
        <v>1044.4812007817125</v>
      </c>
      <c r="AN95" s="716" t="str">
        <f>_xlfn.XLOOKUP(D95,RUC!$B$3:$B$578,RUC!$M$3:$M$578)</f>
        <v>Renzo</v>
      </c>
      <c r="AO95" s="1167" t="s">
        <v>2278</v>
      </c>
      <c r="AP95" t="s">
        <v>2795</v>
      </c>
      <c r="AQ95" t="s">
        <v>3196</v>
      </c>
    </row>
    <row r="96" spans="1:43" ht="15" customHeight="1">
      <c r="A96" s="747" t="s">
        <v>4035</v>
      </c>
      <c r="B96" s="1447">
        <v>46024</v>
      </c>
      <c r="C96" s="1447">
        <v>46016</v>
      </c>
      <c r="D96" t="s">
        <v>2444</v>
      </c>
      <c r="E96" s="762">
        <f>_xlfn.XLOOKUP(D96,RUC!$B$3:$B$123,RUC!$D$3:$D$123)</f>
        <v>20608774000</v>
      </c>
      <c r="G96" s="1082">
        <v>24</v>
      </c>
      <c r="H96" s="762" t="s">
        <v>69</v>
      </c>
      <c r="I96" s="703">
        <v>2.0699999999999998</v>
      </c>
      <c r="J96" s="596">
        <v>1.3</v>
      </c>
      <c r="K96" s="703">
        <f t="shared" si="56"/>
        <v>2.0430000000000001</v>
      </c>
      <c r="L96" s="1192">
        <v>0.17199999999999999</v>
      </c>
      <c r="M96" s="994">
        <f t="shared" si="51"/>
        <v>0.153</v>
      </c>
      <c r="N96" s="1196">
        <f t="shared" si="67"/>
        <v>0.153</v>
      </c>
      <c r="O96" s="645">
        <f t="shared" si="57"/>
        <v>0.153</v>
      </c>
      <c r="P96" s="727">
        <v>85</v>
      </c>
      <c r="Q96" s="1476">
        <v>90.53</v>
      </c>
      <c r="R96" s="706">
        <v>4480.8</v>
      </c>
      <c r="S96" s="765">
        <f>IF((_xlfn.XLOOKUP(D96,RUC!$B$3:$B$119,RUC!$E$3:$E$119)+ROUNDDOWN(O96,1)*100)&lt;95,95,((_xlfn.XLOOKUP(D96,RUC!$B$3:$B$119,RUC!$E$3:$E$119)+ROUNDDOWN(O96,1)*100)))</f>
        <v>95</v>
      </c>
      <c r="U96" s="1146">
        <f>_xlfn.XLOOKUP(D96,RUC!$B$3:$B$123,RUC!$F$3:$F$123)</f>
        <v>120</v>
      </c>
      <c r="V96" s="715">
        <v>1.1023000000000001</v>
      </c>
      <c r="Y96" s="1445">
        <v>25</v>
      </c>
      <c r="Z96" s="1454">
        <v>35</v>
      </c>
      <c r="AA96" s="144">
        <f t="shared" si="58"/>
        <v>60</v>
      </c>
      <c r="AB96" s="145">
        <f t="shared" si="53"/>
        <v>454.28212469199997</v>
      </c>
      <c r="AC96" s="145">
        <f>+(S96-T96)*V96-'data 1'!$F$4</f>
        <v>24.718500000000006</v>
      </c>
      <c r="AD96" s="145">
        <f t="shared" si="59"/>
        <v>45.721403634144011</v>
      </c>
      <c r="AE96" s="145">
        <f t="shared" si="68"/>
        <v>-3.8619999999999948</v>
      </c>
      <c r="AF96" s="145">
        <f t="shared" si="60"/>
        <v>82.68221408488796</v>
      </c>
      <c r="AG96" s="772">
        <f t="shared" ref="AG96" si="70">AC96+AD96+AE96+AF96+70-53</f>
        <v>166.260117719032</v>
      </c>
      <c r="AH96" s="1253">
        <f t="shared" si="62"/>
        <v>10.907</v>
      </c>
      <c r="AI96" s="1253">
        <f t="shared" si="63"/>
        <v>12.048</v>
      </c>
      <c r="AJ96" s="156">
        <f t="shared" si="64"/>
        <v>42.772911452655961</v>
      </c>
      <c r="AK96" s="156">
        <f t="shared" si="65"/>
        <v>9.1093584645888086</v>
      </c>
      <c r="AM96" s="716">
        <f t="shared" si="66"/>
        <v>928.098380745756</v>
      </c>
      <c r="AN96" s="716" t="str">
        <f>_xlfn.XLOOKUP(D96,RUC!$B$3:$B$578,RUC!$M$3:$M$578)</f>
        <v>Ronald Miranda</v>
      </c>
      <c r="AO96" s="1167" t="s">
        <v>2280</v>
      </c>
      <c r="AP96" t="s">
        <v>4087</v>
      </c>
      <c r="AQ96" t="s">
        <v>4088</v>
      </c>
    </row>
    <row r="97" spans="1:43" ht="15" customHeight="1">
      <c r="A97" s="747" t="s">
        <v>4037</v>
      </c>
      <c r="B97" s="1447">
        <v>46028</v>
      </c>
      <c r="C97" s="1447">
        <v>46016</v>
      </c>
      <c r="D97" t="s">
        <v>3062</v>
      </c>
      <c r="E97" s="762">
        <f>_xlfn.XLOOKUP(D97,RUC!$B$3:$B$123,RUC!$D$3:$D$123)</f>
        <v>20610807004</v>
      </c>
      <c r="G97" s="1082">
        <v>30</v>
      </c>
      <c r="H97" s="762" t="s">
        <v>2005</v>
      </c>
      <c r="I97" s="703">
        <v>2.41</v>
      </c>
      <c r="J97" s="596">
        <v>10.55</v>
      </c>
      <c r="K97" s="703">
        <f t="shared" si="56"/>
        <v>2.1560000000000001</v>
      </c>
      <c r="L97" s="1192">
        <v>0.247</v>
      </c>
      <c r="M97" s="994">
        <f t="shared" si="51"/>
        <v>0.22800000000000001</v>
      </c>
      <c r="N97" s="1196">
        <f t="shared" si="67"/>
        <v>0.22800000000000001</v>
      </c>
      <c r="O97" s="645">
        <f t="shared" si="57"/>
        <v>0.22800000000000001</v>
      </c>
      <c r="P97" s="727">
        <v>90</v>
      </c>
      <c r="Q97" s="1476">
        <v>93.52</v>
      </c>
      <c r="R97" s="706">
        <v>4480.8</v>
      </c>
      <c r="S97" s="765">
        <f>IF((_xlfn.XLOOKUP(D97,RUC!$B$3:$B$119,RUC!$E$3:$E$119)+ROUNDDOWN(O97,1)*100)&lt;95,95,((_xlfn.XLOOKUP(D97,RUC!$B$3:$B$119,RUC!$E$3:$E$119)+ROUNDDOWN(O97,1)*100)))</f>
        <v>105</v>
      </c>
      <c r="U97" s="1146">
        <f>_xlfn.XLOOKUP(D97,RUC!$B$3:$B$123,RUC!$F$3:$F$123)</f>
        <v>120</v>
      </c>
      <c r="V97" s="715">
        <v>1.1023000000000001</v>
      </c>
      <c r="Y97">
        <f>_xlfn.XLOOKUP(D97,RUC!$B$3:$B$123,RUC!$G$3:$G$123)</f>
        <v>20</v>
      </c>
      <c r="Z97" s="143">
        <f>_xlfn.XLOOKUP(D97,RUC!$B$3:$B$123,RUC!$H$3:$H$123)</f>
        <v>30</v>
      </c>
      <c r="AA97" s="144">
        <f t="shared" si="58"/>
        <v>50</v>
      </c>
      <c r="AB97" s="145">
        <f t="shared" si="53"/>
        <v>815.52139916800013</v>
      </c>
      <c r="AC97" s="145">
        <f>+(S97-T97)*V97-'data 1'!$F$4</f>
        <v>35.741500000000002</v>
      </c>
      <c r="AD97" s="145">
        <f t="shared" si="59"/>
        <v>41.793196912895958</v>
      </c>
      <c r="AE97" s="145">
        <f t="shared" si="68"/>
        <v>-14.884999999999998</v>
      </c>
      <c r="AF97" s="145">
        <f t="shared" si="60"/>
        <v>85.413019564991956</v>
      </c>
      <c r="AG97" s="772">
        <f t="shared" ref="AG97" si="71">AC97+AD97+AE97+AF97+70</f>
        <v>218.0627164778879</v>
      </c>
      <c r="AH97" s="1253">
        <f t="shared" si="62"/>
        <v>17.074999999999999</v>
      </c>
      <c r="AI97" s="1253">
        <f t="shared" si="63"/>
        <v>18.257999999999999</v>
      </c>
      <c r="AJ97" s="156">
        <f t="shared" si="64"/>
        <v>63.45258167830395</v>
      </c>
      <c r="AK97" s="156">
        <f t="shared" si="65"/>
        <v>15.168239669666161</v>
      </c>
      <c r="AM97" s="716">
        <f t="shared" si="66"/>
        <v>1758.2641366062085</v>
      </c>
      <c r="AN97" s="716" t="str">
        <f>_xlfn.XLOOKUP(D97,RUC!$B$3:$B$578,RUC!$M$3:$M$578)</f>
        <v>Renzo</v>
      </c>
      <c r="AO97" s="1167" t="s">
        <v>2278</v>
      </c>
      <c r="AP97" t="s">
        <v>2795</v>
      </c>
      <c r="AQ97" t="s">
        <v>3196</v>
      </c>
    </row>
    <row r="98" spans="1:43" ht="15" customHeight="1">
      <c r="A98" s="1491" t="s">
        <v>4039</v>
      </c>
      <c r="B98" s="1542">
        <v>46028</v>
      </c>
      <c r="C98" s="1447">
        <v>46016</v>
      </c>
      <c r="D98" t="s">
        <v>3062</v>
      </c>
      <c r="E98" s="762">
        <f>_xlfn.XLOOKUP(D98,RUC!$B$3:$B$123,RUC!$D$3:$D$123)</f>
        <v>20610807004</v>
      </c>
      <c r="G98" s="1082">
        <v>30</v>
      </c>
      <c r="H98" s="762" t="s">
        <v>69</v>
      </c>
      <c r="I98" s="703">
        <v>2.0099999999999998</v>
      </c>
      <c r="J98" s="596">
        <v>1.6</v>
      </c>
      <c r="K98" s="703">
        <f t="shared" si="56"/>
        <v>1.978</v>
      </c>
      <c r="L98" s="1192">
        <v>7.1999999999999995E-2</v>
      </c>
      <c r="M98" s="994">
        <f t="shared" si="51"/>
        <v>5.2999999999999999E-2</v>
      </c>
      <c r="N98" s="1196">
        <f t="shared" si="67"/>
        <v>5.2999999999999999E-2</v>
      </c>
      <c r="O98" s="645">
        <f t="shared" si="57"/>
        <v>5.2999999999999999E-2</v>
      </c>
      <c r="P98" s="727">
        <v>56</v>
      </c>
      <c r="Q98" s="1572">
        <v>56.34</v>
      </c>
      <c r="R98" s="706">
        <v>4480.8</v>
      </c>
      <c r="S98" s="765">
        <f>IF((_xlfn.XLOOKUP(D98,RUC!$B$3:$B$119,RUC!$E$3:$E$119)+ROUNDDOWN(O98,1)*100)&lt;95,95,((_xlfn.XLOOKUP(D98,RUC!$B$3:$B$119,RUC!$E$3:$E$119)+ROUNDDOWN(O98,1)*100)))</f>
        <v>95</v>
      </c>
      <c r="U98" s="1146">
        <f>_xlfn.XLOOKUP(D98,RUC!$B$3:$B$123,RUC!$F$3:$F$123)</f>
        <v>120</v>
      </c>
      <c r="V98" s="715">
        <v>1.1023000000000001</v>
      </c>
      <c r="Y98">
        <f>_xlfn.XLOOKUP(D98,RUC!$B$3:$B$123,RUC!$G$3:$G$123)</f>
        <v>20</v>
      </c>
      <c r="Z98" s="143">
        <f>_xlfn.XLOOKUP(D98,RUC!$B$3:$B$123,RUC!$H$3:$H$123)</f>
        <v>30</v>
      </c>
      <c r="AA98" s="144">
        <f t="shared" si="58"/>
        <v>50</v>
      </c>
      <c r="AB98" s="145">
        <v>0</v>
      </c>
      <c r="AC98" s="145">
        <f>+(S98-T98)*V98-'data 1'!$F$4</f>
        <v>24.718500000000006</v>
      </c>
      <c r="AD98" s="145">
        <f t="shared" si="59"/>
        <v>1.1767315288320119</v>
      </c>
      <c r="AE98" s="145">
        <f t="shared" si="68"/>
        <v>-14.884999999999998</v>
      </c>
      <c r="AF98" s="145">
        <f t="shared" si="60"/>
        <v>51.456047073263989</v>
      </c>
      <c r="AG98" s="772">
        <f>AC98+AD98+AE98+AF98+70</f>
        <v>132.466278602096</v>
      </c>
      <c r="AH98" s="1253">
        <f t="shared" si="62"/>
        <v>2.7509999999999999</v>
      </c>
      <c r="AI98" s="1253">
        <f t="shared" si="63"/>
        <v>4.883</v>
      </c>
      <c r="AJ98" s="156">
        <f t="shared" si="64"/>
        <v>11.142873096767993</v>
      </c>
      <c r="AK98" s="156">
        <f t="shared" si="65"/>
        <v>2.012793647666872</v>
      </c>
      <c r="AM98" s="716">
        <f t="shared" si="66"/>
        <v>0</v>
      </c>
      <c r="AN98" s="716" t="str">
        <f>_xlfn.XLOOKUP(D98,RUC!$B$3:$B$578,RUC!$M$3:$M$578)</f>
        <v>Renzo</v>
      </c>
      <c r="AO98" s="1167" t="s">
        <v>2280</v>
      </c>
      <c r="AP98" t="s">
        <v>2795</v>
      </c>
      <c r="AQ98" t="s">
        <v>3196</v>
      </c>
    </row>
    <row r="99" spans="1:43" ht="15" customHeight="1">
      <c r="A99" s="1491" t="s">
        <v>4041</v>
      </c>
      <c r="B99" s="1542">
        <v>46028</v>
      </c>
      <c r="C99" s="1447">
        <v>46016</v>
      </c>
      <c r="D99" t="s">
        <v>3062</v>
      </c>
      <c r="E99" s="762">
        <f>_xlfn.XLOOKUP(D99,RUC!$B$3:$B$123,RUC!$D$3:$D$123)</f>
        <v>20610807004</v>
      </c>
      <c r="G99" s="1082">
        <v>25</v>
      </c>
      <c r="H99" s="762" t="s">
        <v>69</v>
      </c>
      <c r="I99" s="703">
        <v>2.06</v>
      </c>
      <c r="J99" s="596">
        <v>2</v>
      </c>
      <c r="K99" s="703">
        <f t="shared" si="56"/>
        <v>2.0190000000000001</v>
      </c>
      <c r="L99" s="1192">
        <v>9.6000000000000002E-2</v>
      </c>
      <c r="M99" s="994">
        <f t="shared" si="51"/>
        <v>7.6999999999999999E-2</v>
      </c>
      <c r="N99" s="1196">
        <f t="shared" si="67"/>
        <v>7.6999999999999999E-2</v>
      </c>
      <c r="O99" s="645">
        <f t="shared" si="57"/>
        <v>7.6999999999999999E-2</v>
      </c>
      <c r="P99" s="727">
        <v>80</v>
      </c>
      <c r="Q99" s="1476">
        <v>86.05</v>
      </c>
      <c r="R99" s="706">
        <v>4480.8</v>
      </c>
      <c r="S99" s="765">
        <f>IF((_xlfn.XLOOKUP(D99,RUC!$B$3:$B$119,RUC!$E$3:$E$119)+ROUNDDOWN(O99,1)*100)&lt;95,95,((_xlfn.XLOOKUP(D99,RUC!$B$3:$B$119,RUC!$E$3:$E$119)+ROUNDDOWN(O99,1)*100)))</f>
        <v>95</v>
      </c>
      <c r="U99" s="1146">
        <f>_xlfn.XLOOKUP(D99,RUC!$B$3:$B$123,RUC!$F$3:$F$123)</f>
        <v>120</v>
      </c>
      <c r="V99" s="715">
        <v>1.1023000000000001</v>
      </c>
      <c r="Y99">
        <f>_xlfn.XLOOKUP(D99,RUC!$B$3:$B$123,RUC!$G$3:$G$123)</f>
        <v>20</v>
      </c>
      <c r="Z99" s="143">
        <f>_xlfn.XLOOKUP(D99,RUC!$B$3:$B$123,RUC!$H$3:$H$123)</f>
        <v>30</v>
      </c>
      <c r="AA99" s="144">
        <f t="shared" si="58"/>
        <v>50</v>
      </c>
      <c r="AB99" s="145">
        <v>0</v>
      </c>
      <c r="AC99" s="145">
        <f>+(S99-T99)*V99-'data 1'!$F$4</f>
        <v>24.718500000000006</v>
      </c>
      <c r="AD99" s="145">
        <f t="shared" si="59"/>
        <v>27.918532350719989</v>
      </c>
      <c r="AE99" s="145">
        <f t="shared" si="68"/>
        <v>-14.884999999999998</v>
      </c>
      <c r="AF99" s="145">
        <f t="shared" si="60"/>
        <v>78.590572429080012</v>
      </c>
      <c r="AG99" s="772">
        <f>AC99+AD99+AE99+AF99+70+136.27</f>
        <v>322.61260477979999</v>
      </c>
      <c r="AH99" s="1253">
        <f t="shared" si="62"/>
        <v>5.718</v>
      </c>
      <c r="AI99" s="1253">
        <f t="shared" si="63"/>
        <v>6.6449999999999996</v>
      </c>
      <c r="AJ99" s="156">
        <f t="shared" si="64"/>
        <v>22.691852561279983</v>
      </c>
      <c r="AK99" s="156">
        <f t="shared" si="65"/>
        <v>4.2640874259337211</v>
      </c>
      <c r="AM99" s="716">
        <f t="shared" si="66"/>
        <v>0</v>
      </c>
      <c r="AN99" s="716" t="str">
        <f>_xlfn.XLOOKUP(D99,RUC!$B$3:$B$578,RUC!$M$3:$M$578)</f>
        <v>Renzo</v>
      </c>
      <c r="AO99" s="1167" t="s">
        <v>2278</v>
      </c>
      <c r="AP99" t="s">
        <v>2795</v>
      </c>
      <c r="AQ99" t="s">
        <v>3196</v>
      </c>
    </row>
    <row r="100" spans="1:43" ht="15" customHeight="1">
      <c r="A100" s="747" t="s">
        <v>4043</v>
      </c>
      <c r="B100" s="1447">
        <v>46028</v>
      </c>
      <c r="C100" s="1447">
        <v>46016</v>
      </c>
      <c r="D100" t="s">
        <v>3062</v>
      </c>
      <c r="E100" s="762">
        <f>_xlfn.XLOOKUP(D100,RUC!$B$3:$B$123,RUC!$D$3:$D$123)</f>
        <v>20610807004</v>
      </c>
      <c r="G100" s="1082">
        <v>25</v>
      </c>
      <c r="H100" s="762" t="s">
        <v>69</v>
      </c>
      <c r="I100" s="703">
        <v>2.09</v>
      </c>
      <c r="J100" s="596">
        <v>4.05</v>
      </c>
      <c r="K100" s="703">
        <f t="shared" si="56"/>
        <v>2.0049999999999999</v>
      </c>
      <c r="L100" s="1192">
        <v>0.17299999999999999</v>
      </c>
      <c r="M100" s="994">
        <f t="shared" si="51"/>
        <v>0.154</v>
      </c>
      <c r="N100" s="1196">
        <f t="shared" si="67"/>
        <v>0.154</v>
      </c>
      <c r="O100" s="645">
        <f t="shared" si="57"/>
        <v>0.154</v>
      </c>
      <c r="P100" s="727">
        <v>85</v>
      </c>
      <c r="Q100" s="1476">
        <v>91.33</v>
      </c>
      <c r="R100" s="706">
        <v>4480.8</v>
      </c>
      <c r="S100" s="765">
        <f>IF((_xlfn.XLOOKUP(D100,RUC!$B$3:$B$119,RUC!$E$3:$E$119)+ROUNDDOWN(O100,1)*100)&lt;95,95,((_xlfn.XLOOKUP(D100,RUC!$B$3:$B$119,RUC!$E$3:$E$119)+ROUNDDOWN(O100,1)*100)))</f>
        <v>95</v>
      </c>
      <c r="U100" s="1146">
        <f>_xlfn.XLOOKUP(D100,RUC!$B$3:$B$123,RUC!$F$3:$F$123)</f>
        <v>120</v>
      </c>
      <c r="V100" s="715">
        <v>1.1023000000000001</v>
      </c>
      <c r="Y100">
        <f>_xlfn.XLOOKUP(D100,RUC!$B$3:$B$123,RUC!$G$3:$G$123)</f>
        <v>20</v>
      </c>
      <c r="Z100" s="143">
        <f>_xlfn.XLOOKUP(D100,RUC!$B$3:$B$123,RUC!$H$3:$H$123)</f>
        <v>30</v>
      </c>
      <c r="AA100" s="144">
        <f t="shared" si="58"/>
        <v>50</v>
      </c>
      <c r="AB100" s="145">
        <f t="shared" si="53"/>
        <v>469.390998056</v>
      </c>
      <c r="AC100" s="145">
        <f>+(S100-T100)*V100-'data 1'!$F$4</f>
        <v>24.718500000000006</v>
      </c>
      <c r="AD100" s="145">
        <f t="shared" si="59"/>
        <v>52.639988966855988</v>
      </c>
      <c r="AE100" s="145">
        <f t="shared" si="68"/>
        <v>-14.884999999999998</v>
      </c>
      <c r="AF100" s="145">
        <f t="shared" si="60"/>
        <v>83.412864380567953</v>
      </c>
      <c r="AG100" s="772">
        <f>AC100+AD100+AE100+AF100+70</f>
        <v>215.88635334742395</v>
      </c>
      <c r="AH100" s="1253">
        <f t="shared" si="62"/>
        <v>10.861000000000001</v>
      </c>
      <c r="AI100" s="1253">
        <f t="shared" si="63"/>
        <v>11.891999999999999</v>
      </c>
      <c r="AJ100" s="156">
        <f t="shared" si="64"/>
        <v>43.401766503843973</v>
      </c>
      <c r="AK100" s="156">
        <f t="shared" si="65"/>
        <v>8.9983543779687256</v>
      </c>
      <c r="AM100" s="716">
        <f t="shared" si="66"/>
        <v>941.12895110227998</v>
      </c>
      <c r="AN100" s="716" t="str">
        <f>_xlfn.XLOOKUP(D100,RUC!$B$3:$B$578,RUC!$M$3:$M$578)</f>
        <v>Renzo</v>
      </c>
      <c r="AO100" s="1167" t="s">
        <v>2278</v>
      </c>
      <c r="AP100" t="s">
        <v>2795</v>
      </c>
      <c r="AQ100" t="s">
        <v>3196</v>
      </c>
    </row>
    <row r="101" spans="1:43" ht="15" customHeight="1">
      <c r="A101" s="747" t="s">
        <v>4044</v>
      </c>
      <c r="B101" s="1447">
        <v>46028</v>
      </c>
      <c r="C101" s="1447">
        <v>46016</v>
      </c>
      <c r="D101" t="s">
        <v>93</v>
      </c>
      <c r="E101" s="762">
        <f>_xlfn.XLOOKUP(D101,RUC!$B$3:$B$123,RUC!$D$3:$D$123)</f>
        <v>20169040231</v>
      </c>
      <c r="G101" s="1082">
        <v>16</v>
      </c>
      <c r="H101" s="762" t="s">
        <v>108</v>
      </c>
      <c r="I101" s="703">
        <v>1.32</v>
      </c>
      <c r="J101" s="596">
        <v>30.1</v>
      </c>
      <c r="K101" s="703">
        <f t="shared" si="56"/>
        <v>0.92300000000000004</v>
      </c>
      <c r="L101" s="1192">
        <v>2.86</v>
      </c>
      <c r="M101" s="994">
        <v>2.605</v>
      </c>
      <c r="N101" s="1196">
        <f t="shared" si="67"/>
        <v>2.605</v>
      </c>
      <c r="O101" s="645">
        <f t="shared" si="57"/>
        <v>2.605</v>
      </c>
      <c r="P101" s="727">
        <v>90</v>
      </c>
      <c r="Q101" s="1476">
        <v>93.64</v>
      </c>
      <c r="R101" s="706">
        <v>4480.8</v>
      </c>
      <c r="S101" s="765">
        <f>IF((_xlfn.XLOOKUP(D101,RUC!$B$3:$B$119,RUC!$E$3:$E$119)+ROUNDDOWN(O101,1)*100)&lt;95,95,((_xlfn.XLOOKUP(D101,RUC!$B$3:$B$119,RUC!$E$3:$E$119)+ROUNDDOWN(O101,1)*100)))</f>
        <v>345</v>
      </c>
      <c r="U101" s="1146">
        <f>_xlfn.XLOOKUP(D101,RUC!$B$3:$B$123,RUC!$F$3:$F$123)</f>
        <v>120</v>
      </c>
      <c r="V101" s="715">
        <v>1.1023000000000001</v>
      </c>
      <c r="Y101" s="1445">
        <v>35</v>
      </c>
      <c r="Z101" s="1454">
        <v>48</v>
      </c>
      <c r="AA101" s="144">
        <f t="shared" si="58"/>
        <v>83</v>
      </c>
      <c r="AB101" s="145">
        <f t="shared" si="53"/>
        <v>10798.015719880001</v>
      </c>
      <c r="AC101" s="145">
        <f>+(S101-T101)*V101-'data 1'!$F$4</f>
        <v>300.29349999999999</v>
      </c>
      <c r="AD101" s="145">
        <f t="shared" si="59"/>
        <v>500.41854198336006</v>
      </c>
      <c r="AE101" s="145">
        <f t="shared" si="68"/>
        <v>21.490900000000003</v>
      </c>
      <c r="AF101" s="145">
        <f t="shared" si="60"/>
        <v>1147.8035454148799</v>
      </c>
      <c r="AG101" s="772">
        <f t="shared" ref="AG101" si="72">AC101+AD101+AE101+AF101+70-53</f>
        <v>1987.0064873982399</v>
      </c>
      <c r="AH101" s="1253">
        <f t="shared" si="62"/>
        <v>84.75</v>
      </c>
      <c r="AI101" s="1253">
        <f t="shared" si="63"/>
        <v>90.506</v>
      </c>
      <c r="AJ101" s="156">
        <f t="shared" si="64"/>
        <v>735.65685056863947</v>
      </c>
      <c r="AK101" s="156">
        <f t="shared" si="65"/>
        <v>74.192671177416685</v>
      </c>
      <c r="AM101" s="716">
        <f t="shared" si="66"/>
        <v>9966.5685094492419</v>
      </c>
      <c r="AN101" s="716" t="str">
        <f>_xlfn.XLOOKUP(D101,RUC!$B$3:$B$578,RUC!$M$3:$M$578)</f>
        <v>Ronald Miranda</v>
      </c>
      <c r="AO101" s="1167" t="s">
        <v>2280</v>
      </c>
      <c r="AP101" t="s">
        <v>4089</v>
      </c>
      <c r="AQ101" t="s">
        <v>4090</v>
      </c>
    </row>
    <row r="102" spans="1:43" ht="15" customHeight="1">
      <c r="A102" s="747" t="s">
        <v>4046</v>
      </c>
      <c r="B102" s="1447">
        <v>46028</v>
      </c>
      <c r="C102" s="1447">
        <v>46016</v>
      </c>
      <c r="D102" t="s">
        <v>3062</v>
      </c>
      <c r="E102" s="762">
        <f>_xlfn.XLOOKUP(D102,RUC!$B$3:$B$123,RUC!$D$3:$D$123)</f>
        <v>20610807004</v>
      </c>
      <c r="G102" s="1082">
        <v>25</v>
      </c>
      <c r="H102" s="762" t="s">
        <v>69</v>
      </c>
      <c r="I102" s="703">
        <v>2.2400000000000002</v>
      </c>
      <c r="J102" s="596">
        <v>13.7</v>
      </c>
      <c r="K102" s="703">
        <f t="shared" si="56"/>
        <v>1.9330000000000001</v>
      </c>
      <c r="L102" s="1192">
        <v>0.217</v>
      </c>
      <c r="M102" s="994">
        <f t="shared" si="51"/>
        <v>0.19800000000000001</v>
      </c>
      <c r="N102" s="1196">
        <f t="shared" si="67"/>
        <v>0.19800000000000001</v>
      </c>
      <c r="O102" s="645">
        <f t="shared" si="57"/>
        <v>0.19800000000000001</v>
      </c>
      <c r="P102" s="727">
        <v>85</v>
      </c>
      <c r="Q102" s="1476">
        <v>93.01</v>
      </c>
      <c r="R102" s="706">
        <v>4480.8</v>
      </c>
      <c r="S102" s="765">
        <f>IF((_xlfn.XLOOKUP(D102,RUC!$B$3:$B$119,RUC!$E$3:$E$119)+ROUNDDOWN(O102,1)*100)&lt;95,95,((_xlfn.XLOOKUP(D102,RUC!$B$3:$B$119,RUC!$E$3:$E$119)+ROUNDDOWN(O102,1)*100)))</f>
        <v>95</v>
      </c>
      <c r="U102" s="1146">
        <f>_xlfn.XLOOKUP(D102,RUC!$B$3:$B$123,RUC!$F$3:$F$123)</f>
        <v>120</v>
      </c>
      <c r="V102" s="715">
        <v>1.1023000000000001</v>
      </c>
      <c r="Y102">
        <f>_xlfn.XLOOKUP(D102,RUC!$B$3:$B$123,RUC!$G$3:$G$123)</f>
        <v>20</v>
      </c>
      <c r="Z102" s="143">
        <f>_xlfn.XLOOKUP(D102,RUC!$B$3:$B$123,RUC!$H$3:$H$123)</f>
        <v>30</v>
      </c>
      <c r="AA102" s="144">
        <f t="shared" si="58"/>
        <v>50</v>
      </c>
      <c r="AB102" s="145">
        <f t="shared" si="53"/>
        <v>649.16942607200019</v>
      </c>
      <c r="AC102" s="145">
        <f>+(S102-T102)*V102-'data 1'!$F$4</f>
        <v>24.718500000000006</v>
      </c>
      <c r="AD102" s="145">
        <f t="shared" si="59"/>
        <v>83.552264765928072</v>
      </c>
      <c r="AE102" s="145">
        <f t="shared" si="68"/>
        <v>-14.884999999999998</v>
      </c>
      <c r="AF102" s="145">
        <f t="shared" si="60"/>
        <v>84.947230001495953</v>
      </c>
      <c r="AG102" s="772">
        <f t="shared" ref="AG102" si="73">AC102+AD102+AE102+AF102+70</f>
        <v>248.33299476742405</v>
      </c>
      <c r="AH102" s="1253">
        <f t="shared" si="62"/>
        <v>13.375999999999999</v>
      </c>
      <c r="AI102" s="1253">
        <f t="shared" si="63"/>
        <v>14.381</v>
      </c>
      <c r="AJ102" s="156">
        <f t="shared" si="64"/>
        <v>55.441787461171963</v>
      </c>
      <c r="AK102" s="156">
        <f t="shared" si="65"/>
        <v>11.153856153439397</v>
      </c>
      <c r="AM102" s="716">
        <f t="shared" si="66"/>
        <v>1254.8445005971764</v>
      </c>
      <c r="AN102" s="716" t="str">
        <f>_xlfn.XLOOKUP(D102,RUC!$B$3:$B$578,RUC!$M$3:$M$578)</f>
        <v>Renzo</v>
      </c>
      <c r="AO102" s="1167" t="s">
        <v>2278</v>
      </c>
      <c r="AP102" t="s">
        <v>2795</v>
      </c>
      <c r="AQ102" t="s">
        <v>3196</v>
      </c>
    </row>
    <row r="103" spans="1:43" ht="15" customHeight="1">
      <c r="A103" s="747" t="s">
        <v>4047</v>
      </c>
      <c r="B103" s="1447">
        <v>46028</v>
      </c>
      <c r="C103" s="1447">
        <v>46017</v>
      </c>
      <c r="D103" t="s">
        <v>93</v>
      </c>
      <c r="E103" s="762">
        <f>_xlfn.XLOOKUP(D103,RUC!$B$3:$B$123,RUC!$D$3:$D$123)</f>
        <v>20169040231</v>
      </c>
      <c r="G103" s="1082">
        <v>28</v>
      </c>
      <c r="H103" s="762" t="s">
        <v>69</v>
      </c>
      <c r="I103" s="703">
        <v>2.71</v>
      </c>
      <c r="J103" s="596">
        <v>6.15</v>
      </c>
      <c r="K103" s="703">
        <f t="shared" si="56"/>
        <v>2.5430000000000001</v>
      </c>
      <c r="L103" s="1192">
        <v>0.36099999999999999</v>
      </c>
      <c r="M103" s="994">
        <f t="shared" si="51"/>
        <v>0.33900000000000002</v>
      </c>
      <c r="N103" s="1196">
        <f t="shared" si="67"/>
        <v>0.33900000000000002</v>
      </c>
      <c r="O103" s="645">
        <f t="shared" si="57"/>
        <v>0.33900000000000002</v>
      </c>
      <c r="P103" s="727">
        <v>90</v>
      </c>
      <c r="Q103" s="1476">
        <v>98.91</v>
      </c>
      <c r="R103" s="706">
        <v>4480.8</v>
      </c>
      <c r="S103" s="765">
        <f>IF((_xlfn.XLOOKUP(D103,RUC!$B$3:$B$119,RUC!$E$3:$E$119)+ROUNDDOWN(O103,1)*100)&lt;95,95,((_xlfn.XLOOKUP(D103,RUC!$B$3:$B$119,RUC!$E$3:$E$119)+ROUNDDOWN(O103,1)*100)))</f>
        <v>115</v>
      </c>
      <c r="U103" s="1146">
        <f>_xlfn.XLOOKUP(D103,RUC!$B$3:$B$123,RUC!$F$3:$F$123)</f>
        <v>120</v>
      </c>
      <c r="V103" s="715">
        <v>1.1023000000000001</v>
      </c>
      <c r="Y103" s="1445">
        <v>25</v>
      </c>
      <c r="Z103" s="1454">
        <v>38</v>
      </c>
      <c r="AA103" s="144">
        <f t="shared" si="58"/>
        <v>63</v>
      </c>
      <c r="AB103" s="145">
        <f t="shared" si="53"/>
        <v>1270.3787921840001</v>
      </c>
      <c r="AC103" s="145">
        <f>+(S103-T103)*V103-'data 1'!$F$4</f>
        <v>46.764500000000012</v>
      </c>
      <c r="AD103" s="145">
        <f t="shared" si="59"/>
        <v>154.61473569458397</v>
      </c>
      <c r="AE103" s="145">
        <f t="shared" si="68"/>
        <v>-0.55509999999999593</v>
      </c>
      <c r="AF103" s="145">
        <f t="shared" si="60"/>
        <v>104.59931950036781</v>
      </c>
      <c r="AG103" s="772">
        <f t="shared" ref="AG103:AG108" si="74">AC103+AD103+AE103+AF103+70-53</f>
        <v>322.42345519495183</v>
      </c>
      <c r="AH103" s="1253">
        <f t="shared" si="62"/>
        <v>31.132000000000001</v>
      </c>
      <c r="AI103" s="1253">
        <f t="shared" si="63"/>
        <v>31.475000000000001</v>
      </c>
      <c r="AJ103" s="156">
        <f t="shared" si="64"/>
        <v>98.083340644715932</v>
      </c>
      <c r="AK103" s="156">
        <f t="shared" si="65"/>
        <v>26.600980026581869</v>
      </c>
      <c r="AM103" s="716">
        <f t="shared" si="66"/>
        <v>3230.5732685239122</v>
      </c>
      <c r="AN103" s="716" t="str">
        <f>_xlfn.XLOOKUP(D103,RUC!$B$3:$B$578,RUC!$M$3:$M$578)</f>
        <v>Ronald Miranda</v>
      </c>
      <c r="AO103" s="1167" t="s">
        <v>2280</v>
      </c>
      <c r="AP103" t="s">
        <v>4089</v>
      </c>
      <c r="AQ103" t="s">
        <v>4090</v>
      </c>
    </row>
    <row r="104" spans="1:43" ht="15" customHeight="1">
      <c r="A104" s="747" t="s">
        <v>4048</v>
      </c>
      <c r="B104" s="1447">
        <v>46024</v>
      </c>
      <c r="C104" s="1447">
        <v>46017</v>
      </c>
      <c r="D104" t="s">
        <v>2444</v>
      </c>
      <c r="E104" s="762">
        <f>_xlfn.XLOOKUP(D104,RUC!$B$3:$B$123,RUC!$D$3:$D$123)</f>
        <v>20608774000</v>
      </c>
      <c r="G104" s="1082">
        <v>14</v>
      </c>
      <c r="H104" s="762" t="s">
        <v>69</v>
      </c>
      <c r="I104" s="703">
        <v>1.17</v>
      </c>
      <c r="J104" s="596">
        <v>1.2</v>
      </c>
      <c r="K104" s="703">
        <f t="shared" si="56"/>
        <v>1.1559999999999999</v>
      </c>
      <c r="L104" s="1192">
        <v>0.35799999999999998</v>
      </c>
      <c r="M104" s="994">
        <f t="shared" si="51"/>
        <v>0.33700000000000002</v>
      </c>
      <c r="N104" s="1196">
        <f t="shared" si="67"/>
        <v>0.33700000000000002</v>
      </c>
      <c r="O104" s="645">
        <f t="shared" si="57"/>
        <v>0.33700000000000002</v>
      </c>
      <c r="P104" s="727">
        <v>90</v>
      </c>
      <c r="Q104" s="1476">
        <v>95.81</v>
      </c>
      <c r="R104" s="706">
        <v>4480.8</v>
      </c>
      <c r="S104" s="765">
        <f>IF((_xlfn.XLOOKUP(D104,RUC!$B$3:$B$119,RUC!$E$3:$E$119)+ROUNDDOWN(O104,1)*100)&lt;95,95,((_xlfn.XLOOKUP(D104,RUC!$B$3:$B$119,RUC!$E$3:$E$119)+ROUNDDOWN(O104,1)*100)))</f>
        <v>115</v>
      </c>
      <c r="U104" s="1146">
        <f>_xlfn.XLOOKUP(D104,RUC!$B$3:$B$123,RUC!$F$3:$F$123)</f>
        <v>120</v>
      </c>
      <c r="V104" s="715">
        <v>1.1023000000000001</v>
      </c>
      <c r="Y104" s="1445">
        <v>25</v>
      </c>
      <c r="Z104" s="1454">
        <v>35</v>
      </c>
      <c r="AA104" s="144">
        <f t="shared" si="58"/>
        <v>60</v>
      </c>
      <c r="AB104" s="145">
        <f t="shared" si="53"/>
        <v>1265.0332544720002</v>
      </c>
      <c r="AC104" s="145">
        <f>+(S104-T104)*V104-'data 1'!$F$4</f>
        <v>46.764500000000012</v>
      </c>
      <c r="AD104" s="145">
        <f t="shared" si="59"/>
        <v>99.982763290032054</v>
      </c>
      <c r="AE104" s="145">
        <f t="shared" si="68"/>
        <v>-3.8619999999999948</v>
      </c>
      <c r="AF104" s="145">
        <f t="shared" si="60"/>
        <v>96.715506671783842</v>
      </c>
      <c r="AG104" s="772">
        <f t="shared" si="74"/>
        <v>256.6007699618159</v>
      </c>
      <c r="AH104" s="1253">
        <f t="shared" si="62"/>
        <v>13.593999999999999</v>
      </c>
      <c r="AI104" s="1253">
        <f t="shared" si="63"/>
        <v>14.189</v>
      </c>
      <c r="AJ104" s="156">
        <f t="shared" si="64"/>
        <v>94.219698941367938</v>
      </c>
      <c r="AK104" s="156">
        <f t="shared" si="65"/>
        <v>12.020964474073141</v>
      </c>
      <c r="AM104" s="716">
        <f t="shared" si="66"/>
        <v>1462.3784421696321</v>
      </c>
      <c r="AN104" s="716" t="str">
        <f>_xlfn.XLOOKUP(D104,RUC!$B$3:$B$578,RUC!$M$3:$M$578)</f>
        <v>Ronald Miranda</v>
      </c>
      <c r="AO104" s="1167" t="s">
        <v>2280</v>
      </c>
      <c r="AP104" t="s">
        <v>4087</v>
      </c>
      <c r="AQ104" t="s">
        <v>4088</v>
      </c>
    </row>
    <row r="105" spans="1:43" ht="15" customHeight="1">
      <c r="A105" s="747" t="s">
        <v>4050</v>
      </c>
      <c r="B105" s="1447">
        <v>46024</v>
      </c>
      <c r="C105" s="1447">
        <v>46017</v>
      </c>
      <c r="D105" t="s">
        <v>93</v>
      </c>
      <c r="E105" s="762">
        <f>_xlfn.XLOOKUP(D105,RUC!$B$3:$B$123,RUC!$D$3:$D$123)</f>
        <v>20169040231</v>
      </c>
      <c r="G105" s="1082">
        <v>56</v>
      </c>
      <c r="H105" s="762" t="s">
        <v>69</v>
      </c>
      <c r="I105" s="703">
        <v>4.7</v>
      </c>
      <c r="J105" s="596">
        <v>1.3</v>
      </c>
      <c r="K105" s="703">
        <f t="shared" si="56"/>
        <v>4.6390000000000002</v>
      </c>
      <c r="L105" s="1192">
        <v>0.376</v>
      </c>
      <c r="M105" s="994">
        <f t="shared" si="51"/>
        <v>0.35299999999999998</v>
      </c>
      <c r="N105" s="1196">
        <v>0.35299999999999998</v>
      </c>
      <c r="O105" s="645">
        <f t="shared" si="57"/>
        <v>0.35299999999999998</v>
      </c>
      <c r="P105" s="727">
        <v>88</v>
      </c>
      <c r="Q105" s="1476">
        <v>88.03</v>
      </c>
      <c r="R105" s="706">
        <v>4480.8</v>
      </c>
      <c r="S105" s="765">
        <f>IF((_xlfn.XLOOKUP(D105,RUC!$B$3:$B$119,RUC!$E$3:$E$119)+ROUNDDOWN(O105,1)*100)&lt;95,95,((_xlfn.XLOOKUP(D105,RUC!$B$3:$B$119,RUC!$E$3:$E$119)+ROUNDDOWN(O105,1)*100)))</f>
        <v>115</v>
      </c>
      <c r="U105" s="1146">
        <f>_xlfn.XLOOKUP(D105,RUC!$B$3:$B$123,RUC!$F$3:$F$123)</f>
        <v>120</v>
      </c>
      <c r="V105" s="715">
        <v>1.1023000000000001</v>
      </c>
      <c r="Y105" s="1445">
        <v>25</v>
      </c>
      <c r="Z105" s="1454">
        <v>38</v>
      </c>
      <c r="AA105" s="144">
        <f t="shared" si="58"/>
        <v>63</v>
      </c>
      <c r="AB105" s="145">
        <f t="shared" ref="AB105:AB108" si="75">+((O105*P105*(R105-U105)/100)-S105-AA105+T105)*V105</f>
        <v>1297.0090726976002</v>
      </c>
      <c r="AC105" s="145">
        <f>+(S105-T105)*V105-'data 1'!$F$4</f>
        <v>46.764500000000012</v>
      </c>
      <c r="AD105" s="145">
        <f t="shared" si="59"/>
        <v>0.54221942995202055</v>
      </c>
      <c r="AE105" s="145">
        <f t="shared" si="68"/>
        <v>-0.55509999999999593</v>
      </c>
      <c r="AF105" s="145">
        <f t="shared" si="60"/>
        <v>97.3250228394961</v>
      </c>
      <c r="AG105" s="772">
        <f t="shared" si="74"/>
        <v>161.07664226944814</v>
      </c>
      <c r="AH105" s="1253">
        <f t="shared" si="62"/>
        <v>52.643999999999998</v>
      </c>
      <c r="AI105" s="1253">
        <f t="shared" si="63"/>
        <v>59.802999999999997</v>
      </c>
      <c r="AJ105" s="156">
        <f t="shared" si="64"/>
        <v>90.921458169247941</v>
      </c>
      <c r="AK105" s="156">
        <f t="shared" si="65"/>
        <v>49.407265646529424</v>
      </c>
      <c r="AM105" s="716">
        <f t="shared" si="66"/>
        <v>6016.825088244168</v>
      </c>
      <c r="AN105" s="716" t="str">
        <f>_xlfn.XLOOKUP(D105,RUC!$B$3:$B$578,RUC!$M$3:$M$578)</f>
        <v>Ronald Miranda</v>
      </c>
      <c r="AO105" s="1167" t="s">
        <v>2280</v>
      </c>
      <c r="AP105" t="s">
        <v>4089</v>
      </c>
      <c r="AQ105" t="s">
        <v>4090</v>
      </c>
    </row>
    <row r="106" spans="1:43" ht="15" customHeight="1">
      <c r="A106" s="747" t="s">
        <v>4108</v>
      </c>
      <c r="B106" s="1447">
        <v>46029</v>
      </c>
      <c r="C106" s="1447">
        <v>46019</v>
      </c>
      <c r="D106" t="s">
        <v>1484</v>
      </c>
      <c r="E106" s="762">
        <f>_xlfn.XLOOKUP(D106,RUC!$B$3:$B$123,RUC!$D$3:$D$123)</f>
        <v>10761932735</v>
      </c>
      <c r="G106" s="1082">
        <v>60</v>
      </c>
      <c r="H106" s="762" t="s">
        <v>69</v>
      </c>
      <c r="I106" s="703">
        <v>5.47</v>
      </c>
      <c r="J106" s="596">
        <v>7.05</v>
      </c>
      <c r="K106" s="703">
        <f t="shared" ref="K106:K119" si="76">ROUND(+I106-(I106*(J106/100)),3)</f>
        <v>5.0839999999999996</v>
      </c>
      <c r="L106" s="1192">
        <v>0.17899999999999999</v>
      </c>
      <c r="M106" s="994">
        <f t="shared" ref="M106:M112" si="77">ROUND(+IF(AN106="Melchor Vera",IF(L106&gt;0.467,L106*0.985,(L106-0.007)),IF(L106&gt;0.3,L106*0.94,(L106-0.019))),3)</f>
        <v>0.16</v>
      </c>
      <c r="N106" s="1196">
        <f t="shared" ref="N106:N107" si="78">+M106</f>
        <v>0.16</v>
      </c>
      <c r="O106" s="645">
        <f t="shared" ref="O106:O119" si="79">+ROUND((M106+N106)/2,3)</f>
        <v>0.16</v>
      </c>
      <c r="P106" s="727">
        <v>88</v>
      </c>
      <c r="Q106" s="1476">
        <v>88.83</v>
      </c>
      <c r="R106" s="706">
        <v>4480.8</v>
      </c>
      <c r="S106" s="765">
        <f>IF((_xlfn.XLOOKUP(D106,RUC!$B$3:$B$119,RUC!$E$3:$E$119)+ROUNDDOWN(O106,1)*100)&lt;95,95,((_xlfn.XLOOKUP(D106,RUC!$B$3:$B$119,RUC!$E$3:$E$119)+ROUNDDOWN(O106,1)*100)))</f>
        <v>100</v>
      </c>
      <c r="U106" s="1146">
        <f>_xlfn.XLOOKUP(D106,RUC!$B$3:$B$123,RUC!$F$3:$F$123)</f>
        <v>120</v>
      </c>
      <c r="V106" s="715">
        <v>1.1023000000000001</v>
      </c>
      <c r="Y106">
        <f>_xlfn.XLOOKUP(D106,RUC!$B$3:$B$123,RUC!$G$3:$G$123)</f>
        <v>20</v>
      </c>
      <c r="Z106" s="143">
        <f>_xlfn.XLOOKUP(D106,RUC!$B$3:$B$123,RUC!$H$3:$H$123)</f>
        <v>30</v>
      </c>
      <c r="AA106" s="144">
        <f t="shared" ref="AA106:AA121" si="80">+Y106+Z106</f>
        <v>50</v>
      </c>
      <c r="AB106" s="145">
        <f t="shared" si="75"/>
        <v>511.4679054720001</v>
      </c>
      <c r="AC106" s="145">
        <f>+(S106-T106)*V106-'data 1'!$F$4</f>
        <v>30.230000000000004</v>
      </c>
      <c r="AD106" s="145">
        <f t="shared" ref="AD106:AD121" si="81">+(Q106-P106)*(R106-U106)*L106*V106/100</f>
        <v>7.1416259492879854</v>
      </c>
      <c r="AE106" s="145">
        <f t="shared" si="68"/>
        <v>-14.884999999999998</v>
      </c>
      <c r="AF106" s="145">
        <f t="shared" ref="AF106:AF121" si="82">(L106-O106)*(R106-U106)*Q106*V106/100</f>
        <v>81.12958220656796</v>
      </c>
      <c r="AG106" s="772">
        <f t="shared" si="74"/>
        <v>120.61620815585596</v>
      </c>
      <c r="AH106" s="1253">
        <f t="shared" ref="AH106:AH121" si="83">ROUND((31.1035*L106*Q106*1.1023*K106/100),3)</f>
        <v>27.716000000000001</v>
      </c>
      <c r="AI106" s="1253">
        <f t="shared" ref="AI106:AI121" si="84">ROUND((31.1035*L106*1.1023*K106),3)</f>
        <v>31.201000000000001</v>
      </c>
      <c r="AJ106" s="156">
        <f t="shared" ref="AJ106:AJ121" si="85">+((+$AJ$2-R106+U106)*L106*Q106*V106)/100</f>
        <v>43.677778191011967</v>
      </c>
      <c r="AK106" s="156">
        <f t="shared" ref="AK106:AK121" si="86">31.1035*1.1023*K106*P106*O106/100</f>
        <v>24.54241332874496</v>
      </c>
      <c r="AM106" s="716">
        <f t="shared" ref="AM106:AM121" si="87">+IF(AB106*K106&gt;0,AB106*K106,0)</f>
        <v>2600.3028314196481</v>
      </c>
      <c r="AN106" s="716" t="str">
        <f>_xlfn.XLOOKUP(D106,RUC!$B$3:$B$578,RUC!$M$3:$M$578)</f>
        <v>Richard Sapacayo</v>
      </c>
      <c r="AO106" s="1167" t="s">
        <v>2280</v>
      </c>
      <c r="AP106" t="s">
        <v>3136</v>
      </c>
      <c r="AQ106" t="s">
        <v>4148</v>
      </c>
    </row>
    <row r="107" spans="1:43" ht="15" customHeight="1">
      <c r="A107" s="747" t="s">
        <v>4109</v>
      </c>
      <c r="B107" s="1447">
        <v>46029</v>
      </c>
      <c r="C107" s="1447">
        <v>46019</v>
      </c>
      <c r="D107" t="s">
        <v>1484</v>
      </c>
      <c r="E107" s="762">
        <f>_xlfn.XLOOKUP(D107,RUC!$B$3:$B$123,RUC!$D$3:$D$123)</f>
        <v>10761932735</v>
      </c>
      <c r="G107" s="1082">
        <v>296</v>
      </c>
      <c r="H107" s="762" t="s">
        <v>69</v>
      </c>
      <c r="I107" s="703">
        <v>9.5500000000000007</v>
      </c>
      <c r="J107" s="596">
        <v>15.8</v>
      </c>
      <c r="K107" s="703">
        <f t="shared" si="76"/>
        <v>8.0410000000000004</v>
      </c>
      <c r="L107" s="1192">
        <v>0.20699999999999999</v>
      </c>
      <c r="M107" s="994">
        <f t="shared" si="77"/>
        <v>0.188</v>
      </c>
      <c r="N107" s="1196">
        <f t="shared" si="78"/>
        <v>0.188</v>
      </c>
      <c r="O107" s="645">
        <f t="shared" si="79"/>
        <v>0.188</v>
      </c>
      <c r="P107" s="727">
        <v>90</v>
      </c>
      <c r="Q107" s="1476">
        <v>97.1</v>
      </c>
      <c r="R107" s="706">
        <v>4480.8</v>
      </c>
      <c r="S107" s="765">
        <f>IF((_xlfn.XLOOKUP(D107,RUC!$B$3:$B$119,RUC!$E$3:$E$119)+ROUNDDOWN(O107,1)*100)&lt;95,95,((_xlfn.XLOOKUP(D107,RUC!$B$3:$B$119,RUC!$E$3:$E$119)+ROUNDDOWN(O107,1)*100)))</f>
        <v>100</v>
      </c>
      <c r="U107" s="1146">
        <f>_xlfn.XLOOKUP(D107,RUC!$B$3:$B$123,RUC!$F$3:$F$123)</f>
        <v>120</v>
      </c>
      <c r="V107" s="715">
        <v>1.1023000000000001</v>
      </c>
      <c r="Y107">
        <f>_xlfn.XLOOKUP(D107,RUC!$B$3:$B$123,RUC!$G$3:$G$123)</f>
        <v>20</v>
      </c>
      <c r="Z107" s="143">
        <f>_xlfn.XLOOKUP(D107,RUC!$B$3:$B$123,RUC!$H$3:$H$123)</f>
        <v>30</v>
      </c>
      <c r="AA107" s="144">
        <f t="shared" si="80"/>
        <v>50</v>
      </c>
      <c r="AB107" s="145">
        <f t="shared" si="75"/>
        <v>647.98414492800009</v>
      </c>
      <c r="AC107" s="145">
        <f>+(S107-T107)*V107-'data 1'!$F$4</f>
        <v>30.230000000000004</v>
      </c>
      <c r="AD107" s="145">
        <f t="shared" si="81"/>
        <v>70.647153918479944</v>
      </c>
      <c r="AE107" s="145">
        <f t="shared" si="68"/>
        <v>-14.884999999999998</v>
      </c>
      <c r="AF107" s="145">
        <f t="shared" si="82"/>
        <v>88.682679638159954</v>
      </c>
      <c r="AG107" s="772">
        <f t="shared" si="74"/>
        <v>191.6748335566399</v>
      </c>
      <c r="AH107" s="1253">
        <f t="shared" si="83"/>
        <v>55.412999999999997</v>
      </c>
      <c r="AI107" s="1253">
        <f t="shared" si="84"/>
        <v>57.067999999999998</v>
      </c>
      <c r="AJ107" s="156">
        <f t="shared" si="85"/>
        <v>55.212501080519957</v>
      </c>
      <c r="AK107" s="156">
        <f t="shared" si="86"/>
        <v>46.64654585846047</v>
      </c>
      <c r="AM107" s="716">
        <f t="shared" si="87"/>
        <v>5210.4405093660489</v>
      </c>
      <c r="AN107" s="716" t="str">
        <f>_xlfn.XLOOKUP(D107,RUC!$B$3:$B$578,RUC!$M$3:$M$578)</f>
        <v>Richard Sapacayo</v>
      </c>
      <c r="AO107" s="1167" t="s">
        <v>2280</v>
      </c>
      <c r="AP107" t="s">
        <v>3136</v>
      </c>
      <c r="AQ107" t="s">
        <v>4148</v>
      </c>
    </row>
    <row r="108" spans="1:43" ht="15" customHeight="1">
      <c r="A108" s="747" t="s">
        <v>4110</v>
      </c>
      <c r="B108" s="1447">
        <v>46029</v>
      </c>
      <c r="C108" s="1447">
        <v>46019</v>
      </c>
      <c r="D108" t="s">
        <v>1484</v>
      </c>
      <c r="E108" s="762">
        <f>_xlfn.XLOOKUP(D108,RUC!$B$3:$B$123,RUC!$D$3:$D$123)</f>
        <v>10761932735</v>
      </c>
      <c r="G108" s="1082">
        <v>36</v>
      </c>
      <c r="H108" s="762" t="s">
        <v>69</v>
      </c>
      <c r="I108" s="703">
        <v>3.26</v>
      </c>
      <c r="J108" s="596">
        <v>7.15</v>
      </c>
      <c r="K108" s="703">
        <f t="shared" si="76"/>
        <v>3.0270000000000001</v>
      </c>
      <c r="L108" s="1192">
        <v>0.17599999999999999</v>
      </c>
      <c r="M108" s="994">
        <f t="shared" si="77"/>
        <v>0.157</v>
      </c>
      <c r="N108" s="1444">
        <v>0.24299999999999999</v>
      </c>
      <c r="O108" s="645">
        <f t="shared" si="79"/>
        <v>0.2</v>
      </c>
      <c r="P108" s="727">
        <v>90</v>
      </c>
      <c r="Q108" s="1476">
        <v>96.02</v>
      </c>
      <c r="R108" s="706">
        <v>4480.8</v>
      </c>
      <c r="S108" s="765">
        <f>IF((_xlfn.XLOOKUP(D108,RUC!$B$3:$B$119,RUC!$E$3:$E$119)+ROUNDDOWN(O108,1)*100)&lt;95,95,((_xlfn.XLOOKUP(D108,RUC!$B$3:$B$119,RUC!$E$3:$E$119)+ROUNDDOWN(O108,1)*100)))</f>
        <v>110</v>
      </c>
      <c r="U108" s="1146">
        <f>_xlfn.XLOOKUP(D108,RUC!$B$3:$B$123,RUC!$F$3:$F$123)</f>
        <v>120</v>
      </c>
      <c r="V108" s="715">
        <v>1.1023000000000001</v>
      </c>
      <c r="Y108" s="1445">
        <v>40</v>
      </c>
      <c r="Z108" s="143">
        <f>_xlfn.XLOOKUP(D108,RUC!$B$3:$B$123,RUC!$H$3:$H$123)</f>
        <v>30</v>
      </c>
      <c r="AA108" s="144">
        <f t="shared" si="80"/>
        <v>70</v>
      </c>
      <c r="AB108" s="145">
        <f t="shared" si="75"/>
        <v>666.8297712000001</v>
      </c>
      <c r="AC108" s="145">
        <f>+(S108-T108)*V108-'data 1'!$F$4</f>
        <v>41.253</v>
      </c>
      <c r="AD108" s="145">
        <f t="shared" si="81"/>
        <v>50.930171136767974</v>
      </c>
      <c r="AE108" s="145">
        <f t="shared" si="68"/>
        <v>7.1610000000000014</v>
      </c>
      <c r="AF108" s="145">
        <f t="shared" si="82"/>
        <v>-110.77427588083211</v>
      </c>
      <c r="AG108" s="772">
        <f t="shared" si="74"/>
        <v>5.5698952559358759</v>
      </c>
      <c r="AH108" s="1253">
        <f t="shared" si="83"/>
        <v>17.539000000000001</v>
      </c>
      <c r="AI108" s="1253">
        <f t="shared" si="84"/>
        <v>18.265999999999998</v>
      </c>
      <c r="AJ108" s="156">
        <f t="shared" si="85"/>
        <v>46.421825512831965</v>
      </c>
      <c r="AK108" s="156">
        <f t="shared" si="86"/>
        <v>18.680736532923003</v>
      </c>
      <c r="AM108" s="716">
        <f t="shared" si="87"/>
        <v>2018.4937174224003</v>
      </c>
      <c r="AN108" s="716" t="str">
        <f>_xlfn.XLOOKUP(D108,RUC!$B$3:$B$578,RUC!$M$3:$M$578)</f>
        <v>Richard Sapacayo</v>
      </c>
      <c r="AO108" s="1167" t="s">
        <v>2280</v>
      </c>
      <c r="AP108" t="s">
        <v>3136</v>
      </c>
      <c r="AQ108" t="s">
        <v>4148</v>
      </c>
    </row>
    <row r="109" spans="1:43" ht="15" customHeight="1">
      <c r="A109" s="747" t="s">
        <v>4117</v>
      </c>
      <c r="B109" s="1447">
        <v>46027</v>
      </c>
      <c r="C109" s="1447">
        <v>46021</v>
      </c>
      <c r="D109" t="s">
        <v>1484</v>
      </c>
      <c r="E109" s="762">
        <f>_xlfn.XLOOKUP(D109,RUC!$B$3:$B$123,RUC!$D$3:$D$123)</f>
        <v>10761932735</v>
      </c>
      <c r="G109" s="1082" t="s">
        <v>2985</v>
      </c>
      <c r="H109" s="762" t="s">
        <v>69</v>
      </c>
      <c r="I109" s="703">
        <v>30.3</v>
      </c>
      <c r="J109" s="596">
        <v>3.55</v>
      </c>
      <c r="K109" s="703">
        <f t="shared" si="76"/>
        <v>29.224</v>
      </c>
      <c r="L109" s="1592">
        <v>0.14299999999999999</v>
      </c>
      <c r="M109" s="994">
        <f t="shared" si="77"/>
        <v>0.124</v>
      </c>
      <c r="N109" s="1196">
        <f t="shared" ref="N109:N118" si="88">+M109</f>
        <v>0.124</v>
      </c>
      <c r="O109" s="645">
        <f t="shared" si="79"/>
        <v>0.124</v>
      </c>
      <c r="P109" s="727">
        <v>80</v>
      </c>
      <c r="Q109" s="1476">
        <v>97.2</v>
      </c>
      <c r="R109" s="706">
        <v>4367.8</v>
      </c>
      <c r="S109" s="765">
        <f>IF((_xlfn.XLOOKUP(D109,RUC!$B$3:$B$119,RUC!$E$3:$E$119)+ROUNDDOWN(O109,1)*100)&lt;95,95,((_xlfn.XLOOKUP(D109,RUC!$B$3:$B$119,RUC!$E$3:$E$119)+ROUNDDOWN(O109,1)*100)))</f>
        <v>100</v>
      </c>
      <c r="U109" s="1146">
        <f>_xlfn.XLOOKUP(D109,RUC!$B$3:$B$123,RUC!$F$3:$F$123)</f>
        <v>120</v>
      </c>
      <c r="V109" s="715">
        <v>1.1023000000000001</v>
      </c>
      <c r="Y109">
        <f>_xlfn.XLOOKUP(D109,RUC!$B$3:$B$123,RUC!$G$3:$G$123)</f>
        <v>20</v>
      </c>
      <c r="Z109" s="143">
        <f>_xlfn.XLOOKUP(D109,RUC!$B$3:$B$123,RUC!$H$3:$H$123)</f>
        <v>30</v>
      </c>
      <c r="AA109" s="144">
        <f t="shared" si="80"/>
        <v>50</v>
      </c>
      <c r="AB109" s="145">
        <f t="shared" ref="AB109:AB121" si="89">+((O109*P109*(R109-U109)/100)-S109-AA109+T109)*V109</f>
        <v>299.14411404800001</v>
      </c>
      <c r="AC109" s="145">
        <f>+(S109-T109)*V109-'data 1'!$F$4</f>
        <v>30.230000000000004</v>
      </c>
      <c r="AD109" s="145">
        <f t="shared" si="81"/>
        <v>115.16707912424003</v>
      </c>
      <c r="AE109" s="145">
        <f t="shared" si="68"/>
        <v>-14.884999999999998</v>
      </c>
      <c r="AF109" s="145">
        <f t="shared" si="82"/>
        <v>86.473638691919973</v>
      </c>
      <c r="AG109" s="772">
        <f t="shared" ref="AG109:AG112" si="90">AC109+AD109+AE109+AF109+70-53</f>
        <v>233.98571781615999</v>
      </c>
      <c r="AH109" s="1253">
        <f t="shared" si="83"/>
        <v>139.268</v>
      </c>
      <c r="AI109" s="1253">
        <f t="shared" si="84"/>
        <v>143.28</v>
      </c>
      <c r="AJ109" s="156">
        <f t="shared" si="85"/>
        <v>55.494578327759974</v>
      </c>
      <c r="AK109" s="156">
        <f t="shared" si="86"/>
        <v>99.394053093021455</v>
      </c>
      <c r="AM109" s="716">
        <f t="shared" si="87"/>
        <v>8742.187588938752</v>
      </c>
      <c r="AN109" s="716" t="str">
        <f>_xlfn.XLOOKUP(D109,RUC!$B$3:$B$578,RUC!$M$3:$M$578)</f>
        <v>Richard Sapacayo</v>
      </c>
      <c r="AO109" s="1167" t="s">
        <v>2280</v>
      </c>
      <c r="AP109" t="s">
        <v>4151</v>
      </c>
      <c r="AQ109" t="s">
        <v>2760</v>
      </c>
    </row>
    <row r="110" spans="1:43" ht="15" customHeight="1">
      <c r="A110" s="747" t="s">
        <v>4121</v>
      </c>
      <c r="B110" s="1447">
        <v>46027</v>
      </c>
      <c r="C110" s="1447">
        <v>46021</v>
      </c>
      <c r="D110" t="s">
        <v>1484</v>
      </c>
      <c r="E110" s="762">
        <f>_xlfn.XLOOKUP(D110,RUC!$B$3:$B$123,RUC!$D$3:$D$123)</f>
        <v>10761932735</v>
      </c>
      <c r="G110" s="1082">
        <v>75</v>
      </c>
      <c r="H110" s="762" t="s">
        <v>69</v>
      </c>
      <c r="I110" s="703">
        <v>7.09</v>
      </c>
      <c r="J110" s="596">
        <v>7.65</v>
      </c>
      <c r="K110" s="703">
        <f t="shared" si="76"/>
        <v>6.548</v>
      </c>
      <c r="L110" s="1192">
        <v>0.221</v>
      </c>
      <c r="M110" s="994">
        <f t="shared" si="77"/>
        <v>0.20200000000000001</v>
      </c>
      <c r="N110" s="1196">
        <f t="shared" si="88"/>
        <v>0.20200000000000001</v>
      </c>
      <c r="O110" s="645">
        <f t="shared" si="79"/>
        <v>0.20200000000000001</v>
      </c>
      <c r="P110" s="727">
        <v>90</v>
      </c>
      <c r="Q110" s="1476">
        <v>94.17</v>
      </c>
      <c r="R110" s="706">
        <v>4367.8</v>
      </c>
      <c r="S110" s="765">
        <f>IF((_xlfn.XLOOKUP(D110,RUC!$B$3:$B$119,RUC!$E$3:$E$119)+ROUNDDOWN(O110,1)*100)&lt;95,95,((_xlfn.XLOOKUP(D110,RUC!$B$3:$B$119,RUC!$E$3:$E$119)+ROUNDDOWN(O110,1)*100)))</f>
        <v>110</v>
      </c>
      <c r="U110" s="1146">
        <f>_xlfn.XLOOKUP(D110,RUC!$B$3:$B$123,RUC!$F$3:$F$123)</f>
        <v>120</v>
      </c>
      <c r="V110" s="715">
        <v>1.1023000000000001</v>
      </c>
      <c r="Y110">
        <f>_xlfn.XLOOKUP(D110,RUC!$B$3:$B$123,RUC!$G$3:$G$123)</f>
        <v>20</v>
      </c>
      <c r="Z110" s="143">
        <f>_xlfn.XLOOKUP(D110,RUC!$B$3:$B$123,RUC!$H$3:$H$123)</f>
        <v>30</v>
      </c>
      <c r="AA110" s="144">
        <f t="shared" si="80"/>
        <v>50</v>
      </c>
      <c r="AB110" s="145">
        <f t="shared" si="89"/>
        <v>674.8832190920001</v>
      </c>
      <c r="AC110" s="145">
        <f>+(S110-T110)*V110-'data 1'!$F$4</f>
        <v>41.253</v>
      </c>
      <c r="AD110" s="145">
        <f t="shared" si="81"/>
        <v>43.151132342058027</v>
      </c>
      <c r="AE110" s="145">
        <f t="shared" si="68"/>
        <v>-14.884999999999998</v>
      </c>
      <c r="AF110" s="145">
        <f t="shared" si="82"/>
        <v>83.778009831461972</v>
      </c>
      <c r="AG110" s="772">
        <f t="shared" si="90"/>
        <v>170.29714217352</v>
      </c>
      <c r="AH110" s="1253">
        <f t="shared" si="83"/>
        <v>46.722000000000001</v>
      </c>
      <c r="AI110" s="1253">
        <f t="shared" si="84"/>
        <v>49.615000000000002</v>
      </c>
      <c r="AJ110" s="156">
        <f t="shared" si="85"/>
        <v>83.090830059041963</v>
      </c>
      <c r="AK110" s="156">
        <f t="shared" si="86"/>
        <v>40.814231068964524</v>
      </c>
      <c r="AM110" s="716">
        <f t="shared" si="87"/>
        <v>4419.135318614417</v>
      </c>
      <c r="AN110" s="716" t="str">
        <f>_xlfn.XLOOKUP(D110,RUC!$B$3:$B$578,RUC!$M$3:$M$578)</f>
        <v>Richard Sapacayo</v>
      </c>
      <c r="AO110" s="1167" t="s">
        <v>2278</v>
      </c>
      <c r="AP110" t="s">
        <v>4155</v>
      </c>
      <c r="AQ110" t="s">
        <v>4156</v>
      </c>
    </row>
    <row r="111" spans="1:43" ht="15" customHeight="1">
      <c r="A111" s="747" t="s">
        <v>4122</v>
      </c>
      <c r="B111" s="1447">
        <v>46027</v>
      </c>
      <c r="C111" s="1447">
        <v>46021</v>
      </c>
      <c r="D111" t="s">
        <v>1484</v>
      </c>
      <c r="E111" s="762">
        <f>_xlfn.XLOOKUP(D111,RUC!$B$3:$B$123,RUC!$D$3:$D$123)</f>
        <v>10761932735</v>
      </c>
      <c r="G111" s="1082">
        <v>108</v>
      </c>
      <c r="H111" s="762" t="s">
        <v>69</v>
      </c>
      <c r="I111" s="703">
        <v>8.84</v>
      </c>
      <c r="J111" s="596">
        <v>8.75</v>
      </c>
      <c r="K111" s="703">
        <f t="shared" si="76"/>
        <v>8.0670000000000002</v>
      </c>
      <c r="L111" s="1192">
        <v>0.13</v>
      </c>
      <c r="M111" s="994">
        <f t="shared" si="77"/>
        <v>0.111</v>
      </c>
      <c r="N111" s="1444">
        <v>0.152</v>
      </c>
      <c r="O111" s="645">
        <f t="shared" si="79"/>
        <v>0.13200000000000001</v>
      </c>
      <c r="P111" s="727">
        <v>85</v>
      </c>
      <c r="Q111" s="1476">
        <v>91.11</v>
      </c>
      <c r="R111" s="706">
        <v>4367.8</v>
      </c>
      <c r="S111" s="765">
        <f>IF((_xlfn.XLOOKUP(D111,RUC!$B$3:$B$119,RUC!$E$3:$E$119)+ROUNDDOWN(O111,1)*100)&lt;95,95,((_xlfn.XLOOKUP(D111,RUC!$B$3:$B$119,RUC!$E$3:$E$119)+ROUNDDOWN(O111,1)*100)))</f>
        <v>100</v>
      </c>
      <c r="U111" s="1146">
        <f>_xlfn.XLOOKUP(D111,RUC!$B$3:$B$123,RUC!$F$3:$F$123)</f>
        <v>120</v>
      </c>
      <c r="V111" s="715">
        <v>1.1023000000000001</v>
      </c>
      <c r="Y111" s="1445">
        <v>30</v>
      </c>
      <c r="Z111" s="143">
        <f>_xlfn.XLOOKUP(D111,RUC!$B$3:$B$123,RUC!$H$3:$H$123)</f>
        <v>30</v>
      </c>
      <c r="AA111" s="144">
        <f t="shared" si="80"/>
        <v>60</v>
      </c>
      <c r="AB111" s="145">
        <f t="shared" si="89"/>
        <v>348.99166326800008</v>
      </c>
      <c r="AC111" s="145">
        <f>+(S111-T111)*V111-'data 1'!$F$4</f>
        <v>30.230000000000004</v>
      </c>
      <c r="AD111" s="145">
        <f t="shared" si="81"/>
        <v>37.191905573420001</v>
      </c>
      <c r="AE111" s="145">
        <f t="shared" si="68"/>
        <v>-3.8619999999999948</v>
      </c>
      <c r="AF111" s="145">
        <f t="shared" si="82"/>
        <v>-8.5321780606680075</v>
      </c>
      <c r="AG111" s="772">
        <f t="shared" si="90"/>
        <v>72.027727512751994</v>
      </c>
      <c r="AH111" s="1253">
        <f t="shared" si="83"/>
        <v>32.759</v>
      </c>
      <c r="AI111" s="1253">
        <f t="shared" si="84"/>
        <v>35.954999999999998</v>
      </c>
      <c r="AJ111" s="156">
        <f t="shared" si="85"/>
        <v>47.288730185579979</v>
      </c>
      <c r="AK111" s="156">
        <f t="shared" si="86"/>
        <v>31.032301289807073</v>
      </c>
      <c r="AM111" s="716">
        <f t="shared" si="87"/>
        <v>2815.3157475829566</v>
      </c>
      <c r="AN111" s="716" t="str">
        <f>_xlfn.XLOOKUP(D111,RUC!$B$3:$B$578,RUC!$M$3:$M$578)</f>
        <v>Richard Sapacayo</v>
      </c>
      <c r="AO111" s="1167" t="s">
        <v>2278</v>
      </c>
      <c r="AP111" t="s">
        <v>4155</v>
      </c>
      <c r="AQ111" t="s">
        <v>4156</v>
      </c>
    </row>
    <row r="112" spans="1:43" ht="15" customHeight="1">
      <c r="A112" s="747" t="s">
        <v>4124</v>
      </c>
      <c r="B112" s="1447">
        <v>46027</v>
      </c>
      <c r="C112" s="1447">
        <v>46021</v>
      </c>
      <c r="D112" t="s">
        <v>1484</v>
      </c>
      <c r="E112" s="762">
        <f>_xlfn.XLOOKUP(D112,RUC!$B$3:$B$123,RUC!$D$3:$D$123)</f>
        <v>10761932735</v>
      </c>
      <c r="G112" s="1082" t="s">
        <v>2985</v>
      </c>
      <c r="H112" s="762" t="s">
        <v>69</v>
      </c>
      <c r="I112" s="703">
        <v>23.05</v>
      </c>
      <c r="J112" s="596">
        <v>4.33</v>
      </c>
      <c r="K112" s="703">
        <f t="shared" si="76"/>
        <v>22.052</v>
      </c>
      <c r="L112" s="1192">
        <v>0.13</v>
      </c>
      <c r="M112" s="994">
        <f t="shared" si="77"/>
        <v>0.111</v>
      </c>
      <c r="N112" s="1196">
        <f t="shared" si="88"/>
        <v>0.111</v>
      </c>
      <c r="O112" s="645">
        <f t="shared" si="79"/>
        <v>0.111</v>
      </c>
      <c r="P112" s="727">
        <v>80</v>
      </c>
      <c r="Q112" s="1476">
        <v>95.38</v>
      </c>
      <c r="R112" s="706">
        <v>4367.8</v>
      </c>
      <c r="S112" s="765">
        <f>IF((_xlfn.XLOOKUP(D112,RUC!$B$3:$B$119,RUC!$E$3:$E$119)+ROUNDDOWN(O112,1)*100)&lt;95,95,((_xlfn.XLOOKUP(D112,RUC!$B$3:$B$119,RUC!$E$3:$E$119)+ROUNDDOWN(O112,1)*100)))</f>
        <v>100</v>
      </c>
      <c r="U112" s="1146">
        <f>_xlfn.XLOOKUP(D112,RUC!$B$3:$B$123,RUC!$F$3:$F$123)</f>
        <v>120</v>
      </c>
      <c r="V112" s="715">
        <v>1.1023000000000001</v>
      </c>
      <c r="Y112">
        <f>_xlfn.XLOOKUP(D112,RUC!$B$3:$B$123,RUC!$G$3:$G$123)</f>
        <v>20</v>
      </c>
      <c r="Z112" s="143">
        <f>_xlfn.XLOOKUP(D112,RUC!$B$3:$B$123,RUC!$H$3:$H$123)</f>
        <v>30</v>
      </c>
      <c r="AA112" s="144">
        <f t="shared" si="80"/>
        <v>50</v>
      </c>
      <c r="AB112" s="145">
        <f t="shared" si="89"/>
        <v>250.44767467200012</v>
      </c>
      <c r="AC112" s="145">
        <f>+(S112-T112)*V112-'data 1'!$F$4</f>
        <v>30.230000000000004</v>
      </c>
      <c r="AD112" s="145">
        <f t="shared" si="81"/>
        <v>93.618904700360005</v>
      </c>
      <c r="AE112" s="145">
        <f t="shared" si="68"/>
        <v>-14.884999999999998</v>
      </c>
      <c r="AF112" s="145">
        <f t="shared" si="82"/>
        <v>84.854482082668014</v>
      </c>
      <c r="AG112" s="772">
        <f t="shared" si="90"/>
        <v>210.81838678302802</v>
      </c>
      <c r="AH112" s="1253">
        <f t="shared" si="83"/>
        <v>93.747</v>
      </c>
      <c r="AI112" s="1253">
        <f t="shared" si="84"/>
        <v>98.287999999999997</v>
      </c>
      <c r="AJ112" s="156">
        <f t="shared" si="85"/>
        <v>49.504983921639969</v>
      </c>
      <c r="AK112" s="156">
        <f t="shared" si="86"/>
        <v>67.138250302339685</v>
      </c>
      <c r="AM112" s="716">
        <f t="shared" si="87"/>
        <v>5522.8721218669461</v>
      </c>
      <c r="AN112" s="716" t="str">
        <f>_xlfn.XLOOKUP(D112,RUC!$B$3:$B$578,RUC!$M$3:$M$578)</f>
        <v>Richard Sapacayo</v>
      </c>
      <c r="AO112" s="1167" t="s">
        <v>2280</v>
      </c>
      <c r="AP112" t="s">
        <v>4157</v>
      </c>
      <c r="AQ112" t="s">
        <v>3328</v>
      </c>
    </row>
    <row r="113" spans="1:44" ht="15" customHeight="1">
      <c r="A113" s="747" t="s">
        <v>4125</v>
      </c>
      <c r="B113" s="1447">
        <v>46027</v>
      </c>
      <c r="C113" s="1447">
        <v>46022</v>
      </c>
      <c r="D113" s="1589" t="s">
        <v>119</v>
      </c>
      <c r="E113" s="762">
        <f>_xlfn.XLOOKUP(D113,RUC!$B$3:$B$123,RUC!$D$3:$D$123)</f>
        <v>10082235774</v>
      </c>
      <c r="G113" s="1082">
        <v>61</v>
      </c>
      <c r="H113" s="762" t="s">
        <v>69</v>
      </c>
      <c r="I113" s="703">
        <v>6.31</v>
      </c>
      <c r="J113" s="596">
        <v>1.3</v>
      </c>
      <c r="K113" s="703">
        <f t="shared" si="76"/>
        <v>6.2279999999999998</v>
      </c>
      <c r="L113" s="1192">
        <v>0.80400000000000005</v>
      </c>
      <c r="M113" s="994">
        <f t="shared" ref="M113:M119" si="91">ROUND(+IF(AN113="Melchor Vera",IF(L113&gt;0.467,L113*0.985,(L113-0.007)),IF(L113&gt;0.3,L113*0.94,(L113-0.018))),3)</f>
        <v>0.79200000000000004</v>
      </c>
      <c r="N113" s="1444">
        <v>0.84199999999999997</v>
      </c>
      <c r="O113" s="645">
        <f t="shared" si="79"/>
        <v>0.81699999999999995</v>
      </c>
      <c r="P113" s="727">
        <v>90</v>
      </c>
      <c r="Q113" s="1476">
        <v>89.43</v>
      </c>
      <c r="R113" s="1211">
        <v>4421.6499999999996</v>
      </c>
      <c r="S113" s="1164">
        <v>140</v>
      </c>
      <c r="U113" s="1146">
        <f>_xlfn.XLOOKUP(D113,RUC!$B$3:$B$123,RUC!$F$3:$F$123)</f>
        <v>80</v>
      </c>
      <c r="V113" s="715">
        <v>1.1023000000000001</v>
      </c>
      <c r="Y113">
        <f>_xlfn.XLOOKUP(D113,RUC!$B$3:$B$123,RUC!$G$3:$G$123)</f>
        <v>0</v>
      </c>
      <c r="Z113" s="143">
        <f>_xlfn.XLOOKUP(D113,RUC!$B$3:$B$123,RUC!$H$3:$H$123)</f>
        <v>10</v>
      </c>
      <c r="AA113" s="144">
        <f t="shared" si="80"/>
        <v>10</v>
      </c>
      <c r="AB113" s="145">
        <f t="shared" si="89"/>
        <v>3353.6543245635003</v>
      </c>
      <c r="AC113" s="145">
        <f>+(S113-T113)*V113-'data 1'!$F$4</f>
        <v>74.322000000000003</v>
      </c>
      <c r="AD113" s="145">
        <f t="shared" si="81"/>
        <v>-21.932367883325739</v>
      </c>
      <c r="AE113" s="145">
        <f t="shared" si="68"/>
        <v>-58.977000000000004</v>
      </c>
      <c r="AF113" s="145">
        <f t="shared" si="82"/>
        <v>-55.639241462590071</v>
      </c>
      <c r="AG113" s="772">
        <f t="shared" ref="AG113:AG119" si="92">AC113+AD113+AE113+AF113+70</f>
        <v>7.7733906540841886</v>
      </c>
      <c r="AH113" s="1253">
        <f t="shared" si="83"/>
        <v>153.53100000000001</v>
      </c>
      <c r="AI113" s="1253">
        <f t="shared" si="84"/>
        <v>171.678</v>
      </c>
      <c r="AJ113" s="156">
        <f t="shared" si="85"/>
        <v>212.68687319292636</v>
      </c>
      <c r="AK113" s="156">
        <f t="shared" si="86"/>
        <v>157.00816544895162</v>
      </c>
      <c r="AM113" s="716">
        <f t="shared" si="87"/>
        <v>20886.559133381477</v>
      </c>
      <c r="AN113" s="716" t="str">
        <f>_xlfn.XLOOKUP(D113,RUC!$B$3:$B$578,RUC!$M$3:$M$578)</f>
        <v>Melchor Vera</v>
      </c>
      <c r="AO113" s="1167" t="s">
        <v>2277</v>
      </c>
      <c r="AP113" t="s">
        <v>4170</v>
      </c>
      <c r="AQ113" t="s">
        <v>2456</v>
      </c>
      <c r="AR113" s="1589" t="s">
        <v>4141</v>
      </c>
    </row>
    <row r="114" spans="1:44" ht="15" customHeight="1">
      <c r="A114" s="747" t="s">
        <v>4126</v>
      </c>
      <c r="B114" s="1447">
        <v>46027</v>
      </c>
      <c r="C114" s="1447">
        <v>46022</v>
      </c>
      <c r="D114" s="1589" t="s">
        <v>119</v>
      </c>
      <c r="E114" s="762">
        <f>_xlfn.XLOOKUP(D114,RUC!$B$3:$B$123,RUC!$D$3:$D$123)</f>
        <v>10082235774</v>
      </c>
      <c r="G114" s="1082">
        <v>63</v>
      </c>
      <c r="H114" s="762" t="s">
        <v>69</v>
      </c>
      <c r="I114" s="703">
        <v>6.12</v>
      </c>
      <c r="J114" s="596">
        <v>2</v>
      </c>
      <c r="K114" s="703">
        <f t="shared" si="76"/>
        <v>5.9980000000000002</v>
      </c>
      <c r="L114" s="1192">
        <v>0.20499999999999999</v>
      </c>
      <c r="M114" s="994">
        <f t="shared" si="91"/>
        <v>0.19800000000000001</v>
      </c>
      <c r="N114" s="1196">
        <f t="shared" si="88"/>
        <v>0.19800000000000001</v>
      </c>
      <c r="O114" s="645">
        <f t="shared" si="79"/>
        <v>0.19800000000000001</v>
      </c>
      <c r="P114" s="727">
        <v>85</v>
      </c>
      <c r="Q114" s="1476">
        <v>98.54</v>
      </c>
      <c r="R114" s="1211">
        <v>4421.6499999999996</v>
      </c>
      <c r="S114" s="1164">
        <v>95</v>
      </c>
      <c r="U114" s="1146">
        <f>_xlfn.XLOOKUP(D114,RUC!$B$3:$B$123,RUC!$F$3:$F$123)</f>
        <v>80</v>
      </c>
      <c r="V114" s="715">
        <v>1.1023000000000001</v>
      </c>
      <c r="Y114">
        <f>_xlfn.XLOOKUP(D114,RUC!$B$3:$B$123,RUC!$G$3:$G$123)</f>
        <v>0</v>
      </c>
      <c r="Z114" s="143">
        <f>_xlfn.XLOOKUP(D114,RUC!$B$3:$B$123,RUC!$H$3:$H$123)</f>
        <v>10</v>
      </c>
      <c r="AA114" s="144">
        <f t="shared" si="80"/>
        <v>10</v>
      </c>
      <c r="AB114" s="145">
        <f t="shared" si="89"/>
        <v>689.70877379850003</v>
      </c>
      <c r="AC114" s="145">
        <f>+(S114-T114)*V114-'data 1'!$F$4</f>
        <v>24.718500000000006</v>
      </c>
      <c r="AD114" s="145">
        <f t="shared" si="81"/>
        <v>132.83947266681503</v>
      </c>
      <c r="AE114" s="145">
        <f t="shared" si="68"/>
        <v>-58.977000000000004</v>
      </c>
      <c r="AF114" s="145">
        <f t="shared" si="82"/>
        <v>33.011496723750902</v>
      </c>
      <c r="AG114" s="772">
        <f t="shared" si="92"/>
        <v>201.59246939056592</v>
      </c>
      <c r="AH114" s="1253">
        <f t="shared" si="83"/>
        <v>41.540999999999997</v>
      </c>
      <c r="AI114" s="1253">
        <f t="shared" si="84"/>
        <v>42.156999999999996</v>
      </c>
      <c r="AJ114" s="156">
        <f t="shared" si="85"/>
        <v>59.754116025435081</v>
      </c>
      <c r="AK114" s="156">
        <f t="shared" si="86"/>
        <v>34.609844391272375</v>
      </c>
      <c r="AM114" s="716">
        <f t="shared" si="87"/>
        <v>4136.8732252434038</v>
      </c>
      <c r="AN114" s="716" t="str">
        <f>_xlfn.XLOOKUP(D114,RUC!$B$3:$B$578,RUC!$M$3:$M$578)</f>
        <v>Melchor Vera</v>
      </c>
      <c r="AO114" s="1167" t="s">
        <v>2278</v>
      </c>
      <c r="AP114" t="s">
        <v>4170</v>
      </c>
      <c r="AQ114" t="s">
        <v>2456</v>
      </c>
      <c r="AR114" s="1589" t="s">
        <v>4141</v>
      </c>
    </row>
    <row r="115" spans="1:44" ht="15" customHeight="1">
      <c r="A115" s="747" t="s">
        <v>4127</v>
      </c>
      <c r="B115" s="1447">
        <v>46027</v>
      </c>
      <c r="C115" s="1447">
        <v>46022</v>
      </c>
      <c r="D115" s="1589" t="s">
        <v>119</v>
      </c>
      <c r="E115" s="762">
        <f>_xlfn.XLOOKUP(D115,RUC!$B$3:$B$123,RUC!$D$3:$D$123)</f>
        <v>10082235774</v>
      </c>
      <c r="G115" s="1082">
        <v>65</v>
      </c>
      <c r="H115" s="762" t="s">
        <v>69</v>
      </c>
      <c r="I115" s="703">
        <v>6.52</v>
      </c>
      <c r="J115" s="596">
        <v>3.2</v>
      </c>
      <c r="K115" s="703">
        <f t="shared" si="76"/>
        <v>6.3109999999999999</v>
      </c>
      <c r="L115" s="1192">
        <v>0.38500000000000001</v>
      </c>
      <c r="M115" s="994">
        <f t="shared" si="91"/>
        <v>0.378</v>
      </c>
      <c r="N115" s="1444">
        <v>0.39800000000000002</v>
      </c>
      <c r="O115" s="645">
        <f t="shared" si="79"/>
        <v>0.38800000000000001</v>
      </c>
      <c r="P115" s="727">
        <v>90</v>
      </c>
      <c r="Q115" s="1476">
        <v>90.13</v>
      </c>
      <c r="R115" s="1211">
        <v>4421.6499999999996</v>
      </c>
      <c r="S115" s="1164">
        <v>110</v>
      </c>
      <c r="U115" s="1146">
        <f>_xlfn.XLOOKUP(D115,RUC!$B$3:$B$123,RUC!$F$3:$F$123)</f>
        <v>80</v>
      </c>
      <c r="V115" s="715">
        <v>1.1023000000000001</v>
      </c>
      <c r="Y115">
        <f>_xlfn.XLOOKUP(D115,RUC!$B$3:$B$123,RUC!$G$3:$G$123)</f>
        <v>0</v>
      </c>
      <c r="Z115" s="143">
        <f>_xlfn.XLOOKUP(D115,RUC!$B$3:$B$123,RUC!$H$3:$H$123)</f>
        <v>10</v>
      </c>
      <c r="AA115" s="144">
        <f t="shared" si="80"/>
        <v>10</v>
      </c>
      <c r="AB115" s="145">
        <f t="shared" si="89"/>
        <v>1538.9256376140002</v>
      </c>
      <c r="AC115" s="145">
        <f>+(S115-T115)*V115-'data 1'!$F$4</f>
        <v>41.253</v>
      </c>
      <c r="AD115" s="145">
        <f t="shared" si="81"/>
        <v>2.3952932978974162</v>
      </c>
      <c r="AE115" s="145">
        <f t="shared" si="68"/>
        <v>-58.977000000000004</v>
      </c>
      <c r="AF115" s="145">
        <f t="shared" si="82"/>
        <v>-12.940326769600512</v>
      </c>
      <c r="AG115" s="772">
        <f t="shared" si="92"/>
        <v>41.730966528296904</v>
      </c>
      <c r="AH115" s="1253">
        <f t="shared" si="83"/>
        <v>75.081999999999994</v>
      </c>
      <c r="AI115" s="1253">
        <f t="shared" si="84"/>
        <v>83.304000000000002</v>
      </c>
      <c r="AJ115" s="156">
        <f t="shared" si="85"/>
        <v>102.64351303610263</v>
      </c>
      <c r="AK115" s="156">
        <f t="shared" si="86"/>
        <v>75.558179327055669</v>
      </c>
      <c r="AM115" s="716">
        <f t="shared" si="87"/>
        <v>9712.1596989819554</v>
      </c>
      <c r="AN115" s="716" t="str">
        <f>_xlfn.XLOOKUP(D115,RUC!$B$3:$B$578,RUC!$M$3:$M$578)</f>
        <v>Melchor Vera</v>
      </c>
      <c r="AO115" s="1167" t="s">
        <v>2277</v>
      </c>
      <c r="AP115" t="s">
        <v>4170</v>
      </c>
      <c r="AQ115" t="s">
        <v>2456</v>
      </c>
      <c r="AR115" s="1589" t="s">
        <v>4141</v>
      </c>
    </row>
    <row r="116" spans="1:44" ht="15" customHeight="1">
      <c r="A116" s="747" t="s">
        <v>4128</v>
      </c>
      <c r="B116" s="1447">
        <v>46027</v>
      </c>
      <c r="C116" s="1447">
        <v>46022</v>
      </c>
      <c r="D116" s="1589" t="s">
        <v>119</v>
      </c>
      <c r="E116" s="762">
        <f>_xlfn.XLOOKUP(D116,RUC!$B$3:$B$123,RUC!$D$3:$D$123)</f>
        <v>10082235774</v>
      </c>
      <c r="G116" s="1082">
        <v>70</v>
      </c>
      <c r="H116" s="762" t="s">
        <v>69</v>
      </c>
      <c r="I116" s="703">
        <v>6.78</v>
      </c>
      <c r="J116" s="596">
        <v>1.25</v>
      </c>
      <c r="K116" s="703">
        <f t="shared" si="76"/>
        <v>6.6950000000000003</v>
      </c>
      <c r="L116" s="1192">
        <v>0.219</v>
      </c>
      <c r="M116" s="994">
        <f t="shared" si="91"/>
        <v>0.21199999999999999</v>
      </c>
      <c r="N116" s="1196">
        <f t="shared" si="88"/>
        <v>0.21199999999999999</v>
      </c>
      <c r="O116" s="645">
        <f t="shared" si="79"/>
        <v>0.21199999999999999</v>
      </c>
      <c r="P116" s="727">
        <v>85</v>
      </c>
      <c r="Q116" s="1476">
        <v>98.63</v>
      </c>
      <c r="R116" s="1211">
        <v>4421.6499999999996</v>
      </c>
      <c r="S116" s="1164">
        <v>105</v>
      </c>
      <c r="U116" s="1146">
        <f>_xlfn.XLOOKUP(D116,RUC!$B$3:$B$123,RUC!$F$3:$F$123)</f>
        <v>80</v>
      </c>
      <c r="V116" s="715">
        <v>1.1023000000000001</v>
      </c>
      <c r="Y116">
        <f>_xlfn.XLOOKUP(D116,RUC!$B$3:$B$123,RUC!$G$3:$G$123)</f>
        <v>0</v>
      </c>
      <c r="Z116" s="143">
        <f>_xlfn.XLOOKUP(D116,RUC!$B$3:$B$123,RUC!$H$3:$H$123)</f>
        <v>10</v>
      </c>
      <c r="AA116" s="144">
        <f t="shared" si="80"/>
        <v>10</v>
      </c>
      <c r="AB116" s="145">
        <f t="shared" si="89"/>
        <v>735.63680325899998</v>
      </c>
      <c r="AC116" s="145">
        <f>+(S116-T116)*V116-'data 1'!$F$4</f>
        <v>35.741500000000002</v>
      </c>
      <c r="AD116" s="145">
        <f t="shared" si="81"/>
        <v>142.85471799051146</v>
      </c>
      <c r="AE116" s="145">
        <f t="shared" ref="AE116:AE119" si="93">+(Y116*V116-70)+V116*(Z116-IF(D116="UNTUCA",IF(+((W116-3)*2.5+(X116-3)*3.1)&gt;0,+((W116-3)*1.5+(X116-3)*3.1),0),IF(+((W116-3)*1.5+(X116-3)*3.1)&gt;0,+((W116-3)*1.5+(X116-3)*3.1),0)))</f>
        <v>-58.977000000000004</v>
      </c>
      <c r="AF116" s="145">
        <f t="shared" si="82"/>
        <v>33.041647268759533</v>
      </c>
      <c r="AG116" s="772">
        <f t="shared" si="92"/>
        <v>222.66086525927099</v>
      </c>
      <c r="AH116" s="1253">
        <f t="shared" si="83"/>
        <v>49.581000000000003</v>
      </c>
      <c r="AI116" s="1253">
        <f t="shared" si="84"/>
        <v>50.268999999999998</v>
      </c>
      <c r="AJ116" s="156">
        <f t="shared" si="85"/>
        <v>63.893187539338584</v>
      </c>
      <c r="AK116" s="156">
        <f t="shared" si="86"/>
        <v>41.363229273653957</v>
      </c>
      <c r="AM116" s="716">
        <f t="shared" si="87"/>
        <v>4925.088397819005</v>
      </c>
      <c r="AN116" s="716" t="str">
        <f>_xlfn.XLOOKUP(D116,RUC!$B$3:$B$578,RUC!$M$3:$M$578)</f>
        <v>Melchor Vera</v>
      </c>
      <c r="AO116" s="1167" t="s">
        <v>2277</v>
      </c>
      <c r="AP116" t="s">
        <v>4170</v>
      </c>
      <c r="AQ116" t="s">
        <v>2456</v>
      </c>
      <c r="AR116" s="1589" t="s">
        <v>4141</v>
      </c>
    </row>
    <row r="117" spans="1:44" ht="15" customHeight="1">
      <c r="A117" s="747" t="s">
        <v>4129</v>
      </c>
      <c r="B117" s="1447">
        <v>46027</v>
      </c>
      <c r="C117" s="1447">
        <v>46022</v>
      </c>
      <c r="D117" s="1589" t="s">
        <v>119</v>
      </c>
      <c r="E117" s="762">
        <f>_xlfn.XLOOKUP(D117,RUC!$B$3:$B$123,RUC!$D$3:$D$123)</f>
        <v>10082235774</v>
      </c>
      <c r="G117" s="1082">
        <v>36</v>
      </c>
      <c r="H117" s="762" t="s">
        <v>69</v>
      </c>
      <c r="I117" s="703">
        <v>3.11</v>
      </c>
      <c r="J117" s="596">
        <v>2.35</v>
      </c>
      <c r="K117" s="703">
        <f t="shared" si="76"/>
        <v>3.0369999999999999</v>
      </c>
      <c r="L117" s="1192">
        <v>0.187</v>
      </c>
      <c r="M117" s="994">
        <f t="shared" si="91"/>
        <v>0.18</v>
      </c>
      <c r="N117" s="1444">
        <v>0.20100000000000001</v>
      </c>
      <c r="O117" s="645">
        <f t="shared" si="79"/>
        <v>0.191</v>
      </c>
      <c r="P117" s="727">
        <v>85</v>
      </c>
      <c r="Q117" s="1476">
        <v>92.9</v>
      </c>
      <c r="R117" s="1211">
        <v>4421.6499999999996</v>
      </c>
      <c r="S117" s="1164">
        <v>105</v>
      </c>
      <c r="U117" s="1146">
        <f>_xlfn.XLOOKUP(D117,RUC!$B$3:$B$123,RUC!$F$3:$F$123)</f>
        <v>80</v>
      </c>
      <c r="V117" s="715">
        <v>1.1023000000000001</v>
      </c>
      <c r="Y117">
        <f>_xlfn.XLOOKUP(D117,RUC!$B$3:$B$123,RUC!$G$3:$G$123)</f>
        <v>0</v>
      </c>
      <c r="Z117" s="143">
        <f>_xlfn.XLOOKUP(D117,RUC!$B$3:$B$123,RUC!$H$3:$H$123)</f>
        <v>10</v>
      </c>
      <c r="AA117" s="144">
        <f t="shared" si="80"/>
        <v>10</v>
      </c>
      <c r="AB117" s="145">
        <f t="shared" si="89"/>
        <v>650.21025906825002</v>
      </c>
      <c r="AC117" s="145">
        <f>+(S117-T117)*V117-'data 1'!$F$4</f>
        <v>35.741500000000002</v>
      </c>
      <c r="AD117" s="145">
        <f t="shared" si="81"/>
        <v>70.700635144535056</v>
      </c>
      <c r="AE117" s="145">
        <f t="shared" si="93"/>
        <v>-58.977000000000004</v>
      </c>
      <c r="AF117" s="145">
        <f t="shared" si="82"/>
        <v>-17.784035754220014</v>
      </c>
      <c r="AG117" s="772">
        <f t="shared" si="92"/>
        <v>99.68109939031504</v>
      </c>
      <c r="AH117" s="1253">
        <f t="shared" si="83"/>
        <v>18.088999999999999</v>
      </c>
      <c r="AI117" s="1253">
        <f t="shared" si="84"/>
        <v>19.471</v>
      </c>
      <c r="AJ117" s="156">
        <f t="shared" si="85"/>
        <v>51.387646459215077</v>
      </c>
      <c r="AK117" s="156">
        <f t="shared" si="86"/>
        <v>16.904648861499449</v>
      </c>
      <c r="AM117" s="716">
        <f t="shared" si="87"/>
        <v>1974.6885567902752</v>
      </c>
      <c r="AN117" s="716" t="str">
        <f>_xlfn.XLOOKUP(D117,RUC!$B$3:$B$578,RUC!$M$3:$M$578)</f>
        <v>Melchor Vera</v>
      </c>
      <c r="AO117" s="1167" t="s">
        <v>2277</v>
      </c>
      <c r="AP117" t="s">
        <v>4170</v>
      </c>
      <c r="AQ117" t="s">
        <v>2456</v>
      </c>
      <c r="AR117" s="1589" t="s">
        <v>4141</v>
      </c>
    </row>
    <row r="118" spans="1:44" ht="15" customHeight="1">
      <c r="A118" s="747" t="s">
        <v>4130</v>
      </c>
      <c r="B118" s="1447">
        <v>46027</v>
      </c>
      <c r="C118" s="1447">
        <v>46022</v>
      </c>
      <c r="D118" s="1589" t="s">
        <v>119</v>
      </c>
      <c r="E118" s="762">
        <f>_xlfn.XLOOKUP(D118,RUC!$B$3:$B$123,RUC!$D$3:$D$123)</f>
        <v>10082235774</v>
      </c>
      <c r="G118" s="1082">
        <v>29</v>
      </c>
      <c r="H118" s="762" t="s">
        <v>69</v>
      </c>
      <c r="I118" s="703">
        <v>2.66</v>
      </c>
      <c r="J118" s="596">
        <v>1.25</v>
      </c>
      <c r="K118" s="703">
        <f t="shared" si="76"/>
        <v>2.6269999999999998</v>
      </c>
      <c r="L118" s="1192">
        <v>0.26</v>
      </c>
      <c r="M118" s="994">
        <f t="shared" si="91"/>
        <v>0.253</v>
      </c>
      <c r="N118" s="1196">
        <f t="shared" si="88"/>
        <v>0.253</v>
      </c>
      <c r="O118" s="645">
        <f t="shared" si="79"/>
        <v>0.253</v>
      </c>
      <c r="P118" s="727">
        <v>90</v>
      </c>
      <c r="Q118" s="1476">
        <v>92.31</v>
      </c>
      <c r="R118" s="1211">
        <v>4421.6499999999996</v>
      </c>
      <c r="S118" s="1164">
        <v>105</v>
      </c>
      <c r="U118" s="1146">
        <f>_xlfn.XLOOKUP(D118,RUC!$B$3:$B$123,RUC!$F$3:$F$123)</f>
        <v>80</v>
      </c>
      <c r="V118" s="715">
        <v>1.1023000000000001</v>
      </c>
      <c r="Y118">
        <f>_xlfn.XLOOKUP(D118,RUC!$B$3:$B$123,RUC!$G$3:$G$123)</f>
        <v>0</v>
      </c>
      <c r="Z118" s="143">
        <f>_xlfn.XLOOKUP(D118,RUC!$B$3:$B$123,RUC!$H$3:$H$123)</f>
        <v>10</v>
      </c>
      <c r="AA118" s="144">
        <f t="shared" si="80"/>
        <v>10</v>
      </c>
      <c r="AB118" s="145">
        <f t="shared" si="89"/>
        <v>962.96234102149992</v>
      </c>
      <c r="AC118" s="145">
        <f>+(S118-T118)*V118-'data 1'!$F$4</f>
        <v>35.741500000000002</v>
      </c>
      <c r="AD118" s="145">
        <f t="shared" si="81"/>
        <v>28.743519574770026</v>
      </c>
      <c r="AE118" s="145">
        <f t="shared" si="93"/>
        <v>-58.977000000000004</v>
      </c>
      <c r="AF118" s="145">
        <f t="shared" si="82"/>
        <v>30.924408997051529</v>
      </c>
      <c r="AG118" s="772">
        <f t="shared" si="92"/>
        <v>106.43242857182156</v>
      </c>
      <c r="AH118" s="1253">
        <f t="shared" si="83"/>
        <v>21.617000000000001</v>
      </c>
      <c r="AI118" s="1253">
        <f t="shared" si="84"/>
        <v>23.417999999999999</v>
      </c>
      <c r="AJ118" s="156">
        <f t="shared" si="85"/>
        <v>70.994304013230106</v>
      </c>
      <c r="AK118" s="156">
        <f t="shared" si="86"/>
        <v>20.508418570553594</v>
      </c>
      <c r="AM118" s="716">
        <f t="shared" si="87"/>
        <v>2529.7020698634801</v>
      </c>
      <c r="AN118" s="716" t="str">
        <f>_xlfn.XLOOKUP(D118,RUC!$B$3:$B$578,RUC!$M$3:$M$578)</f>
        <v>Melchor Vera</v>
      </c>
      <c r="AO118" s="1167" t="s">
        <v>2277</v>
      </c>
      <c r="AP118" t="s">
        <v>4170</v>
      </c>
      <c r="AQ118" t="s">
        <v>2456</v>
      </c>
      <c r="AR118" s="1589" t="s">
        <v>4141</v>
      </c>
    </row>
    <row r="119" spans="1:44" ht="15" customHeight="1">
      <c r="A119" s="747" t="s">
        <v>4131</v>
      </c>
      <c r="B119" s="1447">
        <v>46027</v>
      </c>
      <c r="C119" s="1447">
        <v>46022</v>
      </c>
      <c r="D119" s="1589" t="s">
        <v>119</v>
      </c>
      <c r="E119" s="762">
        <f>_xlfn.XLOOKUP(D119,RUC!$B$3:$B$123,RUC!$D$3:$D$123)</f>
        <v>10082235774</v>
      </c>
      <c r="G119" s="1082">
        <v>30</v>
      </c>
      <c r="H119" s="762" t="s">
        <v>69</v>
      </c>
      <c r="I119" s="703">
        <v>2.7</v>
      </c>
      <c r="J119" s="596">
        <v>2.2999999999999998</v>
      </c>
      <c r="K119" s="703">
        <f t="shared" si="76"/>
        <v>2.6379999999999999</v>
      </c>
      <c r="L119" s="1192">
        <v>0.13900000000000001</v>
      </c>
      <c r="M119" s="994">
        <f t="shared" si="91"/>
        <v>0.13200000000000001</v>
      </c>
      <c r="N119" s="1444">
        <v>0.153</v>
      </c>
      <c r="O119" s="645">
        <f t="shared" si="79"/>
        <v>0.14299999999999999</v>
      </c>
      <c r="P119" s="727">
        <v>85</v>
      </c>
      <c r="Q119" s="1476">
        <v>91.37</v>
      </c>
      <c r="R119" s="1211">
        <v>4421.6499999999996</v>
      </c>
      <c r="S119" s="1164">
        <v>95</v>
      </c>
      <c r="U119" s="1146">
        <f>_xlfn.XLOOKUP(D119,RUC!$B$3:$B$123,RUC!$F$3:$F$123)</f>
        <v>80</v>
      </c>
      <c r="V119" s="715">
        <v>1.1023000000000001</v>
      </c>
      <c r="Y119">
        <f>_xlfn.XLOOKUP(D119,RUC!$B$3:$B$123,RUC!$G$3:$G$123)</f>
        <v>0</v>
      </c>
      <c r="Z119" s="143">
        <f>_xlfn.XLOOKUP(D119,RUC!$B$3:$B$123,RUC!$H$3:$H$123)</f>
        <v>10</v>
      </c>
      <c r="AA119" s="144">
        <f t="shared" si="80"/>
        <v>10</v>
      </c>
      <c r="AB119" s="145">
        <f t="shared" si="89"/>
        <v>465.97258663224989</v>
      </c>
      <c r="AC119" s="145">
        <f>+(S119-T119)*V119-'data 1'!$F$4</f>
        <v>24.718500000000006</v>
      </c>
      <c r="AD119" s="145">
        <f t="shared" si="81"/>
        <v>42.374915979168534</v>
      </c>
      <c r="AE119" s="145">
        <f t="shared" si="93"/>
        <v>-58.977000000000004</v>
      </c>
      <c r="AF119" s="145">
        <f t="shared" si="82"/>
        <v>-17.491144745565897</v>
      </c>
      <c r="AG119" s="772">
        <f t="shared" si="92"/>
        <v>60.625271233602639</v>
      </c>
      <c r="AH119" s="1253">
        <f t="shared" si="83"/>
        <v>11.487</v>
      </c>
      <c r="AI119" s="1253">
        <f t="shared" si="84"/>
        <v>12.571999999999999</v>
      </c>
      <c r="AJ119" s="156">
        <f t="shared" si="85"/>
        <v>37.56815198448156</v>
      </c>
      <c r="AK119" s="156">
        <f t="shared" si="86"/>
        <v>10.993571964305644</v>
      </c>
      <c r="AM119" s="716">
        <f t="shared" si="87"/>
        <v>1229.2356835358751</v>
      </c>
      <c r="AN119" s="716" t="str">
        <f>_xlfn.XLOOKUP(D119,RUC!$B$3:$B$578,RUC!$M$3:$M$578)</f>
        <v>Melchor Vera</v>
      </c>
      <c r="AO119" s="1167" t="s">
        <v>2277</v>
      </c>
      <c r="AP119" t="s">
        <v>4170</v>
      </c>
      <c r="AQ119" t="s">
        <v>2456</v>
      </c>
      <c r="AR119" s="1589" t="s">
        <v>4141</v>
      </c>
    </row>
    <row r="120" spans="1:44" ht="15" customHeight="1">
      <c r="A120" s="1593" t="s">
        <v>4132</v>
      </c>
      <c r="C120" s="1447">
        <v>46022</v>
      </c>
      <c r="D120" t="s">
        <v>2004</v>
      </c>
      <c r="E120" s="762">
        <f>_xlfn.XLOOKUP(D120,RUC!$B$3:$B$123,RUC!$D$3:$D$123)</f>
        <v>20612921866</v>
      </c>
      <c r="G120" s="1082">
        <v>50</v>
      </c>
      <c r="H120" s="762" t="s">
        <v>69</v>
      </c>
      <c r="I120" s="703">
        <v>0</v>
      </c>
      <c r="J120" s="596">
        <v>0</v>
      </c>
      <c r="K120" s="703">
        <v>0</v>
      </c>
      <c r="L120" s="1192">
        <v>0</v>
      </c>
      <c r="M120" s="994">
        <v>0</v>
      </c>
      <c r="N120" s="1196">
        <v>0</v>
      </c>
      <c r="O120" s="645">
        <v>0</v>
      </c>
      <c r="P120" s="727">
        <v>90</v>
      </c>
      <c r="Q120" s="1476">
        <v>96.92</v>
      </c>
      <c r="R120" s="706">
        <v>4307.95</v>
      </c>
      <c r="S120" s="1164">
        <v>0</v>
      </c>
      <c r="U120" s="1146">
        <v>0</v>
      </c>
      <c r="V120" s="715">
        <v>0</v>
      </c>
      <c r="Y120">
        <f>_xlfn.XLOOKUP(D120,RUC!$B$3:$B$123,RUC!$G$3:$G$123)</f>
        <v>0</v>
      </c>
      <c r="Z120" s="143">
        <v>0</v>
      </c>
      <c r="AA120" s="144">
        <f t="shared" si="80"/>
        <v>0</v>
      </c>
      <c r="AB120" s="145">
        <f t="shared" si="89"/>
        <v>0</v>
      </c>
      <c r="AC120" s="145">
        <v>0</v>
      </c>
      <c r="AD120" s="145">
        <f t="shared" si="81"/>
        <v>0</v>
      </c>
      <c r="AE120" s="145">
        <v>0</v>
      </c>
      <c r="AF120" s="145">
        <f t="shared" si="82"/>
        <v>0</v>
      </c>
      <c r="AG120" s="772">
        <f t="shared" ref="AG120:AG121" si="94">AC120+AD120+AE120+AF120</f>
        <v>0</v>
      </c>
      <c r="AH120" s="1253">
        <f t="shared" si="83"/>
        <v>0</v>
      </c>
      <c r="AI120" s="1253">
        <f t="shared" si="84"/>
        <v>0</v>
      </c>
      <c r="AJ120" s="156">
        <f t="shared" si="85"/>
        <v>0</v>
      </c>
      <c r="AK120" s="156">
        <f t="shared" si="86"/>
        <v>0</v>
      </c>
      <c r="AM120" s="716">
        <f t="shared" si="87"/>
        <v>0</v>
      </c>
      <c r="AN120" s="716" t="str">
        <f>_xlfn.XLOOKUP(D120,RUC!$B$3:$B$578,RUC!$M$3:$M$578)</f>
        <v>Ronald Garibay</v>
      </c>
      <c r="AO120" s="1167" t="s">
        <v>2282</v>
      </c>
      <c r="AP120" t="s">
        <v>4189</v>
      </c>
      <c r="AQ120" t="s">
        <v>4190</v>
      </c>
    </row>
    <row r="121" spans="1:44" ht="15" customHeight="1">
      <c r="A121" s="1593" t="s">
        <v>4133</v>
      </c>
      <c r="C121" s="1447">
        <v>46022</v>
      </c>
      <c r="D121" t="s">
        <v>2004</v>
      </c>
      <c r="E121" s="762">
        <f>_xlfn.XLOOKUP(D121,RUC!$B$3:$B$123,RUC!$D$3:$D$123)</f>
        <v>20612921866</v>
      </c>
      <c r="G121" s="1082">
        <v>50</v>
      </c>
      <c r="H121" s="762" t="s">
        <v>69</v>
      </c>
      <c r="I121" s="703">
        <v>0</v>
      </c>
      <c r="J121" s="596">
        <v>0</v>
      </c>
      <c r="K121" s="703">
        <v>0</v>
      </c>
      <c r="L121" s="1192">
        <v>0</v>
      </c>
      <c r="M121" s="994">
        <v>0</v>
      </c>
      <c r="N121" s="1196">
        <v>0</v>
      </c>
      <c r="O121" s="645">
        <v>0</v>
      </c>
      <c r="P121" s="727">
        <v>90</v>
      </c>
      <c r="Q121" s="1476">
        <v>94.74</v>
      </c>
      <c r="R121" s="706">
        <v>4307.95</v>
      </c>
      <c r="S121" s="1164">
        <v>0</v>
      </c>
      <c r="U121" s="1146">
        <v>0</v>
      </c>
      <c r="V121" s="715">
        <v>0</v>
      </c>
      <c r="Y121">
        <f>_xlfn.XLOOKUP(D121,RUC!$B$3:$B$123,RUC!$G$3:$G$123)</f>
        <v>0</v>
      </c>
      <c r="Z121" s="143">
        <v>0</v>
      </c>
      <c r="AA121" s="144">
        <f t="shared" si="80"/>
        <v>0</v>
      </c>
      <c r="AB121" s="145">
        <f t="shared" si="89"/>
        <v>0</v>
      </c>
      <c r="AC121" s="145">
        <v>0</v>
      </c>
      <c r="AD121" s="145">
        <f t="shared" si="81"/>
        <v>0</v>
      </c>
      <c r="AE121" s="145">
        <v>0</v>
      </c>
      <c r="AF121" s="145">
        <f t="shared" si="82"/>
        <v>0</v>
      </c>
      <c r="AG121" s="772">
        <f t="shared" si="94"/>
        <v>0</v>
      </c>
      <c r="AH121" s="1253">
        <f t="shared" si="83"/>
        <v>0</v>
      </c>
      <c r="AI121" s="1253">
        <f t="shared" si="84"/>
        <v>0</v>
      </c>
      <c r="AJ121" s="156">
        <f t="shared" si="85"/>
        <v>0</v>
      </c>
      <c r="AK121" s="156">
        <f t="shared" si="86"/>
        <v>0</v>
      </c>
      <c r="AM121" s="716">
        <f t="shared" si="87"/>
        <v>0</v>
      </c>
      <c r="AN121" s="716" t="str">
        <f>_xlfn.XLOOKUP(D121,RUC!$B$3:$B$578,RUC!$M$3:$M$578)</f>
        <v>Ronald Garibay</v>
      </c>
      <c r="AO121" s="1167" t="s">
        <v>2282</v>
      </c>
      <c r="AP121" t="s">
        <v>4189</v>
      </c>
      <c r="AQ121" t="s">
        <v>4190</v>
      </c>
    </row>
    <row r="122" spans="1:44" ht="15" customHeight="1">
      <c r="R122" s="706"/>
    </row>
    <row r="123" spans="1:44" ht="15" customHeight="1">
      <c r="R123" s="706"/>
    </row>
    <row r="124" spans="1:44" ht="15" customHeight="1">
      <c r="R124" s="706"/>
    </row>
    <row r="125" spans="1:44" ht="15" customHeight="1">
      <c r="R125" s="706"/>
    </row>
    <row r="126" spans="1:44" ht="15" customHeight="1">
      <c r="R126" s="706"/>
    </row>
    <row r="127" spans="1:44" ht="15" customHeight="1">
      <c r="R127" s="706"/>
    </row>
    <row r="128" spans="1:44" ht="15" customHeight="1">
      <c r="R128" s="706"/>
    </row>
    <row r="129" spans="18:18" ht="15" customHeight="1">
      <c r="R129" s="706"/>
    </row>
    <row r="130" spans="18:18" ht="15" customHeight="1">
      <c r="R130" s="706"/>
    </row>
    <row r="131" spans="18:18" ht="15" customHeight="1">
      <c r="R131" s="706"/>
    </row>
    <row r="132" spans="18:18" ht="15" customHeight="1">
      <c r="R132" s="706"/>
    </row>
    <row r="133" spans="18:18" ht="15" customHeight="1">
      <c r="R133" s="706"/>
    </row>
    <row r="134" spans="18:18" ht="15" customHeight="1">
      <c r="R134" s="706"/>
    </row>
    <row r="135" spans="18:18" ht="15" customHeight="1">
      <c r="R135" s="706"/>
    </row>
    <row r="136" spans="18:18" ht="15" customHeight="1">
      <c r="R136" s="706"/>
    </row>
    <row r="137" spans="18:18" ht="15" customHeight="1">
      <c r="R137" s="706"/>
    </row>
    <row r="138" spans="18:18" ht="15" customHeight="1">
      <c r="R138" s="706"/>
    </row>
    <row r="139" spans="18:18" ht="15" customHeight="1">
      <c r="R139" s="706"/>
    </row>
    <row r="140" spans="18:18" ht="15" customHeight="1">
      <c r="R140" s="706"/>
    </row>
    <row r="141" spans="18:18" ht="15" customHeight="1">
      <c r="R141" s="706"/>
    </row>
    <row r="142" spans="18:18" ht="15" customHeight="1">
      <c r="R142" s="706"/>
    </row>
    <row r="143" spans="18:18" ht="15" customHeight="1">
      <c r="R143" s="706"/>
    </row>
    <row r="144" spans="18:18" ht="15" customHeight="1">
      <c r="R144" s="706"/>
    </row>
    <row r="145" spans="18:18" ht="15" customHeight="1">
      <c r="R145" s="706"/>
    </row>
    <row r="146" spans="18:18" ht="15" customHeight="1">
      <c r="R146" s="706"/>
    </row>
    <row r="147" spans="18:18" ht="15" customHeight="1">
      <c r="R147" s="706"/>
    </row>
    <row r="148" spans="18:18" ht="15" customHeight="1">
      <c r="R148" s="706"/>
    </row>
    <row r="149" spans="18:18" ht="15" customHeight="1">
      <c r="R149" s="706"/>
    </row>
    <row r="150" spans="18:18" ht="15" customHeight="1">
      <c r="R150" s="706"/>
    </row>
    <row r="151" spans="18:18" ht="15" customHeight="1">
      <c r="R151" s="706"/>
    </row>
  </sheetData>
  <autoFilter ref="A3:AO121" xr:uid="{00000000-0009-0000-0000-00000C000000}"/>
  <mergeCells count="2">
    <mergeCell ref="AV5:BD5"/>
    <mergeCell ref="AV20:BA20"/>
  </mergeCells>
  <pageMargins left="0.7" right="0.7" top="0.75" bottom="0.75" header="0" footer="0"/>
  <pageSetup scale="14" fitToHeight="0" orientation="landscape" horizontalDpi="360" verticalDpi="360" r:id="rId1"/>
  <ignoredErrors>
    <ignoredError sqref="AJ3" formula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B60AA-05EA-46CC-BADD-D37D6BDB35C5}">
  <sheetPr>
    <tabColor rgb="FF00B050"/>
    <pageSetUpPr fitToPage="1"/>
  </sheetPr>
  <dimension ref="A1:BD64"/>
  <sheetViews>
    <sheetView showGridLines="0" zoomScale="80" zoomScaleNormal="80" workbookViewId="0">
      <pane xSplit="4" ySplit="3" topLeftCell="AS4" activePane="bottomRight" state="frozen"/>
      <selection activeCell="AW6" sqref="AW6:AX6"/>
      <selection pane="topRight" activeCell="AW6" sqref="AW6:AX6"/>
      <selection pane="bottomLeft" activeCell="AW6" sqref="AW6:AX6"/>
      <selection pane="bottomRight" activeCell="AW6" sqref="AW6:AX6"/>
    </sheetView>
  </sheetViews>
  <sheetFormatPr baseColWidth="10" defaultColWidth="14.44140625" defaultRowHeight="15" customHeight="1"/>
  <cols>
    <col min="1" max="1" width="14.5546875" customWidth="1"/>
    <col min="2" max="2" width="12.44140625" style="762" customWidth="1"/>
    <col min="3" max="3" width="11.6640625" style="762" customWidth="1"/>
    <col min="4" max="4" width="42.5546875" customWidth="1"/>
    <col min="5" max="5" width="13.109375" customWidth="1"/>
    <col min="6" max="6" width="15.33203125" customWidth="1"/>
    <col min="7" max="7" width="13.33203125" customWidth="1"/>
    <col min="8" max="8" width="11.44140625" style="762" customWidth="1"/>
    <col min="9" max="9" width="11.5546875" customWidth="1"/>
    <col min="10" max="10" width="10.66406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7.66406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0.88671875" customWidth="1"/>
    <col min="43" max="43" width="12.6640625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4356.5090000000009</v>
      </c>
      <c r="F1" s="1075" t="s">
        <v>1906</v>
      </c>
      <c r="G1" s="1076">
        <f>+$AM3</f>
        <v>427530.75108622934</v>
      </c>
      <c r="H1" s="1448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B2" s="1144"/>
      <c r="D2" s="1075" t="s">
        <v>1907</v>
      </c>
      <c r="E2" s="1076">
        <f>+AH3</f>
        <v>4034.2220000000011</v>
      </c>
      <c r="F2" s="1079" t="s">
        <v>1908</v>
      </c>
      <c r="G2" s="1080">
        <f>+Q2</f>
        <v>92.900969495481377</v>
      </c>
      <c r="H2" s="90"/>
      <c r="I2" s="1251">
        <f>SUBTOTAL(9,I4:I812)</f>
        <v>411.37999999999988</v>
      </c>
      <c r="J2" s="81"/>
      <c r="K2" s="91">
        <f>SUBTOTAL(9,K4:K812)</f>
        <v>379.85199999999992</v>
      </c>
      <c r="L2" s="1202">
        <f>+SUMPRODUCT(L5:L812,K5:K812)/K2</f>
        <v>0.33451474521655816</v>
      </c>
      <c r="M2" s="6"/>
      <c r="O2" s="703"/>
      <c r="P2" s="94">
        <f>+SUMPRODUCT(P4:P812,AH4:AH812)/SUM(AH4:AH812)</f>
        <v>87.929970636221796</v>
      </c>
      <c r="Q2" s="1201">
        <f>+SUMPRODUCT(Q4:Q812,AH4:AH812)/SUM(AH4:AH812)</f>
        <v>92.900969495481377</v>
      </c>
      <c r="R2" s="1151">
        <f>+SUMPRODUCT(R4:R812,AH4:AH812)/SUM(AH4:AH812)</f>
        <v>4375.8566171494776</v>
      </c>
      <c r="S2" s="6"/>
      <c r="AB2" s="83"/>
      <c r="AC2" s="83"/>
      <c r="AD2" s="83"/>
      <c r="AE2" s="83"/>
      <c r="AF2" s="83"/>
      <c r="AG2" s="1209">
        <f>SUMPRODUCT($AG4:$AG812,$K4:$K812)/SUM($K4:$K812)</f>
        <v>202.50194091254633</v>
      </c>
      <c r="AH2" s="702"/>
      <c r="AI2" s="631"/>
      <c r="AJ2" s="252">
        <v>5090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679" t="s">
        <v>39</v>
      </c>
      <c r="C3" s="679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SUBTOTAL(9,AH4:AH812)</f>
        <v>4034.2220000000011</v>
      </c>
      <c r="AI3" s="1252">
        <f>SUBTOTAL(9,AI4:AI812)</f>
        <v>4356.5090000000009</v>
      </c>
      <c r="AJ3" s="1388">
        <f>SUMPRODUCT(K4:K812,AJ4:AJ812)/K2</f>
        <v>257.68251897839866</v>
      </c>
      <c r="AK3" s="118">
        <f>SUBTOTAL(9,AK4:AK812)</f>
        <v>3679.0129287495674</v>
      </c>
      <c r="AL3" s="88"/>
      <c r="AM3" s="118">
        <f>SUBTOTAL(9,AM4:AM812)</f>
        <v>427530.75108622934</v>
      </c>
      <c r="AN3" s="1182" t="s">
        <v>2247</v>
      </c>
      <c r="AO3" s="1168" t="s">
        <v>2283</v>
      </c>
      <c r="AP3" t="s">
        <v>2351</v>
      </c>
      <c r="AQ3" t="s">
        <v>2352</v>
      </c>
      <c r="AS3" s="1216"/>
    </row>
    <row r="4" spans="1:56" s="677" customFormat="1" ht="15.75" customHeight="1" thickBot="1">
      <c r="A4" s="720"/>
      <c r="B4" s="671"/>
      <c r="C4" s="723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56" ht="15" customHeight="1" thickBot="1">
      <c r="A5" s="1491" t="s">
        <v>3108</v>
      </c>
      <c r="B5" s="747"/>
      <c r="C5" s="1447">
        <v>45947</v>
      </c>
      <c r="D5" t="s">
        <v>2004</v>
      </c>
      <c r="E5" s="762">
        <f>_xlfn.XLOOKUP(D5,RUC!$B$3:$B$123,RUC!$D$3:$D$123)</f>
        <v>20612921866</v>
      </c>
      <c r="G5" s="1082">
        <v>65</v>
      </c>
      <c r="H5" s="762" t="s">
        <v>69</v>
      </c>
      <c r="I5" s="703">
        <v>6.35</v>
      </c>
      <c r="J5" s="596">
        <v>1.1000000000000001</v>
      </c>
      <c r="K5" s="703">
        <f t="shared" ref="K5:K38" si="0">ROUND(+I5-(I5*(J5/100)),3)</f>
        <v>6.28</v>
      </c>
      <c r="L5" s="1595">
        <v>0.03</v>
      </c>
      <c r="M5" s="994">
        <v>1.4999999999999999E-2</v>
      </c>
      <c r="N5" s="1196">
        <f>+M5</f>
        <v>1.4999999999999999E-2</v>
      </c>
      <c r="O5" s="645">
        <f t="shared" ref="O5:O18" si="1">+ROUND((M5+N5)/2,3)</f>
        <v>1.4999999999999999E-2</v>
      </c>
      <c r="P5" s="727">
        <v>90</v>
      </c>
      <c r="Q5" s="1498">
        <v>90</v>
      </c>
      <c r="R5" s="706">
        <v>4224.75</v>
      </c>
      <c r="S5" s="765">
        <f>IF((_xlfn.XLOOKUP(D5,RUC!$B$3:$B$119,RUC!$E$3:$E$119)+ROUNDDOWN(O5,1)*100)&lt;95,95,((_xlfn.XLOOKUP(D5,RUC!$B$3:$B$119,RUC!$E$3:$E$119)+ROUNDDOWN(O5,1)*100)))</f>
        <v>95</v>
      </c>
      <c r="U5" s="1146">
        <f>_xlfn.XLOOKUP(D5,RUC!$B$3:$B$123,RUC!$F$3:$F$123)</f>
        <v>100</v>
      </c>
      <c r="V5" s="715">
        <v>1.1023000000000001</v>
      </c>
      <c r="Y5">
        <f>_xlfn.XLOOKUP(D5,RUC!$B$3:$B$123,RUC!$G$3:$G$123)</f>
        <v>0</v>
      </c>
      <c r="Z5" s="143">
        <f>_xlfn.XLOOKUP(D5,RUC!$B$3:$B$123,RUC!$H$3:$H$123)</f>
        <v>30</v>
      </c>
      <c r="AA5" s="144">
        <f t="shared" ref="AA5:AA38" si="2">+Y5+Z5</f>
        <v>30</v>
      </c>
      <c r="AB5" s="145">
        <f>+((O5*P5*(R5-U5)/100)-S5-AA5+T5)*V5</f>
        <v>-76.406889012500017</v>
      </c>
      <c r="AC5" s="145">
        <f>+(S5-T5)*V5-'data 1'!$F$4</f>
        <v>24.718500000000006</v>
      </c>
      <c r="AD5" s="145">
        <f t="shared" ref="AD5:AD38" si="3">+(Q5-P5)*(R5-U5)*L5*V5/100</f>
        <v>0</v>
      </c>
      <c r="AE5" s="145">
        <f t="shared" ref="AE5:AE38" si="4">+(Y5*V5-70)+V5*(Z5-IF(D5="UNTUCA",IF(+((W5-3)*2.5+(X5-3)*3.1)&gt;0,+((W5-3)*1.5+(X5-3)*3.1),0),IF(+((W5-3)*1.5+(X5-3)*3.1)&gt;0,+((W5-3)*1.5+(X5-3)*3.1),0)))</f>
        <v>-36.930999999999997</v>
      </c>
      <c r="AF5" s="145">
        <f t="shared" ref="AF5:AF38" si="5">(L5-O5)*(R5-U5)*Q5*V5/100</f>
        <v>61.380610987499992</v>
      </c>
      <c r="AG5" s="772">
        <f>AC5+AD5+AE5+AF5+70-10</f>
        <v>109.1681109875</v>
      </c>
      <c r="AH5" s="1253">
        <f t="shared" ref="AH5:AH38" si="6">ROUND((31.1035*L5*Q5*1.1023*K5/100),3)</f>
        <v>5.8129999999999997</v>
      </c>
      <c r="AI5" s="1253">
        <f t="shared" ref="AI5:AI38" si="7">ROUND((31.1035*L5*1.1023*K5),3)</f>
        <v>6.4589999999999996</v>
      </c>
      <c r="AJ5" s="156">
        <f t="shared" ref="AJ5:AJ38" si="8">+((+$AJ$2-R5+U5)*L5*Q5*V5)/100</f>
        <v>28.727867025000005</v>
      </c>
      <c r="AK5" s="156">
        <f t="shared" ref="AK5:AK38" si="9">31.1035*1.1023*K5*P5*O5/100</f>
        <v>2.9067151988790001</v>
      </c>
      <c r="AL5" s="88"/>
      <c r="AM5" s="716">
        <f t="shared" ref="AM5:AM38" si="10">+IF(AB5*K5&gt;0,AB5*K5,0)</f>
        <v>0</v>
      </c>
      <c r="AN5" s="716" t="str">
        <f>_xlfn.XLOOKUP(D5,RUC!$B$3:$B$578,RUC!$M$3:$M$578)</f>
        <v>Ronald Garibay</v>
      </c>
      <c r="AO5" s="1167" t="s">
        <v>2280</v>
      </c>
      <c r="AP5" t="s">
        <v>3136</v>
      </c>
      <c r="AQ5" t="s">
        <v>3137</v>
      </c>
      <c r="AV5" s="1982" t="s">
        <v>4334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1491" t="s">
        <v>3686</v>
      </c>
      <c r="C6" s="1447">
        <v>45994</v>
      </c>
      <c r="D6" t="s">
        <v>2004</v>
      </c>
      <c r="E6" s="762">
        <f>_xlfn.XLOOKUP(D6,RUC!$B$3:$B$123,RUC!$D$3:$D$123)</f>
        <v>20612921866</v>
      </c>
      <c r="G6" s="1082" t="s">
        <v>2985</v>
      </c>
      <c r="H6" s="762" t="s">
        <v>69</v>
      </c>
      <c r="I6" s="703">
        <v>16.23</v>
      </c>
      <c r="J6">
        <v>2.2999999999999998</v>
      </c>
      <c r="K6" s="703">
        <f t="shared" si="0"/>
        <v>15.856999999999999</v>
      </c>
      <c r="L6" s="1082">
        <v>9.9000000000000005E-2</v>
      </c>
      <c r="M6" s="994">
        <f t="shared" ref="M6:M15" si="11">ROUND(+IF(AN6="Melchor Vera",IF(L6&gt;0.467,L6*0.985,(L6-0.007)),IF(L6&gt;0.3,L6*0.94,(L6-0.018))),3)</f>
        <v>8.1000000000000003E-2</v>
      </c>
      <c r="N6" s="1196">
        <f t="shared" ref="N6:N15" si="12">+M6</f>
        <v>8.1000000000000003E-2</v>
      </c>
      <c r="O6" s="645">
        <f t="shared" si="1"/>
        <v>8.1000000000000003E-2</v>
      </c>
      <c r="P6" s="727">
        <v>90</v>
      </c>
      <c r="Q6" s="1476">
        <v>95.45</v>
      </c>
      <c r="R6" s="706">
        <v>4210.3</v>
      </c>
      <c r="S6" s="765">
        <f>IF((_xlfn.XLOOKUP(D6,RUC!$B$3:$B$119,RUC!$E$3:$E$119)+ROUNDDOWN(O6,1)*100)&lt;95,95,((_xlfn.XLOOKUP(D6,RUC!$B$3:$B$119,RUC!$E$3:$E$119)+ROUNDDOWN(O6,1)*100)))</f>
        <v>95</v>
      </c>
      <c r="U6" s="1146">
        <f>_xlfn.XLOOKUP(D6,RUC!$B$3:$B$123,RUC!$F$3:$F$123)</f>
        <v>100</v>
      </c>
      <c r="V6" s="715">
        <v>1.1023000000000001</v>
      </c>
      <c r="Y6">
        <f>_xlfn.XLOOKUP(D6,RUC!$B$3:$B$123,RUC!$G$3:$G$123)</f>
        <v>0</v>
      </c>
      <c r="Z6" s="143">
        <f>_xlfn.XLOOKUP(D6,RUC!$B$3:$B$123,RUC!$H$3:$H$123)</f>
        <v>30</v>
      </c>
      <c r="AA6" s="144">
        <f t="shared" si="2"/>
        <v>30</v>
      </c>
      <c r="AB6" s="145">
        <v>0</v>
      </c>
      <c r="AC6" s="145">
        <f>+(S6-T6)*V6-'data 1'!$F$4</f>
        <v>24.718500000000006</v>
      </c>
      <c r="AD6" s="145">
        <f t="shared" si="3"/>
        <v>24.445843399395017</v>
      </c>
      <c r="AE6" s="145">
        <f t="shared" si="4"/>
        <v>-36.930999999999997</v>
      </c>
      <c r="AF6" s="145">
        <f t="shared" si="5"/>
        <v>77.843394577890024</v>
      </c>
      <c r="AG6" s="772">
        <f>AC6+AD6+AE6+AF6+70-10+129.51</f>
        <v>279.58673797728505</v>
      </c>
      <c r="AH6" s="1253">
        <f t="shared" si="6"/>
        <v>51.374000000000002</v>
      </c>
      <c r="AI6" s="1253">
        <f t="shared" si="7"/>
        <v>53.823</v>
      </c>
      <c r="AJ6" s="156">
        <f t="shared" si="8"/>
        <v>102.04789314010499</v>
      </c>
      <c r="AK6" s="156">
        <f t="shared" si="9"/>
        <v>39.633061736715163</v>
      </c>
      <c r="AL6" s="88"/>
      <c r="AM6" s="716">
        <f t="shared" si="10"/>
        <v>0</v>
      </c>
      <c r="AN6" s="716" t="str">
        <f>_xlfn.XLOOKUP(D6,RUC!$B$3:$B$578,RUC!$M$3:$M$578)</f>
        <v>Ronald Garibay</v>
      </c>
      <c r="AO6" s="1167" t="s">
        <v>2277</v>
      </c>
      <c r="AP6" t="s">
        <v>3739</v>
      </c>
      <c r="AQ6" t="s">
        <v>3740</v>
      </c>
      <c r="AV6" s="1636"/>
      <c r="AW6" s="1636"/>
      <c r="AX6" s="1636"/>
      <c r="AY6" s="1636"/>
      <c r="AZ6" s="1636"/>
      <c r="BA6" s="1636"/>
      <c r="BB6" s="1636"/>
      <c r="BC6" s="1636"/>
      <c r="BD6" s="1636"/>
    </row>
    <row r="7" spans="1:56" ht="15" customHeight="1">
      <c r="A7" s="747" t="s">
        <v>3703</v>
      </c>
      <c r="B7" s="1447">
        <v>46005</v>
      </c>
      <c r="C7" s="1447">
        <v>45996</v>
      </c>
      <c r="D7" t="s">
        <v>93</v>
      </c>
      <c r="E7" s="762">
        <f>_xlfn.XLOOKUP(D7,RUC!$B$3:$B$123,RUC!$D$3:$D$123)</f>
        <v>20169040231</v>
      </c>
      <c r="G7" s="1082">
        <v>96</v>
      </c>
      <c r="H7" s="762" t="s">
        <v>69</v>
      </c>
      <c r="I7" s="703">
        <v>8.77</v>
      </c>
      <c r="J7" s="596">
        <v>1.2</v>
      </c>
      <c r="K7" s="703">
        <f t="shared" si="0"/>
        <v>8.6649999999999991</v>
      </c>
      <c r="L7" s="1192">
        <v>2.36</v>
      </c>
      <c r="M7" s="994">
        <f t="shared" si="11"/>
        <v>2.218</v>
      </c>
      <c r="N7" s="1196">
        <f t="shared" si="12"/>
        <v>2.218</v>
      </c>
      <c r="O7" s="645">
        <f t="shared" si="1"/>
        <v>2.218</v>
      </c>
      <c r="P7" s="727">
        <v>85</v>
      </c>
      <c r="Q7" s="1476">
        <v>85.51</v>
      </c>
      <c r="R7" s="706">
        <v>4243</v>
      </c>
      <c r="S7" s="765">
        <f>IF((_xlfn.XLOOKUP(D7,RUC!$B$3:$B$119,RUC!$E$3:$E$119)+ROUNDDOWN(O7,1)*100)&lt;95,95,((_xlfn.XLOOKUP(D7,RUC!$B$3:$B$119,RUC!$E$3:$E$119)+ROUNDDOWN(O7,1)*100)))</f>
        <v>305</v>
      </c>
      <c r="U7" s="1146">
        <f>_xlfn.XLOOKUP(D7,RUC!$B$3:$B$123,RUC!$F$3:$F$123)</f>
        <v>120</v>
      </c>
      <c r="V7" s="715">
        <v>1.1023000000000001</v>
      </c>
      <c r="Y7">
        <f>_xlfn.XLOOKUP(D7,RUC!$B$3:$B$123,RUC!$G$3:$G$123)</f>
        <v>20</v>
      </c>
      <c r="Z7" s="1454">
        <v>35</v>
      </c>
      <c r="AA7" s="144">
        <f t="shared" si="2"/>
        <v>55</v>
      </c>
      <c r="AB7" s="145">
        <f t="shared" ref="AB7" si="13">+((O7*P7*(R7-U7)/100)-S7-AA7+T7)*V7</f>
        <v>8171.4512013700005</v>
      </c>
      <c r="AC7" s="145">
        <f>+(S7-T7)*V7-'data 1'!$F$4</f>
        <v>256.20150000000001</v>
      </c>
      <c r="AD7" s="145">
        <f t="shared" si="3"/>
        <v>54.70100698440055</v>
      </c>
      <c r="AE7" s="145">
        <f t="shared" si="4"/>
        <v>-9.3734999999999999</v>
      </c>
      <c r="AF7" s="145">
        <f t="shared" si="5"/>
        <v>551.84662780617964</v>
      </c>
      <c r="AG7" s="772">
        <f t="shared" ref="AG7" si="14">AC7+AD7+AE7+AF7+70-53</f>
        <v>870.37563479058031</v>
      </c>
      <c r="AH7" s="1253">
        <f t="shared" si="6"/>
        <v>599.524</v>
      </c>
      <c r="AI7" s="1253">
        <f t="shared" si="7"/>
        <v>701.11599999999999</v>
      </c>
      <c r="AJ7" s="156">
        <f t="shared" si="8"/>
        <v>2151.0732070676004</v>
      </c>
      <c r="AK7" s="156">
        <f t="shared" si="9"/>
        <v>560.09036771561227</v>
      </c>
      <c r="AM7" s="716">
        <f t="shared" si="10"/>
        <v>70805.624659871042</v>
      </c>
      <c r="AN7" s="716" t="str">
        <f>_xlfn.XLOOKUP(D7,RUC!$B$3:$B$578,RUC!$M$3:$M$578)</f>
        <v>Ronald Miranda</v>
      </c>
      <c r="AO7" s="1167" t="s">
        <v>2278</v>
      </c>
      <c r="AP7" t="s">
        <v>3747</v>
      </c>
      <c r="AQ7" t="s">
        <v>3748</v>
      </c>
      <c r="AW7" s="1469">
        <f>SUM(AW9:AW18)</f>
        <v>379.85199999999998</v>
      </c>
      <c r="AX7" s="1470">
        <f>SUMPRODUCT(AW9:AW18,AX9:AX18)/SUM(AW9:AW18)</f>
        <v>0.334514745216558</v>
      </c>
      <c r="AY7" s="704"/>
      <c r="AZ7" s="1471">
        <f>SUMPRODUCT(AZ9:AZ18,$BB9:$BB18)/SUM($BB9:$BB18)/100</f>
        <v>0.92900969495481434</v>
      </c>
      <c r="BA7" s="707">
        <f>SUM(BA9:BA18)</f>
        <v>4356.5103750731651</v>
      </c>
      <c r="BB7" s="707">
        <f>SUM(BB9:BB18)</f>
        <v>4034.2219999999998</v>
      </c>
    </row>
    <row r="8" spans="1:56" ht="15" customHeight="1" thickBot="1">
      <c r="A8" s="1491" t="s">
        <v>3839</v>
      </c>
      <c r="C8" s="1447">
        <v>46007</v>
      </c>
      <c r="D8" t="s">
        <v>2004</v>
      </c>
      <c r="E8" s="762">
        <f>_xlfn.XLOOKUP(D8,RUC!$B$3:$B$123,RUC!$D$3:$D$123)</f>
        <v>20612921866</v>
      </c>
      <c r="G8" s="1082" t="s">
        <v>2985</v>
      </c>
      <c r="H8" s="762" t="s">
        <v>69</v>
      </c>
      <c r="I8" s="703">
        <v>8.77</v>
      </c>
      <c r="J8" s="596">
        <v>1.25</v>
      </c>
      <c r="K8" s="703">
        <f t="shared" si="0"/>
        <v>8.66</v>
      </c>
      <c r="L8" s="1192">
        <v>7.0000000000000007E-2</v>
      </c>
      <c r="M8" s="994">
        <f t="shared" si="11"/>
        <v>5.1999999999999998E-2</v>
      </c>
      <c r="N8" s="1196">
        <f t="shared" si="12"/>
        <v>5.1999999999999998E-2</v>
      </c>
      <c r="O8" s="645">
        <f t="shared" si="1"/>
        <v>5.1999999999999998E-2</v>
      </c>
      <c r="P8" s="727">
        <v>90</v>
      </c>
      <c r="Q8" s="1476">
        <v>92.86</v>
      </c>
      <c r="R8" s="706">
        <v>4324.2</v>
      </c>
      <c r="S8" s="765">
        <f>IF((_xlfn.XLOOKUP(D8,RUC!$B$3:$B$119,RUC!$E$3:$E$119)+ROUNDDOWN(O8,1)*100)&lt;95,95,((_xlfn.XLOOKUP(D8,RUC!$B$3:$B$119,RUC!$E$3:$E$119)+ROUNDDOWN(O8,1)*100)))</f>
        <v>95</v>
      </c>
      <c r="U8" s="1146">
        <f>_xlfn.XLOOKUP(D8,RUC!$B$3:$B$123,RUC!$F$3:$F$123)</f>
        <v>100</v>
      </c>
      <c r="V8" s="715">
        <v>1.1023000000000001</v>
      </c>
      <c r="Y8">
        <f>_xlfn.XLOOKUP(D8,RUC!$B$3:$B$123,RUC!$G$3:$G$123)</f>
        <v>0</v>
      </c>
      <c r="Z8" s="143">
        <f>_xlfn.XLOOKUP(D8,RUC!$B$3:$B$123,RUC!$H$3:$H$123)</f>
        <v>30</v>
      </c>
      <c r="AA8" s="144">
        <f t="shared" si="2"/>
        <v>30</v>
      </c>
      <c r="AB8" s="145">
        <v>0</v>
      </c>
      <c r="AC8" s="145">
        <f>+(S8-T8)*V8-'data 1'!$F$4</f>
        <v>24.718500000000006</v>
      </c>
      <c r="AD8" s="145">
        <f t="shared" si="3"/>
        <v>9.3219839913199998</v>
      </c>
      <c r="AE8" s="145">
        <f t="shared" si="4"/>
        <v>-36.930999999999997</v>
      </c>
      <c r="AF8" s="145">
        <f t="shared" si="5"/>
        <v>77.829719289768022</v>
      </c>
      <c r="AG8" s="772">
        <f>AC8+AD8+AE8+AF8+70-10+80.13</f>
        <v>215.06920328108802</v>
      </c>
      <c r="AH8" s="1253">
        <f t="shared" si="6"/>
        <v>19.3</v>
      </c>
      <c r="AI8" s="1253">
        <f t="shared" si="7"/>
        <v>20.783999999999999</v>
      </c>
      <c r="AJ8" s="156">
        <f t="shared" si="8"/>
        <v>62.036045842680011</v>
      </c>
      <c r="AK8" s="156">
        <f t="shared" si="9"/>
        <v>13.8954563520084</v>
      </c>
      <c r="AM8" s="716">
        <f t="shared" si="10"/>
        <v>0</v>
      </c>
      <c r="AN8" s="716" t="str">
        <f>_xlfn.XLOOKUP(D8,RUC!$B$3:$B$578,RUC!$M$3:$M$578)</f>
        <v>Ronald Garibay</v>
      </c>
      <c r="AO8" s="1167" t="s">
        <v>2280</v>
      </c>
      <c r="AP8" t="s">
        <v>3855</v>
      </c>
      <c r="AQ8" s="1585" t="s">
        <v>3859</v>
      </c>
      <c r="AV8" s="762"/>
      <c r="AW8" s="762" t="s">
        <v>15</v>
      </c>
      <c r="AX8" s="762" t="s">
        <v>2522</v>
      </c>
      <c r="AY8" s="1214" t="s">
        <v>2522</v>
      </c>
      <c r="AZ8" s="762" t="s">
        <v>2523</v>
      </c>
      <c r="BA8" s="762" t="s">
        <v>2558</v>
      </c>
      <c r="BB8" s="762" t="s">
        <v>2559</v>
      </c>
      <c r="BC8" s="1555" t="s">
        <v>2565</v>
      </c>
      <c r="BD8" s="729" t="s">
        <v>2579</v>
      </c>
    </row>
    <row r="9" spans="1:56" ht="15" customHeight="1">
      <c r="A9" s="747" t="s">
        <v>3845</v>
      </c>
      <c r="B9" s="1447">
        <v>46014</v>
      </c>
      <c r="C9" s="1447">
        <v>46008</v>
      </c>
      <c r="D9" t="s">
        <v>1967</v>
      </c>
      <c r="E9" s="762">
        <f>_xlfn.XLOOKUP(D9,RUC!$B$3:$B$123,RUC!$D$3:$D$123)</f>
        <v>20601769396</v>
      </c>
      <c r="G9" s="1082">
        <v>54</v>
      </c>
      <c r="H9" s="762" t="s">
        <v>2005</v>
      </c>
      <c r="I9" s="703">
        <v>4.0599999999999996</v>
      </c>
      <c r="J9" s="596">
        <v>10.45</v>
      </c>
      <c r="K9" s="703">
        <f t="shared" si="0"/>
        <v>3.6360000000000001</v>
      </c>
      <c r="L9" s="1192">
        <v>0.33500000000000002</v>
      </c>
      <c r="M9" s="994">
        <f t="shared" si="11"/>
        <v>0.315</v>
      </c>
      <c r="N9" s="1196">
        <f t="shared" si="12"/>
        <v>0.315</v>
      </c>
      <c r="O9" s="645">
        <f t="shared" si="1"/>
        <v>0.315</v>
      </c>
      <c r="P9" s="727">
        <v>90</v>
      </c>
      <c r="Q9" s="1476">
        <v>92.54</v>
      </c>
      <c r="R9" s="706">
        <v>4342.1000000000004</v>
      </c>
      <c r="S9" s="765">
        <f>IF((_xlfn.XLOOKUP(D9,RUC!$B$3:$B$119,RUC!$E$3:$E$119)+ROUNDDOWN(O9,1)*100)&lt;95,95,((_xlfn.XLOOKUP(D9,RUC!$B$3:$B$119,RUC!$E$3:$E$119)+ROUNDDOWN(O9,1)*100)))</f>
        <v>120</v>
      </c>
      <c r="U9" s="1146">
        <f>_xlfn.XLOOKUP(D9,RUC!$B$3:$B$123,RUC!$F$3:$F$123)</f>
        <v>120</v>
      </c>
      <c r="V9" s="715">
        <v>1.1023000000000001</v>
      </c>
      <c r="Y9">
        <f>_xlfn.XLOOKUP(D9,RUC!$B$3:$B$123,RUC!$G$3:$G$123)</f>
        <v>20</v>
      </c>
      <c r="Z9" s="143">
        <f>_xlfn.XLOOKUP(D9,RUC!$B$3:$B$123,RUC!$H$3:$H$123)</f>
        <v>30</v>
      </c>
      <c r="AA9" s="144">
        <f t="shared" si="2"/>
        <v>50</v>
      </c>
      <c r="AB9" s="145">
        <f t="shared" ref="AB9:AB38" si="15">+((O9*P9*(R9-U9)/100)-S9-AA9+T9)*V9</f>
        <v>1132.0239053050002</v>
      </c>
      <c r="AC9" s="145">
        <f>+(S9-T9)*V9-'data 1'!$F$4</f>
        <v>52.27600000000001</v>
      </c>
      <c r="AD9" s="145">
        <f t="shared" si="3"/>
        <v>39.601063242470104</v>
      </c>
      <c r="AE9" s="145">
        <f t="shared" si="4"/>
        <v>-14.884999999999998</v>
      </c>
      <c r="AF9" s="145">
        <f t="shared" si="5"/>
        <v>86.13661752164009</v>
      </c>
      <c r="AG9" s="772">
        <f t="shared" ref="AG9:AG38" si="16">AC9+AD9+AE9+AF9+70-53</f>
        <v>180.12868076411021</v>
      </c>
      <c r="AH9" s="1253">
        <f t="shared" si="6"/>
        <v>38.646000000000001</v>
      </c>
      <c r="AI9" s="1253">
        <f t="shared" si="7"/>
        <v>41.762</v>
      </c>
      <c r="AJ9" s="156">
        <f t="shared" si="8"/>
        <v>296.58132287552996</v>
      </c>
      <c r="AK9" s="156">
        <f t="shared" si="9"/>
        <v>35.341583714268303</v>
      </c>
      <c r="AM9" s="716">
        <f t="shared" si="10"/>
        <v>4116.038919688981</v>
      </c>
      <c r="AN9" s="716" t="str">
        <f>_xlfn.XLOOKUP(D9,RUC!$B$3:$B$578,RUC!$M$3:$M$578)</f>
        <v>Evelyn</v>
      </c>
      <c r="AO9" s="1167" t="s">
        <v>2278</v>
      </c>
      <c r="AP9" t="s">
        <v>3488</v>
      </c>
      <c r="AQ9" t="s">
        <v>3856</v>
      </c>
      <c r="AV9" s="1556" t="s">
        <v>2277</v>
      </c>
      <c r="AW9" s="1227">
        <f t="shared" ref="AW9:AW18" si="17">SUMIF($AO$4:$AO$920,AV9,$K$4:$K$920)</f>
        <v>94.534999999999968</v>
      </c>
      <c r="AX9" s="1227" cm="1">
        <f t="array" ref="AX9">+SUMPRODUCT(IF($AO$4:$AO$920=AV9,$L$4:$L$920*$K$4:$K$920/AW9))</f>
        <v>0.33026668429682138</v>
      </c>
      <c r="AY9" s="1228">
        <f t="shared" ref="AY9:AY18" si="18">31.1035*1.1023*AX9*(100-AZ9)/100</f>
        <v>0.76744538721455724</v>
      </c>
      <c r="AZ9" s="1229" cm="1">
        <f t="array" ref="AZ9">+SUMPRODUCT(IF($AO$4:$AO$920=AV9,($Q$4:$Q$920*$AH$4:$AH$920)/SUMIF($AO$4:$AO$920,$AV9,$AH$4:$AH$920)))</f>
        <v>93.222435732447664</v>
      </c>
      <c r="BA9" s="1441">
        <f t="shared" ref="BA9:BA18" si="19">+AX9*31.1035*1.1023*AW9</f>
        <v>1070.450191489356</v>
      </c>
      <c r="BB9" s="1230">
        <f t="shared" ref="BB9:BB18" si="20">SUMIF($AO$4:$AO$64,$AV9,$AH$4:$AH$64)</f>
        <v>995.40899999999999</v>
      </c>
      <c r="BC9" s="1229">
        <f>+BA9-BB9</f>
        <v>75.041191489356038</v>
      </c>
      <c r="BD9" s="1231">
        <f>+AW9</f>
        <v>94.534999999999968</v>
      </c>
    </row>
    <row r="10" spans="1:56" ht="15" customHeight="1">
      <c r="A10" s="747" t="s">
        <v>3846</v>
      </c>
      <c r="B10" s="1447">
        <v>46014</v>
      </c>
      <c r="C10" s="1447">
        <v>46008</v>
      </c>
      <c r="D10" t="s">
        <v>1967</v>
      </c>
      <c r="E10" s="762">
        <f>_xlfn.XLOOKUP(D10,RUC!$B$3:$B$123,RUC!$D$3:$D$123)</f>
        <v>20601769396</v>
      </c>
      <c r="G10" s="1082">
        <v>49</v>
      </c>
      <c r="H10" s="762" t="s">
        <v>69</v>
      </c>
      <c r="I10" s="703">
        <v>3.44</v>
      </c>
      <c r="J10" s="596">
        <v>3.2</v>
      </c>
      <c r="K10" s="703">
        <f t="shared" si="0"/>
        <v>3.33</v>
      </c>
      <c r="L10" s="1192">
        <v>0.13200000000000001</v>
      </c>
      <c r="M10" s="994">
        <f t="shared" si="11"/>
        <v>0.114</v>
      </c>
      <c r="N10" s="1196">
        <f t="shared" si="12"/>
        <v>0.114</v>
      </c>
      <c r="O10" s="645">
        <f t="shared" si="1"/>
        <v>0.114</v>
      </c>
      <c r="P10" s="727">
        <v>76</v>
      </c>
      <c r="Q10" s="1476">
        <v>76.52</v>
      </c>
      <c r="R10" s="706">
        <v>4342.1000000000004</v>
      </c>
      <c r="S10" s="765">
        <f>IF((_xlfn.XLOOKUP(D10,RUC!$B$3:$B$119,RUC!$E$3:$E$119)+ROUNDDOWN(O10,1)*100)&lt;95,95,((_xlfn.XLOOKUP(D10,RUC!$B$3:$B$119,RUC!$E$3:$E$119)+ROUNDDOWN(O10,1)*100)))</f>
        <v>100</v>
      </c>
      <c r="U10" s="1146">
        <f>_xlfn.XLOOKUP(D10,RUC!$B$3:$B$123,RUC!$F$3:$F$123)</f>
        <v>120</v>
      </c>
      <c r="V10" s="715">
        <v>1.1023000000000001</v>
      </c>
      <c r="Y10">
        <f>_xlfn.XLOOKUP(D10,RUC!$B$3:$B$123,RUC!$G$3:$G$123)</f>
        <v>20</v>
      </c>
      <c r="Z10" s="143">
        <f>_xlfn.XLOOKUP(D10,RUC!$B$3:$B$123,RUC!$H$3:$H$123)</f>
        <v>30</v>
      </c>
      <c r="AA10" s="144">
        <f t="shared" si="2"/>
        <v>50</v>
      </c>
      <c r="AB10" s="145">
        <f t="shared" si="15"/>
        <v>237.87936471120003</v>
      </c>
      <c r="AC10" s="145">
        <f>+(S10-T10)*V10-'data 1'!$F$4</f>
        <v>30.230000000000004</v>
      </c>
      <c r="AD10" s="145">
        <f t="shared" si="3"/>
        <v>3.194519897711976</v>
      </c>
      <c r="AE10" s="145">
        <f t="shared" si="4"/>
        <v>-14.884999999999998</v>
      </c>
      <c r="AF10" s="145">
        <f t="shared" si="5"/>
        <v>64.102621304088018</v>
      </c>
      <c r="AG10" s="772">
        <f t="shared" si="16"/>
        <v>99.642141201800001</v>
      </c>
      <c r="AH10" s="1253">
        <f t="shared" si="6"/>
        <v>11.532</v>
      </c>
      <c r="AI10" s="1253">
        <f t="shared" si="7"/>
        <v>15.07</v>
      </c>
      <c r="AJ10" s="156">
        <f t="shared" si="8"/>
        <v>96.631425961487949</v>
      </c>
      <c r="AK10" s="156">
        <f t="shared" si="9"/>
        <v>9.8917184487711616</v>
      </c>
      <c r="AM10" s="716">
        <f t="shared" si="10"/>
        <v>792.13828448829611</v>
      </c>
      <c r="AN10" s="716" t="str">
        <f>_xlfn.XLOOKUP(D10,RUC!$B$3:$B$578,RUC!$M$3:$M$578)</f>
        <v>Evelyn</v>
      </c>
      <c r="AO10" s="1167" t="s">
        <v>2278</v>
      </c>
      <c r="AP10" t="s">
        <v>3488</v>
      </c>
      <c r="AQ10" t="s">
        <v>3856</v>
      </c>
      <c r="AV10" s="1557" t="s">
        <v>2278</v>
      </c>
      <c r="AW10" s="703">
        <f t="shared" si="17"/>
        <v>164.81</v>
      </c>
      <c r="AX10" s="703" cm="1">
        <f t="array" ref="AX10">+SUMPRODUCT(IF($AO$4:$AO$920=AV10,$L$4:$L$920*$K$4:$K$920/AW10))</f>
        <v>0.3320266610035798</v>
      </c>
      <c r="AY10" s="1215">
        <f t="shared" si="18"/>
        <v>1.0050006038145538</v>
      </c>
      <c r="AZ10" s="596" cm="1">
        <f t="array" ref="AZ10">+SUMPRODUCT(IF($AO$4:$AO$920=AV10,($Q$4:$Q$920*$AH$4:$AH$920)/SUMIF($AO$4:$AO$920,$AV10,$AH$4:$AH$920)))</f>
        <v>91.171553380676386</v>
      </c>
      <c r="BA10" s="1481">
        <f t="shared" si="19"/>
        <v>1876.1414850958972</v>
      </c>
      <c r="BB10" s="1237">
        <f t="shared" si="20"/>
        <v>1703.5940000000001</v>
      </c>
      <c r="BC10" s="596">
        <f t="shared" ref="BC10:BC18" si="21">+BC9+BA10-BB10</f>
        <v>247.58867658525332</v>
      </c>
      <c r="BD10" s="1238">
        <f t="shared" ref="BD10:BD18" si="22">+BD9+AW10</f>
        <v>259.34499999999997</v>
      </c>
    </row>
    <row r="11" spans="1:56" ht="15" customHeight="1">
      <c r="A11" s="747" t="s">
        <v>3847</v>
      </c>
      <c r="B11" s="1447">
        <v>46014</v>
      </c>
      <c r="C11" s="1447">
        <v>46008</v>
      </c>
      <c r="D11" t="s">
        <v>1967</v>
      </c>
      <c r="E11" s="762">
        <f>_xlfn.XLOOKUP(D11,RUC!$B$3:$B$123,RUC!$D$3:$D$123)</f>
        <v>20601769396</v>
      </c>
      <c r="G11" s="1082">
        <v>43</v>
      </c>
      <c r="H11" s="762" t="s">
        <v>2005</v>
      </c>
      <c r="I11" s="703">
        <v>3.31</v>
      </c>
      <c r="J11" s="596">
        <v>13.9</v>
      </c>
      <c r="K11" s="703">
        <f t="shared" si="0"/>
        <v>2.85</v>
      </c>
      <c r="L11" s="1192">
        <v>0.35299999999999998</v>
      </c>
      <c r="M11" s="994">
        <f t="shared" si="11"/>
        <v>0.33200000000000002</v>
      </c>
      <c r="N11" s="1196">
        <f t="shared" si="12"/>
        <v>0.33200000000000002</v>
      </c>
      <c r="O11" s="645">
        <f t="shared" si="1"/>
        <v>0.33200000000000002</v>
      </c>
      <c r="P11" s="727">
        <v>88</v>
      </c>
      <c r="Q11" s="1476">
        <v>88.1</v>
      </c>
      <c r="R11" s="706">
        <v>4342.1000000000004</v>
      </c>
      <c r="S11" s="765">
        <f>IF((_xlfn.XLOOKUP(D11,RUC!$B$3:$B$119,RUC!$E$3:$E$119)+ROUNDDOWN(O11,1)*100)&lt;95,95,((_xlfn.XLOOKUP(D11,RUC!$B$3:$B$119,RUC!$E$3:$E$119)+ROUNDDOWN(O11,1)*100)))</f>
        <v>120</v>
      </c>
      <c r="U11" s="1146">
        <f>_xlfn.XLOOKUP(D11,RUC!$B$3:$B$123,RUC!$F$3:$F$123)</f>
        <v>120</v>
      </c>
      <c r="V11" s="715">
        <v>1.1023000000000001</v>
      </c>
      <c r="Y11">
        <f>_xlfn.XLOOKUP(D11,RUC!$B$3:$B$123,RUC!$G$3:$G$123)</f>
        <v>20</v>
      </c>
      <c r="Z11" s="143">
        <f>_xlfn.XLOOKUP(D11,RUC!$B$3:$B$123,RUC!$H$3:$H$123)</f>
        <v>30</v>
      </c>
      <c r="AA11" s="144">
        <f t="shared" si="2"/>
        <v>50</v>
      </c>
      <c r="AB11" s="145">
        <f t="shared" si="15"/>
        <v>1172.3277256928002</v>
      </c>
      <c r="AC11" s="145">
        <f>+(S11-T11)*V11-'data 1'!$F$4</f>
        <v>52.27600000000001</v>
      </c>
      <c r="AD11" s="145">
        <f t="shared" si="3"/>
        <v>1.6428693529899068</v>
      </c>
      <c r="AE11" s="145">
        <f t="shared" si="4"/>
        <v>-14.884999999999998</v>
      </c>
      <c r="AF11" s="145">
        <f t="shared" si="5"/>
        <v>86.104039375829856</v>
      </c>
      <c r="AG11" s="772">
        <f t="shared" si="16"/>
        <v>142.13790872881978</v>
      </c>
      <c r="AH11" s="1253">
        <f t="shared" si="6"/>
        <v>30.388000000000002</v>
      </c>
      <c r="AI11" s="1253">
        <f t="shared" si="7"/>
        <v>34.493000000000002</v>
      </c>
      <c r="AJ11" s="156">
        <f t="shared" si="8"/>
        <v>297.52270206680987</v>
      </c>
      <c r="AK11" s="156">
        <f t="shared" si="9"/>
        <v>28.5479340721608</v>
      </c>
      <c r="AM11" s="716">
        <f t="shared" si="10"/>
        <v>3341.1340182244808</v>
      </c>
      <c r="AN11" s="716" t="str">
        <f>_xlfn.XLOOKUP(D11,RUC!$B$3:$B$578,RUC!$M$3:$M$578)</f>
        <v>Evelyn</v>
      </c>
      <c r="AO11" s="1167" t="s">
        <v>2278</v>
      </c>
      <c r="AP11" t="s">
        <v>3488</v>
      </c>
      <c r="AQ11" t="s">
        <v>3856</v>
      </c>
      <c r="AV11" s="1557" t="s">
        <v>2280</v>
      </c>
      <c r="AW11" s="703">
        <f t="shared" si="17"/>
        <v>120.50700000000003</v>
      </c>
      <c r="AX11" s="703" cm="1">
        <f t="array" ref="AX11">+SUMPRODUCT(IF($AO$4:$AO$920=AV11,$L$4:$L$920*$K$4:$K$920/AW11))</f>
        <v>0.34125005186420698</v>
      </c>
      <c r="AY11" s="1215">
        <f t="shared" si="18"/>
        <v>0.60045449849996724</v>
      </c>
      <c r="AZ11" s="596" cm="1">
        <f t="array" ref="AZ11">+SUMPRODUCT(IF($AO$4:$AO$920=AV11,($Q$4:$Q$920*$AH$4:$AH$920)/SUMIF($AO$4:$AO$920,$AV11,$AH$4:$AH$920)))</f>
        <v>94.867862215861237</v>
      </c>
      <c r="BA11" s="1237">
        <f t="shared" si="19"/>
        <v>1409.9186984879111</v>
      </c>
      <c r="BB11" s="1237">
        <f t="shared" si="20"/>
        <v>1335.2189999999998</v>
      </c>
      <c r="BC11" s="596">
        <f t="shared" si="21"/>
        <v>322.28837507316462</v>
      </c>
      <c r="BD11" s="1238">
        <f t="shared" si="22"/>
        <v>379.85199999999998</v>
      </c>
    </row>
    <row r="12" spans="1:56" ht="15" customHeight="1">
      <c r="A12" s="747" t="s">
        <v>3848</v>
      </c>
      <c r="B12" s="1447">
        <v>46014</v>
      </c>
      <c r="C12" s="1447">
        <v>46008</v>
      </c>
      <c r="D12" t="s">
        <v>1967</v>
      </c>
      <c r="E12" s="762">
        <f>_xlfn.XLOOKUP(D12,RUC!$B$3:$B$123,RUC!$D$3:$D$123)</f>
        <v>20601769396</v>
      </c>
      <c r="G12" s="1082">
        <v>43</v>
      </c>
      <c r="H12" s="762" t="s">
        <v>2005</v>
      </c>
      <c r="I12" s="703">
        <v>3.3</v>
      </c>
      <c r="J12" s="596">
        <v>13.83</v>
      </c>
      <c r="K12" s="703">
        <f t="shared" si="0"/>
        <v>2.8439999999999999</v>
      </c>
      <c r="L12" s="1192">
        <v>0.34799999999999998</v>
      </c>
      <c r="M12" s="994">
        <f t="shared" si="11"/>
        <v>0.32700000000000001</v>
      </c>
      <c r="N12" s="1196">
        <f t="shared" si="12"/>
        <v>0.32700000000000001</v>
      </c>
      <c r="O12" s="645">
        <f t="shared" si="1"/>
        <v>0.32700000000000001</v>
      </c>
      <c r="P12" s="727">
        <v>83</v>
      </c>
      <c r="Q12" s="1476">
        <v>84.2</v>
      </c>
      <c r="R12" s="706">
        <v>4342.1000000000004</v>
      </c>
      <c r="S12" s="765">
        <f>IF((_xlfn.XLOOKUP(D12,RUC!$B$3:$B$119,RUC!$E$3:$E$119)+ROUNDDOWN(O12,1)*100)&lt;95,95,((_xlfn.XLOOKUP(D12,RUC!$B$3:$B$119,RUC!$E$3:$E$119)+ROUNDDOWN(O12,1)*100)))</f>
        <v>120</v>
      </c>
      <c r="U12" s="1146">
        <f>_xlfn.XLOOKUP(D12,RUC!$B$3:$B$123,RUC!$F$3:$F$123)</f>
        <v>120</v>
      </c>
      <c r="V12" s="715">
        <v>1.1023000000000001</v>
      </c>
      <c r="Y12">
        <f>_xlfn.XLOOKUP(D12,RUC!$B$3:$B$123,RUC!$G$3:$G$123)</f>
        <v>20</v>
      </c>
      <c r="Z12" s="143">
        <f>_xlfn.XLOOKUP(D12,RUC!$B$3:$B$123,RUC!$H$3:$H$123)</f>
        <v>30</v>
      </c>
      <c r="AA12" s="144">
        <f t="shared" si="2"/>
        <v>50</v>
      </c>
      <c r="AB12" s="145">
        <f t="shared" si="15"/>
        <v>1075.7567934703004</v>
      </c>
      <c r="AC12" s="145">
        <f>+(S12-T12)*V12-'data 1'!$F$4</f>
        <v>52.27600000000001</v>
      </c>
      <c r="AD12" s="145">
        <f t="shared" si="3"/>
        <v>19.435190986080048</v>
      </c>
      <c r="AE12" s="145">
        <f t="shared" si="4"/>
        <v>-14.884999999999998</v>
      </c>
      <c r="AF12" s="145">
        <f t="shared" si="5"/>
        <v>82.292396316059879</v>
      </c>
      <c r="AG12" s="772">
        <f t="shared" si="16"/>
        <v>156.11858730213993</v>
      </c>
      <c r="AH12" s="1253">
        <f t="shared" si="6"/>
        <v>28.571000000000002</v>
      </c>
      <c r="AI12" s="1253">
        <f t="shared" si="7"/>
        <v>33.933</v>
      </c>
      <c r="AJ12" s="156">
        <f t="shared" si="8"/>
        <v>280.32435478871986</v>
      </c>
      <c r="AK12" s="156">
        <f t="shared" si="9"/>
        <v>26.464549553330027</v>
      </c>
      <c r="AM12" s="716">
        <f t="shared" si="10"/>
        <v>3059.4523206295344</v>
      </c>
      <c r="AN12" s="716" t="str">
        <f>_xlfn.XLOOKUP(D12,RUC!$B$3:$B$578,RUC!$M$3:$M$578)</f>
        <v>Evelyn</v>
      </c>
      <c r="AO12" s="1167" t="s">
        <v>2278</v>
      </c>
      <c r="AP12" t="s">
        <v>3488</v>
      </c>
      <c r="AQ12" t="s">
        <v>3856</v>
      </c>
      <c r="AV12" s="1557" t="s">
        <v>2279</v>
      </c>
      <c r="AW12" s="703">
        <f t="shared" si="17"/>
        <v>0</v>
      </c>
      <c r="AX12" s="703" cm="1">
        <f t="array" ref="AX12">+SUMPRODUCT(IF($AO$4:$AO$920=AV12,$L$4:$L$920*$K$4:$K$920/AW12))</f>
        <v>0</v>
      </c>
      <c r="AY12" s="1215">
        <f t="shared" si="18"/>
        <v>0</v>
      </c>
      <c r="AZ12" s="596" cm="1">
        <f t="array" ref="AZ12">+SUMPRODUCT(IF($AO$4:$AO$920=AV12,($Q$4:$Q$920*$AH$4:$AH$920)/SUMIF($AO$4:$AO$920,$AV12,$AH$4:$AH$920)))</f>
        <v>0</v>
      </c>
      <c r="BA12" s="1237">
        <f t="shared" si="19"/>
        <v>0</v>
      </c>
      <c r="BB12" s="1237">
        <f t="shared" si="20"/>
        <v>0</v>
      </c>
      <c r="BC12" s="596">
        <f t="shared" si="21"/>
        <v>322.28837507316462</v>
      </c>
      <c r="BD12" s="1238">
        <f t="shared" si="22"/>
        <v>379.85199999999998</v>
      </c>
    </row>
    <row r="13" spans="1:56" ht="15" customHeight="1">
      <c r="A13" s="747" t="s">
        <v>3888</v>
      </c>
      <c r="B13" s="1447">
        <v>46020</v>
      </c>
      <c r="C13" s="1447">
        <v>46010</v>
      </c>
      <c r="D13" t="s">
        <v>2444</v>
      </c>
      <c r="E13" s="762">
        <f>_xlfn.XLOOKUP(D13,RUC!$B$3:$B$123,RUC!$D$3:$D$123)</f>
        <v>20608774000</v>
      </c>
      <c r="G13" s="1082">
        <v>43</v>
      </c>
      <c r="H13" s="762" t="s">
        <v>2005</v>
      </c>
      <c r="I13" s="703">
        <v>4.3099999999999996</v>
      </c>
      <c r="J13" s="596">
        <v>3.6</v>
      </c>
      <c r="K13" s="703">
        <f t="shared" si="0"/>
        <v>4.1550000000000002</v>
      </c>
      <c r="L13" s="1192">
        <v>0.60499999999999998</v>
      </c>
      <c r="M13" s="994">
        <f t="shared" si="11"/>
        <v>0.56899999999999995</v>
      </c>
      <c r="N13" s="1196">
        <f t="shared" si="12"/>
        <v>0.56899999999999995</v>
      </c>
      <c r="O13" s="645">
        <f t="shared" si="1"/>
        <v>0.56899999999999995</v>
      </c>
      <c r="P13" s="727">
        <v>90</v>
      </c>
      <c r="Q13" s="1476">
        <v>94.71</v>
      </c>
      <c r="R13" s="706">
        <v>4337.6000000000004</v>
      </c>
      <c r="S13" s="765">
        <f>IF((_xlfn.XLOOKUP(D13,RUC!$B$3:$B$119,RUC!$E$3:$E$119)+ROUNDDOWN(O13,1)*100)&lt;95,95,((_xlfn.XLOOKUP(D13,RUC!$B$3:$B$119,RUC!$E$3:$E$119)+ROUNDDOWN(O13,1)*100)))</f>
        <v>135</v>
      </c>
      <c r="U13" s="1146">
        <f>_xlfn.XLOOKUP(D13,RUC!$B$3:$B$123,RUC!$F$3:$F$123)</f>
        <v>120</v>
      </c>
      <c r="V13" s="715">
        <v>1.1023000000000001</v>
      </c>
      <c r="Y13" s="1445">
        <v>25</v>
      </c>
      <c r="Z13" s="1454">
        <v>35</v>
      </c>
      <c r="AA13" s="144">
        <f t="shared" si="2"/>
        <v>60</v>
      </c>
      <c r="AB13" s="145">
        <f t="shared" si="15"/>
        <v>2165.8353718080002</v>
      </c>
      <c r="AC13" s="145">
        <f>+(S13-T13)*V13-'data 1'!$F$4</f>
        <v>68.810500000000019</v>
      </c>
      <c r="AD13" s="145">
        <f t="shared" si="3"/>
        <v>132.47730290783983</v>
      </c>
      <c r="AE13" s="145">
        <f t="shared" si="4"/>
        <v>-3.8619999999999948</v>
      </c>
      <c r="AF13" s="145">
        <f t="shared" si="5"/>
        <v>158.51250650188817</v>
      </c>
      <c r="AG13" s="772">
        <f t="shared" si="16"/>
        <v>372.93830940972805</v>
      </c>
      <c r="AH13" s="1253">
        <f t="shared" si="6"/>
        <v>81.626999999999995</v>
      </c>
      <c r="AI13" s="1253">
        <f t="shared" si="7"/>
        <v>86.186000000000007</v>
      </c>
      <c r="AJ13" s="156">
        <f t="shared" si="8"/>
        <v>551.01912855065973</v>
      </c>
      <c r="AK13" s="156">
        <f t="shared" si="9"/>
        <v>72.951608700782771</v>
      </c>
      <c r="AM13" s="716">
        <f t="shared" si="10"/>
        <v>8999.0459698622417</v>
      </c>
      <c r="AN13" s="716" t="str">
        <f>_xlfn.XLOOKUP(D13,RUC!$B$3:$B$578,RUC!$M$3:$M$578)</f>
        <v>Ronald Miranda</v>
      </c>
      <c r="AO13" s="1167" t="s">
        <v>2277</v>
      </c>
      <c r="AP13" t="s">
        <v>3907</v>
      </c>
      <c r="AQ13" t="s">
        <v>3908</v>
      </c>
      <c r="AV13" s="1557" t="s">
        <v>2281</v>
      </c>
      <c r="AW13" s="703">
        <f t="shared" si="17"/>
        <v>0</v>
      </c>
      <c r="AX13" s="703" cm="1">
        <f t="array" ref="AX13">+SUMPRODUCT(IF($AO$4:$AO$920=AV13,$L$4:$L$920*$K$4:$K$920/AW13))</f>
        <v>0</v>
      </c>
      <c r="AY13" s="1215">
        <f t="shared" si="18"/>
        <v>0</v>
      </c>
      <c r="AZ13" s="596" cm="1">
        <f t="array" ref="AZ13">+SUMPRODUCT(IF($AO$4:$AO$920=AV13,($Q$4:$Q$920*$AH$4:$AH$920)/SUMIF($AO$4:$AO$920,$AV13,$AH$4:$AH$920)))</f>
        <v>0</v>
      </c>
      <c r="BA13" s="1237">
        <f t="shared" si="19"/>
        <v>0</v>
      </c>
      <c r="BB13" s="1237">
        <f t="shared" si="20"/>
        <v>0</v>
      </c>
      <c r="BC13" s="596">
        <f t="shared" si="21"/>
        <v>322.28837507316462</v>
      </c>
      <c r="BD13" s="1238">
        <f t="shared" si="22"/>
        <v>379.85199999999998</v>
      </c>
    </row>
    <row r="14" spans="1:56" ht="15" customHeight="1">
      <c r="A14" s="747" t="s">
        <v>3921</v>
      </c>
      <c r="B14" s="1447">
        <v>46017</v>
      </c>
      <c r="C14" s="1447">
        <v>46011</v>
      </c>
      <c r="D14" t="s">
        <v>3510</v>
      </c>
      <c r="E14" s="762">
        <f>_xlfn.XLOOKUP(D14,RUC!$B$3:$B$123,RUC!$D$3:$D$123)</f>
        <v>10408856049</v>
      </c>
      <c r="G14" s="1082" t="s">
        <v>2985</v>
      </c>
      <c r="H14" s="762" t="s">
        <v>69</v>
      </c>
      <c r="I14" s="703">
        <v>37.99</v>
      </c>
      <c r="J14" s="596">
        <v>11.48</v>
      </c>
      <c r="K14" s="703">
        <f t="shared" si="0"/>
        <v>33.628999999999998</v>
      </c>
      <c r="L14" s="1192">
        <v>0.34200000000000003</v>
      </c>
      <c r="M14" s="994">
        <f t="shared" si="11"/>
        <v>0.32100000000000001</v>
      </c>
      <c r="N14" s="1196">
        <f t="shared" si="12"/>
        <v>0.32100000000000001</v>
      </c>
      <c r="O14" s="645">
        <f t="shared" si="1"/>
        <v>0.32100000000000001</v>
      </c>
      <c r="P14" s="727">
        <v>90</v>
      </c>
      <c r="Q14" s="1476">
        <v>97.08</v>
      </c>
      <c r="R14" s="706">
        <v>4337.6000000000004</v>
      </c>
      <c r="S14" s="765">
        <f>IF((_xlfn.XLOOKUP(D14,RUC!$B$3:$B$119,RUC!$E$3:$E$119)+ROUNDDOWN(O14,1)*100)&lt;95,95,((_xlfn.XLOOKUP(D14,RUC!$B$3:$B$119,RUC!$E$3:$E$119)+ROUNDDOWN(O14,1)*100)))</f>
        <v>120</v>
      </c>
      <c r="U14" s="1146">
        <f>_xlfn.XLOOKUP(D14,RUC!$B$3:$B$123,RUC!$F$3:$F$123)</f>
        <v>120</v>
      </c>
      <c r="V14" s="715">
        <v>1.1023000000000001</v>
      </c>
      <c r="Y14">
        <f>_xlfn.XLOOKUP(D14,RUC!$B$3:$B$123,RUC!$G$3:$G$123)</f>
        <v>20</v>
      </c>
      <c r="Z14" s="143">
        <f>_xlfn.XLOOKUP(D14,RUC!$B$3:$B$123,RUC!$H$3:$H$123)</f>
        <v>30</v>
      </c>
      <c r="AA14" s="144">
        <f t="shared" si="2"/>
        <v>50</v>
      </c>
      <c r="AB14" s="145">
        <f t="shared" si="15"/>
        <v>1155.7225726720003</v>
      </c>
      <c r="AC14" s="145">
        <f>+(S14-T14)*V14-'data 1'!$F$4</f>
        <v>52.27600000000001</v>
      </c>
      <c r="AD14" s="145">
        <f t="shared" si="3"/>
        <v>112.570490838528</v>
      </c>
      <c r="AE14" s="145">
        <f t="shared" si="4"/>
        <v>-14.884999999999998</v>
      </c>
      <c r="AF14" s="145">
        <f t="shared" si="5"/>
        <v>94.779466193664106</v>
      </c>
      <c r="AG14" s="772">
        <f t="shared" si="16"/>
        <v>261.74095703219211</v>
      </c>
      <c r="AH14" s="1253">
        <f t="shared" si="6"/>
        <v>382.80599999999998</v>
      </c>
      <c r="AI14" s="1253">
        <f t="shared" si="7"/>
        <v>394.32</v>
      </c>
      <c r="AJ14" s="156">
        <f t="shared" si="8"/>
        <v>319.27972303267194</v>
      </c>
      <c r="AK14" s="156">
        <f t="shared" si="9"/>
        <v>333.09687962649377</v>
      </c>
      <c r="AM14" s="716">
        <f t="shared" si="10"/>
        <v>38865.794396386693</v>
      </c>
      <c r="AN14" s="716" t="str">
        <f>_xlfn.XLOOKUP(D14,RUC!$B$3:$B$578,RUC!$M$3:$M$578)</f>
        <v>Richard Sapacayo</v>
      </c>
      <c r="AO14" s="1167" t="s">
        <v>2278</v>
      </c>
      <c r="AP14" t="s">
        <v>2373</v>
      </c>
      <c r="AQ14" t="s">
        <v>3952</v>
      </c>
      <c r="AV14" s="1557" t="s">
        <v>2297</v>
      </c>
      <c r="AW14" s="703">
        <f t="shared" si="17"/>
        <v>0</v>
      </c>
      <c r="AX14" s="703" cm="1">
        <f t="array" ref="AX14">+SUMPRODUCT(IF($AO$4:$AO$920=AV14,$L$4:$L$920*$K$4:$K$920/AW14))</f>
        <v>0</v>
      </c>
      <c r="AY14" s="1215">
        <f t="shared" si="18"/>
        <v>0</v>
      </c>
      <c r="AZ14" s="596" cm="1">
        <f t="array" ref="AZ14">+SUMPRODUCT(IF('36'!$AO$4:$AO$812=AV14,('36'!$Q$4:$Q$812*'36'!$AH$4:$AH$812)/SUMIF('36'!$AO$4:$AO$812,#REF!,'36'!$AH$4:$AH$812)))</f>
        <v>0</v>
      </c>
      <c r="BA14" s="1237">
        <f t="shared" si="19"/>
        <v>0</v>
      </c>
      <c r="BB14" s="1237">
        <f t="shared" si="20"/>
        <v>0</v>
      </c>
      <c r="BC14" s="596">
        <f t="shared" si="21"/>
        <v>322.28837507316462</v>
      </c>
      <c r="BD14" s="1238">
        <f t="shared" si="22"/>
        <v>379.85199999999998</v>
      </c>
    </row>
    <row r="15" spans="1:56" ht="15" customHeight="1">
      <c r="A15" s="747" t="s">
        <v>3922</v>
      </c>
      <c r="B15" s="1447">
        <v>46018</v>
      </c>
      <c r="C15" s="1447">
        <v>46011</v>
      </c>
      <c r="D15" t="s">
        <v>3510</v>
      </c>
      <c r="E15" s="762">
        <f>_xlfn.XLOOKUP(D15,RUC!$B$3:$B$123,RUC!$D$3:$D$123)</f>
        <v>10408856049</v>
      </c>
      <c r="G15" s="1082" t="s">
        <v>2985</v>
      </c>
      <c r="H15" s="762" t="s">
        <v>69</v>
      </c>
      <c r="I15" s="703">
        <v>39.619999999999997</v>
      </c>
      <c r="J15" s="596">
        <v>11.96</v>
      </c>
      <c r="K15" s="703">
        <f t="shared" si="0"/>
        <v>34.881</v>
      </c>
      <c r="L15" s="1192">
        <v>0.311</v>
      </c>
      <c r="M15" s="994">
        <f t="shared" si="11"/>
        <v>0.29199999999999998</v>
      </c>
      <c r="N15" s="1196">
        <f t="shared" si="12"/>
        <v>0.29199999999999998</v>
      </c>
      <c r="O15" s="645">
        <f t="shared" si="1"/>
        <v>0.29199999999999998</v>
      </c>
      <c r="P15" s="727">
        <v>90</v>
      </c>
      <c r="Q15" s="1476">
        <v>96.14</v>
      </c>
      <c r="R15" s="706">
        <v>4337.6000000000004</v>
      </c>
      <c r="S15" s="1551">
        <v>115</v>
      </c>
      <c r="U15" s="880">
        <f>_xlfn.XLOOKUP(D15,RUC!$B$3:$B$123,RUC!$F$3:$F$123)</f>
        <v>120</v>
      </c>
      <c r="V15" s="715">
        <v>1.1023000000000001</v>
      </c>
      <c r="Y15">
        <f>_xlfn.XLOOKUP(D15,RUC!$B$3:$B$123,RUC!$G$3:$G$123)</f>
        <v>20</v>
      </c>
      <c r="Z15" s="143">
        <f>_xlfn.XLOOKUP(D15,RUC!$B$3:$B$123,RUC!$H$3:$H$123)</f>
        <v>30</v>
      </c>
      <c r="AA15" s="144">
        <f t="shared" si="2"/>
        <v>50</v>
      </c>
      <c r="AB15" s="145">
        <f t="shared" si="15"/>
        <v>1039.893594144</v>
      </c>
      <c r="AC15" s="145">
        <f>+(S15-T15)*V15-'data 1'!$F$4</f>
        <v>46.764500000000012</v>
      </c>
      <c r="AD15" s="145">
        <f t="shared" si="3"/>
        <v>88.775669489792023</v>
      </c>
      <c r="AE15" s="145">
        <f t="shared" si="4"/>
        <v>-14.884999999999998</v>
      </c>
      <c r="AF15" s="145">
        <f t="shared" si="5"/>
        <v>84.922528163968096</v>
      </c>
      <c r="AG15" s="772">
        <f t="shared" si="16"/>
        <v>222.57769765376014</v>
      </c>
      <c r="AH15" s="1253">
        <f t="shared" si="6"/>
        <v>357.57100000000003</v>
      </c>
      <c r="AI15" s="1253">
        <f t="shared" si="7"/>
        <v>371.928</v>
      </c>
      <c r="AJ15" s="156">
        <f t="shared" si="8"/>
        <v>287.5278859060079</v>
      </c>
      <c r="AK15" s="156">
        <f t="shared" si="9"/>
        <v>314.28478548633473</v>
      </c>
      <c r="AM15" s="716">
        <f t="shared" si="10"/>
        <v>36272.528457336863</v>
      </c>
      <c r="AN15" s="716" t="str">
        <f>_xlfn.XLOOKUP(D15,RUC!$B$3:$B$578,RUC!$M$3:$M$578)</f>
        <v>Richard Sapacayo</v>
      </c>
      <c r="AO15" s="1167" t="s">
        <v>2280</v>
      </c>
      <c r="AP15" t="s">
        <v>2474</v>
      </c>
      <c r="AQ15" t="s">
        <v>2388</v>
      </c>
      <c r="AV15" s="1557" t="s">
        <v>2518</v>
      </c>
      <c r="AW15" s="703">
        <f t="shared" si="17"/>
        <v>0</v>
      </c>
      <c r="AX15" s="703" cm="1">
        <f t="array" ref="AX15">+SUMPRODUCT(IF($AO$4:$AO$920=AV15,$L$4:$L$920*$K$4:$K$920/AW15))</f>
        <v>0</v>
      </c>
      <c r="AY15" s="1215">
        <f t="shared" si="18"/>
        <v>0</v>
      </c>
      <c r="AZ15" s="596" cm="1">
        <f t="array" ref="AZ15">+SUMPRODUCT(IF('36'!$AO$4:$AO$812=AV15,('36'!$Q$4:$Q$812*'36'!$AH$4:$AH$812)/SUMIF('36'!$AO$4:$AO$812,#REF!,'36'!$AH$4:$AH$812)))</f>
        <v>0</v>
      </c>
      <c r="BA15" s="1237">
        <f t="shared" si="19"/>
        <v>0</v>
      </c>
      <c r="BB15" s="1237">
        <f t="shared" si="20"/>
        <v>0</v>
      </c>
      <c r="BC15" s="596">
        <f t="shared" si="21"/>
        <v>322.28837507316462</v>
      </c>
      <c r="BD15" s="1238">
        <f t="shared" si="22"/>
        <v>379.85199999999998</v>
      </c>
    </row>
    <row r="16" spans="1:56" ht="15" customHeight="1">
      <c r="A16" s="747" t="s">
        <v>3926</v>
      </c>
      <c r="B16" s="1447">
        <v>46028</v>
      </c>
      <c r="C16" s="1447">
        <v>46012</v>
      </c>
      <c r="D16" t="s">
        <v>93</v>
      </c>
      <c r="E16" s="762">
        <f>_xlfn.XLOOKUP(D16,RUC!$B$3:$B$123,RUC!$D$3:$D$123)</f>
        <v>20169040231</v>
      </c>
      <c r="G16" s="1082">
        <v>9</v>
      </c>
      <c r="H16" s="762" t="s">
        <v>108</v>
      </c>
      <c r="I16" s="703">
        <v>0.71</v>
      </c>
      <c r="J16" s="596">
        <v>8.8000000000000007</v>
      </c>
      <c r="K16" s="703">
        <f t="shared" si="0"/>
        <v>0.64800000000000002</v>
      </c>
      <c r="L16" s="1192">
        <v>2.2959999999999998</v>
      </c>
      <c r="M16" s="647">
        <v>2.1619999999999999</v>
      </c>
      <c r="N16" s="1444">
        <v>2.3559999999999999</v>
      </c>
      <c r="O16" s="645">
        <f t="shared" si="1"/>
        <v>2.2589999999999999</v>
      </c>
      <c r="P16" s="727">
        <v>85</v>
      </c>
      <c r="Q16" s="1476">
        <v>85.22</v>
      </c>
      <c r="R16" s="706">
        <v>4421.6499999999996</v>
      </c>
      <c r="S16" s="765">
        <f>IF((_xlfn.XLOOKUP(D16,RUC!$B$3:$B$119,RUC!$E$3:$E$119)+ROUNDDOWN(O16,1)*100)&lt;95,95,((_xlfn.XLOOKUP(D16,RUC!$B$3:$B$119,RUC!$E$3:$E$119)+ROUNDDOWN(O16,1)*100)))</f>
        <v>305</v>
      </c>
      <c r="U16" s="1146">
        <f>_xlfn.XLOOKUP(D16,RUC!$B$3:$B$123,RUC!$F$3:$F$123)</f>
        <v>120</v>
      </c>
      <c r="V16" s="715">
        <v>1.1023000000000001</v>
      </c>
      <c r="Y16" s="1445">
        <v>35</v>
      </c>
      <c r="Z16" s="1454">
        <v>48</v>
      </c>
      <c r="AA16" s="144">
        <f t="shared" si="2"/>
        <v>83</v>
      </c>
      <c r="AB16" s="145">
        <f t="shared" si="15"/>
        <v>8677.0997427192488</v>
      </c>
      <c r="AC16" s="145">
        <f>+(S16-T16)*V16-'data 1'!$F$4</f>
        <v>256.20150000000001</v>
      </c>
      <c r="AD16" s="145">
        <f t="shared" si="3"/>
        <v>23.951319465303879</v>
      </c>
      <c r="AE16" s="145">
        <f t="shared" si="4"/>
        <v>21.490900000000003</v>
      </c>
      <c r="AF16" s="145">
        <f t="shared" si="5"/>
        <v>149.51271669866267</v>
      </c>
      <c r="AG16" s="772">
        <f t="shared" si="16"/>
        <v>468.15643616396653</v>
      </c>
      <c r="AH16" s="1253">
        <f t="shared" si="6"/>
        <v>43.470999999999997</v>
      </c>
      <c r="AI16" s="1253">
        <f t="shared" si="7"/>
        <v>51.01</v>
      </c>
      <c r="AJ16" s="156">
        <f t="shared" si="8"/>
        <v>1700.326380611097</v>
      </c>
      <c r="AK16" s="156">
        <f t="shared" si="9"/>
        <v>42.659840936006461</v>
      </c>
      <c r="AM16" s="716">
        <f t="shared" si="10"/>
        <v>5622.7606332820733</v>
      </c>
      <c r="AN16" s="716" t="str">
        <f>_xlfn.XLOOKUP(D16,RUC!$B$3:$B$578,RUC!$M$3:$M$578)</f>
        <v>Ronald Miranda</v>
      </c>
      <c r="AO16" s="1167" t="s">
        <v>2277</v>
      </c>
      <c r="AP16" t="s">
        <v>3953</v>
      </c>
      <c r="AQ16" t="s">
        <v>3954</v>
      </c>
      <c r="AR16" s="1611" t="s">
        <v>4200</v>
      </c>
      <c r="AV16" s="1557" t="s">
        <v>2519</v>
      </c>
      <c r="AW16" s="703">
        <f t="shared" si="17"/>
        <v>0</v>
      </c>
      <c r="AX16" s="703" cm="1">
        <f t="array" ref="AX16">+SUMPRODUCT(IF($AO$4:$AO$920=AV16,$L$4:$L$920*$K$4:$K$920/AW16))</f>
        <v>0</v>
      </c>
      <c r="AY16" s="1215">
        <f t="shared" si="18"/>
        <v>0</v>
      </c>
      <c r="AZ16" s="596" cm="1">
        <f t="array" ref="AZ16">+SUMPRODUCT(IF('36'!$AO$4:$AO$812=AV16,('36'!$Q$4:$Q$812*'36'!$AH$4:$AH$812)/SUMIF('36'!$AO$4:$AO$812,#REF!,'36'!$AH$4:$AH$812)))</f>
        <v>0</v>
      </c>
      <c r="BA16" s="1237">
        <f t="shared" si="19"/>
        <v>0</v>
      </c>
      <c r="BB16" s="1237">
        <f t="shared" si="20"/>
        <v>0</v>
      </c>
      <c r="BC16" s="596">
        <f t="shared" si="21"/>
        <v>322.28837507316462</v>
      </c>
      <c r="BD16" s="1238">
        <f t="shared" si="22"/>
        <v>379.85199999999998</v>
      </c>
    </row>
    <row r="17" spans="1:56" ht="15" customHeight="1">
      <c r="A17" s="747" t="s">
        <v>3927</v>
      </c>
      <c r="B17" s="1447">
        <v>46028</v>
      </c>
      <c r="C17" s="1447">
        <v>46012</v>
      </c>
      <c r="D17" t="s">
        <v>93</v>
      </c>
      <c r="E17" s="762">
        <f>_xlfn.XLOOKUP(D17,RUC!$B$3:$B$123,RUC!$D$3:$D$123)</f>
        <v>20169040231</v>
      </c>
      <c r="G17" s="1082">
        <v>17</v>
      </c>
      <c r="H17" s="762" t="s">
        <v>69</v>
      </c>
      <c r="I17" s="703">
        <v>1.52</v>
      </c>
      <c r="J17" s="596">
        <v>1.2</v>
      </c>
      <c r="K17" s="703">
        <f t="shared" si="0"/>
        <v>1.502</v>
      </c>
      <c r="L17" s="1192">
        <v>0.20499999999999999</v>
      </c>
      <c r="M17" s="994">
        <f t="shared" ref="M17:M18" si="23">ROUND(+IF(AN17="Melchor Vera",IF(L17&gt;0.467,L17*0.985,(L17-0.007)),IF(L17&gt;0.3,L17*0.94,(L17-0.018))),3)</f>
        <v>0.187</v>
      </c>
      <c r="N17" s="1196">
        <f t="shared" ref="N17" si="24">+M17</f>
        <v>0.187</v>
      </c>
      <c r="O17" s="645">
        <f t="shared" si="1"/>
        <v>0.187</v>
      </c>
      <c r="P17" s="727">
        <v>85</v>
      </c>
      <c r="Q17" s="1476">
        <v>91.23</v>
      </c>
      <c r="R17" s="1620">
        <v>4421.6499999999996</v>
      </c>
      <c r="S17" s="765">
        <f>IF((_xlfn.XLOOKUP(D17,RUC!$B$3:$B$119,RUC!$E$3:$E$119)+ROUNDDOWN(O17,1)*100)&lt;95,95,((_xlfn.XLOOKUP(D17,RUC!$B$3:$B$119,RUC!$E$3:$E$119)+ROUNDDOWN(O17,1)*100)))</f>
        <v>95</v>
      </c>
      <c r="U17" s="1146">
        <f>_xlfn.XLOOKUP(D17,RUC!$B$3:$B$123,RUC!$F$3:$F$123)</f>
        <v>120</v>
      </c>
      <c r="V17" s="715">
        <v>1.1023000000000001</v>
      </c>
      <c r="Y17" s="1445">
        <v>45</v>
      </c>
      <c r="Z17" s="1454">
        <v>38</v>
      </c>
      <c r="AA17" s="144">
        <f t="shared" si="2"/>
        <v>83</v>
      </c>
      <c r="AB17" s="145">
        <f t="shared" si="15"/>
        <v>557.48521296524996</v>
      </c>
      <c r="AC17" s="145">
        <f>+(S17-T17)*V17-'data 1'!$F$4</f>
        <v>24.718500000000006</v>
      </c>
      <c r="AD17" s="145">
        <f t="shared" si="3"/>
        <v>60.558733875342533</v>
      </c>
      <c r="AE17" s="145">
        <f t="shared" si="4"/>
        <v>21.490900000000003</v>
      </c>
      <c r="AF17" s="145">
        <f t="shared" si="5"/>
        <v>77.865496806212946</v>
      </c>
      <c r="AG17" s="772">
        <f t="shared" si="16"/>
        <v>201.6336306815555</v>
      </c>
      <c r="AH17" s="1253">
        <f t="shared" si="6"/>
        <v>9.6310000000000002</v>
      </c>
      <c r="AI17" s="1253">
        <f t="shared" si="7"/>
        <v>10.557</v>
      </c>
      <c r="AJ17" s="156">
        <f t="shared" si="8"/>
        <v>162.52134779640758</v>
      </c>
      <c r="AK17" s="156">
        <f t="shared" si="9"/>
        <v>8.1853929706823454</v>
      </c>
      <c r="AM17" s="716">
        <f t="shared" si="10"/>
        <v>837.34278987380549</v>
      </c>
      <c r="AN17" s="716" t="str">
        <f>_xlfn.XLOOKUP(D17,RUC!$B$3:$B$578,RUC!$M$3:$M$578)</f>
        <v>Ronald Miranda</v>
      </c>
      <c r="AO17" s="1167" t="s">
        <v>2277</v>
      </c>
      <c r="AP17" t="s">
        <v>3953</v>
      </c>
      <c r="AQ17" t="s">
        <v>3954</v>
      </c>
      <c r="AV17" s="1557" t="s">
        <v>2520</v>
      </c>
      <c r="AW17" s="703">
        <f t="shared" si="17"/>
        <v>0</v>
      </c>
      <c r="AX17" s="703" cm="1">
        <f t="array" ref="AX17">+SUMPRODUCT(IF($AO$4:$AO$920=AV17,$L$4:$L$920*$K$4:$K$920/AW17))</f>
        <v>0</v>
      </c>
      <c r="AY17" s="1215">
        <f t="shared" si="18"/>
        <v>0</v>
      </c>
      <c r="AZ17" s="596" cm="1">
        <f t="array" ref="AZ17">+SUMPRODUCT(IF('36'!$AO$4:$AO$812=AV17,('36'!$Q$4:$Q$812*'36'!$AH$4:$AH$812)/SUMIF('36'!$AO$4:$AO$812,#REF!,'36'!$AH$4:$AH$812)))</f>
        <v>0</v>
      </c>
      <c r="BA17" s="1237">
        <f t="shared" si="19"/>
        <v>0</v>
      </c>
      <c r="BB17" s="1237">
        <f t="shared" si="20"/>
        <v>0</v>
      </c>
      <c r="BC17" s="596">
        <f t="shared" si="21"/>
        <v>322.28837507316462</v>
      </c>
      <c r="BD17" s="1238">
        <f t="shared" si="22"/>
        <v>379.85199999999998</v>
      </c>
    </row>
    <row r="18" spans="1:56" ht="15" customHeight="1" thickBot="1">
      <c r="A18" s="747" t="s">
        <v>3928</v>
      </c>
      <c r="B18" s="1447">
        <v>46028</v>
      </c>
      <c r="C18" s="1447">
        <v>46012</v>
      </c>
      <c r="D18" t="s">
        <v>93</v>
      </c>
      <c r="E18" s="762">
        <f>_xlfn.XLOOKUP(D18,RUC!$B$3:$B$123,RUC!$D$3:$D$123)</f>
        <v>20169040231</v>
      </c>
      <c r="G18" s="1082">
        <v>25</v>
      </c>
      <c r="H18" s="762" t="s">
        <v>108</v>
      </c>
      <c r="I18" s="703">
        <v>2</v>
      </c>
      <c r="J18" s="596">
        <v>2.4500000000000002</v>
      </c>
      <c r="K18" s="703">
        <f t="shared" si="0"/>
        <v>1.9510000000000001</v>
      </c>
      <c r="L18" s="1192">
        <v>2.4910000000000001</v>
      </c>
      <c r="M18" s="994">
        <f t="shared" si="23"/>
        <v>2.3420000000000001</v>
      </c>
      <c r="N18" s="1444">
        <v>2.5099999999999998</v>
      </c>
      <c r="O18" s="645">
        <f t="shared" si="1"/>
        <v>2.4260000000000002</v>
      </c>
      <c r="P18" s="727">
        <v>90</v>
      </c>
      <c r="Q18" s="1476">
        <v>94.41</v>
      </c>
      <c r="R18" s="706">
        <v>4421.6499999999996</v>
      </c>
      <c r="S18" s="765">
        <f>IF((_xlfn.XLOOKUP(D18,RUC!$B$3:$B$119,RUC!$E$3:$E$119)+ROUNDDOWN(O18,1)*100)&lt;95,95,((_xlfn.XLOOKUP(D18,RUC!$B$3:$B$119,RUC!$E$3:$E$119)+ROUNDDOWN(O18,1)*100)))</f>
        <v>325</v>
      </c>
      <c r="U18" s="1146">
        <f>_xlfn.XLOOKUP(D18,RUC!$B$3:$B$123,RUC!$F$3:$F$123)</f>
        <v>120</v>
      </c>
      <c r="V18" s="715">
        <v>1.1023000000000001</v>
      </c>
      <c r="Y18" s="1445">
        <v>35</v>
      </c>
      <c r="Z18" s="1454">
        <v>48</v>
      </c>
      <c r="AA18" s="144">
        <f t="shared" si="2"/>
        <v>83</v>
      </c>
      <c r="AB18" s="145">
        <f t="shared" si="15"/>
        <v>9903.3085830029995</v>
      </c>
      <c r="AC18" s="145">
        <f>+(S18-T18)*V18-'data 1'!$F$4</f>
        <v>278.2475</v>
      </c>
      <c r="AD18" s="145">
        <f t="shared" si="3"/>
        <v>520.89141042801418</v>
      </c>
      <c r="AE18" s="145">
        <f t="shared" si="4"/>
        <v>21.490900000000003</v>
      </c>
      <c r="AF18" s="145">
        <f t="shared" si="5"/>
        <v>290.98207276836723</v>
      </c>
      <c r="AG18" s="772">
        <f t="shared" si="16"/>
        <v>1128.6118831963815</v>
      </c>
      <c r="AH18" s="1253">
        <f t="shared" si="6"/>
        <v>157.31100000000001</v>
      </c>
      <c r="AI18" s="1253">
        <f t="shared" si="7"/>
        <v>166.625</v>
      </c>
      <c r="AJ18" s="156">
        <f t="shared" si="8"/>
        <v>2043.6692225031868</v>
      </c>
      <c r="AK18" s="156">
        <f t="shared" si="9"/>
        <v>146.0493554395899</v>
      </c>
      <c r="AM18" s="716">
        <f t="shared" si="10"/>
        <v>19321.355045438853</v>
      </c>
      <c r="AN18" s="716" t="str">
        <f>_xlfn.XLOOKUP(D18,RUC!$B$3:$B$578,RUC!$M$3:$M$578)</f>
        <v>Ronald Miranda</v>
      </c>
      <c r="AO18" s="1167" t="s">
        <v>2277</v>
      </c>
      <c r="AP18" t="s">
        <v>3953</v>
      </c>
      <c r="AQ18" t="s">
        <v>3954</v>
      </c>
      <c r="AV18" s="1558" t="s">
        <v>2521</v>
      </c>
      <c r="AW18" s="1254">
        <f t="shared" si="17"/>
        <v>0</v>
      </c>
      <c r="AX18" s="1254" cm="1">
        <f t="array" ref="AX18">+SUMPRODUCT(IF('36'!$AO$4:$AO$812=AV18,'36'!$L$4:$L$812*'36'!$K$4:$K$812/AW18))</f>
        <v>0</v>
      </c>
      <c r="AY18" s="1241">
        <f t="shared" si="18"/>
        <v>0</v>
      </c>
      <c r="AZ18" s="1242" cm="1">
        <f t="array" ref="AZ18">+SUMPRODUCT(IF('36'!$AO$4:$AO$812=AV18,('36'!$Q$4:$Q$812*'36'!$AH$4:$AH$812)/SUMIF('36'!$AO$4:$AO$812,#REF!,'36'!$AH$4:$AH$812)))</f>
        <v>0</v>
      </c>
      <c r="BA18" s="1243">
        <f t="shared" si="19"/>
        <v>0</v>
      </c>
      <c r="BB18" s="1243">
        <f t="shared" si="20"/>
        <v>0</v>
      </c>
      <c r="BC18" s="1242">
        <f t="shared" si="21"/>
        <v>322.28837507316462</v>
      </c>
      <c r="BD18" s="1436">
        <f t="shared" si="22"/>
        <v>379.85199999999998</v>
      </c>
    </row>
    <row r="19" spans="1:56" ht="15" customHeight="1">
      <c r="A19" s="747" t="s">
        <v>3932</v>
      </c>
      <c r="B19" s="1447">
        <v>46028</v>
      </c>
      <c r="C19" s="1447">
        <v>46012</v>
      </c>
      <c r="D19" t="s">
        <v>93</v>
      </c>
      <c r="E19" s="762">
        <v>20169040231</v>
      </c>
      <c r="G19" s="1082">
        <v>49</v>
      </c>
      <c r="H19" s="762" t="s">
        <v>108</v>
      </c>
      <c r="I19" s="703">
        <v>3.1</v>
      </c>
      <c r="J19" s="596">
        <v>7.4</v>
      </c>
      <c r="K19" s="703">
        <v>2.871</v>
      </c>
      <c r="L19" s="1192">
        <v>0.67200000000000004</v>
      </c>
      <c r="M19" s="994">
        <v>0.64600000000000002</v>
      </c>
      <c r="N19" s="1444">
        <v>0.69699999999999995</v>
      </c>
      <c r="O19" s="645">
        <v>0.67200000000000004</v>
      </c>
      <c r="P19" s="727">
        <v>79</v>
      </c>
      <c r="Q19" s="1476">
        <v>79.760000000000005</v>
      </c>
      <c r="R19" s="706">
        <v>4421.6499999999996</v>
      </c>
      <c r="S19" s="765">
        <v>145</v>
      </c>
      <c r="U19" s="1146">
        <v>120</v>
      </c>
      <c r="V19" s="715">
        <v>1.1023000000000001</v>
      </c>
      <c r="Y19" s="1445">
        <v>35</v>
      </c>
      <c r="Z19" s="1454">
        <v>48</v>
      </c>
      <c r="AA19" s="144">
        <v>83</v>
      </c>
      <c r="AB19" s="145">
        <v>2265.9539650895999</v>
      </c>
      <c r="AC19" s="145">
        <v>79.833500000000015</v>
      </c>
      <c r="AD19" s="145">
        <v>24.216855157824167</v>
      </c>
      <c r="AE19" s="145">
        <v>21.490900000000003</v>
      </c>
      <c r="AF19" s="145">
        <v>0</v>
      </c>
      <c r="AG19" s="772">
        <v>142.5412551578242</v>
      </c>
      <c r="AH19" s="1253">
        <v>52.759</v>
      </c>
      <c r="AI19" s="1253">
        <v>66.147000000000006</v>
      </c>
      <c r="AJ19" s="156">
        <v>-207.76139253542379</v>
      </c>
      <c r="AK19" s="156">
        <v>52.256296365722065</v>
      </c>
      <c r="AM19" s="716">
        <v>6505.553833772241</v>
      </c>
      <c r="AN19" s="716" t="s">
        <v>2304</v>
      </c>
      <c r="AO19" s="1167" t="s">
        <v>2277</v>
      </c>
      <c r="AP19" t="s">
        <v>3953</v>
      </c>
      <c r="AQ19" t="s">
        <v>3954</v>
      </c>
      <c r="AR19" t="s">
        <v>4222</v>
      </c>
      <c r="AV19" s="1637"/>
      <c r="AW19" s="1234"/>
      <c r="AX19" s="1234"/>
      <c r="AY19" s="1235"/>
      <c r="AZ19" s="1236"/>
      <c r="BA19" s="1237"/>
      <c r="BB19" s="1237"/>
      <c r="BC19" s="1236"/>
      <c r="BD19" s="729"/>
    </row>
    <row r="20" spans="1:56" ht="15" customHeight="1">
      <c r="A20" s="747" t="s">
        <v>3937</v>
      </c>
      <c r="B20" s="1447">
        <v>46024</v>
      </c>
      <c r="C20" s="1447">
        <v>46012</v>
      </c>
      <c r="D20" t="s">
        <v>1484</v>
      </c>
      <c r="E20" s="762">
        <f>_xlfn.XLOOKUP(D20,RUC!$B$3:$B$123,RUC!$D$3:$D$123)</f>
        <v>10761932735</v>
      </c>
      <c r="G20" s="1082">
        <v>56</v>
      </c>
      <c r="H20" s="762" t="s">
        <v>69</v>
      </c>
      <c r="I20" s="703">
        <v>4.37</v>
      </c>
      <c r="J20" s="596">
        <v>4.2</v>
      </c>
      <c r="K20" s="703">
        <f t="shared" si="0"/>
        <v>4.1859999999999999</v>
      </c>
      <c r="L20" s="1192">
        <v>3.238</v>
      </c>
      <c r="M20" s="994">
        <f t="shared" ref="M20" si="25">ROUND(+IF(AN20="Melchor Vera",IF(L20&gt;0.467,L20*0.985,(L20-0.007)),IF(L20&gt;0.3,L20*0.94,(L20-0.018))),3)</f>
        <v>3.044</v>
      </c>
      <c r="N20" s="1444">
        <v>3.28</v>
      </c>
      <c r="O20" s="645">
        <f t="shared" ref="O20:O48" si="26">+ROUND((M20+N20)/2,3)</f>
        <v>3.1619999999999999</v>
      </c>
      <c r="P20" s="727">
        <v>90</v>
      </c>
      <c r="Q20" s="1476">
        <v>96.29</v>
      </c>
      <c r="R20" s="706">
        <v>4421.6499999999996</v>
      </c>
      <c r="S20" s="765">
        <f>IF((_xlfn.XLOOKUP(D20,RUC!$B$3:$B$119,RUC!$E$3:$E$119)+ROUNDDOWN(O20,1)*100)&lt;95,95,((_xlfn.XLOOKUP(D20,RUC!$B$3:$B$119,RUC!$E$3:$E$119)+ROUNDDOWN(O20,1)*100)))</f>
        <v>400</v>
      </c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3">
        <f>_xlfn.XLOOKUP(D20,RUC!$B$3:$B$123,RUC!$H$3:$H$123)</f>
        <v>30</v>
      </c>
      <c r="AA20" s="144">
        <f t="shared" si="2"/>
        <v>50</v>
      </c>
      <c r="AB20" s="145">
        <f t="shared" si="15"/>
        <v>12997.919888810999</v>
      </c>
      <c r="AC20" s="145">
        <f>+(S20-T20)*V20-'data 1'!$F$4</f>
        <v>360.92</v>
      </c>
      <c r="AD20" s="145">
        <f t="shared" si="3"/>
        <v>965.74477861941011</v>
      </c>
      <c r="AE20" s="145">
        <f t="shared" si="4"/>
        <v>-14.884999999999998</v>
      </c>
      <c r="AF20" s="145">
        <f t="shared" si="5"/>
        <v>347.00014630161832</v>
      </c>
      <c r="AG20" s="772">
        <f t="shared" si="16"/>
        <v>1675.7799249210284</v>
      </c>
      <c r="AH20" s="1253">
        <f t="shared" si="6"/>
        <v>447.47199999999998</v>
      </c>
      <c r="AI20" s="1253">
        <f t="shared" si="7"/>
        <v>464.71300000000002</v>
      </c>
      <c r="AJ20" s="156">
        <f t="shared" si="8"/>
        <v>2709.4236072229924</v>
      </c>
      <c r="AK20" s="156">
        <f t="shared" si="9"/>
        <v>408.42532971092032</v>
      </c>
      <c r="AM20" s="716">
        <f t="shared" si="10"/>
        <v>54409.292654562836</v>
      </c>
      <c r="AN20" s="716" t="str">
        <f>_xlfn.XLOOKUP(D20,RUC!$B$3:$B$578,RUC!$M$3:$M$578)</f>
        <v>Richard Sapacayo</v>
      </c>
      <c r="AO20" s="1167" t="s">
        <v>2280</v>
      </c>
      <c r="AP20" t="s">
        <v>3955</v>
      </c>
      <c r="AQ20" t="s">
        <v>3956</v>
      </c>
    </row>
    <row r="21" spans="1:56" ht="15" customHeight="1">
      <c r="A21" s="747" t="s">
        <v>3938</v>
      </c>
      <c r="B21" s="1447">
        <v>46024</v>
      </c>
      <c r="C21" s="1447">
        <v>46012</v>
      </c>
      <c r="D21" t="s">
        <v>1484</v>
      </c>
      <c r="E21" s="762">
        <f>_xlfn.XLOOKUP(D21,RUC!$B$3:$B$123,RUC!$D$3:$D$123)</f>
        <v>10761932735</v>
      </c>
      <c r="G21" s="1082">
        <v>58</v>
      </c>
      <c r="H21" s="762" t="s">
        <v>69</v>
      </c>
      <c r="I21" s="703">
        <v>5.12</v>
      </c>
      <c r="J21" s="596">
        <v>16.78</v>
      </c>
      <c r="K21" s="703">
        <f t="shared" si="0"/>
        <v>4.2610000000000001</v>
      </c>
      <c r="L21" s="1192">
        <v>0.54800000000000004</v>
      </c>
      <c r="M21" s="994">
        <f>ROUND(+IF(AN21="Melchor Vera",IF(L21&gt;0.467,L21*0.985,(L21-0.007)),IF(L21&gt;0.3,L21*0.94,(L21-0.019))),3)</f>
        <v>0.51500000000000001</v>
      </c>
      <c r="N21" s="1196">
        <f t="shared" ref="N21:N22" si="27">+M21</f>
        <v>0.51500000000000001</v>
      </c>
      <c r="O21" s="645">
        <f t="shared" si="26"/>
        <v>0.51500000000000001</v>
      </c>
      <c r="P21" s="727">
        <v>90</v>
      </c>
      <c r="Q21" s="1476">
        <v>93.8</v>
      </c>
      <c r="R21" s="706">
        <v>4421.6499999999996</v>
      </c>
      <c r="S21" s="765">
        <f>IF((_xlfn.XLOOKUP(D21,RUC!$B$3:$B$119,RUC!$E$3:$E$119)+ROUNDDOWN(O21,1)*100)&lt;95,95,((_xlfn.XLOOKUP(D21,RUC!$B$3:$B$119,RUC!$E$3:$E$119)+ROUNDDOWN(O21,1)*100)))</f>
        <v>140</v>
      </c>
      <c r="U21" s="1146">
        <f>_xlfn.XLOOKUP(D21,RUC!$B$3:$B$123,RUC!$F$3:$F$123)</f>
        <v>120</v>
      </c>
      <c r="V21" s="715">
        <v>1.1023000000000001</v>
      </c>
      <c r="Y21">
        <f>_xlfn.XLOOKUP(D21,RUC!$B$3:$B$123,RUC!$G$3:$G$123)</f>
        <v>20</v>
      </c>
      <c r="Z21" s="143">
        <f>_xlfn.XLOOKUP(D21,RUC!$B$3:$B$123,RUC!$H$3:$H$123)</f>
        <v>30</v>
      </c>
      <c r="AA21" s="144">
        <f t="shared" si="2"/>
        <v>50</v>
      </c>
      <c r="AB21" s="145">
        <f t="shared" si="15"/>
        <v>1988.3450264824999</v>
      </c>
      <c r="AC21" s="145">
        <f>+(S21-T21)*V21-'data 1'!$F$4</f>
        <v>74.322000000000003</v>
      </c>
      <c r="AD21" s="145">
        <f t="shared" si="3"/>
        <v>98.741343947079926</v>
      </c>
      <c r="AE21" s="145">
        <f t="shared" si="4"/>
        <v>-14.884999999999998</v>
      </c>
      <c r="AF21" s="145">
        <f t="shared" si="5"/>
        <v>146.77485404043011</v>
      </c>
      <c r="AG21" s="772">
        <f t="shared" si="16"/>
        <v>321.95319798751007</v>
      </c>
      <c r="AH21" s="1253">
        <f t="shared" si="6"/>
        <v>75.093999999999994</v>
      </c>
      <c r="AI21" s="1253">
        <f t="shared" si="7"/>
        <v>80.057000000000002</v>
      </c>
      <c r="AJ21" s="156">
        <f t="shared" si="8"/>
        <v>446.68593332692029</v>
      </c>
      <c r="AK21" s="156">
        <f t="shared" si="9"/>
        <v>67.712732835966676</v>
      </c>
      <c r="AM21" s="716">
        <f t="shared" si="10"/>
        <v>8472.3381578419321</v>
      </c>
      <c r="AN21" s="716" t="str">
        <f>_xlfn.XLOOKUP(D21,RUC!$B$3:$B$578,RUC!$M$3:$M$578)</f>
        <v>Richard Sapacayo</v>
      </c>
      <c r="AO21" s="1167" t="s">
        <v>2280</v>
      </c>
      <c r="AP21" t="s">
        <v>3955</v>
      </c>
      <c r="AQ21" t="s">
        <v>3956</v>
      </c>
    </row>
    <row r="22" spans="1:56" ht="15" customHeight="1">
      <c r="A22" s="747" t="s">
        <v>3958</v>
      </c>
      <c r="B22" s="1447">
        <v>46020</v>
      </c>
      <c r="C22" s="1447">
        <v>46013</v>
      </c>
      <c r="D22" t="s">
        <v>93</v>
      </c>
      <c r="E22" s="762">
        <f>_xlfn.XLOOKUP(D22,RUC!$B$3:$B$123,RUC!$D$3:$D$123)</f>
        <v>20169040231</v>
      </c>
      <c r="G22" s="1082">
        <v>50</v>
      </c>
      <c r="H22" s="762" t="s">
        <v>69</v>
      </c>
      <c r="I22" s="703">
        <v>4.43</v>
      </c>
      <c r="J22" s="596">
        <v>3.95</v>
      </c>
      <c r="K22" s="703">
        <f t="shared" si="0"/>
        <v>4.2549999999999999</v>
      </c>
      <c r="L22" s="1192">
        <v>0.29399999999999998</v>
      </c>
      <c r="M22" s="994">
        <f t="shared" ref="M22:M31" si="28">ROUND(+IF(AN22="Melchor Vera",IF(L22&gt;0.467,L22*0.985,(L22-0.007)),IF(L22&gt;0.3,L22*0.94,(L22-0.019))),3)</f>
        <v>0.27500000000000002</v>
      </c>
      <c r="N22" s="1196">
        <f t="shared" si="27"/>
        <v>0.27500000000000002</v>
      </c>
      <c r="O22" s="645">
        <f t="shared" si="26"/>
        <v>0.27500000000000002</v>
      </c>
      <c r="P22" s="727">
        <v>90</v>
      </c>
      <c r="Q22" s="1476">
        <v>93.54</v>
      </c>
      <c r="R22" s="706">
        <v>4421.6499999999996</v>
      </c>
      <c r="S22" s="765">
        <f>IF((_xlfn.XLOOKUP(D22,RUC!$B$3:$B$119,RUC!$E$3:$E$119)+ROUNDDOWN(O22,1)*100)&lt;95,95,((_xlfn.XLOOKUP(D22,RUC!$B$3:$B$119,RUC!$E$3:$E$119)+ROUNDDOWN(O22,1)*100)))</f>
        <v>105</v>
      </c>
      <c r="U22" s="1146">
        <f>_xlfn.XLOOKUP(D22,RUC!$B$3:$B$123,RUC!$F$3:$F$123)</f>
        <v>120</v>
      </c>
      <c r="V22" s="715">
        <v>1.1023000000000001</v>
      </c>
      <c r="Y22" s="1445">
        <v>25</v>
      </c>
      <c r="Z22" s="1454">
        <v>38</v>
      </c>
      <c r="AA22" s="144">
        <f t="shared" si="2"/>
        <v>63</v>
      </c>
      <c r="AB22" s="145">
        <f t="shared" si="15"/>
        <v>988.38652676250001</v>
      </c>
      <c r="AC22" s="145">
        <f>+(S22-T22)*V22-'data 1'!$F$4</f>
        <v>35.741500000000002</v>
      </c>
      <c r="AD22" s="145">
        <f t="shared" si="3"/>
        <v>49.349808454842083</v>
      </c>
      <c r="AE22" s="145">
        <f t="shared" si="4"/>
        <v>-0.55509999999999593</v>
      </c>
      <c r="AF22" s="145">
        <f t="shared" si="5"/>
        <v>84.272493730016834</v>
      </c>
      <c r="AG22" s="772">
        <f t="shared" si="16"/>
        <v>185.80870218485893</v>
      </c>
      <c r="AH22" s="1253">
        <f t="shared" si="6"/>
        <v>40.119</v>
      </c>
      <c r="AI22" s="1253">
        <f t="shared" si="7"/>
        <v>42.89</v>
      </c>
      <c r="AJ22" s="156">
        <f t="shared" si="8"/>
        <v>238.98111076135814</v>
      </c>
      <c r="AK22" s="156">
        <f t="shared" si="9"/>
        <v>36.106370722805622</v>
      </c>
      <c r="AM22" s="716">
        <f t="shared" si="10"/>
        <v>4205.5846713744377</v>
      </c>
      <c r="AN22" s="716" t="str">
        <f>_xlfn.XLOOKUP(D22,RUC!$B$3:$B$578,RUC!$M$3:$M$578)</f>
        <v>Ronald Miranda</v>
      </c>
      <c r="AO22" s="1167" t="s">
        <v>2277</v>
      </c>
      <c r="AP22" t="s">
        <v>4071</v>
      </c>
      <c r="AQ22" t="s">
        <v>2974</v>
      </c>
    </row>
    <row r="23" spans="1:56" ht="15" customHeight="1">
      <c r="A23" s="747" t="s">
        <v>3959</v>
      </c>
      <c r="B23" s="1447">
        <v>46020</v>
      </c>
      <c r="C23" s="1447">
        <v>46013</v>
      </c>
      <c r="D23" t="s">
        <v>2444</v>
      </c>
      <c r="E23" s="762">
        <f>_xlfn.XLOOKUP(D23,RUC!$B$3:$B$123,RUC!$D$3:$D$123)</f>
        <v>20608774000</v>
      </c>
      <c r="G23" s="1082">
        <v>30</v>
      </c>
      <c r="H23" s="762" t="s">
        <v>69</v>
      </c>
      <c r="I23" s="703">
        <v>2.86</v>
      </c>
      <c r="J23" s="596">
        <v>1.4</v>
      </c>
      <c r="K23" s="703">
        <f t="shared" si="0"/>
        <v>2.82</v>
      </c>
      <c r="L23" s="1192">
        <v>0.70699999999999996</v>
      </c>
      <c r="M23" s="994">
        <f t="shared" si="28"/>
        <v>0.66500000000000004</v>
      </c>
      <c r="N23" s="1444">
        <v>0.76400000000000001</v>
      </c>
      <c r="O23" s="645">
        <f t="shared" si="26"/>
        <v>0.71499999999999997</v>
      </c>
      <c r="P23" s="727">
        <v>90</v>
      </c>
      <c r="Q23" s="1476">
        <v>95.47</v>
      </c>
      <c r="R23" s="706">
        <v>4421.6499999999996</v>
      </c>
      <c r="S23" s="765">
        <f>IF((_xlfn.XLOOKUP(D23,RUC!$B$3:$B$119,RUC!$E$3:$E$119)+ROUNDDOWN(O23,1)*100)&lt;95,95,((_xlfn.XLOOKUP(D23,RUC!$B$3:$B$119,RUC!$E$3:$E$119)+ROUNDDOWN(O23,1)*100)))</f>
        <v>155</v>
      </c>
      <c r="U23" s="1146">
        <f>_xlfn.XLOOKUP(D23,RUC!$B$3:$B$123,RUC!$F$3:$F$123)</f>
        <v>120</v>
      </c>
      <c r="V23" s="715">
        <v>1.1023000000000001</v>
      </c>
      <c r="Y23" s="1445">
        <v>25</v>
      </c>
      <c r="Z23" s="1454">
        <v>35</v>
      </c>
      <c r="AA23" s="144">
        <f t="shared" si="2"/>
        <v>60</v>
      </c>
      <c r="AB23" s="145">
        <f t="shared" si="15"/>
        <v>2814.2951095824997</v>
      </c>
      <c r="AC23" s="145">
        <f>+(S23-T23)*V23-'data 1'!$F$4</f>
        <v>90.856500000000011</v>
      </c>
      <c r="AD23" s="145">
        <f t="shared" si="3"/>
        <v>183.37563005815545</v>
      </c>
      <c r="AE23" s="145">
        <f t="shared" si="4"/>
        <v>-3.8619999999999948</v>
      </c>
      <c r="AF23" s="145">
        <f t="shared" si="5"/>
        <v>-36.215275092692025</v>
      </c>
      <c r="AG23" s="772">
        <f t="shared" si="16"/>
        <v>251.15485496546347</v>
      </c>
      <c r="AH23" s="1253">
        <f t="shared" si="6"/>
        <v>65.260000000000005</v>
      </c>
      <c r="AI23" s="1253">
        <f t="shared" si="7"/>
        <v>68.355999999999995</v>
      </c>
      <c r="AJ23" s="156">
        <f t="shared" si="8"/>
        <v>586.55023852364468</v>
      </c>
      <c r="AK23" s="156">
        <f t="shared" si="9"/>
        <v>62.2166651326935</v>
      </c>
      <c r="AM23" s="716">
        <f t="shared" si="10"/>
        <v>7936.3122090226489</v>
      </c>
      <c r="AN23" s="716" t="str">
        <f>_xlfn.XLOOKUP(D23,RUC!$B$3:$B$578,RUC!$M$3:$M$578)</f>
        <v>Ronald Miranda</v>
      </c>
      <c r="AO23" s="1167" t="s">
        <v>2278</v>
      </c>
      <c r="AP23" t="s">
        <v>4070</v>
      </c>
      <c r="AQ23" t="s">
        <v>2972</v>
      </c>
    </row>
    <row r="24" spans="1:56" ht="15" customHeight="1">
      <c r="A24" s="747" t="s">
        <v>3965</v>
      </c>
      <c r="B24" s="1447">
        <v>46024</v>
      </c>
      <c r="C24" s="1447">
        <v>46013</v>
      </c>
      <c r="D24" t="s">
        <v>1967</v>
      </c>
      <c r="E24" s="762">
        <f>_xlfn.XLOOKUP(D24,RUC!$B$3:$B$123,RUC!$D$3:$D$123)</f>
        <v>20601769396</v>
      </c>
      <c r="G24" s="1082">
        <v>38</v>
      </c>
      <c r="H24" s="762" t="s">
        <v>108</v>
      </c>
      <c r="I24" s="703">
        <v>2.83</v>
      </c>
      <c r="J24" s="596">
        <v>16.079999999999998</v>
      </c>
      <c r="K24" s="703">
        <f t="shared" si="0"/>
        <v>2.375</v>
      </c>
      <c r="L24" s="1192">
        <v>0.26</v>
      </c>
      <c r="M24" s="994">
        <f t="shared" si="28"/>
        <v>0.24099999999999999</v>
      </c>
      <c r="N24" s="1196">
        <f t="shared" ref="N24:N31" si="29">+M24</f>
        <v>0.24099999999999999</v>
      </c>
      <c r="O24" s="645">
        <f t="shared" si="26"/>
        <v>0.24099999999999999</v>
      </c>
      <c r="P24" s="727">
        <v>90</v>
      </c>
      <c r="Q24" s="1476">
        <v>95.38</v>
      </c>
      <c r="R24" s="706">
        <v>4421.6499999999996</v>
      </c>
      <c r="S24" s="765">
        <f>IF((_xlfn.XLOOKUP(D24,RUC!$B$3:$B$119,RUC!$E$3:$E$119)+ROUNDDOWN(O24,1)*100)&lt;95,95,((_xlfn.XLOOKUP(D24,RUC!$B$3:$B$119,RUC!$E$3:$E$119)+ROUNDDOWN(O24,1)*100)))</f>
        <v>110</v>
      </c>
      <c r="U24" s="1146">
        <f>_xlfn.XLOOKUP(D24,RUC!$B$3:$B$123,RUC!$F$3:$F$123)</f>
        <v>120</v>
      </c>
      <c r="V24" s="715">
        <v>1.1023000000000001</v>
      </c>
      <c r="Y24" s="1445">
        <v>30</v>
      </c>
      <c r="Z24" s="1454">
        <v>40</v>
      </c>
      <c r="AA24" s="144">
        <f t="shared" si="2"/>
        <v>70</v>
      </c>
      <c r="AB24" s="145">
        <f t="shared" si="15"/>
        <v>830.06263763549987</v>
      </c>
      <c r="AC24" s="145">
        <f>+(S24-T24)*V24-'data 1'!$F$4</f>
        <v>41.253</v>
      </c>
      <c r="AD24" s="145">
        <f t="shared" si="3"/>
        <v>66.327022624459957</v>
      </c>
      <c r="AE24" s="145">
        <f t="shared" si="4"/>
        <v>7.1610000000000014</v>
      </c>
      <c r="AF24" s="145">
        <f t="shared" si="5"/>
        <v>85.930195124749062</v>
      </c>
      <c r="AG24" s="772">
        <f t="shared" si="16"/>
        <v>217.67121774920901</v>
      </c>
      <c r="AH24" s="1253">
        <f t="shared" si="6"/>
        <v>20.193000000000001</v>
      </c>
      <c r="AI24" s="1253">
        <f t="shared" si="7"/>
        <v>21.170999999999999</v>
      </c>
      <c r="AJ24" s="156">
        <f t="shared" si="8"/>
        <v>215.50112686154006</v>
      </c>
      <c r="AK24" s="156">
        <f t="shared" si="9"/>
        <v>17.661689086606874</v>
      </c>
      <c r="AM24" s="716">
        <f t="shared" si="10"/>
        <v>1971.3987643843122</v>
      </c>
      <c r="AN24" s="716" t="str">
        <f>_xlfn.XLOOKUP(D24,RUC!$B$3:$B$578,RUC!$M$3:$M$578)</f>
        <v>Evelyn</v>
      </c>
      <c r="AO24" s="1167" t="s">
        <v>2278</v>
      </c>
      <c r="AP24" t="s">
        <v>3561</v>
      </c>
      <c r="AQ24" t="s">
        <v>2906</v>
      </c>
      <c r="BA24" s="1482"/>
    </row>
    <row r="25" spans="1:56" ht="15" customHeight="1" thickBot="1">
      <c r="A25" s="747" t="s">
        <v>3966</v>
      </c>
      <c r="B25" s="1447">
        <v>46024</v>
      </c>
      <c r="C25" s="1447">
        <v>46013</v>
      </c>
      <c r="D25" t="s">
        <v>1967</v>
      </c>
      <c r="E25" s="762">
        <f>_xlfn.XLOOKUP(D25,RUC!$B$3:$B$123,RUC!$D$3:$D$123)</f>
        <v>20601769396</v>
      </c>
      <c r="G25" s="1082">
        <v>38</v>
      </c>
      <c r="H25" s="762" t="s">
        <v>108</v>
      </c>
      <c r="I25" s="703">
        <v>2.74</v>
      </c>
      <c r="J25" s="596">
        <v>18.399999999999999</v>
      </c>
      <c r="K25" s="703">
        <f t="shared" si="0"/>
        <v>2.2360000000000002</v>
      </c>
      <c r="L25" s="1192">
        <v>0.22500000000000001</v>
      </c>
      <c r="M25" s="994">
        <f t="shared" si="28"/>
        <v>0.20599999999999999</v>
      </c>
      <c r="N25" s="1196">
        <f t="shared" si="29"/>
        <v>0.20599999999999999</v>
      </c>
      <c r="O25" s="645">
        <f t="shared" si="26"/>
        <v>0.20599999999999999</v>
      </c>
      <c r="P25" s="727">
        <v>90</v>
      </c>
      <c r="Q25" s="1476">
        <v>94.67</v>
      </c>
      <c r="R25" s="706">
        <v>4421.6499999999996</v>
      </c>
      <c r="S25" s="765">
        <f>IF((_xlfn.XLOOKUP(D25,RUC!$B$3:$B$119,RUC!$E$3:$E$119)+ROUNDDOWN(O25,1)*100)&lt;95,95,((_xlfn.XLOOKUP(D25,RUC!$B$3:$B$119,RUC!$E$3:$E$119)+ROUNDDOWN(O25,1)*100)))</f>
        <v>110</v>
      </c>
      <c r="U25" s="1146">
        <f>_xlfn.XLOOKUP(D25,RUC!$B$3:$B$123,RUC!$F$3:$F$123)</f>
        <v>120</v>
      </c>
      <c r="V25" s="715">
        <v>1.1023000000000001</v>
      </c>
      <c r="Y25" s="1445">
        <v>30</v>
      </c>
      <c r="Z25" s="1454">
        <v>40</v>
      </c>
      <c r="AA25" s="144">
        <f t="shared" si="2"/>
        <v>70</v>
      </c>
      <c r="AB25" s="145">
        <f t="shared" si="15"/>
        <v>680.69881059299985</v>
      </c>
      <c r="AC25" s="145">
        <f>+(S25-T25)*V25-'data 1'!$F$4</f>
        <v>41.253</v>
      </c>
      <c r="AD25" s="145">
        <f t="shared" si="3"/>
        <v>49.823505163462521</v>
      </c>
      <c r="AE25" s="145">
        <f t="shared" si="4"/>
        <v>7.1610000000000014</v>
      </c>
      <c r="AF25" s="145">
        <f t="shared" si="5"/>
        <v>85.290538608303578</v>
      </c>
      <c r="AG25" s="772">
        <f t="shared" si="16"/>
        <v>200.52804377176608</v>
      </c>
      <c r="AH25" s="1253">
        <f t="shared" si="6"/>
        <v>16.329999999999998</v>
      </c>
      <c r="AI25" s="1253">
        <f t="shared" si="7"/>
        <v>17.248999999999999</v>
      </c>
      <c r="AJ25" s="156">
        <f t="shared" si="8"/>
        <v>185.1031351515376</v>
      </c>
      <c r="AK25" s="156">
        <f t="shared" si="9"/>
        <v>14.213158471834923</v>
      </c>
      <c r="AM25" s="716">
        <f t="shared" si="10"/>
        <v>1522.0425404859477</v>
      </c>
      <c r="AN25" s="716" t="str">
        <f>_xlfn.XLOOKUP(D25,RUC!$B$3:$B$578,RUC!$M$3:$M$578)</f>
        <v>Evelyn</v>
      </c>
      <c r="AO25" s="1167" t="s">
        <v>2278</v>
      </c>
      <c r="AP25" t="s">
        <v>3561</v>
      </c>
      <c r="AQ25" t="s">
        <v>2906</v>
      </c>
      <c r="BA25" s="1482"/>
    </row>
    <row r="26" spans="1:56" ht="15" customHeight="1" thickBot="1">
      <c r="A26" s="747" t="s">
        <v>3967</v>
      </c>
      <c r="B26" s="1447">
        <v>46024</v>
      </c>
      <c r="C26" s="1447">
        <v>46013</v>
      </c>
      <c r="D26" t="s">
        <v>1967</v>
      </c>
      <c r="E26" s="762">
        <f>_xlfn.XLOOKUP(D26,RUC!$B$3:$B$123,RUC!$D$3:$D$123)</f>
        <v>20601769396</v>
      </c>
      <c r="G26" s="1082">
        <v>38</v>
      </c>
      <c r="H26" s="762" t="s">
        <v>108</v>
      </c>
      <c r="I26" s="703">
        <v>2.76</v>
      </c>
      <c r="J26" s="596">
        <v>17.93</v>
      </c>
      <c r="K26" s="703">
        <f t="shared" si="0"/>
        <v>2.2650000000000001</v>
      </c>
      <c r="L26" s="1192">
        <v>0.27300000000000002</v>
      </c>
      <c r="M26" s="994">
        <f t="shared" si="28"/>
        <v>0.254</v>
      </c>
      <c r="N26" s="1196">
        <f t="shared" si="29"/>
        <v>0.254</v>
      </c>
      <c r="O26" s="645">
        <f t="shared" si="26"/>
        <v>0.254</v>
      </c>
      <c r="P26" s="727">
        <v>90</v>
      </c>
      <c r="Q26" s="1476">
        <v>94.14</v>
      </c>
      <c r="R26" s="706">
        <v>4421.6499999999996</v>
      </c>
      <c r="S26" s="765">
        <f>IF((_xlfn.XLOOKUP(D26,RUC!$B$3:$B$119,RUC!$E$3:$E$119)+ROUNDDOWN(O26,1)*100)&lt;95,95,((_xlfn.XLOOKUP(D26,RUC!$B$3:$B$119,RUC!$E$3:$E$119)+ROUNDDOWN(O26,1)*100)))</f>
        <v>110</v>
      </c>
      <c r="U26" s="1146">
        <f>_xlfn.XLOOKUP(D26,RUC!$B$3:$B$123,RUC!$F$3:$F$123)</f>
        <v>120</v>
      </c>
      <c r="V26" s="715">
        <v>1.1023000000000001</v>
      </c>
      <c r="Y26" s="1445">
        <v>30</v>
      </c>
      <c r="Z26" s="1454">
        <v>40</v>
      </c>
      <c r="AA26" s="144">
        <f t="shared" si="2"/>
        <v>70</v>
      </c>
      <c r="AB26" s="145">
        <f t="shared" si="15"/>
        <v>885.54063053699986</v>
      </c>
      <c r="AC26" s="145">
        <f>+(S26-T26)*V26-'data 1'!$F$4</f>
        <v>41.253</v>
      </c>
      <c r="AD26" s="145">
        <f t="shared" si="3"/>
        <v>53.591741142849003</v>
      </c>
      <c r="AE26" s="145">
        <f t="shared" si="4"/>
        <v>7.1610000000000014</v>
      </c>
      <c r="AF26" s="145">
        <f t="shared" si="5"/>
        <v>84.813048532647088</v>
      </c>
      <c r="AG26" s="772">
        <f t="shared" si="16"/>
        <v>203.81878967549608</v>
      </c>
      <c r="AH26" s="1253">
        <f t="shared" si="6"/>
        <v>19.957999999999998</v>
      </c>
      <c r="AI26" s="1253">
        <f t="shared" si="7"/>
        <v>21.2</v>
      </c>
      <c r="AJ26" s="156">
        <f t="shared" si="8"/>
        <v>223.33445048105114</v>
      </c>
      <c r="AK26" s="156">
        <f t="shared" si="9"/>
        <v>17.75225393914095</v>
      </c>
      <c r="AM26" s="716">
        <f t="shared" si="10"/>
        <v>2005.7495281663048</v>
      </c>
      <c r="AN26" s="716" t="str">
        <f>_xlfn.XLOOKUP(D26,RUC!$B$3:$B$578,RUC!$M$3:$M$578)</f>
        <v>Evelyn</v>
      </c>
      <c r="AO26" s="1167" t="s">
        <v>2278</v>
      </c>
      <c r="AP26" t="s">
        <v>3561</v>
      </c>
      <c r="AQ26" t="s">
        <v>2906</v>
      </c>
      <c r="AV26" s="1982" t="s">
        <v>4335</v>
      </c>
      <c r="AW26" s="1983"/>
      <c r="AX26" s="1983"/>
      <c r="AY26" s="1983"/>
      <c r="AZ26" s="1983"/>
      <c r="BA26" s="1984"/>
    </row>
    <row r="27" spans="1:56" ht="15" customHeight="1">
      <c r="A27" s="747" t="s">
        <v>3971</v>
      </c>
      <c r="B27" s="1447">
        <v>46024</v>
      </c>
      <c r="C27" s="1447">
        <v>46014</v>
      </c>
      <c r="D27" t="s">
        <v>1967</v>
      </c>
      <c r="E27" s="762">
        <f>_xlfn.XLOOKUP(D27,RUC!$B$3:$B$123,RUC!$D$3:$D$123)</f>
        <v>20601769396</v>
      </c>
      <c r="G27" s="1082">
        <v>49</v>
      </c>
      <c r="H27" s="762" t="s">
        <v>108</v>
      </c>
      <c r="I27" s="703">
        <v>4.51</v>
      </c>
      <c r="J27" s="596">
        <v>11.35</v>
      </c>
      <c r="K27" s="703">
        <f t="shared" si="0"/>
        <v>3.9980000000000002</v>
      </c>
      <c r="L27" s="1192">
        <v>0.56899999999999995</v>
      </c>
      <c r="M27" s="994">
        <f t="shared" si="28"/>
        <v>0.53500000000000003</v>
      </c>
      <c r="N27" s="1196">
        <f t="shared" si="29"/>
        <v>0.53500000000000003</v>
      </c>
      <c r="O27" s="645">
        <f t="shared" si="26"/>
        <v>0.53500000000000003</v>
      </c>
      <c r="P27" s="727">
        <v>90</v>
      </c>
      <c r="Q27" s="1476">
        <v>94.9</v>
      </c>
      <c r="R27" s="706">
        <v>4449.3999999999996</v>
      </c>
      <c r="S27" s="765">
        <f>IF((_xlfn.XLOOKUP(D27,RUC!$B$3:$B$119,RUC!$E$3:$E$119)+ROUNDDOWN(O27,1)*100)&lt;95,95,((_xlfn.XLOOKUP(D27,RUC!$B$3:$B$119,RUC!$E$3:$E$119)+ROUNDDOWN(O27,1)*100)))</f>
        <v>140</v>
      </c>
      <c r="U27" s="1146">
        <f>_xlfn.XLOOKUP(D27,RUC!$B$3:$B$123,RUC!$F$3:$F$123)</f>
        <v>120</v>
      </c>
      <c r="V27" s="715">
        <v>1.1023000000000001</v>
      </c>
      <c r="Y27" s="1445">
        <v>30</v>
      </c>
      <c r="Z27" s="1454">
        <v>40</v>
      </c>
      <c r="AA27" s="144">
        <f t="shared" si="2"/>
        <v>70</v>
      </c>
      <c r="AB27" s="145">
        <f t="shared" si="15"/>
        <v>2066.37830403</v>
      </c>
      <c r="AC27" s="145">
        <f>+(S27-T27)*V27-'data 1'!$F$4</f>
        <v>74.322000000000003</v>
      </c>
      <c r="AD27" s="145">
        <f t="shared" si="3"/>
        <v>133.05642994322014</v>
      </c>
      <c r="AE27" s="145">
        <f t="shared" si="4"/>
        <v>7.1610000000000014</v>
      </c>
      <c r="AF27" s="145">
        <f t="shared" si="5"/>
        <v>153.98295500691964</v>
      </c>
      <c r="AG27" s="772">
        <f t="shared" si="16"/>
        <v>385.52238495013978</v>
      </c>
      <c r="AH27" s="1253">
        <f t="shared" si="6"/>
        <v>74.016999999999996</v>
      </c>
      <c r="AI27" s="1253">
        <f t="shared" si="7"/>
        <v>77.995000000000005</v>
      </c>
      <c r="AJ27" s="156">
        <f t="shared" si="8"/>
        <v>452.72513542178024</v>
      </c>
      <c r="AK27" s="156">
        <f t="shared" si="9"/>
        <v>66.000640555607859</v>
      </c>
      <c r="AM27" s="716">
        <f t="shared" si="10"/>
        <v>8261.38045951194</v>
      </c>
      <c r="AN27" s="716" t="str">
        <f>_xlfn.XLOOKUP(D27,RUC!$B$3:$B$578,RUC!$M$3:$M$578)</f>
        <v>Evelyn</v>
      </c>
      <c r="AO27" s="1167" t="s">
        <v>2278</v>
      </c>
      <c r="AP27" t="s">
        <v>4074</v>
      </c>
      <c r="AQ27" t="s">
        <v>2564</v>
      </c>
      <c r="BA27" s="1482">
        <f>SUM(BA29:BA38)</f>
        <v>0</v>
      </c>
    </row>
    <row r="28" spans="1:56" ht="15" customHeight="1" thickBot="1">
      <c r="A28" s="747" t="s">
        <v>3972</v>
      </c>
      <c r="B28" s="1447">
        <v>46024</v>
      </c>
      <c r="C28" s="1447">
        <v>46014</v>
      </c>
      <c r="D28" t="s">
        <v>1967</v>
      </c>
      <c r="E28" s="762">
        <f>_xlfn.XLOOKUP(D28,RUC!$B$3:$B$123,RUC!$D$3:$D$123)</f>
        <v>20601769396</v>
      </c>
      <c r="G28" s="1082">
        <v>32</v>
      </c>
      <c r="H28" s="762" t="s">
        <v>108</v>
      </c>
      <c r="I28" s="703">
        <v>2.72</v>
      </c>
      <c r="J28" s="596">
        <v>13.13</v>
      </c>
      <c r="K28" s="703">
        <f t="shared" si="0"/>
        <v>2.363</v>
      </c>
      <c r="L28" s="1192">
        <v>0.34499999999999997</v>
      </c>
      <c r="M28" s="994">
        <f t="shared" si="28"/>
        <v>0.32400000000000001</v>
      </c>
      <c r="N28" s="1196">
        <f t="shared" si="29"/>
        <v>0.32400000000000001</v>
      </c>
      <c r="O28" s="645">
        <f t="shared" si="26"/>
        <v>0.32400000000000001</v>
      </c>
      <c r="P28" s="727">
        <v>84</v>
      </c>
      <c r="Q28" s="1476">
        <v>84.06</v>
      </c>
      <c r="R28" s="706">
        <v>4449.3999999999996</v>
      </c>
      <c r="S28" s="765">
        <f>IF((_xlfn.XLOOKUP(D28,RUC!$B$3:$B$119,RUC!$E$3:$E$119)+ROUNDDOWN(O28,1)*100)&lt;95,95,((_xlfn.XLOOKUP(D28,RUC!$B$3:$B$119,RUC!$E$3:$E$119)+ROUNDDOWN(O28,1)*100)))</f>
        <v>120</v>
      </c>
      <c r="U28" s="1146">
        <f>_xlfn.XLOOKUP(D28,RUC!$B$3:$B$123,RUC!$F$3:$F$123)</f>
        <v>120</v>
      </c>
      <c r="V28" s="715">
        <v>1.1023000000000001</v>
      </c>
      <c r="Y28" s="1445">
        <v>30</v>
      </c>
      <c r="Z28" s="1454">
        <v>40</v>
      </c>
      <c r="AA28" s="144">
        <f t="shared" si="2"/>
        <v>70</v>
      </c>
      <c r="AB28" s="145">
        <f t="shared" si="15"/>
        <v>1089.3915202592002</v>
      </c>
      <c r="AC28" s="145">
        <f>+(S28-T28)*V28-'data 1'!$F$4</f>
        <v>52.27600000000001</v>
      </c>
      <c r="AD28" s="145">
        <f t="shared" si="3"/>
        <v>0.98786560734003748</v>
      </c>
      <c r="AE28" s="145">
        <f t="shared" si="4"/>
        <v>7.1610000000000014</v>
      </c>
      <c r="AF28" s="145">
        <f t="shared" si="5"/>
        <v>84.243460966811853</v>
      </c>
      <c r="AG28" s="772">
        <f t="shared" si="16"/>
        <v>161.66832657415191</v>
      </c>
      <c r="AH28" s="1253">
        <f t="shared" si="6"/>
        <v>23.495000000000001</v>
      </c>
      <c r="AI28" s="1253">
        <f t="shared" si="7"/>
        <v>27.951000000000001</v>
      </c>
      <c r="AJ28" s="156">
        <f t="shared" si="8"/>
        <v>243.14458906566011</v>
      </c>
      <c r="AK28" s="156">
        <f t="shared" si="9"/>
        <v>22.049415793218746</v>
      </c>
      <c r="AM28" s="716">
        <f t="shared" si="10"/>
        <v>2574.2321623724902</v>
      </c>
      <c r="AN28" s="716" t="str">
        <f>_xlfn.XLOOKUP(D28,RUC!$B$3:$B$578,RUC!$M$3:$M$578)</f>
        <v>Evelyn</v>
      </c>
      <c r="AO28" s="1167" t="s">
        <v>2278</v>
      </c>
      <c r="AP28" t="s">
        <v>4074</v>
      </c>
      <c r="AQ28" t="s">
        <v>2564</v>
      </c>
      <c r="AV28" s="762"/>
      <c r="AW28" s="762" t="s">
        <v>15</v>
      </c>
      <c r="AX28" s="762" t="s">
        <v>2522</v>
      </c>
      <c r="AY28" s="762" t="s">
        <v>2558</v>
      </c>
      <c r="AZ28" s="1483" t="s">
        <v>2598</v>
      </c>
      <c r="BA28" s="762" t="s">
        <v>2559</v>
      </c>
    </row>
    <row r="29" spans="1:56" ht="15" customHeight="1">
      <c r="A29" s="747" t="s">
        <v>3974</v>
      </c>
      <c r="B29" s="1447">
        <v>46027</v>
      </c>
      <c r="C29" s="1447">
        <v>46014</v>
      </c>
      <c r="D29" t="s">
        <v>1967</v>
      </c>
      <c r="E29" s="762">
        <f>_xlfn.XLOOKUP(D29,RUC!$B$3:$B$123,RUC!$D$3:$D$123)</f>
        <v>20601769396</v>
      </c>
      <c r="G29" s="1082">
        <v>50</v>
      </c>
      <c r="H29" s="762" t="s">
        <v>108</v>
      </c>
      <c r="I29" s="703">
        <v>4.7</v>
      </c>
      <c r="J29" s="596">
        <v>8.4499999999999993</v>
      </c>
      <c r="K29" s="703">
        <f t="shared" si="0"/>
        <v>4.3029999999999999</v>
      </c>
      <c r="L29" s="1192">
        <v>0.2</v>
      </c>
      <c r="M29" s="994">
        <f t="shared" si="28"/>
        <v>0.18099999999999999</v>
      </c>
      <c r="N29" s="1196">
        <f t="shared" si="29"/>
        <v>0.18099999999999999</v>
      </c>
      <c r="O29" s="645">
        <f t="shared" si="26"/>
        <v>0.18099999999999999</v>
      </c>
      <c r="P29" s="727">
        <v>82</v>
      </c>
      <c r="Q29" s="1476">
        <v>82.98</v>
      </c>
      <c r="R29" s="706">
        <v>4449.3999999999996</v>
      </c>
      <c r="S29" s="765">
        <f>IF((_xlfn.XLOOKUP(D29,RUC!$B$3:$B$119,RUC!$E$3:$E$119)+ROUNDDOWN(O29,1)*100)&lt;95,95,((_xlfn.XLOOKUP(D29,RUC!$B$3:$B$119,RUC!$E$3:$E$119)+ROUNDDOWN(O29,1)*100)))</f>
        <v>100</v>
      </c>
      <c r="U29" s="1146">
        <f>_xlfn.XLOOKUP(D29,RUC!$B$3:$B$123,RUC!$F$3:$F$123)</f>
        <v>120</v>
      </c>
      <c r="V29" s="715">
        <v>1.1023000000000001</v>
      </c>
      <c r="Y29" s="1445">
        <v>30</v>
      </c>
      <c r="Z29" s="1454">
        <v>40</v>
      </c>
      <c r="AA29" s="144">
        <f t="shared" si="2"/>
        <v>70</v>
      </c>
      <c r="AB29" s="145">
        <f t="shared" si="15"/>
        <v>520.91341276039998</v>
      </c>
      <c r="AC29" s="145">
        <f>+(S29-T29)*V29-'data 1'!$F$4</f>
        <v>30.230000000000004</v>
      </c>
      <c r="AD29" s="145">
        <f t="shared" si="3"/>
        <v>9.3537033352000378</v>
      </c>
      <c r="AE29" s="145">
        <f t="shared" si="4"/>
        <v>7.1610000000000014</v>
      </c>
      <c r="AF29" s="145">
        <f t="shared" si="5"/>
        <v>75.24099873644407</v>
      </c>
      <c r="AG29" s="772">
        <f t="shared" si="16"/>
        <v>138.98570207164411</v>
      </c>
      <c r="AH29" s="1253">
        <f t="shared" si="6"/>
        <v>24.484000000000002</v>
      </c>
      <c r="AI29" s="1253">
        <f t="shared" si="7"/>
        <v>29.506</v>
      </c>
      <c r="AJ29" s="156">
        <f t="shared" si="8"/>
        <v>139.14242070480009</v>
      </c>
      <c r="AK29" s="156">
        <f t="shared" si="9"/>
        <v>21.896406277721443</v>
      </c>
      <c r="AM29" s="716">
        <f t="shared" si="10"/>
        <v>2241.4904151080009</v>
      </c>
      <c r="AN29" s="716" t="str">
        <f>_xlfn.XLOOKUP(D29,RUC!$B$3:$B$578,RUC!$M$3:$M$578)</f>
        <v>Evelyn</v>
      </c>
      <c r="AO29" s="1167" t="s">
        <v>2278</v>
      </c>
      <c r="AP29" t="s">
        <v>4074</v>
      </c>
      <c r="AQ29" t="s">
        <v>2564</v>
      </c>
      <c r="AV29" s="1556" t="s">
        <v>2277</v>
      </c>
      <c r="AW29" s="1227">
        <f t="shared" ref="AW29:AW38" si="30">SUMIF($AO$4:$AO$920,AV29,$K$4:$K$920)</f>
        <v>94.534999999999968</v>
      </c>
      <c r="AX29" s="1227"/>
      <c r="AY29" s="1229">
        <f t="shared" ref="AY29:AY38" si="31">AW29*AX29*31.1035*1.1023</f>
        <v>0</v>
      </c>
      <c r="AZ29" s="596"/>
      <c r="BA29" s="1255">
        <f t="shared" ref="BA29:BA38" si="32">AY29*AZ29/100</f>
        <v>0</v>
      </c>
      <c r="BB29" s="1573" t="s">
        <v>4531</v>
      </c>
      <c r="BC29" s="1574">
        <f>+BB7</f>
        <v>4034.2219999999998</v>
      </c>
    </row>
    <row r="30" spans="1:56" ht="15" customHeight="1">
      <c r="A30" s="747" t="s">
        <v>3975</v>
      </c>
      <c r="B30" s="1447">
        <v>46027</v>
      </c>
      <c r="C30" s="1447">
        <v>46014</v>
      </c>
      <c r="D30" t="s">
        <v>1967</v>
      </c>
      <c r="E30" s="762">
        <f>_xlfn.XLOOKUP(D30,RUC!$B$3:$B$123,RUC!$D$3:$D$123)</f>
        <v>20601769396</v>
      </c>
      <c r="G30" s="1082">
        <v>50</v>
      </c>
      <c r="H30" s="762" t="s">
        <v>108</v>
      </c>
      <c r="I30" s="703">
        <v>4.6399999999999997</v>
      </c>
      <c r="J30" s="596">
        <v>7.8</v>
      </c>
      <c r="K30" s="703">
        <f t="shared" si="0"/>
        <v>4.2779999999999996</v>
      </c>
      <c r="L30" s="1192">
        <v>0.13</v>
      </c>
      <c r="M30" s="994">
        <f t="shared" si="28"/>
        <v>0.111</v>
      </c>
      <c r="N30" s="1196">
        <f t="shared" si="29"/>
        <v>0.111</v>
      </c>
      <c r="O30" s="645">
        <f t="shared" si="26"/>
        <v>0.111</v>
      </c>
      <c r="P30" s="727">
        <v>75</v>
      </c>
      <c r="Q30" s="1476">
        <v>75.42</v>
      </c>
      <c r="R30" s="706">
        <v>4449.3999999999996</v>
      </c>
      <c r="S30" s="765">
        <f>IF((_xlfn.XLOOKUP(D30,RUC!$B$3:$B$119,RUC!$E$3:$E$119)+ROUNDDOWN(O30,1)*100)&lt;95,95,((_xlfn.XLOOKUP(D30,RUC!$B$3:$B$119,RUC!$E$3:$E$119)+ROUNDDOWN(O30,1)*100)))</f>
        <v>100</v>
      </c>
      <c r="U30" s="1146">
        <f>_xlfn.XLOOKUP(D30,RUC!$B$3:$B$123,RUC!$F$3:$F$123)</f>
        <v>120</v>
      </c>
      <c r="V30" s="715">
        <v>1.1023000000000001</v>
      </c>
      <c r="Y30" s="1445">
        <v>30</v>
      </c>
      <c r="Z30" s="1454">
        <v>40</v>
      </c>
      <c r="AA30" s="144">
        <f t="shared" si="2"/>
        <v>70</v>
      </c>
      <c r="AB30" s="145">
        <f t="shared" si="15"/>
        <v>209.90277686500002</v>
      </c>
      <c r="AC30" s="145">
        <f>+(S30-T30)*V30-'data 1'!$F$4</f>
        <v>30.230000000000004</v>
      </c>
      <c r="AD30" s="145">
        <f t="shared" si="3"/>
        <v>2.6056745005200104</v>
      </c>
      <c r="AE30" s="145">
        <f t="shared" si="4"/>
        <v>7.1610000000000014</v>
      </c>
      <c r="AF30" s="145">
        <f t="shared" si="5"/>
        <v>68.386070435076007</v>
      </c>
      <c r="AG30" s="772">
        <f t="shared" si="16"/>
        <v>125.38274493559601</v>
      </c>
      <c r="AH30" s="1253">
        <f t="shared" si="6"/>
        <v>14.381</v>
      </c>
      <c r="AI30" s="1253">
        <f t="shared" si="7"/>
        <v>19.067</v>
      </c>
      <c r="AJ30" s="156">
        <f t="shared" si="8"/>
        <v>82.202686071480059</v>
      </c>
      <c r="AK30" s="156">
        <f t="shared" si="9"/>
        <v>12.210518098985174</v>
      </c>
      <c r="AM30" s="716">
        <f t="shared" si="10"/>
        <v>897.96407942846997</v>
      </c>
      <c r="AN30" s="716" t="str">
        <f>_xlfn.XLOOKUP(D30,RUC!$B$3:$B$578,RUC!$M$3:$M$578)</f>
        <v>Evelyn</v>
      </c>
      <c r="AO30" s="1167" t="s">
        <v>2278</v>
      </c>
      <c r="AP30" t="s">
        <v>4074</v>
      </c>
      <c r="AQ30" t="s">
        <v>2564</v>
      </c>
      <c r="AV30" s="1557" t="s">
        <v>2278</v>
      </c>
      <c r="AW30" s="703">
        <f t="shared" si="30"/>
        <v>164.81</v>
      </c>
      <c r="AX30" s="703"/>
      <c r="AY30" s="596">
        <f t="shared" si="31"/>
        <v>0</v>
      </c>
      <c r="AZ30" s="596"/>
      <c r="BA30" s="1256">
        <f t="shared" si="32"/>
        <v>0</v>
      </c>
      <c r="BB30" s="1575" t="s">
        <v>4532</v>
      </c>
      <c r="BC30" s="1576">
        <f>+'35'!BC26+'35'!BC27</f>
        <v>988.58299999999997</v>
      </c>
    </row>
    <row r="31" spans="1:56" ht="15" customHeight="1">
      <c r="A31" s="747" t="s">
        <v>3976</v>
      </c>
      <c r="B31" s="1447">
        <v>46027</v>
      </c>
      <c r="C31" s="1447">
        <v>46014</v>
      </c>
      <c r="D31" t="s">
        <v>1967</v>
      </c>
      <c r="E31" s="762">
        <f>_xlfn.XLOOKUP(D31,RUC!$B$3:$B$123,RUC!$D$3:$D$123)</f>
        <v>20601769396</v>
      </c>
      <c r="G31" s="1082">
        <v>50</v>
      </c>
      <c r="H31" s="762" t="s">
        <v>108</v>
      </c>
      <c r="I31" s="703">
        <v>4.6900000000000004</v>
      </c>
      <c r="J31" s="596">
        <v>6.6</v>
      </c>
      <c r="K31" s="703">
        <f t="shared" si="0"/>
        <v>4.38</v>
      </c>
      <c r="L31" s="1192">
        <v>0.20300000000000001</v>
      </c>
      <c r="M31" s="994">
        <f t="shared" si="28"/>
        <v>0.184</v>
      </c>
      <c r="N31" s="1196">
        <f t="shared" si="29"/>
        <v>0.184</v>
      </c>
      <c r="O31" s="645">
        <f t="shared" si="26"/>
        <v>0.184</v>
      </c>
      <c r="P31" s="727">
        <v>82</v>
      </c>
      <c r="Q31" s="1476">
        <v>82.93</v>
      </c>
      <c r="R31" s="706">
        <v>4449.3999999999996</v>
      </c>
      <c r="S31" s="765">
        <f>IF((_xlfn.XLOOKUP(D31,RUC!$B$3:$B$119,RUC!$E$3:$E$119)+ROUNDDOWN(O31,1)*100)&lt;95,95,((_xlfn.XLOOKUP(D31,RUC!$B$3:$B$119,RUC!$E$3:$E$119)+ROUNDDOWN(O31,1)*100)))</f>
        <v>100</v>
      </c>
      <c r="U31" s="1146">
        <f>_xlfn.XLOOKUP(D31,RUC!$B$3:$B$123,RUC!$F$3:$F$123)</f>
        <v>120</v>
      </c>
      <c r="V31" s="715">
        <v>1.1023000000000001</v>
      </c>
      <c r="Y31" s="1445">
        <v>30</v>
      </c>
      <c r="Z31" s="1454">
        <v>40</v>
      </c>
      <c r="AA31" s="144">
        <f t="shared" si="2"/>
        <v>70</v>
      </c>
      <c r="AB31" s="145">
        <f t="shared" si="15"/>
        <v>532.65326490559994</v>
      </c>
      <c r="AC31" s="145">
        <f>+(S31-T31)*V31-'data 1'!$F$4</f>
        <v>30.230000000000004</v>
      </c>
      <c r="AD31" s="145">
        <f t="shared" si="3"/>
        <v>9.0096206767980664</v>
      </c>
      <c r="AE31" s="145">
        <f t="shared" si="4"/>
        <v>7.1610000000000014</v>
      </c>
      <c r="AF31" s="145">
        <f t="shared" si="5"/>
        <v>75.195661909054067</v>
      </c>
      <c r="AG31" s="772">
        <f t="shared" si="16"/>
        <v>138.59628258585212</v>
      </c>
      <c r="AH31" s="1253">
        <f t="shared" si="6"/>
        <v>25.280999999999999</v>
      </c>
      <c r="AI31" s="1253">
        <f t="shared" si="7"/>
        <v>30.484999999999999</v>
      </c>
      <c r="AJ31" s="156">
        <f t="shared" si="8"/>
        <v>141.1444584633021</v>
      </c>
      <c r="AK31" s="156">
        <f t="shared" si="9"/>
        <v>22.657649548549919</v>
      </c>
      <c r="AM31" s="716">
        <f t="shared" si="10"/>
        <v>2333.0213002865275</v>
      </c>
      <c r="AN31" s="716" t="str">
        <f>_xlfn.XLOOKUP(D31,RUC!$B$3:$B$578,RUC!$M$3:$M$578)</f>
        <v>Evelyn</v>
      </c>
      <c r="AO31" s="1167" t="s">
        <v>2278</v>
      </c>
      <c r="AP31" t="s">
        <v>4074</v>
      </c>
      <c r="AQ31" t="s">
        <v>2564</v>
      </c>
      <c r="AV31" s="1557" t="s">
        <v>2280</v>
      </c>
      <c r="AW31" s="703">
        <f t="shared" si="30"/>
        <v>120.50700000000003</v>
      </c>
      <c r="AX31" s="703"/>
      <c r="AY31" s="596">
        <f t="shared" si="31"/>
        <v>0</v>
      </c>
      <c r="AZ31" s="596"/>
      <c r="BA31" s="1256">
        <f t="shared" si="32"/>
        <v>0</v>
      </c>
      <c r="BB31" s="1577" t="s">
        <v>4533</v>
      </c>
      <c r="BC31" s="1581">
        <v>4208.01</v>
      </c>
    </row>
    <row r="32" spans="1:56" ht="15" customHeight="1">
      <c r="A32" s="747" t="s">
        <v>3996</v>
      </c>
      <c r="B32" s="1447">
        <v>46025</v>
      </c>
      <c r="C32" s="1447">
        <v>46015</v>
      </c>
      <c r="D32" t="s">
        <v>1484</v>
      </c>
      <c r="E32" s="762">
        <f>_xlfn.XLOOKUP(D32,RUC!$B$3:$B$123,RUC!$D$3:$D$123)</f>
        <v>10761932735</v>
      </c>
      <c r="G32" s="1082">
        <v>100</v>
      </c>
      <c r="H32" s="762" t="s">
        <v>69</v>
      </c>
      <c r="I32" s="703">
        <v>7.88</v>
      </c>
      <c r="J32" s="596">
        <v>3.9</v>
      </c>
      <c r="K32" s="703">
        <f t="shared" si="0"/>
        <v>7.5730000000000004</v>
      </c>
      <c r="L32" s="1192">
        <v>0.13900000000000001</v>
      </c>
      <c r="M32" s="994">
        <f t="shared" ref="M32:M54" si="33">ROUND(+IF(AN32="Melchor Vera",IF(L32&gt;0.467,L32*0.985,(L32-0.007)),IF(L32&gt;0.3,L32*0.94,(L32-0.019))),3)</f>
        <v>0.12</v>
      </c>
      <c r="N32" s="1444">
        <v>0.19900000000000001</v>
      </c>
      <c r="O32" s="645">
        <f t="shared" si="26"/>
        <v>0.16</v>
      </c>
      <c r="P32" s="727">
        <v>90</v>
      </c>
      <c r="Q32" s="1476">
        <v>92.81</v>
      </c>
      <c r="R32" s="706">
        <v>4480.8</v>
      </c>
      <c r="S32" s="765">
        <f>IF((_xlfn.XLOOKUP(D32,RUC!$B$3:$B$119,RUC!$E$3:$E$119)+ROUNDDOWN(O32,1)*100)&lt;95,95,((_xlfn.XLOOKUP(D32,RUC!$B$3:$B$119,RUC!$E$3:$E$119)+ROUNDDOWN(O32,1)*100)))</f>
        <v>100</v>
      </c>
      <c r="U32" s="1146">
        <f>_xlfn.XLOOKUP(D32,RUC!$B$3:$B$123,RUC!$F$3:$F$123)</f>
        <v>120</v>
      </c>
      <c r="V32" s="715">
        <v>1.1023000000000001</v>
      </c>
      <c r="Y32">
        <f>_xlfn.XLOOKUP(D32,RUC!$B$3:$B$123,RUC!$G$3:$G$123)</f>
        <v>20</v>
      </c>
      <c r="Z32" s="143">
        <f>_xlfn.XLOOKUP(D32,RUC!$B$3:$B$123,RUC!$H$3:$H$123)</f>
        <v>30</v>
      </c>
      <c r="AA32" s="144">
        <f t="shared" si="2"/>
        <v>50</v>
      </c>
      <c r="AB32" s="145">
        <f t="shared" si="15"/>
        <v>526.85001696000006</v>
      </c>
      <c r="AC32" s="145">
        <f>+(S32-T32)*V32-'data 1'!$F$4</f>
        <v>30.230000000000004</v>
      </c>
      <c r="AD32" s="145">
        <f t="shared" si="3"/>
        <v>18.77530914405602</v>
      </c>
      <c r="AE32" s="145">
        <f t="shared" si="4"/>
        <v>-14.884999999999998</v>
      </c>
      <c r="AF32" s="145">
        <f t="shared" si="5"/>
        <v>-93.687153472583972</v>
      </c>
      <c r="AG32" s="772">
        <f t="shared" si="16"/>
        <v>-42.566844328527942</v>
      </c>
      <c r="AH32" s="1253">
        <f t="shared" si="6"/>
        <v>33.496000000000002</v>
      </c>
      <c r="AI32" s="1253">
        <f t="shared" si="7"/>
        <v>36.090000000000003</v>
      </c>
      <c r="AJ32" s="156">
        <f t="shared" si="8"/>
        <v>103.694576043244</v>
      </c>
      <c r="AK32" s="156">
        <f t="shared" si="9"/>
        <v>37.388627093181604</v>
      </c>
      <c r="AM32" s="716">
        <f t="shared" si="10"/>
        <v>3989.8351784380807</v>
      </c>
      <c r="AN32" s="716" t="str">
        <f>_xlfn.XLOOKUP(D32,RUC!$B$3:$B$578,RUC!$M$3:$M$578)</f>
        <v>Richard Sapacayo</v>
      </c>
      <c r="AO32" s="1167" t="s">
        <v>2280</v>
      </c>
      <c r="AP32" t="s">
        <v>3123</v>
      </c>
      <c r="AQ32" t="s">
        <v>2486</v>
      </c>
      <c r="AV32" s="1557" t="s">
        <v>2279</v>
      </c>
      <c r="AW32" s="703">
        <f t="shared" si="30"/>
        <v>0</v>
      </c>
      <c r="AX32" s="703"/>
      <c r="AY32" s="596">
        <f t="shared" si="31"/>
        <v>0</v>
      </c>
      <c r="AZ32" s="596"/>
      <c r="BA32" s="1256">
        <f t="shared" si="32"/>
        <v>0</v>
      </c>
      <c r="BB32" s="1577" t="s">
        <v>4534</v>
      </c>
      <c r="BC32" s="1581">
        <v>902.53</v>
      </c>
    </row>
    <row r="33" spans="1:55" ht="15" customHeight="1">
      <c r="A33" s="747" t="s">
        <v>4000</v>
      </c>
      <c r="B33" s="1447">
        <v>46025</v>
      </c>
      <c r="C33" s="1447">
        <v>46015</v>
      </c>
      <c r="D33" t="s">
        <v>1484</v>
      </c>
      <c r="E33" s="762">
        <f>_xlfn.XLOOKUP(D33,RUC!$B$3:$B$123,RUC!$D$3:$D$123)</f>
        <v>10761932735</v>
      </c>
      <c r="G33" s="1082">
        <v>110</v>
      </c>
      <c r="H33" s="762" t="s">
        <v>69</v>
      </c>
      <c r="I33" s="703">
        <v>7.39</v>
      </c>
      <c r="J33" s="596">
        <v>2.5</v>
      </c>
      <c r="K33" s="703">
        <f t="shared" si="0"/>
        <v>7.2050000000000001</v>
      </c>
      <c r="L33" s="1192">
        <v>0.193</v>
      </c>
      <c r="M33" s="994">
        <f t="shared" si="33"/>
        <v>0.17399999999999999</v>
      </c>
      <c r="N33" s="1444">
        <v>0.247</v>
      </c>
      <c r="O33" s="645">
        <f t="shared" si="26"/>
        <v>0.21099999999999999</v>
      </c>
      <c r="P33" s="727">
        <v>90</v>
      </c>
      <c r="Q33" s="1476">
        <v>96.89</v>
      </c>
      <c r="R33" s="706">
        <v>4480.8</v>
      </c>
      <c r="S33" s="765">
        <f>IF((_xlfn.XLOOKUP(D33,RUC!$B$3:$B$119,RUC!$E$3:$E$119)+ROUNDDOWN(O33,1)*100)&lt;95,95,((_xlfn.XLOOKUP(D33,RUC!$B$3:$B$119,RUC!$E$3:$E$119)+ROUNDDOWN(O33,1)*100)))</f>
        <v>110</v>
      </c>
      <c r="U33" s="1146">
        <f>_xlfn.XLOOKUP(D33,RUC!$B$3:$B$123,RUC!$F$3:$F$123)</f>
        <v>120</v>
      </c>
      <c r="V33" s="715">
        <v>1.1023000000000001</v>
      </c>
      <c r="Y33">
        <f>_xlfn.XLOOKUP(D33,RUC!$B$3:$B$123,RUC!$G$3:$G$123)</f>
        <v>20</v>
      </c>
      <c r="Z33" s="143">
        <f>_xlfn.XLOOKUP(D33,RUC!$B$3:$B$123,RUC!$H$3:$H$123)</f>
        <v>30</v>
      </c>
      <c r="AA33" s="144">
        <f t="shared" si="2"/>
        <v>50</v>
      </c>
      <c r="AB33" s="145">
        <f t="shared" si="15"/>
        <v>736.46417861599991</v>
      </c>
      <c r="AC33" s="145">
        <f>+(S33-T33)*V33-'data 1'!$F$4</f>
        <v>41.253</v>
      </c>
      <c r="AD33" s="145">
        <f t="shared" si="3"/>
        <v>63.920844979368013</v>
      </c>
      <c r="AE33" s="145">
        <f t="shared" si="4"/>
        <v>-14.884999999999998</v>
      </c>
      <c r="AF33" s="145">
        <f t="shared" si="5"/>
        <v>-83.833468991567955</v>
      </c>
      <c r="AG33" s="772">
        <f t="shared" si="16"/>
        <v>23.455375987800053</v>
      </c>
      <c r="AH33" s="1253">
        <f t="shared" si="6"/>
        <v>46.192999999999998</v>
      </c>
      <c r="AI33" s="1253">
        <f t="shared" si="7"/>
        <v>47.676000000000002</v>
      </c>
      <c r="AJ33" s="156">
        <f t="shared" si="8"/>
        <v>150.30822018653197</v>
      </c>
      <c r="AK33" s="156">
        <f t="shared" si="9"/>
        <v>46.910279348957474</v>
      </c>
      <c r="AM33" s="716">
        <f t="shared" si="10"/>
        <v>5306.2244069282797</v>
      </c>
      <c r="AN33" s="716" t="str">
        <f>_xlfn.XLOOKUP(D33,RUC!$B$3:$B$578,RUC!$M$3:$M$578)</f>
        <v>Richard Sapacayo</v>
      </c>
      <c r="AO33" s="1167" t="s">
        <v>2280</v>
      </c>
      <c r="AP33" t="s">
        <v>3123</v>
      </c>
      <c r="AQ33" t="s">
        <v>2486</v>
      </c>
      <c r="AV33" s="1557" t="s">
        <v>2281</v>
      </c>
      <c r="AW33" s="703">
        <f t="shared" si="30"/>
        <v>0</v>
      </c>
      <c r="AX33" s="703"/>
      <c r="AY33" s="596">
        <f t="shared" si="31"/>
        <v>0</v>
      </c>
      <c r="AZ33" s="596"/>
      <c r="BA33" s="1256">
        <f t="shared" si="32"/>
        <v>0</v>
      </c>
      <c r="BB33" s="1577" t="s">
        <v>4535</v>
      </c>
      <c r="BC33" s="1581">
        <v>141.577</v>
      </c>
    </row>
    <row r="34" spans="1:55" ht="15" customHeight="1">
      <c r="A34" s="747" t="s">
        <v>4005</v>
      </c>
      <c r="B34" s="1447">
        <v>46024</v>
      </c>
      <c r="C34" s="1447">
        <v>46015</v>
      </c>
      <c r="D34" t="s">
        <v>2444</v>
      </c>
      <c r="E34" s="762">
        <f>_xlfn.XLOOKUP(D34,RUC!$B$3:$B$123,RUC!$D$3:$D$123)</f>
        <v>20608774000</v>
      </c>
      <c r="G34" s="1082">
        <v>25</v>
      </c>
      <c r="H34" s="762" t="s">
        <v>69</v>
      </c>
      <c r="I34" s="703">
        <v>2.38</v>
      </c>
      <c r="J34" s="596">
        <v>1.3</v>
      </c>
      <c r="K34" s="703">
        <f t="shared" si="0"/>
        <v>2.3490000000000002</v>
      </c>
      <c r="L34" s="1192">
        <v>0.36399999999999999</v>
      </c>
      <c r="M34" s="994">
        <f t="shared" si="33"/>
        <v>0.34200000000000003</v>
      </c>
      <c r="N34" s="1196">
        <f t="shared" ref="N34:N47" si="34">+M34</f>
        <v>0.34200000000000003</v>
      </c>
      <c r="O34" s="645">
        <f t="shared" si="26"/>
        <v>0.34200000000000003</v>
      </c>
      <c r="P34" s="727">
        <v>85</v>
      </c>
      <c r="Q34" s="1476">
        <v>85.16</v>
      </c>
      <c r="R34" s="706">
        <v>4480.8</v>
      </c>
      <c r="S34" s="765">
        <f>IF((_xlfn.XLOOKUP(D34,RUC!$B$3:$B$119,RUC!$E$3:$E$119)+ROUNDDOWN(O34,1)*100)&lt;95,95,((_xlfn.XLOOKUP(D34,RUC!$B$3:$B$119,RUC!$E$3:$E$119)+ROUNDDOWN(O34,1)*100)))</f>
        <v>115</v>
      </c>
      <c r="U34" s="1146">
        <f>_xlfn.XLOOKUP(D34,RUC!$B$3:$B$123,RUC!$F$3:$F$123)</f>
        <v>120</v>
      </c>
      <c r="V34" s="715">
        <v>1.1023000000000001</v>
      </c>
      <c r="Y34" s="1445">
        <v>25</v>
      </c>
      <c r="Z34" s="1454">
        <v>35</v>
      </c>
      <c r="AA34" s="144">
        <f t="shared" si="2"/>
        <v>60</v>
      </c>
      <c r="AB34" s="145">
        <f t="shared" si="15"/>
        <v>1204.4661904880002</v>
      </c>
      <c r="AC34" s="145">
        <f>+(S34-T34)*V34-'data 1'!$F$4</f>
        <v>46.764500000000012</v>
      </c>
      <c r="AD34" s="145">
        <f t="shared" si="3"/>
        <v>2.7995442908159407</v>
      </c>
      <c r="AE34" s="145">
        <f t="shared" si="4"/>
        <v>-3.8619999999999948</v>
      </c>
      <c r="AF34" s="145">
        <f t="shared" si="5"/>
        <v>90.058417234367866</v>
      </c>
      <c r="AG34" s="772">
        <f t="shared" si="16"/>
        <v>152.76046152518381</v>
      </c>
      <c r="AH34" s="1253">
        <f t="shared" si="6"/>
        <v>24.965</v>
      </c>
      <c r="AI34" s="1253">
        <f t="shared" si="7"/>
        <v>29.315000000000001</v>
      </c>
      <c r="AJ34" s="156">
        <f t="shared" si="8"/>
        <v>249.16297276998392</v>
      </c>
      <c r="AK34" s="156">
        <f t="shared" si="9"/>
        <v>23.411924657111122</v>
      </c>
      <c r="AM34" s="716">
        <f t="shared" si="10"/>
        <v>2829.2910814563124</v>
      </c>
      <c r="AN34" s="716" t="str">
        <f>_xlfn.XLOOKUP(D34,RUC!$B$3:$B$578,RUC!$M$3:$M$578)</f>
        <v>Ronald Miranda</v>
      </c>
      <c r="AO34" s="1167" t="s">
        <v>2277</v>
      </c>
      <c r="AP34" t="s">
        <v>4080</v>
      </c>
      <c r="AQ34" t="s">
        <v>3492</v>
      </c>
      <c r="AR34" s="1589"/>
      <c r="AV34" s="1557" t="s">
        <v>2297</v>
      </c>
      <c r="AW34" s="703">
        <f t="shared" si="30"/>
        <v>0</v>
      </c>
      <c r="AY34" s="596">
        <f t="shared" si="31"/>
        <v>0</v>
      </c>
      <c r="BA34" s="1256">
        <f t="shared" si="32"/>
        <v>0</v>
      </c>
      <c r="BB34" s="1579" t="s">
        <v>3206</v>
      </c>
      <c r="BC34" s="1580">
        <f>-BC29-BC30+BC31+BC32+BC33</f>
        <v>229.31200000000081</v>
      </c>
    </row>
    <row r="35" spans="1:55" ht="15" customHeight="1">
      <c r="A35" s="747" t="s">
        <v>4006</v>
      </c>
      <c r="B35" s="1447">
        <v>46024</v>
      </c>
      <c r="C35" s="1447">
        <v>46015</v>
      </c>
      <c r="D35" t="s">
        <v>2444</v>
      </c>
      <c r="E35" s="762">
        <f>_xlfn.XLOOKUP(D35,RUC!$B$3:$B$123,RUC!$D$3:$D$123)</f>
        <v>20608774000</v>
      </c>
      <c r="G35" s="1082">
        <v>14</v>
      </c>
      <c r="H35" s="762" t="s">
        <v>69</v>
      </c>
      <c r="I35" s="703">
        <v>1.29</v>
      </c>
      <c r="J35" s="596">
        <v>1.25</v>
      </c>
      <c r="K35" s="703">
        <f t="shared" si="0"/>
        <v>1.274</v>
      </c>
      <c r="L35" s="1192">
        <v>0.39</v>
      </c>
      <c r="M35" s="994">
        <f t="shared" si="33"/>
        <v>0.36699999999999999</v>
      </c>
      <c r="N35" s="1196">
        <f t="shared" si="34"/>
        <v>0.36699999999999999</v>
      </c>
      <c r="O35" s="645">
        <f t="shared" si="26"/>
        <v>0.36699999999999999</v>
      </c>
      <c r="P35" s="727">
        <v>87</v>
      </c>
      <c r="Q35" s="1476">
        <v>87.18</v>
      </c>
      <c r="R35" s="706">
        <v>4480.8</v>
      </c>
      <c r="S35" s="765">
        <f>IF((_xlfn.XLOOKUP(D35,RUC!$B$3:$B$119,RUC!$E$3:$E$119)+ROUNDDOWN(O35,1)*100)&lt;95,95,((_xlfn.XLOOKUP(D35,RUC!$B$3:$B$119,RUC!$E$3:$E$119)+ROUNDDOWN(O35,1)*100)))</f>
        <v>115</v>
      </c>
      <c r="U35" s="1146">
        <f>_xlfn.XLOOKUP(D35,RUC!$B$3:$B$123,RUC!$F$3:$F$123)</f>
        <v>120</v>
      </c>
      <c r="V35" s="715">
        <v>1.1023000000000001</v>
      </c>
      <c r="Y35" s="1445">
        <v>25</v>
      </c>
      <c r="Z35" s="1454">
        <v>35</v>
      </c>
      <c r="AA35" s="144">
        <f t="shared" si="2"/>
        <v>60</v>
      </c>
      <c r="AB35" s="145">
        <f t="shared" si="15"/>
        <v>1341.8957428136</v>
      </c>
      <c r="AC35" s="145">
        <f>+(S35-T35)*V35-'data 1'!$F$4</f>
        <v>46.764500000000012</v>
      </c>
      <c r="AD35" s="145">
        <f t="shared" si="3"/>
        <v>3.3744507076801282</v>
      </c>
      <c r="AE35" s="145">
        <f t="shared" si="4"/>
        <v>-3.8619999999999948</v>
      </c>
      <c r="AF35" s="145">
        <f t="shared" si="5"/>
        <v>96.385271965776099</v>
      </c>
      <c r="AG35" s="772">
        <f t="shared" si="16"/>
        <v>159.66222267345626</v>
      </c>
      <c r="AH35" s="1253">
        <f t="shared" si="6"/>
        <v>14.851000000000001</v>
      </c>
      <c r="AI35" s="1253">
        <f t="shared" si="7"/>
        <v>17.035</v>
      </c>
      <c r="AJ35" s="156">
        <f t="shared" si="8"/>
        <v>273.29264199431998</v>
      </c>
      <c r="AK35" s="156">
        <f t="shared" si="9"/>
        <v>13.946454495317253</v>
      </c>
      <c r="AM35" s="716">
        <f t="shared" si="10"/>
        <v>1709.5751763445264</v>
      </c>
      <c r="AN35" s="716" t="str">
        <f>_xlfn.XLOOKUP(D35,RUC!$B$3:$B$578,RUC!$M$3:$M$578)</f>
        <v>Ronald Miranda</v>
      </c>
      <c r="AO35" s="1167" t="s">
        <v>2277</v>
      </c>
      <c r="AP35" t="s">
        <v>4080</v>
      </c>
      <c r="AQ35" t="s">
        <v>3492</v>
      </c>
      <c r="AR35" s="1589"/>
      <c r="AV35" s="1557" t="s">
        <v>2518</v>
      </c>
      <c r="AW35" s="703">
        <f t="shared" si="30"/>
        <v>0</v>
      </c>
      <c r="AY35" s="596">
        <f t="shared" si="31"/>
        <v>0</v>
      </c>
      <c r="BA35" s="1256">
        <f t="shared" si="32"/>
        <v>0</v>
      </c>
    </row>
    <row r="36" spans="1:55" ht="15" customHeight="1">
      <c r="A36" s="747" t="s">
        <v>4007</v>
      </c>
      <c r="B36" s="1447">
        <v>45664</v>
      </c>
      <c r="C36" s="1447">
        <v>46015</v>
      </c>
      <c r="D36" t="s">
        <v>2444</v>
      </c>
      <c r="E36" s="762">
        <f>_xlfn.XLOOKUP(D36,RUC!$B$3:$B$123,RUC!$D$3:$D$123)</f>
        <v>20608774000</v>
      </c>
      <c r="G36" s="1082">
        <v>35</v>
      </c>
      <c r="H36" s="762" t="s">
        <v>69</v>
      </c>
      <c r="I36" s="703">
        <v>3.44</v>
      </c>
      <c r="J36" s="596">
        <v>1.2</v>
      </c>
      <c r="K36" s="703">
        <f t="shared" si="0"/>
        <v>3.399</v>
      </c>
      <c r="L36" s="1192">
        <v>0.24199999999999999</v>
      </c>
      <c r="M36" s="994">
        <f t="shared" si="33"/>
        <v>0.223</v>
      </c>
      <c r="N36" s="1196">
        <f t="shared" si="34"/>
        <v>0.223</v>
      </c>
      <c r="O36" s="645">
        <f t="shared" si="26"/>
        <v>0.223</v>
      </c>
      <c r="P36" s="727">
        <v>72</v>
      </c>
      <c r="Q36" s="1476">
        <v>72.44</v>
      </c>
      <c r="R36" s="706">
        <v>4480.8</v>
      </c>
      <c r="S36" s="765">
        <f>IF((_xlfn.XLOOKUP(D36,RUC!$B$3:$B$119,RUC!$E$3:$E$119)+ROUNDDOWN(O36,1)*100)&lt;95,95,((_xlfn.XLOOKUP(D36,RUC!$B$3:$B$119,RUC!$E$3:$E$119)+ROUNDDOWN(O36,1)*100)))</f>
        <v>105</v>
      </c>
      <c r="U36" s="1146">
        <f>_xlfn.XLOOKUP(D36,RUC!$B$3:$B$123,RUC!$F$3:$F$123)</f>
        <v>120</v>
      </c>
      <c r="V36" s="715">
        <v>1.1023000000000001</v>
      </c>
      <c r="Y36" s="1445">
        <v>25</v>
      </c>
      <c r="Z36" s="1454">
        <v>35</v>
      </c>
      <c r="AA36" s="144">
        <f t="shared" si="2"/>
        <v>60</v>
      </c>
      <c r="AB36" s="145">
        <f t="shared" si="15"/>
        <v>589.91794391040014</v>
      </c>
      <c r="AC36" s="145">
        <f>+(S36-T36)*V36-'data 1'!$F$4</f>
        <v>35.741500000000002</v>
      </c>
      <c r="AD36" s="145">
        <f t="shared" si="3"/>
        <v>5.118397597631974</v>
      </c>
      <c r="AE36" s="145">
        <f t="shared" si="4"/>
        <v>-3.8619999999999948</v>
      </c>
      <c r="AF36" s="145">
        <f t="shared" si="5"/>
        <v>66.160384273823965</v>
      </c>
      <c r="AG36" s="772">
        <f t="shared" si="16"/>
        <v>120.15828187145596</v>
      </c>
      <c r="AH36" s="1253">
        <f t="shared" si="6"/>
        <v>20.428999999999998</v>
      </c>
      <c r="AI36" s="1253">
        <f t="shared" si="7"/>
        <v>28.202000000000002</v>
      </c>
      <c r="AJ36" s="156">
        <f t="shared" si="8"/>
        <v>140.90950037436798</v>
      </c>
      <c r="AK36" s="156">
        <f t="shared" si="9"/>
        <v>18.711025616141896</v>
      </c>
      <c r="AM36" s="716">
        <f t="shared" si="10"/>
        <v>2005.1310913514501</v>
      </c>
      <c r="AN36" s="716" t="str">
        <f>_xlfn.XLOOKUP(D36,RUC!$B$3:$B$578,RUC!$M$3:$M$578)</f>
        <v>Ronald Miranda</v>
      </c>
      <c r="AO36" s="1167" t="s">
        <v>2280</v>
      </c>
      <c r="AP36" t="s">
        <v>4080</v>
      </c>
      <c r="AQ36" t="s">
        <v>3492</v>
      </c>
      <c r="AR36" t="s">
        <v>4223</v>
      </c>
      <c r="AV36" s="1557" t="s">
        <v>2519</v>
      </c>
      <c r="AW36" s="703">
        <f t="shared" si="30"/>
        <v>0</v>
      </c>
      <c r="AY36" s="596">
        <f t="shared" si="31"/>
        <v>0</v>
      </c>
      <c r="BA36" s="1256">
        <f t="shared" si="32"/>
        <v>0</v>
      </c>
    </row>
    <row r="37" spans="1:55" ht="15" customHeight="1">
      <c r="A37" s="747" t="s">
        <v>4014</v>
      </c>
      <c r="B37" s="1447">
        <v>46028</v>
      </c>
      <c r="C37" s="1447">
        <v>46016</v>
      </c>
      <c r="D37" t="s">
        <v>1967</v>
      </c>
      <c r="E37" s="762">
        <f>_xlfn.XLOOKUP(D37,RUC!$B$3:$B$123,RUC!$D$3:$D$123)</f>
        <v>20601769396</v>
      </c>
      <c r="G37" s="1082">
        <v>50</v>
      </c>
      <c r="H37" s="762" t="s">
        <v>108</v>
      </c>
      <c r="I37" s="703">
        <v>3.85</v>
      </c>
      <c r="J37" s="596">
        <v>16.3</v>
      </c>
      <c r="K37" s="703">
        <f t="shared" si="0"/>
        <v>3.222</v>
      </c>
      <c r="L37" s="1192">
        <v>0.123</v>
      </c>
      <c r="M37" s="994">
        <f t="shared" si="33"/>
        <v>0.104</v>
      </c>
      <c r="N37" s="1196">
        <f t="shared" si="34"/>
        <v>0.104</v>
      </c>
      <c r="O37" s="645">
        <f t="shared" si="26"/>
        <v>0.104</v>
      </c>
      <c r="P37" s="727">
        <v>80</v>
      </c>
      <c r="Q37" s="1476">
        <v>81.3</v>
      </c>
      <c r="R37" s="706">
        <v>4480.8</v>
      </c>
      <c r="S37" s="765">
        <f>IF((_xlfn.XLOOKUP(D37,RUC!$B$3:$B$119,RUC!$E$3:$E$119)+ROUNDDOWN(O37,1)*100)&lt;95,95,((_xlfn.XLOOKUP(D37,RUC!$B$3:$B$119,RUC!$E$3:$E$119)+ROUNDDOWN(O37,1)*100)))</f>
        <v>100</v>
      </c>
      <c r="U37" s="1146">
        <f>_xlfn.XLOOKUP(D37,RUC!$B$3:$B$123,RUC!$F$3:$F$123)</f>
        <v>120</v>
      </c>
      <c r="V37" s="715">
        <v>1.1023000000000001</v>
      </c>
      <c r="Y37" s="1445">
        <v>30</v>
      </c>
      <c r="Z37" s="1454">
        <v>40</v>
      </c>
      <c r="AA37" s="144">
        <f t="shared" si="2"/>
        <v>70</v>
      </c>
      <c r="AB37" s="145">
        <f t="shared" si="15"/>
        <v>212.54389868800001</v>
      </c>
      <c r="AC37" s="145">
        <f>+(S37-T37)*V37-'data 1'!$F$4</f>
        <v>30.230000000000004</v>
      </c>
      <c r="AD37" s="145">
        <f t="shared" si="3"/>
        <v>7.6862488341599837</v>
      </c>
      <c r="AE37" s="145">
        <f t="shared" si="4"/>
        <v>7.1610000000000014</v>
      </c>
      <c r="AF37" s="145">
        <f t="shared" si="5"/>
        <v>74.252336298480003</v>
      </c>
      <c r="AG37" s="772">
        <f t="shared" si="16"/>
        <v>136.32958513263998</v>
      </c>
      <c r="AH37" s="1253">
        <f t="shared" si="6"/>
        <v>11.047000000000001</v>
      </c>
      <c r="AI37" s="1253">
        <f t="shared" si="7"/>
        <v>13.587999999999999</v>
      </c>
      <c r="AJ37" s="156">
        <f t="shared" si="8"/>
        <v>80.37891220283997</v>
      </c>
      <c r="AK37" s="156">
        <f t="shared" si="9"/>
        <v>9.1908976887187208</v>
      </c>
      <c r="AM37" s="716">
        <f t="shared" si="10"/>
        <v>684.81644157273604</v>
      </c>
      <c r="AN37" s="716" t="str">
        <f>_xlfn.XLOOKUP(D37,RUC!$B$3:$B$578,RUC!$M$3:$M$578)</f>
        <v>Evelyn</v>
      </c>
      <c r="AO37" s="1167" t="s">
        <v>2280</v>
      </c>
      <c r="AP37" t="s">
        <v>3127</v>
      </c>
      <c r="AQ37" t="s">
        <v>4083</v>
      </c>
      <c r="AV37" s="1557" t="s">
        <v>2520</v>
      </c>
      <c r="AW37" s="703">
        <f t="shared" si="30"/>
        <v>0</v>
      </c>
      <c r="AY37" s="596">
        <f t="shared" si="31"/>
        <v>0</v>
      </c>
      <c r="BA37" s="1256">
        <f t="shared" si="32"/>
        <v>0</v>
      </c>
    </row>
    <row r="38" spans="1:55" ht="15" customHeight="1" thickBot="1">
      <c r="A38" s="747" t="s">
        <v>4015</v>
      </c>
      <c r="B38" s="1447">
        <v>46028</v>
      </c>
      <c r="C38" s="1447">
        <v>46016</v>
      </c>
      <c r="D38" t="s">
        <v>1967</v>
      </c>
      <c r="E38" s="762">
        <f>_xlfn.XLOOKUP(D38,RUC!$B$3:$B$123,RUC!$D$3:$D$123)</f>
        <v>20601769396</v>
      </c>
      <c r="G38" s="1082">
        <v>50</v>
      </c>
      <c r="H38" s="762" t="s">
        <v>108</v>
      </c>
      <c r="I38" s="703">
        <v>3.69</v>
      </c>
      <c r="J38" s="596">
        <v>17.2</v>
      </c>
      <c r="K38" s="703">
        <f t="shared" si="0"/>
        <v>3.0550000000000002</v>
      </c>
      <c r="L38" s="1192">
        <v>0.154</v>
      </c>
      <c r="M38" s="994">
        <f t="shared" si="33"/>
        <v>0.13500000000000001</v>
      </c>
      <c r="N38" s="1196">
        <f t="shared" si="34"/>
        <v>0.13500000000000001</v>
      </c>
      <c r="O38" s="645">
        <f t="shared" si="26"/>
        <v>0.13500000000000001</v>
      </c>
      <c r="P38" s="727">
        <v>85</v>
      </c>
      <c r="Q38" s="1476">
        <v>85.06</v>
      </c>
      <c r="R38" s="706">
        <v>4480.8</v>
      </c>
      <c r="S38" s="765">
        <f>IF((_xlfn.XLOOKUP(D38,RUC!$B$3:$B$119,RUC!$E$3:$E$119)+ROUNDDOWN(O38,1)*100)&lt;95,95,((_xlfn.XLOOKUP(D38,RUC!$B$3:$B$119,RUC!$E$3:$E$119)+ROUNDDOWN(O38,1)*100)))</f>
        <v>100</v>
      </c>
      <c r="U38" s="1146">
        <f>_xlfn.XLOOKUP(D38,RUC!$B$3:$B$123,RUC!$F$3:$F$123)</f>
        <v>120</v>
      </c>
      <c r="V38" s="715">
        <v>1.1023000000000001</v>
      </c>
      <c r="Y38" s="1445">
        <v>30</v>
      </c>
      <c r="Z38" s="1454">
        <v>40</v>
      </c>
      <c r="AA38" s="144">
        <f t="shared" si="2"/>
        <v>70</v>
      </c>
      <c r="AB38" s="145">
        <f t="shared" si="15"/>
        <v>364.20190414000012</v>
      </c>
      <c r="AC38" s="145">
        <f>+(S38-T38)*V38-'data 1'!$F$4</f>
        <v>30.230000000000004</v>
      </c>
      <c r="AD38" s="145">
        <f t="shared" si="3"/>
        <v>0.44415846921601682</v>
      </c>
      <c r="AE38" s="145">
        <f t="shared" si="4"/>
        <v>7.1610000000000014</v>
      </c>
      <c r="AF38" s="145">
        <f t="shared" si="5"/>
        <v>77.686392688175957</v>
      </c>
      <c r="AG38" s="772">
        <f t="shared" si="16"/>
        <v>132.52155115739197</v>
      </c>
      <c r="AH38" s="1253">
        <f t="shared" si="6"/>
        <v>13.72</v>
      </c>
      <c r="AI38" s="1253">
        <f t="shared" si="7"/>
        <v>16.13</v>
      </c>
      <c r="AJ38" s="156">
        <f t="shared" si="8"/>
        <v>105.29131910158399</v>
      </c>
      <c r="AK38" s="156">
        <f t="shared" si="9"/>
        <v>12.019128491543063</v>
      </c>
      <c r="AM38" s="716">
        <f t="shared" si="10"/>
        <v>1112.6368171477004</v>
      </c>
      <c r="AN38" s="716" t="str">
        <f>_xlfn.XLOOKUP(D38,RUC!$B$3:$B$578,RUC!$M$3:$M$578)</f>
        <v>Evelyn</v>
      </c>
      <c r="AO38" s="1167" t="s">
        <v>2280</v>
      </c>
      <c r="AP38" t="s">
        <v>3127</v>
      </c>
      <c r="AQ38" t="s">
        <v>4083</v>
      </c>
      <c r="AV38" s="1558" t="s">
        <v>2521</v>
      </c>
      <c r="AW38" s="1254">
        <f t="shared" si="30"/>
        <v>0</v>
      </c>
      <c r="AX38" s="1257"/>
      <c r="AY38" s="1242">
        <f t="shared" si="31"/>
        <v>0</v>
      </c>
      <c r="AZ38" s="1257"/>
      <c r="BA38" s="1258">
        <f t="shared" si="32"/>
        <v>0</v>
      </c>
    </row>
    <row r="39" spans="1:55" ht="15" customHeight="1">
      <c r="A39" s="747" t="s">
        <v>4020</v>
      </c>
      <c r="B39" s="1447">
        <v>46024</v>
      </c>
      <c r="C39" s="1447">
        <v>46016</v>
      </c>
      <c r="D39" t="s">
        <v>1967</v>
      </c>
      <c r="E39" s="762">
        <v>20601769396</v>
      </c>
      <c r="G39" s="1082">
        <v>60</v>
      </c>
      <c r="H39" s="762" t="s">
        <v>108</v>
      </c>
      <c r="I39" s="703">
        <v>1.59</v>
      </c>
      <c r="J39" s="596">
        <v>16.82</v>
      </c>
      <c r="K39" s="703">
        <v>1.323</v>
      </c>
      <c r="L39" s="1192">
        <v>0.84</v>
      </c>
      <c r="M39" s="994">
        <v>0.79</v>
      </c>
      <c r="N39" s="1444">
        <v>0.83399999999999996</v>
      </c>
      <c r="O39" s="645">
        <v>0.81200000000000006</v>
      </c>
      <c r="P39" s="727">
        <v>88</v>
      </c>
      <c r="Q39" s="1476">
        <v>88.93</v>
      </c>
      <c r="R39" s="706">
        <v>4480.8</v>
      </c>
      <c r="S39" s="765">
        <v>170</v>
      </c>
      <c r="U39" s="1146">
        <v>120</v>
      </c>
      <c r="V39" s="715">
        <v>1.1023000000000001</v>
      </c>
      <c r="Y39" s="1445">
        <v>30</v>
      </c>
      <c r="Z39" s="1454">
        <v>40</v>
      </c>
      <c r="AA39" s="144">
        <v>70</v>
      </c>
      <c r="AB39" s="145">
        <v>3170.2734952704004</v>
      </c>
      <c r="AC39" s="145">
        <v>107.39100000000002</v>
      </c>
      <c r="AD39" s="145">
        <v>37.55157967008028</v>
      </c>
      <c r="AE39" s="145">
        <v>7.1610000000000014</v>
      </c>
      <c r="AF39" s="145">
        <v>119.69397777993566</v>
      </c>
      <c r="AG39" s="772">
        <v>288.79755745001597</v>
      </c>
      <c r="AH39" s="1253">
        <v>33.884</v>
      </c>
      <c r="AI39" s="1253">
        <v>38.101999999999997</v>
      </c>
      <c r="AJ39" s="156">
        <v>-338.26558937808016</v>
      </c>
      <c r="AK39" s="156">
        <v>32.412133188865589</v>
      </c>
      <c r="AM39" s="716">
        <v>4194.2718342427397</v>
      </c>
      <c r="AN39" s="716" t="s">
        <v>1228</v>
      </c>
      <c r="AO39" s="1167" t="s">
        <v>2277</v>
      </c>
      <c r="AP39" t="s">
        <v>3127</v>
      </c>
      <c r="AQ39" t="s">
        <v>4083</v>
      </c>
    </row>
    <row r="40" spans="1:55" ht="15" customHeight="1">
      <c r="A40" s="747" t="s">
        <v>4021</v>
      </c>
      <c r="B40" s="1447">
        <v>46024</v>
      </c>
      <c r="C40" s="1447">
        <v>46016</v>
      </c>
      <c r="D40" t="s">
        <v>1967</v>
      </c>
      <c r="E40" s="762">
        <v>20601769396</v>
      </c>
      <c r="G40" s="1082">
        <v>68</v>
      </c>
      <c r="H40" s="762" t="s">
        <v>108</v>
      </c>
      <c r="I40" s="703">
        <v>1.26</v>
      </c>
      <c r="J40" s="596">
        <v>21.05</v>
      </c>
      <c r="K40" s="703">
        <v>0.995</v>
      </c>
      <c r="L40" s="1192">
        <v>0.72199999999999998</v>
      </c>
      <c r="M40" s="994">
        <v>0.67900000000000005</v>
      </c>
      <c r="N40" s="1196">
        <v>0.67900000000000005</v>
      </c>
      <c r="O40" s="645">
        <v>0.67900000000000005</v>
      </c>
      <c r="P40" s="727">
        <v>90</v>
      </c>
      <c r="Q40" s="1476">
        <v>93.49</v>
      </c>
      <c r="R40" s="706">
        <v>4480.8</v>
      </c>
      <c r="S40" s="765">
        <v>150</v>
      </c>
      <c r="U40" s="1146">
        <v>120</v>
      </c>
      <c r="V40" s="715">
        <v>1.1023000000000001</v>
      </c>
      <c r="Y40" s="1445">
        <v>30</v>
      </c>
      <c r="Z40" s="1454">
        <v>40</v>
      </c>
      <c r="AA40" s="144">
        <v>70</v>
      </c>
      <c r="AB40" s="145">
        <v>2694.9966032240004</v>
      </c>
      <c r="AC40" s="145">
        <v>85.344999999999999</v>
      </c>
      <c r="AD40" s="145">
        <v>121.12355276635184</v>
      </c>
      <c r="AE40" s="145">
        <v>7.1610000000000014</v>
      </c>
      <c r="AF40" s="145">
        <v>193.24114040488766</v>
      </c>
      <c r="AG40" s="772">
        <v>423.87069317123951</v>
      </c>
      <c r="AH40" s="1253">
        <v>23.027000000000001</v>
      </c>
      <c r="AI40" s="1253">
        <v>24.63</v>
      </c>
      <c r="AJ40" s="156">
        <v>-305.65577078535216</v>
      </c>
      <c r="AK40" s="156">
        <v>20.847041634168228</v>
      </c>
      <c r="AM40" s="716">
        <v>2681.5216202078805</v>
      </c>
      <c r="AN40" s="716" t="s">
        <v>1228</v>
      </c>
      <c r="AO40" s="1167" t="s">
        <v>2277</v>
      </c>
      <c r="AP40" t="s">
        <v>3127</v>
      </c>
      <c r="AQ40" t="s">
        <v>4083</v>
      </c>
    </row>
    <row r="41" spans="1:55" ht="15" customHeight="1">
      <c r="A41" s="747" t="s">
        <v>4029</v>
      </c>
      <c r="B41" s="1447">
        <v>46024</v>
      </c>
      <c r="C41" s="1447">
        <v>46016</v>
      </c>
      <c r="D41" t="s">
        <v>1967</v>
      </c>
      <c r="E41" s="762">
        <v>20601769396</v>
      </c>
      <c r="G41" s="1082">
        <v>10</v>
      </c>
      <c r="H41" s="762" t="s">
        <v>108</v>
      </c>
      <c r="I41" s="703">
        <v>0.76</v>
      </c>
      <c r="J41" s="596">
        <v>14.05</v>
      </c>
      <c r="K41" s="703">
        <v>0.65300000000000002</v>
      </c>
      <c r="L41" s="1192">
        <v>0.49</v>
      </c>
      <c r="M41" s="994">
        <v>0.46100000000000002</v>
      </c>
      <c r="N41" s="1444">
        <v>0.50900000000000001</v>
      </c>
      <c r="O41" s="645">
        <v>0.48499999999999999</v>
      </c>
      <c r="P41" s="727">
        <v>90</v>
      </c>
      <c r="Q41" s="1476">
        <v>91.43</v>
      </c>
      <c r="R41" s="706">
        <v>4480.8</v>
      </c>
      <c r="S41" s="765">
        <v>130</v>
      </c>
      <c r="U41" s="1146">
        <v>120</v>
      </c>
      <c r="V41" s="715">
        <v>1.1023000000000001</v>
      </c>
      <c r="Y41" s="1445">
        <v>30</v>
      </c>
      <c r="Z41" s="1454">
        <v>40</v>
      </c>
      <c r="AA41" s="144">
        <v>70</v>
      </c>
      <c r="AB41" s="145">
        <v>1877.7561451600004</v>
      </c>
      <c r="AC41" s="145">
        <v>63.299000000000007</v>
      </c>
      <c r="AD41" s="145">
        <v>33.682017248880165</v>
      </c>
      <c r="AE41" s="145">
        <v>7.1610000000000014</v>
      </c>
      <c r="AF41" s="145">
        <v>21.974788333560024</v>
      </c>
      <c r="AG41" s="772">
        <v>143.11680558244018</v>
      </c>
      <c r="AH41" s="1253">
        <v>10.029999999999999</v>
      </c>
      <c r="AI41" s="1253">
        <v>10.97</v>
      </c>
      <c r="AJ41" s="156">
        <v>-202.86869809388008</v>
      </c>
      <c r="AK41" s="156">
        <v>9.7725184401377252</v>
      </c>
      <c r="AM41" s="716">
        <v>1226.1747627894804</v>
      </c>
      <c r="AN41" s="716" t="s">
        <v>1228</v>
      </c>
      <c r="AO41" s="1167" t="s">
        <v>2277</v>
      </c>
      <c r="AP41" t="s">
        <v>3127</v>
      </c>
      <c r="AQ41" t="s">
        <v>4083</v>
      </c>
    </row>
    <row r="42" spans="1:55" ht="15" customHeight="1">
      <c r="A42" s="747" t="s">
        <v>4030</v>
      </c>
      <c r="B42" s="1447">
        <v>46024</v>
      </c>
      <c r="C42" s="1447">
        <v>46016</v>
      </c>
      <c r="D42" t="s">
        <v>1484</v>
      </c>
      <c r="E42" s="762">
        <v>10761932735</v>
      </c>
      <c r="G42" s="1082">
        <v>103</v>
      </c>
      <c r="H42" s="762" t="s">
        <v>69</v>
      </c>
      <c r="I42" s="703">
        <v>9.73</v>
      </c>
      <c r="J42" s="596">
        <v>14.8</v>
      </c>
      <c r="K42" s="703">
        <v>8.2899999999999991</v>
      </c>
      <c r="L42" s="1192">
        <v>0.28599999999999998</v>
      </c>
      <c r="M42" s="994">
        <v>0.26700000000000002</v>
      </c>
      <c r="N42" s="1196">
        <v>0.26700000000000002</v>
      </c>
      <c r="O42" s="645">
        <v>0.26700000000000002</v>
      </c>
      <c r="P42" s="727">
        <v>90</v>
      </c>
      <c r="Q42" s="1476">
        <v>94.06</v>
      </c>
      <c r="R42" s="706">
        <v>4480.8</v>
      </c>
      <c r="S42" s="765">
        <v>110</v>
      </c>
      <c r="U42" s="1146">
        <v>120</v>
      </c>
      <c r="V42" s="715">
        <v>1.1023000000000001</v>
      </c>
      <c r="Y42">
        <v>20</v>
      </c>
      <c r="Z42" s="143">
        <v>30</v>
      </c>
      <c r="AA42" s="144">
        <v>50</v>
      </c>
      <c r="AB42" s="145">
        <v>978.73243455199997</v>
      </c>
      <c r="AC42" s="145">
        <v>41.253</v>
      </c>
      <c r="AD42" s="145">
        <v>55.815914298144037</v>
      </c>
      <c r="AE42" s="145">
        <v>-14.884999999999998</v>
      </c>
      <c r="AF42" s="145">
        <v>85.906208514575823</v>
      </c>
      <c r="AG42" s="772">
        <v>185.09012281271987</v>
      </c>
      <c r="AH42" s="1253">
        <v>76.459999999999994</v>
      </c>
      <c r="AI42" s="1253">
        <v>81.289000000000001</v>
      </c>
      <c r="AJ42" s="156">
        <v>-121.81513472814405</v>
      </c>
      <c r="AK42" s="156">
        <v>68.299475824360357</v>
      </c>
      <c r="AM42" s="716">
        <v>8113.6918824360791</v>
      </c>
      <c r="AN42" s="716" t="s">
        <v>2306</v>
      </c>
      <c r="AO42" s="1167" t="s">
        <v>2277</v>
      </c>
      <c r="AP42" t="s">
        <v>4085</v>
      </c>
      <c r="AQ42" t="s">
        <v>4086</v>
      </c>
    </row>
    <row r="43" spans="1:55" ht="15" customHeight="1">
      <c r="A43" s="747" t="s">
        <v>4036</v>
      </c>
      <c r="B43" s="1447">
        <v>46028</v>
      </c>
      <c r="C43" s="1447">
        <v>46016</v>
      </c>
      <c r="D43" t="s">
        <v>3062</v>
      </c>
      <c r="E43" s="762">
        <v>20610807004</v>
      </c>
      <c r="G43" s="1082">
        <v>30</v>
      </c>
      <c r="H43" s="762" t="s">
        <v>2005</v>
      </c>
      <c r="I43" s="703">
        <v>2.1</v>
      </c>
      <c r="J43" s="596">
        <v>24.9</v>
      </c>
      <c r="K43" s="703">
        <v>1.577</v>
      </c>
      <c r="L43" s="1192">
        <v>0.754</v>
      </c>
      <c r="M43" s="994">
        <v>0.70899999999999996</v>
      </c>
      <c r="N43" s="1196">
        <v>0.70899999999999996</v>
      </c>
      <c r="O43" s="645">
        <v>0.70899999999999996</v>
      </c>
      <c r="P43" s="727">
        <v>90</v>
      </c>
      <c r="Q43" s="1476">
        <v>92.44</v>
      </c>
      <c r="R43" s="706">
        <v>4480.8</v>
      </c>
      <c r="S43" s="765">
        <v>155</v>
      </c>
      <c r="U43" s="1146">
        <v>120</v>
      </c>
      <c r="V43" s="715">
        <v>1.1023000000000001</v>
      </c>
      <c r="Y43">
        <v>20</v>
      </c>
      <c r="Z43" s="143">
        <v>30</v>
      </c>
      <c r="AA43" s="144">
        <v>50</v>
      </c>
      <c r="AB43" s="145">
        <v>2841.3176689040001</v>
      </c>
      <c r="AC43" s="145">
        <v>90.856500000000011</v>
      </c>
      <c r="AD43" s="145">
        <v>88.435604472383929</v>
      </c>
      <c r="AE43" s="145">
        <v>-14.884999999999998</v>
      </c>
      <c r="AF43" s="145">
        <v>199.95783552432019</v>
      </c>
      <c r="AG43" s="772">
        <v>434.36493999670415</v>
      </c>
      <c r="AH43" s="1253">
        <v>37.685000000000002</v>
      </c>
      <c r="AI43" s="1253">
        <v>40.767000000000003</v>
      </c>
      <c r="AJ43" s="156">
        <v>-315.61782670038411</v>
      </c>
      <c r="AK43" s="156">
        <v>34.500827142889783</v>
      </c>
      <c r="AM43" s="716">
        <v>4480.757963861608</v>
      </c>
      <c r="AN43" s="716" t="s">
        <v>3076</v>
      </c>
      <c r="AO43" s="1167" t="s">
        <v>2277</v>
      </c>
      <c r="AP43" t="s">
        <v>2795</v>
      </c>
      <c r="AQ43" t="s">
        <v>3196</v>
      </c>
    </row>
    <row r="44" spans="1:55" ht="15" customHeight="1">
      <c r="A44" s="747" t="s">
        <v>4038</v>
      </c>
      <c r="B44" s="1447">
        <v>46024</v>
      </c>
      <c r="C44" s="1447">
        <v>46016</v>
      </c>
      <c r="D44" t="s">
        <v>2444</v>
      </c>
      <c r="E44" s="762">
        <v>20608774000</v>
      </c>
      <c r="G44" s="1082">
        <v>23</v>
      </c>
      <c r="H44" s="762" t="s">
        <v>69</v>
      </c>
      <c r="I44" s="703">
        <v>1.95</v>
      </c>
      <c r="J44" s="596">
        <v>2.35</v>
      </c>
      <c r="K44" s="703">
        <v>1.9039999999999999</v>
      </c>
      <c r="L44" s="1192">
        <v>0.2</v>
      </c>
      <c r="M44" s="1480">
        <v>0.182</v>
      </c>
      <c r="N44" s="1196">
        <v>0.182</v>
      </c>
      <c r="O44" s="645">
        <v>0.182</v>
      </c>
      <c r="P44" s="727">
        <v>85</v>
      </c>
      <c r="Q44" s="1476">
        <v>93.53</v>
      </c>
      <c r="R44" s="706">
        <v>4480.8</v>
      </c>
      <c r="S44" s="765">
        <v>95</v>
      </c>
      <c r="U44" s="1146">
        <v>120</v>
      </c>
      <c r="V44" s="715">
        <v>1.1023000000000001</v>
      </c>
      <c r="Y44" s="1445">
        <v>25</v>
      </c>
      <c r="Z44" s="1454">
        <v>35</v>
      </c>
      <c r="AA44" s="144">
        <v>60</v>
      </c>
      <c r="AB44" s="145">
        <v>572.77245224800004</v>
      </c>
      <c r="AC44" s="145">
        <v>24.718500000000006</v>
      </c>
      <c r="AD44" s="145">
        <v>82.005881870400003</v>
      </c>
      <c r="AE44" s="145">
        <v>-3.8619999999999948</v>
      </c>
      <c r="AF44" s="145">
        <v>80.926249920336076</v>
      </c>
      <c r="AG44" s="772">
        <v>200.78863179073608</v>
      </c>
      <c r="AH44" s="1253">
        <v>12.211</v>
      </c>
      <c r="AI44" s="1253">
        <v>13.055999999999999</v>
      </c>
      <c r="AJ44" s="156">
        <v>-84.705414570400038</v>
      </c>
      <c r="AK44" s="156">
        <v>10.098719907661838</v>
      </c>
      <c r="AM44" s="716">
        <v>1090.558749080192</v>
      </c>
      <c r="AN44" s="716" t="s">
        <v>2304</v>
      </c>
      <c r="AO44" s="1167" t="s">
        <v>2277</v>
      </c>
      <c r="AP44" t="s">
        <v>4087</v>
      </c>
      <c r="AQ44" t="s">
        <v>4088</v>
      </c>
      <c r="AR44" s="1589" t="s">
        <v>4137</v>
      </c>
    </row>
    <row r="45" spans="1:55" ht="15" customHeight="1">
      <c r="A45" s="747" t="s">
        <v>4045</v>
      </c>
      <c r="B45" s="1447">
        <v>46028</v>
      </c>
      <c r="C45" s="1447">
        <v>46016</v>
      </c>
      <c r="D45" t="s">
        <v>3062</v>
      </c>
      <c r="E45" s="762">
        <f>_xlfn.XLOOKUP(D45,RUC!$B$3:$B$123,RUC!$D$3:$D$123)</f>
        <v>20610807004</v>
      </c>
      <c r="G45" s="1082">
        <v>25</v>
      </c>
      <c r="H45" s="762" t="s">
        <v>69</v>
      </c>
      <c r="I45" s="703">
        <v>2.13</v>
      </c>
      <c r="J45" s="596">
        <v>13.55</v>
      </c>
      <c r="K45" s="703">
        <f t="shared" ref="K45:K54" si="35">ROUND(+I45-(I45*(J45/100)),3)</f>
        <v>1.841</v>
      </c>
      <c r="L45" s="1192">
        <v>0.379</v>
      </c>
      <c r="M45" s="994">
        <f t="shared" si="33"/>
        <v>0.35599999999999998</v>
      </c>
      <c r="N45" s="1196">
        <f t="shared" si="34"/>
        <v>0.35599999999999998</v>
      </c>
      <c r="O45" s="645">
        <f t="shared" si="26"/>
        <v>0.35599999999999998</v>
      </c>
      <c r="P45" s="727">
        <v>90</v>
      </c>
      <c r="Q45" s="1476">
        <v>93.93</v>
      </c>
      <c r="R45" s="706">
        <v>4480.8</v>
      </c>
      <c r="S45" s="765">
        <f>IF((_xlfn.XLOOKUP(D45,RUC!$B$3:$B$119,RUC!$E$3:$E$119)+ROUNDDOWN(O45,1)*100)&lt;95,95,((_xlfn.XLOOKUP(D45,RUC!$B$3:$B$119,RUC!$E$3:$E$119)+ROUNDDOWN(O45,1)*100)))</f>
        <v>115</v>
      </c>
      <c r="U45" s="1146">
        <f>_xlfn.XLOOKUP(D45,RUC!$B$3:$B$123,RUC!$F$3:$F$123)</f>
        <v>120</v>
      </c>
      <c r="V45" s="715">
        <v>1.1023000000000001</v>
      </c>
      <c r="Y45">
        <f>_xlfn.XLOOKUP(D45,RUC!$B$3:$B$123,RUC!$G$3:$G$123)</f>
        <v>20</v>
      </c>
      <c r="Z45" s="143">
        <f>_xlfn.XLOOKUP(D45,RUC!$B$3:$B$123,RUC!$H$3:$H$123)</f>
        <v>30</v>
      </c>
      <c r="AA45" s="144">
        <f t="shared" ref="AA45:AA54" si="36">+Y45+Z45</f>
        <v>50</v>
      </c>
      <c r="AB45" s="145">
        <f t="shared" ref="AB45" si="37">+((O45*P45*(R45-U45)/100)-S45-AA45+T45)*V45</f>
        <v>1358.2544127360002</v>
      </c>
      <c r="AC45" s="145">
        <f>+(S45-T45)*V45-'data 1'!$F$4</f>
        <v>46.764500000000012</v>
      </c>
      <c r="AD45" s="145">
        <f t="shared" ref="AD45:AD54" si="38">+(Q45-P45)*(R45-U45)*L45*V45/100</f>
        <v>71.59747999384814</v>
      </c>
      <c r="AE45" s="145">
        <f t="shared" ref="AE45:AE54" si="39">+(Y45*V45-70)+V45*(Z45-IF(D45="UNTUCA",IF(+((W45-3)*2.5+(X45-3)*3.1)&gt;0,+((W45-3)*1.5+(X45-3)*3.1),0),IF(+((W45-3)*1.5+(X45-3)*3.1)&gt;0,+((W45-3)*1.5+(X45-3)*3.1),0)))</f>
        <v>-14.884999999999998</v>
      </c>
      <c r="AF45" s="145">
        <f t="shared" ref="AF45:AF54" si="40">(L45-O45)*(R45-U45)*Q45*V45/100</f>
        <v>103.84799949237612</v>
      </c>
      <c r="AG45" s="772">
        <f t="shared" ref="AG45" si="41">AC45+AD45+AE45+AF45+70</f>
        <v>277.32497948622427</v>
      </c>
      <c r="AH45" s="1253">
        <f t="shared" ref="AH45:AH54" si="42">ROUND((31.1035*L45*Q45*1.1023*K45/100),3)</f>
        <v>22.47</v>
      </c>
      <c r="AI45" s="1253">
        <f t="shared" ref="AI45:AI54" si="43">ROUND((31.1035*L45*1.1023*K45),3)</f>
        <v>23.922000000000001</v>
      </c>
      <c r="AJ45" s="156">
        <f t="shared" ref="AJ45:AJ54" si="44">+((+$AJ$2-R45+U45)*L45*Q45*V45)/100</f>
        <v>286.14752883505201</v>
      </c>
      <c r="AK45" s="156">
        <f t="shared" ref="AK45:AK54" si="45">31.1035*1.1023*K45*P45*O45/100</f>
        <v>20.223455567776021</v>
      </c>
      <c r="AM45" s="716">
        <f t="shared" ref="AM45:AM54" si="46">+IF(AB45*K45&gt;0,AB45*K45,0)</f>
        <v>2500.5463738469762</v>
      </c>
      <c r="AN45" s="716" t="str">
        <f>_xlfn.XLOOKUP(D45,RUC!$B$3:$B$578,RUC!$M$3:$M$578)</f>
        <v>Renzo</v>
      </c>
      <c r="AO45" s="1167" t="s">
        <v>2277</v>
      </c>
      <c r="AP45" t="s">
        <v>2795</v>
      </c>
      <c r="AQ45" t="s">
        <v>3196</v>
      </c>
    </row>
    <row r="46" spans="1:55" ht="15" customHeight="1">
      <c r="A46" s="1491" t="s">
        <v>4052</v>
      </c>
      <c r="B46" s="1541">
        <v>46025</v>
      </c>
      <c r="C46" s="1447">
        <v>46017</v>
      </c>
      <c r="D46" t="s">
        <v>1484</v>
      </c>
      <c r="E46" s="762">
        <f>_xlfn.XLOOKUP(D46,RUC!$B$3:$B$123,RUC!$D$3:$D$123)</f>
        <v>10761932735</v>
      </c>
      <c r="G46" s="1082">
        <v>34</v>
      </c>
      <c r="H46" s="762" t="s">
        <v>69</v>
      </c>
      <c r="I46" s="703">
        <v>2.9</v>
      </c>
      <c r="J46" s="596">
        <v>9.85</v>
      </c>
      <c r="K46" s="703">
        <f t="shared" si="35"/>
        <v>2.6139999999999999</v>
      </c>
      <c r="L46" s="1192">
        <v>3.5999999999999997E-2</v>
      </c>
      <c r="M46" s="994">
        <f t="shared" si="33"/>
        <v>1.7000000000000001E-2</v>
      </c>
      <c r="N46" s="1196">
        <f t="shared" si="34"/>
        <v>1.7000000000000001E-2</v>
      </c>
      <c r="O46" s="645">
        <f t="shared" si="26"/>
        <v>1.7000000000000001E-2</v>
      </c>
      <c r="P46" s="727">
        <v>90</v>
      </c>
      <c r="Q46" s="1476">
        <v>94.44</v>
      </c>
      <c r="R46" s="706">
        <v>4480.8</v>
      </c>
      <c r="S46" s="765">
        <f>IF((_xlfn.XLOOKUP(D46,RUC!$B$3:$B$119,RUC!$E$3:$E$119)+ROUNDDOWN(O46,1)*100)&lt;95,95,((_xlfn.XLOOKUP(D46,RUC!$B$3:$B$119,RUC!$E$3:$E$119)+ROUNDDOWN(O46,1)*100)))</f>
        <v>95</v>
      </c>
      <c r="U46" s="1146">
        <f>_xlfn.XLOOKUP(D46,RUC!$B$3:$B$123,RUC!$F$3:$F$123)</f>
        <v>120</v>
      </c>
      <c r="V46" s="715">
        <v>1.1023000000000001</v>
      </c>
      <c r="Y46">
        <f>_xlfn.XLOOKUP(D46,RUC!$B$3:$B$123,RUC!$G$3:$G$123)</f>
        <v>20</v>
      </c>
      <c r="Z46" s="143">
        <f>_xlfn.XLOOKUP(D46,RUC!$B$3:$B$123,RUC!$H$3:$H$123)</f>
        <v>30</v>
      </c>
      <c r="AA46" s="144">
        <f t="shared" si="36"/>
        <v>50</v>
      </c>
      <c r="AB46" s="145">
        <v>0</v>
      </c>
      <c r="AC46" s="145">
        <f>+(S46-T46)*V46-'data 1'!$F$4</f>
        <v>24.718500000000006</v>
      </c>
      <c r="AD46" s="145">
        <f t="shared" si="38"/>
        <v>7.6833646882559954</v>
      </c>
      <c r="AE46" s="145">
        <f t="shared" si="39"/>
        <v>-14.884999999999998</v>
      </c>
      <c r="AF46" s="145">
        <f t="shared" si="40"/>
        <v>86.253267405023976</v>
      </c>
      <c r="AG46" s="772">
        <f t="shared" ref="AG46:AG50" si="47">AC46+AD46+AE46+AF46+70-53</f>
        <v>120.77013209327998</v>
      </c>
      <c r="AH46" s="1253">
        <f t="shared" si="42"/>
        <v>3.0470000000000002</v>
      </c>
      <c r="AI46" s="1253">
        <f t="shared" si="43"/>
        <v>3.226</v>
      </c>
      <c r="AJ46" s="156">
        <f t="shared" si="44"/>
        <v>27.327817364543993</v>
      </c>
      <c r="AK46" s="156">
        <f t="shared" si="45"/>
        <v>1.37121666674931</v>
      </c>
      <c r="AM46" s="716">
        <f t="shared" si="46"/>
        <v>0</v>
      </c>
      <c r="AN46" s="716" t="str">
        <f>_xlfn.XLOOKUP(D46,RUC!$B$3:$B$578,RUC!$M$3:$M$578)</f>
        <v>Richard Sapacayo</v>
      </c>
      <c r="AO46" s="1167" t="s">
        <v>2280</v>
      </c>
      <c r="AP46" t="s">
        <v>4091</v>
      </c>
      <c r="AQ46" t="s">
        <v>4092</v>
      </c>
    </row>
    <row r="47" spans="1:55" ht="15" customHeight="1">
      <c r="A47" s="747" t="s">
        <v>4053</v>
      </c>
      <c r="B47" s="1447">
        <v>46025</v>
      </c>
      <c r="C47" s="1447">
        <v>46017</v>
      </c>
      <c r="D47" t="s">
        <v>1484</v>
      </c>
      <c r="E47" s="762">
        <f>_xlfn.XLOOKUP(D47,RUC!$B$3:$B$123,RUC!$D$3:$D$123)</f>
        <v>10761932735</v>
      </c>
      <c r="G47" s="1082">
        <v>57</v>
      </c>
      <c r="H47" s="762" t="s">
        <v>69</v>
      </c>
      <c r="I47" s="703">
        <v>4.9400000000000004</v>
      </c>
      <c r="J47" s="596">
        <v>11.3</v>
      </c>
      <c r="K47" s="703">
        <f t="shared" si="35"/>
        <v>4.3819999999999997</v>
      </c>
      <c r="L47" s="1192">
        <v>0.28699999999999998</v>
      </c>
      <c r="M47" s="994">
        <f t="shared" si="33"/>
        <v>0.26800000000000002</v>
      </c>
      <c r="N47" s="1196">
        <f t="shared" si="34"/>
        <v>0.26800000000000002</v>
      </c>
      <c r="O47" s="645">
        <f t="shared" si="26"/>
        <v>0.26800000000000002</v>
      </c>
      <c r="P47" s="727">
        <v>90</v>
      </c>
      <c r="Q47" s="1476">
        <v>97.91</v>
      </c>
      <c r="R47" s="706">
        <v>4480.8</v>
      </c>
      <c r="S47" s="765">
        <f>IF((_xlfn.XLOOKUP(D47,RUC!$B$3:$B$119,RUC!$E$3:$E$119)+ROUNDDOWN(O47,1)*100)&lt;95,95,((_xlfn.XLOOKUP(D47,RUC!$B$3:$B$119,RUC!$E$3:$E$119)+ROUNDDOWN(O47,1)*100)))</f>
        <v>110</v>
      </c>
      <c r="U47" s="1146">
        <f>_xlfn.XLOOKUP(D47,RUC!$B$3:$B$123,RUC!$F$3:$F$123)</f>
        <v>120</v>
      </c>
      <c r="V47" s="715">
        <v>1.1023000000000001</v>
      </c>
      <c r="Y47">
        <f>_xlfn.XLOOKUP(D47,RUC!$B$3:$B$123,RUC!$G$3:$G$123)</f>
        <v>20</v>
      </c>
      <c r="Z47" s="143">
        <f>_xlfn.XLOOKUP(D47,RUC!$B$3:$B$123,RUC!$H$3:$H$123)</f>
        <v>30</v>
      </c>
      <c r="AA47" s="144">
        <f t="shared" si="36"/>
        <v>50</v>
      </c>
      <c r="AB47" s="145">
        <f t="shared" ref="AB47:AB50" si="48">+((O47*P47*(R47-U47)/100)-S47-AA47+T47)*V47</f>
        <v>983.05865340800017</v>
      </c>
      <c r="AC47" s="145">
        <f>+(S47-T47)*V47-'data 1'!$F$4</f>
        <v>41.253</v>
      </c>
      <c r="AD47" s="145">
        <f t="shared" si="38"/>
        <v>109.12502511472796</v>
      </c>
      <c r="AE47" s="145">
        <f t="shared" si="39"/>
        <v>-14.884999999999998</v>
      </c>
      <c r="AF47" s="145">
        <f t="shared" si="40"/>
        <v>89.422463062535826</v>
      </c>
      <c r="AG47" s="772">
        <f t="shared" si="47"/>
        <v>241.9154881772638</v>
      </c>
      <c r="AH47" s="1253">
        <f t="shared" si="42"/>
        <v>42.216999999999999</v>
      </c>
      <c r="AI47" s="1253">
        <f t="shared" si="43"/>
        <v>43.118000000000002</v>
      </c>
      <c r="AJ47" s="156">
        <f t="shared" si="44"/>
        <v>225.86836841517194</v>
      </c>
      <c r="AK47" s="156">
        <f t="shared" si="45"/>
        <v>36.23754318894612</v>
      </c>
      <c r="AM47" s="716">
        <f t="shared" si="46"/>
        <v>4307.7630192338565</v>
      </c>
      <c r="AN47" s="716" t="str">
        <f>_xlfn.XLOOKUP(D47,RUC!$B$3:$B$578,RUC!$M$3:$M$578)</f>
        <v>Richard Sapacayo</v>
      </c>
      <c r="AO47" s="1167" t="s">
        <v>2277</v>
      </c>
      <c r="AP47" t="s">
        <v>4091</v>
      </c>
      <c r="AQ47" t="s">
        <v>4092</v>
      </c>
    </row>
    <row r="48" spans="1:55" ht="15" customHeight="1">
      <c r="A48" s="747" t="s">
        <v>4054</v>
      </c>
      <c r="B48" s="1447">
        <v>46025</v>
      </c>
      <c r="C48" s="1447">
        <v>46017</v>
      </c>
      <c r="D48" t="s">
        <v>1484</v>
      </c>
      <c r="E48" s="762">
        <f>_xlfn.XLOOKUP(D48,RUC!$B$3:$B$123,RUC!$D$3:$D$123)</f>
        <v>10761932735</v>
      </c>
      <c r="G48" s="1082">
        <v>182</v>
      </c>
      <c r="H48" s="762" t="s">
        <v>69</v>
      </c>
      <c r="I48" s="703">
        <v>15.99</v>
      </c>
      <c r="J48" s="596">
        <v>10.199999999999999</v>
      </c>
      <c r="K48" s="703">
        <f t="shared" si="35"/>
        <v>14.359</v>
      </c>
      <c r="L48" s="1192">
        <v>0.253</v>
      </c>
      <c r="M48" s="994">
        <f t="shared" si="33"/>
        <v>0.23400000000000001</v>
      </c>
      <c r="N48" s="1444">
        <v>0.28999999999999998</v>
      </c>
      <c r="O48" s="645">
        <f t="shared" si="26"/>
        <v>0.26200000000000001</v>
      </c>
      <c r="P48" s="727">
        <v>90</v>
      </c>
      <c r="Q48" s="1476">
        <v>96.05</v>
      </c>
      <c r="R48" s="706">
        <v>4480.8</v>
      </c>
      <c r="S48" s="765">
        <f>IF((_xlfn.XLOOKUP(D48,RUC!$B$3:$B$119,RUC!$E$3:$E$119)+ROUNDDOWN(O48,1)*100)&lt;95,95,((_xlfn.XLOOKUP(D48,RUC!$B$3:$B$119,RUC!$E$3:$E$119)+ROUNDDOWN(O48,1)*100)))</f>
        <v>110</v>
      </c>
      <c r="U48" s="1146">
        <f>_xlfn.XLOOKUP(D48,RUC!$B$3:$B$123,RUC!$F$3:$F$123)</f>
        <v>120</v>
      </c>
      <c r="V48" s="715">
        <v>1.1023000000000001</v>
      </c>
      <c r="Y48">
        <f>_xlfn.XLOOKUP(D48,RUC!$B$3:$B$123,RUC!$G$3:$G$123)</f>
        <v>20</v>
      </c>
      <c r="Z48" s="143">
        <f>_xlfn.XLOOKUP(D48,RUC!$B$3:$B$123,RUC!$H$3:$H$123)</f>
        <v>30</v>
      </c>
      <c r="AA48" s="144">
        <f t="shared" si="36"/>
        <v>50</v>
      </c>
      <c r="AB48" s="145">
        <f t="shared" si="48"/>
        <v>957.10134027200036</v>
      </c>
      <c r="AC48" s="145">
        <f>+(S48-T48)*V48-'data 1'!$F$4</f>
        <v>41.253</v>
      </c>
      <c r="AD48" s="145">
        <f t="shared" si="38"/>
        <v>73.576965465959972</v>
      </c>
      <c r="AE48" s="145">
        <f t="shared" si="39"/>
        <v>-14.884999999999998</v>
      </c>
      <c r="AF48" s="145">
        <f t="shared" si="40"/>
        <v>-41.553332111880039</v>
      </c>
      <c r="AG48" s="772">
        <f t="shared" si="47"/>
        <v>75.391633354079943</v>
      </c>
      <c r="AH48" s="1253">
        <f t="shared" si="42"/>
        <v>119.633</v>
      </c>
      <c r="AI48" s="1253">
        <f t="shared" si="43"/>
        <v>124.553</v>
      </c>
      <c r="AJ48" s="156">
        <f t="shared" si="44"/>
        <v>195.32793456153999</v>
      </c>
      <c r="AK48" s="156">
        <f t="shared" si="45"/>
        <v>116.08525655694622</v>
      </c>
      <c r="AM48" s="716">
        <f t="shared" si="46"/>
        <v>13743.018144965654</v>
      </c>
      <c r="AN48" s="716" t="str">
        <f>_xlfn.XLOOKUP(D48,RUC!$B$3:$B$578,RUC!$M$3:$M$578)</f>
        <v>Richard Sapacayo</v>
      </c>
      <c r="AO48" s="1167" t="s">
        <v>2277</v>
      </c>
      <c r="AP48" t="s">
        <v>4091</v>
      </c>
      <c r="AQ48" t="s">
        <v>4092</v>
      </c>
    </row>
    <row r="49" spans="1:44" ht="15" customHeight="1">
      <c r="A49" s="747" t="s">
        <v>4059</v>
      </c>
      <c r="B49" s="1447">
        <v>46030</v>
      </c>
      <c r="C49" s="1447">
        <v>46017</v>
      </c>
      <c r="D49" t="s">
        <v>2444</v>
      </c>
      <c r="E49" s="762">
        <f>_xlfn.XLOOKUP(D49,RUC!$B$3:$B$123,RUC!$D$3:$D$123)</f>
        <v>20608774000</v>
      </c>
      <c r="G49" s="1082">
        <v>51</v>
      </c>
      <c r="H49" s="762" t="s">
        <v>69</v>
      </c>
      <c r="I49" s="703">
        <v>4.9000000000000004</v>
      </c>
      <c r="J49" s="596">
        <v>1.25</v>
      </c>
      <c r="K49" s="703">
        <f t="shared" si="35"/>
        <v>4.8390000000000004</v>
      </c>
      <c r="L49" s="1192">
        <v>0.42299999999999999</v>
      </c>
      <c r="M49" s="994">
        <f t="shared" si="33"/>
        <v>0.39800000000000002</v>
      </c>
      <c r="N49" s="1196">
        <f t="shared" ref="N49:N50" si="49">+M49</f>
        <v>0.39800000000000002</v>
      </c>
      <c r="O49" s="645">
        <f t="shared" ref="O49:O54" si="50">+ROUND((M49+N49)/2,3)</f>
        <v>0.39800000000000002</v>
      </c>
      <c r="P49" s="727">
        <v>90</v>
      </c>
      <c r="Q49" s="1476">
        <v>91.98</v>
      </c>
      <c r="R49" s="706">
        <v>4480.8</v>
      </c>
      <c r="S49" s="765">
        <f>IF((_xlfn.XLOOKUP(D49,RUC!$B$3:$B$119,RUC!$E$3:$E$119)+ROUNDDOWN(O49,1)*100)&lt;95,95,((_xlfn.XLOOKUP(D49,RUC!$B$3:$B$119,RUC!$E$3:$E$119)+ROUNDDOWN(O49,1)*100)))</f>
        <v>115</v>
      </c>
      <c r="U49" s="1146">
        <f>_xlfn.XLOOKUP(D49,RUC!$B$3:$B$123,RUC!$F$3:$F$123)</f>
        <v>120</v>
      </c>
      <c r="V49" s="715">
        <v>1.1023000000000001</v>
      </c>
      <c r="Y49" s="1445">
        <v>25</v>
      </c>
      <c r="Z49" s="1454">
        <v>35</v>
      </c>
      <c r="AA49" s="144">
        <f t="shared" si="36"/>
        <v>60</v>
      </c>
      <c r="AB49" s="145">
        <f t="shared" si="48"/>
        <v>1528.9326046880001</v>
      </c>
      <c r="AC49" s="145">
        <f>+(S49-T49)*V49-'data 1'!$F$4</f>
        <v>46.764500000000012</v>
      </c>
      <c r="AD49" s="145">
        <f t="shared" si="38"/>
        <v>40.259792673936083</v>
      </c>
      <c r="AE49" s="145">
        <f t="shared" si="39"/>
        <v>-3.8619999999999948</v>
      </c>
      <c r="AF49" s="145">
        <f t="shared" si="40"/>
        <v>110.53489177079986</v>
      </c>
      <c r="AG49" s="772">
        <f t="shared" si="47"/>
        <v>210.69718444473597</v>
      </c>
      <c r="AH49" s="1253">
        <f t="shared" si="42"/>
        <v>64.55</v>
      </c>
      <c r="AI49" s="1253">
        <f t="shared" si="43"/>
        <v>70.179000000000002</v>
      </c>
      <c r="AJ49" s="156">
        <f t="shared" si="44"/>
        <v>312.73770154586396</v>
      </c>
      <c r="AK49" s="156">
        <f t="shared" si="45"/>
        <v>59.4278848116289</v>
      </c>
      <c r="AM49" s="716">
        <f t="shared" si="46"/>
        <v>7398.5048740852326</v>
      </c>
      <c r="AN49" s="716" t="str">
        <f>_xlfn.XLOOKUP(D49,RUC!$B$3:$B$578,RUC!$M$3:$M$578)</f>
        <v>Ronald Miranda</v>
      </c>
      <c r="AO49" s="1167" t="s">
        <v>2280</v>
      </c>
      <c r="AP49" t="s">
        <v>4095</v>
      </c>
      <c r="AQ49" t="s">
        <v>4096</v>
      </c>
    </row>
    <row r="50" spans="1:44" ht="15" customHeight="1">
      <c r="A50" s="747" t="s">
        <v>4062</v>
      </c>
      <c r="B50" s="1447">
        <v>46027</v>
      </c>
      <c r="C50" s="1447">
        <v>46017</v>
      </c>
      <c r="D50" t="s">
        <v>2444</v>
      </c>
      <c r="E50" s="762">
        <f>_xlfn.XLOOKUP(D50,RUC!$B$3:$B$123,RUC!$D$3:$D$123)</f>
        <v>20608774000</v>
      </c>
      <c r="G50" s="1082">
        <v>15</v>
      </c>
      <c r="H50" s="762" t="s">
        <v>69</v>
      </c>
      <c r="I50" s="703">
        <v>1.46</v>
      </c>
      <c r="J50" s="596">
        <v>1.5</v>
      </c>
      <c r="K50" s="703">
        <f t="shared" si="35"/>
        <v>1.4379999999999999</v>
      </c>
      <c r="L50" s="1192">
        <v>0.29899999999999999</v>
      </c>
      <c r="M50" s="994">
        <f t="shared" si="33"/>
        <v>0.28000000000000003</v>
      </c>
      <c r="N50" s="1196">
        <f t="shared" si="49"/>
        <v>0.28000000000000003</v>
      </c>
      <c r="O50" s="645">
        <f t="shared" si="50"/>
        <v>0.28000000000000003</v>
      </c>
      <c r="P50" s="727">
        <v>90</v>
      </c>
      <c r="Q50" s="1476">
        <v>94.65</v>
      </c>
      <c r="R50" s="706">
        <v>4480.8</v>
      </c>
      <c r="S50" s="765">
        <f>IF((_xlfn.XLOOKUP(D50,RUC!$B$3:$B$119,RUC!$E$3:$E$119)+ROUNDDOWN(O50,1)*100)&lt;95,95,((_xlfn.XLOOKUP(D50,RUC!$B$3:$B$119,RUC!$E$3:$E$119)+ROUNDDOWN(O50,1)*100)))</f>
        <v>105</v>
      </c>
      <c r="U50" s="1146">
        <f>_xlfn.XLOOKUP(D50,RUC!$B$3:$B$123,RUC!$F$3:$F$123)</f>
        <v>120</v>
      </c>
      <c r="V50" s="715">
        <v>1.1023000000000001</v>
      </c>
      <c r="Y50" s="1445">
        <v>25</v>
      </c>
      <c r="Z50" s="1454">
        <v>35</v>
      </c>
      <c r="AA50" s="144">
        <f t="shared" si="36"/>
        <v>60</v>
      </c>
      <c r="AB50" s="145">
        <f t="shared" si="48"/>
        <v>1029.4617796800003</v>
      </c>
      <c r="AC50" s="145">
        <f>+(S50-T50)*V50-'data 1'!$F$4</f>
        <v>35.741500000000002</v>
      </c>
      <c r="AD50" s="145">
        <f t="shared" si="38"/>
        <v>66.83287096044009</v>
      </c>
      <c r="AE50" s="145">
        <f t="shared" si="39"/>
        <v>-3.8619999999999948</v>
      </c>
      <c r="AF50" s="145">
        <f t="shared" si="40"/>
        <v>86.445063107639839</v>
      </c>
      <c r="AG50" s="772">
        <f t="shared" si="47"/>
        <v>202.15743406807994</v>
      </c>
      <c r="AH50" s="1253">
        <f t="shared" si="42"/>
        <v>13.952999999999999</v>
      </c>
      <c r="AI50" s="1253">
        <f t="shared" si="43"/>
        <v>14.741</v>
      </c>
      <c r="AJ50" s="156">
        <f t="shared" si="44"/>
        <v>227.47740957005996</v>
      </c>
      <c r="AK50" s="156">
        <f t="shared" si="45"/>
        <v>12.424201780006802</v>
      </c>
      <c r="AM50" s="716">
        <f t="shared" si="46"/>
        <v>1480.3660391798403</v>
      </c>
      <c r="AN50" s="716" t="str">
        <f>_xlfn.XLOOKUP(D50,RUC!$B$3:$B$578,RUC!$M$3:$M$578)</f>
        <v>Ronald Miranda</v>
      </c>
      <c r="AO50" s="1167" t="s">
        <v>2277</v>
      </c>
      <c r="AP50" t="s">
        <v>4095</v>
      </c>
      <c r="AQ50" t="s">
        <v>4096</v>
      </c>
    </row>
    <row r="51" spans="1:44" ht="15" customHeight="1">
      <c r="A51" s="747" t="s">
        <v>4115</v>
      </c>
      <c r="B51" s="1447">
        <v>46025</v>
      </c>
      <c r="C51" s="1447">
        <v>46020</v>
      </c>
      <c r="D51" s="1589" t="s">
        <v>4171</v>
      </c>
      <c r="E51" s="762">
        <f>_xlfn.XLOOKUP(D51,RUC!$B$3:$B$123,RUC!$D$3:$D$123)</f>
        <v>20614284740</v>
      </c>
      <c r="G51" s="1082">
        <v>41</v>
      </c>
      <c r="H51" s="762" t="s">
        <v>69</v>
      </c>
      <c r="I51" s="703">
        <v>3.8</v>
      </c>
      <c r="J51" s="596">
        <v>1.2</v>
      </c>
      <c r="K51" s="703">
        <f t="shared" si="35"/>
        <v>3.754</v>
      </c>
      <c r="L51" s="1192">
        <v>0.23799999999999999</v>
      </c>
      <c r="M51" s="994">
        <f t="shared" si="33"/>
        <v>0.219</v>
      </c>
      <c r="N51" s="1444">
        <v>0.309</v>
      </c>
      <c r="O51" s="645">
        <f t="shared" si="50"/>
        <v>0.26400000000000001</v>
      </c>
      <c r="P51" s="727">
        <v>90</v>
      </c>
      <c r="Q51" s="1476">
        <v>90.76</v>
      </c>
      <c r="R51" s="706">
        <v>4337.05</v>
      </c>
      <c r="S51" s="765">
        <f>IF((_xlfn.XLOOKUP(D51,RUC!$B$3:$B$119,RUC!$E$3:$E$119)+ROUNDDOWN(O51,1)*100)&lt;95,95,((_xlfn.XLOOKUP(D51,RUC!$B$3:$B$119,RUC!$E$3:$E$119)+ROUNDDOWN(O51,1)*100)))</f>
        <v>110</v>
      </c>
      <c r="U51" s="1146">
        <f>_xlfn.XLOOKUP(D51,RUC!$B$3:$B$123,RUC!$F$3:$F$123)</f>
        <v>120</v>
      </c>
      <c r="V51" s="715">
        <v>1.1023000000000001</v>
      </c>
      <c r="Y51" s="1445">
        <v>40</v>
      </c>
      <c r="Z51" s="143">
        <f>_xlfn.XLOOKUP(D51,RUC!$B$3:$B$123,RUC!$H$3:$H$123)</f>
        <v>30</v>
      </c>
      <c r="AA51" s="144">
        <f t="shared" si="36"/>
        <v>70</v>
      </c>
      <c r="AB51" s="145">
        <f t="shared" ref="AB51:AB54" si="51">+((O51*P51*(R51-U51)/100)-S51-AA51+T51)*V51</f>
        <v>906.0587214840001</v>
      </c>
      <c r="AC51" s="145">
        <f>+(S51-T51)*V51-'data 1'!$F$4</f>
        <v>41.253</v>
      </c>
      <c r="AD51" s="145">
        <f t="shared" si="38"/>
        <v>8.4081239840920574</v>
      </c>
      <c r="AE51" s="145">
        <f t="shared" si="39"/>
        <v>7.1610000000000014</v>
      </c>
      <c r="AF51" s="145">
        <f t="shared" si="40"/>
        <v>-109.69236318388411</v>
      </c>
      <c r="AG51" s="772">
        <f t="shared" ref="AG51" si="52">AC51+AD51+AE51+AF51+70</f>
        <v>17.129760800207947</v>
      </c>
      <c r="AH51" s="1253">
        <f t="shared" si="42"/>
        <v>27.802</v>
      </c>
      <c r="AI51" s="1253">
        <f t="shared" si="43"/>
        <v>30.632000000000001</v>
      </c>
      <c r="AJ51" s="156">
        <f t="shared" si="44"/>
        <v>207.85506938450794</v>
      </c>
      <c r="AK51" s="156">
        <f t="shared" si="45"/>
        <v>30.580865585352722</v>
      </c>
      <c r="AM51" s="716">
        <f t="shared" si="46"/>
        <v>3401.3444404509364</v>
      </c>
      <c r="AN51" s="716" t="str">
        <f>_xlfn.XLOOKUP(D51,RUC!$B$3:$B$578,RUC!$M$3:$M$578)</f>
        <v xml:space="preserve">Dante </v>
      </c>
      <c r="AO51" s="1167" t="s">
        <v>2280</v>
      </c>
      <c r="AP51" t="s">
        <v>4149</v>
      </c>
      <c r="AQ51" t="s">
        <v>4150</v>
      </c>
    </row>
    <row r="52" spans="1:44" ht="15" customHeight="1">
      <c r="A52" s="747" t="s">
        <v>4116</v>
      </c>
      <c r="B52" s="1447">
        <v>46027</v>
      </c>
      <c r="C52" s="1447">
        <v>46021</v>
      </c>
      <c r="D52" t="s">
        <v>1484</v>
      </c>
      <c r="E52" s="762">
        <f>_xlfn.XLOOKUP(D52,RUC!$B$3:$B$123,RUC!$D$3:$D$123)</f>
        <v>10761932735</v>
      </c>
      <c r="G52" s="1082">
        <v>120</v>
      </c>
      <c r="H52" s="762" t="s">
        <v>69</v>
      </c>
      <c r="I52" s="703">
        <v>10.93</v>
      </c>
      <c r="J52" s="596">
        <v>3.7</v>
      </c>
      <c r="K52" s="703">
        <f t="shared" si="35"/>
        <v>10.526</v>
      </c>
      <c r="L52" s="1592">
        <v>0.20399999999999999</v>
      </c>
      <c r="M52" s="994">
        <f t="shared" si="33"/>
        <v>0.185</v>
      </c>
      <c r="N52" s="1196">
        <f t="shared" ref="N52" si="53">+M52</f>
        <v>0.185</v>
      </c>
      <c r="O52" s="645">
        <f t="shared" si="50"/>
        <v>0.185</v>
      </c>
      <c r="P52" s="727">
        <v>90</v>
      </c>
      <c r="Q52" s="1476">
        <v>96.57</v>
      </c>
      <c r="R52" s="706">
        <v>4367.8</v>
      </c>
      <c r="S52" s="765">
        <f>IF((_xlfn.XLOOKUP(D52,RUC!$B$3:$B$119,RUC!$E$3:$E$119)+ROUNDDOWN(O52,1)*100)&lt;95,95,((_xlfn.XLOOKUP(D52,RUC!$B$3:$B$119,RUC!$E$3:$E$119)+ROUNDDOWN(O52,1)*100)))</f>
        <v>100</v>
      </c>
      <c r="U52" s="1146">
        <f>_xlfn.XLOOKUP(D52,RUC!$B$3:$B$123,RUC!$F$3:$F$123)</f>
        <v>120</v>
      </c>
      <c r="V52" s="715">
        <v>1.1023000000000001</v>
      </c>
      <c r="Y52">
        <f>_xlfn.XLOOKUP(D52,RUC!$B$3:$B$123,RUC!$G$3:$G$123)</f>
        <v>20</v>
      </c>
      <c r="Z52" s="143">
        <f>_xlfn.XLOOKUP(D52,RUC!$B$3:$B$123,RUC!$H$3:$H$123)</f>
        <v>30</v>
      </c>
      <c r="AA52" s="144">
        <f t="shared" si="36"/>
        <v>50</v>
      </c>
      <c r="AB52" s="145">
        <f t="shared" si="51"/>
        <v>614.26626500999998</v>
      </c>
      <c r="AC52" s="145">
        <f>+(S52-T52)*V52-'data 1'!$F$4</f>
        <v>30.230000000000004</v>
      </c>
      <c r="AD52" s="145">
        <f t="shared" si="38"/>
        <v>62.756599775831944</v>
      </c>
      <c r="AE52" s="145">
        <f t="shared" si="39"/>
        <v>-14.884999999999998</v>
      </c>
      <c r="AF52" s="145">
        <f t="shared" si="40"/>
        <v>85.913161404101956</v>
      </c>
      <c r="AG52" s="772">
        <f>AC52+AD52+AE52+AF52+70-53</f>
        <v>181.01476117993388</v>
      </c>
      <c r="AH52" s="1253">
        <f t="shared" si="42"/>
        <v>71.096000000000004</v>
      </c>
      <c r="AI52" s="1253">
        <f t="shared" si="43"/>
        <v>73.620999999999995</v>
      </c>
      <c r="AJ52" s="156">
        <f t="shared" si="44"/>
        <v>182.88894021976796</v>
      </c>
      <c r="AK52" s="156">
        <f t="shared" si="45"/>
        <v>60.087851103280954</v>
      </c>
      <c r="AM52" s="716">
        <f t="shared" si="46"/>
        <v>6465.7667054952599</v>
      </c>
      <c r="AN52" s="716" t="str">
        <f>_xlfn.XLOOKUP(D52,RUC!$B$3:$B$578,RUC!$M$3:$M$578)</f>
        <v>Richard Sapacayo</v>
      </c>
      <c r="AO52" s="1167" t="s">
        <v>2277</v>
      </c>
      <c r="AP52" t="s">
        <v>4151</v>
      </c>
      <c r="AQ52" t="s">
        <v>2760</v>
      </c>
    </row>
    <row r="53" spans="1:44" ht="15" customHeight="1">
      <c r="A53" s="747" t="s">
        <v>4118</v>
      </c>
      <c r="B53" s="1447">
        <v>46030</v>
      </c>
      <c r="C53" s="1447">
        <v>46021</v>
      </c>
      <c r="D53" t="s">
        <v>1484</v>
      </c>
      <c r="E53" s="762">
        <f>_xlfn.XLOOKUP(D53,RUC!$B$3:$B$123,RUC!$D$3:$D$123)</f>
        <v>10761932735</v>
      </c>
      <c r="G53" s="1082" t="s">
        <v>2985</v>
      </c>
      <c r="H53" s="762" t="s">
        <v>69</v>
      </c>
      <c r="I53" s="703">
        <v>44.09</v>
      </c>
      <c r="J53" s="596">
        <v>4.3499999999999996</v>
      </c>
      <c r="K53" s="703">
        <f t="shared" si="35"/>
        <v>42.171999999999997</v>
      </c>
      <c r="L53" s="1192">
        <v>0.125</v>
      </c>
      <c r="M53" s="994">
        <f t="shared" si="33"/>
        <v>0.106</v>
      </c>
      <c r="N53" s="1444">
        <v>0.16500000000000001</v>
      </c>
      <c r="O53" s="645">
        <f t="shared" si="50"/>
        <v>0.13600000000000001</v>
      </c>
      <c r="P53" s="727">
        <v>85</v>
      </c>
      <c r="Q53" s="1476">
        <v>96.8</v>
      </c>
      <c r="R53" s="706">
        <v>4367.8</v>
      </c>
      <c r="S53" s="765">
        <f>IF((_xlfn.XLOOKUP(D53,RUC!$B$3:$B$119,RUC!$E$3:$E$119)+ROUNDDOWN(O53,1)*100)&lt;95,95,((_xlfn.XLOOKUP(D53,RUC!$B$3:$B$119,RUC!$E$3:$E$119)+ROUNDDOWN(O53,1)*100)))</f>
        <v>100</v>
      </c>
      <c r="U53" s="1146">
        <f>_xlfn.XLOOKUP(D53,RUC!$B$3:$B$123,RUC!$F$3:$F$123)</f>
        <v>120</v>
      </c>
      <c r="V53" s="715">
        <v>1.1023000000000001</v>
      </c>
      <c r="Y53" s="1445">
        <v>40</v>
      </c>
      <c r="Z53" s="143">
        <f>_xlfn.XLOOKUP(D53,RUC!$B$3:$B$123,RUC!$H$3:$H$123)</f>
        <v>30</v>
      </c>
      <c r="AA53" s="144">
        <f t="shared" si="36"/>
        <v>70</v>
      </c>
      <c r="AB53" s="145">
        <f t="shared" si="51"/>
        <v>353.8886530640001</v>
      </c>
      <c r="AC53" s="145">
        <f>+(S53-T53)*V53-'data 1'!$F$4</f>
        <v>30.230000000000004</v>
      </c>
      <c r="AD53" s="145">
        <f t="shared" si="38"/>
        <v>69.064661614999991</v>
      </c>
      <c r="AE53" s="145">
        <f t="shared" si="39"/>
        <v>7.1610000000000014</v>
      </c>
      <c r="AF53" s="145">
        <f t="shared" si="40"/>
        <v>-49.857662161120054</v>
      </c>
      <c r="AG53" s="772">
        <f t="shared" ref="AG53:AG54" si="54">AC53+AD53+AE53+AF53+70-53</f>
        <v>73.597999453879936</v>
      </c>
      <c r="AH53" s="1253">
        <f t="shared" si="42"/>
        <v>174.952</v>
      </c>
      <c r="AI53" s="1253">
        <f t="shared" si="43"/>
        <v>180.73500000000001</v>
      </c>
      <c r="AJ53" s="156">
        <f t="shared" si="44"/>
        <v>112.33120425999998</v>
      </c>
      <c r="AK53" s="156">
        <f t="shared" si="45"/>
        <v>167.14411928803577</v>
      </c>
      <c r="AM53" s="716">
        <f t="shared" si="46"/>
        <v>14924.19227701501</v>
      </c>
      <c r="AN53" s="716" t="str">
        <f>_xlfn.XLOOKUP(D53,RUC!$B$3:$B$578,RUC!$M$3:$M$578)</f>
        <v>Richard Sapacayo</v>
      </c>
      <c r="AO53" s="1167" t="s">
        <v>2278</v>
      </c>
      <c r="AP53" t="s">
        <v>4152</v>
      </c>
      <c r="AQ53" t="s">
        <v>4153</v>
      </c>
    </row>
    <row r="54" spans="1:44" ht="15" customHeight="1">
      <c r="A54" s="747" t="s">
        <v>4119</v>
      </c>
      <c r="B54" s="1447">
        <v>46030</v>
      </c>
      <c r="C54" s="1447">
        <v>46021</v>
      </c>
      <c r="D54" t="s">
        <v>1484</v>
      </c>
      <c r="E54" s="762">
        <f>_xlfn.XLOOKUP(D54,RUC!$B$3:$B$123,RUC!$D$3:$D$123)</f>
        <v>10761932735</v>
      </c>
      <c r="G54" s="1082" t="s">
        <v>2985</v>
      </c>
      <c r="H54" s="762" t="s">
        <v>69</v>
      </c>
      <c r="I54" s="703">
        <v>40.53</v>
      </c>
      <c r="J54" s="596">
        <v>4.5999999999999996</v>
      </c>
      <c r="K54" s="703">
        <f t="shared" si="35"/>
        <v>38.665999999999997</v>
      </c>
      <c r="L54" s="1192">
        <v>0.122</v>
      </c>
      <c r="M54" s="994">
        <f t="shared" si="33"/>
        <v>0.10299999999999999</v>
      </c>
      <c r="N54" s="1444">
        <v>0.183</v>
      </c>
      <c r="O54" s="645">
        <f t="shared" si="50"/>
        <v>0.14299999999999999</v>
      </c>
      <c r="P54" s="727">
        <v>85</v>
      </c>
      <c r="Q54" s="1476">
        <v>95.08</v>
      </c>
      <c r="R54" s="706">
        <v>4367.8</v>
      </c>
      <c r="S54" s="765">
        <f>IF((_xlfn.XLOOKUP(D54,RUC!$B$3:$B$119,RUC!$E$3:$E$119)+ROUNDDOWN(O54,1)*100)&lt;95,95,((_xlfn.XLOOKUP(D54,RUC!$B$3:$B$119,RUC!$E$3:$E$119)+ROUNDDOWN(O54,1)*100)))</f>
        <v>100</v>
      </c>
      <c r="U54" s="1146">
        <f>_xlfn.XLOOKUP(D54,RUC!$B$3:$B$123,RUC!$F$3:$F$123)</f>
        <v>120</v>
      </c>
      <c r="V54" s="715">
        <v>1.1023000000000001</v>
      </c>
      <c r="Y54" s="1445">
        <v>40</v>
      </c>
      <c r="Z54" s="143">
        <f>_xlfn.XLOOKUP(D54,RUC!$B$3:$B$123,RUC!$H$3:$H$123)</f>
        <v>30</v>
      </c>
      <c r="AA54" s="144">
        <f t="shared" si="36"/>
        <v>70</v>
      </c>
      <c r="AB54" s="145">
        <f t="shared" si="51"/>
        <v>381.74863520699995</v>
      </c>
      <c r="AC54" s="145">
        <f>+(S54-T54)*V54-'data 1'!$F$4</f>
        <v>30.230000000000004</v>
      </c>
      <c r="AD54" s="145">
        <f t="shared" si="38"/>
        <v>57.581666622143992</v>
      </c>
      <c r="AE54" s="145">
        <f t="shared" si="39"/>
        <v>7.1610000000000014</v>
      </c>
      <c r="AF54" s="145">
        <f t="shared" si="40"/>
        <v>-93.491544781991962</v>
      </c>
      <c r="AG54" s="772">
        <f t="shared" si="54"/>
        <v>18.481121840152042</v>
      </c>
      <c r="AH54" s="1253">
        <f t="shared" si="42"/>
        <v>153.77600000000001</v>
      </c>
      <c r="AI54" s="1253">
        <f t="shared" si="43"/>
        <v>161.733</v>
      </c>
      <c r="AJ54" s="156">
        <f t="shared" si="44"/>
        <v>107.68719090305598</v>
      </c>
      <c r="AK54" s="156">
        <f t="shared" si="45"/>
        <v>161.13625988318501</v>
      </c>
      <c r="AM54" s="716">
        <f t="shared" si="46"/>
        <v>14760.692728913858</v>
      </c>
      <c r="AN54" s="716" t="str">
        <f>_xlfn.XLOOKUP(D54,RUC!$B$3:$B$578,RUC!$M$3:$M$578)</f>
        <v>Richard Sapacayo</v>
      </c>
      <c r="AO54" s="1167" t="s">
        <v>2278</v>
      </c>
      <c r="AP54" t="s">
        <v>3186</v>
      </c>
      <c r="AQ54" t="s">
        <v>4154</v>
      </c>
      <c r="AR54" t="s">
        <v>830</v>
      </c>
    </row>
    <row r="55" spans="1:44" ht="15" customHeight="1">
      <c r="A55" s="747" t="s">
        <v>4120</v>
      </c>
      <c r="B55" s="1447">
        <v>46030</v>
      </c>
      <c r="C55" s="1447">
        <v>46021</v>
      </c>
      <c r="D55" t="s">
        <v>1484</v>
      </c>
      <c r="E55" s="762">
        <v>10761932735</v>
      </c>
      <c r="G55" s="1082" t="s">
        <v>2985</v>
      </c>
      <c r="H55" s="762" t="s">
        <v>69</v>
      </c>
      <c r="I55" s="703">
        <v>7.24</v>
      </c>
      <c r="J55" s="596">
        <v>2.95</v>
      </c>
      <c r="K55" s="703">
        <v>7.0259999999999998</v>
      </c>
      <c r="L55" s="1192">
        <v>0.14199999999999999</v>
      </c>
      <c r="M55" s="994">
        <v>0.123</v>
      </c>
      <c r="N55" s="1444">
        <v>0.123</v>
      </c>
      <c r="O55" s="645">
        <v>0.123</v>
      </c>
      <c r="P55" s="727">
        <v>80</v>
      </c>
      <c r="Q55" s="1476">
        <v>97.89</v>
      </c>
      <c r="R55" s="706">
        <v>4367.8</v>
      </c>
      <c r="S55" s="765">
        <v>100</v>
      </c>
      <c r="U55" s="1146">
        <v>120</v>
      </c>
      <c r="V55" s="715">
        <v>1.1023000000000001</v>
      </c>
      <c r="Y55" s="1445">
        <v>20</v>
      </c>
      <c r="Z55" s="143">
        <v>30</v>
      </c>
      <c r="AA55" s="144">
        <v>50</v>
      </c>
      <c r="AB55" s="145">
        <v>295.39823409600001</v>
      </c>
      <c r="AC55" s="145">
        <v>30.230000000000004</v>
      </c>
      <c r="AD55" s="145">
        <v>118.94948140577202</v>
      </c>
      <c r="AE55" s="145">
        <v>-14.884999999999998</v>
      </c>
      <c r="AF55" s="145">
        <v>87.087494769053976</v>
      </c>
      <c r="AG55" s="772">
        <v>238.38197617482604</v>
      </c>
      <c r="AH55" s="1253">
        <v>33.484999999999999</v>
      </c>
      <c r="AI55" s="1253">
        <v>34.206000000000003</v>
      </c>
      <c r="AJ55" s="156">
        <v>-45.630074066772032</v>
      </c>
      <c r="AK55" s="156">
        <v>23.703491025627116</v>
      </c>
      <c r="AM55" s="716">
        <v>2075.4679927584962</v>
      </c>
      <c r="AN55" s="716" t="s">
        <v>2306</v>
      </c>
      <c r="AO55" s="1167" t="s">
        <v>2277</v>
      </c>
      <c r="AP55" t="s">
        <v>4155</v>
      </c>
      <c r="AQ55" t="s">
        <v>4156</v>
      </c>
    </row>
    <row r="56" spans="1:44" ht="15" customHeight="1">
      <c r="A56" s="747" t="s">
        <v>4134</v>
      </c>
      <c r="B56" s="1447">
        <v>46025</v>
      </c>
      <c r="C56" s="1447">
        <v>46022</v>
      </c>
      <c r="D56" t="s">
        <v>4171</v>
      </c>
      <c r="E56" s="762">
        <f>_xlfn.XLOOKUP(D56,RUC!$B$3:$B$123,RUC!$D$3:$D$123)</f>
        <v>20614284740</v>
      </c>
      <c r="G56" s="1082">
        <v>25</v>
      </c>
      <c r="H56" s="762" t="s">
        <v>69</v>
      </c>
      <c r="I56" s="703">
        <v>2.0299999999999998</v>
      </c>
      <c r="J56" s="596">
        <v>1.3</v>
      </c>
      <c r="K56" s="703">
        <f t="shared" ref="K56:K64" si="55">ROUND(+I56-(I56*(J56/100)),3)</f>
        <v>2.004</v>
      </c>
      <c r="L56" s="1192">
        <v>0.19700000000000001</v>
      </c>
      <c r="M56" s="1443">
        <v>0.21299999999999999</v>
      </c>
      <c r="N56" s="1196">
        <f t="shared" ref="N56:N58" si="56">+M56</f>
        <v>0.21299999999999999</v>
      </c>
      <c r="O56" s="645">
        <f t="shared" ref="O56:O64" si="57">+ROUND((M56+N56)/2,3)</f>
        <v>0.21299999999999999</v>
      </c>
      <c r="P56" s="727">
        <v>90</v>
      </c>
      <c r="Q56" s="1476">
        <v>95.26</v>
      </c>
      <c r="R56" s="706">
        <v>4307.95</v>
      </c>
      <c r="S56" s="765">
        <f>IF((_xlfn.XLOOKUP(D56,RUC!$B$3:$B$119,RUC!$E$3:$E$119)+ROUNDDOWN(O56,1)*100)&lt;95,95,((_xlfn.XLOOKUP(D56,RUC!$B$3:$B$119,RUC!$E$3:$E$119)+ROUNDDOWN(O56,1)*100)))</f>
        <v>110</v>
      </c>
      <c r="U56" s="1146">
        <f>_xlfn.XLOOKUP(D56,RUC!$B$3:$B$123,RUC!$F$3:$F$123)</f>
        <v>120</v>
      </c>
      <c r="V56" s="715">
        <v>1.1023000000000001</v>
      </c>
      <c r="Y56">
        <f>_xlfn.XLOOKUP(D56,RUC!$B$3:$B$123,RUC!$G$3:$G$123)</f>
        <v>20</v>
      </c>
      <c r="Z56" s="143">
        <f>_xlfn.XLOOKUP(D56,RUC!$B$3:$B$123,RUC!$H$3:$H$123)</f>
        <v>30</v>
      </c>
      <c r="AA56" s="144">
        <f t="shared" ref="AA56:AA64" si="58">+Y56+Z56</f>
        <v>50</v>
      </c>
      <c r="AB56" s="145">
        <f t="shared" ref="AB56" si="59">+((O56*P56*(R56-U56)/100)-S56-AA56+T56)*V56</f>
        <v>708.59152553449997</v>
      </c>
      <c r="AC56" s="145">
        <f>+(S56-T56)*V56-'data 1'!$F$4</f>
        <v>41.253</v>
      </c>
      <c r="AD56" s="145">
        <f t="shared" ref="AD56:AD64" si="60">+(Q56-P56)*(R56-U56)*L56*V56/100</f>
        <v>47.83582470262705</v>
      </c>
      <c r="AE56" s="145">
        <f t="shared" ref="AE56:AE64" si="61">+(Y56*V56-70)+V56*(Z56-IF(D56="UNTUCA",IF(+((W56-3)*2.5+(X56-3)*3.1)&gt;0,+((W56-3)*1.5+(X56-3)*3.1),0),IF(+((W56-3)*1.5+(X56-3)*3.1)&gt;0,+((W56-3)*1.5+(X56-3)*3.1),0)))</f>
        <v>-14.884999999999998</v>
      </c>
      <c r="AF56" s="145">
        <f t="shared" ref="AF56:AF64" si="62">(L56-O56)*(R56-U56)*Q56*V56/100</f>
        <v>-70.360976027055941</v>
      </c>
      <c r="AG56" s="772">
        <f t="shared" ref="AG56" si="63">AC56+AD56+AE56+AF56+70</f>
        <v>73.842848675571119</v>
      </c>
      <c r="AH56" s="1253">
        <f t="shared" ref="AH56:AH64" si="64">ROUND((31.1035*L56*Q56*1.1023*K56/100),3)</f>
        <v>12.894</v>
      </c>
      <c r="AI56" s="1253">
        <f t="shared" ref="AI56:AI64" si="65">ROUND((31.1035*L56*1.1023*K56),3)</f>
        <v>13.535</v>
      </c>
      <c r="AJ56" s="156">
        <f t="shared" ref="AJ56:AJ64" si="66">+((+$AJ$2-R56+U56)*L56*Q56*V56)/100</f>
        <v>186.59810184227305</v>
      </c>
      <c r="AK56" s="156">
        <f t="shared" ref="AK56:AK64" si="67">31.1035*1.1023*K56*P56*O56/100</f>
        <v>13.171307813926742</v>
      </c>
      <c r="AM56" s="716">
        <f t="shared" ref="AM56:AM64" si="68">+IF(AB56*K56&gt;0,AB56*K56,0)</f>
        <v>1420.0174171711378</v>
      </c>
      <c r="AN56" s="716" t="str">
        <f>_xlfn.XLOOKUP(D56,RUC!$B$3:$B$578,RUC!$M$3:$M$578)</f>
        <v xml:space="preserve">Dante </v>
      </c>
      <c r="AO56" s="1167" t="s">
        <v>2280</v>
      </c>
      <c r="AP56" t="s">
        <v>4191</v>
      </c>
      <c r="AQ56" t="s">
        <v>4192</v>
      </c>
    </row>
    <row r="57" spans="1:44" ht="15" customHeight="1">
      <c r="A57" s="747" t="s">
        <v>4138</v>
      </c>
      <c r="B57" s="1447">
        <v>46027</v>
      </c>
      <c r="C57" s="1549">
        <v>46023</v>
      </c>
      <c r="D57" t="s">
        <v>4184</v>
      </c>
      <c r="E57" s="762" t="str">
        <f>_xlfn.XLOOKUP(D57,RUC!$B$3:$B$123,RUC!$D$3:$D$123)</f>
        <v>20601769396-</v>
      </c>
      <c r="G57" s="1082">
        <v>43</v>
      </c>
      <c r="H57" s="762" t="s">
        <v>108</v>
      </c>
      <c r="I57" s="703">
        <v>3.23</v>
      </c>
      <c r="J57" s="596">
        <v>14.45</v>
      </c>
      <c r="K57" s="703">
        <f t="shared" si="55"/>
        <v>2.7629999999999999</v>
      </c>
      <c r="L57" s="1192">
        <v>0.17599999999999999</v>
      </c>
      <c r="M57" s="994">
        <f t="shared" ref="M57:M63" si="69">ROUND(+IF(AN57="Melchor Vera",IF(L57&gt;0.467,L57*0.985,(L57-0.007)),IF(L57&gt;0.3,L57*0.94,(L57-0.018))),3)</f>
        <v>0.158</v>
      </c>
      <c r="N57" s="1196">
        <f t="shared" si="56"/>
        <v>0.158</v>
      </c>
      <c r="O57" s="645">
        <f t="shared" si="57"/>
        <v>0.158</v>
      </c>
      <c r="P57" s="727">
        <v>85</v>
      </c>
      <c r="Q57" s="1476">
        <v>91.48</v>
      </c>
      <c r="R57" s="706">
        <v>4307.95</v>
      </c>
      <c r="S57" s="765">
        <f>IF((_xlfn.XLOOKUP(D57,RUC!$B$3:$B$119,RUC!$E$3:$E$119)+ROUNDDOWN(O57,1)*100)&lt;95,95,((_xlfn.XLOOKUP(D57,RUC!$B$3:$B$119,RUC!$E$3:$E$119)+ROUNDDOWN(O57,1)*100)))</f>
        <v>95</v>
      </c>
      <c r="U57" s="1146">
        <f>_xlfn.XLOOKUP(D57,RUC!$B$3:$B$123,RUC!$F$3:$F$123)</f>
        <v>120</v>
      </c>
      <c r="V57" s="715">
        <v>1.1023000000000001</v>
      </c>
      <c r="Y57" s="1445">
        <v>35</v>
      </c>
      <c r="Z57" s="1454">
        <v>48</v>
      </c>
      <c r="AA57" s="144">
        <f t="shared" si="58"/>
        <v>83</v>
      </c>
      <c r="AB57" s="145">
        <f t="shared" ref="AB57:AB62" si="70">+((O57*P57*(R57-U57)/100)-S57-AA57+T57)*V57</f>
        <v>423.77006937550004</v>
      </c>
      <c r="AC57" s="145">
        <f>+(S57-T57)*V57-'data 1'!$F$4</f>
        <v>24.718500000000006</v>
      </c>
      <c r="AD57" s="145">
        <f t="shared" si="60"/>
        <v>52.648859659968032</v>
      </c>
      <c r="AE57" s="145">
        <f t="shared" si="61"/>
        <v>21.490900000000003</v>
      </c>
      <c r="AF57" s="145">
        <f t="shared" si="62"/>
        <v>76.01511492572395</v>
      </c>
      <c r="AG57" s="772">
        <f t="shared" ref="AG57:AG58" si="71">AC57+AD57+AE57+AF57+70-53</f>
        <v>191.87337458569198</v>
      </c>
      <c r="AH57" s="1253">
        <f t="shared" si="64"/>
        <v>15.252000000000001</v>
      </c>
      <c r="AI57" s="1253">
        <f t="shared" si="65"/>
        <v>16.672999999999998</v>
      </c>
      <c r="AJ57" s="156">
        <f t="shared" si="66"/>
        <v>160.09185689763203</v>
      </c>
      <c r="AK57" s="156">
        <f t="shared" si="67"/>
        <v>12.722309800562746</v>
      </c>
      <c r="AM57" s="716">
        <f t="shared" si="68"/>
        <v>1170.8767016845065</v>
      </c>
      <c r="AN57" s="716" t="str">
        <f>_xlfn.XLOOKUP(D57,RUC!$B$3:$B$578,RUC!$M$3:$M$578)</f>
        <v>Ronald Miranda</v>
      </c>
      <c r="AO57" s="1167" t="s">
        <v>2280</v>
      </c>
      <c r="AP57" t="s">
        <v>3327</v>
      </c>
      <c r="AQ57" t="s">
        <v>4142</v>
      </c>
    </row>
    <row r="58" spans="1:44" ht="15" customHeight="1">
      <c r="A58" s="747" t="s">
        <v>4140</v>
      </c>
      <c r="B58" s="1447">
        <v>46027</v>
      </c>
      <c r="C58" s="1549">
        <v>46023</v>
      </c>
      <c r="D58" t="s">
        <v>4184</v>
      </c>
      <c r="E58" s="762" t="str">
        <f>_xlfn.XLOOKUP(D58,RUC!$B$3:$B$123,RUC!$D$3:$D$123)</f>
        <v>20601769396-</v>
      </c>
      <c r="G58" s="1082">
        <v>43</v>
      </c>
      <c r="H58" s="762" t="s">
        <v>108</v>
      </c>
      <c r="I58" s="703">
        <v>3.47</v>
      </c>
      <c r="J58" s="596">
        <v>12.05</v>
      </c>
      <c r="K58" s="703">
        <f t="shared" si="55"/>
        <v>3.052</v>
      </c>
      <c r="L58" s="1192">
        <v>0.14599999999999999</v>
      </c>
      <c r="M58" s="994">
        <f t="shared" si="69"/>
        <v>0.128</v>
      </c>
      <c r="N58" s="1196">
        <f t="shared" si="56"/>
        <v>0.128</v>
      </c>
      <c r="O58" s="645">
        <f t="shared" si="57"/>
        <v>0.128</v>
      </c>
      <c r="P58" s="727">
        <v>80</v>
      </c>
      <c r="Q58" s="1476">
        <v>95.21</v>
      </c>
      <c r="R58" s="706">
        <v>4307.95</v>
      </c>
      <c r="S58" s="765">
        <f>IF((_xlfn.XLOOKUP(D58,RUC!$B$3:$B$119,RUC!$E$3:$E$119)+ROUNDDOWN(O58,1)*100)&lt;95,95,((_xlfn.XLOOKUP(D58,RUC!$B$3:$B$119,RUC!$E$3:$E$119)+ROUNDDOWN(O58,1)*100)))</f>
        <v>95</v>
      </c>
      <c r="U58" s="1146">
        <f>_xlfn.XLOOKUP(D58,RUC!$B$3:$B$123,RUC!$F$3:$F$123)</f>
        <v>120</v>
      </c>
      <c r="V58" s="715">
        <v>1.1023000000000001</v>
      </c>
      <c r="Y58" s="1445">
        <v>35</v>
      </c>
      <c r="Z58" s="1454">
        <v>48</v>
      </c>
      <c r="AA58" s="144">
        <f t="shared" si="58"/>
        <v>83</v>
      </c>
      <c r="AB58" s="145">
        <f t="shared" si="70"/>
        <v>276.50763398400005</v>
      </c>
      <c r="AC58" s="145">
        <f>+(S58-T58)*V58-'data 1'!$F$4</f>
        <v>24.718500000000006</v>
      </c>
      <c r="AD58" s="145">
        <f t="shared" si="60"/>
        <v>102.51404381708095</v>
      </c>
      <c r="AE58" s="145">
        <f t="shared" si="61"/>
        <v>21.490900000000003</v>
      </c>
      <c r="AF58" s="145">
        <f t="shared" si="62"/>
        <v>79.114550634872941</v>
      </c>
      <c r="AG58" s="772">
        <f t="shared" si="71"/>
        <v>244.83799445195388</v>
      </c>
      <c r="AH58" s="1253">
        <f t="shared" si="64"/>
        <v>14.545999999999999</v>
      </c>
      <c r="AI58" s="1253">
        <f t="shared" si="65"/>
        <v>15.276999999999999</v>
      </c>
      <c r="AJ58" s="156">
        <f t="shared" si="66"/>
        <v>138.21839296111904</v>
      </c>
      <c r="AK58" s="156">
        <f t="shared" si="67"/>
        <v>10.715034043248641</v>
      </c>
      <c r="AM58" s="716">
        <f t="shared" si="68"/>
        <v>843.9012989191682</v>
      </c>
      <c r="AN58" s="716" t="str">
        <f>_xlfn.XLOOKUP(D58,RUC!$B$3:$B$578,RUC!$M$3:$M$578)</f>
        <v>Ronald Miranda</v>
      </c>
      <c r="AO58" s="1167" t="s">
        <v>2280</v>
      </c>
      <c r="AP58" t="s">
        <v>3327</v>
      </c>
      <c r="AQ58" t="s">
        <v>4142</v>
      </c>
    </row>
    <row r="59" spans="1:44" ht="15" customHeight="1">
      <c r="A59" s="747" t="s">
        <v>4180</v>
      </c>
      <c r="B59" s="1447">
        <v>46034</v>
      </c>
      <c r="C59" s="1447">
        <v>46026</v>
      </c>
      <c r="D59" t="s">
        <v>1967</v>
      </c>
      <c r="E59" s="762">
        <f>_xlfn.XLOOKUP(D59,RUC!$B$3:$B$123,RUC!$D$3:$D$123)</f>
        <v>20601769396</v>
      </c>
      <c r="G59" s="1082">
        <v>52</v>
      </c>
      <c r="H59" s="762" t="s">
        <v>2005</v>
      </c>
      <c r="I59" s="703">
        <v>3.53</v>
      </c>
      <c r="J59" s="596">
        <v>17.7</v>
      </c>
      <c r="K59" s="703">
        <f t="shared" si="55"/>
        <v>2.9049999999999998</v>
      </c>
      <c r="L59" s="1192">
        <v>0.34200000000000003</v>
      </c>
      <c r="M59" s="994">
        <f t="shared" si="69"/>
        <v>0.32100000000000001</v>
      </c>
      <c r="N59" s="1196">
        <f t="shared" ref="N59:N64" si="72">+M59</f>
        <v>0.32100000000000001</v>
      </c>
      <c r="O59" s="645">
        <f t="shared" si="57"/>
        <v>0.32100000000000001</v>
      </c>
      <c r="P59" s="727">
        <v>90</v>
      </c>
      <c r="Q59" s="1476">
        <v>94.74</v>
      </c>
      <c r="R59" s="706">
        <v>4456.3999999999996</v>
      </c>
      <c r="S59" s="765">
        <f>IF((_xlfn.XLOOKUP(D59,RUC!$B$3:$B$119,RUC!$E$3:$E$119)+ROUNDDOWN(O59,1)*100)&lt;95,95,((_xlfn.XLOOKUP(D59,RUC!$B$3:$B$119,RUC!$E$3:$E$119)+ROUNDDOWN(O59,1)*100)))</f>
        <v>120</v>
      </c>
      <c r="U59" s="1146">
        <f>_xlfn.XLOOKUP(D59,RUC!$B$3:$B$123,RUC!$F$3:$F$123)</f>
        <v>120</v>
      </c>
      <c r="V59" s="715">
        <v>1.1023000000000001</v>
      </c>
      <c r="Y59">
        <f>_xlfn.XLOOKUP(D59,RUC!$B$3:$B$123,RUC!$G$3:$G$123)</f>
        <v>20</v>
      </c>
      <c r="Z59" s="143">
        <f>_xlfn.XLOOKUP(D59,RUC!$B$3:$B$123,RUC!$H$3:$H$123)</f>
        <v>30</v>
      </c>
      <c r="AA59" s="144">
        <f t="shared" si="58"/>
        <v>50</v>
      </c>
      <c r="AB59" s="145">
        <f t="shared" si="70"/>
        <v>1193.5549637080001</v>
      </c>
      <c r="AC59" s="145">
        <f>+(S59-T59)*V59-'data 1'!$F$4</f>
        <v>52.27600000000001</v>
      </c>
      <c r="AD59" s="145">
        <f t="shared" si="60"/>
        <v>77.487846412175912</v>
      </c>
      <c r="AE59" s="145">
        <f t="shared" si="61"/>
        <v>-14.884999999999998</v>
      </c>
      <c r="AF59" s="145">
        <f t="shared" si="62"/>
        <v>95.10028496488809</v>
      </c>
      <c r="AG59" s="772">
        <f t="shared" ref="AG59:AG61" si="73">AC59+AD59+AE59+AF59+70-53</f>
        <v>226.97913137706405</v>
      </c>
      <c r="AH59" s="1253">
        <f t="shared" si="64"/>
        <v>32.271000000000001</v>
      </c>
      <c r="AI59" s="1253">
        <f t="shared" si="65"/>
        <v>34.063000000000002</v>
      </c>
      <c r="AJ59" s="156">
        <f t="shared" si="66"/>
        <v>269.15359420742419</v>
      </c>
      <c r="AK59" s="156">
        <f t="shared" si="67"/>
        <v>28.774166205208726</v>
      </c>
      <c r="AM59" s="716">
        <f t="shared" si="68"/>
        <v>3467.2771695717402</v>
      </c>
      <c r="AN59" s="716" t="str">
        <f>_xlfn.XLOOKUP(D59,RUC!$B$3:$B$578,RUC!$M$3:$M$578)</f>
        <v>Evelyn</v>
      </c>
      <c r="AO59" s="1167" t="s">
        <v>2280</v>
      </c>
      <c r="AP59" t="s">
        <v>4240</v>
      </c>
      <c r="AQ59" t="s">
        <v>4241</v>
      </c>
    </row>
    <row r="60" spans="1:44" ht="15" customHeight="1">
      <c r="A60" s="747" t="s">
        <v>4181</v>
      </c>
      <c r="B60" s="1447">
        <v>46034</v>
      </c>
      <c r="C60" s="1447">
        <v>46026</v>
      </c>
      <c r="D60" t="s">
        <v>1967</v>
      </c>
      <c r="E60" s="762">
        <f>_xlfn.XLOOKUP(D60,RUC!$B$3:$B$123,RUC!$D$3:$D$123)</f>
        <v>20601769396</v>
      </c>
      <c r="G60" s="1082">
        <v>51</v>
      </c>
      <c r="H60" s="762" t="s">
        <v>2005</v>
      </c>
      <c r="I60" s="703">
        <v>3.45</v>
      </c>
      <c r="J60" s="596">
        <v>19.350000000000001</v>
      </c>
      <c r="K60" s="703">
        <f t="shared" si="55"/>
        <v>2.782</v>
      </c>
      <c r="L60" s="1192">
        <v>0.43</v>
      </c>
      <c r="M60" s="994">
        <f t="shared" si="69"/>
        <v>0.40400000000000003</v>
      </c>
      <c r="N60" s="1196">
        <f t="shared" si="72"/>
        <v>0.40400000000000003</v>
      </c>
      <c r="O60" s="645">
        <f t="shared" si="57"/>
        <v>0.40400000000000003</v>
      </c>
      <c r="P60" s="727">
        <v>90</v>
      </c>
      <c r="Q60" s="1476">
        <v>96.05</v>
      </c>
      <c r="R60" s="706">
        <v>4456.3999999999996</v>
      </c>
      <c r="S60" s="765">
        <f>IF((_xlfn.XLOOKUP(D60,RUC!$B$3:$B$119,RUC!$E$3:$E$119)+ROUNDDOWN(O60,1)*100)&lt;95,95,((_xlfn.XLOOKUP(D60,RUC!$B$3:$B$119,RUC!$E$3:$E$119)+ROUNDDOWN(O60,1)*100)))</f>
        <v>130</v>
      </c>
      <c r="U60" s="1146">
        <f>_xlfn.XLOOKUP(D60,RUC!$B$3:$B$123,RUC!$F$3:$F$123)</f>
        <v>120</v>
      </c>
      <c r="V60" s="715">
        <v>1.1023000000000001</v>
      </c>
      <c r="Y60">
        <f>_xlfn.XLOOKUP(D60,RUC!$B$3:$B$123,RUC!$G$3:$G$123)</f>
        <v>20</v>
      </c>
      <c r="Z60" s="143">
        <f>_xlfn.XLOOKUP(D60,RUC!$B$3:$B$123,RUC!$H$3:$H$123)</f>
        <v>30</v>
      </c>
      <c r="AA60" s="144">
        <f t="shared" si="58"/>
        <v>50</v>
      </c>
      <c r="AB60" s="145">
        <f t="shared" si="70"/>
        <v>1539.5989885919998</v>
      </c>
      <c r="AC60" s="145">
        <f>+(S60-T60)*V60-'data 1'!$F$4</f>
        <v>63.299000000000007</v>
      </c>
      <c r="AD60" s="145">
        <f t="shared" si="60"/>
        <v>124.35205692579993</v>
      </c>
      <c r="AE60" s="145">
        <f t="shared" si="61"/>
        <v>-14.884999999999998</v>
      </c>
      <c r="AF60" s="145">
        <f t="shared" si="62"/>
        <v>119.37128262955984</v>
      </c>
      <c r="AG60" s="772">
        <f t="shared" si="73"/>
        <v>309.1373395553598</v>
      </c>
      <c r="AH60" s="1253">
        <f t="shared" si="64"/>
        <v>39.393999999999998</v>
      </c>
      <c r="AI60" s="1253">
        <f t="shared" si="65"/>
        <v>41.014000000000003</v>
      </c>
      <c r="AJ60" s="156">
        <f t="shared" si="66"/>
        <v>343.08878503920022</v>
      </c>
      <c r="AK60" s="156">
        <f t="shared" si="67"/>
        <v>34.680876858234363</v>
      </c>
      <c r="AM60" s="716">
        <f t="shared" si="68"/>
        <v>4283.1643862629435</v>
      </c>
      <c r="AN60" s="716" t="str">
        <f>_xlfn.XLOOKUP(D60,RUC!$B$3:$B$578,RUC!$M$3:$M$578)</f>
        <v>Evelyn</v>
      </c>
      <c r="AO60" s="1167" t="s">
        <v>2280</v>
      </c>
      <c r="AP60" t="s">
        <v>4240</v>
      </c>
      <c r="AQ60" t="s">
        <v>4241</v>
      </c>
    </row>
    <row r="61" spans="1:44" ht="15" customHeight="1">
      <c r="A61" s="747" t="s">
        <v>4182</v>
      </c>
      <c r="B61" s="1447">
        <v>46034</v>
      </c>
      <c r="C61" s="1447">
        <v>46026</v>
      </c>
      <c r="D61" t="s">
        <v>1967</v>
      </c>
      <c r="E61" s="762">
        <f>_xlfn.XLOOKUP(D61,RUC!$B$3:$B$123,RUC!$D$3:$D$123)</f>
        <v>20601769396</v>
      </c>
      <c r="G61" s="1082">
        <v>51</v>
      </c>
      <c r="H61" s="762" t="s">
        <v>2005</v>
      </c>
      <c r="I61" s="703">
        <v>3.46</v>
      </c>
      <c r="J61" s="596">
        <v>17.329999999999998</v>
      </c>
      <c r="K61" s="703">
        <f t="shared" si="55"/>
        <v>2.86</v>
      </c>
      <c r="L61" s="1192">
        <v>0.40799999999999997</v>
      </c>
      <c r="M61" s="994">
        <f t="shared" si="69"/>
        <v>0.38400000000000001</v>
      </c>
      <c r="N61" s="1196">
        <f t="shared" si="72"/>
        <v>0.38400000000000001</v>
      </c>
      <c r="O61" s="645">
        <f t="shared" si="57"/>
        <v>0.38400000000000001</v>
      </c>
      <c r="P61" s="727">
        <v>90</v>
      </c>
      <c r="Q61" s="1476">
        <v>94.36</v>
      </c>
      <c r="R61" s="706">
        <v>4456.3999999999996</v>
      </c>
      <c r="S61" s="765">
        <f>IF((_xlfn.XLOOKUP(D61,RUC!$B$3:$B$119,RUC!$E$3:$E$119)+ROUNDDOWN(O61,1)*100)&lt;95,95,((_xlfn.XLOOKUP(D61,RUC!$B$3:$B$119,RUC!$E$3:$E$119)+ROUNDDOWN(O61,1)*100)))</f>
        <v>120</v>
      </c>
      <c r="U61" s="1146">
        <f>_xlfn.XLOOKUP(D61,RUC!$B$3:$B$123,RUC!$F$3:$F$123)</f>
        <v>120</v>
      </c>
      <c r="V61" s="715">
        <v>1.1023000000000001</v>
      </c>
      <c r="Y61">
        <f>_xlfn.XLOOKUP(D61,RUC!$B$3:$B$123,RUC!$G$3:$G$123)</f>
        <v>20</v>
      </c>
      <c r="Z61" s="143">
        <f>_xlfn.XLOOKUP(D61,RUC!$B$3:$B$123,RUC!$H$3:$H$123)</f>
        <v>30</v>
      </c>
      <c r="AA61" s="144">
        <f t="shared" si="58"/>
        <v>50</v>
      </c>
      <c r="AB61" s="145">
        <f t="shared" si="70"/>
        <v>1464.5817416320001</v>
      </c>
      <c r="AC61" s="145">
        <f>+(S61-T61)*V61-'data 1'!$F$4</f>
        <v>52.27600000000001</v>
      </c>
      <c r="AD61" s="145">
        <f t="shared" si="60"/>
        <v>85.030708062335975</v>
      </c>
      <c r="AE61" s="145">
        <f t="shared" si="61"/>
        <v>-14.884999999999998</v>
      </c>
      <c r="AF61" s="145">
        <f t="shared" si="62"/>
        <v>108.25010270860784</v>
      </c>
      <c r="AG61" s="772">
        <f t="shared" si="73"/>
        <v>247.67181077094381</v>
      </c>
      <c r="AH61" s="1253">
        <f t="shared" si="64"/>
        <v>37.750999999999998</v>
      </c>
      <c r="AI61" s="1253">
        <f t="shared" si="65"/>
        <v>40.006999999999998</v>
      </c>
      <c r="AJ61" s="156">
        <f t="shared" si="66"/>
        <v>319.80760903526408</v>
      </c>
      <c r="AK61" s="156">
        <f t="shared" si="67"/>
        <v>33.888226114828804</v>
      </c>
      <c r="AM61" s="716">
        <f t="shared" si="68"/>
        <v>4188.7037810675201</v>
      </c>
      <c r="AN61" s="716" t="str">
        <f>_xlfn.XLOOKUP(D61,RUC!$B$3:$B$578,RUC!$M$3:$M$578)</f>
        <v>Evelyn</v>
      </c>
      <c r="AO61" s="1167" t="s">
        <v>2280</v>
      </c>
      <c r="AP61" t="s">
        <v>4240</v>
      </c>
      <c r="AQ61" t="s">
        <v>4241</v>
      </c>
    </row>
    <row r="62" spans="1:44" ht="15" customHeight="1">
      <c r="A62" s="747" t="s">
        <v>4201</v>
      </c>
      <c r="B62" s="1447">
        <v>46034</v>
      </c>
      <c r="C62" s="1447">
        <v>46026</v>
      </c>
      <c r="D62" s="1619" t="s">
        <v>4171</v>
      </c>
      <c r="E62" s="762">
        <f>_xlfn.XLOOKUP(D62,RUC!$B$3:$B$123,RUC!$D$3:$D$123)</f>
        <v>20614284740</v>
      </c>
      <c r="G62" s="1082" t="s">
        <v>2985</v>
      </c>
      <c r="H62" s="762" t="s">
        <v>2005</v>
      </c>
      <c r="I62" s="703">
        <v>7.02</v>
      </c>
      <c r="J62">
        <v>2.0499999999999998</v>
      </c>
      <c r="K62" s="703">
        <f t="shared" si="55"/>
        <v>6.8760000000000003</v>
      </c>
      <c r="L62" s="1192">
        <v>0.128</v>
      </c>
      <c r="M62" s="994">
        <f t="shared" si="69"/>
        <v>0.11</v>
      </c>
      <c r="N62" s="1196">
        <f t="shared" si="72"/>
        <v>0.11</v>
      </c>
      <c r="O62" s="645">
        <f t="shared" si="57"/>
        <v>0.11</v>
      </c>
      <c r="P62" s="727">
        <v>80</v>
      </c>
      <c r="Q62" s="1476">
        <v>94.53</v>
      </c>
      <c r="R62" s="706">
        <v>4456.3999999999996</v>
      </c>
      <c r="S62" s="765">
        <f>IF((_xlfn.XLOOKUP(D62,RUC!$B$3:$B$119,RUC!$E$3:$E$119)+ROUNDDOWN(O62,1)*100)&lt;95,95,((_xlfn.XLOOKUP(D62,RUC!$B$3:$B$119,RUC!$E$3:$E$119)+ROUNDDOWN(O62,1)*100)))</f>
        <v>100</v>
      </c>
      <c r="U62" s="1146">
        <f>_xlfn.XLOOKUP(D62,RUC!$B$3:$B$123,RUC!$F$3:$F$123)</f>
        <v>120</v>
      </c>
      <c r="V62" s="715">
        <v>1.1023000000000001</v>
      </c>
      <c r="Y62">
        <f>_xlfn.XLOOKUP(D62,RUC!$B$3:$B$123,RUC!$G$3:$G$123)</f>
        <v>20</v>
      </c>
      <c r="Z62" s="143">
        <f>_xlfn.XLOOKUP(D62,RUC!$B$3:$B$123,RUC!$H$3:$H$123)</f>
        <v>30</v>
      </c>
      <c r="AA62" s="144">
        <f t="shared" si="58"/>
        <v>50</v>
      </c>
      <c r="AB62" s="145">
        <f t="shared" si="70"/>
        <v>255.29620736000004</v>
      </c>
      <c r="AC62" s="145">
        <f>+(S62-T62)*V62-'data 1'!$F$4</f>
        <v>30.230000000000004</v>
      </c>
      <c r="AD62" s="145">
        <f t="shared" si="60"/>
        <v>88.900607170048005</v>
      </c>
      <c r="AE62" s="145">
        <f t="shared" si="61"/>
        <v>-14.884999999999998</v>
      </c>
      <c r="AF62" s="145">
        <f t="shared" si="62"/>
        <v>81.333845451288013</v>
      </c>
      <c r="AG62" s="772">
        <f t="shared" ref="AG62" si="74">AC62+AD62+AE62+AF62+70</f>
        <v>255.57945262133603</v>
      </c>
      <c r="AH62" s="1253">
        <f t="shared" si="64"/>
        <v>28.524999999999999</v>
      </c>
      <c r="AI62" s="1253">
        <f t="shared" si="65"/>
        <v>30.175999999999998</v>
      </c>
      <c r="AJ62" s="156">
        <f t="shared" si="66"/>
        <v>100.51255777075207</v>
      </c>
      <c r="AK62" s="156">
        <f t="shared" si="67"/>
        <v>20.745676884398399</v>
      </c>
      <c r="AM62" s="716">
        <f t="shared" si="68"/>
        <v>1755.4167218073603</v>
      </c>
      <c r="AN62" s="716" t="str">
        <f>_xlfn.XLOOKUP(D62,RUC!$B$3:$B$578,RUC!$M$3:$M$578)</f>
        <v xml:space="preserve">Dante </v>
      </c>
      <c r="AO62" s="1167" t="s">
        <v>2280</v>
      </c>
      <c r="AP62" t="s">
        <v>3243</v>
      </c>
      <c r="AQ62" t="s">
        <v>4242</v>
      </c>
    </row>
    <row r="63" spans="1:44" ht="15" customHeight="1">
      <c r="A63" s="747" t="s">
        <v>4209</v>
      </c>
      <c r="B63" s="1447">
        <v>46034</v>
      </c>
      <c r="C63" s="1447">
        <v>46027</v>
      </c>
      <c r="D63" t="s">
        <v>4171</v>
      </c>
      <c r="E63" s="762">
        <f>_xlfn.XLOOKUP(D63,RUC!$B$3:$B$123,RUC!$D$3:$D$123)</f>
        <v>20614284740</v>
      </c>
      <c r="G63" s="1082" t="s">
        <v>2985</v>
      </c>
      <c r="H63" s="762" t="s">
        <v>108</v>
      </c>
      <c r="I63" s="703">
        <v>3.69</v>
      </c>
      <c r="J63" s="596">
        <v>9.6</v>
      </c>
      <c r="K63" s="703">
        <f t="shared" si="55"/>
        <v>3.3359999999999999</v>
      </c>
      <c r="L63" s="1192">
        <v>0.25800000000000001</v>
      </c>
      <c r="M63" s="994">
        <f t="shared" si="69"/>
        <v>0.24</v>
      </c>
      <c r="N63" s="1196">
        <f t="shared" si="72"/>
        <v>0.24</v>
      </c>
      <c r="O63" s="645">
        <f t="shared" si="57"/>
        <v>0.24</v>
      </c>
      <c r="P63" s="727">
        <v>90</v>
      </c>
      <c r="Q63" s="1476">
        <v>98.45</v>
      </c>
      <c r="R63" s="706">
        <v>4456.3999999999996</v>
      </c>
      <c r="S63" s="765">
        <f>IF((_xlfn.XLOOKUP(D63,RUC!$B$3:$B$119,RUC!$E$3:$E$119)+ROUNDDOWN(O63,1)*100)&lt;95,95,((_xlfn.XLOOKUP(D63,RUC!$B$3:$B$119,RUC!$E$3:$E$119)+ROUNDDOWN(O63,1)*100)))</f>
        <v>110</v>
      </c>
      <c r="U63" s="1146">
        <f>_xlfn.XLOOKUP(D63,RUC!$B$3:$B$123,RUC!$F$3:$F$123)</f>
        <v>120</v>
      </c>
      <c r="V63" s="715">
        <v>1.1023000000000001</v>
      </c>
      <c r="Y63" s="1445">
        <v>30</v>
      </c>
      <c r="Z63" s="1454">
        <v>40</v>
      </c>
      <c r="AA63" s="144">
        <f t="shared" si="58"/>
        <v>70</v>
      </c>
      <c r="AB63" s="145">
        <f t="shared" ref="AB63:AB64" si="75">+((O63*P63*(R63-U63)/100)-S63-AA63+T63)*V63</f>
        <v>834.06896351999967</v>
      </c>
      <c r="AC63" s="145">
        <f>+(S63-T63)*V63-'data 1'!$F$4</f>
        <v>41.253</v>
      </c>
      <c r="AD63" s="145">
        <f t="shared" si="60"/>
        <v>104.20907910972002</v>
      </c>
      <c r="AE63" s="145">
        <f t="shared" si="61"/>
        <v>7.1610000000000014</v>
      </c>
      <c r="AF63" s="145">
        <f t="shared" si="62"/>
        <v>84.706623132120072</v>
      </c>
      <c r="AG63" s="772">
        <f t="shared" ref="AG63" si="76">AC63+AD63+AE63+AF63+70</f>
        <v>307.3297022418401</v>
      </c>
      <c r="AH63" s="1253">
        <f t="shared" si="64"/>
        <v>29.052</v>
      </c>
      <c r="AI63" s="1253">
        <f t="shared" si="65"/>
        <v>29.509</v>
      </c>
      <c r="AJ63" s="156">
        <f t="shared" si="66"/>
        <v>210.99692381328015</v>
      </c>
      <c r="AK63" s="156">
        <f t="shared" si="67"/>
        <v>24.7052277795168</v>
      </c>
      <c r="AM63" s="716">
        <f t="shared" si="68"/>
        <v>2782.4540623027187</v>
      </c>
      <c r="AN63" s="716" t="str">
        <f>_xlfn.XLOOKUP(D63,RUC!$B$3:$B$578,RUC!$M$3:$M$578)</f>
        <v xml:space="preserve">Dante </v>
      </c>
      <c r="AO63" s="1167" t="s">
        <v>2280</v>
      </c>
      <c r="AP63" t="s">
        <v>3405</v>
      </c>
      <c r="AQ63" t="s">
        <v>4084</v>
      </c>
    </row>
    <row r="64" spans="1:44" ht="15" customHeight="1">
      <c r="A64" s="747" t="s">
        <v>4211</v>
      </c>
      <c r="B64" s="1447">
        <v>46030</v>
      </c>
      <c r="C64" s="1447">
        <v>46027</v>
      </c>
      <c r="D64" t="s">
        <v>2004</v>
      </c>
      <c r="E64" s="762">
        <f>_xlfn.XLOOKUP(D64,RUC!$B$3:$B$123,RUC!$D$3:$D$123)</f>
        <v>20612921866</v>
      </c>
      <c r="G64" s="1082">
        <v>50</v>
      </c>
      <c r="H64" s="762" t="s">
        <v>69</v>
      </c>
      <c r="I64" s="703">
        <v>5.43</v>
      </c>
      <c r="J64" s="596">
        <v>1.3</v>
      </c>
      <c r="K64" s="703">
        <f t="shared" si="55"/>
        <v>5.359</v>
      </c>
      <c r="L64" s="1192">
        <v>0.13</v>
      </c>
      <c r="M64" s="994">
        <f t="shared" ref="M64" si="77">ROUND(+IF(AN64="Melchor Vera",IF(L64&gt;0.467,L64*0.985,(L64-0.007)),IF(L64&gt;0.3,L64*0.94,(L64-0.018))),3)</f>
        <v>0.112</v>
      </c>
      <c r="N64" s="1196">
        <f t="shared" si="72"/>
        <v>0.112</v>
      </c>
      <c r="O64" s="645">
        <f t="shared" si="57"/>
        <v>0.112</v>
      </c>
      <c r="P64" s="727">
        <v>90</v>
      </c>
      <c r="Q64" s="1476">
        <v>96.92</v>
      </c>
      <c r="R64" s="706">
        <v>4307.95</v>
      </c>
      <c r="S64" s="765">
        <f>IF((_xlfn.XLOOKUP(D64,RUC!$B$3:$B$119,RUC!$E$3:$E$119)+ROUNDDOWN(O64,1)*100)&lt;95,95,((_xlfn.XLOOKUP(D64,RUC!$B$3:$B$119,RUC!$E$3:$E$119)+ROUNDDOWN(O64,1)*100)))</f>
        <v>95</v>
      </c>
      <c r="U64" s="1146">
        <f>_xlfn.XLOOKUP(D64,RUC!$B$3:$B$123,RUC!$F$3:$F$123)</f>
        <v>100</v>
      </c>
      <c r="V64" s="715">
        <v>1.1023000000000001</v>
      </c>
      <c r="Y64">
        <f>_xlfn.XLOOKUP(D64,RUC!$B$3:$B$123,RUC!$G$3:$G$123)</f>
        <v>0</v>
      </c>
      <c r="Z64" s="143">
        <f>_xlfn.XLOOKUP(D64,RUC!$B$3:$B$123,RUC!$H$3:$H$123)</f>
        <v>30</v>
      </c>
      <c r="AA64" s="144">
        <f t="shared" si="58"/>
        <v>30</v>
      </c>
      <c r="AB64" s="145">
        <f t="shared" si="75"/>
        <v>329.76556712800004</v>
      </c>
      <c r="AC64" s="145">
        <f>+(S64-T64)*V64-'data 1'!$F$4</f>
        <v>24.718500000000006</v>
      </c>
      <c r="AD64" s="145">
        <f t="shared" si="60"/>
        <v>41.727255871860017</v>
      </c>
      <c r="AE64" s="145">
        <f t="shared" si="61"/>
        <v>-36.930999999999997</v>
      </c>
      <c r="AF64" s="145">
        <f t="shared" si="62"/>
        <v>80.92007726079602</v>
      </c>
      <c r="AG64" s="772">
        <f t="shared" ref="AG64" si="78">AC64+AD64+AE64+AF64+70-10</f>
        <v>170.43483313265605</v>
      </c>
      <c r="AH64" s="1253">
        <f t="shared" si="64"/>
        <v>23.15</v>
      </c>
      <c r="AI64" s="1253">
        <f t="shared" si="65"/>
        <v>23.885999999999999</v>
      </c>
      <c r="AJ64" s="156">
        <f t="shared" si="66"/>
        <v>122.50385895514005</v>
      </c>
      <c r="AK64" s="156">
        <f t="shared" si="67"/>
        <v>18.520527771642961</v>
      </c>
      <c r="AM64" s="716">
        <f t="shared" si="68"/>
        <v>1767.2136742389523</v>
      </c>
      <c r="AN64" s="716" t="str">
        <f>_xlfn.XLOOKUP(D64,RUC!$B$3:$B$578,RUC!$M$3:$M$578)</f>
        <v>Ronald Garibay</v>
      </c>
      <c r="AO64" s="1167" t="s">
        <v>2277</v>
      </c>
      <c r="AP64" t="s">
        <v>4245</v>
      </c>
      <c r="AQ64" t="s">
        <v>4246</v>
      </c>
    </row>
  </sheetData>
  <autoFilter ref="A3:AO64" xr:uid="{00000000-0009-0000-0000-00000C000000}"/>
  <mergeCells count="2">
    <mergeCell ref="AV5:BD5"/>
    <mergeCell ref="AV26:BA26"/>
  </mergeCells>
  <pageMargins left="0.7" right="0.7" top="0.75" bottom="0.75" header="0" footer="0"/>
  <pageSetup scale="14" fitToHeight="0" orientation="landscape" horizontalDpi="360" verticalDpi="360" r:id="rId1"/>
  <ignoredErrors>
    <ignoredError sqref="AJ3" formula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DAB07-3D9F-43D3-ADA6-FA8FD1E30EC5}">
  <sheetPr>
    <tabColor rgb="FF00B050"/>
    <pageSetUpPr fitToPage="1"/>
  </sheetPr>
  <dimension ref="A1:BD147"/>
  <sheetViews>
    <sheetView showGridLines="0" zoomScale="80" zoomScaleNormal="80" workbookViewId="0">
      <pane xSplit="4" ySplit="3" topLeftCell="AS4" activePane="bottomRight" state="frozen"/>
      <selection activeCell="AW6" sqref="AW6:AX6"/>
      <selection pane="topRight" activeCell="AW6" sqref="AW6:AX6"/>
      <selection pane="bottomLeft" activeCell="AW6" sqref="AW6:AX6"/>
      <selection pane="bottomRight" activeCell="AW6" sqref="AW6:AX6"/>
    </sheetView>
  </sheetViews>
  <sheetFormatPr baseColWidth="10" defaultColWidth="14.44140625" defaultRowHeight="15" customHeight="1"/>
  <cols>
    <col min="1" max="1" width="14.5546875" customWidth="1"/>
    <col min="2" max="2" width="12.33203125" style="762" customWidth="1"/>
    <col min="3" max="3" width="11.6640625" style="762" customWidth="1"/>
    <col min="4" max="4" width="42.5546875" customWidth="1"/>
    <col min="5" max="5" width="15.88671875" customWidth="1"/>
    <col min="6" max="6" width="15.33203125" customWidth="1"/>
    <col min="7" max="7" width="12.109375" customWidth="1"/>
    <col min="8" max="8" width="11.44140625" style="762" customWidth="1"/>
    <col min="9" max="10" width="10.332031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7.66406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0.88671875" customWidth="1"/>
    <col min="43" max="43" width="12.6640625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6059.9109999999991</v>
      </c>
      <c r="F1" s="1075" t="s">
        <v>1906</v>
      </c>
      <c r="G1" s="1076" t="e">
        <f>+$AM3</f>
        <v>#N/A</v>
      </c>
      <c r="H1" s="1448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B2" s="1144"/>
      <c r="D2" s="1075" t="s">
        <v>1907</v>
      </c>
      <c r="E2" s="1076">
        <f>+AH3</f>
        <v>5522.8720000000003</v>
      </c>
      <c r="F2" s="1079" t="s">
        <v>1908</v>
      </c>
      <c r="G2" s="1080">
        <f>+Q2</f>
        <v>91.582635384271029</v>
      </c>
      <c r="H2" s="90"/>
      <c r="I2" s="1251">
        <f>SUBTOTAL(9,I4:I813)</f>
        <v>594.27999999999975</v>
      </c>
      <c r="J2" s="81"/>
      <c r="K2" s="91">
        <f>SUBTOTAL(9,K4:K813)</f>
        <v>527.09500000000003</v>
      </c>
      <c r="L2" s="1202">
        <f>+SUMPRODUCT(L5:L813,K5:K813)/K2</f>
        <v>0.3353271137081551</v>
      </c>
      <c r="M2" s="6"/>
      <c r="O2" s="703"/>
      <c r="P2" s="94">
        <f>+SUMPRODUCT(P4:P813,AH4:AH813)/SUM(AH4:AH813)</f>
        <v>87.302085400494562</v>
      </c>
      <c r="Q2" s="1201">
        <f>+SUMPRODUCT(Q4:Q813,AH4:AH813)/SUM(AH4:AH813)</f>
        <v>91.582635384271029</v>
      </c>
      <c r="R2" s="1151">
        <f>+SUMPRODUCT(R4:R813,AH4:AH813)/SUM(AH4:AH813)</f>
        <v>4452.1071029529548</v>
      </c>
      <c r="S2" s="6"/>
      <c r="AB2" s="83"/>
      <c r="AC2" s="83"/>
      <c r="AD2" s="83"/>
      <c r="AE2" s="83"/>
      <c r="AF2" s="83"/>
      <c r="AG2" s="1209" t="e">
        <f>SUMPRODUCT($AG4:$AG813,$K4:$K813)/SUM($K4:$K813)</f>
        <v>#N/A</v>
      </c>
      <c r="AH2" s="702"/>
      <c r="AI2" s="631"/>
      <c r="AJ2" s="252">
        <v>5006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679" t="s">
        <v>39</v>
      </c>
      <c r="C3" s="679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SUBTOTAL(9,AH4:AH813)</f>
        <v>5522.8720000000003</v>
      </c>
      <c r="AI3" s="1252">
        <f>SUBTOTAL(9,AI4:AI813)</f>
        <v>6059.9109999999991</v>
      </c>
      <c r="AJ3" s="1388" t="e">
        <f>SUMPRODUCT(K4:K813,AJ4:AJ813)/K2</f>
        <v>#N/A</v>
      </c>
      <c r="AK3" s="118" t="e">
        <f>SUBTOTAL(9,AK4:AK813)</f>
        <v>#N/A</v>
      </c>
      <c r="AL3" s="88"/>
      <c r="AM3" s="118" t="e">
        <f>SUBTOTAL(9,AM4:AM813)</f>
        <v>#N/A</v>
      </c>
      <c r="AN3" s="1182" t="s">
        <v>2247</v>
      </c>
      <c r="AO3" s="1168" t="s">
        <v>2283</v>
      </c>
      <c r="AP3" s="1167" t="s">
        <v>2351</v>
      </c>
      <c r="AQ3" s="1167" t="s">
        <v>2352</v>
      </c>
      <c r="AS3" s="1216"/>
    </row>
    <row r="4" spans="1:56" s="677" customFormat="1" ht="15.75" customHeight="1" thickBot="1">
      <c r="A4" s="720"/>
      <c r="B4" s="671"/>
      <c r="C4" s="723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56" ht="15" customHeight="1" thickBot="1">
      <c r="A5" s="1491" t="s">
        <v>3840</v>
      </c>
      <c r="C5" s="1447">
        <v>46008</v>
      </c>
      <c r="D5" t="s">
        <v>1967</v>
      </c>
      <c r="E5" s="762">
        <f>_xlfn.XLOOKUP(D5,RUC!$B$3:$B$123,RUC!$D$3:$D$123)</f>
        <v>20601769396</v>
      </c>
      <c r="G5" s="1082">
        <v>56</v>
      </c>
      <c r="H5" s="762" t="s">
        <v>2005</v>
      </c>
      <c r="I5" s="703">
        <v>4.5599999999999996</v>
      </c>
      <c r="J5" s="596">
        <v>6</v>
      </c>
      <c r="K5" s="703">
        <f t="shared" ref="K5:K46" si="0">ROUND(+I5-(I5*(J5/100)),3)</f>
        <v>4.2859999999999996</v>
      </c>
      <c r="L5" s="1192">
        <v>0.09</v>
      </c>
      <c r="M5" s="994">
        <f t="shared" ref="M5:M14" si="1">ROUND(+IF(AN5="Melchor Vera",IF(L5&gt;0.467,L5*0.985,(L5-0.007)),IF(L5&gt;0.3,L5*0.94,(L5-0.018))),3)</f>
        <v>7.1999999999999995E-2</v>
      </c>
      <c r="N5" s="1196">
        <f t="shared" ref="N5:N17" si="2">+M5</f>
        <v>7.1999999999999995E-2</v>
      </c>
      <c r="O5" s="645">
        <f t="shared" ref="O5:O30" si="3">+ROUND((M5+N5)/2,3)</f>
        <v>7.1999999999999995E-2</v>
      </c>
      <c r="P5" s="727">
        <v>90</v>
      </c>
      <c r="Q5" s="1476">
        <v>44.93</v>
      </c>
      <c r="R5" s="706">
        <v>4342.1000000000004</v>
      </c>
      <c r="S5" s="765">
        <f>IF((_xlfn.XLOOKUP(D5,RUC!$B$3:$B$119,RUC!$E$3:$E$119)+ROUNDDOWN(O5,1)*100)&lt;95,95,((_xlfn.XLOOKUP(D5,RUC!$B$3:$B$119,RUC!$E$3:$E$119)+ROUNDDOWN(O5,1)*100)))</f>
        <v>95</v>
      </c>
      <c r="U5" s="1146">
        <f>_xlfn.XLOOKUP(D5,RUC!$B$3:$B$123,RUC!$F$3:$F$123)</f>
        <v>120</v>
      </c>
      <c r="V5" s="715">
        <v>1.1023000000000001</v>
      </c>
      <c r="Y5">
        <f>_xlfn.XLOOKUP(D5,RUC!$B$3:$B$123,RUC!$G$3:$G$123)</f>
        <v>20</v>
      </c>
      <c r="Z5" s="143">
        <f>_xlfn.XLOOKUP(D5,RUC!$B$3:$B$123,RUC!$H$3:$H$123)</f>
        <v>30</v>
      </c>
      <c r="AA5" s="144">
        <f t="shared" ref="AA5:AA46" si="4">+Y5+Z5</f>
        <v>50</v>
      </c>
      <c r="AB5" s="145">
        <v>1E-3</v>
      </c>
      <c r="AC5" s="145">
        <f>+(S5-T5)*V5-'data 1'!$F$4</f>
        <v>24.718500000000006</v>
      </c>
      <c r="AD5" s="145">
        <f t="shared" ref="AD5:AD46" si="5">+(Q5-P5)*(R5-U5)*L5*V5/100</f>
        <v>-188.78104692729002</v>
      </c>
      <c r="AE5" s="145">
        <f t="shared" ref="AE5:AE46" si="6">+(Y5*V5-70)+V5*(Z5-IF(D5="UNTUCA",IF(+((W5-3)*2.5+(X5-3)*3.1)&gt;0,+((W5-3)*1.5+(X5-3)*3.1),0),IF(+((W5-3)*1.5+(X5-3)*3.1)&gt;0,+((W5-3)*1.5+(X5-3)*3.1),0)))</f>
        <v>-14.884999999999998</v>
      </c>
      <c r="AF5" s="145">
        <f t="shared" ref="AF5:AF46" si="7">(L5-O5)*(R5-U5)*Q5*V5/100</f>
        <v>37.638928060542007</v>
      </c>
      <c r="AG5" s="772">
        <f>AC5+AD5+AE5+AF5+70-53+141.75</f>
        <v>17.441381133252008</v>
      </c>
      <c r="AH5" s="1253">
        <f t="shared" ref="AH5:AH46" si="8">ROUND((31.1035*L5*Q5*1.1023*K5/100),3)</f>
        <v>5.9420000000000002</v>
      </c>
      <c r="AI5" s="1253">
        <f t="shared" ref="AI5:AI46" si="9">ROUND((31.1035*L5*1.1023*K5),3)</f>
        <v>13.225</v>
      </c>
      <c r="AJ5" s="156">
        <f t="shared" ref="AJ5:AJ46" si="10">+((+$AJ$2-R5+U5)*L5*Q5*V5)/100</f>
        <v>34.941327427889981</v>
      </c>
      <c r="AK5" s="156">
        <f t="shared" ref="AK5:AK46" si="11">31.1035*1.1023*K5*P5*O5/100</f>
        <v>9.522176822213039</v>
      </c>
      <c r="AM5" s="716">
        <f t="shared" ref="AM5:AM46" si="12">+IF(AB5*K5&gt;0,AB5*K5,0)</f>
        <v>4.2859999999999999E-3</v>
      </c>
      <c r="AN5" s="716" t="str">
        <f>_xlfn.XLOOKUP(D5,RUC!$B$3:$B$578,RUC!$M$3:$M$578)</f>
        <v>Evelyn</v>
      </c>
      <c r="AO5" s="1167" t="s">
        <v>2277</v>
      </c>
      <c r="AP5" t="s">
        <v>3488</v>
      </c>
      <c r="AQ5" t="s">
        <v>3856</v>
      </c>
      <c r="AV5" s="1982" t="s">
        <v>4466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1491" t="s">
        <v>3841</v>
      </c>
      <c r="C6" s="1447">
        <v>46008</v>
      </c>
      <c r="D6" t="s">
        <v>1967</v>
      </c>
      <c r="E6" s="762">
        <f>_xlfn.XLOOKUP(D6,RUC!$B$3:$B$123,RUC!$D$3:$D$123)</f>
        <v>20601769396</v>
      </c>
      <c r="G6" s="1082">
        <v>40</v>
      </c>
      <c r="H6" s="762" t="s">
        <v>69</v>
      </c>
      <c r="I6" s="703">
        <v>3.07</v>
      </c>
      <c r="J6" s="596">
        <v>1.2</v>
      </c>
      <c r="K6" s="703">
        <f t="shared" si="0"/>
        <v>3.0329999999999999</v>
      </c>
      <c r="L6" s="1596">
        <v>4.2000000000000003E-2</v>
      </c>
      <c r="M6" s="994">
        <f t="shared" si="1"/>
        <v>2.4E-2</v>
      </c>
      <c r="N6" s="1196">
        <f t="shared" si="2"/>
        <v>2.4E-2</v>
      </c>
      <c r="O6" s="645">
        <f t="shared" si="3"/>
        <v>2.4E-2</v>
      </c>
      <c r="P6" s="727">
        <v>90</v>
      </c>
      <c r="Q6" s="1476">
        <v>51.22</v>
      </c>
      <c r="R6" s="706">
        <v>4342.1000000000004</v>
      </c>
      <c r="S6" s="765">
        <f>IF((_xlfn.XLOOKUP(D6,RUC!$B$3:$B$119,RUC!$E$3:$E$119)+ROUNDDOWN(O6,1)*100)&lt;95,95,((_xlfn.XLOOKUP(D6,RUC!$B$3:$B$119,RUC!$E$3:$E$119)+ROUNDDOWN(O6,1)*100)))</f>
        <v>95</v>
      </c>
      <c r="U6" s="1146">
        <f>_xlfn.XLOOKUP(D6,RUC!$B$3:$B$123,RUC!$F$3:$F$123)</f>
        <v>120</v>
      </c>
      <c r="V6" s="715">
        <v>1.1023000000000001</v>
      </c>
      <c r="Y6">
        <f>_xlfn.XLOOKUP(D6,RUC!$B$3:$B$123,RUC!$G$3:$G$123)</f>
        <v>20</v>
      </c>
      <c r="Z6" s="143">
        <f>_xlfn.XLOOKUP(D6,RUC!$B$3:$B$123,RUC!$H$3:$H$123)</f>
        <v>30</v>
      </c>
      <c r="AA6" s="144">
        <f t="shared" si="4"/>
        <v>50</v>
      </c>
      <c r="AB6" s="145">
        <f t="shared" ref="AB6:AB36" si="13">+((O6*P6*(R6-U6)/100)-S6-AA6+T6)*V6</f>
        <v>-59.306650071999996</v>
      </c>
      <c r="AC6" s="145">
        <f>+(S6-T6)*V6-'data 1'!$F$4</f>
        <v>24.718500000000006</v>
      </c>
      <c r="AD6" s="145">
        <f t="shared" si="5"/>
        <v>-75.802829670708022</v>
      </c>
      <c r="AE6" s="145">
        <f t="shared" si="6"/>
        <v>-14.884999999999998</v>
      </c>
      <c r="AF6" s="145">
        <f t="shared" si="7"/>
        <v>42.908210444268008</v>
      </c>
      <c r="AG6" s="772">
        <f t="shared" ref="AG6:AG36" si="14">AC6+AD6+AE6+AF6+70-53</f>
        <v>-6.0611192264400131</v>
      </c>
      <c r="AH6" s="1253">
        <f t="shared" si="8"/>
        <v>2.2370000000000001</v>
      </c>
      <c r="AI6" s="1253">
        <f t="shared" si="9"/>
        <v>4.367</v>
      </c>
      <c r="AJ6" s="156">
        <f t="shared" si="10"/>
        <v>18.588713607827991</v>
      </c>
      <c r="AK6" s="156">
        <f t="shared" si="11"/>
        <v>2.24613177024204</v>
      </c>
      <c r="AM6" s="716">
        <f t="shared" si="12"/>
        <v>0</v>
      </c>
      <c r="AN6" s="716" t="str">
        <f>_xlfn.XLOOKUP(D6,RUC!$B$3:$B$578,RUC!$M$3:$M$578)</f>
        <v>Evelyn</v>
      </c>
      <c r="AO6" s="1167" t="s">
        <v>2277</v>
      </c>
      <c r="AP6" t="s">
        <v>3488</v>
      </c>
      <c r="AQ6" t="s">
        <v>3856</v>
      </c>
      <c r="AV6" s="1636"/>
      <c r="AW6" s="1636"/>
      <c r="AX6" s="1636"/>
      <c r="AY6" s="1636"/>
      <c r="AZ6" s="1636"/>
      <c r="BA6" s="1636"/>
      <c r="BB6" s="1636"/>
      <c r="BC6" s="1636"/>
      <c r="BD6" s="1636"/>
    </row>
    <row r="7" spans="1:56" ht="15" customHeight="1">
      <c r="A7" s="1491" t="s">
        <v>3842</v>
      </c>
      <c r="C7" s="1447">
        <v>46008</v>
      </c>
      <c r="D7" t="s">
        <v>1967</v>
      </c>
      <c r="E7" s="762">
        <f>_xlfn.XLOOKUP(D7,RUC!$B$3:$B$123,RUC!$D$3:$D$123)</f>
        <v>20601769396</v>
      </c>
      <c r="G7" s="1082">
        <v>40</v>
      </c>
      <c r="H7" s="762" t="s">
        <v>69</v>
      </c>
      <c r="I7" s="703">
        <v>3.21</v>
      </c>
      <c r="J7" s="596">
        <v>1.1499999999999999</v>
      </c>
      <c r="K7" s="703">
        <f t="shared" si="0"/>
        <v>3.173</v>
      </c>
      <c r="L7" s="1596">
        <v>0.05</v>
      </c>
      <c r="M7" s="994">
        <f t="shared" si="1"/>
        <v>3.2000000000000001E-2</v>
      </c>
      <c r="N7" s="1196">
        <f t="shared" si="2"/>
        <v>3.2000000000000001E-2</v>
      </c>
      <c r="O7" s="645">
        <f t="shared" si="3"/>
        <v>3.2000000000000001E-2</v>
      </c>
      <c r="P7" s="727">
        <v>90</v>
      </c>
      <c r="Q7" s="1583">
        <v>90</v>
      </c>
      <c r="R7" s="706">
        <v>4342.1000000000004</v>
      </c>
      <c r="S7" s="765">
        <f>IF((_xlfn.XLOOKUP(D7,RUC!$B$3:$B$119,RUC!$E$3:$E$119)+ROUNDDOWN(O7,1)*100)&lt;95,95,((_xlfn.XLOOKUP(D7,RUC!$B$3:$B$119,RUC!$E$3:$E$119)+ROUNDDOWN(O7,1)*100)))</f>
        <v>95</v>
      </c>
      <c r="U7" s="1146">
        <f>_xlfn.XLOOKUP(D7,RUC!$B$3:$B$123,RUC!$F$3:$F$123)</f>
        <v>120</v>
      </c>
      <c r="V7" s="715">
        <v>1.1023000000000001</v>
      </c>
      <c r="Y7">
        <f>_xlfn.XLOOKUP(D7,RUC!$B$3:$B$123,RUC!$G$3:$G$123)</f>
        <v>20</v>
      </c>
      <c r="Z7" s="143">
        <f>_xlfn.XLOOKUP(D7,RUC!$B$3:$B$123,RUC!$H$3:$H$123)</f>
        <v>30</v>
      </c>
      <c r="AA7" s="144">
        <f t="shared" si="4"/>
        <v>50</v>
      </c>
      <c r="AB7" s="145">
        <f t="shared" si="13"/>
        <v>-25.797700095999986</v>
      </c>
      <c r="AC7" s="145">
        <f>+(S7-T7)*V7-'data 1'!$F$4</f>
        <v>24.718500000000006</v>
      </c>
      <c r="AD7" s="145">
        <f t="shared" si="5"/>
        <v>0</v>
      </c>
      <c r="AE7" s="145">
        <f t="shared" si="6"/>
        <v>-14.884999999999998</v>
      </c>
      <c r="AF7" s="145">
        <f t="shared" si="7"/>
        <v>75.395137446000021</v>
      </c>
      <c r="AG7" s="772">
        <f t="shared" si="14"/>
        <v>102.22863744600002</v>
      </c>
      <c r="AH7" s="1253">
        <f t="shared" si="8"/>
        <v>4.8949999999999996</v>
      </c>
      <c r="AI7" s="1253">
        <f t="shared" si="9"/>
        <v>5.4390000000000001</v>
      </c>
      <c r="AJ7" s="156">
        <f t="shared" si="10"/>
        <v>38.88418364999999</v>
      </c>
      <c r="AK7" s="156">
        <f t="shared" si="11"/>
        <v>3.1330810449403201</v>
      </c>
      <c r="AM7" s="716">
        <f t="shared" si="12"/>
        <v>0</v>
      </c>
      <c r="AN7" s="716" t="str">
        <f>_xlfn.XLOOKUP(D7,RUC!$B$3:$B$578,RUC!$M$3:$M$578)</f>
        <v>Evelyn</v>
      </c>
      <c r="AO7" s="1167" t="s">
        <v>2278</v>
      </c>
      <c r="AP7" t="s">
        <v>3488</v>
      </c>
      <c r="AQ7" t="s">
        <v>3856</v>
      </c>
      <c r="AW7" s="1469">
        <f>SUM(AW9:AW18)</f>
        <v>527.09500000000003</v>
      </c>
      <c r="AX7" s="1470">
        <f>SUMPRODUCT(AW9:AW18,AX9:AX18)/SUM(AW9:AW18)</f>
        <v>0.3353271137081551</v>
      </c>
      <c r="AY7" s="704"/>
      <c r="AZ7" s="1471">
        <f>SUMPRODUCT(AZ9:AZ18,$BB9:$BB18)/SUM($BB9:$BB18)/100</f>
        <v>0.91582635384271105</v>
      </c>
      <c r="BA7" s="707">
        <f>SUM(BA9:BA18)</f>
        <v>6059.9164523695226</v>
      </c>
      <c r="BB7" s="707">
        <f>SUM(BB9:BB18)</f>
        <v>5522.8719999999994</v>
      </c>
    </row>
    <row r="8" spans="1:56" ht="15" customHeight="1" thickBot="1">
      <c r="A8" s="1491" t="s">
        <v>3843</v>
      </c>
      <c r="C8" s="1447">
        <v>46008</v>
      </c>
      <c r="D8" t="s">
        <v>1484</v>
      </c>
      <c r="E8" s="762">
        <f>_xlfn.XLOOKUP(D8,RUC!$B$3:$B$123,RUC!$D$3:$D$123)</f>
        <v>10761932735</v>
      </c>
      <c r="G8" s="1082" t="s">
        <v>2985</v>
      </c>
      <c r="H8" s="762" t="s">
        <v>69</v>
      </c>
      <c r="I8" s="703">
        <v>15.3</v>
      </c>
      <c r="J8" s="596">
        <v>7.9</v>
      </c>
      <c r="K8" s="703">
        <f t="shared" si="0"/>
        <v>14.090999999999999</v>
      </c>
      <c r="L8" s="1192">
        <v>0.113</v>
      </c>
      <c r="M8" s="994">
        <f t="shared" si="1"/>
        <v>9.5000000000000001E-2</v>
      </c>
      <c r="N8" s="1196">
        <f t="shared" si="2"/>
        <v>9.5000000000000001E-2</v>
      </c>
      <c r="O8" s="645">
        <f t="shared" si="3"/>
        <v>9.5000000000000001E-2</v>
      </c>
      <c r="P8" s="727">
        <v>90</v>
      </c>
      <c r="Q8" s="1476">
        <v>98.2</v>
      </c>
      <c r="R8" s="706">
        <v>4342.1000000000004</v>
      </c>
      <c r="S8" s="765">
        <f>IF((_xlfn.XLOOKUP(D8,RUC!$B$3:$B$119,RUC!$E$3:$E$119)+ROUNDDOWN(O8,1)*100)&lt;95,95,((_xlfn.XLOOKUP(D8,RUC!$B$3:$B$119,RUC!$E$3:$E$119)+ROUNDDOWN(O8,1)*100)))</f>
        <v>95</v>
      </c>
      <c r="U8" s="1146">
        <f>_xlfn.XLOOKUP(D8,RUC!$B$3:$B$123,RUC!$F$3:$F$123)</f>
        <v>120</v>
      </c>
      <c r="V8" s="715">
        <v>1.1023000000000001</v>
      </c>
      <c r="Y8">
        <f>_xlfn.XLOOKUP(D8,RUC!$B$3:$B$123,RUC!$G$3:$G$123)</f>
        <v>20</v>
      </c>
      <c r="Z8" s="143">
        <f>_xlfn.XLOOKUP(D8,RUC!$B$3:$B$123,RUC!$H$3:$H$123)</f>
        <v>30</v>
      </c>
      <c r="AA8" s="144">
        <f t="shared" si="4"/>
        <v>50</v>
      </c>
      <c r="AB8" s="145">
        <v>0</v>
      </c>
      <c r="AC8" s="145">
        <f>+(S8-T8)*V8-'data 1'!$F$4</f>
        <v>24.718500000000006</v>
      </c>
      <c r="AD8" s="145">
        <f t="shared" si="5"/>
        <v>43.124157010780024</v>
      </c>
      <c r="AE8" s="145">
        <f t="shared" si="6"/>
        <v>-14.884999999999998</v>
      </c>
      <c r="AF8" s="145">
        <f t="shared" si="7"/>
        <v>82.264472191080017</v>
      </c>
      <c r="AG8" s="772">
        <f t="shared" si="14"/>
        <v>152.22212920186004</v>
      </c>
      <c r="AH8" s="1253">
        <f t="shared" si="8"/>
        <v>53.609000000000002</v>
      </c>
      <c r="AI8" s="1253">
        <f t="shared" si="9"/>
        <v>54.591999999999999</v>
      </c>
      <c r="AJ8" s="156">
        <f t="shared" si="10"/>
        <v>95.884940509019984</v>
      </c>
      <c r="AK8" s="156">
        <f t="shared" si="11"/>
        <v>41.306366957573026</v>
      </c>
      <c r="AM8" s="716">
        <f t="shared" si="12"/>
        <v>0</v>
      </c>
      <c r="AN8" s="716" t="str">
        <f>_xlfn.XLOOKUP(D8,RUC!$B$3:$B$578,RUC!$M$3:$M$578)</f>
        <v>Richard Sapacayo</v>
      </c>
      <c r="AO8" s="1167" t="s">
        <v>2279</v>
      </c>
      <c r="AP8" t="s">
        <v>3857</v>
      </c>
      <c r="AQ8" t="s">
        <v>3858</v>
      </c>
      <c r="AV8" s="762"/>
      <c r="AW8" s="762" t="s">
        <v>15</v>
      </c>
      <c r="AX8" s="762" t="s">
        <v>2522</v>
      </c>
      <c r="AY8" s="1214" t="s">
        <v>2522</v>
      </c>
      <c r="AZ8" s="762" t="s">
        <v>2523</v>
      </c>
      <c r="BA8" s="762" t="s">
        <v>2558</v>
      </c>
      <c r="BB8" s="762" t="s">
        <v>2559</v>
      </c>
      <c r="BC8" s="1555" t="s">
        <v>2565</v>
      </c>
      <c r="BD8" s="729" t="s">
        <v>2579</v>
      </c>
    </row>
    <row r="9" spans="1:56" ht="15" customHeight="1">
      <c r="A9" s="747" t="s">
        <v>3844</v>
      </c>
      <c r="B9" s="1447">
        <v>46014</v>
      </c>
      <c r="C9" s="1447">
        <v>46008</v>
      </c>
      <c r="D9" t="s">
        <v>1967</v>
      </c>
      <c r="E9" s="762">
        <f>_xlfn.XLOOKUP(D9,RUC!$B$3:$B$123,RUC!$D$3:$D$123)</f>
        <v>20601769396</v>
      </c>
      <c r="G9" s="1082">
        <v>54</v>
      </c>
      <c r="H9" s="762" t="s">
        <v>2005</v>
      </c>
      <c r="I9" s="703">
        <v>4.12</v>
      </c>
      <c r="J9" s="596">
        <v>9.6</v>
      </c>
      <c r="K9" s="703">
        <f t="shared" si="0"/>
        <v>3.7240000000000002</v>
      </c>
      <c r="L9" s="1192">
        <v>0.374</v>
      </c>
      <c r="M9" s="994">
        <f t="shared" si="1"/>
        <v>0.35199999999999998</v>
      </c>
      <c r="N9" s="1196">
        <f t="shared" si="2"/>
        <v>0.35199999999999998</v>
      </c>
      <c r="O9" s="645">
        <f t="shared" si="3"/>
        <v>0.35199999999999998</v>
      </c>
      <c r="P9" s="727">
        <v>90</v>
      </c>
      <c r="Q9" s="1476">
        <v>90.37</v>
      </c>
      <c r="R9" s="706">
        <v>4342.1000000000004</v>
      </c>
      <c r="S9" s="765">
        <f>IF((_xlfn.XLOOKUP(D9,RUC!$B$3:$B$119,RUC!$E$3:$E$119)+ROUNDDOWN(O9,1)*100)&lt;95,95,((_xlfn.XLOOKUP(D9,RUC!$B$3:$B$119,RUC!$E$3:$E$119)+ROUNDDOWN(O9,1)*100)))</f>
        <v>120</v>
      </c>
      <c r="U9" s="1146">
        <f>_xlfn.XLOOKUP(D9,RUC!$B$3:$B$123,RUC!$F$3:$F$123)</f>
        <v>120</v>
      </c>
      <c r="V9" s="715">
        <v>1.1023000000000001</v>
      </c>
      <c r="Y9">
        <f>_xlfn.XLOOKUP(D9,RUC!$B$3:$B$123,RUC!$G$3:$G$123)</f>
        <v>20</v>
      </c>
      <c r="Z9" s="143">
        <f>_xlfn.XLOOKUP(D9,RUC!$B$3:$B$123,RUC!$H$3:$H$123)</f>
        <v>30</v>
      </c>
      <c r="AA9" s="144">
        <f t="shared" si="4"/>
        <v>50</v>
      </c>
      <c r="AB9" s="145">
        <f t="shared" ref="AB9" si="15">+((O9*P9*(R9-U9)/100)-S9-AA9+T9)*V9</f>
        <v>1287.002798944</v>
      </c>
      <c r="AC9" s="145">
        <f>+(S9-T9)*V9-'data 1'!$F$4</f>
        <v>52.27600000000001</v>
      </c>
      <c r="AD9" s="145">
        <f t="shared" si="5"/>
        <v>6.440234024554079</v>
      </c>
      <c r="AE9" s="145">
        <f t="shared" si="6"/>
        <v>-14.884999999999998</v>
      </c>
      <c r="AF9" s="145">
        <f t="shared" si="7"/>
        <v>92.528449729562084</v>
      </c>
      <c r="AG9" s="772">
        <f t="shared" si="14"/>
        <v>153.35968375411619</v>
      </c>
      <c r="AH9" s="1253">
        <f t="shared" si="8"/>
        <v>43.152999999999999</v>
      </c>
      <c r="AI9" s="1253">
        <f t="shared" si="9"/>
        <v>47.752000000000002</v>
      </c>
      <c r="AJ9" s="156">
        <f t="shared" si="10"/>
        <v>292.0494255538859</v>
      </c>
      <c r="AK9" s="156">
        <f t="shared" si="11"/>
        <v>40.448639119109757</v>
      </c>
      <c r="AM9" s="716">
        <f t="shared" si="12"/>
        <v>4792.7984232674562</v>
      </c>
      <c r="AN9" s="716" t="str">
        <f>_xlfn.XLOOKUP(D9,RUC!$B$3:$B$578,RUC!$M$3:$M$578)</f>
        <v>Evelyn</v>
      </c>
      <c r="AO9" s="1167" t="s">
        <v>2279</v>
      </c>
      <c r="AP9" t="s">
        <v>3488</v>
      </c>
      <c r="AQ9" t="s">
        <v>3856</v>
      </c>
      <c r="AV9" s="1556" t="s">
        <v>2277</v>
      </c>
      <c r="AW9" s="1227">
        <f t="shared" ref="AW9:AW18" si="16">SUMIF($AO$4:$AO$921,AV9,$K$4:$K$921)</f>
        <v>159.01600000000002</v>
      </c>
      <c r="AX9" s="1227" cm="1">
        <f t="array" ref="AX9">+SUMPRODUCT(IF($AO$4:$AO$921=AV9,$L$4:$L$921*$K$4:$K$921/AW9))</f>
        <v>0.32889926170951356</v>
      </c>
      <c r="AY9" s="1228">
        <f t="shared" ref="AY9:AY18" si="17">31.1035*1.1023*AX9*(100-AZ9)/100</f>
        <v>1.1343856240572765</v>
      </c>
      <c r="AZ9" s="1229" cm="1">
        <f t="array" ref="AZ9">+SUMPRODUCT(IF($AO$4:$AO$921=AV9,($Q$4:$Q$921*$AH$4:$AH$921)/SUMIF($AO$4:$AO$921,$AV9,$AH$4:$AH$921)))</f>
        <v>89.940213905651191</v>
      </c>
      <c r="BA9" s="1441">
        <f t="shared" ref="BA9:BA18" si="18">+AX9*31.1035*1.1023*AW9</f>
        <v>1793.1341949350729</v>
      </c>
      <c r="BB9" s="1230">
        <f t="shared" ref="BB9:BB18" si="19">SUMIF($AO$4:$AO$110,$AV9,$AH$4:$AH$110)</f>
        <v>1597.6669999999999</v>
      </c>
      <c r="BC9" s="1229">
        <f>+BA9-BB9</f>
        <v>195.46719493507294</v>
      </c>
      <c r="BD9" s="1231">
        <f>+AW9</f>
        <v>159.01600000000002</v>
      </c>
    </row>
    <row r="10" spans="1:56" ht="15" customHeight="1">
      <c r="A10" s="1491" t="s">
        <v>3849</v>
      </c>
      <c r="C10" s="1447">
        <v>46008</v>
      </c>
      <c r="D10" t="s">
        <v>1967</v>
      </c>
      <c r="E10" s="762">
        <f>_xlfn.XLOOKUP(D10,RUC!$B$3:$B$123,RUC!$D$3:$D$123)</f>
        <v>20601769396</v>
      </c>
      <c r="G10" s="1082">
        <v>67</v>
      </c>
      <c r="H10" s="762" t="s">
        <v>69</v>
      </c>
      <c r="I10" s="703">
        <v>4.6900000000000004</v>
      </c>
      <c r="J10" s="596">
        <v>2.5499999999999998</v>
      </c>
      <c r="K10" s="703">
        <f t="shared" si="0"/>
        <v>4.57</v>
      </c>
      <c r="L10" s="1192">
        <v>9.4E-2</v>
      </c>
      <c r="M10" s="994">
        <f t="shared" si="1"/>
        <v>7.5999999999999998E-2</v>
      </c>
      <c r="N10" s="1196">
        <f t="shared" si="2"/>
        <v>7.5999999999999998E-2</v>
      </c>
      <c r="O10" s="645">
        <f t="shared" si="3"/>
        <v>7.5999999999999998E-2</v>
      </c>
      <c r="P10" s="727">
        <v>90</v>
      </c>
      <c r="Q10" s="1476">
        <v>70.75</v>
      </c>
      <c r="R10" s="706">
        <v>4342.1000000000004</v>
      </c>
      <c r="S10" s="765">
        <f>IF((_xlfn.XLOOKUP(D10,RUC!$B$3:$B$119,RUC!$E$3:$E$119)+ROUNDDOWN(O10,1)*100)&lt;95,95,((_xlfn.XLOOKUP(D10,RUC!$B$3:$B$119,RUC!$E$3:$E$119)+ROUNDDOWN(O10,1)*100)))</f>
        <v>95</v>
      </c>
      <c r="U10" s="1146">
        <f>_xlfn.XLOOKUP(D10,RUC!$B$3:$B$123,RUC!$F$3:$F$123)</f>
        <v>120</v>
      </c>
      <c r="V10" s="715">
        <v>1.1023000000000001</v>
      </c>
      <c r="Y10">
        <f>_xlfn.XLOOKUP(D10,RUC!$B$3:$B$123,RUC!$G$3:$G$123)</f>
        <v>20</v>
      </c>
      <c r="Z10" s="143">
        <f>_xlfn.XLOOKUP(D10,RUC!$B$3:$B$123,RUC!$H$3:$H$123)</f>
        <v>30</v>
      </c>
      <c r="AA10" s="144">
        <f t="shared" si="4"/>
        <v>50</v>
      </c>
      <c r="AB10" s="145">
        <v>0</v>
      </c>
      <c r="AC10" s="145">
        <f>+(S10-T10)*V10-'data 1'!$F$4</f>
        <v>24.718500000000006</v>
      </c>
      <c r="AD10" s="145">
        <f t="shared" si="5"/>
        <v>-84.21450691885002</v>
      </c>
      <c r="AE10" s="145">
        <f t="shared" si="6"/>
        <v>-14.884999999999998</v>
      </c>
      <c r="AF10" s="145">
        <f t="shared" si="7"/>
        <v>59.268955270050022</v>
      </c>
      <c r="AG10" s="772">
        <f>AC10+AD10+AE10+AF10+70-53+158.5</f>
        <v>160.38794835120001</v>
      </c>
      <c r="AH10" s="1253">
        <f t="shared" si="8"/>
        <v>10.42</v>
      </c>
      <c r="AI10" s="1253">
        <f t="shared" si="9"/>
        <v>14.728</v>
      </c>
      <c r="AJ10" s="156">
        <f t="shared" si="10"/>
        <v>57.466502969849984</v>
      </c>
      <c r="AK10" s="156">
        <f t="shared" si="11"/>
        <v>10.717200879773403</v>
      </c>
      <c r="AM10" s="716">
        <f t="shared" si="12"/>
        <v>0</v>
      </c>
      <c r="AN10" s="716" t="str">
        <f>_xlfn.XLOOKUP(D10,RUC!$B$3:$B$578,RUC!$M$3:$M$578)</f>
        <v>Evelyn</v>
      </c>
      <c r="AO10" s="1167" t="s">
        <v>2277</v>
      </c>
      <c r="AP10" t="s">
        <v>3488</v>
      </c>
      <c r="AQ10" t="s">
        <v>3856</v>
      </c>
      <c r="AV10" s="1557" t="s">
        <v>2278</v>
      </c>
      <c r="AW10" s="703">
        <f t="shared" si="16"/>
        <v>153.78699999999998</v>
      </c>
      <c r="AX10" s="703" cm="1">
        <f t="array" ref="AX10">+SUMPRODUCT(IF($AO$4:$AO$921=AV10,$L$4:$L$921*$K$4:$K$921/AW10))</f>
        <v>0.33215170983243064</v>
      </c>
      <c r="AY10" s="1215">
        <f t="shared" si="17"/>
        <v>0.83956481077264766</v>
      </c>
      <c r="AZ10" s="596" cm="1">
        <f t="array" ref="AZ10">+SUMPRODUCT(IF($AO$4:$AO$921=AV10,($Q$4:$Q$921*$AH$4:$AH$921)/SUMIF($AO$4:$AO$921,$AV10,$AH$4:$AH$921)))</f>
        <v>92.627603814754622</v>
      </c>
      <c r="BA10" s="1481">
        <f t="shared" si="18"/>
        <v>1751.3187071076509</v>
      </c>
      <c r="BB10" s="1237">
        <f t="shared" si="19"/>
        <v>1618.2430000000002</v>
      </c>
      <c r="BC10" s="596">
        <f t="shared" ref="BC10:BC18" si="20">+BC9+BA10-BB10</f>
        <v>328.54290204272365</v>
      </c>
      <c r="BD10" s="1238">
        <f t="shared" ref="BD10:BD18" si="21">+BD9+AW10</f>
        <v>312.803</v>
      </c>
    </row>
    <row r="11" spans="1:56" ht="15" customHeight="1">
      <c r="A11" s="747" t="s">
        <v>3923</v>
      </c>
      <c r="B11" s="1447">
        <v>46021</v>
      </c>
      <c r="C11" s="1447">
        <v>46012</v>
      </c>
      <c r="D11" t="s">
        <v>93</v>
      </c>
      <c r="E11" s="762">
        <f>_xlfn.XLOOKUP(D11,RUC!$B$3:$B$123,RUC!$D$3:$D$123)</f>
        <v>20169040231</v>
      </c>
      <c r="G11" s="1082">
        <v>20</v>
      </c>
      <c r="H11" s="762" t="s">
        <v>69</v>
      </c>
      <c r="I11" s="703">
        <v>1.7</v>
      </c>
      <c r="J11" s="596">
        <v>2.2999999999999998</v>
      </c>
      <c r="K11" s="703">
        <f t="shared" si="0"/>
        <v>1.661</v>
      </c>
      <c r="L11" s="1192">
        <v>0.46100000000000002</v>
      </c>
      <c r="M11" s="994">
        <f t="shared" si="1"/>
        <v>0.433</v>
      </c>
      <c r="N11" s="1196">
        <f t="shared" si="2"/>
        <v>0.433</v>
      </c>
      <c r="O11" s="645">
        <f t="shared" si="3"/>
        <v>0.433</v>
      </c>
      <c r="P11" s="727">
        <v>90</v>
      </c>
      <c r="Q11" s="1476">
        <v>98.26</v>
      </c>
      <c r="R11" s="706">
        <v>4421.6499999999996</v>
      </c>
      <c r="S11" s="765">
        <f>IF((_xlfn.XLOOKUP(D11,RUC!$B$3:$B$119,RUC!$E$3:$E$119)+ROUNDDOWN(O11,1)*100)&lt;95,95,((_xlfn.XLOOKUP(D11,RUC!$B$3:$B$119,RUC!$E$3:$E$119)+ROUNDDOWN(O11,1)*100)))</f>
        <v>125</v>
      </c>
      <c r="U11" s="1146">
        <f>_xlfn.XLOOKUP(D11,RUC!$B$3:$B$123,RUC!$F$3:$F$123)</f>
        <v>120</v>
      </c>
      <c r="V11" s="715">
        <v>1.1023000000000001</v>
      </c>
      <c r="Y11" s="1445">
        <v>25</v>
      </c>
      <c r="Z11" s="1454">
        <v>38</v>
      </c>
      <c r="AA11" s="144">
        <f t="shared" si="4"/>
        <v>63</v>
      </c>
      <c r="AB11" s="145">
        <f t="shared" si="13"/>
        <v>1640.6115174115</v>
      </c>
      <c r="AC11" s="145">
        <f>+(S11-T11)*V11-'data 1'!$F$4</f>
        <v>57.787499999999994</v>
      </c>
      <c r="AD11" s="145">
        <f t="shared" si="5"/>
        <v>180.55763252128708</v>
      </c>
      <c r="AE11" s="145">
        <f t="shared" si="6"/>
        <v>-0.55509999999999593</v>
      </c>
      <c r="AF11" s="145">
        <f t="shared" si="7"/>
        <v>130.4576857350761</v>
      </c>
      <c r="AG11" s="772">
        <f t="shared" si="14"/>
        <v>385.24771825636316</v>
      </c>
      <c r="AH11" s="1253">
        <f t="shared" si="8"/>
        <v>25.795999999999999</v>
      </c>
      <c r="AI11" s="1253">
        <f t="shared" si="9"/>
        <v>26.253</v>
      </c>
      <c r="AJ11" s="156">
        <f t="shared" si="10"/>
        <v>351.69485219789317</v>
      </c>
      <c r="AK11" s="156">
        <f t="shared" si="11"/>
        <v>22.192647116044185</v>
      </c>
      <c r="AM11" s="716">
        <f t="shared" si="12"/>
        <v>2725.0557304205017</v>
      </c>
      <c r="AN11" s="716" t="str">
        <f>_xlfn.XLOOKUP(D11,RUC!$B$3:$B$578,RUC!$M$3:$M$578)</f>
        <v>Ronald Miranda</v>
      </c>
      <c r="AO11" s="1167" t="s">
        <v>2279</v>
      </c>
      <c r="AP11" t="s">
        <v>3953</v>
      </c>
      <c r="AQ11" t="s">
        <v>3954</v>
      </c>
      <c r="AV11" s="1557" t="s">
        <v>2280</v>
      </c>
      <c r="AW11" s="703">
        <f t="shared" si="16"/>
        <v>166.79400000000001</v>
      </c>
      <c r="AX11" s="703" cm="1">
        <f t="array" ref="AX11">+SUMPRODUCT(IF($AO$4:$AO$921=AV11,$L$4:$L$921*$K$4:$K$921/AW11))</f>
        <v>0.34876598678609544</v>
      </c>
      <c r="AY11" s="1215">
        <f t="shared" si="17"/>
        <v>0.96270873035731497</v>
      </c>
      <c r="AZ11" s="596" cm="1">
        <f t="array" ref="AZ11">+SUMPRODUCT(IF($AO$4:$AO$921=AV11,($Q$4:$Q$921*$AH$4:$AH$921)/SUMIF($AO$4:$AO$921,$AV11,$AH$4:$AH$921)))</f>
        <v>91.948964956618781</v>
      </c>
      <c r="BA11" s="1237">
        <f t="shared" si="18"/>
        <v>1994.4521307633158</v>
      </c>
      <c r="BB11" s="1237">
        <f t="shared" si="19"/>
        <v>1829.2469999999998</v>
      </c>
      <c r="BC11" s="596">
        <f t="shared" si="20"/>
        <v>493.74803280603965</v>
      </c>
      <c r="BD11" s="1238">
        <f t="shared" si="21"/>
        <v>479.59699999999998</v>
      </c>
    </row>
    <row r="12" spans="1:56" ht="15" customHeight="1">
      <c r="A12" s="747" t="s">
        <v>3925</v>
      </c>
      <c r="B12" s="1447">
        <v>46020</v>
      </c>
      <c r="C12" s="1447">
        <v>46012</v>
      </c>
      <c r="D12" t="s">
        <v>93</v>
      </c>
      <c r="E12" s="762">
        <f>_xlfn.XLOOKUP(D12,RUC!$B$3:$B$123,RUC!$D$3:$D$123)</f>
        <v>20169040231</v>
      </c>
      <c r="G12" s="1082">
        <v>10</v>
      </c>
      <c r="H12" s="762" t="s">
        <v>108</v>
      </c>
      <c r="I12" s="703">
        <v>0.89</v>
      </c>
      <c r="J12" s="596">
        <v>27.95</v>
      </c>
      <c r="K12" s="703">
        <f t="shared" si="0"/>
        <v>0.64100000000000001</v>
      </c>
      <c r="L12" s="1192">
        <v>0.97699999999999998</v>
      </c>
      <c r="M12" s="994">
        <f t="shared" si="1"/>
        <v>0.91800000000000004</v>
      </c>
      <c r="N12" s="1196">
        <f t="shared" si="2"/>
        <v>0.91800000000000004</v>
      </c>
      <c r="O12" s="645">
        <f t="shared" si="3"/>
        <v>0.91800000000000004</v>
      </c>
      <c r="P12" s="727">
        <v>90</v>
      </c>
      <c r="Q12" s="1476">
        <v>95.5</v>
      </c>
      <c r="R12" s="706">
        <v>4421.6499999999996</v>
      </c>
      <c r="S12" s="765">
        <f>IF((_xlfn.XLOOKUP(D12,RUC!$B$3:$B$119,RUC!$E$3:$E$119)+ROUNDDOWN(O12,1)*100)&lt;95,95,((_xlfn.XLOOKUP(D12,RUC!$B$3:$B$119,RUC!$E$3:$E$119)+ROUNDDOWN(O12,1)*100)))</f>
        <v>175</v>
      </c>
      <c r="U12" s="1146">
        <f>_xlfn.XLOOKUP(D12,RUC!$B$3:$B$123,RUC!$F$3:$F$123)</f>
        <v>120</v>
      </c>
      <c r="V12" s="715">
        <v>1.1023000000000001</v>
      </c>
      <c r="Y12" s="1445">
        <v>25</v>
      </c>
      <c r="Z12" s="1454">
        <v>38</v>
      </c>
      <c r="AA12" s="144">
        <f t="shared" si="4"/>
        <v>63</v>
      </c>
      <c r="AB12" s="145">
        <f t="shared" si="13"/>
        <v>3655.2524064290001</v>
      </c>
      <c r="AC12" s="145">
        <f>+(S12-T12)*V12-'data 1'!$F$4</f>
        <v>112.9025</v>
      </c>
      <c r="AD12" s="145">
        <f t="shared" si="5"/>
        <v>254.79572209932496</v>
      </c>
      <c r="AE12" s="145">
        <f t="shared" si="6"/>
        <v>-0.55509999999999593</v>
      </c>
      <c r="AF12" s="145">
        <f t="shared" si="7"/>
        <v>267.17158205427472</v>
      </c>
      <c r="AG12" s="772">
        <f t="shared" si="14"/>
        <v>651.31470415359968</v>
      </c>
      <c r="AH12" s="1253">
        <f t="shared" si="8"/>
        <v>20.504999999999999</v>
      </c>
      <c r="AI12" s="1253">
        <f t="shared" si="9"/>
        <v>21.471</v>
      </c>
      <c r="AJ12" s="156">
        <f t="shared" si="10"/>
        <v>724.41304384017542</v>
      </c>
      <c r="AK12" s="156">
        <f t="shared" si="11"/>
        <v>18.157342656029311</v>
      </c>
      <c r="AM12" s="716">
        <f t="shared" si="12"/>
        <v>2343.0167925209889</v>
      </c>
      <c r="AN12" s="716" t="str">
        <f>_xlfn.XLOOKUP(D12,RUC!$B$3:$B$578,RUC!$M$3:$M$578)</f>
        <v>Ronald Miranda</v>
      </c>
      <c r="AO12" s="1167" t="s">
        <v>2277</v>
      </c>
      <c r="AP12" t="s">
        <v>3953</v>
      </c>
      <c r="AQ12" t="s">
        <v>3954</v>
      </c>
      <c r="AV12" s="1557" t="s">
        <v>2279</v>
      </c>
      <c r="AW12" s="703">
        <f t="shared" si="16"/>
        <v>47.497999999999998</v>
      </c>
      <c r="AX12" s="703" cm="1">
        <f t="array" ref="AX12">+SUMPRODUCT(IF($AO$4:$AO$921=AV12,$L$4:$L$921*$K$4:$K$921/AW12))</f>
        <v>0.31993580782348729</v>
      </c>
      <c r="AY12" s="1215">
        <f t="shared" si="17"/>
        <v>0.8629397733516907</v>
      </c>
      <c r="AZ12" s="596" cm="1">
        <f t="array" ref="AZ12">+SUMPRODUCT(IF($AO$4:$AO$921=AV12,($Q$4:$Q$921*$AH$4:$AH$921)/SUMIF($AO$4:$AO$921,$AV12,$AH$4:$AH$921)))</f>
        <v>92.133010560689954</v>
      </c>
      <c r="BA12" s="1237">
        <f t="shared" si="18"/>
        <v>521.01141956348351</v>
      </c>
      <c r="BB12" s="1237">
        <f t="shared" si="19"/>
        <v>477.71499999999997</v>
      </c>
      <c r="BC12" s="596">
        <f t="shared" si="20"/>
        <v>537.04445236952324</v>
      </c>
      <c r="BD12" s="1238">
        <f t="shared" si="21"/>
        <v>527.09500000000003</v>
      </c>
    </row>
    <row r="13" spans="1:56" ht="15" customHeight="1">
      <c r="A13" s="747" t="s">
        <v>3931</v>
      </c>
      <c r="B13" s="1447">
        <v>46024</v>
      </c>
      <c r="C13" s="1447">
        <v>46012</v>
      </c>
      <c r="D13" t="s">
        <v>93</v>
      </c>
      <c r="E13" s="762">
        <f>_xlfn.XLOOKUP(D13,RUC!$B$3:$B$123,RUC!$D$3:$D$123)</f>
        <v>20169040231</v>
      </c>
      <c r="G13" s="1082">
        <v>50</v>
      </c>
      <c r="H13" s="762" t="s">
        <v>69</v>
      </c>
      <c r="I13" s="703">
        <v>4.5</v>
      </c>
      <c r="J13" s="596">
        <v>3.9</v>
      </c>
      <c r="K13" s="703">
        <f t="shared" si="0"/>
        <v>4.3250000000000002</v>
      </c>
      <c r="L13" s="1192">
        <v>0.66300000000000003</v>
      </c>
      <c r="M13" s="994">
        <f t="shared" si="1"/>
        <v>0.623</v>
      </c>
      <c r="N13" s="1444">
        <v>0.71299999999999997</v>
      </c>
      <c r="O13" s="645">
        <f t="shared" si="3"/>
        <v>0.66800000000000004</v>
      </c>
      <c r="P13" s="727">
        <v>90</v>
      </c>
      <c r="Q13" s="1476">
        <v>97.59</v>
      </c>
      <c r="R13" s="706">
        <v>4421.6499999999996</v>
      </c>
      <c r="S13" s="765">
        <f>IF((_xlfn.XLOOKUP(D13,RUC!$B$3:$B$119,RUC!$E$3:$E$119)+ROUNDDOWN(O13,1)*100)&lt;95,95,((_xlfn.XLOOKUP(D13,RUC!$B$3:$B$119,RUC!$E$3:$E$119)+ROUNDDOWN(O13,1)*100)))</f>
        <v>145</v>
      </c>
      <c r="U13" s="1146">
        <f>_xlfn.XLOOKUP(D13,RUC!$B$3:$B$123,RUC!$F$3:$F$123)</f>
        <v>120</v>
      </c>
      <c r="V13" s="715">
        <v>1.1023000000000001</v>
      </c>
      <c r="Y13" s="1445">
        <v>25</v>
      </c>
      <c r="Z13" s="1454">
        <v>38</v>
      </c>
      <c r="AA13" s="144">
        <f t="shared" si="4"/>
        <v>63</v>
      </c>
      <c r="AB13" s="145">
        <f t="shared" si="13"/>
        <v>2621.4369275540002</v>
      </c>
      <c r="AC13" s="145">
        <f>+(S13-T13)*V13-'data 1'!$F$4</f>
        <v>79.833500000000015</v>
      </c>
      <c r="AD13" s="145">
        <f t="shared" si="5"/>
        <v>238.61084746935157</v>
      </c>
      <c r="AE13" s="145">
        <f t="shared" si="6"/>
        <v>-0.55509999999999593</v>
      </c>
      <c r="AF13" s="145">
        <f t="shared" si="7"/>
        <v>-23.137168065202523</v>
      </c>
      <c r="AG13" s="772">
        <f t="shared" si="14"/>
        <v>311.75207940414907</v>
      </c>
      <c r="AH13" s="1253">
        <f t="shared" si="8"/>
        <v>95.942999999999998</v>
      </c>
      <c r="AI13" s="1253">
        <f t="shared" si="9"/>
        <v>98.311999999999998</v>
      </c>
      <c r="AJ13" s="156">
        <f t="shared" si="10"/>
        <v>502.35088622360882</v>
      </c>
      <c r="AK13" s="156">
        <f t="shared" si="11"/>
        <v>89.148523153729514</v>
      </c>
      <c r="AM13" s="716">
        <f t="shared" si="12"/>
        <v>11337.714711671051</v>
      </c>
      <c r="AN13" s="716" t="str">
        <f>_xlfn.XLOOKUP(D13,RUC!$B$3:$B$578,RUC!$M$3:$M$578)</f>
        <v>Ronald Miranda</v>
      </c>
      <c r="AO13" s="1167" t="s">
        <v>2279</v>
      </c>
      <c r="AP13" t="s">
        <v>3953</v>
      </c>
      <c r="AQ13" t="s">
        <v>3954</v>
      </c>
      <c r="AV13" s="1557" t="s">
        <v>2281</v>
      </c>
      <c r="AW13" s="703">
        <f t="shared" si="16"/>
        <v>0</v>
      </c>
      <c r="AX13" s="703" cm="1">
        <f t="array" ref="AX13">+SUMPRODUCT(IF($AO$4:$AO$921=AV13,$L$4:$L$921*$K$4:$K$921/AW13))</f>
        <v>0</v>
      </c>
      <c r="AY13" s="1215">
        <f t="shared" si="17"/>
        <v>0</v>
      </c>
      <c r="AZ13" s="596" cm="1">
        <f t="array" ref="AZ13">+SUMPRODUCT(IF($AO$4:$AO$921=AV13,($Q$4:$Q$921*$AH$4:$AH$921)/SUMIF($AO$4:$AO$921,$AV13,$AH$4:$AH$921)))</f>
        <v>0</v>
      </c>
      <c r="BA13" s="1237">
        <f t="shared" si="18"/>
        <v>0</v>
      </c>
      <c r="BB13" s="1237">
        <f t="shared" si="19"/>
        <v>0</v>
      </c>
      <c r="BC13" s="596">
        <f t="shared" si="20"/>
        <v>537.04445236952324</v>
      </c>
      <c r="BD13" s="1238">
        <f t="shared" si="21"/>
        <v>527.09500000000003</v>
      </c>
    </row>
    <row r="14" spans="1:56" ht="15" customHeight="1">
      <c r="A14" s="1491" t="s">
        <v>3935</v>
      </c>
      <c r="C14" s="1447">
        <v>46012</v>
      </c>
      <c r="D14" t="s">
        <v>1484</v>
      </c>
      <c r="E14" s="762">
        <f>_xlfn.XLOOKUP(D14,RUC!$B$3:$B$123,RUC!$D$3:$D$123)</f>
        <v>10761932735</v>
      </c>
      <c r="G14" s="1082" t="s">
        <v>2985</v>
      </c>
      <c r="H14" s="762" t="s">
        <v>69</v>
      </c>
      <c r="I14" s="703">
        <v>32.090000000000003</v>
      </c>
      <c r="J14" s="596">
        <v>25.85</v>
      </c>
      <c r="K14" s="703">
        <f t="shared" si="0"/>
        <v>23.795000000000002</v>
      </c>
      <c r="L14" s="1192">
        <v>6.6000000000000003E-2</v>
      </c>
      <c r="M14" s="994">
        <f t="shared" si="1"/>
        <v>4.8000000000000001E-2</v>
      </c>
      <c r="N14" s="1196">
        <f t="shared" si="2"/>
        <v>4.8000000000000001E-2</v>
      </c>
      <c r="O14" s="645">
        <f t="shared" si="3"/>
        <v>4.8000000000000001E-2</v>
      </c>
      <c r="P14" s="727">
        <v>90</v>
      </c>
      <c r="Q14" s="1476">
        <v>95.45</v>
      </c>
      <c r="R14" s="706">
        <v>4421.6499999999996</v>
      </c>
      <c r="S14" s="765">
        <f>IF((_xlfn.XLOOKUP(D14,RUC!$B$3:$B$119,RUC!$E$3:$E$119)+ROUNDDOWN(O14,1)*100)&lt;95,95,((_xlfn.XLOOKUP(D14,RUC!$B$3:$B$119,RUC!$E$3:$E$119)+ROUNDDOWN(O14,1)*100)))</f>
        <v>95</v>
      </c>
      <c r="U14" s="1146">
        <f>_xlfn.XLOOKUP(D14,RUC!$B$3:$B$123,RUC!$F$3:$F$123)</f>
        <v>120</v>
      </c>
      <c r="V14" s="715">
        <v>1.1023000000000001</v>
      </c>
      <c r="Y14">
        <f>_xlfn.XLOOKUP(D14,RUC!$B$3:$B$123,RUC!$G$3:$G$123)</f>
        <v>20</v>
      </c>
      <c r="Z14" s="143">
        <f>_xlfn.XLOOKUP(D14,RUC!$B$3:$B$123,RUC!$H$3:$H$123)</f>
        <v>30</v>
      </c>
      <c r="AA14" s="144">
        <f t="shared" si="4"/>
        <v>50</v>
      </c>
      <c r="AB14" s="145">
        <v>0</v>
      </c>
      <c r="AC14" s="145">
        <f>+(S14-T14)*V14-'data 1'!$F$4</f>
        <v>24.718500000000006</v>
      </c>
      <c r="AD14" s="145">
        <f t="shared" si="5"/>
        <v>17.055926535615011</v>
      </c>
      <c r="AE14" s="145">
        <f t="shared" si="6"/>
        <v>-14.884999999999998</v>
      </c>
      <c r="AF14" s="145">
        <f t="shared" si="7"/>
        <v>81.467298806895002</v>
      </c>
      <c r="AG14" s="772">
        <f>AC14+AD14+AE14+AF14+70-53+45.01</f>
        <v>170.36672534251002</v>
      </c>
      <c r="AH14" s="1253">
        <f t="shared" si="8"/>
        <v>51.393999999999998</v>
      </c>
      <c r="AI14" s="1253">
        <f t="shared" si="9"/>
        <v>53.844000000000001</v>
      </c>
      <c r="AJ14" s="156">
        <f t="shared" si="10"/>
        <v>48.911186099985031</v>
      </c>
      <c r="AK14" s="156">
        <f t="shared" si="11"/>
        <v>35.24345893366921</v>
      </c>
      <c r="AM14" s="716">
        <f t="shared" si="12"/>
        <v>0</v>
      </c>
      <c r="AN14" s="716" t="str">
        <f>_xlfn.XLOOKUP(D14,RUC!$B$3:$B$578,RUC!$M$3:$M$578)</f>
        <v>Richard Sapacayo</v>
      </c>
      <c r="AO14" s="1167" t="s">
        <v>2277</v>
      </c>
      <c r="AP14" t="s">
        <v>3957</v>
      </c>
      <c r="AQ14" t="s">
        <v>2384</v>
      </c>
      <c r="AV14" s="1557" t="s">
        <v>2297</v>
      </c>
      <c r="AW14" s="703">
        <f t="shared" si="16"/>
        <v>0</v>
      </c>
      <c r="AX14" s="703" cm="1">
        <f t="array" ref="AX14">+SUMPRODUCT(IF($AO$4:$AO$921=AV14,$L$4:$L$921*$K$4:$K$921/AW14))</f>
        <v>0</v>
      </c>
      <c r="AY14" s="1215">
        <f t="shared" si="17"/>
        <v>0</v>
      </c>
      <c r="AZ14" s="596" cm="1">
        <f t="array" ref="AZ14">+SUMPRODUCT(IF('37'!$AO$4:$AO$813=AV14,('37'!$Q$4:$Q$813*'37'!$AH$4:$AH$813)/SUMIF('37'!$AO$4:$AO$813,#REF!,'37'!$AH$4:$AH$813)))</f>
        <v>0</v>
      </c>
      <c r="BA14" s="1237">
        <f t="shared" si="18"/>
        <v>0</v>
      </c>
      <c r="BB14" s="1237">
        <f t="shared" si="19"/>
        <v>0</v>
      </c>
      <c r="BC14" s="596">
        <f t="shared" si="20"/>
        <v>537.04445236952324</v>
      </c>
      <c r="BD14" s="1238">
        <f t="shared" si="21"/>
        <v>527.09500000000003</v>
      </c>
    </row>
    <row r="15" spans="1:56" ht="15" customHeight="1">
      <c r="A15" s="747" t="s">
        <v>3946</v>
      </c>
      <c r="B15" s="1447">
        <v>45662</v>
      </c>
      <c r="C15" s="1447">
        <v>46013</v>
      </c>
      <c r="D15" t="s">
        <v>2444</v>
      </c>
      <c r="E15" s="762">
        <f>_xlfn.XLOOKUP(D15,RUC!$B$3:$B$123,RUC!$D$3:$D$123)</f>
        <v>20608774000</v>
      </c>
      <c r="G15" s="1082">
        <v>58</v>
      </c>
      <c r="H15" s="762" t="s">
        <v>69</v>
      </c>
      <c r="I15" s="703">
        <v>5.2</v>
      </c>
      <c r="J15" s="596">
        <v>1.25</v>
      </c>
      <c r="K15" s="703">
        <f t="shared" si="0"/>
        <v>5.1349999999999998</v>
      </c>
      <c r="L15" s="1192">
        <v>2.2770000000000001</v>
      </c>
      <c r="M15" s="994">
        <f>ROUND(+IF(AN15="Melchor Vera",IF(L15&gt;0.467,L15*0.985,(L15-0.007)),IF(L15&gt;0.3,L15*0.94,(L15-0.019))),3)</f>
        <v>2.14</v>
      </c>
      <c r="N15" s="1196">
        <f t="shared" si="2"/>
        <v>2.14</v>
      </c>
      <c r="O15" s="645">
        <f t="shared" si="3"/>
        <v>2.14</v>
      </c>
      <c r="P15" s="727">
        <v>77</v>
      </c>
      <c r="Q15" s="1476">
        <v>77.91</v>
      </c>
      <c r="R15" s="706">
        <v>4421.6499999999996</v>
      </c>
      <c r="S15" s="765">
        <f>IF((_xlfn.XLOOKUP(D15,RUC!$B$3:$B$119,RUC!$E$3:$E$119)+ROUNDDOWN(O15,1)*100)&lt;95,95,((_xlfn.XLOOKUP(D15,RUC!$B$3:$B$119,RUC!$E$3:$E$119)+ROUNDDOWN(O15,1)*100)))</f>
        <v>295</v>
      </c>
      <c r="U15" s="1146">
        <f>_xlfn.XLOOKUP(D15,RUC!$B$3:$B$123,RUC!$F$3:$F$123)</f>
        <v>120</v>
      </c>
      <c r="V15" s="715">
        <v>1.1023000000000001</v>
      </c>
      <c r="Y15" s="1445">
        <v>25</v>
      </c>
      <c r="Z15" s="1454">
        <v>35</v>
      </c>
      <c r="AA15" s="144">
        <f t="shared" si="4"/>
        <v>60</v>
      </c>
      <c r="AB15" s="145">
        <f t="shared" si="13"/>
        <v>7422.0712524009996</v>
      </c>
      <c r="AC15" s="145">
        <f>+(S15-T15)*V15-'data 1'!$F$4</f>
        <v>245.17850000000004</v>
      </c>
      <c r="AD15" s="145">
        <f t="shared" si="5"/>
        <v>98.251525428556121</v>
      </c>
      <c r="AE15" s="145">
        <f t="shared" si="6"/>
        <v>-3.8619999999999948</v>
      </c>
      <c r="AF15" s="145">
        <f t="shared" si="7"/>
        <v>506.11434913927656</v>
      </c>
      <c r="AG15" s="772">
        <f t="shared" si="14"/>
        <v>862.68237456783277</v>
      </c>
      <c r="AH15" s="1253">
        <f t="shared" si="8"/>
        <v>312.32400000000001</v>
      </c>
      <c r="AI15" s="1253">
        <f t="shared" si="9"/>
        <v>400.87799999999999</v>
      </c>
      <c r="AJ15" s="156">
        <f t="shared" si="10"/>
        <v>1377.3507864035544</v>
      </c>
      <c r="AK15" s="156">
        <f t="shared" si="11"/>
        <v>290.10419957183666</v>
      </c>
      <c r="AM15" s="716">
        <f t="shared" si="12"/>
        <v>38112.335881079132</v>
      </c>
      <c r="AN15" s="716" t="str">
        <f>_xlfn.XLOOKUP(D15,RUC!$B$3:$B$578,RUC!$M$3:$M$578)</f>
        <v>Ronald Miranda</v>
      </c>
      <c r="AO15" s="1167" t="s">
        <v>2277</v>
      </c>
      <c r="AP15" t="s">
        <v>4070</v>
      </c>
      <c r="AQ15" t="s">
        <v>2972</v>
      </c>
      <c r="AV15" s="1557" t="s">
        <v>2518</v>
      </c>
      <c r="AW15" s="703">
        <f t="shared" si="16"/>
        <v>0</v>
      </c>
      <c r="AX15" s="703" cm="1">
        <f t="array" ref="AX15">+SUMPRODUCT(IF($AO$4:$AO$921=AV15,$L$4:$L$921*$K$4:$K$921/AW15))</f>
        <v>0</v>
      </c>
      <c r="AY15" s="1215">
        <f t="shared" si="17"/>
        <v>0</v>
      </c>
      <c r="AZ15" s="596" cm="1">
        <f t="array" ref="AZ15">+SUMPRODUCT(IF('37'!$AO$4:$AO$813=AV15,('37'!$Q$4:$Q$813*'37'!$AH$4:$AH$813)/SUMIF('37'!$AO$4:$AO$813,#REF!,'37'!$AH$4:$AH$813)))</f>
        <v>0</v>
      </c>
      <c r="BA15" s="1237">
        <f t="shared" si="18"/>
        <v>0</v>
      </c>
      <c r="BB15" s="1237">
        <f t="shared" si="19"/>
        <v>0</v>
      </c>
      <c r="BC15" s="596">
        <f t="shared" si="20"/>
        <v>537.04445236952324</v>
      </c>
      <c r="BD15" s="1238">
        <f t="shared" si="21"/>
        <v>527.09500000000003</v>
      </c>
    </row>
    <row r="16" spans="1:56" ht="15" customHeight="1">
      <c r="A16" s="747" t="s">
        <v>3968</v>
      </c>
      <c r="B16" s="1447">
        <v>46024</v>
      </c>
      <c r="C16" s="1447">
        <v>46013</v>
      </c>
      <c r="D16" t="s">
        <v>1967</v>
      </c>
      <c r="E16" s="762">
        <f>_xlfn.XLOOKUP(D16,RUC!$B$3:$B$123,RUC!$D$3:$D$123)</f>
        <v>20601769396</v>
      </c>
      <c r="G16" s="1082">
        <v>38</v>
      </c>
      <c r="H16" s="762" t="s">
        <v>108</v>
      </c>
      <c r="I16" s="703">
        <v>2.77</v>
      </c>
      <c r="J16" s="596">
        <v>18.55</v>
      </c>
      <c r="K16" s="703">
        <f t="shared" si="0"/>
        <v>2.2559999999999998</v>
      </c>
      <c r="L16" s="1192">
        <v>0.249</v>
      </c>
      <c r="M16" s="994">
        <f t="shared" ref="M16" si="22">ROUND(+IF(AN16="Melchor Vera",IF(L16&gt;0.467,L16*0.985,(L16-0.007)),IF(L16&gt;0.3,L16*0.94,(L16-0.019))),3)</f>
        <v>0.23</v>
      </c>
      <c r="N16" s="1196">
        <f t="shared" si="2"/>
        <v>0.23</v>
      </c>
      <c r="O16" s="645">
        <f t="shared" si="3"/>
        <v>0.23</v>
      </c>
      <c r="P16" s="727">
        <v>90</v>
      </c>
      <c r="Q16" s="1476">
        <v>95.39</v>
      </c>
      <c r="R16" s="706">
        <v>4421.6499999999996</v>
      </c>
      <c r="S16" s="765">
        <f>IF((_xlfn.XLOOKUP(D16,RUC!$B$3:$B$119,RUC!$E$3:$E$119)+ROUNDDOWN(O16,1)*100)&lt;95,95,((_xlfn.XLOOKUP(D16,RUC!$B$3:$B$119,RUC!$E$3:$E$119)+ROUNDDOWN(O16,1)*100)))</f>
        <v>110</v>
      </c>
      <c r="U16" s="1146">
        <f>_xlfn.XLOOKUP(D16,RUC!$B$3:$B$123,RUC!$F$3:$F$123)</f>
        <v>120</v>
      </c>
      <c r="V16" s="715">
        <v>1.1023000000000001</v>
      </c>
      <c r="Y16" s="1445">
        <v>30</v>
      </c>
      <c r="Z16" s="1454">
        <v>40</v>
      </c>
      <c r="AA16" s="144">
        <f t="shared" si="4"/>
        <v>70</v>
      </c>
      <c r="AB16" s="145">
        <f t="shared" si="13"/>
        <v>783.11972056499997</v>
      </c>
      <c r="AC16" s="145">
        <f>+(S16-T16)*V16-'data 1'!$F$4</f>
        <v>41.253</v>
      </c>
      <c r="AD16" s="145">
        <f t="shared" si="5"/>
        <v>63.638947908574508</v>
      </c>
      <c r="AE16" s="145">
        <f t="shared" si="6"/>
        <v>7.1610000000000014</v>
      </c>
      <c r="AF16" s="145">
        <f t="shared" si="7"/>
        <v>85.939204371459454</v>
      </c>
      <c r="AG16" s="772">
        <f t="shared" si="14"/>
        <v>214.99215228003396</v>
      </c>
      <c r="AH16" s="1253">
        <f t="shared" si="8"/>
        <v>18.372</v>
      </c>
      <c r="AI16" s="1253">
        <f t="shared" si="9"/>
        <v>19.260000000000002</v>
      </c>
      <c r="AJ16" s="156">
        <f t="shared" si="10"/>
        <v>184.41257083310558</v>
      </c>
      <c r="AK16" s="156">
        <f t="shared" si="11"/>
        <v>16.011001936245599</v>
      </c>
      <c r="AM16" s="716">
        <f t="shared" si="12"/>
        <v>1766.7180895946397</v>
      </c>
      <c r="AN16" s="716" t="str">
        <f>_xlfn.XLOOKUP(D16,RUC!$B$3:$B$578,RUC!$M$3:$M$578)</f>
        <v>Evelyn</v>
      </c>
      <c r="AO16" s="1167" t="s">
        <v>2279</v>
      </c>
      <c r="AP16" t="s">
        <v>3561</v>
      </c>
      <c r="AQ16" t="s">
        <v>2906</v>
      </c>
      <c r="AV16" s="1557" t="s">
        <v>2519</v>
      </c>
      <c r="AW16" s="703">
        <f t="shared" si="16"/>
        <v>0</v>
      </c>
      <c r="AX16" s="703" cm="1">
        <f t="array" ref="AX16">+SUMPRODUCT(IF($AO$4:$AO$921=AV16,$L$4:$L$921*$K$4:$K$921/AW16))</f>
        <v>0</v>
      </c>
      <c r="AY16" s="1215">
        <f t="shared" si="17"/>
        <v>0</v>
      </c>
      <c r="AZ16" s="596" cm="1">
        <f t="array" ref="AZ16">+SUMPRODUCT(IF('37'!$AO$4:$AO$813=AV16,('37'!$Q$4:$Q$813*'37'!$AH$4:$AH$813)/SUMIF('37'!$AO$4:$AO$813,#REF!,'37'!$AH$4:$AH$813)))</f>
        <v>0</v>
      </c>
      <c r="BA16" s="1237">
        <f t="shared" si="18"/>
        <v>0</v>
      </c>
      <c r="BB16" s="1237">
        <f t="shared" si="19"/>
        <v>0</v>
      </c>
      <c r="BC16" s="596">
        <f t="shared" si="20"/>
        <v>537.04445236952324</v>
      </c>
      <c r="BD16" s="1238">
        <f t="shared" si="21"/>
        <v>527.09500000000003</v>
      </c>
    </row>
    <row r="17" spans="1:56" ht="15" customHeight="1">
      <c r="A17" s="747" t="s">
        <v>3969</v>
      </c>
      <c r="B17" s="1447">
        <v>46024</v>
      </c>
      <c r="C17" s="1447">
        <v>46013</v>
      </c>
      <c r="D17" s="1589" t="s">
        <v>3125</v>
      </c>
      <c r="E17" s="762" t="str">
        <f>_xlfn.XLOOKUP(D17,RUC!$B$3:$B$123,RUC!$D$3:$D$123)</f>
        <v>10486077447,</v>
      </c>
      <c r="G17" s="1587" t="s">
        <v>2985</v>
      </c>
      <c r="H17" s="1588" t="s">
        <v>69</v>
      </c>
      <c r="I17" s="703">
        <v>23.29</v>
      </c>
      <c r="J17" s="596">
        <v>1.4</v>
      </c>
      <c r="K17" s="703">
        <f t="shared" si="0"/>
        <v>22.963999999999999</v>
      </c>
      <c r="L17" s="1192">
        <v>0.13200000000000001</v>
      </c>
      <c r="M17" s="994">
        <v>0.10199999999999999</v>
      </c>
      <c r="N17" s="1196">
        <f t="shared" si="2"/>
        <v>0.10199999999999999</v>
      </c>
      <c r="O17" s="645">
        <f t="shared" si="3"/>
        <v>0.10199999999999999</v>
      </c>
      <c r="P17" s="727">
        <v>80</v>
      </c>
      <c r="Q17" s="1476">
        <v>95.45</v>
      </c>
      <c r="R17" s="706">
        <v>4421.6499999999996</v>
      </c>
      <c r="S17" s="765">
        <f>IF((_xlfn.XLOOKUP(D17,RUC!$B$3:$B$119,RUC!$E$3:$E$119)+ROUNDDOWN(O17,1)*100)&lt;95,95,((_xlfn.XLOOKUP(D17,RUC!$B$3:$B$119,RUC!$E$3:$E$119)+ROUNDDOWN(O17,1)*100)))</f>
        <v>100</v>
      </c>
      <c r="U17" s="1146">
        <f>_xlfn.XLOOKUP(D17,RUC!$B$3:$B$123,RUC!$F$3:$F$123)</f>
        <v>120</v>
      </c>
      <c r="V17" s="715">
        <v>1.1023000000000001</v>
      </c>
      <c r="Y17">
        <v>0</v>
      </c>
      <c r="Z17" s="143">
        <f>_xlfn.XLOOKUP(D17,RUC!$B$3:$B$123,RUC!$H$3:$H$123)</f>
        <v>30</v>
      </c>
      <c r="AA17" s="144">
        <f t="shared" si="4"/>
        <v>30</v>
      </c>
      <c r="AB17" s="145">
        <f t="shared" si="13"/>
        <v>243.624437672</v>
      </c>
      <c r="AC17" s="145">
        <f>+(S17-T17)*V17-'data 1'!$F$4</f>
        <v>30.230000000000004</v>
      </c>
      <c r="AD17" s="145">
        <f t="shared" si="5"/>
        <v>96.702409165230023</v>
      </c>
      <c r="AE17" s="145">
        <f t="shared" si="6"/>
        <v>-36.930999999999997</v>
      </c>
      <c r="AF17" s="145">
        <f t="shared" si="7"/>
        <v>135.77883134482508</v>
      </c>
      <c r="AG17" s="772">
        <f t="shared" si="14"/>
        <v>242.78024051005514</v>
      </c>
      <c r="AH17" s="1253">
        <f t="shared" si="8"/>
        <v>99.198999999999998</v>
      </c>
      <c r="AI17" s="1253">
        <f t="shared" si="9"/>
        <v>103.928</v>
      </c>
      <c r="AJ17" s="156">
        <f t="shared" si="10"/>
        <v>97.822372199970062</v>
      </c>
      <c r="AK17" s="156">
        <f t="shared" si="11"/>
        <v>64.246099536304314</v>
      </c>
      <c r="AM17" s="716">
        <f t="shared" si="12"/>
        <v>5594.5915866998075</v>
      </c>
      <c r="AN17" s="716" t="str">
        <f>_xlfn.XLOOKUP(D17,RUC!$B$3:$B$578,RUC!$M$3:$M$578)</f>
        <v>SIN ACOPIO</v>
      </c>
      <c r="AO17" s="1167" t="s">
        <v>2280</v>
      </c>
      <c r="AP17" t="s">
        <v>4072</v>
      </c>
      <c r="AQ17" t="s">
        <v>4073</v>
      </c>
      <c r="AV17" s="1557" t="s">
        <v>2520</v>
      </c>
      <c r="AW17" s="703">
        <f t="shared" si="16"/>
        <v>0</v>
      </c>
      <c r="AX17" s="703" cm="1">
        <f t="array" ref="AX17">+SUMPRODUCT(IF($AO$4:$AO$921=AV17,$L$4:$L$921*$K$4:$K$921/AW17))</f>
        <v>0</v>
      </c>
      <c r="AY17" s="1215">
        <f t="shared" si="17"/>
        <v>0</v>
      </c>
      <c r="AZ17" s="596" cm="1">
        <f t="array" ref="AZ17">+SUMPRODUCT(IF('37'!$AO$4:$AO$813=AV17,('37'!$Q$4:$Q$813*'37'!$AH$4:$AH$813)/SUMIF('37'!$AO$4:$AO$813,#REF!,'37'!$AH$4:$AH$813)))</f>
        <v>0</v>
      </c>
      <c r="BA17" s="1237">
        <f t="shared" si="18"/>
        <v>0</v>
      </c>
      <c r="BB17" s="1237">
        <f t="shared" si="19"/>
        <v>0</v>
      </c>
      <c r="BC17" s="596">
        <f t="shared" si="20"/>
        <v>537.04445236952324</v>
      </c>
      <c r="BD17" s="1238">
        <f t="shared" si="21"/>
        <v>527.09500000000003</v>
      </c>
    </row>
    <row r="18" spans="1:56" ht="15" customHeight="1" thickBot="1">
      <c r="A18" s="747" t="s">
        <v>3983</v>
      </c>
      <c r="B18" s="1447">
        <v>46041</v>
      </c>
      <c r="C18" s="1447">
        <v>46014</v>
      </c>
      <c r="D18" t="s">
        <v>1484</v>
      </c>
      <c r="E18" s="762">
        <f>_xlfn.XLOOKUP(D18,RUC!$B$3:$B$123,RUC!$D$3:$D$123)</f>
        <v>10761932735</v>
      </c>
      <c r="G18" s="1082">
        <v>52</v>
      </c>
      <c r="H18" s="762" t="s">
        <v>69</v>
      </c>
      <c r="I18" s="703">
        <v>4.2300000000000004</v>
      </c>
      <c r="J18" s="596">
        <v>7.5</v>
      </c>
      <c r="K18" s="703">
        <f t="shared" si="0"/>
        <v>3.9129999999999998</v>
      </c>
      <c r="L18" s="1192">
        <v>0.104</v>
      </c>
      <c r="M18" s="994">
        <f t="shared" ref="M18:M20" si="23">ROUND(+IF(AN18="Melchor Vera",IF(L18&gt;0.467,L18*0.985,(L18-0.007)),IF(L18&gt;0.3,L18*0.94,(L18-0.019))),3)</f>
        <v>8.5000000000000006E-2</v>
      </c>
      <c r="N18" s="1480">
        <v>0.14799999999999999</v>
      </c>
      <c r="O18" s="645">
        <f t="shared" si="3"/>
        <v>0.11700000000000001</v>
      </c>
      <c r="P18" s="727">
        <v>80</v>
      </c>
      <c r="Q18" s="1476">
        <v>96.15</v>
      </c>
      <c r="R18" s="706">
        <v>4449.3999999999996</v>
      </c>
      <c r="S18" s="765">
        <f>IF((_xlfn.XLOOKUP(D18,RUC!$B$3:$B$119,RUC!$E$3:$E$119)+ROUNDDOWN(O18,1)*100)&lt;95,95,((_xlfn.XLOOKUP(D18,RUC!$B$3:$B$119,RUC!$E$3:$E$119)+ROUNDDOWN(O18,1)*100)))</f>
        <v>100</v>
      </c>
      <c r="U18" s="1146">
        <f>_xlfn.XLOOKUP(D18,RUC!$B$3:$B$123,RUC!$F$3:$F$123)</f>
        <v>120</v>
      </c>
      <c r="V18" s="715">
        <v>1.1023000000000001</v>
      </c>
      <c r="Y18">
        <f>_xlfn.XLOOKUP(D18,RUC!$B$3:$B$123,RUC!$G$3:$G$123)</f>
        <v>20</v>
      </c>
      <c r="Z18" s="143">
        <f>_xlfn.XLOOKUP(D18,RUC!$B$3:$B$123,RUC!$H$3:$H$123)</f>
        <v>30</v>
      </c>
      <c r="AA18" s="144">
        <f t="shared" si="4"/>
        <v>50</v>
      </c>
      <c r="AB18" s="145">
        <f t="shared" si="13"/>
        <v>281.34205723200006</v>
      </c>
      <c r="AC18" s="145">
        <f>+(S18-T18)*V18-'data 1'!$F$4</f>
        <v>30.230000000000004</v>
      </c>
      <c r="AD18" s="145">
        <f t="shared" si="5"/>
        <v>80.155510825520011</v>
      </c>
      <c r="AE18" s="145">
        <f t="shared" si="6"/>
        <v>-14.884999999999998</v>
      </c>
      <c r="AF18" s="145">
        <f t="shared" si="7"/>
        <v>-59.651334101190059</v>
      </c>
      <c r="AG18" s="772">
        <f t="shared" si="14"/>
        <v>52.849176724329965</v>
      </c>
      <c r="AH18" s="1253">
        <f t="shared" si="8"/>
        <v>13.414999999999999</v>
      </c>
      <c r="AI18" s="1253">
        <f t="shared" si="9"/>
        <v>13.952999999999999</v>
      </c>
      <c r="AJ18" s="156">
        <f t="shared" si="10"/>
        <v>74.578634735280062</v>
      </c>
      <c r="AK18" s="156">
        <f t="shared" si="11"/>
        <v>12.55725651395124</v>
      </c>
      <c r="AM18" s="716">
        <f t="shared" si="12"/>
        <v>1100.8914699488162</v>
      </c>
      <c r="AN18" s="716" t="str">
        <f>_xlfn.XLOOKUP(D18,RUC!$B$3:$B$578,RUC!$M$3:$M$578)</f>
        <v>Richard Sapacayo</v>
      </c>
      <c r="AO18" s="1167" t="s">
        <v>2277</v>
      </c>
      <c r="AP18" t="s">
        <v>4075</v>
      </c>
      <c r="AQ18" t="s">
        <v>4076</v>
      </c>
      <c r="AV18" s="1558" t="s">
        <v>2521</v>
      </c>
      <c r="AW18" s="1254">
        <f t="shared" si="16"/>
        <v>0</v>
      </c>
      <c r="AX18" s="1254" cm="1">
        <f t="array" ref="AX18">+SUMPRODUCT(IF('37'!$AO$4:$AO$813=AV18,'37'!$L$4:$L$813*'37'!$K$4:$K$813/AW18))</f>
        <v>0</v>
      </c>
      <c r="AY18" s="1241">
        <f t="shared" si="17"/>
        <v>0</v>
      </c>
      <c r="AZ18" s="1242" cm="1">
        <f t="array" ref="AZ18">+SUMPRODUCT(IF('37'!$AO$4:$AO$813=AV18,('37'!$Q$4:$Q$813*'37'!$AH$4:$AH$813)/SUMIF('37'!$AO$4:$AO$813,#REF!,'37'!$AH$4:$AH$813)))</f>
        <v>0</v>
      </c>
      <c r="BA18" s="1243">
        <f t="shared" si="18"/>
        <v>0</v>
      </c>
      <c r="BB18" s="1243">
        <f t="shared" si="19"/>
        <v>0</v>
      </c>
      <c r="BC18" s="1242">
        <f t="shared" si="20"/>
        <v>537.04445236952324</v>
      </c>
      <c r="BD18" s="1436">
        <f t="shared" si="21"/>
        <v>527.09500000000003</v>
      </c>
    </row>
    <row r="19" spans="1:56" ht="15" customHeight="1">
      <c r="A19" s="747" t="s">
        <v>3984</v>
      </c>
      <c r="B19" s="1447">
        <v>46041</v>
      </c>
      <c r="C19" s="1447">
        <v>46014</v>
      </c>
      <c r="D19" t="s">
        <v>1484</v>
      </c>
      <c r="E19" s="762">
        <f>_xlfn.XLOOKUP(D19,RUC!$B$3:$B$123,RUC!$D$3:$D$123)</f>
        <v>10761932735</v>
      </c>
      <c r="G19" s="1082">
        <v>53</v>
      </c>
      <c r="H19" s="762" t="s">
        <v>69</v>
      </c>
      <c r="I19" s="703">
        <v>3.52</v>
      </c>
      <c r="J19" s="596">
        <v>5.88</v>
      </c>
      <c r="K19" s="703">
        <f t="shared" si="0"/>
        <v>3.3130000000000002</v>
      </c>
      <c r="L19" s="1192">
        <v>0.18</v>
      </c>
      <c r="M19" s="994">
        <f t="shared" si="23"/>
        <v>0.161</v>
      </c>
      <c r="N19" s="1480">
        <v>0.23599999999999999</v>
      </c>
      <c r="O19" s="645">
        <f t="shared" si="3"/>
        <v>0.19900000000000001</v>
      </c>
      <c r="P19" s="727">
        <v>90</v>
      </c>
      <c r="Q19" s="1476">
        <v>93.51</v>
      </c>
      <c r="R19" s="706">
        <v>4449.3999999999996</v>
      </c>
      <c r="S19" s="765">
        <f>IF((_xlfn.XLOOKUP(D19,RUC!$B$3:$B$119,RUC!$E$3:$E$119)+ROUNDDOWN(O19,1)*100)&lt;95,95,((_xlfn.XLOOKUP(D19,RUC!$B$3:$B$119,RUC!$E$3:$E$119)+ROUNDDOWN(O19,1)*100)))</f>
        <v>100</v>
      </c>
      <c r="U19" s="1146">
        <f>_xlfn.XLOOKUP(D19,RUC!$B$3:$B$123,RUC!$F$3:$F$123)</f>
        <v>120</v>
      </c>
      <c r="V19" s="715">
        <v>1.1023000000000001</v>
      </c>
      <c r="Y19">
        <f>_xlfn.XLOOKUP(D19,RUC!$B$3:$B$123,RUC!$G$3:$G$123)</f>
        <v>20</v>
      </c>
      <c r="Z19" s="143">
        <f>_xlfn.XLOOKUP(D19,RUC!$B$3:$B$123,RUC!$H$3:$H$123)</f>
        <v>30</v>
      </c>
      <c r="AA19" s="144">
        <f t="shared" si="4"/>
        <v>50</v>
      </c>
      <c r="AB19" s="145">
        <f t="shared" si="13"/>
        <v>689.37350374199991</v>
      </c>
      <c r="AC19" s="145">
        <f>+(S19-T19)*V19-'data 1'!$F$4</f>
        <v>30.230000000000004</v>
      </c>
      <c r="AD19" s="145">
        <f t="shared" si="5"/>
        <v>30.151376363160043</v>
      </c>
      <c r="AE19" s="145">
        <f t="shared" si="6"/>
        <v>-14.884999999999998</v>
      </c>
      <c r="AF19" s="145">
        <f t="shared" si="7"/>
        <v>-84.788934584778076</v>
      </c>
      <c r="AG19" s="772">
        <f t="shared" si="14"/>
        <v>-22.29255822161803</v>
      </c>
      <c r="AH19" s="1253">
        <f t="shared" si="8"/>
        <v>19.119</v>
      </c>
      <c r="AI19" s="1253">
        <f t="shared" si="9"/>
        <v>20.446000000000002</v>
      </c>
      <c r="AJ19" s="156">
        <f t="shared" si="10"/>
        <v>125.53428778524008</v>
      </c>
      <c r="AK19" s="156">
        <f t="shared" si="11"/>
        <v>20.34351956818832</v>
      </c>
      <c r="AM19" s="716">
        <f t="shared" si="12"/>
        <v>2283.8944178972456</v>
      </c>
      <c r="AN19" s="716" t="str">
        <f>_xlfn.XLOOKUP(D19,RUC!$B$3:$B$578,RUC!$M$3:$M$578)</f>
        <v>Richard Sapacayo</v>
      </c>
      <c r="AO19" s="1167" t="s">
        <v>2277</v>
      </c>
      <c r="AP19" t="s">
        <v>4075</v>
      </c>
      <c r="AQ19" t="s">
        <v>4076</v>
      </c>
      <c r="AV19" s="1637"/>
      <c r="AW19" s="1234"/>
      <c r="AX19" s="1234"/>
      <c r="AY19" s="1235"/>
      <c r="AZ19" s="1236"/>
      <c r="BA19" s="1237"/>
      <c r="BB19" s="1237"/>
      <c r="BC19" s="1236"/>
      <c r="BD19" s="729"/>
    </row>
    <row r="20" spans="1:56" ht="15" customHeight="1">
      <c r="A20" s="747" t="s">
        <v>3985</v>
      </c>
      <c r="B20" s="1447">
        <v>46041</v>
      </c>
      <c r="C20" s="1447">
        <v>46014</v>
      </c>
      <c r="D20" t="s">
        <v>1484</v>
      </c>
      <c r="E20" s="762">
        <f>_xlfn.XLOOKUP(D20,RUC!$B$3:$B$123,RUC!$D$3:$D$123)</f>
        <v>10761932735</v>
      </c>
      <c r="G20" s="1082">
        <v>36</v>
      </c>
      <c r="H20" s="762" t="s">
        <v>69</v>
      </c>
      <c r="I20" s="703">
        <v>2.65</v>
      </c>
      <c r="J20" s="596">
        <v>9.6999999999999993</v>
      </c>
      <c r="K20" s="703">
        <f t="shared" si="0"/>
        <v>2.3929999999999998</v>
      </c>
      <c r="L20" s="1192">
        <v>0.19800000000000001</v>
      </c>
      <c r="M20" s="994">
        <f t="shared" si="23"/>
        <v>0.17899999999999999</v>
      </c>
      <c r="N20" s="1480">
        <v>0.23200000000000001</v>
      </c>
      <c r="O20" s="645">
        <f t="shared" si="3"/>
        <v>0.20599999999999999</v>
      </c>
      <c r="P20" s="727">
        <v>90</v>
      </c>
      <c r="Q20" s="1476">
        <v>95.36</v>
      </c>
      <c r="R20" s="706">
        <v>4449.3999999999996</v>
      </c>
      <c r="S20" s="765">
        <f>IF((_xlfn.XLOOKUP(D20,RUC!$B$3:$B$119,RUC!$E$3:$E$119)+ROUNDDOWN(O20,1)*100)&lt;95,95,((_xlfn.XLOOKUP(D20,RUC!$B$3:$B$119,RUC!$E$3:$E$119)+ROUNDDOWN(O20,1)*100)))</f>
        <v>110</v>
      </c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3">
        <f>_xlfn.XLOOKUP(D20,RUC!$B$3:$B$123,RUC!$H$3:$H$123)</f>
        <v>30</v>
      </c>
      <c r="AA20" s="144">
        <f t="shared" si="4"/>
        <v>50</v>
      </c>
      <c r="AB20" s="145">
        <f t="shared" si="13"/>
        <v>708.41597874799993</v>
      </c>
      <c r="AC20" s="145">
        <f>+(S20-T20)*V20-'data 1'!$F$4</f>
        <v>41.253</v>
      </c>
      <c r="AD20" s="145">
        <f t="shared" si="5"/>
        <v>50.647440181535991</v>
      </c>
      <c r="AE20" s="145">
        <f t="shared" si="6"/>
        <v>-14.884999999999998</v>
      </c>
      <c r="AF20" s="145">
        <f t="shared" si="7"/>
        <v>-36.406904083455899</v>
      </c>
      <c r="AG20" s="772">
        <f t="shared" si="14"/>
        <v>57.608536098080108</v>
      </c>
      <c r="AH20" s="1253">
        <f t="shared" si="8"/>
        <v>15.491</v>
      </c>
      <c r="AI20" s="1253">
        <f t="shared" si="9"/>
        <v>16.245000000000001</v>
      </c>
      <c r="AJ20" s="156">
        <f t="shared" si="10"/>
        <v>140.8196412311041</v>
      </c>
      <c r="AK20" s="156">
        <f t="shared" si="11"/>
        <v>15.211130690116709</v>
      </c>
      <c r="AM20" s="716">
        <f t="shared" si="12"/>
        <v>1695.2394371439636</v>
      </c>
      <c r="AN20" s="716" t="str">
        <f>_xlfn.XLOOKUP(D20,RUC!$B$3:$B$578,RUC!$M$3:$M$578)</f>
        <v>Richard Sapacayo</v>
      </c>
      <c r="AO20" s="1167" t="s">
        <v>2278</v>
      </c>
      <c r="AP20" t="s">
        <v>4075</v>
      </c>
      <c r="AQ20" t="s">
        <v>4076</v>
      </c>
    </row>
    <row r="21" spans="1:56" ht="15" customHeight="1">
      <c r="A21" s="747" t="s">
        <v>3986</v>
      </c>
      <c r="B21" s="1447">
        <v>46041</v>
      </c>
      <c r="C21" s="1447">
        <v>46014</v>
      </c>
      <c r="D21" t="s">
        <v>1484</v>
      </c>
      <c r="E21" s="762">
        <f>_xlfn.XLOOKUP(D21,RUC!$B$3:$B$123,RUC!$D$3:$D$123)</f>
        <v>10761932735</v>
      </c>
      <c r="G21" s="1082">
        <v>100</v>
      </c>
      <c r="H21" s="762" t="s">
        <v>69</v>
      </c>
      <c r="I21" s="703">
        <v>6.71</v>
      </c>
      <c r="J21" s="596">
        <v>20.52</v>
      </c>
      <c r="K21" s="703">
        <f t="shared" si="0"/>
        <v>5.3330000000000002</v>
      </c>
      <c r="L21" s="1192">
        <v>0.13</v>
      </c>
      <c r="M21" s="994">
        <f>ROUND(+IF(AN21="Melchor Vera",IF(L21&gt;0.467,L21*0.985,(L21-0.007)),IF(L21&gt;0.3,L21*0.94,(L21-0.019))),3)</f>
        <v>0.111</v>
      </c>
      <c r="N21" s="1444">
        <v>0.154</v>
      </c>
      <c r="O21" s="645">
        <f t="shared" si="3"/>
        <v>0.13300000000000001</v>
      </c>
      <c r="P21" s="727">
        <v>85</v>
      </c>
      <c r="Q21" s="1476">
        <v>95.38</v>
      </c>
      <c r="R21" s="706">
        <v>4449.3999999999996</v>
      </c>
      <c r="S21" s="765">
        <f>IF((_xlfn.XLOOKUP(D21,RUC!$B$3:$B$119,RUC!$E$3:$E$119)+ROUNDDOWN(O21,1)*100)&lt;95,95,((_xlfn.XLOOKUP(D21,RUC!$B$3:$B$119,RUC!$E$3:$E$119)+ROUNDDOWN(O21,1)*100)))</f>
        <v>100</v>
      </c>
      <c r="U21" s="1146">
        <f>_xlfn.XLOOKUP(D21,RUC!$B$3:$B$123,RUC!$F$3:$F$123)</f>
        <v>120</v>
      </c>
      <c r="V21" s="715">
        <v>1.1023000000000001</v>
      </c>
      <c r="Y21">
        <f>_xlfn.XLOOKUP(D21,RUC!$B$3:$B$123,RUC!$G$3:$G$123)</f>
        <v>20</v>
      </c>
      <c r="Z21" s="143">
        <f>_xlfn.XLOOKUP(D21,RUC!$B$3:$B$123,RUC!$H$3:$H$123)</f>
        <v>30</v>
      </c>
      <c r="AA21" s="144">
        <f t="shared" si="4"/>
        <v>50</v>
      </c>
      <c r="AB21" s="145">
        <f t="shared" si="13"/>
        <v>374.1632459409999</v>
      </c>
      <c r="AC21" s="145">
        <f>+(S21-T21)*V21-'data 1'!$F$4</f>
        <v>30.230000000000004</v>
      </c>
      <c r="AD21" s="145">
        <f t="shared" si="5"/>
        <v>64.397384084279963</v>
      </c>
      <c r="AE21" s="145">
        <f t="shared" si="6"/>
        <v>-14.884999999999998</v>
      </c>
      <c r="AF21" s="145">
        <f t="shared" si="7"/>
        <v>-13.65545240986801</v>
      </c>
      <c r="AG21" s="772">
        <f t="shared" si="14"/>
        <v>83.086931674411971</v>
      </c>
      <c r="AH21" s="1253">
        <f t="shared" si="8"/>
        <v>22.672000000000001</v>
      </c>
      <c r="AI21" s="1253">
        <f t="shared" si="9"/>
        <v>23.77</v>
      </c>
      <c r="AJ21" s="156">
        <f t="shared" si="10"/>
        <v>92.476731422920068</v>
      </c>
      <c r="AK21" s="156">
        <f t="shared" si="11"/>
        <v>20.670511313906985</v>
      </c>
      <c r="AM21" s="716">
        <f t="shared" si="12"/>
        <v>1995.4125906033526</v>
      </c>
      <c r="AN21" s="716" t="str">
        <f>_xlfn.XLOOKUP(D21,RUC!$B$3:$B$578,RUC!$M$3:$M$578)</f>
        <v>Richard Sapacayo</v>
      </c>
      <c r="AO21" s="1167" t="s">
        <v>2280</v>
      </c>
      <c r="AP21" t="s">
        <v>4075</v>
      </c>
      <c r="AQ21" t="s">
        <v>4076</v>
      </c>
    </row>
    <row r="22" spans="1:56" ht="15" customHeight="1">
      <c r="A22" s="747" t="s">
        <v>4001</v>
      </c>
      <c r="B22" s="1447">
        <v>46024</v>
      </c>
      <c r="C22" s="1447">
        <v>46015</v>
      </c>
      <c r="D22" t="s">
        <v>2444</v>
      </c>
      <c r="E22" s="762">
        <f>_xlfn.XLOOKUP(D22,RUC!$B$3:$B$123,RUC!$D$3:$D$123)</f>
        <v>20608774000</v>
      </c>
      <c r="G22" s="1082">
        <v>71</v>
      </c>
      <c r="H22" s="762" t="s">
        <v>69</v>
      </c>
      <c r="I22" s="703">
        <v>5.83</v>
      </c>
      <c r="J22" s="596">
        <v>1.1499999999999999</v>
      </c>
      <c r="K22" s="703">
        <f t="shared" si="0"/>
        <v>5.7629999999999999</v>
      </c>
      <c r="L22" s="1192">
        <v>0.626</v>
      </c>
      <c r="M22" s="994">
        <f t="shared" ref="M22:M23" si="24">ROUND(+IF(AN22="Melchor Vera",IF(L22&gt;0.467,L22*0.985,(L22-0.007)),IF(L22&gt;0.3,L22*0.94,(L22-0.019))),3)</f>
        <v>0.58799999999999997</v>
      </c>
      <c r="N22" s="1515">
        <v>0.65300000000000002</v>
      </c>
      <c r="O22" s="645">
        <f t="shared" si="3"/>
        <v>0.621</v>
      </c>
      <c r="P22" s="727">
        <v>81</v>
      </c>
      <c r="Q22" s="1476">
        <v>81.63</v>
      </c>
      <c r="R22" s="706">
        <v>4480.8</v>
      </c>
      <c r="S22" s="765">
        <f>IF((_xlfn.XLOOKUP(D22,RUC!$B$3:$B$119,RUC!$E$3:$E$119)+ROUNDDOWN(O22,1)*100)&lt;95,95,((_xlfn.XLOOKUP(D22,RUC!$B$3:$B$119,RUC!$E$3:$E$119)+ROUNDDOWN(O22,1)*100)))</f>
        <v>145</v>
      </c>
      <c r="U22" s="1146">
        <f>_xlfn.XLOOKUP(D22,RUC!$B$3:$B$123,RUC!$F$3:$F$123)</f>
        <v>120</v>
      </c>
      <c r="V22" s="715">
        <v>1.1023000000000001</v>
      </c>
      <c r="Y22" s="1445">
        <v>25</v>
      </c>
      <c r="Z22" s="1454">
        <v>35</v>
      </c>
      <c r="AA22" s="144">
        <f t="shared" si="4"/>
        <v>60</v>
      </c>
      <c r="AB22" s="145">
        <f t="shared" si="13"/>
        <v>2191.9522186184004</v>
      </c>
      <c r="AC22" s="145">
        <f>+(S22-T22)*V22-'data 1'!$F$4</f>
        <v>79.833500000000015</v>
      </c>
      <c r="AD22" s="145">
        <f t="shared" si="5"/>
        <v>18.957491026991864</v>
      </c>
      <c r="AE22" s="145">
        <f t="shared" si="6"/>
        <v>-3.8619999999999948</v>
      </c>
      <c r="AF22" s="145">
        <f t="shared" si="7"/>
        <v>19.619402511960018</v>
      </c>
      <c r="AG22" s="772">
        <f t="shared" si="14"/>
        <v>131.5483935389519</v>
      </c>
      <c r="AH22" s="1253">
        <f t="shared" si="8"/>
        <v>100.968</v>
      </c>
      <c r="AI22" s="1253">
        <f t="shared" si="9"/>
        <v>123.68899999999999</v>
      </c>
      <c r="AJ22" s="156">
        <f t="shared" si="10"/>
        <v>363.42792613504787</v>
      </c>
      <c r="AK22" s="156">
        <f t="shared" si="11"/>
        <v>99.388081606984784</v>
      </c>
      <c r="AM22" s="716">
        <f t="shared" si="12"/>
        <v>12632.220635897842</v>
      </c>
      <c r="AN22" s="716" t="str">
        <f>_xlfn.XLOOKUP(D22,RUC!$B$3:$B$578,RUC!$M$3:$M$578)</f>
        <v>Ronald Miranda</v>
      </c>
      <c r="AO22" s="1167" t="s">
        <v>2279</v>
      </c>
      <c r="AP22" t="s">
        <v>4080</v>
      </c>
      <c r="AQ22" t="s">
        <v>3492</v>
      </c>
    </row>
    <row r="23" spans="1:56" ht="15" customHeight="1">
      <c r="A23" s="747" t="s">
        <v>4012</v>
      </c>
      <c r="B23" s="1447">
        <v>46028</v>
      </c>
      <c r="C23" s="1447">
        <v>46016</v>
      </c>
      <c r="D23" t="s">
        <v>1967</v>
      </c>
      <c r="E23" s="762">
        <f>_xlfn.XLOOKUP(D23,RUC!$B$3:$B$123,RUC!$D$3:$D$123)</f>
        <v>20601769396</v>
      </c>
      <c r="G23" s="1082">
        <v>61</v>
      </c>
      <c r="H23" s="762" t="s">
        <v>108</v>
      </c>
      <c r="I23" s="703">
        <v>5.0599999999999996</v>
      </c>
      <c r="J23" s="596">
        <v>10.35</v>
      </c>
      <c r="K23" s="703">
        <f t="shared" si="0"/>
        <v>4.5359999999999996</v>
      </c>
      <c r="L23" s="1192">
        <v>0.20599999999999999</v>
      </c>
      <c r="M23" s="994">
        <f t="shared" si="24"/>
        <v>0.187</v>
      </c>
      <c r="N23" s="1196">
        <f t="shared" ref="N23" si="25">+M23</f>
        <v>0.187</v>
      </c>
      <c r="O23" s="645">
        <f t="shared" si="3"/>
        <v>0.187</v>
      </c>
      <c r="P23" s="727">
        <v>88</v>
      </c>
      <c r="Q23" s="1476">
        <v>88.83</v>
      </c>
      <c r="R23" s="706">
        <v>4480.8</v>
      </c>
      <c r="S23" s="765">
        <f>IF((_xlfn.XLOOKUP(D23,RUC!$B$3:$B$119,RUC!$E$3:$E$119)+ROUNDDOWN(O23,1)*100)&lt;95,95,((_xlfn.XLOOKUP(D23,RUC!$B$3:$B$119,RUC!$E$3:$E$119)+ROUNDDOWN(O23,1)*100)))</f>
        <v>100</v>
      </c>
      <c r="U23" s="1146">
        <f>_xlfn.XLOOKUP(D23,RUC!$B$3:$B$123,RUC!$F$3:$F$123)</f>
        <v>120</v>
      </c>
      <c r="V23" s="715">
        <v>1.1023000000000001</v>
      </c>
      <c r="Y23" s="1445">
        <v>30</v>
      </c>
      <c r="Z23" s="1454">
        <v>40</v>
      </c>
      <c r="AA23" s="144">
        <f t="shared" si="4"/>
        <v>70</v>
      </c>
      <c r="AB23" s="145">
        <f t="shared" si="13"/>
        <v>603.63408327040008</v>
      </c>
      <c r="AC23" s="145">
        <f>+(S23-T23)*V23-'data 1'!$F$4</f>
        <v>30.230000000000004</v>
      </c>
      <c r="AD23" s="145">
        <f t="shared" si="5"/>
        <v>8.2188544444319831</v>
      </c>
      <c r="AE23" s="145">
        <f t="shared" si="6"/>
        <v>7.1610000000000014</v>
      </c>
      <c r="AF23" s="145">
        <f t="shared" si="7"/>
        <v>81.12958220656796</v>
      </c>
      <c r="AG23" s="772">
        <f t="shared" si="14"/>
        <v>143.73943665099995</v>
      </c>
      <c r="AH23" s="1253">
        <f t="shared" si="8"/>
        <v>28.457999999999998</v>
      </c>
      <c r="AI23" s="1253">
        <f t="shared" si="9"/>
        <v>32.036999999999999</v>
      </c>
      <c r="AJ23" s="156">
        <f t="shared" si="10"/>
        <v>130.14307039960798</v>
      </c>
      <c r="AK23" s="156">
        <f t="shared" si="11"/>
        <v>25.592127683256287</v>
      </c>
      <c r="AM23" s="716">
        <f t="shared" si="12"/>
        <v>2738.0842017145346</v>
      </c>
      <c r="AN23" s="716" t="str">
        <f>_xlfn.XLOOKUP(D23,RUC!$B$3:$B$578,RUC!$M$3:$M$578)</f>
        <v>Evelyn</v>
      </c>
      <c r="AO23" s="1167" t="s">
        <v>2279</v>
      </c>
      <c r="AP23" t="s">
        <v>3127</v>
      </c>
      <c r="AQ23" t="s">
        <v>4083</v>
      </c>
    </row>
    <row r="24" spans="1:56" ht="15" customHeight="1">
      <c r="A24" s="747" t="s">
        <v>4040</v>
      </c>
      <c r="B24" s="1447">
        <v>46024</v>
      </c>
      <c r="C24" s="1447">
        <v>46016</v>
      </c>
      <c r="D24" t="s">
        <v>93</v>
      </c>
      <c r="E24" s="762">
        <f>_xlfn.XLOOKUP(D24,RUC!$B$3:$B$123,RUC!$D$3:$D$123)</f>
        <v>20169040231</v>
      </c>
      <c r="G24" s="1082">
        <v>21</v>
      </c>
      <c r="H24" s="762" t="s">
        <v>108</v>
      </c>
      <c r="I24" s="703">
        <v>1.75</v>
      </c>
      <c r="J24" s="596">
        <v>25.65</v>
      </c>
      <c r="K24" s="703">
        <f t="shared" si="0"/>
        <v>1.3009999999999999</v>
      </c>
      <c r="L24" s="1192">
        <v>1.0529999999999999</v>
      </c>
      <c r="M24" s="994">
        <f t="shared" ref="M24:M35" si="26">ROUND(+IF(AN24="Melchor Vera",IF(L24&gt;0.467,L24*0.985,(L24-0.007)),IF(L24&gt;0.3,L24*0.94,(L24-0.019))),3)</f>
        <v>0.99</v>
      </c>
      <c r="N24" s="1196">
        <f t="shared" ref="N24:N25" si="27">+M24</f>
        <v>0.99</v>
      </c>
      <c r="O24" s="645">
        <f t="shared" si="3"/>
        <v>0.99</v>
      </c>
      <c r="P24" s="727">
        <v>90</v>
      </c>
      <c r="Q24" s="1476">
        <v>96.3</v>
      </c>
      <c r="R24" s="706">
        <v>4480.8</v>
      </c>
      <c r="S24" s="765">
        <f>IF((_xlfn.XLOOKUP(D24,RUC!$B$3:$B$119,RUC!$E$3:$E$119)+ROUNDDOWN(O24,1)*100)&lt;95,95,((_xlfn.XLOOKUP(D24,RUC!$B$3:$B$119,RUC!$E$3:$E$119)+ROUNDDOWN(O24,1)*100)))</f>
        <v>175</v>
      </c>
      <c r="U24" s="1146">
        <f>_xlfn.XLOOKUP(D24,RUC!$B$3:$B$123,RUC!$F$3:$F$123)</f>
        <v>120</v>
      </c>
      <c r="V24" s="715">
        <v>1.1023000000000001</v>
      </c>
      <c r="Y24" s="1445">
        <v>35</v>
      </c>
      <c r="Z24" s="1454">
        <v>48</v>
      </c>
      <c r="AA24" s="144">
        <f t="shared" si="4"/>
        <v>83</v>
      </c>
      <c r="AB24" s="145">
        <f t="shared" si="13"/>
        <v>3998.5632674399999</v>
      </c>
      <c r="AC24" s="145">
        <f>+(S24-T24)*V24-'data 1'!$F$4</f>
        <v>112.9025</v>
      </c>
      <c r="AD24" s="145">
        <f t="shared" si="5"/>
        <v>318.88559187575987</v>
      </c>
      <c r="AE24" s="145">
        <f t="shared" si="6"/>
        <v>21.490900000000003</v>
      </c>
      <c r="AF24" s="145">
        <f t="shared" si="7"/>
        <v>291.63041308295976</v>
      </c>
      <c r="AG24" s="772">
        <f t="shared" si="14"/>
        <v>761.90940495871962</v>
      </c>
      <c r="AH24" s="1253">
        <f t="shared" si="8"/>
        <v>45.231999999999999</v>
      </c>
      <c r="AI24" s="1253">
        <f t="shared" si="9"/>
        <v>46.969000000000001</v>
      </c>
      <c r="AJ24" s="156">
        <f t="shared" si="10"/>
        <v>721.18855239443974</v>
      </c>
      <c r="AK24" s="156">
        <f t="shared" si="11"/>
        <v>39.743313259067556</v>
      </c>
      <c r="AM24" s="716">
        <f t="shared" si="12"/>
        <v>5202.1308109394395</v>
      </c>
      <c r="AN24" s="716" t="str">
        <f>_xlfn.XLOOKUP(D24,RUC!$B$3:$B$578,RUC!$M$3:$M$578)</f>
        <v>Ronald Miranda</v>
      </c>
      <c r="AO24" s="1167" t="s">
        <v>2277</v>
      </c>
      <c r="AP24" t="s">
        <v>4089</v>
      </c>
      <c r="AQ24" t="s">
        <v>4090</v>
      </c>
      <c r="BA24" s="1482"/>
    </row>
    <row r="25" spans="1:56" ht="15" customHeight="1" thickBot="1">
      <c r="A25" s="747" t="s">
        <v>4042</v>
      </c>
      <c r="B25" s="1447">
        <v>46024</v>
      </c>
      <c r="C25" s="1447">
        <v>46016</v>
      </c>
      <c r="D25" t="s">
        <v>93</v>
      </c>
      <c r="E25" s="762">
        <f>_xlfn.XLOOKUP(D25,RUC!$B$3:$B$123,RUC!$D$3:$D$123)</f>
        <v>20169040231</v>
      </c>
      <c r="G25" s="1082">
        <v>21</v>
      </c>
      <c r="H25" s="762" t="s">
        <v>108</v>
      </c>
      <c r="I25" s="703">
        <v>1.7</v>
      </c>
      <c r="J25" s="596">
        <v>28.6</v>
      </c>
      <c r="K25" s="703">
        <f t="shared" si="0"/>
        <v>1.214</v>
      </c>
      <c r="L25" s="1192">
        <v>1.016</v>
      </c>
      <c r="M25" s="994">
        <f t="shared" si="26"/>
        <v>0.95499999999999996</v>
      </c>
      <c r="N25" s="1196">
        <f t="shared" si="27"/>
        <v>0.95499999999999996</v>
      </c>
      <c r="O25" s="645">
        <f t="shared" si="3"/>
        <v>0.95499999999999996</v>
      </c>
      <c r="P25" s="727">
        <v>90</v>
      </c>
      <c r="Q25" s="1476">
        <v>92.81</v>
      </c>
      <c r="R25" s="706">
        <v>4480.8</v>
      </c>
      <c r="S25" s="765">
        <f>IF((_xlfn.XLOOKUP(D25,RUC!$B$3:$B$119,RUC!$E$3:$E$119)+ROUNDDOWN(O25,1)*100)&lt;95,95,((_xlfn.XLOOKUP(D25,RUC!$B$3:$B$119,RUC!$E$3:$E$119)+ROUNDDOWN(O25,1)*100)))</f>
        <v>175</v>
      </c>
      <c r="U25" s="1146">
        <f>_xlfn.XLOOKUP(D25,RUC!$B$3:$B$123,RUC!$F$3:$F$123)</f>
        <v>120</v>
      </c>
      <c r="V25" s="715">
        <v>1.1023000000000001</v>
      </c>
      <c r="Y25" s="1445">
        <v>35</v>
      </c>
      <c r="Z25" s="1454">
        <v>48</v>
      </c>
      <c r="AA25" s="144">
        <f t="shared" si="4"/>
        <v>83</v>
      </c>
      <c r="AB25" s="145">
        <f t="shared" si="13"/>
        <v>3847.1456074800003</v>
      </c>
      <c r="AC25" s="145">
        <f>+(S25-T25)*V25-'data 1'!$F$4</f>
        <v>112.9025</v>
      </c>
      <c r="AD25" s="145">
        <f t="shared" si="5"/>
        <v>137.23535316806414</v>
      </c>
      <c r="AE25" s="145">
        <f t="shared" si="6"/>
        <v>21.490900000000003</v>
      </c>
      <c r="AF25" s="145">
        <f t="shared" si="7"/>
        <v>272.13887437274423</v>
      </c>
      <c r="AG25" s="772">
        <f t="shared" si="14"/>
        <v>560.76762754080835</v>
      </c>
      <c r="AH25" s="1253">
        <f t="shared" si="8"/>
        <v>39.247999999999998</v>
      </c>
      <c r="AI25" s="1253">
        <f t="shared" si="9"/>
        <v>42.287999999999997</v>
      </c>
      <c r="AJ25" s="156">
        <f t="shared" si="10"/>
        <v>670.62948960041581</v>
      </c>
      <c r="AK25" s="156">
        <f t="shared" si="11"/>
        <v>35.774505309175645</v>
      </c>
      <c r="AM25" s="716">
        <f t="shared" si="12"/>
        <v>4670.4347674807204</v>
      </c>
      <c r="AN25" s="716" t="str">
        <f>_xlfn.XLOOKUP(D25,RUC!$B$3:$B$578,RUC!$M$3:$M$578)</f>
        <v>Ronald Miranda</v>
      </c>
      <c r="AO25" s="1167" t="s">
        <v>2277</v>
      </c>
      <c r="AP25" t="s">
        <v>4089</v>
      </c>
      <c r="AQ25" t="s">
        <v>4090</v>
      </c>
      <c r="BA25" s="1482"/>
    </row>
    <row r="26" spans="1:56" ht="15" customHeight="1" thickBot="1">
      <c r="A26" s="747" t="s">
        <v>4049</v>
      </c>
      <c r="B26" s="1447">
        <v>46024</v>
      </c>
      <c r="C26" s="1447">
        <v>46017</v>
      </c>
      <c r="D26" t="s">
        <v>93</v>
      </c>
      <c r="E26" s="762">
        <f>_xlfn.XLOOKUP(D26,RUC!$B$3:$B$123,RUC!$D$3:$D$123)</f>
        <v>20169040231</v>
      </c>
      <c r="G26" s="1082">
        <v>51</v>
      </c>
      <c r="H26" s="762" t="s">
        <v>108</v>
      </c>
      <c r="I26" s="703">
        <v>4.7</v>
      </c>
      <c r="J26" s="596">
        <v>22</v>
      </c>
      <c r="K26" s="703">
        <f t="shared" si="0"/>
        <v>3.6659999999999999</v>
      </c>
      <c r="L26" s="1192">
        <v>2.58</v>
      </c>
      <c r="M26" s="994">
        <f t="shared" si="26"/>
        <v>2.4249999999999998</v>
      </c>
      <c r="N26" s="1444">
        <v>2.68</v>
      </c>
      <c r="O26" s="645">
        <f t="shared" si="3"/>
        <v>2.5529999999999999</v>
      </c>
      <c r="P26" s="727">
        <v>90</v>
      </c>
      <c r="Q26" s="1476">
        <v>92.95</v>
      </c>
      <c r="R26" s="706">
        <v>4480.8</v>
      </c>
      <c r="S26" s="765">
        <f>IF((_xlfn.XLOOKUP(D26,RUC!$B$3:$B$119,RUC!$E$3:$E$119)+ROUNDDOWN(O26,1)*100)&lt;95,95,((_xlfn.XLOOKUP(D26,RUC!$B$3:$B$119,RUC!$E$3:$E$119)+ROUNDDOWN(O26,1)*100)))</f>
        <v>335</v>
      </c>
      <c r="U26" s="1146">
        <f>_xlfn.XLOOKUP(D26,RUC!$B$3:$B$123,RUC!$F$3:$F$123)</f>
        <v>120</v>
      </c>
      <c r="V26" s="715">
        <v>1.1023000000000001</v>
      </c>
      <c r="Y26" s="1445">
        <v>35</v>
      </c>
      <c r="Z26" s="1454">
        <v>60</v>
      </c>
      <c r="AA26" s="144">
        <f t="shared" si="4"/>
        <v>95</v>
      </c>
      <c r="AB26" s="145">
        <f t="shared" si="13"/>
        <v>10570.847739367999</v>
      </c>
      <c r="AC26" s="145">
        <f>+(S26-T26)*V26-'data 1'!$F$4</f>
        <v>289.27050000000003</v>
      </c>
      <c r="AD26" s="145">
        <f t="shared" si="5"/>
        <v>365.85390792240037</v>
      </c>
      <c r="AE26" s="145">
        <f t="shared" si="6"/>
        <v>34.718500000000006</v>
      </c>
      <c r="AF26" s="145">
        <f t="shared" si="7"/>
        <v>120.63661279956061</v>
      </c>
      <c r="AG26" s="772">
        <f t="shared" si="14"/>
        <v>827.47952072196097</v>
      </c>
      <c r="AH26" s="1253">
        <f t="shared" si="8"/>
        <v>301.41899999999998</v>
      </c>
      <c r="AI26" s="1253">
        <f t="shared" si="9"/>
        <v>324.28100000000001</v>
      </c>
      <c r="AJ26" s="156">
        <f t="shared" si="10"/>
        <v>1705.5453285155995</v>
      </c>
      <c r="AK26" s="156">
        <f t="shared" si="11"/>
        <v>288.79844742502996</v>
      </c>
      <c r="AM26" s="716">
        <f t="shared" si="12"/>
        <v>38752.727812523081</v>
      </c>
      <c r="AN26" s="716" t="str">
        <f>_xlfn.XLOOKUP(D26,RUC!$B$3:$B$578,RUC!$M$3:$M$578)</f>
        <v>Ronald Miranda</v>
      </c>
      <c r="AO26" s="1167" t="s">
        <v>2277</v>
      </c>
      <c r="AP26" t="s">
        <v>4089</v>
      </c>
      <c r="AQ26" t="s">
        <v>4090</v>
      </c>
      <c r="AV26" s="1982" t="s">
        <v>4467</v>
      </c>
      <c r="AW26" s="1983"/>
      <c r="AX26" s="1983"/>
      <c r="AY26" s="1983"/>
      <c r="AZ26" s="1983"/>
      <c r="BA26" s="1984"/>
    </row>
    <row r="27" spans="1:56" ht="15" customHeight="1">
      <c r="A27" s="747" t="s">
        <v>4051</v>
      </c>
      <c r="B27" s="1447">
        <v>46029</v>
      </c>
      <c r="C27" s="1447">
        <v>46017</v>
      </c>
      <c r="D27" t="s">
        <v>93</v>
      </c>
      <c r="E27" s="762">
        <f>_xlfn.XLOOKUP(D27,RUC!$B$3:$B$123,RUC!$D$3:$D$123)</f>
        <v>20169040231</v>
      </c>
      <c r="G27" s="1082">
        <v>61</v>
      </c>
      <c r="H27" s="762" t="s">
        <v>108</v>
      </c>
      <c r="I27" s="703">
        <v>4.93</v>
      </c>
      <c r="J27" s="596">
        <v>27.75</v>
      </c>
      <c r="K27" s="703">
        <f t="shared" si="0"/>
        <v>3.5619999999999998</v>
      </c>
      <c r="L27" s="1192">
        <v>1.175</v>
      </c>
      <c r="M27" s="994">
        <f t="shared" si="26"/>
        <v>1.105</v>
      </c>
      <c r="N27" s="1444">
        <v>1.2350000000000001</v>
      </c>
      <c r="O27" s="645">
        <f t="shared" si="3"/>
        <v>1.17</v>
      </c>
      <c r="P27" s="727">
        <v>90</v>
      </c>
      <c r="Q27" s="1476">
        <v>93.02</v>
      </c>
      <c r="R27" s="706">
        <v>4480.8</v>
      </c>
      <c r="S27" s="765">
        <f>IF((_xlfn.XLOOKUP(D27,RUC!$B$3:$B$119,RUC!$E$3:$E$119)+ROUNDDOWN(O27,1)*100)&lt;95,95,((_xlfn.XLOOKUP(D27,RUC!$B$3:$B$119,RUC!$E$3:$E$119)+ROUNDDOWN(O27,1)*100)))</f>
        <v>195</v>
      </c>
      <c r="U27" s="1146">
        <f>_xlfn.XLOOKUP(D27,RUC!$B$3:$B$123,RUC!$F$3:$F$123)</f>
        <v>120</v>
      </c>
      <c r="V27" s="715">
        <v>1.1023000000000001</v>
      </c>
      <c r="Y27" s="1445">
        <v>35</v>
      </c>
      <c r="Z27" s="1454">
        <v>48</v>
      </c>
      <c r="AA27" s="144">
        <f t="shared" si="4"/>
        <v>83</v>
      </c>
      <c r="AB27" s="145">
        <f t="shared" si="13"/>
        <v>4755.2366615199999</v>
      </c>
      <c r="AC27" s="145">
        <f>+(S27-T27)*V27-'data 1'!$F$4</f>
        <v>134.94850000000002</v>
      </c>
      <c r="AD27" s="145">
        <f t="shared" si="5"/>
        <v>170.57319567239978</v>
      </c>
      <c r="AE27" s="145">
        <f t="shared" si="6"/>
        <v>21.490900000000003</v>
      </c>
      <c r="AF27" s="145">
        <f t="shared" si="7"/>
        <v>22.356937665840515</v>
      </c>
      <c r="AG27" s="772">
        <f t="shared" si="14"/>
        <v>366.36953333824033</v>
      </c>
      <c r="AH27" s="1253">
        <f t="shared" si="8"/>
        <v>133.47999999999999</v>
      </c>
      <c r="AI27" s="1253">
        <f t="shared" si="9"/>
        <v>143.49600000000001</v>
      </c>
      <c r="AJ27" s="156">
        <f t="shared" si="10"/>
        <v>777.33526022059971</v>
      </c>
      <c r="AK27" s="156">
        <f t="shared" si="11"/>
        <v>128.59715350250727</v>
      </c>
      <c r="AM27" s="716">
        <f t="shared" si="12"/>
        <v>16938.152988334237</v>
      </c>
      <c r="AN27" s="716" t="str">
        <f>_xlfn.XLOOKUP(D27,RUC!$B$3:$B$578,RUC!$M$3:$M$578)</f>
        <v>Ronald Miranda</v>
      </c>
      <c r="AO27" s="1167" t="s">
        <v>2278</v>
      </c>
      <c r="AP27" t="s">
        <v>4089</v>
      </c>
      <c r="AQ27" t="s">
        <v>4090</v>
      </c>
      <c r="BA27" s="1482">
        <f>SUM(BA29:BA38)</f>
        <v>0</v>
      </c>
    </row>
    <row r="28" spans="1:56" ht="15" customHeight="1" thickBot="1">
      <c r="A28" s="747" t="s">
        <v>4055</v>
      </c>
      <c r="B28" s="1447">
        <v>46031</v>
      </c>
      <c r="C28" s="1447">
        <v>46017</v>
      </c>
      <c r="D28" t="s">
        <v>2444</v>
      </c>
      <c r="E28" s="762">
        <f>_xlfn.XLOOKUP(D28,RUC!$B$3:$B$123,RUC!$D$3:$D$123)</f>
        <v>20608774000</v>
      </c>
      <c r="G28" s="1082">
        <v>103</v>
      </c>
      <c r="H28" s="762" t="s">
        <v>69</v>
      </c>
      <c r="I28" s="703">
        <v>9.6999999999999993</v>
      </c>
      <c r="J28" s="596">
        <v>1.35</v>
      </c>
      <c r="K28" s="703">
        <f t="shared" si="0"/>
        <v>9.5690000000000008</v>
      </c>
      <c r="L28" s="1192">
        <v>0.55700000000000005</v>
      </c>
      <c r="M28" s="994">
        <f t="shared" si="26"/>
        <v>0.52400000000000002</v>
      </c>
      <c r="N28" s="1196">
        <f t="shared" ref="N28:N36" si="28">+M28</f>
        <v>0.52400000000000002</v>
      </c>
      <c r="O28" s="645">
        <f t="shared" si="3"/>
        <v>0.52400000000000002</v>
      </c>
      <c r="P28" s="727">
        <v>85</v>
      </c>
      <c r="Q28" s="1476">
        <v>85.29</v>
      </c>
      <c r="R28" s="706">
        <v>4480.8</v>
      </c>
      <c r="S28" s="765">
        <f>IF((_xlfn.XLOOKUP(D28,RUC!$B$3:$B$119,RUC!$E$3:$E$119)+ROUNDDOWN(O28,1)*100)&lt;95,95,((_xlfn.XLOOKUP(D28,RUC!$B$3:$B$119,RUC!$E$3:$E$119)+ROUNDDOWN(O28,1)*100)))</f>
        <v>135</v>
      </c>
      <c r="U28" s="1146">
        <f>_xlfn.XLOOKUP(D28,RUC!$B$3:$B$123,RUC!$F$3:$F$123)</f>
        <v>120</v>
      </c>
      <c r="V28" s="715">
        <v>1.1023000000000001</v>
      </c>
      <c r="Y28" s="1445">
        <v>25</v>
      </c>
      <c r="Z28" s="1454">
        <v>35</v>
      </c>
      <c r="AA28" s="144">
        <f t="shared" si="4"/>
        <v>60</v>
      </c>
      <c r="AB28" s="145">
        <f t="shared" si="13"/>
        <v>1926.0491427360002</v>
      </c>
      <c r="AC28" s="145">
        <f>+(S28-T28)*V28-'data 1'!$F$4</f>
        <v>68.810500000000019</v>
      </c>
      <c r="AD28" s="145">
        <f t="shared" si="5"/>
        <v>7.764601464552169</v>
      </c>
      <c r="AE28" s="145">
        <f t="shared" si="6"/>
        <v>-3.8619999999999948</v>
      </c>
      <c r="AF28" s="145">
        <f t="shared" si="7"/>
        <v>135.29384228368815</v>
      </c>
      <c r="AG28" s="772">
        <f t="shared" si="14"/>
        <v>225.00694374824036</v>
      </c>
      <c r="AH28" s="1253">
        <f t="shared" si="8"/>
        <v>155.858</v>
      </c>
      <c r="AI28" s="1253">
        <f t="shared" si="9"/>
        <v>182.739</v>
      </c>
      <c r="AJ28" s="156">
        <f t="shared" si="10"/>
        <v>337.86832261858797</v>
      </c>
      <c r="AK28" s="156">
        <f t="shared" si="11"/>
        <v>146.12544157275045</v>
      </c>
      <c r="AM28" s="716">
        <f t="shared" si="12"/>
        <v>18430.364246840789</v>
      </c>
      <c r="AN28" s="716" t="str">
        <f>_xlfn.XLOOKUP(D28,RUC!$B$3:$B$578,RUC!$M$3:$M$578)</f>
        <v>Ronald Miranda</v>
      </c>
      <c r="AO28" s="1167" t="s">
        <v>2277</v>
      </c>
      <c r="AP28" t="s">
        <v>4093</v>
      </c>
      <c r="AQ28" t="s">
        <v>4094</v>
      </c>
      <c r="AV28" s="762"/>
      <c r="AW28" s="762" t="s">
        <v>15</v>
      </c>
      <c r="AX28" s="762" t="s">
        <v>2522</v>
      </c>
      <c r="AY28" s="762" t="s">
        <v>2558</v>
      </c>
      <c r="AZ28" s="1483" t="s">
        <v>2598</v>
      </c>
      <c r="BA28" s="762" t="s">
        <v>2559</v>
      </c>
    </row>
    <row r="29" spans="1:56" ht="15" customHeight="1">
      <c r="A29" s="747" t="s">
        <v>4056</v>
      </c>
      <c r="B29" s="1447">
        <v>46031</v>
      </c>
      <c r="C29" s="1447">
        <v>46017</v>
      </c>
      <c r="D29" t="s">
        <v>2444</v>
      </c>
      <c r="E29" s="762">
        <f>_xlfn.XLOOKUP(D29,RUC!$B$3:$B$123,RUC!$D$3:$D$123)</f>
        <v>20608774000</v>
      </c>
      <c r="G29" s="1082">
        <v>100</v>
      </c>
      <c r="H29" s="762" t="s">
        <v>69</v>
      </c>
      <c r="I29" s="703">
        <v>9.2200000000000006</v>
      </c>
      <c r="J29" s="596">
        <v>1.45</v>
      </c>
      <c r="K29" s="703">
        <f t="shared" si="0"/>
        <v>9.0860000000000003</v>
      </c>
      <c r="L29" s="1192">
        <v>0.53200000000000003</v>
      </c>
      <c r="M29" s="994">
        <f t="shared" si="26"/>
        <v>0.5</v>
      </c>
      <c r="N29" s="1196">
        <f t="shared" si="28"/>
        <v>0.5</v>
      </c>
      <c r="O29" s="645">
        <f t="shared" si="3"/>
        <v>0.5</v>
      </c>
      <c r="P29" s="727">
        <v>83</v>
      </c>
      <c r="Q29" s="1476">
        <v>83.56</v>
      </c>
      <c r="R29" s="706">
        <v>4480.8</v>
      </c>
      <c r="S29" s="765">
        <f>IF((_xlfn.XLOOKUP(D29,RUC!$B$3:$B$119,RUC!$E$3:$E$119)+ROUNDDOWN(O29,1)*100)&lt;95,95,((_xlfn.XLOOKUP(D29,RUC!$B$3:$B$119,RUC!$E$3:$E$119)+ROUNDDOWN(O29,1)*100)))</f>
        <v>135</v>
      </c>
      <c r="U29" s="1146">
        <f>_xlfn.XLOOKUP(D29,RUC!$B$3:$B$123,RUC!$F$3:$F$123)</f>
        <v>120</v>
      </c>
      <c r="V29" s="715">
        <v>1.1023000000000001</v>
      </c>
      <c r="Y29" s="1445">
        <v>25</v>
      </c>
      <c r="Z29" s="1454">
        <v>35</v>
      </c>
      <c r="AA29" s="144">
        <f t="shared" si="4"/>
        <v>60</v>
      </c>
      <c r="AB29" s="145">
        <f t="shared" si="13"/>
        <v>1779.9190836000002</v>
      </c>
      <c r="AC29" s="145">
        <f>+(S29-T29)*V29-'data 1'!$F$4</f>
        <v>68.810500000000019</v>
      </c>
      <c r="AD29" s="145">
        <f t="shared" si="5"/>
        <v>14.320745795328062</v>
      </c>
      <c r="AE29" s="145">
        <f t="shared" si="6"/>
        <v>-3.8619999999999948</v>
      </c>
      <c r="AF29" s="145">
        <f t="shared" si="7"/>
        <v>128.53292359372813</v>
      </c>
      <c r="AG29" s="772">
        <f t="shared" si="14"/>
        <v>224.80216938905619</v>
      </c>
      <c r="AH29" s="1253">
        <f t="shared" si="8"/>
        <v>138.482</v>
      </c>
      <c r="AI29" s="1253">
        <f t="shared" si="9"/>
        <v>165.727</v>
      </c>
      <c r="AJ29" s="156">
        <f t="shared" si="10"/>
        <v>316.15803941523194</v>
      </c>
      <c r="AK29" s="156">
        <f t="shared" si="11"/>
        <v>129.27956986625452</v>
      </c>
      <c r="AM29" s="716">
        <f t="shared" si="12"/>
        <v>16172.344793589602</v>
      </c>
      <c r="AN29" s="716" t="str">
        <f>_xlfn.XLOOKUP(D29,RUC!$B$3:$B$578,RUC!$M$3:$M$578)</f>
        <v>Ronald Miranda</v>
      </c>
      <c r="AO29" s="1167" t="s">
        <v>2278</v>
      </c>
      <c r="AP29" t="s">
        <v>4093</v>
      </c>
      <c r="AQ29" t="s">
        <v>4094</v>
      </c>
      <c r="AV29" s="1556" t="s">
        <v>2277</v>
      </c>
      <c r="AW29" s="1227">
        <f t="shared" ref="AW29:AW38" si="29">SUMIF($AO$4:$AO$921,AV29,$K$4:$K$921)</f>
        <v>159.01600000000002</v>
      </c>
      <c r="AX29" s="1227"/>
      <c r="AY29" s="1229">
        <f t="shared" ref="AY29:AY38" si="30">AW29*AX29*31.1035*1.1023</f>
        <v>0</v>
      </c>
      <c r="AZ29" s="596"/>
      <c r="BA29" s="1255">
        <f t="shared" ref="BA29:BA38" si="31">AY29*AZ29/100</f>
        <v>0</v>
      </c>
      <c r="BB29" s="1573" t="s">
        <v>4724</v>
      </c>
      <c r="BC29" s="1574">
        <f>+BB7</f>
        <v>5522.8719999999994</v>
      </c>
    </row>
    <row r="30" spans="1:56" ht="15" customHeight="1">
      <c r="A30" s="747" t="s">
        <v>4060</v>
      </c>
      <c r="B30" s="1447">
        <v>46030</v>
      </c>
      <c r="C30" s="1447">
        <v>46017</v>
      </c>
      <c r="D30" t="s">
        <v>2444</v>
      </c>
      <c r="E30" s="762">
        <f>_xlfn.XLOOKUP(D30,RUC!$B$3:$B$123,RUC!$D$3:$D$123)</f>
        <v>20608774000</v>
      </c>
      <c r="G30" s="1082">
        <v>55</v>
      </c>
      <c r="H30" s="762" t="s">
        <v>69</v>
      </c>
      <c r="I30" s="703">
        <v>5.47</v>
      </c>
      <c r="J30" s="596">
        <v>1.55</v>
      </c>
      <c r="K30" s="703">
        <f t="shared" si="0"/>
        <v>5.3849999999999998</v>
      </c>
      <c r="L30" s="1192">
        <v>0.23100000000000001</v>
      </c>
      <c r="M30" s="994">
        <f t="shared" si="26"/>
        <v>0.21199999999999999</v>
      </c>
      <c r="N30" s="1196">
        <f t="shared" si="28"/>
        <v>0.21199999999999999</v>
      </c>
      <c r="O30" s="645">
        <f t="shared" si="3"/>
        <v>0.21199999999999999</v>
      </c>
      <c r="P30" s="727">
        <v>90</v>
      </c>
      <c r="Q30" s="1476">
        <v>91.48</v>
      </c>
      <c r="R30" s="706">
        <v>4480.8</v>
      </c>
      <c r="S30" s="765">
        <f>IF((_xlfn.XLOOKUP(D30,RUC!$B$3:$B$119,RUC!$E$3:$E$119)+ROUNDDOWN(O30,1)*100)&lt;95,95,((_xlfn.XLOOKUP(D30,RUC!$B$3:$B$119,RUC!$E$3:$E$119)+ROUNDDOWN(O30,1)*100)))</f>
        <v>105</v>
      </c>
      <c r="U30" s="1146">
        <f>_xlfn.XLOOKUP(D30,RUC!$B$3:$B$123,RUC!$F$3:$F$123)</f>
        <v>120</v>
      </c>
      <c r="V30" s="715">
        <v>1.1023000000000001</v>
      </c>
      <c r="Y30" s="1445">
        <v>25</v>
      </c>
      <c r="Z30" s="1454">
        <v>35</v>
      </c>
      <c r="AA30" s="144">
        <f t="shared" si="4"/>
        <v>60</v>
      </c>
      <c r="AB30" s="145">
        <f t="shared" si="13"/>
        <v>735.27889747199993</v>
      </c>
      <c r="AC30" s="145">
        <f>+(S30-T30)*V30-'data 1'!$F$4</f>
        <v>35.741500000000002</v>
      </c>
      <c r="AD30" s="145">
        <f t="shared" si="5"/>
        <v>16.433863360992046</v>
      </c>
      <c r="AE30" s="145">
        <f t="shared" si="6"/>
        <v>-3.8619999999999948</v>
      </c>
      <c r="AF30" s="145">
        <f t="shared" si="7"/>
        <v>83.549861311008101</v>
      </c>
      <c r="AG30" s="772">
        <f t="shared" si="14"/>
        <v>148.86322467200017</v>
      </c>
      <c r="AH30" s="1253">
        <f t="shared" si="8"/>
        <v>39.015000000000001</v>
      </c>
      <c r="AI30" s="1253">
        <f t="shared" si="9"/>
        <v>42.649000000000001</v>
      </c>
      <c r="AJ30" s="156">
        <f t="shared" si="10"/>
        <v>150.290767382448</v>
      </c>
      <c r="AK30" s="156">
        <f t="shared" si="11"/>
        <v>35.226796235076897</v>
      </c>
      <c r="AM30" s="716">
        <f t="shared" si="12"/>
        <v>3959.4768628867196</v>
      </c>
      <c r="AN30" s="716" t="str">
        <f>_xlfn.XLOOKUP(D30,RUC!$B$3:$B$578,RUC!$M$3:$M$578)</f>
        <v>Ronald Miranda</v>
      </c>
      <c r="AO30" s="1167" t="s">
        <v>2279</v>
      </c>
      <c r="AP30" t="s">
        <v>4095</v>
      </c>
      <c r="AQ30" t="s">
        <v>4096</v>
      </c>
      <c r="AV30" s="1557" t="s">
        <v>2278</v>
      </c>
      <c r="AW30" s="703">
        <f t="shared" si="29"/>
        <v>153.78699999999998</v>
      </c>
      <c r="AX30" s="703"/>
      <c r="AY30" s="596">
        <f t="shared" si="30"/>
        <v>0</v>
      </c>
      <c r="AZ30" s="596"/>
      <c r="BA30" s="1256">
        <f t="shared" si="31"/>
        <v>0</v>
      </c>
      <c r="BB30" s="1575" t="s">
        <v>4725</v>
      </c>
      <c r="BC30" s="1576">
        <f>+'36'!BC33</f>
        <v>141.577</v>
      </c>
    </row>
    <row r="31" spans="1:56" ht="15" customHeight="1">
      <c r="A31" s="747" t="s">
        <v>4063</v>
      </c>
      <c r="B31" s="1447">
        <v>46029</v>
      </c>
      <c r="C31" s="1447">
        <v>46017</v>
      </c>
      <c r="D31" t="s">
        <v>93</v>
      </c>
      <c r="E31" s="762">
        <f>_xlfn.XLOOKUP(D31,RUC!$B$3:$B$123,RUC!$D$3:$D$123)</f>
        <v>20169040231</v>
      </c>
      <c r="G31" s="1082">
        <v>57</v>
      </c>
      <c r="H31" s="762" t="s">
        <v>108</v>
      </c>
      <c r="I31" s="703">
        <v>4.67</v>
      </c>
      <c r="J31" s="596">
        <v>26.4</v>
      </c>
      <c r="K31" s="703">
        <f t="shared" si="0"/>
        <v>3.4369999999999998</v>
      </c>
      <c r="L31" s="1192">
        <v>1.85</v>
      </c>
      <c r="M31" s="994">
        <f t="shared" si="26"/>
        <v>1.7390000000000001</v>
      </c>
      <c r="N31" s="1196">
        <f t="shared" si="28"/>
        <v>1.7390000000000001</v>
      </c>
      <c r="O31" s="645">
        <f t="shared" ref="O31:O36" si="32">+ROUND((M31+N31)/2,3)</f>
        <v>1.7390000000000001</v>
      </c>
      <c r="P31" s="727">
        <v>87</v>
      </c>
      <c r="Q31" s="1476">
        <v>87.35</v>
      </c>
      <c r="R31" s="706">
        <v>4480.8</v>
      </c>
      <c r="S31" s="765">
        <f>IF((_xlfn.XLOOKUP(D31,RUC!$B$3:$B$119,RUC!$E$3:$E$119)+ROUNDDOWN(O31,1)*100)&lt;95,95,((_xlfn.XLOOKUP(D31,RUC!$B$3:$B$119,RUC!$E$3:$E$119)+ROUNDDOWN(O31,1)*100)))</f>
        <v>255</v>
      </c>
      <c r="U31" s="1146">
        <f>_xlfn.XLOOKUP(D31,RUC!$B$3:$B$123,RUC!$F$3:$F$123)</f>
        <v>120</v>
      </c>
      <c r="V31" s="715">
        <v>1.1023000000000001</v>
      </c>
      <c r="Y31" s="1445">
        <v>35</v>
      </c>
      <c r="Z31" s="1454">
        <v>48</v>
      </c>
      <c r="AA31" s="144">
        <f t="shared" si="4"/>
        <v>83</v>
      </c>
      <c r="AB31" s="145">
        <f t="shared" si="13"/>
        <v>6899.9407042312014</v>
      </c>
      <c r="AC31" s="145">
        <f>+(S31-T31)*V31-'data 1'!$F$4</f>
        <v>201.0865</v>
      </c>
      <c r="AD31" s="145">
        <f t="shared" si="5"/>
        <v>31.124741213999496</v>
      </c>
      <c r="AE31" s="145">
        <f t="shared" si="6"/>
        <v>21.490900000000003</v>
      </c>
      <c r="AF31" s="145">
        <f t="shared" si="7"/>
        <v>466.07076772163992</v>
      </c>
      <c r="AG31" s="772">
        <f t="shared" si="14"/>
        <v>736.77290893563941</v>
      </c>
      <c r="AH31" s="1253">
        <f t="shared" si="8"/>
        <v>190.42500000000001</v>
      </c>
      <c r="AI31" s="1253">
        <f t="shared" si="9"/>
        <v>218.00200000000001</v>
      </c>
      <c r="AJ31" s="156">
        <f t="shared" si="10"/>
        <v>1149.2878192609996</v>
      </c>
      <c r="AK31" s="156">
        <f t="shared" si="11"/>
        <v>178.28197479372611</v>
      </c>
      <c r="AM31" s="716">
        <f t="shared" si="12"/>
        <v>23715.096200442636</v>
      </c>
      <c r="AN31" s="716" t="str">
        <f>_xlfn.XLOOKUP(D31,RUC!$B$3:$B$578,RUC!$M$3:$M$578)</f>
        <v>Ronald Miranda</v>
      </c>
      <c r="AO31" s="1167" t="s">
        <v>2280</v>
      </c>
      <c r="AP31" t="s">
        <v>4097</v>
      </c>
      <c r="AQ31" t="s">
        <v>4098</v>
      </c>
      <c r="AR31" t="s">
        <v>4225</v>
      </c>
      <c r="AV31" s="1557" t="s">
        <v>2280</v>
      </c>
      <c r="AW31" s="703">
        <f t="shared" si="29"/>
        <v>166.79400000000001</v>
      </c>
      <c r="AX31" s="703"/>
      <c r="AY31" s="596">
        <f t="shared" si="30"/>
        <v>0</v>
      </c>
      <c r="AZ31" s="596"/>
      <c r="BA31" s="1256">
        <f t="shared" si="31"/>
        <v>0</v>
      </c>
      <c r="BB31" s="1577" t="s">
        <v>4728</v>
      </c>
      <c r="BC31" s="1581">
        <v>4571.9799999999996</v>
      </c>
    </row>
    <row r="32" spans="1:56" ht="15" customHeight="1">
      <c r="A32" s="1491" t="s">
        <v>4064</v>
      </c>
      <c r="C32" s="1447">
        <v>46017</v>
      </c>
      <c r="D32" t="s">
        <v>93</v>
      </c>
      <c r="E32" s="762">
        <f>_xlfn.XLOOKUP(D32,RUC!$B$3:$B$123,RUC!$D$3:$D$123)</f>
        <v>20169040231</v>
      </c>
      <c r="G32" s="1082">
        <v>50</v>
      </c>
      <c r="H32" s="762" t="s">
        <v>69</v>
      </c>
      <c r="I32" s="703">
        <v>5.32</v>
      </c>
      <c r="J32" s="596">
        <v>5.2</v>
      </c>
      <c r="K32" s="703">
        <f t="shared" si="0"/>
        <v>5.0430000000000001</v>
      </c>
      <c r="L32" s="1192">
        <v>0.10299999999999999</v>
      </c>
      <c r="M32" s="994">
        <f t="shared" si="26"/>
        <v>8.4000000000000005E-2</v>
      </c>
      <c r="N32" s="1196">
        <f t="shared" si="28"/>
        <v>8.4000000000000005E-2</v>
      </c>
      <c r="O32" s="645">
        <f t="shared" si="32"/>
        <v>8.4000000000000005E-2</v>
      </c>
      <c r="P32" s="727">
        <v>90</v>
      </c>
      <c r="Q32" s="1476">
        <v>94.95</v>
      </c>
      <c r="R32" s="706">
        <v>4480.8</v>
      </c>
      <c r="S32" s="765">
        <f>IF((_xlfn.XLOOKUP(D32,RUC!$B$3:$B$119,RUC!$E$3:$E$119)+ROUNDDOWN(O32,1)*100)&lt;95,95,((_xlfn.XLOOKUP(D32,RUC!$B$3:$B$119,RUC!$E$3:$E$119)+ROUNDDOWN(O32,1)*100)))</f>
        <v>95</v>
      </c>
      <c r="U32" s="1146">
        <f>_xlfn.XLOOKUP(D32,RUC!$B$3:$B$123,RUC!$F$3:$F$123)</f>
        <v>120</v>
      </c>
      <c r="V32" s="715">
        <v>1.1023000000000001</v>
      </c>
      <c r="Y32" s="1445">
        <v>25</v>
      </c>
      <c r="Z32" s="1454">
        <v>38</v>
      </c>
      <c r="AA32" s="144">
        <f t="shared" si="4"/>
        <v>63</v>
      </c>
      <c r="AB32" s="145">
        <v>0</v>
      </c>
      <c r="AC32" s="145">
        <f>+(S32-T32)*V32-'data 1'!$F$4</f>
        <v>24.718500000000006</v>
      </c>
      <c r="AD32" s="145">
        <f t="shared" si="5"/>
        <v>24.508029819240019</v>
      </c>
      <c r="AE32" s="145">
        <f t="shared" si="6"/>
        <v>-0.55509999999999593</v>
      </c>
      <c r="AF32" s="145">
        <f t="shared" si="7"/>
        <v>86.719056968519965</v>
      </c>
      <c r="AG32" s="772">
        <f>AC32+AD32+AE32+AF32+70-53+189.24</f>
        <v>341.63048678775999</v>
      </c>
      <c r="AH32" s="1253">
        <f t="shared" si="8"/>
        <v>16.908999999999999</v>
      </c>
      <c r="AI32" s="1253">
        <f t="shared" si="9"/>
        <v>17.809000000000001</v>
      </c>
      <c r="AJ32" s="156">
        <f t="shared" si="10"/>
        <v>69.554680482059979</v>
      </c>
      <c r="AK32" s="156">
        <f t="shared" si="11"/>
        <v>13.071331622372943</v>
      </c>
      <c r="AM32" s="716">
        <f t="shared" si="12"/>
        <v>0</v>
      </c>
      <c r="AN32" s="716" t="str">
        <f>_xlfn.XLOOKUP(D32,RUC!$B$3:$B$578,RUC!$M$3:$M$578)</f>
        <v>Ronald Miranda</v>
      </c>
      <c r="AO32" s="1167" t="s">
        <v>2280</v>
      </c>
      <c r="AP32" t="s">
        <v>4097</v>
      </c>
      <c r="AQ32" t="s">
        <v>4098</v>
      </c>
      <c r="AV32" s="1557" t="s">
        <v>2279</v>
      </c>
      <c r="AW32" s="703">
        <f t="shared" si="29"/>
        <v>47.497999999999998</v>
      </c>
      <c r="AX32" s="703"/>
      <c r="AY32" s="596">
        <f t="shared" si="30"/>
        <v>0</v>
      </c>
      <c r="AZ32" s="596"/>
      <c r="BA32" s="1256">
        <f t="shared" si="31"/>
        <v>0</v>
      </c>
      <c r="BB32" s="1577" t="s">
        <v>4726</v>
      </c>
      <c r="BC32" s="1581">
        <v>981.68</v>
      </c>
    </row>
    <row r="33" spans="1:55" ht="15" customHeight="1">
      <c r="A33" s="747" t="s">
        <v>4065</v>
      </c>
      <c r="B33" s="1447">
        <v>46029</v>
      </c>
      <c r="C33" s="1447">
        <v>46017</v>
      </c>
      <c r="D33" t="s">
        <v>93</v>
      </c>
      <c r="E33" s="762">
        <f>_xlfn.XLOOKUP(D33,RUC!$B$3:$B$123,RUC!$D$3:$D$123)</f>
        <v>20169040231</v>
      </c>
      <c r="G33" s="1082">
        <v>57</v>
      </c>
      <c r="H33" s="762" t="s">
        <v>108</v>
      </c>
      <c r="I33" s="703">
        <v>4.4400000000000004</v>
      </c>
      <c r="J33" s="596">
        <v>27.37</v>
      </c>
      <c r="K33" s="703">
        <f t="shared" si="0"/>
        <v>3.2250000000000001</v>
      </c>
      <c r="L33" s="1192">
        <v>2.1469999999999998</v>
      </c>
      <c r="M33" s="994">
        <f t="shared" si="26"/>
        <v>2.0179999999999998</v>
      </c>
      <c r="N33" s="1196">
        <f t="shared" si="28"/>
        <v>2.0179999999999998</v>
      </c>
      <c r="O33" s="645">
        <f t="shared" si="32"/>
        <v>2.0179999999999998</v>
      </c>
      <c r="P33" s="727">
        <v>83</v>
      </c>
      <c r="Q33" s="1476">
        <v>83.7</v>
      </c>
      <c r="R33" s="706">
        <v>4480.8</v>
      </c>
      <c r="S33" s="765">
        <f>IF((_xlfn.XLOOKUP(D33,RUC!$B$3:$B$119,RUC!$E$3:$E$119)+ROUNDDOWN(O33,1)*100)&lt;95,95,((_xlfn.XLOOKUP(D33,RUC!$B$3:$B$119,RUC!$E$3:$E$119)+ROUNDDOWN(O33,1)*100)))</f>
        <v>285</v>
      </c>
      <c r="U33" s="1146">
        <f>_xlfn.XLOOKUP(D33,RUC!$B$3:$B$123,RUC!$F$3:$F$123)</f>
        <v>120</v>
      </c>
      <c r="V33" s="715">
        <v>1.1023000000000001</v>
      </c>
      <c r="Y33" s="1445">
        <v>35</v>
      </c>
      <c r="Z33" s="1454">
        <v>48</v>
      </c>
      <c r="AA33" s="144">
        <f t="shared" si="4"/>
        <v>83</v>
      </c>
      <c r="AB33" s="145">
        <f t="shared" si="13"/>
        <v>7645.6391674095985</v>
      </c>
      <c r="AC33" s="145">
        <f>+(S33-T33)*V33-'data 1'!$F$4</f>
        <v>234.15550000000002</v>
      </c>
      <c r="AD33" s="145">
        <f t="shared" si="5"/>
        <v>72.243047985360306</v>
      </c>
      <c r="AE33" s="145">
        <f t="shared" si="6"/>
        <v>21.490900000000003</v>
      </c>
      <c r="AF33" s="145">
        <f t="shared" si="7"/>
        <v>519.01647615432012</v>
      </c>
      <c r="AG33" s="772">
        <f t="shared" si="14"/>
        <v>863.90592413968045</v>
      </c>
      <c r="AH33" s="1253">
        <f t="shared" si="8"/>
        <v>198.69900000000001</v>
      </c>
      <c r="AI33" s="1253">
        <f t="shared" si="9"/>
        <v>237.39500000000001</v>
      </c>
      <c r="AJ33" s="156">
        <f t="shared" si="10"/>
        <v>1278.0612530744397</v>
      </c>
      <c r="AK33" s="156">
        <f t="shared" si="11"/>
        <v>185.19874635000608</v>
      </c>
      <c r="AM33" s="716">
        <f t="shared" si="12"/>
        <v>24657.186314895956</v>
      </c>
      <c r="AN33" s="716" t="str">
        <f>_xlfn.XLOOKUP(D33,RUC!$B$3:$B$578,RUC!$M$3:$M$578)</f>
        <v>Ronald Miranda</v>
      </c>
      <c r="AO33" s="1167" t="s">
        <v>2280</v>
      </c>
      <c r="AP33" t="s">
        <v>4097</v>
      </c>
      <c r="AQ33" t="s">
        <v>4098</v>
      </c>
      <c r="AR33" t="s">
        <v>4224</v>
      </c>
      <c r="AV33" s="1557" t="s">
        <v>2281</v>
      </c>
      <c r="AW33" s="703">
        <f t="shared" si="29"/>
        <v>0</v>
      </c>
      <c r="AX33" s="703"/>
      <c r="AY33" s="596">
        <f t="shared" si="30"/>
        <v>0</v>
      </c>
      <c r="AZ33" s="596"/>
      <c r="BA33" s="1256">
        <f t="shared" si="31"/>
        <v>0</v>
      </c>
      <c r="BB33" s="1577" t="s">
        <v>4727</v>
      </c>
      <c r="BC33" s="1581">
        <f>205.76+25.85</f>
        <v>231.60999999999999</v>
      </c>
    </row>
    <row r="34" spans="1:55" ht="15" customHeight="1">
      <c r="A34" s="1491" t="s">
        <v>4066</v>
      </c>
      <c r="C34" s="1447">
        <v>46018</v>
      </c>
      <c r="D34" t="s">
        <v>4198</v>
      </c>
      <c r="E34" s="762" t="str">
        <f>_xlfn.XLOOKUP(D34,RUC!$B$3:$B$123,RUC!$D$3:$D$123)</f>
        <v>20614284740*</v>
      </c>
      <c r="G34" s="1082" t="s">
        <v>2556</v>
      </c>
      <c r="H34" s="762" t="s">
        <v>69</v>
      </c>
      <c r="I34" s="703">
        <v>33.97</v>
      </c>
      <c r="J34" s="596">
        <v>1.1499999999999999</v>
      </c>
      <c r="K34" s="703">
        <f t="shared" si="0"/>
        <v>33.579000000000001</v>
      </c>
      <c r="L34" s="1192">
        <v>7.1999999999999995E-2</v>
      </c>
      <c r="M34" s="994">
        <f t="shared" si="26"/>
        <v>5.2999999999999999E-2</v>
      </c>
      <c r="N34" s="1196">
        <f t="shared" si="28"/>
        <v>5.2999999999999999E-2</v>
      </c>
      <c r="O34" s="645">
        <f t="shared" si="32"/>
        <v>5.2999999999999999E-2</v>
      </c>
      <c r="P34" s="727">
        <v>90</v>
      </c>
      <c r="Q34" s="1476">
        <v>91.67</v>
      </c>
      <c r="R34" s="706">
        <v>4480.8</v>
      </c>
      <c r="S34" s="765">
        <f>IF((_xlfn.XLOOKUP(D34,RUC!$B$3:$B$119,RUC!$E$3:$E$119)+ROUNDDOWN(O34,1)*100)&lt;95,95,((_xlfn.XLOOKUP(D34,RUC!$B$3:$B$119,RUC!$E$3:$E$119)+ROUNDDOWN(O34,1)*100)))</f>
        <v>95</v>
      </c>
      <c r="U34" s="1146">
        <f>_xlfn.XLOOKUP(D34,RUC!$B$3:$B$123,RUC!$F$3:$F$123)</f>
        <v>110</v>
      </c>
      <c r="V34" s="715">
        <v>1.1023000000000001</v>
      </c>
      <c r="Y34">
        <f>_xlfn.XLOOKUP(D34,RUC!$B$3:$B$123,RUC!$G$3:$G$123)</f>
        <v>0</v>
      </c>
      <c r="Z34" s="143">
        <f>_xlfn.XLOOKUP(D34,RUC!$B$3:$B$123,RUC!$H$3:$H$123)</f>
        <v>35</v>
      </c>
      <c r="AA34" s="144">
        <f t="shared" si="4"/>
        <v>35</v>
      </c>
      <c r="AB34" s="145">
        <v>0</v>
      </c>
      <c r="AC34" s="145">
        <f>+(S34-T34)*V34-'data 1'!$F$4</f>
        <v>24.718500000000006</v>
      </c>
      <c r="AD34" s="145">
        <f t="shared" si="5"/>
        <v>5.7930824468160065</v>
      </c>
      <c r="AE34" s="145">
        <f t="shared" si="6"/>
        <v>-31.419499999999999</v>
      </c>
      <c r="AF34" s="145">
        <f t="shared" si="7"/>
        <v>83.915381654131977</v>
      </c>
      <c r="AG34" s="772">
        <f>AC34+AD34+AE34+AF34+70-53+86.52</f>
        <v>186.52746410094801</v>
      </c>
      <c r="AH34" s="1253">
        <f t="shared" si="8"/>
        <v>75.986999999999995</v>
      </c>
      <c r="AI34" s="1253">
        <f t="shared" si="9"/>
        <v>82.891000000000005</v>
      </c>
      <c r="AJ34" s="156">
        <f t="shared" si="10"/>
        <v>46.213623794303984</v>
      </c>
      <c r="AK34" s="156">
        <f t="shared" si="11"/>
        <v>54.915533462286319</v>
      </c>
      <c r="AM34" s="716">
        <f t="shared" si="12"/>
        <v>0</v>
      </c>
      <c r="AN34" s="716" t="str">
        <f>_xlfn.XLOOKUP(D34,RUC!$B$3:$B$578,RUC!$M$3:$M$578)</f>
        <v>Robinson Tuya</v>
      </c>
      <c r="AO34" s="1167" t="s">
        <v>2280</v>
      </c>
      <c r="AP34" t="s">
        <v>4099</v>
      </c>
      <c r="AQ34" t="s">
        <v>2991</v>
      </c>
      <c r="AV34" s="1557" t="s">
        <v>2297</v>
      </c>
      <c r="AW34" s="703">
        <f t="shared" si="29"/>
        <v>0</v>
      </c>
      <c r="AY34" s="596">
        <f t="shared" si="30"/>
        <v>0</v>
      </c>
      <c r="BA34" s="1256">
        <f t="shared" si="31"/>
        <v>0</v>
      </c>
      <c r="BB34" s="1579" t="s">
        <v>3206</v>
      </c>
      <c r="BC34" s="1580">
        <f>-BC29-BC30+BC31+BC32+BC33</f>
        <v>120.82099999999988</v>
      </c>
    </row>
    <row r="35" spans="1:55" ht="15" customHeight="1">
      <c r="A35" s="747" t="s">
        <v>4103</v>
      </c>
      <c r="B35" s="1447">
        <v>46027</v>
      </c>
      <c r="C35" s="1447">
        <v>46019</v>
      </c>
      <c r="D35" t="s">
        <v>2444</v>
      </c>
      <c r="E35" s="762">
        <f>_xlfn.XLOOKUP(D35,RUC!$B$3:$B$123,RUC!$D$3:$D$123)</f>
        <v>20608774000</v>
      </c>
      <c r="G35" s="1082">
        <v>90</v>
      </c>
      <c r="H35" s="762" t="s">
        <v>69</v>
      </c>
      <c r="I35" s="703">
        <v>8.5399999999999991</v>
      </c>
      <c r="J35" s="596">
        <v>1.35</v>
      </c>
      <c r="K35" s="703">
        <f t="shared" si="0"/>
        <v>8.4250000000000007</v>
      </c>
      <c r="L35" s="1192">
        <v>0.63600000000000001</v>
      </c>
      <c r="M35" s="994">
        <f t="shared" si="26"/>
        <v>0.59799999999999998</v>
      </c>
      <c r="N35" s="1196">
        <f t="shared" si="28"/>
        <v>0.59799999999999998</v>
      </c>
      <c r="O35" s="645">
        <f t="shared" si="32"/>
        <v>0.59799999999999998</v>
      </c>
      <c r="P35" s="727">
        <v>90</v>
      </c>
      <c r="Q35" s="1476">
        <v>90.88</v>
      </c>
      <c r="R35" s="706">
        <v>4480.8</v>
      </c>
      <c r="S35" s="765">
        <f>IF((_xlfn.XLOOKUP(D35,RUC!$B$3:$B$119,RUC!$E$3:$E$119)+ROUNDDOWN(O35,1)*100)&lt;95,95,((_xlfn.XLOOKUP(D35,RUC!$B$3:$B$119,RUC!$E$3:$E$119)+ROUNDDOWN(O35,1)*100)))</f>
        <v>135</v>
      </c>
      <c r="U35" s="1146">
        <f>_xlfn.XLOOKUP(D35,RUC!$B$3:$B$123,RUC!$F$3:$F$123)</f>
        <v>120</v>
      </c>
      <c r="V35" s="715">
        <v>1.1023000000000001</v>
      </c>
      <c r="Y35" s="1445">
        <v>25</v>
      </c>
      <c r="Z35" s="1454">
        <v>35</v>
      </c>
      <c r="AA35" s="144">
        <f t="shared" si="4"/>
        <v>60</v>
      </c>
      <c r="AB35" s="145">
        <f t="shared" si="13"/>
        <v>2372.1303758880003</v>
      </c>
      <c r="AC35" s="145">
        <f>+(S35-T35)*V35-'data 1'!$F$4</f>
        <v>68.810500000000019</v>
      </c>
      <c r="AD35" s="145">
        <f t="shared" si="5"/>
        <v>26.903312992511864</v>
      </c>
      <c r="AE35" s="145">
        <f t="shared" si="6"/>
        <v>-3.8619999999999948</v>
      </c>
      <c r="AF35" s="145">
        <f t="shared" si="7"/>
        <v>166.00374717849616</v>
      </c>
      <c r="AG35" s="772">
        <f t="shared" si="14"/>
        <v>274.85556017100805</v>
      </c>
      <c r="AH35" s="1253">
        <f t="shared" si="8"/>
        <v>166.95699999999999</v>
      </c>
      <c r="AI35" s="1253">
        <f t="shared" si="9"/>
        <v>183.71100000000001</v>
      </c>
      <c r="AJ35" s="156">
        <f t="shared" si="10"/>
        <v>411.07361302732789</v>
      </c>
      <c r="AK35" s="156">
        <f t="shared" si="11"/>
        <v>155.46143502369677</v>
      </c>
      <c r="AM35" s="716">
        <f t="shared" si="12"/>
        <v>19985.198416856405</v>
      </c>
      <c r="AN35" s="716" t="str">
        <f>_xlfn.XLOOKUP(D35,RUC!$B$3:$B$578,RUC!$M$3:$M$578)</f>
        <v>Ronald Miranda</v>
      </c>
      <c r="AO35" s="1167" t="s">
        <v>2278</v>
      </c>
      <c r="AP35" t="s">
        <v>4100</v>
      </c>
      <c r="AQ35" t="s">
        <v>3218</v>
      </c>
      <c r="AV35" s="1557" t="s">
        <v>2518</v>
      </c>
      <c r="AW35" s="703">
        <f t="shared" si="29"/>
        <v>0</v>
      </c>
      <c r="AY35" s="596">
        <f t="shared" si="30"/>
        <v>0</v>
      </c>
      <c r="BA35" s="1256">
        <f t="shared" si="31"/>
        <v>0</v>
      </c>
    </row>
    <row r="36" spans="1:55" ht="15" customHeight="1">
      <c r="A36" s="747" t="s">
        <v>4139</v>
      </c>
      <c r="B36" s="1447">
        <v>46027</v>
      </c>
      <c r="C36" s="1549">
        <v>46023</v>
      </c>
      <c r="D36" t="s">
        <v>4184</v>
      </c>
      <c r="E36" s="762" t="str">
        <f>_xlfn.XLOOKUP(D36,RUC!$B$3:$B$123,RUC!$D$3:$D$123)</f>
        <v>20601769396-</v>
      </c>
      <c r="G36" s="1082">
        <v>43</v>
      </c>
      <c r="H36" s="762" t="s">
        <v>108</v>
      </c>
      <c r="I36" s="703">
        <v>3.31</v>
      </c>
      <c r="J36" s="596">
        <v>11.72</v>
      </c>
      <c r="K36" s="703">
        <f t="shared" si="0"/>
        <v>2.9220000000000002</v>
      </c>
      <c r="L36" s="1192">
        <v>0.34899999999999998</v>
      </c>
      <c r="M36" s="994">
        <f t="shared" ref="M36" si="33">ROUND(+IF(AN36="Melchor Vera",IF(L36&gt;0.467,L36*0.985,(L36-0.007)),IF(L36&gt;0.3,L36*0.94,(L36-0.018))),3)</f>
        <v>0.32800000000000001</v>
      </c>
      <c r="N36" s="1196">
        <f t="shared" si="28"/>
        <v>0.32800000000000001</v>
      </c>
      <c r="O36" s="645">
        <f t="shared" si="32"/>
        <v>0.32800000000000001</v>
      </c>
      <c r="P36" s="727">
        <v>90</v>
      </c>
      <c r="Q36" s="1476">
        <v>91.98</v>
      </c>
      <c r="R36" s="706">
        <v>4307.95</v>
      </c>
      <c r="S36" s="765">
        <f>IF((_xlfn.XLOOKUP(D36,RUC!$B$3:$B$119,RUC!$E$3:$E$119)+ROUNDDOWN(O36,1)*100)&lt;95,95,((_xlfn.XLOOKUP(D36,RUC!$B$3:$B$119,RUC!$E$3:$E$119)+ROUNDDOWN(O36,1)*100)))</f>
        <v>115</v>
      </c>
      <c r="U36" s="1146">
        <f>_xlfn.XLOOKUP(D36,RUC!$B$3:$B$123,RUC!$F$3:$F$123)</f>
        <v>120</v>
      </c>
      <c r="V36" s="715">
        <v>1.1023000000000001</v>
      </c>
      <c r="Y36" s="1445">
        <v>35</v>
      </c>
      <c r="Z36" s="1454">
        <v>48</v>
      </c>
      <c r="AA36" s="144">
        <f t="shared" si="4"/>
        <v>83</v>
      </c>
      <c r="AB36" s="145">
        <f t="shared" si="13"/>
        <v>1144.4991745320001</v>
      </c>
      <c r="AC36" s="145">
        <f>+(S36-T36)*V36-'data 1'!$F$4</f>
        <v>46.764500000000012</v>
      </c>
      <c r="AD36" s="145">
        <f t="shared" si="5"/>
        <v>31.900090314807063</v>
      </c>
      <c r="AE36" s="145">
        <f t="shared" si="6"/>
        <v>21.490900000000003</v>
      </c>
      <c r="AF36" s="145">
        <f t="shared" si="7"/>
        <v>89.169020361602847</v>
      </c>
      <c r="AG36" s="772">
        <f t="shared" si="14"/>
        <v>206.32451067640994</v>
      </c>
      <c r="AH36" s="1253">
        <f t="shared" si="8"/>
        <v>32.158999999999999</v>
      </c>
      <c r="AI36" s="1253">
        <f t="shared" si="9"/>
        <v>34.963000000000001</v>
      </c>
      <c r="AJ36" s="156">
        <f t="shared" si="10"/>
        <v>289.46661902745308</v>
      </c>
      <c r="AK36" s="156">
        <f t="shared" si="11"/>
        <v>29.573698025995924</v>
      </c>
      <c r="AM36" s="716">
        <f t="shared" si="12"/>
        <v>3344.2265879825045</v>
      </c>
      <c r="AN36" s="716" t="str">
        <f>_xlfn.XLOOKUP(D36,RUC!$B$3:$B$578,RUC!$M$3:$M$578)</f>
        <v>Ronald Miranda</v>
      </c>
      <c r="AO36" s="1167" t="s">
        <v>2279</v>
      </c>
      <c r="AP36" t="s">
        <v>3327</v>
      </c>
      <c r="AQ36" t="s">
        <v>4142</v>
      </c>
      <c r="AV36" s="1557" t="s">
        <v>2519</v>
      </c>
      <c r="AW36" s="703">
        <f t="shared" si="29"/>
        <v>0</v>
      </c>
      <c r="AY36" s="596">
        <f t="shared" si="30"/>
        <v>0</v>
      </c>
      <c r="BA36" s="1256">
        <f t="shared" si="31"/>
        <v>0</v>
      </c>
    </row>
    <row r="37" spans="1:55" ht="15" customHeight="1">
      <c r="A37" s="747" t="s">
        <v>4158</v>
      </c>
      <c r="B37" s="1447">
        <v>46025</v>
      </c>
      <c r="C37" s="1549">
        <v>46023</v>
      </c>
      <c r="D37" t="s">
        <v>4171</v>
      </c>
      <c r="E37" s="762">
        <f>_xlfn.XLOOKUP(D37,RUC!$B$3:$B$123,RUC!$D$3:$D$123)</f>
        <v>20614284740</v>
      </c>
      <c r="G37" s="1082" t="s">
        <v>2556</v>
      </c>
      <c r="H37" s="762" t="s">
        <v>2005</v>
      </c>
      <c r="I37">
        <v>24.52</v>
      </c>
      <c r="J37">
        <v>1.85</v>
      </c>
      <c r="K37" s="703">
        <f t="shared" si="0"/>
        <v>24.065999999999999</v>
      </c>
      <c r="L37" s="1192">
        <v>0.124</v>
      </c>
      <c r="M37" s="994">
        <f t="shared" ref="M37:M49" si="34">ROUND(+IF(AN37="Melchor Vera",IF(L37&gt;0.467,L37*0.985,(L37-0.007)),IF(L37&gt;0.3,L37*0.94,(L37-0.018))),3)</f>
        <v>0.106</v>
      </c>
      <c r="N37" s="1444">
        <v>0.16700000000000001</v>
      </c>
      <c r="O37" s="645">
        <f t="shared" ref="O37:O75" si="35">+ROUND((M37+N37)/2,3)</f>
        <v>0.13700000000000001</v>
      </c>
      <c r="P37" s="727">
        <v>80</v>
      </c>
      <c r="Q37" s="1476">
        <v>92.74</v>
      </c>
      <c r="R37" s="706">
        <v>4307.95</v>
      </c>
      <c r="S37" s="765">
        <f>IF((_xlfn.XLOOKUP(D37,RUC!$B$3:$B$119,RUC!$E$3:$E$119)+ROUNDDOWN(O37,1)*100)&lt;95,95,((_xlfn.XLOOKUP(D37,RUC!$B$3:$B$119,RUC!$E$3:$E$119)+ROUNDDOWN(O37,1)*100)))</f>
        <v>100</v>
      </c>
      <c r="U37" s="1146">
        <f>_xlfn.XLOOKUP(D37,RUC!$B$3:$B$123,RUC!$F$3:$F$123)</f>
        <v>120</v>
      </c>
      <c r="V37" s="715">
        <v>1.1023000000000001</v>
      </c>
      <c r="Y37" s="1445">
        <v>40</v>
      </c>
      <c r="Z37" s="143">
        <f>_xlfn.XLOOKUP(D37,RUC!$B$3:$B$123,RUC!$H$3:$H$123)</f>
        <v>30</v>
      </c>
      <c r="AA37" s="144">
        <f t="shared" si="4"/>
        <v>70</v>
      </c>
      <c r="AB37" s="145">
        <f t="shared" ref="AB37:AB43" si="36">+((O37*P37*(R37-U37)/100)-S37-AA37+T37)*V37</f>
        <v>318.56395043600003</v>
      </c>
      <c r="AC37" s="145">
        <f>+(S37-T37)*V37-'data 1'!$F$4</f>
        <v>30.230000000000004</v>
      </c>
      <c r="AD37" s="145">
        <f t="shared" si="5"/>
        <v>72.927681797515973</v>
      </c>
      <c r="AE37" s="145">
        <f t="shared" si="6"/>
        <v>7.1610000000000014</v>
      </c>
      <c r="AF37" s="145">
        <f t="shared" si="7"/>
        <v>-55.655967823417043</v>
      </c>
      <c r="AG37" s="772">
        <f t="shared" ref="AG37" si="37">AC37+AD37+AE37+AF37+70</f>
        <v>124.66271397409893</v>
      </c>
      <c r="AH37" s="1253">
        <f t="shared" si="8"/>
        <v>94.885999999999996</v>
      </c>
      <c r="AI37" s="1253">
        <f t="shared" si="9"/>
        <v>102.31399999999999</v>
      </c>
      <c r="AJ37" s="156">
        <f t="shared" si="10"/>
        <v>103.69753505736402</v>
      </c>
      <c r="AK37" s="156">
        <f t="shared" si="11"/>
        <v>90.432291509718482</v>
      </c>
      <c r="AM37" s="716">
        <f t="shared" si="12"/>
        <v>7666.5600311927765</v>
      </c>
      <c r="AN37" s="716" t="str">
        <f>_xlfn.XLOOKUP(D37,RUC!$B$3:$B$578,RUC!$M$3:$M$578)</f>
        <v xml:space="preserve">Dante </v>
      </c>
      <c r="AO37" s="1167" t="s">
        <v>2277</v>
      </c>
      <c r="AP37" t="s">
        <v>3329</v>
      </c>
      <c r="AQ37" t="s">
        <v>4143</v>
      </c>
      <c r="AV37" s="1557" t="s">
        <v>2520</v>
      </c>
      <c r="AW37" s="703">
        <f t="shared" si="29"/>
        <v>0</v>
      </c>
      <c r="AY37" s="596">
        <f t="shared" si="30"/>
        <v>0</v>
      </c>
      <c r="BA37" s="1256">
        <f t="shared" si="31"/>
        <v>0</v>
      </c>
    </row>
    <row r="38" spans="1:55" ht="15" customHeight="1" thickBot="1">
      <c r="A38" s="747" t="s">
        <v>4164</v>
      </c>
      <c r="B38" s="1447">
        <v>46036</v>
      </c>
      <c r="C38" s="1447">
        <v>46024</v>
      </c>
      <c r="D38" t="s">
        <v>2444</v>
      </c>
      <c r="E38" s="762">
        <f>_xlfn.XLOOKUP(D38,RUC!$B$3:$B$123,RUC!$D$3:$D$123)</f>
        <v>20608774000</v>
      </c>
      <c r="G38" s="1082">
        <v>9</v>
      </c>
      <c r="H38" s="762" t="s">
        <v>108</v>
      </c>
      <c r="I38" s="703">
        <v>0.68</v>
      </c>
      <c r="J38" s="596">
        <v>9.9</v>
      </c>
      <c r="K38" s="703">
        <f t="shared" si="0"/>
        <v>0.61299999999999999</v>
      </c>
      <c r="L38" s="1192">
        <v>13.404</v>
      </c>
      <c r="M38" s="994">
        <f t="shared" si="34"/>
        <v>12.6</v>
      </c>
      <c r="N38" s="1196">
        <f t="shared" ref="N38:N43" si="38">+M38</f>
        <v>12.6</v>
      </c>
      <c r="O38" s="645">
        <f t="shared" si="35"/>
        <v>12.6</v>
      </c>
      <c r="P38" s="727">
        <v>90</v>
      </c>
      <c r="Q38" s="1476">
        <v>93.31</v>
      </c>
      <c r="R38" s="706">
        <v>4307.95</v>
      </c>
      <c r="S38" s="765">
        <f>IF((_xlfn.XLOOKUP(D38,RUC!$B$3:$B$119,RUC!$E$3:$E$119)+ROUNDDOWN(O38,1)*100)&lt;95,95,((_xlfn.XLOOKUP(D38,RUC!$B$3:$B$119,RUC!$E$3:$E$119)+ROUNDDOWN(O38,1)*100)))</f>
        <v>1345</v>
      </c>
      <c r="U38" s="1146">
        <f>_xlfn.XLOOKUP(D38,RUC!$B$3:$B$123,RUC!$F$3:$F$123)</f>
        <v>120</v>
      </c>
      <c r="V38" s="715">
        <v>1.1023000000000001</v>
      </c>
      <c r="Y38" s="1445">
        <v>35</v>
      </c>
      <c r="Z38" s="1454">
        <v>45</v>
      </c>
      <c r="AA38" s="144">
        <f t="shared" si="4"/>
        <v>80</v>
      </c>
      <c r="AB38" s="145">
        <f t="shared" si="36"/>
        <v>50778.940911899997</v>
      </c>
      <c r="AC38" s="145">
        <f>+(S38-T38)*V38-'data 1'!$F$4</f>
        <v>1402.5935000000002</v>
      </c>
      <c r="AD38" s="145">
        <f t="shared" si="5"/>
        <v>2048.1591893414352</v>
      </c>
      <c r="AE38" s="145">
        <f t="shared" si="6"/>
        <v>18.184000000000005</v>
      </c>
      <c r="AF38" s="145">
        <f t="shared" si="7"/>
        <v>3463.2634822853352</v>
      </c>
      <c r="AG38" s="772">
        <f t="shared" ref="AG38:AG43" si="39">AC38+AD38+AE38+AF38+70-53</f>
        <v>6949.2001716267705</v>
      </c>
      <c r="AH38" s="1253">
        <f t="shared" si="8"/>
        <v>262.86500000000001</v>
      </c>
      <c r="AI38" s="1253">
        <f t="shared" si="9"/>
        <v>281.71100000000001</v>
      </c>
      <c r="AJ38" s="156">
        <f t="shared" si="10"/>
        <v>11278.264226131689</v>
      </c>
      <c r="AK38" s="156">
        <f t="shared" si="11"/>
        <v>238.33213219853099</v>
      </c>
      <c r="AM38" s="716">
        <f t="shared" si="12"/>
        <v>31127.490778994699</v>
      </c>
      <c r="AN38" s="716" t="str">
        <f>_xlfn.XLOOKUP(D38,RUC!$B$3:$B$578,RUC!$M$3:$M$578)</f>
        <v>Ronald Miranda</v>
      </c>
      <c r="AO38" s="1167" t="s">
        <v>2280</v>
      </c>
      <c r="AP38" t="s">
        <v>4144</v>
      </c>
      <c r="AQ38" t="s">
        <v>4145</v>
      </c>
      <c r="AV38" s="1558" t="s">
        <v>2521</v>
      </c>
      <c r="AW38" s="1254">
        <f t="shared" si="29"/>
        <v>0</v>
      </c>
      <c r="AX38" s="1257"/>
      <c r="AY38" s="1242">
        <f t="shared" si="30"/>
        <v>0</v>
      </c>
      <c r="AZ38" s="1257"/>
      <c r="BA38" s="1258">
        <f t="shared" si="31"/>
        <v>0</v>
      </c>
    </row>
    <row r="39" spans="1:55" ht="15" customHeight="1">
      <c r="A39" s="747" t="s">
        <v>4165</v>
      </c>
      <c r="B39" s="1447">
        <v>46030</v>
      </c>
      <c r="C39" s="1447">
        <v>46024</v>
      </c>
      <c r="D39" t="s">
        <v>2444</v>
      </c>
      <c r="E39" s="762">
        <f>_xlfn.XLOOKUP(D39,RUC!$B$3:$B$123,RUC!$D$3:$D$123)</f>
        <v>20608774000</v>
      </c>
      <c r="G39" s="1082">
        <v>6</v>
      </c>
      <c r="H39" s="762" t="s">
        <v>108</v>
      </c>
      <c r="I39" s="703">
        <v>0.56999999999999995</v>
      </c>
      <c r="J39" s="596">
        <v>15.25</v>
      </c>
      <c r="K39" s="703">
        <f t="shared" si="0"/>
        <v>0.48299999999999998</v>
      </c>
      <c r="L39" s="1192">
        <v>13.442</v>
      </c>
      <c r="M39" s="994">
        <f t="shared" si="34"/>
        <v>12.635</v>
      </c>
      <c r="N39" s="1196">
        <f t="shared" si="38"/>
        <v>12.635</v>
      </c>
      <c r="O39" s="645">
        <f t="shared" si="35"/>
        <v>12.635</v>
      </c>
      <c r="P39" s="727">
        <v>90</v>
      </c>
      <c r="Q39" s="1476">
        <v>90.22</v>
      </c>
      <c r="R39" s="706">
        <v>4307.95</v>
      </c>
      <c r="S39" s="765">
        <f>IF((_xlfn.XLOOKUP(D39,RUC!$B$3:$B$119,RUC!$E$3:$E$119)+ROUNDDOWN(O39,1)*100)&lt;95,95,((_xlfn.XLOOKUP(D39,RUC!$B$3:$B$119,RUC!$E$3:$E$119)+ROUNDDOWN(O39,1)*100)))</f>
        <v>1345</v>
      </c>
      <c r="U39" s="1146">
        <f>_xlfn.XLOOKUP(D39,RUC!$B$3:$B$123,RUC!$F$3:$F$123)</f>
        <v>120</v>
      </c>
      <c r="V39" s="715">
        <v>1.1023000000000001</v>
      </c>
      <c r="Y39" s="1445">
        <v>35</v>
      </c>
      <c r="Z39" s="1454">
        <v>45</v>
      </c>
      <c r="AA39" s="144">
        <f t="shared" si="4"/>
        <v>80</v>
      </c>
      <c r="AB39" s="145">
        <f t="shared" si="36"/>
        <v>50924.356796377499</v>
      </c>
      <c r="AC39" s="145">
        <f>+(S39-T39)*V39-'data 1'!$F$4</f>
        <v>1402.5935000000002</v>
      </c>
      <c r="AD39" s="145">
        <f t="shared" si="5"/>
        <v>136.51735562293331</v>
      </c>
      <c r="AE39" s="145">
        <f t="shared" si="6"/>
        <v>18.184000000000005</v>
      </c>
      <c r="AF39" s="145">
        <f t="shared" si="7"/>
        <v>3361.0707383272907</v>
      </c>
      <c r="AG39" s="772">
        <f t="shared" si="39"/>
        <v>4935.3655939502241</v>
      </c>
      <c r="AH39" s="1253">
        <f t="shared" si="8"/>
        <v>200.827</v>
      </c>
      <c r="AI39" s="1253">
        <f t="shared" si="9"/>
        <v>222.59700000000001</v>
      </c>
      <c r="AJ39" s="156">
        <f t="shared" si="10"/>
        <v>10935.694524083188</v>
      </c>
      <c r="AK39" s="156">
        <f t="shared" si="11"/>
        <v>188.31024817170768</v>
      </c>
      <c r="AM39" s="716">
        <f t="shared" si="12"/>
        <v>24596.464332650332</v>
      </c>
      <c r="AN39" s="716" t="str">
        <f>_xlfn.XLOOKUP(D39,RUC!$B$3:$B$578,RUC!$M$3:$M$578)</f>
        <v>Ronald Miranda</v>
      </c>
      <c r="AO39" s="1167" t="s">
        <v>2280</v>
      </c>
      <c r="AP39" t="s">
        <v>4144</v>
      </c>
      <c r="AQ39" t="s">
        <v>4145</v>
      </c>
    </row>
    <row r="40" spans="1:55" ht="15" customHeight="1">
      <c r="A40" s="747" t="s">
        <v>4166</v>
      </c>
      <c r="B40" s="1447">
        <v>46034</v>
      </c>
      <c r="C40" s="1549">
        <v>46024</v>
      </c>
      <c r="D40" t="s">
        <v>2444</v>
      </c>
      <c r="E40" s="762">
        <f>_xlfn.XLOOKUP(D40,RUC!$B$3:$B$123,RUC!$D$3:$D$123)</f>
        <v>20608774000</v>
      </c>
      <c r="G40" s="1082">
        <v>50</v>
      </c>
      <c r="H40" s="762" t="s">
        <v>2005</v>
      </c>
      <c r="I40" s="703">
        <v>3.11</v>
      </c>
      <c r="J40" s="596">
        <v>23.48</v>
      </c>
      <c r="K40" s="703">
        <f t="shared" si="0"/>
        <v>2.38</v>
      </c>
      <c r="L40" s="1192">
        <v>0.35299999999999998</v>
      </c>
      <c r="M40" s="994">
        <f t="shared" si="34"/>
        <v>0.33200000000000002</v>
      </c>
      <c r="N40" s="1196">
        <f t="shared" si="38"/>
        <v>0.33200000000000002</v>
      </c>
      <c r="O40" s="645">
        <f t="shared" si="35"/>
        <v>0.33200000000000002</v>
      </c>
      <c r="P40" s="727">
        <v>90</v>
      </c>
      <c r="Q40" s="1476">
        <v>93.48</v>
      </c>
      <c r="R40" s="706">
        <v>4307.95</v>
      </c>
      <c r="S40" s="765">
        <f>IF((_xlfn.XLOOKUP(D40,RUC!$B$3:$B$119,RUC!$E$3:$E$119)+ROUNDDOWN(O40,1)*100)&lt;95,95,((_xlfn.XLOOKUP(D40,RUC!$B$3:$B$119,RUC!$E$3:$E$119)+ROUNDDOWN(O40,1)*100)))</f>
        <v>115</v>
      </c>
      <c r="U40" s="1146">
        <f>_xlfn.XLOOKUP(D40,RUC!$B$3:$B$123,RUC!$F$3:$F$123)</f>
        <v>120</v>
      </c>
      <c r="V40" s="715">
        <v>1.1023000000000001</v>
      </c>
      <c r="Y40" s="1445">
        <v>25</v>
      </c>
      <c r="Z40" s="1454">
        <v>35</v>
      </c>
      <c r="AA40" s="144">
        <f t="shared" si="4"/>
        <v>60</v>
      </c>
      <c r="AB40" s="145">
        <f t="shared" si="36"/>
        <v>1186.4710327580001</v>
      </c>
      <c r="AC40" s="145">
        <f>+(S40-T40)*V40-'data 1'!$F$4</f>
        <v>46.764500000000012</v>
      </c>
      <c r="AD40" s="145">
        <f t="shared" si="5"/>
        <v>56.70942511985406</v>
      </c>
      <c r="AE40" s="145">
        <f t="shared" si="6"/>
        <v>-3.8619999999999948</v>
      </c>
      <c r="AF40" s="145">
        <f t="shared" si="7"/>
        <v>90.623179206377841</v>
      </c>
      <c r="AG40" s="772">
        <f t="shared" si="39"/>
        <v>207.23510432623192</v>
      </c>
      <c r="AH40" s="1253">
        <f t="shared" si="8"/>
        <v>26.925999999999998</v>
      </c>
      <c r="AI40" s="1253">
        <f t="shared" si="9"/>
        <v>28.805</v>
      </c>
      <c r="AJ40" s="156">
        <f t="shared" si="10"/>
        <v>297.55898286036603</v>
      </c>
      <c r="AK40" s="156">
        <f t="shared" si="11"/>
        <v>24.381847999429201</v>
      </c>
      <c r="AM40" s="716">
        <f t="shared" si="12"/>
        <v>2823.80105796404</v>
      </c>
      <c r="AN40" s="716" t="str">
        <f>_xlfn.XLOOKUP(D40,RUC!$B$3:$B$578,RUC!$M$3:$M$578)</f>
        <v>Ronald Miranda</v>
      </c>
      <c r="AO40" s="1167" t="s">
        <v>2278</v>
      </c>
      <c r="AP40" t="s">
        <v>4144</v>
      </c>
      <c r="AQ40" t="s">
        <v>4145</v>
      </c>
    </row>
    <row r="41" spans="1:55" ht="15" customHeight="1">
      <c r="A41" s="747" t="s">
        <v>4167</v>
      </c>
      <c r="B41" s="1447">
        <v>46034</v>
      </c>
      <c r="C41" s="1549">
        <v>46024</v>
      </c>
      <c r="D41" t="s">
        <v>2444</v>
      </c>
      <c r="E41" s="762">
        <f>_xlfn.XLOOKUP(D41,RUC!$B$3:$B$123,RUC!$D$3:$D$123)</f>
        <v>20608774000</v>
      </c>
      <c r="G41" s="1082">
        <v>50</v>
      </c>
      <c r="H41" s="762" t="s">
        <v>2005</v>
      </c>
      <c r="I41" s="703">
        <v>3.21</v>
      </c>
      <c r="J41" s="596">
        <v>22.62</v>
      </c>
      <c r="K41" s="703">
        <f t="shared" si="0"/>
        <v>2.484</v>
      </c>
      <c r="L41" s="1192">
        <v>0.30199999999999999</v>
      </c>
      <c r="M41" s="994">
        <f t="shared" si="34"/>
        <v>0.28399999999999997</v>
      </c>
      <c r="N41" s="1196">
        <f t="shared" si="38"/>
        <v>0.28399999999999997</v>
      </c>
      <c r="O41" s="645">
        <f t="shared" si="35"/>
        <v>0.28399999999999997</v>
      </c>
      <c r="P41" s="727">
        <v>90</v>
      </c>
      <c r="Q41" s="1476">
        <v>93.71</v>
      </c>
      <c r="R41" s="706">
        <v>4307.95</v>
      </c>
      <c r="S41" s="765">
        <f>IF((_xlfn.XLOOKUP(D41,RUC!$B$3:$B$119,RUC!$E$3:$E$119)+ROUNDDOWN(O41,1)*100)&lt;95,95,((_xlfn.XLOOKUP(D41,RUC!$B$3:$B$119,RUC!$E$3:$E$119)+ROUNDDOWN(O41,1)*100)))</f>
        <v>105</v>
      </c>
      <c r="U41" s="1146">
        <f>_xlfn.XLOOKUP(D41,RUC!$B$3:$B$123,RUC!$F$3:$F$123)</f>
        <v>120</v>
      </c>
      <c r="V41" s="715">
        <v>1.1023000000000001</v>
      </c>
      <c r="Y41" s="1445">
        <v>25</v>
      </c>
      <c r="Z41" s="1454">
        <v>35</v>
      </c>
      <c r="AA41" s="144">
        <f t="shared" si="4"/>
        <v>60</v>
      </c>
      <c r="AB41" s="145">
        <f t="shared" si="36"/>
        <v>998.06653404600002</v>
      </c>
      <c r="AC41" s="145">
        <f>+(S41-T41)*V41-'data 1'!$F$4</f>
        <v>35.741500000000002</v>
      </c>
      <c r="AD41" s="145">
        <f t="shared" si="5"/>
        <v>51.722814376596915</v>
      </c>
      <c r="AE41" s="145">
        <f t="shared" si="6"/>
        <v>-3.8619999999999948</v>
      </c>
      <c r="AF41" s="145">
        <f t="shared" si="7"/>
        <v>77.868128767923068</v>
      </c>
      <c r="AG41" s="772">
        <f t="shared" si="39"/>
        <v>178.47044314452</v>
      </c>
      <c r="AH41" s="1253">
        <f t="shared" si="8"/>
        <v>24.102</v>
      </c>
      <c r="AI41" s="1253">
        <f t="shared" si="9"/>
        <v>25.72</v>
      </c>
      <c r="AJ41" s="156">
        <f t="shared" si="10"/>
        <v>255.19522103836306</v>
      </c>
      <c r="AK41" s="156">
        <f t="shared" si="11"/>
        <v>21.768149440980718</v>
      </c>
      <c r="AM41" s="716">
        <f t="shared" si="12"/>
        <v>2479.1972705702642</v>
      </c>
      <c r="AN41" s="716" t="str">
        <f>_xlfn.XLOOKUP(D41,RUC!$B$3:$B$578,RUC!$M$3:$M$578)</f>
        <v>Ronald Miranda</v>
      </c>
      <c r="AO41" s="1167" t="s">
        <v>2278</v>
      </c>
      <c r="AP41" t="s">
        <v>4144</v>
      </c>
      <c r="AQ41" t="s">
        <v>4145</v>
      </c>
    </row>
    <row r="42" spans="1:55" ht="15" customHeight="1">
      <c r="A42" s="747" t="s">
        <v>4168</v>
      </c>
      <c r="B42" s="1447">
        <v>46034</v>
      </c>
      <c r="C42" s="1549">
        <v>46024</v>
      </c>
      <c r="D42" t="s">
        <v>2444</v>
      </c>
      <c r="E42" s="762">
        <f>_xlfn.XLOOKUP(D42,RUC!$B$3:$B$123,RUC!$D$3:$D$123)</f>
        <v>20608774000</v>
      </c>
      <c r="G42" s="1082">
        <v>50</v>
      </c>
      <c r="H42" s="762" t="s">
        <v>2005</v>
      </c>
      <c r="I42" s="703">
        <v>3.08</v>
      </c>
      <c r="J42" s="596">
        <v>25.63</v>
      </c>
      <c r="K42" s="703">
        <f t="shared" si="0"/>
        <v>2.2909999999999999</v>
      </c>
      <c r="L42" s="1192">
        <v>0.30499999999999999</v>
      </c>
      <c r="M42" s="994">
        <f t="shared" si="34"/>
        <v>0.28699999999999998</v>
      </c>
      <c r="N42" s="1196">
        <f t="shared" si="38"/>
        <v>0.28699999999999998</v>
      </c>
      <c r="O42" s="645">
        <f t="shared" si="35"/>
        <v>0.28699999999999998</v>
      </c>
      <c r="P42" s="727">
        <v>90</v>
      </c>
      <c r="Q42" s="1476">
        <v>92.79</v>
      </c>
      <c r="R42" s="706">
        <v>4307.95</v>
      </c>
      <c r="S42" s="765">
        <f>IF((_xlfn.XLOOKUP(D42,RUC!$B$3:$B$119,RUC!$E$3:$E$119)+ROUNDDOWN(O42,1)*100)&lt;95,95,((_xlfn.XLOOKUP(D42,RUC!$B$3:$B$119,RUC!$E$3:$E$119)+ROUNDDOWN(O42,1)*100)))</f>
        <v>105</v>
      </c>
      <c r="U42" s="1146">
        <f>_xlfn.XLOOKUP(D42,RUC!$B$3:$B$123,RUC!$F$3:$F$123)</f>
        <v>120</v>
      </c>
      <c r="V42" s="715">
        <v>1.1023000000000001</v>
      </c>
      <c r="Y42" s="1445">
        <v>25</v>
      </c>
      <c r="Z42" s="1454">
        <v>35</v>
      </c>
      <c r="AA42" s="144">
        <f t="shared" si="4"/>
        <v>60</v>
      </c>
      <c r="AB42" s="145">
        <f t="shared" si="36"/>
        <v>1010.5307527154999</v>
      </c>
      <c r="AC42" s="145">
        <f>+(S42-T42)*V42-'data 1'!$F$4</f>
        <v>35.741500000000002</v>
      </c>
      <c r="AD42" s="145">
        <f t="shared" si="5"/>
        <v>39.283062506707594</v>
      </c>
      <c r="AE42" s="145">
        <f t="shared" si="6"/>
        <v>-3.8619999999999948</v>
      </c>
      <c r="AF42" s="145">
        <f t="shared" si="7"/>
        <v>77.103656689527085</v>
      </c>
      <c r="AG42" s="772">
        <f t="shared" si="39"/>
        <v>165.26621919623469</v>
      </c>
      <c r="AH42" s="1253">
        <f t="shared" si="8"/>
        <v>22.23</v>
      </c>
      <c r="AI42" s="1253">
        <f t="shared" si="9"/>
        <v>23.957000000000001</v>
      </c>
      <c r="AJ42" s="156">
        <f t="shared" si="10"/>
        <v>255.20000024189258</v>
      </c>
      <c r="AK42" s="156">
        <f t="shared" si="11"/>
        <v>20.288902945024667</v>
      </c>
      <c r="AM42" s="716">
        <f t="shared" si="12"/>
        <v>2315.1259544712102</v>
      </c>
      <c r="AN42" s="716" t="str">
        <f>_xlfn.XLOOKUP(D42,RUC!$B$3:$B$578,RUC!$M$3:$M$578)</f>
        <v>Ronald Miranda</v>
      </c>
      <c r="AO42" s="1167" t="s">
        <v>2278</v>
      </c>
      <c r="AP42" t="s">
        <v>4144</v>
      </c>
      <c r="AQ42" t="s">
        <v>4145</v>
      </c>
    </row>
    <row r="43" spans="1:55" ht="15" customHeight="1">
      <c r="A43" s="747" t="s">
        <v>4179</v>
      </c>
      <c r="B43" s="1447">
        <v>46034</v>
      </c>
      <c r="C43" s="1447">
        <v>46026</v>
      </c>
      <c r="D43" t="s">
        <v>1967</v>
      </c>
      <c r="E43" s="762">
        <f>_xlfn.XLOOKUP(D43,RUC!$B$3:$B$123,RUC!$D$3:$D$123)</f>
        <v>20601769396</v>
      </c>
      <c r="G43" s="1082">
        <v>51</v>
      </c>
      <c r="H43" s="762" t="s">
        <v>2005</v>
      </c>
      <c r="I43" s="703">
        <v>3.49</v>
      </c>
      <c r="J43" s="596">
        <v>18.78</v>
      </c>
      <c r="K43" s="703">
        <f t="shared" si="0"/>
        <v>2.835</v>
      </c>
      <c r="L43" s="1192">
        <v>0.42699999999999999</v>
      </c>
      <c r="M43" s="994">
        <f t="shared" si="34"/>
        <v>0.40100000000000002</v>
      </c>
      <c r="N43" s="1196">
        <f t="shared" si="38"/>
        <v>0.40100000000000002</v>
      </c>
      <c r="O43" s="645">
        <f t="shared" si="35"/>
        <v>0.40100000000000002</v>
      </c>
      <c r="P43" s="727">
        <v>90</v>
      </c>
      <c r="Q43" s="1476">
        <v>96.96</v>
      </c>
      <c r="R43" s="706">
        <v>4456.3999999999996</v>
      </c>
      <c r="S43" s="765">
        <f>IF((_xlfn.XLOOKUP(D43,RUC!$B$3:$B$119,RUC!$E$3:$E$119)+ROUNDDOWN(O43,1)*100)&lt;95,95,((_xlfn.XLOOKUP(D43,RUC!$B$3:$B$119,RUC!$E$3:$E$119)+ROUNDDOWN(O43,1)*100)))</f>
        <v>130</v>
      </c>
      <c r="U43" s="1146">
        <f>_xlfn.XLOOKUP(D43,RUC!$B$3:$B$123,RUC!$F$3:$F$123)</f>
        <v>120</v>
      </c>
      <c r="V43" s="715">
        <v>1.1023000000000001</v>
      </c>
      <c r="Y43">
        <f>_xlfn.XLOOKUP(D43,RUC!$B$3:$B$123,RUC!$G$3:$G$123)</f>
        <v>20</v>
      </c>
      <c r="Z43" s="143">
        <f>_xlfn.XLOOKUP(D43,RUC!$B$3:$B$123,RUC!$H$3:$H$123)</f>
        <v>30</v>
      </c>
      <c r="AA43" s="144">
        <f t="shared" si="4"/>
        <v>50</v>
      </c>
      <c r="AB43" s="145">
        <f t="shared" si="36"/>
        <v>1526.6929515480001</v>
      </c>
      <c r="AC43" s="145">
        <f>+(S43-T43)*V43-'data 1'!$F$4</f>
        <v>63.299000000000007</v>
      </c>
      <c r="AD43" s="145">
        <f t="shared" si="5"/>
        <v>142.05818374742387</v>
      </c>
      <c r="AE43" s="145">
        <f t="shared" si="6"/>
        <v>-14.884999999999998</v>
      </c>
      <c r="AF43" s="145">
        <f t="shared" si="7"/>
        <v>120.50223387571182</v>
      </c>
      <c r="AG43" s="772">
        <f t="shared" si="39"/>
        <v>327.97441762313571</v>
      </c>
      <c r="AH43" s="1253">
        <f t="shared" si="8"/>
        <v>40.241999999999997</v>
      </c>
      <c r="AI43" s="1253">
        <f t="shared" si="9"/>
        <v>41.503999999999998</v>
      </c>
      <c r="AJ43" s="156">
        <f t="shared" si="10"/>
        <v>305.58760464153619</v>
      </c>
      <c r="AK43" s="156">
        <f t="shared" si="11"/>
        <v>35.079146211439571</v>
      </c>
      <c r="AM43" s="716">
        <f t="shared" si="12"/>
        <v>4328.1745176385803</v>
      </c>
      <c r="AN43" s="716" t="str">
        <f>_xlfn.XLOOKUP(D43,RUC!$B$3:$B$578,RUC!$M$3:$M$578)</f>
        <v>Evelyn</v>
      </c>
      <c r="AO43" s="1167" t="s">
        <v>2279</v>
      </c>
      <c r="AP43" t="s">
        <v>4240</v>
      </c>
      <c r="AQ43" t="s">
        <v>4241</v>
      </c>
    </row>
    <row r="44" spans="1:55" ht="15" customHeight="1">
      <c r="A44" s="747" t="s">
        <v>4203</v>
      </c>
      <c r="B44" s="1447">
        <v>46034</v>
      </c>
      <c r="C44" s="1447">
        <v>46026</v>
      </c>
      <c r="D44" t="s">
        <v>1967</v>
      </c>
      <c r="E44" s="762">
        <f>_xlfn.XLOOKUP(D44,RUC!$B$3:$B$123,RUC!$D$3:$D$123)</f>
        <v>20601769396</v>
      </c>
      <c r="G44" s="1082">
        <v>50</v>
      </c>
      <c r="H44" s="762" t="s">
        <v>108</v>
      </c>
      <c r="I44" s="703">
        <v>4.59</v>
      </c>
      <c r="J44" s="596">
        <v>21.7</v>
      </c>
      <c r="K44" s="703">
        <f t="shared" si="0"/>
        <v>3.5939999999999999</v>
      </c>
      <c r="L44" s="1192">
        <v>0.26400000000000001</v>
      </c>
      <c r="M44" s="994">
        <f t="shared" si="34"/>
        <v>0.246</v>
      </c>
      <c r="N44" s="1196">
        <f t="shared" ref="N44:N60" si="40">+M44</f>
        <v>0.246</v>
      </c>
      <c r="O44" s="645">
        <f t="shared" si="35"/>
        <v>0.246</v>
      </c>
      <c r="P44" s="727">
        <v>90</v>
      </c>
      <c r="Q44" s="1476">
        <v>91.29</v>
      </c>
      <c r="R44" s="706">
        <v>4456.3999999999996</v>
      </c>
      <c r="S44" s="765">
        <f>IF((_xlfn.XLOOKUP(D44,RUC!$B$3:$B$119,RUC!$E$3:$E$119)+ROUNDDOWN(O44,1)*100)&lt;95,95,((_xlfn.XLOOKUP(D44,RUC!$B$3:$B$119,RUC!$E$3:$E$119)+ROUNDDOWN(O44,1)*100)))</f>
        <v>110</v>
      </c>
      <c r="U44" s="1146">
        <f>_xlfn.XLOOKUP(D44,RUC!$B$3:$B$123,RUC!$F$3:$F$123)</f>
        <v>120</v>
      </c>
      <c r="V44" s="715">
        <v>1.1023000000000001</v>
      </c>
      <c r="Y44" s="1445">
        <v>30</v>
      </c>
      <c r="Z44" s="1454">
        <v>40</v>
      </c>
      <c r="AA44" s="144">
        <f t="shared" si="4"/>
        <v>70</v>
      </c>
      <c r="AB44" s="145">
        <f t="shared" ref="AB44:AB50" si="41">+((O44*P44*(R44-U44)/100)-S44-AA44+T44)*V44</f>
        <v>859.88103760799993</v>
      </c>
      <c r="AC44" s="145">
        <f>+(S44-T44)*V44-'data 1'!$F$4</f>
        <v>41.253</v>
      </c>
      <c r="AD44" s="145">
        <f t="shared" si="5"/>
        <v>16.278814724832081</v>
      </c>
      <c r="AE44" s="145">
        <f t="shared" si="6"/>
        <v>7.1610000000000014</v>
      </c>
      <c r="AF44" s="145">
        <f t="shared" si="7"/>
        <v>78.546141449784059</v>
      </c>
      <c r="AG44" s="772">
        <f t="shared" ref="AG44:AG49" si="42">AC44+AD44+AE44+AF44+70-53</f>
        <v>160.23895617461613</v>
      </c>
      <c r="AH44" s="1253">
        <f t="shared" si="8"/>
        <v>29.696999999999999</v>
      </c>
      <c r="AI44" s="1253">
        <f t="shared" si="9"/>
        <v>32.530999999999999</v>
      </c>
      <c r="AJ44" s="156">
        <f t="shared" si="10"/>
        <v>177.88625264044811</v>
      </c>
      <c r="AK44" s="156">
        <f t="shared" si="11"/>
        <v>27.281280981886379</v>
      </c>
      <c r="AM44" s="716">
        <f t="shared" si="12"/>
        <v>3090.4124491631515</v>
      </c>
      <c r="AN44" s="716" t="str">
        <f>_xlfn.XLOOKUP(D44,RUC!$B$3:$B$578,RUC!$M$3:$M$578)</f>
        <v>Evelyn</v>
      </c>
      <c r="AO44" s="1167" t="s">
        <v>2278</v>
      </c>
      <c r="AP44" t="s">
        <v>3828</v>
      </c>
      <c r="AQ44" t="s">
        <v>4244</v>
      </c>
    </row>
    <row r="45" spans="1:55" ht="15" customHeight="1">
      <c r="A45" s="747" t="s">
        <v>4204</v>
      </c>
      <c r="B45" s="1447">
        <v>46034</v>
      </c>
      <c r="C45" s="1447">
        <v>46026</v>
      </c>
      <c r="D45" t="s">
        <v>1967</v>
      </c>
      <c r="E45" s="762">
        <f>_xlfn.XLOOKUP(D45,RUC!$B$3:$B$123,RUC!$D$3:$D$123)</f>
        <v>20601769396</v>
      </c>
      <c r="G45" s="1082">
        <v>50</v>
      </c>
      <c r="H45" s="762" t="s">
        <v>108</v>
      </c>
      <c r="I45" s="703">
        <v>4.22</v>
      </c>
      <c r="J45" s="596">
        <v>21.9</v>
      </c>
      <c r="K45" s="703">
        <f t="shared" si="0"/>
        <v>3.2959999999999998</v>
      </c>
      <c r="L45" s="1192">
        <v>0.251</v>
      </c>
      <c r="M45" s="994">
        <f t="shared" si="34"/>
        <v>0.23300000000000001</v>
      </c>
      <c r="N45" s="1196">
        <f t="shared" si="40"/>
        <v>0.23300000000000001</v>
      </c>
      <c r="O45" s="645">
        <f t="shared" si="35"/>
        <v>0.23300000000000001</v>
      </c>
      <c r="P45" s="727">
        <v>90</v>
      </c>
      <c r="Q45" s="1476">
        <v>92.83</v>
      </c>
      <c r="R45" s="706">
        <v>4456.3999999999996</v>
      </c>
      <c r="S45" s="765">
        <f>IF((_xlfn.XLOOKUP(D45,RUC!$B$3:$B$119,RUC!$E$3:$E$119)+ROUNDDOWN(O45,1)*100)&lt;95,95,((_xlfn.XLOOKUP(D45,RUC!$B$3:$B$119,RUC!$E$3:$E$119)+ROUNDDOWN(O45,1)*100)))</f>
        <v>110</v>
      </c>
      <c r="U45" s="1146">
        <f>_xlfn.XLOOKUP(D45,RUC!$B$3:$B$123,RUC!$F$3:$F$123)</f>
        <v>120</v>
      </c>
      <c r="V45" s="715">
        <v>1.1023000000000001</v>
      </c>
      <c r="Y45" s="1445">
        <v>30</v>
      </c>
      <c r="Z45" s="1454">
        <v>40</v>
      </c>
      <c r="AA45" s="144">
        <f t="shared" si="4"/>
        <v>70</v>
      </c>
      <c r="AB45" s="145">
        <f t="shared" si="41"/>
        <v>803.95487708400015</v>
      </c>
      <c r="AC45" s="145">
        <f>+(S45-T45)*V45-'data 1'!$F$4</f>
        <v>41.253</v>
      </c>
      <c r="AD45" s="145">
        <f t="shared" si="5"/>
        <v>33.95387145727598</v>
      </c>
      <c r="AE45" s="145">
        <f t="shared" si="6"/>
        <v>7.1610000000000014</v>
      </c>
      <c r="AF45" s="145">
        <f t="shared" si="7"/>
        <v>79.871161252967937</v>
      </c>
      <c r="AG45" s="772">
        <f t="shared" si="42"/>
        <v>179.23903271024392</v>
      </c>
      <c r="AH45" s="1253">
        <f t="shared" si="8"/>
        <v>26.33</v>
      </c>
      <c r="AI45" s="1253">
        <f t="shared" si="9"/>
        <v>28.364000000000001</v>
      </c>
      <c r="AJ45" s="156">
        <f t="shared" si="10"/>
        <v>171.97975437026409</v>
      </c>
      <c r="AK45" s="156">
        <f t="shared" si="11"/>
        <v>23.697072800984159</v>
      </c>
      <c r="AM45" s="716">
        <f t="shared" si="12"/>
        <v>2649.8352748688644</v>
      </c>
      <c r="AN45" s="716" t="str">
        <f>_xlfn.XLOOKUP(D45,RUC!$B$3:$B$578,RUC!$M$3:$M$578)</f>
        <v>Evelyn</v>
      </c>
      <c r="AO45" s="1167" t="s">
        <v>2278</v>
      </c>
      <c r="AP45" t="s">
        <v>3828</v>
      </c>
      <c r="AQ45" t="s">
        <v>4244</v>
      </c>
    </row>
    <row r="46" spans="1:55" ht="15" customHeight="1">
      <c r="A46" s="747" t="s">
        <v>4205</v>
      </c>
      <c r="B46" s="1447">
        <v>46036</v>
      </c>
      <c r="C46" s="1447">
        <v>46027</v>
      </c>
      <c r="D46" t="s">
        <v>1967</v>
      </c>
      <c r="E46" s="762">
        <f>_xlfn.XLOOKUP(D46,RUC!$B$3:$B$123,RUC!$D$3:$D$123)</f>
        <v>20601769396</v>
      </c>
      <c r="G46" s="1082">
        <v>50</v>
      </c>
      <c r="H46" s="762" t="s">
        <v>108</v>
      </c>
      <c r="I46" s="703">
        <v>3.82</v>
      </c>
      <c r="J46" s="596">
        <v>20.399999999999999</v>
      </c>
      <c r="K46" s="703">
        <f t="shared" si="0"/>
        <v>3.0409999999999999</v>
      </c>
      <c r="L46" s="1192">
        <v>0.23799999999999999</v>
      </c>
      <c r="M46" s="994">
        <f t="shared" si="34"/>
        <v>0.22</v>
      </c>
      <c r="N46" s="1196">
        <f t="shared" si="40"/>
        <v>0.22</v>
      </c>
      <c r="O46" s="645">
        <f t="shared" si="35"/>
        <v>0.22</v>
      </c>
      <c r="P46" s="727">
        <v>90</v>
      </c>
      <c r="Q46" s="1476">
        <v>90.76</v>
      </c>
      <c r="R46" s="706">
        <v>4456.3999999999996</v>
      </c>
      <c r="S46" s="765">
        <f>IF((_xlfn.XLOOKUP(D46,RUC!$B$3:$B$119,RUC!$E$3:$E$119)+ROUNDDOWN(O46,1)*100)&lt;95,95,((_xlfn.XLOOKUP(D46,RUC!$B$3:$B$119,RUC!$E$3:$E$119)+ROUNDDOWN(O46,1)*100)))</f>
        <v>110</v>
      </c>
      <c r="U46" s="1146">
        <f>_xlfn.XLOOKUP(D46,RUC!$B$3:$B$123,RUC!$F$3:$F$123)</f>
        <v>120</v>
      </c>
      <c r="V46" s="715">
        <v>1.1023000000000001</v>
      </c>
      <c r="Y46" s="1445">
        <v>30</v>
      </c>
      <c r="Z46" s="1454">
        <v>40</v>
      </c>
      <c r="AA46" s="144">
        <f t="shared" si="4"/>
        <v>70</v>
      </c>
      <c r="AB46" s="145">
        <f t="shared" si="41"/>
        <v>748.02871656000002</v>
      </c>
      <c r="AC46" s="145">
        <f>+(S46-T46)*V46-'data 1'!$F$4</f>
        <v>41.253</v>
      </c>
      <c r="AD46" s="145">
        <f t="shared" si="5"/>
        <v>8.6460888167360572</v>
      </c>
      <c r="AE46" s="145">
        <f t="shared" si="6"/>
        <v>7.1610000000000014</v>
      </c>
      <c r="AF46" s="145">
        <f t="shared" si="7"/>
        <v>78.090128140895956</v>
      </c>
      <c r="AG46" s="772">
        <f t="shared" si="42"/>
        <v>152.15021695763201</v>
      </c>
      <c r="AH46" s="1253">
        <f t="shared" si="8"/>
        <v>22.521000000000001</v>
      </c>
      <c r="AI46" s="1253">
        <f t="shared" si="9"/>
        <v>24.814</v>
      </c>
      <c r="AJ46" s="156">
        <f t="shared" si="10"/>
        <v>159.43611256070409</v>
      </c>
      <c r="AK46" s="156">
        <f t="shared" si="11"/>
        <v>20.643849281889903</v>
      </c>
      <c r="AM46" s="716">
        <f t="shared" si="12"/>
        <v>2274.7553270589601</v>
      </c>
      <c r="AN46" s="716" t="str">
        <f>_xlfn.XLOOKUP(D46,RUC!$B$3:$B$578,RUC!$M$3:$M$578)</f>
        <v>Evelyn</v>
      </c>
      <c r="AO46" s="1167" t="s">
        <v>2278</v>
      </c>
      <c r="AP46" t="s">
        <v>3828</v>
      </c>
      <c r="AQ46" t="s">
        <v>4244</v>
      </c>
    </row>
    <row r="47" spans="1:55" ht="15" customHeight="1">
      <c r="A47" s="747" t="s">
        <v>4206</v>
      </c>
      <c r="B47" s="1447">
        <v>46034</v>
      </c>
      <c r="C47" s="1447">
        <v>46027</v>
      </c>
      <c r="D47" t="s">
        <v>1967</v>
      </c>
      <c r="E47" s="762">
        <f>_xlfn.XLOOKUP(D47,RUC!$B$3:$B$123,RUC!$D$3:$D$123)</f>
        <v>20601769396</v>
      </c>
      <c r="G47" s="1082">
        <v>49</v>
      </c>
      <c r="H47" s="762" t="s">
        <v>108</v>
      </c>
      <c r="I47" s="703">
        <v>4.55</v>
      </c>
      <c r="J47" s="596">
        <v>21.9</v>
      </c>
      <c r="K47" s="703">
        <f t="shared" ref="K47:K95" si="43">ROUND(+I47-(I47*(J47/100)),3)</f>
        <v>3.5539999999999998</v>
      </c>
      <c r="L47" s="1192">
        <v>0.248</v>
      </c>
      <c r="M47" s="994">
        <f t="shared" si="34"/>
        <v>0.23</v>
      </c>
      <c r="N47" s="1196">
        <f t="shared" si="40"/>
        <v>0.23</v>
      </c>
      <c r="O47" s="645">
        <f t="shared" si="35"/>
        <v>0.23</v>
      </c>
      <c r="P47" s="727">
        <v>90</v>
      </c>
      <c r="Q47" s="1476">
        <v>93.95</v>
      </c>
      <c r="R47" s="706">
        <v>4456.3999999999996</v>
      </c>
      <c r="S47" s="765">
        <f>IF((_xlfn.XLOOKUP(D47,RUC!$B$3:$B$119,RUC!$E$3:$E$119)+ROUNDDOWN(O47,1)*100)&lt;95,95,((_xlfn.XLOOKUP(D47,RUC!$B$3:$B$119,RUC!$E$3:$E$119)+ROUNDDOWN(O47,1)*100)))</f>
        <v>110</v>
      </c>
      <c r="U47" s="1146">
        <f>_xlfn.XLOOKUP(D47,RUC!$B$3:$B$123,RUC!$F$3:$F$123)</f>
        <v>120</v>
      </c>
      <c r="V47" s="715">
        <v>1.1023000000000001</v>
      </c>
      <c r="Y47" s="1445">
        <v>30</v>
      </c>
      <c r="Z47" s="1454">
        <v>40</v>
      </c>
      <c r="AA47" s="144">
        <f t="shared" ref="AA47:AA95" si="44">+Y47+Z47</f>
        <v>70</v>
      </c>
      <c r="AB47" s="145">
        <f t="shared" si="41"/>
        <v>791.04884003999996</v>
      </c>
      <c r="AC47" s="145">
        <f>+(S47-T47)*V47-'data 1'!$F$4</f>
        <v>41.253</v>
      </c>
      <c r="AD47" s="145">
        <f t="shared" ref="AD47:AD95" si="45">+(Q47-P47)*(R47-U47)*L47*V47/100</f>
        <v>46.825014401120036</v>
      </c>
      <c r="AE47" s="145">
        <f t="shared" ref="AE47:AE95" si="46">+(Y47*V47-70)+V47*(Z47-IF(D47="UNTUCA",IF(+((W47-3)*2.5+(X47-3)*3.1)&gt;0,+((W47-3)*1.5+(X47-3)*3.1),0),IF(+((W47-3)*1.5+(X47-3)*3.1)&gt;0,+((W47-3)*1.5+(X47-3)*3.1),0)))</f>
        <v>7.1610000000000014</v>
      </c>
      <c r="AF47" s="145">
        <f t="shared" ref="AF47:AF95" si="47">(L47-O47)*(R47-U47)*Q47*V47/100</f>
        <v>80.834812018919948</v>
      </c>
      <c r="AG47" s="772">
        <f t="shared" si="42"/>
        <v>193.07382642004001</v>
      </c>
      <c r="AH47" s="1253">
        <f t="shared" ref="AH47:AH95" si="48">ROUND((31.1035*L47*Q47*1.1023*K47/100),3)</f>
        <v>28.390999999999998</v>
      </c>
      <c r="AI47" s="1253">
        <f t="shared" ref="AI47:AI95" si="49">ROUND((31.1035*L47*1.1023*K47),3)</f>
        <v>30.219000000000001</v>
      </c>
      <c r="AJ47" s="156">
        <f t="shared" ref="AJ47:AJ95" si="50">+((+$AJ$2-R47+U47)*L47*Q47*V47)/100</f>
        <v>171.97436623968008</v>
      </c>
      <c r="AK47" s="156">
        <f t="shared" ref="AK47:AK95" si="51">31.1035*1.1023*K47*P47*O47/100</f>
        <v>25.223005709847904</v>
      </c>
      <c r="AM47" s="716">
        <f t="shared" ref="AM47:AM95" si="52">+IF(AB47*K47&gt;0,AB47*K47,0)</f>
        <v>2811.3875775021597</v>
      </c>
      <c r="AN47" s="716" t="str">
        <f>_xlfn.XLOOKUP(D47,RUC!$B$3:$B$578,RUC!$M$3:$M$578)</f>
        <v>Evelyn</v>
      </c>
      <c r="AO47" s="1167" t="s">
        <v>2278</v>
      </c>
      <c r="AP47" t="s">
        <v>3828</v>
      </c>
      <c r="AQ47" t="s">
        <v>4244</v>
      </c>
    </row>
    <row r="48" spans="1:55" ht="15" customHeight="1">
      <c r="A48" s="747" t="s">
        <v>4207</v>
      </c>
      <c r="B48" s="1447">
        <v>46034</v>
      </c>
      <c r="C48" s="1447">
        <v>46027</v>
      </c>
      <c r="D48" t="s">
        <v>1967</v>
      </c>
      <c r="E48" s="762">
        <f>_xlfn.XLOOKUP(D48,RUC!$B$3:$B$123,RUC!$D$3:$D$123)</f>
        <v>20601769396</v>
      </c>
      <c r="G48" s="1082">
        <v>50</v>
      </c>
      <c r="H48" s="762" t="s">
        <v>108</v>
      </c>
      <c r="I48" s="703">
        <v>4.3499999999999996</v>
      </c>
      <c r="J48" s="596">
        <v>18.8</v>
      </c>
      <c r="K48" s="703">
        <f t="shared" si="43"/>
        <v>3.532</v>
      </c>
      <c r="L48" s="1192">
        <v>0.23300000000000001</v>
      </c>
      <c r="M48" s="994">
        <f t="shared" si="34"/>
        <v>0.215</v>
      </c>
      <c r="N48" s="1196">
        <f t="shared" si="40"/>
        <v>0.215</v>
      </c>
      <c r="O48" s="645">
        <f t="shared" si="35"/>
        <v>0.215</v>
      </c>
      <c r="P48" s="727">
        <v>89</v>
      </c>
      <c r="Q48" s="1476">
        <v>89.27</v>
      </c>
      <c r="R48" s="706">
        <v>4456.3999999999996</v>
      </c>
      <c r="S48" s="765">
        <f>IF((_xlfn.XLOOKUP(D48,RUC!$B$3:$B$119,RUC!$E$3:$E$119)+ROUNDDOWN(O48,1)*100)&lt;95,95,((_xlfn.XLOOKUP(D48,RUC!$B$3:$B$119,RUC!$E$3:$E$119)+ROUNDDOWN(O48,1)*100)))</f>
        <v>110</v>
      </c>
      <c r="U48" s="1146">
        <f>_xlfn.XLOOKUP(D48,RUC!$B$3:$B$123,RUC!$F$3:$F$123)</f>
        <v>120</v>
      </c>
      <c r="V48" s="715">
        <v>1.1023000000000001</v>
      </c>
      <c r="Y48" s="1445">
        <v>30</v>
      </c>
      <c r="Z48" s="1454">
        <v>40</v>
      </c>
      <c r="AA48" s="144">
        <f t="shared" si="44"/>
        <v>70</v>
      </c>
      <c r="AB48" s="145">
        <f t="shared" si="41"/>
        <v>716.24162532199989</v>
      </c>
      <c r="AC48" s="145">
        <f>+(S48-T48)*V48-'data 1'!$F$4</f>
        <v>41.253</v>
      </c>
      <c r="AD48" s="145">
        <f t="shared" si="45"/>
        <v>3.0071066312519559</v>
      </c>
      <c r="AE48" s="145">
        <f t="shared" si="46"/>
        <v>7.1610000000000014</v>
      </c>
      <c r="AF48" s="145">
        <f t="shared" si="47"/>
        <v>76.808128461192055</v>
      </c>
      <c r="AG48" s="772">
        <f t="shared" si="42"/>
        <v>145.22923509244401</v>
      </c>
      <c r="AH48" s="1253">
        <f t="shared" si="48"/>
        <v>25.187999999999999</v>
      </c>
      <c r="AI48" s="1253">
        <f t="shared" si="49"/>
        <v>28.215</v>
      </c>
      <c r="AJ48" s="156">
        <f t="shared" si="50"/>
        <v>153.5241523499281</v>
      </c>
      <c r="AK48" s="156">
        <f t="shared" si="51"/>
        <v>23.171717799894008</v>
      </c>
      <c r="AM48" s="716">
        <f t="shared" si="52"/>
        <v>2529.7654206373036</v>
      </c>
      <c r="AN48" s="716" t="str">
        <f>_xlfn.XLOOKUP(D48,RUC!$B$3:$B$578,RUC!$M$3:$M$578)</f>
        <v>Evelyn</v>
      </c>
      <c r="AO48" s="1167" t="s">
        <v>2278</v>
      </c>
      <c r="AP48" t="s">
        <v>3828</v>
      </c>
      <c r="AQ48" t="s">
        <v>4244</v>
      </c>
    </row>
    <row r="49" spans="1:44" ht="15" customHeight="1">
      <c r="A49" s="747" t="s">
        <v>4208</v>
      </c>
      <c r="B49" s="1447">
        <v>46036</v>
      </c>
      <c r="C49" s="1447">
        <v>46027</v>
      </c>
      <c r="D49" t="s">
        <v>1967</v>
      </c>
      <c r="E49" s="762">
        <f>_xlfn.XLOOKUP(D49,RUC!$B$3:$B$123,RUC!$D$3:$D$123)</f>
        <v>20601769396</v>
      </c>
      <c r="G49" s="1082">
        <v>50</v>
      </c>
      <c r="H49" s="762" t="s">
        <v>108</v>
      </c>
      <c r="I49" s="703">
        <v>4.5199999999999996</v>
      </c>
      <c r="J49" s="596">
        <v>19.600000000000001</v>
      </c>
      <c r="K49" s="703">
        <f t="shared" si="43"/>
        <v>3.6339999999999999</v>
      </c>
      <c r="L49" s="1192">
        <v>0.25800000000000001</v>
      </c>
      <c r="M49" s="994">
        <f t="shared" si="34"/>
        <v>0.24</v>
      </c>
      <c r="N49" s="1196">
        <f t="shared" si="40"/>
        <v>0.24</v>
      </c>
      <c r="O49" s="645">
        <f t="shared" si="35"/>
        <v>0.24</v>
      </c>
      <c r="P49" s="727">
        <v>90</v>
      </c>
      <c r="Q49" s="1476">
        <v>91.09</v>
      </c>
      <c r="R49" s="706">
        <v>4456.3999999999996</v>
      </c>
      <c r="S49" s="765">
        <f>IF((_xlfn.XLOOKUP(D49,RUC!$B$3:$B$119,RUC!$E$3:$E$119)+ROUNDDOWN(O49,1)*100)&lt;95,95,((_xlfn.XLOOKUP(D49,RUC!$B$3:$B$119,RUC!$E$3:$E$119)+ROUNDDOWN(O49,1)*100)))</f>
        <v>110</v>
      </c>
      <c r="U49" s="1146">
        <f>_xlfn.XLOOKUP(D49,RUC!$B$3:$B$123,RUC!$F$3:$F$123)</f>
        <v>120</v>
      </c>
      <c r="V49" s="715">
        <v>1.1023000000000001</v>
      </c>
      <c r="Y49" s="1445">
        <v>30</v>
      </c>
      <c r="Z49" s="1454">
        <v>40</v>
      </c>
      <c r="AA49" s="144">
        <f t="shared" si="44"/>
        <v>70</v>
      </c>
      <c r="AB49" s="145">
        <f t="shared" si="41"/>
        <v>834.06896351999967</v>
      </c>
      <c r="AC49" s="145">
        <f>+(S49-T49)*V49-'data 1'!$F$4</f>
        <v>41.253</v>
      </c>
      <c r="AD49" s="145">
        <f t="shared" si="45"/>
        <v>13.442354583384041</v>
      </c>
      <c r="AE49" s="145">
        <f t="shared" si="46"/>
        <v>7.1610000000000014</v>
      </c>
      <c r="AF49" s="145">
        <f t="shared" si="47"/>
        <v>78.374060955864067</v>
      </c>
      <c r="AG49" s="772">
        <f t="shared" si="42"/>
        <v>157.2304155392481</v>
      </c>
      <c r="AH49" s="1253">
        <f t="shared" si="48"/>
        <v>29.280999999999999</v>
      </c>
      <c r="AI49" s="1253">
        <f t="shared" si="49"/>
        <v>32.145000000000003</v>
      </c>
      <c r="AJ49" s="156">
        <f t="shared" si="50"/>
        <v>173.46252362097613</v>
      </c>
      <c r="AK49" s="156">
        <f t="shared" si="51"/>
        <v>26.912109637519201</v>
      </c>
      <c r="AM49" s="716">
        <f t="shared" si="52"/>
        <v>3031.0066134316785</v>
      </c>
      <c r="AN49" s="716" t="str">
        <f>_xlfn.XLOOKUP(D49,RUC!$B$3:$B$578,RUC!$M$3:$M$578)</f>
        <v>Evelyn</v>
      </c>
      <c r="AO49" s="1167" t="s">
        <v>2278</v>
      </c>
      <c r="AP49" t="s">
        <v>3828</v>
      </c>
      <c r="AQ49" t="s">
        <v>4244</v>
      </c>
    </row>
    <row r="50" spans="1:44" ht="15" customHeight="1">
      <c r="A50" s="747" t="s">
        <v>4210</v>
      </c>
      <c r="B50" s="1447">
        <v>46034</v>
      </c>
      <c r="C50" s="1447">
        <v>46027</v>
      </c>
      <c r="D50" t="s">
        <v>4171</v>
      </c>
      <c r="E50" s="762">
        <f>_xlfn.XLOOKUP(D50,RUC!$B$3:$B$123,RUC!$D$3:$D$123)</f>
        <v>20614284740</v>
      </c>
      <c r="G50" s="1082" t="s">
        <v>2985</v>
      </c>
      <c r="H50" s="762" t="s">
        <v>108</v>
      </c>
      <c r="I50" s="703">
        <v>4.1900000000000004</v>
      </c>
      <c r="J50" s="596">
        <v>13</v>
      </c>
      <c r="K50" s="703">
        <f t="shared" si="43"/>
        <v>3.645</v>
      </c>
      <c r="L50" s="1192">
        <v>0.59099999999999997</v>
      </c>
      <c r="M50" s="994">
        <f>ROUND(+IF(AN50="Melchor Vera",IF(L50&gt;0.467,L50*0.985,(L50-0.007)),IF(L50&gt;0.3,L50*0.94,(L50-0.019))),3)</f>
        <v>0.55600000000000005</v>
      </c>
      <c r="N50" s="1196">
        <f t="shared" si="40"/>
        <v>0.55600000000000005</v>
      </c>
      <c r="O50" s="645">
        <f t="shared" si="35"/>
        <v>0.55600000000000005</v>
      </c>
      <c r="P50" s="727">
        <v>90</v>
      </c>
      <c r="Q50" s="1476">
        <v>96.95</v>
      </c>
      <c r="R50" s="706">
        <v>4456.3999999999996</v>
      </c>
      <c r="S50" s="765">
        <f>IF((_xlfn.XLOOKUP(D50,RUC!$B$3:$B$119,RUC!$E$3:$E$119)+ROUNDDOWN(O50,1)*100)&lt;95,95,((_xlfn.XLOOKUP(D50,RUC!$B$3:$B$119,RUC!$E$3:$E$119)+ROUNDDOWN(O50,1)*100)))</f>
        <v>140</v>
      </c>
      <c r="U50" s="1146">
        <f>_xlfn.XLOOKUP(D50,RUC!$B$3:$B$123,RUC!$F$3:$F$123)</f>
        <v>120</v>
      </c>
      <c r="V50" s="715">
        <v>1.1023000000000001</v>
      </c>
      <c r="Y50" s="1445">
        <v>30</v>
      </c>
      <c r="Z50" s="1454">
        <v>40</v>
      </c>
      <c r="AA50" s="144">
        <f t="shared" si="44"/>
        <v>70</v>
      </c>
      <c r="AB50" s="145">
        <f t="shared" si="41"/>
        <v>2160.4358654880002</v>
      </c>
      <c r="AC50" s="145">
        <f>+(S50-T50)*V50-'data 1'!$F$4</f>
        <v>74.322000000000003</v>
      </c>
      <c r="AD50" s="145">
        <f t="shared" si="45"/>
        <v>196.33667354214006</v>
      </c>
      <c r="AE50" s="145">
        <f t="shared" si="46"/>
        <v>7.1610000000000014</v>
      </c>
      <c r="AF50" s="145">
        <f t="shared" si="47"/>
        <v>162.19781555389963</v>
      </c>
      <c r="AG50" s="772">
        <f t="shared" ref="AG50" si="53">AC50+AD50+AE50+AF50+70</f>
        <v>510.01748909603964</v>
      </c>
      <c r="AH50" s="1253">
        <f t="shared" si="48"/>
        <v>71.605000000000004</v>
      </c>
      <c r="AI50" s="1253">
        <f t="shared" si="49"/>
        <v>73.856999999999999</v>
      </c>
      <c r="AJ50" s="156">
        <f t="shared" si="50"/>
        <v>422.91252428796025</v>
      </c>
      <c r="AK50" s="156">
        <f t="shared" si="51"/>
        <v>62.535107816901906</v>
      </c>
      <c r="AM50" s="716">
        <f t="shared" si="52"/>
        <v>7874.7887297037605</v>
      </c>
      <c r="AN50" s="716" t="str">
        <f>_xlfn.XLOOKUP(D50,RUC!$B$3:$B$578,RUC!$M$3:$M$578)</f>
        <v xml:space="preserve">Dante </v>
      </c>
      <c r="AO50" s="1167" t="s">
        <v>2278</v>
      </c>
      <c r="AP50" t="s">
        <v>3405</v>
      </c>
      <c r="AQ50" t="s">
        <v>4084</v>
      </c>
    </row>
    <row r="51" spans="1:44" ht="15" customHeight="1">
      <c r="A51" s="1491" t="s">
        <v>4212</v>
      </c>
      <c r="B51" s="1542">
        <v>46030</v>
      </c>
      <c r="C51" s="1447">
        <v>46027</v>
      </c>
      <c r="D51" t="s">
        <v>2004</v>
      </c>
      <c r="E51" s="762">
        <f>_xlfn.XLOOKUP(D51,RUC!$B$3:$B$123,RUC!$D$3:$D$123)</f>
        <v>20612921866</v>
      </c>
      <c r="G51" s="1082">
        <v>50</v>
      </c>
      <c r="H51" s="762" t="s">
        <v>69</v>
      </c>
      <c r="I51" s="703">
        <v>5.58</v>
      </c>
      <c r="J51" s="596">
        <v>1.35</v>
      </c>
      <c r="K51" s="703">
        <f t="shared" si="43"/>
        <v>5.5049999999999999</v>
      </c>
      <c r="L51" s="1192">
        <v>7.5999999999999998E-2</v>
      </c>
      <c r="M51" s="994">
        <f t="shared" ref="M51" si="54">ROUND(+IF(AN51="Melchor Vera",IF(L51&gt;0.467,L51*0.985,(L51-0.007)),IF(L51&gt;0.3,L51*0.94,(L51-0.018))),3)</f>
        <v>5.8000000000000003E-2</v>
      </c>
      <c r="N51" s="1196">
        <f t="shared" si="40"/>
        <v>5.8000000000000003E-2</v>
      </c>
      <c r="O51" s="645">
        <f t="shared" si="35"/>
        <v>5.8000000000000003E-2</v>
      </c>
      <c r="P51" s="727">
        <v>80</v>
      </c>
      <c r="Q51" s="1476">
        <v>94.74</v>
      </c>
      <c r="R51" s="706">
        <v>4307.95</v>
      </c>
      <c r="S51" s="765">
        <f>IF((_xlfn.XLOOKUP(D51,RUC!$B$3:$B$119,RUC!$E$3:$E$119)+ROUNDDOWN(O51,1)*100)&lt;95,95,((_xlfn.XLOOKUP(D51,RUC!$B$3:$B$119,RUC!$E$3:$E$119)+ROUNDDOWN(O51,1)*100)))</f>
        <v>95</v>
      </c>
      <c r="U51" s="1146">
        <f>_xlfn.XLOOKUP(D51,RUC!$B$3:$B$123,RUC!$F$3:$F$123)</f>
        <v>100</v>
      </c>
      <c r="V51" s="715">
        <v>1.1023000000000001</v>
      </c>
      <c r="Y51">
        <f>_xlfn.XLOOKUP(D51,RUC!$B$3:$B$123,RUC!$G$3:$G$123)</f>
        <v>0</v>
      </c>
      <c r="Z51" s="143">
        <f>_xlfn.XLOOKUP(D51,RUC!$B$3:$B$123,RUC!$H$3:$H$123)</f>
        <v>30</v>
      </c>
      <c r="AA51" s="144">
        <f t="shared" si="44"/>
        <v>30</v>
      </c>
      <c r="AB51" s="145">
        <v>0</v>
      </c>
      <c r="AC51" s="145">
        <f>+(S51-T51)*V51-'data 1'!$F$4</f>
        <v>24.718500000000006</v>
      </c>
      <c r="AD51" s="145">
        <f t="shared" si="45"/>
        <v>51.961473007883981</v>
      </c>
      <c r="AE51" s="145">
        <f t="shared" si="46"/>
        <v>-36.930999999999997</v>
      </c>
      <c r="AF51" s="145">
        <f t="shared" si="47"/>
        <v>79.099959963761961</v>
      </c>
      <c r="AG51" s="772">
        <f t="shared" ref="AG51:AG52" si="55">AC51+AD51+AE51+AF51+70-10</f>
        <v>178.84893297164595</v>
      </c>
      <c r="AH51" s="1253">
        <f t="shared" si="48"/>
        <v>13.59</v>
      </c>
      <c r="AI51" s="1253">
        <f t="shared" si="49"/>
        <v>14.343999999999999</v>
      </c>
      <c r="AJ51" s="156">
        <f t="shared" si="50"/>
        <v>63.339828337236014</v>
      </c>
      <c r="AK51" s="156">
        <f t="shared" si="51"/>
        <v>8.757585240387602</v>
      </c>
      <c r="AM51" s="716">
        <f t="shared" si="52"/>
        <v>0</v>
      </c>
      <c r="AN51" s="716" t="str">
        <f>_xlfn.XLOOKUP(D51,RUC!$B$3:$B$578,RUC!$M$3:$M$578)</f>
        <v>Ronald Garibay</v>
      </c>
      <c r="AO51" s="1167" t="s">
        <v>2278</v>
      </c>
      <c r="AP51" t="s">
        <v>4245</v>
      </c>
      <c r="AQ51" t="s">
        <v>4246</v>
      </c>
    </row>
    <row r="52" spans="1:44" ht="15" customHeight="1">
      <c r="A52" s="747" t="s">
        <v>4213</v>
      </c>
      <c r="B52" s="1447">
        <v>46032</v>
      </c>
      <c r="C52" s="1447">
        <v>46027</v>
      </c>
      <c r="D52" t="s">
        <v>2004</v>
      </c>
      <c r="E52" s="762">
        <f>_xlfn.XLOOKUP(D52,RUC!$B$3:$B$123,RUC!$D$3:$D$123)</f>
        <v>20612921866</v>
      </c>
      <c r="G52" s="1082">
        <v>90</v>
      </c>
      <c r="H52" s="762" t="s">
        <v>69</v>
      </c>
      <c r="I52" s="703">
        <v>7.93</v>
      </c>
      <c r="J52" s="596">
        <v>1.1000000000000001</v>
      </c>
      <c r="K52" s="703">
        <f t="shared" si="43"/>
        <v>7.843</v>
      </c>
      <c r="L52" s="1192">
        <v>0.216</v>
      </c>
      <c r="M52" s="994">
        <f>ROUND(+IF(AN52="Melchor Vera",IF(L52&gt;0.467,L52*0.985,(L52-0.007)),IF(L52&gt;0.3,L52*0.94,(L52-0.019))),3)</f>
        <v>0.19700000000000001</v>
      </c>
      <c r="N52" s="1196">
        <f t="shared" si="40"/>
        <v>0.19700000000000001</v>
      </c>
      <c r="O52" s="645">
        <f t="shared" si="35"/>
        <v>0.19700000000000001</v>
      </c>
      <c r="P52" s="727">
        <v>90</v>
      </c>
      <c r="Q52" s="1476">
        <v>98.61</v>
      </c>
      <c r="R52" s="706">
        <v>4456.3999999999996</v>
      </c>
      <c r="S52" s="765">
        <f>IF((_xlfn.XLOOKUP(D52,RUC!$B$3:$B$119,RUC!$E$3:$E$119)+ROUNDDOWN(O52,1)*100)&lt;95,95,((_xlfn.XLOOKUP(D52,RUC!$B$3:$B$119,RUC!$E$3:$E$119)+ROUNDDOWN(O52,1)*100)))</f>
        <v>95</v>
      </c>
      <c r="U52" s="1146">
        <f>_xlfn.XLOOKUP(D52,RUC!$B$3:$B$123,RUC!$F$3:$F$123)</f>
        <v>100</v>
      </c>
      <c r="V52" s="715">
        <v>1.1023000000000001</v>
      </c>
      <c r="Y52">
        <f>_xlfn.XLOOKUP(D52,RUC!$B$3:$B$123,RUC!$G$3:$G$123)</f>
        <v>0</v>
      </c>
      <c r="Z52" s="143">
        <f>_xlfn.XLOOKUP(D52,RUC!$B$3:$B$123,RUC!$H$3:$H$123)</f>
        <v>30</v>
      </c>
      <c r="AA52" s="144">
        <f t="shared" si="44"/>
        <v>30</v>
      </c>
      <c r="AB52" s="145">
        <f t="shared" ref="AB52:AB94" si="56">+((O52*P52*(R52-U52)/100)-S52-AA52+T52)*V52</f>
        <v>713.61768835599992</v>
      </c>
      <c r="AC52" s="145">
        <f>+(S52-T52)*V52-'data 1'!$F$4</f>
        <v>24.718500000000006</v>
      </c>
      <c r="AD52" s="145">
        <f t="shared" si="45"/>
        <v>89.306785848671993</v>
      </c>
      <c r="AE52" s="145">
        <f t="shared" si="46"/>
        <v>-36.930999999999997</v>
      </c>
      <c r="AF52" s="145">
        <f t="shared" si="47"/>
        <v>89.970910707947951</v>
      </c>
      <c r="AG52" s="772">
        <f t="shared" si="55"/>
        <v>227.06519655661995</v>
      </c>
      <c r="AH52" s="1253">
        <f t="shared" si="48"/>
        <v>57.274999999999999</v>
      </c>
      <c r="AI52" s="1253">
        <f t="shared" si="49"/>
        <v>58.082000000000001</v>
      </c>
      <c r="AJ52" s="156">
        <f t="shared" si="50"/>
        <v>152.51780051020808</v>
      </c>
      <c r="AK52" s="156">
        <f t="shared" si="51"/>
        <v>47.676022919821399</v>
      </c>
      <c r="AM52" s="716">
        <f t="shared" si="52"/>
        <v>5596.9035297761075</v>
      </c>
      <c r="AN52" s="716" t="str">
        <f>_xlfn.XLOOKUP(D52,RUC!$B$3:$B$578,RUC!$M$3:$M$578)</f>
        <v>Ronald Garibay</v>
      </c>
      <c r="AO52" s="1167" t="s">
        <v>2278</v>
      </c>
      <c r="AP52" t="s">
        <v>4247</v>
      </c>
      <c r="AQ52" t="s">
        <v>4248</v>
      </c>
    </row>
    <row r="53" spans="1:44" ht="15" customHeight="1">
      <c r="A53" s="747" t="s">
        <v>4214</v>
      </c>
      <c r="B53" s="1447">
        <v>46038</v>
      </c>
      <c r="C53" s="1447">
        <v>46028</v>
      </c>
      <c r="D53" t="s">
        <v>4185</v>
      </c>
      <c r="E53" s="762" t="e">
        <f>_xlfn.XLOOKUP(D53,RUC!$B$3:$B$123,RUC!$D$3:$D$123)</f>
        <v>#N/A</v>
      </c>
      <c r="G53" s="1082">
        <v>43</v>
      </c>
      <c r="H53" s="762" t="s">
        <v>108</v>
      </c>
      <c r="I53" s="703">
        <v>2.93</v>
      </c>
      <c r="J53" s="596">
        <v>1.1000000000000001</v>
      </c>
      <c r="K53" s="703">
        <f t="shared" si="43"/>
        <v>2.8980000000000001</v>
      </c>
      <c r="L53" s="1192">
        <v>0.70799999999999996</v>
      </c>
      <c r="M53" s="994" t="e">
        <f>ROUND(+IF(AN53="Melchor Vera",IF(L53&gt;0.467,L53*0.985,(L53-0.007)),IF(L53&gt;0.3,L53*0.94,(L53-0.019))),3)</f>
        <v>#N/A</v>
      </c>
      <c r="N53" s="1196" t="e">
        <f t="shared" si="40"/>
        <v>#N/A</v>
      </c>
      <c r="O53" s="645" t="e">
        <f t="shared" si="35"/>
        <v>#N/A</v>
      </c>
      <c r="P53" s="727">
        <v>90</v>
      </c>
      <c r="Q53" s="1476">
        <v>95.9</v>
      </c>
      <c r="R53" s="706">
        <v>4490.3500000000004</v>
      </c>
      <c r="S53" s="765" t="e">
        <f>IF((_xlfn.XLOOKUP(D53,RUC!$B$3:$B$119,RUC!$E$3:$E$119)+ROUNDDOWN(O53,1)*100)&lt;95,95,((_xlfn.XLOOKUP(D53,RUC!$B$3:$B$119,RUC!$E$3:$E$119)+ROUNDDOWN(O53,1)*100)))</f>
        <v>#N/A</v>
      </c>
      <c r="U53" s="1146" t="e">
        <f>_xlfn.XLOOKUP(D53,RUC!$B$3:$B$123,RUC!$F$3:$F$123)</f>
        <v>#N/A</v>
      </c>
      <c r="V53" s="715">
        <v>1.1023000000000001</v>
      </c>
      <c r="Y53" s="1445">
        <v>50</v>
      </c>
      <c r="Z53" s="143" t="e">
        <f>_xlfn.XLOOKUP(D53,RUC!$B$3:$B$123,RUC!$H$3:$H$123)</f>
        <v>#N/A</v>
      </c>
      <c r="AA53" s="144" t="e">
        <f t="shared" si="44"/>
        <v>#N/A</v>
      </c>
      <c r="AB53" s="758" t="e">
        <f t="shared" si="56"/>
        <v>#N/A</v>
      </c>
      <c r="AC53" s="145" t="e">
        <f>+(S53-T53)*V53-'data 1'!$F$4</f>
        <v>#N/A</v>
      </c>
      <c r="AD53" s="145" t="e">
        <f t="shared" si="45"/>
        <v>#N/A</v>
      </c>
      <c r="AE53" s="145" t="e">
        <f t="shared" si="46"/>
        <v>#N/A</v>
      </c>
      <c r="AF53" s="145" t="e">
        <f t="shared" si="47"/>
        <v>#N/A</v>
      </c>
      <c r="AG53" s="772" t="e">
        <f>AC53+AD53+AE53+AF53+70-53</f>
        <v>#N/A</v>
      </c>
      <c r="AH53" s="1253">
        <f t="shared" si="48"/>
        <v>67.462000000000003</v>
      </c>
      <c r="AI53" s="1253">
        <f t="shared" si="49"/>
        <v>70.346000000000004</v>
      </c>
      <c r="AJ53" s="156" t="e">
        <f t="shared" si="50"/>
        <v>#N/A</v>
      </c>
      <c r="AK53" s="156" t="e">
        <f t="shared" si="51"/>
        <v>#N/A</v>
      </c>
      <c r="AM53" s="716" t="e">
        <f t="shared" si="52"/>
        <v>#N/A</v>
      </c>
      <c r="AN53" s="716" t="e">
        <f>_xlfn.XLOOKUP(D53,RUC!$B$3:$B$578,RUC!$M$3:$M$578)</f>
        <v>#N/A</v>
      </c>
      <c r="AO53" s="1167" t="s">
        <v>2280</v>
      </c>
      <c r="AP53" t="s">
        <v>4249</v>
      </c>
      <c r="AQ53" t="s">
        <v>4250</v>
      </c>
    </row>
    <row r="54" spans="1:44" ht="15" customHeight="1">
      <c r="A54" s="747" t="s">
        <v>4216</v>
      </c>
      <c r="B54" s="1447">
        <v>46044</v>
      </c>
      <c r="C54" s="1447">
        <v>46028</v>
      </c>
      <c r="D54" t="s">
        <v>2444</v>
      </c>
      <c r="E54" s="762">
        <f>_xlfn.XLOOKUP(D54,RUC!$B$3:$B$123,RUC!$D$3:$D$123)</f>
        <v>20608774000</v>
      </c>
      <c r="G54" s="1082">
        <v>75</v>
      </c>
      <c r="H54" s="762" t="s">
        <v>108</v>
      </c>
      <c r="I54" s="703">
        <v>5.38</v>
      </c>
      <c r="J54" s="596">
        <v>16.2</v>
      </c>
      <c r="K54" s="703">
        <f t="shared" si="43"/>
        <v>4.508</v>
      </c>
      <c r="L54" s="1192">
        <v>0.159</v>
      </c>
      <c r="M54" s="994">
        <f t="shared" ref="M54:M69" si="57">ROUND(+IF(AN54="Melchor Vera",IF(L54&gt;0.467,L54*0.985,(L54-0.007)),IF(L54&gt;0.3,L54*0.94,(L54-0.019))),3)</f>
        <v>0.14000000000000001</v>
      </c>
      <c r="N54" s="1196">
        <f t="shared" si="40"/>
        <v>0.14000000000000001</v>
      </c>
      <c r="O54" s="645">
        <f t="shared" si="35"/>
        <v>0.14000000000000001</v>
      </c>
      <c r="P54" s="727">
        <v>80</v>
      </c>
      <c r="Q54" s="1644">
        <v>97.48</v>
      </c>
      <c r="R54" s="706">
        <v>4490.3500000000004</v>
      </c>
      <c r="S54" s="765">
        <f>IF((_xlfn.XLOOKUP(D54,RUC!$B$3:$B$119,RUC!$E$3:$E$119)+ROUNDDOWN(O54,1)*100)&lt;95,95,((_xlfn.XLOOKUP(D54,RUC!$B$3:$B$119,RUC!$E$3:$E$119)+ROUNDDOWN(O54,1)*100)))</f>
        <v>95</v>
      </c>
      <c r="U54" s="1146">
        <f>_xlfn.XLOOKUP(D54,RUC!$B$3:$B$123,RUC!$F$3:$F$123)</f>
        <v>120</v>
      </c>
      <c r="V54" s="715">
        <v>1.1023000000000001</v>
      </c>
      <c r="Y54" s="1445">
        <v>30</v>
      </c>
      <c r="Z54" s="1454">
        <v>40</v>
      </c>
      <c r="AA54" s="144">
        <f t="shared" si="44"/>
        <v>70</v>
      </c>
      <c r="AB54" s="145">
        <f t="shared" si="56"/>
        <v>357.67342216000009</v>
      </c>
      <c r="AC54" s="145">
        <f>+(S54-T54)*V54-'data 1'!$F$4</f>
        <v>24.718500000000006</v>
      </c>
      <c r="AD54" s="145">
        <f t="shared" si="45"/>
        <v>133.89198460872606</v>
      </c>
      <c r="AE54" s="145">
        <f t="shared" si="46"/>
        <v>7.1610000000000014</v>
      </c>
      <c r="AF54" s="145">
        <f t="shared" si="47"/>
        <v>89.22471055276597</v>
      </c>
      <c r="AG54" s="772">
        <f t="shared" ref="AG54:AG57" si="58">AC54+AD54+AE54+AF54+70-53</f>
        <v>271.99619516149204</v>
      </c>
      <c r="AH54" s="1253">
        <f t="shared" si="48"/>
        <v>23.956</v>
      </c>
      <c r="AI54" s="1253">
        <f t="shared" si="49"/>
        <v>24.574999999999999</v>
      </c>
      <c r="AJ54" s="156">
        <f t="shared" si="50"/>
        <v>108.60016962143395</v>
      </c>
      <c r="AK54" s="156">
        <f t="shared" si="51"/>
        <v>17.310555284892803</v>
      </c>
      <c r="AM54" s="716">
        <f t="shared" si="52"/>
        <v>1612.3917870972805</v>
      </c>
      <c r="AN54" s="716" t="str">
        <f>_xlfn.XLOOKUP(D54,RUC!$B$3:$B$578,RUC!$M$3:$M$578)</f>
        <v>Ronald Miranda</v>
      </c>
      <c r="AO54" s="1167" t="s">
        <v>2280</v>
      </c>
      <c r="AP54" t="s">
        <v>4251</v>
      </c>
      <c r="AQ54" t="s">
        <v>4252</v>
      </c>
    </row>
    <row r="55" spans="1:44" ht="15" customHeight="1">
      <c r="A55" s="747" t="s">
        <v>4217</v>
      </c>
      <c r="B55" s="1447">
        <v>46044</v>
      </c>
      <c r="C55" s="1447">
        <v>46028</v>
      </c>
      <c r="D55" t="s">
        <v>2444</v>
      </c>
      <c r="E55" s="762">
        <f>_xlfn.XLOOKUP(D55,RUC!$B$3:$B$123,RUC!$D$3:$D$123)</f>
        <v>20608774000</v>
      </c>
      <c r="G55" s="1082">
        <v>70</v>
      </c>
      <c r="H55" s="762" t="s">
        <v>108</v>
      </c>
      <c r="I55" s="703">
        <v>4.95</v>
      </c>
      <c r="J55" s="596">
        <v>15.6</v>
      </c>
      <c r="K55" s="703">
        <f t="shared" si="43"/>
        <v>4.1779999999999999</v>
      </c>
      <c r="L55" s="1192">
        <v>0.121</v>
      </c>
      <c r="M55" s="994">
        <f t="shared" si="57"/>
        <v>0.10199999999999999</v>
      </c>
      <c r="N55" s="1444">
        <v>0.17699999999999999</v>
      </c>
      <c r="O55" s="645">
        <f t="shared" si="35"/>
        <v>0.14000000000000001</v>
      </c>
      <c r="P55" s="727">
        <v>80</v>
      </c>
      <c r="Q55" s="1476">
        <v>95.04</v>
      </c>
      <c r="R55" s="706">
        <v>4490.3500000000004</v>
      </c>
      <c r="S55" s="765">
        <f>IF((_xlfn.XLOOKUP(D55,RUC!$B$3:$B$119,RUC!$E$3:$E$119)+ROUNDDOWN(O55,1)*100)&lt;95,95,((_xlfn.XLOOKUP(D55,RUC!$B$3:$B$119,RUC!$E$3:$E$119)+ROUNDDOWN(O55,1)*100)))</f>
        <v>95</v>
      </c>
      <c r="U55" s="1146">
        <f>_xlfn.XLOOKUP(D55,RUC!$B$3:$B$123,RUC!$F$3:$F$123)</f>
        <v>120</v>
      </c>
      <c r="V55" s="715">
        <v>1.1023000000000001</v>
      </c>
      <c r="Y55" s="1445">
        <v>30</v>
      </c>
      <c r="Z55" s="1454">
        <v>40</v>
      </c>
      <c r="AA55" s="144">
        <f t="shared" si="44"/>
        <v>70</v>
      </c>
      <c r="AB55" s="145">
        <f t="shared" si="56"/>
        <v>357.67342216000009</v>
      </c>
      <c r="AC55" s="145">
        <f>+(S55-T55)*V55-'data 1'!$F$4</f>
        <v>24.718500000000006</v>
      </c>
      <c r="AD55" s="145">
        <f t="shared" si="45"/>
        <v>87.66964195211203</v>
      </c>
      <c r="AE55" s="145">
        <f t="shared" si="46"/>
        <v>7.1610000000000014</v>
      </c>
      <c r="AF55" s="145">
        <f t="shared" si="47"/>
        <v>-86.99134684996811</v>
      </c>
      <c r="AG55" s="772">
        <f t="shared" si="58"/>
        <v>49.557795102143928</v>
      </c>
      <c r="AH55" s="1253">
        <f t="shared" si="48"/>
        <v>16.472999999999999</v>
      </c>
      <c r="AI55" s="1253">
        <f t="shared" si="49"/>
        <v>17.332999999999998</v>
      </c>
      <c r="AJ55" s="156">
        <f t="shared" si="50"/>
        <v>80.576733341807952</v>
      </c>
      <c r="AK55" s="156">
        <f t="shared" si="51"/>
        <v>16.0433673425648</v>
      </c>
      <c r="AM55" s="716">
        <f t="shared" si="52"/>
        <v>1494.3595577844803</v>
      </c>
      <c r="AN55" s="716" t="str">
        <f>_xlfn.XLOOKUP(D55,RUC!$B$3:$B$578,RUC!$M$3:$M$578)</f>
        <v>Ronald Miranda</v>
      </c>
      <c r="AO55" s="1167" t="s">
        <v>2280</v>
      </c>
      <c r="AP55" t="s">
        <v>4251</v>
      </c>
      <c r="AQ55" t="s">
        <v>4252</v>
      </c>
    </row>
    <row r="56" spans="1:44" ht="15" customHeight="1">
      <c r="A56" s="747" t="s">
        <v>4218</v>
      </c>
      <c r="B56" s="1447">
        <v>46044</v>
      </c>
      <c r="C56" s="1447">
        <v>46028</v>
      </c>
      <c r="D56" t="s">
        <v>2444</v>
      </c>
      <c r="E56" s="762">
        <f>_xlfn.XLOOKUP(D56,RUC!$B$3:$B$123,RUC!$D$3:$D$123)</f>
        <v>20608774000</v>
      </c>
      <c r="G56" s="1082">
        <v>70</v>
      </c>
      <c r="H56" s="762" t="s">
        <v>108</v>
      </c>
      <c r="I56" s="703">
        <v>5.38</v>
      </c>
      <c r="J56" s="596">
        <v>16.899999999999999</v>
      </c>
      <c r="K56" s="703">
        <f t="shared" si="43"/>
        <v>4.4710000000000001</v>
      </c>
      <c r="L56" s="1192">
        <v>0.17199999999999999</v>
      </c>
      <c r="M56" s="994">
        <f t="shared" si="57"/>
        <v>0.153</v>
      </c>
      <c r="N56" s="1196">
        <f t="shared" si="40"/>
        <v>0.153</v>
      </c>
      <c r="O56" s="645">
        <f t="shared" si="35"/>
        <v>0.153</v>
      </c>
      <c r="P56" s="727">
        <v>80</v>
      </c>
      <c r="Q56" s="1476">
        <v>97.66</v>
      </c>
      <c r="R56" s="706">
        <v>4490.3500000000004</v>
      </c>
      <c r="S56" s="765">
        <f>IF((_xlfn.XLOOKUP(D56,RUC!$B$3:$B$119,RUC!$E$3:$E$119)+ROUNDDOWN(O56,1)*100)&lt;95,95,((_xlfn.XLOOKUP(D56,RUC!$B$3:$B$119,RUC!$E$3:$E$119)+ROUNDDOWN(O56,1)*100)))</f>
        <v>95</v>
      </c>
      <c r="U56" s="1146">
        <f>_xlfn.XLOOKUP(D56,RUC!$B$3:$B$123,RUC!$F$3:$F$123)</f>
        <v>120</v>
      </c>
      <c r="V56" s="715">
        <v>1.1023000000000001</v>
      </c>
      <c r="Y56" s="1445">
        <v>30</v>
      </c>
      <c r="Z56" s="1454">
        <v>40</v>
      </c>
      <c r="AA56" s="144">
        <f t="shared" si="44"/>
        <v>70</v>
      </c>
      <c r="AB56" s="145">
        <f t="shared" si="56"/>
        <v>407.77476493199998</v>
      </c>
      <c r="AC56" s="145">
        <f>+(S56-T56)*V56-'data 1'!$F$4</f>
        <v>24.718500000000006</v>
      </c>
      <c r="AD56" s="145">
        <f t="shared" si="45"/>
        <v>146.33060643923599</v>
      </c>
      <c r="AE56" s="145">
        <f t="shared" si="46"/>
        <v>7.1610000000000014</v>
      </c>
      <c r="AF56" s="145">
        <f t="shared" si="47"/>
        <v>89.38946689149698</v>
      </c>
      <c r="AG56" s="772">
        <f t="shared" si="58"/>
        <v>284.59957333073299</v>
      </c>
      <c r="AH56" s="1253">
        <f t="shared" si="48"/>
        <v>25.748999999999999</v>
      </c>
      <c r="AI56" s="1253">
        <f t="shared" si="49"/>
        <v>26.366</v>
      </c>
      <c r="AJ56" s="156">
        <f t="shared" si="50"/>
        <v>117.69635837052392</v>
      </c>
      <c r="AK56" s="156">
        <f t="shared" si="51"/>
        <v>18.762692324517722</v>
      </c>
      <c r="AM56" s="716">
        <f t="shared" si="52"/>
        <v>1823.160974010972</v>
      </c>
      <c r="AN56" s="716" t="str">
        <f>_xlfn.XLOOKUP(D56,RUC!$B$3:$B$578,RUC!$M$3:$M$578)</f>
        <v>Ronald Miranda</v>
      </c>
      <c r="AO56" s="1167" t="s">
        <v>2280</v>
      </c>
      <c r="AP56" t="s">
        <v>4251</v>
      </c>
      <c r="AQ56" t="s">
        <v>4252</v>
      </c>
    </row>
    <row r="57" spans="1:44" ht="15" customHeight="1">
      <c r="A57" s="747" t="s">
        <v>4219</v>
      </c>
      <c r="B57" s="1447">
        <v>46044</v>
      </c>
      <c r="C57" s="1447">
        <v>46028</v>
      </c>
      <c r="D57" t="s">
        <v>2444</v>
      </c>
      <c r="E57" s="762">
        <f>_xlfn.XLOOKUP(D57,RUC!$B$3:$B$123,RUC!$D$3:$D$123)</f>
        <v>20608774000</v>
      </c>
      <c r="G57" s="1082">
        <v>70</v>
      </c>
      <c r="H57" s="762" t="s">
        <v>108</v>
      </c>
      <c r="I57" s="703">
        <v>5.42</v>
      </c>
      <c r="J57" s="596">
        <v>17.100000000000001</v>
      </c>
      <c r="K57" s="703">
        <f t="shared" si="43"/>
        <v>4.4930000000000003</v>
      </c>
      <c r="L57" s="1192">
        <v>0.16600000000000001</v>
      </c>
      <c r="M57" s="994">
        <f t="shared" si="57"/>
        <v>0.14699999999999999</v>
      </c>
      <c r="N57" s="1196">
        <f t="shared" si="40"/>
        <v>0.14699999999999999</v>
      </c>
      <c r="O57" s="645">
        <f t="shared" si="35"/>
        <v>0.14699999999999999</v>
      </c>
      <c r="P57" s="727">
        <v>80</v>
      </c>
      <c r="Q57" s="1476">
        <v>98.19</v>
      </c>
      <c r="R57" s="706">
        <v>4490.3500000000004</v>
      </c>
      <c r="S57" s="765">
        <f>IF((_xlfn.XLOOKUP(D57,RUC!$B$3:$B$119,RUC!$E$3:$E$119)+ROUNDDOWN(O57,1)*100)&lt;95,95,((_xlfn.XLOOKUP(D57,RUC!$B$3:$B$119,RUC!$E$3:$E$119)+ROUNDDOWN(O57,1)*100)))</f>
        <v>95</v>
      </c>
      <c r="U57" s="1146">
        <f>_xlfn.XLOOKUP(D57,RUC!$B$3:$B$123,RUC!$F$3:$F$123)</f>
        <v>120</v>
      </c>
      <c r="V57" s="715">
        <v>1.1023000000000001</v>
      </c>
      <c r="Y57" s="1445">
        <v>30</v>
      </c>
      <c r="Z57" s="1454">
        <v>40</v>
      </c>
      <c r="AA57" s="144">
        <f t="shared" si="44"/>
        <v>70</v>
      </c>
      <c r="AB57" s="145">
        <f t="shared" si="56"/>
        <v>384.65106826800007</v>
      </c>
      <c r="AC57" s="145">
        <f>+(S57-T57)*V57-'data 1'!$F$4</f>
        <v>24.718500000000006</v>
      </c>
      <c r="AD57" s="145">
        <f t="shared" si="45"/>
        <v>145.464431301697</v>
      </c>
      <c r="AE57" s="145">
        <f t="shared" si="46"/>
        <v>7.1610000000000014</v>
      </c>
      <c r="AF57" s="145">
        <f t="shared" si="47"/>
        <v>89.874582777760594</v>
      </c>
      <c r="AG57" s="772">
        <f t="shared" si="58"/>
        <v>284.21851407945758</v>
      </c>
      <c r="AH57" s="1253">
        <f t="shared" si="48"/>
        <v>25.109000000000002</v>
      </c>
      <c r="AI57" s="1253">
        <f t="shared" si="49"/>
        <v>25.571000000000002</v>
      </c>
      <c r="AJ57" s="156">
        <f t="shared" si="50"/>
        <v>114.20712707082293</v>
      </c>
      <c r="AK57" s="156">
        <f t="shared" si="51"/>
        <v>18.115603624617243</v>
      </c>
      <c r="AM57" s="716">
        <f t="shared" si="52"/>
        <v>1728.2372497281244</v>
      </c>
      <c r="AN57" s="716" t="str">
        <f>_xlfn.XLOOKUP(D57,RUC!$B$3:$B$578,RUC!$M$3:$M$578)</f>
        <v>Ronald Miranda</v>
      </c>
      <c r="AO57" s="1167" t="s">
        <v>2280</v>
      </c>
      <c r="AP57" t="s">
        <v>4251</v>
      </c>
      <c r="AQ57" t="s">
        <v>4252</v>
      </c>
    </row>
    <row r="58" spans="1:44" ht="15" customHeight="1">
      <c r="A58" s="747" t="s">
        <v>4220</v>
      </c>
      <c r="B58" s="1447">
        <v>46034</v>
      </c>
      <c r="C58" s="1447">
        <v>46029</v>
      </c>
      <c r="D58" t="s">
        <v>4171</v>
      </c>
      <c r="E58" s="762">
        <f>_xlfn.XLOOKUP(D58,RUC!$B$3:$B$123,RUC!$D$3:$D$123)</f>
        <v>20614284740</v>
      </c>
      <c r="G58" s="1082">
        <v>27</v>
      </c>
      <c r="H58" s="762" t="s">
        <v>69</v>
      </c>
      <c r="I58" s="703">
        <v>2.14</v>
      </c>
      <c r="J58" s="596">
        <v>1.1000000000000001</v>
      </c>
      <c r="K58" s="703">
        <f t="shared" si="43"/>
        <v>2.1160000000000001</v>
      </c>
      <c r="L58" s="1192">
        <v>0.14199999999999999</v>
      </c>
      <c r="M58" s="994">
        <v>0.122</v>
      </c>
      <c r="N58" s="1196">
        <f t="shared" si="40"/>
        <v>0.122</v>
      </c>
      <c r="O58" s="1147">
        <v>0.14299999999999999</v>
      </c>
      <c r="P58" s="727">
        <v>80</v>
      </c>
      <c r="Q58" s="1476">
        <v>95.04</v>
      </c>
      <c r="R58" s="706">
        <v>4438</v>
      </c>
      <c r="S58" s="765">
        <f>IF((_xlfn.XLOOKUP(D58,RUC!$B$3:$B$119,RUC!$E$3:$E$119)+ROUNDDOWN(O58,1)*100)&lt;95,95,((_xlfn.XLOOKUP(D58,RUC!$B$3:$B$119,RUC!$E$3:$E$119)+ROUNDDOWN(O58,1)*100)))</f>
        <v>100</v>
      </c>
      <c r="U58" s="1146">
        <f>_xlfn.XLOOKUP(D58,RUC!$B$3:$B$123,RUC!$F$3:$F$123)</f>
        <v>120</v>
      </c>
      <c r="V58" s="715">
        <v>1.1023000000000001</v>
      </c>
      <c r="Y58">
        <f>_xlfn.XLOOKUP(D58,RUC!$B$3:$B$123,RUC!$G$3:$G$123)</f>
        <v>20</v>
      </c>
      <c r="Z58" s="143">
        <f>_xlfn.XLOOKUP(D58,RUC!$B$3:$B$123,RUC!$H$3:$H$123)</f>
        <v>30</v>
      </c>
      <c r="AA58" s="144">
        <f t="shared" si="44"/>
        <v>50</v>
      </c>
      <c r="AB58" s="145">
        <f t="shared" si="56"/>
        <v>379.16827216000001</v>
      </c>
      <c r="AC58" s="145">
        <f>+(S58-T58)*V58-'data 1'!$F$4</f>
        <v>30.230000000000004</v>
      </c>
      <c r="AD58" s="145">
        <f t="shared" si="45"/>
        <v>101.65263156352005</v>
      </c>
      <c r="AE58" s="145">
        <f t="shared" si="46"/>
        <v>-14.884999999999998</v>
      </c>
      <c r="AF58" s="145">
        <f t="shared" si="47"/>
        <v>-4.5236487225600044</v>
      </c>
      <c r="AG58" s="772">
        <f>AC58+AD58+AE58+AF58+70-53</f>
        <v>129.47398284096005</v>
      </c>
      <c r="AH58" s="1253">
        <f t="shared" si="48"/>
        <v>9.7910000000000004</v>
      </c>
      <c r="AI58" s="1253">
        <f t="shared" si="49"/>
        <v>10.302</v>
      </c>
      <c r="AJ58" s="156">
        <f t="shared" si="50"/>
        <v>102.34886188032002</v>
      </c>
      <c r="AK58" s="156">
        <f t="shared" si="51"/>
        <v>8.2994775994187204</v>
      </c>
      <c r="AM58" s="716">
        <f t="shared" si="52"/>
        <v>802.32006389056005</v>
      </c>
      <c r="AN58" s="716" t="str">
        <f>_xlfn.XLOOKUP(D58,RUC!$B$3:$B$578,RUC!$M$3:$M$578)</f>
        <v xml:space="preserve">Dante </v>
      </c>
      <c r="AO58" s="1167" t="s">
        <v>2278</v>
      </c>
      <c r="AP58" t="s">
        <v>3409</v>
      </c>
      <c r="AQ58" t="s">
        <v>4253</v>
      </c>
      <c r="AR58" s="1652" t="s">
        <v>4522</v>
      </c>
    </row>
    <row r="59" spans="1:44" ht="15" customHeight="1">
      <c r="A59" s="747" t="s">
        <v>4230</v>
      </c>
      <c r="B59" s="1447">
        <v>46034</v>
      </c>
      <c r="C59" s="1447">
        <v>46029</v>
      </c>
      <c r="D59" t="s">
        <v>4171</v>
      </c>
      <c r="E59" s="762">
        <f>_xlfn.XLOOKUP(D59,RUC!$B$3:$B$123,RUC!$D$3:$D$123)</f>
        <v>20614284740</v>
      </c>
      <c r="G59" s="1082">
        <v>41</v>
      </c>
      <c r="H59" s="762" t="s">
        <v>69</v>
      </c>
      <c r="I59" s="703">
        <v>3.65</v>
      </c>
      <c r="J59" s="596">
        <v>2.1</v>
      </c>
      <c r="K59" s="703">
        <f t="shared" si="43"/>
        <v>3.573</v>
      </c>
      <c r="L59" s="1192">
        <v>0.17299999999999999</v>
      </c>
      <c r="M59" s="994">
        <v>0.154</v>
      </c>
      <c r="N59" s="1196">
        <f t="shared" si="40"/>
        <v>0.154</v>
      </c>
      <c r="O59" s="1147">
        <v>0.158</v>
      </c>
      <c r="P59" s="727">
        <v>85</v>
      </c>
      <c r="Q59" s="1476">
        <v>98.27</v>
      </c>
      <c r="R59" s="706">
        <v>4438</v>
      </c>
      <c r="S59" s="765">
        <f>IF((_xlfn.XLOOKUP(D59,RUC!$B$3:$B$119,RUC!$E$3:$E$119)+ROUNDDOWN(O59,1)*100)&lt;95,95,((_xlfn.XLOOKUP(D59,RUC!$B$3:$B$119,RUC!$E$3:$E$119)+ROUNDDOWN(O59,1)*100)))</f>
        <v>100</v>
      </c>
      <c r="U59" s="1146">
        <f>_xlfn.XLOOKUP(D59,RUC!$B$3:$B$123,RUC!$F$3:$F$123)</f>
        <v>120</v>
      </c>
      <c r="V59" s="715">
        <v>1.1023000000000001</v>
      </c>
      <c r="Y59">
        <f>_xlfn.XLOOKUP(D59,RUC!$B$3:$B$123,RUC!$G$3:$G$123)</f>
        <v>20</v>
      </c>
      <c r="Z59" s="143">
        <f>_xlfn.XLOOKUP(D59,RUC!$B$3:$B$123,RUC!$H$3:$H$123)</f>
        <v>30</v>
      </c>
      <c r="AA59" s="144">
        <f t="shared" si="44"/>
        <v>50</v>
      </c>
      <c r="AB59" s="145">
        <f t="shared" si="56"/>
        <v>473.88692701999997</v>
      </c>
      <c r="AC59" s="145">
        <f>+(S59-T59)*V59-'data 1'!$F$4</f>
        <v>30.230000000000004</v>
      </c>
      <c r="AD59" s="145">
        <f t="shared" si="45"/>
        <v>109.26962972293997</v>
      </c>
      <c r="AE59" s="145">
        <f t="shared" si="46"/>
        <v>-14.884999999999998</v>
      </c>
      <c r="AF59" s="145">
        <f t="shared" si="47"/>
        <v>70.160820701699933</v>
      </c>
      <c r="AG59" s="772">
        <f>AC59+AD59+AE59+AF59+70-53</f>
        <v>211.77545042463993</v>
      </c>
      <c r="AH59" s="1253">
        <f t="shared" si="48"/>
        <v>20.826000000000001</v>
      </c>
      <c r="AI59" s="1253">
        <f t="shared" si="49"/>
        <v>21.193000000000001</v>
      </c>
      <c r="AJ59" s="156">
        <f t="shared" si="50"/>
        <v>128.93039251503998</v>
      </c>
      <c r="AK59" s="156">
        <f t="shared" si="51"/>
        <v>16.451977168805897</v>
      </c>
      <c r="AM59" s="716">
        <f t="shared" si="52"/>
        <v>1693.1979902424598</v>
      </c>
      <c r="AN59" s="716" t="str">
        <f>_xlfn.XLOOKUP(D59,RUC!$B$3:$B$578,RUC!$M$3:$M$578)</f>
        <v xml:space="preserve">Dante </v>
      </c>
      <c r="AO59" s="1167" t="s">
        <v>2278</v>
      </c>
      <c r="AP59" t="s">
        <v>3409</v>
      </c>
      <c r="AQ59" t="s">
        <v>4253</v>
      </c>
      <c r="AR59" s="1652"/>
    </row>
    <row r="60" spans="1:44" ht="15" customHeight="1">
      <c r="A60" s="747" t="s">
        <v>4234</v>
      </c>
      <c r="B60" s="1447">
        <v>46036</v>
      </c>
      <c r="C60" s="1447">
        <v>46029</v>
      </c>
      <c r="D60" t="s">
        <v>119</v>
      </c>
      <c r="E60" s="762">
        <f>_xlfn.XLOOKUP(D60,RUC!$B$3:$B$123,RUC!$D$3:$D$123)</f>
        <v>10082235774</v>
      </c>
      <c r="G60" s="1082">
        <v>49</v>
      </c>
      <c r="H60" s="762" t="s">
        <v>69</v>
      </c>
      <c r="I60" s="703">
        <v>4.62</v>
      </c>
      <c r="J60" s="596">
        <v>1.6</v>
      </c>
      <c r="K60" s="703">
        <f t="shared" si="43"/>
        <v>4.5460000000000003</v>
      </c>
      <c r="L60" s="1192">
        <v>0.186</v>
      </c>
      <c r="M60" s="994">
        <f t="shared" si="57"/>
        <v>0.17899999999999999</v>
      </c>
      <c r="N60" s="1196">
        <f t="shared" si="40"/>
        <v>0.17899999999999999</v>
      </c>
      <c r="O60" s="645">
        <f t="shared" si="35"/>
        <v>0.17899999999999999</v>
      </c>
      <c r="P60" s="727">
        <v>85</v>
      </c>
      <c r="Q60" s="1476">
        <v>93.01</v>
      </c>
      <c r="R60" s="706">
        <v>4438</v>
      </c>
      <c r="S60" s="1164">
        <f>IF((_xlfn.XLOOKUP(D60,RUC!$B$3:$B$119,RUC!$E$3:$E$119)+ROUNDDOWN(O60,1)*100)&lt;95,95,((_xlfn.XLOOKUP(D60,RUC!$B$3:$B$119,RUC!$E$3:$E$119)+ROUNDDOWN(O60,1)*100)))</f>
        <v>95</v>
      </c>
      <c r="U60" s="880">
        <f>_xlfn.XLOOKUP(D60,RUC!$B$3:$B$123,RUC!$F$3:$F$123)</f>
        <v>80</v>
      </c>
      <c r="V60" s="715">
        <v>1.1023000000000001</v>
      </c>
      <c r="Y60">
        <f>_xlfn.XLOOKUP(D60,RUC!$B$3:$B$123,RUC!$G$3:$G$123)</f>
        <v>0</v>
      </c>
      <c r="Z60" s="143">
        <f>_xlfn.XLOOKUP(D60,RUC!$B$3:$B$123,RUC!$H$3:$H$123)</f>
        <v>10</v>
      </c>
      <c r="AA60" s="144">
        <f t="shared" si="44"/>
        <v>10</v>
      </c>
      <c r="AB60" s="145">
        <f t="shared" si="56"/>
        <v>615.16023031000009</v>
      </c>
      <c r="AC60" s="145">
        <f>+(S60-T60)*V60-'data 1'!$F$4</f>
        <v>24.718500000000006</v>
      </c>
      <c r="AD60" s="145">
        <f t="shared" si="45"/>
        <v>71.570243307240048</v>
      </c>
      <c r="AE60" s="145">
        <f t="shared" si="46"/>
        <v>-58.977000000000004</v>
      </c>
      <c r="AF60" s="145">
        <f t="shared" si="47"/>
        <v>31.276253010380032</v>
      </c>
      <c r="AG60" s="772">
        <f t="shared" ref="AG60" si="59">AC60+AD60+AE60+AF60+70</f>
        <v>138.58799631762008</v>
      </c>
      <c r="AH60" s="1253">
        <f t="shared" si="48"/>
        <v>26.963999999999999</v>
      </c>
      <c r="AI60" s="1253">
        <f t="shared" si="49"/>
        <v>28.99</v>
      </c>
      <c r="AJ60" s="156">
        <f t="shared" si="50"/>
        <v>123.57123919344002</v>
      </c>
      <c r="AK60" s="156">
        <f t="shared" si="51"/>
        <v>23.714308065556892</v>
      </c>
      <c r="AM60" s="716">
        <f t="shared" si="52"/>
        <v>2796.5184069892607</v>
      </c>
      <c r="AN60" s="716" t="str">
        <f>_xlfn.XLOOKUP(D60,RUC!$B$3:$B$578,RUC!$M$3:$M$578)</f>
        <v>Melchor Vera</v>
      </c>
      <c r="AO60" s="1167" t="s">
        <v>2280</v>
      </c>
      <c r="AP60" t="s">
        <v>4254</v>
      </c>
      <c r="AQ60" t="s">
        <v>2454</v>
      </c>
    </row>
    <row r="61" spans="1:44" ht="15" customHeight="1">
      <c r="A61" s="747" t="s">
        <v>4261</v>
      </c>
      <c r="B61" s="1447">
        <v>46037</v>
      </c>
      <c r="C61" s="1447">
        <v>46030</v>
      </c>
      <c r="D61" t="s">
        <v>3642</v>
      </c>
      <c r="E61" s="762" t="str">
        <f>_xlfn.XLOOKUP(D61,RUC!$B$3:$B$123,RUC!$D$3:$D$123)</f>
        <v>20601769396*</v>
      </c>
      <c r="G61" s="1082">
        <v>47</v>
      </c>
      <c r="H61" s="762" t="s">
        <v>108</v>
      </c>
      <c r="I61" s="703">
        <v>1.52</v>
      </c>
      <c r="J61" s="596">
        <v>15.5</v>
      </c>
      <c r="K61" s="703">
        <f t="shared" si="43"/>
        <v>1.284</v>
      </c>
      <c r="L61" s="1192">
        <v>0.61499999999999999</v>
      </c>
      <c r="M61" s="994">
        <f t="shared" si="57"/>
        <v>0.57799999999999996</v>
      </c>
      <c r="N61" s="1196">
        <f t="shared" ref="N61:N79" si="60">+M61</f>
        <v>0.57799999999999996</v>
      </c>
      <c r="O61" s="645">
        <f t="shared" si="35"/>
        <v>0.57799999999999996</v>
      </c>
      <c r="P61" s="727">
        <v>90</v>
      </c>
      <c r="Q61" s="1476">
        <v>97.89</v>
      </c>
      <c r="R61" s="706">
        <v>4429.3500000000004</v>
      </c>
      <c r="S61" s="765">
        <f>IF((_xlfn.XLOOKUP(D61,RUC!$B$3:$B$119,RUC!$E$3:$E$119)+ROUNDDOWN(O61,1)*100)&lt;95,95,((_xlfn.XLOOKUP(D61,RUC!$B$3:$B$119,RUC!$E$3:$E$119)+ROUNDDOWN(O61,1)*100)))</f>
        <v>140</v>
      </c>
      <c r="U61" s="1146">
        <f>_xlfn.XLOOKUP(D61,RUC!$B$3:$B$123,RUC!$F$3:$F$123)</f>
        <v>120</v>
      </c>
      <c r="V61" s="715">
        <v>1.1023000000000001</v>
      </c>
      <c r="Y61" s="1445">
        <v>30</v>
      </c>
      <c r="Z61" s="1454">
        <v>40</v>
      </c>
      <c r="AA61" s="144">
        <f t="shared" si="44"/>
        <v>70</v>
      </c>
      <c r="AB61" s="145">
        <f t="shared" si="56"/>
        <v>2239.5692219009998</v>
      </c>
      <c r="AC61" s="145">
        <f>+(S61-T61)*V61-'data 1'!$F$4</f>
        <v>74.322000000000003</v>
      </c>
      <c r="AD61" s="145">
        <f t="shared" si="45"/>
        <v>230.49616011036753</v>
      </c>
      <c r="AE61" s="145">
        <f t="shared" si="46"/>
        <v>7.1610000000000014</v>
      </c>
      <c r="AF61" s="145">
        <f t="shared" si="47"/>
        <v>172.04879227354667</v>
      </c>
      <c r="AG61" s="772">
        <f t="shared" ref="AG61:AG69" si="61">AC61+AD61+AE61+AF61+70-53</f>
        <v>501.02795238391423</v>
      </c>
      <c r="AH61" s="1253">
        <f t="shared" si="48"/>
        <v>26.503</v>
      </c>
      <c r="AI61" s="1253">
        <f t="shared" si="49"/>
        <v>27.074000000000002</v>
      </c>
      <c r="AJ61" s="156">
        <f t="shared" si="50"/>
        <v>462.30425764643229</v>
      </c>
      <c r="AK61" s="156">
        <f t="shared" si="51"/>
        <v>22.90047238087524</v>
      </c>
      <c r="AM61" s="716">
        <f t="shared" si="52"/>
        <v>2875.6068809208837</v>
      </c>
      <c r="AN61" s="716" t="str">
        <f>_xlfn.XLOOKUP(D61,RUC!$B$3:$B$578,RUC!$M$3:$M$578)</f>
        <v>Zudaire</v>
      </c>
      <c r="AO61" s="1167" t="s">
        <v>2277</v>
      </c>
      <c r="AP61" t="s">
        <v>4316</v>
      </c>
      <c r="AQ61" t="s">
        <v>4317</v>
      </c>
    </row>
    <row r="62" spans="1:44" ht="15" customHeight="1">
      <c r="A62" s="747" t="s">
        <v>4262</v>
      </c>
      <c r="B62" s="1447">
        <v>46037</v>
      </c>
      <c r="C62" s="1447">
        <v>46030</v>
      </c>
      <c r="D62" t="s">
        <v>3642</v>
      </c>
      <c r="E62" s="762" t="str">
        <f>_xlfn.XLOOKUP(D62,RUC!$B$3:$B$123,RUC!$D$3:$D$123)</f>
        <v>20601769396*</v>
      </c>
      <c r="G62" s="1082">
        <v>243</v>
      </c>
      <c r="H62" s="762" t="s">
        <v>108</v>
      </c>
      <c r="I62" s="703">
        <v>6.85</v>
      </c>
      <c r="J62" s="596">
        <v>19.5</v>
      </c>
      <c r="K62" s="703">
        <f t="shared" si="43"/>
        <v>5.5140000000000002</v>
      </c>
      <c r="L62" s="1192">
        <v>0.191</v>
      </c>
      <c r="M62" s="994">
        <f t="shared" si="57"/>
        <v>0.17199999999999999</v>
      </c>
      <c r="N62" s="1196">
        <f t="shared" si="60"/>
        <v>0.17199999999999999</v>
      </c>
      <c r="O62" s="645">
        <f t="shared" si="35"/>
        <v>0.17199999999999999</v>
      </c>
      <c r="P62" s="727">
        <v>85</v>
      </c>
      <c r="Q62" s="1476">
        <v>87.96</v>
      </c>
      <c r="R62" s="706">
        <v>4429.3500000000004</v>
      </c>
      <c r="S62" s="765">
        <f>IF((_xlfn.XLOOKUP(D62,RUC!$B$3:$B$119,RUC!$E$3:$E$119)+ROUNDDOWN(O62,1)*100)&lt;95,95,((_xlfn.XLOOKUP(D62,RUC!$B$3:$B$119,RUC!$E$3:$E$119)+ROUNDDOWN(O62,1)*100)))</f>
        <v>100</v>
      </c>
      <c r="U62" s="1146">
        <f>_xlfn.XLOOKUP(D62,RUC!$B$3:$B$123,RUC!$F$3:$F$123)</f>
        <v>120</v>
      </c>
      <c r="V62" s="715">
        <v>1.1023000000000001</v>
      </c>
      <c r="Y62" s="1445">
        <v>30</v>
      </c>
      <c r="Z62" s="1454">
        <v>40</v>
      </c>
      <c r="AA62" s="144">
        <f t="shared" si="44"/>
        <v>70</v>
      </c>
      <c r="AB62" s="145">
        <f t="shared" si="56"/>
        <v>507.08772903100004</v>
      </c>
      <c r="AC62" s="145">
        <f>+(S62-T62)*V62-'data 1'!$F$4</f>
        <v>30.230000000000004</v>
      </c>
      <c r="AD62" s="145">
        <f t="shared" si="45"/>
        <v>26.855710960667949</v>
      </c>
      <c r="AE62" s="145">
        <f t="shared" si="46"/>
        <v>7.1610000000000014</v>
      </c>
      <c r="AF62" s="145">
        <f t="shared" si="47"/>
        <v>79.387184070162064</v>
      </c>
      <c r="AG62" s="772">
        <f t="shared" si="61"/>
        <v>160.63389503083002</v>
      </c>
      <c r="AH62" s="1253">
        <f t="shared" si="48"/>
        <v>31.760999999999999</v>
      </c>
      <c r="AI62" s="1253">
        <f t="shared" si="49"/>
        <v>36.107999999999997</v>
      </c>
      <c r="AJ62" s="156">
        <f t="shared" si="50"/>
        <v>129.01287006226192</v>
      </c>
      <c r="AK62" s="156">
        <f t="shared" si="51"/>
        <v>27.639055863265739</v>
      </c>
      <c r="AM62" s="716">
        <f t="shared" si="52"/>
        <v>2796.0817378769343</v>
      </c>
      <c r="AN62" s="716" t="str">
        <f>_xlfn.XLOOKUP(D62,RUC!$B$3:$B$578,RUC!$M$3:$M$578)</f>
        <v>Zudaire</v>
      </c>
      <c r="AO62" s="1167" t="s">
        <v>2277</v>
      </c>
      <c r="AP62" t="s">
        <v>4316</v>
      </c>
      <c r="AQ62" t="s">
        <v>4317</v>
      </c>
    </row>
    <row r="63" spans="1:44" ht="15" customHeight="1">
      <c r="A63" s="747" t="s">
        <v>4263</v>
      </c>
      <c r="B63" s="1447">
        <v>46037</v>
      </c>
      <c r="C63" s="1447">
        <v>46030</v>
      </c>
      <c r="D63" t="s">
        <v>3642</v>
      </c>
      <c r="E63" s="762" t="str">
        <f>_xlfn.XLOOKUP(D63,RUC!$B$3:$B$123,RUC!$D$3:$D$123)</f>
        <v>20601769396*</v>
      </c>
      <c r="G63" s="1082">
        <v>123</v>
      </c>
      <c r="H63" s="762" t="s">
        <v>108</v>
      </c>
      <c r="I63" s="703">
        <v>3.75</v>
      </c>
      <c r="J63" s="596">
        <v>15.6</v>
      </c>
      <c r="K63" s="703">
        <f t="shared" si="43"/>
        <v>3.165</v>
      </c>
      <c r="L63" s="1192">
        <v>0.17699999999999999</v>
      </c>
      <c r="M63" s="994">
        <f t="shared" si="57"/>
        <v>0.158</v>
      </c>
      <c r="N63" s="1196">
        <f t="shared" si="60"/>
        <v>0.158</v>
      </c>
      <c r="O63" s="645">
        <f t="shared" si="35"/>
        <v>0.158</v>
      </c>
      <c r="P63" s="727">
        <v>85</v>
      </c>
      <c r="Q63" s="1476">
        <v>94.35</v>
      </c>
      <c r="R63" s="706">
        <v>4429.3500000000004</v>
      </c>
      <c r="S63" s="765">
        <f>IF((_xlfn.XLOOKUP(D63,RUC!$B$3:$B$119,RUC!$E$3:$E$119)+ROUNDDOWN(O63,1)*100)&lt;95,95,((_xlfn.XLOOKUP(D63,RUC!$B$3:$B$119,RUC!$E$3:$E$119)+ROUNDDOWN(O63,1)*100)))</f>
        <v>100</v>
      </c>
      <c r="U63" s="1146">
        <f>_xlfn.XLOOKUP(D63,RUC!$B$3:$B$123,RUC!$F$3:$F$123)</f>
        <v>120</v>
      </c>
      <c r="V63" s="715">
        <v>1.1023000000000001</v>
      </c>
      <c r="Y63" s="1445">
        <v>30</v>
      </c>
      <c r="Z63" s="1454">
        <v>40</v>
      </c>
      <c r="AA63" s="144">
        <f t="shared" si="44"/>
        <v>70</v>
      </c>
      <c r="AB63" s="145">
        <f t="shared" si="56"/>
        <v>450.56039062150006</v>
      </c>
      <c r="AC63" s="145">
        <f>+(S63-T63)*V63-'data 1'!$F$4</f>
        <v>30.230000000000004</v>
      </c>
      <c r="AD63" s="145">
        <f t="shared" si="45"/>
        <v>78.613377059497452</v>
      </c>
      <c r="AE63" s="145">
        <f t="shared" si="46"/>
        <v>7.1610000000000014</v>
      </c>
      <c r="AF63" s="145">
        <f t="shared" si="47"/>
        <v>85.154397646882458</v>
      </c>
      <c r="AG63" s="772">
        <f t="shared" si="61"/>
        <v>218.15877470637992</v>
      </c>
      <c r="AH63" s="1253">
        <f t="shared" si="48"/>
        <v>18.122</v>
      </c>
      <c r="AI63" s="1253">
        <f t="shared" si="49"/>
        <v>19.207000000000001</v>
      </c>
      <c r="AJ63" s="156">
        <f t="shared" si="50"/>
        <v>128.24180430635244</v>
      </c>
      <c r="AK63" s="156">
        <f t="shared" si="51"/>
        <v>14.573329901838976</v>
      </c>
      <c r="AM63" s="716">
        <f t="shared" si="52"/>
        <v>1426.0236363170477</v>
      </c>
      <c r="AN63" s="716" t="str">
        <f>_xlfn.XLOOKUP(D63,RUC!$B$3:$B$578,RUC!$M$3:$M$578)</f>
        <v>Zudaire</v>
      </c>
      <c r="AO63" s="1167" t="s">
        <v>2277</v>
      </c>
      <c r="AP63" t="s">
        <v>4316</v>
      </c>
      <c r="AQ63" t="s">
        <v>4317</v>
      </c>
    </row>
    <row r="64" spans="1:44" ht="15" customHeight="1">
      <c r="A64" s="747" t="s">
        <v>4264</v>
      </c>
      <c r="B64" s="1447">
        <v>46037</v>
      </c>
      <c r="C64" s="1447">
        <v>46030</v>
      </c>
      <c r="D64" t="s">
        <v>3642</v>
      </c>
      <c r="E64" s="762" t="str">
        <f>_xlfn.XLOOKUP(D64,RUC!$B$3:$B$123,RUC!$D$3:$D$123)</f>
        <v>20601769396*</v>
      </c>
      <c r="G64" s="1082">
        <v>129</v>
      </c>
      <c r="H64" s="762" t="s">
        <v>108</v>
      </c>
      <c r="I64" s="703">
        <v>3.86</v>
      </c>
      <c r="J64" s="596">
        <v>15.2</v>
      </c>
      <c r="K64" s="703">
        <f t="shared" si="43"/>
        <v>3.2730000000000001</v>
      </c>
      <c r="L64" s="1192">
        <v>0.58899999999999997</v>
      </c>
      <c r="M64" s="994">
        <f t="shared" si="57"/>
        <v>0.55400000000000005</v>
      </c>
      <c r="N64" s="1196">
        <f t="shared" si="60"/>
        <v>0.55400000000000005</v>
      </c>
      <c r="O64" s="645">
        <f t="shared" si="35"/>
        <v>0.55400000000000005</v>
      </c>
      <c r="P64" s="727">
        <v>90</v>
      </c>
      <c r="Q64" s="1476">
        <v>96.26</v>
      </c>
      <c r="R64" s="706">
        <v>4429.3500000000004</v>
      </c>
      <c r="S64" s="765">
        <f>IF((_xlfn.XLOOKUP(D64,RUC!$B$3:$B$119,RUC!$E$3:$E$119)+ROUNDDOWN(O64,1)*100)&lt;95,95,((_xlfn.XLOOKUP(D64,RUC!$B$3:$B$119,RUC!$E$3:$E$119)+ROUNDDOWN(O64,1)*100)))</f>
        <v>140</v>
      </c>
      <c r="U64" s="1146">
        <f>_xlfn.XLOOKUP(D64,RUC!$B$3:$B$123,RUC!$F$3:$F$123)</f>
        <v>120</v>
      </c>
      <c r="V64" s="715">
        <v>1.1023000000000001</v>
      </c>
      <c r="Y64" s="1445">
        <v>30</v>
      </c>
      <c r="Z64" s="1454">
        <v>40</v>
      </c>
      <c r="AA64" s="144">
        <f t="shared" si="44"/>
        <v>70</v>
      </c>
      <c r="AB64" s="145">
        <f t="shared" si="56"/>
        <v>2136.9649773930005</v>
      </c>
      <c r="AC64" s="145">
        <f>+(S64-T64)*V64-'data 1'!$F$4</f>
        <v>74.322000000000003</v>
      </c>
      <c r="AD64" s="145">
        <f t="shared" si="45"/>
        <v>175.14639541445715</v>
      </c>
      <c r="AE64" s="145">
        <f t="shared" si="46"/>
        <v>7.1610000000000014</v>
      </c>
      <c r="AF64" s="145">
        <f t="shared" si="47"/>
        <v>160.03887044995469</v>
      </c>
      <c r="AG64" s="772">
        <f t="shared" si="61"/>
        <v>433.66826586441181</v>
      </c>
      <c r="AH64" s="1253">
        <f t="shared" si="48"/>
        <v>63.622999999999998</v>
      </c>
      <c r="AI64" s="1253">
        <f t="shared" si="49"/>
        <v>66.094999999999999</v>
      </c>
      <c r="AJ64" s="156">
        <f t="shared" si="50"/>
        <v>435.38714383036279</v>
      </c>
      <c r="AK64" s="156">
        <f t="shared" si="51"/>
        <v>55.950935038702298</v>
      </c>
      <c r="AM64" s="716">
        <f t="shared" si="52"/>
        <v>6994.2863710072907</v>
      </c>
      <c r="AN64" s="716" t="str">
        <f>_xlfn.XLOOKUP(D64,RUC!$B$3:$B$578,RUC!$M$3:$M$578)</f>
        <v>Zudaire</v>
      </c>
      <c r="AO64" s="1167" t="s">
        <v>2278</v>
      </c>
      <c r="AP64" t="s">
        <v>4316</v>
      </c>
      <c r="AQ64" t="s">
        <v>4317</v>
      </c>
    </row>
    <row r="65" spans="1:43" ht="15" customHeight="1">
      <c r="A65" s="747" t="s">
        <v>4265</v>
      </c>
      <c r="B65" s="1447">
        <v>46037</v>
      </c>
      <c r="C65" s="1447">
        <v>46030</v>
      </c>
      <c r="D65" t="s">
        <v>3642</v>
      </c>
      <c r="E65" s="762" t="str">
        <f>_xlfn.XLOOKUP(D65,RUC!$B$3:$B$123,RUC!$D$3:$D$123)</f>
        <v>20601769396*</v>
      </c>
      <c r="G65" s="1082">
        <v>86</v>
      </c>
      <c r="H65" s="762" t="s">
        <v>108</v>
      </c>
      <c r="I65" s="703">
        <v>2.52</v>
      </c>
      <c r="J65" s="596">
        <v>15.3</v>
      </c>
      <c r="K65" s="703">
        <f t="shared" si="43"/>
        <v>2.1339999999999999</v>
      </c>
      <c r="L65" s="1192">
        <v>0.154</v>
      </c>
      <c r="M65" s="994">
        <f t="shared" si="57"/>
        <v>0.13500000000000001</v>
      </c>
      <c r="N65" s="1196">
        <f t="shared" si="60"/>
        <v>0.13500000000000001</v>
      </c>
      <c r="O65" s="645">
        <f t="shared" si="35"/>
        <v>0.13500000000000001</v>
      </c>
      <c r="P65" s="727">
        <v>85</v>
      </c>
      <c r="Q65" s="1476">
        <v>87.01</v>
      </c>
      <c r="R65" s="706">
        <v>4429.3500000000004</v>
      </c>
      <c r="S65" s="765">
        <f>IF((_xlfn.XLOOKUP(D65,RUC!$B$3:$B$119,RUC!$E$3:$E$119)+ROUNDDOWN(O65,1)*100)&lt;95,95,((_xlfn.XLOOKUP(D65,RUC!$B$3:$B$119,RUC!$E$3:$E$119)+ROUNDDOWN(O65,1)*100)))</f>
        <v>100</v>
      </c>
      <c r="U65" s="1146">
        <f>_xlfn.XLOOKUP(D65,RUC!$B$3:$B$123,RUC!$F$3:$F$123)</f>
        <v>120</v>
      </c>
      <c r="V65" s="715">
        <v>1.1023000000000001</v>
      </c>
      <c r="Y65" s="1445">
        <v>30</v>
      </c>
      <c r="Z65" s="1454">
        <v>40</v>
      </c>
      <c r="AA65" s="144">
        <f t="shared" si="44"/>
        <v>70</v>
      </c>
      <c r="AB65" s="145">
        <f t="shared" si="56"/>
        <v>357.69404894875015</v>
      </c>
      <c r="AC65" s="145">
        <f>+(S65-T65)*V65-'data 1'!$F$4</f>
        <v>30.230000000000004</v>
      </c>
      <c r="AD65" s="145">
        <f t="shared" si="45"/>
        <v>14.703758261577041</v>
      </c>
      <c r="AE65" s="145">
        <f t="shared" si="46"/>
        <v>7.1610000000000014</v>
      </c>
      <c r="AF65" s="145">
        <f t="shared" si="47"/>
        <v>78.529773601009467</v>
      </c>
      <c r="AG65" s="772">
        <f t="shared" si="61"/>
        <v>147.62453186258651</v>
      </c>
      <c r="AH65" s="1253">
        <f t="shared" si="48"/>
        <v>9.8040000000000003</v>
      </c>
      <c r="AI65" s="1253">
        <f t="shared" si="49"/>
        <v>11.266999999999999</v>
      </c>
      <c r="AJ65" s="156">
        <f t="shared" si="50"/>
        <v>102.89738511044294</v>
      </c>
      <c r="AK65" s="156">
        <f t="shared" si="51"/>
        <v>8.3956858268258259</v>
      </c>
      <c r="AM65" s="716">
        <f t="shared" si="52"/>
        <v>763.31910045663278</v>
      </c>
      <c r="AN65" s="716" t="str">
        <f>_xlfn.XLOOKUP(D65,RUC!$B$3:$B$578,RUC!$M$3:$M$578)</f>
        <v>Zudaire</v>
      </c>
      <c r="AO65" s="1167" t="s">
        <v>2277</v>
      </c>
      <c r="AP65" t="s">
        <v>4316</v>
      </c>
      <c r="AQ65" t="s">
        <v>4317</v>
      </c>
    </row>
    <row r="66" spans="1:43" ht="15" customHeight="1">
      <c r="A66" s="747" t="s">
        <v>4266</v>
      </c>
      <c r="B66" s="1447">
        <v>46037</v>
      </c>
      <c r="C66" s="1447">
        <v>46030</v>
      </c>
      <c r="D66" t="s">
        <v>3642</v>
      </c>
      <c r="E66" s="762" t="str">
        <f>_xlfn.XLOOKUP(D66,RUC!$B$3:$B$123,RUC!$D$3:$D$123)</f>
        <v>20601769396*</v>
      </c>
      <c r="G66" s="1082">
        <v>94</v>
      </c>
      <c r="H66" s="762" t="s">
        <v>108</v>
      </c>
      <c r="I66" s="703">
        <v>2.7</v>
      </c>
      <c r="J66" s="596">
        <v>16</v>
      </c>
      <c r="K66" s="703">
        <f t="shared" si="43"/>
        <v>2.2679999999999998</v>
      </c>
      <c r="L66" s="1192">
        <v>0.20599999999999999</v>
      </c>
      <c r="M66" s="994">
        <f t="shared" si="57"/>
        <v>0.187</v>
      </c>
      <c r="N66" s="1196">
        <f t="shared" si="60"/>
        <v>0.187</v>
      </c>
      <c r="O66" s="645">
        <f t="shared" si="35"/>
        <v>0.187</v>
      </c>
      <c r="P66" s="727">
        <v>85</v>
      </c>
      <c r="Q66" s="1476">
        <v>90.29</v>
      </c>
      <c r="R66" s="706">
        <v>4429.3500000000004</v>
      </c>
      <c r="S66" s="765">
        <f>IF((_xlfn.XLOOKUP(D66,RUC!$B$3:$B$119,RUC!$E$3:$E$119)+ROUNDDOWN(O66,1)*100)&lt;95,95,((_xlfn.XLOOKUP(D66,RUC!$B$3:$B$119,RUC!$E$3:$E$119)+ROUNDDOWN(O66,1)*100)))</f>
        <v>100</v>
      </c>
      <c r="U66" s="1146">
        <f>_xlfn.XLOOKUP(D66,RUC!$B$3:$B$123,RUC!$F$3:$F$123)</f>
        <v>120</v>
      </c>
      <c r="V66" s="715">
        <v>1.1023000000000001</v>
      </c>
      <c r="Y66" s="1445">
        <v>30</v>
      </c>
      <c r="Z66" s="1454">
        <v>40</v>
      </c>
      <c r="AA66" s="144">
        <f t="shared" si="44"/>
        <v>70</v>
      </c>
      <c r="AB66" s="145">
        <f t="shared" si="56"/>
        <v>567.65273446974993</v>
      </c>
      <c r="AC66" s="145">
        <f>+(S66-T66)*V66-'data 1'!$F$4</f>
        <v>30.230000000000004</v>
      </c>
      <c r="AD66" s="145">
        <f t="shared" si="45"/>
        <v>51.764791393587068</v>
      </c>
      <c r="AE66" s="145">
        <f t="shared" si="46"/>
        <v>7.1610000000000014</v>
      </c>
      <c r="AF66" s="145">
        <f t="shared" si="47"/>
        <v>81.490096062925474</v>
      </c>
      <c r="AG66" s="772">
        <f t="shared" si="61"/>
        <v>187.64588745651253</v>
      </c>
      <c r="AH66" s="1253">
        <f t="shared" si="48"/>
        <v>14.462999999999999</v>
      </c>
      <c r="AI66" s="1253">
        <f t="shared" si="49"/>
        <v>16.018000000000001</v>
      </c>
      <c r="AJ66" s="156">
        <f t="shared" si="50"/>
        <v>142.83062028503295</v>
      </c>
      <c r="AK66" s="156">
        <f t="shared" si="51"/>
        <v>12.35983439248173</v>
      </c>
      <c r="AM66" s="716">
        <f t="shared" si="52"/>
        <v>1287.4364017773928</v>
      </c>
      <c r="AN66" s="716" t="str">
        <f>_xlfn.XLOOKUP(D66,RUC!$B$3:$B$578,RUC!$M$3:$M$578)</f>
        <v>Zudaire</v>
      </c>
      <c r="AO66" s="1167" t="s">
        <v>2277</v>
      </c>
      <c r="AP66" t="s">
        <v>4316</v>
      </c>
      <c r="AQ66" t="s">
        <v>4317</v>
      </c>
    </row>
    <row r="67" spans="1:43" ht="15" customHeight="1">
      <c r="A67" s="747" t="s">
        <v>4267</v>
      </c>
      <c r="B67" s="1447">
        <v>46037</v>
      </c>
      <c r="C67" s="1447">
        <v>46030</v>
      </c>
      <c r="D67" t="s">
        <v>3642</v>
      </c>
      <c r="E67" s="762" t="str">
        <f>_xlfn.XLOOKUP(D67,RUC!$B$3:$B$123,RUC!$D$3:$D$123)</f>
        <v>20601769396*</v>
      </c>
      <c r="G67" s="1082">
        <v>226</v>
      </c>
      <c r="H67" s="762" t="s">
        <v>108</v>
      </c>
      <c r="I67" s="703">
        <v>7.08</v>
      </c>
      <c r="J67" s="596">
        <v>15.7</v>
      </c>
      <c r="K67" s="703">
        <f t="shared" si="43"/>
        <v>5.968</v>
      </c>
      <c r="L67" s="1192">
        <v>0.26700000000000002</v>
      </c>
      <c r="M67" s="994">
        <f t="shared" si="57"/>
        <v>0.248</v>
      </c>
      <c r="N67" s="1196">
        <f t="shared" si="60"/>
        <v>0.248</v>
      </c>
      <c r="O67" s="645">
        <f t="shared" si="35"/>
        <v>0.248</v>
      </c>
      <c r="P67" s="727">
        <v>90</v>
      </c>
      <c r="Q67" s="1476">
        <v>96.63</v>
      </c>
      <c r="R67" s="706">
        <v>4429.3500000000004</v>
      </c>
      <c r="S67" s="765">
        <f>IF((_xlfn.XLOOKUP(D67,RUC!$B$3:$B$119,RUC!$E$3:$E$119)+ROUNDDOWN(O67,1)*100)&lt;95,95,((_xlfn.XLOOKUP(D67,RUC!$B$3:$B$119,RUC!$E$3:$E$119)+ROUNDDOWN(O67,1)*100)))</f>
        <v>110</v>
      </c>
      <c r="U67" s="1146">
        <f>_xlfn.XLOOKUP(D67,RUC!$B$3:$B$123,RUC!$F$3:$F$123)</f>
        <v>120</v>
      </c>
      <c r="V67" s="715">
        <v>1.1023000000000001</v>
      </c>
      <c r="Y67" s="1445">
        <v>30</v>
      </c>
      <c r="Z67" s="1454">
        <v>40</v>
      </c>
      <c r="AA67" s="144">
        <f t="shared" si="44"/>
        <v>70</v>
      </c>
      <c r="AB67" s="145">
        <f t="shared" si="56"/>
        <v>861.82985991600015</v>
      </c>
      <c r="AC67" s="145">
        <f>+(S67-T67)*V67-'data 1'!$F$4</f>
        <v>41.253</v>
      </c>
      <c r="AD67" s="145">
        <f t="shared" si="45"/>
        <v>84.088453551160455</v>
      </c>
      <c r="AE67" s="145">
        <f t="shared" si="46"/>
        <v>7.1610000000000014</v>
      </c>
      <c r="AF67" s="145">
        <f t="shared" si="47"/>
        <v>87.212182772848578</v>
      </c>
      <c r="AG67" s="772">
        <f t="shared" si="61"/>
        <v>236.71463632400901</v>
      </c>
      <c r="AH67" s="1253">
        <f t="shared" si="48"/>
        <v>52.790999999999997</v>
      </c>
      <c r="AI67" s="1253">
        <f t="shared" si="49"/>
        <v>54.631999999999998</v>
      </c>
      <c r="AJ67" s="156">
        <f t="shared" si="50"/>
        <v>198.12427473631942</v>
      </c>
      <c r="AK67" s="156">
        <f t="shared" si="51"/>
        <v>45.670111720951681</v>
      </c>
      <c r="AM67" s="716">
        <f t="shared" si="52"/>
        <v>5143.4006039786891</v>
      </c>
      <c r="AN67" s="716" t="str">
        <f>_xlfn.XLOOKUP(D67,RUC!$B$3:$B$578,RUC!$M$3:$M$578)</f>
        <v>Zudaire</v>
      </c>
      <c r="AO67" s="1167" t="s">
        <v>2277</v>
      </c>
      <c r="AP67" t="s">
        <v>4316</v>
      </c>
      <c r="AQ67" t="s">
        <v>4317</v>
      </c>
    </row>
    <row r="68" spans="1:43" ht="15" customHeight="1">
      <c r="A68" s="747" t="s">
        <v>4268</v>
      </c>
      <c r="B68" s="1447">
        <v>46037</v>
      </c>
      <c r="C68" s="1447">
        <v>46030</v>
      </c>
      <c r="D68" t="s">
        <v>3642</v>
      </c>
      <c r="E68" s="762" t="str">
        <f>_xlfn.XLOOKUP(D68,RUC!$B$3:$B$123,RUC!$D$3:$D$123)</f>
        <v>20601769396*</v>
      </c>
      <c r="G68" s="1082">
        <v>80</v>
      </c>
      <c r="H68" s="762" t="s">
        <v>108</v>
      </c>
      <c r="I68" s="703">
        <v>2.2999999999999998</v>
      </c>
      <c r="J68" s="596">
        <v>17.8</v>
      </c>
      <c r="K68" s="703">
        <f t="shared" si="43"/>
        <v>1.891</v>
      </c>
      <c r="L68" s="1192">
        <v>0.56399999999999995</v>
      </c>
      <c r="M68" s="994">
        <f t="shared" si="57"/>
        <v>0.53</v>
      </c>
      <c r="N68" s="1196">
        <f t="shared" si="60"/>
        <v>0.53</v>
      </c>
      <c r="O68" s="645">
        <f t="shared" si="35"/>
        <v>0.53</v>
      </c>
      <c r="P68" s="727">
        <v>90</v>
      </c>
      <c r="Q68" s="1476">
        <v>91.67</v>
      </c>
      <c r="R68" s="706">
        <v>4429.3500000000004</v>
      </c>
      <c r="S68" s="765">
        <f>IF((_xlfn.XLOOKUP(D68,RUC!$B$3:$B$119,RUC!$E$3:$E$119)+ROUNDDOWN(O68,1)*100)&lt;95,95,((_xlfn.XLOOKUP(D68,RUC!$B$3:$B$119,RUC!$E$3:$E$119)+ROUNDDOWN(O68,1)*100)))</f>
        <v>140</v>
      </c>
      <c r="U68" s="1146">
        <f>_xlfn.XLOOKUP(D68,RUC!$B$3:$B$123,RUC!$F$3:$F$123)</f>
        <v>120</v>
      </c>
      <c r="V68" s="715">
        <v>1.1023000000000001</v>
      </c>
      <c r="Y68" s="1445">
        <v>30</v>
      </c>
      <c r="Z68" s="1454">
        <v>40</v>
      </c>
      <c r="AA68" s="144">
        <f t="shared" si="44"/>
        <v>70</v>
      </c>
      <c r="AB68" s="145">
        <f t="shared" si="56"/>
        <v>2034.3607328850005</v>
      </c>
      <c r="AC68" s="145">
        <f>+(S68-T68)*V68-'data 1'!$F$4</f>
        <v>74.322000000000003</v>
      </c>
      <c r="AD68" s="145">
        <f t="shared" si="45"/>
        <v>44.741150841294051</v>
      </c>
      <c r="AE68" s="145">
        <f t="shared" si="46"/>
        <v>7.1610000000000014</v>
      </c>
      <c r="AF68" s="145">
        <f t="shared" si="47"/>
        <v>148.05317462853867</v>
      </c>
      <c r="AG68" s="772">
        <f t="shared" si="61"/>
        <v>291.2773254698327</v>
      </c>
      <c r="AH68" s="1253">
        <f t="shared" si="48"/>
        <v>33.520000000000003</v>
      </c>
      <c r="AI68" s="1253">
        <f t="shared" si="49"/>
        <v>36.566000000000003</v>
      </c>
      <c r="AJ68" s="156">
        <f t="shared" si="50"/>
        <v>397.02767836014579</v>
      </c>
      <c r="AK68" s="156">
        <f t="shared" si="51"/>
        <v>30.925660018816355</v>
      </c>
      <c r="AM68" s="716">
        <f t="shared" si="52"/>
        <v>3846.976145885536</v>
      </c>
      <c r="AN68" s="716" t="str">
        <f>_xlfn.XLOOKUP(D68,RUC!$B$3:$B$578,RUC!$M$3:$M$578)</f>
        <v>Zudaire</v>
      </c>
      <c r="AO68" s="1167" t="s">
        <v>2277</v>
      </c>
      <c r="AP68" t="s">
        <v>4316</v>
      </c>
      <c r="AQ68" t="s">
        <v>4317</v>
      </c>
    </row>
    <row r="69" spans="1:43" ht="15" customHeight="1">
      <c r="A69" s="747" t="s">
        <v>4269</v>
      </c>
      <c r="B69" s="1447">
        <v>46037</v>
      </c>
      <c r="C69" s="1447">
        <v>46030</v>
      </c>
      <c r="D69" t="s">
        <v>3642</v>
      </c>
      <c r="E69" s="762" t="str">
        <f>_xlfn.XLOOKUP(D69,RUC!$B$3:$B$123,RUC!$D$3:$D$123)</f>
        <v>20601769396*</v>
      </c>
      <c r="G69" s="1082">
        <v>50</v>
      </c>
      <c r="H69" s="762" t="s">
        <v>108</v>
      </c>
      <c r="I69" s="703">
        <v>1.51</v>
      </c>
      <c r="J69" s="596">
        <v>17.399999999999999</v>
      </c>
      <c r="K69" s="703">
        <f t="shared" si="43"/>
        <v>1.2470000000000001</v>
      </c>
      <c r="L69" s="1192">
        <v>0.28599999999999998</v>
      </c>
      <c r="M69" s="994">
        <f t="shared" si="57"/>
        <v>0.26700000000000002</v>
      </c>
      <c r="N69" s="1196">
        <f t="shared" si="60"/>
        <v>0.26700000000000002</v>
      </c>
      <c r="O69" s="645">
        <f t="shared" si="35"/>
        <v>0.26700000000000002</v>
      </c>
      <c r="P69" s="727">
        <v>85</v>
      </c>
      <c r="Q69" s="1476">
        <v>85.66</v>
      </c>
      <c r="R69" s="706">
        <v>4429.3500000000004</v>
      </c>
      <c r="S69" s="765">
        <f>IF((_xlfn.XLOOKUP(D69,RUC!$B$3:$B$119,RUC!$E$3:$E$119)+ROUNDDOWN(O69,1)*100)&lt;95,95,((_xlfn.XLOOKUP(D69,RUC!$B$3:$B$119,RUC!$E$3:$E$119)+ROUNDDOWN(O69,1)*100)))</f>
        <v>110</v>
      </c>
      <c r="U69" s="1146">
        <f>_xlfn.XLOOKUP(D69,RUC!$B$3:$B$123,RUC!$F$3:$F$123)</f>
        <v>120</v>
      </c>
      <c r="V69" s="715">
        <v>1.1023000000000001</v>
      </c>
      <c r="Y69" s="1445">
        <v>30</v>
      </c>
      <c r="Z69" s="1454">
        <v>40</v>
      </c>
      <c r="AA69" s="144">
        <f t="shared" si="44"/>
        <v>70</v>
      </c>
      <c r="AB69" s="145">
        <f t="shared" si="56"/>
        <v>879.6430968097502</v>
      </c>
      <c r="AC69" s="145">
        <f>+(S69-T69)*V69-'data 1'!$F$4</f>
        <v>41.253</v>
      </c>
      <c r="AD69" s="145">
        <f t="shared" si="45"/>
        <v>8.9664709228379529</v>
      </c>
      <c r="AE69" s="145">
        <f t="shared" si="46"/>
        <v>7.1610000000000014</v>
      </c>
      <c r="AF69" s="145">
        <f t="shared" si="47"/>
        <v>77.31134819747686</v>
      </c>
      <c r="AG69" s="772">
        <f t="shared" si="61"/>
        <v>151.69181912031482</v>
      </c>
      <c r="AH69" s="1253">
        <f t="shared" si="48"/>
        <v>10.474</v>
      </c>
      <c r="AI69" s="1253">
        <f t="shared" si="49"/>
        <v>12.228</v>
      </c>
      <c r="AJ69" s="156">
        <f t="shared" si="50"/>
        <v>188.13021510054188</v>
      </c>
      <c r="AK69" s="156">
        <f t="shared" si="51"/>
        <v>9.702992815980533</v>
      </c>
      <c r="AM69" s="716">
        <f t="shared" si="52"/>
        <v>1096.9149417217586</v>
      </c>
      <c r="AN69" s="716" t="str">
        <f>_xlfn.XLOOKUP(D69,RUC!$B$3:$B$578,RUC!$M$3:$M$578)</f>
        <v>Zudaire</v>
      </c>
      <c r="AO69" s="1167" t="s">
        <v>2277</v>
      </c>
      <c r="AP69" t="s">
        <v>4316</v>
      </c>
      <c r="AQ69" t="s">
        <v>4317</v>
      </c>
    </row>
    <row r="70" spans="1:43" ht="15" customHeight="1">
      <c r="A70" s="747" t="s">
        <v>4271</v>
      </c>
      <c r="B70" s="1447">
        <v>46039</v>
      </c>
      <c r="C70" s="1447">
        <v>46030</v>
      </c>
      <c r="D70" t="s">
        <v>3510</v>
      </c>
      <c r="E70" s="762">
        <f>_xlfn.XLOOKUP(D70,RUC!$B$3:$B$123,RUC!$D$3:$D$123)</f>
        <v>10408856049</v>
      </c>
      <c r="G70" s="1082" t="s">
        <v>2985</v>
      </c>
      <c r="H70" s="762" t="s">
        <v>69</v>
      </c>
      <c r="I70" s="703">
        <v>36.99</v>
      </c>
      <c r="J70" s="596">
        <v>8.6</v>
      </c>
      <c r="K70" s="703">
        <f t="shared" si="43"/>
        <v>33.808999999999997</v>
      </c>
      <c r="L70" s="1192">
        <v>0.192</v>
      </c>
      <c r="M70" s="994">
        <f t="shared" ref="M70:M79" si="62">ROUND(+IF(AN70="Melchor Vera",IF(L70&gt;0.467,L70*0.985,(L70-0.007)),IF(L70&gt;0.3,L70*0.94,(L70-0.019))),3)</f>
        <v>0.17299999999999999</v>
      </c>
      <c r="N70" s="1196">
        <f t="shared" si="60"/>
        <v>0.17299999999999999</v>
      </c>
      <c r="O70" s="645">
        <f t="shared" si="35"/>
        <v>0.17299999999999999</v>
      </c>
      <c r="P70" s="727">
        <v>90</v>
      </c>
      <c r="Q70" s="1476">
        <v>97.92</v>
      </c>
      <c r="R70" s="706">
        <v>4429.3500000000004</v>
      </c>
      <c r="S70" s="765">
        <f>IF((_xlfn.XLOOKUP(D70,RUC!$B$3:$B$119,RUC!$E$3:$E$119)+ROUNDDOWN(O70,1)*100)&lt;95,95,((_xlfn.XLOOKUP(D70,RUC!$B$3:$B$119,RUC!$E$3:$E$119)+ROUNDDOWN(O70,1)*100)))</f>
        <v>100</v>
      </c>
      <c r="U70" s="1146">
        <f>_xlfn.XLOOKUP(D70,RUC!$B$3:$B$123,RUC!$F$3:$F$123)</f>
        <v>120</v>
      </c>
      <c r="V70" s="715">
        <v>1.1023000000000001</v>
      </c>
      <c r="Y70">
        <f>_xlfn.XLOOKUP(D70,RUC!$B$3:$B$123,RUC!$G$3:$G$123)</f>
        <v>20</v>
      </c>
      <c r="Z70" s="143">
        <f>_xlfn.XLOOKUP(D70,RUC!$B$3:$B$123,RUC!$H$3:$H$123)</f>
        <v>30</v>
      </c>
      <c r="AA70" s="144">
        <f t="shared" si="44"/>
        <v>50</v>
      </c>
      <c r="AB70" s="145">
        <f t="shared" si="56"/>
        <v>574.26059582849996</v>
      </c>
      <c r="AC70" s="145">
        <f>+(S70-T70)*V70-'data 1'!$F$4</f>
        <v>30.230000000000004</v>
      </c>
      <c r="AD70" s="145">
        <f t="shared" si="45"/>
        <v>72.233388133632019</v>
      </c>
      <c r="AE70" s="145">
        <f t="shared" si="46"/>
        <v>-14.884999999999998</v>
      </c>
      <c r="AF70" s="145">
        <f t="shared" si="47"/>
        <v>88.37645593622409</v>
      </c>
      <c r="AG70" s="772">
        <f>AC70+AD70+AE70+AF70+70-53</f>
        <v>192.95484406985611</v>
      </c>
      <c r="AH70" s="1253">
        <f t="shared" si="48"/>
        <v>217.928</v>
      </c>
      <c r="AI70" s="1253">
        <f t="shared" si="49"/>
        <v>222.55799999999999</v>
      </c>
      <c r="AJ70" s="156">
        <f t="shared" si="50"/>
        <v>144.37336613068794</v>
      </c>
      <c r="AK70" s="156">
        <f t="shared" si="51"/>
        <v>180.48038438948745</v>
      </c>
      <c r="AM70" s="716">
        <f t="shared" si="52"/>
        <v>19415.176484365755</v>
      </c>
      <c r="AN70" s="716" t="str">
        <f>_xlfn.XLOOKUP(D70,RUC!$B$3:$B$578,RUC!$M$3:$M$578)</f>
        <v>Richard Sapacayo</v>
      </c>
      <c r="AO70" s="1167" t="s">
        <v>2278</v>
      </c>
      <c r="AP70" t="s">
        <v>2986</v>
      </c>
      <c r="AQ70" t="s">
        <v>4156</v>
      </c>
    </row>
    <row r="71" spans="1:43" ht="15" customHeight="1">
      <c r="A71" s="747" t="s">
        <v>4272</v>
      </c>
      <c r="B71" s="1447">
        <v>46037</v>
      </c>
      <c r="C71" s="1447">
        <v>46030</v>
      </c>
      <c r="D71" t="s">
        <v>3642</v>
      </c>
      <c r="E71" s="762" t="str">
        <f>_xlfn.XLOOKUP(D71,RUC!$B$3:$B$123,RUC!$D$3:$D$123)</f>
        <v>20601769396*</v>
      </c>
      <c r="G71" s="1082">
        <v>51</v>
      </c>
      <c r="H71" s="762" t="s">
        <v>108</v>
      </c>
      <c r="I71" s="703">
        <v>2.5099999999999998</v>
      </c>
      <c r="J71" s="596">
        <v>14.6</v>
      </c>
      <c r="K71" s="703">
        <f t="shared" si="43"/>
        <v>2.1440000000000001</v>
      </c>
      <c r="L71" s="1192">
        <v>0.34200000000000003</v>
      </c>
      <c r="M71" s="994">
        <f t="shared" si="62"/>
        <v>0.32100000000000001</v>
      </c>
      <c r="N71" s="1196">
        <f t="shared" si="60"/>
        <v>0.32100000000000001</v>
      </c>
      <c r="O71" s="645">
        <f t="shared" si="35"/>
        <v>0.32100000000000001</v>
      </c>
      <c r="P71" s="727">
        <v>90</v>
      </c>
      <c r="Q71" s="1476">
        <v>96.49</v>
      </c>
      <c r="R71" s="706">
        <v>4429.3500000000004</v>
      </c>
      <c r="S71" s="765">
        <f>IF((_xlfn.XLOOKUP(D71,RUC!$B$3:$B$119,RUC!$E$3:$E$119)+ROUNDDOWN(O71,1)*100)&lt;95,95,((_xlfn.XLOOKUP(D71,RUC!$B$3:$B$119,RUC!$E$3:$E$119)+ROUNDDOWN(O71,1)*100)))</f>
        <v>120</v>
      </c>
      <c r="U71" s="1146">
        <f>_xlfn.XLOOKUP(D71,RUC!$B$3:$B$123,RUC!$F$3:$F$123)</f>
        <v>120</v>
      </c>
      <c r="V71" s="715">
        <v>1.1023000000000001</v>
      </c>
      <c r="Y71" s="1445">
        <v>30</v>
      </c>
      <c r="Z71" s="1454">
        <v>40</v>
      </c>
      <c r="AA71" s="144">
        <f t="shared" si="44"/>
        <v>70</v>
      </c>
      <c r="AB71" s="145">
        <f t="shared" si="56"/>
        <v>1162.8947702945002</v>
      </c>
      <c r="AC71" s="145">
        <f>+(S71-T71)*V71-'data 1'!$F$4</f>
        <v>52.27600000000001</v>
      </c>
      <c r="AD71" s="145">
        <f t="shared" si="45"/>
        <v>105.43441158567893</v>
      </c>
      <c r="AE71" s="145">
        <f t="shared" si="46"/>
        <v>7.1610000000000014</v>
      </c>
      <c r="AF71" s="145">
        <f t="shared" si="47"/>
        <v>96.252756761164576</v>
      </c>
      <c r="AG71" s="772">
        <f t="shared" ref="AG71:AG75" si="63">AC71+AD71+AE71+AF71+70-53</f>
        <v>278.12416834684353</v>
      </c>
      <c r="AH71" s="1253">
        <f t="shared" si="48"/>
        <v>24.257000000000001</v>
      </c>
      <c r="AI71" s="1253">
        <f t="shared" si="49"/>
        <v>25.14</v>
      </c>
      <c r="AJ71" s="156">
        <f t="shared" si="50"/>
        <v>253.40948209736089</v>
      </c>
      <c r="AK71" s="156">
        <f t="shared" si="51"/>
        <v>21.236424214790883</v>
      </c>
      <c r="AM71" s="716">
        <f t="shared" si="52"/>
        <v>2493.2463875114086</v>
      </c>
      <c r="AN71" s="716" t="str">
        <f>_xlfn.XLOOKUP(D71,RUC!$B$3:$B$578,RUC!$M$3:$M$578)</f>
        <v>Zudaire</v>
      </c>
      <c r="AO71" s="1167" t="s">
        <v>2277</v>
      </c>
      <c r="AP71" t="s">
        <v>4319</v>
      </c>
      <c r="AQ71" t="s">
        <v>4320</v>
      </c>
    </row>
    <row r="72" spans="1:43" ht="15" customHeight="1">
      <c r="A72" s="747" t="s">
        <v>4273</v>
      </c>
      <c r="B72" s="1447">
        <v>46037</v>
      </c>
      <c r="C72" s="1447">
        <v>46030</v>
      </c>
      <c r="D72" t="s">
        <v>3642</v>
      </c>
      <c r="E72" s="762" t="str">
        <f>_xlfn.XLOOKUP(D72,RUC!$B$3:$B$123,RUC!$D$3:$D$123)</f>
        <v>20601769396*</v>
      </c>
      <c r="G72" s="1082">
        <v>71</v>
      </c>
      <c r="H72" s="762" t="s">
        <v>108</v>
      </c>
      <c r="I72" s="703">
        <v>3.36</v>
      </c>
      <c r="J72" s="596">
        <v>16.5</v>
      </c>
      <c r="K72" s="703">
        <f t="shared" si="43"/>
        <v>2.806</v>
      </c>
      <c r="L72" s="1192">
        <v>0.42499999999999999</v>
      </c>
      <c r="M72" s="994">
        <f t="shared" si="62"/>
        <v>0.4</v>
      </c>
      <c r="N72" s="1196">
        <f t="shared" si="60"/>
        <v>0.4</v>
      </c>
      <c r="O72" s="645">
        <f t="shared" si="35"/>
        <v>0.4</v>
      </c>
      <c r="P72" s="727">
        <v>90</v>
      </c>
      <c r="Q72" s="1476">
        <v>94.82</v>
      </c>
      <c r="R72" s="706">
        <v>4429.3500000000004</v>
      </c>
      <c r="S72" s="765">
        <f>IF((_xlfn.XLOOKUP(D72,RUC!$B$3:$B$119,RUC!$E$3:$E$119)+ROUNDDOWN(O72,1)*100)&lt;95,95,((_xlfn.XLOOKUP(D72,RUC!$B$3:$B$119,RUC!$E$3:$E$119)+ROUNDDOWN(O72,1)*100)))</f>
        <v>130</v>
      </c>
      <c r="U72" s="1146">
        <f>_xlfn.XLOOKUP(D72,RUC!$B$3:$B$123,RUC!$F$3:$F$123)</f>
        <v>120</v>
      </c>
      <c r="V72" s="715">
        <v>1.1023000000000001</v>
      </c>
      <c r="Y72" s="1445">
        <v>30</v>
      </c>
      <c r="Z72" s="1454">
        <v>40</v>
      </c>
      <c r="AA72" s="144">
        <f t="shared" si="44"/>
        <v>70</v>
      </c>
      <c r="AB72" s="145">
        <f t="shared" si="56"/>
        <v>1489.6107418000001</v>
      </c>
      <c r="AC72" s="145">
        <f>+(S72-T72)*V72-'data 1'!$F$4</f>
        <v>63.299000000000007</v>
      </c>
      <c r="AD72" s="145">
        <f t="shared" si="45"/>
        <v>97.307775404924882</v>
      </c>
      <c r="AE72" s="145">
        <f t="shared" si="46"/>
        <v>7.1610000000000014</v>
      </c>
      <c r="AF72" s="145">
        <f t="shared" si="47"/>
        <v>112.60340815102487</v>
      </c>
      <c r="AG72" s="772">
        <f t="shared" si="63"/>
        <v>297.37118355594976</v>
      </c>
      <c r="AH72" s="1253">
        <f t="shared" si="48"/>
        <v>38.768999999999998</v>
      </c>
      <c r="AI72" s="1253">
        <f t="shared" si="49"/>
        <v>40.887</v>
      </c>
      <c r="AJ72" s="156">
        <f t="shared" si="50"/>
        <v>309.45915112557481</v>
      </c>
      <c r="AK72" s="156">
        <f t="shared" si="51"/>
        <v>34.633727592588002</v>
      </c>
      <c r="AM72" s="716">
        <f t="shared" si="52"/>
        <v>4179.8477414908002</v>
      </c>
      <c r="AN72" s="716" t="str">
        <f>_xlfn.XLOOKUP(D72,RUC!$B$3:$B$578,RUC!$M$3:$M$578)</f>
        <v>Zudaire</v>
      </c>
      <c r="AO72" s="1167" t="s">
        <v>2278</v>
      </c>
      <c r="AP72" t="s">
        <v>4319</v>
      </c>
      <c r="AQ72" t="s">
        <v>4320</v>
      </c>
    </row>
    <row r="73" spans="1:43" ht="15" customHeight="1">
      <c r="A73" s="747" t="s">
        <v>4274</v>
      </c>
      <c r="B73" s="1447">
        <v>46037</v>
      </c>
      <c r="C73" s="1447">
        <v>46030</v>
      </c>
      <c r="D73" t="s">
        <v>3642</v>
      </c>
      <c r="E73" s="762" t="str">
        <f>_xlfn.XLOOKUP(D73,RUC!$B$3:$B$123,RUC!$D$3:$D$123)</f>
        <v>20601769396*</v>
      </c>
      <c r="G73" s="1082">
        <v>52</v>
      </c>
      <c r="H73" s="762" t="s">
        <v>108</v>
      </c>
      <c r="I73" s="703">
        <v>2.23</v>
      </c>
      <c r="J73" s="596">
        <v>14.2</v>
      </c>
      <c r="K73" s="703">
        <f t="shared" si="43"/>
        <v>1.913</v>
      </c>
      <c r="L73" s="1192">
        <v>0.73199999999999998</v>
      </c>
      <c r="M73" s="994">
        <f t="shared" si="62"/>
        <v>0.68799999999999994</v>
      </c>
      <c r="N73" s="1196">
        <f t="shared" si="60"/>
        <v>0.68799999999999994</v>
      </c>
      <c r="O73" s="645">
        <f t="shared" si="35"/>
        <v>0.68799999999999994</v>
      </c>
      <c r="P73" s="727">
        <v>90</v>
      </c>
      <c r="Q73" s="1476">
        <v>97.54</v>
      </c>
      <c r="R73" s="706">
        <v>4429.3500000000004</v>
      </c>
      <c r="S73" s="765">
        <f>IF((_xlfn.XLOOKUP(D73,RUC!$B$3:$B$119,RUC!$E$3:$E$119)+ROUNDDOWN(O73,1)*100)&lt;95,95,((_xlfn.XLOOKUP(D73,RUC!$B$3:$B$119,RUC!$E$3:$E$119)+ROUNDDOWN(O73,1)*100)))</f>
        <v>150</v>
      </c>
      <c r="U73" s="1146">
        <f>_xlfn.XLOOKUP(D73,RUC!$B$3:$B$123,RUC!$F$3:$F$123)</f>
        <v>120</v>
      </c>
      <c r="V73" s="715">
        <v>1.1023000000000001</v>
      </c>
      <c r="Y73" s="1445">
        <v>30</v>
      </c>
      <c r="Z73" s="1454">
        <v>40</v>
      </c>
      <c r="AA73" s="144">
        <f t="shared" si="44"/>
        <v>70</v>
      </c>
      <c r="AB73" s="145">
        <f t="shared" si="56"/>
        <v>2698.8156758959999</v>
      </c>
      <c r="AC73" s="145">
        <f>+(S73-T73)*V73-'data 1'!$F$4</f>
        <v>85.344999999999999</v>
      </c>
      <c r="AD73" s="145">
        <f t="shared" si="45"/>
        <v>262.17664566116423</v>
      </c>
      <c r="AE73" s="145">
        <f t="shared" si="46"/>
        <v>7.1610000000000014</v>
      </c>
      <c r="AF73" s="145">
        <f t="shared" si="47"/>
        <v>203.86703352298821</v>
      </c>
      <c r="AG73" s="772">
        <f t="shared" si="63"/>
        <v>575.54967918415241</v>
      </c>
      <c r="AH73" s="1253">
        <f t="shared" si="48"/>
        <v>46.829000000000001</v>
      </c>
      <c r="AI73" s="1253">
        <f t="shared" si="49"/>
        <v>48.01</v>
      </c>
      <c r="AJ73" s="156">
        <f t="shared" si="50"/>
        <v>548.28741962547576</v>
      </c>
      <c r="AK73" s="156">
        <f t="shared" si="51"/>
        <v>40.612056992711274</v>
      </c>
      <c r="AM73" s="716">
        <f t="shared" si="52"/>
        <v>5162.8343879890481</v>
      </c>
      <c r="AN73" s="716" t="str">
        <f>_xlfn.XLOOKUP(D73,RUC!$B$3:$B$578,RUC!$M$3:$M$578)</f>
        <v>Zudaire</v>
      </c>
      <c r="AO73" s="1167" t="s">
        <v>2278</v>
      </c>
      <c r="AP73" t="s">
        <v>4319</v>
      </c>
      <c r="AQ73" t="s">
        <v>4320</v>
      </c>
    </row>
    <row r="74" spans="1:43" ht="15" customHeight="1">
      <c r="A74" s="747" t="s">
        <v>4275</v>
      </c>
      <c r="B74" s="1447">
        <v>46037</v>
      </c>
      <c r="C74" s="1447">
        <v>46030</v>
      </c>
      <c r="D74" t="s">
        <v>3642</v>
      </c>
      <c r="E74" s="762" t="str">
        <f>_xlfn.XLOOKUP(D74,RUC!$B$3:$B$123,RUC!$D$3:$D$123)</f>
        <v>20601769396*</v>
      </c>
      <c r="G74" s="1082">
        <v>84</v>
      </c>
      <c r="H74" s="762" t="s">
        <v>108</v>
      </c>
      <c r="I74" s="703">
        <v>2.34</v>
      </c>
      <c r="J74" s="596">
        <v>14.8</v>
      </c>
      <c r="K74" s="703">
        <f t="shared" si="43"/>
        <v>1.994</v>
      </c>
      <c r="L74" s="1192">
        <v>0.36799999999999999</v>
      </c>
      <c r="M74" s="994">
        <f t="shared" si="62"/>
        <v>0.34599999999999997</v>
      </c>
      <c r="N74" s="1196">
        <f t="shared" si="60"/>
        <v>0.34599999999999997</v>
      </c>
      <c r="O74" s="645">
        <f t="shared" si="35"/>
        <v>0.34599999999999997</v>
      </c>
      <c r="P74" s="727">
        <v>90</v>
      </c>
      <c r="Q74" s="1476">
        <v>95.92</v>
      </c>
      <c r="R74" s="706">
        <v>4429.3500000000004</v>
      </c>
      <c r="S74" s="765">
        <f>IF((_xlfn.XLOOKUP(D74,RUC!$B$3:$B$119,RUC!$E$3:$E$119)+ROUNDDOWN(O74,1)*100)&lt;95,95,((_xlfn.XLOOKUP(D74,RUC!$B$3:$B$119,RUC!$E$3:$E$119)+ROUNDDOWN(O74,1)*100)))</f>
        <v>120</v>
      </c>
      <c r="U74" s="1146">
        <f>_xlfn.XLOOKUP(D74,RUC!$B$3:$B$123,RUC!$F$3:$F$123)</f>
        <v>120</v>
      </c>
      <c r="V74" s="715">
        <v>1.1023000000000001</v>
      </c>
      <c r="Y74" s="1445">
        <v>30</v>
      </c>
      <c r="Z74" s="1454">
        <v>40</v>
      </c>
      <c r="AA74" s="144">
        <f t="shared" si="44"/>
        <v>70</v>
      </c>
      <c r="AB74" s="145">
        <f t="shared" si="56"/>
        <v>1269.7741916570001</v>
      </c>
      <c r="AC74" s="145">
        <f>+(S74-T74)*V74-'data 1'!$F$4</f>
        <v>52.27600000000001</v>
      </c>
      <c r="AD74" s="145">
        <f t="shared" si="45"/>
        <v>103.48588097932803</v>
      </c>
      <c r="AE74" s="145">
        <f t="shared" si="46"/>
        <v>7.1610000000000014</v>
      </c>
      <c r="AF74" s="145">
        <f t="shared" si="47"/>
        <v>100.2405467271121</v>
      </c>
      <c r="AG74" s="772">
        <f t="shared" si="63"/>
        <v>280.16342770644019</v>
      </c>
      <c r="AH74" s="1253">
        <f t="shared" si="48"/>
        <v>24.132000000000001</v>
      </c>
      <c r="AI74" s="1253">
        <f t="shared" si="49"/>
        <v>25.158000000000001</v>
      </c>
      <c r="AJ74" s="156">
        <f t="shared" si="50"/>
        <v>271.06374712595186</v>
      </c>
      <c r="AK74" s="156">
        <f t="shared" si="51"/>
        <v>21.288880858507383</v>
      </c>
      <c r="AM74" s="716">
        <f t="shared" si="52"/>
        <v>2531.9297381640581</v>
      </c>
      <c r="AN74" s="716" t="str">
        <f>_xlfn.XLOOKUP(D74,RUC!$B$3:$B$578,RUC!$M$3:$M$578)</f>
        <v>Zudaire</v>
      </c>
      <c r="AO74" s="1167" t="s">
        <v>2277</v>
      </c>
      <c r="AP74" t="s">
        <v>4319</v>
      </c>
      <c r="AQ74" t="s">
        <v>4320</v>
      </c>
    </row>
    <row r="75" spans="1:43" ht="15" customHeight="1">
      <c r="A75" s="747" t="s">
        <v>4276</v>
      </c>
      <c r="B75" s="1447">
        <v>46037</v>
      </c>
      <c r="C75" s="1447">
        <v>46030</v>
      </c>
      <c r="D75" t="s">
        <v>3642</v>
      </c>
      <c r="E75" s="762" t="str">
        <f>_xlfn.XLOOKUP(D75,RUC!$B$3:$B$123,RUC!$D$3:$D$123)</f>
        <v>20601769396*</v>
      </c>
      <c r="G75" s="1082">
        <v>43</v>
      </c>
      <c r="H75" s="762" t="s">
        <v>108</v>
      </c>
      <c r="I75" s="703">
        <v>1.48</v>
      </c>
      <c r="J75" s="596">
        <v>15</v>
      </c>
      <c r="K75" s="703">
        <f t="shared" si="43"/>
        <v>1.258</v>
      </c>
      <c r="L75" s="1192">
        <v>0.29299999999999998</v>
      </c>
      <c r="M75" s="994">
        <f t="shared" si="62"/>
        <v>0.27400000000000002</v>
      </c>
      <c r="N75" s="1196">
        <f t="shared" si="60"/>
        <v>0.27400000000000002</v>
      </c>
      <c r="O75" s="645">
        <f t="shared" si="35"/>
        <v>0.27400000000000002</v>
      </c>
      <c r="P75" s="727">
        <v>90</v>
      </c>
      <c r="Q75" s="1476">
        <v>97.61</v>
      </c>
      <c r="R75" s="706">
        <v>4429.3500000000004</v>
      </c>
      <c r="S75" s="765">
        <f>IF((_xlfn.XLOOKUP(D75,RUC!$B$3:$B$119,RUC!$E$3:$E$119)+ROUNDDOWN(O75,1)*100)&lt;95,95,((_xlfn.XLOOKUP(D75,RUC!$B$3:$B$119,RUC!$E$3:$E$119)+ROUNDDOWN(O75,1)*100)))</f>
        <v>110</v>
      </c>
      <c r="U75" s="1146">
        <f>_xlfn.XLOOKUP(D75,RUC!$B$3:$B$123,RUC!$F$3:$F$123)</f>
        <v>120</v>
      </c>
      <c r="V75" s="715">
        <v>1.1023000000000001</v>
      </c>
      <c r="Y75" s="1445">
        <v>30</v>
      </c>
      <c r="Z75" s="1454">
        <v>40</v>
      </c>
      <c r="AA75" s="144">
        <f t="shared" si="44"/>
        <v>70</v>
      </c>
      <c r="AB75" s="145">
        <f t="shared" si="56"/>
        <v>972.98445813300032</v>
      </c>
      <c r="AC75" s="145">
        <f>+(S75-T75)*V75-'data 1'!$F$4</f>
        <v>41.253</v>
      </c>
      <c r="AD75" s="145">
        <f t="shared" si="45"/>
        <v>105.91655653093649</v>
      </c>
      <c r="AE75" s="145">
        <f t="shared" si="46"/>
        <v>7.1610000000000014</v>
      </c>
      <c r="AF75" s="145">
        <f t="shared" si="47"/>
        <v>88.096669362079339</v>
      </c>
      <c r="AG75" s="772">
        <f t="shared" si="63"/>
        <v>259.42722589301582</v>
      </c>
      <c r="AH75" s="1253">
        <f t="shared" si="48"/>
        <v>12.335000000000001</v>
      </c>
      <c r="AI75" s="1253">
        <f t="shared" si="49"/>
        <v>12.637</v>
      </c>
      <c r="AJ75" s="156">
        <f t="shared" si="50"/>
        <v>219.62227299330343</v>
      </c>
      <c r="AK75" s="156">
        <f t="shared" si="51"/>
        <v>10.636109079957544</v>
      </c>
      <c r="AM75" s="716">
        <f t="shared" si="52"/>
        <v>1224.0144483313145</v>
      </c>
      <c r="AN75" s="716" t="str">
        <f>_xlfn.XLOOKUP(D75,RUC!$B$3:$B$578,RUC!$M$3:$M$578)</f>
        <v>Zudaire</v>
      </c>
      <c r="AO75" s="1167" t="s">
        <v>2277</v>
      </c>
      <c r="AP75" t="s">
        <v>4319</v>
      </c>
      <c r="AQ75" t="s">
        <v>4320</v>
      </c>
    </row>
    <row r="76" spans="1:43" ht="15" customHeight="1">
      <c r="A76" s="747" t="s">
        <v>4277</v>
      </c>
      <c r="B76" s="1447">
        <v>46039</v>
      </c>
      <c r="C76" s="1447">
        <v>46030</v>
      </c>
      <c r="D76" t="s">
        <v>3510</v>
      </c>
      <c r="E76" s="762">
        <f>_xlfn.XLOOKUP(D76,RUC!$B$3:$B$123,RUC!$D$3:$D$123)</f>
        <v>10408856049</v>
      </c>
      <c r="G76" s="1082" t="s">
        <v>2985</v>
      </c>
      <c r="H76" s="762" t="s">
        <v>69</v>
      </c>
      <c r="I76" s="703">
        <v>36.08</v>
      </c>
      <c r="J76" s="596">
        <v>8.1999999999999993</v>
      </c>
      <c r="K76" s="703">
        <f t="shared" si="43"/>
        <v>33.121000000000002</v>
      </c>
      <c r="L76" s="1192">
        <v>0.21</v>
      </c>
      <c r="M76" s="994">
        <f t="shared" si="62"/>
        <v>0.191</v>
      </c>
      <c r="N76" s="1196">
        <f t="shared" si="60"/>
        <v>0.191</v>
      </c>
      <c r="O76" s="645">
        <f t="shared" ref="O76:O79" si="64">+ROUND((M76+N76)/2,3)</f>
        <v>0.191</v>
      </c>
      <c r="P76" s="727">
        <v>90</v>
      </c>
      <c r="Q76" s="1476">
        <v>98.57</v>
      </c>
      <c r="R76" s="706">
        <v>4429.3500000000004</v>
      </c>
      <c r="S76" s="765">
        <f>IF((_xlfn.XLOOKUP(D76,RUC!$B$3:$B$119,RUC!$E$3:$E$119)+ROUNDDOWN(O76,1)*100)&lt;95,95,((_xlfn.XLOOKUP(D76,RUC!$B$3:$B$119,RUC!$E$3:$E$119)+ROUNDDOWN(O76,1)*100)))</f>
        <v>100</v>
      </c>
      <c r="U76" s="1146">
        <f>_xlfn.XLOOKUP(D76,RUC!$B$3:$B$123,RUC!$F$3:$F$123)</f>
        <v>120</v>
      </c>
      <c r="V76" s="715">
        <v>1.1023000000000001</v>
      </c>
      <c r="Y76">
        <f>_xlfn.XLOOKUP(D76,RUC!$B$3:$B$123,RUC!$G$3:$G$123)</f>
        <v>20</v>
      </c>
      <c r="Z76" s="143">
        <f>_xlfn.XLOOKUP(D76,RUC!$B$3:$B$123,RUC!$H$3:$H$123)</f>
        <v>30</v>
      </c>
      <c r="AA76" s="144">
        <f t="shared" si="44"/>
        <v>50</v>
      </c>
      <c r="AB76" s="145">
        <f t="shared" si="56"/>
        <v>651.21377920950022</v>
      </c>
      <c r="AC76" s="145">
        <f>+(S76-T76)*V76-'data 1'!$F$4</f>
        <v>30.230000000000004</v>
      </c>
      <c r="AD76" s="145">
        <f t="shared" si="45"/>
        <v>85.489286500484937</v>
      </c>
      <c r="AE76" s="145">
        <f t="shared" si="46"/>
        <v>-14.884999999999998</v>
      </c>
      <c r="AF76" s="145">
        <f t="shared" si="47"/>
        <v>88.963105204591443</v>
      </c>
      <c r="AG76" s="772">
        <f>AC76+AD76+AE76+AF76+70-53</f>
        <v>206.79739170507639</v>
      </c>
      <c r="AH76" s="1253">
        <f t="shared" si="48"/>
        <v>235.059</v>
      </c>
      <c r="AI76" s="1253">
        <f t="shared" si="49"/>
        <v>238.46899999999999</v>
      </c>
      <c r="AJ76" s="156">
        <f t="shared" si="50"/>
        <v>158.95657631311491</v>
      </c>
      <c r="AK76" s="156">
        <f t="shared" si="51"/>
        <v>195.20385343413622</v>
      </c>
      <c r="AM76" s="716">
        <f t="shared" si="52"/>
        <v>21568.851581197858</v>
      </c>
      <c r="AN76" s="716" t="str">
        <f>_xlfn.XLOOKUP(D76,RUC!$B$3:$B$578,RUC!$M$3:$M$578)</f>
        <v>Richard Sapacayo</v>
      </c>
      <c r="AO76" s="1167" t="s">
        <v>2277</v>
      </c>
      <c r="AP76" t="s">
        <v>3009</v>
      </c>
      <c r="AQ76" t="s">
        <v>3477</v>
      </c>
    </row>
    <row r="77" spans="1:43" ht="15" customHeight="1">
      <c r="A77" s="747" t="s">
        <v>4278</v>
      </c>
      <c r="B77" s="1447">
        <v>46037</v>
      </c>
      <c r="C77" s="1447">
        <v>46030</v>
      </c>
      <c r="D77" t="s">
        <v>3642</v>
      </c>
      <c r="E77" s="762" t="str">
        <f>_xlfn.XLOOKUP(D77,RUC!$B$3:$B$123,RUC!$D$3:$D$123)</f>
        <v>20601769396*</v>
      </c>
      <c r="G77" s="1082">
        <v>341</v>
      </c>
      <c r="H77" s="762" t="s">
        <v>108</v>
      </c>
      <c r="I77" s="703">
        <v>10.5</v>
      </c>
      <c r="J77" s="596">
        <v>18.8</v>
      </c>
      <c r="K77" s="703">
        <f t="shared" si="43"/>
        <v>8.5259999999999998</v>
      </c>
      <c r="L77" s="1192">
        <v>0.127</v>
      </c>
      <c r="M77" s="994">
        <f t="shared" si="62"/>
        <v>0.108</v>
      </c>
      <c r="N77" s="1196">
        <f t="shared" si="60"/>
        <v>0.108</v>
      </c>
      <c r="O77" s="645">
        <f t="shared" si="64"/>
        <v>0.108</v>
      </c>
      <c r="P77" s="727">
        <v>90</v>
      </c>
      <c r="Q77" s="1476">
        <v>87.4</v>
      </c>
      <c r="R77" s="706">
        <v>4429.3500000000004</v>
      </c>
      <c r="S77" s="765">
        <f>IF((_xlfn.XLOOKUP(D77,RUC!$B$3:$B$119,RUC!$E$3:$E$119)+ROUNDDOWN(O77,1)*100)&lt;95,95,((_xlfn.XLOOKUP(D77,RUC!$B$3:$B$119,RUC!$E$3:$E$119)+ROUNDDOWN(O77,1)*100)))</f>
        <v>100</v>
      </c>
      <c r="U77" s="1146">
        <f>_xlfn.XLOOKUP(D77,RUC!$B$3:$B$123,RUC!$F$3:$F$123)</f>
        <v>120</v>
      </c>
      <c r="V77" s="715">
        <v>1.1023000000000001</v>
      </c>
      <c r="Y77" s="1445">
        <v>30</v>
      </c>
      <c r="Z77" s="1454">
        <v>40</v>
      </c>
      <c r="AA77" s="144">
        <f t="shared" si="44"/>
        <v>70</v>
      </c>
      <c r="AB77" s="145">
        <f t="shared" si="56"/>
        <v>274.32810028600005</v>
      </c>
      <c r="AC77" s="145">
        <f>+(S77-T77)*V77-'data 1'!$F$4</f>
        <v>30.230000000000004</v>
      </c>
      <c r="AD77" s="145">
        <f t="shared" si="45"/>
        <v>-15.685148859509965</v>
      </c>
      <c r="AE77" s="145">
        <f t="shared" si="46"/>
        <v>7.1610000000000014</v>
      </c>
      <c r="AF77" s="145">
        <f t="shared" si="47"/>
        <v>78.881763162030026</v>
      </c>
      <c r="AG77" s="772">
        <f t="shared" ref="AG77:AG79" si="65">AC77+AD77+AE77+AF77+70-53</f>
        <v>117.58761430252008</v>
      </c>
      <c r="AH77" s="1253">
        <f t="shared" si="48"/>
        <v>32.447000000000003</v>
      </c>
      <c r="AI77" s="1253">
        <f t="shared" si="49"/>
        <v>37.124000000000002</v>
      </c>
      <c r="AJ77" s="156">
        <f t="shared" si="50"/>
        <v>85.237283910409957</v>
      </c>
      <c r="AK77" s="156">
        <f t="shared" si="51"/>
        <v>28.413233639589958</v>
      </c>
      <c r="AM77" s="716">
        <f t="shared" si="52"/>
        <v>2338.9213830384365</v>
      </c>
      <c r="AN77" s="716" t="str">
        <f>_xlfn.XLOOKUP(D77,RUC!$B$3:$B$578,RUC!$M$3:$M$578)</f>
        <v>Zudaire</v>
      </c>
      <c r="AO77" s="1167" t="s">
        <v>2277</v>
      </c>
      <c r="AP77" t="s">
        <v>4319</v>
      </c>
      <c r="AQ77" t="s">
        <v>4320</v>
      </c>
    </row>
    <row r="78" spans="1:43" ht="15" customHeight="1">
      <c r="A78" s="747" t="s">
        <v>4279</v>
      </c>
      <c r="B78" s="1447">
        <v>46037</v>
      </c>
      <c r="C78" s="1447">
        <v>46030</v>
      </c>
      <c r="D78" t="s">
        <v>3642</v>
      </c>
      <c r="E78" s="762" t="str">
        <f>_xlfn.XLOOKUP(D78,RUC!$B$3:$B$123,RUC!$D$3:$D$123)</f>
        <v>20601769396*</v>
      </c>
      <c r="G78" s="1082">
        <v>177</v>
      </c>
      <c r="H78" s="762" t="s">
        <v>108</v>
      </c>
      <c r="I78" s="703">
        <v>5.15</v>
      </c>
      <c r="J78" s="596">
        <v>19.100000000000001</v>
      </c>
      <c r="K78" s="703">
        <f t="shared" si="43"/>
        <v>4.1660000000000004</v>
      </c>
      <c r="L78" s="1192">
        <v>0.22600000000000001</v>
      </c>
      <c r="M78" s="994">
        <f t="shared" si="62"/>
        <v>0.20699999999999999</v>
      </c>
      <c r="N78" s="1196">
        <f t="shared" si="60"/>
        <v>0.20699999999999999</v>
      </c>
      <c r="O78" s="645">
        <f t="shared" si="64"/>
        <v>0.20699999999999999</v>
      </c>
      <c r="P78" s="727">
        <v>86</v>
      </c>
      <c r="Q78" s="1476">
        <v>89.38</v>
      </c>
      <c r="R78" s="706">
        <v>4429.3500000000004</v>
      </c>
      <c r="S78" s="765">
        <f>IF((_xlfn.XLOOKUP(D78,RUC!$B$3:$B$119,RUC!$E$3:$E$119)+ROUNDDOWN(O78,1)*100)&lt;95,95,((_xlfn.XLOOKUP(D78,RUC!$B$3:$B$119,RUC!$E$3:$E$119)+ROUNDDOWN(O78,1)*100)))</f>
        <v>110</v>
      </c>
      <c r="U78" s="1146">
        <f>_xlfn.XLOOKUP(D78,RUC!$B$3:$B$123,RUC!$F$3:$F$123)</f>
        <v>120</v>
      </c>
      <c r="V78" s="715">
        <v>1.1023000000000001</v>
      </c>
      <c r="Y78" s="1445">
        <v>30</v>
      </c>
      <c r="Z78" s="1454">
        <v>40</v>
      </c>
      <c r="AA78" s="144">
        <f t="shared" si="44"/>
        <v>70</v>
      </c>
      <c r="AB78" s="145">
        <f t="shared" si="56"/>
        <v>647.21598182010007</v>
      </c>
      <c r="AC78" s="145">
        <f>+(S78-T78)*V78-'data 1'!$F$4</f>
        <v>41.253</v>
      </c>
      <c r="AD78" s="145">
        <f t="shared" si="45"/>
        <v>36.285801062393958</v>
      </c>
      <c r="AE78" s="145">
        <f t="shared" si="46"/>
        <v>7.1610000000000014</v>
      </c>
      <c r="AF78" s="145">
        <f t="shared" si="47"/>
        <v>80.668787087211072</v>
      </c>
      <c r="AG78" s="772">
        <f t="shared" si="65"/>
        <v>182.36858814960505</v>
      </c>
      <c r="AH78" s="1253">
        <f t="shared" si="48"/>
        <v>28.852</v>
      </c>
      <c r="AI78" s="1253">
        <f t="shared" si="49"/>
        <v>32.28</v>
      </c>
      <c r="AJ78" s="156">
        <f t="shared" si="50"/>
        <v>155.11837208924592</v>
      </c>
      <c r="AK78" s="156">
        <f t="shared" si="51"/>
        <v>25.427117596233728</v>
      </c>
      <c r="AM78" s="716">
        <f t="shared" si="52"/>
        <v>2696.3017802625372</v>
      </c>
      <c r="AN78" s="716" t="str">
        <f>_xlfn.XLOOKUP(D78,RUC!$B$3:$B$578,RUC!$M$3:$M$578)</f>
        <v>Zudaire</v>
      </c>
      <c r="AO78" s="1167" t="s">
        <v>2278</v>
      </c>
      <c r="AP78" t="s">
        <v>4319</v>
      </c>
      <c r="AQ78" t="s">
        <v>4320</v>
      </c>
    </row>
    <row r="79" spans="1:43" ht="15" customHeight="1">
      <c r="A79" s="747" t="s">
        <v>4280</v>
      </c>
      <c r="B79" s="1447">
        <v>46037</v>
      </c>
      <c r="C79" s="1447">
        <v>46030</v>
      </c>
      <c r="D79" t="s">
        <v>3642</v>
      </c>
      <c r="E79" s="762" t="str">
        <f>_xlfn.XLOOKUP(D79,RUC!$B$3:$B$123,RUC!$D$3:$D$123)</f>
        <v>20601769396*</v>
      </c>
      <c r="G79" s="1082">
        <v>170</v>
      </c>
      <c r="H79" s="762" t="s">
        <v>108</v>
      </c>
      <c r="I79" s="703">
        <v>4.78</v>
      </c>
      <c r="J79" s="596">
        <v>18.600000000000001</v>
      </c>
      <c r="K79" s="703">
        <f t="shared" si="43"/>
        <v>3.891</v>
      </c>
      <c r="L79" s="1192">
        <v>0.27600000000000002</v>
      </c>
      <c r="M79" s="994">
        <f t="shared" si="62"/>
        <v>0.25700000000000001</v>
      </c>
      <c r="N79" s="1196">
        <f t="shared" si="60"/>
        <v>0.25700000000000001</v>
      </c>
      <c r="O79" s="645">
        <f t="shared" si="64"/>
        <v>0.25700000000000001</v>
      </c>
      <c r="P79" s="727">
        <v>80</v>
      </c>
      <c r="Q79" s="1476">
        <v>81.52</v>
      </c>
      <c r="R79" s="706">
        <v>4429.3500000000004</v>
      </c>
      <c r="S79" s="765">
        <f>IF((_xlfn.XLOOKUP(D79,RUC!$B$3:$B$119,RUC!$E$3:$E$119)+ROUNDDOWN(O79,1)*100)&lt;95,95,((_xlfn.XLOOKUP(D79,RUC!$B$3:$B$119,RUC!$E$3:$E$119)+ROUNDDOWN(O79,1)*100)))</f>
        <v>110</v>
      </c>
      <c r="U79" s="1146">
        <f>_xlfn.XLOOKUP(D79,RUC!$B$3:$B$123,RUC!$F$3:$F$123)</f>
        <v>120</v>
      </c>
      <c r="V79" s="715">
        <v>1.1023000000000001</v>
      </c>
      <c r="Y79" s="1445">
        <v>30</v>
      </c>
      <c r="Z79" s="1454">
        <v>40</v>
      </c>
      <c r="AA79" s="144">
        <f t="shared" si="44"/>
        <v>70</v>
      </c>
      <c r="AB79" s="145">
        <f t="shared" si="56"/>
        <v>778.22640142800026</v>
      </c>
      <c r="AC79" s="145">
        <f>+(S79-T79)*V79-'data 1'!$F$4</f>
        <v>41.253</v>
      </c>
      <c r="AD79" s="145">
        <f t="shared" si="45"/>
        <v>19.928024377775952</v>
      </c>
      <c r="AE79" s="145">
        <f t="shared" si="46"/>
        <v>7.1610000000000014</v>
      </c>
      <c r="AF79" s="145">
        <f t="shared" si="47"/>
        <v>73.574843626644068</v>
      </c>
      <c r="AG79" s="772">
        <f t="shared" si="65"/>
        <v>158.91686800442002</v>
      </c>
      <c r="AH79" s="1253">
        <f t="shared" si="48"/>
        <v>30.015000000000001</v>
      </c>
      <c r="AI79" s="1253">
        <f t="shared" si="49"/>
        <v>36.82</v>
      </c>
      <c r="AJ79" s="156">
        <f t="shared" si="50"/>
        <v>172.77770537198393</v>
      </c>
      <c r="AK79" s="156">
        <f t="shared" si="51"/>
        <v>27.427953871964281</v>
      </c>
      <c r="AM79" s="716">
        <f t="shared" si="52"/>
        <v>3028.0789279563492</v>
      </c>
      <c r="AN79" s="716" t="str">
        <f>_xlfn.XLOOKUP(D79,RUC!$B$3:$B$578,RUC!$M$3:$M$578)</f>
        <v>Zudaire</v>
      </c>
      <c r="AO79" s="1167" t="s">
        <v>2278</v>
      </c>
      <c r="AP79" t="s">
        <v>4319</v>
      </c>
      <c r="AQ79" t="s">
        <v>4320</v>
      </c>
    </row>
    <row r="80" spans="1:43" ht="15" customHeight="1">
      <c r="A80" s="747" t="s">
        <v>4286</v>
      </c>
      <c r="B80" s="1447">
        <v>46038</v>
      </c>
      <c r="C80" s="1447">
        <v>46032</v>
      </c>
      <c r="D80" t="s">
        <v>2608</v>
      </c>
      <c r="E80" s="762" t="e">
        <f>_xlfn.XLOOKUP(D80,RUC!$B$3:$B$123,RUC!$D$3:$D$123)</f>
        <v>#N/A</v>
      </c>
      <c r="G80" s="1082">
        <v>8</v>
      </c>
      <c r="H80" s="762" t="s">
        <v>2005</v>
      </c>
      <c r="I80" s="703">
        <v>0.53</v>
      </c>
      <c r="J80" s="596">
        <v>1.2</v>
      </c>
      <c r="K80" s="703">
        <f t="shared" si="43"/>
        <v>0.52400000000000002</v>
      </c>
      <c r="L80" s="1192">
        <v>0.84</v>
      </c>
      <c r="M80" s="994" t="e">
        <f t="shared" ref="M80:M110" si="66">ROUND(+IF(AN80="Melchor Vera",IF(L80&gt;0.467,L80*0.985,(L80-0.007)),IF(L80&gt;0.3,L80*0.94,(L80-0.019))),3)</f>
        <v>#N/A</v>
      </c>
      <c r="N80" s="1196" t="e">
        <f t="shared" ref="N80:N105" si="67">+M80</f>
        <v>#N/A</v>
      </c>
      <c r="O80" s="645" t="e">
        <f t="shared" ref="O80:O98" si="68">+ROUND((M80+N80)/2,3)</f>
        <v>#N/A</v>
      </c>
      <c r="P80" s="727">
        <v>90</v>
      </c>
      <c r="Q80" s="1476">
        <v>95.71</v>
      </c>
      <c r="R80" s="706">
        <v>4493.8500000000004</v>
      </c>
      <c r="S80" s="765" t="e">
        <f>IF((_xlfn.XLOOKUP(D80,RUC!$B$3:$B$119,RUC!$E$3:$E$119)+ROUNDDOWN(O80,1)*100)&lt;95,95,((_xlfn.XLOOKUP(D80,RUC!$B$3:$B$119,RUC!$E$3:$E$119)+ROUNDDOWN(O80,1)*100)))</f>
        <v>#N/A</v>
      </c>
      <c r="U80" s="1146" t="e">
        <f>_xlfn.XLOOKUP(D80,RUC!$B$3:$B$123,RUC!$F$3:$F$123)</f>
        <v>#N/A</v>
      </c>
      <c r="V80" s="715">
        <v>1.1023000000000001</v>
      </c>
      <c r="Y80" t="e">
        <f>_xlfn.XLOOKUP(D80,RUC!$B$3:$B$123,RUC!$G$3:$G$123)</f>
        <v>#N/A</v>
      </c>
      <c r="Z80" s="143" t="e">
        <f>_xlfn.XLOOKUP(D80,RUC!$B$3:$B$123,RUC!$H$3:$H$123)</f>
        <v>#N/A</v>
      </c>
      <c r="AA80" s="144" t="e">
        <f t="shared" si="44"/>
        <v>#N/A</v>
      </c>
      <c r="AB80" s="145" t="e">
        <f t="shared" si="56"/>
        <v>#N/A</v>
      </c>
      <c r="AC80" s="145" t="e">
        <f>+(S80-T80)*V80-'data 1'!$F$4</f>
        <v>#N/A</v>
      </c>
      <c r="AD80" s="145" t="e">
        <f t="shared" si="45"/>
        <v>#N/A</v>
      </c>
      <c r="AE80" s="145" t="e">
        <f t="shared" si="46"/>
        <v>#N/A</v>
      </c>
      <c r="AF80" s="145" t="e">
        <f t="shared" si="47"/>
        <v>#N/A</v>
      </c>
      <c r="AG80" s="772" t="e">
        <f t="shared" ref="AG80:AG94" si="69">AC80+AD80+AE80+AF80+70-53</f>
        <v>#N/A</v>
      </c>
      <c r="AH80" s="1253">
        <f t="shared" si="48"/>
        <v>14.444000000000001</v>
      </c>
      <c r="AI80" s="1253">
        <f t="shared" si="49"/>
        <v>15.090999999999999</v>
      </c>
      <c r="AJ80" s="156" t="e">
        <f t="shared" si="50"/>
        <v>#N/A</v>
      </c>
      <c r="AK80" s="156" t="e">
        <f t="shared" si="51"/>
        <v>#N/A</v>
      </c>
      <c r="AM80" s="716" t="e">
        <f t="shared" si="52"/>
        <v>#N/A</v>
      </c>
      <c r="AN80" s="716" t="e">
        <f>_xlfn.XLOOKUP(D80,RUC!$B$3:$B$578,RUC!$M$3:$M$578)</f>
        <v>#N/A</v>
      </c>
      <c r="AO80" s="1167" t="s">
        <v>2280</v>
      </c>
      <c r="AP80" t="s">
        <v>4324</v>
      </c>
      <c r="AQ80" t="s">
        <v>4325</v>
      </c>
    </row>
    <row r="81" spans="1:43" ht="15" customHeight="1">
      <c r="A81" s="747" t="s">
        <v>4287</v>
      </c>
      <c r="B81" s="1447">
        <v>46038</v>
      </c>
      <c r="C81" s="1447">
        <v>46032</v>
      </c>
      <c r="D81" t="s">
        <v>2608</v>
      </c>
      <c r="E81" s="762" t="e">
        <f>_xlfn.XLOOKUP(D81,RUC!$B$3:$B$123,RUC!$D$3:$D$123)</f>
        <v>#N/A</v>
      </c>
      <c r="G81" s="1082">
        <v>50</v>
      </c>
      <c r="H81" s="762" t="s">
        <v>2005</v>
      </c>
      <c r="I81" s="703">
        <v>3.72</v>
      </c>
      <c r="J81" s="596">
        <v>1.3</v>
      </c>
      <c r="K81" s="703">
        <f t="shared" si="43"/>
        <v>3.6720000000000002</v>
      </c>
      <c r="L81" s="1192">
        <v>0.99</v>
      </c>
      <c r="M81" s="994" t="e">
        <f t="shared" si="66"/>
        <v>#N/A</v>
      </c>
      <c r="N81" s="1196" t="e">
        <f t="shared" si="67"/>
        <v>#N/A</v>
      </c>
      <c r="O81" s="645" t="e">
        <f t="shared" si="68"/>
        <v>#N/A</v>
      </c>
      <c r="P81" s="727">
        <v>90</v>
      </c>
      <c r="Q81" s="1476">
        <v>95.45</v>
      </c>
      <c r="R81" s="706">
        <v>4493.8500000000004</v>
      </c>
      <c r="S81" s="765" t="e">
        <f>IF((_xlfn.XLOOKUP(D81,RUC!$B$3:$B$119,RUC!$E$3:$E$119)+ROUNDDOWN(O81,1)*100)&lt;95,95,((_xlfn.XLOOKUP(D81,RUC!$B$3:$B$119,RUC!$E$3:$E$119)+ROUNDDOWN(O81,1)*100)))</f>
        <v>#N/A</v>
      </c>
      <c r="U81" s="1146" t="e">
        <f>_xlfn.XLOOKUP(D81,RUC!$B$3:$B$123,RUC!$F$3:$F$123)</f>
        <v>#N/A</v>
      </c>
      <c r="V81" s="715">
        <v>1.1023000000000001</v>
      </c>
      <c r="Y81" t="e">
        <f>_xlfn.XLOOKUP(D81,RUC!$B$3:$B$123,RUC!$G$3:$G$123)</f>
        <v>#N/A</v>
      </c>
      <c r="Z81" s="143" t="e">
        <f>_xlfn.XLOOKUP(D81,RUC!$B$3:$B$123,RUC!$H$3:$H$123)</f>
        <v>#N/A</v>
      </c>
      <c r="AA81" s="144" t="e">
        <f t="shared" si="44"/>
        <v>#N/A</v>
      </c>
      <c r="AB81" s="145" t="e">
        <f t="shared" si="56"/>
        <v>#N/A</v>
      </c>
      <c r="AC81" s="145" t="e">
        <f>+(S81-T81)*V81-'data 1'!$F$4</f>
        <v>#N/A</v>
      </c>
      <c r="AD81" s="145" t="e">
        <f t="shared" si="45"/>
        <v>#N/A</v>
      </c>
      <c r="AE81" s="145" t="e">
        <f t="shared" si="46"/>
        <v>#N/A</v>
      </c>
      <c r="AF81" s="145" t="e">
        <f t="shared" si="47"/>
        <v>#N/A</v>
      </c>
      <c r="AG81" s="772" t="e">
        <f t="shared" si="69"/>
        <v>#N/A</v>
      </c>
      <c r="AH81" s="1253">
        <f t="shared" si="48"/>
        <v>118.96599999999999</v>
      </c>
      <c r="AI81" s="1253">
        <f t="shared" si="49"/>
        <v>124.637</v>
      </c>
      <c r="AJ81" s="156" t="e">
        <f t="shared" si="50"/>
        <v>#N/A</v>
      </c>
      <c r="AK81" s="156" t="e">
        <f t="shared" si="51"/>
        <v>#N/A</v>
      </c>
      <c r="AM81" s="716" t="e">
        <f t="shared" si="52"/>
        <v>#N/A</v>
      </c>
      <c r="AN81" s="716" t="e">
        <f>_xlfn.XLOOKUP(D81,RUC!$B$3:$B$578,RUC!$M$3:$M$578)</f>
        <v>#N/A</v>
      </c>
      <c r="AO81" s="1167" t="s">
        <v>2280</v>
      </c>
      <c r="AP81" t="s">
        <v>4324</v>
      </c>
      <c r="AQ81" t="s">
        <v>4325</v>
      </c>
    </row>
    <row r="82" spans="1:43" ht="15" customHeight="1">
      <c r="A82" s="747" t="s">
        <v>4288</v>
      </c>
      <c r="B82" s="1447">
        <v>46038</v>
      </c>
      <c r="C82" s="1447">
        <v>46032</v>
      </c>
      <c r="D82" t="s">
        <v>2608</v>
      </c>
      <c r="E82" s="762" t="e">
        <f>_xlfn.XLOOKUP(D82,RUC!$B$3:$B$123,RUC!$D$3:$D$123)</f>
        <v>#N/A</v>
      </c>
      <c r="G82" s="1082">
        <v>8</v>
      </c>
      <c r="H82" s="762" t="s">
        <v>2005</v>
      </c>
      <c r="I82" s="703">
        <v>0.49</v>
      </c>
      <c r="J82" s="596">
        <v>1.2</v>
      </c>
      <c r="K82" s="703">
        <f t="shared" si="43"/>
        <v>0.48399999999999999</v>
      </c>
      <c r="L82" s="1192">
        <v>0.76400000000000001</v>
      </c>
      <c r="M82" s="994" t="e">
        <f t="shared" si="66"/>
        <v>#N/A</v>
      </c>
      <c r="N82" s="1196" t="e">
        <f t="shared" si="67"/>
        <v>#N/A</v>
      </c>
      <c r="O82" s="645" t="e">
        <f t="shared" si="68"/>
        <v>#N/A</v>
      </c>
      <c r="P82" s="727">
        <v>90</v>
      </c>
      <c r="Q82" s="1476">
        <v>97.12</v>
      </c>
      <c r="R82" s="706">
        <v>4493.8500000000004</v>
      </c>
      <c r="S82" s="765" t="e">
        <f>IF((_xlfn.XLOOKUP(D82,RUC!$B$3:$B$119,RUC!$E$3:$E$119)+ROUNDDOWN(O82,1)*100)&lt;95,95,((_xlfn.XLOOKUP(D82,RUC!$B$3:$B$119,RUC!$E$3:$E$119)+ROUNDDOWN(O82,1)*100)))</f>
        <v>#N/A</v>
      </c>
      <c r="U82" s="1146" t="e">
        <f>_xlfn.XLOOKUP(D82,RUC!$B$3:$B$123,RUC!$F$3:$F$123)</f>
        <v>#N/A</v>
      </c>
      <c r="V82" s="715">
        <v>1.1023000000000001</v>
      </c>
      <c r="Y82" t="e">
        <f>_xlfn.XLOOKUP(D82,RUC!$B$3:$B$123,RUC!$G$3:$G$123)</f>
        <v>#N/A</v>
      </c>
      <c r="Z82" s="143" t="e">
        <f>_xlfn.XLOOKUP(D82,RUC!$B$3:$B$123,RUC!$H$3:$H$123)</f>
        <v>#N/A</v>
      </c>
      <c r="AA82" s="144" t="e">
        <f t="shared" si="44"/>
        <v>#N/A</v>
      </c>
      <c r="AB82" s="145" t="e">
        <f t="shared" si="56"/>
        <v>#N/A</v>
      </c>
      <c r="AC82" s="145" t="e">
        <f>+(S82-T82)*V82-'data 1'!$F$4</f>
        <v>#N/A</v>
      </c>
      <c r="AD82" s="145" t="e">
        <f t="shared" si="45"/>
        <v>#N/A</v>
      </c>
      <c r="AE82" s="145" t="e">
        <f t="shared" si="46"/>
        <v>#N/A</v>
      </c>
      <c r="AF82" s="145" t="e">
        <f t="shared" si="47"/>
        <v>#N/A</v>
      </c>
      <c r="AG82" s="772" t="e">
        <f t="shared" si="69"/>
        <v>#N/A</v>
      </c>
      <c r="AH82" s="1253">
        <f t="shared" si="48"/>
        <v>12.313000000000001</v>
      </c>
      <c r="AI82" s="1253">
        <f t="shared" si="49"/>
        <v>12.678000000000001</v>
      </c>
      <c r="AJ82" s="156" t="e">
        <f t="shared" si="50"/>
        <v>#N/A</v>
      </c>
      <c r="AK82" s="156" t="e">
        <f t="shared" si="51"/>
        <v>#N/A</v>
      </c>
      <c r="AM82" s="716" t="e">
        <f t="shared" si="52"/>
        <v>#N/A</v>
      </c>
      <c r="AN82" s="716" t="e">
        <f>_xlfn.XLOOKUP(D82,RUC!$B$3:$B$578,RUC!$M$3:$M$578)</f>
        <v>#N/A</v>
      </c>
      <c r="AO82" s="1167" t="s">
        <v>2280</v>
      </c>
      <c r="AP82" t="s">
        <v>4324</v>
      </c>
      <c r="AQ82" t="s">
        <v>4325</v>
      </c>
    </row>
    <row r="83" spans="1:43" ht="15" customHeight="1">
      <c r="A83" s="747" t="s">
        <v>4289</v>
      </c>
      <c r="B83" s="1447">
        <v>46038</v>
      </c>
      <c r="C83" s="1447">
        <v>46032</v>
      </c>
      <c r="D83" t="s">
        <v>2608</v>
      </c>
      <c r="E83" s="762" t="e">
        <f>_xlfn.XLOOKUP(D83,RUC!$B$3:$B$123,RUC!$D$3:$D$123)</f>
        <v>#N/A</v>
      </c>
      <c r="G83" s="1082">
        <v>34</v>
      </c>
      <c r="H83" s="762" t="s">
        <v>2005</v>
      </c>
      <c r="I83" s="703">
        <v>2.54</v>
      </c>
      <c r="J83" s="596">
        <v>1.2</v>
      </c>
      <c r="K83" s="703">
        <f t="shared" si="43"/>
        <v>2.5099999999999998</v>
      </c>
      <c r="L83" s="1192">
        <v>0.9</v>
      </c>
      <c r="M83" s="994" t="e">
        <f t="shared" si="66"/>
        <v>#N/A</v>
      </c>
      <c r="N83" s="1196" t="e">
        <f t="shared" si="67"/>
        <v>#N/A</v>
      </c>
      <c r="O83" s="645" t="e">
        <f t="shared" si="68"/>
        <v>#N/A</v>
      </c>
      <c r="P83" s="727">
        <v>90</v>
      </c>
      <c r="Q83" s="1476">
        <v>95.78</v>
      </c>
      <c r="R83" s="706">
        <v>4493.8500000000004</v>
      </c>
      <c r="S83" s="765" t="e">
        <f>IF((_xlfn.XLOOKUP(D83,RUC!$B$3:$B$119,RUC!$E$3:$E$119)+ROUNDDOWN(O83,1)*100)&lt;95,95,((_xlfn.XLOOKUP(D83,RUC!$B$3:$B$119,RUC!$E$3:$E$119)+ROUNDDOWN(O83,1)*100)))</f>
        <v>#N/A</v>
      </c>
      <c r="U83" s="1146" t="e">
        <f>_xlfn.XLOOKUP(D83,RUC!$B$3:$B$123,RUC!$F$3:$F$123)</f>
        <v>#N/A</v>
      </c>
      <c r="V83" s="715">
        <v>1.1023000000000001</v>
      </c>
      <c r="Y83" t="e">
        <f>_xlfn.XLOOKUP(D83,RUC!$B$3:$B$123,RUC!$G$3:$G$123)</f>
        <v>#N/A</v>
      </c>
      <c r="Z83" s="143" t="e">
        <f>_xlfn.XLOOKUP(D83,RUC!$B$3:$B$123,RUC!$H$3:$H$123)</f>
        <v>#N/A</v>
      </c>
      <c r="AA83" s="144" t="e">
        <f t="shared" si="44"/>
        <v>#N/A</v>
      </c>
      <c r="AB83" s="145" t="e">
        <f t="shared" si="56"/>
        <v>#N/A</v>
      </c>
      <c r="AC83" s="145" t="e">
        <f>+(S83-T83)*V83-'data 1'!$F$4</f>
        <v>#N/A</v>
      </c>
      <c r="AD83" s="145" t="e">
        <f t="shared" si="45"/>
        <v>#N/A</v>
      </c>
      <c r="AE83" s="145" t="e">
        <f t="shared" si="46"/>
        <v>#N/A</v>
      </c>
      <c r="AF83" s="145" t="e">
        <f t="shared" si="47"/>
        <v>#N/A</v>
      </c>
      <c r="AG83" s="772" t="e">
        <f t="shared" si="69"/>
        <v>#N/A</v>
      </c>
      <c r="AH83" s="1253">
        <f t="shared" si="48"/>
        <v>74.182000000000002</v>
      </c>
      <c r="AI83" s="1253">
        <f t="shared" si="49"/>
        <v>77.450999999999993</v>
      </c>
      <c r="AJ83" s="156" t="e">
        <f t="shared" si="50"/>
        <v>#N/A</v>
      </c>
      <c r="AK83" s="156" t="e">
        <f t="shared" si="51"/>
        <v>#N/A</v>
      </c>
      <c r="AM83" s="716" t="e">
        <f t="shared" si="52"/>
        <v>#N/A</v>
      </c>
      <c r="AN83" s="716" t="e">
        <f>_xlfn.XLOOKUP(D83,RUC!$B$3:$B$578,RUC!$M$3:$M$578)</f>
        <v>#N/A</v>
      </c>
      <c r="AO83" s="1167" t="s">
        <v>2280</v>
      </c>
      <c r="AP83" t="s">
        <v>4324</v>
      </c>
      <c r="AQ83" t="s">
        <v>4325</v>
      </c>
    </row>
    <row r="84" spans="1:43" ht="15" customHeight="1">
      <c r="A84" s="747" t="s">
        <v>4290</v>
      </c>
      <c r="B84" s="1447">
        <v>46038</v>
      </c>
      <c r="C84" s="1447">
        <v>46032</v>
      </c>
      <c r="D84" t="s">
        <v>2608</v>
      </c>
      <c r="E84" s="762" t="e">
        <f>_xlfn.XLOOKUP(D84,RUC!$B$3:$B$123,RUC!$D$3:$D$123)</f>
        <v>#N/A</v>
      </c>
      <c r="G84" s="1082">
        <v>24</v>
      </c>
      <c r="H84" s="762" t="s">
        <v>2005</v>
      </c>
      <c r="I84" s="703">
        <v>1.56</v>
      </c>
      <c r="J84" s="596">
        <v>1.3</v>
      </c>
      <c r="K84" s="703">
        <f t="shared" si="43"/>
        <v>1.54</v>
      </c>
      <c r="L84" s="1192">
        <v>0.52200000000000002</v>
      </c>
      <c r="M84" s="994" t="e">
        <f t="shared" si="66"/>
        <v>#N/A</v>
      </c>
      <c r="N84" s="1196" t="e">
        <f t="shared" si="67"/>
        <v>#N/A</v>
      </c>
      <c r="O84" s="645" t="e">
        <f t="shared" si="68"/>
        <v>#N/A</v>
      </c>
      <c r="P84" s="727">
        <v>90</v>
      </c>
      <c r="Q84" s="1476">
        <v>97.7</v>
      </c>
      <c r="R84" s="706">
        <v>4493.8500000000004</v>
      </c>
      <c r="S84" s="765" t="e">
        <f>IF((_xlfn.XLOOKUP(D84,RUC!$B$3:$B$119,RUC!$E$3:$E$119)+ROUNDDOWN(O84,1)*100)&lt;95,95,((_xlfn.XLOOKUP(D84,RUC!$B$3:$B$119,RUC!$E$3:$E$119)+ROUNDDOWN(O84,1)*100)))</f>
        <v>#N/A</v>
      </c>
      <c r="U84" s="1146" t="e">
        <f>_xlfn.XLOOKUP(D84,RUC!$B$3:$B$123,RUC!$F$3:$F$123)</f>
        <v>#N/A</v>
      </c>
      <c r="V84" s="715">
        <v>1.1023000000000001</v>
      </c>
      <c r="Y84" t="e">
        <f>_xlfn.XLOOKUP(D84,RUC!$B$3:$B$123,RUC!$G$3:$G$123)</f>
        <v>#N/A</v>
      </c>
      <c r="Z84" s="143" t="e">
        <f>_xlfn.XLOOKUP(D84,RUC!$B$3:$B$123,RUC!$H$3:$H$123)</f>
        <v>#N/A</v>
      </c>
      <c r="AA84" s="144" t="e">
        <f t="shared" si="44"/>
        <v>#N/A</v>
      </c>
      <c r="AB84" s="145" t="e">
        <f t="shared" si="56"/>
        <v>#N/A</v>
      </c>
      <c r="AC84" s="145" t="e">
        <f>+(S84-T84)*V84-'data 1'!$F$4</f>
        <v>#N/A</v>
      </c>
      <c r="AD84" s="145" t="e">
        <f t="shared" si="45"/>
        <v>#N/A</v>
      </c>
      <c r="AE84" s="145" t="e">
        <f t="shared" si="46"/>
        <v>#N/A</v>
      </c>
      <c r="AF84" s="145" t="e">
        <f t="shared" si="47"/>
        <v>#N/A</v>
      </c>
      <c r="AG84" s="772" t="e">
        <f t="shared" si="69"/>
        <v>#N/A</v>
      </c>
      <c r="AH84" s="1253">
        <f t="shared" si="48"/>
        <v>26.927</v>
      </c>
      <c r="AI84" s="1253">
        <f t="shared" si="49"/>
        <v>27.561</v>
      </c>
      <c r="AJ84" s="156" t="e">
        <f t="shared" si="50"/>
        <v>#N/A</v>
      </c>
      <c r="AK84" s="156" t="e">
        <f t="shared" si="51"/>
        <v>#N/A</v>
      </c>
      <c r="AM84" s="716" t="e">
        <f t="shared" si="52"/>
        <v>#N/A</v>
      </c>
      <c r="AN84" s="716" t="e">
        <f>_xlfn.XLOOKUP(D84,RUC!$B$3:$B$578,RUC!$M$3:$M$578)</f>
        <v>#N/A</v>
      </c>
      <c r="AO84" s="1167" t="s">
        <v>2280</v>
      </c>
      <c r="AP84" t="s">
        <v>4324</v>
      </c>
      <c r="AQ84" t="s">
        <v>4325</v>
      </c>
    </row>
    <row r="85" spans="1:43" ht="15" customHeight="1">
      <c r="A85" s="747" t="s">
        <v>4291</v>
      </c>
      <c r="B85" s="1447">
        <v>46038</v>
      </c>
      <c r="C85" s="1447">
        <v>46032</v>
      </c>
      <c r="D85" t="s">
        <v>2608</v>
      </c>
      <c r="E85" s="762" t="e">
        <f>_xlfn.XLOOKUP(D85,RUC!$B$3:$B$123,RUC!$D$3:$D$123)</f>
        <v>#N/A</v>
      </c>
      <c r="G85" s="1082">
        <v>20</v>
      </c>
      <c r="H85" s="762" t="s">
        <v>2005</v>
      </c>
      <c r="I85" s="703">
        <v>1.51</v>
      </c>
      <c r="J85" s="596">
        <v>1.3</v>
      </c>
      <c r="K85" s="703">
        <f t="shared" si="43"/>
        <v>1.49</v>
      </c>
      <c r="L85" s="1192">
        <v>0.41499999999999998</v>
      </c>
      <c r="M85" s="994" t="e">
        <f t="shared" si="66"/>
        <v>#N/A</v>
      </c>
      <c r="N85" s="1196" t="e">
        <f t="shared" si="67"/>
        <v>#N/A</v>
      </c>
      <c r="O85" s="645" t="e">
        <f t="shared" si="68"/>
        <v>#N/A</v>
      </c>
      <c r="P85" s="727">
        <v>90</v>
      </c>
      <c r="Q85" s="1476">
        <v>97.11</v>
      </c>
      <c r="R85" s="706">
        <v>4493.8500000000004</v>
      </c>
      <c r="S85" s="765" t="e">
        <f>IF((_xlfn.XLOOKUP(D85,RUC!$B$3:$B$119,RUC!$E$3:$E$119)+ROUNDDOWN(O85,1)*100)&lt;95,95,((_xlfn.XLOOKUP(D85,RUC!$B$3:$B$119,RUC!$E$3:$E$119)+ROUNDDOWN(O85,1)*100)))</f>
        <v>#N/A</v>
      </c>
      <c r="U85" s="1146" t="e">
        <f>_xlfn.XLOOKUP(D85,RUC!$B$3:$B$123,RUC!$F$3:$F$123)</f>
        <v>#N/A</v>
      </c>
      <c r="V85" s="715">
        <v>1.1023000000000001</v>
      </c>
      <c r="Y85" t="e">
        <f>_xlfn.XLOOKUP(D85,RUC!$B$3:$B$123,RUC!$G$3:$G$123)</f>
        <v>#N/A</v>
      </c>
      <c r="Z85" s="143" t="e">
        <f>_xlfn.XLOOKUP(D85,RUC!$B$3:$B$123,RUC!$H$3:$H$123)</f>
        <v>#N/A</v>
      </c>
      <c r="AA85" s="144" t="e">
        <f t="shared" si="44"/>
        <v>#N/A</v>
      </c>
      <c r="AB85" s="145" t="e">
        <f t="shared" si="56"/>
        <v>#N/A</v>
      </c>
      <c r="AC85" s="145" t="e">
        <f>+(S85-T85)*V85-'data 1'!$F$4</f>
        <v>#N/A</v>
      </c>
      <c r="AD85" s="145" t="e">
        <f t="shared" si="45"/>
        <v>#N/A</v>
      </c>
      <c r="AE85" s="145" t="e">
        <f t="shared" si="46"/>
        <v>#N/A</v>
      </c>
      <c r="AF85" s="145" t="e">
        <f t="shared" si="47"/>
        <v>#N/A</v>
      </c>
      <c r="AG85" s="772" t="e">
        <f t="shared" si="69"/>
        <v>#N/A</v>
      </c>
      <c r="AH85" s="1253">
        <f t="shared" si="48"/>
        <v>20.588000000000001</v>
      </c>
      <c r="AI85" s="1253">
        <f t="shared" si="49"/>
        <v>21.2</v>
      </c>
      <c r="AJ85" s="156" t="e">
        <f t="shared" si="50"/>
        <v>#N/A</v>
      </c>
      <c r="AK85" s="156" t="e">
        <f t="shared" si="51"/>
        <v>#N/A</v>
      </c>
      <c r="AM85" s="716" t="e">
        <f t="shared" si="52"/>
        <v>#N/A</v>
      </c>
      <c r="AN85" s="716" t="e">
        <f>_xlfn.XLOOKUP(D85,RUC!$B$3:$B$578,RUC!$M$3:$M$578)</f>
        <v>#N/A</v>
      </c>
      <c r="AO85" s="1167" t="s">
        <v>2280</v>
      </c>
      <c r="AP85" t="s">
        <v>4324</v>
      </c>
      <c r="AQ85" t="s">
        <v>4325</v>
      </c>
    </row>
    <row r="86" spans="1:43" ht="15" customHeight="1">
      <c r="A86" s="747" t="s">
        <v>4292</v>
      </c>
      <c r="B86" s="1447">
        <v>46038</v>
      </c>
      <c r="C86" s="1447">
        <v>46032</v>
      </c>
      <c r="D86" t="s">
        <v>2608</v>
      </c>
      <c r="E86" s="762" t="e">
        <f>_xlfn.XLOOKUP(D86,RUC!$B$3:$B$123,RUC!$D$3:$D$123)</f>
        <v>#N/A</v>
      </c>
      <c r="G86" s="1082">
        <v>12</v>
      </c>
      <c r="H86" s="762" t="s">
        <v>2005</v>
      </c>
      <c r="I86" s="703">
        <v>0.83</v>
      </c>
      <c r="J86" s="596">
        <v>1.2</v>
      </c>
      <c r="K86" s="703">
        <f t="shared" si="43"/>
        <v>0.82</v>
      </c>
      <c r="L86" s="1192">
        <v>1.0860000000000001</v>
      </c>
      <c r="M86" s="994" t="e">
        <f t="shared" si="66"/>
        <v>#N/A</v>
      </c>
      <c r="N86" s="1196" t="e">
        <f t="shared" si="67"/>
        <v>#N/A</v>
      </c>
      <c r="O86" s="645" t="e">
        <f t="shared" si="68"/>
        <v>#N/A</v>
      </c>
      <c r="P86" s="727">
        <v>90</v>
      </c>
      <c r="Q86" s="1476">
        <v>97.33</v>
      </c>
      <c r="R86" s="706">
        <v>4493.8500000000004</v>
      </c>
      <c r="S86" s="765" t="e">
        <f>IF((_xlfn.XLOOKUP(D86,RUC!$B$3:$B$119,RUC!$E$3:$E$119)+ROUNDDOWN(O86,1)*100)&lt;95,95,((_xlfn.XLOOKUP(D86,RUC!$B$3:$B$119,RUC!$E$3:$E$119)+ROUNDDOWN(O86,1)*100)))</f>
        <v>#N/A</v>
      </c>
      <c r="U86" s="1146" t="e">
        <f>_xlfn.XLOOKUP(D86,RUC!$B$3:$B$123,RUC!$F$3:$F$123)</f>
        <v>#N/A</v>
      </c>
      <c r="V86" s="715">
        <v>1.1023000000000001</v>
      </c>
      <c r="Y86" t="e">
        <f>_xlfn.XLOOKUP(D86,RUC!$B$3:$B$123,RUC!$G$3:$G$123)</f>
        <v>#N/A</v>
      </c>
      <c r="Z86" s="143" t="e">
        <f>_xlfn.XLOOKUP(D86,RUC!$B$3:$B$123,RUC!$H$3:$H$123)</f>
        <v>#N/A</v>
      </c>
      <c r="AA86" s="144" t="e">
        <f t="shared" si="44"/>
        <v>#N/A</v>
      </c>
      <c r="AB86" s="145" t="e">
        <f t="shared" si="56"/>
        <v>#N/A</v>
      </c>
      <c r="AC86" s="145" t="e">
        <f>+(S86-T86)*V86-'data 1'!$F$4</f>
        <v>#N/A</v>
      </c>
      <c r="AD86" s="145" t="e">
        <f t="shared" si="45"/>
        <v>#N/A</v>
      </c>
      <c r="AE86" s="145" t="e">
        <f t="shared" si="46"/>
        <v>#N/A</v>
      </c>
      <c r="AF86" s="145" t="e">
        <f t="shared" si="47"/>
        <v>#N/A</v>
      </c>
      <c r="AG86" s="772" t="e">
        <f t="shared" si="69"/>
        <v>#N/A</v>
      </c>
      <c r="AH86" s="1253">
        <f t="shared" si="48"/>
        <v>29.716999999999999</v>
      </c>
      <c r="AI86" s="1253">
        <f t="shared" si="49"/>
        <v>30.532</v>
      </c>
      <c r="AJ86" s="156" t="e">
        <f t="shared" si="50"/>
        <v>#N/A</v>
      </c>
      <c r="AK86" s="156" t="e">
        <f t="shared" si="51"/>
        <v>#N/A</v>
      </c>
      <c r="AM86" s="716" t="e">
        <f t="shared" si="52"/>
        <v>#N/A</v>
      </c>
      <c r="AN86" s="716" t="e">
        <f>_xlfn.XLOOKUP(D86,RUC!$B$3:$B$578,RUC!$M$3:$M$578)</f>
        <v>#N/A</v>
      </c>
      <c r="AO86" s="1167" t="s">
        <v>2280</v>
      </c>
      <c r="AP86" t="s">
        <v>4324</v>
      </c>
      <c r="AQ86" t="s">
        <v>4325</v>
      </c>
    </row>
    <row r="87" spans="1:43" ht="15" customHeight="1">
      <c r="A87" s="747" t="s">
        <v>4293</v>
      </c>
      <c r="B87" s="1447">
        <v>46047</v>
      </c>
      <c r="C87" s="1447">
        <v>46032</v>
      </c>
      <c r="D87" t="s">
        <v>1967</v>
      </c>
      <c r="E87" s="762">
        <f>_xlfn.XLOOKUP(D87,RUC!$B$3:$B$123,RUC!$D$3:$D$123)</f>
        <v>20601769396</v>
      </c>
      <c r="G87" s="1082">
        <v>97</v>
      </c>
      <c r="H87" s="762" t="s">
        <v>2005</v>
      </c>
      <c r="I87" s="703">
        <v>2.74</v>
      </c>
      <c r="J87" s="596">
        <v>16.5</v>
      </c>
      <c r="K87" s="703">
        <f t="shared" si="43"/>
        <v>2.2879999999999998</v>
      </c>
      <c r="L87" s="1192">
        <v>0.11899999999999999</v>
      </c>
      <c r="M87" s="994">
        <f t="shared" si="66"/>
        <v>0.1</v>
      </c>
      <c r="N87" s="1196">
        <f t="shared" si="67"/>
        <v>0.1</v>
      </c>
      <c r="O87" s="645">
        <f t="shared" si="68"/>
        <v>0.1</v>
      </c>
      <c r="P87" s="727">
        <v>80</v>
      </c>
      <c r="Q87" s="1476">
        <v>89.92</v>
      </c>
      <c r="R87" s="706">
        <v>4493.8500000000004</v>
      </c>
      <c r="S87" s="765">
        <f>IF((_xlfn.XLOOKUP(D87,RUC!$B$3:$B$119,RUC!$E$3:$E$119)+ROUNDDOWN(O87,1)*100)&lt;95,95,((_xlfn.XLOOKUP(D87,RUC!$B$3:$B$119,RUC!$E$3:$E$119)+ROUNDDOWN(O87,1)*100)))</f>
        <v>100</v>
      </c>
      <c r="U87" s="1146">
        <f>_xlfn.XLOOKUP(D87,RUC!$B$3:$B$123,RUC!$F$3:$F$123)</f>
        <v>120</v>
      </c>
      <c r="V87" s="715">
        <v>1.1023000000000001</v>
      </c>
      <c r="Y87" s="1445">
        <v>30</v>
      </c>
      <c r="Z87" s="1454">
        <v>40</v>
      </c>
      <c r="AA87" s="144">
        <f t="shared" si="44"/>
        <v>70</v>
      </c>
      <c r="AB87" s="145">
        <f t="shared" si="56"/>
        <v>198.31258840000004</v>
      </c>
      <c r="AC87" s="145">
        <f>+(S87-T87)*V87-'data 1'!$F$4</f>
        <v>30.230000000000004</v>
      </c>
      <c r="AD87" s="145">
        <f t="shared" si="45"/>
        <v>56.914421504304009</v>
      </c>
      <c r="AE87" s="145">
        <f t="shared" si="46"/>
        <v>7.1610000000000014</v>
      </c>
      <c r="AF87" s="145">
        <f t="shared" si="47"/>
        <v>82.370858338703968</v>
      </c>
      <c r="AG87" s="772">
        <f t="shared" si="69"/>
        <v>193.67627984300799</v>
      </c>
      <c r="AH87" s="1253">
        <f t="shared" si="48"/>
        <v>8.3940000000000001</v>
      </c>
      <c r="AI87" s="1253">
        <f t="shared" si="49"/>
        <v>9.3350000000000009</v>
      </c>
      <c r="AJ87" s="156">
        <f t="shared" si="50"/>
        <v>74.562971845935962</v>
      </c>
      <c r="AK87" s="156">
        <f t="shared" si="51"/>
        <v>6.2755974286719995</v>
      </c>
      <c r="AM87" s="716">
        <f t="shared" si="52"/>
        <v>453.73920225920006</v>
      </c>
      <c r="AN87" s="716" t="str">
        <f>_xlfn.XLOOKUP(D87,RUC!$B$3:$B$578,RUC!$M$3:$M$578)</f>
        <v>Evelyn</v>
      </c>
      <c r="AO87" s="1167" t="s">
        <v>2280</v>
      </c>
      <c r="AP87" t="s">
        <v>4326</v>
      </c>
      <c r="AQ87" t="s">
        <v>2972</v>
      </c>
    </row>
    <row r="88" spans="1:43" ht="15" customHeight="1">
      <c r="A88" s="747" t="s">
        <v>4294</v>
      </c>
      <c r="B88" s="1447">
        <v>46047</v>
      </c>
      <c r="C88" s="1447">
        <v>46032</v>
      </c>
      <c r="D88" t="s">
        <v>1967</v>
      </c>
      <c r="E88" s="762">
        <f>_xlfn.XLOOKUP(D88,RUC!$B$3:$B$123,RUC!$D$3:$D$123)</f>
        <v>20601769396</v>
      </c>
      <c r="G88" s="1082">
        <v>100</v>
      </c>
      <c r="H88" s="762" t="s">
        <v>2005</v>
      </c>
      <c r="I88" s="703">
        <v>2.76</v>
      </c>
      <c r="J88" s="596">
        <v>16.8</v>
      </c>
      <c r="K88" s="703">
        <f t="shared" si="43"/>
        <v>2.2959999999999998</v>
      </c>
      <c r="L88" s="1192">
        <v>0.152</v>
      </c>
      <c r="M88" s="994">
        <f t="shared" si="66"/>
        <v>0.13300000000000001</v>
      </c>
      <c r="N88" s="1196">
        <f t="shared" si="67"/>
        <v>0.13300000000000001</v>
      </c>
      <c r="O88" s="645">
        <f t="shared" si="68"/>
        <v>0.13300000000000001</v>
      </c>
      <c r="P88" s="727">
        <v>80</v>
      </c>
      <c r="Q88" s="1476">
        <v>98.03</v>
      </c>
      <c r="R88" s="706">
        <v>4493.8500000000004</v>
      </c>
      <c r="S88" s="765">
        <f>IF((_xlfn.XLOOKUP(D88,RUC!$B$3:$B$119,RUC!$E$3:$E$119)+ROUNDDOWN(O88,1)*100)&lt;95,95,((_xlfn.XLOOKUP(D88,RUC!$B$3:$B$119,RUC!$E$3:$E$119)+ROUNDDOWN(O88,1)*100)))</f>
        <v>100</v>
      </c>
      <c r="U88" s="1146">
        <f>_xlfn.XLOOKUP(D88,RUC!$B$3:$B$123,RUC!$F$3:$F$123)</f>
        <v>120</v>
      </c>
      <c r="V88" s="715">
        <v>1.1023000000000001</v>
      </c>
      <c r="Y88" s="1445">
        <v>30</v>
      </c>
      <c r="Z88" s="1454">
        <v>40</v>
      </c>
      <c r="AA88" s="144">
        <f t="shared" si="44"/>
        <v>70</v>
      </c>
      <c r="AB88" s="145">
        <f t="shared" si="56"/>
        <v>325.59477257200007</v>
      </c>
      <c r="AC88" s="145">
        <f>+(S88-T88)*V88-'data 1'!$F$4</f>
        <v>30.230000000000004</v>
      </c>
      <c r="AD88" s="145">
        <f t="shared" si="45"/>
        <v>132.13047827818801</v>
      </c>
      <c r="AE88" s="145">
        <f t="shared" si="46"/>
        <v>7.1610000000000014</v>
      </c>
      <c r="AF88" s="145">
        <f t="shared" si="47"/>
        <v>89.799991580773451</v>
      </c>
      <c r="AG88" s="772">
        <f t="shared" si="69"/>
        <v>276.32146985896145</v>
      </c>
      <c r="AH88" s="1253">
        <f t="shared" si="48"/>
        <v>11.73</v>
      </c>
      <c r="AI88" s="1253">
        <f t="shared" si="49"/>
        <v>11.965</v>
      </c>
      <c r="AJ88" s="156">
        <f t="shared" si="50"/>
        <v>103.82992499109196</v>
      </c>
      <c r="AK88" s="156">
        <f t="shared" si="51"/>
        <v>8.3757283024419209</v>
      </c>
      <c r="AM88" s="716">
        <f t="shared" si="52"/>
        <v>747.56559782531212</v>
      </c>
      <c r="AN88" s="716" t="str">
        <f>_xlfn.XLOOKUP(D88,RUC!$B$3:$B$578,RUC!$M$3:$M$578)</f>
        <v>Evelyn</v>
      </c>
      <c r="AO88" s="1167" t="s">
        <v>2280</v>
      </c>
      <c r="AP88" t="s">
        <v>4326</v>
      </c>
      <c r="AQ88" t="s">
        <v>2972</v>
      </c>
    </row>
    <row r="89" spans="1:43" ht="15" customHeight="1">
      <c r="A89" s="1491" t="s">
        <v>4295</v>
      </c>
      <c r="B89" s="1447">
        <v>46047</v>
      </c>
      <c r="C89" s="1447">
        <v>46032</v>
      </c>
      <c r="D89" t="s">
        <v>1967</v>
      </c>
      <c r="E89" s="762">
        <f>_xlfn.XLOOKUP(D89,RUC!$B$3:$B$123,RUC!$D$3:$D$123)</f>
        <v>20601769396</v>
      </c>
      <c r="G89" s="1082">
        <v>100</v>
      </c>
      <c r="H89" s="762" t="s">
        <v>2005</v>
      </c>
      <c r="I89" s="703">
        <v>2.75</v>
      </c>
      <c r="J89" s="596">
        <v>16.8</v>
      </c>
      <c r="K89" s="703">
        <f t="shared" si="43"/>
        <v>2.2879999999999998</v>
      </c>
      <c r="L89" s="1192">
        <v>5.8000000000000003E-2</v>
      </c>
      <c r="M89" s="994">
        <f t="shared" si="66"/>
        <v>3.9E-2</v>
      </c>
      <c r="N89" s="1196">
        <f t="shared" si="67"/>
        <v>3.9E-2</v>
      </c>
      <c r="O89" s="645">
        <f t="shared" si="68"/>
        <v>3.9E-2</v>
      </c>
      <c r="P89" s="727">
        <v>80</v>
      </c>
      <c r="Q89" s="1476">
        <v>87.93</v>
      </c>
      <c r="R89" s="706">
        <v>4493.8500000000004</v>
      </c>
      <c r="S89" s="765">
        <f>IF((_xlfn.XLOOKUP(D89,RUC!$B$3:$B$119,RUC!$E$3:$E$119)+ROUNDDOWN(O89,1)*100)&lt;95,95,((_xlfn.XLOOKUP(D89,RUC!$B$3:$B$119,RUC!$E$3:$E$119)+ROUNDDOWN(O89,1)*100)))</f>
        <v>95</v>
      </c>
      <c r="U89" s="1146">
        <f>_xlfn.XLOOKUP(D89,RUC!$B$3:$B$123,RUC!$F$3:$F$123)</f>
        <v>120</v>
      </c>
      <c r="V89" s="715">
        <v>1.1023000000000001</v>
      </c>
      <c r="Y89" s="1445">
        <v>30</v>
      </c>
      <c r="Z89" s="1454">
        <v>40</v>
      </c>
      <c r="AA89" s="144">
        <f t="shared" si="44"/>
        <v>70</v>
      </c>
      <c r="AB89" s="145">
        <v>1E-3</v>
      </c>
      <c r="AC89" s="145">
        <f>+(S89-T89)*V89-'data 1'!$F$4</f>
        <v>24.718500000000006</v>
      </c>
      <c r="AD89" s="145">
        <f t="shared" si="45"/>
        <v>22.175063556087025</v>
      </c>
      <c r="AE89" s="145">
        <f t="shared" si="46"/>
        <v>7.1610000000000014</v>
      </c>
      <c r="AF89" s="145">
        <f t="shared" si="47"/>
        <v>80.547926754028524</v>
      </c>
      <c r="AG89" s="772">
        <f>AC89+AD89+AE89+AF89+70-53+31.46</f>
        <v>183.06249031011558</v>
      </c>
      <c r="AH89" s="1253">
        <f t="shared" si="48"/>
        <v>4.0010000000000003</v>
      </c>
      <c r="AI89" s="1253">
        <f t="shared" si="49"/>
        <v>4.55</v>
      </c>
      <c r="AJ89" s="156">
        <f t="shared" si="50"/>
        <v>35.537348103632986</v>
      </c>
      <c r="AK89" s="156">
        <f t="shared" si="51"/>
        <v>2.4474829971820795</v>
      </c>
      <c r="AM89" s="716">
        <f t="shared" si="52"/>
        <v>2.2879999999999997E-3</v>
      </c>
      <c r="AN89" s="716" t="str">
        <f>_xlfn.XLOOKUP(D89,RUC!$B$3:$B$578,RUC!$M$3:$M$578)</f>
        <v>Evelyn</v>
      </c>
      <c r="AO89" s="1167" t="s">
        <v>2280</v>
      </c>
      <c r="AP89" t="s">
        <v>4326</v>
      </c>
      <c r="AQ89" t="s">
        <v>2972</v>
      </c>
    </row>
    <row r="90" spans="1:43" ht="15" customHeight="1">
      <c r="A90" s="747" t="s">
        <v>4296</v>
      </c>
      <c r="B90" s="1447">
        <v>46047</v>
      </c>
      <c r="C90" s="1447">
        <v>46032</v>
      </c>
      <c r="D90" t="s">
        <v>1967</v>
      </c>
      <c r="E90" s="762">
        <f>_xlfn.XLOOKUP(D90,RUC!$B$3:$B$123,RUC!$D$3:$D$123)</f>
        <v>20601769396</v>
      </c>
      <c r="G90" s="1082">
        <v>100</v>
      </c>
      <c r="H90" s="762" t="s">
        <v>2005</v>
      </c>
      <c r="I90" s="703">
        <v>2.85</v>
      </c>
      <c r="J90" s="596">
        <v>17</v>
      </c>
      <c r="K90" s="703">
        <f t="shared" si="43"/>
        <v>2.3660000000000001</v>
      </c>
      <c r="L90" s="1192">
        <v>0.13200000000000001</v>
      </c>
      <c r="M90" s="994">
        <f t="shared" si="66"/>
        <v>0.113</v>
      </c>
      <c r="N90" s="1196">
        <f t="shared" si="67"/>
        <v>0.113</v>
      </c>
      <c r="O90" s="645">
        <f t="shared" si="68"/>
        <v>0.113</v>
      </c>
      <c r="P90" s="727">
        <v>80</v>
      </c>
      <c r="Q90" s="1476">
        <v>93.18</v>
      </c>
      <c r="R90" s="706">
        <v>4493.8500000000004</v>
      </c>
      <c r="S90" s="765">
        <f>IF((_xlfn.XLOOKUP(D90,RUC!$B$3:$B$119,RUC!$E$3:$E$119)+ROUNDDOWN(O90,1)*100)&lt;95,95,((_xlfn.XLOOKUP(D90,RUC!$B$3:$B$119,RUC!$E$3:$E$119)+ROUNDDOWN(O90,1)*100)))</f>
        <v>100</v>
      </c>
      <c r="U90" s="1146">
        <f>_xlfn.XLOOKUP(D90,RUC!$B$3:$B$123,RUC!$F$3:$F$123)</f>
        <v>120</v>
      </c>
      <c r="V90" s="715">
        <v>1.1023000000000001</v>
      </c>
      <c r="Y90" s="1445">
        <v>30</v>
      </c>
      <c r="Z90" s="1454">
        <v>40</v>
      </c>
      <c r="AA90" s="144">
        <f t="shared" si="44"/>
        <v>70</v>
      </c>
      <c r="AB90" s="145">
        <f t="shared" si="56"/>
        <v>248.4540548920001</v>
      </c>
      <c r="AC90" s="145">
        <f>+(S90-T90)*V90-'data 1'!$F$4</f>
        <v>30.230000000000004</v>
      </c>
      <c r="AD90" s="145">
        <f t="shared" si="45"/>
        <v>83.878959369348053</v>
      </c>
      <c r="AE90" s="145">
        <f t="shared" si="46"/>
        <v>7.1610000000000014</v>
      </c>
      <c r="AF90" s="145">
        <f t="shared" si="47"/>
        <v>85.357168371891021</v>
      </c>
      <c r="AG90" s="772">
        <f t="shared" si="69"/>
        <v>223.62712774123906</v>
      </c>
      <c r="AH90" s="1253">
        <f t="shared" si="48"/>
        <v>9.9770000000000003</v>
      </c>
      <c r="AI90" s="1253">
        <f t="shared" si="49"/>
        <v>10.708</v>
      </c>
      <c r="AJ90" s="156">
        <f t="shared" si="50"/>
        <v>85.707057869531965</v>
      </c>
      <c r="AK90" s="156">
        <f t="shared" si="51"/>
        <v>7.3331782226175211</v>
      </c>
      <c r="AM90" s="716">
        <f t="shared" si="52"/>
        <v>587.84229387447226</v>
      </c>
      <c r="AN90" s="716" t="str">
        <f>_xlfn.XLOOKUP(D90,RUC!$B$3:$B$578,RUC!$M$3:$M$578)</f>
        <v>Evelyn</v>
      </c>
      <c r="AO90" s="1167" t="s">
        <v>2280</v>
      </c>
      <c r="AP90" t="s">
        <v>4326</v>
      </c>
      <c r="AQ90" t="s">
        <v>2972</v>
      </c>
    </row>
    <row r="91" spans="1:43" ht="15" customHeight="1">
      <c r="A91" s="1491" t="s">
        <v>4297</v>
      </c>
      <c r="B91" s="1447">
        <v>46047</v>
      </c>
      <c r="C91" s="1447">
        <v>46032</v>
      </c>
      <c r="D91" t="s">
        <v>1967</v>
      </c>
      <c r="E91" s="762">
        <f>_xlfn.XLOOKUP(D91,RUC!$B$3:$B$123,RUC!$D$3:$D$123)</f>
        <v>20601769396</v>
      </c>
      <c r="G91" s="1082">
        <v>100</v>
      </c>
      <c r="H91" s="762" t="s">
        <v>2005</v>
      </c>
      <c r="I91" s="703">
        <v>2.88</v>
      </c>
      <c r="J91" s="596">
        <v>17</v>
      </c>
      <c r="K91" s="703">
        <f t="shared" si="43"/>
        <v>2.39</v>
      </c>
      <c r="L91" s="1192">
        <v>9.8000000000000004E-2</v>
      </c>
      <c r="M91" s="994">
        <f t="shared" si="66"/>
        <v>7.9000000000000001E-2</v>
      </c>
      <c r="N91" s="1196">
        <f t="shared" si="67"/>
        <v>7.9000000000000001E-2</v>
      </c>
      <c r="O91" s="645">
        <f t="shared" si="68"/>
        <v>7.9000000000000001E-2</v>
      </c>
      <c r="P91" s="727">
        <v>80</v>
      </c>
      <c r="Q91" s="1476">
        <v>89.8</v>
      </c>
      <c r="R91" s="706">
        <v>4493.8500000000004</v>
      </c>
      <c r="S91" s="765">
        <f>IF((_xlfn.XLOOKUP(D91,RUC!$B$3:$B$119,RUC!$E$3:$E$119)+ROUNDDOWN(O91,1)*100)&lt;95,95,((_xlfn.XLOOKUP(D91,RUC!$B$3:$B$119,RUC!$E$3:$E$119)+ROUNDDOWN(O91,1)*100)))</f>
        <v>95</v>
      </c>
      <c r="U91" s="1146">
        <f>_xlfn.XLOOKUP(D91,RUC!$B$3:$B$123,RUC!$F$3:$F$123)</f>
        <v>120</v>
      </c>
      <c r="V91" s="715">
        <v>1.1023000000000001</v>
      </c>
      <c r="Y91" s="1445">
        <v>30</v>
      </c>
      <c r="Z91" s="1454">
        <v>40</v>
      </c>
      <c r="AA91" s="144">
        <f t="shared" si="44"/>
        <v>70</v>
      </c>
      <c r="AB91" s="145">
        <v>1E-3</v>
      </c>
      <c r="AC91" s="145">
        <f>+(S91-T91)*V91-'data 1'!$F$4</f>
        <v>24.718500000000006</v>
      </c>
      <c r="AD91" s="145">
        <f t="shared" si="45"/>
        <v>46.303715787419989</v>
      </c>
      <c r="AE91" s="145">
        <f t="shared" si="46"/>
        <v>7.1610000000000014</v>
      </c>
      <c r="AF91" s="145">
        <f t="shared" si="47"/>
        <v>82.260932816010012</v>
      </c>
      <c r="AG91" s="772">
        <f>AC91+AD91+AE91+AF91+70-53+122.83</f>
        <v>300.27414860342998</v>
      </c>
      <c r="AH91" s="1253">
        <f t="shared" si="48"/>
        <v>7.2110000000000003</v>
      </c>
      <c r="AI91" s="1253">
        <f t="shared" si="49"/>
        <v>8.0299999999999994</v>
      </c>
      <c r="AJ91" s="156">
        <f t="shared" si="50"/>
        <v>61.322854435779973</v>
      </c>
      <c r="AK91" s="156">
        <f t="shared" si="51"/>
        <v>5.1787392941764008</v>
      </c>
      <c r="AM91" s="716">
        <f t="shared" si="52"/>
        <v>2.3900000000000002E-3</v>
      </c>
      <c r="AN91" s="716" t="str">
        <f>_xlfn.XLOOKUP(D91,RUC!$B$3:$B$578,RUC!$M$3:$M$578)</f>
        <v>Evelyn</v>
      </c>
      <c r="AO91" s="1167" t="s">
        <v>2280</v>
      </c>
      <c r="AP91" t="s">
        <v>4326</v>
      </c>
      <c r="AQ91" t="s">
        <v>2972</v>
      </c>
    </row>
    <row r="92" spans="1:43" ht="15" customHeight="1">
      <c r="A92" s="747" t="s">
        <v>4298</v>
      </c>
      <c r="B92" s="1447">
        <v>46047</v>
      </c>
      <c r="C92" s="1447">
        <v>46032</v>
      </c>
      <c r="D92" t="s">
        <v>1967</v>
      </c>
      <c r="E92" s="762">
        <f>_xlfn.XLOOKUP(D92,RUC!$B$3:$B$123,RUC!$D$3:$D$123)</f>
        <v>20601769396</v>
      </c>
      <c r="G92" s="1082">
        <v>16</v>
      </c>
      <c r="H92" s="762" t="s">
        <v>2005</v>
      </c>
      <c r="I92" s="703">
        <v>1.3</v>
      </c>
      <c r="J92" s="596">
        <v>15.6</v>
      </c>
      <c r="K92" s="703">
        <f t="shared" si="43"/>
        <v>1.097</v>
      </c>
      <c r="L92" s="1192">
        <v>0.20899999999999999</v>
      </c>
      <c r="M92" s="994">
        <f t="shared" si="66"/>
        <v>0.19</v>
      </c>
      <c r="N92" s="1196">
        <f t="shared" si="67"/>
        <v>0.19</v>
      </c>
      <c r="O92" s="645">
        <f t="shared" si="68"/>
        <v>0.19</v>
      </c>
      <c r="P92" s="727">
        <v>85</v>
      </c>
      <c r="Q92" s="1476">
        <v>89</v>
      </c>
      <c r="R92" s="706">
        <v>4493.8500000000004</v>
      </c>
      <c r="S92" s="765">
        <f>IF((_xlfn.XLOOKUP(D92,RUC!$B$3:$B$119,RUC!$E$3:$E$119)+ROUNDDOWN(O92,1)*100)&lt;95,95,((_xlfn.XLOOKUP(D92,RUC!$B$3:$B$119,RUC!$E$3:$E$119)+ROUNDDOWN(O92,1)*100)))</f>
        <v>100</v>
      </c>
      <c r="U92" s="1146">
        <f>_xlfn.XLOOKUP(D92,RUC!$B$3:$B$123,RUC!$F$3:$F$123)</f>
        <v>120</v>
      </c>
      <c r="V92" s="715">
        <v>1.1023000000000001</v>
      </c>
      <c r="Y92" s="1445">
        <v>30</v>
      </c>
      <c r="Z92" s="1454">
        <v>40</v>
      </c>
      <c r="AA92" s="144">
        <f t="shared" si="44"/>
        <v>70</v>
      </c>
      <c r="AB92" s="145">
        <f t="shared" si="56"/>
        <v>591.24811908250012</v>
      </c>
      <c r="AC92" s="145">
        <f>+(S92-T92)*V92-'data 1'!$F$4</f>
        <v>30.230000000000004</v>
      </c>
      <c r="AD92" s="145">
        <f t="shared" si="45"/>
        <v>40.306024987800008</v>
      </c>
      <c r="AE92" s="145">
        <f t="shared" si="46"/>
        <v>7.1610000000000014</v>
      </c>
      <c r="AF92" s="145">
        <f t="shared" si="47"/>
        <v>81.528095998049963</v>
      </c>
      <c r="AG92" s="772">
        <f t="shared" si="69"/>
        <v>176.22512098584997</v>
      </c>
      <c r="AH92" s="1253">
        <f t="shared" si="48"/>
        <v>6.9960000000000004</v>
      </c>
      <c r="AI92" s="1253">
        <f t="shared" si="49"/>
        <v>7.8609999999999998</v>
      </c>
      <c r="AJ92" s="156">
        <f t="shared" si="50"/>
        <v>129.61529195944991</v>
      </c>
      <c r="AK92" s="156">
        <f t="shared" si="51"/>
        <v>6.0741879165722752</v>
      </c>
      <c r="AM92" s="716">
        <f t="shared" si="52"/>
        <v>648.59918663350265</v>
      </c>
      <c r="AN92" s="716" t="str">
        <f>_xlfn.XLOOKUP(D92,RUC!$B$3:$B$578,RUC!$M$3:$M$578)</f>
        <v>Evelyn</v>
      </c>
      <c r="AO92" s="1167" t="s">
        <v>2280</v>
      </c>
      <c r="AP92" t="s">
        <v>4326</v>
      </c>
      <c r="AQ92" t="s">
        <v>2972</v>
      </c>
    </row>
    <row r="93" spans="1:43" ht="15" customHeight="1">
      <c r="A93" s="747" t="s">
        <v>4299</v>
      </c>
      <c r="B93" s="1447">
        <v>46047</v>
      </c>
      <c r="C93" s="1447">
        <v>46032</v>
      </c>
      <c r="D93" t="s">
        <v>1967</v>
      </c>
      <c r="E93" s="762">
        <f>_xlfn.XLOOKUP(D93,RUC!$B$3:$B$123,RUC!$D$3:$D$123)</f>
        <v>20601769396</v>
      </c>
      <c r="G93" s="1082">
        <v>59</v>
      </c>
      <c r="H93" s="762" t="s">
        <v>2005</v>
      </c>
      <c r="I93" s="703">
        <v>4.91</v>
      </c>
      <c r="J93" s="596">
        <v>13.5</v>
      </c>
      <c r="K93" s="703">
        <f t="shared" si="43"/>
        <v>4.2469999999999999</v>
      </c>
      <c r="L93" s="1192">
        <v>0.155</v>
      </c>
      <c r="M93" s="994">
        <f t="shared" si="66"/>
        <v>0.13600000000000001</v>
      </c>
      <c r="N93" s="1196">
        <f t="shared" si="67"/>
        <v>0.13600000000000001</v>
      </c>
      <c r="O93" s="645">
        <f t="shared" si="68"/>
        <v>0.13600000000000001</v>
      </c>
      <c r="P93" s="727">
        <v>80</v>
      </c>
      <c r="Q93" s="1476">
        <v>85.16</v>
      </c>
      <c r="R93" s="706">
        <v>4493.8500000000004</v>
      </c>
      <c r="S93" s="765">
        <f>IF((_xlfn.XLOOKUP(D93,RUC!$B$3:$B$119,RUC!$E$3:$E$119)+ROUNDDOWN(O93,1)*100)&lt;95,95,((_xlfn.XLOOKUP(D93,RUC!$B$3:$B$119,RUC!$E$3:$E$119)+ROUNDDOWN(O93,1)*100)))</f>
        <v>100</v>
      </c>
      <c r="U93" s="1146">
        <f>_xlfn.XLOOKUP(D93,RUC!$B$3:$B$123,RUC!$F$3:$F$123)</f>
        <v>120</v>
      </c>
      <c r="V93" s="715">
        <v>1.1023000000000001</v>
      </c>
      <c r="Y93" s="1445">
        <v>30</v>
      </c>
      <c r="Z93" s="1454">
        <v>40</v>
      </c>
      <c r="AA93" s="144">
        <f t="shared" si="44"/>
        <v>70</v>
      </c>
      <c r="AB93" s="145">
        <f t="shared" si="56"/>
        <v>337.16588022400009</v>
      </c>
      <c r="AC93" s="145">
        <f>+(S93-T93)*V93-'data 1'!$F$4</f>
        <v>30.230000000000004</v>
      </c>
      <c r="AD93" s="145">
        <f t="shared" si="45"/>
        <v>38.560716250289985</v>
      </c>
      <c r="AE93" s="145">
        <f t="shared" si="46"/>
        <v>7.1610000000000014</v>
      </c>
      <c r="AF93" s="145">
        <f t="shared" si="47"/>
        <v>78.010479271841959</v>
      </c>
      <c r="AG93" s="772">
        <f t="shared" si="69"/>
        <v>170.96219552213194</v>
      </c>
      <c r="AH93" s="1253">
        <f t="shared" si="48"/>
        <v>19.22</v>
      </c>
      <c r="AI93" s="1253">
        <f t="shared" si="49"/>
        <v>22.57</v>
      </c>
      <c r="AJ93" s="156">
        <f t="shared" si="50"/>
        <v>91.978707102109951</v>
      </c>
      <c r="AK93" s="156">
        <f t="shared" si="51"/>
        <v>15.842372683660482</v>
      </c>
      <c r="AM93" s="716">
        <f t="shared" si="52"/>
        <v>1431.9434933113284</v>
      </c>
      <c r="AN93" s="716" t="str">
        <f>_xlfn.XLOOKUP(D93,RUC!$B$3:$B$578,RUC!$M$3:$M$578)</f>
        <v>Evelyn</v>
      </c>
      <c r="AO93" s="1167" t="s">
        <v>2280</v>
      </c>
      <c r="AP93" t="s">
        <v>4326</v>
      </c>
      <c r="AQ93" t="s">
        <v>2972</v>
      </c>
    </row>
    <row r="94" spans="1:43" ht="15" customHeight="1">
      <c r="A94" s="747" t="s">
        <v>4300</v>
      </c>
      <c r="B94" s="1447">
        <v>46047</v>
      </c>
      <c r="C94" s="1447">
        <v>46032</v>
      </c>
      <c r="D94" t="s">
        <v>1967</v>
      </c>
      <c r="E94" s="762">
        <f>_xlfn.XLOOKUP(D94,RUC!$B$3:$B$123,RUC!$D$3:$D$123)</f>
        <v>20601769396</v>
      </c>
      <c r="G94" s="1082">
        <v>47</v>
      </c>
      <c r="H94" s="762" t="s">
        <v>2005</v>
      </c>
      <c r="I94" s="703">
        <v>3.76</v>
      </c>
      <c r="J94" s="596">
        <v>14.3</v>
      </c>
      <c r="K94" s="703">
        <f t="shared" si="43"/>
        <v>3.222</v>
      </c>
      <c r="L94" s="1192">
        <v>0.20599999999999999</v>
      </c>
      <c r="M94" s="994">
        <f t="shared" si="66"/>
        <v>0.187</v>
      </c>
      <c r="N94" s="1196">
        <f t="shared" si="67"/>
        <v>0.187</v>
      </c>
      <c r="O94" s="645">
        <f t="shared" si="68"/>
        <v>0.187</v>
      </c>
      <c r="P94" s="727">
        <v>85</v>
      </c>
      <c r="Q94" s="1476">
        <v>89.32</v>
      </c>
      <c r="R94" s="706">
        <v>4493.8500000000004</v>
      </c>
      <c r="S94" s="765">
        <f>IF((_xlfn.XLOOKUP(D94,RUC!$B$3:$B$119,RUC!$E$3:$E$119)+ROUNDDOWN(O94,1)*100)&lt;95,95,((_xlfn.XLOOKUP(D94,RUC!$B$3:$B$119,RUC!$E$3:$E$119)+ROUNDDOWN(O94,1)*100)))</f>
        <v>100</v>
      </c>
      <c r="U94" s="1146">
        <f>_xlfn.XLOOKUP(D94,RUC!$B$3:$B$123,RUC!$F$3:$F$123)</f>
        <v>120</v>
      </c>
      <c r="V94" s="715">
        <v>1.1023000000000001</v>
      </c>
      <c r="Y94" s="1445">
        <v>30</v>
      </c>
      <c r="Z94" s="1454">
        <v>40</v>
      </c>
      <c r="AA94" s="144">
        <f t="shared" si="44"/>
        <v>70</v>
      </c>
      <c r="AB94" s="145">
        <f t="shared" si="56"/>
        <v>578.95381720225021</v>
      </c>
      <c r="AC94" s="145">
        <f>+(S94-T94)*V94-'data 1'!$F$4</f>
        <v>30.230000000000004</v>
      </c>
      <c r="AD94" s="145">
        <f t="shared" si="45"/>
        <v>42.905667173615932</v>
      </c>
      <c r="AE94" s="145">
        <f t="shared" si="46"/>
        <v>7.1610000000000014</v>
      </c>
      <c r="AF94" s="145">
        <f t="shared" si="47"/>
        <v>81.82123072523396</v>
      </c>
      <c r="AG94" s="772">
        <f t="shared" si="69"/>
        <v>179.11789789884989</v>
      </c>
      <c r="AH94" s="1253">
        <f t="shared" si="48"/>
        <v>20.326000000000001</v>
      </c>
      <c r="AI94" s="1253">
        <f t="shared" si="49"/>
        <v>22.756</v>
      </c>
      <c r="AJ94" s="156">
        <f t="shared" si="50"/>
        <v>128.21412842484392</v>
      </c>
      <c r="AK94" s="156">
        <f t="shared" si="51"/>
        <v>17.558812351224045</v>
      </c>
      <c r="AM94" s="716">
        <f t="shared" si="52"/>
        <v>1865.3891990256502</v>
      </c>
      <c r="AN94" s="716" t="str">
        <f>_xlfn.XLOOKUP(D94,RUC!$B$3:$B$578,RUC!$M$3:$M$578)</f>
        <v>Evelyn</v>
      </c>
      <c r="AO94" s="1167" t="s">
        <v>2280</v>
      </c>
      <c r="AP94" t="s">
        <v>4326</v>
      </c>
      <c r="AQ94" t="s">
        <v>2972</v>
      </c>
    </row>
    <row r="95" spans="1:43" ht="15" customHeight="1">
      <c r="A95" s="1491" t="s">
        <v>4301</v>
      </c>
      <c r="B95" s="1447">
        <v>46047</v>
      </c>
      <c r="C95" s="1447">
        <v>46032</v>
      </c>
      <c r="D95" t="s">
        <v>1967</v>
      </c>
      <c r="E95" s="762">
        <f>_xlfn.XLOOKUP(D95,RUC!$B$3:$B$123,RUC!$D$3:$D$123)</f>
        <v>20601769396</v>
      </c>
      <c r="G95" s="1082">
        <v>47</v>
      </c>
      <c r="H95" s="762" t="s">
        <v>2005</v>
      </c>
      <c r="I95" s="703">
        <v>3.9</v>
      </c>
      <c r="J95" s="596">
        <v>16.100000000000001</v>
      </c>
      <c r="K95" s="703">
        <f t="shared" si="43"/>
        <v>3.2719999999999998</v>
      </c>
      <c r="L95" s="1192">
        <v>7.1999999999999995E-2</v>
      </c>
      <c r="M95" s="994">
        <f t="shared" si="66"/>
        <v>5.2999999999999999E-2</v>
      </c>
      <c r="N95" s="1196">
        <f t="shared" si="67"/>
        <v>5.2999999999999999E-2</v>
      </c>
      <c r="O95" s="645">
        <f t="shared" si="68"/>
        <v>5.2999999999999999E-2</v>
      </c>
      <c r="P95" s="727">
        <v>80</v>
      </c>
      <c r="Q95" s="1476">
        <v>70.83</v>
      </c>
      <c r="R95" s="706">
        <v>4493.8500000000004</v>
      </c>
      <c r="S95" s="765">
        <f>IF((_xlfn.XLOOKUP(D95,RUC!$B$3:$B$119,RUC!$E$3:$E$119)+ROUNDDOWN(O95,1)*100)&lt;95,95,((_xlfn.XLOOKUP(D95,RUC!$B$3:$B$119,RUC!$E$3:$E$119)+ROUNDDOWN(O95,1)*100)))</f>
        <v>95</v>
      </c>
      <c r="U95" s="1146">
        <f>_xlfn.XLOOKUP(D95,RUC!$B$3:$B$123,RUC!$F$3:$F$123)</f>
        <v>120</v>
      </c>
      <c r="V95" s="715">
        <v>1.1023000000000001</v>
      </c>
      <c r="Y95" s="1445">
        <v>30</v>
      </c>
      <c r="Z95" s="1454">
        <v>40</v>
      </c>
      <c r="AA95" s="144">
        <f t="shared" si="44"/>
        <v>70</v>
      </c>
      <c r="AB95" s="145">
        <v>1E-3</v>
      </c>
      <c r="AC95" s="145">
        <f>+(S95-T95)*V95-'data 1'!$F$4</f>
        <v>24.718500000000006</v>
      </c>
      <c r="AD95" s="145">
        <f t="shared" si="45"/>
        <v>-31.83211715065201</v>
      </c>
      <c r="AE95" s="145">
        <f t="shared" si="46"/>
        <v>7.1610000000000014</v>
      </c>
      <c r="AF95" s="145">
        <f t="shared" si="47"/>
        <v>64.883539770133481</v>
      </c>
      <c r="AG95" s="772">
        <f>AC95+AD95+AE95+AF95+70-53+22.54</f>
        <v>104.47092261948146</v>
      </c>
      <c r="AH95" s="1253">
        <f t="shared" si="48"/>
        <v>5.7210000000000001</v>
      </c>
      <c r="AI95" s="1253">
        <f t="shared" si="49"/>
        <v>8.077</v>
      </c>
      <c r="AJ95" s="156">
        <f t="shared" si="50"/>
        <v>35.536093829531978</v>
      </c>
      <c r="AK95" s="156">
        <f t="shared" si="51"/>
        <v>4.7565078832630396</v>
      </c>
      <c r="AM95" s="716">
        <f t="shared" si="52"/>
        <v>3.2719999999999997E-3</v>
      </c>
      <c r="AN95" s="716" t="str">
        <f>_xlfn.XLOOKUP(D95,RUC!$B$3:$B$578,RUC!$M$3:$M$578)</f>
        <v>Evelyn</v>
      </c>
      <c r="AO95" s="1167" t="s">
        <v>2280</v>
      </c>
      <c r="AP95" t="s">
        <v>4326</v>
      </c>
      <c r="AQ95" t="s">
        <v>2972</v>
      </c>
    </row>
    <row r="96" spans="1:43" ht="15" customHeight="1">
      <c r="A96" s="747" t="s">
        <v>4312</v>
      </c>
      <c r="B96" s="1447">
        <v>46041</v>
      </c>
      <c r="C96" s="1447">
        <v>46033</v>
      </c>
      <c r="D96" t="s">
        <v>2444</v>
      </c>
      <c r="E96" s="762">
        <f>_xlfn.XLOOKUP(D96,RUC!$B$3:$B$123,RUC!$D$3:$D$123)</f>
        <v>20608774000</v>
      </c>
      <c r="G96" s="1082">
        <v>194</v>
      </c>
      <c r="H96" s="762" t="s">
        <v>108</v>
      </c>
      <c r="I96" s="703">
        <v>6.05</v>
      </c>
      <c r="J96" s="596">
        <v>16.899999999999999</v>
      </c>
      <c r="K96" s="703">
        <f t="shared" ref="K96:K110" si="70">ROUND(+I96-(I96*(J96/100)),3)</f>
        <v>5.0279999999999996</v>
      </c>
      <c r="L96" s="1192">
        <v>0.26700000000000002</v>
      </c>
      <c r="M96" s="994">
        <f t="shared" si="66"/>
        <v>0.248</v>
      </c>
      <c r="N96" s="1196">
        <f t="shared" si="67"/>
        <v>0.248</v>
      </c>
      <c r="O96" s="645">
        <f t="shared" si="68"/>
        <v>0.248</v>
      </c>
      <c r="P96" s="727">
        <v>90</v>
      </c>
      <c r="Q96" s="1476">
        <v>90.26</v>
      </c>
      <c r="R96" s="706">
        <v>4612.95</v>
      </c>
      <c r="S96" s="765">
        <f>IF((_xlfn.XLOOKUP(D96,RUC!$B$3:$B$119,RUC!$E$3:$E$119)+ROUNDDOWN(O96,1)*100)&lt;95,95,((_xlfn.XLOOKUP(D96,RUC!$B$3:$B$119,RUC!$E$3:$E$119)+ROUNDDOWN(O96,1)*100)))</f>
        <v>105</v>
      </c>
      <c r="U96" s="1146">
        <f>_xlfn.XLOOKUP(D96,RUC!$B$3:$B$123,RUC!$F$3:$F$123)</f>
        <v>120</v>
      </c>
      <c r="V96" s="715">
        <v>1.1023000000000001</v>
      </c>
      <c r="Y96" s="1034">
        <v>30</v>
      </c>
      <c r="Z96" s="709">
        <v>40</v>
      </c>
      <c r="AA96" s="144">
        <f t="shared" ref="AA96:AA110" si="71">+Y96+Z96</f>
        <v>70</v>
      </c>
      <c r="AB96" s="145">
        <f t="shared" ref="AB96:AB105" si="72">+((O96*P96*(R96-U96)/100)-S96-AA96+T96)*V96</f>
        <v>912.5130848120001</v>
      </c>
      <c r="AC96" s="145">
        <f>+(S96-T96)*V96-'data 1'!$F$4</f>
        <v>35.741500000000002</v>
      </c>
      <c r="AD96" s="145">
        <f t="shared" ref="AD96:AD110" si="73">+(Q96-P96)*(R96-U96)*L96*V96/100</f>
        <v>3.4380801925470679</v>
      </c>
      <c r="AE96" s="145">
        <f t="shared" ref="AE96:AE110" si="74">+(Y96*V96-70)+V96*(Z96-IF(D96="UNTUCA",IF(+((W96-3)*2.5+(X96-3)*3.1)&gt;0,+((W96-3)*1.5+(X96-3)*3.1),0),IF(+((W96-3)*1.5+(X96-3)*3.1)&gt;0,+((W96-3)*1.5+(X96-3)*3.1),0)))</f>
        <v>7.1610000000000014</v>
      </c>
      <c r="AF96" s="145">
        <f t="shared" ref="AF96:AF110" si="75">(L96-O96)*(R96-U96)*Q96*V96/100</f>
        <v>84.933754615479089</v>
      </c>
      <c r="AG96" s="772">
        <f t="shared" ref="AG96:AG98" si="76">AC96+AD96+AE96+AF96+70-53</f>
        <v>148.27433480802617</v>
      </c>
      <c r="AH96" s="1253">
        <f t="shared" ref="AH96:AH110" si="77">ROUND((31.1035*L96*Q96*1.1023*K96/100),3)</f>
        <v>41.543999999999997</v>
      </c>
      <c r="AI96" s="1253">
        <f t="shared" ref="AI96:AI110" si="78">ROUND((31.1035*L96*1.1023*K96),3)</f>
        <v>46.027000000000001</v>
      </c>
      <c r="AJ96" s="156">
        <f t="shared" ref="AJ96:AJ110" si="79">+((+$AJ$2-R96+U96)*L96*Q96*V96)/100</f>
        <v>136.29065851191308</v>
      </c>
      <c r="AK96" s="156">
        <f t="shared" ref="AK96:AK110" si="80">31.1035*1.1023*K96*P96*O96/100</f>
        <v>38.476763024957279</v>
      </c>
      <c r="AM96" s="716">
        <f t="shared" ref="AM96:AM110" si="81">+IF(AB96*K96&gt;0,AB96*K96,0)</f>
        <v>4588.1157904347365</v>
      </c>
      <c r="AN96" s="716" t="str">
        <f>_xlfn.XLOOKUP(D96,RUC!$B$3:$B$578,RUC!$M$3:$M$578)</f>
        <v>Ronald Miranda</v>
      </c>
      <c r="AO96" s="1167" t="s">
        <v>2278</v>
      </c>
      <c r="AP96" t="s">
        <v>4329</v>
      </c>
      <c r="AQ96" t="s">
        <v>2454</v>
      </c>
    </row>
    <row r="97" spans="1:43" ht="15" customHeight="1">
      <c r="A97" s="747" t="s">
        <v>4313</v>
      </c>
      <c r="B97" s="1447">
        <v>46041</v>
      </c>
      <c r="C97" s="1447">
        <v>46033</v>
      </c>
      <c r="D97" t="s">
        <v>2444</v>
      </c>
      <c r="E97" s="762">
        <f>_xlfn.XLOOKUP(D97,RUC!$B$3:$B$123,RUC!$D$3:$D$123)</f>
        <v>20608774000</v>
      </c>
      <c r="G97" s="1082">
        <v>409</v>
      </c>
      <c r="H97" s="762" t="s">
        <v>108</v>
      </c>
      <c r="I97" s="703">
        <v>12.9</v>
      </c>
      <c r="J97" s="596">
        <v>17.2</v>
      </c>
      <c r="K97" s="703">
        <f t="shared" si="70"/>
        <v>10.680999999999999</v>
      </c>
      <c r="L97" s="1192">
        <v>0.378</v>
      </c>
      <c r="M97" s="994">
        <f t="shared" si="66"/>
        <v>0.35499999999999998</v>
      </c>
      <c r="N97" s="1196">
        <f t="shared" si="67"/>
        <v>0.35499999999999998</v>
      </c>
      <c r="O97" s="645">
        <f t="shared" si="68"/>
        <v>0.35499999999999998</v>
      </c>
      <c r="P97" s="727">
        <v>87</v>
      </c>
      <c r="Q97" s="1476">
        <v>87.57</v>
      </c>
      <c r="R97" s="706">
        <v>4612.95</v>
      </c>
      <c r="S97" s="765">
        <f>IF((_xlfn.XLOOKUP(D97,RUC!$B$3:$B$119,RUC!$E$3:$E$119)+ROUNDDOWN(O97,1)*100)&lt;95,95,((_xlfn.XLOOKUP(D97,RUC!$B$3:$B$119,RUC!$E$3:$E$119)+ROUNDDOWN(O97,1)*100)))</f>
        <v>115</v>
      </c>
      <c r="U97" s="1146">
        <f>_xlfn.XLOOKUP(D97,RUC!$B$3:$B$123,RUC!$F$3:$F$123)</f>
        <v>120</v>
      </c>
      <c r="V97" s="715">
        <v>1.1023000000000001</v>
      </c>
      <c r="Y97" s="1034">
        <v>30</v>
      </c>
      <c r="Z97" s="709">
        <v>40</v>
      </c>
      <c r="AA97" s="144">
        <f t="shared" si="71"/>
        <v>70</v>
      </c>
      <c r="AB97" s="145">
        <f t="shared" si="72"/>
        <v>1325.6784577472499</v>
      </c>
      <c r="AC97" s="145">
        <f>+(S97-T97)*V97-'data 1'!$F$4</f>
        <v>46.764500000000012</v>
      </c>
      <c r="AD97" s="145">
        <f t="shared" si="73"/>
        <v>10.670826250160873</v>
      </c>
      <c r="AE97" s="145">
        <f t="shared" si="74"/>
        <v>7.1610000000000014</v>
      </c>
      <c r="AF97" s="145">
        <f t="shared" si="75"/>
        <v>99.750384566563568</v>
      </c>
      <c r="AG97" s="772">
        <f t="shared" si="76"/>
        <v>181.34671081672445</v>
      </c>
      <c r="AH97" s="1253">
        <f t="shared" si="77"/>
        <v>121.218</v>
      </c>
      <c r="AI97" s="1253">
        <f t="shared" si="78"/>
        <v>138.42400000000001</v>
      </c>
      <c r="AJ97" s="156">
        <f t="shared" si="79"/>
        <v>187.20034677621905</v>
      </c>
      <c r="AK97" s="156">
        <f t="shared" si="80"/>
        <v>113.10155866200914</v>
      </c>
      <c r="AM97" s="716">
        <f t="shared" si="81"/>
        <v>14159.571607198375</v>
      </c>
      <c r="AN97" s="716" t="str">
        <f>_xlfn.XLOOKUP(D97,RUC!$B$3:$B$578,RUC!$M$3:$M$578)</f>
        <v>Ronald Miranda</v>
      </c>
      <c r="AO97" s="1167" t="s">
        <v>2278</v>
      </c>
      <c r="AP97" t="s">
        <v>4329</v>
      </c>
      <c r="AQ97" t="s">
        <v>2454</v>
      </c>
    </row>
    <row r="98" spans="1:43" ht="15" customHeight="1">
      <c r="A98" s="747" t="s">
        <v>4314</v>
      </c>
      <c r="B98" s="1447">
        <v>46041</v>
      </c>
      <c r="C98" s="1447">
        <v>46033</v>
      </c>
      <c r="D98" t="s">
        <v>2444</v>
      </c>
      <c r="E98" s="762">
        <f>_xlfn.XLOOKUP(D98,RUC!$B$3:$B$123,RUC!$D$3:$D$123)</f>
        <v>20608774000</v>
      </c>
      <c r="G98" s="1082">
        <v>426</v>
      </c>
      <c r="H98" s="762" t="s">
        <v>108</v>
      </c>
      <c r="I98" s="703">
        <v>13.05</v>
      </c>
      <c r="J98" s="596">
        <v>15</v>
      </c>
      <c r="K98" s="703">
        <f t="shared" si="70"/>
        <v>11.093</v>
      </c>
      <c r="L98" s="1192">
        <v>0.45500000000000002</v>
      </c>
      <c r="M98" s="994">
        <f t="shared" si="66"/>
        <v>0.42799999999999999</v>
      </c>
      <c r="N98" s="1196">
        <f t="shared" si="67"/>
        <v>0.42799999999999999</v>
      </c>
      <c r="O98" s="645">
        <f t="shared" si="68"/>
        <v>0.42799999999999999</v>
      </c>
      <c r="P98" s="727">
        <v>90</v>
      </c>
      <c r="Q98" s="1476">
        <v>93.85</v>
      </c>
      <c r="R98" s="706">
        <v>4612.95</v>
      </c>
      <c r="S98" s="765">
        <f>IF((_xlfn.XLOOKUP(D98,RUC!$B$3:$B$119,RUC!$E$3:$E$119)+ROUNDDOWN(O98,1)*100)&lt;95,95,((_xlfn.XLOOKUP(D98,RUC!$B$3:$B$119,RUC!$E$3:$E$119)+ROUNDDOWN(O98,1)*100)))</f>
        <v>125</v>
      </c>
      <c r="U98" s="1146">
        <f>_xlfn.XLOOKUP(D98,RUC!$B$3:$B$123,RUC!$F$3:$F$123)</f>
        <v>120</v>
      </c>
      <c r="V98" s="715">
        <v>1.1023000000000001</v>
      </c>
      <c r="Y98" s="1034">
        <v>30</v>
      </c>
      <c r="Z98" s="709">
        <v>40</v>
      </c>
      <c r="AA98" s="144">
        <f t="shared" si="71"/>
        <v>70</v>
      </c>
      <c r="AB98" s="145">
        <f t="shared" si="72"/>
        <v>1692.7848479819997</v>
      </c>
      <c r="AC98" s="145">
        <f>+(S98-T98)*V98-'data 1'!$F$4</f>
        <v>57.787499999999994</v>
      </c>
      <c r="AD98" s="145">
        <f t="shared" si="73"/>
        <v>86.756798866237375</v>
      </c>
      <c r="AE98" s="145">
        <f t="shared" si="74"/>
        <v>7.1610000000000014</v>
      </c>
      <c r="AF98" s="145">
        <f t="shared" si="75"/>
        <v>125.49587012250763</v>
      </c>
      <c r="AG98" s="772">
        <f t="shared" si="76"/>
        <v>294.201168988745</v>
      </c>
      <c r="AH98" s="1253">
        <f t="shared" si="77"/>
        <v>162.40700000000001</v>
      </c>
      <c r="AI98" s="1253">
        <f t="shared" si="78"/>
        <v>173.04900000000001</v>
      </c>
      <c r="AJ98" s="156">
        <f t="shared" si="79"/>
        <v>241.49334826776257</v>
      </c>
      <c r="AK98" s="156">
        <f t="shared" si="80"/>
        <v>146.50227227280797</v>
      </c>
      <c r="AM98" s="716">
        <f t="shared" si="81"/>
        <v>18778.062318664324</v>
      </c>
      <c r="AN98" s="716" t="str">
        <f>_xlfn.XLOOKUP(D98,RUC!$B$3:$B$578,RUC!$M$3:$M$578)</f>
        <v>Ronald Miranda</v>
      </c>
      <c r="AO98" s="1167" t="s">
        <v>2278</v>
      </c>
      <c r="AP98" t="s">
        <v>4329</v>
      </c>
      <c r="AQ98" t="s">
        <v>2454</v>
      </c>
    </row>
    <row r="99" spans="1:43" ht="15" customHeight="1">
      <c r="A99" s="747" t="s">
        <v>4345</v>
      </c>
      <c r="B99" s="1447">
        <v>46043</v>
      </c>
      <c r="C99" s="1447">
        <v>46034</v>
      </c>
      <c r="D99" t="s">
        <v>1967</v>
      </c>
      <c r="E99" s="762">
        <f>_xlfn.XLOOKUP(D99,RUC!$B$3:$B$123,RUC!$D$3:$D$123)</f>
        <v>20601769396</v>
      </c>
      <c r="G99" s="1082">
        <v>64</v>
      </c>
      <c r="H99" s="762" t="s">
        <v>2005</v>
      </c>
      <c r="I99" s="703">
        <v>6.11</v>
      </c>
      <c r="J99" s="596">
        <v>9.5</v>
      </c>
      <c r="K99" s="703">
        <f t="shared" si="70"/>
        <v>5.53</v>
      </c>
      <c r="L99" s="1192">
        <v>0.153</v>
      </c>
      <c r="M99" s="994">
        <f t="shared" si="66"/>
        <v>0.13400000000000001</v>
      </c>
      <c r="N99" s="1196">
        <f t="shared" si="67"/>
        <v>0.13400000000000001</v>
      </c>
      <c r="O99" s="645">
        <f t="shared" ref="O99:O110" si="82">+ROUND((M99+N99)/2,3)</f>
        <v>0.13400000000000001</v>
      </c>
      <c r="P99" s="727">
        <v>85</v>
      </c>
      <c r="Q99" s="1476">
        <v>91.5</v>
      </c>
      <c r="R99" s="706">
        <v>4612.95</v>
      </c>
      <c r="S99" s="765">
        <f>IF((_xlfn.XLOOKUP(D99,RUC!$B$3:$B$119,RUC!$E$3:$E$119)+ROUNDDOWN(O99,1)*100)&lt;95,95,((_xlfn.XLOOKUP(D99,RUC!$B$3:$B$119,RUC!$E$3:$E$119)+ROUNDDOWN(O99,1)*100)))</f>
        <v>100</v>
      </c>
      <c r="U99" s="1146">
        <f>_xlfn.XLOOKUP(D99,RUC!$B$3:$B$123,RUC!$F$3:$F$123)</f>
        <v>120</v>
      </c>
      <c r="V99" s="715">
        <v>1.1023000000000001</v>
      </c>
      <c r="Y99" s="1034">
        <v>30</v>
      </c>
      <c r="Z99" s="709">
        <v>40</v>
      </c>
      <c r="AA99" s="144">
        <f t="shared" si="71"/>
        <v>70</v>
      </c>
      <c r="AB99" s="145">
        <f t="shared" si="72"/>
        <v>376.7077236115</v>
      </c>
      <c r="AC99" s="145">
        <f>+(S99-T99)*V99-'data 1'!$F$4</f>
        <v>30.230000000000004</v>
      </c>
      <c r="AD99" s="145">
        <f t="shared" si="73"/>
        <v>49.253396016825</v>
      </c>
      <c r="AE99" s="145">
        <f t="shared" si="74"/>
        <v>7.1610000000000014</v>
      </c>
      <c r="AF99" s="145">
        <f t="shared" si="75"/>
        <v>86.10058217722495</v>
      </c>
      <c r="AG99" s="772">
        <f t="shared" ref="AG99:AG105" si="83">AC99+AD99+AE99+AF99+70-53</f>
        <v>189.74497819404996</v>
      </c>
      <c r="AH99" s="1253">
        <f t="shared" si="77"/>
        <v>26.542999999999999</v>
      </c>
      <c r="AI99" s="1253">
        <f t="shared" si="78"/>
        <v>29.009</v>
      </c>
      <c r="AJ99" s="156">
        <f t="shared" si="79"/>
        <v>79.172074424925029</v>
      </c>
      <c r="AK99" s="156">
        <f t="shared" si="80"/>
        <v>21.595234514889352</v>
      </c>
      <c r="AM99" s="716">
        <f t="shared" si="81"/>
        <v>2083.193711571595</v>
      </c>
      <c r="AN99" s="716" t="str">
        <f>_xlfn.XLOOKUP(D99,RUC!$B$3:$B$578,RUC!$M$3:$M$578)</f>
        <v>Evelyn</v>
      </c>
      <c r="AO99" s="1167" t="s">
        <v>2280</v>
      </c>
      <c r="AP99" t="s">
        <v>4361</v>
      </c>
      <c r="AQ99" t="s">
        <v>4362</v>
      </c>
    </row>
    <row r="100" spans="1:43" ht="15" customHeight="1">
      <c r="A100" s="747" t="s">
        <v>4346</v>
      </c>
      <c r="B100" s="1447">
        <v>46043</v>
      </c>
      <c r="C100" s="1447">
        <v>46034</v>
      </c>
      <c r="D100" t="s">
        <v>1967</v>
      </c>
      <c r="E100" s="762">
        <f>_xlfn.XLOOKUP(D100,RUC!$B$3:$B$123,RUC!$D$3:$D$123)</f>
        <v>20601769396</v>
      </c>
      <c r="G100" s="1082">
        <v>64</v>
      </c>
      <c r="H100" s="762" t="s">
        <v>2005</v>
      </c>
      <c r="I100" s="703">
        <v>6.19</v>
      </c>
      <c r="J100" s="596">
        <v>9.1</v>
      </c>
      <c r="K100" s="703">
        <f t="shared" si="70"/>
        <v>5.6269999999999998</v>
      </c>
      <c r="L100" s="1192">
        <v>0.123</v>
      </c>
      <c r="M100" s="994">
        <f t="shared" si="66"/>
        <v>0.104</v>
      </c>
      <c r="N100" s="1196">
        <f t="shared" si="67"/>
        <v>0.104</v>
      </c>
      <c r="O100" s="645">
        <f t="shared" si="82"/>
        <v>0.104</v>
      </c>
      <c r="P100" s="727">
        <v>80</v>
      </c>
      <c r="Q100" s="1476">
        <v>91.87</v>
      </c>
      <c r="R100" s="706">
        <v>4612.95</v>
      </c>
      <c r="S100" s="765">
        <f>IF((_xlfn.XLOOKUP(D100,RUC!$B$3:$B$119,RUC!$E$3:$E$119)+ROUNDDOWN(O100,1)*100)&lt;95,95,((_xlfn.XLOOKUP(D100,RUC!$B$3:$B$119,RUC!$E$3:$E$119)+ROUNDDOWN(O100,1)*100)))</f>
        <v>100</v>
      </c>
      <c r="U100" s="1146">
        <f>_xlfn.XLOOKUP(D100,RUC!$B$3:$B$123,RUC!$F$3:$F$123)</f>
        <v>120</v>
      </c>
      <c r="V100" s="715">
        <v>1.1023000000000001</v>
      </c>
      <c r="Y100" s="1034">
        <v>30</v>
      </c>
      <c r="Z100" s="709">
        <v>40</v>
      </c>
      <c r="AA100" s="144">
        <f t="shared" si="71"/>
        <v>70</v>
      </c>
      <c r="AB100" s="145">
        <f t="shared" si="72"/>
        <v>224.66355491199997</v>
      </c>
      <c r="AC100" s="145">
        <f>+(S100-T100)*V100-'data 1'!$F$4</f>
        <v>30.230000000000004</v>
      </c>
      <c r="AD100" s="145">
        <f t="shared" si="73"/>
        <v>72.308145518878533</v>
      </c>
      <c r="AE100" s="145">
        <f t="shared" si="74"/>
        <v>7.1610000000000014</v>
      </c>
      <c r="AF100" s="145">
        <f t="shared" si="75"/>
        <v>86.44874846581051</v>
      </c>
      <c r="AG100" s="772">
        <f t="shared" si="83"/>
        <v>213.14789398468906</v>
      </c>
      <c r="AH100" s="1253">
        <f t="shared" si="77"/>
        <v>21.8</v>
      </c>
      <c r="AI100" s="1253">
        <f t="shared" si="78"/>
        <v>23.73</v>
      </c>
      <c r="AJ100" s="156">
        <f t="shared" si="79"/>
        <v>63.905513248501528</v>
      </c>
      <c r="AK100" s="156">
        <f t="shared" si="80"/>
        <v>16.05126669597152</v>
      </c>
      <c r="AM100" s="716">
        <f t="shared" si="81"/>
        <v>1264.1818234898237</v>
      </c>
      <c r="AN100" s="716" t="str">
        <f>_xlfn.XLOOKUP(D100,RUC!$B$3:$B$578,RUC!$M$3:$M$578)</f>
        <v>Evelyn</v>
      </c>
      <c r="AO100" s="1167" t="s">
        <v>2280</v>
      </c>
      <c r="AP100" t="s">
        <v>4361</v>
      </c>
      <c r="AQ100" t="s">
        <v>4362</v>
      </c>
    </row>
    <row r="101" spans="1:43" ht="15" customHeight="1">
      <c r="A101" s="747" t="s">
        <v>4347</v>
      </c>
      <c r="B101" s="1447">
        <v>46047</v>
      </c>
      <c r="C101" s="1447">
        <v>46034</v>
      </c>
      <c r="D101" t="s">
        <v>1967</v>
      </c>
      <c r="E101" s="762">
        <f>_xlfn.XLOOKUP(D101,RUC!$B$3:$B$123,RUC!$D$3:$D$123)</f>
        <v>20601769396</v>
      </c>
      <c r="G101" s="1082">
        <v>40</v>
      </c>
      <c r="H101" s="1635" t="s">
        <v>2005</v>
      </c>
      <c r="I101" s="703">
        <v>2.81</v>
      </c>
      <c r="J101" s="596">
        <v>13.7</v>
      </c>
      <c r="K101" s="703">
        <f t="shared" si="70"/>
        <v>2.4249999999999998</v>
      </c>
      <c r="L101" s="1192">
        <v>0.26</v>
      </c>
      <c r="M101" s="994">
        <f t="shared" si="66"/>
        <v>0.24099999999999999</v>
      </c>
      <c r="N101" s="1196">
        <f t="shared" si="67"/>
        <v>0.24099999999999999</v>
      </c>
      <c r="O101" s="645">
        <f t="shared" si="82"/>
        <v>0.24099999999999999</v>
      </c>
      <c r="P101" s="727">
        <v>90</v>
      </c>
      <c r="Q101" s="1476">
        <v>95.38</v>
      </c>
      <c r="R101" s="706">
        <v>4612.95</v>
      </c>
      <c r="S101" s="765">
        <f>IF((_xlfn.XLOOKUP(D101,RUC!$B$3:$B$119,RUC!$E$3:$E$119)+ROUNDDOWN(O101,1)*100)&lt;95,95,((_xlfn.XLOOKUP(D101,RUC!$B$3:$B$119,RUC!$E$3:$E$119)+ROUNDDOWN(O101,1)*100)))</f>
        <v>110</v>
      </c>
      <c r="U101" s="1146">
        <f>_xlfn.XLOOKUP(D101,RUC!$B$3:$B$123,RUC!$F$3:$F$123)</f>
        <v>120</v>
      </c>
      <c r="V101" s="715">
        <v>1.1023000000000001</v>
      </c>
      <c r="Y101" s="1034">
        <v>30</v>
      </c>
      <c r="Z101" s="709">
        <v>40</v>
      </c>
      <c r="AA101" s="144">
        <f t="shared" si="71"/>
        <v>70</v>
      </c>
      <c r="AB101" s="145">
        <f t="shared" si="72"/>
        <v>875.80033846649985</v>
      </c>
      <c r="AC101" s="145">
        <f>+(S101-T101)*V101-'data 1'!$F$4</f>
        <v>41.253</v>
      </c>
      <c r="AD101" s="145">
        <f t="shared" si="73"/>
        <v>69.276672044579939</v>
      </c>
      <c r="AE101" s="145">
        <f t="shared" si="74"/>
        <v>7.1610000000000014</v>
      </c>
      <c r="AF101" s="145">
        <f t="shared" si="75"/>
        <v>89.751623257527086</v>
      </c>
      <c r="AG101" s="772">
        <f t="shared" si="83"/>
        <v>224.44229530210703</v>
      </c>
      <c r="AH101" s="1253">
        <f t="shared" si="77"/>
        <v>20.617999999999999</v>
      </c>
      <c r="AI101" s="1253">
        <f t="shared" si="78"/>
        <v>21.617000000000001</v>
      </c>
      <c r="AJ101" s="156">
        <f t="shared" si="79"/>
        <v>140.24589729982006</v>
      </c>
      <c r="AK101" s="156">
        <f t="shared" si="80"/>
        <v>18.033514120009123</v>
      </c>
      <c r="AM101" s="716">
        <f t="shared" si="81"/>
        <v>2123.8158207812621</v>
      </c>
      <c r="AN101" s="716" t="str">
        <f>_xlfn.XLOOKUP(D101,RUC!$B$3:$B$578,RUC!$M$3:$M$578)</f>
        <v>Evelyn</v>
      </c>
      <c r="AO101" s="1167" t="s">
        <v>2280</v>
      </c>
      <c r="AP101" t="s">
        <v>3661</v>
      </c>
      <c r="AQ101" t="s">
        <v>4363</v>
      </c>
    </row>
    <row r="102" spans="1:43" ht="15" customHeight="1">
      <c r="A102" s="747" t="s">
        <v>4348</v>
      </c>
      <c r="B102" s="1447">
        <v>46047</v>
      </c>
      <c r="C102" s="1447">
        <v>46034</v>
      </c>
      <c r="D102" t="s">
        <v>1967</v>
      </c>
      <c r="E102" s="762">
        <f>_xlfn.XLOOKUP(D102,RUC!$B$3:$B$123,RUC!$D$3:$D$123)</f>
        <v>20601769396</v>
      </c>
      <c r="G102" s="1082">
        <v>40</v>
      </c>
      <c r="H102" s="1635" t="s">
        <v>2005</v>
      </c>
      <c r="I102" s="703">
        <v>2.73</v>
      </c>
      <c r="J102" s="596">
        <v>11.5</v>
      </c>
      <c r="K102" s="703">
        <f t="shared" si="70"/>
        <v>2.4159999999999999</v>
      </c>
      <c r="L102" s="1192">
        <v>0.29099999999999998</v>
      </c>
      <c r="M102" s="994">
        <f t="shared" si="66"/>
        <v>0.27200000000000002</v>
      </c>
      <c r="N102" s="1196">
        <f t="shared" si="67"/>
        <v>0.27200000000000002</v>
      </c>
      <c r="O102" s="645">
        <f t="shared" si="82"/>
        <v>0.27200000000000002</v>
      </c>
      <c r="P102" s="727">
        <v>90</v>
      </c>
      <c r="Q102" s="1476">
        <v>95.88</v>
      </c>
      <c r="R102" s="706">
        <v>4612.95</v>
      </c>
      <c r="S102" s="765">
        <f>IF((_xlfn.XLOOKUP(D102,RUC!$B$3:$B$119,RUC!$E$3:$E$119)+ROUNDDOWN(O102,1)*100)&lt;95,95,((_xlfn.XLOOKUP(D102,RUC!$B$3:$B$119,RUC!$E$3:$E$119)+ROUNDDOWN(O102,1)*100)))</f>
        <v>110</v>
      </c>
      <c r="U102" s="1146">
        <f>_xlfn.XLOOKUP(D102,RUC!$B$3:$B$123,RUC!$F$3:$F$123)</f>
        <v>120</v>
      </c>
      <c r="V102" s="715">
        <v>1.1023000000000001</v>
      </c>
      <c r="Y102" s="1034">
        <v>30</v>
      </c>
      <c r="Z102" s="709">
        <v>40</v>
      </c>
      <c r="AA102" s="144">
        <f t="shared" si="71"/>
        <v>70</v>
      </c>
      <c r="AB102" s="145">
        <f t="shared" si="72"/>
        <v>1013.9772865680002</v>
      </c>
      <c r="AC102" s="145">
        <f>+(S102-T102)*V102-'data 1'!$F$4</f>
        <v>41.253</v>
      </c>
      <c r="AD102" s="145">
        <f t="shared" si="73"/>
        <v>84.742585074377928</v>
      </c>
      <c r="AE102" s="145">
        <f t="shared" si="74"/>
        <v>7.1610000000000014</v>
      </c>
      <c r="AF102" s="145">
        <f t="shared" si="75"/>
        <v>90.2221182421018</v>
      </c>
      <c r="AG102" s="772">
        <f t="shared" si="83"/>
        <v>240.37870331647969</v>
      </c>
      <c r="AH102" s="1253">
        <f t="shared" si="77"/>
        <v>23.111000000000001</v>
      </c>
      <c r="AI102" s="1253">
        <f t="shared" si="78"/>
        <v>24.105</v>
      </c>
      <c r="AJ102" s="156">
        <f t="shared" si="79"/>
        <v>157.79037696316203</v>
      </c>
      <c r="AK102" s="156">
        <f t="shared" si="80"/>
        <v>20.277640195050239</v>
      </c>
      <c r="AM102" s="716">
        <f t="shared" si="81"/>
        <v>2449.7691243482882</v>
      </c>
      <c r="AN102" s="716" t="str">
        <f>_xlfn.XLOOKUP(D102,RUC!$B$3:$B$578,RUC!$M$3:$M$578)</f>
        <v>Evelyn</v>
      </c>
      <c r="AO102" s="1167" t="s">
        <v>2280</v>
      </c>
      <c r="AP102" t="s">
        <v>3661</v>
      </c>
      <c r="AQ102" t="s">
        <v>4363</v>
      </c>
    </row>
    <row r="103" spans="1:43" ht="15" customHeight="1">
      <c r="A103" s="747" t="s">
        <v>4349</v>
      </c>
      <c r="B103" s="1447">
        <v>46047</v>
      </c>
      <c r="C103" s="1447">
        <v>46034</v>
      </c>
      <c r="D103" t="s">
        <v>1967</v>
      </c>
      <c r="E103" s="762">
        <f>_xlfn.XLOOKUP(D103,RUC!$B$3:$B$123,RUC!$D$3:$D$123)</f>
        <v>20601769396</v>
      </c>
      <c r="G103" s="1082">
        <v>40</v>
      </c>
      <c r="H103" s="1635" t="s">
        <v>2005</v>
      </c>
      <c r="I103" s="703">
        <v>2.75</v>
      </c>
      <c r="J103" s="596">
        <v>10.7</v>
      </c>
      <c r="K103" s="703">
        <f t="shared" si="70"/>
        <v>2.456</v>
      </c>
      <c r="L103" s="1192">
        <v>0.28999999999999998</v>
      </c>
      <c r="M103" s="994">
        <f t="shared" si="66"/>
        <v>0.27100000000000002</v>
      </c>
      <c r="N103" s="1196">
        <f t="shared" si="67"/>
        <v>0.27100000000000002</v>
      </c>
      <c r="O103" s="645">
        <f t="shared" si="82"/>
        <v>0.27100000000000002</v>
      </c>
      <c r="P103" s="727">
        <v>90</v>
      </c>
      <c r="Q103" s="1476">
        <v>96.9</v>
      </c>
      <c r="R103" s="706">
        <v>4612.95</v>
      </c>
      <c r="S103" s="765">
        <f>IF((_xlfn.XLOOKUP(D103,RUC!$B$3:$B$119,RUC!$E$3:$E$119)+ROUNDDOWN(O103,1)*100)&lt;95,95,((_xlfn.XLOOKUP(D103,RUC!$B$3:$B$119,RUC!$E$3:$E$119)+ROUNDDOWN(O103,1)*100)))</f>
        <v>110</v>
      </c>
      <c r="U103" s="1146">
        <f>_xlfn.XLOOKUP(D103,RUC!$B$3:$B$123,RUC!$F$3:$F$123)</f>
        <v>120</v>
      </c>
      <c r="V103" s="715">
        <v>1.1023000000000001</v>
      </c>
      <c r="Y103" s="1034">
        <v>30</v>
      </c>
      <c r="Z103" s="709">
        <v>40</v>
      </c>
      <c r="AA103" s="144">
        <f t="shared" si="71"/>
        <v>70</v>
      </c>
      <c r="AB103" s="145">
        <f t="shared" si="72"/>
        <v>1009.5199656614999</v>
      </c>
      <c r="AC103" s="145">
        <f>+(S103-T103)*V103-'data 1'!$F$4</f>
        <v>41.253</v>
      </c>
      <c r="AD103" s="145">
        <f t="shared" si="73"/>
        <v>99.101101487850087</v>
      </c>
      <c r="AE103" s="145">
        <f t="shared" si="74"/>
        <v>7.1610000000000014</v>
      </c>
      <c r="AF103" s="145">
        <f t="shared" si="75"/>
        <v>91.181928010634806</v>
      </c>
      <c r="AG103" s="772">
        <f t="shared" si="83"/>
        <v>255.69702949848488</v>
      </c>
      <c r="AH103" s="1253">
        <f t="shared" si="77"/>
        <v>23.661999999999999</v>
      </c>
      <c r="AI103" s="1253">
        <f t="shared" si="78"/>
        <v>24.419</v>
      </c>
      <c r="AJ103" s="156">
        <f t="shared" si="79"/>
        <v>158.92099456515007</v>
      </c>
      <c r="AK103" s="156">
        <f t="shared" si="80"/>
        <v>20.537578293090125</v>
      </c>
      <c r="AM103" s="716">
        <f t="shared" si="81"/>
        <v>2479.3810356646436</v>
      </c>
      <c r="AN103" s="716" t="str">
        <f>_xlfn.XLOOKUP(D103,RUC!$B$3:$B$578,RUC!$M$3:$M$578)</f>
        <v>Evelyn</v>
      </c>
      <c r="AO103" s="1167" t="s">
        <v>2280</v>
      </c>
      <c r="AP103" t="s">
        <v>3661</v>
      </c>
      <c r="AQ103" t="s">
        <v>4363</v>
      </c>
    </row>
    <row r="104" spans="1:43" ht="15" customHeight="1">
      <c r="A104" s="747" t="s">
        <v>4350</v>
      </c>
      <c r="B104" s="1447">
        <v>46047</v>
      </c>
      <c r="C104" s="1447">
        <v>46034</v>
      </c>
      <c r="D104" t="s">
        <v>1967</v>
      </c>
      <c r="E104" s="762">
        <f>_xlfn.XLOOKUP(D104,RUC!$B$3:$B$123,RUC!$D$3:$D$123)</f>
        <v>20601769396</v>
      </c>
      <c r="G104" s="1082">
        <v>40</v>
      </c>
      <c r="H104" s="1635" t="s">
        <v>2005</v>
      </c>
      <c r="I104" s="703">
        <v>2.76</v>
      </c>
      <c r="J104" s="596">
        <v>11.2</v>
      </c>
      <c r="K104" s="703">
        <f t="shared" si="70"/>
        <v>2.4510000000000001</v>
      </c>
      <c r="L104" s="1192">
        <v>0.34599999999999997</v>
      </c>
      <c r="M104" s="994">
        <f t="shared" si="66"/>
        <v>0.32500000000000001</v>
      </c>
      <c r="N104" s="1196">
        <f t="shared" si="67"/>
        <v>0.32500000000000001</v>
      </c>
      <c r="O104" s="645">
        <f t="shared" si="82"/>
        <v>0.32500000000000001</v>
      </c>
      <c r="P104" s="727">
        <v>90</v>
      </c>
      <c r="Q104" s="1476">
        <v>97.4</v>
      </c>
      <c r="R104" s="706">
        <v>4612.95</v>
      </c>
      <c r="S104" s="765">
        <f>IF((_xlfn.XLOOKUP(D104,RUC!$B$3:$B$119,RUC!$E$3:$E$119)+ROUNDDOWN(O104,1)*100)&lt;95,95,((_xlfn.XLOOKUP(D104,RUC!$B$3:$B$119,RUC!$E$3:$E$119)+ROUNDDOWN(O104,1)*100)))</f>
        <v>120</v>
      </c>
      <c r="U104" s="1146">
        <f>_xlfn.XLOOKUP(D104,RUC!$B$3:$B$123,RUC!$F$3:$F$123)</f>
        <v>120</v>
      </c>
      <c r="V104" s="715">
        <v>1.1023000000000001</v>
      </c>
      <c r="Y104" s="1034">
        <v>30</v>
      </c>
      <c r="Z104" s="709">
        <v>40</v>
      </c>
      <c r="AA104" s="144">
        <f t="shared" si="71"/>
        <v>70</v>
      </c>
      <c r="AB104" s="145">
        <f t="shared" si="72"/>
        <v>1239.1922946125001</v>
      </c>
      <c r="AC104" s="145">
        <f>+(S104-T104)*V104-'data 1'!$F$4</f>
        <v>52.27600000000001</v>
      </c>
      <c r="AD104" s="145">
        <f t="shared" si="73"/>
        <v>126.8058272111401</v>
      </c>
      <c r="AE104" s="145">
        <f t="shared" si="74"/>
        <v>7.1610000000000014</v>
      </c>
      <c r="AF104" s="145">
        <f t="shared" si="75"/>
        <v>101.30004646838982</v>
      </c>
      <c r="AG104" s="772">
        <f t="shared" si="83"/>
        <v>304.54287367952992</v>
      </c>
      <c r="AH104" s="1253">
        <f t="shared" si="77"/>
        <v>28.32</v>
      </c>
      <c r="AI104" s="1253">
        <f t="shared" si="78"/>
        <v>29.076000000000001</v>
      </c>
      <c r="AJ104" s="156">
        <f t="shared" si="79"/>
        <v>190.58756219506009</v>
      </c>
      <c r="AK104" s="156">
        <f t="shared" si="80"/>
        <v>24.579794687335877</v>
      </c>
      <c r="AM104" s="716">
        <f t="shared" si="81"/>
        <v>3037.2603140952378</v>
      </c>
      <c r="AN104" s="716" t="str">
        <f>_xlfn.XLOOKUP(D104,RUC!$B$3:$B$578,RUC!$M$3:$M$578)</f>
        <v>Evelyn</v>
      </c>
      <c r="AO104" s="1167" t="s">
        <v>2280</v>
      </c>
      <c r="AP104" t="s">
        <v>3661</v>
      </c>
      <c r="AQ104" t="s">
        <v>4363</v>
      </c>
    </row>
    <row r="105" spans="1:43" ht="15" customHeight="1">
      <c r="A105" s="747" t="s">
        <v>4351</v>
      </c>
      <c r="B105" s="1447">
        <v>46047</v>
      </c>
      <c r="C105" s="1447">
        <v>46034</v>
      </c>
      <c r="D105" t="s">
        <v>1967</v>
      </c>
      <c r="E105" s="762">
        <f>_xlfn.XLOOKUP(D105,RUC!$B$3:$B$123,RUC!$D$3:$D$123)</f>
        <v>20601769396</v>
      </c>
      <c r="G105" s="1082">
        <v>40</v>
      </c>
      <c r="H105" s="1635" t="s">
        <v>2005</v>
      </c>
      <c r="I105" s="703">
        <v>2.76</v>
      </c>
      <c r="J105" s="596">
        <v>10.199999999999999</v>
      </c>
      <c r="K105" s="703">
        <f t="shared" si="70"/>
        <v>2.4780000000000002</v>
      </c>
      <c r="L105" s="1192">
        <v>0.247</v>
      </c>
      <c r="M105" s="994">
        <f t="shared" si="66"/>
        <v>0.22800000000000001</v>
      </c>
      <c r="N105" s="1196">
        <f t="shared" si="67"/>
        <v>0.22800000000000001</v>
      </c>
      <c r="O105" s="645">
        <f t="shared" si="82"/>
        <v>0.22800000000000001</v>
      </c>
      <c r="P105" s="727">
        <v>90</v>
      </c>
      <c r="Q105" s="1476">
        <v>95.14</v>
      </c>
      <c r="R105" s="706">
        <v>4612.95</v>
      </c>
      <c r="S105" s="765">
        <f>IF((_xlfn.XLOOKUP(D105,RUC!$B$3:$B$119,RUC!$E$3:$E$119)+ROUNDDOWN(O105,1)*100)&lt;95,95,((_xlfn.XLOOKUP(D105,RUC!$B$3:$B$119,RUC!$E$3:$E$119)+ROUNDDOWN(O105,1)*100)))</f>
        <v>110</v>
      </c>
      <c r="U105" s="1146">
        <f>_xlfn.XLOOKUP(D105,RUC!$B$3:$B$123,RUC!$F$3:$F$123)</f>
        <v>120</v>
      </c>
      <c r="V105" s="715">
        <v>1.1023000000000001</v>
      </c>
      <c r="Y105" s="1034">
        <v>30</v>
      </c>
      <c r="Z105" s="709">
        <v>40</v>
      </c>
      <c r="AA105" s="144">
        <f t="shared" si="71"/>
        <v>70</v>
      </c>
      <c r="AB105" s="145">
        <f t="shared" si="72"/>
        <v>817.85516668199989</v>
      </c>
      <c r="AC105" s="145">
        <f>+(S105-T105)*V105-'data 1'!$F$4</f>
        <v>41.253</v>
      </c>
      <c r="AD105" s="145">
        <f t="shared" si="73"/>
        <v>62.87694973860301</v>
      </c>
      <c r="AE105" s="145">
        <f t="shared" si="74"/>
        <v>7.1610000000000014</v>
      </c>
      <c r="AF105" s="145">
        <f t="shared" si="75"/>
        <v>89.52578566493095</v>
      </c>
      <c r="AG105" s="772">
        <f t="shared" si="83"/>
        <v>217.81673540353398</v>
      </c>
      <c r="AH105" s="1253">
        <f t="shared" si="77"/>
        <v>19.965</v>
      </c>
      <c r="AI105" s="1253">
        <f t="shared" si="78"/>
        <v>20.984999999999999</v>
      </c>
      <c r="AJ105" s="156">
        <f t="shared" si="79"/>
        <v>132.89835327793705</v>
      </c>
      <c r="AK105" s="156">
        <f t="shared" si="80"/>
        <v>17.433626113837082</v>
      </c>
      <c r="AM105" s="716">
        <f t="shared" si="81"/>
        <v>2026.6451030379958</v>
      </c>
      <c r="AN105" s="716" t="str">
        <f>_xlfn.XLOOKUP(D105,RUC!$B$3:$B$578,RUC!$M$3:$M$578)</f>
        <v>Evelyn</v>
      </c>
      <c r="AO105" s="1167" t="s">
        <v>2280</v>
      </c>
      <c r="AP105" t="s">
        <v>3661</v>
      </c>
      <c r="AQ105" t="s">
        <v>4363</v>
      </c>
    </row>
    <row r="106" spans="1:43" ht="15" customHeight="1">
      <c r="A106" s="1491" t="s">
        <v>4366</v>
      </c>
      <c r="C106" s="1447">
        <v>46036</v>
      </c>
      <c r="D106" t="s">
        <v>1967</v>
      </c>
      <c r="E106" s="762">
        <f>_xlfn.XLOOKUP(D106,RUC!$B$3:$B$123,RUC!$D$3:$D$123)</f>
        <v>20601769396</v>
      </c>
      <c r="G106" s="1082">
        <v>32</v>
      </c>
      <c r="H106" s="762" t="s">
        <v>2005</v>
      </c>
      <c r="I106" s="703">
        <v>2.36</v>
      </c>
      <c r="J106" s="596">
        <v>21.2</v>
      </c>
      <c r="K106" s="703">
        <f t="shared" si="70"/>
        <v>1.86</v>
      </c>
      <c r="L106" s="1192">
        <v>9.0999999999999998E-2</v>
      </c>
      <c r="M106" s="994">
        <f t="shared" si="66"/>
        <v>7.1999999999999995E-2</v>
      </c>
      <c r="N106" s="1196">
        <f t="shared" ref="N106:N110" si="84">+M106</f>
        <v>7.1999999999999995E-2</v>
      </c>
      <c r="O106" s="645">
        <f t="shared" si="82"/>
        <v>7.1999999999999995E-2</v>
      </c>
      <c r="P106" s="727">
        <v>80</v>
      </c>
      <c r="Q106" s="1476">
        <v>85.71</v>
      </c>
      <c r="R106" s="706">
        <v>4606.5</v>
      </c>
      <c r="S106" s="765">
        <f>IF((_xlfn.XLOOKUP(D106,RUC!$B$3:$B$119,RUC!$E$3:$E$119)+ROUNDDOWN(O106,1)*100)&lt;95,95,((_xlfn.XLOOKUP(D106,RUC!$B$3:$B$119,RUC!$E$3:$E$119)+ROUNDDOWN(O106,1)*100)))</f>
        <v>95</v>
      </c>
      <c r="U106" s="1146">
        <f>_xlfn.XLOOKUP(D106,RUC!$B$3:$B$123,RUC!$F$3:$F$123)</f>
        <v>120</v>
      </c>
      <c r="V106" s="715">
        <v>1.1023000000000001</v>
      </c>
      <c r="Y106">
        <f>_xlfn.XLOOKUP(D106,RUC!$B$3:$B$123,RUC!$G$3:$G$123)</f>
        <v>20</v>
      </c>
      <c r="Z106" s="143">
        <f>_xlfn.XLOOKUP(D106,RUC!$B$3:$B$123,RUC!$H$3:$H$123)</f>
        <v>30</v>
      </c>
      <c r="AA106" s="144">
        <f t="shared" si="71"/>
        <v>50</v>
      </c>
      <c r="AB106" s="145">
        <v>0</v>
      </c>
      <c r="AC106" s="145">
        <f>+(S106-T106)*V106-'data 1'!$F$4</f>
        <v>24.718500000000006</v>
      </c>
      <c r="AD106" s="145">
        <f t="shared" si="73"/>
        <v>25.697151211094976</v>
      </c>
      <c r="AE106" s="145">
        <f t="shared" si="74"/>
        <v>-14.884999999999998</v>
      </c>
      <c r="AF106" s="145">
        <f t="shared" si="75"/>
        <v>80.536467303855005</v>
      </c>
      <c r="AG106" s="772">
        <f>AC106+AD106+AE106+AF106+70-53+125.03</f>
        <v>258.09711851495001</v>
      </c>
      <c r="AH106" s="1253">
        <f t="shared" si="77"/>
        <v>4.9740000000000002</v>
      </c>
      <c r="AI106" s="1253">
        <f t="shared" si="78"/>
        <v>5.8029999999999999</v>
      </c>
      <c r="AJ106" s="156">
        <f t="shared" si="79"/>
        <v>44.664064985084998</v>
      </c>
      <c r="AK106" s="156">
        <f t="shared" si="80"/>
        <v>3.6731993341248006</v>
      </c>
      <c r="AM106" s="716">
        <f t="shared" si="81"/>
        <v>0</v>
      </c>
      <c r="AN106" s="716" t="str">
        <f>_xlfn.XLOOKUP(D106,RUC!$B$3:$B$578,RUC!$M$3:$M$578)</f>
        <v>Evelyn</v>
      </c>
      <c r="AO106" s="1167" t="s">
        <v>2280</v>
      </c>
      <c r="AP106" t="s">
        <v>4072</v>
      </c>
      <c r="AQ106" t="s">
        <v>4378</v>
      </c>
    </row>
    <row r="107" spans="1:43" ht="15" customHeight="1">
      <c r="A107" s="1491" t="s">
        <v>4367</v>
      </c>
      <c r="C107" s="1447">
        <v>46036</v>
      </c>
      <c r="D107" t="s">
        <v>1967</v>
      </c>
      <c r="E107" s="762">
        <f>_xlfn.XLOOKUP(D107,RUC!$B$3:$B$123,RUC!$D$3:$D$123)</f>
        <v>20601769396</v>
      </c>
      <c r="G107" s="1082">
        <v>32</v>
      </c>
      <c r="H107" s="762" t="s">
        <v>2005</v>
      </c>
      <c r="I107" s="703">
        <v>2.36</v>
      </c>
      <c r="J107" s="596">
        <v>20.9</v>
      </c>
      <c r="K107" s="703">
        <f t="shared" si="70"/>
        <v>1.867</v>
      </c>
      <c r="L107" s="1192">
        <v>9.5000000000000001E-2</v>
      </c>
      <c r="M107" s="994">
        <f t="shared" si="66"/>
        <v>7.5999999999999998E-2</v>
      </c>
      <c r="N107" s="1196">
        <f t="shared" si="84"/>
        <v>7.5999999999999998E-2</v>
      </c>
      <c r="O107" s="645">
        <f t="shared" si="82"/>
        <v>7.5999999999999998E-2</v>
      </c>
      <c r="P107" s="727">
        <v>80</v>
      </c>
      <c r="Q107" s="1476">
        <v>85.26</v>
      </c>
      <c r="R107" s="706">
        <v>4606.5</v>
      </c>
      <c r="S107" s="765">
        <f>IF((_xlfn.XLOOKUP(D107,RUC!$B$3:$B$119,RUC!$E$3:$E$119)+ROUNDDOWN(O107,1)*100)&lt;95,95,((_xlfn.XLOOKUP(D107,RUC!$B$3:$B$119,RUC!$E$3:$E$119)+ROUNDDOWN(O107,1)*100)))</f>
        <v>95</v>
      </c>
      <c r="U107" s="1146">
        <f>_xlfn.XLOOKUP(D107,RUC!$B$3:$B$123,RUC!$F$3:$F$123)</f>
        <v>120</v>
      </c>
      <c r="V107" s="715">
        <v>1.1023000000000001</v>
      </c>
      <c r="Y107">
        <f>_xlfn.XLOOKUP(D107,RUC!$B$3:$B$123,RUC!$G$3:$G$123)</f>
        <v>20</v>
      </c>
      <c r="Z107" s="143">
        <f>_xlfn.XLOOKUP(D107,RUC!$B$3:$B$123,RUC!$H$3:$H$123)</f>
        <v>30</v>
      </c>
      <c r="AA107" s="144">
        <f t="shared" si="71"/>
        <v>50</v>
      </c>
      <c r="AB107" s="145">
        <v>0</v>
      </c>
      <c r="AC107" s="145">
        <f>+(S107-T107)*V107-'data 1'!$F$4</f>
        <v>24.718500000000006</v>
      </c>
      <c r="AD107" s="145">
        <f t="shared" si="73"/>
        <v>24.712508343150024</v>
      </c>
      <c r="AE107" s="145">
        <f t="shared" si="74"/>
        <v>-14.884999999999998</v>
      </c>
      <c r="AF107" s="145">
        <f t="shared" si="75"/>
        <v>80.113629708630015</v>
      </c>
      <c r="AG107" s="772">
        <f>AC107+AD107+AE107+AF107+70-53+140.85</f>
        <v>272.50963805178003</v>
      </c>
      <c r="AH107" s="1253">
        <f t="shared" si="77"/>
        <v>5.1849999999999996</v>
      </c>
      <c r="AI107" s="1253">
        <f t="shared" si="78"/>
        <v>6.0810000000000004</v>
      </c>
      <c r="AJ107" s="156">
        <f t="shared" si="79"/>
        <v>46.38251491545001</v>
      </c>
      <c r="AK107" s="156">
        <f t="shared" si="80"/>
        <v>3.89185782495248</v>
      </c>
      <c r="AM107" s="716">
        <f t="shared" si="81"/>
        <v>0</v>
      </c>
      <c r="AN107" s="716" t="str">
        <f>_xlfn.XLOOKUP(D107,RUC!$B$3:$B$578,RUC!$M$3:$M$578)</f>
        <v>Evelyn</v>
      </c>
      <c r="AO107" s="1167" t="s">
        <v>2280</v>
      </c>
      <c r="AP107" t="s">
        <v>4072</v>
      </c>
      <c r="AQ107" t="s">
        <v>4378</v>
      </c>
    </row>
    <row r="108" spans="1:43" ht="15" customHeight="1">
      <c r="A108" s="1491" t="s">
        <v>4368</v>
      </c>
      <c r="C108" s="1447">
        <v>46036</v>
      </c>
      <c r="D108" t="s">
        <v>1967</v>
      </c>
      <c r="E108" s="762">
        <f>_xlfn.XLOOKUP(D108,RUC!$B$3:$B$123,RUC!$D$3:$D$123)</f>
        <v>20601769396</v>
      </c>
      <c r="G108" s="1082">
        <v>32</v>
      </c>
      <c r="H108" s="762" t="s">
        <v>2005</v>
      </c>
      <c r="I108" s="703">
        <v>2.2400000000000002</v>
      </c>
      <c r="J108" s="596">
        <v>24.2</v>
      </c>
      <c r="K108" s="703">
        <f t="shared" si="70"/>
        <v>1.698</v>
      </c>
      <c r="L108" s="1192">
        <v>6.2E-2</v>
      </c>
      <c r="M108" s="994">
        <f t="shared" si="66"/>
        <v>4.2999999999999997E-2</v>
      </c>
      <c r="N108" s="1196">
        <f t="shared" si="84"/>
        <v>4.2999999999999997E-2</v>
      </c>
      <c r="O108" s="645">
        <f t="shared" si="82"/>
        <v>4.2999999999999997E-2</v>
      </c>
      <c r="P108" s="727">
        <v>80</v>
      </c>
      <c r="Q108" s="1476">
        <v>79.03</v>
      </c>
      <c r="R108" s="706">
        <v>4606.5</v>
      </c>
      <c r="S108" s="765">
        <f>IF((_xlfn.XLOOKUP(D108,RUC!$B$3:$B$119,RUC!$E$3:$E$119)+ROUNDDOWN(O108,1)*100)&lt;95,95,((_xlfn.XLOOKUP(D108,RUC!$B$3:$B$119,RUC!$E$3:$E$119)+ROUNDDOWN(O108,1)*100)))</f>
        <v>95</v>
      </c>
      <c r="U108" s="1146">
        <f>_xlfn.XLOOKUP(D108,RUC!$B$3:$B$123,RUC!$F$3:$F$123)</f>
        <v>120</v>
      </c>
      <c r="V108" s="715">
        <v>1.1023000000000001</v>
      </c>
      <c r="Y108">
        <f>_xlfn.XLOOKUP(D108,RUC!$B$3:$B$123,RUC!$G$3:$G$123)</f>
        <v>20</v>
      </c>
      <c r="Z108" s="143">
        <f>_xlfn.XLOOKUP(D108,RUC!$B$3:$B$123,RUC!$H$3:$H$123)</f>
        <v>30</v>
      </c>
      <c r="AA108" s="144">
        <f t="shared" si="71"/>
        <v>50</v>
      </c>
      <c r="AB108" s="145">
        <v>0</v>
      </c>
      <c r="AC108" s="145">
        <f>+(S108-T108)*V108-'data 1'!$F$4</f>
        <v>24.718500000000006</v>
      </c>
      <c r="AD108" s="145">
        <f t="shared" si="73"/>
        <v>-2.9742050265299969</v>
      </c>
      <c r="AE108" s="145">
        <f t="shared" si="74"/>
        <v>-14.884999999999998</v>
      </c>
      <c r="AF108" s="145">
        <f t="shared" si="75"/>
        <v>74.259678112515019</v>
      </c>
      <c r="AG108" s="772">
        <f>AC108+AD108+AE108+AF108+70-53+10.29</f>
        <v>108.40897308598502</v>
      </c>
      <c r="AH108" s="1253">
        <f t="shared" si="77"/>
        <v>2.8530000000000002</v>
      </c>
      <c r="AI108" s="1253">
        <f t="shared" si="78"/>
        <v>3.609</v>
      </c>
      <c r="AJ108" s="156">
        <f t="shared" si="79"/>
        <v>28.058795947210005</v>
      </c>
      <c r="AK108" s="156">
        <f t="shared" si="80"/>
        <v>2.0026506584661599</v>
      </c>
      <c r="AM108" s="716">
        <f t="shared" si="81"/>
        <v>0</v>
      </c>
      <c r="AN108" s="716" t="str">
        <f>_xlfn.XLOOKUP(D108,RUC!$B$3:$B$578,RUC!$M$3:$M$578)</f>
        <v>Evelyn</v>
      </c>
      <c r="AO108" s="1167" t="s">
        <v>2280</v>
      </c>
      <c r="AP108" t="s">
        <v>4072</v>
      </c>
      <c r="AQ108" t="s">
        <v>4378</v>
      </c>
    </row>
    <row r="109" spans="1:43" ht="15" customHeight="1">
      <c r="A109" s="1491" t="s">
        <v>4369</v>
      </c>
      <c r="C109" s="1447">
        <v>46036</v>
      </c>
      <c r="D109" t="s">
        <v>1967</v>
      </c>
      <c r="E109" s="762">
        <f>_xlfn.XLOOKUP(D109,RUC!$B$3:$B$123,RUC!$D$3:$D$123)</f>
        <v>20601769396</v>
      </c>
      <c r="G109" s="1082">
        <v>32</v>
      </c>
      <c r="H109" s="762" t="s">
        <v>2005</v>
      </c>
      <c r="I109" s="703">
        <v>2.39</v>
      </c>
      <c r="J109" s="596">
        <v>22.6</v>
      </c>
      <c r="K109" s="703">
        <f t="shared" si="70"/>
        <v>1.85</v>
      </c>
      <c r="L109" s="1192">
        <v>5.8999999999999997E-2</v>
      </c>
      <c r="M109" s="994">
        <f t="shared" si="66"/>
        <v>0.04</v>
      </c>
      <c r="N109" s="1196">
        <f t="shared" si="84"/>
        <v>0.04</v>
      </c>
      <c r="O109" s="645">
        <f t="shared" si="82"/>
        <v>0.04</v>
      </c>
      <c r="P109" s="727">
        <v>80</v>
      </c>
      <c r="Q109" s="1476">
        <v>84.75</v>
      </c>
      <c r="R109" s="706">
        <v>4606.5</v>
      </c>
      <c r="S109" s="765">
        <f>IF((_xlfn.XLOOKUP(D109,RUC!$B$3:$B$119,RUC!$E$3:$E$119)+ROUNDDOWN(O109,1)*100)&lt;95,95,((_xlfn.XLOOKUP(D109,RUC!$B$3:$B$119,RUC!$E$3:$E$119)+ROUNDDOWN(O109,1)*100)))</f>
        <v>95</v>
      </c>
      <c r="U109" s="1146">
        <f>_xlfn.XLOOKUP(D109,RUC!$B$3:$B$123,RUC!$F$3:$F$123)</f>
        <v>120</v>
      </c>
      <c r="V109" s="715">
        <v>1.1023000000000001</v>
      </c>
      <c r="Y109">
        <f>_xlfn.XLOOKUP(D109,RUC!$B$3:$B$123,RUC!$G$3:$G$123)</f>
        <v>20</v>
      </c>
      <c r="Z109" s="143">
        <f>_xlfn.XLOOKUP(D109,RUC!$B$3:$B$123,RUC!$H$3:$H$123)</f>
        <v>30</v>
      </c>
      <c r="AA109" s="144">
        <f t="shared" si="71"/>
        <v>50</v>
      </c>
      <c r="AB109" s="145">
        <v>0</v>
      </c>
      <c r="AC109" s="145">
        <f>+(S109-T109)*V109-'data 1'!$F$4</f>
        <v>24.718500000000006</v>
      </c>
      <c r="AD109" s="145">
        <f t="shared" si="73"/>
        <v>13.859676732375</v>
      </c>
      <c r="AE109" s="145">
        <f t="shared" si="74"/>
        <v>-14.884999999999998</v>
      </c>
      <c r="AF109" s="145">
        <f t="shared" si="75"/>
        <v>79.63441376737498</v>
      </c>
      <c r="AG109" s="772">
        <f>AC109+AD109+AE109+AF109+70-53-1.58</f>
        <v>118.74759049974999</v>
      </c>
      <c r="AH109" s="1253">
        <f t="shared" si="77"/>
        <v>3.1720000000000002</v>
      </c>
      <c r="AI109" s="1253">
        <f t="shared" si="78"/>
        <v>3.742</v>
      </c>
      <c r="AJ109" s="156">
        <f t="shared" si="79"/>
        <v>28.633674112124996</v>
      </c>
      <c r="AK109" s="156">
        <f t="shared" si="80"/>
        <v>2.0296949725600002</v>
      </c>
      <c r="AM109" s="716">
        <f t="shared" si="81"/>
        <v>0</v>
      </c>
      <c r="AN109" s="716" t="str">
        <f>_xlfn.XLOOKUP(D109,RUC!$B$3:$B$578,RUC!$M$3:$M$578)</f>
        <v>Evelyn</v>
      </c>
      <c r="AO109" s="1167" t="s">
        <v>2280</v>
      </c>
      <c r="AP109" t="s">
        <v>4072</v>
      </c>
      <c r="AQ109" t="s">
        <v>4378</v>
      </c>
    </row>
    <row r="110" spans="1:43" ht="15" customHeight="1">
      <c r="A110" s="1491" t="s">
        <v>4370</v>
      </c>
      <c r="C110" s="1447">
        <v>46036</v>
      </c>
      <c r="D110" t="s">
        <v>1967</v>
      </c>
      <c r="E110" s="762">
        <f>_xlfn.XLOOKUP(D110,RUC!$B$3:$B$123,RUC!$D$3:$D$123)</f>
        <v>20601769396</v>
      </c>
      <c r="G110" s="1082">
        <v>32</v>
      </c>
      <c r="H110" s="762" t="s">
        <v>2005</v>
      </c>
      <c r="I110" s="703">
        <v>2.29</v>
      </c>
      <c r="J110" s="596">
        <v>18.8</v>
      </c>
      <c r="K110" s="703">
        <f t="shared" si="70"/>
        <v>1.859</v>
      </c>
      <c r="L110" s="1192">
        <v>9.4E-2</v>
      </c>
      <c r="M110" s="994">
        <f t="shared" si="66"/>
        <v>7.4999999999999997E-2</v>
      </c>
      <c r="N110" s="1196">
        <f t="shared" si="84"/>
        <v>7.4999999999999997E-2</v>
      </c>
      <c r="O110" s="645">
        <f t="shared" si="82"/>
        <v>7.4999999999999997E-2</v>
      </c>
      <c r="P110" s="727">
        <v>80</v>
      </c>
      <c r="Q110" s="1476">
        <v>84.04</v>
      </c>
      <c r="R110" s="706">
        <v>4606.5</v>
      </c>
      <c r="S110" s="765">
        <f>IF((_xlfn.XLOOKUP(D110,RUC!$B$3:$B$119,RUC!$E$3:$E$119)+ROUNDDOWN(O110,1)*100)&lt;95,95,((_xlfn.XLOOKUP(D110,RUC!$B$3:$B$119,RUC!$E$3:$E$119)+ROUNDDOWN(O110,1)*100)))</f>
        <v>95</v>
      </c>
      <c r="U110" s="1146">
        <f>_xlfn.XLOOKUP(D110,RUC!$B$3:$B$123,RUC!$F$3:$F$123)</f>
        <v>120</v>
      </c>
      <c r="V110" s="715">
        <v>1.1023000000000001</v>
      </c>
      <c r="Y110">
        <f>_xlfn.XLOOKUP(D110,RUC!$B$3:$B$123,RUC!$G$3:$G$123)</f>
        <v>20</v>
      </c>
      <c r="Z110" s="143">
        <f>_xlfn.XLOOKUP(D110,RUC!$B$3:$B$123,RUC!$H$3:$H$123)</f>
        <v>30</v>
      </c>
      <c r="AA110" s="144">
        <f t="shared" si="71"/>
        <v>50</v>
      </c>
      <c r="AB110" s="145">
        <v>0</v>
      </c>
      <c r="AC110" s="145">
        <f>+(S110-T110)*V110-'data 1'!$F$4</f>
        <v>24.718500000000006</v>
      </c>
      <c r="AD110" s="145">
        <f t="shared" si="73"/>
        <v>18.780912884520031</v>
      </c>
      <c r="AE110" s="145">
        <f t="shared" si="74"/>
        <v>-14.884999999999998</v>
      </c>
      <c r="AF110" s="145">
        <f t="shared" si="75"/>
        <v>78.96727000602003</v>
      </c>
      <c r="AG110" s="772">
        <f>AC110+AD110+AE110+AF110+70-53+136.89</f>
        <v>261.47168289054002</v>
      </c>
      <c r="AH110" s="1253">
        <f t="shared" si="77"/>
        <v>5.0350000000000001</v>
      </c>
      <c r="AI110" s="1253">
        <f t="shared" si="78"/>
        <v>5.9909999999999997</v>
      </c>
      <c r="AJ110" s="156">
        <f t="shared" si="79"/>
        <v>45.237568802360002</v>
      </c>
      <c r="AK110" s="156">
        <f t="shared" si="80"/>
        <v>3.8241921830969998</v>
      </c>
      <c r="AM110" s="716">
        <f t="shared" si="81"/>
        <v>0</v>
      </c>
      <c r="AN110" s="716" t="str">
        <f>_xlfn.XLOOKUP(D110,RUC!$B$3:$B$578,RUC!$M$3:$M$578)</f>
        <v>Evelyn</v>
      </c>
      <c r="AO110" s="1167" t="s">
        <v>2280</v>
      </c>
      <c r="AP110" t="s">
        <v>4072</v>
      </c>
      <c r="AQ110" t="s">
        <v>4378</v>
      </c>
    </row>
    <row r="111" spans="1:43" ht="15" customHeight="1">
      <c r="I111" s="703"/>
      <c r="J111" s="596"/>
      <c r="K111" s="703"/>
    </row>
    <row r="112" spans="1:43" ht="15" customHeight="1">
      <c r="I112" s="703"/>
      <c r="J112" s="596"/>
      <c r="K112" s="703"/>
    </row>
    <row r="113" spans="9:11" ht="15" customHeight="1">
      <c r="I113" s="703"/>
      <c r="J113" s="596"/>
      <c r="K113" s="703"/>
    </row>
    <row r="114" spans="9:11" ht="15" customHeight="1">
      <c r="I114" s="703"/>
      <c r="J114" s="596"/>
      <c r="K114" s="703"/>
    </row>
    <row r="115" spans="9:11" ht="15" customHeight="1">
      <c r="I115" s="703"/>
      <c r="J115" s="596"/>
      <c r="K115" s="703"/>
    </row>
    <row r="116" spans="9:11" ht="15" customHeight="1">
      <c r="I116" s="703"/>
      <c r="J116" s="596"/>
      <c r="K116" s="703"/>
    </row>
    <row r="117" spans="9:11" ht="15" customHeight="1">
      <c r="I117" s="703"/>
      <c r="J117" s="596"/>
      <c r="K117" s="703"/>
    </row>
    <row r="118" spans="9:11" ht="15" customHeight="1">
      <c r="I118" s="703"/>
      <c r="J118" s="596"/>
      <c r="K118" s="703"/>
    </row>
    <row r="119" spans="9:11" ht="15" customHeight="1">
      <c r="I119" s="703"/>
      <c r="J119" s="596"/>
      <c r="K119" s="703"/>
    </row>
    <row r="120" spans="9:11" ht="15" customHeight="1">
      <c r="I120" s="703"/>
      <c r="J120" s="596"/>
      <c r="K120" s="703"/>
    </row>
    <row r="121" spans="9:11" ht="15" customHeight="1">
      <c r="I121" s="703"/>
      <c r="J121" s="596"/>
      <c r="K121" s="703"/>
    </row>
    <row r="122" spans="9:11" ht="15" customHeight="1">
      <c r="I122" s="703"/>
      <c r="J122" s="596"/>
      <c r="K122" s="703"/>
    </row>
    <row r="123" spans="9:11" ht="15" customHeight="1">
      <c r="I123" s="703"/>
      <c r="J123" s="596"/>
      <c r="K123" s="703"/>
    </row>
    <row r="124" spans="9:11" ht="15" customHeight="1">
      <c r="I124" s="703"/>
      <c r="J124" s="596"/>
      <c r="K124" s="703"/>
    </row>
    <row r="125" spans="9:11" ht="15" customHeight="1">
      <c r="I125" s="703"/>
      <c r="J125" s="596"/>
      <c r="K125" s="703"/>
    </row>
    <row r="126" spans="9:11" ht="15" customHeight="1">
      <c r="I126" s="703"/>
      <c r="J126" s="596"/>
      <c r="K126" s="703"/>
    </row>
    <row r="127" spans="9:11" ht="15" customHeight="1">
      <c r="I127" s="703"/>
      <c r="J127" s="596"/>
      <c r="K127" s="703"/>
    </row>
    <row r="128" spans="9:11" ht="15" customHeight="1">
      <c r="I128" s="703"/>
      <c r="J128" s="596"/>
      <c r="K128" s="703"/>
    </row>
    <row r="129" spans="9:11" ht="15" customHeight="1">
      <c r="I129" s="703"/>
      <c r="J129" s="596"/>
      <c r="K129" s="703"/>
    </row>
    <row r="130" spans="9:11" ht="15" customHeight="1">
      <c r="I130" s="703"/>
      <c r="J130" s="596"/>
      <c r="K130" s="703"/>
    </row>
    <row r="131" spans="9:11" ht="15" customHeight="1">
      <c r="I131" s="703"/>
      <c r="J131" s="596"/>
      <c r="K131" s="703"/>
    </row>
    <row r="132" spans="9:11" ht="15" customHeight="1">
      <c r="I132" s="703"/>
      <c r="J132" s="596"/>
      <c r="K132" s="703"/>
    </row>
    <row r="133" spans="9:11" ht="15" customHeight="1">
      <c r="I133" s="703"/>
      <c r="J133" s="596"/>
      <c r="K133" s="703"/>
    </row>
    <row r="134" spans="9:11" ht="15" customHeight="1">
      <c r="I134" s="703"/>
      <c r="J134" s="596"/>
      <c r="K134" s="703"/>
    </row>
    <row r="135" spans="9:11" ht="15" customHeight="1">
      <c r="I135" s="703"/>
      <c r="J135" s="596"/>
      <c r="K135" s="703"/>
    </row>
    <row r="136" spans="9:11" ht="15" customHeight="1">
      <c r="I136" s="703"/>
      <c r="J136" s="596"/>
      <c r="K136" s="703"/>
    </row>
    <row r="137" spans="9:11" ht="15" customHeight="1">
      <c r="I137" s="703"/>
      <c r="J137" s="596"/>
      <c r="K137" s="703"/>
    </row>
    <row r="138" spans="9:11" ht="15" customHeight="1">
      <c r="I138" s="703"/>
      <c r="J138" s="596"/>
      <c r="K138" s="703"/>
    </row>
    <row r="139" spans="9:11" ht="15" customHeight="1">
      <c r="I139" s="703"/>
      <c r="J139" s="596"/>
      <c r="K139" s="703"/>
    </row>
    <row r="140" spans="9:11" ht="15" customHeight="1">
      <c r="I140" s="703"/>
      <c r="J140" s="596"/>
      <c r="K140" s="703"/>
    </row>
    <row r="141" spans="9:11" ht="15" customHeight="1">
      <c r="I141" s="703"/>
      <c r="J141" s="596"/>
      <c r="K141" s="703"/>
    </row>
    <row r="142" spans="9:11" ht="15" customHeight="1">
      <c r="I142" s="703"/>
      <c r="J142" s="596"/>
      <c r="K142" s="703"/>
    </row>
    <row r="143" spans="9:11" ht="15" customHeight="1">
      <c r="I143" s="703"/>
      <c r="J143" s="596"/>
      <c r="K143" s="703"/>
    </row>
    <row r="144" spans="9:11" ht="15" customHeight="1">
      <c r="I144" s="703"/>
      <c r="J144" s="596"/>
      <c r="K144" s="703"/>
    </row>
    <row r="145" spans="9:11" ht="15" customHeight="1">
      <c r="I145" s="703"/>
      <c r="J145" s="596"/>
      <c r="K145" s="703"/>
    </row>
    <row r="146" spans="9:11" ht="15" customHeight="1">
      <c r="I146" s="703"/>
      <c r="J146" s="596"/>
      <c r="K146" s="703"/>
    </row>
    <row r="147" spans="9:11" ht="15" customHeight="1">
      <c r="I147" s="703"/>
      <c r="J147" s="596"/>
      <c r="K147" s="703"/>
    </row>
  </sheetData>
  <autoFilter ref="A3:AO110" xr:uid="{00000000-0009-0000-0000-00000C000000}"/>
  <mergeCells count="2">
    <mergeCell ref="AV5:BD5"/>
    <mergeCell ref="AV26:BA26"/>
  </mergeCells>
  <pageMargins left="0.7" right="0.7" top="0.75" bottom="0.75" header="0" footer="0"/>
  <pageSetup scale="10" fitToHeight="0" orientation="portrait" horizontalDpi="360" verticalDpi="360" r:id="rId1"/>
  <ignoredErrors>
    <ignoredError sqref="AJ3" formula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D3B85-37D5-423C-AE18-A3323D4AED6E}">
  <sheetPr>
    <tabColor rgb="FF00B050"/>
    <pageSetUpPr fitToPage="1"/>
  </sheetPr>
  <dimension ref="A1:BD128"/>
  <sheetViews>
    <sheetView showGridLines="0" zoomScale="80" zoomScaleNormal="80" workbookViewId="0">
      <pane xSplit="4" ySplit="3" topLeftCell="E10" activePane="bottomRight" state="frozen"/>
      <selection activeCell="D26" sqref="D26"/>
      <selection pane="topRight" activeCell="D26" sqref="D26"/>
      <selection pane="bottomLeft" activeCell="D26" sqref="D26"/>
      <selection pane="bottomRight" activeCell="D26" sqref="D26"/>
    </sheetView>
  </sheetViews>
  <sheetFormatPr baseColWidth="10" defaultColWidth="14.44140625" defaultRowHeight="15" customHeight="1"/>
  <cols>
    <col min="1" max="1" width="14.5546875" customWidth="1"/>
    <col min="2" max="2" width="12.33203125" style="762" customWidth="1"/>
    <col min="3" max="3" width="11.6640625" style="762" customWidth="1"/>
    <col min="4" max="4" width="42.5546875" customWidth="1"/>
    <col min="5" max="5" width="15.88671875" customWidth="1"/>
    <col min="6" max="6" width="15.33203125" customWidth="1"/>
    <col min="7" max="7" width="12.109375" customWidth="1"/>
    <col min="8" max="8" width="11.44140625" style="762" customWidth="1"/>
    <col min="9" max="10" width="10.332031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7.66406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0.88671875" customWidth="1"/>
    <col min="43" max="43" width="12.6640625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5181.5019999999986</v>
      </c>
      <c r="F1" s="1075" t="s">
        <v>1906</v>
      </c>
      <c r="G1" s="1076">
        <f>+$AM3</f>
        <v>546571.972840601</v>
      </c>
      <c r="H1" s="1448"/>
      <c r="I1" s="843"/>
      <c r="AB1" s="83"/>
      <c r="AC1" s="758"/>
      <c r="AD1" s="83"/>
      <c r="AE1" s="83"/>
      <c r="AF1" s="83"/>
      <c r="AG1" s="768" t="s">
        <v>34</v>
      </c>
      <c r="AH1" s="701" t="s">
        <v>4720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B2" s="1144"/>
      <c r="D2" s="1075" t="s">
        <v>1907</v>
      </c>
      <c r="E2" s="1076">
        <f>+AH3</f>
        <v>4808.4369999999981</v>
      </c>
      <c r="F2" s="1079" t="s">
        <v>1908</v>
      </c>
      <c r="G2" s="1080">
        <f>+Q2</f>
        <v>93.230598325401843</v>
      </c>
      <c r="H2" s="90"/>
      <c r="I2" s="1251">
        <f>SUBTOTAL(9,I4:I654)</f>
        <v>509.91000000000008</v>
      </c>
      <c r="J2" s="81"/>
      <c r="K2" s="91">
        <f>SUBTOTAL(9,K4:K654)</f>
        <v>452.48100000000005</v>
      </c>
      <c r="L2" s="1202">
        <f>+SUMPRODUCT(L5:L654,K5:K654)/K2</f>
        <v>0.33399984971744667</v>
      </c>
      <c r="M2" s="6"/>
      <c r="O2" s="703"/>
      <c r="P2" s="94">
        <f>+SUMPRODUCT(P4:P654,AH4:AH654)/SUM(AH4:AH654)</f>
        <v>87.730539466358849</v>
      </c>
      <c r="Q2" s="1201">
        <f>+SUMPRODUCT(Q4:Q654,AH4:AH654)/SUM(AH4:AH654)</f>
        <v>93.230598325401843</v>
      </c>
      <c r="R2" s="1151">
        <f>+SUMPRODUCT(R4:R654,AH4:AH654)/SUM(AH4:AH654)</f>
        <v>4589.02983984193</v>
      </c>
      <c r="S2" s="6"/>
      <c r="AB2" s="83"/>
      <c r="AC2" s="83"/>
      <c r="AD2" s="83"/>
      <c r="AE2" s="83"/>
      <c r="AF2" s="83"/>
      <c r="AG2" s="1209">
        <f>SUMPRODUCT($AG4:$AG654,$K4:$K654)/SUM($K4:$K654)</f>
        <v>206.74201559487406</v>
      </c>
      <c r="AH2" s="702"/>
      <c r="AI2" s="631"/>
      <c r="AJ2" s="252">
        <v>5000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679" t="s">
        <v>39</v>
      </c>
      <c r="C3" s="679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SUBTOTAL(9,AH4:AH654)</f>
        <v>4808.4369999999981</v>
      </c>
      <c r="AI3" s="1252">
        <f>SUBTOTAL(9,AI4:AI654)</f>
        <v>5181.5019999999986</v>
      </c>
      <c r="AJ3" s="1388">
        <f>SUMPRODUCT(K4:K654,AJ4:AJ654)/K2</f>
        <v>178.79084731360717</v>
      </c>
      <c r="AK3" s="118">
        <f>SUBTOTAL(9,AK4:AK654)</f>
        <v>4385.644662994564</v>
      </c>
      <c r="AL3" s="88"/>
      <c r="AM3" s="118">
        <f>SUBTOTAL(9,AM4:AM654)</f>
        <v>546571.972840601</v>
      </c>
      <c r="AN3" s="1182" t="s">
        <v>2247</v>
      </c>
      <c r="AO3" s="1168" t="s">
        <v>2283</v>
      </c>
      <c r="AP3" s="1167" t="s">
        <v>2351</v>
      </c>
      <c r="AQ3" s="1167" t="s">
        <v>2352</v>
      </c>
      <c r="AS3" s="1216"/>
    </row>
    <row r="4" spans="1:56" s="677" customFormat="1" ht="15.75" customHeight="1" thickBot="1">
      <c r="A4" s="720"/>
      <c r="B4" s="671"/>
      <c r="C4" s="723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56" ht="15" customHeight="1" thickBot="1">
      <c r="A5" s="747" t="s">
        <v>3987</v>
      </c>
      <c r="B5" s="1447">
        <v>46041</v>
      </c>
      <c r="C5" s="1447">
        <v>46014</v>
      </c>
      <c r="D5" t="s">
        <v>1484</v>
      </c>
      <c r="E5" s="762">
        <f>_xlfn.XLOOKUP(D5,RUC!$B$3:$B$123,RUC!$D$3:$D$123)</f>
        <v>10761932735</v>
      </c>
      <c r="G5" s="1082">
        <v>75</v>
      </c>
      <c r="H5" s="762" t="s">
        <v>69</v>
      </c>
      <c r="I5" s="703">
        <v>4.5599999999999996</v>
      </c>
      <c r="J5" s="596">
        <v>9.6999999999999993</v>
      </c>
      <c r="K5" s="703">
        <f t="shared" ref="K5:K33" si="0">ROUND(+I5-(I5*(J5/100)),3)</f>
        <v>4.1180000000000003</v>
      </c>
      <c r="L5" s="1192">
        <v>0.11600000000000001</v>
      </c>
      <c r="M5" s="994">
        <f>ROUND(+IF(AN5="Melchor Vera",IF(L5&gt;0.467,L5*0.985,(L5-0.007)),IF(L5&gt;0.3,L5*0.94,(L5-0.019))),3)</f>
        <v>9.7000000000000003E-2</v>
      </c>
      <c r="N5" s="1444">
        <v>0.153</v>
      </c>
      <c r="O5" s="645">
        <f t="shared" ref="O5:O8" si="1">+ROUND((M5+N5)/2,3)</f>
        <v>0.125</v>
      </c>
      <c r="P5" s="727">
        <v>80</v>
      </c>
      <c r="Q5" s="1476">
        <v>96.58</v>
      </c>
      <c r="R5" s="706">
        <v>4449.3999999999996</v>
      </c>
      <c r="S5" s="765">
        <f>IF((_xlfn.XLOOKUP(D5,RUC!$B$3:$B$119,RUC!$E$3:$E$119)+ROUNDDOWN(O5,1)*100)&lt;95,95,((_xlfn.XLOOKUP(D5,RUC!$B$3:$B$119,RUC!$E$3:$E$119)+ROUNDDOWN(O5,1)*100)))</f>
        <v>100</v>
      </c>
      <c r="U5" s="1146">
        <f>_xlfn.XLOOKUP(D5,RUC!$B$3:$B$123,RUC!$F$3:$F$123)</f>
        <v>120</v>
      </c>
      <c r="V5" s="715">
        <v>1.1023000000000001</v>
      </c>
      <c r="Y5">
        <f>_xlfn.XLOOKUP(D5,RUC!$B$3:$B$123,RUC!$G$3:$G$123)</f>
        <v>20</v>
      </c>
      <c r="Z5" s="143">
        <f>_xlfn.XLOOKUP(D5,RUC!$B$3:$B$123,RUC!$H$3:$H$123)</f>
        <v>30</v>
      </c>
      <c r="AA5" s="144">
        <f t="shared" ref="AA5:AA33" si="2">+Y5+Z5</f>
        <v>50</v>
      </c>
      <c r="AB5" s="145">
        <f t="shared" ref="AB5:AB18" si="3">+((O5*P5*(R5-U5)/100)-S5-AA5+T5)*V5</f>
        <v>311.88476200000002</v>
      </c>
      <c r="AC5" s="145">
        <f>+(S5-T5)*V5-'data 1'!$F$4</f>
        <v>30.230000000000004</v>
      </c>
      <c r="AD5" s="145">
        <f t="shared" ref="AD5:AD33" si="4">+(Q5-P5)*(R5-U5)*L5*V5/100</f>
        <v>91.784645665936011</v>
      </c>
      <c r="AE5" s="145">
        <f t="shared" ref="AE5:AE33" si="5">+(Y5*V5-70)+V5*(Z5-IF(D5="UNTUCA",IF(+((W5-3)*2.5+(X5-3)*3.1)&gt;0,+((W5-3)*1.5+(X5-3)*3.1),0),IF(+((W5-3)*1.5+(X5-3)*3.1)&gt;0,+((W5-3)*1.5+(X5-3)*3.1),0)))</f>
        <v>-14.884999999999998</v>
      </c>
      <c r="AF5" s="145">
        <f t="shared" ref="AF5:AF33" si="6">(L5-O5)*(R5-U5)*Q5*V5/100</f>
        <v>-41.48176537256397</v>
      </c>
      <c r="AG5" s="772">
        <f t="shared" ref="AG5:AG9" si="7">AC5+AD5+AE5+AF5+70-53</f>
        <v>82.647880293372054</v>
      </c>
      <c r="AH5" s="1253">
        <f t="shared" ref="AH5:AH33" si="8">ROUND((31.1035*L5*Q5*1.1023*K5/100),3)</f>
        <v>15.818</v>
      </c>
      <c r="AI5" s="1253">
        <f t="shared" ref="AI5:AI33" si="9">ROUND((31.1035*L5*1.1023*K5),3)</f>
        <v>16.378</v>
      </c>
      <c r="AJ5" s="156">
        <f t="shared" ref="AJ5:AJ33" si="10">+((+$AJ$2-R5+U5)*L5*Q5*V5)/100</f>
        <v>82.814912398064067</v>
      </c>
      <c r="AK5" s="156">
        <f t="shared" ref="AK5:AK33" si="11">31.1035*1.1023*K5*P5*O5/100</f>
        <v>14.118722798990001</v>
      </c>
      <c r="AM5" s="716">
        <f t="shared" ref="AM5:AM33" si="12">+IF(AB5*K5&gt;0,AB5*K5,0)</f>
        <v>1284.3414499160001</v>
      </c>
      <c r="AN5" s="716" t="str">
        <f>_xlfn.XLOOKUP(D5,RUC!$B$3:$B$578,RUC!$M$3:$M$578)</f>
        <v>Richard Sapacayo</v>
      </c>
      <c r="AO5" s="1167" t="s">
        <v>2278</v>
      </c>
      <c r="AP5" t="s">
        <v>4077</v>
      </c>
      <c r="AQ5" t="s">
        <v>4078</v>
      </c>
      <c r="AV5" s="1982" t="s">
        <v>4536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747" t="s">
        <v>4004</v>
      </c>
      <c r="B6" s="1632">
        <v>46024</v>
      </c>
      <c r="C6" s="1447">
        <v>46015</v>
      </c>
      <c r="D6" t="s">
        <v>2444</v>
      </c>
      <c r="E6" s="762">
        <f>_xlfn.XLOOKUP(D6,RUC!$B$3:$B$123,RUC!$D$3:$D$123)</f>
        <v>20608774000</v>
      </c>
      <c r="G6" s="1082">
        <v>70</v>
      </c>
      <c r="H6" s="762" t="s">
        <v>69</v>
      </c>
      <c r="I6" s="703">
        <v>5.73</v>
      </c>
      <c r="J6" s="596">
        <v>1.25</v>
      </c>
      <c r="K6" s="703">
        <f t="shared" si="0"/>
        <v>5.6580000000000004</v>
      </c>
      <c r="L6" s="1192">
        <v>0.69</v>
      </c>
      <c r="M6" s="994">
        <f t="shared" ref="M6:M17" si="13">ROUND(+IF(AN6="Melchor Vera",IF(L6&gt;0.467,L6*0.985,(L6-0.007)),IF(L6&gt;0.3,L6*0.94,(L6-0.019))),3)</f>
        <v>0.64900000000000002</v>
      </c>
      <c r="N6" s="1590">
        <f t="shared" ref="N6" si="14">+M6</f>
        <v>0.64900000000000002</v>
      </c>
      <c r="O6" s="645">
        <f t="shared" si="1"/>
        <v>0.64900000000000002</v>
      </c>
      <c r="P6" s="727">
        <v>75</v>
      </c>
      <c r="Q6" s="1572">
        <v>75.069999999999993</v>
      </c>
      <c r="R6" s="706">
        <v>4480.8</v>
      </c>
      <c r="S6" s="765">
        <f>IF((_xlfn.XLOOKUP(D6,RUC!$B$3:$B$119,RUC!$E$3:$E$119)+ROUNDDOWN(O6,1)*100)&lt;95,95,((_xlfn.XLOOKUP(D6,RUC!$B$3:$B$119,RUC!$E$3:$E$119)+ROUNDDOWN(O6,1)*100)))</f>
        <v>145</v>
      </c>
      <c r="U6" s="1146">
        <f>_xlfn.XLOOKUP(D6,RUC!$B$3:$B$123,RUC!$F$3:$F$123)</f>
        <v>120</v>
      </c>
      <c r="V6" s="715">
        <v>1.1023000000000001</v>
      </c>
      <c r="Y6" s="1445">
        <v>25</v>
      </c>
      <c r="Z6" s="1454">
        <v>35</v>
      </c>
      <c r="AA6" s="144">
        <f t="shared" si="2"/>
        <v>60</v>
      </c>
      <c r="AB6" s="145">
        <f t="shared" si="3"/>
        <v>2113.7918646200005</v>
      </c>
      <c r="AC6" s="145">
        <f>+(S6-T6)*V6-'data 1'!$F$4</f>
        <v>79.833500000000015</v>
      </c>
      <c r="AD6" s="145">
        <f t="shared" si="4"/>
        <v>2.3217374527197738</v>
      </c>
      <c r="AE6" s="145">
        <f t="shared" si="5"/>
        <v>-3.8619999999999948</v>
      </c>
      <c r="AF6" s="145">
        <f t="shared" si="6"/>
        <v>147.95043589240774</v>
      </c>
      <c r="AG6" s="772">
        <f t="shared" si="7"/>
        <v>243.24367334512755</v>
      </c>
      <c r="AH6" s="1253">
        <f t="shared" si="8"/>
        <v>100.482</v>
      </c>
      <c r="AI6" s="1253">
        <f t="shared" si="9"/>
        <v>133.851</v>
      </c>
      <c r="AJ6" s="156">
        <f t="shared" si="10"/>
        <v>364.96572484727983</v>
      </c>
      <c r="AK6" s="156">
        <f t="shared" si="11"/>
        <v>94.423038679423584</v>
      </c>
      <c r="AM6" s="716">
        <f t="shared" si="12"/>
        <v>11959.834370019964</v>
      </c>
      <c r="AN6" s="716" t="str">
        <f>_xlfn.XLOOKUP(D6,RUC!$B$3:$B$578,RUC!$M$3:$M$578)</f>
        <v>Ronald Miranda</v>
      </c>
      <c r="AO6" s="1167" t="s">
        <v>2278</v>
      </c>
      <c r="AP6" t="s">
        <v>4080</v>
      </c>
      <c r="AQ6" t="s">
        <v>3492</v>
      </c>
      <c r="AR6" s="1589" t="s">
        <v>4123</v>
      </c>
      <c r="AV6" s="1636"/>
      <c r="AW6" s="1636"/>
      <c r="AX6" s="1636"/>
      <c r="AY6" s="1636"/>
      <c r="AZ6" s="1636"/>
      <c r="BA6" s="1636"/>
      <c r="BB6" s="1636"/>
      <c r="BC6" s="1636"/>
      <c r="BD6" s="1636"/>
    </row>
    <row r="7" spans="1:56" ht="15" customHeight="1">
      <c r="A7" s="747" t="s">
        <v>4009</v>
      </c>
      <c r="B7" s="1447">
        <v>46024</v>
      </c>
      <c r="C7" s="1447">
        <v>46015</v>
      </c>
      <c r="D7" t="s">
        <v>2444</v>
      </c>
      <c r="E7" s="762">
        <f>_xlfn.XLOOKUP(D7,RUC!$B$3:$B$123,RUC!$D$3:$D$123)</f>
        <v>20608774000</v>
      </c>
      <c r="G7" s="1082">
        <v>60</v>
      </c>
      <c r="H7" s="762" t="s">
        <v>69</v>
      </c>
      <c r="I7" s="703">
        <v>4.99</v>
      </c>
      <c r="J7" s="596">
        <v>1.25</v>
      </c>
      <c r="K7" s="703">
        <f t="shared" si="0"/>
        <v>4.9279999999999999</v>
      </c>
      <c r="L7" s="1192">
        <v>0.71099999999999997</v>
      </c>
      <c r="M7" s="994">
        <f t="shared" si="13"/>
        <v>0.66800000000000004</v>
      </c>
      <c r="N7" s="1515">
        <v>0.73899999999999999</v>
      </c>
      <c r="O7" s="645">
        <f t="shared" si="1"/>
        <v>0.70399999999999996</v>
      </c>
      <c r="P7" s="727">
        <v>75</v>
      </c>
      <c r="Q7" s="1572">
        <v>75.25</v>
      </c>
      <c r="R7" s="706">
        <v>4480.8</v>
      </c>
      <c r="S7" s="765">
        <f>IF((_xlfn.XLOOKUP(D7,RUC!$B$3:$B$119,RUC!$E$3:$E$119)+ROUNDDOWN(O7,1)*100)&lt;95,95,((_xlfn.XLOOKUP(D7,RUC!$B$3:$B$119,RUC!$E$3:$E$119)+ROUNDDOWN(O7,1)*100)))</f>
        <v>155</v>
      </c>
      <c r="U7" s="1146">
        <f>_xlfn.XLOOKUP(D7,RUC!$B$3:$B$123,RUC!$F$3:$F$123)</f>
        <v>120</v>
      </c>
      <c r="V7" s="715">
        <v>1.1023000000000001</v>
      </c>
      <c r="Y7" s="1445">
        <v>25</v>
      </c>
      <c r="Z7" s="1454">
        <v>35</v>
      </c>
      <c r="AA7" s="144">
        <f t="shared" si="2"/>
        <v>60</v>
      </c>
      <c r="AB7" s="145">
        <f t="shared" si="3"/>
        <v>2301.05389552</v>
      </c>
      <c r="AC7" s="145">
        <f>+(S7-T7)*V7-'data 1'!$F$4</f>
        <v>90.856500000000011</v>
      </c>
      <c r="AD7" s="145">
        <f t="shared" si="4"/>
        <v>8.5442822406000012</v>
      </c>
      <c r="AE7" s="145">
        <f t="shared" si="5"/>
        <v>-3.8619999999999948</v>
      </c>
      <c r="AF7" s="145">
        <f t="shared" si="6"/>
        <v>25.320397582200027</v>
      </c>
      <c r="AG7" s="772">
        <f t="shared" si="7"/>
        <v>137.85917982280006</v>
      </c>
      <c r="AH7" s="1253">
        <f t="shared" si="8"/>
        <v>90.397000000000006</v>
      </c>
      <c r="AI7" s="1253">
        <f t="shared" si="9"/>
        <v>120.129</v>
      </c>
      <c r="AJ7" s="156">
        <f t="shared" si="10"/>
        <v>376.97511182939991</v>
      </c>
      <c r="AK7" s="156">
        <f t="shared" si="11"/>
        <v>89.210031139891186</v>
      </c>
      <c r="AM7" s="716">
        <f t="shared" si="12"/>
        <v>11339.593597122559</v>
      </c>
      <c r="AN7" s="716" t="str">
        <f>_xlfn.XLOOKUP(D7,RUC!$B$3:$B$578,RUC!$M$3:$M$578)</f>
        <v>Ronald Miranda</v>
      </c>
      <c r="AO7" s="1167" t="s">
        <v>2277</v>
      </c>
      <c r="AP7" t="s">
        <v>4080</v>
      </c>
      <c r="AQ7" t="s">
        <v>3492</v>
      </c>
      <c r="AW7" s="1469">
        <f>SUM(AW9:AW18)</f>
        <v>452.48100000000005</v>
      </c>
      <c r="AX7" s="1470">
        <f>SUMPRODUCT(AW9:AW18,AX9:AX18)/SUM(AW9:AW18)</f>
        <v>0.33399984971744662</v>
      </c>
      <c r="AY7" s="704"/>
      <c r="AZ7" s="1471">
        <f>SUMPRODUCT(AZ9:AZ18,$BB9:$BB18)/SUM($BB9:$BB18)/100</f>
        <v>0.9323059832540177</v>
      </c>
      <c r="BA7" s="707">
        <f>SUM(BA9:BA18)</f>
        <v>5181.5022164577958</v>
      </c>
      <c r="BB7" s="707">
        <f>SUM(BB9:BB18)</f>
        <v>4808.4370000000008</v>
      </c>
    </row>
    <row r="8" spans="1:56" ht="15" customHeight="1" thickBot="1">
      <c r="A8" s="747" t="s">
        <v>4010</v>
      </c>
      <c r="B8" s="1447">
        <v>46024</v>
      </c>
      <c r="C8" s="1447">
        <v>46015</v>
      </c>
      <c r="D8" t="s">
        <v>2444</v>
      </c>
      <c r="E8" s="762">
        <f>_xlfn.XLOOKUP(D8,RUC!$B$3:$B$123,RUC!$D$3:$D$123)</f>
        <v>20608774000</v>
      </c>
      <c r="G8" s="1082">
        <v>60</v>
      </c>
      <c r="H8" s="762" t="s">
        <v>69</v>
      </c>
      <c r="I8" s="703">
        <v>4.92</v>
      </c>
      <c r="J8" s="596">
        <v>1.1499999999999999</v>
      </c>
      <c r="K8" s="703">
        <f t="shared" si="0"/>
        <v>4.8630000000000004</v>
      </c>
      <c r="L8" s="1192">
        <v>0.627</v>
      </c>
      <c r="M8" s="994">
        <f t="shared" si="13"/>
        <v>0.58899999999999997</v>
      </c>
      <c r="N8" s="1590">
        <f t="shared" ref="N8:N26" si="15">+M8</f>
        <v>0.58899999999999997</v>
      </c>
      <c r="O8" s="645">
        <f t="shared" si="1"/>
        <v>0.58899999999999997</v>
      </c>
      <c r="P8" s="727">
        <v>80</v>
      </c>
      <c r="Q8" s="1572">
        <v>80.38</v>
      </c>
      <c r="R8" s="706">
        <v>4480.8</v>
      </c>
      <c r="S8" s="765">
        <f>IF((_xlfn.XLOOKUP(D8,RUC!$B$3:$B$119,RUC!$E$3:$E$119)+ROUNDDOWN(O8,1)*100)&lt;95,95,((_xlfn.XLOOKUP(D8,RUC!$B$3:$B$119,RUC!$E$3:$E$119)+ROUNDDOWN(O8,1)*100)))</f>
        <v>135</v>
      </c>
      <c r="U8" s="1146">
        <f>_xlfn.XLOOKUP(D8,RUC!$B$3:$B$123,RUC!$F$3:$F$123)</f>
        <v>120</v>
      </c>
      <c r="V8" s="715">
        <v>1.1023000000000001</v>
      </c>
      <c r="Y8" s="1445">
        <v>25</v>
      </c>
      <c r="Z8" s="1454">
        <v>35</v>
      </c>
      <c r="AA8" s="144">
        <f t="shared" si="2"/>
        <v>60</v>
      </c>
      <c r="AB8" s="145">
        <f t="shared" si="3"/>
        <v>2050.0674166080003</v>
      </c>
      <c r="AC8" s="145">
        <f>+(S8-T8)*V8-'data 1'!$F$4</f>
        <v>68.810500000000019</v>
      </c>
      <c r="AD8" s="145">
        <f t="shared" si="4"/>
        <v>11.452943384783865</v>
      </c>
      <c r="AE8" s="145">
        <f t="shared" si="5"/>
        <v>-3.8619999999999948</v>
      </c>
      <c r="AF8" s="145">
        <f t="shared" si="6"/>
        <v>146.82417691689614</v>
      </c>
      <c r="AG8" s="772">
        <f t="shared" si="7"/>
        <v>240.22562030168001</v>
      </c>
      <c r="AH8" s="1253">
        <f t="shared" si="8"/>
        <v>84.028999999999996</v>
      </c>
      <c r="AI8" s="1253">
        <f t="shared" si="9"/>
        <v>104.54</v>
      </c>
      <c r="AJ8" s="156">
        <f t="shared" si="10"/>
        <v>355.10118077121587</v>
      </c>
      <c r="AK8" s="156">
        <f t="shared" si="11"/>
        <v>78.563101591465085</v>
      </c>
      <c r="AM8" s="716">
        <f t="shared" si="12"/>
        <v>9969.4778469647063</v>
      </c>
      <c r="AN8" s="716" t="str">
        <f>_xlfn.XLOOKUP(D8,RUC!$B$3:$B$578,RUC!$M$3:$M$578)</f>
        <v>Ronald Miranda</v>
      </c>
      <c r="AO8" s="1167" t="s">
        <v>2277</v>
      </c>
      <c r="AP8" t="s">
        <v>4080</v>
      </c>
      <c r="AQ8" t="s">
        <v>3492</v>
      </c>
      <c r="AV8" s="762"/>
      <c r="AW8" s="762" t="s">
        <v>15</v>
      </c>
      <c r="AX8" s="762" t="s">
        <v>2522</v>
      </c>
      <c r="AY8" s="1214" t="s">
        <v>2522</v>
      </c>
      <c r="AZ8" s="762" t="s">
        <v>2523</v>
      </c>
      <c r="BA8" s="762" t="s">
        <v>2558</v>
      </c>
      <c r="BB8" s="762" t="s">
        <v>2559</v>
      </c>
      <c r="BC8" s="1555" t="s">
        <v>2565</v>
      </c>
      <c r="BD8" s="729" t="s">
        <v>2579</v>
      </c>
    </row>
    <row r="9" spans="1:56" ht="15" customHeight="1">
      <c r="A9" s="747" t="s">
        <v>4057</v>
      </c>
      <c r="B9" s="1447">
        <v>46034</v>
      </c>
      <c r="C9" s="1447">
        <v>46017</v>
      </c>
      <c r="D9" t="s">
        <v>2444</v>
      </c>
      <c r="E9" s="762">
        <f>_xlfn.XLOOKUP(D9,RUC!$B$3:$B$123,RUC!$D$3:$D$123)</f>
        <v>20608774000</v>
      </c>
      <c r="G9" s="1082">
        <v>69</v>
      </c>
      <c r="H9" s="762" t="s">
        <v>69</v>
      </c>
      <c r="I9" s="703">
        <v>6.43</v>
      </c>
      <c r="J9" s="596">
        <v>1.4</v>
      </c>
      <c r="K9" s="703">
        <f t="shared" si="0"/>
        <v>6.34</v>
      </c>
      <c r="L9" s="1192">
        <v>0.17399999999999999</v>
      </c>
      <c r="M9" s="994">
        <f t="shared" si="13"/>
        <v>0.155</v>
      </c>
      <c r="N9" s="1196">
        <f t="shared" si="15"/>
        <v>0.155</v>
      </c>
      <c r="O9" s="737">
        <v>0.157</v>
      </c>
      <c r="P9" s="727">
        <v>85</v>
      </c>
      <c r="Q9" s="1476">
        <v>94.86</v>
      </c>
      <c r="R9" s="706">
        <v>4480.8</v>
      </c>
      <c r="S9" s="765">
        <f>IF((_xlfn.XLOOKUP(D9,RUC!$B$3:$B$119,RUC!$E$3:$E$119)+ROUNDDOWN(O9,1)*100)&lt;95,95,((_xlfn.XLOOKUP(D9,RUC!$B$3:$B$119,RUC!$E$3:$E$119)+ROUNDDOWN(O9,1)*100)))</f>
        <v>95</v>
      </c>
      <c r="U9" s="1146">
        <f>_xlfn.XLOOKUP(D9,RUC!$B$3:$B$123,RUC!$F$3:$F$123)</f>
        <v>120</v>
      </c>
      <c r="V9" s="715">
        <v>1.1023000000000001</v>
      </c>
      <c r="Y9" s="1445">
        <v>25</v>
      </c>
      <c r="Z9" s="1454">
        <v>35</v>
      </c>
      <c r="AA9" s="144">
        <f t="shared" si="2"/>
        <v>60</v>
      </c>
      <c r="AB9" s="145">
        <f t="shared" si="3"/>
        <v>470.625618148</v>
      </c>
      <c r="AC9" s="145">
        <f>+(S9-T9)*V9-'data 1'!$F$4</f>
        <v>24.718500000000006</v>
      </c>
      <c r="AD9" s="145">
        <f t="shared" si="4"/>
        <v>82.469267978976006</v>
      </c>
      <c r="AE9" s="145">
        <f t="shared" si="5"/>
        <v>-3.8619999999999948</v>
      </c>
      <c r="AF9" s="145">
        <f t="shared" si="6"/>
        <v>77.517189461807945</v>
      </c>
      <c r="AG9" s="772">
        <f t="shared" si="7"/>
        <v>197.84295744078395</v>
      </c>
      <c r="AH9" s="1253">
        <f t="shared" si="8"/>
        <v>35.878</v>
      </c>
      <c r="AI9" s="1253">
        <f t="shared" si="9"/>
        <v>37.822000000000003</v>
      </c>
      <c r="AJ9" s="156">
        <f t="shared" si="10"/>
        <v>116.29711528502395</v>
      </c>
      <c r="AK9" s="156">
        <f t="shared" si="11"/>
        <v>29.007941123627646</v>
      </c>
      <c r="AM9" s="716">
        <f t="shared" si="12"/>
        <v>2983.76641905832</v>
      </c>
      <c r="AN9" s="716" t="str">
        <f>_xlfn.XLOOKUP(D9,RUC!$B$3:$B$578,RUC!$M$3:$M$578)</f>
        <v>Ronald Miranda</v>
      </c>
      <c r="AO9" s="1167" t="s">
        <v>2277</v>
      </c>
      <c r="AP9" t="s">
        <v>4093</v>
      </c>
      <c r="AQ9" t="s">
        <v>4094</v>
      </c>
      <c r="AR9" s="1628" t="s">
        <v>4331</v>
      </c>
      <c r="AV9" s="1556" t="s">
        <v>2277</v>
      </c>
      <c r="AW9" s="1227">
        <f t="shared" ref="AW9:AW18" si="16">SUMIF($AO$4:$AO$762,AV9,$K$4:$K$762)</f>
        <v>166.20000000000002</v>
      </c>
      <c r="AX9" s="1227" cm="1">
        <f t="array" ref="AX9">+SUMPRODUCT(IF($AO$4:$AO$762=AV9,$L$4:$L$762*$K$4:$K$762/AW9))</f>
        <v>0.32493065583634179</v>
      </c>
      <c r="AY9" s="1228">
        <f t="shared" ref="AY9:AY18" si="17">31.1035*1.1023*AX9*(100-AZ9)/100</f>
        <v>0.98987678687083669</v>
      </c>
      <c r="AZ9" s="1229" cm="1">
        <f t="array" ref="AZ9">+SUMPRODUCT(IF($AO$4:$AO$762=AV9,($Q$4:$Q$762*$AH$4:$AH$762)/SUMIF($AO$4:$AO$762,$AV9,$AH$4:$AH$762)))</f>
        <v>91.114509977681436</v>
      </c>
      <c r="BA9" s="1441">
        <f t="shared" ref="BA9:BA18" si="18">+AX9*31.1035*1.1023*AW9</f>
        <v>1851.5300964234739</v>
      </c>
      <c r="BB9" s="1230">
        <f>SUMIF($AO$4:$AO$140,$AV9,$AH$4:$AH$140)</f>
        <v>1675.7400000000005</v>
      </c>
      <c r="BC9" s="1229">
        <f>+BA9-BB9</f>
        <v>175.79009642347341</v>
      </c>
      <c r="BD9" s="1231">
        <f>+AW9</f>
        <v>166.20000000000002</v>
      </c>
    </row>
    <row r="10" spans="1:56" ht="15" customHeight="1">
      <c r="A10" s="747" t="s">
        <v>4058</v>
      </c>
      <c r="B10" s="1447">
        <v>46034</v>
      </c>
      <c r="C10" s="1447">
        <v>46017</v>
      </c>
      <c r="D10" t="s">
        <v>2444</v>
      </c>
      <c r="E10" s="762">
        <f>_xlfn.XLOOKUP(D10,RUC!$B$3:$B$123,RUC!$D$3:$D$123)</f>
        <v>20608774000</v>
      </c>
      <c r="G10" s="1082">
        <v>55</v>
      </c>
      <c r="H10" s="762" t="s">
        <v>69</v>
      </c>
      <c r="I10" s="703">
        <v>4.9400000000000004</v>
      </c>
      <c r="J10" s="596">
        <v>1.55</v>
      </c>
      <c r="K10" s="703">
        <f t="shared" si="0"/>
        <v>4.8630000000000004</v>
      </c>
      <c r="L10" s="1192">
        <v>0.124</v>
      </c>
      <c r="M10" s="994">
        <f t="shared" si="13"/>
        <v>0.105</v>
      </c>
      <c r="N10" s="1196">
        <f t="shared" si="15"/>
        <v>0.105</v>
      </c>
      <c r="O10" s="645">
        <f t="shared" ref="O10:O17" si="19">+ROUND((M10+N10)/2,3)</f>
        <v>0.105</v>
      </c>
      <c r="P10" s="727">
        <v>80</v>
      </c>
      <c r="Q10" s="1476">
        <v>97.48</v>
      </c>
      <c r="R10" s="706">
        <v>4480.8</v>
      </c>
      <c r="S10" s="765">
        <f>IF((_xlfn.XLOOKUP(D10,RUC!$B$3:$B$119,RUC!$E$3:$E$119)+ROUNDDOWN(O10,1)*100)&lt;95,95,((_xlfn.XLOOKUP(D10,RUC!$B$3:$B$119,RUC!$E$3:$E$119)+ROUNDDOWN(O10,1)*100)))</f>
        <v>95</v>
      </c>
      <c r="U10" s="1146">
        <f>_xlfn.XLOOKUP(D10,RUC!$B$3:$B$123,RUC!$F$3:$F$123)</f>
        <v>120</v>
      </c>
      <c r="V10" s="715">
        <v>1.1023000000000001</v>
      </c>
      <c r="Y10" s="1445">
        <v>25</v>
      </c>
      <c r="Z10" s="1454">
        <v>35</v>
      </c>
      <c r="AA10" s="144">
        <f t="shared" si="2"/>
        <v>60</v>
      </c>
      <c r="AB10" s="145">
        <f t="shared" si="3"/>
        <v>232.92392656000004</v>
      </c>
      <c r="AC10" s="145">
        <f>+(S10-T10)*V10-'data 1'!$F$4</f>
        <v>24.718500000000006</v>
      </c>
      <c r="AD10" s="145">
        <f t="shared" si="4"/>
        <v>104.19073216396802</v>
      </c>
      <c r="AE10" s="145">
        <f t="shared" si="5"/>
        <v>-3.8619999999999948</v>
      </c>
      <c r="AF10" s="145">
        <f t="shared" si="6"/>
        <v>89.029738528608007</v>
      </c>
      <c r="AG10" s="772">
        <f>AC10+AD10+AE10+AF10+70-53</f>
        <v>231.07697069257603</v>
      </c>
      <c r="AH10" s="1253">
        <f t="shared" si="8"/>
        <v>20.154</v>
      </c>
      <c r="AI10" s="1253">
        <f t="shared" si="9"/>
        <v>20.675000000000001</v>
      </c>
      <c r="AJ10" s="156">
        <f t="shared" si="10"/>
        <v>85.167476508031982</v>
      </c>
      <c r="AK10" s="156">
        <f t="shared" si="11"/>
        <v>14.0053067353206</v>
      </c>
      <c r="AM10" s="716">
        <f t="shared" si="12"/>
        <v>1132.7090548612803</v>
      </c>
      <c r="AN10" s="716" t="str">
        <f>_xlfn.XLOOKUP(D10,RUC!$B$3:$B$578,RUC!$M$3:$M$578)</f>
        <v>Ronald Miranda</v>
      </c>
      <c r="AO10" s="1167" t="s">
        <v>2277</v>
      </c>
      <c r="AP10" t="s">
        <v>4093</v>
      </c>
      <c r="AQ10" t="s">
        <v>4094</v>
      </c>
      <c r="AV10" s="1557" t="s">
        <v>2278</v>
      </c>
      <c r="AW10" s="703">
        <f t="shared" si="16"/>
        <v>150.26300000000001</v>
      </c>
      <c r="AX10" s="703" cm="1">
        <f t="array" ref="AX10">+SUMPRODUCT(IF($AO$4:$AO$762=AV10,$L$4:$L$762*$K$4:$K$762/AW10))</f>
        <v>0.33788182054131743</v>
      </c>
      <c r="AY10" s="1215">
        <f t="shared" si="17"/>
        <v>0.59848257213864953</v>
      </c>
      <c r="AZ10" s="596" cm="1">
        <f t="array" ref="AZ10">+SUMPRODUCT(IF($AO$4:$AO$762=AV10,($Q$4:$Q$762*$AH$4:$AH$762)/SUMIF($AO$4:$AO$762,$AV10,$AH$4:$AH$762)))</f>
        <v>94.833723887242428</v>
      </c>
      <c r="BA10" s="1481">
        <f t="shared" si="18"/>
        <v>1740.7080994993241</v>
      </c>
      <c r="BB10" s="1237">
        <f>SUMIF($AO$4:$AO$140,$AV10,$AH$4:$AH$140)</f>
        <v>1642.923</v>
      </c>
      <c r="BC10" s="596">
        <f t="shared" ref="BC10:BC18" si="20">+BC9+BA10-BB10</f>
        <v>273.57519592279755</v>
      </c>
      <c r="BD10" s="1238">
        <f t="shared" ref="BD10:BD18" si="21">+BD9+AW10</f>
        <v>316.46300000000002</v>
      </c>
    </row>
    <row r="11" spans="1:56" ht="15" customHeight="1">
      <c r="A11" s="747" t="s">
        <v>4061</v>
      </c>
      <c r="B11" s="1447">
        <v>46027</v>
      </c>
      <c r="C11" s="1447">
        <v>46017</v>
      </c>
      <c r="D11" t="s">
        <v>2444</v>
      </c>
      <c r="E11" s="762">
        <f>_xlfn.XLOOKUP(D11,RUC!$B$3:$B$123,RUC!$D$3:$D$123)</f>
        <v>20608774000</v>
      </c>
      <c r="G11" s="1082">
        <v>25</v>
      </c>
      <c r="H11" s="762" t="s">
        <v>69</v>
      </c>
      <c r="I11" s="703">
        <v>2.36</v>
      </c>
      <c r="J11" s="596">
        <v>1.4</v>
      </c>
      <c r="K11" s="703">
        <f t="shared" si="0"/>
        <v>2.327</v>
      </c>
      <c r="L11" s="1192">
        <v>0.71899999999999997</v>
      </c>
      <c r="M11" s="994">
        <f t="shared" si="13"/>
        <v>0.67600000000000005</v>
      </c>
      <c r="N11" s="1196">
        <f t="shared" si="15"/>
        <v>0.67600000000000005</v>
      </c>
      <c r="O11" s="645">
        <f t="shared" si="19"/>
        <v>0.67600000000000005</v>
      </c>
      <c r="P11" s="727">
        <v>90</v>
      </c>
      <c r="Q11" s="1476">
        <v>96.94</v>
      </c>
      <c r="R11" s="706">
        <v>4480.8</v>
      </c>
      <c r="S11" s="765">
        <f>IF((_xlfn.XLOOKUP(D11,RUC!$B$3:$B$119,RUC!$E$3:$E$119)+ROUNDDOWN(O11,1)*100)&lt;95,95,((_xlfn.XLOOKUP(D11,RUC!$B$3:$B$119,RUC!$E$3:$E$119)+ROUNDDOWN(O11,1)*100)))</f>
        <v>145</v>
      </c>
      <c r="U11" s="1146">
        <f>_xlfn.XLOOKUP(D11,RUC!$B$3:$B$123,RUC!$F$3:$F$123)</f>
        <v>120</v>
      </c>
      <c r="V11" s="715">
        <v>1.1023000000000001</v>
      </c>
      <c r="Y11" s="1445">
        <v>25</v>
      </c>
      <c r="Z11" s="1454">
        <v>35</v>
      </c>
      <c r="AA11" s="144">
        <f t="shared" si="2"/>
        <v>60</v>
      </c>
      <c r="AB11" s="145">
        <f t="shared" si="3"/>
        <v>2698.5524466560009</v>
      </c>
      <c r="AC11" s="145">
        <f>+(S11-T11)*V11-'data 1'!$F$4</f>
        <v>79.833500000000015</v>
      </c>
      <c r="AD11" s="145">
        <f t="shared" si="4"/>
        <v>239.85807134222392</v>
      </c>
      <c r="AE11" s="145">
        <f t="shared" si="5"/>
        <v>-3.8619999999999948</v>
      </c>
      <c r="AF11" s="145">
        <f t="shared" si="6"/>
        <v>200.37219115252768</v>
      </c>
      <c r="AG11" s="772">
        <f t="shared" ref="AG11:AG17" si="22">AC11+AD11+AE11+AF11+70-53</f>
        <v>533.20176249475162</v>
      </c>
      <c r="AH11" s="1253">
        <f t="shared" si="8"/>
        <v>55.607999999999997</v>
      </c>
      <c r="AI11" s="1253">
        <f t="shared" si="9"/>
        <v>57.363</v>
      </c>
      <c r="AJ11" s="156">
        <f t="shared" si="10"/>
        <v>491.09835509377592</v>
      </c>
      <c r="AK11" s="156">
        <f t="shared" si="11"/>
        <v>48.539428418545739</v>
      </c>
      <c r="AM11" s="716">
        <f t="shared" si="12"/>
        <v>6279.5315433685137</v>
      </c>
      <c r="AN11" s="716" t="str">
        <f>_xlfn.XLOOKUP(D11,RUC!$B$3:$B$578,RUC!$M$3:$M$578)</f>
        <v>Ronald Miranda</v>
      </c>
      <c r="AO11" s="1167" t="s">
        <v>2277</v>
      </c>
      <c r="AP11" t="s">
        <v>4095</v>
      </c>
      <c r="AQ11" t="s">
        <v>4096</v>
      </c>
      <c r="AV11" s="1557" t="s">
        <v>2280</v>
      </c>
      <c r="AW11" s="703">
        <f t="shared" si="16"/>
        <v>136.01800000000003</v>
      </c>
      <c r="AX11" s="703" cm="1">
        <f t="array" ref="AX11">+SUMPRODUCT(IF($AO$4:$AO$762=AV11,$L$4:$L$762*$K$4:$K$762/AW11))</f>
        <v>0.34079294652178366</v>
      </c>
      <c r="AY11" s="1215">
        <f t="shared" si="17"/>
        <v>0.71940815601496011</v>
      </c>
      <c r="AZ11" s="596" cm="1">
        <f t="array" ref="AZ11">+SUMPRODUCT(IF($AO$4:$AO$762=AV11,($Q$4:$Q$762*$AH$4:$AH$762)/SUMIF($AO$4:$AO$762,$AV11,$AH$4:$AH$762)))</f>
        <v>93.842907326883136</v>
      </c>
      <c r="BA11" s="1237">
        <f t="shared" si="18"/>
        <v>1589.2640205349981</v>
      </c>
      <c r="BB11" s="1237">
        <f>SUMIF($AO$4:$AO$140,$AV11,$AH$4:$AH$140)</f>
        <v>1489.7740000000003</v>
      </c>
      <c r="BC11" s="596">
        <f t="shared" si="20"/>
        <v>373.06521645779526</v>
      </c>
      <c r="BD11" s="1238">
        <f t="shared" si="21"/>
        <v>452.48100000000005</v>
      </c>
    </row>
    <row r="12" spans="1:56" ht="15" customHeight="1">
      <c r="A12" s="747" t="s">
        <v>4101</v>
      </c>
      <c r="B12" s="1447">
        <v>46027</v>
      </c>
      <c r="C12" s="1447">
        <v>46019</v>
      </c>
      <c r="D12" t="s">
        <v>2444</v>
      </c>
      <c r="E12" s="762">
        <f>_xlfn.XLOOKUP(D12,RUC!$B$3:$B$123,RUC!$D$3:$D$123)</f>
        <v>20608774000</v>
      </c>
      <c r="G12" s="1082">
        <v>38</v>
      </c>
      <c r="H12" s="762" t="s">
        <v>69</v>
      </c>
      <c r="I12" s="703">
        <v>3.64</v>
      </c>
      <c r="J12" s="596">
        <v>1.85</v>
      </c>
      <c r="K12" s="703">
        <f t="shared" si="0"/>
        <v>3.573</v>
      </c>
      <c r="L12" s="1192">
        <v>0.751</v>
      </c>
      <c r="M12" s="994">
        <f t="shared" si="13"/>
        <v>0.70599999999999996</v>
      </c>
      <c r="N12" s="1196">
        <f t="shared" si="15"/>
        <v>0.70599999999999996</v>
      </c>
      <c r="O12" s="645">
        <f t="shared" si="19"/>
        <v>0.70599999999999996</v>
      </c>
      <c r="P12" s="727">
        <v>90</v>
      </c>
      <c r="Q12" s="1476">
        <v>96.14</v>
      </c>
      <c r="R12" s="706">
        <v>4480.8</v>
      </c>
      <c r="S12" s="765">
        <f>IF((_xlfn.XLOOKUP(D12,RUC!$B$3:$B$119,RUC!$E$3:$E$119)+ROUNDDOWN(O12,1)*100)&lt;95,95,((_xlfn.XLOOKUP(D12,RUC!$B$3:$B$119,RUC!$E$3:$E$119)+ROUNDDOWN(O12,1)*100)))</f>
        <v>155</v>
      </c>
      <c r="U12" s="1146">
        <f>_xlfn.XLOOKUP(D12,RUC!$B$3:$B$123,RUC!$F$3:$F$123)</f>
        <v>120</v>
      </c>
      <c r="V12" s="715">
        <v>1.1023000000000001</v>
      </c>
      <c r="Y12" s="1445">
        <v>25</v>
      </c>
      <c r="Z12" s="1454">
        <v>35</v>
      </c>
      <c r="AA12" s="144">
        <f t="shared" si="2"/>
        <v>60</v>
      </c>
      <c r="AB12" s="145">
        <f t="shared" si="3"/>
        <v>2817.3160123360003</v>
      </c>
      <c r="AC12" s="145">
        <f>+(S12-T12)*V12-'data 1'!$F$4</f>
        <v>90.856500000000011</v>
      </c>
      <c r="AD12" s="145">
        <f t="shared" si="4"/>
        <v>221.65334239617607</v>
      </c>
      <c r="AE12" s="145">
        <f t="shared" si="5"/>
        <v>-3.8619999999999948</v>
      </c>
      <c r="AF12" s="145">
        <f t="shared" si="6"/>
        <v>207.9613404079202</v>
      </c>
      <c r="AG12" s="772">
        <f t="shared" si="22"/>
        <v>533.60918280409624</v>
      </c>
      <c r="AH12" s="1253">
        <f t="shared" si="8"/>
        <v>88.447999999999993</v>
      </c>
      <c r="AI12" s="1253">
        <f t="shared" si="9"/>
        <v>91.998999999999995</v>
      </c>
      <c r="AJ12" s="156">
        <f t="shared" si="10"/>
        <v>508.72212784782386</v>
      </c>
      <c r="AK12" s="156">
        <f t="shared" si="11"/>
        <v>77.837574780783811</v>
      </c>
      <c r="AM12" s="716">
        <f t="shared" si="12"/>
        <v>10066.270112076529</v>
      </c>
      <c r="AN12" s="716" t="str">
        <f>_xlfn.XLOOKUP(D12,RUC!$B$3:$B$578,RUC!$M$3:$M$578)</f>
        <v>Ronald Miranda</v>
      </c>
      <c r="AO12" s="1167" t="s">
        <v>2277</v>
      </c>
      <c r="AP12" t="s">
        <v>4100</v>
      </c>
      <c r="AQ12" t="s">
        <v>3218</v>
      </c>
      <c r="AV12" s="1557" t="s">
        <v>2279</v>
      </c>
      <c r="AW12" s="703">
        <f t="shared" si="16"/>
        <v>0</v>
      </c>
      <c r="AX12" s="703" cm="1">
        <f t="array" ref="AX12">+SUMPRODUCT(IF($AO$4:$AO$762=AV12,$L$4:$L$762*$K$4:$K$762/AW12))</f>
        <v>0</v>
      </c>
      <c r="AY12" s="1215">
        <f t="shared" si="17"/>
        <v>0</v>
      </c>
      <c r="AZ12" s="596" cm="1">
        <f t="array" ref="AZ12">+SUMPRODUCT(IF($AO$4:$AO$762=AV12,($Q$4:$Q$762*$AH$4:$AH$762)/SUMIF($AO$4:$AO$762,$AV12,$AH$4:$AH$762)))</f>
        <v>0</v>
      </c>
      <c r="BA12" s="1237">
        <f t="shared" si="18"/>
        <v>0</v>
      </c>
      <c r="BB12" s="1237">
        <f>SUMIF($AO$4:$AO$140,$AV12,$AH$4:$AH$140)</f>
        <v>0</v>
      </c>
      <c r="BC12" s="596">
        <f t="shared" si="20"/>
        <v>373.06521645779526</v>
      </c>
      <c r="BD12" s="1238">
        <f t="shared" si="21"/>
        <v>452.48100000000005</v>
      </c>
    </row>
    <row r="13" spans="1:56" ht="15" customHeight="1">
      <c r="A13" s="747" t="s">
        <v>4102</v>
      </c>
      <c r="B13" s="1447">
        <v>46027</v>
      </c>
      <c r="C13" s="1447">
        <v>46019</v>
      </c>
      <c r="D13" t="s">
        <v>2444</v>
      </c>
      <c r="E13" s="762">
        <f>_xlfn.XLOOKUP(D13,RUC!$B$3:$B$123,RUC!$D$3:$D$123)</f>
        <v>20608774000</v>
      </c>
      <c r="G13" s="1082">
        <v>22</v>
      </c>
      <c r="H13" s="762" t="s">
        <v>69</v>
      </c>
      <c r="I13" s="703">
        <v>2.25</v>
      </c>
      <c r="J13" s="596">
        <v>3.25</v>
      </c>
      <c r="K13" s="703">
        <f t="shared" si="0"/>
        <v>2.177</v>
      </c>
      <c r="L13" s="1192">
        <v>0.312</v>
      </c>
      <c r="M13" s="994">
        <f t="shared" si="13"/>
        <v>0.29299999999999998</v>
      </c>
      <c r="N13" s="1196">
        <f t="shared" si="15"/>
        <v>0.29299999999999998</v>
      </c>
      <c r="O13" s="645">
        <f t="shared" si="19"/>
        <v>0.29299999999999998</v>
      </c>
      <c r="P13" s="727">
        <v>90</v>
      </c>
      <c r="Q13" s="1476">
        <v>97.12</v>
      </c>
      <c r="R13" s="706">
        <v>4480.8</v>
      </c>
      <c r="S13" s="765">
        <f>IF((_xlfn.XLOOKUP(D13,RUC!$B$3:$B$119,RUC!$E$3:$E$119)+ROUNDDOWN(O13,1)*100)&lt;95,95,((_xlfn.XLOOKUP(D13,RUC!$B$3:$B$119,RUC!$E$3:$E$119)+ROUNDDOWN(O13,1)*100)))</f>
        <v>105</v>
      </c>
      <c r="U13" s="1146">
        <f>_xlfn.XLOOKUP(D13,RUC!$B$3:$B$123,RUC!$F$3:$F$123)</f>
        <v>120</v>
      </c>
      <c r="V13" s="715">
        <v>1.1023000000000001</v>
      </c>
      <c r="Y13" s="1445">
        <v>25</v>
      </c>
      <c r="Z13" s="1454">
        <v>35</v>
      </c>
      <c r="AA13" s="144">
        <f t="shared" si="2"/>
        <v>60</v>
      </c>
      <c r="AB13" s="145">
        <f t="shared" si="3"/>
        <v>1085.7026248079999</v>
      </c>
      <c r="AC13" s="145">
        <f>+(S13-T13)*V13-'data 1'!$F$4</f>
        <v>35.741500000000002</v>
      </c>
      <c r="AD13" s="145">
        <f t="shared" si="4"/>
        <v>106.78261794969609</v>
      </c>
      <c r="AE13" s="145">
        <f t="shared" si="5"/>
        <v>-3.8619999999999948</v>
      </c>
      <c r="AF13" s="145">
        <f t="shared" si="6"/>
        <v>88.700945895552081</v>
      </c>
      <c r="AG13" s="772">
        <f t="shared" si="22"/>
        <v>244.36306384524818</v>
      </c>
      <c r="AH13" s="1253">
        <f t="shared" si="8"/>
        <v>22.617000000000001</v>
      </c>
      <c r="AI13" s="1253">
        <f t="shared" si="9"/>
        <v>23.286999999999999</v>
      </c>
      <c r="AJ13" s="156">
        <f t="shared" si="10"/>
        <v>213.50096457830398</v>
      </c>
      <c r="AK13" s="156">
        <f t="shared" si="11"/>
        <v>19.682380716264944</v>
      </c>
      <c r="AM13" s="716">
        <f t="shared" si="12"/>
        <v>2363.5746142070157</v>
      </c>
      <c r="AN13" s="716" t="str">
        <f>_xlfn.XLOOKUP(D13,RUC!$B$3:$B$578,RUC!$M$3:$M$578)</f>
        <v>Ronald Miranda</v>
      </c>
      <c r="AO13" s="1167" t="s">
        <v>2277</v>
      </c>
      <c r="AP13" t="s">
        <v>4100</v>
      </c>
      <c r="AQ13" t="s">
        <v>3218</v>
      </c>
      <c r="AV13" s="1557" t="s">
        <v>2281</v>
      </c>
      <c r="AW13" s="703">
        <f t="shared" si="16"/>
        <v>0</v>
      </c>
      <c r="AX13" s="703" cm="1">
        <f t="array" ref="AX13">+SUMPRODUCT(IF($AO$4:$AO$762=AV13,$L$4:$L$762*$K$4:$K$762/AW13))</f>
        <v>0</v>
      </c>
      <c r="AY13" s="1215">
        <f t="shared" si="17"/>
        <v>0</v>
      </c>
      <c r="AZ13" s="596" cm="1">
        <f t="array" ref="AZ13">+SUMPRODUCT(IF($AO$4:$AO$762=AV13,($Q$4:$Q$762*$AH$4:$AH$762)/SUMIF($AO$4:$AO$762,$AV13,$AH$4:$AH$762)))</f>
        <v>0</v>
      </c>
      <c r="BA13" s="1237">
        <f t="shared" si="18"/>
        <v>0</v>
      </c>
      <c r="BB13" s="1237">
        <f t="shared" ref="BB13:BB18" si="23">SUMIF($AO$4:$AO$65,$AV13,$AH$4:$AH$65)</f>
        <v>0</v>
      </c>
      <c r="BC13" s="596">
        <f t="shared" si="20"/>
        <v>373.06521645779526</v>
      </c>
      <c r="BD13" s="1238">
        <f t="shared" si="21"/>
        <v>452.48100000000005</v>
      </c>
    </row>
    <row r="14" spans="1:56" ht="15" customHeight="1">
      <c r="A14" s="747" t="s">
        <v>4104</v>
      </c>
      <c r="B14" s="1447">
        <v>46027</v>
      </c>
      <c r="C14" s="1447">
        <v>46019</v>
      </c>
      <c r="D14" t="s">
        <v>2444</v>
      </c>
      <c r="E14" s="762">
        <f>_xlfn.XLOOKUP(D14,RUC!$B$3:$B$123,RUC!$D$3:$D$123)</f>
        <v>20608774000</v>
      </c>
      <c r="G14" s="1082">
        <v>80</v>
      </c>
      <c r="H14" s="762" t="s">
        <v>69</v>
      </c>
      <c r="I14" s="703">
        <v>7.35</v>
      </c>
      <c r="J14" s="596">
        <v>2.0499999999999998</v>
      </c>
      <c r="K14" s="703">
        <f t="shared" si="0"/>
        <v>7.1989999999999998</v>
      </c>
      <c r="L14" s="1192">
        <v>0.627</v>
      </c>
      <c r="M14" s="994">
        <f t="shared" si="13"/>
        <v>0.58899999999999997</v>
      </c>
      <c r="N14" s="1196">
        <f t="shared" si="15"/>
        <v>0.58899999999999997</v>
      </c>
      <c r="O14" s="645">
        <f t="shared" si="19"/>
        <v>0.58899999999999997</v>
      </c>
      <c r="P14" s="727">
        <v>79</v>
      </c>
      <c r="Q14" s="1572">
        <v>79.27</v>
      </c>
      <c r="R14" s="706">
        <v>4480.8</v>
      </c>
      <c r="S14" s="765">
        <f>IF((_xlfn.XLOOKUP(D14,RUC!$B$3:$B$119,RUC!$E$3:$E$119)+ROUNDDOWN(O14,1)*100)&lt;95,95,((_xlfn.XLOOKUP(D14,RUC!$B$3:$B$119,RUC!$E$3:$E$119)+ROUNDDOWN(O14,1)*100)))</f>
        <v>135</v>
      </c>
      <c r="U14" s="1146">
        <f>_xlfn.XLOOKUP(D14,RUC!$B$3:$B$123,RUC!$F$3:$F$123)</f>
        <v>120</v>
      </c>
      <c r="V14" s="715">
        <v>1.1023000000000001</v>
      </c>
      <c r="Y14" s="1445">
        <v>25</v>
      </c>
      <c r="Z14" s="1454">
        <v>35</v>
      </c>
      <c r="AA14" s="144">
        <f t="shared" si="2"/>
        <v>60</v>
      </c>
      <c r="AB14" s="145">
        <f t="shared" si="3"/>
        <v>2021.7547176504002</v>
      </c>
      <c r="AC14" s="145">
        <f>+(S14-T14)*V14-'data 1'!$F$4</f>
        <v>68.810500000000019</v>
      </c>
      <c r="AD14" s="145">
        <f t="shared" si="4"/>
        <v>8.1376176681358814</v>
      </c>
      <c r="AE14" s="145">
        <f t="shared" si="5"/>
        <v>-3.8619999999999948</v>
      </c>
      <c r="AF14" s="145">
        <f t="shared" si="6"/>
        <v>144.79662234638414</v>
      </c>
      <c r="AG14" s="772">
        <f t="shared" si="22"/>
        <v>234.88274001452004</v>
      </c>
      <c r="AH14" s="1253">
        <f t="shared" si="8"/>
        <v>122.675</v>
      </c>
      <c r="AI14" s="1253">
        <f t="shared" si="9"/>
        <v>154.756</v>
      </c>
      <c r="AJ14" s="156">
        <f t="shared" si="10"/>
        <v>350.1974446346639</v>
      </c>
      <c r="AK14" s="156">
        <f t="shared" si="11"/>
        <v>114.84805084361406</v>
      </c>
      <c r="AM14" s="716">
        <f t="shared" si="12"/>
        <v>14554.612212365231</v>
      </c>
      <c r="AN14" s="716" t="str">
        <f>_xlfn.XLOOKUP(D14,RUC!$B$3:$B$578,RUC!$M$3:$M$578)</f>
        <v>Ronald Miranda</v>
      </c>
      <c r="AO14" s="1167" t="s">
        <v>2277</v>
      </c>
      <c r="AP14" t="s">
        <v>4100</v>
      </c>
      <c r="AQ14" t="s">
        <v>3218</v>
      </c>
      <c r="AV14" s="1557" t="s">
        <v>2297</v>
      </c>
      <c r="AW14" s="703">
        <f t="shared" si="16"/>
        <v>0</v>
      </c>
      <c r="AX14" s="703" cm="1">
        <f t="array" ref="AX14">+SUMPRODUCT(IF($AO$4:$AO$762=AV14,$L$4:$L$762*$K$4:$K$762/AW14))</f>
        <v>0</v>
      </c>
      <c r="AY14" s="1215">
        <f t="shared" si="17"/>
        <v>0</v>
      </c>
      <c r="AZ14" s="596" cm="1">
        <f t="array" ref="AZ14">+SUMPRODUCT(IF('38'!$AO$4:$AO$654=AV14,('38'!$Q$4:$Q$654*'38'!$AH$4:$AH$654)/SUMIF('38'!$AO$4:$AO$654,#REF!,'38'!$AH$4:$AH$654)))</f>
        <v>0</v>
      </c>
      <c r="BA14" s="1237">
        <f t="shared" si="18"/>
        <v>0</v>
      </c>
      <c r="BB14" s="1237">
        <f t="shared" si="23"/>
        <v>0</v>
      </c>
      <c r="BC14" s="596">
        <f t="shared" si="20"/>
        <v>373.06521645779526</v>
      </c>
      <c r="BD14" s="1238">
        <f t="shared" si="21"/>
        <v>452.48100000000005</v>
      </c>
    </row>
    <row r="15" spans="1:56" ht="15" customHeight="1">
      <c r="A15" s="747" t="s">
        <v>4105</v>
      </c>
      <c r="B15" s="1447">
        <v>46027</v>
      </c>
      <c r="C15" s="1447">
        <v>46019</v>
      </c>
      <c r="D15" t="s">
        <v>2444</v>
      </c>
      <c r="E15" s="762">
        <f>_xlfn.XLOOKUP(D15,RUC!$B$3:$B$123,RUC!$D$3:$D$123)</f>
        <v>20608774000</v>
      </c>
      <c r="G15" s="1082">
        <v>20</v>
      </c>
      <c r="H15" s="762" t="s">
        <v>69</v>
      </c>
      <c r="I15" s="703">
        <v>1.83</v>
      </c>
      <c r="J15" s="596">
        <v>4.2</v>
      </c>
      <c r="K15" s="703">
        <f t="shared" si="0"/>
        <v>1.7529999999999999</v>
      </c>
      <c r="L15" s="1192">
        <v>0.48899999999999999</v>
      </c>
      <c r="M15" s="994">
        <f t="shared" si="13"/>
        <v>0.46</v>
      </c>
      <c r="N15" s="1196">
        <f t="shared" si="15"/>
        <v>0.46</v>
      </c>
      <c r="O15" s="645">
        <f t="shared" si="19"/>
        <v>0.46</v>
      </c>
      <c r="P15" s="727">
        <v>89</v>
      </c>
      <c r="Q15" s="1476">
        <v>89.16</v>
      </c>
      <c r="R15" s="706">
        <v>4480.8</v>
      </c>
      <c r="S15" s="765">
        <f>IF((_xlfn.XLOOKUP(D15,RUC!$B$3:$B$119,RUC!$E$3:$E$119)+ROUNDDOWN(O15,1)*100)&lt;95,95,((_xlfn.XLOOKUP(D15,RUC!$B$3:$B$119,RUC!$E$3:$E$119)+ROUNDDOWN(O15,1)*100)))</f>
        <v>125</v>
      </c>
      <c r="U15" s="1146">
        <f>_xlfn.XLOOKUP(D15,RUC!$B$3:$B$123,RUC!$F$3:$F$123)</f>
        <v>120</v>
      </c>
      <c r="V15" s="715">
        <v>1.1023000000000001</v>
      </c>
      <c r="Y15" s="1445">
        <v>25</v>
      </c>
      <c r="Z15" s="1454">
        <v>35</v>
      </c>
      <c r="AA15" s="144">
        <f t="shared" si="2"/>
        <v>60</v>
      </c>
      <c r="AB15" s="145">
        <f t="shared" si="3"/>
        <v>1764.0233884960003</v>
      </c>
      <c r="AC15" s="145">
        <f>+(S15-T15)*V15-'data 1'!$F$4</f>
        <v>57.787499999999994</v>
      </c>
      <c r="AD15" s="145">
        <f t="shared" si="4"/>
        <v>3.7609262588159202</v>
      </c>
      <c r="AE15" s="145">
        <f t="shared" si="5"/>
        <v>-3.8619999999999948</v>
      </c>
      <c r="AF15" s="145">
        <f t="shared" si="6"/>
        <v>124.28938358697587</v>
      </c>
      <c r="AG15" s="772">
        <f t="shared" si="22"/>
        <v>198.97580984579179</v>
      </c>
      <c r="AH15" s="1253">
        <f t="shared" si="8"/>
        <v>26.204000000000001</v>
      </c>
      <c r="AI15" s="1253">
        <f t="shared" si="9"/>
        <v>29.39</v>
      </c>
      <c r="AJ15" s="156">
        <f t="shared" si="10"/>
        <v>307.19595487478387</v>
      </c>
      <c r="AK15" s="156">
        <f t="shared" si="11"/>
        <v>24.605875582025512</v>
      </c>
      <c r="AM15" s="716">
        <f t="shared" si="12"/>
        <v>3092.3330000334881</v>
      </c>
      <c r="AN15" s="716" t="str">
        <f>_xlfn.XLOOKUP(D15,RUC!$B$3:$B$578,RUC!$M$3:$M$578)</f>
        <v>Ronald Miranda</v>
      </c>
      <c r="AO15" s="1167" t="s">
        <v>2277</v>
      </c>
      <c r="AP15" t="s">
        <v>4100</v>
      </c>
      <c r="AQ15" t="s">
        <v>3218</v>
      </c>
      <c r="AV15" s="1557" t="s">
        <v>2518</v>
      </c>
      <c r="AW15" s="703">
        <f t="shared" si="16"/>
        <v>0</v>
      </c>
      <c r="AX15" s="703" cm="1">
        <f t="array" ref="AX15">+SUMPRODUCT(IF($AO$4:$AO$762=AV15,$L$4:$L$762*$K$4:$K$762/AW15))</f>
        <v>0</v>
      </c>
      <c r="AY15" s="1215">
        <f t="shared" si="17"/>
        <v>0</v>
      </c>
      <c r="AZ15" s="596" cm="1">
        <f t="array" ref="AZ15">+SUMPRODUCT(IF('38'!$AO$4:$AO$654=AV15,('38'!$Q$4:$Q$654*'38'!$AH$4:$AH$654)/SUMIF('38'!$AO$4:$AO$654,#REF!,'38'!$AH$4:$AH$654)))</f>
        <v>0</v>
      </c>
      <c r="BA15" s="1237">
        <f t="shared" si="18"/>
        <v>0</v>
      </c>
      <c r="BB15" s="1237">
        <f t="shared" si="23"/>
        <v>0</v>
      </c>
      <c r="BC15" s="596">
        <f t="shared" si="20"/>
        <v>373.06521645779526</v>
      </c>
      <c r="BD15" s="1238">
        <f t="shared" si="21"/>
        <v>452.48100000000005</v>
      </c>
    </row>
    <row r="16" spans="1:56" ht="15" customHeight="1">
      <c r="A16" s="747" t="s">
        <v>4106</v>
      </c>
      <c r="B16" s="1447">
        <v>46027</v>
      </c>
      <c r="C16" s="1447">
        <v>46019</v>
      </c>
      <c r="D16" t="s">
        <v>2444</v>
      </c>
      <c r="E16" s="762">
        <f>_xlfn.XLOOKUP(D16,RUC!$B$3:$B$123,RUC!$D$3:$D$123)</f>
        <v>20608774000</v>
      </c>
      <c r="G16" s="1082">
        <v>9</v>
      </c>
      <c r="H16" s="762" t="s">
        <v>69</v>
      </c>
      <c r="I16" s="703">
        <v>0.88</v>
      </c>
      <c r="J16" s="596">
        <v>2.6</v>
      </c>
      <c r="K16" s="703">
        <f t="shared" si="0"/>
        <v>0.85699999999999998</v>
      </c>
      <c r="L16" s="1192">
        <v>0.34799999999999998</v>
      </c>
      <c r="M16" s="994">
        <f t="shared" si="13"/>
        <v>0.32700000000000001</v>
      </c>
      <c r="N16" s="1196">
        <f t="shared" si="15"/>
        <v>0.32700000000000001</v>
      </c>
      <c r="O16" s="645">
        <f t="shared" si="19"/>
        <v>0.32700000000000001</v>
      </c>
      <c r="P16" s="727">
        <v>89</v>
      </c>
      <c r="Q16" s="1476">
        <v>89.94</v>
      </c>
      <c r="R16" s="706">
        <v>4480.8</v>
      </c>
      <c r="S16" s="765">
        <f>IF((_xlfn.XLOOKUP(D16,RUC!$B$3:$B$119,RUC!$E$3:$E$119)+ROUNDDOWN(O16,1)*100)&lt;95,95,((_xlfn.XLOOKUP(D16,RUC!$B$3:$B$119,RUC!$E$3:$E$119)+ROUNDDOWN(O16,1)*100)))</f>
        <v>115</v>
      </c>
      <c r="U16" s="1146">
        <f>_xlfn.XLOOKUP(D16,RUC!$B$3:$B$123,RUC!$F$3:$F$123)</f>
        <v>120</v>
      </c>
      <c r="V16" s="715">
        <v>1.1023000000000001</v>
      </c>
      <c r="Y16" s="1445">
        <v>25</v>
      </c>
      <c r="Z16" s="1454">
        <v>35</v>
      </c>
      <c r="AA16" s="144">
        <f t="shared" si="2"/>
        <v>60</v>
      </c>
      <c r="AB16" s="145">
        <f t="shared" si="3"/>
        <v>1206.0524707352001</v>
      </c>
      <c r="AC16" s="145">
        <f>+(S16-T16)*V16-'data 1'!$F$4</f>
        <v>46.764500000000012</v>
      </c>
      <c r="AD16" s="145">
        <f t="shared" si="4"/>
        <v>15.724363468607962</v>
      </c>
      <c r="AE16" s="145">
        <f t="shared" si="5"/>
        <v>-3.8619999999999948</v>
      </c>
      <c r="AF16" s="145">
        <f t="shared" si="6"/>
        <v>90.790028912015856</v>
      </c>
      <c r="AG16" s="772">
        <f t="shared" si="22"/>
        <v>166.41689238062384</v>
      </c>
      <c r="AH16" s="1253">
        <f t="shared" si="8"/>
        <v>9.1959999999999997</v>
      </c>
      <c r="AI16" s="1253">
        <f t="shared" si="9"/>
        <v>10.225</v>
      </c>
      <c r="AJ16" s="156">
        <f t="shared" si="10"/>
        <v>220.5305196865919</v>
      </c>
      <c r="AK16" s="156">
        <f t="shared" si="11"/>
        <v>8.5512115469521159</v>
      </c>
      <c r="AM16" s="716">
        <f t="shared" si="12"/>
        <v>1033.5869674200665</v>
      </c>
      <c r="AN16" s="716" t="str">
        <f>_xlfn.XLOOKUP(D16,RUC!$B$3:$B$578,RUC!$M$3:$M$578)</f>
        <v>Ronald Miranda</v>
      </c>
      <c r="AO16" s="1167" t="s">
        <v>2277</v>
      </c>
      <c r="AP16" t="s">
        <v>4100</v>
      </c>
      <c r="AQ16" t="s">
        <v>3218</v>
      </c>
      <c r="AV16" s="1557" t="s">
        <v>2519</v>
      </c>
      <c r="AW16" s="703">
        <f t="shared" si="16"/>
        <v>0</v>
      </c>
      <c r="AX16" s="703" cm="1">
        <f t="array" ref="AX16">+SUMPRODUCT(IF($AO$4:$AO$762=AV16,$L$4:$L$762*$K$4:$K$762/AW16))</f>
        <v>0</v>
      </c>
      <c r="AY16" s="1215">
        <f t="shared" si="17"/>
        <v>0</v>
      </c>
      <c r="AZ16" s="596" cm="1">
        <f t="array" ref="AZ16">+SUMPRODUCT(IF('38'!$AO$4:$AO$654=AV16,('38'!$Q$4:$Q$654*'38'!$AH$4:$AH$654)/SUMIF('38'!$AO$4:$AO$654,#REF!,'38'!$AH$4:$AH$654)))</f>
        <v>0</v>
      </c>
      <c r="BA16" s="1237">
        <f t="shared" si="18"/>
        <v>0</v>
      </c>
      <c r="BB16" s="1237">
        <f t="shared" si="23"/>
        <v>0</v>
      </c>
      <c r="BC16" s="596">
        <f t="shared" si="20"/>
        <v>373.06521645779526</v>
      </c>
      <c r="BD16" s="1238">
        <f t="shared" si="21"/>
        <v>452.48100000000005</v>
      </c>
    </row>
    <row r="17" spans="1:56" ht="15" customHeight="1">
      <c r="A17" s="747" t="s">
        <v>4107</v>
      </c>
      <c r="B17" s="1447">
        <v>46027</v>
      </c>
      <c r="C17" s="1447">
        <v>46019</v>
      </c>
      <c r="D17" t="s">
        <v>2444</v>
      </c>
      <c r="E17" s="762">
        <f>_xlfn.XLOOKUP(D17,RUC!$B$3:$B$123,RUC!$D$3:$D$123)</f>
        <v>20608774000</v>
      </c>
      <c r="G17" s="1082">
        <v>62</v>
      </c>
      <c r="H17" s="762" t="s">
        <v>69</v>
      </c>
      <c r="I17" s="703">
        <v>5.92</v>
      </c>
      <c r="J17" s="596">
        <v>5</v>
      </c>
      <c r="K17" s="703">
        <f t="shared" si="0"/>
        <v>5.6239999999999997</v>
      </c>
      <c r="L17" s="1192">
        <v>0.24299999999999999</v>
      </c>
      <c r="M17" s="994">
        <f t="shared" si="13"/>
        <v>0.224</v>
      </c>
      <c r="N17" s="1196">
        <f t="shared" si="15"/>
        <v>0.224</v>
      </c>
      <c r="O17" s="645">
        <f t="shared" si="19"/>
        <v>0.224</v>
      </c>
      <c r="P17" s="727">
        <v>90</v>
      </c>
      <c r="Q17" s="1476">
        <v>96.3</v>
      </c>
      <c r="R17" s="706">
        <v>4480.8</v>
      </c>
      <c r="S17" s="765">
        <f>IF((_xlfn.XLOOKUP(D17,RUC!$B$3:$B$119,RUC!$E$3:$E$119)+ROUNDDOWN(O17,1)*100)&lt;95,95,((_xlfn.XLOOKUP(D17,RUC!$B$3:$B$119,RUC!$E$3:$E$119)+ROUNDDOWN(O17,1)*100)))</f>
        <v>105</v>
      </c>
      <c r="U17" s="1146">
        <f>_xlfn.XLOOKUP(D17,RUC!$B$3:$B$123,RUC!$F$3:$F$123)</f>
        <v>120</v>
      </c>
      <c r="V17" s="715">
        <v>1.1023000000000001</v>
      </c>
      <c r="Y17" s="1445">
        <v>25</v>
      </c>
      <c r="Z17" s="1454">
        <v>35</v>
      </c>
      <c r="AA17" s="144">
        <f t="shared" si="2"/>
        <v>60</v>
      </c>
      <c r="AB17" s="145">
        <f t="shared" si="3"/>
        <v>787.19352374400012</v>
      </c>
      <c r="AC17" s="145">
        <f>+(S17-T17)*V17-'data 1'!$F$4</f>
        <v>35.741500000000002</v>
      </c>
      <c r="AD17" s="145">
        <f t="shared" si="4"/>
        <v>73.58898274055997</v>
      </c>
      <c r="AE17" s="145">
        <f t="shared" si="5"/>
        <v>-3.8619999999999948</v>
      </c>
      <c r="AF17" s="145">
        <f t="shared" si="6"/>
        <v>87.952029342479946</v>
      </c>
      <c r="AG17" s="772">
        <f t="shared" si="22"/>
        <v>210.42051208303991</v>
      </c>
      <c r="AH17" s="1253">
        <f t="shared" si="8"/>
        <v>45.122</v>
      </c>
      <c r="AI17" s="1253">
        <f t="shared" si="9"/>
        <v>46.856000000000002</v>
      </c>
      <c r="AJ17" s="156">
        <f t="shared" si="10"/>
        <v>164.88043875143995</v>
      </c>
      <c r="AK17" s="156">
        <f t="shared" si="11"/>
        <v>38.872718114469116</v>
      </c>
      <c r="AM17" s="716">
        <f t="shared" si="12"/>
        <v>4427.176377536256</v>
      </c>
      <c r="AN17" s="716" t="str">
        <f>_xlfn.XLOOKUP(D17,RUC!$B$3:$B$578,RUC!$M$3:$M$578)</f>
        <v>Ronald Miranda</v>
      </c>
      <c r="AO17" s="1167" t="s">
        <v>2277</v>
      </c>
      <c r="AP17" t="s">
        <v>4100</v>
      </c>
      <c r="AQ17" t="s">
        <v>3218</v>
      </c>
      <c r="AV17" s="1557" t="s">
        <v>2520</v>
      </c>
      <c r="AW17" s="703">
        <f t="shared" si="16"/>
        <v>0</v>
      </c>
      <c r="AX17" s="703" cm="1">
        <f t="array" ref="AX17">+SUMPRODUCT(IF($AO$4:$AO$762=AV17,$L$4:$L$762*$K$4:$K$762/AW17))</f>
        <v>0</v>
      </c>
      <c r="AY17" s="1215">
        <f t="shared" si="17"/>
        <v>0</v>
      </c>
      <c r="AZ17" s="596" cm="1">
        <f t="array" ref="AZ17">+SUMPRODUCT(IF('38'!$AO$4:$AO$654=AV17,('38'!$Q$4:$Q$654*'38'!$AH$4:$AH$654)/SUMIF('38'!$AO$4:$AO$654,#REF!,'38'!$AH$4:$AH$654)))</f>
        <v>0</v>
      </c>
      <c r="BA17" s="1237">
        <f t="shared" si="18"/>
        <v>0</v>
      </c>
      <c r="BB17" s="1237">
        <f t="shared" si="23"/>
        <v>0</v>
      </c>
      <c r="BC17" s="596">
        <f t="shared" si="20"/>
        <v>373.06521645779526</v>
      </c>
      <c r="BD17" s="1238">
        <f t="shared" si="21"/>
        <v>452.48100000000005</v>
      </c>
    </row>
    <row r="18" spans="1:56" ht="15" customHeight="1" thickBot="1">
      <c r="A18" s="1491" t="s">
        <v>4114</v>
      </c>
      <c r="B18" s="1632">
        <v>46025</v>
      </c>
      <c r="C18" s="1447">
        <v>46020</v>
      </c>
      <c r="D18" s="1589" t="s">
        <v>4171</v>
      </c>
      <c r="E18" s="762">
        <f>_xlfn.XLOOKUP(D18,RUC!$B$3:$B$123,RUC!$D$3:$D$123)</f>
        <v>20614284740</v>
      </c>
      <c r="G18" s="1082">
        <v>22</v>
      </c>
      <c r="H18" s="762" t="s">
        <v>69</v>
      </c>
      <c r="I18" s="703">
        <v>1.82</v>
      </c>
      <c r="J18" s="596">
        <v>1.25</v>
      </c>
      <c r="K18" s="703">
        <f t="shared" si="0"/>
        <v>1.7969999999999999</v>
      </c>
      <c r="L18" s="1192">
        <v>0.115</v>
      </c>
      <c r="M18" s="994">
        <v>9.7000000000000003E-2</v>
      </c>
      <c r="N18" s="1196">
        <f t="shared" si="15"/>
        <v>9.7000000000000003E-2</v>
      </c>
      <c r="O18" s="1147">
        <v>0.11</v>
      </c>
      <c r="P18" s="727">
        <v>80</v>
      </c>
      <c r="Q18" s="1476">
        <v>96.36</v>
      </c>
      <c r="R18" s="706">
        <v>4337.05</v>
      </c>
      <c r="S18" s="765">
        <f>IF((_xlfn.XLOOKUP(D18,RUC!$B$3:$B$119,RUC!$E$3:$E$119)+ROUNDDOWN(O18,1)*100)&lt;95,95,((_xlfn.XLOOKUP(D18,RUC!$B$3:$B$119,RUC!$E$3:$E$119)+ROUNDDOWN(O18,1)*100)))</f>
        <v>100</v>
      </c>
      <c r="U18" s="1146">
        <f>_xlfn.XLOOKUP(D18,RUC!$B$3:$B$123,RUC!$F$3:$F$123)</f>
        <v>120</v>
      </c>
      <c r="V18" s="715">
        <v>1.1023000000000001</v>
      </c>
      <c r="Y18">
        <f>_xlfn.XLOOKUP(D18,RUC!$B$3:$B$123,RUC!$G$3:$G$123)</f>
        <v>20</v>
      </c>
      <c r="Z18" s="143">
        <f>_xlfn.XLOOKUP(D18,RUC!$B$3:$B$123,RUC!$H$3:$H$123)</f>
        <v>30</v>
      </c>
      <c r="AA18" s="144">
        <f t="shared" si="2"/>
        <v>50</v>
      </c>
      <c r="AB18" s="145">
        <f t="shared" si="3"/>
        <v>243.71897092000012</v>
      </c>
      <c r="AC18" s="145">
        <f>+(S18-T18)*V18-'data 1'!$F$4</f>
        <v>30.230000000000004</v>
      </c>
      <c r="AD18" s="145">
        <f t="shared" si="4"/>
        <v>87.456017601009989</v>
      </c>
      <c r="AE18" s="145">
        <f t="shared" si="5"/>
        <v>-14.884999999999998</v>
      </c>
      <c r="AF18" s="145">
        <f t="shared" si="6"/>
        <v>22.396252407870023</v>
      </c>
      <c r="AG18" s="772">
        <f>AC18+AD18+AE18+AF18+70-53</f>
        <v>142.19727000888003</v>
      </c>
      <c r="AH18" s="1253">
        <f t="shared" si="8"/>
        <v>6.827</v>
      </c>
      <c r="AI18" s="1253">
        <f t="shared" si="9"/>
        <v>7.085</v>
      </c>
      <c r="AJ18" s="156">
        <f t="shared" si="10"/>
        <v>95.637555618989978</v>
      </c>
      <c r="AK18" s="156">
        <f t="shared" si="11"/>
        <v>5.4217541246748002</v>
      </c>
      <c r="AM18" s="716">
        <f t="shared" si="12"/>
        <v>437.9629907432402</v>
      </c>
      <c r="AN18" s="716" t="str">
        <f>_xlfn.XLOOKUP(D18,RUC!$B$3:$B$578,RUC!$M$3:$M$578)</f>
        <v xml:space="preserve">Dante </v>
      </c>
      <c r="AO18" s="1167" t="s">
        <v>2278</v>
      </c>
      <c r="AP18" t="s">
        <v>4149</v>
      </c>
      <c r="AQ18" t="s">
        <v>4150</v>
      </c>
      <c r="AR18" s="1652" t="s">
        <v>4522</v>
      </c>
      <c r="AV18" s="1558" t="s">
        <v>2521</v>
      </c>
      <c r="AW18" s="1254">
        <f t="shared" si="16"/>
        <v>0</v>
      </c>
      <c r="AX18" s="1254" cm="1">
        <f t="array" ref="AX18">+SUMPRODUCT(IF('38'!$AO$4:$AO$654=AV18,'38'!$L$4:$L$654*'38'!$K$4:$K$654/AW18))</f>
        <v>0</v>
      </c>
      <c r="AY18" s="1241">
        <f t="shared" si="17"/>
        <v>0</v>
      </c>
      <c r="AZ18" s="1242" cm="1">
        <f t="array" ref="AZ18">+SUMPRODUCT(IF('38'!$AO$4:$AO$654=AV18,('38'!$Q$4:$Q$654*'38'!$AH$4:$AH$654)/SUMIF('38'!$AO$4:$AO$654,#REF!,'38'!$AH$4:$AH$654)))</f>
        <v>0</v>
      </c>
      <c r="BA18" s="1243">
        <f t="shared" si="18"/>
        <v>0</v>
      </c>
      <c r="BB18" s="1243">
        <f t="shared" si="23"/>
        <v>0</v>
      </c>
      <c r="BC18" s="1242">
        <f t="shared" si="20"/>
        <v>373.06521645779526</v>
      </c>
      <c r="BD18" s="1436">
        <f t="shared" si="21"/>
        <v>452.48100000000005</v>
      </c>
    </row>
    <row r="19" spans="1:56" ht="15" customHeight="1">
      <c r="A19" s="1491" t="s">
        <v>4135</v>
      </c>
      <c r="B19" s="1632">
        <v>46025</v>
      </c>
      <c r="C19" s="1447">
        <v>46022</v>
      </c>
      <c r="D19" t="s">
        <v>4171</v>
      </c>
      <c r="E19" s="762">
        <f>_xlfn.XLOOKUP(D19,RUC!$B$3:$B$123,RUC!$D$3:$D$123)</f>
        <v>20614284740</v>
      </c>
      <c r="G19" s="1082">
        <v>72</v>
      </c>
      <c r="H19" s="762" t="s">
        <v>69</v>
      </c>
      <c r="I19" s="703">
        <v>7.28</v>
      </c>
      <c r="J19" s="596">
        <v>1.25</v>
      </c>
      <c r="K19" s="703">
        <f t="shared" si="0"/>
        <v>7.1890000000000001</v>
      </c>
      <c r="L19" s="1192">
        <v>4.4999999999999998E-2</v>
      </c>
      <c r="M19" s="994">
        <f>ROUND(+IF(AN19="Melchor Vera",IF(L19&gt;0.467,L19*0.985,(L19-0.007)),IF(L19&gt;0.3,L19*0.94,(L19-0.019))),3)</f>
        <v>2.5999999999999999E-2</v>
      </c>
      <c r="N19" s="1196">
        <f t="shared" si="15"/>
        <v>2.5999999999999999E-2</v>
      </c>
      <c r="O19" s="645">
        <f t="shared" ref="O19:O33" si="24">+ROUND((M19+N19)/2,3)</f>
        <v>2.5999999999999999E-2</v>
      </c>
      <c r="P19" s="727">
        <v>80</v>
      </c>
      <c r="Q19" s="1476">
        <v>91.3</v>
      </c>
      <c r="R19" s="706">
        <v>4307.95</v>
      </c>
      <c r="S19" s="765">
        <f>IF((_xlfn.XLOOKUP(D19,RUC!$B$3:$B$119,RUC!$E$3:$E$119)+ROUNDDOWN(O19,1)*100)&lt;95,95,((_xlfn.XLOOKUP(D19,RUC!$B$3:$B$119,RUC!$E$3:$E$119)+ROUNDDOWN(O19,1)*100)))</f>
        <v>95</v>
      </c>
      <c r="U19" s="1146">
        <f>_xlfn.XLOOKUP(D19,RUC!$B$3:$B$123,RUC!$F$3:$F$123)</f>
        <v>120</v>
      </c>
      <c r="V19" s="715">
        <v>1.1023000000000001</v>
      </c>
      <c r="Y19">
        <f>_xlfn.XLOOKUP(D19,RUC!$B$3:$B$123,RUC!$G$3:$G$123)</f>
        <v>20</v>
      </c>
      <c r="Z19" s="143">
        <f>_xlfn.XLOOKUP(D19,RUC!$B$3:$B$123,RUC!$H$3:$H$123)</f>
        <v>30</v>
      </c>
      <c r="AA19" s="144">
        <f t="shared" si="2"/>
        <v>50</v>
      </c>
      <c r="AB19" s="145">
        <v>0</v>
      </c>
      <c r="AC19" s="145">
        <f>+(S19-T19)*V19-'data 1'!$F$4</f>
        <v>24.718500000000006</v>
      </c>
      <c r="AD19" s="145">
        <f t="shared" si="4"/>
        <v>23.47427849422499</v>
      </c>
      <c r="AE19" s="145">
        <f t="shared" si="5"/>
        <v>-14.884999999999998</v>
      </c>
      <c r="AF19" s="145">
        <f t="shared" si="6"/>
        <v>80.080296762894989</v>
      </c>
      <c r="AG19" s="772">
        <f t="shared" ref="AG19" si="25">AC19+AD19+AE19+AF19+70</f>
        <v>183.38807525711999</v>
      </c>
      <c r="AH19" s="1253">
        <f t="shared" si="8"/>
        <v>10.127000000000001</v>
      </c>
      <c r="AI19" s="1253">
        <f t="shared" si="9"/>
        <v>11.090999999999999</v>
      </c>
      <c r="AJ19" s="156">
        <f t="shared" si="10"/>
        <v>36.776116745775013</v>
      </c>
      <c r="AK19" s="156">
        <f t="shared" si="11"/>
        <v>5.1267352175821603</v>
      </c>
      <c r="AM19" s="716">
        <f t="shared" si="12"/>
        <v>0</v>
      </c>
      <c r="AN19" s="716" t="str">
        <f>_xlfn.XLOOKUP(D19,RUC!$B$3:$B$578,RUC!$M$3:$M$578)</f>
        <v xml:space="preserve">Dante </v>
      </c>
      <c r="AO19" s="1167" t="s">
        <v>2278</v>
      </c>
      <c r="AP19" t="s">
        <v>4191</v>
      </c>
      <c r="AQ19" t="s">
        <v>4192</v>
      </c>
      <c r="AV19" s="1637"/>
      <c r="AW19" s="1234"/>
      <c r="AX19" s="1234"/>
      <c r="AY19" s="1235"/>
      <c r="AZ19" s="1236"/>
      <c r="BA19" s="1237"/>
      <c r="BB19" s="1237"/>
      <c r="BC19" s="1236"/>
      <c r="BD19" s="729"/>
    </row>
    <row r="20" spans="1:56" ht="15" customHeight="1">
      <c r="A20" s="1491" t="s">
        <v>4136</v>
      </c>
      <c r="B20" s="1632">
        <v>46025</v>
      </c>
      <c r="C20" s="1447">
        <v>46022</v>
      </c>
      <c r="D20" t="s">
        <v>4171</v>
      </c>
      <c r="E20" s="762">
        <f>_xlfn.XLOOKUP(D20,RUC!$B$3:$B$123,RUC!$D$3:$D$123)</f>
        <v>20614284740</v>
      </c>
      <c r="G20" s="1082">
        <v>10</v>
      </c>
      <c r="H20" s="762" t="s">
        <v>69</v>
      </c>
      <c r="I20" s="703">
        <v>0.97</v>
      </c>
      <c r="J20" s="596">
        <v>1.35</v>
      </c>
      <c r="K20" s="703">
        <f t="shared" si="0"/>
        <v>0.95699999999999996</v>
      </c>
      <c r="L20" s="1192">
        <v>9.8000000000000004E-2</v>
      </c>
      <c r="M20" s="994">
        <f>ROUND(+IF(AN20="Melchor Vera",IF(L20&gt;0.467,L20*0.985,(L20-0.007)),IF(L20&gt;0.3,L20*0.94,(L20-0.019))),3)</f>
        <v>7.9000000000000001E-2</v>
      </c>
      <c r="N20" s="1196">
        <f t="shared" si="15"/>
        <v>7.9000000000000001E-2</v>
      </c>
      <c r="O20" s="645">
        <f t="shared" si="24"/>
        <v>7.9000000000000001E-2</v>
      </c>
      <c r="P20" s="727">
        <v>80</v>
      </c>
      <c r="Q20" s="1476">
        <v>87.63</v>
      </c>
      <c r="R20" s="706">
        <v>4307.95</v>
      </c>
      <c r="S20" s="765">
        <f>IF((_xlfn.XLOOKUP(D20,RUC!$B$3:$B$119,RUC!$E$3:$E$119)+ROUNDDOWN(O20,1)*100)&lt;95,95,((_xlfn.XLOOKUP(D20,RUC!$B$3:$B$119,RUC!$E$3:$E$119)+ROUNDDOWN(O20,1)*100)))</f>
        <v>95</v>
      </c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3">
        <f>_xlfn.XLOOKUP(D20,RUC!$B$3:$B$123,RUC!$H$3:$H$123)</f>
        <v>30</v>
      </c>
      <c r="AA20" s="144">
        <f t="shared" si="2"/>
        <v>50</v>
      </c>
      <c r="AB20" s="145">
        <v>1E-3</v>
      </c>
      <c r="AC20" s="145">
        <f>+(S20-T20)*V20-'data 1'!$F$4</f>
        <v>24.718500000000006</v>
      </c>
      <c r="AD20" s="145">
        <f t="shared" si="4"/>
        <v>34.51849951085898</v>
      </c>
      <c r="AE20" s="145">
        <f t="shared" si="5"/>
        <v>-14.884999999999998</v>
      </c>
      <c r="AF20" s="145">
        <f t="shared" si="6"/>
        <v>76.861296882064522</v>
      </c>
      <c r="AG20" s="772">
        <f>AC20+AD20+AE20+AF20+70-53+131.92</f>
        <v>270.13329639292351</v>
      </c>
      <c r="AH20" s="1253">
        <f t="shared" si="8"/>
        <v>2.8180000000000001</v>
      </c>
      <c r="AI20" s="1253">
        <f t="shared" si="9"/>
        <v>3.2149999999999999</v>
      </c>
      <c r="AJ20" s="156">
        <f t="shared" si="10"/>
        <v>76.870811445141015</v>
      </c>
      <c r="AK20" s="156">
        <f t="shared" si="11"/>
        <v>2.07366255419532</v>
      </c>
      <c r="AM20" s="716">
        <f t="shared" si="12"/>
        <v>9.5699999999999995E-4</v>
      </c>
      <c r="AN20" s="716" t="str">
        <f>_xlfn.XLOOKUP(D20,RUC!$B$3:$B$578,RUC!$M$3:$M$578)</f>
        <v xml:space="preserve">Dante </v>
      </c>
      <c r="AO20" s="1167" t="s">
        <v>2278</v>
      </c>
      <c r="AP20" t="s">
        <v>4191</v>
      </c>
      <c r="AQ20" t="s">
        <v>4192</v>
      </c>
    </row>
    <row r="21" spans="1:56" ht="15" customHeight="1">
      <c r="A21" s="747" t="s">
        <v>4159</v>
      </c>
      <c r="B21" s="1447">
        <v>46030</v>
      </c>
      <c r="C21" s="1447">
        <v>46024</v>
      </c>
      <c r="D21" t="s">
        <v>2444</v>
      </c>
      <c r="E21" s="762">
        <f>_xlfn.XLOOKUP(D21,RUC!$B$3:$B$123,RUC!$D$3:$D$123)</f>
        <v>20608774000</v>
      </c>
      <c r="G21" s="1082">
        <v>22</v>
      </c>
      <c r="H21" s="762" t="s">
        <v>69</v>
      </c>
      <c r="I21" s="703">
        <v>1.95</v>
      </c>
      <c r="J21" s="596">
        <v>1.2</v>
      </c>
      <c r="K21" s="703">
        <f t="shared" si="0"/>
        <v>1.927</v>
      </c>
      <c r="L21" s="1192">
        <v>0.124</v>
      </c>
      <c r="M21" s="994">
        <f t="shared" ref="M21:M33" si="26">ROUND(+IF(AN21="Melchor Vera",IF(L21&gt;0.467,L21*0.985,(L21-0.007)),IF(L21&gt;0.3,L21*0.94,(L21-0.018))),3)</f>
        <v>0.106</v>
      </c>
      <c r="N21" s="1196">
        <f t="shared" si="15"/>
        <v>0.106</v>
      </c>
      <c r="O21" s="645">
        <f t="shared" si="24"/>
        <v>0.106</v>
      </c>
      <c r="P21" s="727">
        <v>80</v>
      </c>
      <c r="Q21" s="1476">
        <v>92.21</v>
      </c>
      <c r="R21" s="706">
        <v>4307.95</v>
      </c>
      <c r="S21" s="765">
        <f>IF((_xlfn.XLOOKUP(D21,RUC!$B$3:$B$119,RUC!$E$3:$E$119)+ROUNDDOWN(O21,1)*100)&lt;95,95,((_xlfn.XLOOKUP(D21,RUC!$B$3:$B$119,RUC!$E$3:$E$119)+ROUNDDOWN(O21,1)*100)))</f>
        <v>95</v>
      </c>
      <c r="U21" s="1146">
        <f>_xlfn.XLOOKUP(D21,RUC!$B$3:$B$123,RUC!$F$3:$F$123)</f>
        <v>120</v>
      </c>
      <c r="V21" s="715">
        <v>1.1023000000000001</v>
      </c>
      <c r="Y21" s="1445">
        <v>25</v>
      </c>
      <c r="Z21" s="1454">
        <v>35</v>
      </c>
      <c r="AA21" s="144">
        <f t="shared" si="2"/>
        <v>60</v>
      </c>
      <c r="AB21" s="145">
        <f t="shared" ref="AB21:AB30" si="27">+((O21*P21*(R21-U21)/100)-S21-AA21+T21)*V21</f>
        <v>220.61229376799997</v>
      </c>
      <c r="AC21" s="145">
        <f>+(S21-T21)*V21-'data 1'!$F$4</f>
        <v>24.718500000000006</v>
      </c>
      <c r="AD21" s="145">
        <f t="shared" si="4"/>
        <v>69.893798645813973</v>
      </c>
      <c r="AE21" s="145">
        <f t="shared" si="5"/>
        <v>-3.8619999999999948</v>
      </c>
      <c r="AF21" s="145">
        <f t="shared" si="6"/>
        <v>76.621706900972995</v>
      </c>
      <c r="AG21" s="772">
        <f t="shared" ref="AG21:AG25" si="28">AC21+AD21+AE21+AF21+70-53</f>
        <v>184.37200554678697</v>
      </c>
      <c r="AH21" s="1253">
        <f t="shared" si="8"/>
        <v>7.5540000000000003</v>
      </c>
      <c r="AI21" s="1253">
        <f t="shared" si="9"/>
        <v>8.1920000000000002</v>
      </c>
      <c r="AJ21" s="156">
        <f t="shared" si="10"/>
        <v>102.34868928218603</v>
      </c>
      <c r="AK21" s="156">
        <f t="shared" si="11"/>
        <v>5.6025615470952808</v>
      </c>
      <c r="AM21" s="716">
        <f t="shared" si="12"/>
        <v>425.11989009093594</v>
      </c>
      <c r="AN21" s="716" t="str">
        <f>_xlfn.XLOOKUP(D21,RUC!$B$3:$B$578,RUC!$M$3:$M$578)</f>
        <v>Ronald Miranda</v>
      </c>
      <c r="AO21" s="1167" t="s">
        <v>2277</v>
      </c>
      <c r="AP21" t="s">
        <v>4144</v>
      </c>
      <c r="AQ21" t="s">
        <v>4145</v>
      </c>
    </row>
    <row r="22" spans="1:56" ht="15" customHeight="1">
      <c r="A22" s="747" t="s">
        <v>4160</v>
      </c>
      <c r="B22" s="1447">
        <v>46030</v>
      </c>
      <c r="C22" s="1447">
        <v>46024</v>
      </c>
      <c r="D22" t="s">
        <v>2444</v>
      </c>
      <c r="E22" s="762">
        <f>_xlfn.XLOOKUP(D22,RUC!$B$3:$B$123,RUC!$D$3:$D$123)</f>
        <v>20608774000</v>
      </c>
      <c r="G22" s="1082">
        <v>12</v>
      </c>
      <c r="H22" s="762" t="s">
        <v>69</v>
      </c>
      <c r="I22" s="703">
        <v>1.18</v>
      </c>
      <c r="J22" s="596">
        <v>6.5</v>
      </c>
      <c r="K22" s="703">
        <f t="shared" si="0"/>
        <v>1.103</v>
      </c>
      <c r="L22" s="1192">
        <v>0.16500000000000001</v>
      </c>
      <c r="M22" s="994">
        <f t="shared" si="26"/>
        <v>0.14699999999999999</v>
      </c>
      <c r="N22" s="1196">
        <f t="shared" si="15"/>
        <v>0.14699999999999999</v>
      </c>
      <c r="O22" s="645">
        <f t="shared" si="24"/>
        <v>0.14699999999999999</v>
      </c>
      <c r="P22" s="727">
        <v>80</v>
      </c>
      <c r="Q22" s="1476">
        <v>95.76</v>
      </c>
      <c r="R22" s="706">
        <v>4307.95</v>
      </c>
      <c r="S22" s="765">
        <f>IF((_xlfn.XLOOKUP(D22,RUC!$B$3:$B$119,RUC!$E$3:$E$119)+ROUNDDOWN(O22,1)*100)&lt;95,95,((_xlfn.XLOOKUP(D22,RUC!$B$3:$B$119,RUC!$E$3:$E$119)+ROUNDDOWN(O22,1)*100)))</f>
        <v>95</v>
      </c>
      <c r="U22" s="1146">
        <f>_xlfn.XLOOKUP(D22,RUC!$B$3:$B$123,RUC!$F$3:$F$123)</f>
        <v>120</v>
      </c>
      <c r="V22" s="715">
        <v>1.1023000000000001</v>
      </c>
      <c r="Y22" s="1445">
        <v>25</v>
      </c>
      <c r="Z22" s="1454">
        <v>35</v>
      </c>
      <c r="AA22" s="144">
        <f t="shared" si="2"/>
        <v>60</v>
      </c>
      <c r="AB22" s="145">
        <f t="shared" si="27"/>
        <v>372.029468716</v>
      </c>
      <c r="AC22" s="145">
        <f>+(S22-T22)*V22-'data 1'!$F$4</f>
        <v>24.718500000000006</v>
      </c>
      <c r="AD22" s="145">
        <f t="shared" si="4"/>
        <v>120.04427491914004</v>
      </c>
      <c r="AE22" s="145">
        <f t="shared" si="5"/>
        <v>-3.8619999999999948</v>
      </c>
      <c r="AF22" s="145">
        <f t="shared" si="6"/>
        <v>79.571571986088088</v>
      </c>
      <c r="AG22" s="772">
        <f t="shared" si="28"/>
        <v>237.47234690522816</v>
      </c>
      <c r="AH22" s="1253">
        <f t="shared" si="8"/>
        <v>5.9749999999999996</v>
      </c>
      <c r="AI22" s="1253">
        <f t="shared" si="9"/>
        <v>6.24</v>
      </c>
      <c r="AJ22" s="156">
        <f t="shared" si="10"/>
        <v>141.43296946086005</v>
      </c>
      <c r="AK22" s="156">
        <f t="shared" si="11"/>
        <v>4.4472536830520397</v>
      </c>
      <c r="AM22" s="716">
        <f t="shared" si="12"/>
        <v>410.34850399374801</v>
      </c>
      <c r="AN22" s="716" t="str">
        <f>_xlfn.XLOOKUP(D22,RUC!$B$3:$B$578,RUC!$M$3:$M$578)</f>
        <v>Ronald Miranda</v>
      </c>
      <c r="AO22" s="1167" t="s">
        <v>2277</v>
      </c>
      <c r="AP22" t="s">
        <v>4144</v>
      </c>
      <c r="AQ22" t="s">
        <v>4145</v>
      </c>
    </row>
    <row r="23" spans="1:56" ht="15" customHeight="1">
      <c r="A23" s="747" t="s">
        <v>4161</v>
      </c>
      <c r="B23" s="1447">
        <v>46030</v>
      </c>
      <c r="C23" s="1447">
        <v>46024</v>
      </c>
      <c r="D23" t="s">
        <v>2444</v>
      </c>
      <c r="E23" s="762">
        <f>_xlfn.XLOOKUP(D23,RUC!$B$3:$B$123,RUC!$D$3:$D$123)</f>
        <v>20608774000</v>
      </c>
      <c r="G23" s="1082">
        <v>14</v>
      </c>
      <c r="H23" s="762" t="s">
        <v>69</v>
      </c>
      <c r="I23" s="703">
        <v>1.24</v>
      </c>
      <c r="J23" s="596">
        <v>1.25</v>
      </c>
      <c r="K23" s="703">
        <f t="shared" si="0"/>
        <v>1.2250000000000001</v>
      </c>
      <c r="L23" s="1192">
        <v>0.22900000000000001</v>
      </c>
      <c r="M23" s="994">
        <f t="shared" si="26"/>
        <v>0.21099999999999999</v>
      </c>
      <c r="N23" s="1196">
        <f t="shared" si="15"/>
        <v>0.21099999999999999</v>
      </c>
      <c r="O23" s="645">
        <f t="shared" si="24"/>
        <v>0.21099999999999999</v>
      </c>
      <c r="P23" s="727">
        <v>90</v>
      </c>
      <c r="Q23" s="1476">
        <v>95.2</v>
      </c>
      <c r="R23" s="706">
        <v>4307.95</v>
      </c>
      <c r="S23" s="765">
        <f>IF((_xlfn.XLOOKUP(D23,RUC!$B$3:$B$119,RUC!$E$3:$E$119)+ROUNDDOWN(O23,1)*100)&lt;95,95,((_xlfn.XLOOKUP(D23,RUC!$B$3:$B$119,RUC!$E$3:$E$119)+ROUNDDOWN(O23,1)*100)))</f>
        <v>105</v>
      </c>
      <c r="U23" s="1146">
        <f>_xlfn.XLOOKUP(D23,RUC!$B$3:$B$123,RUC!$F$3:$F$123)</f>
        <v>120</v>
      </c>
      <c r="V23" s="715">
        <v>1.1023000000000001</v>
      </c>
      <c r="Y23" s="1445">
        <v>25</v>
      </c>
      <c r="Z23" s="1454">
        <v>35</v>
      </c>
      <c r="AA23" s="144">
        <f t="shared" si="2"/>
        <v>60</v>
      </c>
      <c r="AB23" s="145">
        <f t="shared" si="27"/>
        <v>694.77054642150006</v>
      </c>
      <c r="AC23" s="145">
        <f>+(S23-T23)*V23-'data 1'!$F$4</f>
        <v>35.741500000000002</v>
      </c>
      <c r="AD23" s="145">
        <f t="shared" si="4"/>
        <v>54.97182070978004</v>
      </c>
      <c r="AE23" s="145">
        <f t="shared" si="5"/>
        <v>-3.8619999999999948</v>
      </c>
      <c r="AF23" s="145">
        <f t="shared" si="6"/>
        <v>79.106241155760074</v>
      </c>
      <c r="AG23" s="772">
        <f t="shared" si="28"/>
        <v>182.95756186554013</v>
      </c>
      <c r="AH23" s="1253">
        <f t="shared" si="8"/>
        <v>9.1560000000000006</v>
      </c>
      <c r="AI23" s="1253">
        <f t="shared" si="9"/>
        <v>9.6180000000000003</v>
      </c>
      <c r="AJ23" s="156">
        <f t="shared" si="10"/>
        <v>195.14391285172007</v>
      </c>
      <c r="AK23" s="156">
        <f t="shared" si="11"/>
        <v>7.9757241086013755</v>
      </c>
      <c r="AM23" s="716">
        <f t="shared" si="12"/>
        <v>851.09391936633767</v>
      </c>
      <c r="AN23" s="716" t="str">
        <f>_xlfn.XLOOKUP(D23,RUC!$B$3:$B$578,RUC!$M$3:$M$578)</f>
        <v>Ronald Miranda</v>
      </c>
      <c r="AO23" s="1167" t="s">
        <v>2277</v>
      </c>
      <c r="AP23" t="s">
        <v>4144</v>
      </c>
      <c r="AQ23" t="s">
        <v>4145</v>
      </c>
    </row>
    <row r="24" spans="1:56" ht="15" customHeight="1">
      <c r="A24" s="747" t="s">
        <v>4162</v>
      </c>
      <c r="B24" s="1447">
        <v>46029</v>
      </c>
      <c r="C24" s="1447">
        <v>46024</v>
      </c>
      <c r="D24" t="s">
        <v>2444</v>
      </c>
      <c r="E24" s="762">
        <f>_xlfn.XLOOKUP(D24,RUC!$B$3:$B$123,RUC!$D$3:$D$123)</f>
        <v>20608774000</v>
      </c>
      <c r="G24" s="1082">
        <v>15</v>
      </c>
      <c r="H24" s="762" t="s">
        <v>69</v>
      </c>
      <c r="I24" s="703">
        <v>1.3</v>
      </c>
      <c r="J24" s="596">
        <v>1.2</v>
      </c>
      <c r="K24" s="703">
        <f t="shared" si="0"/>
        <v>1.284</v>
      </c>
      <c r="L24" s="1192">
        <v>2.0920000000000001</v>
      </c>
      <c r="M24" s="994">
        <f t="shared" si="26"/>
        <v>1.966</v>
      </c>
      <c r="N24" s="1196">
        <f t="shared" si="15"/>
        <v>1.966</v>
      </c>
      <c r="O24" s="645">
        <f t="shared" si="24"/>
        <v>1.966</v>
      </c>
      <c r="P24" s="727">
        <v>90</v>
      </c>
      <c r="Q24" s="1476">
        <v>95.75</v>
      </c>
      <c r="R24" s="706">
        <v>4307.95</v>
      </c>
      <c r="S24" s="765">
        <f>IF((_xlfn.XLOOKUP(D24,RUC!$B$3:$B$119,RUC!$E$3:$E$119)+ROUNDDOWN(O24,1)*100)&lt;95,95,((_xlfn.XLOOKUP(D24,RUC!$B$3:$B$119,RUC!$E$3:$E$119)+ROUNDDOWN(O24,1)*100)))</f>
        <v>275</v>
      </c>
      <c r="U24" s="1146">
        <f>_xlfn.XLOOKUP(D24,RUC!$B$3:$B$123,RUC!$F$3:$F$123)</f>
        <v>120</v>
      </c>
      <c r="V24" s="715">
        <v>1.1023000000000001</v>
      </c>
      <c r="Y24" s="1445">
        <v>25</v>
      </c>
      <c r="Z24" s="1454">
        <v>35</v>
      </c>
      <c r="AA24" s="144">
        <f t="shared" si="2"/>
        <v>60</v>
      </c>
      <c r="AB24" s="145">
        <f t="shared" si="27"/>
        <v>7798.9474680789999</v>
      </c>
      <c r="AC24" s="145">
        <f>+(S24-T24)*V24-'data 1'!$F$4</f>
        <v>223.13249999999999</v>
      </c>
      <c r="AD24" s="145">
        <f t="shared" si="4"/>
        <v>555.30402361264998</v>
      </c>
      <c r="AE24" s="145">
        <f t="shared" si="5"/>
        <v>-3.8619999999999948</v>
      </c>
      <c r="AF24" s="145">
        <f t="shared" si="6"/>
        <v>556.94283754882554</v>
      </c>
      <c r="AG24" s="772">
        <f t="shared" si="28"/>
        <v>1348.5173611614755</v>
      </c>
      <c r="AH24" s="1253">
        <f t="shared" si="8"/>
        <v>88.180999999999997</v>
      </c>
      <c r="AI24" s="1253">
        <f t="shared" si="9"/>
        <v>92.094999999999999</v>
      </c>
      <c r="AJ24" s="156">
        <f t="shared" si="10"/>
        <v>1793.0113591893505</v>
      </c>
      <c r="AK24" s="156">
        <f t="shared" si="11"/>
        <v>77.893302250520293</v>
      </c>
      <c r="AM24" s="716">
        <f t="shared" si="12"/>
        <v>10013.848549013435</v>
      </c>
      <c r="AN24" s="716" t="str">
        <f>_xlfn.XLOOKUP(D24,RUC!$B$3:$B$578,RUC!$M$3:$M$578)</f>
        <v>Ronald Miranda</v>
      </c>
      <c r="AO24" s="1167" t="s">
        <v>2277</v>
      </c>
      <c r="AP24" t="s">
        <v>4144</v>
      </c>
      <c r="AQ24" t="s">
        <v>4145</v>
      </c>
      <c r="BA24" s="1482"/>
    </row>
    <row r="25" spans="1:56" ht="15" customHeight="1" thickBot="1">
      <c r="A25" s="747" t="s">
        <v>4163</v>
      </c>
      <c r="B25" s="1447">
        <v>46030</v>
      </c>
      <c r="C25" s="1447">
        <v>46024</v>
      </c>
      <c r="D25" t="s">
        <v>2444</v>
      </c>
      <c r="E25" s="762">
        <f>_xlfn.XLOOKUP(D25,RUC!$B$3:$B$123,RUC!$D$3:$D$123)</f>
        <v>20608774000</v>
      </c>
      <c r="G25" s="1082">
        <v>74</v>
      </c>
      <c r="H25" s="762" t="s">
        <v>69</v>
      </c>
      <c r="I25" s="703">
        <v>6.55</v>
      </c>
      <c r="J25" s="596">
        <v>1.3</v>
      </c>
      <c r="K25" s="703">
        <f t="shared" si="0"/>
        <v>6.4649999999999999</v>
      </c>
      <c r="L25" s="1192">
        <v>0.35299999999999998</v>
      </c>
      <c r="M25" s="994">
        <f t="shared" si="26"/>
        <v>0.33200000000000002</v>
      </c>
      <c r="N25" s="1196">
        <f t="shared" si="15"/>
        <v>0.33200000000000002</v>
      </c>
      <c r="O25" s="645">
        <f t="shared" si="24"/>
        <v>0.33200000000000002</v>
      </c>
      <c r="P25" s="727">
        <v>90</v>
      </c>
      <c r="Q25" s="1476">
        <v>92.63</v>
      </c>
      <c r="R25" s="706">
        <v>4307.95</v>
      </c>
      <c r="S25" s="765">
        <f>IF((_xlfn.XLOOKUP(D25,RUC!$B$3:$B$119,RUC!$E$3:$E$119)+ROUNDDOWN(O25,1)*100)&lt;95,95,((_xlfn.XLOOKUP(D25,RUC!$B$3:$B$119,RUC!$E$3:$E$119)+ROUNDDOWN(O25,1)*100)))</f>
        <v>115</v>
      </c>
      <c r="U25" s="1146">
        <f>_xlfn.XLOOKUP(D25,RUC!$B$3:$B$123,RUC!$F$3:$F$123)</f>
        <v>120</v>
      </c>
      <c r="V25" s="715">
        <v>1.1023000000000001</v>
      </c>
      <c r="Y25" s="1445">
        <v>25</v>
      </c>
      <c r="Z25" s="1454">
        <v>35</v>
      </c>
      <c r="AA25" s="144">
        <f t="shared" si="2"/>
        <v>60</v>
      </c>
      <c r="AB25" s="145">
        <f t="shared" si="27"/>
        <v>1186.4710327580001</v>
      </c>
      <c r="AC25" s="145">
        <f>+(S25-T25)*V25-'data 1'!$F$4</f>
        <v>46.764500000000012</v>
      </c>
      <c r="AD25" s="145">
        <f t="shared" si="4"/>
        <v>42.857985076211428</v>
      </c>
      <c r="AE25" s="145">
        <f t="shared" si="5"/>
        <v>-3.8619999999999948</v>
      </c>
      <c r="AF25" s="145">
        <f t="shared" si="6"/>
        <v>89.799155861005346</v>
      </c>
      <c r="AG25" s="772">
        <f t="shared" si="28"/>
        <v>192.55964093721678</v>
      </c>
      <c r="AH25" s="1253">
        <f t="shared" si="8"/>
        <v>72.477999999999994</v>
      </c>
      <c r="AI25" s="1253">
        <f t="shared" si="9"/>
        <v>78.244</v>
      </c>
      <c r="AJ25" s="156">
        <f t="shared" si="10"/>
        <v>292.69071632928853</v>
      </c>
      <c r="AK25" s="156">
        <f t="shared" si="11"/>
        <v>66.2305240824831</v>
      </c>
      <c r="AM25" s="716">
        <f t="shared" si="12"/>
        <v>7670.5352267804701</v>
      </c>
      <c r="AN25" s="716" t="str">
        <f>_xlfn.XLOOKUP(D25,RUC!$B$3:$B$578,RUC!$M$3:$M$578)</f>
        <v>Ronald Miranda</v>
      </c>
      <c r="AO25" s="1167" t="s">
        <v>2277</v>
      </c>
      <c r="AP25" t="s">
        <v>4144</v>
      </c>
      <c r="AQ25" t="s">
        <v>4145</v>
      </c>
      <c r="BA25" s="1482"/>
    </row>
    <row r="26" spans="1:56" ht="15" customHeight="1" thickBot="1">
      <c r="A26" s="1491" t="s">
        <v>4169</v>
      </c>
      <c r="C26" s="1549">
        <v>46024</v>
      </c>
      <c r="D26" t="s">
        <v>2004</v>
      </c>
      <c r="E26" s="762">
        <f>_xlfn.XLOOKUP(D26,RUC!$B$3:$B$123,RUC!$D$3:$D$123)</f>
        <v>20612921866</v>
      </c>
      <c r="G26" s="1082" t="s">
        <v>2556</v>
      </c>
      <c r="H26" s="762" t="s">
        <v>69</v>
      </c>
      <c r="I26" s="703">
        <v>4.41</v>
      </c>
      <c r="J26" s="596">
        <v>1.3</v>
      </c>
      <c r="K26" s="703">
        <f t="shared" si="0"/>
        <v>4.3529999999999998</v>
      </c>
      <c r="L26" s="1192">
        <v>8.8999999999999996E-2</v>
      </c>
      <c r="M26" s="994">
        <f t="shared" si="26"/>
        <v>7.0999999999999994E-2</v>
      </c>
      <c r="N26" s="1196">
        <f t="shared" si="15"/>
        <v>7.0999999999999994E-2</v>
      </c>
      <c r="O26" s="645">
        <f t="shared" si="24"/>
        <v>7.0999999999999994E-2</v>
      </c>
      <c r="P26" s="727">
        <v>90</v>
      </c>
      <c r="Q26" s="1476">
        <v>82.02</v>
      </c>
      <c r="R26" s="706">
        <v>4307.95</v>
      </c>
      <c r="S26" s="765">
        <f>IF((_xlfn.XLOOKUP(D26,RUC!$B$3:$B$119,RUC!$E$3:$E$119)+ROUNDDOWN(O26,1)*100)&lt;95,95,((_xlfn.XLOOKUP(D26,RUC!$B$3:$B$119,RUC!$E$3:$E$119)+ROUNDDOWN(O26,1)*100)))</f>
        <v>95</v>
      </c>
      <c r="U26" s="1146">
        <f>_xlfn.XLOOKUP(D26,RUC!$B$3:$B$123,RUC!$F$3:$F$123)</f>
        <v>100</v>
      </c>
      <c r="V26" s="715">
        <v>1.1023000000000001</v>
      </c>
      <c r="Y26">
        <f>_xlfn.XLOOKUP(D26,RUC!$B$3:$B$123,RUC!$G$3:$G$123)</f>
        <v>0</v>
      </c>
      <c r="Z26" s="143">
        <f>_xlfn.XLOOKUP(D26,RUC!$B$3:$B$123,RUC!$H$3:$H$123)</f>
        <v>30</v>
      </c>
      <c r="AA26" s="144">
        <f t="shared" si="2"/>
        <v>30</v>
      </c>
      <c r="AB26" s="145">
        <f t="shared" si="27"/>
        <v>158.60774791149996</v>
      </c>
      <c r="AC26" s="145">
        <f>+(S26-T26)*V26-'data 1'!$F$4</f>
        <v>24.718500000000006</v>
      </c>
      <c r="AD26" s="145">
        <f t="shared" si="4"/>
        <v>-32.943009854727016</v>
      </c>
      <c r="AE26" s="145">
        <f t="shared" si="5"/>
        <v>-36.930999999999997</v>
      </c>
      <c r="AF26" s="145">
        <f t="shared" si="6"/>
        <v>68.479826010426009</v>
      </c>
      <c r="AG26" s="772">
        <f t="shared" ref="AG26" si="29">AC26+AD26+AE26+AF26+70-10</f>
        <v>83.324316155698995</v>
      </c>
      <c r="AH26" s="1253">
        <f t="shared" si="8"/>
        <v>10.895</v>
      </c>
      <c r="AI26" s="1253">
        <f t="shared" si="9"/>
        <v>13.282999999999999</v>
      </c>
      <c r="AJ26" s="156">
        <f t="shared" si="10"/>
        <v>63.732679426227023</v>
      </c>
      <c r="AK26" s="156">
        <f t="shared" si="11"/>
        <v>9.5367103982074326</v>
      </c>
      <c r="AM26" s="716">
        <f t="shared" si="12"/>
        <v>690.41952665875931</v>
      </c>
      <c r="AN26" s="716" t="str">
        <f>_xlfn.XLOOKUP(D26,RUC!$B$3:$B$578,RUC!$M$3:$M$578)</f>
        <v>Ronald Garibay</v>
      </c>
      <c r="AO26" s="1167" t="s">
        <v>2278</v>
      </c>
      <c r="AP26" t="s">
        <v>4146</v>
      </c>
      <c r="AQ26" t="s">
        <v>4147</v>
      </c>
      <c r="AV26" s="1982" t="s">
        <v>4537</v>
      </c>
      <c r="AW26" s="1983"/>
      <c r="AX26" s="1983"/>
      <c r="AY26" s="1983"/>
      <c r="AZ26" s="1983"/>
      <c r="BA26" s="1984"/>
    </row>
    <row r="27" spans="1:56" ht="15" customHeight="1">
      <c r="A27" s="747" t="s">
        <v>4173</v>
      </c>
      <c r="B27" s="1447">
        <v>46031</v>
      </c>
      <c r="C27" s="1447">
        <v>46025</v>
      </c>
      <c r="D27" t="s">
        <v>4171</v>
      </c>
      <c r="E27" s="762">
        <f>_xlfn.XLOOKUP(D27,RUC!$B$3:$B$123,RUC!$D$3:$D$123)</f>
        <v>20614284740</v>
      </c>
      <c r="G27" s="1082">
        <v>16</v>
      </c>
      <c r="H27" s="762" t="s">
        <v>108</v>
      </c>
      <c r="I27" s="703">
        <v>1.1499999999999999</v>
      </c>
      <c r="J27" s="596">
        <v>12.5</v>
      </c>
      <c r="K27" s="703">
        <f t="shared" si="0"/>
        <v>1.006</v>
      </c>
      <c r="L27" s="1192">
        <v>0.81</v>
      </c>
      <c r="M27" s="994">
        <f t="shared" si="26"/>
        <v>0.76100000000000001</v>
      </c>
      <c r="N27" s="1444">
        <v>0.84099999999999997</v>
      </c>
      <c r="O27" s="645">
        <f t="shared" si="24"/>
        <v>0.80100000000000005</v>
      </c>
      <c r="P27" s="727">
        <v>90</v>
      </c>
      <c r="Q27" s="1476">
        <v>96.53</v>
      </c>
      <c r="R27" s="706">
        <v>4307.95</v>
      </c>
      <c r="S27" s="765">
        <f>IF((_xlfn.XLOOKUP(D27,RUC!$B$3:$B$119,RUC!$E$3:$E$119)+ROUNDDOWN(O27,1)*100)&lt;95,95,((_xlfn.XLOOKUP(D27,RUC!$B$3:$B$119,RUC!$E$3:$E$119)+ROUNDDOWN(O27,1)*100)))</f>
        <v>170</v>
      </c>
      <c r="U27" s="1146">
        <f>_xlfn.XLOOKUP(D27,RUC!$B$3:$B$123,RUC!$F$3:$F$123)</f>
        <v>120</v>
      </c>
      <c r="V27" s="715">
        <v>1.1023000000000001</v>
      </c>
      <c r="Y27" s="1445">
        <v>30</v>
      </c>
      <c r="Z27" s="1454">
        <v>40</v>
      </c>
      <c r="AA27" s="144">
        <f t="shared" si="2"/>
        <v>70</v>
      </c>
      <c r="AB27" s="145">
        <f t="shared" si="27"/>
        <v>3063.3943847565006</v>
      </c>
      <c r="AC27" s="145">
        <f>+(S27-T27)*V27-'data 1'!$F$4</f>
        <v>107.39100000000002</v>
      </c>
      <c r="AD27" s="145">
        <f t="shared" si="4"/>
        <v>244.17404373550508</v>
      </c>
      <c r="AE27" s="145">
        <f t="shared" si="5"/>
        <v>7.1610000000000014</v>
      </c>
      <c r="AF27" s="145">
        <f t="shared" si="6"/>
        <v>40.105700938894543</v>
      </c>
      <c r="AG27" s="772">
        <f t="shared" ref="AG27:AG28" si="30">AC27+AD27+AE27+AF27+70</f>
        <v>468.83174467439966</v>
      </c>
      <c r="AH27" s="1253">
        <f t="shared" si="8"/>
        <v>26.968</v>
      </c>
      <c r="AI27" s="1253">
        <f t="shared" si="9"/>
        <v>27.937999999999999</v>
      </c>
      <c r="AJ27" s="156">
        <f t="shared" si="10"/>
        <v>699.8901849994952</v>
      </c>
      <c r="AK27" s="156">
        <f t="shared" si="11"/>
        <v>24.864634262716471</v>
      </c>
      <c r="AM27" s="716">
        <f t="shared" si="12"/>
        <v>3081.7747510650397</v>
      </c>
      <c r="AN27" s="716" t="str">
        <f>_xlfn.XLOOKUP(D27,RUC!$B$3:$B$578,RUC!$M$3:$M$578)</f>
        <v xml:space="preserve">Dante </v>
      </c>
      <c r="AO27" s="1167" t="s">
        <v>2278</v>
      </c>
      <c r="AP27" t="s">
        <v>3096</v>
      </c>
      <c r="AQ27" t="s">
        <v>4186</v>
      </c>
      <c r="BA27" s="1482">
        <f>SUM(BA29:BA38)</f>
        <v>0</v>
      </c>
    </row>
    <row r="28" spans="1:56" ht="15" customHeight="1" thickBot="1">
      <c r="A28" s="747" t="s">
        <v>4174</v>
      </c>
      <c r="B28" s="1447">
        <v>46037</v>
      </c>
      <c r="C28" s="1447">
        <v>46025</v>
      </c>
      <c r="D28" t="s">
        <v>4171</v>
      </c>
      <c r="E28" s="762">
        <f>_xlfn.XLOOKUP(D28,RUC!$B$3:$B$123,RUC!$D$3:$D$123)</f>
        <v>20614284740</v>
      </c>
      <c r="G28" s="1082" t="s">
        <v>2556</v>
      </c>
      <c r="H28" s="762" t="s">
        <v>108</v>
      </c>
      <c r="I28" s="703">
        <v>3.92</v>
      </c>
      <c r="J28" s="596">
        <v>16.25</v>
      </c>
      <c r="K28" s="703">
        <f t="shared" si="0"/>
        <v>3.2829999999999999</v>
      </c>
      <c r="L28" s="1192">
        <v>0.94399999999999995</v>
      </c>
      <c r="M28" s="1480">
        <v>0.91900000000000004</v>
      </c>
      <c r="N28" s="1444">
        <v>1.05</v>
      </c>
      <c r="O28" s="645">
        <f t="shared" si="24"/>
        <v>0.98499999999999999</v>
      </c>
      <c r="P28" s="727">
        <v>90</v>
      </c>
      <c r="Q28" s="1476">
        <v>95.71</v>
      </c>
      <c r="R28" s="706">
        <v>4307.95</v>
      </c>
      <c r="S28" s="765">
        <f>IF((_xlfn.XLOOKUP(D28,RUC!$B$3:$B$119,RUC!$E$3:$E$119)+ROUNDDOWN(O28,1)*100)&lt;95,95,((_xlfn.XLOOKUP(D28,RUC!$B$3:$B$119,RUC!$E$3:$E$119)+ROUNDDOWN(O28,1)*100)))</f>
        <v>180</v>
      </c>
      <c r="U28" s="1146">
        <f>_xlfn.XLOOKUP(D28,RUC!$B$3:$B$123,RUC!$F$3:$F$123)</f>
        <v>120</v>
      </c>
      <c r="V28" s="715">
        <v>1.1023000000000001</v>
      </c>
      <c r="Y28" s="1445">
        <v>30</v>
      </c>
      <c r="Z28" s="1454">
        <v>40</v>
      </c>
      <c r="AA28" s="144">
        <f t="shared" si="2"/>
        <v>70</v>
      </c>
      <c r="AB28" s="145">
        <f t="shared" si="27"/>
        <v>3816.8434631525001</v>
      </c>
      <c r="AC28" s="145">
        <f>+(S28-T28)*V28-'data 1'!$F$4</f>
        <v>118.41400000000002</v>
      </c>
      <c r="AD28" s="145">
        <f t="shared" si="4"/>
        <v>248.83381496698374</v>
      </c>
      <c r="AE28" s="145">
        <f t="shared" si="5"/>
        <v>7.1610000000000014</v>
      </c>
      <c r="AF28" s="145">
        <f t="shared" si="6"/>
        <v>-181.15172267841368</v>
      </c>
      <c r="AG28" s="772">
        <f t="shared" si="30"/>
        <v>263.25709228857011</v>
      </c>
      <c r="AH28" s="1253">
        <f t="shared" si="8"/>
        <v>101.697</v>
      </c>
      <c r="AI28" s="1253">
        <f t="shared" si="9"/>
        <v>106.256</v>
      </c>
      <c r="AJ28" s="156">
        <f t="shared" si="10"/>
        <v>808.74552129701613</v>
      </c>
      <c r="AK28" s="156">
        <f t="shared" si="11"/>
        <v>99.78349053026497</v>
      </c>
      <c r="AM28" s="716">
        <f t="shared" si="12"/>
        <v>12530.697089529658</v>
      </c>
      <c r="AN28" s="716" t="str">
        <f>_xlfn.XLOOKUP(D28,RUC!$B$3:$B$578,RUC!$M$3:$M$578)</f>
        <v xml:space="preserve">Dante </v>
      </c>
      <c r="AO28" s="1167" t="s">
        <v>2278</v>
      </c>
      <c r="AP28" t="s">
        <v>3096</v>
      </c>
      <c r="AQ28" t="s">
        <v>4186</v>
      </c>
      <c r="AR28" s="1627" t="s">
        <v>4255</v>
      </c>
      <c r="AV28" s="762"/>
      <c r="AW28" s="762" t="s">
        <v>15</v>
      </c>
      <c r="AX28" s="762" t="s">
        <v>2522</v>
      </c>
      <c r="AY28" s="762" t="s">
        <v>2558</v>
      </c>
      <c r="AZ28" s="1483" t="s">
        <v>2598</v>
      </c>
      <c r="BA28" s="762" t="s">
        <v>2559</v>
      </c>
    </row>
    <row r="29" spans="1:56" ht="15" customHeight="1">
      <c r="A29" s="747" t="s">
        <v>4175</v>
      </c>
      <c r="B29" s="1447">
        <v>46038</v>
      </c>
      <c r="C29" s="1447">
        <v>46025</v>
      </c>
      <c r="D29" t="s">
        <v>5778</v>
      </c>
      <c r="E29" s="762">
        <f>_xlfn.XLOOKUP(D29,RUC!$B$3:$B$123,RUC!$D$3:$D$123)</f>
        <v>20601463173</v>
      </c>
      <c r="G29" s="1082">
        <v>67</v>
      </c>
      <c r="H29" s="762" t="s">
        <v>2005</v>
      </c>
      <c r="I29" s="703">
        <v>5.25</v>
      </c>
      <c r="J29" s="596">
        <v>1.2</v>
      </c>
      <c r="K29" s="703">
        <f t="shared" si="0"/>
        <v>5.1870000000000003</v>
      </c>
      <c r="L29" s="1192">
        <v>0.92700000000000005</v>
      </c>
      <c r="M29" s="1480">
        <v>0.85</v>
      </c>
      <c r="N29" s="1196">
        <f t="shared" ref="N29:N33" si="31">+M29</f>
        <v>0.85</v>
      </c>
      <c r="O29" s="645">
        <f t="shared" si="24"/>
        <v>0.85</v>
      </c>
      <c r="P29" s="727">
        <v>90</v>
      </c>
      <c r="Q29" s="1476">
        <v>96.22</v>
      </c>
      <c r="R29" s="706">
        <v>4307.95</v>
      </c>
      <c r="S29" s="765">
        <f>IF((_xlfn.XLOOKUP(D29,RUC!$B$3:$B$119,RUC!$E$3:$E$119)+ROUNDDOWN(O29,1)*100)&lt;95,95,((_xlfn.XLOOKUP(D29,RUC!$B$3:$B$119,RUC!$E$3:$E$119)+ROUNDDOWN(O29,1)*100)))</f>
        <v>165</v>
      </c>
      <c r="U29" s="1146">
        <f>_xlfn.XLOOKUP(D29,RUC!$B$3:$B$123,RUC!$F$3:$F$123)</f>
        <v>100</v>
      </c>
      <c r="V29" s="715">
        <v>1.1023000000000001</v>
      </c>
      <c r="Y29" s="1445">
        <v>60</v>
      </c>
      <c r="Z29" s="143">
        <f>_xlfn.XLOOKUP(D29,RUC!$B$3:$B$123,RUC!$H$3:$H$123)</f>
        <v>30</v>
      </c>
      <c r="AA29" s="144">
        <f t="shared" si="2"/>
        <v>90</v>
      </c>
      <c r="AB29" s="758">
        <f t="shared" si="27"/>
        <v>3267.307313025</v>
      </c>
      <c r="AC29" s="145">
        <f>+(S29-T29)*V29-'data 1'!$F$4</f>
        <v>101.87950000000001</v>
      </c>
      <c r="AD29" s="145">
        <f t="shared" si="4"/>
        <v>267.44870355912894</v>
      </c>
      <c r="AE29" s="145">
        <f t="shared" si="5"/>
        <v>29.207000000000008</v>
      </c>
      <c r="AF29" s="145">
        <f t="shared" si="6"/>
        <v>343.65799813167928</v>
      </c>
      <c r="AG29" s="772">
        <f>AC29+AD29+AE29+AF29+70-53</f>
        <v>759.19320169080822</v>
      </c>
      <c r="AH29" s="1253">
        <f t="shared" si="8"/>
        <v>158.625</v>
      </c>
      <c r="AI29" s="1253">
        <f t="shared" si="9"/>
        <v>164.85599999999999</v>
      </c>
      <c r="AJ29" s="156">
        <f t="shared" si="10"/>
        <v>778.7489828653712</v>
      </c>
      <c r="AK29" s="156">
        <f t="shared" si="11"/>
        <v>136.04630547874277</v>
      </c>
      <c r="AM29" s="716">
        <f t="shared" si="12"/>
        <v>16947.523032660676</v>
      </c>
      <c r="AN29" s="716" t="str">
        <f>_xlfn.XLOOKUP(D29,RUC!$B$3:$B$578,RUC!$M$3:$M$578)</f>
        <v>Yuri Rospigliossi</v>
      </c>
      <c r="AO29" s="1167" t="s">
        <v>2278</v>
      </c>
      <c r="AP29" t="s">
        <v>4187</v>
      </c>
      <c r="AQ29" t="s">
        <v>4188</v>
      </c>
      <c r="AR29" s="1647" t="s">
        <v>4464</v>
      </c>
      <c r="AV29" s="1556" t="s">
        <v>2277</v>
      </c>
      <c r="AW29" s="1227">
        <f t="shared" ref="AW29:AW38" si="32">SUMIF($AO$4:$AO$762,AV29,$K$4:$K$762)</f>
        <v>166.20000000000002</v>
      </c>
      <c r="AX29" s="1227"/>
      <c r="AY29" s="1229">
        <f t="shared" ref="AY29:AY38" si="33">AW29*AX29*31.1035*1.1023</f>
        <v>0</v>
      </c>
      <c r="AZ29" s="596"/>
      <c r="BA29" s="1255">
        <f t="shared" ref="BA29:BA38" si="34">AY29*AZ29/100</f>
        <v>0</v>
      </c>
      <c r="BB29" s="1573" t="s">
        <v>4806</v>
      </c>
      <c r="BC29" s="1574">
        <f>+BB7</f>
        <v>4808.4370000000008</v>
      </c>
    </row>
    <row r="30" spans="1:56" ht="15" customHeight="1">
      <c r="A30" s="747" t="s">
        <v>4176</v>
      </c>
      <c r="B30" s="1447">
        <v>46038</v>
      </c>
      <c r="C30" s="1447">
        <v>46025</v>
      </c>
      <c r="D30" t="s">
        <v>5778</v>
      </c>
      <c r="E30" s="762">
        <f>_xlfn.XLOOKUP(D30,RUC!$B$3:$B$123,RUC!$D$3:$D$123)</f>
        <v>20601463173</v>
      </c>
      <c r="G30" s="1082">
        <v>29</v>
      </c>
      <c r="H30" s="762" t="s">
        <v>2005</v>
      </c>
      <c r="I30" s="703">
        <v>2.17</v>
      </c>
      <c r="J30" s="596">
        <v>1.25</v>
      </c>
      <c r="K30" s="703">
        <f t="shared" si="0"/>
        <v>2.1429999999999998</v>
      </c>
      <c r="L30" s="1192">
        <v>0.17799999999999999</v>
      </c>
      <c r="M30" s="994">
        <f t="shared" si="26"/>
        <v>0.16</v>
      </c>
      <c r="N30" s="1196">
        <f t="shared" si="31"/>
        <v>0.16</v>
      </c>
      <c r="O30" s="645">
        <f t="shared" si="24"/>
        <v>0.16</v>
      </c>
      <c r="P30" s="727">
        <v>80</v>
      </c>
      <c r="Q30" s="1476">
        <v>82.58</v>
      </c>
      <c r="R30" s="1648">
        <v>4330</v>
      </c>
      <c r="S30" s="1551">
        <v>110</v>
      </c>
      <c r="U30" s="1146">
        <f>_xlfn.XLOOKUP(D30,RUC!$B$3:$B$123,RUC!$F$3:$F$123)</f>
        <v>100</v>
      </c>
      <c r="V30" s="715">
        <v>1.1023000000000001</v>
      </c>
      <c r="Y30" s="1445">
        <v>40</v>
      </c>
      <c r="Z30" s="143">
        <f>_xlfn.XLOOKUP(D30,RUC!$B$3:$B$123,RUC!$H$3:$H$123)</f>
        <v>30</v>
      </c>
      <c r="AA30" s="144">
        <f t="shared" si="2"/>
        <v>70</v>
      </c>
      <c r="AB30" s="758">
        <f t="shared" si="27"/>
        <v>398.41531200000009</v>
      </c>
      <c r="AC30" s="145">
        <f>+(S30-T30)*V30-'data 1'!$F$4</f>
        <v>41.253</v>
      </c>
      <c r="AD30" s="145">
        <f t="shared" si="4"/>
        <v>21.413116659599986</v>
      </c>
      <c r="AE30" s="145">
        <f t="shared" si="5"/>
        <v>7.1610000000000014</v>
      </c>
      <c r="AF30" s="145">
        <f t="shared" si="6"/>
        <v>69.308668947599955</v>
      </c>
      <c r="AG30" s="772">
        <f>AC30+AD30+AE30+AF30+70-53</f>
        <v>156.13578560719995</v>
      </c>
      <c r="AH30" s="1253">
        <f t="shared" si="8"/>
        <v>10.8</v>
      </c>
      <c r="AI30" s="1253">
        <f t="shared" si="9"/>
        <v>13.077999999999999</v>
      </c>
      <c r="AJ30" s="156">
        <f t="shared" si="10"/>
        <v>124.76288634040002</v>
      </c>
      <c r="AK30" s="156">
        <f t="shared" si="11"/>
        <v>9.4046190836672015</v>
      </c>
      <c r="AM30" s="716">
        <f t="shared" si="12"/>
        <v>853.80401361600013</v>
      </c>
      <c r="AN30" s="716" t="str">
        <f>_xlfn.XLOOKUP(D30,RUC!$B$3:$B$578,RUC!$M$3:$M$578)</f>
        <v>Yuri Rospigliossi</v>
      </c>
      <c r="AO30" s="1167" t="s">
        <v>2278</v>
      </c>
      <c r="AP30" t="s">
        <v>4187</v>
      </c>
      <c r="AQ30" t="s">
        <v>4188</v>
      </c>
      <c r="AR30" s="1647" t="s">
        <v>4465</v>
      </c>
      <c r="AV30" s="1557" t="s">
        <v>2278</v>
      </c>
      <c r="AW30" s="703">
        <f t="shared" si="32"/>
        <v>150.26300000000001</v>
      </c>
      <c r="AX30" s="703"/>
      <c r="AY30" s="596">
        <f t="shared" si="33"/>
        <v>0</v>
      </c>
      <c r="AZ30" s="596"/>
      <c r="BA30" s="1256">
        <f t="shared" si="34"/>
        <v>0</v>
      </c>
      <c r="BB30" s="1575" t="s">
        <v>4807</v>
      </c>
      <c r="BC30" s="1576">
        <f>+'37'!BC32+'37'!BC33</f>
        <v>1213.29</v>
      </c>
    </row>
    <row r="31" spans="1:56" ht="15" customHeight="1">
      <c r="A31" s="1491" t="s">
        <v>4177</v>
      </c>
      <c r="C31" s="1447">
        <v>46026</v>
      </c>
      <c r="D31" t="s">
        <v>1967</v>
      </c>
      <c r="E31" s="762">
        <f>_xlfn.XLOOKUP(D31,RUC!$B$3:$B$123,RUC!$D$3:$D$123)</f>
        <v>20601769396</v>
      </c>
      <c r="G31" s="1082">
        <v>41</v>
      </c>
      <c r="H31" s="762" t="s">
        <v>69</v>
      </c>
      <c r="I31" s="703">
        <v>3.34</v>
      </c>
      <c r="J31" s="596">
        <v>7.3</v>
      </c>
      <c r="K31" s="703">
        <f t="shared" si="0"/>
        <v>3.0960000000000001</v>
      </c>
      <c r="L31" s="1192">
        <v>7.9000000000000001E-2</v>
      </c>
      <c r="M31" s="994">
        <f t="shared" si="26"/>
        <v>6.0999999999999999E-2</v>
      </c>
      <c r="N31" s="1196">
        <f t="shared" si="31"/>
        <v>6.0999999999999999E-2</v>
      </c>
      <c r="O31" s="645">
        <f t="shared" si="24"/>
        <v>6.0999999999999999E-2</v>
      </c>
      <c r="P31" s="727">
        <v>80</v>
      </c>
      <c r="Q31" s="1476">
        <v>91.04</v>
      </c>
      <c r="R31" s="706">
        <v>4456.3999999999996</v>
      </c>
      <c r="S31" s="765">
        <f>IF((_xlfn.XLOOKUP(D31,RUC!$B$3:$B$119,RUC!$E$3:$E$119)+ROUNDDOWN(O31,1)*100)&lt;95,95,((_xlfn.XLOOKUP(D31,RUC!$B$3:$B$119,RUC!$E$3:$E$119)+ROUNDDOWN(O31,1)*100)))</f>
        <v>95</v>
      </c>
      <c r="U31" s="1146">
        <f>_xlfn.XLOOKUP(D31,RUC!$B$3:$B$123,RUC!$F$3:$F$123)</f>
        <v>120</v>
      </c>
      <c r="V31" s="715">
        <v>1.1023000000000001</v>
      </c>
      <c r="Y31">
        <f>_xlfn.XLOOKUP(D31,RUC!$B$3:$B$123,RUC!$G$3:$G$123)</f>
        <v>20</v>
      </c>
      <c r="Z31" s="143">
        <f>_xlfn.XLOOKUP(D31,RUC!$B$3:$B$123,RUC!$H$3:$H$123)</f>
        <v>30</v>
      </c>
      <c r="AA31" s="144">
        <f t="shared" si="2"/>
        <v>50</v>
      </c>
      <c r="AB31" s="145">
        <v>0</v>
      </c>
      <c r="AC31" s="145">
        <f>+(S31-T31)*V31-'data 1'!$F$4</f>
        <v>24.718500000000006</v>
      </c>
      <c r="AD31" s="145">
        <f t="shared" si="4"/>
        <v>41.689367660352019</v>
      </c>
      <c r="AE31" s="145">
        <f t="shared" si="5"/>
        <v>-14.884999999999998</v>
      </c>
      <c r="AF31" s="145">
        <f t="shared" si="6"/>
        <v>78.331040832384005</v>
      </c>
      <c r="AG31" s="772">
        <f>AC31+AD31+AE31+AF31+70-53+73.43</f>
        <v>220.28390849273603</v>
      </c>
      <c r="AH31" s="1253">
        <f t="shared" si="8"/>
        <v>7.6340000000000003</v>
      </c>
      <c r="AI31" s="1253">
        <f t="shared" si="9"/>
        <v>8.3859999999999992</v>
      </c>
      <c r="AJ31" s="156">
        <f t="shared" si="10"/>
        <v>52.609663635648033</v>
      </c>
      <c r="AK31" s="156">
        <f t="shared" si="11"/>
        <v>5.1800009964566405</v>
      </c>
      <c r="AM31" s="716">
        <f t="shared" si="12"/>
        <v>0</v>
      </c>
      <c r="AN31" s="716" t="str">
        <f>_xlfn.XLOOKUP(D31,RUC!$B$3:$B$578,RUC!$M$3:$M$578)</f>
        <v>Evelyn</v>
      </c>
      <c r="AO31" s="1167" t="s">
        <v>2280</v>
      </c>
      <c r="AP31" t="s">
        <v>4240</v>
      </c>
      <c r="AQ31" t="s">
        <v>4241</v>
      </c>
      <c r="AV31" s="1557" t="s">
        <v>2280</v>
      </c>
      <c r="AW31" s="703">
        <f t="shared" si="32"/>
        <v>136.01800000000003</v>
      </c>
      <c r="AX31" s="703"/>
      <c r="AY31" s="596">
        <f t="shared" si="33"/>
        <v>0</v>
      </c>
      <c r="AZ31" s="596"/>
      <c r="BA31" s="1256">
        <f t="shared" si="34"/>
        <v>0</v>
      </c>
      <c r="BB31" s="1577" t="s">
        <v>4808</v>
      </c>
      <c r="BC31" s="1675">
        <v>4337.97</v>
      </c>
    </row>
    <row r="32" spans="1:56" ht="15" customHeight="1">
      <c r="A32" s="1491" t="s">
        <v>4178</v>
      </c>
      <c r="C32" s="1447">
        <v>46026</v>
      </c>
      <c r="D32" t="s">
        <v>1967</v>
      </c>
      <c r="E32" s="762">
        <f>_xlfn.XLOOKUP(D32,RUC!$B$3:$B$123,RUC!$D$3:$D$123)</f>
        <v>20601769396</v>
      </c>
      <c r="G32" s="1082">
        <v>40</v>
      </c>
      <c r="H32" s="762" t="s">
        <v>69</v>
      </c>
      <c r="I32" s="703">
        <v>3.3</v>
      </c>
      <c r="J32" s="596">
        <v>7.65</v>
      </c>
      <c r="K32" s="703">
        <f t="shared" si="0"/>
        <v>3.048</v>
      </c>
      <c r="L32" s="1192">
        <v>7.2999999999999995E-2</v>
      </c>
      <c r="M32" s="994">
        <f t="shared" si="26"/>
        <v>5.5E-2</v>
      </c>
      <c r="N32" s="1196">
        <f t="shared" si="31"/>
        <v>5.5E-2</v>
      </c>
      <c r="O32" s="645">
        <f t="shared" si="24"/>
        <v>5.5E-2</v>
      </c>
      <c r="P32" s="727">
        <v>80</v>
      </c>
      <c r="Q32" s="1476">
        <v>91.46</v>
      </c>
      <c r="R32" s="706">
        <v>4456.3999999999996</v>
      </c>
      <c r="S32" s="765">
        <f>IF((_xlfn.XLOOKUP(D32,RUC!$B$3:$B$119,RUC!$E$3:$E$119)+ROUNDDOWN(O32,1)*100)&lt;95,95,((_xlfn.XLOOKUP(D32,RUC!$B$3:$B$119,RUC!$E$3:$E$119)+ROUNDDOWN(O32,1)*100)))</f>
        <v>95</v>
      </c>
      <c r="U32" s="1146">
        <f>_xlfn.XLOOKUP(D32,RUC!$B$3:$B$123,RUC!$F$3:$F$123)</f>
        <v>120</v>
      </c>
      <c r="V32" s="715">
        <v>1.1023000000000001</v>
      </c>
      <c r="Y32">
        <f>_xlfn.XLOOKUP(D32,RUC!$B$3:$B$123,RUC!$G$3:$G$123)</f>
        <v>20</v>
      </c>
      <c r="Z32" s="143">
        <f>_xlfn.XLOOKUP(D32,RUC!$B$3:$B$123,RUC!$H$3:$H$123)</f>
        <v>30</v>
      </c>
      <c r="AA32" s="144">
        <f t="shared" si="2"/>
        <v>50</v>
      </c>
      <c r="AB32" s="145">
        <v>0</v>
      </c>
      <c r="AC32" s="145">
        <f>+(S32-T32)*V32-'data 1'!$F$4</f>
        <v>24.718500000000006</v>
      </c>
      <c r="AD32" s="145">
        <f t="shared" si="4"/>
        <v>39.988638778775979</v>
      </c>
      <c r="AE32" s="145">
        <f t="shared" si="5"/>
        <v>-14.884999999999998</v>
      </c>
      <c r="AF32" s="145">
        <f t="shared" si="6"/>
        <v>78.692409869615972</v>
      </c>
      <c r="AG32" s="772">
        <f>AC32+AD32+AE32+AF32+70-53+50.49</f>
        <v>196.00454864839196</v>
      </c>
      <c r="AH32" s="1253">
        <f t="shared" si="8"/>
        <v>6.9770000000000003</v>
      </c>
      <c r="AI32" s="1253">
        <f t="shared" si="9"/>
        <v>7.6289999999999996</v>
      </c>
      <c r="AJ32" s="156">
        <f t="shared" si="10"/>
        <v>48.838266673224027</v>
      </c>
      <c r="AK32" s="156">
        <f t="shared" si="11"/>
        <v>4.5980819621615998</v>
      </c>
      <c r="AM32" s="716">
        <f t="shared" si="12"/>
        <v>0</v>
      </c>
      <c r="AN32" s="716" t="str">
        <f>_xlfn.XLOOKUP(D32,RUC!$B$3:$B$578,RUC!$M$3:$M$578)</f>
        <v>Evelyn</v>
      </c>
      <c r="AO32" s="1167" t="s">
        <v>2280</v>
      </c>
      <c r="AP32" t="s">
        <v>4240</v>
      </c>
      <c r="AQ32" t="s">
        <v>4241</v>
      </c>
      <c r="AV32" s="1557" t="s">
        <v>2279</v>
      </c>
      <c r="AW32" s="703">
        <f t="shared" si="32"/>
        <v>0</v>
      </c>
      <c r="AX32" s="703"/>
      <c r="AY32" s="596">
        <f t="shared" si="33"/>
        <v>0</v>
      </c>
      <c r="AZ32" s="596"/>
      <c r="BA32" s="1256">
        <f t="shared" si="34"/>
        <v>0</v>
      </c>
      <c r="BB32" s="1577" t="s">
        <v>4809</v>
      </c>
      <c r="BC32" s="1581">
        <v>1278.9000000000001</v>
      </c>
    </row>
    <row r="33" spans="1:55" ht="15" customHeight="1">
      <c r="A33" s="1491" t="s">
        <v>4183</v>
      </c>
      <c r="C33" s="1447">
        <v>46026</v>
      </c>
      <c r="D33" t="s">
        <v>1967</v>
      </c>
      <c r="E33" s="762">
        <f>_xlfn.XLOOKUP(D33,RUC!$B$3:$B$123,RUC!$D$3:$D$123)</f>
        <v>20601769396</v>
      </c>
      <c r="G33" s="1082">
        <v>38</v>
      </c>
      <c r="H33" s="762" t="s">
        <v>2005</v>
      </c>
      <c r="I33" s="703">
        <v>2.94</v>
      </c>
      <c r="J33" s="596">
        <v>7.85</v>
      </c>
      <c r="K33" s="703">
        <f t="shared" si="0"/>
        <v>2.7090000000000001</v>
      </c>
      <c r="L33" s="1192">
        <v>9.6000000000000002E-2</v>
      </c>
      <c r="M33" s="994">
        <f t="shared" si="26"/>
        <v>7.8E-2</v>
      </c>
      <c r="N33" s="1196">
        <f t="shared" si="31"/>
        <v>7.8E-2</v>
      </c>
      <c r="O33" s="645">
        <f t="shared" si="24"/>
        <v>7.8E-2</v>
      </c>
      <c r="P33" s="727">
        <v>90</v>
      </c>
      <c r="Q33" s="1476">
        <v>87.88</v>
      </c>
      <c r="R33" s="706">
        <v>4456.3999999999996</v>
      </c>
      <c r="S33" s="765">
        <f>IF((_xlfn.XLOOKUP(D33,RUC!$B$3:$B$119,RUC!$E$3:$E$119)+ROUNDDOWN(O33,1)*100)&lt;95,95,((_xlfn.XLOOKUP(D33,RUC!$B$3:$B$119,RUC!$E$3:$E$119)+ROUNDDOWN(O33,1)*100)))</f>
        <v>95</v>
      </c>
      <c r="U33" s="1146">
        <f>_xlfn.XLOOKUP(D33,RUC!$B$3:$B$123,RUC!$F$3:$F$123)</f>
        <v>120</v>
      </c>
      <c r="V33" s="715">
        <v>1.1023000000000001</v>
      </c>
      <c r="Y33">
        <f>_xlfn.XLOOKUP(D33,RUC!$B$3:$B$123,RUC!$G$3:$G$123)</f>
        <v>20</v>
      </c>
      <c r="Z33" s="143">
        <f>_xlfn.XLOOKUP(D33,RUC!$B$3:$B$123,RUC!$H$3:$H$123)</f>
        <v>30</v>
      </c>
      <c r="AA33" s="144">
        <f t="shared" si="2"/>
        <v>50</v>
      </c>
      <c r="AB33" s="145">
        <v>0</v>
      </c>
      <c r="AC33" s="145">
        <f>+(S33-T33)*V33-'data 1'!$F$4</f>
        <v>24.718500000000006</v>
      </c>
      <c r="AD33" s="145">
        <f t="shared" si="4"/>
        <v>-9.7282839229440228</v>
      </c>
      <c r="AE33" s="145">
        <f t="shared" si="5"/>
        <v>-14.884999999999998</v>
      </c>
      <c r="AF33" s="145">
        <f t="shared" si="6"/>
        <v>75.612169028447994</v>
      </c>
      <c r="AG33" s="772">
        <f>AC33+AD33+AE33+AF33+70-53+175.72</f>
        <v>268.43738510550395</v>
      </c>
      <c r="AH33" s="1253">
        <f t="shared" si="8"/>
        <v>7.8360000000000003</v>
      </c>
      <c r="AI33" s="1253">
        <f t="shared" si="9"/>
        <v>8.9160000000000004</v>
      </c>
      <c r="AJ33" s="156">
        <f t="shared" si="10"/>
        <v>61.71169371494404</v>
      </c>
      <c r="AK33" s="156">
        <f t="shared" si="11"/>
        <v>6.5201139591669914</v>
      </c>
      <c r="AM33" s="716">
        <f t="shared" si="12"/>
        <v>0</v>
      </c>
      <c r="AN33" s="716" t="str">
        <f>_xlfn.XLOOKUP(D33,RUC!$B$3:$B$578,RUC!$M$3:$M$578)</f>
        <v>Evelyn</v>
      </c>
      <c r="AO33" s="1167" t="s">
        <v>2278</v>
      </c>
      <c r="AP33" t="s">
        <v>4240</v>
      </c>
      <c r="AQ33" t="s">
        <v>4241</v>
      </c>
      <c r="AV33" s="1557" t="s">
        <v>2281</v>
      </c>
      <c r="AW33" s="703">
        <f t="shared" si="32"/>
        <v>0</v>
      </c>
      <c r="AX33" s="703"/>
      <c r="AY33" s="596">
        <f t="shared" si="33"/>
        <v>0</v>
      </c>
      <c r="AZ33" s="596"/>
      <c r="BA33" s="1256">
        <f t="shared" si="34"/>
        <v>0</v>
      </c>
      <c r="BB33" s="1577" t="s">
        <v>4810</v>
      </c>
      <c r="BC33" s="1581">
        <v>283.60000000000002</v>
      </c>
    </row>
    <row r="34" spans="1:55" ht="15" customHeight="1">
      <c r="A34" s="877" t="s">
        <v>4202</v>
      </c>
      <c r="B34" s="1447">
        <v>46034</v>
      </c>
      <c r="C34" s="1447">
        <v>46026</v>
      </c>
      <c r="D34" s="1619" t="s">
        <v>4171</v>
      </c>
      <c r="E34" s="762">
        <f>_xlfn.XLOOKUP(D34,RUC!$B$3:$B$123,RUC!$D$3:$D$123)</f>
        <v>20614284740</v>
      </c>
      <c r="G34" s="1082" t="s">
        <v>2985</v>
      </c>
      <c r="H34" s="762" t="s">
        <v>2005</v>
      </c>
      <c r="I34" s="703"/>
      <c r="K34" s="703"/>
      <c r="L34" s="1192"/>
      <c r="M34" s="994"/>
      <c r="N34" s="1196"/>
      <c r="O34" s="645"/>
      <c r="P34" s="727"/>
      <c r="Q34" s="1476"/>
      <c r="R34" s="706"/>
      <c r="S34" s="765"/>
      <c r="U34" s="1146"/>
      <c r="V34" s="715"/>
      <c r="Z34" s="143"/>
      <c r="AA34" s="144"/>
      <c r="AB34" s="145"/>
      <c r="AC34" s="145"/>
      <c r="AD34" s="145"/>
      <c r="AE34" s="145"/>
      <c r="AF34" s="145"/>
      <c r="AG34" s="772"/>
      <c r="AH34" s="1253"/>
      <c r="AI34" s="1253"/>
      <c r="AJ34" s="156"/>
      <c r="AK34" s="156"/>
      <c r="AM34" s="716"/>
      <c r="AN34" s="716" t="str">
        <f>_xlfn.XLOOKUP(D34,RUC!$B$3:$B$578,RUC!$M$3:$M$578)</f>
        <v xml:space="preserve">Dante </v>
      </c>
      <c r="AO34" s="1167" t="s">
        <v>2282</v>
      </c>
      <c r="AP34" t="s">
        <v>3192</v>
      </c>
      <c r="AQ34" t="s">
        <v>4243</v>
      </c>
      <c r="AV34" s="1557" t="s">
        <v>2297</v>
      </c>
      <c r="AW34" s="703">
        <f t="shared" si="32"/>
        <v>0</v>
      </c>
      <c r="AY34" s="596">
        <f t="shared" si="33"/>
        <v>0</v>
      </c>
      <c r="BA34" s="1256">
        <f t="shared" si="34"/>
        <v>0</v>
      </c>
      <c r="BB34" s="1579" t="s">
        <v>3206</v>
      </c>
      <c r="BC34" s="1580">
        <f>-BC29-BC30+BC31+BC32+BC33</f>
        <v>-121.2570000000004</v>
      </c>
    </row>
    <row r="35" spans="1:55" ht="15" customHeight="1">
      <c r="A35" s="747" t="s">
        <v>4215</v>
      </c>
      <c r="B35" s="1447">
        <v>46038</v>
      </c>
      <c r="C35" s="1447">
        <v>46028</v>
      </c>
      <c r="D35" t="s">
        <v>2444</v>
      </c>
      <c r="E35" s="762">
        <f>_xlfn.XLOOKUP(D35,RUC!$B$3:$B$123,RUC!$D$3:$D$123)</f>
        <v>20608774000</v>
      </c>
      <c r="G35" s="1082">
        <v>10</v>
      </c>
      <c r="H35" s="762" t="s">
        <v>69</v>
      </c>
      <c r="I35" s="703">
        <v>0.87</v>
      </c>
      <c r="J35" s="596">
        <v>1.1000000000000001</v>
      </c>
      <c r="K35" s="703">
        <f t="shared" ref="K35:K91" si="35">ROUND(+I35-(I35*(J35/100)),3)</f>
        <v>0.86</v>
      </c>
      <c r="L35" s="1192">
        <v>0.33700000000000002</v>
      </c>
      <c r="M35" s="994">
        <f t="shared" ref="M35:M43" si="36">ROUND(+IF(AN35="Melchor Vera",IF(L35&gt;0.467,L35*0.985,(L35-0.007)),IF(L35&gt;0.3,L35*0.94,(L35-0.019))),3)</f>
        <v>0.317</v>
      </c>
      <c r="N35" s="1196">
        <f t="shared" ref="N35:N41" si="37">+M35</f>
        <v>0.317</v>
      </c>
      <c r="O35" s="645">
        <f t="shared" ref="O35:O43" si="38">+ROUND((M35+N35)/2,3)</f>
        <v>0.317</v>
      </c>
      <c r="P35" s="727">
        <v>90</v>
      </c>
      <c r="Q35" s="1476">
        <v>90.8</v>
      </c>
      <c r="R35" s="706">
        <v>4490.3500000000004</v>
      </c>
      <c r="S35" s="765">
        <f>IF((_xlfn.XLOOKUP(D35,RUC!$B$3:$B$119,RUC!$E$3:$E$119)+ROUNDDOWN(O35,1)*100)&lt;95,95,((_xlfn.XLOOKUP(D35,RUC!$B$3:$B$119,RUC!$E$3:$E$119)+ROUNDDOWN(O35,1)*100)))</f>
        <v>115</v>
      </c>
      <c r="U35" s="1146">
        <f>_xlfn.XLOOKUP(D35,RUC!$B$3:$B$123,RUC!$F$3:$F$123)</f>
        <v>120</v>
      </c>
      <c r="V35" s="715">
        <v>1.1023000000000001</v>
      </c>
      <c r="Y35" s="1445">
        <v>25</v>
      </c>
      <c r="Z35" s="1454">
        <v>30</v>
      </c>
      <c r="AA35" s="144">
        <f t="shared" ref="AA35:AA43" si="39">+Y35+Z35</f>
        <v>55</v>
      </c>
      <c r="AB35" s="145">
        <f t="shared" ref="AB35:AB43" si="40">+((O35*P35*(R35-U35)/100)-S35-AA35+T35)*V35</f>
        <v>1187.0237204665002</v>
      </c>
      <c r="AC35" s="145">
        <f>+(S35-T35)*V35-'data 1'!$F$4</f>
        <v>46.764500000000012</v>
      </c>
      <c r="AD35" s="145">
        <f t="shared" ref="AD35:AD43" si="41">+(Q35-P35)*(R35-U35)*L35*V35/100</f>
        <v>12.987809626279956</v>
      </c>
      <c r="AE35" s="145">
        <f t="shared" ref="AE35:AE43" si="42">+(Y35*V35-70)+V35*(Z35-IF(D35="UNTUCA",IF(+((W35-3)*2.5+(X35-3)*3.1)&gt;0,+((W35-3)*1.5+(X35-3)*3.1),0),IF(+((W35-3)*1.5+(X35-3)*3.1)&gt;0,+((W35-3)*1.5+(X35-3)*3.1),0)))</f>
        <v>-9.3734999999999928</v>
      </c>
      <c r="AF35" s="145">
        <f t="shared" ref="AF35:AF43" si="43">(L35-O35)*(R35-U35)*Q35*V35/100</f>
        <v>87.484652378800078</v>
      </c>
      <c r="AG35" s="772">
        <f t="shared" ref="AG35" si="44">AC35+AD35+AE35+AF35+70-53</f>
        <v>154.86346200508007</v>
      </c>
      <c r="AH35" s="1253">
        <f t="shared" ref="AH35:AH91" si="45">ROUND((31.1035*L35*Q35*1.1023*K35/100),3)</f>
        <v>9.0220000000000002</v>
      </c>
      <c r="AI35" s="1253">
        <f t="shared" ref="AI35:AI43" si="46">ROUND((31.1035*L35*1.1023*K35),3)</f>
        <v>9.9369999999999994</v>
      </c>
      <c r="AJ35" s="156">
        <f t="shared" ref="AJ35:AJ43" si="47">+((+$AJ$2-R35+U35)*L35*Q35*V35)/100</f>
        <v>212.38056141721989</v>
      </c>
      <c r="AK35" s="156">
        <f t="shared" ref="AK35:AK43" si="48">31.1035*1.1023*K35*P35*O35/100</f>
        <v>8.4121942411718997</v>
      </c>
      <c r="AM35" s="716">
        <f t="shared" ref="AM35:AM43" si="49">+IF(AB35*K35&gt;0,AB35*K35,0)</f>
        <v>1020.8403996011901</v>
      </c>
      <c r="AN35" s="716" t="str">
        <f>_xlfn.XLOOKUP(D35,RUC!$B$3:$B$578,RUC!$M$3:$M$578)</f>
        <v>Ronald Miranda</v>
      </c>
      <c r="AO35" s="1167" t="s">
        <v>2278</v>
      </c>
      <c r="AP35" t="s">
        <v>4251</v>
      </c>
      <c r="AQ35" t="s">
        <v>4252</v>
      </c>
      <c r="AV35" s="1557" t="s">
        <v>2518</v>
      </c>
      <c r="AW35" s="703">
        <f t="shared" si="32"/>
        <v>0</v>
      </c>
      <c r="AY35" s="596">
        <f t="shared" si="33"/>
        <v>0</v>
      </c>
      <c r="BA35" s="1256">
        <f t="shared" si="34"/>
        <v>0</v>
      </c>
    </row>
    <row r="36" spans="1:55" ht="15" customHeight="1">
      <c r="A36" s="747" t="s">
        <v>4231</v>
      </c>
      <c r="B36" s="1447">
        <v>45673</v>
      </c>
      <c r="C36" s="1544">
        <v>46029</v>
      </c>
      <c r="D36" t="s">
        <v>4171</v>
      </c>
      <c r="E36" s="762">
        <f>_xlfn.XLOOKUP(D36,RUC!$B$3:$B$123,RUC!$D$3:$D$123)</f>
        <v>20614284740</v>
      </c>
      <c r="G36" s="1082">
        <v>62</v>
      </c>
      <c r="H36" s="762" t="s">
        <v>69</v>
      </c>
      <c r="I36" s="703">
        <v>5.14</v>
      </c>
      <c r="J36" s="596">
        <v>4.3</v>
      </c>
      <c r="K36" s="703">
        <f t="shared" si="35"/>
        <v>4.9189999999999996</v>
      </c>
      <c r="L36" s="1192">
        <v>0.57699999999999996</v>
      </c>
      <c r="M36" s="994">
        <v>0.53</v>
      </c>
      <c r="N36" s="1196">
        <f t="shared" si="37"/>
        <v>0.53</v>
      </c>
      <c r="O36" s="1147">
        <v>0.65500000000000003</v>
      </c>
      <c r="P36" s="727">
        <v>90</v>
      </c>
      <c r="Q36" s="1476">
        <v>98.94</v>
      </c>
      <c r="R36" s="706">
        <v>4438</v>
      </c>
      <c r="S36" s="765">
        <f>IF((_xlfn.XLOOKUP(D36,RUC!$B$3:$B$119,RUC!$E$3:$E$119)+ROUNDDOWN(O36,1)*100)&lt;95,95,((_xlfn.XLOOKUP(D36,RUC!$B$3:$B$119,RUC!$E$3:$E$119)+ROUNDDOWN(O36,1)*100)))</f>
        <v>150</v>
      </c>
      <c r="U36" s="1146">
        <f>_xlfn.XLOOKUP(D36,RUC!$B$3:$B$123,RUC!$F$3:$F$123)</f>
        <v>120</v>
      </c>
      <c r="V36" s="715">
        <v>1.1023000000000001</v>
      </c>
      <c r="Y36" s="1445">
        <v>40</v>
      </c>
      <c r="Z36" s="143">
        <f>_xlfn.XLOOKUP(D36,RUC!$B$3:$B$123,RUC!$H$3:$H$123)</f>
        <v>30</v>
      </c>
      <c r="AA36" s="144">
        <f t="shared" si="39"/>
        <v>70</v>
      </c>
      <c r="AB36" s="145">
        <f t="shared" si="40"/>
        <v>2563.3556603000002</v>
      </c>
      <c r="AC36" s="145">
        <f>+(S36-T36)*V36-'data 1'!$F$4</f>
        <v>85.344999999999999</v>
      </c>
      <c r="AD36" s="145">
        <f t="shared" si="41"/>
        <v>245.5250325913199</v>
      </c>
      <c r="AE36" s="145">
        <f t="shared" si="42"/>
        <v>7.1610000000000014</v>
      </c>
      <c r="AF36" s="145">
        <f t="shared" si="43"/>
        <v>-367.32370327848031</v>
      </c>
      <c r="AG36" s="772">
        <f t="shared" ref="AG36:AG43" si="50">AC36+AD36+AE36+AF36+70</f>
        <v>40.70732931283959</v>
      </c>
      <c r="AH36" s="1253">
        <f t="shared" si="45"/>
        <v>96.278999999999996</v>
      </c>
      <c r="AI36" s="1253">
        <f t="shared" si="46"/>
        <v>97.311000000000007</v>
      </c>
      <c r="AJ36" s="156">
        <f t="shared" si="47"/>
        <v>429.17251508868003</v>
      </c>
      <c r="AK36" s="156">
        <f t="shared" si="48"/>
        <v>99.419071140681538</v>
      </c>
      <c r="AM36" s="716">
        <f t="shared" si="49"/>
        <v>12609.1464930157</v>
      </c>
      <c r="AN36" s="716" t="str">
        <f>_xlfn.XLOOKUP(D36,RUC!$B$3:$B$578,RUC!$M$3:$M$578)</f>
        <v xml:space="preserve">Dante </v>
      </c>
      <c r="AO36" s="1167" t="s">
        <v>2280</v>
      </c>
      <c r="AP36" t="s">
        <v>3409</v>
      </c>
      <c r="AQ36" t="s">
        <v>4253</v>
      </c>
      <c r="AR36" s="1650" t="s">
        <v>4486</v>
      </c>
      <c r="AV36" s="1557" t="s">
        <v>2519</v>
      </c>
      <c r="AW36" s="703">
        <f t="shared" si="32"/>
        <v>0</v>
      </c>
      <c r="AY36" s="596">
        <f t="shared" si="33"/>
        <v>0</v>
      </c>
      <c r="BA36" s="1256">
        <f t="shared" si="34"/>
        <v>0</v>
      </c>
    </row>
    <row r="37" spans="1:55" ht="15" customHeight="1">
      <c r="A37" s="747" t="s">
        <v>4232</v>
      </c>
      <c r="B37" s="1447">
        <v>46036</v>
      </c>
      <c r="C37" s="1447">
        <v>46029</v>
      </c>
      <c r="D37" t="s">
        <v>119</v>
      </c>
      <c r="E37" s="762">
        <f>_xlfn.XLOOKUP(D37,RUC!$B$3:$B$123,RUC!$D$3:$D$123)</f>
        <v>10082235774</v>
      </c>
      <c r="G37" s="1082">
        <v>99</v>
      </c>
      <c r="H37" s="762" t="s">
        <v>69</v>
      </c>
      <c r="I37" s="703">
        <v>9.6999999999999993</v>
      </c>
      <c r="J37" s="596">
        <v>2.2000000000000002</v>
      </c>
      <c r="K37" s="703">
        <f t="shared" si="35"/>
        <v>9.4870000000000001</v>
      </c>
      <c r="L37" s="1192">
        <v>0.38500000000000001</v>
      </c>
      <c r="M37" s="994">
        <f t="shared" si="36"/>
        <v>0.378</v>
      </c>
      <c r="N37" s="1444">
        <v>0.43099999999999999</v>
      </c>
      <c r="O37" s="645">
        <f t="shared" si="38"/>
        <v>0.40500000000000003</v>
      </c>
      <c r="P37" s="727">
        <v>90</v>
      </c>
      <c r="Q37" s="1476">
        <v>92.47</v>
      </c>
      <c r="R37" s="706">
        <v>4438</v>
      </c>
      <c r="S37" s="1164">
        <v>115</v>
      </c>
      <c r="U37" s="880">
        <f>_xlfn.XLOOKUP(D37,RUC!$B$3:$B$123,RUC!$F$3:$F$123)</f>
        <v>80</v>
      </c>
      <c r="V37" s="715">
        <v>1.1023000000000001</v>
      </c>
      <c r="Y37">
        <f>_xlfn.XLOOKUP(D37,RUC!$B$3:$B$123,RUC!$G$3:$G$123)</f>
        <v>0</v>
      </c>
      <c r="Z37" s="143">
        <f>_xlfn.XLOOKUP(D37,RUC!$B$3:$B$123,RUC!$H$3:$H$123)</f>
        <v>10</v>
      </c>
      <c r="AA37" s="144">
        <f t="shared" si="39"/>
        <v>10</v>
      </c>
      <c r="AB37" s="145">
        <f t="shared" si="40"/>
        <v>1613.2061293000002</v>
      </c>
      <c r="AC37" s="145">
        <f>+(S37-T37)*V37-'data 1'!$F$4</f>
        <v>46.764500000000012</v>
      </c>
      <c r="AD37" s="145">
        <f t="shared" si="41"/>
        <v>45.68195862229998</v>
      </c>
      <c r="AE37" s="145">
        <f t="shared" si="42"/>
        <v>-58.977000000000004</v>
      </c>
      <c r="AF37" s="145">
        <f t="shared" si="43"/>
        <v>-88.841909959600088</v>
      </c>
      <c r="AG37" s="772">
        <f t="shared" si="50"/>
        <v>14.627548662699894</v>
      </c>
      <c r="AH37" s="1253">
        <f t="shared" si="45"/>
        <v>115.798</v>
      </c>
      <c r="AI37" s="1253">
        <f t="shared" si="46"/>
        <v>125.227</v>
      </c>
      <c r="AJ37" s="156">
        <f t="shared" si="47"/>
        <v>251.9395925277</v>
      </c>
      <c r="AK37" s="156">
        <f t="shared" si="48"/>
        <v>118.5592661588626</v>
      </c>
      <c r="AM37" s="716">
        <f t="shared" si="49"/>
        <v>15304.486548669101</v>
      </c>
      <c r="AN37" s="716" t="str">
        <f>_xlfn.XLOOKUP(D37,RUC!$B$3:$B$578,RUC!$M$3:$M$578)</f>
        <v>Melchor Vera</v>
      </c>
      <c r="AO37" s="1167" t="s">
        <v>2280</v>
      </c>
      <c r="AP37" t="s">
        <v>4254</v>
      </c>
      <c r="AQ37" t="s">
        <v>2454</v>
      </c>
      <c r="AV37" s="1557" t="s">
        <v>2520</v>
      </c>
      <c r="AW37" s="703">
        <f t="shared" si="32"/>
        <v>0</v>
      </c>
      <c r="AY37" s="596">
        <f t="shared" si="33"/>
        <v>0</v>
      </c>
      <c r="BA37" s="1256">
        <f t="shared" si="34"/>
        <v>0</v>
      </c>
    </row>
    <row r="38" spans="1:55" ht="15" customHeight="1" thickBot="1">
      <c r="A38" s="747" t="s">
        <v>4233</v>
      </c>
      <c r="B38" s="1447">
        <v>46036</v>
      </c>
      <c r="C38" s="1447">
        <v>46029</v>
      </c>
      <c r="D38" t="s">
        <v>119</v>
      </c>
      <c r="E38" s="762">
        <f>_xlfn.XLOOKUP(D38,RUC!$B$3:$B$123,RUC!$D$3:$D$123)</f>
        <v>10082235774</v>
      </c>
      <c r="G38" s="1082">
        <v>68</v>
      </c>
      <c r="H38" s="762" t="s">
        <v>69</v>
      </c>
      <c r="I38" s="703">
        <v>6.62</v>
      </c>
      <c r="J38" s="596">
        <v>2.9</v>
      </c>
      <c r="K38" s="703">
        <f t="shared" si="35"/>
        <v>6.4279999999999999</v>
      </c>
      <c r="L38" s="1192">
        <v>0.315</v>
      </c>
      <c r="M38" s="994">
        <f t="shared" si="36"/>
        <v>0.308</v>
      </c>
      <c r="N38" s="1444">
        <v>0.34599999999999997</v>
      </c>
      <c r="O38" s="645">
        <f t="shared" si="38"/>
        <v>0.32700000000000001</v>
      </c>
      <c r="P38" s="727">
        <v>90</v>
      </c>
      <c r="Q38" s="1476">
        <v>92.06</v>
      </c>
      <c r="R38" s="706">
        <v>4438</v>
      </c>
      <c r="S38" s="1164">
        <v>110</v>
      </c>
      <c r="U38" s="880">
        <f>_xlfn.XLOOKUP(D38,RUC!$B$3:$B$123,RUC!$F$3:$F$123)</f>
        <v>80</v>
      </c>
      <c r="V38" s="715">
        <v>1.1023000000000001</v>
      </c>
      <c r="Y38">
        <f>_xlfn.XLOOKUP(D38,RUC!$B$3:$B$123,RUC!$G$3:$G$123)</f>
        <v>0</v>
      </c>
      <c r="Z38" s="143">
        <f>_xlfn.XLOOKUP(D38,RUC!$B$3:$B$123,RUC!$H$3:$H$123)</f>
        <v>10</v>
      </c>
      <c r="AA38" s="144">
        <f t="shared" si="39"/>
        <v>10</v>
      </c>
      <c r="AB38" s="145">
        <f t="shared" si="40"/>
        <v>1281.4892266200002</v>
      </c>
      <c r="AC38" s="145">
        <f>+(S38-T38)*V38-'data 1'!$F$4</f>
        <v>41.253</v>
      </c>
      <c r="AD38" s="145">
        <f t="shared" si="41"/>
        <v>31.172010042600039</v>
      </c>
      <c r="AE38" s="145">
        <f t="shared" si="42"/>
        <v>-58.977000000000004</v>
      </c>
      <c r="AF38" s="145">
        <f t="shared" si="43"/>
        <v>-53.068797864480054</v>
      </c>
      <c r="AG38" s="772">
        <f t="shared" si="50"/>
        <v>30.379212178119978</v>
      </c>
      <c r="AH38" s="1253">
        <f t="shared" si="45"/>
        <v>63.91</v>
      </c>
      <c r="AI38" s="1253">
        <f t="shared" si="46"/>
        <v>69.421999999999997</v>
      </c>
      <c r="AJ38" s="156">
        <f t="shared" si="47"/>
        <v>205.21842955740001</v>
      </c>
      <c r="AK38" s="156">
        <f t="shared" si="48"/>
        <v>64.859739411623224</v>
      </c>
      <c r="AM38" s="716">
        <f t="shared" si="49"/>
        <v>8237.412748713361</v>
      </c>
      <c r="AN38" s="716" t="str">
        <f>_xlfn.XLOOKUP(D38,RUC!$B$3:$B$578,RUC!$M$3:$M$578)</f>
        <v>Melchor Vera</v>
      </c>
      <c r="AO38" s="1167" t="s">
        <v>2278</v>
      </c>
      <c r="AP38" t="s">
        <v>4254</v>
      </c>
      <c r="AQ38" t="s">
        <v>2454</v>
      </c>
      <c r="AV38" s="1558" t="s">
        <v>2521</v>
      </c>
      <c r="AW38" s="1254">
        <f t="shared" si="32"/>
        <v>0</v>
      </c>
      <c r="AX38" s="1257"/>
      <c r="AY38" s="1242">
        <f t="shared" si="33"/>
        <v>0</v>
      </c>
      <c r="AZ38" s="1257"/>
      <c r="BA38" s="1258">
        <f t="shared" si="34"/>
        <v>0</v>
      </c>
    </row>
    <row r="39" spans="1:55" ht="15" customHeight="1">
      <c r="A39" s="747" t="s">
        <v>4235</v>
      </c>
      <c r="B39" s="1447">
        <v>46036</v>
      </c>
      <c r="C39" s="1447">
        <v>46029</v>
      </c>
      <c r="D39" t="s">
        <v>119</v>
      </c>
      <c r="E39" s="762">
        <f>_xlfn.XLOOKUP(D39,RUC!$B$3:$B$123,RUC!$D$3:$D$123)</f>
        <v>10082235774</v>
      </c>
      <c r="G39" s="1082">
        <v>51</v>
      </c>
      <c r="H39" s="762" t="s">
        <v>69</v>
      </c>
      <c r="I39" s="703">
        <v>5.24</v>
      </c>
      <c r="J39" s="596">
        <v>4.0999999999999996</v>
      </c>
      <c r="K39" s="703">
        <f t="shared" si="35"/>
        <v>5.0250000000000004</v>
      </c>
      <c r="L39" s="1192">
        <v>0.27800000000000002</v>
      </c>
      <c r="M39" s="994">
        <f t="shared" si="36"/>
        <v>0.27100000000000002</v>
      </c>
      <c r="N39" s="1196">
        <f t="shared" si="37"/>
        <v>0.27100000000000002</v>
      </c>
      <c r="O39" s="645">
        <f t="shared" si="38"/>
        <v>0.27100000000000002</v>
      </c>
      <c r="P39" s="727">
        <v>90</v>
      </c>
      <c r="Q39" s="1476">
        <v>93.17</v>
      </c>
      <c r="R39" s="706">
        <v>4438</v>
      </c>
      <c r="S39" s="1164">
        <v>105</v>
      </c>
      <c r="U39" s="880">
        <f>_xlfn.XLOOKUP(D39,RUC!$B$3:$B$123,RUC!$F$3:$F$123)</f>
        <v>80</v>
      </c>
      <c r="V39" s="715">
        <v>1.1023000000000001</v>
      </c>
      <c r="Y39">
        <f>_xlfn.XLOOKUP(D39,RUC!$B$3:$B$123,RUC!$G$3:$G$123)</f>
        <v>0</v>
      </c>
      <c r="Z39" s="143">
        <f>_xlfn.XLOOKUP(D39,RUC!$B$3:$B$123,RUC!$H$3:$H$123)</f>
        <v>10</v>
      </c>
      <c r="AA39" s="144">
        <f t="shared" si="39"/>
        <v>10</v>
      </c>
      <c r="AB39" s="145">
        <f t="shared" si="40"/>
        <v>1044.8880272599999</v>
      </c>
      <c r="AC39" s="145">
        <f>+(S39-T39)*V39-'data 1'!$F$4</f>
        <v>35.741500000000002</v>
      </c>
      <c r="AD39" s="145">
        <f t="shared" si="41"/>
        <v>42.33417409484003</v>
      </c>
      <c r="AE39" s="145">
        <f t="shared" si="42"/>
        <v>-58.977000000000004</v>
      </c>
      <c r="AF39" s="145">
        <f t="shared" si="43"/>
        <v>31.330055832460033</v>
      </c>
      <c r="AG39" s="772">
        <f t="shared" si="50"/>
        <v>120.42872992730005</v>
      </c>
      <c r="AH39" s="1253">
        <f t="shared" si="45"/>
        <v>44.624000000000002</v>
      </c>
      <c r="AI39" s="1253">
        <f t="shared" si="46"/>
        <v>47.895000000000003</v>
      </c>
      <c r="AJ39" s="156">
        <f t="shared" si="47"/>
        <v>183.29715612516003</v>
      </c>
      <c r="AK39" s="156">
        <f t="shared" si="48"/>
        <v>42.020085880609884</v>
      </c>
      <c r="AM39" s="716">
        <f t="shared" si="49"/>
        <v>5250.5623369815003</v>
      </c>
      <c r="AN39" s="716" t="str">
        <f>_xlfn.XLOOKUP(D39,RUC!$B$3:$B$578,RUC!$M$3:$M$578)</f>
        <v>Melchor Vera</v>
      </c>
      <c r="AO39" s="1167" t="s">
        <v>2278</v>
      </c>
      <c r="AP39" t="s">
        <v>4254</v>
      </c>
      <c r="AQ39" t="s">
        <v>2454</v>
      </c>
    </row>
    <row r="40" spans="1:55" ht="15" customHeight="1">
      <c r="A40" s="747" t="s">
        <v>4236</v>
      </c>
      <c r="B40" s="1447">
        <v>46036</v>
      </c>
      <c r="C40" s="1447">
        <v>46029</v>
      </c>
      <c r="D40" t="s">
        <v>119</v>
      </c>
      <c r="E40" s="762">
        <f>_xlfn.XLOOKUP(D40,RUC!$B$3:$B$123,RUC!$D$3:$D$123)</f>
        <v>10082235774</v>
      </c>
      <c r="G40" s="1082">
        <v>21</v>
      </c>
      <c r="H40" s="762" t="s">
        <v>69</v>
      </c>
      <c r="I40" s="703">
        <v>1.71</v>
      </c>
      <c r="J40" s="596">
        <v>2.9</v>
      </c>
      <c r="K40" s="703">
        <f t="shared" si="35"/>
        <v>1.66</v>
      </c>
      <c r="L40" s="1192">
        <v>0.35</v>
      </c>
      <c r="M40" s="994">
        <f t="shared" si="36"/>
        <v>0.34300000000000003</v>
      </c>
      <c r="N40" s="1444">
        <v>0.38300000000000001</v>
      </c>
      <c r="O40" s="645">
        <f t="shared" si="38"/>
        <v>0.36299999999999999</v>
      </c>
      <c r="P40" s="727">
        <v>90</v>
      </c>
      <c r="Q40" s="1476">
        <v>90.29</v>
      </c>
      <c r="R40" s="706">
        <v>4438</v>
      </c>
      <c r="S40" s="1164">
        <v>110</v>
      </c>
      <c r="U40" s="880">
        <f>_xlfn.XLOOKUP(D40,RUC!$B$3:$B$123,RUC!$F$3:$F$123)</f>
        <v>80</v>
      </c>
      <c r="V40" s="715">
        <v>1.1023000000000001</v>
      </c>
      <c r="Y40">
        <f>_xlfn.XLOOKUP(D40,RUC!$B$3:$B$123,RUC!$G$3:$G$123)</f>
        <v>0</v>
      </c>
      <c r="Z40" s="143">
        <f>_xlfn.XLOOKUP(D40,RUC!$B$3:$B$123,RUC!$H$3:$H$123)</f>
        <v>10</v>
      </c>
      <c r="AA40" s="144">
        <f t="shared" si="39"/>
        <v>10</v>
      </c>
      <c r="AB40" s="145">
        <f t="shared" si="40"/>
        <v>1437.1331047800002</v>
      </c>
      <c r="AC40" s="145">
        <f>+(S40-T40)*V40-'data 1'!$F$4</f>
        <v>41.253</v>
      </c>
      <c r="AD40" s="145">
        <f t="shared" si="41"/>
        <v>4.8758807510001052</v>
      </c>
      <c r="AE40" s="145">
        <f t="shared" si="42"/>
        <v>-58.977000000000004</v>
      </c>
      <c r="AF40" s="145">
        <f t="shared" si="43"/>
        <v>-56.385837922180052</v>
      </c>
      <c r="AG40" s="772">
        <f t="shared" si="50"/>
        <v>0.76604282882004782</v>
      </c>
      <c r="AH40" s="1253">
        <f t="shared" si="45"/>
        <v>17.986000000000001</v>
      </c>
      <c r="AI40" s="1253">
        <f t="shared" si="46"/>
        <v>19.920000000000002</v>
      </c>
      <c r="AJ40" s="156">
        <f t="shared" si="47"/>
        <v>223.63642074900002</v>
      </c>
      <c r="AK40" s="156">
        <f t="shared" si="48"/>
        <v>18.593720218052098</v>
      </c>
      <c r="AM40" s="716">
        <f t="shared" si="49"/>
        <v>2385.6409539348001</v>
      </c>
      <c r="AN40" s="716" t="str">
        <f>_xlfn.XLOOKUP(D40,RUC!$B$3:$B$578,RUC!$M$3:$M$578)</f>
        <v>Melchor Vera</v>
      </c>
      <c r="AO40" s="1167" t="s">
        <v>2278</v>
      </c>
      <c r="AP40" t="s">
        <v>4254</v>
      </c>
      <c r="AQ40" t="s">
        <v>2454</v>
      </c>
    </row>
    <row r="41" spans="1:55" ht="15" customHeight="1">
      <c r="A41" s="747" t="s">
        <v>4237</v>
      </c>
      <c r="B41" s="1447">
        <v>46036</v>
      </c>
      <c r="C41" s="1447">
        <v>46029</v>
      </c>
      <c r="D41" t="s">
        <v>119</v>
      </c>
      <c r="E41" s="762">
        <f>_xlfn.XLOOKUP(D41,RUC!$B$3:$B$123,RUC!$D$3:$D$123)</f>
        <v>10082235774</v>
      </c>
      <c r="G41" s="1082">
        <v>53</v>
      </c>
      <c r="H41" s="762" t="s">
        <v>69</v>
      </c>
      <c r="I41" s="703">
        <v>5.0199999999999996</v>
      </c>
      <c r="J41" s="596">
        <v>1.9</v>
      </c>
      <c r="K41" s="703">
        <f t="shared" si="35"/>
        <v>4.9249999999999998</v>
      </c>
      <c r="L41" s="1192">
        <v>0.17899999999999999</v>
      </c>
      <c r="M41" s="994">
        <f t="shared" si="36"/>
        <v>0.17199999999999999</v>
      </c>
      <c r="N41" s="1196">
        <f t="shared" si="37"/>
        <v>0.17199999999999999</v>
      </c>
      <c r="O41" s="645">
        <f t="shared" si="38"/>
        <v>0.17199999999999999</v>
      </c>
      <c r="P41" s="727">
        <v>85</v>
      </c>
      <c r="Q41" s="1476">
        <v>92.74</v>
      </c>
      <c r="R41" s="706">
        <v>4438</v>
      </c>
      <c r="S41" s="1164">
        <v>95</v>
      </c>
      <c r="U41" s="880">
        <f>_xlfn.XLOOKUP(D41,RUC!$B$3:$B$123,RUC!$F$3:$F$123)</f>
        <v>80</v>
      </c>
      <c r="V41" s="715">
        <v>1.1023000000000001</v>
      </c>
      <c r="Y41">
        <f>_xlfn.XLOOKUP(D41,RUC!$B$3:$B$123,RUC!$G$3:$G$123)</f>
        <v>0</v>
      </c>
      <c r="Z41" s="143">
        <f>_xlfn.XLOOKUP(D41,RUC!$B$3:$B$123,RUC!$H$3:$H$123)</f>
        <v>10</v>
      </c>
      <c r="AA41" s="144">
        <f t="shared" si="39"/>
        <v>10</v>
      </c>
      <c r="AB41" s="145">
        <f t="shared" si="40"/>
        <v>586.57748107999998</v>
      </c>
      <c r="AC41" s="145">
        <f>+(S41-T41)*V41-'data 1'!$F$4</f>
        <v>24.718500000000006</v>
      </c>
      <c r="AD41" s="145">
        <f t="shared" si="41"/>
        <v>66.555051677639952</v>
      </c>
      <c r="AE41" s="145">
        <f t="shared" si="42"/>
        <v>-58.977000000000004</v>
      </c>
      <c r="AF41" s="145">
        <f t="shared" si="43"/>
        <v>31.185460748120025</v>
      </c>
      <c r="AG41" s="772">
        <f t="shared" si="50"/>
        <v>133.48201242575999</v>
      </c>
      <c r="AH41" s="1253">
        <f t="shared" si="45"/>
        <v>28.030999999999999</v>
      </c>
      <c r="AI41" s="1253">
        <f t="shared" si="46"/>
        <v>30.225000000000001</v>
      </c>
      <c r="AJ41" s="156">
        <f t="shared" si="47"/>
        <v>117.47757091235999</v>
      </c>
      <c r="AK41" s="156">
        <f t="shared" si="48"/>
        <v>24.686679384581748</v>
      </c>
      <c r="AM41" s="716">
        <f t="shared" si="49"/>
        <v>2888.894094319</v>
      </c>
      <c r="AN41" s="716" t="str">
        <f>_xlfn.XLOOKUP(D41,RUC!$B$3:$B$578,RUC!$M$3:$M$578)</f>
        <v>Melchor Vera</v>
      </c>
      <c r="AO41" s="1167" t="s">
        <v>2278</v>
      </c>
      <c r="AP41" t="s">
        <v>4254</v>
      </c>
      <c r="AQ41" t="s">
        <v>2454</v>
      </c>
    </row>
    <row r="42" spans="1:55" ht="15" customHeight="1">
      <c r="A42" s="747" t="s">
        <v>4238</v>
      </c>
      <c r="B42" s="1447">
        <v>46036</v>
      </c>
      <c r="C42" s="1447">
        <v>46029</v>
      </c>
      <c r="D42" t="s">
        <v>119</v>
      </c>
      <c r="E42" s="762">
        <f>_xlfn.XLOOKUP(D42,RUC!$B$3:$B$123,RUC!$D$3:$D$123)</f>
        <v>10082235774</v>
      </c>
      <c r="G42" s="1082">
        <v>40</v>
      </c>
      <c r="H42" s="762" t="s">
        <v>69</v>
      </c>
      <c r="I42" s="703">
        <v>3.37</v>
      </c>
      <c r="J42" s="596">
        <v>1.2</v>
      </c>
      <c r="K42" s="703">
        <f t="shared" si="35"/>
        <v>3.33</v>
      </c>
      <c r="L42" s="1192">
        <v>0.189</v>
      </c>
      <c r="M42" s="994">
        <f t="shared" si="36"/>
        <v>0.182</v>
      </c>
      <c r="N42" s="1444">
        <v>0.21099999999999999</v>
      </c>
      <c r="O42" s="645">
        <f t="shared" si="38"/>
        <v>0.19700000000000001</v>
      </c>
      <c r="P42" s="727">
        <v>85</v>
      </c>
      <c r="Q42" s="1476">
        <v>86.24</v>
      </c>
      <c r="R42" s="706">
        <v>4438</v>
      </c>
      <c r="S42" s="1164">
        <v>95</v>
      </c>
      <c r="U42" s="880">
        <f>_xlfn.XLOOKUP(D42,RUC!$B$3:$B$123,RUC!$F$3:$F$123)</f>
        <v>80</v>
      </c>
      <c r="V42" s="715">
        <v>1.1023000000000001</v>
      </c>
      <c r="Y42">
        <f>_xlfn.XLOOKUP(D42,RUC!$B$3:$B$123,RUC!$G$3:$G$123)</f>
        <v>0</v>
      </c>
      <c r="Z42" s="143">
        <f>_xlfn.XLOOKUP(D42,RUC!$B$3:$B$123,RUC!$H$3:$H$123)</f>
        <v>10</v>
      </c>
      <c r="AA42" s="144">
        <f t="shared" si="39"/>
        <v>10</v>
      </c>
      <c r="AB42" s="145">
        <f t="shared" si="40"/>
        <v>688.65872833000003</v>
      </c>
      <c r="AC42" s="145">
        <f>+(S42-T42)*V42-'data 1'!$F$4</f>
        <v>24.718500000000006</v>
      </c>
      <c r="AD42" s="145">
        <f t="shared" si="41"/>
        <v>11.258240520239953</v>
      </c>
      <c r="AE42" s="145">
        <f t="shared" si="42"/>
        <v>-58.977000000000004</v>
      </c>
      <c r="AF42" s="145">
        <f t="shared" si="43"/>
        <v>-33.142538401280028</v>
      </c>
      <c r="AG42" s="772">
        <f t="shared" si="50"/>
        <v>13.857202118959925</v>
      </c>
      <c r="AH42" s="1253">
        <f t="shared" si="45"/>
        <v>18.609000000000002</v>
      </c>
      <c r="AI42" s="1253">
        <f t="shared" si="46"/>
        <v>21.577999999999999</v>
      </c>
      <c r="AJ42" s="156">
        <f t="shared" si="47"/>
        <v>115.34675666976</v>
      </c>
      <c r="AK42" s="156">
        <f t="shared" si="48"/>
        <v>19.11782380247843</v>
      </c>
      <c r="AM42" s="716">
        <f t="shared" si="49"/>
        <v>2293.2335653389</v>
      </c>
      <c r="AN42" s="716" t="str">
        <f>_xlfn.XLOOKUP(D42,RUC!$B$3:$B$578,RUC!$M$3:$M$578)</f>
        <v>Melchor Vera</v>
      </c>
      <c r="AO42" s="1167" t="s">
        <v>2278</v>
      </c>
      <c r="AP42" t="s">
        <v>4254</v>
      </c>
      <c r="AQ42" t="s">
        <v>2454</v>
      </c>
    </row>
    <row r="43" spans="1:55" ht="15" customHeight="1">
      <c r="A43" s="747" t="s">
        <v>4239</v>
      </c>
      <c r="B43" s="1447">
        <v>46036</v>
      </c>
      <c r="C43" s="1447">
        <v>46029</v>
      </c>
      <c r="D43" t="s">
        <v>119</v>
      </c>
      <c r="E43" s="762">
        <f>_xlfn.XLOOKUP(D43,RUC!$B$3:$B$123,RUC!$D$3:$D$123)</f>
        <v>10082235774</v>
      </c>
      <c r="G43" s="1082">
        <v>25</v>
      </c>
      <c r="H43" s="762" t="s">
        <v>69</v>
      </c>
      <c r="I43" s="703">
        <v>2.33</v>
      </c>
      <c r="J43" s="596">
        <v>2.4</v>
      </c>
      <c r="K43" s="703">
        <f t="shared" si="35"/>
        <v>2.274</v>
      </c>
      <c r="L43" s="1192">
        <v>0.32100000000000001</v>
      </c>
      <c r="M43" s="994">
        <f t="shared" si="36"/>
        <v>0.314</v>
      </c>
      <c r="N43" s="1444">
        <v>0.35399999999999998</v>
      </c>
      <c r="O43" s="645">
        <f t="shared" si="38"/>
        <v>0.33400000000000002</v>
      </c>
      <c r="P43" s="727">
        <v>90</v>
      </c>
      <c r="Q43" s="1476">
        <v>92.83</v>
      </c>
      <c r="R43" s="706">
        <v>4438</v>
      </c>
      <c r="S43" s="1164">
        <v>110</v>
      </c>
      <c r="U43" s="880">
        <f>_xlfn.XLOOKUP(D43,RUC!$B$3:$B$123,RUC!$F$3:$F$123)</f>
        <v>80</v>
      </c>
      <c r="V43" s="715">
        <v>1.1023000000000001</v>
      </c>
      <c r="Y43">
        <f>_xlfn.XLOOKUP(D43,RUC!$B$3:$B$123,RUC!$G$3:$G$123)</f>
        <v>0</v>
      </c>
      <c r="Z43" s="143">
        <f>_xlfn.XLOOKUP(D43,RUC!$B$3:$B$123,RUC!$H$3:$H$123)</f>
        <v>10</v>
      </c>
      <c r="AA43" s="144">
        <f t="shared" si="39"/>
        <v>10</v>
      </c>
      <c r="AB43" s="145">
        <f t="shared" si="40"/>
        <v>1311.7533140400003</v>
      </c>
      <c r="AC43" s="145">
        <f>+(S43-T43)*V43-'data 1'!$F$4</f>
        <v>41.253</v>
      </c>
      <c r="AD43" s="145">
        <f t="shared" si="41"/>
        <v>43.639372912619976</v>
      </c>
      <c r="AE43" s="145">
        <f t="shared" si="42"/>
        <v>-58.977000000000004</v>
      </c>
      <c r="AF43" s="145">
        <f t="shared" si="43"/>
        <v>-57.97206040886006</v>
      </c>
      <c r="AG43" s="772">
        <f t="shared" si="50"/>
        <v>37.943312503759913</v>
      </c>
      <c r="AH43" s="1253">
        <f t="shared" si="45"/>
        <v>23.231999999999999</v>
      </c>
      <c r="AI43" s="1253">
        <f t="shared" si="46"/>
        <v>25.027000000000001</v>
      </c>
      <c r="AJ43" s="156">
        <f t="shared" si="47"/>
        <v>210.87651627738001</v>
      </c>
      <c r="AK43" s="156">
        <f t="shared" si="48"/>
        <v>23.436270711165424</v>
      </c>
      <c r="AM43" s="716">
        <f t="shared" si="49"/>
        <v>2982.9270361269605</v>
      </c>
      <c r="AN43" s="716" t="str">
        <f>_xlfn.XLOOKUP(D43,RUC!$B$3:$B$578,RUC!$M$3:$M$578)</f>
        <v>Melchor Vera</v>
      </c>
      <c r="AO43" s="1167" t="s">
        <v>2278</v>
      </c>
      <c r="AP43" t="s">
        <v>4254</v>
      </c>
      <c r="AQ43" t="s">
        <v>2454</v>
      </c>
    </row>
    <row r="44" spans="1:55" ht="15" customHeight="1">
      <c r="A44" s="877" t="s">
        <v>4270</v>
      </c>
      <c r="C44" s="1447">
        <v>46030</v>
      </c>
      <c r="D44" t="s">
        <v>4171</v>
      </c>
      <c r="E44" s="762">
        <f>_xlfn.XLOOKUP(D44,RUC!$B$3:$B$123,RUC!$D$3:$D$123)</f>
        <v>20614284740</v>
      </c>
      <c r="G44" s="1082">
        <v>176</v>
      </c>
      <c r="H44" s="762" t="s">
        <v>69</v>
      </c>
      <c r="I44" s="703"/>
      <c r="J44" s="596"/>
      <c r="K44" s="703"/>
      <c r="L44" s="1192"/>
      <c r="M44" s="994"/>
      <c r="N44" s="1196"/>
      <c r="O44" s="645"/>
      <c r="P44" s="727"/>
      <c r="Q44" s="1476"/>
      <c r="R44" s="706"/>
      <c r="S44" s="765"/>
      <c r="U44" s="1146"/>
      <c r="V44" s="715"/>
      <c r="Z44" s="143"/>
      <c r="AA44" s="144"/>
      <c r="AB44" s="145"/>
      <c r="AC44" s="145"/>
      <c r="AD44" s="145"/>
      <c r="AE44" s="145"/>
      <c r="AF44" s="145"/>
      <c r="AG44" s="772"/>
      <c r="AH44" s="1253"/>
      <c r="AI44" s="1253"/>
      <c r="AJ44" s="156"/>
      <c r="AK44" s="156"/>
      <c r="AM44" s="716"/>
      <c r="AN44" s="716" t="str">
        <f>_xlfn.XLOOKUP(D44,RUC!$B$3:$B$578,RUC!$M$3:$M$578)</f>
        <v xml:space="preserve">Dante </v>
      </c>
      <c r="AO44" s="1167" t="s">
        <v>2282</v>
      </c>
      <c r="AP44" t="s">
        <v>3403</v>
      </c>
      <c r="AQ44" t="s">
        <v>4318</v>
      </c>
    </row>
    <row r="45" spans="1:55" ht="15" customHeight="1">
      <c r="A45" s="747" t="s">
        <v>4281</v>
      </c>
      <c r="B45" s="1447">
        <v>46050</v>
      </c>
      <c r="C45" s="1447">
        <v>46031</v>
      </c>
      <c r="D45" t="s">
        <v>1484</v>
      </c>
      <c r="E45" s="762">
        <f>_xlfn.XLOOKUP(D45,RUC!$B$3:$B$123,RUC!$D$3:$D$123)</f>
        <v>10761932735</v>
      </c>
      <c r="G45" s="1082">
        <v>9</v>
      </c>
      <c r="H45" s="762" t="s">
        <v>69</v>
      </c>
      <c r="I45" s="703">
        <v>0.57999999999999996</v>
      </c>
      <c r="J45" s="596">
        <v>3.15</v>
      </c>
      <c r="K45" s="703">
        <f t="shared" si="35"/>
        <v>0.56200000000000006</v>
      </c>
      <c r="L45" s="1192">
        <v>0.55500000000000005</v>
      </c>
      <c r="M45" s="994">
        <f t="shared" ref="M45:M47" si="51">ROUND(+IF(AN45="Melchor Vera",IF(L45&gt;0.467,L45*0.985,(L45-0.007)),IF(L45&gt;0.3,L45*0.94,(L45-0.019))),3)</f>
        <v>0.52200000000000002</v>
      </c>
      <c r="N45" s="1444">
        <v>0.61099999999999999</v>
      </c>
      <c r="O45" s="645">
        <f t="shared" ref="O45:O47" si="52">+ROUND((M45+N45)/2,3)</f>
        <v>0.56699999999999995</v>
      </c>
      <c r="P45" s="727">
        <v>90</v>
      </c>
      <c r="Q45" s="1476">
        <v>98.05</v>
      </c>
      <c r="R45" s="706">
        <v>4493.8500000000004</v>
      </c>
      <c r="S45" s="765">
        <f>IF((_xlfn.XLOOKUP(D45,RUC!$B$3:$B$119,RUC!$E$3:$E$119)+ROUNDDOWN(O45,1)*100)&lt;95,95,((_xlfn.XLOOKUP(D45,RUC!$B$3:$B$119,RUC!$E$3:$E$119)+ROUNDDOWN(O45,1)*100)))</f>
        <v>140</v>
      </c>
      <c r="U45" s="1146">
        <f>_xlfn.XLOOKUP(D45,RUC!$B$3:$B$123,RUC!$F$3:$F$123)</f>
        <v>120</v>
      </c>
      <c r="V45" s="715">
        <v>1.1023000000000001</v>
      </c>
      <c r="Y45">
        <f>_xlfn.XLOOKUP(D45,RUC!$B$3:$B$123,RUC!$G$3:$G$123)</f>
        <v>20</v>
      </c>
      <c r="Z45" s="143">
        <f>_xlfn.XLOOKUP(D45,RUC!$B$3:$B$123,RUC!$H$3:$H$123)</f>
        <v>30</v>
      </c>
      <c r="AA45" s="144">
        <f t="shared" ref="AA45:AA101" si="53">+Y45+Z45</f>
        <v>50</v>
      </c>
      <c r="AB45" s="145">
        <f t="shared" ref="AB45:AB101" si="54">+((O45*P45*(R45-U45)/100)-S45-AA45+T45)*V45</f>
        <v>2250.8697645065004</v>
      </c>
      <c r="AC45" s="145">
        <f>+(S45-T45)*V45-'data 1'!$F$4</f>
        <v>74.322000000000003</v>
      </c>
      <c r="AD45" s="145">
        <f t="shared" ref="AD45:AD101" si="55">+(Q45-P45)*(R45-U45)*L45*V45/100</f>
        <v>215.40340088426248</v>
      </c>
      <c r="AE45" s="145">
        <f t="shared" ref="AE45:AE101" si="56">+(Y45*V45-70)+V45*(Z45-IF(D45="UNTUCA",IF(+((W45-3)*2.5+(X45-3)*3.1)&gt;0,+((W45-3)*1.5+(X45-3)*3.1),0),IF(+((W45-3)*1.5+(X45-3)*3.1)&gt;0,+((W45-3)*1.5+(X45-3)*3.1),0)))</f>
        <v>-14.884999999999998</v>
      </c>
      <c r="AF45" s="145">
        <f t="shared" ref="AF45:AF101" si="57">(L45-O45)*(R45-U45)*Q45*V45/100</f>
        <v>-56.727355263929532</v>
      </c>
      <c r="AG45" s="772">
        <f t="shared" ref="AG45:AG47" si="58">AC45+AD45+AE45+AF45+70-53</f>
        <v>235.11304562033297</v>
      </c>
      <c r="AH45" s="1253">
        <f t="shared" si="45"/>
        <v>10.484999999999999</v>
      </c>
      <c r="AI45" s="1253">
        <f t="shared" ref="AI45:AI101" si="59">ROUND((31.1035*L45*1.1023*K45),3)</f>
        <v>10.694000000000001</v>
      </c>
      <c r="AJ45" s="156">
        <f t="shared" ref="AJ45:AJ101" si="60">+((+$AJ$2-R45+U45)*L45*Q45*V45)/100</f>
        <v>375.59411029323724</v>
      </c>
      <c r="AK45" s="156">
        <f t="shared" ref="AK45:AK101" si="61">31.1035*1.1023*K45*P45*O45/100</f>
        <v>9.8326584393162317</v>
      </c>
      <c r="AM45" s="716">
        <f t="shared" ref="AM45:AM101" si="62">+IF(AB45*K45&gt;0,AB45*K45,0)</f>
        <v>1264.9888076526533</v>
      </c>
      <c r="AN45" s="716" t="str">
        <f>_xlfn.XLOOKUP(D45,RUC!$B$3:$B$578,RUC!$M$3:$M$578)</f>
        <v>Richard Sapacayo</v>
      </c>
      <c r="AO45" s="1167" t="s">
        <v>2280</v>
      </c>
      <c r="AP45" t="s">
        <v>4321</v>
      </c>
      <c r="AQ45" t="s">
        <v>4322</v>
      </c>
    </row>
    <row r="46" spans="1:55" ht="15" customHeight="1">
      <c r="A46" s="747" t="s">
        <v>4282</v>
      </c>
      <c r="B46" s="1447">
        <v>46050</v>
      </c>
      <c r="C46" s="1447">
        <v>46031</v>
      </c>
      <c r="D46" t="s">
        <v>1484</v>
      </c>
      <c r="E46" s="762">
        <f>_xlfn.XLOOKUP(D46,RUC!$B$3:$B$123,RUC!$D$3:$D$123)</f>
        <v>10761932735</v>
      </c>
      <c r="G46" s="1082">
        <v>29</v>
      </c>
      <c r="H46" s="762" t="s">
        <v>69</v>
      </c>
      <c r="I46" s="703">
        <v>2.15</v>
      </c>
      <c r="J46" s="596">
        <v>4.55</v>
      </c>
      <c r="K46" s="703">
        <f t="shared" si="35"/>
        <v>2.052</v>
      </c>
      <c r="L46" s="1192">
        <v>0.247</v>
      </c>
      <c r="M46" s="994">
        <f t="shared" si="51"/>
        <v>0.22800000000000001</v>
      </c>
      <c r="N46" s="1196">
        <f t="shared" ref="N46:N60" si="63">+M46</f>
        <v>0.22800000000000001</v>
      </c>
      <c r="O46" s="645">
        <f t="shared" si="52"/>
        <v>0.22800000000000001</v>
      </c>
      <c r="P46" s="727">
        <v>90</v>
      </c>
      <c r="Q46" s="1476">
        <v>98.88</v>
      </c>
      <c r="R46" s="706">
        <v>4493.8500000000004</v>
      </c>
      <c r="S46" s="765">
        <f>IF((_xlfn.XLOOKUP(D46,RUC!$B$3:$B$119,RUC!$E$3:$E$119)+ROUNDDOWN(O46,1)*100)&lt;95,95,((_xlfn.XLOOKUP(D46,RUC!$B$3:$B$119,RUC!$E$3:$E$119)+ROUNDDOWN(O46,1)*100)))</f>
        <v>110</v>
      </c>
      <c r="U46" s="1146">
        <f>_xlfn.XLOOKUP(D46,RUC!$B$3:$B$123,RUC!$F$3:$F$123)</f>
        <v>120</v>
      </c>
      <c r="V46" s="715">
        <v>1.1023000000000001</v>
      </c>
      <c r="Y46">
        <f>_xlfn.XLOOKUP(D46,RUC!$B$3:$B$123,RUC!$G$3:$G$123)</f>
        <v>20</v>
      </c>
      <c r="Z46" s="143">
        <f>_xlfn.XLOOKUP(D46,RUC!$B$3:$B$123,RUC!$H$3:$H$123)</f>
        <v>30</v>
      </c>
      <c r="AA46" s="144">
        <f t="shared" si="53"/>
        <v>50</v>
      </c>
      <c r="AB46" s="145">
        <f t="shared" si="54"/>
        <v>812.96170424600007</v>
      </c>
      <c r="AC46" s="145">
        <f>+(S46-T46)*V46-'data 1'!$F$4</f>
        <v>41.253</v>
      </c>
      <c r="AD46" s="145">
        <f t="shared" si="55"/>
        <v>105.74835283162797</v>
      </c>
      <c r="AE46" s="145">
        <f t="shared" si="56"/>
        <v>-14.884999999999998</v>
      </c>
      <c r="AF46" s="145">
        <f t="shared" si="57"/>
        <v>90.57863069985595</v>
      </c>
      <c r="AG46" s="772">
        <f t="shared" si="58"/>
        <v>239.6949835314839</v>
      </c>
      <c r="AH46" s="1253">
        <f t="shared" si="45"/>
        <v>17.183</v>
      </c>
      <c r="AI46" s="1253">
        <f t="shared" si="59"/>
        <v>17.376999999999999</v>
      </c>
      <c r="AJ46" s="156">
        <f t="shared" si="60"/>
        <v>168.57128730187193</v>
      </c>
      <c r="AK46" s="156">
        <f t="shared" si="61"/>
        <v>14.436562060368722</v>
      </c>
      <c r="AM46" s="716">
        <f t="shared" si="62"/>
        <v>1668.1974171127922</v>
      </c>
      <c r="AN46" s="716" t="str">
        <f>_xlfn.XLOOKUP(D46,RUC!$B$3:$B$578,RUC!$M$3:$M$578)</f>
        <v>Richard Sapacayo</v>
      </c>
      <c r="AO46" s="1167" t="s">
        <v>2278</v>
      </c>
      <c r="AP46" t="s">
        <v>4321</v>
      </c>
      <c r="AQ46" t="s">
        <v>4322</v>
      </c>
    </row>
    <row r="47" spans="1:55" ht="15" customHeight="1">
      <c r="A47" s="747" t="s">
        <v>4283</v>
      </c>
      <c r="B47" s="1447">
        <v>46050</v>
      </c>
      <c r="C47" s="1447">
        <v>46031</v>
      </c>
      <c r="D47" t="s">
        <v>1484</v>
      </c>
      <c r="E47" s="762">
        <f>_xlfn.XLOOKUP(D47,RUC!$B$3:$B$123,RUC!$D$3:$D$123)</f>
        <v>10761932735</v>
      </c>
      <c r="G47" s="1082">
        <v>71</v>
      </c>
      <c r="H47" s="762" t="s">
        <v>69</v>
      </c>
      <c r="I47" s="703">
        <v>5.38</v>
      </c>
      <c r="J47" s="596">
        <v>5.7</v>
      </c>
      <c r="K47" s="703">
        <f t="shared" si="35"/>
        <v>5.0730000000000004</v>
      </c>
      <c r="L47" s="1192">
        <v>0.193</v>
      </c>
      <c r="M47" s="994">
        <f t="shared" si="51"/>
        <v>0.17399999999999999</v>
      </c>
      <c r="N47" s="1196">
        <f t="shared" si="63"/>
        <v>0.17399999999999999</v>
      </c>
      <c r="O47" s="645">
        <f t="shared" si="52"/>
        <v>0.17399999999999999</v>
      </c>
      <c r="P47" s="727">
        <v>90</v>
      </c>
      <c r="Q47" s="1476">
        <v>98.46</v>
      </c>
      <c r="R47" s="706">
        <v>4493.8500000000004</v>
      </c>
      <c r="S47" s="765">
        <f>IF((_xlfn.XLOOKUP(D47,RUC!$B$3:$B$119,RUC!$E$3:$E$119)+ROUNDDOWN(O47,1)*100)&lt;95,95,((_xlfn.XLOOKUP(D47,RUC!$B$3:$B$119,RUC!$E$3:$E$119)+ROUNDDOWN(O47,1)*100)))</f>
        <v>100</v>
      </c>
      <c r="U47" s="1146">
        <f>_xlfn.XLOOKUP(D47,RUC!$B$3:$B$123,RUC!$F$3:$F$123)</f>
        <v>120</v>
      </c>
      <c r="V47" s="715">
        <v>1.1023000000000001</v>
      </c>
      <c r="Y47">
        <f>_xlfn.XLOOKUP(D47,RUC!$B$3:$B$123,RUC!$G$3:$G$123)</f>
        <v>20</v>
      </c>
      <c r="Z47" s="143">
        <f>_xlfn.XLOOKUP(D47,RUC!$B$3:$B$123,RUC!$H$3:$H$123)</f>
        <v>30</v>
      </c>
      <c r="AA47" s="144">
        <f t="shared" si="53"/>
        <v>50</v>
      </c>
      <c r="AB47" s="145">
        <f t="shared" si="54"/>
        <v>589.66977429299993</v>
      </c>
      <c r="AC47" s="145">
        <f>+(S47-T47)*V47-'data 1'!$F$4</f>
        <v>30.230000000000004</v>
      </c>
      <c r="AD47" s="145">
        <f t="shared" si="55"/>
        <v>78.721138133468955</v>
      </c>
      <c r="AE47" s="145">
        <f t="shared" si="56"/>
        <v>-14.884999999999998</v>
      </c>
      <c r="AF47" s="145">
        <f t="shared" si="57"/>
        <v>90.193891370427096</v>
      </c>
      <c r="AG47" s="772">
        <f t="shared" si="58"/>
        <v>201.26002950389608</v>
      </c>
      <c r="AH47" s="1253">
        <f t="shared" si="45"/>
        <v>33.051000000000002</v>
      </c>
      <c r="AI47" s="1253">
        <f t="shared" si="59"/>
        <v>33.567999999999998</v>
      </c>
      <c r="AJ47" s="156">
        <f t="shared" si="60"/>
        <v>131.15816525303092</v>
      </c>
      <c r="AK47" s="156">
        <f t="shared" si="61"/>
        <v>27.237402542259993</v>
      </c>
      <c r="AM47" s="716">
        <f t="shared" si="62"/>
        <v>2991.3947649883889</v>
      </c>
      <c r="AN47" s="716" t="str">
        <f>_xlfn.XLOOKUP(D47,RUC!$B$3:$B$578,RUC!$M$3:$M$578)</f>
        <v>Richard Sapacayo</v>
      </c>
      <c r="AO47" s="1167" t="s">
        <v>2278</v>
      </c>
      <c r="AP47" t="s">
        <v>4321</v>
      </c>
      <c r="AQ47" t="s">
        <v>4322</v>
      </c>
    </row>
    <row r="48" spans="1:55" ht="15" customHeight="1">
      <c r="A48" s="747" t="s">
        <v>4284</v>
      </c>
      <c r="B48" s="1447">
        <v>46042</v>
      </c>
      <c r="C48" s="1447">
        <v>46031</v>
      </c>
      <c r="D48" t="s">
        <v>4171</v>
      </c>
      <c r="E48" s="762">
        <f>_xlfn.XLOOKUP(D48,RUC!$B$3:$B$123,RUC!$D$3:$D$123)</f>
        <v>20614284740</v>
      </c>
      <c r="G48" s="1082">
        <v>116</v>
      </c>
      <c r="H48" s="762" t="s">
        <v>69</v>
      </c>
      <c r="I48" s="703">
        <v>7.97</v>
      </c>
      <c r="J48" s="596">
        <v>1.4</v>
      </c>
      <c r="K48" s="703">
        <f t="shared" si="35"/>
        <v>7.8579999999999997</v>
      </c>
      <c r="L48" s="1192">
        <v>0.18099999999999999</v>
      </c>
      <c r="M48" s="994">
        <v>0.109</v>
      </c>
      <c r="N48" s="1196">
        <f t="shared" si="63"/>
        <v>0.109</v>
      </c>
      <c r="O48" s="1651">
        <v>0.21199999999999999</v>
      </c>
      <c r="P48" s="727">
        <v>90</v>
      </c>
      <c r="Q48" s="1476">
        <v>97.44</v>
      </c>
      <c r="R48" s="706">
        <v>4493.8500000000004</v>
      </c>
      <c r="S48" s="765">
        <f>IF((_xlfn.XLOOKUP(D48,RUC!$B$3:$B$119,RUC!$E$3:$E$119)+ROUNDDOWN(O48,1)*100)&lt;95,95,((_xlfn.XLOOKUP(D48,RUC!$B$3:$B$119,RUC!$E$3:$E$119)+ROUNDDOWN(O48,1)*100)))</f>
        <v>110</v>
      </c>
      <c r="U48" s="1146">
        <f>_xlfn.XLOOKUP(D48,RUC!$B$3:$B$123,RUC!$F$3:$F$123)</f>
        <v>120</v>
      </c>
      <c r="V48" s="715">
        <v>1.1023000000000001</v>
      </c>
      <c r="Y48" s="1445">
        <v>30</v>
      </c>
      <c r="Z48" s="143">
        <f>_xlfn.XLOOKUP(D48,RUC!$B$3:$B$123,RUC!$H$3:$H$123)</f>
        <v>30</v>
      </c>
      <c r="AA48" s="144">
        <f t="shared" si="53"/>
        <v>60</v>
      </c>
      <c r="AB48" s="145">
        <f t="shared" si="54"/>
        <v>732.51205833400013</v>
      </c>
      <c r="AC48" s="145">
        <f>+(S48-T48)*V48-'data 1'!$F$4</f>
        <v>41.253</v>
      </c>
      <c r="AD48" s="145">
        <f t="shared" si="55"/>
        <v>64.925485035371992</v>
      </c>
      <c r="AE48" s="145">
        <f t="shared" si="56"/>
        <v>-3.8619999999999948</v>
      </c>
      <c r="AF48" s="145">
        <f t="shared" si="57"/>
        <v>-145.63396090807203</v>
      </c>
      <c r="AG48" s="772">
        <f>AC48+AD48+AE48+AF48+70-53</f>
        <v>-26.31747587270003</v>
      </c>
      <c r="AH48" s="1253">
        <f t="shared" si="45"/>
        <v>47.515999999999998</v>
      </c>
      <c r="AI48" s="1253">
        <f t="shared" si="59"/>
        <v>48.764000000000003</v>
      </c>
      <c r="AJ48" s="156">
        <f t="shared" si="60"/>
        <v>121.72899668512792</v>
      </c>
      <c r="AK48" s="156">
        <f t="shared" si="61"/>
        <v>51.40430172984852</v>
      </c>
      <c r="AM48" s="716">
        <f t="shared" si="62"/>
        <v>5756.0797543885728</v>
      </c>
      <c r="AN48" s="716" t="str">
        <f>_xlfn.XLOOKUP(D48,RUC!$B$3:$B$578,RUC!$M$3:$M$578)</f>
        <v xml:space="preserve">Dante </v>
      </c>
      <c r="AO48" s="1167" t="s">
        <v>2280</v>
      </c>
      <c r="AP48" t="s">
        <v>3480</v>
      </c>
      <c r="AQ48" t="s">
        <v>4323</v>
      </c>
      <c r="AR48" s="1652" t="s">
        <v>4522</v>
      </c>
    </row>
    <row r="49" spans="1:43" ht="15" customHeight="1">
      <c r="A49" s="1491" t="s">
        <v>4285</v>
      </c>
      <c r="C49" s="1447">
        <v>46031</v>
      </c>
      <c r="D49" t="s">
        <v>4171</v>
      </c>
      <c r="E49" s="762">
        <f>_xlfn.XLOOKUP(D49,RUC!$B$3:$B$123,RUC!$D$3:$D$123)</f>
        <v>20614284740</v>
      </c>
      <c r="G49" s="1082">
        <v>29</v>
      </c>
      <c r="H49" s="762" t="s">
        <v>69</v>
      </c>
      <c r="I49" s="703">
        <v>2.2599999999999998</v>
      </c>
      <c r="J49" s="596">
        <v>1.5</v>
      </c>
      <c r="K49" s="703">
        <f t="shared" si="35"/>
        <v>2.226</v>
      </c>
      <c r="L49" s="1192">
        <v>0.113</v>
      </c>
      <c r="M49" s="994">
        <f t="shared" ref="M49:M102" si="64">ROUND(+IF(AN49="Melchor Vera",IF(L49&gt;0.467,L49*0.985,(L49-0.007)),IF(L49&gt;0.3,L49*0.94,(L49-0.019))),3)</f>
        <v>9.4E-2</v>
      </c>
      <c r="N49" s="1196">
        <f t="shared" si="63"/>
        <v>9.4E-2</v>
      </c>
      <c r="O49" s="645">
        <f t="shared" ref="O49:O58" si="65">+ROUND((M49+N49)/2,3)</f>
        <v>9.4E-2</v>
      </c>
      <c r="P49" s="727">
        <v>90</v>
      </c>
      <c r="Q49" s="1476">
        <v>98.21</v>
      </c>
      <c r="R49" s="706">
        <v>4493.8500000000004</v>
      </c>
      <c r="S49" s="765">
        <f>IF((_xlfn.XLOOKUP(D49,RUC!$B$3:$B$119,RUC!$E$3:$E$119)+ROUNDDOWN(O49,1)*100)&lt;95,95,((_xlfn.XLOOKUP(D49,RUC!$B$3:$B$119,RUC!$E$3:$E$119)+ROUNDDOWN(O49,1)*100)))</f>
        <v>95</v>
      </c>
      <c r="U49" s="1146">
        <f>_xlfn.XLOOKUP(D49,RUC!$B$3:$B$123,RUC!$F$3:$F$123)</f>
        <v>120</v>
      </c>
      <c r="V49" s="715">
        <v>1.1023000000000001</v>
      </c>
      <c r="Y49">
        <f>_xlfn.XLOOKUP(D49,RUC!$B$3:$B$123,RUC!$G$3:$G$123)</f>
        <v>20</v>
      </c>
      <c r="Z49" s="143">
        <f>_xlfn.XLOOKUP(D49,RUC!$B$3:$B$123,RUC!$H$3:$H$123)</f>
        <v>30</v>
      </c>
      <c r="AA49" s="144">
        <f t="shared" si="53"/>
        <v>50</v>
      </c>
      <c r="AB49" s="145">
        <f t="shared" si="54"/>
        <v>248.0480447330001</v>
      </c>
      <c r="AC49" s="145">
        <f>+(S49-T49)*V49-'data 1'!$F$4</f>
        <v>24.718500000000006</v>
      </c>
      <c r="AD49" s="145">
        <f t="shared" si="55"/>
        <v>44.728598758291476</v>
      </c>
      <c r="AE49" s="145">
        <f t="shared" si="56"/>
        <v>-14.884999999999998</v>
      </c>
      <c r="AF49" s="145">
        <f t="shared" si="57"/>
        <v>89.96487986481452</v>
      </c>
      <c r="AG49" s="772">
        <f t="shared" ref="AG49" si="66">AC49+AD49+AE49+AF49+70</f>
        <v>214.526978623106</v>
      </c>
      <c r="AH49" s="1253">
        <f t="shared" si="45"/>
        <v>8.4700000000000006</v>
      </c>
      <c r="AI49" s="1253">
        <f t="shared" si="59"/>
        <v>8.6240000000000006</v>
      </c>
      <c r="AJ49" s="156">
        <f t="shared" si="60"/>
        <v>76.597103438208464</v>
      </c>
      <c r="AK49" s="156">
        <f t="shared" si="61"/>
        <v>6.4566105634207807</v>
      </c>
      <c r="AM49" s="716">
        <f t="shared" si="62"/>
        <v>552.15494757565818</v>
      </c>
      <c r="AN49" s="716" t="str">
        <f>_xlfn.XLOOKUP(D49,RUC!$B$3:$B$578,RUC!$M$3:$M$578)</f>
        <v xml:space="preserve">Dante </v>
      </c>
      <c r="AO49" s="1167" t="s">
        <v>2278</v>
      </c>
      <c r="AP49" t="s">
        <v>3480</v>
      </c>
      <c r="AQ49" t="s">
        <v>4323</v>
      </c>
    </row>
    <row r="50" spans="1:43" ht="15" customHeight="1">
      <c r="A50" s="747" t="s">
        <v>4303</v>
      </c>
      <c r="B50" s="1447">
        <v>46041</v>
      </c>
      <c r="C50" s="1447">
        <v>46032</v>
      </c>
      <c r="D50" t="s">
        <v>4315</v>
      </c>
      <c r="E50" s="762">
        <f>_xlfn.XLOOKUP(D50,RUC!$B$3:$B$123,RUC!$D$3:$D$123)</f>
        <v>20614031698</v>
      </c>
      <c r="G50" s="1082">
        <v>17</v>
      </c>
      <c r="H50" s="762" t="s">
        <v>69</v>
      </c>
      <c r="I50" s="703">
        <v>1.78</v>
      </c>
      <c r="J50" s="596">
        <v>2.5</v>
      </c>
      <c r="K50" s="703">
        <f t="shared" si="35"/>
        <v>1.736</v>
      </c>
      <c r="L50" s="1192">
        <v>0.17</v>
      </c>
      <c r="M50" s="994">
        <f t="shared" si="64"/>
        <v>0.151</v>
      </c>
      <c r="N50" s="1196">
        <f t="shared" si="63"/>
        <v>0.151</v>
      </c>
      <c r="O50" s="645">
        <f t="shared" si="65"/>
        <v>0.151</v>
      </c>
      <c r="P50" s="727">
        <v>85</v>
      </c>
      <c r="Q50" s="1476">
        <v>96.47</v>
      </c>
      <c r="R50" s="706">
        <v>4493.8500000000004</v>
      </c>
      <c r="S50" s="765">
        <f>IF((_xlfn.XLOOKUP(D50,RUC!$B$3:$B$119,RUC!$E$3:$E$119)+ROUNDDOWN(O50,1)*100)&lt;95,95,((_xlfn.XLOOKUP(D50,RUC!$B$3:$B$119,RUC!$E$3:$E$119)+ROUNDDOWN(O50,1)*100)))</f>
        <v>95</v>
      </c>
      <c r="U50" s="1146">
        <f>_xlfn.XLOOKUP(D50,RUC!$B$3:$B$123,RUC!$F$3:$F$123)</f>
        <v>110</v>
      </c>
      <c r="V50" s="715">
        <v>1.1023000000000001</v>
      </c>
      <c r="Y50">
        <f>_xlfn.XLOOKUP(D50,RUC!$B$3:$B$123,RUC!$G$3:$G$123)</f>
        <v>0</v>
      </c>
      <c r="Z50" s="143">
        <f>_xlfn.XLOOKUP(D50,RUC!$B$3:$B$123,RUC!$H$3:$H$123)</f>
        <v>35</v>
      </c>
      <c r="AA50" s="144">
        <f t="shared" si="53"/>
        <v>35</v>
      </c>
      <c r="AB50" s="145">
        <f t="shared" si="54"/>
        <v>476.92899668924997</v>
      </c>
      <c r="AC50" s="145">
        <f>+(S50-T50)*V50-'data 1'!$F$4</f>
        <v>24.718500000000006</v>
      </c>
      <c r="AD50" s="145">
        <f t="shared" si="55"/>
        <v>94.225365854645005</v>
      </c>
      <c r="AE50" s="145">
        <f t="shared" si="56"/>
        <v>-31.419499999999999</v>
      </c>
      <c r="AF50" s="145">
        <f t="shared" si="57"/>
        <v>88.57300365965159</v>
      </c>
      <c r="AG50" s="772">
        <f t="shared" ref="AG50:AG54" si="67">AC50+AD50+AE50+AF50+70</f>
        <v>246.09736951429659</v>
      </c>
      <c r="AH50" s="1253">
        <f t="shared" si="45"/>
        <v>9.7609999999999992</v>
      </c>
      <c r="AI50" s="1253">
        <f t="shared" si="59"/>
        <v>10.118</v>
      </c>
      <c r="AJ50" s="156">
        <f t="shared" si="60"/>
        <v>111.38519259785495</v>
      </c>
      <c r="AK50" s="156">
        <f t="shared" si="61"/>
        <v>7.6393193095935805</v>
      </c>
      <c r="AM50" s="716">
        <f t="shared" si="62"/>
        <v>827.94873825253796</v>
      </c>
      <c r="AN50" s="716" t="str">
        <f>_xlfn.XLOOKUP(D50,RUC!$B$3:$B$578,RUC!$M$3:$M$578)</f>
        <v>Robinson Tuya</v>
      </c>
      <c r="AO50" s="1167" t="s">
        <v>2278</v>
      </c>
      <c r="AP50" t="s">
        <v>4327</v>
      </c>
      <c r="AQ50" t="s">
        <v>4328</v>
      </c>
    </row>
    <row r="51" spans="1:43" ht="15" customHeight="1">
      <c r="A51" s="747" t="s">
        <v>4304</v>
      </c>
      <c r="B51" s="1447">
        <v>46041</v>
      </c>
      <c r="C51" s="1447">
        <v>46032</v>
      </c>
      <c r="D51" t="s">
        <v>4315</v>
      </c>
      <c r="E51" s="762">
        <f>_xlfn.XLOOKUP(D51,RUC!$B$3:$B$123,RUC!$D$3:$D$123)</f>
        <v>20614031698</v>
      </c>
      <c r="G51" s="1082">
        <v>21</v>
      </c>
      <c r="H51" s="762" t="s">
        <v>69</v>
      </c>
      <c r="I51" s="703">
        <v>2.3199999999999998</v>
      </c>
      <c r="J51" s="596">
        <v>2.7</v>
      </c>
      <c r="K51" s="703">
        <f t="shared" si="35"/>
        <v>2.2570000000000001</v>
      </c>
      <c r="L51" s="1192">
        <v>0.13400000000000001</v>
      </c>
      <c r="M51" s="994">
        <f t="shared" si="64"/>
        <v>0.115</v>
      </c>
      <c r="N51" s="1196">
        <f t="shared" si="63"/>
        <v>0.115</v>
      </c>
      <c r="O51" s="645">
        <f t="shared" si="65"/>
        <v>0.115</v>
      </c>
      <c r="P51" s="727">
        <v>80</v>
      </c>
      <c r="Q51" s="1476">
        <v>95.52</v>
      </c>
      <c r="R51" s="706">
        <v>4493.8500000000004</v>
      </c>
      <c r="S51" s="765">
        <f>IF((_xlfn.XLOOKUP(D51,RUC!$B$3:$B$119,RUC!$E$3:$E$119)+ROUNDDOWN(O51,1)*100)&lt;95,95,((_xlfn.XLOOKUP(D51,RUC!$B$3:$B$119,RUC!$E$3:$E$119)+ROUNDDOWN(O51,1)*100)))</f>
        <v>95</v>
      </c>
      <c r="U51" s="1146">
        <f>_xlfn.XLOOKUP(D51,RUC!$B$3:$B$123,RUC!$F$3:$F$123)</f>
        <v>110</v>
      </c>
      <c r="V51" s="715">
        <v>1.1023000000000001</v>
      </c>
      <c r="Y51">
        <f>_xlfn.XLOOKUP(D51,RUC!$B$3:$B$123,RUC!$G$3:$G$123)</f>
        <v>0</v>
      </c>
      <c r="Z51" s="143">
        <f>_xlfn.XLOOKUP(D51,RUC!$B$3:$B$123,RUC!$H$3:$H$123)</f>
        <v>35</v>
      </c>
      <c r="AA51" s="144">
        <f t="shared" si="53"/>
        <v>35</v>
      </c>
      <c r="AB51" s="145">
        <f t="shared" si="54"/>
        <v>301.27424266000003</v>
      </c>
      <c r="AC51" s="145">
        <f>+(S51-T51)*V51-'data 1'!$F$4</f>
        <v>24.718500000000006</v>
      </c>
      <c r="AD51" s="145">
        <f t="shared" si="55"/>
        <v>100.49674796686399</v>
      </c>
      <c r="AE51" s="145">
        <f t="shared" si="56"/>
        <v>-31.419499999999999</v>
      </c>
      <c r="AF51" s="145">
        <f t="shared" si="57"/>
        <v>87.700770286824024</v>
      </c>
      <c r="AG51" s="772">
        <f t="shared" si="67"/>
        <v>251.49651825368801</v>
      </c>
      <c r="AH51" s="1253">
        <f t="shared" si="45"/>
        <v>9.9049999999999994</v>
      </c>
      <c r="AI51" s="1253">
        <f t="shared" si="59"/>
        <v>10.369</v>
      </c>
      <c r="AJ51" s="156">
        <f t="shared" si="60"/>
        <v>86.933141177135951</v>
      </c>
      <c r="AK51" s="156">
        <f t="shared" si="61"/>
        <v>7.1191551162542011</v>
      </c>
      <c r="AM51" s="716">
        <f t="shared" si="62"/>
        <v>679.97596568362007</v>
      </c>
      <c r="AN51" s="716" t="str">
        <f>_xlfn.XLOOKUP(D51,RUC!$B$3:$B$578,RUC!$M$3:$M$578)</f>
        <v>Robinson Tuya</v>
      </c>
      <c r="AO51" s="1167" t="s">
        <v>2278</v>
      </c>
      <c r="AP51" t="s">
        <v>4327</v>
      </c>
      <c r="AQ51" t="s">
        <v>4328</v>
      </c>
    </row>
    <row r="52" spans="1:43" ht="15" customHeight="1">
      <c r="A52" s="747" t="s">
        <v>4305</v>
      </c>
      <c r="B52" s="1447">
        <v>46041</v>
      </c>
      <c r="C52" s="1447">
        <v>46032</v>
      </c>
      <c r="D52" t="s">
        <v>4315</v>
      </c>
      <c r="E52" s="762">
        <f>_xlfn.XLOOKUP(D52,RUC!$B$3:$B$123,RUC!$D$3:$D$123)</f>
        <v>20614031698</v>
      </c>
      <c r="G52" s="1082">
        <v>19</v>
      </c>
      <c r="H52" s="762" t="s">
        <v>69</v>
      </c>
      <c r="I52" s="703">
        <v>1.93</v>
      </c>
      <c r="J52" s="596">
        <v>2.5</v>
      </c>
      <c r="K52" s="703">
        <f t="shared" si="35"/>
        <v>1.8819999999999999</v>
      </c>
      <c r="L52" s="1192">
        <v>0.125</v>
      </c>
      <c r="M52" s="994">
        <f t="shared" si="64"/>
        <v>0.106</v>
      </c>
      <c r="N52" s="1196">
        <f t="shared" si="63"/>
        <v>0.106</v>
      </c>
      <c r="O52" s="645">
        <f t="shared" si="65"/>
        <v>0.106</v>
      </c>
      <c r="P52" s="727">
        <v>80</v>
      </c>
      <c r="Q52" s="1476">
        <v>99.2</v>
      </c>
      <c r="R52" s="706">
        <v>4493.8500000000004</v>
      </c>
      <c r="S52" s="765">
        <f>IF((_xlfn.XLOOKUP(D52,RUC!$B$3:$B$119,RUC!$E$3:$E$119)+ROUNDDOWN(O52,1)*100)&lt;95,95,((_xlfn.XLOOKUP(D52,RUC!$B$3:$B$119,RUC!$E$3:$E$119)+ROUNDDOWN(O52,1)*100)))</f>
        <v>95</v>
      </c>
      <c r="U52" s="1146">
        <f>_xlfn.XLOOKUP(D52,RUC!$B$3:$B$123,RUC!$F$3:$F$123)</f>
        <v>110</v>
      </c>
      <c r="V52" s="715">
        <v>1.1023000000000001</v>
      </c>
      <c r="Y52">
        <f>_xlfn.XLOOKUP(D52,RUC!$B$3:$B$123,RUC!$G$3:$G$123)</f>
        <v>0</v>
      </c>
      <c r="Z52" s="143">
        <f>_xlfn.XLOOKUP(D52,RUC!$B$3:$B$123,RUC!$H$3:$H$123)</f>
        <v>35</v>
      </c>
      <c r="AA52" s="144">
        <f t="shared" si="53"/>
        <v>35</v>
      </c>
      <c r="AB52" s="145">
        <f t="shared" si="54"/>
        <v>266.48155410400005</v>
      </c>
      <c r="AC52" s="145">
        <f>+(S52-T52)*V52-'data 1'!$F$4</f>
        <v>24.718500000000006</v>
      </c>
      <c r="AD52" s="145">
        <f t="shared" si="55"/>
        <v>115.97562852000003</v>
      </c>
      <c r="AE52" s="145">
        <f t="shared" si="56"/>
        <v>-31.419499999999999</v>
      </c>
      <c r="AF52" s="145">
        <f t="shared" si="57"/>
        <v>91.079526931040036</v>
      </c>
      <c r="AG52" s="772">
        <f t="shared" si="67"/>
        <v>270.35415545104007</v>
      </c>
      <c r="AH52" s="1253">
        <f t="shared" si="45"/>
        <v>8.0009999999999994</v>
      </c>
      <c r="AI52" s="1253">
        <f t="shared" si="59"/>
        <v>8.0660000000000007</v>
      </c>
      <c r="AJ52" s="156">
        <f t="shared" si="60"/>
        <v>84.218585979999958</v>
      </c>
      <c r="AK52" s="156">
        <f t="shared" si="61"/>
        <v>5.47172850629648</v>
      </c>
      <c r="AM52" s="716">
        <f t="shared" si="62"/>
        <v>501.5182848237281</v>
      </c>
      <c r="AN52" s="716" t="str">
        <f>_xlfn.XLOOKUP(D52,RUC!$B$3:$B$578,RUC!$M$3:$M$578)</f>
        <v>Robinson Tuya</v>
      </c>
      <c r="AO52" s="1167" t="s">
        <v>2278</v>
      </c>
      <c r="AP52" t="s">
        <v>4327</v>
      </c>
      <c r="AQ52" t="s">
        <v>4328</v>
      </c>
    </row>
    <row r="53" spans="1:43" ht="15" customHeight="1">
      <c r="A53" s="747" t="s">
        <v>4306</v>
      </c>
      <c r="B53" s="1447">
        <v>46041</v>
      </c>
      <c r="C53" s="1447">
        <v>46032</v>
      </c>
      <c r="D53" t="s">
        <v>4315</v>
      </c>
      <c r="E53" s="762">
        <f>_xlfn.XLOOKUP(D53,RUC!$B$3:$B$123,RUC!$D$3:$D$123)</f>
        <v>20614031698</v>
      </c>
      <c r="G53" s="1082">
        <v>23</v>
      </c>
      <c r="H53" s="762" t="s">
        <v>69</v>
      </c>
      <c r="I53" s="703">
        <v>2.4</v>
      </c>
      <c r="J53" s="596">
        <v>28.59</v>
      </c>
      <c r="K53" s="703">
        <f t="shared" si="35"/>
        <v>1.714</v>
      </c>
      <c r="L53" s="1192">
        <v>0.27100000000000002</v>
      </c>
      <c r="M53" s="994">
        <f t="shared" si="64"/>
        <v>0.252</v>
      </c>
      <c r="N53" s="1196">
        <f t="shared" si="63"/>
        <v>0.252</v>
      </c>
      <c r="O53" s="645">
        <f t="shared" si="65"/>
        <v>0.252</v>
      </c>
      <c r="P53" s="727">
        <v>90</v>
      </c>
      <c r="Q53" s="1476">
        <v>95.2</v>
      </c>
      <c r="R53" s="706">
        <v>4493.8500000000004</v>
      </c>
      <c r="S53" s="765">
        <f>IF((_xlfn.XLOOKUP(D53,RUC!$B$3:$B$119,RUC!$E$3:$E$119)+ROUNDDOWN(O53,1)*100)&lt;95,95,((_xlfn.XLOOKUP(D53,RUC!$B$3:$B$119,RUC!$E$3:$E$119)+ROUNDDOWN(O53,1)*100)))</f>
        <v>100</v>
      </c>
      <c r="U53" s="1146">
        <f>_xlfn.XLOOKUP(D53,RUC!$B$3:$B$123,RUC!$F$3:$F$123)</f>
        <v>110</v>
      </c>
      <c r="V53" s="715">
        <v>1.1023000000000001</v>
      </c>
      <c r="Y53">
        <f>_xlfn.XLOOKUP(D53,RUC!$B$3:$B$123,RUC!$G$3:$G$123)</f>
        <v>0</v>
      </c>
      <c r="Z53" s="143">
        <f>_xlfn.XLOOKUP(D53,RUC!$B$3:$B$123,RUC!$H$3:$H$123)</f>
        <v>35</v>
      </c>
      <c r="AA53" s="144">
        <f t="shared" si="53"/>
        <v>35</v>
      </c>
      <c r="AB53" s="145">
        <f t="shared" si="54"/>
        <v>947.1591895140001</v>
      </c>
      <c r="AC53" s="145">
        <f>+(S53-T53)*V53-'data 1'!$F$4</f>
        <v>30.230000000000004</v>
      </c>
      <c r="AD53" s="145">
        <f t="shared" si="55"/>
        <v>68.097023212660048</v>
      </c>
      <c r="AE53" s="145">
        <f t="shared" si="56"/>
        <v>-31.419499999999999</v>
      </c>
      <c r="AF53" s="145">
        <f t="shared" si="57"/>
        <v>87.406965361240097</v>
      </c>
      <c r="AG53" s="772">
        <f t="shared" si="67"/>
        <v>224.31448857390015</v>
      </c>
      <c r="AH53" s="1253">
        <f t="shared" si="45"/>
        <v>15.161</v>
      </c>
      <c r="AI53" s="1253">
        <f t="shared" si="59"/>
        <v>15.925000000000001</v>
      </c>
      <c r="AJ53" s="156">
        <f t="shared" si="60"/>
        <v>175.22355995283993</v>
      </c>
      <c r="AK53" s="156">
        <f t="shared" si="61"/>
        <v>13.327937180694359</v>
      </c>
      <c r="AM53" s="716">
        <f t="shared" si="62"/>
        <v>1623.4308508269962</v>
      </c>
      <c r="AN53" s="716" t="str">
        <f>_xlfn.XLOOKUP(D53,RUC!$B$3:$B$578,RUC!$M$3:$M$578)</f>
        <v>Robinson Tuya</v>
      </c>
      <c r="AO53" s="1167" t="s">
        <v>2278</v>
      </c>
      <c r="AP53" t="s">
        <v>4327</v>
      </c>
      <c r="AQ53" t="s">
        <v>4328</v>
      </c>
    </row>
    <row r="54" spans="1:43" ht="15" customHeight="1">
      <c r="A54" s="747" t="s">
        <v>4307</v>
      </c>
      <c r="B54" s="1447">
        <v>46041</v>
      </c>
      <c r="C54" s="1447">
        <v>46032</v>
      </c>
      <c r="D54" t="s">
        <v>4315</v>
      </c>
      <c r="E54" s="762">
        <f>_xlfn.XLOOKUP(D54,RUC!$B$3:$B$123,RUC!$D$3:$D$123)</f>
        <v>20614031698</v>
      </c>
      <c r="G54" s="1082">
        <v>24</v>
      </c>
      <c r="H54" s="762" t="s">
        <v>69</v>
      </c>
      <c r="I54" s="703">
        <v>2.63</v>
      </c>
      <c r="J54" s="596">
        <v>3.2</v>
      </c>
      <c r="K54" s="703">
        <f t="shared" si="35"/>
        <v>2.5459999999999998</v>
      </c>
      <c r="L54" s="1192">
        <v>0.218</v>
      </c>
      <c r="M54" s="994">
        <f t="shared" si="64"/>
        <v>0.19900000000000001</v>
      </c>
      <c r="N54" s="1196">
        <f t="shared" si="63"/>
        <v>0.19900000000000001</v>
      </c>
      <c r="O54" s="645">
        <f t="shared" si="65"/>
        <v>0.19900000000000001</v>
      </c>
      <c r="P54" s="727">
        <v>85</v>
      </c>
      <c r="Q54" s="1476">
        <v>94.5</v>
      </c>
      <c r="R54" s="706">
        <v>4493.8500000000004</v>
      </c>
      <c r="S54" s="765">
        <f>IF((_xlfn.XLOOKUP(D54,RUC!$B$3:$B$119,RUC!$E$3:$E$119)+ROUNDDOWN(O54,1)*100)&lt;95,95,((_xlfn.XLOOKUP(D54,RUC!$B$3:$B$119,RUC!$E$3:$E$119)+ROUNDDOWN(O54,1)*100)))</f>
        <v>95</v>
      </c>
      <c r="U54" s="1146">
        <f>_xlfn.XLOOKUP(D54,RUC!$B$3:$B$123,RUC!$F$3:$F$123)</f>
        <v>110</v>
      </c>
      <c r="V54" s="715">
        <v>1.1023000000000001</v>
      </c>
      <c r="Y54">
        <f>_xlfn.XLOOKUP(D54,RUC!$B$3:$B$123,RUC!$G$3:$G$123)</f>
        <v>0</v>
      </c>
      <c r="Z54" s="143">
        <f>_xlfn.XLOOKUP(D54,RUC!$B$3:$B$123,RUC!$H$3:$H$123)</f>
        <v>35</v>
      </c>
      <c r="AA54" s="144">
        <f t="shared" si="53"/>
        <v>35</v>
      </c>
      <c r="AB54" s="145">
        <f t="shared" si="54"/>
        <v>674.08756517325014</v>
      </c>
      <c r="AC54" s="145">
        <f>+(S54-T54)*V54-'data 1'!$F$4</f>
        <v>24.718500000000006</v>
      </c>
      <c r="AD54" s="145">
        <f t="shared" si="55"/>
        <v>100.07730277705002</v>
      </c>
      <c r="AE54" s="145">
        <f t="shared" si="56"/>
        <v>-31.419499999999999</v>
      </c>
      <c r="AF54" s="145">
        <f t="shared" si="57"/>
        <v>86.764267086524967</v>
      </c>
      <c r="AG54" s="772">
        <f t="shared" si="67"/>
        <v>250.140569863575</v>
      </c>
      <c r="AH54" s="1253">
        <f t="shared" si="45"/>
        <v>17.983000000000001</v>
      </c>
      <c r="AI54" s="1253">
        <f t="shared" si="59"/>
        <v>19.029</v>
      </c>
      <c r="AJ54" s="156">
        <f t="shared" si="60"/>
        <v>139.91831369144992</v>
      </c>
      <c r="AK54" s="156">
        <f t="shared" si="61"/>
        <v>14.765204647521996</v>
      </c>
      <c r="AM54" s="716">
        <f t="shared" si="62"/>
        <v>1716.2269409310948</v>
      </c>
      <c r="AN54" s="716" t="str">
        <f>_xlfn.XLOOKUP(D54,RUC!$B$3:$B$578,RUC!$M$3:$M$578)</f>
        <v>Robinson Tuya</v>
      </c>
      <c r="AO54" s="1167" t="s">
        <v>2278</v>
      </c>
      <c r="AP54" t="s">
        <v>4327</v>
      </c>
      <c r="AQ54" t="s">
        <v>4328</v>
      </c>
    </row>
    <row r="55" spans="1:43" ht="15" customHeight="1">
      <c r="A55" s="747" t="s">
        <v>4339</v>
      </c>
      <c r="B55" s="1447">
        <v>46043</v>
      </c>
      <c r="C55" s="1447">
        <v>46033</v>
      </c>
      <c r="D55" t="s">
        <v>1967</v>
      </c>
      <c r="E55" s="762">
        <f>_xlfn.XLOOKUP(D55,RUC!$B$3:$B$123,RUC!$D$3:$D$123)</f>
        <v>20601769396</v>
      </c>
      <c r="G55" s="1082">
        <v>37</v>
      </c>
      <c r="H55" s="762" t="s">
        <v>108</v>
      </c>
      <c r="I55" s="703">
        <v>3.2</v>
      </c>
      <c r="J55" s="596">
        <v>17.2</v>
      </c>
      <c r="K55" s="703">
        <f t="shared" si="35"/>
        <v>2.65</v>
      </c>
      <c r="L55" s="1192">
        <v>0.253</v>
      </c>
      <c r="M55" s="994">
        <f t="shared" si="64"/>
        <v>0.23400000000000001</v>
      </c>
      <c r="N55" s="1196">
        <f t="shared" si="63"/>
        <v>0.23400000000000001</v>
      </c>
      <c r="O55" s="645">
        <f t="shared" si="65"/>
        <v>0.23400000000000001</v>
      </c>
      <c r="P55" s="727">
        <v>88</v>
      </c>
      <c r="Q55" s="1476">
        <v>97.23</v>
      </c>
      <c r="R55" s="706">
        <v>4612.95</v>
      </c>
      <c r="S55" s="765">
        <f>IF((_xlfn.XLOOKUP(D55,RUC!$B$3:$B$119,RUC!$E$3:$E$119)+ROUNDDOWN(O55,1)*100)&lt;95,95,((_xlfn.XLOOKUP(D55,RUC!$B$3:$B$119,RUC!$E$3:$E$119)+ROUNDDOWN(O55,1)*100)))</f>
        <v>110</v>
      </c>
      <c r="U55" s="1146">
        <f>_xlfn.XLOOKUP(D55,RUC!$B$3:$B$123,RUC!$F$3:$F$123)</f>
        <v>120</v>
      </c>
      <c r="V55" s="715">
        <v>1.1023000000000001</v>
      </c>
      <c r="Y55" s="1034">
        <v>30</v>
      </c>
      <c r="Z55" s="709">
        <v>40</v>
      </c>
      <c r="AA55" s="144">
        <f t="shared" si="53"/>
        <v>70</v>
      </c>
      <c r="AB55" s="145">
        <f t="shared" si="54"/>
        <v>821.4210234072001</v>
      </c>
      <c r="AC55" s="145">
        <f>+(S55-T55)*V55-'data 1'!$F$4</f>
        <v>41.253</v>
      </c>
      <c r="AD55" s="145">
        <f t="shared" si="55"/>
        <v>115.65212452944155</v>
      </c>
      <c r="AE55" s="145">
        <f t="shared" si="56"/>
        <v>7.1610000000000014</v>
      </c>
      <c r="AF55" s="145">
        <f t="shared" si="57"/>
        <v>91.492454700454459</v>
      </c>
      <c r="AG55" s="772">
        <f t="shared" ref="AG55:AG58" si="68">AC55+AD55+AE55+AF55+70-53</f>
        <v>272.558579229896</v>
      </c>
      <c r="AH55" s="1253">
        <f t="shared" si="45"/>
        <v>22.35</v>
      </c>
      <c r="AI55" s="1253">
        <f t="shared" si="59"/>
        <v>22.986999999999998</v>
      </c>
      <c r="AJ55" s="156">
        <f t="shared" si="60"/>
        <v>137.49009162815858</v>
      </c>
      <c r="AK55" s="156">
        <f t="shared" si="61"/>
        <v>18.709124834228401</v>
      </c>
      <c r="AM55" s="716">
        <f t="shared" si="62"/>
        <v>2176.7657120290801</v>
      </c>
      <c r="AN55" s="716" t="str">
        <f>_xlfn.XLOOKUP(D55,RUC!$B$3:$B$578,RUC!$M$3:$M$578)</f>
        <v>Evelyn</v>
      </c>
      <c r="AO55" s="1167" t="s">
        <v>2278</v>
      </c>
      <c r="AP55" t="s">
        <v>4357</v>
      </c>
      <c r="AQ55" t="s">
        <v>4358</v>
      </c>
    </row>
    <row r="56" spans="1:43" ht="15" customHeight="1">
      <c r="A56" s="747" t="s">
        <v>4340</v>
      </c>
      <c r="B56" s="1447">
        <v>46043</v>
      </c>
      <c r="C56" s="1447">
        <v>46033</v>
      </c>
      <c r="D56" t="s">
        <v>1967</v>
      </c>
      <c r="E56" s="762">
        <f>_xlfn.XLOOKUP(D56,RUC!$B$3:$B$123,RUC!$D$3:$D$123)</f>
        <v>20601769396</v>
      </c>
      <c r="G56" s="1082">
        <v>38</v>
      </c>
      <c r="H56" s="762" t="s">
        <v>108</v>
      </c>
      <c r="I56" s="703">
        <v>3.1</v>
      </c>
      <c r="J56" s="596">
        <v>19.899999999999999</v>
      </c>
      <c r="K56" s="703">
        <f t="shared" si="35"/>
        <v>2.4830000000000001</v>
      </c>
      <c r="L56" s="1192">
        <v>0.24299999999999999</v>
      </c>
      <c r="M56" s="994">
        <f t="shared" si="64"/>
        <v>0.224</v>
      </c>
      <c r="N56" s="1196">
        <f t="shared" si="63"/>
        <v>0.224</v>
      </c>
      <c r="O56" s="645">
        <f t="shared" si="65"/>
        <v>0.224</v>
      </c>
      <c r="P56" s="727">
        <v>88</v>
      </c>
      <c r="Q56" s="1476">
        <v>97.53</v>
      </c>
      <c r="R56" s="706">
        <v>4612.95</v>
      </c>
      <c r="S56" s="765">
        <f>IF((_xlfn.XLOOKUP(D56,RUC!$B$3:$B$119,RUC!$E$3:$E$119)+ROUNDDOWN(O56,1)*100)&lt;95,95,((_xlfn.XLOOKUP(D56,RUC!$B$3:$B$119,RUC!$E$3:$E$119)+ROUNDDOWN(O56,1)*100)))</f>
        <v>110</v>
      </c>
      <c r="U56" s="1146">
        <f>_xlfn.XLOOKUP(D56,RUC!$B$3:$B$123,RUC!$F$3:$F$123)</f>
        <v>120</v>
      </c>
      <c r="V56" s="715">
        <v>1.1023000000000001</v>
      </c>
      <c r="Y56" s="1034">
        <v>30</v>
      </c>
      <c r="Z56" s="709">
        <v>40</v>
      </c>
      <c r="AA56" s="144">
        <f t="shared" si="53"/>
        <v>70</v>
      </c>
      <c r="AB56" s="145">
        <f t="shared" si="54"/>
        <v>777.83833009919988</v>
      </c>
      <c r="AC56" s="145">
        <f>+(S56-T56)*V56-'data 1'!$F$4</f>
        <v>41.253</v>
      </c>
      <c r="AD56" s="145">
        <f t="shared" si="55"/>
        <v>114.69132424515152</v>
      </c>
      <c r="AE56" s="145">
        <f t="shared" si="56"/>
        <v>7.1610000000000014</v>
      </c>
      <c r="AF56" s="145">
        <f t="shared" si="57"/>
        <v>91.774751691199455</v>
      </c>
      <c r="AG56" s="772">
        <f t="shared" si="68"/>
        <v>271.88007593635098</v>
      </c>
      <c r="AH56" s="1253">
        <f t="shared" si="45"/>
        <v>20.175999999999998</v>
      </c>
      <c r="AI56" s="1253">
        <f t="shared" si="59"/>
        <v>20.687000000000001</v>
      </c>
      <c r="AJ56" s="156">
        <f t="shared" si="60"/>
        <v>132.46315422044856</v>
      </c>
      <c r="AK56" s="156">
        <f t="shared" si="61"/>
        <v>16.780947524268928</v>
      </c>
      <c r="AM56" s="716">
        <f t="shared" si="62"/>
        <v>1931.3725736363133</v>
      </c>
      <c r="AN56" s="716" t="str">
        <f>_xlfn.XLOOKUP(D56,RUC!$B$3:$B$578,RUC!$M$3:$M$578)</f>
        <v>Evelyn</v>
      </c>
      <c r="AO56" s="1167" t="s">
        <v>2278</v>
      </c>
      <c r="AP56" t="s">
        <v>4357</v>
      </c>
      <c r="AQ56" t="s">
        <v>4358</v>
      </c>
    </row>
    <row r="57" spans="1:43" ht="15" customHeight="1">
      <c r="A57" s="747" t="s">
        <v>4341</v>
      </c>
      <c r="B57" s="1447">
        <v>46043</v>
      </c>
      <c r="C57" s="1447">
        <v>46033</v>
      </c>
      <c r="D57" t="s">
        <v>1967</v>
      </c>
      <c r="E57" s="762">
        <f>_xlfn.XLOOKUP(D57,RUC!$B$3:$B$123,RUC!$D$3:$D$123)</f>
        <v>20601769396</v>
      </c>
      <c r="G57" s="1082">
        <v>37</v>
      </c>
      <c r="H57" s="762" t="s">
        <v>108</v>
      </c>
      <c r="I57" s="703">
        <v>3.14</v>
      </c>
      <c r="J57" s="596">
        <v>18.600000000000001</v>
      </c>
      <c r="K57" s="703">
        <f t="shared" si="35"/>
        <v>2.556</v>
      </c>
      <c r="L57" s="1192">
        <v>0.254</v>
      </c>
      <c r="M57" s="994">
        <f t="shared" si="64"/>
        <v>0.23499999999999999</v>
      </c>
      <c r="N57" s="1196">
        <f t="shared" si="63"/>
        <v>0.23499999999999999</v>
      </c>
      <c r="O57" s="645">
        <f t="shared" si="65"/>
        <v>0.23499999999999999</v>
      </c>
      <c r="P57" s="727">
        <v>88</v>
      </c>
      <c r="Q57" s="1476">
        <v>98.82</v>
      </c>
      <c r="R57" s="706">
        <v>4612.95</v>
      </c>
      <c r="S57" s="765">
        <f>IF((_xlfn.XLOOKUP(D57,RUC!$B$3:$B$119,RUC!$E$3:$E$119)+ROUNDDOWN(O57,1)*100)&lt;95,95,((_xlfn.XLOOKUP(D57,RUC!$B$3:$B$119,RUC!$E$3:$E$119)+ROUNDDOWN(O57,1)*100)))</f>
        <v>110</v>
      </c>
      <c r="U57" s="1146">
        <f>_xlfn.XLOOKUP(D57,RUC!$B$3:$B$123,RUC!$F$3:$F$123)</f>
        <v>120</v>
      </c>
      <c r="V57" s="715">
        <v>1.1023000000000001</v>
      </c>
      <c r="Y57" s="1034">
        <v>30</v>
      </c>
      <c r="Z57" s="709">
        <v>40</v>
      </c>
      <c r="AA57" s="144">
        <f t="shared" si="53"/>
        <v>70</v>
      </c>
      <c r="AB57" s="145">
        <f t="shared" si="54"/>
        <v>825.77929273799998</v>
      </c>
      <c r="AC57" s="145">
        <f>+(S57-T57)*V57-'data 1'!$F$4</f>
        <v>41.253</v>
      </c>
      <c r="AD57" s="145">
        <f t="shared" si="55"/>
        <v>136.11073223239791</v>
      </c>
      <c r="AE57" s="145">
        <f t="shared" si="56"/>
        <v>7.1610000000000014</v>
      </c>
      <c r="AF57" s="145">
        <f t="shared" si="57"/>
        <v>92.98862875140307</v>
      </c>
      <c r="AG57" s="772">
        <f t="shared" si="68"/>
        <v>294.51336098380102</v>
      </c>
      <c r="AH57" s="1253">
        <f t="shared" si="45"/>
        <v>21.995999999999999</v>
      </c>
      <c r="AI57" s="1253">
        <f t="shared" si="59"/>
        <v>22.259</v>
      </c>
      <c r="AJ57" s="156">
        <f t="shared" si="60"/>
        <v>140.29078994440204</v>
      </c>
      <c r="AK57" s="156">
        <f t="shared" si="61"/>
        <v>18.122597843779442</v>
      </c>
      <c r="AM57" s="716">
        <f t="shared" si="62"/>
        <v>2110.691872238328</v>
      </c>
      <c r="AN57" s="716" t="str">
        <f>_xlfn.XLOOKUP(D57,RUC!$B$3:$B$578,RUC!$M$3:$M$578)</f>
        <v>Evelyn</v>
      </c>
      <c r="AO57" s="1167" t="s">
        <v>2278</v>
      </c>
      <c r="AP57" t="s">
        <v>4357</v>
      </c>
      <c r="AQ57" t="s">
        <v>4358</v>
      </c>
    </row>
    <row r="58" spans="1:43" ht="15" customHeight="1">
      <c r="A58" s="747" t="s">
        <v>4342</v>
      </c>
      <c r="B58" s="1447">
        <v>46043</v>
      </c>
      <c r="C58" s="1447">
        <v>46033</v>
      </c>
      <c r="D58" t="s">
        <v>1967</v>
      </c>
      <c r="E58" s="762">
        <f>_xlfn.XLOOKUP(D58,RUC!$B$3:$B$123,RUC!$D$3:$D$123)</f>
        <v>20601769396</v>
      </c>
      <c r="G58" s="1082">
        <v>38</v>
      </c>
      <c r="H58" s="762" t="s">
        <v>108</v>
      </c>
      <c r="I58" s="703">
        <v>3.05</v>
      </c>
      <c r="J58" s="596">
        <v>19.100000000000001</v>
      </c>
      <c r="K58" s="703">
        <f t="shared" si="35"/>
        <v>2.4670000000000001</v>
      </c>
      <c r="L58" s="1192">
        <v>0.192</v>
      </c>
      <c r="M58" s="994">
        <f t="shared" si="64"/>
        <v>0.17299999999999999</v>
      </c>
      <c r="N58" s="1196">
        <f t="shared" si="63"/>
        <v>0.17299999999999999</v>
      </c>
      <c r="O58" s="645">
        <f t="shared" si="65"/>
        <v>0.17299999999999999</v>
      </c>
      <c r="P58" s="727">
        <v>88</v>
      </c>
      <c r="Q58" s="1476">
        <v>91.67</v>
      </c>
      <c r="R58" s="706">
        <v>4612.95</v>
      </c>
      <c r="S58" s="765">
        <f>IF((_xlfn.XLOOKUP(D58,RUC!$B$3:$B$119,RUC!$E$3:$E$119)+ROUNDDOWN(O58,1)*100)&lt;95,95,((_xlfn.XLOOKUP(D58,RUC!$B$3:$B$119,RUC!$E$3:$E$119)+ROUNDDOWN(O58,1)*100)))</f>
        <v>100</v>
      </c>
      <c r="U58" s="1146">
        <f>_xlfn.XLOOKUP(D58,RUC!$B$3:$B$123,RUC!$F$3:$F$123)</f>
        <v>120</v>
      </c>
      <c r="V58" s="715">
        <v>1.1023000000000001</v>
      </c>
      <c r="Y58" s="1034">
        <v>30</v>
      </c>
      <c r="Z58" s="709">
        <v>40</v>
      </c>
      <c r="AA58" s="144">
        <f t="shared" si="53"/>
        <v>70</v>
      </c>
      <c r="AB58" s="145">
        <f t="shared" si="54"/>
        <v>566.58959422839996</v>
      </c>
      <c r="AC58" s="145">
        <f>+(S58-T58)*V58-'data 1'!$F$4</f>
        <v>30.230000000000004</v>
      </c>
      <c r="AD58" s="145">
        <f t="shared" si="55"/>
        <v>34.897851150624014</v>
      </c>
      <c r="AE58" s="145">
        <f t="shared" si="56"/>
        <v>7.1610000000000014</v>
      </c>
      <c r="AF58" s="145">
        <f t="shared" si="57"/>
        <v>86.260550471980565</v>
      </c>
      <c r="AG58" s="772">
        <f t="shared" si="68"/>
        <v>175.54940162260459</v>
      </c>
      <c r="AH58" s="1253">
        <f t="shared" si="45"/>
        <v>14.887</v>
      </c>
      <c r="AI58" s="1253">
        <f t="shared" si="59"/>
        <v>16.239999999999998</v>
      </c>
      <c r="AJ58" s="156">
        <f t="shared" si="60"/>
        <v>98.373710935776046</v>
      </c>
      <c r="AK58" s="156">
        <f t="shared" si="61"/>
        <v>12.876771645097845</v>
      </c>
      <c r="AM58" s="716">
        <f t="shared" si="62"/>
        <v>1397.7765289614626</v>
      </c>
      <c r="AN58" s="716" t="str">
        <f>_xlfn.XLOOKUP(D58,RUC!$B$3:$B$578,RUC!$M$3:$M$578)</f>
        <v>Evelyn</v>
      </c>
      <c r="AO58" s="1167" t="s">
        <v>2278</v>
      </c>
      <c r="AP58" t="s">
        <v>4357</v>
      </c>
      <c r="AQ58" t="s">
        <v>4358</v>
      </c>
    </row>
    <row r="59" spans="1:43" ht="15" customHeight="1">
      <c r="A59" s="747" t="s">
        <v>4343</v>
      </c>
      <c r="B59" s="1447">
        <v>46042</v>
      </c>
      <c r="C59" s="1447">
        <v>46033</v>
      </c>
      <c r="D59" t="s">
        <v>4171</v>
      </c>
      <c r="E59" s="762">
        <f>_xlfn.XLOOKUP(D59,RUC!$B$3:$B$123,RUC!$D$3:$D$123)</f>
        <v>20614284740</v>
      </c>
      <c r="G59" s="1082" t="s">
        <v>2985</v>
      </c>
      <c r="H59" s="762" t="s">
        <v>108</v>
      </c>
      <c r="I59" s="703">
        <v>4.4800000000000004</v>
      </c>
      <c r="J59" s="596">
        <v>14.5</v>
      </c>
      <c r="K59" s="703">
        <f t="shared" si="35"/>
        <v>3.83</v>
      </c>
      <c r="L59" s="1192">
        <v>1.069</v>
      </c>
      <c r="M59" s="994">
        <f t="shared" si="64"/>
        <v>1.0049999999999999</v>
      </c>
      <c r="N59" s="1196">
        <f t="shared" si="63"/>
        <v>1.0049999999999999</v>
      </c>
      <c r="O59" s="1147">
        <v>1.1140000000000001</v>
      </c>
      <c r="P59" s="727">
        <v>90</v>
      </c>
      <c r="Q59" s="1476">
        <v>99.63</v>
      </c>
      <c r="R59" s="706">
        <v>4612.95</v>
      </c>
      <c r="S59" s="765">
        <f>IF((_xlfn.XLOOKUP(D59,RUC!$B$3:$B$119,RUC!$E$3:$E$119)+ROUNDDOWN(O59,1)*100)&lt;95,95,((_xlfn.XLOOKUP(D59,RUC!$B$3:$B$119,RUC!$E$3:$E$119)+ROUNDDOWN(O59,1)*100)))</f>
        <v>200</v>
      </c>
      <c r="U59" s="1146">
        <f>_xlfn.XLOOKUP(D59,RUC!$B$3:$B$123,RUC!$F$3:$F$123)</f>
        <v>120</v>
      </c>
      <c r="V59" s="715">
        <v>1.1023000000000001</v>
      </c>
      <c r="Y59" s="1445">
        <v>30</v>
      </c>
      <c r="Z59" s="143">
        <f>_xlfn.XLOOKUP(D59,RUC!$B$3:$B$123,RUC!$H$3:$H$123)</f>
        <v>30</v>
      </c>
      <c r="AA59" s="144">
        <f t="shared" si="53"/>
        <v>60</v>
      </c>
      <c r="AB59" s="145">
        <f t="shared" si="54"/>
        <v>4678.8574898409997</v>
      </c>
      <c r="AC59" s="145">
        <f>+(S59-T59)*V59-'data 1'!$F$4</f>
        <v>140.46</v>
      </c>
      <c r="AD59" s="145">
        <f t="shared" si="55"/>
        <v>509.84173724818925</v>
      </c>
      <c r="AE59" s="145">
        <f t="shared" si="56"/>
        <v>-3.8619999999999948</v>
      </c>
      <c r="AF59" s="145">
        <f t="shared" si="57"/>
        <v>-222.04144095729825</v>
      </c>
      <c r="AG59" s="772">
        <f>AC59+AD59+AE59+AF59+70</f>
        <v>494.39829629089104</v>
      </c>
      <c r="AH59" s="1253">
        <f t="shared" si="45"/>
        <v>139.85400000000001</v>
      </c>
      <c r="AI59" s="1253">
        <f t="shared" si="59"/>
        <v>140.374</v>
      </c>
      <c r="AJ59" s="156">
        <f t="shared" si="60"/>
        <v>595.2760777533108</v>
      </c>
      <c r="AK59" s="156">
        <f t="shared" si="61"/>
        <v>131.65445012570194</v>
      </c>
      <c r="AM59" s="716">
        <f t="shared" si="62"/>
        <v>17920.024186091028</v>
      </c>
      <c r="AN59" s="716" t="str">
        <f>_xlfn.XLOOKUP(D59,RUC!$B$3:$B$578,RUC!$M$3:$M$578)</f>
        <v xml:space="preserve">Dante </v>
      </c>
      <c r="AO59" s="1167" t="s">
        <v>2278</v>
      </c>
      <c r="AP59" t="s">
        <v>4359</v>
      </c>
      <c r="AQ59" t="s">
        <v>4360</v>
      </c>
    </row>
    <row r="60" spans="1:43" ht="15" customHeight="1">
      <c r="A60" s="747" t="s">
        <v>4344</v>
      </c>
      <c r="B60" s="1447">
        <v>46043</v>
      </c>
      <c r="C60" s="1447">
        <v>46034</v>
      </c>
      <c r="D60" t="s">
        <v>1967</v>
      </c>
      <c r="E60" s="762">
        <f>_xlfn.XLOOKUP(D60,RUC!$B$3:$B$123,RUC!$D$3:$D$123)</f>
        <v>20601769396</v>
      </c>
      <c r="G60" s="1082">
        <v>63</v>
      </c>
      <c r="H60" s="762" t="s">
        <v>2005</v>
      </c>
      <c r="I60" s="703">
        <v>5.95</v>
      </c>
      <c r="J60" s="596">
        <v>9.6</v>
      </c>
      <c r="K60" s="703">
        <f t="shared" si="35"/>
        <v>5.3789999999999996</v>
      </c>
      <c r="L60" s="1192">
        <v>0.17399999999999999</v>
      </c>
      <c r="M60" s="994">
        <f t="shared" si="64"/>
        <v>0.155</v>
      </c>
      <c r="N60" s="1196">
        <f t="shared" si="63"/>
        <v>0.155</v>
      </c>
      <c r="O60" s="645">
        <f t="shared" ref="O60:O103" si="69">+ROUND((M60+N60)/2,3)</f>
        <v>0.155</v>
      </c>
      <c r="P60" s="727">
        <v>85</v>
      </c>
      <c r="Q60" s="1476">
        <v>94.25</v>
      </c>
      <c r="R60" s="706">
        <v>4612.95</v>
      </c>
      <c r="S60" s="765">
        <f>IF((_xlfn.XLOOKUP(D60,RUC!$B$3:$B$119,RUC!$E$3:$E$119)+ROUNDDOWN(O60,1)*100)&lt;95,95,((_xlfn.XLOOKUP(D60,RUC!$B$3:$B$119,RUC!$E$3:$E$119)+ROUNDDOWN(O60,1)*100)))</f>
        <v>100</v>
      </c>
      <c r="U60" s="1146">
        <f>_xlfn.XLOOKUP(D60,RUC!$B$3:$B$123,RUC!$F$3:$F$123)</f>
        <v>120</v>
      </c>
      <c r="V60" s="715">
        <v>1.1023000000000001</v>
      </c>
      <c r="Y60" s="1034">
        <v>30</v>
      </c>
      <c r="Z60" s="709">
        <v>40</v>
      </c>
      <c r="AA60" s="144">
        <f t="shared" si="53"/>
        <v>70</v>
      </c>
      <c r="AB60" s="145">
        <f t="shared" si="54"/>
        <v>465.11125492375004</v>
      </c>
      <c r="AC60" s="145">
        <f>+(S60-T60)*V60-'data 1'!$F$4</f>
        <v>30.230000000000004</v>
      </c>
      <c r="AD60" s="145">
        <f t="shared" si="55"/>
        <v>79.711755544574999</v>
      </c>
      <c r="AE60" s="145">
        <f t="shared" si="56"/>
        <v>7.1610000000000014</v>
      </c>
      <c r="AF60" s="145">
        <f t="shared" si="57"/>
        <v>88.688304592387453</v>
      </c>
      <c r="AG60" s="772">
        <f t="shared" ref="AG60:AG63" si="70">AC60+AD60+AE60+AF60+70-53</f>
        <v>222.79106013696247</v>
      </c>
      <c r="AH60" s="1253">
        <f t="shared" si="45"/>
        <v>30.244</v>
      </c>
      <c r="AI60" s="1253">
        <f t="shared" si="59"/>
        <v>32.088999999999999</v>
      </c>
      <c r="AJ60" s="156">
        <f t="shared" si="60"/>
        <v>91.660284653925032</v>
      </c>
      <c r="AK60" s="156">
        <f t="shared" si="61"/>
        <v>24.297480230785162</v>
      </c>
      <c r="AM60" s="716">
        <f t="shared" si="62"/>
        <v>2501.8334402348514</v>
      </c>
      <c r="AN60" s="716" t="str">
        <f>_xlfn.XLOOKUP(D60,RUC!$B$3:$B$578,RUC!$M$3:$M$578)</f>
        <v>Evelyn</v>
      </c>
      <c r="AO60" s="1167" t="s">
        <v>2278</v>
      </c>
      <c r="AP60" t="s">
        <v>4361</v>
      </c>
      <c r="AQ60" t="s">
        <v>4362</v>
      </c>
    </row>
    <row r="61" spans="1:43" ht="15" customHeight="1">
      <c r="A61" s="747" t="s">
        <v>4352</v>
      </c>
      <c r="B61" s="1447">
        <v>46058</v>
      </c>
      <c r="C61" s="1447">
        <v>46034</v>
      </c>
      <c r="D61" t="s">
        <v>1967</v>
      </c>
      <c r="E61" s="762">
        <f>_xlfn.XLOOKUP(D61,RUC!$B$3:$B$123,RUC!$D$3:$D$123)</f>
        <v>20601769396</v>
      </c>
      <c r="G61" s="1082">
        <v>41</v>
      </c>
      <c r="H61" s="1635" t="s">
        <v>2005</v>
      </c>
      <c r="I61" s="703">
        <v>2.83</v>
      </c>
      <c r="J61" s="596">
        <v>9</v>
      </c>
      <c r="K61" s="703">
        <f t="shared" si="35"/>
        <v>2.5750000000000002</v>
      </c>
      <c r="L61" s="1192">
        <v>0.11899999999999999</v>
      </c>
      <c r="M61" s="994">
        <f t="shared" si="64"/>
        <v>0.1</v>
      </c>
      <c r="N61" s="1444">
        <v>0.19900000000000001</v>
      </c>
      <c r="O61" s="645">
        <f t="shared" si="69"/>
        <v>0.15</v>
      </c>
      <c r="P61" s="727">
        <v>80</v>
      </c>
      <c r="Q61" s="1476">
        <v>94.96</v>
      </c>
      <c r="R61" s="706">
        <v>4612.95</v>
      </c>
      <c r="S61" s="765">
        <f>IF((_xlfn.XLOOKUP(D61,RUC!$B$3:$B$119,RUC!$E$3:$E$119)+ROUNDDOWN(O61,1)*100)&lt;95,95,((_xlfn.XLOOKUP(D61,RUC!$B$3:$B$119,RUC!$E$3:$E$119)+ROUNDDOWN(O61,1)*100)))</f>
        <v>100</v>
      </c>
      <c r="U61" s="1146">
        <f>_xlfn.XLOOKUP(D61,RUC!$B$3:$B$123,RUC!$F$3:$F$123)</f>
        <v>120</v>
      </c>
      <c r="V61" s="715">
        <v>1.1023000000000001</v>
      </c>
      <c r="Y61" s="1445">
        <v>40</v>
      </c>
      <c r="Z61" s="143">
        <f>_xlfn.XLOOKUP(D61,RUC!$B$3:$B$123,RUC!$H$3:$H$123)</f>
        <v>30</v>
      </c>
      <c r="AA61" s="144">
        <f t="shared" si="53"/>
        <v>70</v>
      </c>
      <c r="AB61" s="145">
        <f t="shared" si="54"/>
        <v>406.91845420000004</v>
      </c>
      <c r="AC61" s="145">
        <f>+(S61-T61)*V61-'data 1'!$F$4</f>
        <v>30.230000000000004</v>
      </c>
      <c r="AD61" s="145">
        <f t="shared" si="55"/>
        <v>88.167788562083956</v>
      </c>
      <c r="AE61" s="145">
        <f t="shared" si="56"/>
        <v>7.1610000000000014</v>
      </c>
      <c r="AF61" s="145">
        <f t="shared" si="57"/>
        <v>-145.79203324131601</v>
      </c>
      <c r="AG61" s="772">
        <f t="shared" si="70"/>
        <v>-3.2332446792320439</v>
      </c>
      <c r="AH61" s="1253">
        <f t="shared" si="45"/>
        <v>9.9760000000000009</v>
      </c>
      <c r="AI61" s="1253">
        <f t="shared" si="59"/>
        <v>10.506</v>
      </c>
      <c r="AJ61" s="156">
        <f t="shared" si="60"/>
        <v>63.159438705916017</v>
      </c>
      <c r="AK61" s="156">
        <f t="shared" si="61"/>
        <v>10.594184907450002</v>
      </c>
      <c r="AM61" s="716">
        <f t="shared" si="62"/>
        <v>1047.8150195650003</v>
      </c>
      <c r="AN61" s="716" t="str">
        <f>_xlfn.XLOOKUP(D61,RUC!$B$3:$B$578,RUC!$M$3:$M$578)</f>
        <v>Evelyn</v>
      </c>
      <c r="AO61" s="1167" t="s">
        <v>2280</v>
      </c>
      <c r="AP61" t="s">
        <v>3661</v>
      </c>
      <c r="AQ61" t="s">
        <v>4363</v>
      </c>
    </row>
    <row r="62" spans="1:43" ht="15" customHeight="1">
      <c r="A62" s="747" t="s">
        <v>4353</v>
      </c>
      <c r="B62" s="1447">
        <v>46051</v>
      </c>
      <c r="C62" s="1447">
        <v>46034</v>
      </c>
      <c r="D62" t="s">
        <v>1967</v>
      </c>
      <c r="E62" s="762">
        <f>_xlfn.XLOOKUP(D62,RUC!$B$3:$B$123,RUC!$D$3:$D$123)</f>
        <v>20601769396</v>
      </c>
      <c r="G62" s="1082">
        <v>38</v>
      </c>
      <c r="H62" s="1635" t="s">
        <v>2005</v>
      </c>
      <c r="I62" s="703">
        <v>2.74</v>
      </c>
      <c r="J62" s="596">
        <v>7.5</v>
      </c>
      <c r="K62" s="703">
        <f t="shared" si="35"/>
        <v>2.5350000000000001</v>
      </c>
      <c r="L62" s="1192">
        <v>0.184</v>
      </c>
      <c r="M62" s="994">
        <f t="shared" si="64"/>
        <v>0.16500000000000001</v>
      </c>
      <c r="N62" s="1196">
        <f t="shared" ref="N62:N63" si="71">+M62</f>
        <v>0.16500000000000001</v>
      </c>
      <c r="O62" s="645">
        <f t="shared" si="69"/>
        <v>0.16500000000000001</v>
      </c>
      <c r="P62" s="727">
        <v>85</v>
      </c>
      <c r="Q62" s="1476">
        <v>93.48</v>
      </c>
      <c r="R62" s="706">
        <v>4612.95</v>
      </c>
      <c r="S62" s="765">
        <f>IF((_xlfn.XLOOKUP(D62,RUC!$B$3:$B$119,RUC!$E$3:$E$119)+ROUNDDOWN(O62,1)*100)&lt;95,95,((_xlfn.XLOOKUP(D62,RUC!$B$3:$B$119,RUC!$E$3:$E$119)+ROUNDDOWN(O62,1)*100)))</f>
        <v>100</v>
      </c>
      <c r="U62" s="1146">
        <f>_xlfn.XLOOKUP(D62,RUC!$B$3:$B$123,RUC!$F$3:$F$123)</f>
        <v>120</v>
      </c>
      <c r="V62" s="715">
        <v>1.1023000000000001</v>
      </c>
      <c r="Y62">
        <f>_xlfn.XLOOKUP(D62,RUC!$B$3:$B$123,RUC!$G$3:$G$123)</f>
        <v>20</v>
      </c>
      <c r="Z62" s="143">
        <f>_xlfn.XLOOKUP(D62,RUC!$B$3:$B$123,RUC!$H$3:$H$123)</f>
        <v>30</v>
      </c>
      <c r="AA62" s="144">
        <f t="shared" si="53"/>
        <v>50</v>
      </c>
      <c r="AB62" s="145">
        <f t="shared" si="54"/>
        <v>529.25417459624998</v>
      </c>
      <c r="AC62" s="145">
        <f>+(S62-T62)*V62-'data 1'!$F$4</f>
        <v>30.230000000000004</v>
      </c>
      <c r="AD62" s="145">
        <f t="shared" si="55"/>
        <v>77.276077298112043</v>
      </c>
      <c r="AE62" s="145">
        <f t="shared" si="56"/>
        <v>-14.884999999999998</v>
      </c>
      <c r="AF62" s="145">
        <f t="shared" si="57"/>
        <v>87.96374231614196</v>
      </c>
      <c r="AG62" s="772">
        <f t="shared" si="70"/>
        <v>197.584819614254</v>
      </c>
      <c r="AH62" s="1253">
        <f t="shared" si="45"/>
        <v>14.949</v>
      </c>
      <c r="AI62" s="1253">
        <f t="shared" si="59"/>
        <v>15.992000000000001</v>
      </c>
      <c r="AJ62" s="156">
        <f t="shared" si="60"/>
        <v>96.136237527888042</v>
      </c>
      <c r="AK62" s="156">
        <f t="shared" si="61"/>
        <v>12.189612583621688</v>
      </c>
      <c r="AM62" s="716">
        <f t="shared" si="62"/>
        <v>1341.6593326014938</v>
      </c>
      <c r="AN62" s="716" t="str">
        <f>_xlfn.XLOOKUP(D62,RUC!$B$3:$B$578,RUC!$M$3:$M$578)</f>
        <v>Evelyn</v>
      </c>
      <c r="AO62" s="1167" t="s">
        <v>2278</v>
      </c>
      <c r="AP62" t="s">
        <v>3661</v>
      </c>
      <c r="AQ62" t="s">
        <v>4363</v>
      </c>
    </row>
    <row r="63" spans="1:43" ht="15" customHeight="1">
      <c r="A63" s="747" t="s">
        <v>4355</v>
      </c>
      <c r="B63" s="1447">
        <v>46051</v>
      </c>
      <c r="C63" s="1447">
        <v>46034</v>
      </c>
      <c r="D63" t="s">
        <v>1967</v>
      </c>
      <c r="E63" s="762">
        <f>_xlfn.XLOOKUP(D63,RUC!$B$3:$B$123,RUC!$D$3:$D$123)</f>
        <v>20601769396</v>
      </c>
      <c r="G63" s="1082">
        <v>38</v>
      </c>
      <c r="H63" s="1635" t="s">
        <v>2005</v>
      </c>
      <c r="I63" s="703">
        <v>2.81</v>
      </c>
      <c r="J63" s="596">
        <v>7.5</v>
      </c>
      <c r="K63" s="703">
        <f t="shared" si="35"/>
        <v>2.5990000000000002</v>
      </c>
      <c r="L63" s="1192">
        <v>0.16400000000000001</v>
      </c>
      <c r="M63" s="994">
        <f t="shared" si="64"/>
        <v>0.14499999999999999</v>
      </c>
      <c r="N63" s="1196">
        <f t="shared" si="71"/>
        <v>0.14499999999999999</v>
      </c>
      <c r="O63" s="645">
        <f t="shared" si="69"/>
        <v>0.14499999999999999</v>
      </c>
      <c r="P63" s="727">
        <v>85</v>
      </c>
      <c r="Q63" s="1476">
        <v>97.56</v>
      </c>
      <c r="R63" s="706">
        <v>4612.95</v>
      </c>
      <c r="S63" s="765">
        <f>IF((_xlfn.XLOOKUP(D63,RUC!$B$3:$B$119,RUC!$E$3:$E$119)+ROUNDDOWN(O63,1)*100)&lt;95,95,((_xlfn.XLOOKUP(D63,RUC!$B$3:$B$119,RUC!$E$3:$E$119)+ROUNDDOWN(O63,1)*100)))</f>
        <v>100</v>
      </c>
      <c r="U63" s="1146">
        <f>_xlfn.XLOOKUP(D63,RUC!$B$3:$B$123,RUC!$F$3:$F$123)</f>
        <v>120</v>
      </c>
      <c r="V63" s="715">
        <v>1.1023000000000001</v>
      </c>
      <c r="Y63">
        <f>_xlfn.XLOOKUP(D63,RUC!$B$3:$B$123,RUC!$G$3:$G$123)</f>
        <v>20</v>
      </c>
      <c r="Z63" s="143">
        <f>_xlfn.XLOOKUP(D63,RUC!$B$3:$B$123,RUC!$H$3:$H$123)</f>
        <v>30</v>
      </c>
      <c r="AA63" s="144">
        <f t="shared" si="53"/>
        <v>50</v>
      </c>
      <c r="AB63" s="145">
        <f t="shared" si="54"/>
        <v>445.06033525124991</v>
      </c>
      <c r="AC63" s="145">
        <f>+(S63-T63)*V63-'data 1'!$F$4</f>
        <v>30.230000000000004</v>
      </c>
      <c r="AD63" s="145">
        <f t="shared" si="55"/>
        <v>102.01519884494402</v>
      </c>
      <c r="AE63" s="145">
        <f t="shared" si="56"/>
        <v>-14.884999999999998</v>
      </c>
      <c r="AF63" s="145">
        <f t="shared" si="57"/>
        <v>91.802981390274084</v>
      </c>
      <c r="AG63" s="772">
        <f t="shared" si="70"/>
        <v>226.16318023521808</v>
      </c>
      <c r="AH63" s="1253">
        <f t="shared" si="45"/>
        <v>14.257</v>
      </c>
      <c r="AI63" s="1253">
        <f t="shared" si="59"/>
        <v>14.614000000000001</v>
      </c>
      <c r="AJ63" s="156">
        <f t="shared" si="60"/>
        <v>89.426500126056041</v>
      </c>
      <c r="AK63" s="156">
        <f t="shared" si="61"/>
        <v>10.982526926545338</v>
      </c>
      <c r="AM63" s="716">
        <f t="shared" si="62"/>
        <v>1156.7118113179986</v>
      </c>
      <c r="AN63" s="716" t="str">
        <f>_xlfn.XLOOKUP(D63,RUC!$B$3:$B$578,RUC!$M$3:$M$578)</f>
        <v>Evelyn</v>
      </c>
      <c r="AO63" s="1167" t="s">
        <v>2280</v>
      </c>
      <c r="AP63" t="s">
        <v>3661</v>
      </c>
      <c r="AQ63" t="s">
        <v>4363</v>
      </c>
    </row>
    <row r="64" spans="1:43" ht="15" customHeight="1">
      <c r="A64" s="747" t="s">
        <v>4356</v>
      </c>
      <c r="B64" s="1447">
        <v>46041</v>
      </c>
      <c r="C64" s="1447">
        <v>46034</v>
      </c>
      <c r="D64" t="s">
        <v>3316</v>
      </c>
      <c r="E64" s="762">
        <f>_xlfn.XLOOKUP(D64,RUC!$B$3:$B$123,RUC!$D$3:$D$123)</f>
        <v>20613935151</v>
      </c>
      <c r="G64" s="1082">
        <v>91</v>
      </c>
      <c r="H64" s="762" t="s">
        <v>2005</v>
      </c>
      <c r="I64" s="703">
        <v>7.05</v>
      </c>
      <c r="J64" s="596">
        <v>2.7</v>
      </c>
      <c r="K64" s="703">
        <f t="shared" si="35"/>
        <v>6.86</v>
      </c>
      <c r="L64" s="1192">
        <v>0.19</v>
      </c>
      <c r="M64" s="994">
        <f t="shared" si="64"/>
        <v>0.17100000000000001</v>
      </c>
      <c r="N64" s="1444">
        <v>0.222</v>
      </c>
      <c r="O64" s="645">
        <f t="shared" si="69"/>
        <v>0.19700000000000001</v>
      </c>
      <c r="P64" s="727">
        <v>90</v>
      </c>
      <c r="Q64" s="1476">
        <v>98.42</v>
      </c>
      <c r="R64" s="706">
        <v>4612.95</v>
      </c>
      <c r="S64" s="765">
        <f>IF((_xlfn.XLOOKUP(D64,RUC!$B$3:$B$119,RUC!$E$3:$E$119)+ROUNDDOWN(O64,1)*100)&lt;95,95,((_xlfn.XLOOKUP(D64,RUC!$B$3:$B$119,RUC!$E$3:$E$119)+ROUNDDOWN(O64,1)*100)))</f>
        <v>100</v>
      </c>
      <c r="U64" s="1146">
        <f>_xlfn.XLOOKUP(D64,RUC!$B$3:$B$123,RUC!$F$3:$F$123)</f>
        <v>120</v>
      </c>
      <c r="V64" s="715">
        <v>1.1023000000000001</v>
      </c>
      <c r="Y64">
        <f>_xlfn.XLOOKUP(D64,RUC!$B$3:$B$123,RUC!$G$3:$G$123)</f>
        <v>20</v>
      </c>
      <c r="Z64" s="143">
        <f>_xlfn.XLOOKUP(D64,RUC!$B$3:$B$123,RUC!$H$3:$H$123)</f>
        <v>30</v>
      </c>
      <c r="AA64" s="144">
        <f t="shared" si="53"/>
        <v>50</v>
      </c>
      <c r="AB64" s="145">
        <f t="shared" si="54"/>
        <v>712.74721858049998</v>
      </c>
      <c r="AC64" s="145">
        <f>+(S64-T64)*V64-'data 1'!$F$4</f>
        <v>30.230000000000004</v>
      </c>
      <c r="AD64" s="145">
        <f t="shared" si="55"/>
        <v>79.231355402430012</v>
      </c>
      <c r="AE64" s="145">
        <f t="shared" si="56"/>
        <v>-14.884999999999998</v>
      </c>
      <c r="AF64" s="145">
        <f t="shared" si="57"/>
        <v>-34.120296281379034</v>
      </c>
      <c r="AG64" s="772">
        <f>AC64+AD64+AE64+AF64+70</f>
        <v>130.45605912105097</v>
      </c>
      <c r="AH64" s="1253">
        <f t="shared" si="45"/>
        <v>43.981999999999999</v>
      </c>
      <c r="AI64" s="1253">
        <f t="shared" si="59"/>
        <v>44.688000000000002</v>
      </c>
      <c r="AJ64" s="156">
        <f t="shared" si="60"/>
        <v>104.51714936257004</v>
      </c>
      <c r="AK64" s="156">
        <f t="shared" si="61"/>
        <v>41.700563206677906</v>
      </c>
      <c r="AM64" s="716">
        <f t="shared" si="62"/>
        <v>4889.4459194622304</v>
      </c>
      <c r="AN64" s="716" t="str">
        <f>_xlfn.XLOOKUP(D64,RUC!$B$3:$B$578,RUC!$M$3:$M$578)</f>
        <v xml:space="preserve">Dante </v>
      </c>
      <c r="AO64" s="1167" t="s">
        <v>2278</v>
      </c>
      <c r="AP64" t="s">
        <v>4364</v>
      </c>
      <c r="AQ64" t="s">
        <v>4365</v>
      </c>
    </row>
    <row r="65" spans="1:44" ht="15" customHeight="1">
      <c r="A65" s="747" t="s">
        <v>4371</v>
      </c>
      <c r="B65" s="1447">
        <v>46048</v>
      </c>
      <c r="C65" s="1447">
        <v>46036</v>
      </c>
      <c r="D65" t="s">
        <v>1484</v>
      </c>
      <c r="E65" s="762">
        <f>_xlfn.XLOOKUP(D65,RUC!$B$3:$B$123,RUC!$D$3:$D$123)</f>
        <v>10761932735</v>
      </c>
      <c r="G65" s="1082">
        <v>130</v>
      </c>
      <c r="H65" s="762" t="s">
        <v>2005</v>
      </c>
      <c r="I65" s="703">
        <v>9.64</v>
      </c>
      <c r="J65" s="596">
        <v>15.1</v>
      </c>
      <c r="K65" s="703">
        <f t="shared" si="35"/>
        <v>8.1839999999999993</v>
      </c>
      <c r="L65" s="1192">
        <v>0.29599999999999999</v>
      </c>
      <c r="M65" s="994">
        <f t="shared" si="64"/>
        <v>0.27700000000000002</v>
      </c>
      <c r="N65" s="1444">
        <v>0.35099999999999998</v>
      </c>
      <c r="O65" s="645">
        <f t="shared" si="69"/>
        <v>0.314</v>
      </c>
      <c r="P65" s="727">
        <v>90</v>
      </c>
      <c r="Q65" s="1476">
        <v>96.62</v>
      </c>
      <c r="R65" s="706">
        <v>4606.5</v>
      </c>
      <c r="S65" s="765">
        <f>IF((_xlfn.XLOOKUP(D65,RUC!$B$3:$B$119,RUC!$E$3:$E$119)+ROUNDDOWN(O65,1)*100)&lt;95,95,((_xlfn.XLOOKUP(D65,RUC!$B$3:$B$119,RUC!$E$3:$E$119)+ROUNDDOWN(O65,1)*100)))</f>
        <v>120</v>
      </c>
      <c r="U65" s="1146">
        <f>_xlfn.XLOOKUP(D65,RUC!$B$3:$B$123,RUC!$F$3:$F$123)</f>
        <v>120</v>
      </c>
      <c r="V65" s="715">
        <v>1.1023000000000001</v>
      </c>
      <c r="Y65">
        <f>_xlfn.XLOOKUP(D65,RUC!$B$3:$B$123,RUC!$G$3:$G$123)</f>
        <v>20</v>
      </c>
      <c r="Z65" s="143">
        <f>_xlfn.XLOOKUP(D65,RUC!$B$3:$B$123,RUC!$H$3:$H$123)</f>
        <v>30</v>
      </c>
      <c r="AA65" s="144">
        <f t="shared" si="53"/>
        <v>50</v>
      </c>
      <c r="AB65" s="145">
        <f t="shared" si="54"/>
        <v>1210.1985252700001</v>
      </c>
      <c r="AC65" s="145">
        <f>+(S65-T65)*V65-'data 1'!$F$4</f>
        <v>52.27600000000001</v>
      </c>
      <c r="AD65" s="145">
        <f t="shared" si="55"/>
        <v>96.907453169040053</v>
      </c>
      <c r="AE65" s="145">
        <f t="shared" si="56"/>
        <v>-14.884999999999998</v>
      </c>
      <c r="AF65" s="145">
        <f t="shared" si="57"/>
        <v>-86.009617790820087</v>
      </c>
      <c r="AG65" s="772">
        <f t="shared" ref="AG65:AG118" si="72">AC65+AD65+AE65+AF65+70-53</f>
        <v>65.288835378219986</v>
      </c>
      <c r="AH65" s="1253">
        <f t="shared" si="45"/>
        <v>80.248000000000005</v>
      </c>
      <c r="AI65" s="1253">
        <f t="shared" si="59"/>
        <v>83.055000000000007</v>
      </c>
      <c r="AJ65" s="156">
        <f t="shared" si="60"/>
        <v>161.88216335096001</v>
      </c>
      <c r="AK65" s="156">
        <f t="shared" si="61"/>
        <v>79.29519062541911</v>
      </c>
      <c r="AM65" s="716">
        <f t="shared" si="62"/>
        <v>9904.2647308096803</v>
      </c>
      <c r="AN65" s="716" t="str">
        <f>_xlfn.XLOOKUP(D65,RUC!$B$3:$B$578,RUC!$M$3:$M$578)</f>
        <v>Richard Sapacayo</v>
      </c>
      <c r="AO65" s="1167" t="s">
        <v>2278</v>
      </c>
      <c r="AP65" t="s">
        <v>4379</v>
      </c>
      <c r="AQ65" t="s">
        <v>4380</v>
      </c>
    </row>
    <row r="66" spans="1:44" ht="15" customHeight="1">
      <c r="A66" s="747" t="s">
        <v>4372</v>
      </c>
      <c r="B66" s="1447">
        <v>46048</v>
      </c>
      <c r="C66" s="1447">
        <v>46036</v>
      </c>
      <c r="D66" t="s">
        <v>1484</v>
      </c>
      <c r="E66" s="762">
        <f>_xlfn.XLOOKUP(D66,RUC!$B$3:$B$123,RUC!$D$3:$D$123)</f>
        <v>10761932735</v>
      </c>
      <c r="G66" s="1082">
        <v>260</v>
      </c>
      <c r="H66" s="762" t="s">
        <v>2005</v>
      </c>
      <c r="I66" s="703">
        <v>18.71</v>
      </c>
      <c r="J66" s="596">
        <v>17.100000000000001</v>
      </c>
      <c r="K66" s="703">
        <f t="shared" si="35"/>
        <v>15.510999999999999</v>
      </c>
      <c r="L66" s="1192">
        <v>0.70399999999999996</v>
      </c>
      <c r="M66" s="994">
        <f t="shared" si="64"/>
        <v>0.66200000000000003</v>
      </c>
      <c r="N66" s="1444">
        <v>0.74099999999999999</v>
      </c>
      <c r="O66" s="645">
        <f t="shared" si="69"/>
        <v>0.70199999999999996</v>
      </c>
      <c r="P66" s="727">
        <v>90</v>
      </c>
      <c r="Q66" s="1476">
        <v>98.72</v>
      </c>
      <c r="R66" s="706">
        <v>4606.5</v>
      </c>
      <c r="S66" s="765">
        <f>IF((_xlfn.XLOOKUP(D66,RUC!$B$3:$B$119,RUC!$E$3:$E$119)+ROUNDDOWN(O66,1)*100)&lt;95,95,((_xlfn.XLOOKUP(D66,RUC!$B$3:$B$119,RUC!$E$3:$E$119)+ROUNDDOWN(O66,1)*100)))</f>
        <v>160</v>
      </c>
      <c r="U66" s="1146">
        <f>_xlfn.XLOOKUP(D66,RUC!$B$3:$B$123,RUC!$F$3:$F$123)</f>
        <v>120</v>
      </c>
      <c r="V66" s="715">
        <v>1.1023000000000001</v>
      </c>
      <c r="Y66">
        <f>_xlfn.XLOOKUP(D66,RUC!$B$3:$B$123,RUC!$G$3:$G$123)</f>
        <v>20</v>
      </c>
      <c r="Z66" s="143">
        <f>_xlfn.XLOOKUP(D66,RUC!$B$3:$B$123,RUC!$H$3:$H$123)</f>
        <v>30</v>
      </c>
      <c r="AA66" s="144">
        <f t="shared" si="53"/>
        <v>50</v>
      </c>
      <c r="AB66" s="145">
        <f t="shared" si="54"/>
        <v>2893.0642826099993</v>
      </c>
      <c r="AC66" s="145">
        <f>+(S66-T66)*V66-'data 1'!$F$4</f>
        <v>96.367999999999995</v>
      </c>
      <c r="AD66" s="145">
        <f t="shared" si="55"/>
        <v>303.59640427775992</v>
      </c>
      <c r="AE66" s="145">
        <f t="shared" si="56"/>
        <v>-14.884999999999998</v>
      </c>
      <c r="AF66" s="145">
        <f t="shared" si="57"/>
        <v>9.7643338948800071</v>
      </c>
      <c r="AG66" s="772">
        <f t="shared" si="72"/>
        <v>411.84373817263992</v>
      </c>
      <c r="AH66" s="1253">
        <f t="shared" si="45"/>
        <v>369.59500000000003</v>
      </c>
      <c r="AI66" s="1253">
        <f t="shared" si="59"/>
        <v>374.38799999999998</v>
      </c>
      <c r="AJ66" s="156">
        <f t="shared" si="60"/>
        <v>393.38524020224003</v>
      </c>
      <c r="AK66" s="156">
        <f t="shared" si="61"/>
        <v>335.99165322471492</v>
      </c>
      <c r="AM66" s="716">
        <f t="shared" si="62"/>
        <v>44874.320087563698</v>
      </c>
      <c r="AN66" s="716" t="str">
        <f>_xlfn.XLOOKUP(D66,RUC!$B$3:$B$578,RUC!$M$3:$M$578)</f>
        <v>Richard Sapacayo</v>
      </c>
      <c r="AO66" s="1167" t="s">
        <v>2278</v>
      </c>
      <c r="AP66" t="s">
        <v>4381</v>
      </c>
      <c r="AQ66" t="s">
        <v>4382</v>
      </c>
    </row>
    <row r="67" spans="1:44" ht="15" customHeight="1">
      <c r="A67" s="747" t="s">
        <v>4373</v>
      </c>
      <c r="B67" s="1447">
        <v>46041</v>
      </c>
      <c r="C67" s="1447">
        <v>46036</v>
      </c>
      <c r="D67" t="s">
        <v>1484</v>
      </c>
      <c r="E67" s="762">
        <f>_xlfn.XLOOKUP(D67,RUC!$B$3:$B$123,RUC!$D$3:$D$123)</f>
        <v>10761932735</v>
      </c>
      <c r="G67" s="1082" t="s">
        <v>2985</v>
      </c>
      <c r="H67" s="762" t="s">
        <v>108</v>
      </c>
      <c r="I67" s="703">
        <v>32.17</v>
      </c>
      <c r="J67" s="596">
        <v>21</v>
      </c>
      <c r="K67" s="703">
        <f t="shared" si="35"/>
        <v>25.414000000000001</v>
      </c>
      <c r="L67" s="1192">
        <v>0.19400000000000001</v>
      </c>
      <c r="M67" s="994">
        <f t="shared" si="64"/>
        <v>0.17499999999999999</v>
      </c>
      <c r="N67" s="1196">
        <f t="shared" ref="N67:N72" si="73">+M67</f>
        <v>0.17499999999999999</v>
      </c>
      <c r="O67" s="645">
        <f t="shared" si="69"/>
        <v>0.17499999999999999</v>
      </c>
      <c r="P67" s="727">
        <v>90</v>
      </c>
      <c r="Q67" s="1476">
        <v>97.94</v>
      </c>
      <c r="R67" s="706">
        <v>4606.5</v>
      </c>
      <c r="S67" s="765">
        <f>IF((_xlfn.XLOOKUP(D67,RUC!$B$3:$B$119,RUC!$E$3:$E$119)+ROUNDDOWN(O67,1)*100)&lt;95,95,((_xlfn.XLOOKUP(D67,RUC!$B$3:$B$119,RUC!$E$3:$E$119)+ROUNDDOWN(O67,1)*100)))</f>
        <v>100</v>
      </c>
      <c r="U67" s="1146">
        <f>_xlfn.XLOOKUP(D67,RUC!$B$3:$B$123,RUC!$F$3:$F$123)</f>
        <v>120</v>
      </c>
      <c r="V67" s="715">
        <v>1.1023000000000001</v>
      </c>
      <c r="Y67">
        <f>_xlfn.XLOOKUP(D67,RUC!$B$3:$B$123,RUC!$G$3:$G$123)</f>
        <v>20</v>
      </c>
      <c r="Z67" s="143">
        <f>_xlfn.XLOOKUP(D67,RUC!$B$3:$B$123,RUC!$H$3:$H$123)</f>
        <v>30</v>
      </c>
      <c r="AA67" s="144">
        <f t="shared" si="53"/>
        <v>50</v>
      </c>
      <c r="AB67" s="145">
        <f t="shared" si="54"/>
        <v>613.5663596249999</v>
      </c>
      <c r="AC67" s="145">
        <f>+(S67-T67)*V67-'data 1'!$F$4</f>
        <v>30.230000000000004</v>
      </c>
      <c r="AD67" s="145">
        <f t="shared" si="55"/>
        <v>76.178025518219982</v>
      </c>
      <c r="AE67" s="145">
        <f t="shared" si="56"/>
        <v>-14.884999999999998</v>
      </c>
      <c r="AF67" s="145">
        <f t="shared" si="57"/>
        <v>92.028253502970088</v>
      </c>
      <c r="AG67" s="772">
        <f t="shared" si="72"/>
        <v>200.55127902119006</v>
      </c>
      <c r="AH67" s="1253">
        <f t="shared" si="45"/>
        <v>165.55600000000001</v>
      </c>
      <c r="AI67" s="1253">
        <f t="shared" si="59"/>
        <v>169.03800000000001</v>
      </c>
      <c r="AJ67" s="156">
        <f t="shared" si="60"/>
        <v>107.54793721178</v>
      </c>
      <c r="AK67" s="156">
        <f t="shared" si="61"/>
        <v>137.23429417467526</v>
      </c>
      <c r="AM67" s="716">
        <f t="shared" si="62"/>
        <v>15593.175463509748</v>
      </c>
      <c r="AN67" s="716" t="str">
        <f>_xlfn.XLOOKUP(D67,RUC!$B$3:$B$578,RUC!$M$3:$M$578)</f>
        <v>Richard Sapacayo</v>
      </c>
      <c r="AO67" s="1167" t="s">
        <v>2277</v>
      </c>
      <c r="AP67" t="s">
        <v>4379</v>
      </c>
      <c r="AQ67" t="s">
        <v>4380</v>
      </c>
    </row>
    <row r="68" spans="1:44" ht="15" customHeight="1">
      <c r="A68" s="747" t="s">
        <v>4374</v>
      </c>
      <c r="B68" s="1447">
        <v>46043</v>
      </c>
      <c r="C68" s="1447">
        <v>46038</v>
      </c>
      <c r="D68" t="s">
        <v>4171</v>
      </c>
      <c r="E68" s="762">
        <f>_xlfn.XLOOKUP(D68,RUC!$B$3:$B$123,RUC!$D$3:$D$123)</f>
        <v>20614284740</v>
      </c>
      <c r="G68" s="1082">
        <v>44</v>
      </c>
      <c r="H68" s="762" t="s">
        <v>2005</v>
      </c>
      <c r="I68" s="703">
        <v>3.7</v>
      </c>
      <c r="J68" s="596">
        <v>2.65</v>
      </c>
      <c r="K68" s="703">
        <f t="shared" si="35"/>
        <v>3.6019999999999999</v>
      </c>
      <c r="L68" s="1192">
        <v>0.61299999999999999</v>
      </c>
      <c r="M68" s="994">
        <f t="shared" si="64"/>
        <v>0.57599999999999996</v>
      </c>
      <c r="N68" s="1196">
        <f t="shared" si="73"/>
        <v>0.57599999999999996</v>
      </c>
      <c r="O68" s="645">
        <f t="shared" si="69"/>
        <v>0.57599999999999996</v>
      </c>
      <c r="P68" s="727">
        <v>90</v>
      </c>
      <c r="Q68" s="1476">
        <v>99.18</v>
      </c>
      <c r="R68" s="706">
        <v>4611.05</v>
      </c>
      <c r="S68" s="765">
        <f>IF((_xlfn.XLOOKUP(D68,RUC!$B$3:$B$119,RUC!$E$3:$E$119)+ROUNDDOWN(O68,1)*100)&lt;95,95,((_xlfn.XLOOKUP(D68,RUC!$B$3:$B$119,RUC!$E$3:$E$119)+ROUNDDOWN(O68,1)*100)))</f>
        <v>140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3">
        <f>_xlfn.XLOOKUP(D68,RUC!$B$3:$B$123,RUC!$H$3:$H$123)</f>
        <v>30</v>
      </c>
      <c r="AA68" s="144">
        <f t="shared" si="53"/>
        <v>50</v>
      </c>
      <c r="AB68" s="145">
        <f t="shared" si="54"/>
        <v>2356.8941207359999</v>
      </c>
      <c r="AC68" s="145">
        <f>+(S68-T68)*V68-'data 1'!$F$4</f>
        <v>74.322000000000003</v>
      </c>
      <c r="AD68" s="145">
        <f t="shared" si="55"/>
        <v>278.58058967906118</v>
      </c>
      <c r="AE68" s="145">
        <f t="shared" si="56"/>
        <v>-14.884999999999998</v>
      </c>
      <c r="AF68" s="145">
        <f t="shared" si="57"/>
        <v>181.6659463834892</v>
      </c>
      <c r="AG68" s="772">
        <f t="shared" si="72"/>
        <v>536.68353606255039</v>
      </c>
      <c r="AH68" s="1253">
        <f t="shared" si="45"/>
        <v>75.081999999999994</v>
      </c>
      <c r="AI68" s="1253">
        <f t="shared" si="59"/>
        <v>75.703000000000003</v>
      </c>
      <c r="AJ68" s="156">
        <f t="shared" si="60"/>
        <v>341.08255266543893</v>
      </c>
      <c r="AK68" s="156">
        <f t="shared" si="61"/>
        <v>64.020309684762239</v>
      </c>
      <c r="AM68" s="716">
        <f t="shared" si="62"/>
        <v>8489.5326228910708</v>
      </c>
      <c r="AN68" s="716" t="str">
        <f>_xlfn.XLOOKUP(D68,RUC!$B$3:$B$578,RUC!$M$3:$M$578)</f>
        <v xml:space="preserve">Dante </v>
      </c>
      <c r="AO68" s="1167" t="s">
        <v>2280</v>
      </c>
      <c r="AP68" t="s">
        <v>4439</v>
      </c>
      <c r="AQ68" t="s">
        <v>4440</v>
      </c>
    </row>
    <row r="69" spans="1:44" ht="15" customHeight="1">
      <c r="A69" s="747" t="s">
        <v>4375</v>
      </c>
      <c r="B69" s="1447">
        <v>46043</v>
      </c>
      <c r="C69" s="1447">
        <v>46038</v>
      </c>
      <c r="D69" t="s">
        <v>4171</v>
      </c>
      <c r="E69" s="762">
        <f>_xlfn.XLOOKUP(D69,RUC!$B$3:$B$123,RUC!$D$3:$D$123)</f>
        <v>20614284740</v>
      </c>
      <c r="G69" s="1082">
        <v>8</v>
      </c>
      <c r="H69" s="762" t="s">
        <v>2005</v>
      </c>
      <c r="I69" s="703">
        <v>0.83</v>
      </c>
      <c r="J69" s="596">
        <v>3.2</v>
      </c>
      <c r="K69" s="703">
        <f t="shared" si="35"/>
        <v>0.80300000000000005</v>
      </c>
      <c r="L69" s="1192">
        <v>0.88500000000000001</v>
      </c>
      <c r="M69" s="994">
        <f t="shared" si="64"/>
        <v>0.83199999999999996</v>
      </c>
      <c r="N69" s="1196">
        <f t="shared" si="73"/>
        <v>0.83199999999999996</v>
      </c>
      <c r="O69" s="645">
        <f t="shared" si="69"/>
        <v>0.83199999999999996</v>
      </c>
      <c r="P69" s="727">
        <v>90</v>
      </c>
      <c r="Q69" s="1476">
        <v>98.19</v>
      </c>
      <c r="R69" s="706">
        <v>4611.05</v>
      </c>
      <c r="S69" s="765">
        <f>IF((_xlfn.XLOOKUP(D69,RUC!$B$3:$B$119,RUC!$E$3:$E$119)+ROUNDDOWN(O69,1)*100)&lt;95,95,((_xlfn.XLOOKUP(D69,RUC!$B$3:$B$119,RUC!$E$3:$E$119)+ROUNDDOWN(O69,1)*100)))</f>
        <v>170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3">
        <f>_xlfn.XLOOKUP(D69,RUC!$B$3:$B$123,RUC!$H$3:$H$123)</f>
        <v>30</v>
      </c>
      <c r="AA69" s="144">
        <f t="shared" si="53"/>
        <v>50</v>
      </c>
      <c r="AB69" s="145">
        <f t="shared" si="54"/>
        <v>3464.4167299519995</v>
      </c>
      <c r="AC69" s="145">
        <f>+(S69-T69)*V69-'data 1'!$F$4</f>
        <v>107.39100000000002</v>
      </c>
      <c r="AD69" s="145">
        <f t="shared" si="55"/>
        <v>358.81853612582245</v>
      </c>
      <c r="AE69" s="145">
        <f t="shared" si="56"/>
        <v>-14.884999999999998</v>
      </c>
      <c r="AF69" s="145">
        <f t="shared" si="57"/>
        <v>257.62667429569075</v>
      </c>
      <c r="AG69" s="772">
        <f t="shared" si="72"/>
        <v>725.95121042151322</v>
      </c>
      <c r="AH69" s="1253">
        <f t="shared" si="45"/>
        <v>23.923999999999999</v>
      </c>
      <c r="AI69" s="1253">
        <f t="shared" si="59"/>
        <v>24.364999999999998</v>
      </c>
      <c r="AJ69" s="156">
        <f t="shared" si="60"/>
        <v>487.51216457667732</v>
      </c>
      <c r="AK69" s="156">
        <f t="shared" si="61"/>
        <v>20.615337553187519</v>
      </c>
      <c r="AM69" s="716">
        <f t="shared" si="62"/>
        <v>2781.9266341514558</v>
      </c>
      <c r="AN69" s="716" t="str">
        <f>_xlfn.XLOOKUP(D69,RUC!$B$3:$B$578,RUC!$M$3:$M$578)</f>
        <v xml:space="preserve">Dante </v>
      </c>
      <c r="AO69" s="1167" t="s">
        <v>2280</v>
      </c>
      <c r="AP69" t="s">
        <v>4439</v>
      </c>
      <c r="AQ69" t="s">
        <v>4440</v>
      </c>
    </row>
    <row r="70" spans="1:44" ht="15" customHeight="1">
      <c r="A70" s="747" t="s">
        <v>4377</v>
      </c>
      <c r="B70" s="1447">
        <v>46052</v>
      </c>
      <c r="C70" s="1447">
        <v>46039</v>
      </c>
      <c r="D70" t="s">
        <v>4315</v>
      </c>
      <c r="E70" s="762">
        <f>_xlfn.XLOOKUP(D70,RUC!$B$3:$B$123,RUC!$D$3:$D$123)</f>
        <v>20614031698</v>
      </c>
      <c r="G70" s="1082">
        <v>10</v>
      </c>
      <c r="H70" s="762" t="s">
        <v>2005</v>
      </c>
      <c r="I70" s="703">
        <v>0.97</v>
      </c>
      <c r="J70" s="596">
        <v>1.3</v>
      </c>
      <c r="K70" s="703">
        <f t="shared" si="35"/>
        <v>0.95699999999999996</v>
      </c>
      <c r="L70" s="1192">
        <v>0.19</v>
      </c>
      <c r="M70" s="994">
        <f t="shared" si="64"/>
        <v>0.17100000000000001</v>
      </c>
      <c r="N70" s="1196">
        <f t="shared" si="73"/>
        <v>0.17100000000000001</v>
      </c>
      <c r="O70" s="645">
        <f t="shared" si="69"/>
        <v>0.17100000000000001</v>
      </c>
      <c r="P70" s="727">
        <v>85</v>
      </c>
      <c r="Q70" s="1476">
        <v>94.76</v>
      </c>
      <c r="R70" s="706">
        <v>4611.05</v>
      </c>
      <c r="S70" s="765">
        <f>IF((_xlfn.XLOOKUP(D70,RUC!$B$3:$B$119,RUC!$E$3:$E$119)+ROUNDDOWN(O70,1)*100)&lt;95,95,((_xlfn.XLOOKUP(D70,RUC!$B$3:$B$119,RUC!$E$3:$E$119)+ROUNDDOWN(O70,1)*100)))</f>
        <v>95</v>
      </c>
      <c r="U70" s="1146">
        <f>_xlfn.XLOOKUP(D70,RUC!$B$3:$B$123,RUC!$F$3:$F$123)</f>
        <v>110</v>
      </c>
      <c r="V70" s="715">
        <v>1.1023000000000001</v>
      </c>
      <c r="Y70">
        <f>_xlfn.XLOOKUP(D70,RUC!$B$3:$B$123,RUC!$G$3:$G$123)</f>
        <v>0</v>
      </c>
      <c r="Z70" s="143">
        <f>_xlfn.XLOOKUP(D70,RUC!$B$3:$B$123,RUC!$H$3:$H$123)</f>
        <v>35</v>
      </c>
      <c r="AA70" s="144">
        <f t="shared" si="53"/>
        <v>35</v>
      </c>
      <c r="AB70" s="145">
        <f t="shared" si="54"/>
        <v>577.85610277025023</v>
      </c>
      <c r="AC70" s="145">
        <f>+(S70-T70)*V70-'data 1'!$F$4</f>
        <v>24.718500000000006</v>
      </c>
      <c r="AD70" s="145">
        <f t="shared" si="55"/>
        <v>92.006193503760045</v>
      </c>
      <c r="AE70" s="145">
        <f t="shared" si="56"/>
        <v>-31.419499999999999</v>
      </c>
      <c r="AF70" s="145">
        <f t="shared" si="57"/>
        <v>89.32896410262596</v>
      </c>
      <c r="AG70" s="772">
        <f t="shared" si="72"/>
        <v>191.634157606386</v>
      </c>
      <c r="AH70" s="1253">
        <f t="shared" si="45"/>
        <v>5.907</v>
      </c>
      <c r="AI70" s="1253">
        <f t="shared" si="59"/>
        <v>6.234</v>
      </c>
      <c r="AJ70" s="156">
        <f t="shared" si="60"/>
        <v>99.022864973739985</v>
      </c>
      <c r="AK70" s="156">
        <f t="shared" si="61"/>
        <v>4.7690957634855975</v>
      </c>
      <c r="AM70" s="716">
        <f t="shared" si="62"/>
        <v>553.0082903511294</v>
      </c>
      <c r="AN70" s="716" t="str">
        <f>_xlfn.XLOOKUP(D70,RUC!$B$3:$B$578,RUC!$M$3:$M$578)</f>
        <v>Robinson Tuya</v>
      </c>
      <c r="AO70" s="1167" t="s">
        <v>2278</v>
      </c>
      <c r="AP70" t="s">
        <v>4441</v>
      </c>
      <c r="AQ70" t="s">
        <v>4442</v>
      </c>
    </row>
    <row r="71" spans="1:44" ht="15" customHeight="1">
      <c r="A71" s="747" t="s">
        <v>4384</v>
      </c>
      <c r="B71" s="1447">
        <v>46052</v>
      </c>
      <c r="C71" s="1447">
        <v>46039</v>
      </c>
      <c r="D71" t="s">
        <v>4315</v>
      </c>
      <c r="E71" s="762">
        <f>_xlfn.XLOOKUP(D71,RUC!$B$3:$B$123,RUC!$D$3:$D$123)</f>
        <v>20614031698</v>
      </c>
      <c r="G71" s="1082">
        <v>25</v>
      </c>
      <c r="H71" s="762" t="s">
        <v>2005</v>
      </c>
      <c r="I71" s="703">
        <v>2.5099999999999998</v>
      </c>
      <c r="J71" s="596">
        <v>3.3</v>
      </c>
      <c r="K71" s="703">
        <f t="shared" si="35"/>
        <v>2.427</v>
      </c>
      <c r="L71" s="1192">
        <v>0.20300000000000001</v>
      </c>
      <c r="M71" s="994">
        <f t="shared" si="64"/>
        <v>0.184</v>
      </c>
      <c r="N71" s="1196">
        <f t="shared" si="73"/>
        <v>0.184</v>
      </c>
      <c r="O71" s="645">
        <f t="shared" si="69"/>
        <v>0.184</v>
      </c>
      <c r="P71" s="727">
        <v>85</v>
      </c>
      <c r="Q71" s="1476">
        <v>93.33</v>
      </c>
      <c r="R71" s="706">
        <v>4611.05</v>
      </c>
      <c r="S71" s="765">
        <f>IF((_xlfn.XLOOKUP(D71,RUC!$B$3:$B$119,RUC!$E$3:$E$119)+ROUNDDOWN(O71,1)*100)&lt;95,95,((_xlfn.XLOOKUP(D71,RUC!$B$3:$B$119,RUC!$E$3:$E$119)+ROUNDDOWN(O71,1)*100)))</f>
        <v>95</v>
      </c>
      <c r="U71" s="1146">
        <f>_xlfn.XLOOKUP(D71,RUC!$B$3:$B$123,RUC!$F$3:$F$123)</f>
        <v>110</v>
      </c>
      <c r="V71" s="715">
        <v>1.1023000000000001</v>
      </c>
      <c r="Y71">
        <f>_xlfn.XLOOKUP(D71,RUC!$B$3:$B$123,RUC!$G$3:$G$123)</f>
        <v>0</v>
      </c>
      <c r="Z71" s="143">
        <f>_xlfn.XLOOKUP(D71,RUC!$B$3:$B$123,RUC!$H$3:$H$123)</f>
        <v>35</v>
      </c>
      <c r="AA71" s="144">
        <f t="shared" si="53"/>
        <v>35</v>
      </c>
      <c r="AB71" s="145">
        <f t="shared" si="54"/>
        <v>632.68075970600012</v>
      </c>
      <c r="AC71" s="145">
        <f>+(S71-T71)*V71-'data 1'!$F$4</f>
        <v>24.718500000000006</v>
      </c>
      <c r="AD71" s="145">
        <f t="shared" si="55"/>
        <v>83.898594236908508</v>
      </c>
      <c r="AE71" s="145">
        <f t="shared" si="56"/>
        <v>-31.419499999999999</v>
      </c>
      <c r="AF71" s="145">
        <f t="shared" si="57"/>
        <v>87.980922537970585</v>
      </c>
      <c r="AG71" s="772">
        <f t="shared" si="72"/>
        <v>182.17851677487909</v>
      </c>
      <c r="AH71" s="1253">
        <f t="shared" si="45"/>
        <v>15.765000000000001</v>
      </c>
      <c r="AI71" s="1253">
        <f t="shared" si="59"/>
        <v>16.891999999999999</v>
      </c>
      <c r="AJ71" s="156">
        <f t="shared" si="60"/>
        <v>104.20154015484148</v>
      </c>
      <c r="AK71" s="156">
        <f t="shared" si="61"/>
        <v>13.014143595105541</v>
      </c>
      <c r="AM71" s="716">
        <f t="shared" si="62"/>
        <v>1535.5162038064623</v>
      </c>
      <c r="AN71" s="716" t="str">
        <f>_xlfn.XLOOKUP(D71,RUC!$B$3:$B$578,RUC!$M$3:$M$578)</f>
        <v>Robinson Tuya</v>
      </c>
      <c r="AO71" s="1167" t="s">
        <v>2278</v>
      </c>
      <c r="AP71" t="s">
        <v>4441</v>
      </c>
      <c r="AQ71" t="s">
        <v>4442</v>
      </c>
    </row>
    <row r="72" spans="1:44" ht="15" customHeight="1">
      <c r="A72" s="747" t="s">
        <v>4385</v>
      </c>
      <c r="B72" s="1447">
        <v>46052</v>
      </c>
      <c r="C72" s="1447">
        <v>46039</v>
      </c>
      <c r="D72" t="s">
        <v>4315</v>
      </c>
      <c r="E72" s="762">
        <f>_xlfn.XLOOKUP(D72,RUC!$B$3:$B$123,RUC!$D$3:$D$123)</f>
        <v>20614031698</v>
      </c>
      <c r="G72" s="1082">
        <v>17</v>
      </c>
      <c r="H72" s="762" t="s">
        <v>2005</v>
      </c>
      <c r="I72" s="703">
        <v>1.83</v>
      </c>
      <c r="J72" s="596">
        <v>4.1500000000000004</v>
      </c>
      <c r="K72" s="703">
        <f t="shared" si="35"/>
        <v>1.754</v>
      </c>
      <c r="L72" s="1192">
        <v>0.126</v>
      </c>
      <c r="M72" s="994">
        <f t="shared" si="64"/>
        <v>0.107</v>
      </c>
      <c r="N72" s="1196">
        <f t="shared" si="73"/>
        <v>0.107</v>
      </c>
      <c r="O72" s="645">
        <f t="shared" si="69"/>
        <v>0.107</v>
      </c>
      <c r="P72" s="727">
        <v>80</v>
      </c>
      <c r="Q72" s="1476">
        <v>97.6</v>
      </c>
      <c r="R72" s="706">
        <v>4611.05</v>
      </c>
      <c r="S72" s="765">
        <f>IF((_xlfn.XLOOKUP(D72,RUC!$B$3:$B$119,RUC!$E$3:$E$119)+ROUNDDOWN(O72,1)*100)&lt;95,95,((_xlfn.XLOOKUP(D72,RUC!$B$3:$B$119,RUC!$E$3:$E$119)+ROUNDDOWN(O72,1)*100)))</f>
        <v>95</v>
      </c>
      <c r="U72" s="1146">
        <f>_xlfn.XLOOKUP(D72,RUC!$B$3:$B$123,RUC!$F$3:$F$123)</f>
        <v>110</v>
      </c>
      <c r="V72" s="715">
        <v>1.1023000000000001</v>
      </c>
      <c r="Y72">
        <f>_xlfn.XLOOKUP(D72,RUC!$B$3:$B$123,RUC!$G$3:$G$123)</f>
        <v>0</v>
      </c>
      <c r="Z72" s="143">
        <f>_xlfn.XLOOKUP(D72,RUC!$B$3:$B$123,RUC!$H$3:$H$123)</f>
        <v>35</v>
      </c>
      <c r="AA72" s="144">
        <f t="shared" si="53"/>
        <v>35</v>
      </c>
      <c r="AB72" s="145">
        <f t="shared" si="54"/>
        <v>281.40603472400005</v>
      </c>
      <c r="AC72" s="145">
        <f>+(S72-T72)*V72-'data 1'!$F$4</f>
        <v>24.718500000000006</v>
      </c>
      <c r="AD72" s="145">
        <f t="shared" si="55"/>
        <v>110.02638843503998</v>
      </c>
      <c r="AE72" s="145">
        <f t="shared" si="56"/>
        <v>-31.419499999999999</v>
      </c>
      <c r="AF72" s="145">
        <f t="shared" si="57"/>
        <v>92.006193503760016</v>
      </c>
      <c r="AG72" s="772">
        <f t="shared" si="72"/>
        <v>212.33158193880001</v>
      </c>
      <c r="AH72" s="1253">
        <f t="shared" si="45"/>
        <v>7.3949999999999996</v>
      </c>
      <c r="AI72" s="1253">
        <f t="shared" si="59"/>
        <v>7.577</v>
      </c>
      <c r="AJ72" s="156">
        <f t="shared" si="60"/>
        <v>67.635888132959977</v>
      </c>
      <c r="AK72" s="156">
        <f t="shared" si="61"/>
        <v>5.14769044675832</v>
      </c>
      <c r="AM72" s="716">
        <f t="shared" si="62"/>
        <v>493.58618490589612</v>
      </c>
      <c r="AN72" s="716" t="str">
        <f>_xlfn.XLOOKUP(D72,RUC!$B$3:$B$578,RUC!$M$3:$M$578)</f>
        <v>Robinson Tuya</v>
      </c>
      <c r="AO72" s="1167" t="s">
        <v>2278</v>
      </c>
      <c r="AP72" t="s">
        <v>4441</v>
      </c>
      <c r="AQ72" t="s">
        <v>4442</v>
      </c>
    </row>
    <row r="73" spans="1:44" ht="15" customHeight="1">
      <c r="A73" s="747" t="s">
        <v>4386</v>
      </c>
      <c r="B73" s="1447">
        <v>46046</v>
      </c>
      <c r="C73" s="1447">
        <v>46039</v>
      </c>
      <c r="D73" t="s">
        <v>4171</v>
      </c>
      <c r="E73" s="762">
        <f>_xlfn.XLOOKUP(D73,RUC!$B$3:$B$123,RUC!$D$3:$D$123)</f>
        <v>20614284740</v>
      </c>
      <c r="G73" s="1082">
        <v>60</v>
      </c>
      <c r="H73" s="762" t="s">
        <v>69</v>
      </c>
      <c r="I73" s="703">
        <v>4.49</v>
      </c>
      <c r="J73" s="596">
        <v>3.5</v>
      </c>
      <c r="K73" s="703">
        <f t="shared" si="35"/>
        <v>4.3330000000000002</v>
      </c>
      <c r="L73" s="1192">
        <v>0.65300000000000002</v>
      </c>
      <c r="M73" s="994">
        <f t="shared" si="64"/>
        <v>0.61399999999999999</v>
      </c>
      <c r="N73" s="1444">
        <v>0.66</v>
      </c>
      <c r="O73" s="645">
        <f t="shared" si="69"/>
        <v>0.63700000000000001</v>
      </c>
      <c r="P73" s="727">
        <v>90</v>
      </c>
      <c r="Q73" s="1476">
        <v>96.63</v>
      </c>
      <c r="R73" s="706">
        <v>4611.05</v>
      </c>
      <c r="S73" s="765">
        <f>IF((_xlfn.XLOOKUP(D73,RUC!$B$3:$B$119,RUC!$E$3:$E$119)+ROUNDDOWN(O73,1)*100)&lt;95,95,((_xlfn.XLOOKUP(D73,RUC!$B$3:$B$119,RUC!$E$3:$E$119)+ROUNDDOWN(O73,1)*100)))</f>
        <v>150</v>
      </c>
      <c r="U73" s="1146">
        <f>_xlfn.XLOOKUP(D73,RUC!$B$3:$B$123,RUC!$F$3:$F$123)</f>
        <v>120</v>
      </c>
      <c r="V73" s="715">
        <v>1.1023000000000001</v>
      </c>
      <c r="Y73" s="1445">
        <v>30</v>
      </c>
      <c r="Z73" s="143">
        <f>_xlfn.XLOOKUP(D73,RUC!$B$3:$B$123,RUC!$H$3:$H$123)</f>
        <v>30</v>
      </c>
      <c r="AA73" s="144">
        <f t="shared" si="53"/>
        <v>60</v>
      </c>
      <c r="AB73" s="145">
        <f t="shared" si="54"/>
        <v>2606.6297151195004</v>
      </c>
      <c r="AC73" s="145">
        <f>+(S73-T73)*V73-'data 1'!$F$4</f>
        <v>85.344999999999999</v>
      </c>
      <c r="AD73" s="145">
        <f t="shared" si="55"/>
        <v>214.32577721456838</v>
      </c>
      <c r="AE73" s="145">
        <f t="shared" si="56"/>
        <v>-3.8619999999999948</v>
      </c>
      <c r="AF73" s="145">
        <f t="shared" si="57"/>
        <v>76.538449443432057</v>
      </c>
      <c r="AG73" s="772">
        <f t="shared" si="72"/>
        <v>389.34722665800047</v>
      </c>
      <c r="AH73" s="1253">
        <f t="shared" si="45"/>
        <v>93.74</v>
      </c>
      <c r="AI73" s="1253">
        <f t="shared" si="59"/>
        <v>97.009</v>
      </c>
      <c r="AJ73" s="156">
        <f t="shared" si="60"/>
        <v>353.9974119399314</v>
      </c>
      <c r="AK73" s="156">
        <f t="shared" si="61"/>
        <v>85.168637594958653</v>
      </c>
      <c r="AM73" s="716">
        <f t="shared" si="62"/>
        <v>11294.526555612796</v>
      </c>
      <c r="AN73" s="716" t="str">
        <f>_xlfn.XLOOKUP(D73,RUC!$B$3:$B$578,RUC!$M$3:$M$578)</f>
        <v xml:space="preserve">Dante </v>
      </c>
      <c r="AO73" s="1167" t="s">
        <v>2277</v>
      </c>
      <c r="AP73" t="s">
        <v>3484</v>
      </c>
      <c r="AQ73" t="s">
        <v>4443</v>
      </c>
    </row>
    <row r="74" spans="1:44" ht="15" customHeight="1">
      <c r="A74" s="747" t="s">
        <v>4409</v>
      </c>
      <c r="B74" s="1447">
        <v>46047</v>
      </c>
      <c r="C74" s="1447">
        <v>46040</v>
      </c>
      <c r="D74" t="s">
        <v>3062</v>
      </c>
      <c r="E74" s="762">
        <f>_xlfn.XLOOKUP(D74,RUC!$B$3:$B$123,RUC!$D$3:$D$123)</f>
        <v>20610807004</v>
      </c>
      <c r="G74" s="1082">
        <v>48</v>
      </c>
      <c r="H74" s="762" t="s">
        <v>2005</v>
      </c>
      <c r="I74" s="703">
        <v>3.97</v>
      </c>
      <c r="J74" s="596">
        <v>9.75</v>
      </c>
      <c r="K74" s="703">
        <f t="shared" si="35"/>
        <v>3.5830000000000002</v>
      </c>
      <c r="L74" s="1192">
        <v>0.28899999999999998</v>
      </c>
      <c r="M74" s="994">
        <f t="shared" si="64"/>
        <v>0.27</v>
      </c>
      <c r="N74" s="1196">
        <f t="shared" ref="N74:N82" si="74">+M74</f>
        <v>0.27</v>
      </c>
      <c r="O74" s="645">
        <f t="shared" si="69"/>
        <v>0.27</v>
      </c>
      <c r="P74" s="727">
        <v>83</v>
      </c>
      <c r="Q74" s="1476">
        <v>83.74</v>
      </c>
      <c r="R74" s="706">
        <v>4666.8500000000004</v>
      </c>
      <c r="S74" s="765">
        <f>IF((_xlfn.XLOOKUP(D74,RUC!$B$3:$B$119,RUC!$E$3:$E$119)+ROUNDDOWN(O74,1)*100)&lt;95,95,((_xlfn.XLOOKUP(D74,RUC!$B$3:$B$119,RUC!$E$3:$E$119)+ROUNDDOWN(O74,1)*100)))</f>
        <v>105</v>
      </c>
      <c r="U74" s="1146">
        <f>_xlfn.XLOOKUP(D74,RUC!$B$3:$B$123,RUC!$F$3:$F$123)</f>
        <v>120</v>
      </c>
      <c r="V74" s="715">
        <v>1.1023000000000001</v>
      </c>
      <c r="Y74">
        <f>_xlfn.XLOOKUP(D74,RUC!$B$3:$B$123,RUC!$G$3:$G$123)</f>
        <v>20</v>
      </c>
      <c r="Z74" s="143">
        <f>_xlfn.XLOOKUP(D74,RUC!$B$3:$B$123,RUC!$H$3:$H$123)</f>
        <v>30</v>
      </c>
      <c r="AA74" s="144">
        <f t="shared" si="53"/>
        <v>50</v>
      </c>
      <c r="AB74" s="145">
        <f t="shared" si="54"/>
        <v>952.33107639550019</v>
      </c>
      <c r="AC74" s="145">
        <f>+(S74-T74)*V74-'data 1'!$F$4</f>
        <v>35.741500000000002</v>
      </c>
      <c r="AD74" s="145">
        <f t="shared" si="55"/>
        <v>10.718647705842928</v>
      </c>
      <c r="AE74" s="145">
        <f t="shared" si="56"/>
        <v>-14.884999999999998</v>
      </c>
      <c r="AF74" s="145">
        <f t="shared" si="57"/>
        <v>79.743811927702851</v>
      </c>
      <c r="AG74" s="772">
        <f t="shared" si="72"/>
        <v>128.31895963354577</v>
      </c>
      <c r="AH74" s="1253">
        <f t="shared" si="45"/>
        <v>29.728999999999999</v>
      </c>
      <c r="AI74" s="1253">
        <f t="shared" si="59"/>
        <v>35.502000000000002</v>
      </c>
      <c r="AJ74" s="156">
        <f t="shared" si="60"/>
        <v>120.8850490523069</v>
      </c>
      <c r="AK74" s="156">
        <f t="shared" si="61"/>
        <v>27.529462620363919</v>
      </c>
      <c r="AM74" s="716">
        <f t="shared" si="62"/>
        <v>3412.2022467250772</v>
      </c>
      <c r="AN74" s="716" t="str">
        <f>_xlfn.XLOOKUP(D74,RUC!$B$3:$B$578,RUC!$M$3:$M$578)</f>
        <v>Renzo</v>
      </c>
      <c r="AO74" s="1167" t="s">
        <v>2277</v>
      </c>
      <c r="AP74" t="s">
        <v>3121</v>
      </c>
      <c r="AQ74" t="s">
        <v>2374</v>
      </c>
      <c r="AR74" t="s">
        <v>4503</v>
      </c>
    </row>
    <row r="75" spans="1:44" ht="15" customHeight="1">
      <c r="A75" s="747" t="s">
        <v>4410</v>
      </c>
      <c r="B75" s="1447">
        <v>46047</v>
      </c>
      <c r="C75" s="1447">
        <v>46040</v>
      </c>
      <c r="D75" t="s">
        <v>3062</v>
      </c>
      <c r="E75" s="762">
        <f>_xlfn.XLOOKUP(D75,RUC!$B$3:$B$123,RUC!$D$3:$D$123)</f>
        <v>20610807004</v>
      </c>
      <c r="G75" s="1082">
        <v>50</v>
      </c>
      <c r="H75" s="762" t="s">
        <v>2005</v>
      </c>
      <c r="I75" s="703">
        <v>3.63</v>
      </c>
      <c r="J75" s="596">
        <v>18.8</v>
      </c>
      <c r="K75" s="703">
        <f t="shared" si="35"/>
        <v>2.948</v>
      </c>
      <c r="L75" s="1192">
        <v>0.16900000000000001</v>
      </c>
      <c r="M75" s="994">
        <f t="shared" si="64"/>
        <v>0.15</v>
      </c>
      <c r="N75" s="1196">
        <f t="shared" si="74"/>
        <v>0.15</v>
      </c>
      <c r="O75" s="645">
        <f t="shared" si="69"/>
        <v>0.15</v>
      </c>
      <c r="P75" s="727">
        <v>76</v>
      </c>
      <c r="Q75" s="1476">
        <v>79.290000000000006</v>
      </c>
      <c r="R75" s="706">
        <v>4666.8500000000004</v>
      </c>
      <c r="S75" s="765">
        <f>IF((_xlfn.XLOOKUP(D75,RUC!$B$3:$B$119,RUC!$E$3:$E$119)+ROUNDDOWN(O75,1)*100)&lt;95,95,((_xlfn.XLOOKUP(D75,RUC!$B$3:$B$119,RUC!$E$3:$E$119)+ROUNDDOWN(O75,1)*100)))</f>
        <v>95</v>
      </c>
      <c r="U75" s="1146">
        <f>_xlfn.XLOOKUP(D75,RUC!$B$3:$B$123,RUC!$F$3:$F$123)</f>
        <v>120</v>
      </c>
      <c r="V75" s="715">
        <v>1.1023000000000001</v>
      </c>
      <c r="Y75">
        <f>_xlfn.XLOOKUP(D75,RUC!$B$3:$B$123,RUC!$G$3:$G$123)</f>
        <v>20</v>
      </c>
      <c r="Z75" s="143">
        <f>_xlfn.XLOOKUP(D75,RUC!$B$3:$B$123,RUC!$H$3:$H$123)</f>
        <v>30</v>
      </c>
      <c r="AA75" s="144">
        <f t="shared" si="53"/>
        <v>50</v>
      </c>
      <c r="AB75" s="145">
        <f t="shared" si="54"/>
        <v>411.53367407000007</v>
      </c>
      <c r="AC75" s="145">
        <f>+(S75-T75)*V75-'data 1'!$F$4</f>
        <v>24.718500000000006</v>
      </c>
      <c r="AD75" s="145">
        <f t="shared" si="55"/>
        <v>27.867180917075558</v>
      </c>
      <c r="AE75" s="145">
        <f t="shared" si="56"/>
        <v>-14.884999999999998</v>
      </c>
      <c r="AF75" s="145">
        <f t="shared" si="57"/>
        <v>75.506172053350582</v>
      </c>
      <c r="AG75" s="772">
        <f t="shared" si="72"/>
        <v>130.20685297042616</v>
      </c>
      <c r="AH75" s="1253">
        <f t="shared" si="45"/>
        <v>13.544</v>
      </c>
      <c r="AI75" s="1253">
        <f t="shared" si="59"/>
        <v>17.081</v>
      </c>
      <c r="AJ75" s="156">
        <f t="shared" si="60"/>
        <v>66.934020780724452</v>
      </c>
      <c r="AK75" s="156">
        <f t="shared" si="61"/>
        <v>11.522358932739598</v>
      </c>
      <c r="AM75" s="716">
        <f t="shared" si="62"/>
        <v>1213.2012711583602</v>
      </c>
      <c r="AN75" s="716" t="str">
        <f>_xlfn.XLOOKUP(D75,RUC!$B$3:$B$578,RUC!$M$3:$M$578)</f>
        <v>Renzo</v>
      </c>
      <c r="AO75" s="1167" t="s">
        <v>2277</v>
      </c>
      <c r="AP75" t="s">
        <v>3121</v>
      </c>
      <c r="AQ75" t="s">
        <v>2374</v>
      </c>
      <c r="AR75" t="s">
        <v>4504</v>
      </c>
    </row>
    <row r="76" spans="1:44" ht="15" customHeight="1">
      <c r="A76" s="747" t="s">
        <v>4411</v>
      </c>
      <c r="B76" s="1447">
        <v>46047</v>
      </c>
      <c r="C76" s="1447">
        <v>46040</v>
      </c>
      <c r="D76" t="s">
        <v>3062</v>
      </c>
      <c r="E76" s="762">
        <f>_xlfn.XLOOKUP(D76,RUC!$B$3:$B$123,RUC!$D$3:$D$123)</f>
        <v>20610807004</v>
      </c>
      <c r="G76" s="1082">
        <v>77</v>
      </c>
      <c r="H76" s="762" t="s">
        <v>2005</v>
      </c>
      <c r="I76" s="703">
        <v>6.19</v>
      </c>
      <c r="J76" s="596">
        <v>11.32</v>
      </c>
      <c r="K76" s="703">
        <f t="shared" si="35"/>
        <v>5.4889999999999999</v>
      </c>
      <c r="L76" s="1192">
        <v>0.22</v>
      </c>
      <c r="M76" s="994">
        <f t="shared" si="64"/>
        <v>0.20100000000000001</v>
      </c>
      <c r="N76" s="1196">
        <f t="shared" si="74"/>
        <v>0.20100000000000001</v>
      </c>
      <c r="O76" s="645">
        <f t="shared" si="69"/>
        <v>0.20100000000000001</v>
      </c>
      <c r="P76" s="727">
        <v>85</v>
      </c>
      <c r="Q76" s="1476">
        <v>90.45</v>
      </c>
      <c r="R76" s="706">
        <v>4666.8500000000004</v>
      </c>
      <c r="S76" s="765">
        <f>IF((_xlfn.XLOOKUP(D76,RUC!$B$3:$B$119,RUC!$E$3:$E$119)+ROUNDDOWN(O76,1)*100)&lt;95,95,((_xlfn.XLOOKUP(D76,RUC!$B$3:$B$119,RUC!$E$3:$E$119)+ROUNDDOWN(O76,1)*100)))</f>
        <v>105</v>
      </c>
      <c r="U76" s="1146">
        <f>_xlfn.XLOOKUP(D76,RUC!$B$3:$B$123,RUC!$F$3:$F$123)</f>
        <v>120</v>
      </c>
      <c r="V76" s="715">
        <v>1.1023000000000001</v>
      </c>
      <c r="Y76">
        <f>_xlfn.XLOOKUP(D76,RUC!$B$3:$B$123,RUC!$G$3:$G$123)</f>
        <v>20</v>
      </c>
      <c r="Z76" s="143">
        <f>_xlfn.XLOOKUP(D76,RUC!$B$3:$B$123,RUC!$H$3:$H$123)</f>
        <v>30</v>
      </c>
      <c r="AA76" s="144">
        <f t="shared" si="53"/>
        <v>50</v>
      </c>
      <c r="AB76" s="145">
        <f t="shared" si="54"/>
        <v>685.44246219175011</v>
      </c>
      <c r="AC76" s="145">
        <f>+(S76-T76)*V76-'data 1'!$F$4</f>
        <v>35.741500000000002</v>
      </c>
      <c r="AD76" s="145">
        <f t="shared" si="55"/>
        <v>60.093793132450038</v>
      </c>
      <c r="AE76" s="145">
        <f t="shared" si="56"/>
        <v>-14.884999999999998</v>
      </c>
      <c r="AF76" s="145">
        <f t="shared" si="57"/>
        <v>86.133601491052474</v>
      </c>
      <c r="AG76" s="772">
        <f t="shared" si="72"/>
        <v>184.08389462350252</v>
      </c>
      <c r="AH76" s="1253">
        <f t="shared" si="45"/>
        <v>37.448</v>
      </c>
      <c r="AI76" s="1253">
        <f t="shared" si="59"/>
        <v>41.402000000000001</v>
      </c>
      <c r="AJ76" s="156">
        <f t="shared" si="60"/>
        <v>99.396946682549938</v>
      </c>
      <c r="AK76" s="156">
        <f t="shared" si="61"/>
        <v>32.152687771851987</v>
      </c>
      <c r="AM76" s="716">
        <f t="shared" si="62"/>
        <v>3762.3936749705163</v>
      </c>
      <c r="AN76" s="716" t="str">
        <f>_xlfn.XLOOKUP(D76,RUC!$B$3:$B$578,RUC!$M$3:$M$578)</f>
        <v>Renzo</v>
      </c>
      <c r="AO76" s="1167" t="s">
        <v>2277</v>
      </c>
      <c r="AP76" t="s">
        <v>3121</v>
      </c>
      <c r="AQ76" t="s">
        <v>2374</v>
      </c>
      <c r="AR76" t="s">
        <v>4505</v>
      </c>
    </row>
    <row r="77" spans="1:44" ht="15" customHeight="1">
      <c r="A77" s="747" t="s">
        <v>4412</v>
      </c>
      <c r="B77" s="1447">
        <v>46052</v>
      </c>
      <c r="C77" s="1447">
        <v>46041</v>
      </c>
      <c r="D77" t="s">
        <v>119</v>
      </c>
      <c r="E77" s="762">
        <f>_xlfn.XLOOKUP(D77,RUC!$B$3:$B$123,RUC!$D$3:$D$123)</f>
        <v>10082235774</v>
      </c>
      <c r="G77" s="1082">
        <v>54</v>
      </c>
      <c r="H77" s="762" t="s">
        <v>69</v>
      </c>
      <c r="I77" s="703">
        <v>5.6</v>
      </c>
      <c r="J77" s="596">
        <v>1.8</v>
      </c>
      <c r="K77" s="703">
        <f t="shared" si="35"/>
        <v>5.4989999999999997</v>
      </c>
      <c r="L77" s="1192">
        <v>0.53500000000000003</v>
      </c>
      <c r="M77" s="994">
        <f t="shared" si="64"/>
        <v>0.52700000000000002</v>
      </c>
      <c r="N77" s="1444">
        <v>0.56100000000000005</v>
      </c>
      <c r="O77" s="645">
        <f t="shared" si="69"/>
        <v>0.54400000000000004</v>
      </c>
      <c r="P77" s="727">
        <v>86</v>
      </c>
      <c r="Q77" s="1476">
        <v>88.6</v>
      </c>
      <c r="R77" s="706">
        <v>4666.8500000000004</v>
      </c>
      <c r="S77" s="1164">
        <v>120</v>
      </c>
      <c r="U77" s="1146">
        <f>_xlfn.XLOOKUP(D77,RUC!$B$3:$B$123,RUC!$F$3:$F$123)</f>
        <v>80</v>
      </c>
      <c r="V77" s="715">
        <v>1.1023000000000001</v>
      </c>
      <c r="Y77">
        <f>_xlfn.XLOOKUP(D77,RUC!$B$3:$B$123,RUC!$G$3:$G$123)</f>
        <v>0</v>
      </c>
      <c r="Z77" s="143">
        <f>_xlfn.XLOOKUP(D77,RUC!$B$3:$B$123,RUC!$H$3:$H$123)</f>
        <v>10</v>
      </c>
      <c r="AA77" s="144">
        <f t="shared" si="53"/>
        <v>10</v>
      </c>
      <c r="AB77" s="145">
        <f t="shared" si="54"/>
        <v>2222.1396917792008</v>
      </c>
      <c r="AC77" s="145">
        <f>+(S77-T77)*V77-'data 1'!$F$4</f>
        <v>52.27600000000001</v>
      </c>
      <c r="AD77" s="145">
        <f t="shared" si="55"/>
        <v>70.330138942049857</v>
      </c>
      <c r="AE77" s="145">
        <f t="shared" si="56"/>
        <v>-58.977000000000004</v>
      </c>
      <c r="AF77" s="145">
        <f t="shared" si="57"/>
        <v>-40.317219836370043</v>
      </c>
      <c r="AG77" s="772">
        <f>AC77+AD77+AE77+AF77+70</f>
        <v>93.31191910567982</v>
      </c>
      <c r="AH77" s="1253">
        <f t="shared" si="45"/>
        <v>89.367999999999995</v>
      </c>
      <c r="AI77" s="1253">
        <f t="shared" si="59"/>
        <v>100.866</v>
      </c>
      <c r="AJ77" s="156">
        <f t="shared" si="60"/>
        <v>215.87138028244982</v>
      </c>
      <c r="AK77" s="156">
        <f t="shared" si="61"/>
        <v>88.204377623270702</v>
      </c>
      <c r="AM77" s="716">
        <f t="shared" si="62"/>
        <v>12219.546165093825</v>
      </c>
      <c r="AN77" s="716" t="str">
        <f>_xlfn.XLOOKUP(D77,RUC!$B$3:$B$578,RUC!$M$3:$M$578)</f>
        <v>Melchor Vera</v>
      </c>
      <c r="AO77" s="1167" t="s">
        <v>2280</v>
      </c>
      <c r="AP77" t="s">
        <v>4444</v>
      </c>
      <c r="AQ77" t="s">
        <v>4445</v>
      </c>
    </row>
    <row r="78" spans="1:44" ht="15" customHeight="1">
      <c r="A78" s="747" t="s">
        <v>4413</v>
      </c>
      <c r="B78" s="1447">
        <v>46052</v>
      </c>
      <c r="C78" s="1447">
        <v>46041</v>
      </c>
      <c r="D78" t="s">
        <v>119</v>
      </c>
      <c r="E78" s="762">
        <f>_xlfn.XLOOKUP(D78,RUC!$B$3:$B$123,RUC!$D$3:$D$123)</f>
        <v>10082235774</v>
      </c>
      <c r="G78" s="1082">
        <v>53</v>
      </c>
      <c r="H78" s="762" t="s">
        <v>69</v>
      </c>
      <c r="I78" s="703">
        <v>5.25</v>
      </c>
      <c r="J78" s="596">
        <v>3.4</v>
      </c>
      <c r="K78" s="703">
        <f t="shared" si="35"/>
        <v>5.0720000000000001</v>
      </c>
      <c r="L78" s="1192">
        <v>0.41699999999999998</v>
      </c>
      <c r="M78" s="994">
        <f t="shared" si="64"/>
        <v>0.41</v>
      </c>
      <c r="N78" s="1196">
        <f t="shared" si="74"/>
        <v>0.41</v>
      </c>
      <c r="O78" s="645">
        <f t="shared" si="69"/>
        <v>0.41</v>
      </c>
      <c r="P78" s="727">
        <v>90</v>
      </c>
      <c r="Q78" s="1476">
        <v>95.68</v>
      </c>
      <c r="R78" s="706">
        <v>4666.8500000000004</v>
      </c>
      <c r="S78" s="1164">
        <v>115</v>
      </c>
      <c r="U78" s="1146">
        <f>_xlfn.XLOOKUP(D78,RUC!$B$3:$B$123,RUC!$F$3:$F$123)</f>
        <v>80</v>
      </c>
      <c r="V78" s="715">
        <v>1.1023000000000001</v>
      </c>
      <c r="Y78">
        <f>_xlfn.XLOOKUP(D78,RUC!$B$3:$B$123,RUC!$G$3:$G$123)</f>
        <v>0</v>
      </c>
      <c r="Z78" s="143">
        <f>_xlfn.XLOOKUP(D78,RUC!$B$3:$B$123,RUC!$H$3:$H$123)</f>
        <v>10</v>
      </c>
      <c r="AA78" s="144">
        <f t="shared" si="53"/>
        <v>10</v>
      </c>
      <c r="AB78" s="145">
        <f t="shared" si="54"/>
        <v>1727.9077745950003</v>
      </c>
      <c r="AC78" s="145">
        <f>+(S78-T78)*V78-'data 1'!$F$4</f>
        <v>46.764500000000012</v>
      </c>
      <c r="AD78" s="145">
        <f t="shared" si="55"/>
        <v>119.75640107302816</v>
      </c>
      <c r="AE78" s="145">
        <f t="shared" si="56"/>
        <v>-58.977000000000004</v>
      </c>
      <c r="AF78" s="145">
        <f t="shared" si="57"/>
        <v>33.863633255088033</v>
      </c>
      <c r="AG78" s="772">
        <f t="shared" ref="AG78:AG84" si="75">AC78+AD78+AE78+AF78+70</f>
        <v>211.40753432811618</v>
      </c>
      <c r="AH78" s="1253">
        <f t="shared" si="45"/>
        <v>69.382000000000005</v>
      </c>
      <c r="AI78" s="1253">
        <f t="shared" si="59"/>
        <v>72.513999999999996</v>
      </c>
      <c r="AJ78" s="156">
        <f t="shared" si="60"/>
        <v>181.70412477547185</v>
      </c>
      <c r="AK78" s="156">
        <f t="shared" si="61"/>
        <v>64.1674351419624</v>
      </c>
      <c r="AM78" s="716">
        <f t="shared" si="62"/>
        <v>8763.9482327458409</v>
      </c>
      <c r="AN78" s="716" t="str">
        <f>_xlfn.XLOOKUP(D78,RUC!$B$3:$B$578,RUC!$M$3:$M$578)</f>
        <v>Melchor Vera</v>
      </c>
      <c r="AO78" s="1167" t="s">
        <v>2280</v>
      </c>
      <c r="AP78" t="s">
        <v>4444</v>
      </c>
      <c r="AQ78" t="s">
        <v>4445</v>
      </c>
    </row>
    <row r="79" spans="1:44" ht="15" customHeight="1">
      <c r="A79" s="747" t="s">
        <v>4414</v>
      </c>
      <c r="B79" s="1447">
        <v>46052</v>
      </c>
      <c r="C79" s="1447">
        <v>46041</v>
      </c>
      <c r="D79" t="s">
        <v>119</v>
      </c>
      <c r="E79" s="762">
        <f>_xlfn.XLOOKUP(D79,RUC!$B$3:$B$123,RUC!$D$3:$D$123)</f>
        <v>10082235774</v>
      </c>
      <c r="G79" s="1082">
        <v>73</v>
      </c>
      <c r="H79" s="762" t="s">
        <v>69</v>
      </c>
      <c r="I79" s="703">
        <v>7.31</v>
      </c>
      <c r="J79" s="596">
        <v>2.7</v>
      </c>
      <c r="K79" s="703">
        <f t="shared" si="35"/>
        <v>7.1130000000000004</v>
      </c>
      <c r="L79" s="1192">
        <v>0.58399999999999996</v>
      </c>
      <c r="M79" s="994">
        <f t="shared" si="64"/>
        <v>0.57499999999999996</v>
      </c>
      <c r="N79" s="1444">
        <v>0.60799999999999998</v>
      </c>
      <c r="O79" s="645">
        <f t="shared" si="69"/>
        <v>0.59199999999999997</v>
      </c>
      <c r="P79" s="727">
        <v>90</v>
      </c>
      <c r="Q79" s="1476">
        <v>94.18</v>
      </c>
      <c r="R79" s="706">
        <v>4666.8500000000004</v>
      </c>
      <c r="S79" s="1164">
        <v>120</v>
      </c>
      <c r="U79" s="1146">
        <f>_xlfn.XLOOKUP(D79,RUC!$B$3:$B$123,RUC!$F$3:$F$123)</f>
        <v>80</v>
      </c>
      <c r="V79" s="715">
        <v>1.1023000000000001</v>
      </c>
      <c r="Y79">
        <f>_xlfn.XLOOKUP(D79,RUC!$B$3:$B$123,RUC!$G$3:$G$123)</f>
        <v>0</v>
      </c>
      <c r="Z79" s="143">
        <f>_xlfn.XLOOKUP(D79,RUC!$B$3:$B$123,RUC!$H$3:$H$123)</f>
        <v>10</v>
      </c>
      <c r="AA79" s="144">
        <f t="shared" si="53"/>
        <v>10</v>
      </c>
      <c r="AB79" s="145">
        <f t="shared" si="54"/>
        <v>2550.5829574639997</v>
      </c>
      <c r="AC79" s="145">
        <f>+(S79-T79)*V79-'data 1'!$F$4</f>
        <v>52.27600000000001</v>
      </c>
      <c r="AD79" s="145">
        <f t="shared" si="55"/>
        <v>123.42509617125621</v>
      </c>
      <c r="AE79" s="145">
        <f t="shared" si="56"/>
        <v>-58.977000000000004</v>
      </c>
      <c r="AF79" s="145">
        <f t="shared" si="57"/>
        <v>-38.094564978072043</v>
      </c>
      <c r="AG79" s="772">
        <f t="shared" si="75"/>
        <v>148.62953119318416</v>
      </c>
      <c r="AH79" s="1253">
        <f t="shared" si="45"/>
        <v>134.13200000000001</v>
      </c>
      <c r="AI79" s="1253">
        <f t="shared" si="59"/>
        <v>142.42099999999999</v>
      </c>
      <c r="AJ79" s="156">
        <f t="shared" si="60"/>
        <v>250.4834854007438</v>
      </c>
      <c r="AK79" s="156">
        <f t="shared" si="61"/>
        <v>129.93498305837352</v>
      </c>
      <c r="AM79" s="716">
        <f t="shared" si="62"/>
        <v>18142.296576441429</v>
      </c>
      <c r="AN79" s="716" t="str">
        <f>_xlfn.XLOOKUP(D79,RUC!$B$3:$B$578,RUC!$M$3:$M$578)</f>
        <v>Melchor Vera</v>
      </c>
      <c r="AO79" s="1167" t="s">
        <v>2280</v>
      </c>
      <c r="AP79" t="s">
        <v>4444</v>
      </c>
      <c r="AQ79" t="s">
        <v>4445</v>
      </c>
    </row>
    <row r="80" spans="1:44" ht="15" customHeight="1">
      <c r="A80" s="747" t="s">
        <v>4415</v>
      </c>
      <c r="B80" s="1447">
        <v>46052</v>
      </c>
      <c r="C80" s="1447">
        <v>46041</v>
      </c>
      <c r="D80" t="s">
        <v>119</v>
      </c>
      <c r="E80" s="762">
        <f>_xlfn.XLOOKUP(D80,RUC!$B$3:$B$123,RUC!$D$3:$D$123)</f>
        <v>10082235774</v>
      </c>
      <c r="G80" s="1082">
        <v>55</v>
      </c>
      <c r="H80" s="762" t="s">
        <v>69</v>
      </c>
      <c r="I80" s="703">
        <v>5.04</v>
      </c>
      <c r="J80" s="596">
        <v>3.8</v>
      </c>
      <c r="K80" s="703">
        <f t="shared" si="35"/>
        <v>4.8479999999999999</v>
      </c>
      <c r="L80" s="1192">
        <v>0.16</v>
      </c>
      <c r="M80" s="994">
        <f t="shared" si="64"/>
        <v>0.153</v>
      </c>
      <c r="N80" s="1196">
        <f t="shared" si="74"/>
        <v>0.153</v>
      </c>
      <c r="O80" s="645">
        <f t="shared" si="69"/>
        <v>0.153</v>
      </c>
      <c r="P80" s="727">
        <v>85</v>
      </c>
      <c r="Q80" s="1476">
        <v>96.25</v>
      </c>
      <c r="R80" s="706">
        <v>4666.8500000000004</v>
      </c>
      <c r="S80" s="1164">
        <v>95</v>
      </c>
      <c r="U80" s="1146">
        <f>_xlfn.XLOOKUP(D80,RUC!$B$3:$B$123,RUC!$F$3:$F$123)</f>
        <v>80</v>
      </c>
      <c r="V80" s="715">
        <v>1.1023000000000001</v>
      </c>
      <c r="Y80">
        <f>_xlfn.XLOOKUP(D80,RUC!$B$3:$B$123,RUC!$G$3:$G$123)</f>
        <v>0</v>
      </c>
      <c r="Z80" s="143">
        <f>_xlfn.XLOOKUP(D80,RUC!$B$3:$B$123,RUC!$H$3:$H$123)</f>
        <v>10</v>
      </c>
      <c r="AA80" s="144">
        <f t="shared" si="53"/>
        <v>10</v>
      </c>
      <c r="AB80" s="145">
        <f t="shared" si="54"/>
        <v>541.80232238775</v>
      </c>
      <c r="AC80" s="145">
        <f>+(S80-T80)*V80-'data 1'!$F$4</f>
        <v>24.718500000000006</v>
      </c>
      <c r="AD80" s="145">
        <f t="shared" si="55"/>
        <v>91.009525590000024</v>
      </c>
      <c r="AE80" s="145">
        <f t="shared" si="56"/>
        <v>-58.977000000000004</v>
      </c>
      <c r="AF80" s="145">
        <f t="shared" si="57"/>
        <v>34.065371036812536</v>
      </c>
      <c r="AG80" s="772">
        <f t="shared" si="75"/>
        <v>160.81639662681255</v>
      </c>
      <c r="AH80" s="1253">
        <f t="shared" si="45"/>
        <v>25.597000000000001</v>
      </c>
      <c r="AI80" s="1253">
        <f t="shared" si="59"/>
        <v>26.594000000000001</v>
      </c>
      <c r="AJ80" s="156">
        <f t="shared" si="60"/>
        <v>70.133947729999946</v>
      </c>
      <c r="AK80" s="156">
        <f t="shared" si="61"/>
        <v>21.616333742695325</v>
      </c>
      <c r="AM80" s="716">
        <f t="shared" si="62"/>
        <v>2626.6576589358119</v>
      </c>
      <c r="AN80" s="716" t="str">
        <f>_xlfn.XLOOKUP(D80,RUC!$B$3:$B$578,RUC!$M$3:$M$578)</f>
        <v>Melchor Vera</v>
      </c>
      <c r="AO80" s="1167" t="s">
        <v>2280</v>
      </c>
      <c r="AP80" t="s">
        <v>4444</v>
      </c>
      <c r="AQ80" t="s">
        <v>4445</v>
      </c>
    </row>
    <row r="81" spans="1:43" ht="15" customHeight="1">
      <c r="A81" s="747" t="s">
        <v>4416</v>
      </c>
      <c r="B81" s="1447">
        <v>46052</v>
      </c>
      <c r="C81" s="1447">
        <v>46041</v>
      </c>
      <c r="D81" t="s">
        <v>119</v>
      </c>
      <c r="E81" s="762">
        <f>_xlfn.XLOOKUP(D81,RUC!$B$3:$B$123,RUC!$D$3:$D$123)</f>
        <v>10082235774</v>
      </c>
      <c r="G81" s="1082">
        <v>41</v>
      </c>
      <c r="H81" s="762" t="s">
        <v>69</v>
      </c>
      <c r="I81" s="703">
        <v>4.0599999999999996</v>
      </c>
      <c r="J81" s="596">
        <v>6</v>
      </c>
      <c r="K81" s="703">
        <f t="shared" si="35"/>
        <v>3.8159999999999998</v>
      </c>
      <c r="L81" s="1192">
        <v>0.20599999999999999</v>
      </c>
      <c r="M81" s="994">
        <f t="shared" si="64"/>
        <v>0.19900000000000001</v>
      </c>
      <c r="N81" s="1196">
        <f t="shared" si="74"/>
        <v>0.19900000000000001</v>
      </c>
      <c r="O81" s="645">
        <f t="shared" si="69"/>
        <v>0.19900000000000001</v>
      </c>
      <c r="P81" s="727">
        <v>85</v>
      </c>
      <c r="Q81" s="1476">
        <v>97.09</v>
      </c>
      <c r="R81" s="706">
        <v>4666.8500000000004</v>
      </c>
      <c r="S81" s="1164">
        <v>95</v>
      </c>
      <c r="U81" s="1146">
        <f>_xlfn.XLOOKUP(D81,RUC!$B$3:$B$123,RUC!$F$3:$F$123)</f>
        <v>80</v>
      </c>
      <c r="V81" s="715">
        <v>1.1023000000000001</v>
      </c>
      <c r="Y81">
        <f>_xlfn.XLOOKUP(D81,RUC!$B$3:$B$123,RUC!$G$3:$G$123)</f>
        <v>0</v>
      </c>
      <c r="Z81" s="143">
        <f>_xlfn.XLOOKUP(D81,RUC!$B$3:$B$123,RUC!$H$3:$H$123)</f>
        <v>10</v>
      </c>
      <c r="AA81" s="144">
        <f t="shared" si="53"/>
        <v>10</v>
      </c>
      <c r="AB81" s="145">
        <f t="shared" si="54"/>
        <v>739.49523630825013</v>
      </c>
      <c r="AC81" s="145">
        <f>+(S81-T81)*V81-'data 1'!$F$4</f>
        <v>24.718500000000006</v>
      </c>
      <c r="AD81" s="145">
        <f t="shared" si="55"/>
        <v>125.92381325717706</v>
      </c>
      <c r="AE81" s="145">
        <f t="shared" si="56"/>
        <v>-58.977000000000004</v>
      </c>
      <c r="AF81" s="145">
        <f t="shared" si="57"/>
        <v>34.362668820406398</v>
      </c>
      <c r="AG81" s="772">
        <f t="shared" si="75"/>
        <v>196.02798207758349</v>
      </c>
      <c r="AH81" s="1253">
        <f t="shared" si="45"/>
        <v>26.167000000000002</v>
      </c>
      <c r="AI81" s="1253">
        <f t="shared" si="59"/>
        <v>26.952000000000002</v>
      </c>
      <c r="AJ81" s="156">
        <f t="shared" si="60"/>
        <v>91.085508242322916</v>
      </c>
      <c r="AK81" s="156">
        <f t="shared" si="61"/>
        <v>22.130408851117021</v>
      </c>
      <c r="AM81" s="716">
        <f t="shared" si="62"/>
        <v>2821.9138217522823</v>
      </c>
      <c r="AN81" s="716" t="str">
        <f>_xlfn.XLOOKUP(D81,RUC!$B$3:$B$578,RUC!$M$3:$M$578)</f>
        <v>Melchor Vera</v>
      </c>
      <c r="AO81" s="1167" t="s">
        <v>2278</v>
      </c>
      <c r="AP81" t="s">
        <v>4444</v>
      </c>
      <c r="AQ81" t="s">
        <v>4445</v>
      </c>
    </row>
    <row r="82" spans="1:43" ht="15" customHeight="1">
      <c r="A82" s="747" t="s">
        <v>4417</v>
      </c>
      <c r="B82" s="1447">
        <v>46052</v>
      </c>
      <c r="C82" s="1447">
        <v>46041</v>
      </c>
      <c r="D82" t="s">
        <v>119</v>
      </c>
      <c r="E82" s="762">
        <f>_xlfn.XLOOKUP(D82,RUC!$B$3:$B$123,RUC!$D$3:$D$123)</f>
        <v>10082235774</v>
      </c>
      <c r="G82" s="1082">
        <v>34</v>
      </c>
      <c r="H82" s="762" t="s">
        <v>69</v>
      </c>
      <c r="I82" s="703">
        <v>3.27</v>
      </c>
      <c r="J82" s="596">
        <v>3.35</v>
      </c>
      <c r="K82" s="703">
        <f t="shared" si="35"/>
        <v>3.16</v>
      </c>
      <c r="L82" s="1192">
        <v>0.28899999999999998</v>
      </c>
      <c r="M82" s="994">
        <f t="shared" si="64"/>
        <v>0.28199999999999997</v>
      </c>
      <c r="N82" s="1196">
        <f t="shared" si="74"/>
        <v>0.28199999999999997</v>
      </c>
      <c r="O82" s="645">
        <f t="shared" si="69"/>
        <v>0.28199999999999997</v>
      </c>
      <c r="P82" s="727">
        <v>90</v>
      </c>
      <c r="Q82" s="1476">
        <v>93.08</v>
      </c>
      <c r="R82" s="706">
        <v>4666.8500000000004</v>
      </c>
      <c r="S82" s="1164">
        <v>105</v>
      </c>
      <c r="U82" s="1146">
        <f>_xlfn.XLOOKUP(D82,RUC!$B$3:$B$123,RUC!$F$3:$F$123)</f>
        <v>80</v>
      </c>
      <c r="V82" s="715">
        <v>1.1023000000000001</v>
      </c>
      <c r="Y82">
        <f>_xlfn.XLOOKUP(D82,RUC!$B$3:$B$123,RUC!$G$3:$G$123)</f>
        <v>0</v>
      </c>
      <c r="Z82" s="143">
        <f>_xlfn.XLOOKUP(D82,RUC!$B$3:$B$123,RUC!$H$3:$H$123)</f>
        <v>10</v>
      </c>
      <c r="AA82" s="144">
        <f t="shared" si="53"/>
        <v>10</v>
      </c>
      <c r="AB82" s="145">
        <f t="shared" si="54"/>
        <v>1156.4698108190003</v>
      </c>
      <c r="AC82" s="145">
        <f>+(S82-T82)*V82-'data 1'!$F$4</f>
        <v>35.741500000000002</v>
      </c>
      <c r="AD82" s="145">
        <f t="shared" si="55"/>
        <v>45.005221621205983</v>
      </c>
      <c r="AE82" s="145">
        <f t="shared" si="56"/>
        <v>-58.977000000000004</v>
      </c>
      <c r="AF82" s="145">
        <f t="shared" si="57"/>
        <v>32.943425829678034</v>
      </c>
      <c r="AG82" s="772">
        <f t="shared" si="75"/>
        <v>124.71314745088401</v>
      </c>
      <c r="AH82" s="1253">
        <f t="shared" si="45"/>
        <v>29.143999999999998</v>
      </c>
      <c r="AI82" s="1253">
        <f t="shared" si="59"/>
        <v>31.311</v>
      </c>
      <c r="AJ82" s="156">
        <f t="shared" si="60"/>
        <v>122.50724740329389</v>
      </c>
      <c r="AK82" s="156">
        <f t="shared" si="61"/>
        <v>27.4971554992044</v>
      </c>
      <c r="AM82" s="716">
        <f t="shared" si="62"/>
        <v>3654.4446021880408</v>
      </c>
      <c r="AN82" s="716" t="str">
        <f>_xlfn.XLOOKUP(D82,RUC!$B$3:$B$578,RUC!$M$3:$M$578)</f>
        <v>Melchor Vera</v>
      </c>
      <c r="AO82" s="1167" t="s">
        <v>2278</v>
      </c>
      <c r="AP82" t="s">
        <v>4444</v>
      </c>
      <c r="AQ82" t="s">
        <v>4445</v>
      </c>
    </row>
    <row r="83" spans="1:43" ht="15.6" customHeight="1">
      <c r="A83" s="747" t="s">
        <v>4418</v>
      </c>
      <c r="B83" s="1447">
        <v>46052</v>
      </c>
      <c r="C83" s="1447">
        <v>46041</v>
      </c>
      <c r="D83" t="s">
        <v>119</v>
      </c>
      <c r="E83" s="762">
        <f>_xlfn.XLOOKUP(D83,RUC!$B$3:$B$123,RUC!$D$3:$D$123)</f>
        <v>10082235774</v>
      </c>
      <c r="G83" s="1082">
        <v>63</v>
      </c>
      <c r="H83" s="762" t="s">
        <v>69</v>
      </c>
      <c r="I83" s="703">
        <v>5.58</v>
      </c>
      <c r="J83" s="596">
        <v>1.75</v>
      </c>
      <c r="K83" s="703">
        <f t="shared" si="35"/>
        <v>5.4820000000000002</v>
      </c>
      <c r="L83" s="1192">
        <v>0.25</v>
      </c>
      <c r="M83" s="994">
        <f t="shared" si="64"/>
        <v>0.24299999999999999</v>
      </c>
      <c r="N83" s="1444">
        <v>0.28499999999999998</v>
      </c>
      <c r="O83" s="645">
        <f t="shared" si="69"/>
        <v>0.26400000000000001</v>
      </c>
      <c r="P83" s="727">
        <v>90</v>
      </c>
      <c r="Q83" s="1476">
        <v>91.2</v>
      </c>
      <c r="R83" s="706">
        <v>4666.8500000000004</v>
      </c>
      <c r="S83" s="1164">
        <v>105</v>
      </c>
      <c r="U83" s="1146">
        <f>_xlfn.XLOOKUP(D83,RUC!$B$3:$B$123,RUC!$F$3:$F$123)</f>
        <v>80</v>
      </c>
      <c r="V83" s="715">
        <v>1.1023000000000001</v>
      </c>
      <c r="Y83">
        <f>_xlfn.XLOOKUP(D83,RUC!$B$3:$B$123,RUC!$G$3:$G$123)</f>
        <v>0</v>
      </c>
      <c r="Z83" s="143">
        <f>_xlfn.XLOOKUP(D83,RUC!$B$3:$B$123,RUC!$H$3:$H$123)</f>
        <v>10</v>
      </c>
      <c r="AA83" s="144">
        <f t="shared" si="53"/>
        <v>10</v>
      </c>
      <c r="AB83" s="145">
        <f t="shared" si="54"/>
        <v>1074.5612377880002</v>
      </c>
      <c r="AC83" s="145">
        <f>+(S83-T83)*V83-'data 1'!$F$4</f>
        <v>35.741500000000002</v>
      </c>
      <c r="AD83" s="145">
        <f t="shared" si="55"/>
        <v>15.168254265000039</v>
      </c>
      <c r="AE83" s="145">
        <f t="shared" si="56"/>
        <v>-58.977000000000004</v>
      </c>
      <c r="AF83" s="145">
        <f t="shared" si="57"/>
        <v>-64.556090151840067</v>
      </c>
      <c r="AG83" s="772">
        <f t="shared" si="75"/>
        <v>-2.6233358868400387</v>
      </c>
      <c r="AH83" s="1253">
        <f t="shared" si="45"/>
        <v>42.853000000000002</v>
      </c>
      <c r="AI83" s="1253">
        <f t="shared" si="59"/>
        <v>46.988</v>
      </c>
      <c r="AJ83" s="156">
        <f t="shared" si="60"/>
        <v>103.83467585999992</v>
      </c>
      <c r="AK83" s="156">
        <f t="shared" si="61"/>
        <v>44.657513356127765</v>
      </c>
      <c r="AM83" s="716">
        <f t="shared" si="62"/>
        <v>5890.7447055538169</v>
      </c>
      <c r="AN83" s="716" t="str">
        <f>_xlfn.XLOOKUP(D83,RUC!$B$3:$B$578,RUC!$M$3:$M$578)</f>
        <v>Melchor Vera</v>
      </c>
      <c r="AO83" s="1167" t="s">
        <v>2277</v>
      </c>
      <c r="AP83" t="s">
        <v>4444</v>
      </c>
      <c r="AQ83" t="s">
        <v>4445</v>
      </c>
    </row>
    <row r="84" spans="1:43" ht="15" customHeight="1">
      <c r="A84" s="747" t="s">
        <v>4419</v>
      </c>
      <c r="B84" s="1447">
        <v>46052</v>
      </c>
      <c r="C84" s="1447">
        <v>46041</v>
      </c>
      <c r="D84" t="s">
        <v>119</v>
      </c>
      <c r="E84" s="762">
        <f>_xlfn.XLOOKUP(D84,RUC!$B$3:$B$123,RUC!$D$3:$D$123)</f>
        <v>10082235774</v>
      </c>
      <c r="G84" s="1082">
        <v>27</v>
      </c>
      <c r="H84" s="762" t="s">
        <v>69</v>
      </c>
      <c r="I84" s="703">
        <v>2.48</v>
      </c>
      <c r="J84" s="596">
        <v>2.95</v>
      </c>
      <c r="K84" s="703">
        <f t="shared" si="35"/>
        <v>2.407</v>
      </c>
      <c r="L84" s="1192">
        <v>0.45600000000000002</v>
      </c>
      <c r="M84" s="994">
        <f t="shared" si="64"/>
        <v>0.44900000000000001</v>
      </c>
      <c r="N84" s="1444">
        <v>0.47199999999999998</v>
      </c>
      <c r="O84" s="645">
        <f t="shared" si="69"/>
        <v>0.46100000000000002</v>
      </c>
      <c r="P84" s="727">
        <v>89</v>
      </c>
      <c r="Q84" s="1660">
        <v>89.04</v>
      </c>
      <c r="R84" s="706">
        <v>4666.8500000000004</v>
      </c>
      <c r="S84" s="1164">
        <v>115</v>
      </c>
      <c r="U84" s="1146">
        <f>_xlfn.XLOOKUP(D84,RUC!$B$3:$B$123,RUC!$F$3:$F$123)</f>
        <v>80</v>
      </c>
      <c r="V84" s="715">
        <v>1.1023000000000001</v>
      </c>
      <c r="Y84">
        <f>_xlfn.XLOOKUP(D84,RUC!$B$3:$B$123,RUC!$G$3:$G$123)</f>
        <v>0</v>
      </c>
      <c r="Z84" s="143">
        <f>_xlfn.XLOOKUP(D84,RUC!$B$3:$B$123,RUC!$H$3:$H$123)</f>
        <v>10</v>
      </c>
      <c r="AA84" s="144">
        <f t="shared" si="53"/>
        <v>10</v>
      </c>
      <c r="AB84" s="145">
        <f t="shared" si="54"/>
        <v>1936.6735141289503</v>
      </c>
      <c r="AC84" s="145">
        <f>+(S84-T84)*V84-'data 1'!$F$4</f>
        <v>46.764500000000012</v>
      </c>
      <c r="AD84" s="145">
        <f t="shared" si="55"/>
        <v>0.9222298593121443</v>
      </c>
      <c r="AE84" s="145">
        <f t="shared" si="56"/>
        <v>-58.977000000000004</v>
      </c>
      <c r="AF84" s="145">
        <f t="shared" si="57"/>
        <v>-22.509689329260027</v>
      </c>
      <c r="AG84" s="772">
        <f t="shared" si="75"/>
        <v>36.200040530052128</v>
      </c>
      <c r="AH84" s="1253">
        <f t="shared" si="45"/>
        <v>33.506999999999998</v>
      </c>
      <c r="AI84" s="1253">
        <f t="shared" si="59"/>
        <v>37.631</v>
      </c>
      <c r="AJ84" s="156">
        <f t="shared" si="60"/>
        <v>184.90879077148784</v>
      </c>
      <c r="AK84" s="156">
        <f t="shared" si="61"/>
        <v>33.859153134324039</v>
      </c>
      <c r="AM84" s="716">
        <f t="shared" si="62"/>
        <v>4661.5731485083834</v>
      </c>
      <c r="AN84" s="716" t="str">
        <f>_xlfn.XLOOKUP(D84,RUC!$B$3:$B$578,RUC!$M$3:$M$578)</f>
        <v>Melchor Vera</v>
      </c>
      <c r="AO84" s="1167" t="s">
        <v>2277</v>
      </c>
      <c r="AP84" t="s">
        <v>4444</v>
      </c>
      <c r="AQ84" t="s">
        <v>4445</v>
      </c>
    </row>
    <row r="85" spans="1:43" ht="15" customHeight="1">
      <c r="A85" s="747" t="s">
        <v>4420</v>
      </c>
      <c r="B85" s="1447">
        <v>46050</v>
      </c>
      <c r="C85" s="1447">
        <v>46041</v>
      </c>
      <c r="D85" s="1649" t="s">
        <v>3642</v>
      </c>
      <c r="E85" s="762" t="str">
        <f>_xlfn.XLOOKUP(D85,RUC!$B$3:$B$123,RUC!$D$3:$D$123)</f>
        <v>20601769396*</v>
      </c>
      <c r="G85" s="1082">
        <v>55</v>
      </c>
      <c r="H85" s="762" t="s">
        <v>108</v>
      </c>
      <c r="I85" s="703">
        <v>4.1900000000000004</v>
      </c>
      <c r="J85" s="596">
        <v>21.1</v>
      </c>
      <c r="K85" s="703">
        <f t="shared" si="35"/>
        <v>3.306</v>
      </c>
      <c r="L85" s="1192">
        <v>0.22900000000000001</v>
      </c>
      <c r="M85" s="994">
        <f t="shared" si="64"/>
        <v>0.21</v>
      </c>
      <c r="N85" s="1590">
        <f t="shared" ref="N85:N105" si="76">+M85</f>
        <v>0.21</v>
      </c>
      <c r="O85" s="645">
        <f t="shared" si="69"/>
        <v>0.21</v>
      </c>
      <c r="P85" s="727">
        <v>85</v>
      </c>
      <c r="Q85" s="1476">
        <v>86.46</v>
      </c>
      <c r="R85" s="706">
        <v>4666.8500000000004</v>
      </c>
      <c r="S85" s="765">
        <f>IF((_xlfn.XLOOKUP(D85,RUC!$B$3:$B$119,RUC!$E$3:$E$119)+ROUNDDOWN(O85,1)*100)&lt;95,95,((_xlfn.XLOOKUP(D85,RUC!$B$3:$B$119,RUC!$E$3:$E$119)+ROUNDDOWN(O85,1)*100)))</f>
        <v>110</v>
      </c>
      <c r="U85" s="1146">
        <f>_xlfn.XLOOKUP(D85,RUC!$B$3:$B$123,RUC!$F$3:$F$123)</f>
        <v>120</v>
      </c>
      <c r="V85" s="715">
        <v>1.1023000000000001</v>
      </c>
      <c r="Y85" s="1445">
        <v>30</v>
      </c>
      <c r="Z85" s="1454">
        <v>40</v>
      </c>
      <c r="AA85" s="144">
        <f t="shared" si="53"/>
        <v>70</v>
      </c>
      <c r="AB85" s="145">
        <f t="shared" si="54"/>
        <v>696.22670676749999</v>
      </c>
      <c r="AC85" s="145">
        <f>+(S85-T85)*V85-'data 1'!$F$4</f>
        <v>41.253</v>
      </c>
      <c r="AD85" s="145">
        <f t="shared" si="55"/>
        <v>16.757096577066932</v>
      </c>
      <c r="AE85" s="145">
        <f t="shared" si="56"/>
        <v>7.1610000000000014</v>
      </c>
      <c r="AF85" s="145">
        <f t="shared" si="57"/>
        <v>82.334009783487076</v>
      </c>
      <c r="AG85" s="772">
        <f t="shared" si="72"/>
        <v>164.50510636055401</v>
      </c>
      <c r="AH85" s="1253">
        <f t="shared" si="45"/>
        <v>22.442</v>
      </c>
      <c r="AI85" s="1253">
        <f t="shared" si="59"/>
        <v>25.957000000000001</v>
      </c>
      <c r="AJ85" s="156">
        <f t="shared" si="60"/>
        <v>98.899137762182932</v>
      </c>
      <c r="AK85" s="156">
        <f t="shared" si="61"/>
        <v>20.232527481454053</v>
      </c>
      <c r="AM85" s="716">
        <f t="shared" si="62"/>
        <v>2301.725492573355</v>
      </c>
      <c r="AN85" s="716" t="str">
        <f>_xlfn.XLOOKUP(D85,RUC!$B$3:$B$578,RUC!$M$3:$M$578)</f>
        <v>Zudaire</v>
      </c>
      <c r="AO85" s="1167" t="s">
        <v>2278</v>
      </c>
      <c r="AP85" t="s">
        <v>4446</v>
      </c>
      <c r="AQ85" t="s">
        <v>3196</v>
      </c>
    </row>
    <row r="86" spans="1:43" ht="15" customHeight="1">
      <c r="A86" s="747" t="s">
        <v>4421</v>
      </c>
      <c r="B86" s="1447">
        <v>46050</v>
      </c>
      <c r="C86" s="1447">
        <v>46041</v>
      </c>
      <c r="D86" s="1649" t="s">
        <v>3642</v>
      </c>
      <c r="E86" s="762" t="str">
        <f>_xlfn.XLOOKUP(D86,RUC!$B$3:$B$123,RUC!$D$3:$D$123)</f>
        <v>20601769396*</v>
      </c>
      <c r="G86" s="1082">
        <v>55</v>
      </c>
      <c r="H86" s="762" t="s">
        <v>108</v>
      </c>
      <c r="I86" s="703">
        <v>4.08</v>
      </c>
      <c r="J86" s="596">
        <v>22.12</v>
      </c>
      <c r="K86" s="703">
        <f t="shared" si="35"/>
        <v>3.1779999999999999</v>
      </c>
      <c r="L86" s="1192">
        <v>0.23200000000000001</v>
      </c>
      <c r="M86" s="994">
        <f t="shared" si="64"/>
        <v>0.21299999999999999</v>
      </c>
      <c r="N86" s="1590">
        <f t="shared" si="76"/>
        <v>0.21299999999999999</v>
      </c>
      <c r="O86" s="645">
        <f t="shared" si="69"/>
        <v>0.21299999999999999</v>
      </c>
      <c r="P86" s="727">
        <v>90</v>
      </c>
      <c r="Q86" s="1476">
        <v>95.69</v>
      </c>
      <c r="R86" s="706">
        <v>4666.8500000000004</v>
      </c>
      <c r="S86" s="765">
        <f>IF((_xlfn.XLOOKUP(D86,RUC!$B$3:$B$119,RUC!$E$3:$E$119)+ROUNDDOWN(O86,1)*100)&lt;95,95,((_xlfn.XLOOKUP(D86,RUC!$B$3:$B$119,RUC!$E$3:$E$119)+ROUNDDOWN(O86,1)*100)))</f>
        <v>110</v>
      </c>
      <c r="U86" s="1146">
        <f>_xlfn.XLOOKUP(D86,RUC!$B$3:$B$123,RUC!$F$3:$F$123)</f>
        <v>120</v>
      </c>
      <c r="V86" s="715">
        <v>1.1023000000000001</v>
      </c>
      <c r="Y86" s="1445">
        <v>30</v>
      </c>
      <c r="Z86" s="1454">
        <v>40</v>
      </c>
      <c r="AA86" s="144">
        <f t="shared" si="53"/>
        <v>70</v>
      </c>
      <c r="AB86" s="145">
        <f t="shared" si="54"/>
        <v>762.38501113350003</v>
      </c>
      <c r="AC86" s="145">
        <f>+(S86-T86)*V86-'data 1'!$F$4</f>
        <v>41.253</v>
      </c>
      <c r="AD86" s="145">
        <f t="shared" si="55"/>
        <v>66.162313960203988</v>
      </c>
      <c r="AE86" s="145">
        <f t="shared" si="56"/>
        <v>7.1610000000000014</v>
      </c>
      <c r="AF86" s="145">
        <f t="shared" si="57"/>
        <v>91.123541477930573</v>
      </c>
      <c r="AG86" s="772">
        <f t="shared" si="72"/>
        <v>222.69985543813459</v>
      </c>
      <c r="AH86" s="1253">
        <f t="shared" si="45"/>
        <v>24.189</v>
      </c>
      <c r="AI86" s="1253">
        <f t="shared" si="59"/>
        <v>25.277999999999999</v>
      </c>
      <c r="AJ86" s="156">
        <f t="shared" si="60"/>
        <v>110.89100799579593</v>
      </c>
      <c r="AK86" s="156">
        <f t="shared" si="61"/>
        <v>20.887433249829929</v>
      </c>
      <c r="AM86" s="716">
        <f t="shared" si="62"/>
        <v>2422.8595653822631</v>
      </c>
      <c r="AN86" s="716" t="str">
        <f>_xlfn.XLOOKUP(D86,RUC!$B$3:$B$578,RUC!$M$3:$M$578)</f>
        <v>Zudaire</v>
      </c>
      <c r="AO86" s="1167" t="s">
        <v>2280</v>
      </c>
      <c r="AP86" t="s">
        <v>4446</v>
      </c>
      <c r="AQ86" t="s">
        <v>3196</v>
      </c>
    </row>
    <row r="87" spans="1:43" ht="15" customHeight="1">
      <c r="A87" s="747" t="s">
        <v>4422</v>
      </c>
      <c r="B87" s="1447">
        <v>46050</v>
      </c>
      <c r="C87" s="1447">
        <v>46041</v>
      </c>
      <c r="D87" s="1649" t="s">
        <v>3642</v>
      </c>
      <c r="E87" s="762" t="str">
        <f>_xlfn.XLOOKUP(D87,RUC!$B$3:$B$123,RUC!$D$3:$D$123)</f>
        <v>20601769396*</v>
      </c>
      <c r="G87" s="1082">
        <v>55</v>
      </c>
      <c r="H87" s="762" t="s">
        <v>108</v>
      </c>
      <c r="I87" s="703">
        <v>4.01</v>
      </c>
      <c r="J87" s="596">
        <v>22.18</v>
      </c>
      <c r="K87" s="703">
        <f t="shared" si="35"/>
        <v>3.121</v>
      </c>
      <c r="L87" s="1192">
        <v>0.20899999999999999</v>
      </c>
      <c r="M87" s="994">
        <f t="shared" si="64"/>
        <v>0.19</v>
      </c>
      <c r="N87" s="1590">
        <f t="shared" si="76"/>
        <v>0.19</v>
      </c>
      <c r="O87" s="645">
        <f t="shared" si="69"/>
        <v>0.19</v>
      </c>
      <c r="P87" s="727">
        <v>85</v>
      </c>
      <c r="Q87" s="1476">
        <v>92.34</v>
      </c>
      <c r="R87" s="706">
        <v>4666.8500000000004</v>
      </c>
      <c r="S87" s="765">
        <f>IF((_xlfn.XLOOKUP(D87,RUC!$B$3:$B$119,RUC!$E$3:$E$119)+ROUNDDOWN(O87,1)*100)&lt;95,95,((_xlfn.XLOOKUP(D87,RUC!$B$3:$B$119,RUC!$E$3:$E$119)+ROUNDDOWN(O87,1)*100)))</f>
        <v>100</v>
      </c>
      <c r="U87" s="1146">
        <f>_xlfn.XLOOKUP(D87,RUC!$B$3:$B$123,RUC!$F$3:$F$123)</f>
        <v>120</v>
      </c>
      <c r="V87" s="715">
        <v>1.1023000000000001</v>
      </c>
      <c r="Y87" s="1445">
        <v>30</v>
      </c>
      <c r="Z87" s="1454">
        <v>40</v>
      </c>
      <c r="AA87" s="144">
        <f t="shared" si="53"/>
        <v>70</v>
      </c>
      <c r="AB87" s="145">
        <f t="shared" si="54"/>
        <v>622.04582993250006</v>
      </c>
      <c r="AC87" s="145">
        <f>+(S87-T87)*V87-'data 1'!$F$4</f>
        <v>30.230000000000004</v>
      </c>
      <c r="AD87" s="145">
        <f t="shared" si="55"/>
        <v>76.886976057353024</v>
      </c>
      <c r="AE87" s="145">
        <f t="shared" si="56"/>
        <v>7.1610000000000014</v>
      </c>
      <c r="AF87" s="145">
        <f t="shared" si="57"/>
        <v>87.933408089372975</v>
      </c>
      <c r="AG87" s="772">
        <f t="shared" si="72"/>
        <v>219.211384146726</v>
      </c>
      <c r="AH87" s="1253">
        <f t="shared" si="45"/>
        <v>20.651</v>
      </c>
      <c r="AI87" s="1253">
        <f t="shared" si="59"/>
        <v>22.364000000000001</v>
      </c>
      <c r="AJ87" s="156">
        <f t="shared" si="60"/>
        <v>96.400202916896944</v>
      </c>
      <c r="AK87" s="156">
        <f t="shared" si="61"/>
        <v>17.281258420804075</v>
      </c>
      <c r="AM87" s="716">
        <f t="shared" si="62"/>
        <v>1941.4050352193326</v>
      </c>
      <c r="AN87" s="716" t="str">
        <f>_xlfn.XLOOKUP(D87,RUC!$B$3:$B$578,RUC!$M$3:$M$578)</f>
        <v>Zudaire</v>
      </c>
      <c r="AO87" s="1167" t="s">
        <v>2280</v>
      </c>
      <c r="AP87" t="s">
        <v>4446</v>
      </c>
      <c r="AQ87" t="s">
        <v>3196</v>
      </c>
    </row>
    <row r="88" spans="1:43" ht="15" customHeight="1">
      <c r="A88" s="747" t="s">
        <v>4423</v>
      </c>
      <c r="B88" s="1447">
        <v>46049</v>
      </c>
      <c r="C88" s="1447">
        <v>46041</v>
      </c>
      <c r="D88" s="1649" t="s">
        <v>4171</v>
      </c>
      <c r="E88" s="762">
        <f>_xlfn.XLOOKUP(D88,RUC!$B$3:$B$123,RUC!$D$3:$D$123)</f>
        <v>20614284740</v>
      </c>
      <c r="G88" s="762" t="s">
        <v>2985</v>
      </c>
      <c r="H88" s="762" t="s">
        <v>108</v>
      </c>
      <c r="I88" s="703">
        <v>12.96</v>
      </c>
      <c r="J88" s="596">
        <v>17.670000000000002</v>
      </c>
      <c r="K88" s="703">
        <f t="shared" si="35"/>
        <v>10.67</v>
      </c>
      <c r="L88" s="1192">
        <v>0.27400000000000002</v>
      </c>
      <c r="M88" s="994">
        <f t="shared" si="64"/>
        <v>0.255</v>
      </c>
      <c r="N88" s="1196">
        <f t="shared" si="76"/>
        <v>0.255</v>
      </c>
      <c r="O88" s="645">
        <f t="shared" si="69"/>
        <v>0.255</v>
      </c>
      <c r="P88" s="727">
        <v>90</v>
      </c>
      <c r="Q88" s="1476">
        <v>91.61</v>
      </c>
      <c r="R88" s="706">
        <v>4666.8500000000004</v>
      </c>
      <c r="S88" s="765">
        <f>IF((_xlfn.XLOOKUP(D88,RUC!$B$3:$B$119,RUC!$E$3:$E$119)+ROUNDDOWN(O88,1)*100)&lt;95,95,((_xlfn.XLOOKUP(D88,RUC!$B$3:$B$119,RUC!$E$3:$E$119)+ROUNDDOWN(O88,1)*100)))</f>
        <v>110</v>
      </c>
      <c r="U88" s="1146">
        <f>_xlfn.XLOOKUP(D88,RUC!$B$3:$B$123,RUC!$F$3:$F$123)</f>
        <v>120</v>
      </c>
      <c r="V88" s="715">
        <v>1.1023000000000001</v>
      </c>
      <c r="Y88">
        <v>40</v>
      </c>
      <c r="Z88" s="143">
        <f>_xlfn.XLOOKUP(D88,RUC!$B$3:$B$123,RUC!$H$3:$H$123)</f>
        <v>30</v>
      </c>
      <c r="AA88" s="144">
        <f t="shared" si="53"/>
        <v>70</v>
      </c>
      <c r="AB88" s="145">
        <f t="shared" si="54"/>
        <v>951.83833727250021</v>
      </c>
      <c r="AC88" s="145">
        <f>+(S88-T88)*V88-'data 1'!$F$4</f>
        <v>41.253</v>
      </c>
      <c r="AD88" s="145">
        <f t="shared" si="55"/>
        <v>22.109904839406994</v>
      </c>
      <c r="AE88" s="145">
        <f t="shared" si="56"/>
        <v>7.1610000000000014</v>
      </c>
      <c r="AF88" s="145">
        <f t="shared" si="57"/>
        <v>87.23824469425459</v>
      </c>
      <c r="AG88" s="772">
        <f t="shared" si="72"/>
        <v>174.76214953366159</v>
      </c>
      <c r="AH88" s="1253">
        <f t="shared" si="45"/>
        <v>91.825999999999993</v>
      </c>
      <c r="AI88" s="1253">
        <f t="shared" si="59"/>
        <v>100.236</v>
      </c>
      <c r="AJ88" s="156">
        <f t="shared" si="60"/>
        <v>125.38201287759293</v>
      </c>
      <c r="AK88" s="156">
        <f t="shared" si="61"/>
        <v>83.956858268258244</v>
      </c>
      <c r="AM88" s="716">
        <f t="shared" si="62"/>
        <v>10156.115058697576</v>
      </c>
      <c r="AN88" s="716" t="str">
        <f>_xlfn.XLOOKUP(D88,RUC!$B$3:$B$578,RUC!$M$3:$M$578)</f>
        <v xml:space="preserve">Dante </v>
      </c>
      <c r="AO88" s="1167" t="s">
        <v>2280</v>
      </c>
      <c r="AP88" t="s">
        <v>4447</v>
      </c>
      <c r="AQ88" t="s">
        <v>4448</v>
      </c>
    </row>
    <row r="89" spans="1:43" ht="15" customHeight="1">
      <c r="A89" s="747" t="s">
        <v>4424</v>
      </c>
      <c r="B89" s="1447">
        <v>46050</v>
      </c>
      <c r="C89" s="1447">
        <v>46041</v>
      </c>
      <c r="D89" s="1649" t="s">
        <v>3642</v>
      </c>
      <c r="E89" s="762" t="str">
        <f>_xlfn.XLOOKUP(D89,RUC!$B$3:$B$123,RUC!$D$3:$D$123)</f>
        <v>20601769396*</v>
      </c>
      <c r="G89" s="762">
        <v>55</v>
      </c>
      <c r="H89" s="762" t="s">
        <v>108</v>
      </c>
      <c r="I89" s="703">
        <v>4.0999999999999996</v>
      </c>
      <c r="J89" s="596">
        <v>21.98</v>
      </c>
      <c r="K89" s="703">
        <f t="shared" si="35"/>
        <v>3.1989999999999998</v>
      </c>
      <c r="L89" s="1192">
        <v>0.222</v>
      </c>
      <c r="M89" s="994">
        <f t="shared" si="64"/>
        <v>0.20300000000000001</v>
      </c>
      <c r="N89" s="1590">
        <f t="shared" si="76"/>
        <v>0.20300000000000001</v>
      </c>
      <c r="O89" s="645">
        <f t="shared" si="69"/>
        <v>0.20300000000000001</v>
      </c>
      <c r="P89" s="727">
        <v>90</v>
      </c>
      <c r="Q89" s="1476">
        <v>93.24</v>
      </c>
      <c r="R89" s="706">
        <v>4666.8500000000004</v>
      </c>
      <c r="S89" s="765">
        <f>IF((_xlfn.XLOOKUP(D89,RUC!$B$3:$B$119,RUC!$E$3:$E$119)+ROUNDDOWN(O89,1)*100)&lt;95,95,((_xlfn.XLOOKUP(D89,RUC!$B$3:$B$119,RUC!$E$3:$E$119)+ROUNDDOWN(O89,1)*100)))</f>
        <v>110</v>
      </c>
      <c r="U89" s="1146">
        <f>_xlfn.XLOOKUP(D89,RUC!$B$3:$B$123,RUC!$F$3:$F$123)</f>
        <v>120</v>
      </c>
      <c r="V89" s="715">
        <v>1.1023000000000001</v>
      </c>
      <c r="Y89" s="1445">
        <v>30</v>
      </c>
      <c r="Z89" s="1454">
        <v>40</v>
      </c>
      <c r="AA89" s="144">
        <f t="shared" si="53"/>
        <v>70</v>
      </c>
      <c r="AB89" s="145">
        <f t="shared" si="54"/>
        <v>717.27707633850014</v>
      </c>
      <c r="AC89" s="145">
        <f>+(S89-T89)*V89-'data 1'!$F$4</f>
        <v>41.253</v>
      </c>
      <c r="AD89" s="145">
        <f t="shared" si="55"/>
        <v>36.050261488163954</v>
      </c>
      <c r="AE89" s="145">
        <f t="shared" si="56"/>
        <v>7.1610000000000014</v>
      </c>
      <c r="AF89" s="145">
        <f t="shared" si="57"/>
        <v>88.790458850477975</v>
      </c>
      <c r="AG89" s="772">
        <f t="shared" si="72"/>
        <v>190.25472033864193</v>
      </c>
      <c r="AH89" s="1253">
        <f t="shared" si="45"/>
        <v>22.702999999999999</v>
      </c>
      <c r="AI89" s="1253">
        <f t="shared" si="59"/>
        <v>24.349</v>
      </c>
      <c r="AJ89" s="156">
        <f t="shared" si="60"/>
        <v>103.39440326283591</v>
      </c>
      <c r="AK89" s="156">
        <f t="shared" si="61"/>
        <v>20.038345329155266</v>
      </c>
      <c r="AM89" s="716">
        <f t="shared" si="62"/>
        <v>2294.5693672068619</v>
      </c>
      <c r="AN89" s="716" t="str">
        <f>_xlfn.XLOOKUP(D89,RUC!$B$3:$B$578,RUC!$M$3:$M$578)</f>
        <v>Zudaire</v>
      </c>
      <c r="AO89" s="1167" t="s">
        <v>2280</v>
      </c>
      <c r="AP89" t="s">
        <v>4446</v>
      </c>
      <c r="AQ89" t="s">
        <v>3196</v>
      </c>
    </row>
    <row r="90" spans="1:43" ht="15" customHeight="1">
      <c r="A90" s="747" t="s">
        <v>4425</v>
      </c>
      <c r="B90" s="1447">
        <v>46050</v>
      </c>
      <c r="C90" s="1447">
        <v>46041</v>
      </c>
      <c r="D90" s="1649" t="s">
        <v>3642</v>
      </c>
      <c r="E90" s="762" t="str">
        <f>_xlfn.XLOOKUP(D90,RUC!$B$3:$B$123,RUC!$D$3:$D$123)</f>
        <v>20601769396*</v>
      </c>
      <c r="G90" s="762">
        <v>55</v>
      </c>
      <c r="H90" s="762" t="s">
        <v>108</v>
      </c>
      <c r="I90" s="703">
        <v>4.2</v>
      </c>
      <c r="J90" s="596">
        <v>19.350000000000001</v>
      </c>
      <c r="K90" s="703">
        <f t="shared" si="35"/>
        <v>3.387</v>
      </c>
      <c r="L90" s="1192">
        <v>0.23699999999999999</v>
      </c>
      <c r="M90" s="994">
        <f t="shared" si="64"/>
        <v>0.218</v>
      </c>
      <c r="N90" s="1590">
        <f t="shared" si="76"/>
        <v>0.218</v>
      </c>
      <c r="O90" s="645">
        <f t="shared" si="69"/>
        <v>0.218</v>
      </c>
      <c r="P90" s="727">
        <v>87</v>
      </c>
      <c r="Q90" s="1476">
        <v>88.19</v>
      </c>
      <c r="R90" s="706">
        <v>4666.8500000000004</v>
      </c>
      <c r="S90" s="765">
        <f>IF((_xlfn.XLOOKUP(D90,RUC!$B$3:$B$119,RUC!$E$3:$E$119)+ROUNDDOWN(O90,1)*100)&lt;95,95,((_xlfn.XLOOKUP(D90,RUC!$B$3:$B$119,RUC!$E$3:$E$119)+ROUNDDOWN(O90,1)*100)))</f>
        <v>110</v>
      </c>
      <c r="U90" s="1146">
        <f>_xlfn.XLOOKUP(D90,RUC!$B$3:$B$123,RUC!$F$3:$F$123)</f>
        <v>120</v>
      </c>
      <c r="V90" s="715">
        <v>1.1023000000000001</v>
      </c>
      <c r="Y90" s="1445">
        <v>30</v>
      </c>
      <c r="Z90" s="1454">
        <v>40</v>
      </c>
      <c r="AA90" s="144">
        <f t="shared" si="53"/>
        <v>70</v>
      </c>
      <c r="AB90" s="145">
        <f t="shared" si="54"/>
        <v>752.1605459133001</v>
      </c>
      <c r="AC90" s="145">
        <f>+(S90-T90)*V90-'data 1'!$F$4</f>
        <v>41.253</v>
      </c>
      <c r="AD90" s="145">
        <f t="shared" si="55"/>
        <v>14.135323166926476</v>
      </c>
      <c r="AE90" s="145">
        <f t="shared" si="56"/>
        <v>7.1610000000000014</v>
      </c>
      <c r="AF90" s="145">
        <f t="shared" si="57"/>
        <v>83.981451802055474</v>
      </c>
      <c r="AG90" s="772">
        <f t="shared" si="72"/>
        <v>163.53077496898194</v>
      </c>
      <c r="AH90" s="1253">
        <f t="shared" si="45"/>
        <v>24.271000000000001</v>
      </c>
      <c r="AI90" s="1253">
        <f t="shared" si="59"/>
        <v>27.521999999999998</v>
      </c>
      <c r="AJ90" s="156">
        <f t="shared" si="60"/>
        <v>104.40215912962341</v>
      </c>
      <c r="AK90" s="156">
        <f t="shared" si="61"/>
        <v>22.024193404645882</v>
      </c>
      <c r="AM90" s="716">
        <f t="shared" si="62"/>
        <v>2547.5677690083476</v>
      </c>
      <c r="AN90" s="716" t="str">
        <f>_xlfn.XLOOKUP(D90,RUC!$B$3:$B$578,RUC!$M$3:$M$578)</f>
        <v>Zudaire</v>
      </c>
      <c r="AO90" s="1167" t="s">
        <v>2280</v>
      </c>
      <c r="AP90" t="s">
        <v>4446</v>
      </c>
      <c r="AQ90" t="s">
        <v>3196</v>
      </c>
    </row>
    <row r="91" spans="1:43" ht="15" customHeight="1">
      <c r="A91" s="747" t="s">
        <v>4426</v>
      </c>
      <c r="B91" s="1447">
        <v>46050</v>
      </c>
      <c r="C91" s="1447">
        <v>46041</v>
      </c>
      <c r="D91" s="1649" t="s">
        <v>3642</v>
      </c>
      <c r="E91" s="762" t="str">
        <f>_xlfn.XLOOKUP(D91,RUC!$B$3:$B$123,RUC!$D$3:$D$123)</f>
        <v>20601769396*</v>
      </c>
      <c r="G91" s="762">
        <v>57</v>
      </c>
      <c r="H91" s="762" t="s">
        <v>108</v>
      </c>
      <c r="I91" s="703">
        <v>4.41</v>
      </c>
      <c r="J91" s="596">
        <v>20.63</v>
      </c>
      <c r="K91" s="703">
        <f t="shared" si="35"/>
        <v>3.5</v>
      </c>
      <c r="L91" s="1192">
        <v>0.22800000000000001</v>
      </c>
      <c r="M91" s="994">
        <f t="shared" si="64"/>
        <v>0.20899999999999999</v>
      </c>
      <c r="N91" s="1444">
        <v>0.25600000000000001</v>
      </c>
      <c r="O91" s="645">
        <f t="shared" si="69"/>
        <v>0.23300000000000001</v>
      </c>
      <c r="P91" s="727">
        <v>90</v>
      </c>
      <c r="Q91" s="1476">
        <v>92.11</v>
      </c>
      <c r="R91" s="706">
        <v>4666.8500000000004</v>
      </c>
      <c r="S91" s="765">
        <f>IF((_xlfn.XLOOKUP(D91,RUC!$B$3:$B$119,RUC!$E$3:$E$119)+ROUNDDOWN(O91,1)*100)&lt;95,95,((_xlfn.XLOOKUP(D91,RUC!$B$3:$B$119,RUC!$E$3:$E$119)+ROUNDDOWN(O91,1)*100)))</f>
        <v>110</v>
      </c>
      <c r="U91" s="1146">
        <f>_xlfn.XLOOKUP(D91,RUC!$B$3:$B$123,RUC!$F$3:$F$123)</f>
        <v>120</v>
      </c>
      <c r="V91" s="715">
        <v>1.1023000000000001</v>
      </c>
      <c r="Y91" s="1445">
        <v>30</v>
      </c>
      <c r="Z91" s="1454">
        <v>40</v>
      </c>
      <c r="AA91" s="144">
        <f t="shared" si="53"/>
        <v>70</v>
      </c>
      <c r="AB91" s="145">
        <f t="shared" si="54"/>
        <v>852.60088072350027</v>
      </c>
      <c r="AC91" s="145">
        <f>+(S91-T91)*V91-'data 1'!$F$4</f>
        <v>41.253</v>
      </c>
      <c r="AD91" s="145">
        <f t="shared" si="55"/>
        <v>24.111694745753994</v>
      </c>
      <c r="AE91" s="145">
        <f t="shared" si="56"/>
        <v>7.1610000000000014</v>
      </c>
      <c r="AF91" s="145">
        <f t="shared" si="57"/>
        <v>-23.082732633152524</v>
      </c>
      <c r="AG91" s="772">
        <f t="shared" si="72"/>
        <v>66.442962112601464</v>
      </c>
      <c r="AH91" s="1253">
        <f t="shared" si="45"/>
        <v>25.201000000000001</v>
      </c>
      <c r="AI91" s="1253">
        <f t="shared" si="59"/>
        <v>27.36</v>
      </c>
      <c r="AJ91" s="156">
        <f t="shared" si="60"/>
        <v>104.90191612824592</v>
      </c>
      <c r="AK91" s="156">
        <f t="shared" si="61"/>
        <v>25.163760559297501</v>
      </c>
      <c r="AM91" s="716">
        <f t="shared" si="62"/>
        <v>2984.1030825322509</v>
      </c>
      <c r="AN91" s="716" t="str">
        <f>_xlfn.XLOOKUP(D91,RUC!$B$3:$B$578,RUC!$M$3:$M$578)</f>
        <v>Zudaire</v>
      </c>
      <c r="AO91" s="1167" t="s">
        <v>2280</v>
      </c>
      <c r="AP91" t="s">
        <v>4446</v>
      </c>
      <c r="AQ91" t="s">
        <v>3196</v>
      </c>
    </row>
    <row r="92" spans="1:43" ht="15" customHeight="1">
      <c r="A92" s="747" t="s">
        <v>4427</v>
      </c>
      <c r="B92" s="1447">
        <v>46052</v>
      </c>
      <c r="C92" s="1447">
        <v>46041</v>
      </c>
      <c r="D92" t="s">
        <v>1967</v>
      </c>
      <c r="E92" s="762">
        <f>_xlfn.XLOOKUP(D92,RUC!$B$3:$B$123,RUC!$D$3:$D$123)</f>
        <v>20601769396</v>
      </c>
      <c r="G92" s="762">
        <v>27</v>
      </c>
      <c r="H92" s="762" t="s">
        <v>69</v>
      </c>
      <c r="I92" s="703">
        <v>2.29</v>
      </c>
      <c r="J92" s="596">
        <v>14.53</v>
      </c>
      <c r="K92" s="703">
        <f t="shared" ref="K92:K126" si="77">ROUND(+I92-(I92*(J92/100)),3)</f>
        <v>1.9570000000000001</v>
      </c>
      <c r="L92" s="1192">
        <v>0.19400000000000001</v>
      </c>
      <c r="M92" s="994">
        <f t="shared" si="64"/>
        <v>0.17499999999999999</v>
      </c>
      <c r="N92" s="1196">
        <f t="shared" si="76"/>
        <v>0.17499999999999999</v>
      </c>
      <c r="O92" s="645">
        <f t="shared" si="69"/>
        <v>0.17499999999999999</v>
      </c>
      <c r="P92" s="727">
        <v>85</v>
      </c>
      <c r="Q92" s="1476">
        <v>86.6</v>
      </c>
      <c r="R92" s="706">
        <v>4666.8500000000004</v>
      </c>
      <c r="S92" s="765">
        <f>IF((_xlfn.XLOOKUP(D92,RUC!$B$3:$B$119,RUC!$E$3:$E$119)+ROUNDDOWN(O92,1)*100)&lt;95,95,((_xlfn.XLOOKUP(D92,RUC!$B$3:$B$119,RUC!$E$3:$E$119)+ROUNDDOWN(O92,1)*100)))</f>
        <v>100</v>
      </c>
      <c r="U92" s="1146">
        <f>_xlfn.XLOOKUP(D92,RUC!$B$3:$B$123,RUC!$F$3:$F$123)</f>
        <v>120</v>
      </c>
      <c r="V92" s="715">
        <v>1.1023000000000001</v>
      </c>
      <c r="Y92">
        <f>_xlfn.XLOOKUP(D92,RUC!$B$3:$B$123,RUC!$G$3:$G$123)</f>
        <v>20</v>
      </c>
      <c r="Z92" s="143">
        <f>_xlfn.XLOOKUP(D92,RUC!$B$3:$B$123,RUC!$H$3:$H$123)</f>
        <v>30</v>
      </c>
      <c r="AA92" s="144">
        <f t="shared" si="53"/>
        <v>50</v>
      </c>
      <c r="AB92" s="145">
        <f t="shared" si="54"/>
        <v>580.18892230625011</v>
      </c>
      <c r="AC92" s="145">
        <f>+(S92-T92)*V92-'data 1'!$F$4</f>
        <v>30.230000000000004</v>
      </c>
      <c r="AD92" s="145">
        <f t="shared" si="55"/>
        <v>15.557225511519949</v>
      </c>
      <c r="AE92" s="145">
        <f t="shared" si="56"/>
        <v>-14.884999999999998</v>
      </c>
      <c r="AF92" s="145">
        <f t="shared" si="57"/>
        <v>82.467328790770082</v>
      </c>
      <c r="AG92" s="772">
        <f t="shared" si="72"/>
        <v>130.36955430229003</v>
      </c>
      <c r="AH92" s="1253">
        <f t="shared" ref="AH92:AH126" si="78">ROUND((31.1035*L92*Q92*1.1023*K92/100),3)</f>
        <v>11.272</v>
      </c>
      <c r="AI92" s="1253">
        <f t="shared" si="59"/>
        <v>13.016999999999999</v>
      </c>
      <c r="AJ92" s="156">
        <f t="shared" si="60"/>
        <v>83.919215188979948</v>
      </c>
      <c r="AK92" s="156">
        <f t="shared" si="61"/>
        <v>9.9806050315601862</v>
      </c>
      <c r="AM92" s="716">
        <f t="shared" si="62"/>
        <v>1135.4297209533315</v>
      </c>
      <c r="AN92" s="716" t="str">
        <f>_xlfn.XLOOKUP(D92,RUC!$B$3:$B$578,RUC!$M$3:$M$578)</f>
        <v>Evelyn</v>
      </c>
      <c r="AO92" s="1167" t="s">
        <v>2280</v>
      </c>
      <c r="AP92" t="s">
        <v>4449</v>
      </c>
      <c r="AQ92" t="s">
        <v>4450</v>
      </c>
    </row>
    <row r="93" spans="1:43" ht="15" customHeight="1">
      <c r="A93" s="747" t="s">
        <v>4428</v>
      </c>
      <c r="B93" s="1447">
        <v>46052</v>
      </c>
      <c r="C93" s="1447">
        <v>46041</v>
      </c>
      <c r="D93" t="s">
        <v>1967</v>
      </c>
      <c r="E93" s="762">
        <f>_xlfn.XLOOKUP(D93,RUC!$B$3:$B$123,RUC!$D$3:$D$123)</f>
        <v>20601769396</v>
      </c>
      <c r="G93" s="762">
        <v>27</v>
      </c>
      <c r="H93" s="762" t="s">
        <v>69</v>
      </c>
      <c r="I93" s="703">
        <v>2.2400000000000002</v>
      </c>
      <c r="J93" s="596">
        <v>13.98</v>
      </c>
      <c r="K93" s="703">
        <f t="shared" si="77"/>
        <v>1.927</v>
      </c>
      <c r="L93" s="1192">
        <v>0.36699999999999999</v>
      </c>
      <c r="M93" s="994">
        <f t="shared" si="64"/>
        <v>0.34499999999999997</v>
      </c>
      <c r="N93" s="1196">
        <f t="shared" si="76"/>
        <v>0.34499999999999997</v>
      </c>
      <c r="O93" s="645">
        <f t="shared" si="69"/>
        <v>0.34499999999999997</v>
      </c>
      <c r="P93" s="727">
        <v>88</v>
      </c>
      <c r="Q93" s="1476">
        <v>89.65</v>
      </c>
      <c r="R93" s="706">
        <v>4666.8500000000004</v>
      </c>
      <c r="S93" s="765">
        <f>IF((_xlfn.XLOOKUP(D93,RUC!$B$3:$B$119,RUC!$E$3:$E$119)+ROUNDDOWN(O93,1)*100)&lt;95,95,((_xlfn.XLOOKUP(D93,RUC!$B$3:$B$119,RUC!$E$3:$E$119)+ROUNDDOWN(O93,1)*100)))</f>
        <v>120</v>
      </c>
      <c r="U93" s="1146">
        <f>_xlfn.XLOOKUP(D93,RUC!$B$3:$B$123,RUC!$F$3:$F$123)</f>
        <v>120</v>
      </c>
      <c r="V93" s="715">
        <v>1.1023000000000001</v>
      </c>
      <c r="Y93">
        <f>_xlfn.XLOOKUP(D93,RUC!$B$3:$B$123,RUC!$G$3:$G$123)</f>
        <v>20</v>
      </c>
      <c r="Z93" s="143">
        <f>_xlfn.XLOOKUP(D93,RUC!$B$3:$B$123,RUC!$H$3:$H$123)</f>
        <v>30</v>
      </c>
      <c r="AA93" s="144">
        <f t="shared" si="53"/>
        <v>50</v>
      </c>
      <c r="AB93" s="145">
        <f t="shared" si="54"/>
        <v>1334.2500004180001</v>
      </c>
      <c r="AC93" s="145">
        <f>+(S93-T93)*V93-'data 1'!$F$4</f>
        <v>52.27600000000001</v>
      </c>
      <c r="AD93" s="145">
        <f t="shared" si="55"/>
        <v>30.350122127902605</v>
      </c>
      <c r="AE93" s="145">
        <f t="shared" si="56"/>
        <v>-14.884999999999998</v>
      </c>
      <c r="AF93" s="145">
        <f t="shared" si="57"/>
        <v>98.851533106865105</v>
      </c>
      <c r="AG93" s="772">
        <f t="shared" si="72"/>
        <v>183.59265523476773</v>
      </c>
      <c r="AH93" s="1253">
        <f t="shared" si="78"/>
        <v>21.736999999999998</v>
      </c>
      <c r="AI93" s="1253">
        <f t="shared" si="59"/>
        <v>24.247</v>
      </c>
      <c r="AJ93" s="156">
        <f t="shared" si="60"/>
        <v>164.34562596729739</v>
      </c>
      <c r="AK93" s="156">
        <f t="shared" si="61"/>
        <v>20.058227425685462</v>
      </c>
      <c r="AM93" s="716">
        <f t="shared" si="62"/>
        <v>2571.0997508054861</v>
      </c>
      <c r="AN93" s="716" t="str">
        <f>_xlfn.XLOOKUP(D93,RUC!$B$3:$B$578,RUC!$M$3:$M$578)</f>
        <v>Evelyn</v>
      </c>
      <c r="AO93" s="1167" t="s">
        <v>2280</v>
      </c>
      <c r="AP93" t="s">
        <v>4449</v>
      </c>
      <c r="AQ93" t="s">
        <v>4450</v>
      </c>
    </row>
    <row r="94" spans="1:43" ht="15" customHeight="1">
      <c r="A94" s="747" t="s">
        <v>4429</v>
      </c>
      <c r="B94" s="1447">
        <v>46052</v>
      </c>
      <c r="C94" s="1447">
        <v>46041</v>
      </c>
      <c r="D94" t="s">
        <v>1967</v>
      </c>
      <c r="E94" s="762">
        <f>_xlfn.XLOOKUP(D94,RUC!$B$3:$B$123,RUC!$D$3:$D$123)</f>
        <v>20601769396</v>
      </c>
      <c r="G94" s="762">
        <v>27</v>
      </c>
      <c r="H94" s="762" t="s">
        <v>69</v>
      </c>
      <c r="I94" s="703">
        <v>2.4</v>
      </c>
      <c r="J94" s="596">
        <v>14.3</v>
      </c>
      <c r="K94" s="703">
        <f t="shared" si="77"/>
        <v>2.0569999999999999</v>
      </c>
      <c r="L94" s="1192">
        <v>0.23599999999999999</v>
      </c>
      <c r="M94" s="994">
        <f t="shared" si="64"/>
        <v>0.217</v>
      </c>
      <c r="N94" s="1196">
        <f t="shared" si="76"/>
        <v>0.217</v>
      </c>
      <c r="O94" s="645">
        <f t="shared" si="69"/>
        <v>0.217</v>
      </c>
      <c r="P94" s="727">
        <v>88</v>
      </c>
      <c r="Q94" s="1476">
        <v>89.41</v>
      </c>
      <c r="R94" s="706">
        <v>4666.8500000000004</v>
      </c>
      <c r="S94" s="765">
        <f>IF((_xlfn.XLOOKUP(D94,RUC!$B$3:$B$119,RUC!$E$3:$E$119)+ROUNDDOWN(O94,1)*100)&lt;95,95,((_xlfn.XLOOKUP(D94,RUC!$B$3:$B$119,RUC!$E$3:$E$119)+ROUNDDOWN(O94,1)*100)))</f>
        <v>110</v>
      </c>
      <c r="U94" s="1146">
        <f>_xlfn.XLOOKUP(D94,RUC!$B$3:$B$123,RUC!$F$3:$F$123)</f>
        <v>120</v>
      </c>
      <c r="V94" s="715">
        <v>1.1023000000000001</v>
      </c>
      <c r="Y94">
        <f>_xlfn.XLOOKUP(D94,RUC!$B$3:$B$123,RUC!$G$3:$G$123)</f>
        <v>20</v>
      </c>
      <c r="Z94" s="143">
        <f>_xlfn.XLOOKUP(D94,RUC!$B$3:$B$123,RUC!$H$3:$H$123)</f>
        <v>30</v>
      </c>
      <c r="AA94" s="144">
        <f t="shared" si="53"/>
        <v>50</v>
      </c>
      <c r="AB94" s="145">
        <f t="shared" si="54"/>
        <v>780.72213649480022</v>
      </c>
      <c r="AC94" s="145">
        <f>+(S94-T94)*V94-'data 1'!$F$4</f>
        <v>41.253</v>
      </c>
      <c r="AD94" s="145">
        <f t="shared" si="55"/>
        <v>16.677907091537961</v>
      </c>
      <c r="AE94" s="145">
        <f t="shared" si="56"/>
        <v>-14.884999999999998</v>
      </c>
      <c r="AF94" s="145">
        <f t="shared" si="57"/>
        <v>85.143231722664453</v>
      </c>
      <c r="AG94" s="772">
        <f t="shared" si="72"/>
        <v>145.18913881420241</v>
      </c>
      <c r="AH94" s="1253">
        <f t="shared" si="78"/>
        <v>14.881</v>
      </c>
      <c r="AI94" s="1253">
        <f t="shared" si="59"/>
        <v>16.643999999999998</v>
      </c>
      <c r="AJ94" s="156">
        <f t="shared" si="60"/>
        <v>105.39982495006193</v>
      </c>
      <c r="AK94" s="156">
        <f t="shared" si="61"/>
        <v>13.467462253071597</v>
      </c>
      <c r="AM94" s="716">
        <f t="shared" si="62"/>
        <v>1605.945434769804</v>
      </c>
      <c r="AN94" s="716" t="str">
        <f>_xlfn.XLOOKUP(D94,RUC!$B$3:$B$578,RUC!$M$3:$M$578)</f>
        <v>Evelyn</v>
      </c>
      <c r="AO94" s="1167" t="s">
        <v>2280</v>
      </c>
      <c r="AP94" t="s">
        <v>4449</v>
      </c>
      <c r="AQ94" t="s">
        <v>4450</v>
      </c>
    </row>
    <row r="95" spans="1:43" ht="15" customHeight="1">
      <c r="A95" s="747" t="s">
        <v>4430</v>
      </c>
      <c r="B95" s="1447">
        <v>46052</v>
      </c>
      <c r="C95" s="1447">
        <v>46041</v>
      </c>
      <c r="D95" t="s">
        <v>1967</v>
      </c>
      <c r="E95" s="762">
        <f>_xlfn.XLOOKUP(D95,RUC!$B$3:$B$123,RUC!$D$3:$D$123)</f>
        <v>20601769396</v>
      </c>
      <c r="G95" s="762">
        <v>27</v>
      </c>
      <c r="H95" s="762" t="s">
        <v>69</v>
      </c>
      <c r="I95" s="703">
        <v>2.35</v>
      </c>
      <c r="J95" s="596">
        <v>12.63</v>
      </c>
      <c r="K95" s="703">
        <f t="shared" si="77"/>
        <v>2.0529999999999999</v>
      </c>
      <c r="L95" s="1192">
        <v>0.25900000000000001</v>
      </c>
      <c r="M95" s="994">
        <f t="shared" si="64"/>
        <v>0.24</v>
      </c>
      <c r="N95" s="1196">
        <f t="shared" si="76"/>
        <v>0.24</v>
      </c>
      <c r="O95" s="645">
        <f t="shared" si="69"/>
        <v>0.24</v>
      </c>
      <c r="P95" s="727">
        <v>90</v>
      </c>
      <c r="Q95" s="1476">
        <v>95.37</v>
      </c>
      <c r="R95" s="706">
        <v>4666.8500000000004</v>
      </c>
      <c r="S95" s="765">
        <f>IF((_xlfn.XLOOKUP(D95,RUC!$B$3:$B$119,RUC!$E$3:$E$119)+ROUNDDOWN(O95,1)*100)&lt;95,95,((_xlfn.XLOOKUP(D95,RUC!$B$3:$B$119,RUC!$E$3:$E$119)+ROUNDDOWN(O95,1)*100)))</f>
        <v>110</v>
      </c>
      <c r="U95" s="1146">
        <f>_xlfn.XLOOKUP(D95,RUC!$B$3:$B$123,RUC!$F$3:$F$123)</f>
        <v>120</v>
      </c>
      <c r="V95" s="715">
        <v>1.1023000000000001</v>
      </c>
      <c r="Y95">
        <f>_xlfn.XLOOKUP(D95,RUC!$B$3:$B$123,RUC!$G$3:$G$123)</f>
        <v>20</v>
      </c>
      <c r="Z95" s="143">
        <f>_xlfn.XLOOKUP(D95,RUC!$B$3:$B$123,RUC!$H$3:$H$123)</f>
        <v>30</v>
      </c>
      <c r="AA95" s="144">
        <f t="shared" si="53"/>
        <v>50</v>
      </c>
      <c r="AB95" s="145">
        <f t="shared" si="54"/>
        <v>906.22243507999997</v>
      </c>
      <c r="AC95" s="145">
        <f>+(S95-T95)*V95-'data 1'!$F$4</f>
        <v>41.253</v>
      </c>
      <c r="AD95" s="145">
        <f t="shared" si="55"/>
        <v>69.708298834366573</v>
      </c>
      <c r="AE95" s="145">
        <f t="shared" si="56"/>
        <v>-14.884999999999998</v>
      </c>
      <c r="AF95" s="145">
        <f t="shared" si="57"/>
        <v>90.818812318426595</v>
      </c>
      <c r="AG95" s="772">
        <f t="shared" si="72"/>
        <v>203.89511115279316</v>
      </c>
      <c r="AH95" s="1253">
        <f t="shared" si="78"/>
        <v>17.385999999999999</v>
      </c>
      <c r="AI95" s="1253">
        <f t="shared" si="59"/>
        <v>18.23</v>
      </c>
      <c r="AJ95" s="156">
        <f t="shared" si="60"/>
        <v>123.38243542513342</v>
      </c>
      <c r="AK95" s="156">
        <f t="shared" si="61"/>
        <v>15.203786759996397</v>
      </c>
      <c r="AM95" s="716">
        <f t="shared" si="62"/>
        <v>1860.4746592192398</v>
      </c>
      <c r="AN95" s="716" t="str">
        <f>_xlfn.XLOOKUP(D95,RUC!$B$3:$B$578,RUC!$M$3:$M$578)</f>
        <v>Evelyn</v>
      </c>
      <c r="AO95" s="1167" t="s">
        <v>2280</v>
      </c>
      <c r="AP95" t="s">
        <v>4449</v>
      </c>
      <c r="AQ95" t="s">
        <v>4450</v>
      </c>
    </row>
    <row r="96" spans="1:43" ht="15" customHeight="1">
      <c r="A96" s="747" t="s">
        <v>4431</v>
      </c>
      <c r="B96" s="1447">
        <v>46049</v>
      </c>
      <c r="C96" s="1447">
        <v>46041</v>
      </c>
      <c r="D96" s="1649" t="s">
        <v>4171</v>
      </c>
      <c r="E96" s="762">
        <f>_xlfn.XLOOKUP(D96,RUC!$B$3:$B$123,RUC!$D$3:$D$123)</f>
        <v>20614284740</v>
      </c>
      <c r="G96" s="762" t="s">
        <v>2985</v>
      </c>
      <c r="H96" s="762" t="s">
        <v>108</v>
      </c>
      <c r="I96" s="703">
        <v>11.98</v>
      </c>
      <c r="J96" s="596">
        <v>16.850000000000001</v>
      </c>
      <c r="K96" s="703">
        <f t="shared" si="77"/>
        <v>9.9610000000000003</v>
      </c>
      <c r="L96" s="1192">
        <v>0.27200000000000002</v>
      </c>
      <c r="M96" s="994">
        <f t="shared" si="64"/>
        <v>0.253</v>
      </c>
      <c r="N96" s="1444">
        <v>0.311</v>
      </c>
      <c r="O96" s="645">
        <f t="shared" si="69"/>
        <v>0.28199999999999997</v>
      </c>
      <c r="P96" s="727">
        <v>90</v>
      </c>
      <c r="Q96" s="1476">
        <v>92.65</v>
      </c>
      <c r="R96" s="706">
        <v>4666.8500000000004</v>
      </c>
      <c r="S96" s="765">
        <f>IF((_xlfn.XLOOKUP(D96,RUC!$B$3:$B$119,RUC!$E$3:$E$119)+ROUNDDOWN(O96,1)*100)&lt;95,95,((_xlfn.XLOOKUP(D96,RUC!$B$3:$B$119,RUC!$E$3:$E$119)+ROUNDDOWN(O96,1)*100)))</f>
        <v>110</v>
      </c>
      <c r="U96" s="1146">
        <f>_xlfn.XLOOKUP(D96,RUC!$B$3:$B$123,RUC!$F$3:$F$123)</f>
        <v>120</v>
      </c>
      <c r="V96" s="715">
        <v>1.1023000000000001</v>
      </c>
      <c r="Y96" s="1445">
        <v>30</v>
      </c>
      <c r="Z96" s="1454">
        <v>40</v>
      </c>
      <c r="AA96" s="144">
        <f t="shared" si="53"/>
        <v>70</v>
      </c>
      <c r="AB96" s="145">
        <f t="shared" si="54"/>
        <v>1073.6297612190001</v>
      </c>
      <c r="AC96" s="145">
        <f>+(S96-T96)*V96-'data 1'!$F$4</f>
        <v>41.253</v>
      </c>
      <c r="AD96" s="145">
        <f t="shared" si="55"/>
        <v>36.126443778040084</v>
      </c>
      <c r="AE96" s="145">
        <f t="shared" si="56"/>
        <v>7.1610000000000014</v>
      </c>
      <c r="AF96" s="145">
        <f t="shared" si="57"/>
        <v>-46.436112875074798</v>
      </c>
      <c r="AG96" s="772">
        <f t="shared" si="72"/>
        <v>55.104330902965287</v>
      </c>
      <c r="AH96" s="1253">
        <f t="shared" si="78"/>
        <v>86.064999999999998</v>
      </c>
      <c r="AI96" s="1253">
        <f t="shared" si="59"/>
        <v>92.893000000000001</v>
      </c>
      <c r="AJ96" s="156">
        <f t="shared" si="60"/>
        <v>125.87982179795992</v>
      </c>
      <c r="AK96" s="156">
        <f t="shared" si="61"/>
        <v>86.676951242903485</v>
      </c>
      <c r="AM96" s="716">
        <f t="shared" si="62"/>
        <v>10694.42605150246</v>
      </c>
      <c r="AN96" s="716" t="str">
        <f>_xlfn.XLOOKUP(D96,RUC!$B$3:$B$578,RUC!$M$3:$M$578)</f>
        <v xml:space="preserve">Dante </v>
      </c>
      <c r="AO96" s="1167" t="s">
        <v>2280</v>
      </c>
      <c r="AP96" t="s">
        <v>3488</v>
      </c>
      <c r="AQ96" t="s">
        <v>4451</v>
      </c>
    </row>
    <row r="97" spans="1:44" ht="15" customHeight="1">
      <c r="A97" s="747" t="s">
        <v>4453</v>
      </c>
      <c r="B97" s="1447">
        <v>46052</v>
      </c>
      <c r="C97" s="1447">
        <v>46041</v>
      </c>
      <c r="D97" t="s">
        <v>1967</v>
      </c>
      <c r="E97" s="762">
        <f>_xlfn.XLOOKUP(D97,RUC!$B$3:$B$123,RUC!$D$3:$D$123)</f>
        <v>20601769396</v>
      </c>
      <c r="G97" s="762">
        <v>27</v>
      </c>
      <c r="H97" s="762" t="s">
        <v>69</v>
      </c>
      <c r="I97" s="703">
        <v>2.38</v>
      </c>
      <c r="J97" s="596">
        <v>15.65</v>
      </c>
      <c r="K97" s="703">
        <f t="shared" si="77"/>
        <v>2.008</v>
      </c>
      <c r="L97" s="1192">
        <v>0.314</v>
      </c>
      <c r="M97" s="994">
        <f t="shared" si="64"/>
        <v>0.29499999999999998</v>
      </c>
      <c r="N97" s="1196">
        <f t="shared" si="76"/>
        <v>0.29499999999999998</v>
      </c>
      <c r="O97" s="645">
        <f t="shared" si="69"/>
        <v>0.29499999999999998</v>
      </c>
      <c r="P97" s="727">
        <v>90</v>
      </c>
      <c r="Q97" s="1476">
        <v>92.99</v>
      </c>
      <c r="R97" s="706">
        <v>4666.8500000000004</v>
      </c>
      <c r="S97" s="765">
        <f>IF((_xlfn.XLOOKUP(D97,RUC!$B$3:$B$119,RUC!$E$3:$E$119)+ROUNDDOWN(O97,1)*100)&lt;95,95,((_xlfn.XLOOKUP(D97,RUC!$B$3:$B$119,RUC!$E$3:$E$119)+ROUNDDOWN(O97,1)*100)))</f>
        <v>110</v>
      </c>
      <c r="U97" s="1146">
        <f>_xlfn.XLOOKUP(D97,RUC!$B$3:$B$123,RUC!$F$3:$F$123)</f>
        <v>120</v>
      </c>
      <c r="V97" s="715">
        <v>1.1023000000000001</v>
      </c>
      <c r="Y97">
        <f>_xlfn.XLOOKUP(D97,RUC!$B$3:$B$123,RUC!$G$3:$G$123)</f>
        <v>20</v>
      </c>
      <c r="Z97" s="143">
        <f>_xlfn.XLOOKUP(D97,RUC!$B$3:$B$123,RUC!$H$3:$H$123)</f>
        <v>30</v>
      </c>
      <c r="AA97" s="144">
        <f t="shared" si="53"/>
        <v>50</v>
      </c>
      <c r="AB97" s="145">
        <f t="shared" si="54"/>
        <v>1154.3160764524998</v>
      </c>
      <c r="AC97" s="145">
        <f>+(S97-T97)*V97-'data 1'!$F$4</f>
        <v>41.253</v>
      </c>
      <c r="AD97" s="145">
        <f t="shared" si="55"/>
        <v>47.055595179592927</v>
      </c>
      <c r="AE97" s="145">
        <f t="shared" si="56"/>
        <v>-14.884999999999998</v>
      </c>
      <c r="AF97" s="145">
        <f t="shared" si="57"/>
        <v>88.552389194615571</v>
      </c>
      <c r="AG97" s="772">
        <f t="shared" si="72"/>
        <v>178.97598437420851</v>
      </c>
      <c r="AH97" s="1253">
        <f t="shared" si="78"/>
        <v>20.102</v>
      </c>
      <c r="AI97" s="1253">
        <f t="shared" si="59"/>
        <v>21.617000000000001</v>
      </c>
      <c r="AJ97" s="156">
        <f t="shared" si="60"/>
        <v>145.85042115740688</v>
      </c>
      <c r="AK97" s="156">
        <f t="shared" si="61"/>
        <v>18.278363218768199</v>
      </c>
      <c r="AM97" s="716">
        <f t="shared" si="62"/>
        <v>2317.8666815166198</v>
      </c>
      <c r="AN97" s="716" t="str">
        <f>_xlfn.XLOOKUP(D97,RUC!$B$3:$B$578,RUC!$M$3:$M$578)</f>
        <v>Evelyn</v>
      </c>
      <c r="AO97" s="1167" t="s">
        <v>2280</v>
      </c>
      <c r="AP97" t="s">
        <v>4449</v>
      </c>
      <c r="AQ97" t="s">
        <v>4450</v>
      </c>
    </row>
    <row r="98" spans="1:44" ht="15" customHeight="1">
      <c r="A98" s="747" t="s">
        <v>4454</v>
      </c>
      <c r="B98" s="1447">
        <v>46052</v>
      </c>
      <c r="C98" s="1447">
        <v>46041</v>
      </c>
      <c r="D98" t="s">
        <v>1967</v>
      </c>
      <c r="E98" s="762">
        <f>_xlfn.XLOOKUP(D98,RUC!$B$3:$B$123,RUC!$D$3:$D$123)</f>
        <v>20601769396</v>
      </c>
      <c r="G98" s="762">
        <v>17</v>
      </c>
      <c r="H98" s="762" t="s">
        <v>69</v>
      </c>
      <c r="I98" s="703">
        <v>1.41</v>
      </c>
      <c r="J98" s="596">
        <v>10.8</v>
      </c>
      <c r="K98" s="703">
        <f t="shared" si="77"/>
        <v>1.258</v>
      </c>
      <c r="L98" s="1192">
        <v>0.505</v>
      </c>
      <c r="M98" s="994">
        <f t="shared" si="64"/>
        <v>0.47499999999999998</v>
      </c>
      <c r="N98" s="1196">
        <f t="shared" si="76"/>
        <v>0.47499999999999998</v>
      </c>
      <c r="O98" s="645">
        <f t="shared" si="69"/>
        <v>0.47499999999999998</v>
      </c>
      <c r="P98" s="727">
        <v>90</v>
      </c>
      <c r="Q98" s="1476">
        <v>93.27</v>
      </c>
      <c r="R98" s="706">
        <v>4666.8500000000004</v>
      </c>
      <c r="S98" s="765">
        <f>IF((_xlfn.XLOOKUP(D98,RUC!$B$3:$B$119,RUC!$E$3:$E$119)+ROUNDDOWN(O98,1)*100)&lt;95,95,((_xlfn.XLOOKUP(D98,RUC!$B$3:$B$119,RUC!$E$3:$E$119)+ROUNDDOWN(O98,1)*100)))</f>
        <v>130</v>
      </c>
      <c r="U98" s="1146">
        <f>_xlfn.XLOOKUP(D98,RUC!$B$3:$B$123,RUC!$F$3:$F$123)</f>
        <v>120</v>
      </c>
      <c r="V98" s="715">
        <v>1.1023000000000001</v>
      </c>
      <c r="Y98">
        <f>_xlfn.XLOOKUP(D98,RUC!$B$3:$B$123,RUC!$G$3:$G$123)</f>
        <v>20</v>
      </c>
      <c r="Z98" s="143">
        <f>_xlfn.XLOOKUP(D98,RUC!$B$3:$B$123,RUC!$H$3:$H$123)</f>
        <v>30</v>
      </c>
      <c r="AA98" s="144">
        <f t="shared" si="53"/>
        <v>50</v>
      </c>
      <c r="AB98" s="145">
        <f t="shared" si="54"/>
        <v>1944.2129027625006</v>
      </c>
      <c r="AC98" s="145">
        <f>+(S98-T98)*V98-'data 1'!$F$4</f>
        <v>63.299000000000007</v>
      </c>
      <c r="AD98" s="145">
        <f t="shared" si="55"/>
        <v>82.765542359692404</v>
      </c>
      <c r="AE98" s="145">
        <f t="shared" si="56"/>
        <v>-14.884999999999998</v>
      </c>
      <c r="AF98" s="145">
        <f t="shared" si="57"/>
        <v>140.24056927765514</v>
      </c>
      <c r="AG98" s="772">
        <f t="shared" si="72"/>
        <v>288.42011163734753</v>
      </c>
      <c r="AH98" s="1253">
        <f t="shared" si="78"/>
        <v>20.315000000000001</v>
      </c>
      <c r="AI98" s="1253">
        <f t="shared" si="59"/>
        <v>21.780999999999999</v>
      </c>
      <c r="AJ98" s="156">
        <f t="shared" si="60"/>
        <v>235.27465574280731</v>
      </c>
      <c r="AK98" s="156">
        <f t="shared" si="61"/>
        <v>18.438510266349752</v>
      </c>
      <c r="AM98" s="716">
        <f t="shared" si="62"/>
        <v>2445.8198316752259</v>
      </c>
      <c r="AN98" s="716" t="str">
        <f>_xlfn.XLOOKUP(D98,RUC!$B$3:$B$578,RUC!$M$3:$M$578)</f>
        <v>Evelyn</v>
      </c>
      <c r="AO98" s="1167" t="s">
        <v>2280</v>
      </c>
      <c r="AP98" t="s">
        <v>4449</v>
      </c>
      <c r="AQ98" t="s">
        <v>4450</v>
      </c>
    </row>
    <row r="99" spans="1:44" ht="15" customHeight="1">
      <c r="A99" s="747" t="s">
        <v>4455</v>
      </c>
      <c r="B99" s="1447">
        <v>46052</v>
      </c>
      <c r="C99" s="1447">
        <v>46041</v>
      </c>
      <c r="D99" t="s">
        <v>1967</v>
      </c>
      <c r="E99" s="762">
        <f>_xlfn.XLOOKUP(D99,RUC!$B$3:$B$123,RUC!$D$3:$D$123)</f>
        <v>20601769396</v>
      </c>
      <c r="G99" s="762">
        <v>17</v>
      </c>
      <c r="H99" s="762" t="s">
        <v>69</v>
      </c>
      <c r="I99" s="703">
        <v>1.39</v>
      </c>
      <c r="J99" s="596">
        <v>9.67</v>
      </c>
      <c r="K99" s="703">
        <f t="shared" si="77"/>
        <v>1.256</v>
      </c>
      <c r="L99" s="1192">
        <v>0.52900000000000003</v>
      </c>
      <c r="M99" s="994">
        <f t="shared" si="64"/>
        <v>0.497</v>
      </c>
      <c r="N99" s="1196">
        <f t="shared" si="76"/>
        <v>0.497</v>
      </c>
      <c r="O99" s="645">
        <f t="shared" si="69"/>
        <v>0.497</v>
      </c>
      <c r="P99" s="727">
        <v>90</v>
      </c>
      <c r="Q99" s="1476">
        <v>94.33</v>
      </c>
      <c r="R99" s="706">
        <v>4666.8500000000004</v>
      </c>
      <c r="S99" s="765">
        <f>IF((_xlfn.XLOOKUP(D99,RUC!$B$3:$B$119,RUC!$E$3:$E$119)+ROUNDDOWN(O99,1)*100)&lt;95,95,((_xlfn.XLOOKUP(D99,RUC!$B$3:$B$119,RUC!$E$3:$E$119)+ROUNDDOWN(O99,1)*100)))</f>
        <v>130</v>
      </c>
      <c r="U99" s="1146">
        <f>_xlfn.XLOOKUP(D99,RUC!$B$3:$B$123,RUC!$F$3:$F$123)</f>
        <v>120</v>
      </c>
      <c r="V99" s="715">
        <v>1.1023000000000001</v>
      </c>
      <c r="Y99">
        <f>_xlfn.XLOOKUP(D99,RUC!$B$3:$B$123,RUC!$G$3:$G$123)</f>
        <v>20</v>
      </c>
      <c r="Z99" s="143">
        <f>_xlfn.XLOOKUP(D99,RUC!$B$3:$B$123,RUC!$H$3:$H$123)</f>
        <v>30</v>
      </c>
      <c r="AA99" s="144">
        <f t="shared" si="53"/>
        <v>50</v>
      </c>
      <c r="AB99" s="145">
        <f t="shared" si="54"/>
        <v>2043.4503593115001</v>
      </c>
      <c r="AC99" s="145">
        <f>+(S99-T99)*V99-'data 1'!$F$4</f>
        <v>63.299000000000007</v>
      </c>
      <c r="AD99" s="145">
        <f t="shared" si="55"/>
        <v>114.80320244820346</v>
      </c>
      <c r="AE99" s="145">
        <f t="shared" si="56"/>
        <v>-14.884999999999998</v>
      </c>
      <c r="AF99" s="145">
        <f t="shared" si="57"/>
        <v>151.29000850532816</v>
      </c>
      <c r="AG99" s="772">
        <f t="shared" si="72"/>
        <v>331.50721095353163</v>
      </c>
      <c r="AH99" s="1253">
        <f t="shared" si="78"/>
        <v>21.488</v>
      </c>
      <c r="AI99" s="1253">
        <f t="shared" si="59"/>
        <v>22.78</v>
      </c>
      <c r="AJ99" s="156">
        <f t="shared" si="60"/>
        <v>249.25696244629631</v>
      </c>
      <c r="AK99" s="156">
        <f t="shared" si="61"/>
        <v>19.261832717904841</v>
      </c>
      <c r="AM99" s="716">
        <f t="shared" si="62"/>
        <v>2566.573651295244</v>
      </c>
      <c r="AN99" s="716" t="str">
        <f>_xlfn.XLOOKUP(D99,RUC!$B$3:$B$578,RUC!$M$3:$M$578)</f>
        <v>Evelyn</v>
      </c>
      <c r="AO99" s="1167" t="s">
        <v>2280</v>
      </c>
      <c r="AP99" t="s">
        <v>4449</v>
      </c>
      <c r="AQ99" t="s">
        <v>4450</v>
      </c>
    </row>
    <row r="100" spans="1:44" ht="15" customHeight="1">
      <c r="A100" s="747" t="s">
        <v>4456</v>
      </c>
      <c r="B100" s="1447">
        <v>46057</v>
      </c>
      <c r="C100" s="1447">
        <v>46041</v>
      </c>
      <c r="D100" t="s">
        <v>1967</v>
      </c>
      <c r="E100" s="762">
        <f>_xlfn.XLOOKUP(D100,RUC!$B$3:$B$123,RUC!$D$3:$D$123)</f>
        <v>20601769396</v>
      </c>
      <c r="G100" s="762">
        <v>15</v>
      </c>
      <c r="H100" s="762" t="s">
        <v>108</v>
      </c>
      <c r="I100" s="703">
        <v>1.1599999999999999</v>
      </c>
      <c r="J100" s="596">
        <v>16.579999999999998</v>
      </c>
      <c r="K100" s="703">
        <f t="shared" si="77"/>
        <v>0.96799999999999997</v>
      </c>
      <c r="L100" s="1192">
        <v>0.38900000000000001</v>
      </c>
      <c r="M100" s="994">
        <f t="shared" si="64"/>
        <v>0.36599999999999999</v>
      </c>
      <c r="N100" s="1196">
        <f t="shared" si="76"/>
        <v>0.36599999999999999</v>
      </c>
      <c r="O100" s="645">
        <f t="shared" si="69"/>
        <v>0.36599999999999999</v>
      </c>
      <c r="P100" s="727">
        <v>89</v>
      </c>
      <c r="Q100" s="1476">
        <v>89.97</v>
      </c>
      <c r="R100" s="706">
        <v>4666.8500000000004</v>
      </c>
      <c r="S100" s="765">
        <f>IF((_xlfn.XLOOKUP(D100,RUC!$B$3:$B$119,RUC!$E$3:$E$119)+ROUNDDOWN(O100,1)*100)&lt;95,95,((_xlfn.XLOOKUP(D100,RUC!$B$3:$B$119,RUC!$E$3:$E$119)+ROUNDDOWN(O100,1)*100)))</f>
        <v>120</v>
      </c>
      <c r="U100" s="1146">
        <f>_xlfn.XLOOKUP(D100,RUC!$B$3:$B$123,RUC!$F$3:$F$123)</f>
        <v>120</v>
      </c>
      <c r="V100" s="715">
        <v>1.1023000000000001</v>
      </c>
      <c r="Y100" s="1445">
        <v>30</v>
      </c>
      <c r="Z100" s="1454">
        <v>40</v>
      </c>
      <c r="AA100" s="144">
        <f t="shared" si="53"/>
        <v>70</v>
      </c>
      <c r="AB100" s="145">
        <f t="shared" si="54"/>
        <v>1423.1695200137001</v>
      </c>
      <c r="AC100" s="145">
        <f>+(S100-T100)*V100-'data 1'!$F$4</f>
        <v>52.27600000000001</v>
      </c>
      <c r="AD100" s="145">
        <f t="shared" si="55"/>
        <v>18.911752262441482</v>
      </c>
      <c r="AE100" s="145">
        <f t="shared" si="56"/>
        <v>7.1610000000000014</v>
      </c>
      <c r="AF100" s="145">
        <f t="shared" si="57"/>
        <v>103.71366727849059</v>
      </c>
      <c r="AG100" s="772">
        <f t="shared" si="72"/>
        <v>199.06241954093207</v>
      </c>
      <c r="AH100" s="1253">
        <f t="shared" si="78"/>
        <v>11.615</v>
      </c>
      <c r="AI100" s="1253">
        <f t="shared" si="59"/>
        <v>12.91</v>
      </c>
      <c r="AJ100" s="156">
        <f t="shared" si="60"/>
        <v>174.81919397900839</v>
      </c>
      <c r="AK100" s="156">
        <f t="shared" si="61"/>
        <v>10.810742389697975</v>
      </c>
      <c r="AM100" s="716">
        <f t="shared" si="62"/>
        <v>1377.6280953732617</v>
      </c>
      <c r="AN100" s="716" t="str">
        <f>_xlfn.XLOOKUP(D100,RUC!$B$3:$B$578,RUC!$M$3:$M$578)</f>
        <v>Evelyn</v>
      </c>
      <c r="AO100" s="1167" t="s">
        <v>2280</v>
      </c>
      <c r="AP100" t="s">
        <v>4449</v>
      </c>
      <c r="AQ100" t="s">
        <v>4450</v>
      </c>
    </row>
    <row r="101" spans="1:44" ht="15" customHeight="1">
      <c r="A101" s="747" t="s">
        <v>4457</v>
      </c>
      <c r="B101" s="1447">
        <v>46057</v>
      </c>
      <c r="C101" s="1447">
        <v>46041</v>
      </c>
      <c r="D101" t="s">
        <v>1967</v>
      </c>
      <c r="E101" s="762">
        <f>_xlfn.XLOOKUP(D101,RUC!$B$3:$B$123,RUC!$D$3:$D$123)</f>
        <v>20601769396</v>
      </c>
      <c r="G101" s="762">
        <v>16</v>
      </c>
      <c r="H101" s="762" t="s">
        <v>108</v>
      </c>
      <c r="I101" s="703">
        <v>1.25</v>
      </c>
      <c r="J101" s="596">
        <v>15.68</v>
      </c>
      <c r="K101" s="703">
        <f t="shared" si="77"/>
        <v>1.054</v>
      </c>
      <c r="L101" s="1192">
        <v>0.315</v>
      </c>
      <c r="M101" s="994">
        <f t="shared" si="64"/>
        <v>0.29599999999999999</v>
      </c>
      <c r="N101" s="1196">
        <f t="shared" si="76"/>
        <v>0.29599999999999999</v>
      </c>
      <c r="O101" s="645">
        <f t="shared" si="69"/>
        <v>0.29599999999999999</v>
      </c>
      <c r="P101" s="727">
        <v>90</v>
      </c>
      <c r="Q101" s="1476">
        <v>90.79</v>
      </c>
      <c r="R101" s="706">
        <v>4666.8500000000004</v>
      </c>
      <c r="S101" s="765">
        <f>IF((_xlfn.XLOOKUP(D101,RUC!$B$3:$B$119,RUC!$E$3:$E$119)+ROUNDDOWN(O101,1)*100)&lt;95,95,((_xlfn.XLOOKUP(D101,RUC!$B$3:$B$119,RUC!$E$3:$E$119)+ROUNDDOWN(O101,1)*100)))</f>
        <v>110</v>
      </c>
      <c r="U101" s="1146">
        <f>_xlfn.XLOOKUP(D101,RUC!$B$3:$B$123,RUC!$F$3:$F$123)</f>
        <v>120</v>
      </c>
      <c r="V101" s="715">
        <v>1.1023000000000001</v>
      </c>
      <c r="Y101" s="1445">
        <v>30</v>
      </c>
      <c r="Z101" s="1454">
        <v>40</v>
      </c>
      <c r="AA101" s="144">
        <f t="shared" si="53"/>
        <v>70</v>
      </c>
      <c r="AB101" s="145">
        <f t="shared" si="54"/>
        <v>1136.7808699320001</v>
      </c>
      <c r="AC101" s="145">
        <f>+(S101-T101)*V101-'data 1'!$F$4</f>
        <v>41.253</v>
      </c>
      <c r="AD101" s="145">
        <f t="shared" si="55"/>
        <v>12.472343970817599</v>
      </c>
      <c r="AE101" s="145">
        <f t="shared" si="56"/>
        <v>7.1610000000000014</v>
      </c>
      <c r="AF101" s="145">
        <f t="shared" si="57"/>
        <v>86.457376223025591</v>
      </c>
      <c r="AG101" s="772">
        <f t="shared" si="72"/>
        <v>164.34372019384318</v>
      </c>
      <c r="AH101" s="1253">
        <f t="shared" si="78"/>
        <v>10.335000000000001</v>
      </c>
      <c r="AI101" s="1253">
        <f t="shared" si="59"/>
        <v>11.382999999999999</v>
      </c>
      <c r="AJ101" s="156">
        <f t="shared" si="60"/>
        <v>142.85332773668242</v>
      </c>
      <c r="AK101" s="156">
        <f t="shared" si="61"/>
        <v>9.6268432548520799</v>
      </c>
      <c r="AM101" s="716">
        <f t="shared" si="62"/>
        <v>1198.1670369083281</v>
      </c>
      <c r="AN101" s="716" t="str">
        <f>_xlfn.XLOOKUP(D101,RUC!$B$3:$B$578,RUC!$M$3:$M$578)</f>
        <v>Evelyn</v>
      </c>
      <c r="AO101" s="1167" t="s">
        <v>2280</v>
      </c>
      <c r="AP101" t="s">
        <v>4449</v>
      </c>
      <c r="AQ101" t="s">
        <v>4450</v>
      </c>
    </row>
    <row r="102" spans="1:44" ht="15" customHeight="1">
      <c r="A102" s="747" t="s">
        <v>4458</v>
      </c>
      <c r="B102" s="1447">
        <v>46057</v>
      </c>
      <c r="C102" s="1447">
        <v>46041</v>
      </c>
      <c r="D102" t="s">
        <v>1967</v>
      </c>
      <c r="E102" s="762">
        <f>_xlfn.XLOOKUP(D102,RUC!$B$3:$B$123,RUC!$D$3:$D$123)</f>
        <v>20601769396</v>
      </c>
      <c r="G102" s="762">
        <v>14</v>
      </c>
      <c r="H102" s="762" t="s">
        <v>108</v>
      </c>
      <c r="I102" s="703">
        <v>0.78</v>
      </c>
      <c r="J102" s="596">
        <v>14.23</v>
      </c>
      <c r="K102" s="703">
        <f t="shared" si="77"/>
        <v>0.66900000000000004</v>
      </c>
      <c r="L102" s="1192">
        <v>0.52400000000000002</v>
      </c>
      <c r="M102" s="994">
        <f t="shared" si="64"/>
        <v>0.49299999999999999</v>
      </c>
      <c r="N102" s="1196">
        <f t="shared" si="76"/>
        <v>0.49299999999999999</v>
      </c>
      <c r="O102" s="645">
        <f t="shared" si="69"/>
        <v>0.49299999999999999</v>
      </c>
      <c r="P102" s="727">
        <v>90</v>
      </c>
      <c r="Q102" s="1476">
        <v>94.47</v>
      </c>
      <c r="R102" s="706">
        <v>4666.8500000000004</v>
      </c>
      <c r="S102" s="765">
        <f>IF((_xlfn.XLOOKUP(D102,RUC!$B$3:$B$119,RUC!$E$3:$E$119)+ROUNDDOWN(O102,1)*100)&lt;95,95,((_xlfn.XLOOKUP(D102,RUC!$B$3:$B$119,RUC!$E$3:$E$119)+ROUNDDOWN(O102,1)*100)))</f>
        <v>130</v>
      </c>
      <c r="U102" s="1146">
        <f>_xlfn.XLOOKUP(D102,RUC!$B$3:$B$123,RUC!$F$3:$F$123)</f>
        <v>120</v>
      </c>
      <c r="V102" s="715">
        <v>1.1023000000000001</v>
      </c>
      <c r="Y102" s="1445">
        <v>30</v>
      </c>
      <c r="Z102" s="1454">
        <v>40</v>
      </c>
      <c r="AA102" s="144">
        <f t="shared" ref="AA102:AA126" si="79">+Y102+Z102</f>
        <v>70</v>
      </c>
      <c r="AB102" s="145">
        <f t="shared" ref="AB102:AB126" si="80">+((O102*P102*(R102-U102)/100)-S102-AA102+T102)*V102</f>
        <v>2003.3611853934999</v>
      </c>
      <c r="AC102" s="145">
        <f>+(S102-T102)*V102-'data 1'!$F$4</f>
        <v>63.299000000000007</v>
      </c>
      <c r="AD102" s="145">
        <f t="shared" ref="AD102:AD126" si="81">+(Q102-P102)*(R102-U102)*L102*V102/100</f>
        <v>117.39490390181399</v>
      </c>
      <c r="AE102" s="145">
        <f t="shared" ref="AE102:AE126" si="82">+(Y102*V102-70)+V102*(Z102-IF(D102="UNTUCA",IF(+((W102-3)*2.5+(X102-3)*3.1)&gt;0,+((W102-3)*1.5+(X102-3)*3.1),0),IF(+((W102-3)*1.5+(X102-3)*3.1)&gt;0,+((W102-3)*1.5+(X102-3)*3.1),0)))</f>
        <v>7.1610000000000014</v>
      </c>
      <c r="AF102" s="145">
        <f t="shared" ref="AF102:AF126" si="83">(L102-O102)*(R102-U102)*Q102*V102/100</f>
        <v>146.77971622510364</v>
      </c>
      <c r="AG102" s="772">
        <f t="shared" si="72"/>
        <v>351.63462012691764</v>
      </c>
      <c r="AH102" s="1253">
        <f t="shared" si="78"/>
        <v>11.353999999999999</v>
      </c>
      <c r="AI102" s="1253">
        <f t="shared" ref="AI102:AI126" si="84">ROUND((31.1035*L102*1.1023*K102),3)</f>
        <v>12.019</v>
      </c>
      <c r="AJ102" s="156">
        <f t="shared" ref="AJ102:AJ126" si="85">+((+$AJ$2-R102+U102)*L102*Q102*V102)/100</f>
        <v>247.26747504018579</v>
      </c>
      <c r="AK102" s="156">
        <f t="shared" ref="AK102:AK126" si="86">31.1035*1.1023*K102*P102*O102/100</f>
        <v>10.177113447438165</v>
      </c>
      <c r="AM102" s="716">
        <f t="shared" ref="AM102:AM126" si="87">+IF(AB102*K102&gt;0,AB102*K102,0)</f>
        <v>1340.2486330282516</v>
      </c>
      <c r="AN102" s="716" t="str">
        <f>_xlfn.XLOOKUP(D102,RUC!$B$3:$B$578,RUC!$M$3:$M$578)</f>
        <v>Evelyn</v>
      </c>
      <c r="AO102" s="1167" t="s">
        <v>2280</v>
      </c>
      <c r="AP102" t="s">
        <v>4449</v>
      </c>
      <c r="AQ102" t="s">
        <v>4450</v>
      </c>
    </row>
    <row r="103" spans="1:44" ht="15" customHeight="1">
      <c r="A103" s="747" t="s">
        <v>4459</v>
      </c>
      <c r="B103" s="1447">
        <v>46054</v>
      </c>
      <c r="C103" s="1447">
        <v>46042</v>
      </c>
      <c r="D103" t="s">
        <v>4067</v>
      </c>
      <c r="E103" s="762">
        <f>_xlfn.XLOOKUP(D103,RUC!$B$3:$B$123,RUC!$D$3:$D$123)</f>
        <v>10239291240</v>
      </c>
      <c r="G103" s="762" t="s">
        <v>2985</v>
      </c>
      <c r="H103" s="762" t="s">
        <v>69</v>
      </c>
      <c r="I103" s="703">
        <v>27.58</v>
      </c>
      <c r="J103" s="596">
        <v>20.38</v>
      </c>
      <c r="K103" s="703">
        <f t="shared" si="77"/>
        <v>21.959</v>
      </c>
      <c r="L103" s="1192">
        <v>0.128</v>
      </c>
      <c r="M103" s="1480">
        <v>0.11</v>
      </c>
      <c r="N103" s="1196">
        <f t="shared" si="76"/>
        <v>0.11</v>
      </c>
      <c r="O103" s="645">
        <f t="shared" si="69"/>
        <v>0.11</v>
      </c>
      <c r="P103" s="727">
        <v>80</v>
      </c>
      <c r="Q103" s="1476">
        <v>97.66</v>
      </c>
      <c r="R103" s="706">
        <v>4747.8</v>
      </c>
      <c r="S103" s="1070">
        <v>110</v>
      </c>
      <c r="U103" s="1146">
        <f>_xlfn.XLOOKUP(D103,RUC!$B$3:$B$123,RUC!$F$3:$F$123)</f>
        <v>100</v>
      </c>
      <c r="V103" s="715">
        <v>1.1023000000000001</v>
      </c>
      <c r="Y103">
        <f>_xlfn.XLOOKUP(D103,RUC!$B$3:$B$123,RUC!$G$3:$G$123)</f>
        <v>0</v>
      </c>
      <c r="Z103" s="1454">
        <v>90</v>
      </c>
      <c r="AA103" s="144">
        <f t="shared" si="79"/>
        <v>90</v>
      </c>
      <c r="AB103" s="145">
        <f t="shared" si="80"/>
        <v>230.38775472000006</v>
      </c>
      <c r="AC103" s="145">
        <f>+(S103-T103)*V103-'data 1'!$F$4</f>
        <v>41.253</v>
      </c>
      <c r="AD103" s="145">
        <f t="shared" si="81"/>
        <v>115.810492339712</v>
      </c>
      <c r="AE103" s="145">
        <f t="shared" si="82"/>
        <v>29.207000000000008</v>
      </c>
      <c r="AF103" s="145">
        <f t="shared" si="83"/>
        <v>90.060937621272004</v>
      </c>
      <c r="AG103" s="772">
        <f t="shared" si="72"/>
        <v>293.331429960984</v>
      </c>
      <c r="AH103" s="1253">
        <f t="shared" si="78"/>
        <v>94.113</v>
      </c>
      <c r="AI103" s="1253">
        <f t="shared" si="84"/>
        <v>96.367999999999995</v>
      </c>
      <c r="AJ103" s="156">
        <f t="shared" si="85"/>
        <v>48.53062100428798</v>
      </c>
      <c r="AK103" s="156">
        <f t="shared" si="86"/>
        <v>66.252809584715607</v>
      </c>
      <c r="AM103" s="716">
        <f t="shared" si="87"/>
        <v>5059.084705896481</v>
      </c>
      <c r="AN103" s="716" t="str">
        <f>_xlfn.XLOOKUP(D103,RUC!$B$3:$B$578,RUC!$M$3:$M$578)</f>
        <v>Alfred Torres  *</v>
      </c>
      <c r="AO103" s="1167" t="s">
        <v>2277</v>
      </c>
      <c r="AP103" t="s">
        <v>2349</v>
      </c>
      <c r="AQ103" t="s">
        <v>2900</v>
      </c>
      <c r="AR103" s="1661" t="s">
        <v>4636</v>
      </c>
    </row>
    <row r="104" spans="1:44" ht="15" customHeight="1">
      <c r="A104" s="747" t="s">
        <v>4460</v>
      </c>
      <c r="B104" s="1447">
        <v>46057</v>
      </c>
      <c r="C104" s="1447">
        <v>46043</v>
      </c>
      <c r="D104" t="s">
        <v>1967</v>
      </c>
      <c r="E104" s="762">
        <f>_xlfn.XLOOKUP(D104,RUC!$B$3:$B$123,RUC!$D$3:$D$123)</f>
        <v>20601769396</v>
      </c>
      <c r="G104" s="762">
        <v>113</v>
      </c>
      <c r="H104" s="762" t="s">
        <v>108</v>
      </c>
      <c r="I104" s="703">
        <v>4.0999999999999996</v>
      </c>
      <c r="J104" s="596">
        <v>16.22</v>
      </c>
      <c r="K104" s="703">
        <f t="shared" si="77"/>
        <v>3.4350000000000001</v>
      </c>
      <c r="L104" s="1192">
        <v>0.41599999999999998</v>
      </c>
      <c r="M104" s="994">
        <f t="shared" ref="M104:M126" si="88">ROUND(+IF(AN104="Melchor Vera",IF(L104&gt;0.467,L104*0.985,(L104-0.007)),IF(L104&gt;0.3,L104*0.94,(L104-0.019))),3)</f>
        <v>0.39100000000000001</v>
      </c>
      <c r="N104" s="1196">
        <f t="shared" si="76"/>
        <v>0.39100000000000001</v>
      </c>
      <c r="O104" s="1546">
        <v>0.45200000000000001</v>
      </c>
      <c r="P104" s="727">
        <v>90</v>
      </c>
      <c r="Q104" s="1476">
        <v>95.19</v>
      </c>
      <c r="R104" s="706">
        <v>4866.5</v>
      </c>
      <c r="S104" s="765">
        <f>IF((_xlfn.XLOOKUP(D104,RUC!$B$3:$B$119,RUC!$E$3:$E$119)+ROUNDDOWN(O104,1)*100)&lt;95,95,((_xlfn.XLOOKUP(D104,RUC!$B$3:$B$119,RUC!$E$3:$E$119)+ROUNDDOWN(O104,1)*100)))</f>
        <v>130</v>
      </c>
      <c r="U104" s="1146">
        <f>_xlfn.XLOOKUP(D104,RUC!$B$3:$B$123,RUC!$F$3:$F$123)</f>
        <v>120</v>
      </c>
      <c r="V104" s="715">
        <v>1.1023000000000001</v>
      </c>
      <c r="Y104" s="1445">
        <v>40</v>
      </c>
      <c r="Z104" s="1454">
        <v>40</v>
      </c>
      <c r="AA104" s="144">
        <f t="shared" si="79"/>
        <v>80</v>
      </c>
      <c r="AB104" s="145">
        <f t="shared" si="80"/>
        <v>1896.9218352600001</v>
      </c>
      <c r="AC104" s="145">
        <f>+(S104-T104)*V104-'data 1'!$F$4</f>
        <v>63.299000000000007</v>
      </c>
      <c r="AD104" s="145">
        <f t="shared" si="81"/>
        <v>112.96241827727994</v>
      </c>
      <c r="AE104" s="145">
        <f t="shared" si="82"/>
        <v>18.183999999999997</v>
      </c>
      <c r="AF104" s="145">
        <f t="shared" si="83"/>
        <v>-179.29456306938019</v>
      </c>
      <c r="AG104" s="772">
        <f t="shared" si="72"/>
        <v>32.150855207899752</v>
      </c>
      <c r="AH104" s="1253">
        <f t="shared" si="78"/>
        <v>46.636000000000003</v>
      </c>
      <c r="AI104" s="1253">
        <f t="shared" si="84"/>
        <v>48.991999999999997</v>
      </c>
      <c r="AJ104" s="156">
        <f t="shared" si="85"/>
        <v>110.65280524271999</v>
      </c>
      <c r="AK104" s="156">
        <f t="shared" si="86"/>
        <v>47.908961274771897</v>
      </c>
      <c r="AM104" s="716">
        <f t="shared" si="87"/>
        <v>6515.9265041181006</v>
      </c>
      <c r="AN104" s="716" t="str">
        <f>_xlfn.XLOOKUP(D104,RUC!$B$3:$B$578,RUC!$M$3:$M$578)</f>
        <v>Evelyn</v>
      </c>
      <c r="AO104" s="1167" t="s">
        <v>2280</v>
      </c>
      <c r="AP104" t="s">
        <v>3639</v>
      </c>
      <c r="AQ104" t="s">
        <v>4452</v>
      </c>
      <c r="AR104" s="1668" t="s">
        <v>4721</v>
      </c>
    </row>
    <row r="105" spans="1:44" ht="15" customHeight="1">
      <c r="A105" s="747" t="s">
        <v>4461</v>
      </c>
      <c r="B105" s="1447">
        <v>46057</v>
      </c>
      <c r="C105" s="1447">
        <v>46043</v>
      </c>
      <c r="D105" t="s">
        <v>1967</v>
      </c>
      <c r="E105" s="762">
        <f>_xlfn.XLOOKUP(D105,RUC!$B$3:$B$123,RUC!$D$3:$D$123)</f>
        <v>20601769396</v>
      </c>
      <c r="G105" s="762">
        <v>112</v>
      </c>
      <c r="H105" s="762" t="s">
        <v>108</v>
      </c>
      <c r="I105" s="703">
        <v>4.21</v>
      </c>
      <c r="J105" s="596">
        <v>17.12</v>
      </c>
      <c r="K105" s="703">
        <f t="shared" si="77"/>
        <v>3.4889999999999999</v>
      </c>
      <c r="L105" s="1192">
        <v>0.61399999999999999</v>
      </c>
      <c r="M105" s="994">
        <f t="shared" si="88"/>
        <v>0.57699999999999996</v>
      </c>
      <c r="N105" s="1196">
        <f t="shared" si="76"/>
        <v>0.57699999999999996</v>
      </c>
      <c r="O105" s="645">
        <f t="shared" ref="O105:O106" si="89">+ROUND((M105+N105)/2,3)</f>
        <v>0.57699999999999996</v>
      </c>
      <c r="P105" s="727">
        <v>90</v>
      </c>
      <c r="Q105" s="1476">
        <v>95.28</v>
      </c>
      <c r="R105" s="706">
        <v>4866.5</v>
      </c>
      <c r="S105" s="765">
        <f>IF((_xlfn.XLOOKUP(D105,RUC!$B$3:$B$119,RUC!$E$3:$E$119)+ROUNDDOWN(O105,1)*100)&lt;95,95,((_xlfn.XLOOKUP(D105,RUC!$B$3:$B$119,RUC!$E$3:$E$119)+ROUNDDOWN(O105,1)*100)))</f>
        <v>140</v>
      </c>
      <c r="U105" s="1146">
        <f>_xlfn.XLOOKUP(D105,RUC!$B$3:$B$123,RUC!$F$3:$F$123)</f>
        <v>120</v>
      </c>
      <c r="V105" s="715">
        <v>1.1023000000000001</v>
      </c>
      <c r="Y105" s="1445">
        <v>30</v>
      </c>
      <c r="Z105" s="1454">
        <v>40</v>
      </c>
      <c r="AA105" s="144">
        <f t="shared" si="79"/>
        <v>70</v>
      </c>
      <c r="AB105" s="145">
        <f t="shared" si="80"/>
        <v>2485.5293671349996</v>
      </c>
      <c r="AC105" s="145">
        <f>+(S105-T105)*V105-'data 1'!$F$4</f>
        <v>74.322000000000003</v>
      </c>
      <c r="AD105" s="145">
        <f t="shared" si="81"/>
        <v>169.61942486544004</v>
      </c>
      <c r="AE105" s="145">
        <f t="shared" si="82"/>
        <v>7.1610000000000014</v>
      </c>
      <c r="AF105" s="145">
        <f t="shared" si="83"/>
        <v>184.44919542852017</v>
      </c>
      <c r="AG105" s="772">
        <f t="shared" si="72"/>
        <v>452.55162029396024</v>
      </c>
      <c r="AH105" s="1253">
        <f t="shared" si="78"/>
        <v>69.980999999999995</v>
      </c>
      <c r="AI105" s="1253">
        <f t="shared" si="84"/>
        <v>73.447999999999993</v>
      </c>
      <c r="AJ105" s="156">
        <f t="shared" si="85"/>
        <v>163.47369936456002</v>
      </c>
      <c r="AK105" s="156">
        <f t="shared" si="86"/>
        <v>62.119558628119485</v>
      </c>
      <c r="AM105" s="716">
        <f t="shared" si="87"/>
        <v>8672.011961934013</v>
      </c>
      <c r="AN105" s="716" t="str">
        <f>_xlfn.XLOOKUP(D105,RUC!$B$3:$B$578,RUC!$M$3:$M$578)</f>
        <v>Evelyn</v>
      </c>
      <c r="AO105" s="1167" t="s">
        <v>2280</v>
      </c>
      <c r="AP105" t="s">
        <v>3639</v>
      </c>
      <c r="AQ105" t="s">
        <v>4452</v>
      </c>
    </row>
    <row r="106" spans="1:44" ht="15" customHeight="1">
      <c r="A106" s="747" t="s">
        <v>4462</v>
      </c>
      <c r="B106" s="1447">
        <v>46057</v>
      </c>
      <c r="C106" s="1447">
        <v>46043</v>
      </c>
      <c r="D106" t="s">
        <v>1967</v>
      </c>
      <c r="E106" s="762">
        <f>_xlfn.XLOOKUP(D106,RUC!$B$3:$B$123,RUC!$D$3:$D$123)</f>
        <v>20601769396</v>
      </c>
      <c r="G106" s="762">
        <v>113</v>
      </c>
      <c r="H106" s="762" t="s">
        <v>108</v>
      </c>
      <c r="I106" s="703">
        <v>4.29</v>
      </c>
      <c r="J106" s="596">
        <v>14.42</v>
      </c>
      <c r="K106" s="703">
        <f t="shared" si="77"/>
        <v>3.6709999999999998</v>
      </c>
      <c r="L106" s="1192">
        <v>0.56100000000000005</v>
      </c>
      <c r="M106" s="994">
        <f t="shared" si="88"/>
        <v>0.52700000000000002</v>
      </c>
      <c r="N106" s="1444">
        <v>0.59699999999999998</v>
      </c>
      <c r="O106" s="645">
        <f t="shared" si="89"/>
        <v>0.56200000000000006</v>
      </c>
      <c r="P106" s="727">
        <v>90</v>
      </c>
      <c r="Q106" s="1476">
        <v>92.69</v>
      </c>
      <c r="R106" s="706">
        <v>4866.5</v>
      </c>
      <c r="S106" s="765">
        <f>IF((_xlfn.XLOOKUP(D106,RUC!$B$3:$B$119,RUC!$E$3:$E$119)+ROUNDDOWN(O106,1)*100)&lt;95,95,((_xlfn.XLOOKUP(D106,RUC!$B$3:$B$119,RUC!$E$3:$E$119)+ROUNDDOWN(O106,1)*100)))</f>
        <v>140</v>
      </c>
      <c r="U106" s="1146">
        <f>_xlfn.XLOOKUP(D106,RUC!$B$3:$B$123,RUC!$F$3:$F$123)</f>
        <v>120</v>
      </c>
      <c r="V106" s="715">
        <v>1.1023000000000001</v>
      </c>
      <c r="Y106" s="1445">
        <v>40</v>
      </c>
      <c r="Z106" s="1454">
        <v>40</v>
      </c>
      <c r="AA106" s="144">
        <f t="shared" si="79"/>
        <v>80</v>
      </c>
      <c r="AB106" s="145">
        <f t="shared" si="80"/>
        <v>2403.8734633100007</v>
      </c>
      <c r="AC106" s="145">
        <f>+(S106-T106)*V106-'data 1'!$F$4</f>
        <v>74.322000000000003</v>
      </c>
      <c r="AD106" s="145">
        <f t="shared" si="81"/>
        <v>78.956599135754956</v>
      </c>
      <c r="AE106" s="145">
        <f t="shared" si="82"/>
        <v>18.183999999999997</v>
      </c>
      <c r="AF106" s="145">
        <f t="shared" si="83"/>
        <v>-4.8496028559550055</v>
      </c>
      <c r="AG106" s="772">
        <f t="shared" si="72"/>
        <v>183.61299627979997</v>
      </c>
      <c r="AH106" s="1253">
        <f t="shared" si="78"/>
        <v>65.447000000000003</v>
      </c>
      <c r="AI106" s="1253">
        <f t="shared" si="84"/>
        <v>70.608000000000004</v>
      </c>
      <c r="AJ106" s="156">
        <f t="shared" si="85"/>
        <v>145.30264315924501</v>
      </c>
      <c r="AK106" s="156">
        <f t="shared" si="86"/>
        <v>63.660827391057992</v>
      </c>
      <c r="AM106" s="716">
        <f t="shared" si="87"/>
        <v>8824.6194838110114</v>
      </c>
      <c r="AN106" s="716" t="str">
        <f>_xlfn.XLOOKUP(D106,RUC!$B$3:$B$578,RUC!$M$3:$M$578)</f>
        <v>Evelyn</v>
      </c>
      <c r="AO106" s="1167" t="s">
        <v>2280</v>
      </c>
      <c r="AP106" t="s">
        <v>3639</v>
      </c>
      <c r="AQ106" t="s">
        <v>4452</v>
      </c>
    </row>
    <row r="107" spans="1:44" ht="15" customHeight="1">
      <c r="A107" s="747" t="s">
        <v>4463</v>
      </c>
      <c r="B107" s="1447">
        <v>46057</v>
      </c>
      <c r="C107" s="1447">
        <v>46043</v>
      </c>
      <c r="D107" t="s">
        <v>1967</v>
      </c>
      <c r="E107" s="762">
        <f>_xlfn.XLOOKUP(D107,RUC!$B$3:$B$123,RUC!$D$3:$D$123)</f>
        <v>20601769396</v>
      </c>
      <c r="G107" s="762">
        <v>112</v>
      </c>
      <c r="H107" s="762" t="s">
        <v>108</v>
      </c>
      <c r="I107" s="703">
        <v>4.01</v>
      </c>
      <c r="J107" s="596">
        <v>16.25</v>
      </c>
      <c r="K107" s="703">
        <f t="shared" si="77"/>
        <v>3.3580000000000001</v>
      </c>
      <c r="L107" s="1192">
        <v>0.56699999999999995</v>
      </c>
      <c r="M107" s="994">
        <f t="shared" si="88"/>
        <v>0.53300000000000003</v>
      </c>
      <c r="N107" s="1196">
        <f t="shared" ref="N107:N119" si="90">+M107</f>
        <v>0.53300000000000003</v>
      </c>
      <c r="O107" s="1669">
        <v>0.56999999999999995</v>
      </c>
      <c r="P107" s="727">
        <v>90</v>
      </c>
      <c r="Q107" s="1476">
        <v>93.12</v>
      </c>
      <c r="R107" s="706">
        <v>4866.5</v>
      </c>
      <c r="S107" s="765">
        <f>IF((_xlfn.XLOOKUP(D107,RUC!$B$3:$B$119,RUC!$E$3:$E$119)+ROUNDDOWN(O107,1)*100)&lt;95,95,((_xlfn.XLOOKUP(D107,RUC!$B$3:$B$119,RUC!$E$3:$E$119)+ROUNDDOWN(O107,1)*100)))</f>
        <v>140</v>
      </c>
      <c r="U107" s="1146">
        <f>_xlfn.XLOOKUP(D107,RUC!$B$3:$B$123,RUC!$F$3:$F$123)</f>
        <v>120</v>
      </c>
      <c r="V107" s="715">
        <v>1.1023000000000001</v>
      </c>
      <c r="Y107" s="1445">
        <v>40</v>
      </c>
      <c r="Z107" s="1454">
        <v>40</v>
      </c>
      <c r="AA107" s="144">
        <f t="shared" si="79"/>
        <v>80</v>
      </c>
      <c r="AB107" s="145">
        <f t="shared" si="80"/>
        <v>2441.5443453499997</v>
      </c>
      <c r="AC107" s="145">
        <f>+(S107-T107)*V107-'data 1'!$F$4</f>
        <v>74.322000000000003</v>
      </c>
      <c r="AD107" s="145">
        <f t="shared" si="81"/>
        <v>92.557357172280135</v>
      </c>
      <c r="AE107" s="145">
        <f t="shared" si="82"/>
        <v>18.183999999999997</v>
      </c>
      <c r="AF107" s="145">
        <f t="shared" si="83"/>
        <v>-14.616302231520015</v>
      </c>
      <c r="AG107" s="772">
        <f t="shared" si="72"/>
        <v>187.44705494076013</v>
      </c>
      <c r="AH107" s="1253">
        <f t="shared" si="78"/>
        <v>60.787999999999997</v>
      </c>
      <c r="AI107" s="1253">
        <f t="shared" si="84"/>
        <v>65.278999999999996</v>
      </c>
      <c r="AJ107" s="156">
        <f t="shared" si="85"/>
        <v>147.53796784272001</v>
      </c>
      <c r="AK107" s="156">
        <f t="shared" si="86"/>
        <v>59.061860865884704</v>
      </c>
      <c r="AM107" s="716">
        <f t="shared" si="87"/>
        <v>8198.7059116852997</v>
      </c>
      <c r="AN107" s="716" t="str">
        <f>_xlfn.XLOOKUP(D107,RUC!$B$3:$B$578,RUC!$M$3:$M$578)</f>
        <v>Evelyn</v>
      </c>
      <c r="AO107" s="1167" t="s">
        <v>2280</v>
      </c>
      <c r="AP107" t="s">
        <v>3639</v>
      </c>
      <c r="AQ107" t="s">
        <v>4452</v>
      </c>
      <c r="AR107" s="1668" t="s">
        <v>4721</v>
      </c>
    </row>
    <row r="108" spans="1:44" ht="15" customHeight="1">
      <c r="A108" s="747" t="s">
        <v>4468</v>
      </c>
      <c r="B108" s="1447">
        <v>46052</v>
      </c>
      <c r="C108" s="1447">
        <v>46043</v>
      </c>
      <c r="D108" t="s">
        <v>1967</v>
      </c>
      <c r="E108" s="762">
        <f>_xlfn.XLOOKUP(D108,RUC!$B$3:$B$123,RUC!$D$3:$D$123)</f>
        <v>20601769396</v>
      </c>
      <c r="G108" s="762">
        <v>101</v>
      </c>
      <c r="H108" s="762" t="s">
        <v>108</v>
      </c>
      <c r="I108" s="703">
        <v>6.34</v>
      </c>
      <c r="J108" s="596">
        <v>32.270000000000003</v>
      </c>
      <c r="K108" s="703">
        <f t="shared" si="77"/>
        <v>4.2939999999999996</v>
      </c>
      <c r="L108" s="1192">
        <v>0.20200000000000001</v>
      </c>
      <c r="M108" s="994">
        <f t="shared" si="88"/>
        <v>0.183</v>
      </c>
      <c r="N108" s="1196">
        <f t="shared" si="90"/>
        <v>0.183</v>
      </c>
      <c r="O108" s="645">
        <f t="shared" ref="O108:O126" si="91">+ROUND((M108+N108)/2,3)</f>
        <v>0.183</v>
      </c>
      <c r="P108" s="727">
        <v>90</v>
      </c>
      <c r="Q108" s="1476">
        <v>93.56</v>
      </c>
      <c r="R108" s="706">
        <v>4866.5</v>
      </c>
      <c r="S108" s="765">
        <f>IF((_xlfn.XLOOKUP(D108,RUC!$B$3:$B$119,RUC!$E$3:$E$119)+ROUNDDOWN(O108,1)*100)&lt;95,95,((_xlfn.XLOOKUP(D108,RUC!$B$3:$B$119,RUC!$E$3:$E$119)+ROUNDDOWN(O108,1)*100)))</f>
        <v>100</v>
      </c>
      <c r="U108" s="1146">
        <f>_xlfn.XLOOKUP(D108,RUC!$B$3:$B$123,RUC!$F$3:$F$123)</f>
        <v>120</v>
      </c>
      <c r="V108" s="715">
        <v>1.1023000000000001</v>
      </c>
      <c r="Y108" s="1445">
        <v>30</v>
      </c>
      <c r="Z108" s="1454">
        <v>40</v>
      </c>
      <c r="AA108" s="144">
        <f t="shared" si="79"/>
        <v>70</v>
      </c>
      <c r="AB108" s="145">
        <f t="shared" si="80"/>
        <v>674.33042666499989</v>
      </c>
      <c r="AC108" s="145">
        <f>+(S108-T108)*V108-'data 1'!$F$4</f>
        <v>30.230000000000004</v>
      </c>
      <c r="AD108" s="145">
        <f t="shared" si="81"/>
        <v>37.624839850840033</v>
      </c>
      <c r="AE108" s="145">
        <f t="shared" si="82"/>
        <v>7.1610000000000014</v>
      </c>
      <c r="AF108" s="145">
        <f t="shared" si="83"/>
        <v>93.007314929980097</v>
      </c>
      <c r="AG108" s="772">
        <f t="shared" si="72"/>
        <v>185.02315478082014</v>
      </c>
      <c r="AH108" s="1253">
        <f t="shared" si="78"/>
        <v>27.824000000000002</v>
      </c>
      <c r="AI108" s="1253">
        <f t="shared" si="84"/>
        <v>29.739000000000001</v>
      </c>
      <c r="AJ108" s="156">
        <f t="shared" si="85"/>
        <v>52.810387439160003</v>
      </c>
      <c r="AK108" s="156">
        <f t="shared" si="86"/>
        <v>24.247373850419489</v>
      </c>
      <c r="AM108" s="716">
        <f t="shared" si="87"/>
        <v>2895.5748520995094</v>
      </c>
      <c r="AN108" s="716" t="str">
        <f>_xlfn.XLOOKUP(D108,RUC!$B$3:$B$578,RUC!$M$3:$M$578)</f>
        <v>Evelyn</v>
      </c>
      <c r="AO108" s="1167" t="s">
        <v>2277</v>
      </c>
      <c r="AP108" t="s">
        <v>4506</v>
      </c>
      <c r="AQ108" t="s">
        <v>4507</v>
      </c>
    </row>
    <row r="109" spans="1:44" ht="15" customHeight="1">
      <c r="A109" s="747" t="s">
        <v>4469</v>
      </c>
      <c r="B109" s="1447">
        <v>46052</v>
      </c>
      <c r="C109" s="1447">
        <v>46043</v>
      </c>
      <c r="D109" t="s">
        <v>1967</v>
      </c>
      <c r="E109" s="762">
        <f>_xlfn.XLOOKUP(D109,RUC!$B$3:$B$123,RUC!$D$3:$D$123)</f>
        <v>20601769396</v>
      </c>
      <c r="G109" s="762">
        <v>101</v>
      </c>
      <c r="H109" s="762" t="s">
        <v>108</v>
      </c>
      <c r="I109" s="703">
        <v>6.72</v>
      </c>
      <c r="J109" s="596">
        <v>33.270000000000003</v>
      </c>
      <c r="K109" s="703">
        <f t="shared" si="77"/>
        <v>4.484</v>
      </c>
      <c r="L109" s="1192">
        <v>0.191</v>
      </c>
      <c r="M109" s="994">
        <f t="shared" si="88"/>
        <v>0.17199999999999999</v>
      </c>
      <c r="N109" s="1196">
        <f t="shared" si="90"/>
        <v>0.17199999999999999</v>
      </c>
      <c r="O109" s="645">
        <f t="shared" si="91"/>
        <v>0.17199999999999999</v>
      </c>
      <c r="P109" s="727">
        <v>90</v>
      </c>
      <c r="Q109" s="1476">
        <v>91.62</v>
      </c>
      <c r="R109" s="706">
        <v>4866.5</v>
      </c>
      <c r="S109" s="765">
        <f>IF((_xlfn.XLOOKUP(D109,RUC!$B$3:$B$119,RUC!$E$3:$E$119)+ROUNDDOWN(O109,1)*100)&lt;95,95,((_xlfn.XLOOKUP(D109,RUC!$B$3:$B$119,RUC!$E$3:$E$119)+ROUNDDOWN(O109,1)*100)))</f>
        <v>100</v>
      </c>
      <c r="U109" s="1146">
        <f>_xlfn.XLOOKUP(D109,RUC!$B$3:$B$123,RUC!$F$3:$F$123)</f>
        <v>120</v>
      </c>
      <c r="V109" s="715">
        <v>1.1023000000000001</v>
      </c>
      <c r="Y109" s="1445">
        <v>30</v>
      </c>
      <c r="Z109" s="1454">
        <v>40</v>
      </c>
      <c r="AA109" s="144">
        <f t="shared" si="79"/>
        <v>70</v>
      </c>
      <c r="AB109" s="145">
        <f t="shared" si="80"/>
        <v>622.53296385999988</v>
      </c>
      <c r="AC109" s="145">
        <f>+(S109-T109)*V109-'data 1'!$F$4</f>
        <v>30.230000000000004</v>
      </c>
      <c r="AD109" s="145">
        <f t="shared" si="81"/>
        <v>16.189061556690049</v>
      </c>
      <c r="AE109" s="145">
        <f t="shared" si="82"/>
        <v>7.1610000000000014</v>
      </c>
      <c r="AF109" s="145">
        <f t="shared" si="83"/>
        <v>91.078775052210077</v>
      </c>
      <c r="AG109" s="772">
        <f t="shared" si="72"/>
        <v>161.65883660890012</v>
      </c>
      <c r="AH109" s="1253">
        <f t="shared" si="78"/>
        <v>26.902999999999999</v>
      </c>
      <c r="AI109" s="1253">
        <f t="shared" si="84"/>
        <v>29.364000000000001</v>
      </c>
      <c r="AJ109" s="156">
        <f t="shared" si="85"/>
        <v>48.899163038310007</v>
      </c>
      <c r="AK109" s="156">
        <f t="shared" si="86"/>
        <v>23.798283266507756</v>
      </c>
      <c r="AM109" s="716">
        <f t="shared" si="87"/>
        <v>2791.4378099482396</v>
      </c>
      <c r="AN109" s="716" t="str">
        <f>_xlfn.XLOOKUP(D109,RUC!$B$3:$B$578,RUC!$M$3:$M$578)</f>
        <v>Evelyn</v>
      </c>
      <c r="AO109" s="1167" t="s">
        <v>2277</v>
      </c>
      <c r="AP109" t="s">
        <v>4506</v>
      </c>
      <c r="AQ109" t="s">
        <v>4507</v>
      </c>
    </row>
    <row r="110" spans="1:44" ht="15" customHeight="1">
      <c r="A110" s="747" t="s">
        <v>4473</v>
      </c>
      <c r="B110" s="1447">
        <v>46050</v>
      </c>
      <c r="C110" s="1447">
        <v>46043</v>
      </c>
      <c r="D110" t="s">
        <v>3642</v>
      </c>
      <c r="E110" s="762" t="str">
        <f>_xlfn.XLOOKUP(D110,RUC!$B$3:$B$123,RUC!$D$3:$D$123)</f>
        <v>20601769396*</v>
      </c>
      <c r="G110" s="762">
        <v>159</v>
      </c>
      <c r="H110" s="762" t="s">
        <v>108</v>
      </c>
      <c r="I110" s="703">
        <v>5.0999999999999996</v>
      </c>
      <c r="J110" s="596">
        <v>17.25</v>
      </c>
      <c r="K110" s="703">
        <f t="shared" si="77"/>
        <v>4.22</v>
      </c>
      <c r="L110" s="1192">
        <v>0.27900000000000003</v>
      </c>
      <c r="M110" s="994">
        <f t="shared" si="88"/>
        <v>0.26</v>
      </c>
      <c r="N110" s="1196">
        <f t="shared" si="90"/>
        <v>0.26</v>
      </c>
      <c r="O110" s="645">
        <f t="shared" si="91"/>
        <v>0.26</v>
      </c>
      <c r="P110" s="727">
        <v>90</v>
      </c>
      <c r="Q110" s="1476">
        <v>95.34</v>
      </c>
      <c r="R110" s="706">
        <v>4866.5</v>
      </c>
      <c r="S110" s="765">
        <f>IF((_xlfn.XLOOKUP(D110,RUC!$B$3:$B$119,RUC!$E$3:$E$119)+ROUNDDOWN(O110,1)*100)&lt;95,95,((_xlfn.XLOOKUP(D110,RUC!$B$3:$B$119,RUC!$E$3:$E$119)+ROUNDDOWN(O110,1)*100)))</f>
        <v>110</v>
      </c>
      <c r="U110" s="1146">
        <f>_xlfn.XLOOKUP(D110,RUC!$B$3:$B$123,RUC!$F$3:$F$123)</f>
        <v>120</v>
      </c>
      <c r="V110" s="715">
        <v>1.1023000000000001</v>
      </c>
      <c r="Y110" s="1445">
        <v>30</v>
      </c>
      <c r="Z110" s="1454">
        <v>40</v>
      </c>
      <c r="AA110" s="144">
        <f t="shared" si="79"/>
        <v>70</v>
      </c>
      <c r="AB110" s="145">
        <f t="shared" si="80"/>
        <v>1025.8896663</v>
      </c>
      <c r="AC110" s="145">
        <f>+(S110-T110)*V110-'data 1'!$F$4</f>
        <v>41.253</v>
      </c>
      <c r="AD110" s="145">
        <f t="shared" si="81"/>
        <v>77.950472661270055</v>
      </c>
      <c r="AE110" s="145">
        <f t="shared" si="82"/>
        <v>7.1610000000000014</v>
      </c>
      <c r="AF110" s="145">
        <f t="shared" si="83"/>
        <v>94.776799972470087</v>
      </c>
      <c r="AG110" s="772">
        <f t="shared" si="72"/>
        <v>238.14127263374013</v>
      </c>
      <c r="AH110" s="1253">
        <f t="shared" si="78"/>
        <v>38.485999999999997</v>
      </c>
      <c r="AI110" s="1253">
        <f t="shared" si="84"/>
        <v>40.366999999999997</v>
      </c>
      <c r="AJ110" s="156">
        <f t="shared" si="85"/>
        <v>74.32880009373001</v>
      </c>
      <c r="AK110" s="156">
        <f t="shared" si="86"/>
        <v>33.856134991613999</v>
      </c>
      <c r="AM110" s="716">
        <f t="shared" si="87"/>
        <v>4329.2543917860003</v>
      </c>
      <c r="AN110" s="716" t="str">
        <f>_xlfn.XLOOKUP(D110,RUC!$B$3:$B$578,RUC!$M$3:$M$578)</f>
        <v>Zudaire</v>
      </c>
      <c r="AO110" s="1167" t="s">
        <v>2280</v>
      </c>
      <c r="AP110" t="s">
        <v>3672</v>
      </c>
      <c r="AQ110" t="s">
        <v>3521</v>
      </c>
    </row>
    <row r="111" spans="1:44" ht="15" customHeight="1">
      <c r="A111" s="747" t="s">
        <v>4475</v>
      </c>
      <c r="B111" s="1447">
        <v>46050</v>
      </c>
      <c r="C111" s="1447">
        <v>46043</v>
      </c>
      <c r="D111" t="s">
        <v>3642</v>
      </c>
      <c r="E111" s="762" t="str">
        <f>_xlfn.XLOOKUP(D111,RUC!$B$3:$B$123,RUC!$D$3:$D$123)</f>
        <v>20601769396*</v>
      </c>
      <c r="G111" s="762">
        <v>90</v>
      </c>
      <c r="H111" s="762" t="s">
        <v>108</v>
      </c>
      <c r="I111" s="703">
        <v>2.5499999999999998</v>
      </c>
      <c r="J111" s="596">
        <v>17.5</v>
      </c>
      <c r="K111" s="703">
        <f t="shared" si="77"/>
        <v>2.1040000000000001</v>
      </c>
      <c r="L111" s="1192">
        <v>0.16700000000000001</v>
      </c>
      <c r="M111" s="994">
        <f t="shared" si="88"/>
        <v>0.14799999999999999</v>
      </c>
      <c r="N111" s="1196">
        <f t="shared" si="90"/>
        <v>0.14799999999999999</v>
      </c>
      <c r="O111" s="645">
        <f t="shared" si="91"/>
        <v>0.14799999999999999</v>
      </c>
      <c r="P111" s="727">
        <v>85</v>
      </c>
      <c r="Q111" s="1476">
        <v>92.81</v>
      </c>
      <c r="R111" s="706">
        <v>4866.5</v>
      </c>
      <c r="S111" s="765">
        <f>IF((_xlfn.XLOOKUP(D111,RUC!$B$3:$B$119,RUC!$E$3:$E$119)+ROUNDDOWN(O111,1)*100)&lt;95,95,((_xlfn.XLOOKUP(D111,RUC!$B$3:$B$119,RUC!$E$3:$E$119)+ROUNDDOWN(O111,1)*100)))</f>
        <v>100</v>
      </c>
      <c r="U111" s="1146">
        <f>_xlfn.XLOOKUP(D111,RUC!$B$3:$B$123,RUC!$F$3:$F$123)</f>
        <v>120</v>
      </c>
      <c r="V111" s="715">
        <v>1.1023000000000001</v>
      </c>
      <c r="Y111" s="1445">
        <v>30</v>
      </c>
      <c r="Z111" s="1454">
        <v>40</v>
      </c>
      <c r="AA111" s="144">
        <f t="shared" si="79"/>
        <v>70</v>
      </c>
      <c r="AB111" s="145">
        <f t="shared" si="80"/>
        <v>470.80302231000002</v>
      </c>
      <c r="AC111" s="145">
        <f>+(S111-T111)*V111-'data 1'!$F$4</f>
        <v>30.230000000000004</v>
      </c>
      <c r="AD111" s="145">
        <f t="shared" si="81"/>
        <v>68.240279608765022</v>
      </c>
      <c r="AE111" s="145">
        <f t="shared" si="82"/>
        <v>7.1610000000000014</v>
      </c>
      <c r="AF111" s="145">
        <f t="shared" si="83"/>
        <v>92.261745389605096</v>
      </c>
      <c r="AG111" s="772">
        <f t="shared" si="72"/>
        <v>214.89302499837015</v>
      </c>
      <c r="AH111" s="1253">
        <f t="shared" si="78"/>
        <v>11.180999999999999</v>
      </c>
      <c r="AI111" s="1253">
        <f t="shared" si="84"/>
        <v>12.047000000000001</v>
      </c>
      <c r="AJ111" s="156">
        <f t="shared" si="85"/>
        <v>43.310082888735003</v>
      </c>
      <c r="AK111" s="156">
        <f t="shared" si="86"/>
        <v>9.0747662223157608</v>
      </c>
      <c r="AM111" s="716">
        <f t="shared" si="87"/>
        <v>990.56955894024009</v>
      </c>
      <c r="AN111" s="716" t="str">
        <f>_xlfn.XLOOKUP(D111,RUC!$B$3:$B$578,RUC!$M$3:$M$578)</f>
        <v>Zudaire</v>
      </c>
      <c r="AO111" s="1167" t="s">
        <v>2280</v>
      </c>
      <c r="AP111" t="s">
        <v>3672</v>
      </c>
      <c r="AQ111" t="s">
        <v>3521</v>
      </c>
    </row>
    <row r="112" spans="1:44" ht="15" customHeight="1">
      <c r="A112" s="747" t="s">
        <v>4476</v>
      </c>
      <c r="B112" s="1447">
        <v>46050</v>
      </c>
      <c r="C112" s="1447">
        <v>46043</v>
      </c>
      <c r="D112" t="s">
        <v>3642</v>
      </c>
      <c r="E112" s="762" t="str">
        <f>_xlfn.XLOOKUP(D112,RUC!$B$3:$B$123,RUC!$D$3:$D$123)</f>
        <v>20601769396*</v>
      </c>
      <c r="G112" s="762">
        <v>102</v>
      </c>
      <c r="H112" s="762" t="s">
        <v>108</v>
      </c>
      <c r="I112" s="703">
        <v>2.94</v>
      </c>
      <c r="J112" s="596">
        <v>17.12</v>
      </c>
      <c r="K112" s="703">
        <f t="shared" si="77"/>
        <v>2.4369999999999998</v>
      </c>
      <c r="L112" s="1192">
        <v>0.219</v>
      </c>
      <c r="M112" s="994">
        <f t="shared" si="88"/>
        <v>0.2</v>
      </c>
      <c r="N112" s="1196">
        <f t="shared" si="90"/>
        <v>0.2</v>
      </c>
      <c r="O112" s="645">
        <f t="shared" si="91"/>
        <v>0.2</v>
      </c>
      <c r="P112" s="727">
        <v>90</v>
      </c>
      <c r="Q112" s="1476">
        <v>84.47</v>
      </c>
      <c r="R112" s="706">
        <v>4866.5</v>
      </c>
      <c r="S112" s="765">
        <f>IF((_xlfn.XLOOKUP(D112,RUC!$B$3:$B$119,RUC!$E$3:$E$119)+ROUNDDOWN(O112,1)*100)&lt;95,95,((_xlfn.XLOOKUP(D112,RUC!$B$3:$B$119,RUC!$E$3:$E$119)+ROUNDDOWN(O112,1)*100)))</f>
        <v>110</v>
      </c>
      <c r="U112" s="1146">
        <f>_xlfn.XLOOKUP(D112,RUC!$B$3:$B$123,RUC!$F$3:$F$123)</f>
        <v>120</v>
      </c>
      <c r="V112" s="715">
        <v>1.1023000000000001</v>
      </c>
      <c r="Y112" s="1445">
        <v>30</v>
      </c>
      <c r="Z112" s="1454">
        <v>40</v>
      </c>
      <c r="AA112" s="144">
        <f t="shared" si="79"/>
        <v>70</v>
      </c>
      <c r="AB112" s="145">
        <f t="shared" si="80"/>
        <v>743.35805100000005</v>
      </c>
      <c r="AC112" s="145">
        <f>+(S112-T112)*V112-'data 1'!$F$4</f>
        <v>41.253</v>
      </c>
      <c r="AD112" s="145">
        <f t="shared" si="81"/>
        <v>-63.363993211365013</v>
      </c>
      <c r="AE112" s="145">
        <f t="shared" si="82"/>
        <v>7.1610000000000014</v>
      </c>
      <c r="AF112" s="145">
        <f t="shared" si="83"/>
        <v>83.971012100634965</v>
      </c>
      <c r="AG112" s="772">
        <f t="shared" si="72"/>
        <v>86.021018889269953</v>
      </c>
      <c r="AH112" s="1253">
        <f t="shared" si="78"/>
        <v>15.457000000000001</v>
      </c>
      <c r="AI112" s="1253">
        <f t="shared" si="84"/>
        <v>18.297999999999998</v>
      </c>
      <c r="AJ112" s="156">
        <f t="shared" si="85"/>
        <v>51.69212431636501</v>
      </c>
      <c r="AK112" s="156">
        <f t="shared" si="86"/>
        <v>15.039628322013</v>
      </c>
      <c r="AM112" s="716">
        <f t="shared" si="87"/>
        <v>1811.5635702869999</v>
      </c>
      <c r="AN112" s="716" t="str">
        <f>_xlfn.XLOOKUP(D112,RUC!$B$3:$B$578,RUC!$M$3:$M$578)</f>
        <v>Zudaire</v>
      </c>
      <c r="AO112" s="1167" t="s">
        <v>2280</v>
      </c>
      <c r="AP112" t="s">
        <v>3672</v>
      </c>
      <c r="AQ112" t="s">
        <v>3521</v>
      </c>
    </row>
    <row r="113" spans="1:43" ht="15" customHeight="1">
      <c r="A113" s="747" t="s">
        <v>4477</v>
      </c>
      <c r="B113" s="1447">
        <v>46050</v>
      </c>
      <c r="C113" s="1447">
        <v>46043</v>
      </c>
      <c r="D113" t="s">
        <v>3642</v>
      </c>
      <c r="E113" s="762" t="str">
        <f>_xlfn.XLOOKUP(D113,RUC!$B$3:$B$123,RUC!$D$3:$D$123)</f>
        <v>20601769396*</v>
      </c>
      <c r="G113" s="762">
        <v>152</v>
      </c>
      <c r="H113" s="762" t="s">
        <v>108</v>
      </c>
      <c r="I113" s="703">
        <v>4.3499999999999996</v>
      </c>
      <c r="J113" s="596">
        <v>16.8</v>
      </c>
      <c r="K113" s="703">
        <f t="shared" si="77"/>
        <v>3.6190000000000002</v>
      </c>
      <c r="L113" s="1192">
        <v>0.79400000000000004</v>
      </c>
      <c r="M113" s="994">
        <f t="shared" si="88"/>
        <v>0.746</v>
      </c>
      <c r="N113" s="1196">
        <f t="shared" si="90"/>
        <v>0.746</v>
      </c>
      <c r="O113" s="645">
        <f t="shared" si="91"/>
        <v>0.746</v>
      </c>
      <c r="P113" s="727">
        <v>90</v>
      </c>
      <c r="Q113" s="1476">
        <v>95.47</v>
      </c>
      <c r="R113" s="706">
        <v>4866.5</v>
      </c>
      <c r="S113" s="765">
        <f>IF((_xlfn.XLOOKUP(D113,RUC!$B$3:$B$119,RUC!$E$3:$E$119)+ROUNDDOWN(O113,1)*100)&lt;95,95,((_xlfn.XLOOKUP(D113,RUC!$B$3:$B$119,RUC!$E$3:$E$119)+ROUNDDOWN(O113,1)*100)))</f>
        <v>160</v>
      </c>
      <c r="U113" s="1146">
        <f>_xlfn.XLOOKUP(D113,RUC!$B$3:$B$123,RUC!$F$3:$F$123)</f>
        <v>120</v>
      </c>
      <c r="V113" s="715">
        <v>1.1023000000000001</v>
      </c>
      <c r="Y113" s="1445">
        <v>30</v>
      </c>
      <c r="Z113" s="1454">
        <v>40</v>
      </c>
      <c r="AA113" s="144">
        <f t="shared" si="79"/>
        <v>70</v>
      </c>
      <c r="AB113" s="145">
        <f t="shared" si="80"/>
        <v>3259.2807502300002</v>
      </c>
      <c r="AC113" s="145">
        <f>+(S113-T113)*V113-'data 1'!$F$4</f>
        <v>96.367999999999995</v>
      </c>
      <c r="AD113" s="145">
        <f t="shared" si="81"/>
        <v>227.23808535901</v>
      </c>
      <c r="AE113" s="145">
        <f t="shared" si="82"/>
        <v>7.1610000000000014</v>
      </c>
      <c r="AF113" s="145">
        <f t="shared" si="83"/>
        <v>239.76260722392021</v>
      </c>
      <c r="AG113" s="772">
        <f t="shared" si="72"/>
        <v>587.52969258293024</v>
      </c>
      <c r="AH113" s="1253">
        <f t="shared" si="78"/>
        <v>94.055999999999997</v>
      </c>
      <c r="AI113" s="1253">
        <f t="shared" si="84"/>
        <v>98.519000000000005</v>
      </c>
      <c r="AJ113" s="156">
        <f t="shared" si="85"/>
        <v>211.81913787099001</v>
      </c>
      <c r="AK113" s="156">
        <f t="shared" si="86"/>
        <v>83.306519313570647</v>
      </c>
      <c r="AM113" s="716">
        <f t="shared" si="87"/>
        <v>11795.337035082372</v>
      </c>
      <c r="AN113" s="716" t="str">
        <f>_xlfn.XLOOKUP(D113,RUC!$B$3:$B$578,RUC!$M$3:$M$578)</f>
        <v>Zudaire</v>
      </c>
      <c r="AO113" s="1167" t="s">
        <v>2277</v>
      </c>
      <c r="AP113" t="s">
        <v>3672</v>
      </c>
      <c r="AQ113" t="s">
        <v>3521</v>
      </c>
    </row>
    <row r="114" spans="1:43" ht="15" customHeight="1">
      <c r="A114" s="747" t="s">
        <v>4478</v>
      </c>
      <c r="B114" s="1447">
        <v>46050</v>
      </c>
      <c r="C114" s="1447">
        <v>46044</v>
      </c>
      <c r="D114" t="s">
        <v>3642</v>
      </c>
      <c r="E114" s="762" t="str">
        <f>_xlfn.XLOOKUP(D114,RUC!$B$3:$B$123,RUC!$D$3:$D$123)</f>
        <v>20601769396*</v>
      </c>
      <c r="G114" s="762">
        <v>126</v>
      </c>
      <c r="H114" s="762" t="s">
        <v>108</v>
      </c>
      <c r="I114" s="703">
        <v>3.59</v>
      </c>
      <c r="J114" s="596">
        <v>17.37</v>
      </c>
      <c r="K114" s="703">
        <f t="shared" si="77"/>
        <v>2.9660000000000002</v>
      </c>
      <c r="L114" s="1192">
        <v>0.42299999999999999</v>
      </c>
      <c r="M114" s="994">
        <f t="shared" si="88"/>
        <v>0.39800000000000002</v>
      </c>
      <c r="N114" s="1196">
        <f t="shared" si="90"/>
        <v>0.39800000000000002</v>
      </c>
      <c r="O114" s="645">
        <f t="shared" si="91"/>
        <v>0.39800000000000002</v>
      </c>
      <c r="P114" s="727">
        <v>90</v>
      </c>
      <c r="Q114" s="1476">
        <v>96.22</v>
      </c>
      <c r="R114" s="706">
        <v>4832.05</v>
      </c>
      <c r="S114" s="765">
        <f>IF((_xlfn.XLOOKUP(D114,RUC!$B$3:$B$119,RUC!$E$3:$E$119)+ROUNDDOWN(O114,1)*100)&lt;95,95,((_xlfn.XLOOKUP(D114,RUC!$B$3:$B$119,RUC!$E$3:$E$119)+ROUNDDOWN(O114,1)*100)))</f>
        <v>120</v>
      </c>
      <c r="U114" s="1146">
        <f>_xlfn.XLOOKUP(D114,RUC!$B$3:$B$123,RUC!$F$3:$F$123)</f>
        <v>120</v>
      </c>
      <c r="V114" s="715">
        <v>1.1023000000000001</v>
      </c>
      <c r="Y114" s="1445">
        <v>30</v>
      </c>
      <c r="Z114" s="1454">
        <v>40</v>
      </c>
      <c r="AA114" s="144">
        <f t="shared" si="79"/>
        <v>70</v>
      </c>
      <c r="AB114" s="145">
        <f t="shared" si="80"/>
        <v>1651.087010513</v>
      </c>
      <c r="AC114" s="145">
        <f>+(S114-T114)*V114-'data 1'!$F$4</f>
        <v>52.27600000000001</v>
      </c>
      <c r="AD114" s="145">
        <f t="shared" si="81"/>
        <v>136.65969578727899</v>
      </c>
      <c r="AE114" s="145">
        <f t="shared" si="82"/>
        <v>7.1610000000000014</v>
      </c>
      <c r="AF114" s="145">
        <f t="shared" si="83"/>
        <v>124.94390025932483</v>
      </c>
      <c r="AG114" s="772">
        <f t="shared" si="72"/>
        <v>338.04059604660381</v>
      </c>
      <c r="AH114" s="1253">
        <f t="shared" si="78"/>
        <v>41.389000000000003</v>
      </c>
      <c r="AI114" s="1253">
        <f t="shared" si="84"/>
        <v>43.015000000000001</v>
      </c>
      <c r="AJ114" s="156">
        <f t="shared" si="85"/>
        <v>129.18812951222091</v>
      </c>
      <c r="AK114" s="156">
        <f t="shared" si="86"/>
        <v>36.425523114546671</v>
      </c>
      <c r="AM114" s="716">
        <f t="shared" si="87"/>
        <v>4897.1240731815587</v>
      </c>
      <c r="AN114" s="716" t="str">
        <f>_xlfn.XLOOKUP(D114,RUC!$B$3:$B$578,RUC!$M$3:$M$578)</f>
        <v>Zudaire</v>
      </c>
      <c r="AO114" s="1167" t="s">
        <v>2277</v>
      </c>
      <c r="AP114" t="s">
        <v>4510</v>
      </c>
      <c r="AQ114" t="s">
        <v>4511</v>
      </c>
    </row>
    <row r="115" spans="1:43" ht="15" customHeight="1">
      <c r="A115" s="747" t="s">
        <v>4479</v>
      </c>
      <c r="B115" s="1447">
        <v>46050</v>
      </c>
      <c r="C115" s="1447">
        <v>46044</v>
      </c>
      <c r="D115" t="s">
        <v>3642</v>
      </c>
      <c r="E115" s="762" t="str">
        <f>_xlfn.XLOOKUP(D115,RUC!$B$3:$B$123,RUC!$D$3:$D$123)</f>
        <v>20601769396*</v>
      </c>
      <c r="G115" s="762">
        <v>145</v>
      </c>
      <c r="H115" s="762" t="s">
        <v>108</v>
      </c>
      <c r="I115" s="703">
        <v>3.96</v>
      </c>
      <c r="J115" s="596">
        <v>17.7</v>
      </c>
      <c r="K115" s="703">
        <f t="shared" si="77"/>
        <v>3.2589999999999999</v>
      </c>
      <c r="L115" s="1192">
        <v>0.19800000000000001</v>
      </c>
      <c r="M115" s="994">
        <f t="shared" si="88"/>
        <v>0.17899999999999999</v>
      </c>
      <c r="N115" s="1196">
        <f t="shared" si="90"/>
        <v>0.17899999999999999</v>
      </c>
      <c r="O115" s="645">
        <f t="shared" si="91"/>
        <v>0.17899999999999999</v>
      </c>
      <c r="P115" s="727">
        <v>90</v>
      </c>
      <c r="Q115" s="1476">
        <v>92.42</v>
      </c>
      <c r="R115" s="706">
        <v>4832.05</v>
      </c>
      <c r="S115" s="765">
        <f>IF((_xlfn.XLOOKUP(D115,RUC!$B$3:$B$119,RUC!$E$3:$E$119)+ROUNDDOWN(O115,1)*100)&lt;95,95,((_xlfn.XLOOKUP(D115,RUC!$B$3:$B$119,RUC!$E$3:$E$119)+ROUNDDOWN(O115,1)*100)))</f>
        <v>100</v>
      </c>
      <c r="U115" s="1146">
        <f>_xlfn.XLOOKUP(D115,RUC!$B$3:$B$123,RUC!$F$3:$F$123)</f>
        <v>120</v>
      </c>
      <c r="V115" s="715">
        <v>1.1023000000000001</v>
      </c>
      <c r="Y115" s="1445">
        <v>30</v>
      </c>
      <c r="Z115" s="1454">
        <v>40</v>
      </c>
      <c r="AA115" s="144">
        <f t="shared" si="79"/>
        <v>70</v>
      </c>
      <c r="AB115" s="145">
        <f t="shared" si="80"/>
        <v>649.37733638649991</v>
      </c>
      <c r="AC115" s="145">
        <f>+(S115-T115)*V115-'data 1'!$F$4</f>
        <v>30.230000000000004</v>
      </c>
      <c r="AD115" s="145">
        <f t="shared" si="81"/>
        <v>24.888014653194023</v>
      </c>
      <c r="AE115" s="145">
        <f t="shared" si="82"/>
        <v>7.1610000000000014</v>
      </c>
      <c r="AF115" s="145">
        <f t="shared" si="83"/>
        <v>91.207229256857076</v>
      </c>
      <c r="AG115" s="772">
        <f t="shared" si="72"/>
        <v>170.48624391005109</v>
      </c>
      <c r="AH115" s="1253">
        <f t="shared" si="78"/>
        <v>20.446999999999999</v>
      </c>
      <c r="AI115" s="1253">
        <f t="shared" si="84"/>
        <v>22.123999999999999</v>
      </c>
      <c r="AJ115" s="156">
        <f t="shared" si="85"/>
        <v>58.082866933805974</v>
      </c>
      <c r="AK115" s="156">
        <f t="shared" si="86"/>
        <v>18.000682432412443</v>
      </c>
      <c r="AM115" s="716">
        <f t="shared" si="87"/>
        <v>2116.320739283603</v>
      </c>
      <c r="AN115" s="716" t="str">
        <f>_xlfn.XLOOKUP(D115,RUC!$B$3:$B$578,RUC!$M$3:$M$578)</f>
        <v>Zudaire</v>
      </c>
      <c r="AO115" s="1167" t="s">
        <v>2277</v>
      </c>
      <c r="AP115" t="s">
        <v>4510</v>
      </c>
      <c r="AQ115" t="s">
        <v>4511</v>
      </c>
    </row>
    <row r="116" spans="1:43" ht="15" customHeight="1">
      <c r="A116" s="747" t="s">
        <v>4480</v>
      </c>
      <c r="B116" s="1447">
        <v>46050</v>
      </c>
      <c r="C116" s="1447">
        <v>46044</v>
      </c>
      <c r="D116" t="s">
        <v>3642</v>
      </c>
      <c r="E116" s="762" t="str">
        <f>_xlfn.XLOOKUP(D116,RUC!$B$3:$B$123,RUC!$D$3:$D$123)</f>
        <v>20601769396*</v>
      </c>
      <c r="G116" s="762">
        <v>135</v>
      </c>
      <c r="H116" s="762" t="s">
        <v>108</v>
      </c>
      <c r="I116" s="703">
        <v>3.71</v>
      </c>
      <c r="J116" s="596">
        <v>18.55</v>
      </c>
      <c r="K116" s="703">
        <f t="shared" si="77"/>
        <v>3.0219999999999998</v>
      </c>
      <c r="L116" s="1192">
        <v>0.216</v>
      </c>
      <c r="M116" s="994">
        <f t="shared" si="88"/>
        <v>0.19700000000000001</v>
      </c>
      <c r="N116" s="1196">
        <f t="shared" si="90"/>
        <v>0.19700000000000001</v>
      </c>
      <c r="O116" s="645">
        <f t="shared" si="91"/>
        <v>0.19700000000000001</v>
      </c>
      <c r="P116" s="727">
        <v>90</v>
      </c>
      <c r="Q116" s="1476">
        <v>95.37</v>
      </c>
      <c r="R116" s="706">
        <v>4832.05</v>
      </c>
      <c r="S116" s="765">
        <f>IF((_xlfn.XLOOKUP(D116,RUC!$B$3:$B$119,RUC!$E$3:$E$119)+ROUNDDOWN(O116,1)*100)&lt;95,95,((_xlfn.XLOOKUP(D116,RUC!$B$3:$B$119,RUC!$E$3:$E$119)+ROUNDDOWN(O116,1)*100)))</f>
        <v>100</v>
      </c>
      <c r="U116" s="1146">
        <f>_xlfn.XLOOKUP(D116,RUC!$B$3:$B$123,RUC!$F$3:$F$123)</f>
        <v>120</v>
      </c>
      <c r="V116" s="715">
        <v>1.1023000000000001</v>
      </c>
      <c r="Y116" s="1445">
        <v>30</v>
      </c>
      <c r="Z116" s="1454">
        <v>40</v>
      </c>
      <c r="AA116" s="144">
        <f t="shared" si="79"/>
        <v>70</v>
      </c>
      <c r="AB116" s="145">
        <f t="shared" si="80"/>
        <v>733.52163836950001</v>
      </c>
      <c r="AC116" s="145">
        <f>+(S116-T116)*V116-'data 1'!$F$4</f>
        <v>30.230000000000004</v>
      </c>
      <c r="AD116" s="145">
        <f t="shared" si="81"/>
        <v>60.247320219828055</v>
      </c>
      <c r="AE116" s="145">
        <f t="shared" si="82"/>
        <v>7.1610000000000014</v>
      </c>
      <c r="AF116" s="145">
        <f t="shared" si="83"/>
        <v>94.118518223614458</v>
      </c>
      <c r="AG116" s="772">
        <f t="shared" si="72"/>
        <v>208.75683844344252</v>
      </c>
      <c r="AH116" s="1253">
        <f t="shared" si="78"/>
        <v>21.344000000000001</v>
      </c>
      <c r="AI116" s="1253">
        <f t="shared" si="84"/>
        <v>22.38</v>
      </c>
      <c r="AJ116" s="156">
        <f t="shared" si="85"/>
        <v>65.385646784171954</v>
      </c>
      <c r="AK116" s="156">
        <f t="shared" si="86"/>
        <v>18.370131488422832</v>
      </c>
      <c r="AM116" s="716">
        <f t="shared" si="87"/>
        <v>2216.7023911526289</v>
      </c>
      <c r="AN116" s="716" t="str">
        <f>_xlfn.XLOOKUP(D116,RUC!$B$3:$B$578,RUC!$M$3:$M$578)</f>
        <v>Zudaire</v>
      </c>
      <c r="AO116" s="1167" t="s">
        <v>2277</v>
      </c>
      <c r="AP116" t="s">
        <v>4510</v>
      </c>
      <c r="AQ116" t="s">
        <v>4511</v>
      </c>
    </row>
    <row r="117" spans="1:43" ht="15" customHeight="1">
      <c r="A117" s="747" t="s">
        <v>4481</v>
      </c>
      <c r="B117" s="1447">
        <v>46050</v>
      </c>
      <c r="C117" s="1447">
        <v>46044</v>
      </c>
      <c r="D117" t="s">
        <v>3642</v>
      </c>
      <c r="E117" s="762" t="str">
        <f>_xlfn.XLOOKUP(D117,RUC!$B$3:$B$123,RUC!$D$3:$D$123)</f>
        <v>20601769396*</v>
      </c>
      <c r="G117" s="762">
        <v>156</v>
      </c>
      <c r="H117" s="762" t="s">
        <v>108</v>
      </c>
      <c r="I117" s="703">
        <v>4.17</v>
      </c>
      <c r="J117" s="596">
        <v>17.47</v>
      </c>
      <c r="K117" s="703">
        <f t="shared" si="77"/>
        <v>3.4420000000000002</v>
      </c>
      <c r="L117" s="1192">
        <v>0.64</v>
      </c>
      <c r="M117" s="994">
        <f t="shared" si="88"/>
        <v>0.60199999999999998</v>
      </c>
      <c r="N117" s="1196">
        <f t="shared" si="90"/>
        <v>0.60199999999999998</v>
      </c>
      <c r="O117" s="645">
        <f t="shared" si="91"/>
        <v>0.60199999999999998</v>
      </c>
      <c r="P117" s="727">
        <v>84</v>
      </c>
      <c r="Q117" s="1476">
        <v>85</v>
      </c>
      <c r="R117" s="706">
        <v>4832.05</v>
      </c>
      <c r="S117" s="765">
        <f>IF((_xlfn.XLOOKUP(D117,RUC!$B$3:$B$119,RUC!$E$3:$E$119)+ROUNDDOWN(O117,1)*100)&lt;95,95,((_xlfn.XLOOKUP(D117,RUC!$B$3:$B$119,RUC!$E$3:$E$119)+ROUNDDOWN(O117,1)*100)))</f>
        <v>150</v>
      </c>
      <c r="U117" s="1146">
        <f>_xlfn.XLOOKUP(D117,RUC!$B$3:$B$123,RUC!$F$3:$F$123)</f>
        <v>120</v>
      </c>
      <c r="V117" s="715">
        <v>1.1023000000000001</v>
      </c>
      <c r="Y117" s="1445">
        <v>30</v>
      </c>
      <c r="Z117" s="1454">
        <v>40</v>
      </c>
      <c r="AA117" s="144">
        <f t="shared" si="79"/>
        <v>70</v>
      </c>
      <c r="AB117" s="145">
        <f t="shared" si="80"/>
        <v>2384.0428041212003</v>
      </c>
      <c r="AC117" s="145">
        <f>+(S117-T117)*V117-'data 1'!$F$4</f>
        <v>85.344999999999999</v>
      </c>
      <c r="AD117" s="145">
        <f t="shared" si="81"/>
        <v>33.242193376000003</v>
      </c>
      <c r="AE117" s="145">
        <f t="shared" si="82"/>
        <v>7.1610000000000014</v>
      </c>
      <c r="AF117" s="145">
        <f t="shared" si="83"/>
        <v>167.76919469450016</v>
      </c>
      <c r="AG117" s="772">
        <f t="shared" si="72"/>
        <v>310.51738807050015</v>
      </c>
      <c r="AH117" s="1253">
        <f t="shared" si="78"/>
        <v>64.197999999999993</v>
      </c>
      <c r="AI117" s="1253">
        <f t="shared" si="84"/>
        <v>75.527000000000001</v>
      </c>
      <c r="AJ117" s="156">
        <f t="shared" si="85"/>
        <v>172.66956303999993</v>
      </c>
      <c r="AK117" s="156">
        <f t="shared" si="86"/>
        <v>59.675451370244815</v>
      </c>
      <c r="AM117" s="716">
        <f t="shared" si="87"/>
        <v>8205.8753317851715</v>
      </c>
      <c r="AN117" s="716" t="str">
        <f>_xlfn.XLOOKUP(D117,RUC!$B$3:$B$578,RUC!$M$3:$M$578)</f>
        <v>Zudaire</v>
      </c>
      <c r="AO117" s="1167" t="s">
        <v>2277</v>
      </c>
      <c r="AP117" t="s">
        <v>4510</v>
      </c>
      <c r="AQ117" t="s">
        <v>4511</v>
      </c>
    </row>
    <row r="118" spans="1:43" ht="15" customHeight="1">
      <c r="A118" s="747" t="s">
        <v>4482</v>
      </c>
      <c r="B118" s="1447">
        <v>46050</v>
      </c>
      <c r="C118" s="1447">
        <v>46044</v>
      </c>
      <c r="D118" t="s">
        <v>3642</v>
      </c>
      <c r="E118" s="762" t="str">
        <f>_xlfn.XLOOKUP(D118,RUC!$B$3:$B$123,RUC!$D$3:$D$123)</f>
        <v>20601769396*</v>
      </c>
      <c r="G118" s="762">
        <v>112</v>
      </c>
      <c r="H118" s="762" t="s">
        <v>108</v>
      </c>
      <c r="I118" s="703">
        <v>2.84</v>
      </c>
      <c r="J118" s="596">
        <v>17.77</v>
      </c>
      <c r="K118" s="703">
        <f t="shared" si="77"/>
        <v>2.335</v>
      </c>
      <c r="L118" s="1192">
        <v>0.20599999999999999</v>
      </c>
      <c r="M118" s="994">
        <f t="shared" si="88"/>
        <v>0.187</v>
      </c>
      <c r="N118" s="1196">
        <f t="shared" si="90"/>
        <v>0.187</v>
      </c>
      <c r="O118" s="645">
        <f t="shared" si="91"/>
        <v>0.187</v>
      </c>
      <c r="P118" s="727">
        <v>88</v>
      </c>
      <c r="Q118" s="1476">
        <v>89.32</v>
      </c>
      <c r="R118" s="706">
        <v>4832.05</v>
      </c>
      <c r="S118" s="765">
        <f>IF((_xlfn.XLOOKUP(D118,RUC!$B$3:$B$119,RUC!$E$3:$E$119)+ROUNDDOWN(O118,1)*100)&lt;95,95,((_xlfn.XLOOKUP(D118,RUC!$B$3:$B$119,RUC!$E$3:$E$119)+ROUNDDOWN(O118,1)*100)))</f>
        <v>100</v>
      </c>
      <c r="U118" s="1146">
        <f>_xlfn.XLOOKUP(D118,RUC!$B$3:$B$123,RUC!$F$3:$F$123)</f>
        <v>120</v>
      </c>
      <c r="V118" s="715">
        <v>1.1023000000000001</v>
      </c>
      <c r="Y118" s="1445">
        <v>30</v>
      </c>
      <c r="Z118" s="1454">
        <v>40</v>
      </c>
      <c r="AA118" s="144">
        <f t="shared" si="79"/>
        <v>70</v>
      </c>
      <c r="AB118" s="145">
        <f t="shared" si="80"/>
        <v>667.34889718040006</v>
      </c>
      <c r="AC118" s="145">
        <f>+(S118-T118)*V118-'data 1'!$F$4</f>
        <v>30.230000000000004</v>
      </c>
      <c r="AD118" s="145">
        <f t="shared" si="81"/>
        <v>14.123776910627928</v>
      </c>
      <c r="AE118" s="145">
        <f t="shared" si="82"/>
        <v>7.1610000000000014</v>
      </c>
      <c r="AF118" s="145">
        <f t="shared" si="83"/>
        <v>88.147908647721948</v>
      </c>
      <c r="AG118" s="772">
        <f t="shared" si="72"/>
        <v>156.66268555834989</v>
      </c>
      <c r="AH118" s="1253">
        <f t="shared" si="78"/>
        <v>14.73</v>
      </c>
      <c r="AI118" s="1253">
        <f t="shared" si="84"/>
        <v>16.492000000000001</v>
      </c>
      <c r="AJ118" s="156">
        <f t="shared" si="85"/>
        <v>58.402686514171954</v>
      </c>
      <c r="AK118" s="156">
        <f t="shared" si="86"/>
        <v>13.17407807328118</v>
      </c>
      <c r="AM118" s="716">
        <f t="shared" si="87"/>
        <v>1558.2596749162342</v>
      </c>
      <c r="AN118" s="716" t="str">
        <f>_xlfn.XLOOKUP(D118,RUC!$B$3:$B$578,RUC!$M$3:$M$578)</f>
        <v>Zudaire</v>
      </c>
      <c r="AO118" s="1167" t="s">
        <v>2277</v>
      </c>
      <c r="AP118" t="s">
        <v>4510</v>
      </c>
      <c r="AQ118" t="s">
        <v>4511</v>
      </c>
    </row>
    <row r="119" spans="1:43" ht="15" customHeight="1">
      <c r="A119" s="747" t="s">
        <v>4483</v>
      </c>
      <c r="B119" s="1447">
        <v>46050</v>
      </c>
      <c r="C119" s="1447">
        <v>46044</v>
      </c>
      <c r="D119" t="s">
        <v>3642</v>
      </c>
      <c r="E119" s="762" t="str">
        <f>_xlfn.XLOOKUP(D119,RUC!$B$3:$B$123,RUC!$D$3:$D$123)</f>
        <v>20601769396*</v>
      </c>
      <c r="G119" s="762">
        <v>227</v>
      </c>
      <c r="H119" s="762" t="s">
        <v>108</v>
      </c>
      <c r="I119" s="703">
        <v>6.69</v>
      </c>
      <c r="J119" s="596">
        <v>18.850000000000001</v>
      </c>
      <c r="K119" s="703">
        <f t="shared" si="77"/>
        <v>5.4290000000000003</v>
      </c>
      <c r="L119" s="1192">
        <v>0.245</v>
      </c>
      <c r="M119" s="994">
        <f t="shared" si="88"/>
        <v>0.22600000000000001</v>
      </c>
      <c r="N119" s="1196">
        <f t="shared" si="90"/>
        <v>0.22600000000000001</v>
      </c>
      <c r="O119" s="645">
        <f t="shared" si="91"/>
        <v>0.22600000000000001</v>
      </c>
      <c r="P119" s="727">
        <v>84</v>
      </c>
      <c r="Q119" s="1476">
        <v>84.49</v>
      </c>
      <c r="R119" s="706">
        <v>4832.05</v>
      </c>
      <c r="S119" s="765">
        <f>IF((_xlfn.XLOOKUP(D119,RUC!$B$3:$B$119,RUC!$E$3:$E$119)+ROUNDDOWN(O119,1)*100)&lt;95,95,((_xlfn.XLOOKUP(D119,RUC!$B$3:$B$119,RUC!$E$3:$E$119)+ROUNDDOWN(O119,1)*100)))</f>
        <v>110</v>
      </c>
      <c r="U119" s="1146">
        <f>_xlfn.XLOOKUP(D119,RUC!$B$3:$B$123,RUC!$F$3:$F$123)</f>
        <v>120</v>
      </c>
      <c r="V119" s="715">
        <v>1.1023000000000001</v>
      </c>
      <c r="Y119" s="1445">
        <v>30</v>
      </c>
      <c r="Z119" s="1454">
        <v>40</v>
      </c>
      <c r="AA119" s="144">
        <f t="shared" si="79"/>
        <v>70</v>
      </c>
      <c r="AB119" s="145">
        <f t="shared" si="80"/>
        <v>787.63256101560012</v>
      </c>
      <c r="AC119" s="145">
        <f>+(S119-T119)*V119-'data 1'!$F$4</f>
        <v>41.253</v>
      </c>
      <c r="AD119" s="145">
        <f t="shared" si="81"/>
        <v>6.2355083043574355</v>
      </c>
      <c r="AE119" s="145">
        <f t="shared" si="82"/>
        <v>7.1610000000000014</v>
      </c>
      <c r="AF119" s="145">
        <f t="shared" si="83"/>
        <v>83.381289763166464</v>
      </c>
      <c r="AG119" s="772">
        <f>AC119+AD119+AE119+AF119+70-53</f>
        <v>155.0307980675239</v>
      </c>
      <c r="AH119" s="1253">
        <f t="shared" si="78"/>
        <v>38.53</v>
      </c>
      <c r="AI119" s="1253">
        <f t="shared" si="84"/>
        <v>45.603000000000002</v>
      </c>
      <c r="AJ119" s="156">
        <f t="shared" si="85"/>
        <v>65.703466698642444</v>
      </c>
      <c r="AK119" s="156">
        <f t="shared" si="86"/>
        <v>35.335938967979757</v>
      </c>
      <c r="AM119" s="716">
        <f t="shared" si="87"/>
        <v>4276.057173753693</v>
      </c>
      <c r="AN119" s="716" t="str">
        <f>_xlfn.XLOOKUP(D119,RUC!$B$3:$B$578,RUC!$M$3:$M$578)</f>
        <v>Zudaire</v>
      </c>
      <c r="AO119" s="1167" t="s">
        <v>2277</v>
      </c>
      <c r="AP119" t="s">
        <v>4510</v>
      </c>
      <c r="AQ119" t="s">
        <v>4511</v>
      </c>
    </row>
    <row r="120" spans="1:43" ht="15" customHeight="1">
      <c r="A120" s="877" t="s">
        <v>4491</v>
      </c>
      <c r="C120" s="1447">
        <v>46045</v>
      </c>
      <c r="D120" t="s">
        <v>4499</v>
      </c>
      <c r="E120" s="762">
        <f>_xlfn.XLOOKUP(D120,RUC!$B$3:$B$123,RUC!$D$3:$D$123)</f>
        <v>20606480840</v>
      </c>
      <c r="G120" s="762">
        <v>77</v>
      </c>
      <c r="H120" s="762" t="s">
        <v>108</v>
      </c>
      <c r="I120" s="703"/>
      <c r="J120" s="596"/>
      <c r="K120" s="703"/>
      <c r="L120" s="1192"/>
      <c r="M120" s="994"/>
      <c r="N120" s="1196"/>
      <c r="O120" s="645"/>
      <c r="P120" s="727"/>
      <c r="Q120" s="1583"/>
      <c r="R120" s="706"/>
      <c r="S120" s="765"/>
      <c r="U120" s="1146"/>
      <c r="V120" s="715"/>
      <c r="Y120" s="1445"/>
      <c r="Z120" s="143"/>
      <c r="AA120" s="144"/>
      <c r="AB120" s="145"/>
      <c r="AC120" s="145"/>
      <c r="AD120" s="145"/>
      <c r="AE120" s="145"/>
      <c r="AF120" s="145"/>
      <c r="AG120" s="772"/>
      <c r="AH120" s="1253"/>
      <c r="AI120" s="1253"/>
      <c r="AJ120" s="156"/>
      <c r="AK120" s="156"/>
      <c r="AM120" s="716"/>
      <c r="AN120" s="716" t="str">
        <f>_xlfn.XLOOKUP(D120,RUC!$B$3:$B$578,RUC!$M$3:$M$578)</f>
        <v>Robinson Tuya</v>
      </c>
      <c r="AO120" s="1167" t="s">
        <v>2282</v>
      </c>
      <c r="AP120" t="s">
        <v>4515</v>
      </c>
      <c r="AQ120" t="s">
        <v>4516</v>
      </c>
    </row>
    <row r="121" spans="1:43" ht="15" customHeight="1">
      <c r="A121" s="877" t="s">
        <v>4492</v>
      </c>
      <c r="C121" s="1447">
        <v>46045</v>
      </c>
      <c r="D121" s="1650" t="s">
        <v>4499</v>
      </c>
      <c r="E121" s="762">
        <f>_xlfn.XLOOKUP(D121,RUC!$B$3:$B$123,RUC!$D$3:$D$123)</f>
        <v>20606480840</v>
      </c>
      <c r="G121" s="762">
        <v>60</v>
      </c>
      <c r="H121" s="762" t="s">
        <v>108</v>
      </c>
      <c r="I121" s="703"/>
      <c r="J121" s="596"/>
      <c r="K121" s="703"/>
      <c r="L121" s="1192"/>
      <c r="M121" s="994"/>
      <c r="N121" s="1196"/>
      <c r="O121" s="645"/>
      <c r="P121" s="727"/>
      <c r="Q121" s="1583"/>
      <c r="R121" s="706"/>
      <c r="S121" s="765"/>
      <c r="U121" s="1146"/>
      <c r="V121" s="715"/>
      <c r="Y121" s="1445"/>
      <c r="Z121" s="143"/>
      <c r="AA121" s="144"/>
      <c r="AB121" s="145"/>
      <c r="AC121" s="145"/>
      <c r="AD121" s="145"/>
      <c r="AE121" s="145"/>
      <c r="AF121" s="145"/>
      <c r="AG121" s="772"/>
      <c r="AH121" s="1253"/>
      <c r="AI121" s="1253"/>
      <c r="AJ121" s="156"/>
      <c r="AK121" s="156"/>
      <c r="AM121" s="716"/>
      <c r="AN121" s="716" t="str">
        <f>_xlfn.XLOOKUP(D121,RUC!$B$3:$B$578,RUC!$M$3:$M$578)</f>
        <v>Robinson Tuya</v>
      </c>
      <c r="AO121" s="1167" t="s">
        <v>2282</v>
      </c>
      <c r="AP121" t="s">
        <v>4515</v>
      </c>
      <c r="AQ121" t="s">
        <v>4516</v>
      </c>
    </row>
    <row r="122" spans="1:43" ht="15" customHeight="1">
      <c r="A122" s="877" t="s">
        <v>4493</v>
      </c>
      <c r="C122" s="1447">
        <v>46045</v>
      </c>
      <c r="D122" t="s">
        <v>4499</v>
      </c>
      <c r="E122" s="762">
        <f>_xlfn.XLOOKUP(D122,RUC!$B$3:$B$123,RUC!$D$3:$D$123)</f>
        <v>20606480840</v>
      </c>
      <c r="G122" s="762">
        <v>60</v>
      </c>
      <c r="H122" s="762" t="s">
        <v>108</v>
      </c>
      <c r="I122" s="703"/>
      <c r="J122" s="596"/>
      <c r="K122" s="703"/>
      <c r="L122" s="1192"/>
      <c r="M122" s="994"/>
      <c r="N122" s="1196"/>
      <c r="O122" s="645"/>
      <c r="P122" s="727"/>
      <c r="Q122" s="1583"/>
      <c r="R122" s="706"/>
      <c r="S122" s="765"/>
      <c r="U122" s="1146"/>
      <c r="V122" s="715"/>
      <c r="Y122" s="1445"/>
      <c r="Z122" s="143"/>
      <c r="AA122" s="144"/>
      <c r="AB122" s="145"/>
      <c r="AC122" s="145"/>
      <c r="AD122" s="145"/>
      <c r="AE122" s="145"/>
      <c r="AF122" s="145"/>
      <c r="AG122" s="772"/>
      <c r="AH122" s="1253"/>
      <c r="AI122" s="1253"/>
      <c r="AJ122" s="156"/>
      <c r="AK122" s="156"/>
      <c r="AM122" s="716"/>
      <c r="AN122" s="716" t="str">
        <f>_xlfn.XLOOKUP(D122,RUC!$B$3:$B$578,RUC!$M$3:$M$578)</f>
        <v>Robinson Tuya</v>
      </c>
      <c r="AO122" s="1167" t="s">
        <v>2282</v>
      </c>
      <c r="AP122" t="s">
        <v>4515</v>
      </c>
      <c r="AQ122" t="s">
        <v>4516</v>
      </c>
    </row>
    <row r="123" spans="1:43" ht="15" customHeight="1">
      <c r="A123" s="877" t="s">
        <v>4494</v>
      </c>
      <c r="C123" s="1447">
        <v>46045</v>
      </c>
      <c r="D123" t="s">
        <v>4499</v>
      </c>
      <c r="E123" s="762">
        <f>_xlfn.XLOOKUP(D123,RUC!$B$3:$B$123,RUC!$D$3:$D$123)</f>
        <v>20606480840</v>
      </c>
      <c r="G123" s="762">
        <v>60</v>
      </c>
      <c r="H123" s="762" t="s">
        <v>108</v>
      </c>
      <c r="I123" s="703"/>
      <c r="J123" s="596"/>
      <c r="K123" s="703"/>
      <c r="L123" s="1192"/>
      <c r="M123" s="994"/>
      <c r="N123" s="1196"/>
      <c r="O123" s="645"/>
      <c r="P123" s="727"/>
      <c r="Q123" s="1583"/>
      <c r="R123" s="706"/>
      <c r="S123" s="765"/>
      <c r="U123" s="1146"/>
      <c r="V123" s="715"/>
      <c r="Y123" s="1445"/>
      <c r="Z123" s="143"/>
      <c r="AA123" s="144"/>
      <c r="AB123" s="145"/>
      <c r="AC123" s="145"/>
      <c r="AD123" s="145"/>
      <c r="AE123" s="145"/>
      <c r="AF123" s="145"/>
      <c r="AG123" s="772"/>
      <c r="AH123" s="1253"/>
      <c r="AI123" s="1253"/>
      <c r="AJ123" s="156"/>
      <c r="AK123" s="156"/>
      <c r="AM123" s="716"/>
      <c r="AN123" s="716" t="str">
        <f>_xlfn.XLOOKUP(D123,RUC!$B$3:$B$578,RUC!$M$3:$M$578)</f>
        <v>Robinson Tuya</v>
      </c>
      <c r="AO123" s="1167" t="s">
        <v>2282</v>
      </c>
      <c r="AP123" t="s">
        <v>4515</v>
      </c>
      <c r="AQ123" t="s">
        <v>4516</v>
      </c>
    </row>
    <row r="124" spans="1:43" ht="15" customHeight="1">
      <c r="A124" s="877" t="s">
        <v>4495</v>
      </c>
      <c r="C124" s="1447">
        <v>46045</v>
      </c>
      <c r="D124" t="s">
        <v>4499</v>
      </c>
      <c r="E124" s="762">
        <f>_xlfn.XLOOKUP(D124,RUC!$B$3:$B$123,RUC!$D$3:$D$123)</f>
        <v>20606480840</v>
      </c>
      <c r="G124" s="762">
        <v>60</v>
      </c>
      <c r="H124" s="762" t="s">
        <v>108</v>
      </c>
      <c r="I124" s="703"/>
      <c r="J124" s="596"/>
      <c r="K124" s="703"/>
      <c r="L124" s="1192"/>
      <c r="M124" s="994"/>
      <c r="N124" s="1196"/>
      <c r="O124" s="645"/>
      <c r="P124" s="727"/>
      <c r="Q124" s="1583"/>
      <c r="R124" s="706"/>
      <c r="S124" s="765"/>
      <c r="U124" s="1146"/>
      <c r="V124" s="715"/>
      <c r="Y124" s="1445"/>
      <c r="Z124" s="143"/>
      <c r="AA124" s="144"/>
      <c r="AB124" s="145"/>
      <c r="AC124" s="145"/>
      <c r="AD124" s="145"/>
      <c r="AE124" s="145"/>
      <c r="AF124" s="145"/>
      <c r="AG124" s="772"/>
      <c r="AH124" s="1253"/>
      <c r="AI124" s="1253"/>
      <c r="AJ124" s="156"/>
      <c r="AK124" s="156"/>
      <c r="AM124" s="716"/>
      <c r="AN124" s="716" t="str">
        <f>_xlfn.XLOOKUP(D124,RUC!$B$3:$B$578,RUC!$M$3:$M$578)</f>
        <v>Robinson Tuya</v>
      </c>
      <c r="AO124" s="1167" t="s">
        <v>2282</v>
      </c>
      <c r="AP124" t="s">
        <v>4515</v>
      </c>
      <c r="AQ124" t="s">
        <v>4516</v>
      </c>
    </row>
    <row r="125" spans="1:43" ht="15" customHeight="1">
      <c r="A125" s="747" t="s">
        <v>4497</v>
      </c>
      <c r="B125" s="1447">
        <v>46052</v>
      </c>
      <c r="C125" s="1447">
        <v>46045</v>
      </c>
      <c r="D125" s="1650" t="s">
        <v>4171</v>
      </c>
      <c r="E125" s="762">
        <f>_xlfn.XLOOKUP(D125,RUC!$B$3:$B$123,RUC!$D$3:$D$123)</f>
        <v>20614284740</v>
      </c>
      <c r="G125" s="762" t="s">
        <v>2985</v>
      </c>
      <c r="H125" s="762" t="s">
        <v>69</v>
      </c>
      <c r="I125" s="703">
        <v>4.57</v>
      </c>
      <c r="J125" s="596">
        <v>6.1</v>
      </c>
      <c r="K125" s="703">
        <f t="shared" si="77"/>
        <v>4.2910000000000004</v>
      </c>
      <c r="L125" s="1192">
        <v>0.19800000000000001</v>
      </c>
      <c r="M125" s="994">
        <f t="shared" si="88"/>
        <v>0.17899999999999999</v>
      </c>
      <c r="N125" s="1196">
        <f t="shared" ref="N125:N126" si="92">+M125</f>
        <v>0.17899999999999999</v>
      </c>
      <c r="O125" s="645">
        <f t="shared" si="91"/>
        <v>0.17899999999999999</v>
      </c>
      <c r="P125" s="727">
        <v>86</v>
      </c>
      <c r="Q125" s="1476">
        <v>87.37</v>
      </c>
      <c r="R125" s="706">
        <v>4946.25</v>
      </c>
      <c r="S125" s="765">
        <f>IF((_xlfn.XLOOKUP(D125,RUC!$B$3:$B$119,RUC!$E$3:$E$119)+ROUNDDOWN(O125,1)*100)&lt;95,95,((_xlfn.XLOOKUP(D125,RUC!$B$3:$B$119,RUC!$E$3:$E$119)+ROUNDDOWN(O125,1)*100)))</f>
        <v>100</v>
      </c>
      <c r="U125" s="1146">
        <f>_xlfn.XLOOKUP(D125,RUC!$B$3:$B$123,RUC!$F$3:$F$123)</f>
        <v>120</v>
      </c>
      <c r="V125" s="715">
        <v>1.1023000000000001</v>
      </c>
      <c r="Y125">
        <f>_xlfn.XLOOKUP(D125,RUC!$B$3:$B$123,RUC!$G$3:$G$123)</f>
        <v>20</v>
      </c>
      <c r="Z125" s="143">
        <f>_xlfn.XLOOKUP(D125,RUC!$B$3:$B$123,RUC!$H$3:$H$123)</f>
        <v>30</v>
      </c>
      <c r="AA125" s="144">
        <f t="shared" si="79"/>
        <v>50</v>
      </c>
      <c r="AB125" s="145">
        <f t="shared" si="80"/>
        <v>653.61200922749993</v>
      </c>
      <c r="AC125" s="145">
        <f>+(S125-T125)*V125-'data 1'!$F$4</f>
        <v>30.230000000000004</v>
      </c>
      <c r="AD125" s="145">
        <f t="shared" si="81"/>
        <v>14.43096520222505</v>
      </c>
      <c r="AE125" s="145">
        <f t="shared" si="82"/>
        <v>-14.884999999999998</v>
      </c>
      <c r="AF125" s="145">
        <f t="shared" si="83"/>
        <v>88.31318721761258</v>
      </c>
      <c r="AG125" s="772">
        <f>AC125+AD125+AE125+AF125+70</f>
        <v>188.08915241983763</v>
      </c>
      <c r="AH125" s="1253">
        <f t="shared" si="78"/>
        <v>25.45</v>
      </c>
      <c r="AI125" s="1253">
        <f t="shared" si="84"/>
        <v>29.129000000000001</v>
      </c>
      <c r="AJ125" s="156">
        <f t="shared" si="85"/>
        <v>33.132342842775003</v>
      </c>
      <c r="AK125" s="156">
        <f t="shared" si="86"/>
        <v>22.647437302865345</v>
      </c>
      <c r="AM125" s="716">
        <f t="shared" si="87"/>
        <v>2804.6491315952026</v>
      </c>
      <c r="AN125" s="716" t="str">
        <f>_xlfn.XLOOKUP(D125,RUC!$B$3:$B$578,RUC!$M$3:$M$578)</f>
        <v xml:space="preserve">Dante </v>
      </c>
      <c r="AO125" s="1167" t="s">
        <v>2277</v>
      </c>
      <c r="AP125" t="s">
        <v>3950</v>
      </c>
      <c r="AQ125" t="s">
        <v>4517</v>
      </c>
    </row>
    <row r="126" spans="1:43" ht="15" customHeight="1">
      <c r="A126" s="747" t="s">
        <v>4498</v>
      </c>
      <c r="B126" s="1447">
        <v>46050</v>
      </c>
      <c r="C126" s="1447">
        <v>46045</v>
      </c>
      <c r="D126" s="1650" t="s">
        <v>4171</v>
      </c>
      <c r="E126" s="762">
        <f>_xlfn.XLOOKUP(D126,RUC!$B$3:$B$123,RUC!$D$3:$D$123)</f>
        <v>20614284740</v>
      </c>
      <c r="G126" s="762">
        <v>13</v>
      </c>
      <c r="H126" s="762" t="s">
        <v>108</v>
      </c>
      <c r="I126" s="703">
        <v>1.06</v>
      </c>
      <c r="J126" s="596">
        <v>11.7</v>
      </c>
      <c r="K126" s="703">
        <f t="shared" si="77"/>
        <v>0.93600000000000005</v>
      </c>
      <c r="L126" s="1192">
        <v>0.224</v>
      </c>
      <c r="M126" s="994">
        <f t="shared" si="88"/>
        <v>0.20499999999999999</v>
      </c>
      <c r="N126" s="1196">
        <f t="shared" si="92"/>
        <v>0.20499999999999999</v>
      </c>
      <c r="O126" s="645">
        <f t="shared" si="91"/>
        <v>0.20499999999999999</v>
      </c>
      <c r="P126" s="727">
        <v>90</v>
      </c>
      <c r="Q126" s="1476">
        <v>93.3</v>
      </c>
      <c r="R126" s="706">
        <v>4946.25</v>
      </c>
      <c r="S126" s="765">
        <f>IF((_xlfn.XLOOKUP(D126,RUC!$B$3:$B$119,RUC!$E$3:$E$119)+ROUNDDOWN(O126,1)*100)&lt;95,95,((_xlfn.XLOOKUP(D126,RUC!$B$3:$B$119,RUC!$E$3:$E$119)+ROUNDDOWN(O126,1)*100)))</f>
        <v>110</v>
      </c>
      <c r="U126" s="1146">
        <f>_xlfn.XLOOKUP(D126,RUC!$B$3:$B$123,RUC!$F$3:$F$123)</f>
        <v>120</v>
      </c>
      <c r="V126" s="715">
        <v>1.1023000000000001</v>
      </c>
      <c r="Y126" s="1445">
        <v>30</v>
      </c>
      <c r="Z126" s="1454">
        <v>40</v>
      </c>
      <c r="AA126" s="144">
        <f t="shared" si="79"/>
        <v>70</v>
      </c>
      <c r="AB126" s="145">
        <f t="shared" si="80"/>
        <v>783.12145668750009</v>
      </c>
      <c r="AC126" s="145">
        <f>+(S126-T126)*V126-'data 1'!$F$4</f>
        <v>41.253</v>
      </c>
      <c r="AD126" s="145">
        <f t="shared" si="81"/>
        <v>39.32525797199996</v>
      </c>
      <c r="AE126" s="145">
        <f t="shared" si="82"/>
        <v>7.1610000000000014</v>
      </c>
      <c r="AF126" s="145">
        <f t="shared" si="83"/>
        <v>94.307203472625076</v>
      </c>
      <c r="AG126" s="772">
        <f>AC126+AD126+AE126+AF126+70</f>
        <v>252.04646144462504</v>
      </c>
      <c r="AH126" s="1253">
        <f t="shared" si="78"/>
        <v>6.7069999999999999</v>
      </c>
      <c r="AI126" s="1253">
        <f t="shared" si="84"/>
        <v>7.1879999999999997</v>
      </c>
      <c r="AJ126" s="156">
        <f t="shared" si="85"/>
        <v>40.027114427999997</v>
      </c>
      <c r="AK126" s="156">
        <f t="shared" si="86"/>
        <v>5.9208122331306017</v>
      </c>
      <c r="AM126" s="716">
        <f t="shared" si="87"/>
        <v>733.0016834595001</v>
      </c>
      <c r="AN126" s="716" t="str">
        <f>_xlfn.XLOOKUP(D126,RUC!$B$3:$B$578,RUC!$M$3:$M$578)</f>
        <v xml:space="preserve">Dante </v>
      </c>
      <c r="AO126" s="1167" t="s">
        <v>2277</v>
      </c>
      <c r="AP126" t="s">
        <v>3950</v>
      </c>
      <c r="AQ126" t="s">
        <v>4517</v>
      </c>
    </row>
    <row r="127" spans="1:43" ht="15" customHeight="1">
      <c r="A127" s="877" t="s">
        <v>4502</v>
      </c>
      <c r="C127" s="1447">
        <v>46045</v>
      </c>
      <c r="D127" s="1650" t="s">
        <v>4171</v>
      </c>
      <c r="E127" s="762">
        <f>_xlfn.XLOOKUP(D127,RUC!$B$3:$B$123,RUC!$D$3:$D$123)</f>
        <v>20614284740</v>
      </c>
      <c r="G127" s="762">
        <v>73</v>
      </c>
      <c r="H127" s="762" t="s">
        <v>69</v>
      </c>
      <c r="I127" s="703"/>
      <c r="J127" s="596"/>
      <c r="K127" s="703"/>
      <c r="L127" s="1192"/>
      <c r="M127" s="994"/>
      <c r="N127" s="1196"/>
      <c r="O127" s="645"/>
      <c r="P127" s="727"/>
      <c r="Q127" s="1476"/>
      <c r="R127" s="706"/>
      <c r="S127" s="765"/>
      <c r="U127" s="1146"/>
      <c r="V127" s="715"/>
      <c r="Z127" s="143"/>
      <c r="AA127" s="144"/>
      <c r="AB127" s="145"/>
      <c r="AC127" s="145"/>
      <c r="AD127" s="145"/>
      <c r="AE127" s="145"/>
      <c r="AF127" s="145"/>
      <c r="AG127" s="772"/>
      <c r="AH127" s="1253"/>
      <c r="AI127" s="1253"/>
      <c r="AJ127" s="156"/>
      <c r="AK127" s="156"/>
      <c r="AM127" s="716"/>
      <c r="AN127" s="716" t="str">
        <f>_xlfn.XLOOKUP(D127,RUC!$B$3:$B$578,RUC!$M$3:$M$578)</f>
        <v xml:space="preserve">Dante </v>
      </c>
      <c r="AO127" s="1167" t="s">
        <v>2282</v>
      </c>
      <c r="AP127" t="s">
        <v>4079</v>
      </c>
      <c r="AQ127" t="s">
        <v>4521</v>
      </c>
    </row>
    <row r="128" spans="1:43" ht="15" customHeight="1">
      <c r="A128" s="877" t="s">
        <v>4668</v>
      </c>
      <c r="C128" s="1447">
        <v>46058</v>
      </c>
      <c r="D128" t="s">
        <v>2004</v>
      </c>
      <c r="E128" s="762">
        <f>_xlfn.XLOOKUP(D128,RUC!$B$3:$B$123,RUC!$D$3:$D$123)</f>
        <v>20612921866</v>
      </c>
      <c r="G128" s="762">
        <v>130</v>
      </c>
      <c r="H128" s="762" t="s">
        <v>69</v>
      </c>
      <c r="I128" s="703"/>
      <c r="J128" s="596"/>
      <c r="K128" s="703"/>
      <c r="L128" s="1192"/>
      <c r="M128" s="994"/>
      <c r="N128" s="1196"/>
      <c r="O128" s="645"/>
      <c r="P128" s="727"/>
      <c r="Q128" s="1476"/>
      <c r="R128" s="706"/>
      <c r="S128" s="765"/>
      <c r="U128" s="1146"/>
      <c r="V128" s="715"/>
      <c r="Z128" s="143"/>
      <c r="AA128" s="144"/>
      <c r="AB128" s="145"/>
      <c r="AC128" s="145"/>
      <c r="AD128" s="145"/>
      <c r="AE128" s="145"/>
      <c r="AF128" s="145"/>
      <c r="AG128" s="772"/>
      <c r="AH128" s="1253"/>
      <c r="AI128" s="1253"/>
      <c r="AJ128" s="156"/>
      <c r="AK128" s="156"/>
      <c r="AM128" s="716"/>
      <c r="AN128" s="716" t="str">
        <f>_xlfn.XLOOKUP(D128,RUC!$B$3:$B$578,RUC!$M$3:$M$578)</f>
        <v>Ronald Garibay</v>
      </c>
      <c r="AO128" s="1167" t="s">
        <v>2282</v>
      </c>
      <c r="AP128" t="s">
        <v>4693</v>
      </c>
      <c r="AQ128" t="s">
        <v>2902</v>
      </c>
    </row>
  </sheetData>
  <autoFilter ref="A3:AO128" xr:uid="{00000000-0009-0000-0000-00000C000000}"/>
  <mergeCells count="2">
    <mergeCell ref="AV5:BD5"/>
    <mergeCell ref="AV26:BA26"/>
  </mergeCells>
  <pageMargins left="0.7" right="0.7" top="0.75" bottom="0.75" header="0" footer="0"/>
  <pageSetup paperSize="9" scale="10" fitToHeight="0" orientation="portrait" horizontalDpi="360" verticalDpi="360" r:id="rId1"/>
  <ignoredErrors>
    <ignoredError sqref="AJ3" formula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01E3A-74FD-4D1A-8BC8-C6FA97533ECD}">
  <sheetPr>
    <tabColor rgb="FF00B050"/>
    <pageSetUpPr fitToPage="1"/>
  </sheetPr>
  <dimension ref="A1:BD138"/>
  <sheetViews>
    <sheetView showGridLines="0" zoomScale="80" zoomScaleNormal="80" workbookViewId="0">
      <pane xSplit="4" ySplit="3" topLeftCell="E51" activePane="bottomRight" state="frozen"/>
      <selection activeCell="D26" sqref="D26"/>
      <selection pane="topRight" activeCell="D26" sqref="D26"/>
      <selection pane="bottomLeft" activeCell="D26" sqref="D26"/>
      <selection pane="bottomRight" activeCell="D26" sqref="D26"/>
    </sheetView>
  </sheetViews>
  <sheetFormatPr baseColWidth="10" defaultColWidth="14.44140625" defaultRowHeight="15" customHeight="1"/>
  <cols>
    <col min="1" max="1" width="14.5546875" customWidth="1"/>
    <col min="2" max="2" width="12.33203125" style="762" customWidth="1"/>
    <col min="3" max="3" width="11.6640625" style="762" customWidth="1"/>
    <col min="4" max="4" width="42.5546875" customWidth="1"/>
    <col min="5" max="5" width="15.88671875" customWidth="1"/>
    <col min="6" max="6" width="15.33203125" customWidth="1"/>
    <col min="7" max="7" width="12.109375" customWidth="1"/>
    <col min="8" max="8" width="11.44140625" style="762" customWidth="1"/>
    <col min="9" max="10" width="10.332031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7.66406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0.88671875" customWidth="1"/>
    <col min="43" max="43" width="12.6640625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5184.1049999999996</v>
      </c>
      <c r="F1" s="1075" t="s">
        <v>1906</v>
      </c>
      <c r="G1" s="1076">
        <f>+$AM3</f>
        <v>576087.11838874582</v>
      </c>
      <c r="H1" s="1448"/>
      <c r="I1" s="843"/>
      <c r="AB1" s="83"/>
      <c r="AC1" s="758"/>
      <c r="AD1" s="83"/>
      <c r="AE1" s="83"/>
      <c r="AF1" s="83"/>
      <c r="AG1" s="768" t="s">
        <v>34</v>
      </c>
      <c r="AH1" s="701" t="s">
        <v>4720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B2" s="1144"/>
      <c r="D2" s="1075" t="s">
        <v>1907</v>
      </c>
      <c r="E2" s="1076">
        <f>+AH3</f>
        <v>4740.6730000000007</v>
      </c>
      <c r="F2" s="1079" t="s">
        <v>1908</v>
      </c>
      <c r="G2" s="1080">
        <f>+Q2</f>
        <v>91.756915349360725</v>
      </c>
      <c r="H2" s="90"/>
      <c r="I2" s="1251">
        <f>SUBTOTAL(9,I4:I639)</f>
        <v>541.24999999999989</v>
      </c>
      <c r="J2" s="81"/>
      <c r="K2" s="91">
        <f>SUBTOTAL(9,K4:K639)</f>
        <v>493.09399999999999</v>
      </c>
      <c r="L2" s="1202">
        <f>+SUMPRODUCT(L5:L639,K5:K639)/K2</f>
        <v>0.30664433150677162</v>
      </c>
      <c r="M2" s="6"/>
      <c r="O2" s="703"/>
      <c r="P2" s="94">
        <f>+SUMPRODUCT(P4:P639,AH4:AH639)/SUM(AH4:AH639)</f>
        <v>88.132468955357183</v>
      </c>
      <c r="Q2" s="1201">
        <f>+SUMPRODUCT(Q4:Q639,AH4:AH639)/SUM(AH4:AH639)</f>
        <v>91.756915349360725</v>
      </c>
      <c r="R2" s="1151">
        <f>+SUMPRODUCT(R4:R639,AH4:AH639)/SUM(AH4:AH639)</f>
        <v>4925.8389344614143</v>
      </c>
      <c r="S2" s="6"/>
      <c r="AB2" s="83"/>
      <c r="AC2" s="83"/>
      <c r="AD2" s="83"/>
      <c r="AE2" s="83"/>
      <c r="AF2" s="83"/>
      <c r="AG2" s="1209">
        <f>SUMPRODUCT($AG4:$AG639,$K4:$K639)/SUM($K4:$K639)</f>
        <v>208.70134962585595</v>
      </c>
      <c r="AH2" s="702"/>
      <c r="AI2" s="631"/>
      <c r="AJ2" s="252">
        <v>4900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679" t="s">
        <v>39</v>
      </c>
      <c r="C3" s="679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SUBTOTAL(9,AH4:AH639)</f>
        <v>4740.6730000000007</v>
      </c>
      <c r="AI3" s="1252">
        <f>SUBTOTAL(9,AI4:AI639)</f>
        <v>5184.1049999999996</v>
      </c>
      <c r="AJ3" s="1388">
        <f>SUMPRODUCT(K4:K639,AJ4:AJ639)/K2</f>
        <v>27.321689954640881</v>
      </c>
      <c r="AK3" s="118">
        <f>SUBTOTAL(9,AK4:AK639)</f>
        <v>4300.0772513654883</v>
      </c>
      <c r="AL3" s="88"/>
      <c r="AM3" s="118">
        <f>SUBTOTAL(9,AM4:AM639)</f>
        <v>576087.11838874582</v>
      </c>
      <c r="AN3" s="1182" t="s">
        <v>2247</v>
      </c>
      <c r="AO3" s="1168" t="s">
        <v>2283</v>
      </c>
      <c r="AP3" s="1167" t="s">
        <v>2351</v>
      </c>
      <c r="AQ3" s="1167" t="s">
        <v>2352</v>
      </c>
      <c r="AS3" s="1216"/>
    </row>
    <row r="4" spans="1:56" s="677" customFormat="1" ht="15.75" customHeight="1" thickBot="1">
      <c r="A4" s="720"/>
      <c r="B4" s="671"/>
      <c r="C4" s="723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56" ht="15" customHeight="1" thickBot="1">
      <c r="A5" s="1491" t="s">
        <v>4302</v>
      </c>
      <c r="C5" s="1447">
        <v>46032</v>
      </c>
      <c r="D5" t="s">
        <v>4315</v>
      </c>
      <c r="E5" s="762">
        <f>_xlfn.XLOOKUP(D5,RUC!$B$3:$B$123,RUC!$D$3:$D$123)</f>
        <v>20614031698</v>
      </c>
      <c r="G5" s="1082">
        <v>11</v>
      </c>
      <c r="H5" s="762" t="s">
        <v>69</v>
      </c>
      <c r="I5" s="703">
        <v>1.07</v>
      </c>
      <c r="J5" s="596">
        <v>2.5</v>
      </c>
      <c r="K5" s="703">
        <f t="shared" ref="K5:K46" si="0">ROUND(+I5-(I5*(J5/100)),3)</f>
        <v>1.0429999999999999</v>
      </c>
      <c r="L5" s="1192">
        <v>0.109</v>
      </c>
      <c r="M5" s="994">
        <f t="shared" ref="M5:M48" si="1">ROUND(+IF(AN5="Melchor Vera",IF(L5&gt;0.467,L5*0.985,(L5-0.007)),IF(L5&gt;0.3,L5*0.94,(L5-0.019))),3)</f>
        <v>0.09</v>
      </c>
      <c r="N5" s="1196">
        <f t="shared" ref="N5:N9" si="2">+M5</f>
        <v>0.09</v>
      </c>
      <c r="O5" s="645">
        <f t="shared" ref="O5:O46" si="3">+ROUND((M5+N5)/2,3)</f>
        <v>0.09</v>
      </c>
      <c r="P5" s="727">
        <v>90</v>
      </c>
      <c r="Q5" s="1476">
        <v>96.33</v>
      </c>
      <c r="R5" s="706">
        <v>4493.8500000000004</v>
      </c>
      <c r="S5" s="765">
        <f>IF((_xlfn.XLOOKUP(D5,RUC!$B$3:$B$119,RUC!$E$3:$E$119)+ROUNDDOWN(O5,1)*100)&lt;95,95,((_xlfn.XLOOKUP(D5,RUC!$B$3:$B$119,RUC!$E$3:$E$119)+ROUNDDOWN(O5,1)*100)))</f>
        <v>95</v>
      </c>
      <c r="U5" s="1146">
        <f>_xlfn.XLOOKUP(D5,RUC!$B$3:$B$123,RUC!$F$3:$F$123)</f>
        <v>110</v>
      </c>
      <c r="V5" s="715">
        <v>1.1023000000000001</v>
      </c>
      <c r="Y5">
        <f>_xlfn.XLOOKUP(D5,RUC!$B$3:$B$123,RUC!$G$3:$G$123)</f>
        <v>0</v>
      </c>
      <c r="Z5" s="143">
        <f>_xlfn.XLOOKUP(D5,RUC!$B$3:$B$123,RUC!$H$3:$H$123)</f>
        <v>35</v>
      </c>
      <c r="AA5" s="144">
        <f t="shared" ref="AA5:AA46" si="4">+Y5+Z5</f>
        <v>35</v>
      </c>
      <c r="AB5" s="145">
        <v>1E-3</v>
      </c>
      <c r="AC5" s="145">
        <f>+(S5-T5)*V5-'data 1'!$F$4</f>
        <v>24.718500000000006</v>
      </c>
      <c r="AD5" s="145">
        <f t="shared" ref="AD5:AD46" si="5">+(Q5-P5)*(R5-U5)*L5*V5/100</f>
        <v>33.341543504143495</v>
      </c>
      <c r="AE5" s="145">
        <f t="shared" ref="AE5:AE46" si="6">+(Y5*V5-70)+V5*(Z5-IF(D5="UNTUCA",IF(+((W5-3)*2.5+(X5-3)*3.1)&gt;0,+((W5-3)*1.5+(X5-3)*3.1),0),IF(+((W5-3)*1.5+(X5-3)*3.1)&gt;0,+((W5-3)*1.5+(X5-3)*3.1),0)))</f>
        <v>-31.419499999999999</v>
      </c>
      <c r="AF5" s="145">
        <f t="shared" ref="AF5:AF46" si="7">(L5-O5)*(R5-U5)*Q5*V5/100</f>
        <v>88.444464004708536</v>
      </c>
      <c r="AG5" s="772">
        <f>AC5+AD5+AE5+AF5+70+248.12</f>
        <v>433.20500750885208</v>
      </c>
      <c r="AH5" s="1253">
        <f t="shared" ref="AH5:AH46" si="8">ROUND((31.1035*L5*Q5*1.1023*K5/100),3)</f>
        <v>3.7549999999999999</v>
      </c>
      <c r="AI5" s="1253">
        <f t="shared" ref="AI5:AI46" si="9">ROUND((31.1035*L5*1.1023*K5),3)</f>
        <v>3.8980000000000001</v>
      </c>
      <c r="AJ5" s="156">
        <f t="shared" ref="AJ5:AJ46" si="10">+((+$AJ$2-R5+U5)*L5*Q5*V5)/100</f>
        <v>59.739804539356463</v>
      </c>
      <c r="AK5" s="156">
        <f t="shared" ref="AK5:AK46" si="11">31.1035*1.1023*K5*P5*O5/100</f>
        <v>2.8965324386281499</v>
      </c>
      <c r="AM5" s="716">
        <f t="shared" ref="AM5:AM46" si="12">+IF(AB5*K5&gt;0,AB5*K5,0)</f>
        <v>1.0429999999999999E-3</v>
      </c>
      <c r="AN5" s="716" t="str">
        <f>_xlfn.XLOOKUP(D5,RUC!$B$3:$B$578,RUC!$M$3:$M$578)</f>
        <v>Robinson Tuya</v>
      </c>
      <c r="AO5" s="1167" t="s">
        <v>2279</v>
      </c>
      <c r="AP5" t="s">
        <v>4327</v>
      </c>
      <c r="AQ5" t="s">
        <v>4328</v>
      </c>
      <c r="AV5" s="1982" t="s">
        <v>4846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1491" t="s">
        <v>4309</v>
      </c>
      <c r="C6" s="1447">
        <v>46032</v>
      </c>
      <c r="D6" t="s">
        <v>4315</v>
      </c>
      <c r="E6" s="762">
        <f>_xlfn.XLOOKUP(D6,RUC!$B$3:$B$123,RUC!$D$3:$D$123)</f>
        <v>20614031698</v>
      </c>
      <c r="G6" s="1082">
        <v>22</v>
      </c>
      <c r="H6" s="762" t="s">
        <v>69</v>
      </c>
      <c r="I6" s="703">
        <v>2.36</v>
      </c>
      <c r="J6" s="596">
        <v>2.5</v>
      </c>
      <c r="K6" s="703">
        <f t="shared" si="0"/>
        <v>2.3010000000000002</v>
      </c>
      <c r="L6" s="1192">
        <v>0.109</v>
      </c>
      <c r="M6" s="994">
        <f t="shared" si="1"/>
        <v>0.09</v>
      </c>
      <c r="N6" s="1196">
        <f t="shared" si="2"/>
        <v>0.09</v>
      </c>
      <c r="O6" s="645">
        <f t="shared" si="3"/>
        <v>0.09</v>
      </c>
      <c r="P6" s="727">
        <v>90</v>
      </c>
      <c r="Q6" s="1476">
        <v>93.58</v>
      </c>
      <c r="R6" s="706">
        <v>4493.8500000000004</v>
      </c>
      <c r="S6" s="765">
        <f>IF((_xlfn.XLOOKUP(D6,RUC!$B$3:$B$119,RUC!$E$3:$E$119)+ROUNDDOWN(O6,1)*100)&lt;95,95,((_xlfn.XLOOKUP(D6,RUC!$B$3:$B$119,RUC!$E$3:$E$119)+ROUNDDOWN(O6,1)*100)))</f>
        <v>95</v>
      </c>
      <c r="U6" s="1146">
        <f>_xlfn.XLOOKUP(D6,RUC!$B$3:$B$123,RUC!$F$3:$F$123)</f>
        <v>110</v>
      </c>
      <c r="V6" s="715">
        <v>1.1023000000000001</v>
      </c>
      <c r="Y6">
        <f>_xlfn.XLOOKUP(D6,RUC!$B$3:$B$123,RUC!$G$3:$G$123)</f>
        <v>0</v>
      </c>
      <c r="Z6" s="143">
        <f>_xlfn.XLOOKUP(D6,RUC!$B$3:$B$123,RUC!$H$3:$H$123)</f>
        <v>35</v>
      </c>
      <c r="AA6" s="144">
        <f t="shared" si="4"/>
        <v>35</v>
      </c>
      <c r="AB6" s="145">
        <v>1E-3</v>
      </c>
      <c r="AC6" s="145">
        <f>+(S6-T6)*V6-'data 1'!$F$4</f>
        <v>24.718500000000006</v>
      </c>
      <c r="AD6" s="145">
        <f t="shared" si="5"/>
        <v>18.856670733780994</v>
      </c>
      <c r="AE6" s="145">
        <f t="shared" si="6"/>
        <v>-31.419499999999999</v>
      </c>
      <c r="AF6" s="145">
        <f t="shared" si="7"/>
        <v>85.919577925471046</v>
      </c>
      <c r="AG6" s="772">
        <f>AC6+AD6+AE6+AF6+70+248.12</f>
        <v>416.19524865925206</v>
      </c>
      <c r="AH6" s="1253">
        <f t="shared" si="8"/>
        <v>8.0470000000000006</v>
      </c>
      <c r="AI6" s="1253">
        <f t="shared" si="9"/>
        <v>8.5990000000000002</v>
      </c>
      <c r="AJ6" s="156">
        <f t="shared" si="10"/>
        <v>58.034370484718956</v>
      </c>
      <c r="AK6" s="156">
        <f t="shared" si="11"/>
        <v>6.3901449101470496</v>
      </c>
      <c r="AM6" s="716">
        <f t="shared" si="12"/>
        <v>2.3010000000000001E-3</v>
      </c>
      <c r="AN6" s="716" t="str">
        <f>_xlfn.XLOOKUP(D6,RUC!$B$3:$B$578,RUC!$M$3:$M$578)</f>
        <v>Robinson Tuya</v>
      </c>
      <c r="AO6" s="1167" t="s">
        <v>2279</v>
      </c>
      <c r="AP6" t="s">
        <v>4327</v>
      </c>
      <c r="AQ6" t="s">
        <v>4328</v>
      </c>
      <c r="AV6" s="1636"/>
      <c r="AW6" s="1636"/>
      <c r="AX6" s="1636"/>
      <c r="AY6" s="1636"/>
      <c r="AZ6" s="1636"/>
      <c r="BA6" s="1636"/>
      <c r="BB6" s="1636"/>
      <c r="BC6" s="1636"/>
      <c r="BD6" s="1636"/>
    </row>
    <row r="7" spans="1:56" ht="15" customHeight="1">
      <c r="A7" s="747" t="s">
        <v>4470</v>
      </c>
      <c r="B7" s="1447">
        <v>46049</v>
      </c>
      <c r="C7" s="1447">
        <v>46043</v>
      </c>
      <c r="D7" t="s">
        <v>4171</v>
      </c>
      <c r="E7" s="762">
        <f>_xlfn.XLOOKUP(D7,RUC!$B$3:$B$123,RUC!$D$3:$D$123)</f>
        <v>20614284740</v>
      </c>
      <c r="G7" s="762">
        <v>22</v>
      </c>
      <c r="H7" s="762" t="s">
        <v>69</v>
      </c>
      <c r="I7" s="703">
        <v>1.84</v>
      </c>
      <c r="J7" s="596">
        <v>3.45</v>
      </c>
      <c r="K7" s="703">
        <f t="shared" si="0"/>
        <v>1.7769999999999999</v>
      </c>
      <c r="L7" s="1192">
        <v>0.224</v>
      </c>
      <c r="M7" s="994">
        <f t="shared" si="1"/>
        <v>0.20499999999999999</v>
      </c>
      <c r="N7" s="1196">
        <f t="shared" si="2"/>
        <v>0.20499999999999999</v>
      </c>
      <c r="O7" s="645">
        <f t="shared" si="3"/>
        <v>0.20499999999999999</v>
      </c>
      <c r="P7" s="727">
        <v>90</v>
      </c>
      <c r="Q7" s="1476">
        <v>95.98</v>
      </c>
      <c r="R7" s="706">
        <v>4866.5</v>
      </c>
      <c r="S7" s="765">
        <f>IF((_xlfn.XLOOKUP(D7,RUC!$B$3:$B$119,RUC!$E$3:$E$119)+ROUNDDOWN(O7,1)*100)&lt;95,95,((_xlfn.XLOOKUP(D7,RUC!$B$3:$B$119,RUC!$E$3:$E$119)+ROUNDDOWN(O7,1)*100)))</f>
        <v>110</v>
      </c>
      <c r="U7" s="1146">
        <f>_xlfn.XLOOKUP(D7,RUC!$B$3:$B$123,RUC!$F$3:$F$123)</f>
        <v>120</v>
      </c>
      <c r="V7" s="715">
        <v>1.1023000000000001</v>
      </c>
      <c r="Y7">
        <f>_xlfn.XLOOKUP(D7,RUC!$B$3:$B$123,RUC!$G$3:$G$123)</f>
        <v>20</v>
      </c>
      <c r="Z7" s="143">
        <f>_xlfn.XLOOKUP(D7,RUC!$B$3:$B$123,RUC!$H$3:$H$123)</f>
        <v>30</v>
      </c>
      <c r="AA7" s="144">
        <f t="shared" si="4"/>
        <v>50</v>
      </c>
      <c r="AB7" s="145">
        <f t="shared" ref="AB7" si="13">+((O7*P7*(R7-U7)/100)-S7-AA7+T7)*V7</f>
        <v>788.94835227500005</v>
      </c>
      <c r="AC7" s="145">
        <f>+(S7-T7)*V7-'data 1'!$F$4</f>
        <v>41.253</v>
      </c>
      <c r="AD7" s="145">
        <f t="shared" si="5"/>
        <v>70.084583208640041</v>
      </c>
      <c r="AE7" s="145">
        <f t="shared" si="6"/>
        <v>-14.884999999999998</v>
      </c>
      <c r="AF7" s="145">
        <f t="shared" si="7"/>
        <v>95.413019313590084</v>
      </c>
      <c r="AG7" s="772">
        <f t="shared" ref="AG7" si="14">AC7+AD7+AE7+AF7+70-53</f>
        <v>208.86560252223012</v>
      </c>
      <c r="AH7" s="1253">
        <f t="shared" si="8"/>
        <v>13.099</v>
      </c>
      <c r="AI7" s="1253">
        <f t="shared" si="9"/>
        <v>13.647</v>
      </c>
      <c r="AJ7" s="156">
        <f t="shared" si="10"/>
        <v>36.377843575360004</v>
      </c>
      <c r="AK7" s="156">
        <f t="shared" si="11"/>
        <v>11.240687327214825</v>
      </c>
      <c r="AM7" s="716">
        <f t="shared" si="12"/>
        <v>1401.9612219926751</v>
      </c>
      <c r="AN7" s="716" t="str">
        <f>_xlfn.XLOOKUP(D7,RUC!$B$3:$B$578,RUC!$M$3:$M$578)</f>
        <v xml:space="preserve">Dante </v>
      </c>
      <c r="AO7" s="1167" t="s">
        <v>2277</v>
      </c>
      <c r="AP7" t="s">
        <v>4508</v>
      </c>
      <c r="AQ7" t="s">
        <v>4509</v>
      </c>
      <c r="AW7" s="1469">
        <f>SUM(AW9:AW18)</f>
        <v>493.09399999999994</v>
      </c>
      <c r="AX7" s="1470">
        <f>SUMPRODUCT(AW9:AW18,AX9:AX18)/SUM(AW9:AW18)</f>
        <v>0.30664433150677156</v>
      </c>
      <c r="AY7" s="704"/>
      <c r="AZ7" s="1471">
        <f ca="1">SUMPRODUCT(AZ9:AZ18,$BB9:$BB18)/SUM($BB9:$BB18)/100</f>
        <v>0.91756915349360724</v>
      </c>
      <c r="BA7" s="707">
        <f>SUM(BA9:BA18)</f>
        <v>5184.1042716984639</v>
      </c>
      <c r="BB7" s="707">
        <f ca="1">SUM(BB9:BB18)</f>
        <v>4740.6729999999998</v>
      </c>
    </row>
    <row r="8" spans="1:56" ht="15" customHeight="1" thickBot="1">
      <c r="A8" s="747" t="s">
        <v>4472</v>
      </c>
      <c r="B8" s="1447">
        <v>46049</v>
      </c>
      <c r="C8" s="1447">
        <v>46043</v>
      </c>
      <c r="D8" t="s">
        <v>4171</v>
      </c>
      <c r="E8" s="762">
        <f>_xlfn.XLOOKUP(D8,RUC!$B$3:$B$123,RUC!$D$3:$D$123)</f>
        <v>20614284740</v>
      </c>
      <c r="G8" s="762">
        <v>32</v>
      </c>
      <c r="H8" s="762" t="s">
        <v>69</v>
      </c>
      <c r="I8" s="703">
        <v>2.94</v>
      </c>
      <c r="J8" s="596">
        <v>3.35</v>
      </c>
      <c r="K8" s="703">
        <f t="shared" si="0"/>
        <v>2.8420000000000001</v>
      </c>
      <c r="L8" s="1192">
        <v>0.5</v>
      </c>
      <c r="M8" s="994">
        <f t="shared" si="1"/>
        <v>0.47</v>
      </c>
      <c r="N8" s="1196">
        <f t="shared" si="2"/>
        <v>0.47</v>
      </c>
      <c r="O8" s="645">
        <f t="shared" si="3"/>
        <v>0.47</v>
      </c>
      <c r="P8" s="727">
        <v>90</v>
      </c>
      <c r="Q8" s="1476">
        <v>96.4</v>
      </c>
      <c r="R8" s="706">
        <v>4866.5</v>
      </c>
      <c r="S8" s="765">
        <f>IF((_xlfn.XLOOKUP(D8,RUC!$B$3:$B$119,RUC!$E$3:$E$119)+ROUNDDOWN(O8,1)*100)&lt;95,95,((_xlfn.XLOOKUP(D8,RUC!$B$3:$B$119,RUC!$E$3:$E$119)+ROUNDDOWN(O8,1)*100)))</f>
        <v>130</v>
      </c>
      <c r="U8" s="1146">
        <f>_xlfn.XLOOKUP(D8,RUC!$B$3:$B$123,RUC!$F$3:$F$123)</f>
        <v>120</v>
      </c>
      <c r="V8" s="715">
        <v>1.1023000000000001</v>
      </c>
      <c r="Y8">
        <f>_xlfn.XLOOKUP(D8,RUC!$B$3:$B$123,RUC!$G$3:$G$123)</f>
        <v>20</v>
      </c>
      <c r="Z8" s="143">
        <f>_xlfn.XLOOKUP(D8,RUC!$B$3:$B$123,RUC!$H$3:$H$123)</f>
        <v>30</v>
      </c>
      <c r="AA8" s="144">
        <f t="shared" si="4"/>
        <v>50</v>
      </c>
      <c r="AB8" s="145">
        <f t="shared" ref="AB8" si="15">+((O8*P8*(R8-U8)/100)-S8-AA8+T8)*V8</f>
        <v>2014.7503198499999</v>
      </c>
      <c r="AC8" s="145">
        <f>+(S8-T8)*V8-'data 1'!$F$4</f>
        <v>63.299000000000007</v>
      </c>
      <c r="AD8" s="145">
        <f t="shared" si="5"/>
        <v>167.42614240000017</v>
      </c>
      <c r="AE8" s="145">
        <f t="shared" si="6"/>
        <v>-14.884999999999998</v>
      </c>
      <c r="AF8" s="145">
        <f t="shared" si="7"/>
        <v>151.31137619400016</v>
      </c>
      <c r="AG8" s="772">
        <f t="shared" ref="AG8" si="16">AC8+AD8+AE8+AF8+70-53</f>
        <v>384.15151859400032</v>
      </c>
      <c r="AH8" s="1253">
        <f t="shared" si="8"/>
        <v>46.966000000000001</v>
      </c>
      <c r="AI8" s="1253">
        <f t="shared" si="9"/>
        <v>48.72</v>
      </c>
      <c r="AJ8" s="156">
        <f t="shared" si="10"/>
        <v>81.555870100000007</v>
      </c>
      <c r="AK8" s="156">
        <f t="shared" si="11"/>
        <v>41.216727810516296</v>
      </c>
      <c r="AM8" s="716">
        <f t="shared" si="12"/>
        <v>5725.9204090137</v>
      </c>
      <c r="AN8" s="716" t="str">
        <f>_xlfn.XLOOKUP(D8,RUC!$B$3:$B$578,RUC!$M$3:$M$578)</f>
        <v xml:space="preserve">Dante </v>
      </c>
      <c r="AO8" s="1167" t="s">
        <v>2277</v>
      </c>
      <c r="AP8" t="s">
        <v>4508</v>
      </c>
      <c r="AQ8" t="s">
        <v>4509</v>
      </c>
      <c r="AV8" s="762"/>
      <c r="AW8" s="762" t="s">
        <v>15</v>
      </c>
      <c r="AX8" s="762" t="s">
        <v>2522</v>
      </c>
      <c r="AY8" s="1214" t="s">
        <v>2522</v>
      </c>
      <c r="AZ8" s="762" t="s">
        <v>2523</v>
      </c>
      <c r="BA8" s="762" t="s">
        <v>2558</v>
      </c>
      <c r="BB8" s="762" t="s">
        <v>2559</v>
      </c>
      <c r="BC8" s="1555" t="s">
        <v>2565</v>
      </c>
      <c r="BD8" s="729" t="s">
        <v>2579</v>
      </c>
    </row>
    <row r="9" spans="1:56" ht="15" customHeight="1">
      <c r="A9" s="1491" t="s">
        <v>4474</v>
      </c>
      <c r="B9" s="1542">
        <v>46050</v>
      </c>
      <c r="C9" s="1447">
        <v>46043</v>
      </c>
      <c r="D9" t="s">
        <v>3642</v>
      </c>
      <c r="E9" s="762" t="str">
        <f>_xlfn.XLOOKUP(D9,RUC!$B$3:$B$123,RUC!$D$3:$D$123)</f>
        <v>20601769396*</v>
      </c>
      <c r="G9" s="762">
        <v>189</v>
      </c>
      <c r="H9" s="762" t="s">
        <v>108</v>
      </c>
      <c r="I9" s="703">
        <v>5.99</v>
      </c>
      <c r="J9" s="596">
        <v>16.95</v>
      </c>
      <c r="K9" s="703">
        <f t="shared" si="0"/>
        <v>4.9749999999999996</v>
      </c>
      <c r="L9" s="1192">
        <v>0.109</v>
      </c>
      <c r="M9" s="994">
        <f t="shared" si="1"/>
        <v>0.09</v>
      </c>
      <c r="N9" s="1196">
        <f t="shared" si="2"/>
        <v>0.09</v>
      </c>
      <c r="O9" s="645">
        <f t="shared" si="3"/>
        <v>0.09</v>
      </c>
      <c r="P9" s="727">
        <v>80</v>
      </c>
      <c r="Q9" s="1476">
        <v>93.58</v>
      </c>
      <c r="R9" s="706">
        <v>4866.5</v>
      </c>
      <c r="S9" s="765">
        <f>IF((_xlfn.XLOOKUP(D9,RUC!$B$3:$B$119,RUC!$E$3:$E$119)+ROUNDDOWN(O9,1)*100)&lt;95,95,((_xlfn.XLOOKUP(D9,RUC!$B$3:$B$119,RUC!$E$3:$E$119)+ROUNDDOWN(O9,1)*100)))</f>
        <v>95</v>
      </c>
      <c r="U9" s="1146">
        <f>_xlfn.XLOOKUP(D9,RUC!$B$3:$B$123,RUC!$F$3:$F$123)</f>
        <v>120</v>
      </c>
      <c r="V9" s="715">
        <v>1.1023000000000001</v>
      </c>
      <c r="Y9" s="1445">
        <v>30</v>
      </c>
      <c r="Z9" s="1454">
        <v>40</v>
      </c>
      <c r="AA9" s="144">
        <f t="shared" si="4"/>
        <v>70</v>
      </c>
      <c r="AB9" s="145">
        <v>1E-3</v>
      </c>
      <c r="AC9" s="145">
        <f>+(S9-T9)*V9-'data 1'!$F$4</f>
        <v>24.718500000000006</v>
      </c>
      <c r="AD9" s="145">
        <f t="shared" si="5"/>
        <v>77.446101407290001</v>
      </c>
      <c r="AE9" s="145">
        <f t="shared" si="6"/>
        <v>7.1610000000000014</v>
      </c>
      <c r="AF9" s="145">
        <f t="shared" si="7"/>
        <v>93.027196784390014</v>
      </c>
      <c r="AG9" s="772">
        <f>AC9+AD9+AE9+AF9+70-53+194.83</f>
        <v>414.18279819168004</v>
      </c>
      <c r="AH9" s="1253">
        <f t="shared" si="8"/>
        <v>17.398</v>
      </c>
      <c r="AI9" s="1253">
        <f t="shared" si="9"/>
        <v>18.591999999999999</v>
      </c>
      <c r="AJ9" s="156">
        <f t="shared" si="10"/>
        <v>17.25908334671</v>
      </c>
      <c r="AK9" s="156">
        <f t="shared" si="11"/>
        <v>12.28102599951</v>
      </c>
      <c r="AM9" s="716">
        <f t="shared" si="12"/>
        <v>4.9749999999999994E-3</v>
      </c>
      <c r="AN9" s="716" t="str">
        <f>_xlfn.XLOOKUP(D9,RUC!$B$3:$B$578,RUC!$M$3:$M$578)</f>
        <v>Zudaire</v>
      </c>
      <c r="AO9" s="1167" t="s">
        <v>2279</v>
      </c>
      <c r="AP9" t="s">
        <v>3672</v>
      </c>
      <c r="AQ9" t="s">
        <v>3521</v>
      </c>
      <c r="AV9" s="1556" t="s">
        <v>2277</v>
      </c>
      <c r="AW9" s="1227">
        <f t="shared" ref="AW9:AW18" si="17">SUMIF($AO$4:$AO$747,AV9,$K$4:$K$747)</f>
        <v>105.83699999999999</v>
      </c>
      <c r="AX9" s="1227" cm="1">
        <f t="array" ref="AX9">+SUMPRODUCT(IF($AO$4:$AO$747=AV9,$L$4:$L$747*$K$4:$K$747/AW9))</f>
        <v>0.32344701758364275</v>
      </c>
      <c r="AY9" s="1228">
        <f t="shared" ref="AY9:AY18" si="18">31.1035*1.1023*AX9*(100-AZ9)/100</f>
        <v>0.73184524884477131</v>
      </c>
      <c r="AZ9" s="1229" cm="1">
        <f t="array" ref="AZ9">+SUMPRODUCT(IF($AO$4:$AO$747=AV9,($Q$4:$Q$747*$AH$4:$AH$747)/SUMIF($AO$4:$AO$747,$AV9,$AH$4:$AH$747)))</f>
        <v>93.400560718479298</v>
      </c>
      <c r="BA9" s="1441">
        <f t="shared" ref="BA9:BA18" si="19">+AX9*31.1035*1.1023*AW9</f>
        <v>1173.680100654489</v>
      </c>
      <c r="BB9" s="1230">
        <f t="shared" ref="BB9:BB17" ca="1" si="20">SUMIF($AO$4:$AO$737,$AV9,$AH$4:$AH$6)</f>
        <v>1095.2020000000002</v>
      </c>
      <c r="BC9" s="1229">
        <f ca="1">+BA9-BB9</f>
        <v>78.478100654488799</v>
      </c>
      <c r="BD9" s="1231">
        <f>+AW9</f>
        <v>105.83699999999999</v>
      </c>
    </row>
    <row r="10" spans="1:56" ht="15" customHeight="1">
      <c r="A10" s="747" t="s">
        <v>4484</v>
      </c>
      <c r="B10" s="1447">
        <v>46050</v>
      </c>
      <c r="C10" s="1447">
        <v>46044</v>
      </c>
      <c r="D10" t="s">
        <v>1484</v>
      </c>
      <c r="E10" s="762">
        <f>_xlfn.XLOOKUP(D10,RUC!$B$3:$B$123,RUC!$D$3:$D$123)</f>
        <v>10761932735</v>
      </c>
      <c r="G10" s="762">
        <v>46</v>
      </c>
      <c r="H10" s="762" t="s">
        <v>69</v>
      </c>
      <c r="I10" s="703">
        <v>4</v>
      </c>
      <c r="J10" s="596">
        <v>7.4</v>
      </c>
      <c r="K10" s="703">
        <f t="shared" si="0"/>
        <v>3.7040000000000002</v>
      </c>
      <c r="L10" s="1192">
        <v>0.255</v>
      </c>
      <c r="M10" s="994">
        <f t="shared" si="1"/>
        <v>0.23599999999999999</v>
      </c>
      <c r="N10" s="1444">
        <v>0.28399999999999997</v>
      </c>
      <c r="O10" s="645">
        <f t="shared" si="3"/>
        <v>0.26</v>
      </c>
      <c r="P10" s="727">
        <v>90</v>
      </c>
      <c r="Q10" s="1476">
        <v>98.43</v>
      </c>
      <c r="R10" s="706">
        <v>4832.05</v>
      </c>
      <c r="S10" s="765">
        <f>IF((_xlfn.XLOOKUP(D10,RUC!$B$3:$B$119,RUC!$E$3:$E$119)+ROUNDDOWN(O10,1)*100)&lt;95,95,((_xlfn.XLOOKUP(D10,RUC!$B$3:$B$119,RUC!$E$3:$E$119)+ROUNDDOWN(O10,1)*100)))</f>
        <v>110</v>
      </c>
      <c r="U10" s="1146">
        <f>_xlfn.XLOOKUP(D10,RUC!$B$3:$B$123,RUC!$F$3:$F$123)</f>
        <v>120</v>
      </c>
      <c r="V10" s="715">
        <v>1.1023000000000001</v>
      </c>
      <c r="Y10">
        <f>_xlfn.XLOOKUP(D10,RUC!$B$3:$B$123,RUC!$G$3:$G$123)</f>
        <v>20</v>
      </c>
      <c r="Z10" s="143">
        <f>_xlfn.XLOOKUP(D10,RUC!$B$3:$B$123,RUC!$H$3:$H$123)</f>
        <v>30</v>
      </c>
      <c r="AA10" s="144">
        <f t="shared" si="4"/>
        <v>50</v>
      </c>
      <c r="AB10" s="145">
        <f t="shared" ref="AB10:AB57" si="21">+((O10*P10*(R10-U10)/100)-S10-AA10+T10)*V10</f>
        <v>1039.0496953100003</v>
      </c>
      <c r="AC10" s="145">
        <f>+(S10-T10)*V10-'data 1'!$F$4</f>
        <v>41.253</v>
      </c>
      <c r="AD10" s="145">
        <f t="shared" si="5"/>
        <v>111.65481404799762</v>
      </c>
      <c r="AE10" s="145">
        <f t="shared" si="6"/>
        <v>-14.884999999999998</v>
      </c>
      <c r="AF10" s="145">
        <f t="shared" si="7"/>
        <v>-25.562727296872527</v>
      </c>
      <c r="AG10" s="772">
        <f t="shared" ref="AG10:AG15" si="22">AC10+AD10+AE10+AF10+70-53</f>
        <v>129.46008675112512</v>
      </c>
      <c r="AH10" s="1253">
        <f t="shared" si="8"/>
        <v>31.875</v>
      </c>
      <c r="AI10" s="1253">
        <f t="shared" si="9"/>
        <v>32.383000000000003</v>
      </c>
      <c r="AJ10" s="156">
        <f t="shared" si="10"/>
        <v>52.000773414502454</v>
      </c>
      <c r="AK10" s="156">
        <f t="shared" si="11"/>
        <v>29.716380096904803</v>
      </c>
      <c r="AM10" s="716">
        <f t="shared" si="12"/>
        <v>3848.6400714282413</v>
      </c>
      <c r="AN10" s="716" t="str">
        <f>_xlfn.XLOOKUP(D10,RUC!$B$3:$B$578,RUC!$M$3:$M$578)</f>
        <v>Richard Sapacayo</v>
      </c>
      <c r="AO10" s="1167" t="s">
        <v>2277</v>
      </c>
      <c r="AP10" t="s">
        <v>4512</v>
      </c>
      <c r="AQ10" t="s">
        <v>2450</v>
      </c>
      <c r="AV10" s="1557" t="s">
        <v>2278</v>
      </c>
      <c r="AW10" s="703">
        <f t="shared" si="17"/>
        <v>142.24499999999998</v>
      </c>
      <c r="AX10" s="703" cm="1">
        <f t="array" ref="AX10">+SUMPRODUCT(IF($AO$4:$AO$747=AV10,$L$4:$L$747*$K$4:$K$747/AW10))</f>
        <v>0.30170617596400584</v>
      </c>
      <c r="AY10" s="1215">
        <f t="shared" si="18"/>
        <v>0.88912348573641364</v>
      </c>
      <c r="AZ10" s="596" cm="1">
        <f t="array" ref="AZ10">+SUMPRODUCT(IF($AO$4:$AO$747=AV10,($Q$4:$Q$747*$AH$4:$AH$747)/SUMIF($AO$4:$AO$747,$AV10,$AH$4:$AH$747)))</f>
        <v>91.404546158473764</v>
      </c>
      <c r="BA10" s="1481">
        <f t="shared" si="19"/>
        <v>1471.3983992044698</v>
      </c>
      <c r="BB10" s="1237">
        <f t="shared" ca="1" si="20"/>
        <v>1343.1119999999999</v>
      </c>
      <c r="BC10" s="596">
        <f t="shared" ref="BC10:BC18" ca="1" si="23">+BC9+BA10-BB10</f>
        <v>206.76449985895874</v>
      </c>
      <c r="BD10" s="1238">
        <f t="shared" ref="BD10:BD18" si="24">+BD9+AW10</f>
        <v>248.08199999999997</v>
      </c>
    </row>
    <row r="11" spans="1:56" ht="15" customHeight="1">
      <c r="A11" s="747" t="s">
        <v>4485</v>
      </c>
      <c r="B11" s="1447">
        <v>46050</v>
      </c>
      <c r="C11" s="1447">
        <v>46044</v>
      </c>
      <c r="D11" t="s">
        <v>1484</v>
      </c>
      <c r="E11" s="762">
        <f>_xlfn.XLOOKUP(D11,RUC!$B$3:$B$123,RUC!$D$3:$D$123)</f>
        <v>10761932735</v>
      </c>
      <c r="G11" s="762">
        <v>106</v>
      </c>
      <c r="H11" s="762" t="s">
        <v>69</v>
      </c>
      <c r="I11" s="703">
        <v>8.59</v>
      </c>
      <c r="J11" s="596">
        <v>14.83</v>
      </c>
      <c r="K11" s="703">
        <f t="shared" si="0"/>
        <v>7.3159999999999998</v>
      </c>
      <c r="L11" s="1192">
        <v>0.18099999999999999</v>
      </c>
      <c r="M11" s="994">
        <f t="shared" si="1"/>
        <v>0.16200000000000001</v>
      </c>
      <c r="N11" s="1196">
        <f t="shared" ref="N11:N57" si="25">+M11</f>
        <v>0.16200000000000001</v>
      </c>
      <c r="O11" s="645">
        <f t="shared" si="3"/>
        <v>0.16200000000000001</v>
      </c>
      <c r="P11" s="727">
        <v>90</v>
      </c>
      <c r="Q11" s="1476">
        <v>96.69</v>
      </c>
      <c r="R11" s="706">
        <v>4832.05</v>
      </c>
      <c r="S11" s="765">
        <f>IF((_xlfn.XLOOKUP(D11,RUC!$B$3:$B$119,RUC!$E$3:$E$119)+ROUNDDOWN(O11,1)*100)&lt;95,95,((_xlfn.XLOOKUP(D11,RUC!$B$3:$B$119,RUC!$E$3:$E$119)+ROUNDDOWN(O11,1)*100)))</f>
        <v>100</v>
      </c>
      <c r="U11" s="1146">
        <f>_xlfn.XLOOKUP(D11,RUC!$B$3:$B$123,RUC!$F$3:$F$123)</f>
        <v>120</v>
      </c>
      <c r="V11" s="715">
        <v>1.1023000000000001</v>
      </c>
      <c r="Y11">
        <f>_xlfn.XLOOKUP(D11,RUC!$B$3:$B$123,RUC!$G$3:$G$123)</f>
        <v>20</v>
      </c>
      <c r="Z11" s="143">
        <f>_xlfn.XLOOKUP(D11,RUC!$B$3:$B$123,RUC!$H$3:$H$123)</f>
        <v>30</v>
      </c>
      <c r="AA11" s="144">
        <f t="shared" si="4"/>
        <v>50</v>
      </c>
      <c r="AB11" s="145">
        <f t="shared" si="21"/>
        <v>591.95371784700001</v>
      </c>
      <c r="AC11" s="145">
        <f>+(S11-T11)*V11-'data 1'!$F$4</f>
        <v>30.230000000000004</v>
      </c>
      <c r="AD11" s="145">
        <f t="shared" si="5"/>
        <v>62.894749276663475</v>
      </c>
      <c r="AE11" s="145">
        <f t="shared" si="6"/>
        <v>-14.884999999999998</v>
      </c>
      <c r="AF11" s="145">
        <f t="shared" si="7"/>
        <v>95.421196676536454</v>
      </c>
      <c r="AG11" s="772">
        <f t="shared" si="22"/>
        <v>190.66094595319993</v>
      </c>
      <c r="AH11" s="1253">
        <f t="shared" si="8"/>
        <v>43.898000000000003</v>
      </c>
      <c r="AI11" s="1253">
        <f t="shared" si="9"/>
        <v>45.401000000000003</v>
      </c>
      <c r="AJ11" s="156">
        <f t="shared" si="10"/>
        <v>36.257868752836465</v>
      </c>
      <c r="AK11" s="156">
        <f t="shared" si="11"/>
        <v>36.571290870380047</v>
      </c>
      <c r="AM11" s="716">
        <f t="shared" si="12"/>
        <v>4330.7333997686519</v>
      </c>
      <c r="AN11" s="716" t="str">
        <f>_xlfn.XLOOKUP(D11,RUC!$B$3:$B$578,RUC!$M$3:$M$578)</f>
        <v>Richard Sapacayo</v>
      </c>
      <c r="AO11" s="1167" t="s">
        <v>2277</v>
      </c>
      <c r="AP11" t="s">
        <v>4512</v>
      </c>
      <c r="AQ11" t="s">
        <v>2450</v>
      </c>
      <c r="AV11" s="1557" t="s">
        <v>2280</v>
      </c>
      <c r="AW11" s="703">
        <f t="shared" si="17"/>
        <v>143.89699999999996</v>
      </c>
      <c r="AX11" s="703" cm="1">
        <f t="array" ref="AX11">+SUMPRODUCT(IF($AO$4:$AO$747=AV11,$L$4:$L$747*$K$4:$K$747/AW11))</f>
        <v>0.30138976490128361</v>
      </c>
      <c r="AY11" s="1215">
        <f t="shared" si="18"/>
        <v>1.0642712065860749</v>
      </c>
      <c r="AZ11" s="596" cm="1">
        <f t="array" ref="AZ11">+SUMPRODUCT(IF($AO$4:$AO$747=AV11,($Q$4:$Q$747*$AH$4:$AH$747)/SUMIF($AO$4:$AO$747,$AV11,$AH$4:$AH$747)))</f>
        <v>89.700533161003662</v>
      </c>
      <c r="BA11" s="1237">
        <f t="shared" si="19"/>
        <v>1486.9258400276581</v>
      </c>
      <c r="BB11" s="1237">
        <f t="shared" ca="1" si="20"/>
        <v>1324.2059999999997</v>
      </c>
      <c r="BC11" s="596">
        <f t="shared" ca="1" si="23"/>
        <v>369.48433988661714</v>
      </c>
      <c r="BD11" s="1238">
        <f t="shared" si="24"/>
        <v>391.97899999999993</v>
      </c>
    </row>
    <row r="12" spans="1:56" ht="15" customHeight="1">
      <c r="A12" s="747" t="s">
        <v>4487</v>
      </c>
      <c r="B12" s="1447">
        <v>46050</v>
      </c>
      <c r="C12" s="1447">
        <v>46044</v>
      </c>
      <c r="D12" t="s">
        <v>1484</v>
      </c>
      <c r="E12" s="762">
        <f>_xlfn.XLOOKUP(D12,RUC!$B$3:$B$123,RUC!$D$3:$D$123)</f>
        <v>10761932735</v>
      </c>
      <c r="G12" s="762">
        <v>24</v>
      </c>
      <c r="H12" s="762" t="s">
        <v>69</v>
      </c>
      <c r="I12" s="703">
        <v>1.96</v>
      </c>
      <c r="J12" s="596">
        <v>12.2</v>
      </c>
      <c r="K12" s="703">
        <f t="shared" si="0"/>
        <v>1.7210000000000001</v>
      </c>
      <c r="L12" s="1192">
        <v>0.41</v>
      </c>
      <c r="M12" s="994">
        <f t="shared" si="1"/>
        <v>0.38500000000000001</v>
      </c>
      <c r="N12" s="1196">
        <f t="shared" si="25"/>
        <v>0.38500000000000001</v>
      </c>
      <c r="O12" s="645">
        <f t="shared" si="3"/>
        <v>0.38500000000000001</v>
      </c>
      <c r="P12" s="727">
        <v>90</v>
      </c>
      <c r="Q12" s="1476">
        <v>97.56</v>
      </c>
      <c r="R12" s="706">
        <v>4832.05</v>
      </c>
      <c r="S12" s="765">
        <f>IF((_xlfn.XLOOKUP(D12,RUC!$B$3:$B$119,RUC!$E$3:$E$119)+ROUNDDOWN(O12,1)*100)&lt;95,95,((_xlfn.XLOOKUP(D12,RUC!$B$3:$B$119,RUC!$E$3:$E$119)+ROUNDDOWN(O12,1)*100)))</f>
        <v>120</v>
      </c>
      <c r="U12" s="1146">
        <f>_xlfn.XLOOKUP(D12,RUC!$B$3:$B$123,RUC!$F$3:$F$123)</f>
        <v>120</v>
      </c>
      <c r="V12" s="715">
        <v>1.1023000000000001</v>
      </c>
      <c r="Y12">
        <f>_xlfn.XLOOKUP(D12,RUC!$B$3:$B$123,RUC!$G$3:$G$123)</f>
        <v>20</v>
      </c>
      <c r="Z12" s="143">
        <f>_xlfn.XLOOKUP(D12,RUC!$B$3:$B$123,RUC!$H$3:$H$123)</f>
        <v>30</v>
      </c>
      <c r="AA12" s="144">
        <f t="shared" si="4"/>
        <v>50</v>
      </c>
      <c r="AB12" s="145">
        <f t="shared" si="21"/>
        <v>1612.3621257475002</v>
      </c>
      <c r="AC12" s="145">
        <f>+(S12-T12)*V12-'data 1'!$F$4</f>
        <v>52.27600000000001</v>
      </c>
      <c r="AD12" s="145">
        <f t="shared" si="5"/>
        <v>160.99609779414007</v>
      </c>
      <c r="AE12" s="145">
        <f t="shared" si="6"/>
        <v>-14.884999999999998</v>
      </c>
      <c r="AF12" s="145">
        <f t="shared" si="7"/>
        <v>126.68392131884984</v>
      </c>
      <c r="AG12" s="772">
        <f t="shared" si="22"/>
        <v>342.07101911298992</v>
      </c>
      <c r="AH12" s="1253">
        <f t="shared" si="8"/>
        <v>23.602</v>
      </c>
      <c r="AI12" s="1253">
        <f t="shared" si="9"/>
        <v>24.192</v>
      </c>
      <c r="AJ12" s="156">
        <f t="shared" si="10"/>
        <v>82.870085290859919</v>
      </c>
      <c r="AK12" s="156">
        <f t="shared" si="11"/>
        <v>20.445285456998327</v>
      </c>
      <c r="AM12" s="716">
        <f t="shared" si="12"/>
        <v>2774.8752184114478</v>
      </c>
      <c r="AN12" s="716" t="str">
        <f>_xlfn.XLOOKUP(D12,RUC!$B$3:$B$578,RUC!$M$3:$M$578)</f>
        <v>Richard Sapacayo</v>
      </c>
      <c r="AO12" s="1167" t="s">
        <v>2277</v>
      </c>
      <c r="AP12" t="s">
        <v>4512</v>
      </c>
      <c r="AQ12" t="s">
        <v>2450</v>
      </c>
      <c r="AV12" s="1557" t="s">
        <v>2279</v>
      </c>
      <c r="AW12" s="703">
        <f t="shared" si="17"/>
        <v>101.11500000000001</v>
      </c>
      <c r="AX12" s="703" cm="1">
        <f t="array" ref="AX12">+SUMPRODUCT(IF($AO$4:$AO$747=AV12,$L$4:$L$747*$K$4:$K$747/AW12))</f>
        <v>0.30348158037877665</v>
      </c>
      <c r="AY12" s="1215">
        <f t="shared" si="18"/>
        <v>0.70917028109178204</v>
      </c>
      <c r="AZ12" s="596" cm="1">
        <f t="array" ref="AZ12">+SUMPRODUCT(IF($AO$4:$AO$747=AV12,($Q$4:$Q$747*$AH$4:$AH$747)/SUMIF($AO$4:$AO$747,$AV12,$AH$4:$AH$747)))</f>
        <v>93.184321108251964</v>
      </c>
      <c r="BA12" s="1237">
        <f t="shared" si="19"/>
        <v>1052.0999318118472</v>
      </c>
      <c r="BB12" s="1237">
        <f t="shared" ca="1" si="20"/>
        <v>978.15300000000002</v>
      </c>
      <c r="BC12" s="596">
        <f t="shared" ca="1" si="23"/>
        <v>443.43127169846434</v>
      </c>
      <c r="BD12" s="1238">
        <f t="shared" si="24"/>
        <v>493.09399999999994</v>
      </c>
    </row>
    <row r="13" spans="1:56" ht="15" customHeight="1">
      <c r="A13" s="747" t="s">
        <v>4488</v>
      </c>
      <c r="B13" s="1447">
        <v>46049</v>
      </c>
      <c r="C13" s="1447">
        <v>46044</v>
      </c>
      <c r="D13" t="s">
        <v>2004</v>
      </c>
      <c r="E13" s="762">
        <f>_xlfn.XLOOKUP(D13,RUC!$B$3:$B$123,RUC!$D$3:$D$123)</f>
        <v>20612921866</v>
      </c>
      <c r="G13" s="762" t="s">
        <v>2985</v>
      </c>
      <c r="H13" s="762" t="s">
        <v>69</v>
      </c>
      <c r="I13" s="703">
        <v>23.48</v>
      </c>
      <c r="J13" s="596">
        <v>3.5</v>
      </c>
      <c r="K13" s="703">
        <f t="shared" si="0"/>
        <v>22.658000000000001</v>
      </c>
      <c r="L13" s="1192">
        <v>0.217</v>
      </c>
      <c r="M13" s="994">
        <f t="shared" si="1"/>
        <v>0.19800000000000001</v>
      </c>
      <c r="N13" s="1196">
        <f t="shared" si="25"/>
        <v>0.19800000000000001</v>
      </c>
      <c r="O13" s="645">
        <f t="shared" si="3"/>
        <v>0.19800000000000001</v>
      </c>
      <c r="P13" s="727">
        <v>90</v>
      </c>
      <c r="Q13" s="1476">
        <v>91.71</v>
      </c>
      <c r="R13" s="706">
        <v>4832.05</v>
      </c>
      <c r="S13" s="765">
        <f>IF((_xlfn.XLOOKUP(D13,RUC!$B$3:$B$119,RUC!$E$3:$E$119)+ROUNDDOWN(O13,1)*100)&lt;95,95,((_xlfn.XLOOKUP(D13,RUC!$B$3:$B$119,RUC!$E$3:$E$119)+ROUNDDOWN(O13,1)*100)))</f>
        <v>95</v>
      </c>
      <c r="U13" s="1146">
        <f>_xlfn.XLOOKUP(D13,RUC!$B$3:$B$123,RUC!$F$3:$F$123)</f>
        <v>100</v>
      </c>
      <c r="V13" s="715">
        <v>1.1023000000000001</v>
      </c>
      <c r="Y13">
        <f>_xlfn.XLOOKUP(D13,RUC!$B$3:$B$123,RUC!$G$3:$G$123)</f>
        <v>0</v>
      </c>
      <c r="Z13" s="143">
        <f>_xlfn.XLOOKUP(D13,RUC!$B$3:$B$123,RUC!$H$3:$H$123)</f>
        <v>30</v>
      </c>
      <c r="AA13" s="144">
        <f t="shared" si="4"/>
        <v>30</v>
      </c>
      <c r="AB13" s="145">
        <f t="shared" si="21"/>
        <v>791.72841901300012</v>
      </c>
      <c r="AC13" s="145">
        <f>+(S13-T13)*V13-'data 1'!$F$4</f>
        <v>24.718500000000006</v>
      </c>
      <c r="AD13" s="145">
        <f t="shared" si="5"/>
        <v>19.355525929750428</v>
      </c>
      <c r="AE13" s="145">
        <f t="shared" si="6"/>
        <v>-36.930999999999997</v>
      </c>
      <c r="AF13" s="145">
        <f t="shared" si="7"/>
        <v>90.890695495003456</v>
      </c>
      <c r="AG13" s="772">
        <f t="shared" ref="AG13" si="26">AC13+AD13+AE13+AF13+70-10</f>
        <v>158.03372142475388</v>
      </c>
      <c r="AH13" s="1253">
        <f t="shared" si="8"/>
        <v>154.59899999999999</v>
      </c>
      <c r="AI13" s="1253">
        <f t="shared" si="9"/>
        <v>168.57400000000001</v>
      </c>
      <c r="AJ13" s="156">
        <f t="shared" si="10"/>
        <v>36.843106619749463</v>
      </c>
      <c r="AK13" s="156">
        <f t="shared" si="11"/>
        <v>138.43258905825559</v>
      </c>
      <c r="AM13" s="716">
        <f t="shared" si="12"/>
        <v>17938.982517996559</v>
      </c>
      <c r="AN13" s="716" t="str">
        <f>_xlfn.XLOOKUP(D13,RUC!$B$3:$B$578,RUC!$M$3:$M$578)</f>
        <v>Ronald Garibay</v>
      </c>
      <c r="AO13" s="1167" t="s">
        <v>2277</v>
      </c>
      <c r="AP13" t="s">
        <v>4513</v>
      </c>
      <c r="AQ13" t="s">
        <v>4514</v>
      </c>
      <c r="AV13" s="1557" t="s">
        <v>2281</v>
      </c>
      <c r="AW13" s="703">
        <f t="shared" si="17"/>
        <v>0</v>
      </c>
      <c r="AX13" s="703" cm="1">
        <f t="array" ref="AX13">+SUMPRODUCT(IF($AO$4:$AO$747=AV13,$L$4:$L$747*$K$4:$K$747/AW13))</f>
        <v>0</v>
      </c>
      <c r="AY13" s="1215">
        <f t="shared" si="18"/>
        <v>0</v>
      </c>
      <c r="AZ13" s="596" cm="1">
        <f t="array" ref="AZ13">+SUMPRODUCT(IF($AO$4:$AO$747=AV13,($Q$4:$Q$747*$AH$4:$AH$747)/SUMIF($AO$4:$AO$747,$AV13,$AH$4:$AH$747)))</f>
        <v>0</v>
      </c>
      <c r="BA13" s="1237">
        <f t="shared" si="19"/>
        <v>0</v>
      </c>
      <c r="BB13" s="1237">
        <f t="shared" ca="1" si="20"/>
        <v>0</v>
      </c>
      <c r="BC13" s="596">
        <f t="shared" ca="1" si="23"/>
        <v>443.43127169846434</v>
      </c>
      <c r="BD13" s="1238">
        <f t="shared" si="24"/>
        <v>493.09399999999994</v>
      </c>
    </row>
    <row r="14" spans="1:56" ht="15" customHeight="1">
      <c r="A14" s="747" t="s">
        <v>4489</v>
      </c>
      <c r="B14" s="1447">
        <v>46052</v>
      </c>
      <c r="C14" s="1447">
        <v>46044</v>
      </c>
      <c r="D14" t="s">
        <v>4315</v>
      </c>
      <c r="E14" s="762">
        <f>_xlfn.XLOOKUP(D14,RUC!$B$3:$B$123,RUC!$D$3:$D$123)</f>
        <v>20614031698</v>
      </c>
      <c r="G14" s="762">
        <v>73</v>
      </c>
      <c r="H14" s="762" t="s">
        <v>108</v>
      </c>
      <c r="I14" s="703">
        <v>6.38</v>
      </c>
      <c r="J14" s="596">
        <v>12.6</v>
      </c>
      <c r="K14" s="703">
        <f t="shared" si="0"/>
        <v>5.5759999999999996</v>
      </c>
      <c r="L14" s="1192">
        <v>0.18</v>
      </c>
      <c r="M14" s="994">
        <f t="shared" si="1"/>
        <v>0.161</v>
      </c>
      <c r="N14" s="1196">
        <f t="shared" si="25"/>
        <v>0.161</v>
      </c>
      <c r="O14" s="645">
        <f t="shared" si="3"/>
        <v>0.161</v>
      </c>
      <c r="P14" s="727">
        <v>85</v>
      </c>
      <c r="Q14" s="1476">
        <v>98.33</v>
      </c>
      <c r="R14" s="706">
        <v>4832.05</v>
      </c>
      <c r="S14" s="765">
        <f>IF((_xlfn.XLOOKUP(D14,RUC!$B$3:$B$119,RUC!$E$3:$E$119)+ROUNDDOWN(O14,1)*100)&lt;95,95,((_xlfn.XLOOKUP(D14,RUC!$B$3:$B$119,RUC!$E$3:$E$119)+ROUNDDOWN(O14,1)*100)))</f>
        <v>95</v>
      </c>
      <c r="U14" s="1146">
        <f>_xlfn.XLOOKUP(D14,RUC!$B$3:$B$123,RUC!$F$3:$F$123)</f>
        <v>110</v>
      </c>
      <c r="V14" s="715">
        <v>1.1023000000000001</v>
      </c>
      <c r="Y14" s="1445">
        <v>10</v>
      </c>
      <c r="Z14" s="143">
        <f>_xlfn.XLOOKUP(D14,RUC!$B$3:$B$123,RUC!$H$3:$H$123)</f>
        <v>35</v>
      </c>
      <c r="AA14" s="144">
        <f t="shared" si="4"/>
        <v>45</v>
      </c>
      <c r="AB14" s="145">
        <f t="shared" si="21"/>
        <v>557.99808559775011</v>
      </c>
      <c r="AC14" s="145">
        <f>+(S14-T14)*V14-'data 1'!$F$4</f>
        <v>24.718500000000006</v>
      </c>
      <c r="AD14" s="145">
        <f t="shared" si="5"/>
        <v>124.89154646570998</v>
      </c>
      <c r="AE14" s="145">
        <f t="shared" si="6"/>
        <v>-20.396500000000003</v>
      </c>
      <c r="AF14" s="145">
        <f t="shared" si="7"/>
        <v>97.245615368630439</v>
      </c>
      <c r="AG14" s="772">
        <f t="shared" si="22"/>
        <v>243.45916183434042</v>
      </c>
      <c r="AH14" s="1253">
        <f t="shared" si="8"/>
        <v>33.837000000000003</v>
      </c>
      <c r="AI14" s="1253">
        <f t="shared" si="9"/>
        <v>34.411999999999999</v>
      </c>
      <c r="AJ14" s="156">
        <f t="shared" si="10"/>
        <v>34.718131519289962</v>
      </c>
      <c r="AK14" s="156">
        <f t="shared" si="11"/>
        <v>26.162343057486581</v>
      </c>
      <c r="AM14" s="716">
        <f t="shared" si="12"/>
        <v>3111.3973252930546</v>
      </c>
      <c r="AN14" s="716" t="str">
        <f>_xlfn.XLOOKUP(D14,RUC!$B$3:$B$578,RUC!$M$3:$M$578)</f>
        <v>Robinson Tuya</v>
      </c>
      <c r="AO14" s="1167" t="s">
        <v>2280</v>
      </c>
      <c r="AP14" t="s">
        <v>4245</v>
      </c>
      <c r="AQ14" t="s">
        <v>4328</v>
      </c>
      <c r="AV14" s="1557" t="s">
        <v>2297</v>
      </c>
      <c r="AW14" s="703">
        <f t="shared" si="17"/>
        <v>0</v>
      </c>
      <c r="AX14" s="703" cm="1">
        <f t="array" ref="AX14">+SUMPRODUCT(IF($AO$4:$AO$747=AV14,$L$4:$L$747*$K$4:$K$747/AW14))</f>
        <v>0</v>
      </c>
      <c r="AY14" s="1215">
        <f t="shared" si="18"/>
        <v>0</v>
      </c>
      <c r="AZ14" s="596" cm="1">
        <f t="array" ref="AZ14">+SUMPRODUCT(IF('39'!$AO$4:$AO$639=AV14,('39'!$Q$4:$Q$639*'39'!$AH$4:$AH$639)/SUMIF('39'!$AO$4:$AO$639,#REF!,'39'!$AH$4:$AH$639)))</f>
        <v>0</v>
      </c>
      <c r="BA14" s="1237">
        <f t="shared" si="19"/>
        <v>0</v>
      </c>
      <c r="BB14" s="1237">
        <f t="shared" ca="1" si="20"/>
        <v>0</v>
      </c>
      <c r="BC14" s="596">
        <f t="shared" ca="1" si="23"/>
        <v>443.43127169846434</v>
      </c>
      <c r="BD14" s="1238">
        <f t="shared" si="24"/>
        <v>493.09399999999994</v>
      </c>
    </row>
    <row r="15" spans="1:56" ht="15" customHeight="1">
      <c r="A15" s="747" t="s">
        <v>4490</v>
      </c>
      <c r="B15" s="1447">
        <v>46051</v>
      </c>
      <c r="C15" s="1447">
        <v>46045</v>
      </c>
      <c r="D15" t="s">
        <v>4499</v>
      </c>
      <c r="E15" s="762">
        <f>_xlfn.XLOOKUP(D15,RUC!$B$3:$B$123,RUC!$D$3:$D$123)</f>
        <v>20606480840</v>
      </c>
      <c r="G15" s="762">
        <v>28</v>
      </c>
      <c r="H15" s="762" t="s">
        <v>108</v>
      </c>
      <c r="I15" s="703">
        <v>2.31</v>
      </c>
      <c r="J15" s="596">
        <v>17.100000000000001</v>
      </c>
      <c r="K15" s="703">
        <f t="shared" si="0"/>
        <v>1.915</v>
      </c>
      <c r="L15" s="1192">
        <v>0.44700000000000001</v>
      </c>
      <c r="M15" s="994">
        <f t="shared" si="1"/>
        <v>0.42</v>
      </c>
      <c r="N15" s="1196">
        <f t="shared" si="25"/>
        <v>0.42</v>
      </c>
      <c r="O15" s="645">
        <f t="shared" si="3"/>
        <v>0.42</v>
      </c>
      <c r="P15" s="727">
        <v>90</v>
      </c>
      <c r="Q15" s="1476">
        <v>96.42</v>
      </c>
      <c r="R15" s="706">
        <v>4946.25</v>
      </c>
      <c r="S15" s="765">
        <f>IF((_xlfn.XLOOKUP(D15,RUC!$B$3:$B$119,RUC!$E$3:$E$119)+ROUNDDOWN(O15,1)*100)&lt;95,95,((_xlfn.XLOOKUP(D15,RUC!$B$3:$B$119,RUC!$E$3:$E$119)+ROUNDDOWN(O15,1)*100)))</f>
        <v>120</v>
      </c>
      <c r="U15" s="1146">
        <f>_xlfn.XLOOKUP(D15,RUC!$B$3:$B$123,RUC!$F$3:$F$123)</f>
        <v>110</v>
      </c>
      <c r="V15" s="715">
        <v>1.1023000000000001</v>
      </c>
      <c r="Y15">
        <f>_xlfn.XLOOKUP(D15,RUC!$B$3:$B$123,RUC!$G$3:$G$123)</f>
        <v>0</v>
      </c>
      <c r="Z15" s="143">
        <f>_xlfn.XLOOKUP(D15,RUC!$B$3:$B$123,RUC!$H$3:$H$123)</f>
        <v>35</v>
      </c>
      <c r="AA15" s="144">
        <f t="shared" si="4"/>
        <v>35</v>
      </c>
      <c r="AB15" s="145">
        <f t="shared" si="21"/>
        <v>1844.2608857499999</v>
      </c>
      <c r="AC15" s="145">
        <f>+(S15-T15)*V15-'data 1'!$F$4</f>
        <v>52.27600000000001</v>
      </c>
      <c r="AD15" s="145">
        <f t="shared" si="5"/>
        <v>152.98579276672507</v>
      </c>
      <c r="AE15" s="145">
        <f t="shared" si="6"/>
        <v>-31.419499999999999</v>
      </c>
      <c r="AF15" s="145">
        <f t="shared" si="7"/>
        <v>138.78401309572516</v>
      </c>
      <c r="AG15" s="772">
        <f t="shared" si="22"/>
        <v>329.62630586245024</v>
      </c>
      <c r="AH15" s="1253">
        <f t="shared" si="8"/>
        <v>28.297999999999998</v>
      </c>
      <c r="AI15" s="1253">
        <f t="shared" si="9"/>
        <v>29.347999999999999</v>
      </c>
      <c r="AJ15" s="156">
        <f t="shared" si="10"/>
        <v>30.286887668775002</v>
      </c>
      <c r="AK15" s="156">
        <f t="shared" si="11"/>
        <v>24.818163847753503</v>
      </c>
      <c r="AM15" s="716">
        <f t="shared" si="12"/>
        <v>3531.75959621125</v>
      </c>
      <c r="AN15" s="716" t="str">
        <f>_xlfn.XLOOKUP(D15,RUC!$B$3:$B$578,RUC!$M$3:$M$578)</f>
        <v>Robinson Tuya</v>
      </c>
      <c r="AO15" s="1167" t="s">
        <v>2277</v>
      </c>
      <c r="AP15" t="s">
        <v>4515</v>
      </c>
      <c r="AQ15" t="s">
        <v>4516</v>
      </c>
      <c r="AV15" s="1557" t="s">
        <v>2518</v>
      </c>
      <c r="AW15" s="703">
        <f t="shared" si="17"/>
        <v>0</v>
      </c>
      <c r="AX15" s="703" cm="1">
        <f t="array" ref="AX15">+SUMPRODUCT(IF($AO$4:$AO$747=AV15,$L$4:$L$747*$K$4:$K$747/AW15))</f>
        <v>0</v>
      </c>
      <c r="AY15" s="1215">
        <f t="shared" si="18"/>
        <v>0</v>
      </c>
      <c r="AZ15" s="596" cm="1">
        <f t="array" ref="AZ15">+SUMPRODUCT(IF('39'!$AO$4:$AO$639=AV15,('39'!$Q$4:$Q$639*'39'!$AH$4:$AH$639)/SUMIF('39'!$AO$4:$AO$639,#REF!,'39'!$AH$4:$AH$639)))</f>
        <v>0</v>
      </c>
      <c r="BA15" s="1237">
        <f t="shared" si="19"/>
        <v>0</v>
      </c>
      <c r="BB15" s="1237">
        <f t="shared" ca="1" si="20"/>
        <v>0</v>
      </c>
      <c r="BC15" s="596">
        <f t="shared" ca="1" si="23"/>
        <v>443.43127169846434</v>
      </c>
      <c r="BD15" s="1238">
        <f t="shared" si="24"/>
        <v>493.09399999999994</v>
      </c>
    </row>
    <row r="16" spans="1:56" ht="15" customHeight="1">
      <c r="A16" s="747" t="s">
        <v>4496</v>
      </c>
      <c r="B16" s="1447">
        <v>46052</v>
      </c>
      <c r="C16" s="1447">
        <v>46045</v>
      </c>
      <c r="D16" s="1650" t="s">
        <v>4171</v>
      </c>
      <c r="E16" s="762">
        <f>_xlfn.XLOOKUP(D16,RUC!$B$3:$B$123,RUC!$D$3:$D$123)</f>
        <v>20614284740</v>
      </c>
      <c r="G16" s="762">
        <v>48</v>
      </c>
      <c r="H16" s="762" t="s">
        <v>108</v>
      </c>
      <c r="I16" s="703">
        <v>3.62</v>
      </c>
      <c r="J16" s="596">
        <v>20.65</v>
      </c>
      <c r="K16" s="703">
        <f t="shared" si="0"/>
        <v>2.8719999999999999</v>
      </c>
      <c r="L16" s="1192">
        <v>0.34799999999999998</v>
      </c>
      <c r="M16" s="994">
        <f t="shared" si="1"/>
        <v>0.32700000000000001</v>
      </c>
      <c r="N16" s="1196">
        <f t="shared" si="25"/>
        <v>0.32700000000000001</v>
      </c>
      <c r="O16" s="645">
        <f t="shared" si="3"/>
        <v>0.32700000000000001</v>
      </c>
      <c r="P16" s="727">
        <v>90</v>
      </c>
      <c r="Q16" s="1476">
        <v>92.82</v>
      </c>
      <c r="R16" s="706">
        <v>4946.25</v>
      </c>
      <c r="S16" s="765">
        <f>IF((_xlfn.XLOOKUP(D16,RUC!$B$3:$B$119,RUC!$E$3:$E$119)+ROUNDDOWN(O16,1)*100)&lt;95,95,((_xlfn.XLOOKUP(D16,RUC!$B$3:$B$119,RUC!$E$3:$E$119)+ROUNDDOWN(O16,1)*100)))</f>
        <v>120</v>
      </c>
      <c r="U16" s="1146">
        <f>_xlfn.XLOOKUP(D16,RUC!$B$3:$B$123,RUC!$F$3:$F$123)</f>
        <v>120</v>
      </c>
      <c r="V16" s="715">
        <v>1.1023000000000001</v>
      </c>
      <c r="Y16" s="1445">
        <v>30</v>
      </c>
      <c r="Z16" s="1454">
        <v>40</v>
      </c>
      <c r="AA16" s="144">
        <f t="shared" si="4"/>
        <v>70</v>
      </c>
      <c r="AB16" s="145">
        <f t="shared" si="21"/>
        <v>1356.2317528625001</v>
      </c>
      <c r="AC16" s="145">
        <f>+(S16-T16)*V16-'data 1'!$F$4</f>
        <v>52.27600000000001</v>
      </c>
      <c r="AD16" s="145">
        <f t="shared" si="5"/>
        <v>52.208110340099871</v>
      </c>
      <c r="AE16" s="145">
        <f t="shared" si="6"/>
        <v>7.1610000000000014</v>
      </c>
      <c r="AF16" s="145">
        <f t="shared" si="7"/>
        <v>103.69802400457482</v>
      </c>
      <c r="AG16" s="772">
        <f>AC16+AD16+AE16+AF16+70</f>
        <v>285.3431343446747</v>
      </c>
      <c r="AH16" s="1253">
        <f t="shared" si="8"/>
        <v>31.806000000000001</v>
      </c>
      <c r="AI16" s="1253">
        <f t="shared" si="9"/>
        <v>34.267000000000003</v>
      </c>
      <c r="AJ16" s="156">
        <f t="shared" si="10"/>
        <v>26.259269481899995</v>
      </c>
      <c r="AK16" s="156">
        <f t="shared" si="11"/>
        <v>28.979024827346279</v>
      </c>
      <c r="AM16" s="716">
        <f t="shared" si="12"/>
        <v>3895.0975942211003</v>
      </c>
      <c r="AN16" s="716" t="str">
        <f>_xlfn.XLOOKUP(D16,RUC!$B$3:$B$578,RUC!$M$3:$M$578)</f>
        <v xml:space="preserve">Dante </v>
      </c>
      <c r="AO16" s="1167" t="s">
        <v>2277</v>
      </c>
      <c r="AP16" t="s">
        <v>3950</v>
      </c>
      <c r="AQ16" t="s">
        <v>4517</v>
      </c>
      <c r="AV16" s="1557" t="s">
        <v>2519</v>
      </c>
      <c r="AW16" s="703">
        <f t="shared" si="17"/>
        <v>0</v>
      </c>
      <c r="AX16" s="703" cm="1">
        <f t="array" ref="AX16">+SUMPRODUCT(IF($AO$4:$AO$747=AV16,$L$4:$L$747*$K$4:$K$747/AW16))</f>
        <v>0</v>
      </c>
      <c r="AY16" s="1215">
        <f t="shared" si="18"/>
        <v>0</v>
      </c>
      <c r="AZ16" s="596" cm="1">
        <f t="array" ref="AZ16">+SUMPRODUCT(IF('39'!$AO$4:$AO$639=AV16,('39'!$Q$4:$Q$639*'39'!$AH$4:$AH$639)/SUMIF('39'!$AO$4:$AO$639,#REF!,'39'!$AH$4:$AH$639)))</f>
        <v>0</v>
      </c>
      <c r="BA16" s="1237">
        <f t="shared" si="19"/>
        <v>0</v>
      </c>
      <c r="BB16" s="1237">
        <f t="shared" ca="1" si="20"/>
        <v>0</v>
      </c>
      <c r="BC16" s="596">
        <f t="shared" ca="1" si="23"/>
        <v>443.43127169846434</v>
      </c>
      <c r="BD16" s="1238">
        <f t="shared" si="24"/>
        <v>493.09399999999994</v>
      </c>
    </row>
    <row r="17" spans="1:56" ht="15" customHeight="1">
      <c r="A17" s="747" t="s">
        <v>4501</v>
      </c>
      <c r="B17" s="1447">
        <v>46050</v>
      </c>
      <c r="C17" s="1447">
        <v>46045</v>
      </c>
      <c r="D17" t="s">
        <v>2004</v>
      </c>
      <c r="E17" s="762">
        <f>_xlfn.XLOOKUP(D17,RUC!$B$3:$B$123,RUC!$D$3:$D$123)</f>
        <v>20612921866</v>
      </c>
      <c r="G17" s="762" t="s">
        <v>2985</v>
      </c>
      <c r="H17" s="762" t="s">
        <v>69</v>
      </c>
      <c r="I17" s="703">
        <v>17.100000000000001</v>
      </c>
      <c r="J17" s="596">
        <v>3.2</v>
      </c>
      <c r="K17" s="703">
        <f t="shared" si="0"/>
        <v>16.553000000000001</v>
      </c>
      <c r="L17" s="1192">
        <v>0.21199999999999999</v>
      </c>
      <c r="M17" s="994">
        <f t="shared" si="1"/>
        <v>0.193</v>
      </c>
      <c r="N17" s="1196">
        <f t="shared" si="25"/>
        <v>0.193</v>
      </c>
      <c r="O17" s="645">
        <f t="shared" si="3"/>
        <v>0.193</v>
      </c>
      <c r="P17" s="727">
        <v>90</v>
      </c>
      <c r="Q17" s="1476">
        <v>95.28</v>
      </c>
      <c r="R17" s="706">
        <v>4946.25</v>
      </c>
      <c r="S17" s="765">
        <f>IF((_xlfn.XLOOKUP(D17,RUC!$B$3:$B$119,RUC!$E$3:$E$119)+ROUNDDOWN(O17,1)*100)&lt;95,95,((_xlfn.XLOOKUP(D17,RUC!$B$3:$B$119,RUC!$E$3:$E$119)+ROUNDDOWN(O17,1)*100)))</f>
        <v>95</v>
      </c>
      <c r="U17" s="1146">
        <f>_xlfn.XLOOKUP(D17,RUC!$B$3:$B$123,RUC!$F$3:$F$123)</f>
        <v>100</v>
      </c>
      <c r="V17" s="715">
        <v>1.1023000000000001</v>
      </c>
      <c r="Y17">
        <f>_xlfn.XLOOKUP(D17,RUC!$B$3:$B$123,RUC!$G$3:$G$123)</f>
        <v>0</v>
      </c>
      <c r="Z17" s="143">
        <f>_xlfn.XLOOKUP(D17,RUC!$B$3:$B$123,RUC!$H$3:$H$123)</f>
        <v>30</v>
      </c>
      <c r="AA17" s="144">
        <f t="shared" si="4"/>
        <v>30</v>
      </c>
      <c r="AB17" s="145">
        <f t="shared" si="21"/>
        <v>790.12161283750004</v>
      </c>
      <c r="AC17" s="145">
        <f>+(S17-T17)*V17-'data 1'!$F$4</f>
        <v>24.718500000000006</v>
      </c>
      <c r="AD17" s="145">
        <f t="shared" si="5"/>
        <v>59.796450463200017</v>
      </c>
      <c r="AE17" s="145">
        <f t="shared" si="6"/>
        <v>-36.930999999999997</v>
      </c>
      <c r="AF17" s="145">
        <f t="shared" si="7"/>
        <v>96.70768135589995</v>
      </c>
      <c r="AG17" s="772">
        <f t="shared" ref="AG17" si="27">AC17+AD17+AE17+AF17+70-10</f>
        <v>204.29163181909996</v>
      </c>
      <c r="AH17" s="1253">
        <f t="shared" si="8"/>
        <v>114.637</v>
      </c>
      <c r="AI17" s="1253">
        <f t="shared" si="9"/>
        <v>120.316</v>
      </c>
      <c r="AJ17" s="156">
        <f t="shared" si="10"/>
        <v>11.967843058800002</v>
      </c>
      <c r="AK17" s="156">
        <f t="shared" si="11"/>
        <v>98.579271131629611</v>
      </c>
      <c r="AM17" s="716">
        <f t="shared" si="12"/>
        <v>13078.883057299139</v>
      </c>
      <c r="AN17" s="716" t="str">
        <f>_xlfn.XLOOKUP(D17,RUC!$B$3:$B$578,RUC!$M$3:$M$578)</f>
        <v>Ronald Garibay</v>
      </c>
      <c r="AO17" s="1167" t="s">
        <v>2280</v>
      </c>
      <c r="AP17" t="s">
        <v>4519</v>
      </c>
      <c r="AQ17" t="s">
        <v>4520</v>
      </c>
      <c r="AV17" s="1557" t="s">
        <v>2520</v>
      </c>
      <c r="AW17" s="703">
        <f t="shared" si="17"/>
        <v>0</v>
      </c>
      <c r="AX17" s="703" cm="1">
        <f t="array" ref="AX17">+SUMPRODUCT(IF($AO$4:$AO$747=AV17,$L$4:$L$747*$K$4:$K$747/AW17))</f>
        <v>0</v>
      </c>
      <c r="AY17" s="1215">
        <f t="shared" si="18"/>
        <v>0</v>
      </c>
      <c r="AZ17" s="596" cm="1">
        <f t="array" ref="AZ17">+SUMPRODUCT(IF('39'!$AO$4:$AO$639=AV17,('39'!$Q$4:$Q$639*'39'!$AH$4:$AH$639)/SUMIF('39'!$AO$4:$AO$639,#REF!,'39'!$AH$4:$AH$639)))</f>
        <v>0</v>
      </c>
      <c r="BA17" s="1237">
        <f t="shared" si="19"/>
        <v>0</v>
      </c>
      <c r="BB17" s="1237">
        <f t="shared" ca="1" si="20"/>
        <v>0</v>
      </c>
      <c r="BC17" s="596">
        <f t="shared" ca="1" si="23"/>
        <v>443.43127169846434</v>
      </c>
      <c r="BD17" s="1238">
        <f t="shared" si="24"/>
        <v>493.09399999999994</v>
      </c>
    </row>
    <row r="18" spans="1:56" ht="15" customHeight="1" thickBot="1">
      <c r="A18" s="747" t="s">
        <v>4523</v>
      </c>
      <c r="B18" s="1447">
        <v>46057</v>
      </c>
      <c r="C18" s="1447">
        <v>46046</v>
      </c>
      <c r="D18" s="1650" t="s">
        <v>4171</v>
      </c>
      <c r="E18" s="762">
        <f>_xlfn.XLOOKUP(D18,RUC!$B$3:$B$123,RUC!$D$3:$D$123)</f>
        <v>20614284740</v>
      </c>
      <c r="G18" s="762">
        <v>58</v>
      </c>
      <c r="H18" s="762" t="s">
        <v>69</v>
      </c>
      <c r="I18" s="703">
        <v>4.75</v>
      </c>
      <c r="J18" s="596">
        <v>3.15</v>
      </c>
      <c r="K18" s="703">
        <f t="shared" si="0"/>
        <v>4.5999999999999996</v>
      </c>
      <c r="L18" s="1192">
        <v>0.32300000000000001</v>
      </c>
      <c r="M18" s="994">
        <f t="shared" si="1"/>
        <v>0.30399999999999999</v>
      </c>
      <c r="N18" s="1196">
        <f t="shared" si="25"/>
        <v>0.30399999999999999</v>
      </c>
      <c r="O18" s="645">
        <f t="shared" si="3"/>
        <v>0.30399999999999999</v>
      </c>
      <c r="P18" s="727">
        <v>90</v>
      </c>
      <c r="Q18" s="1476">
        <v>93.81</v>
      </c>
      <c r="R18" s="706">
        <v>4946.25</v>
      </c>
      <c r="S18" s="765">
        <f>IF((_xlfn.XLOOKUP(D18,RUC!$B$3:$B$119,RUC!$E$3:$E$119)+ROUNDDOWN(O18,1)*100)&lt;95,95,((_xlfn.XLOOKUP(D18,RUC!$B$3:$B$119,RUC!$E$3:$E$119)+ROUNDDOWN(O18,1)*100)))</f>
        <v>120</v>
      </c>
      <c r="U18" s="1146">
        <f>_xlfn.XLOOKUP(D18,RUC!$B$3:$B$123,RUC!$F$3:$F$123)</f>
        <v>120</v>
      </c>
      <c r="V18" s="715">
        <v>1.1023000000000001</v>
      </c>
      <c r="Y18">
        <f>_xlfn.XLOOKUP(D18,RUC!$B$3:$B$123,RUC!$G$3:$G$123)</f>
        <v>20</v>
      </c>
      <c r="Z18" s="143">
        <f>_xlfn.XLOOKUP(D18,RUC!$B$3:$B$123,RUC!$H$3:$H$123)</f>
        <v>30</v>
      </c>
      <c r="AA18" s="144">
        <f t="shared" si="4"/>
        <v>50</v>
      </c>
      <c r="AB18" s="145">
        <f t="shared" si="21"/>
        <v>1268.1542626000003</v>
      </c>
      <c r="AC18" s="145">
        <f>+(S18-T18)*V18-'data 1'!$F$4</f>
        <v>52.27600000000001</v>
      </c>
      <c r="AD18" s="145">
        <f t="shared" si="5"/>
        <v>65.469212957362558</v>
      </c>
      <c r="AE18" s="145">
        <f t="shared" si="6"/>
        <v>-14.884999999999998</v>
      </c>
      <c r="AF18" s="145">
        <f t="shared" si="7"/>
        <v>94.822709086462581</v>
      </c>
      <c r="AG18" s="772">
        <f>AC18+AD18+AE18+AF18+70</f>
        <v>267.68292204382516</v>
      </c>
      <c r="AH18" s="1253">
        <f t="shared" si="8"/>
        <v>47.787999999999997</v>
      </c>
      <c r="AI18" s="1253">
        <f t="shared" si="9"/>
        <v>50.941000000000003</v>
      </c>
      <c r="AJ18" s="156">
        <f t="shared" si="10"/>
        <v>24.632783531137502</v>
      </c>
      <c r="AK18" s="156">
        <f t="shared" si="11"/>
        <v>43.150217984208005</v>
      </c>
      <c r="AM18" s="716">
        <f t="shared" si="12"/>
        <v>5833.5096079600007</v>
      </c>
      <c r="AN18" s="716" t="str">
        <f>_xlfn.XLOOKUP(D18,RUC!$B$3:$B$578,RUC!$M$3:$M$578)</f>
        <v xml:space="preserve">Dante </v>
      </c>
      <c r="AO18" s="1167" t="s">
        <v>2277</v>
      </c>
      <c r="AP18" t="s">
        <v>3127</v>
      </c>
      <c r="AQ18" t="s">
        <v>4559</v>
      </c>
      <c r="AV18" s="1558" t="s">
        <v>2521</v>
      </c>
      <c r="AW18" s="1254">
        <f t="shared" si="17"/>
        <v>0</v>
      </c>
      <c r="AX18" s="1254" cm="1">
        <f t="array" ref="AX18">+SUMPRODUCT(IF('39'!$AO$4:$AO$639=AV18,'39'!$L$4:$L$639*'39'!$K$4:$K$639/AW18))</f>
        <v>0</v>
      </c>
      <c r="AY18" s="1241">
        <f t="shared" si="18"/>
        <v>0</v>
      </c>
      <c r="AZ18" s="1242" cm="1">
        <f t="array" ref="AZ18">+SUMPRODUCT(IF('39'!$AO$4:$AO$639=AV18,('39'!$Q$4:$Q$639*'39'!$AH$4:$AH$639)/SUMIF('39'!$AO$4:$AO$639,#REF!,'39'!$AH$4:$AH$639)))</f>
        <v>0</v>
      </c>
      <c r="BA18" s="1243">
        <f t="shared" si="19"/>
        <v>0</v>
      </c>
      <c r="BB18" s="1243">
        <f>SUMIF($AO$4:$AO$6,$AV18,$AH$4:$AH$6)</f>
        <v>0</v>
      </c>
      <c r="BC18" s="1242">
        <f t="shared" ca="1" si="23"/>
        <v>443.43127169846434</v>
      </c>
      <c r="BD18" s="1436">
        <f t="shared" si="24"/>
        <v>493.09399999999994</v>
      </c>
    </row>
    <row r="19" spans="1:56" ht="15" customHeight="1">
      <c r="A19" s="747" t="s">
        <v>4524</v>
      </c>
      <c r="B19" s="1447">
        <v>46053</v>
      </c>
      <c r="C19" s="1447">
        <v>46046</v>
      </c>
      <c r="D19" s="1650" t="s">
        <v>4171</v>
      </c>
      <c r="E19" s="762">
        <f>_xlfn.XLOOKUP(D19,RUC!$B$3:$B$123,RUC!$D$3:$D$123)</f>
        <v>20614284740</v>
      </c>
      <c r="G19" s="762">
        <v>14</v>
      </c>
      <c r="H19" s="762" t="s">
        <v>2005</v>
      </c>
      <c r="I19" s="703">
        <v>1.03</v>
      </c>
      <c r="J19" s="596">
        <v>4.8</v>
      </c>
      <c r="K19" s="703">
        <f t="shared" si="0"/>
        <v>0.98099999999999998</v>
      </c>
      <c r="L19" s="1192">
        <v>0.26400000000000001</v>
      </c>
      <c r="M19" s="994">
        <f t="shared" si="1"/>
        <v>0.245</v>
      </c>
      <c r="N19" s="1196">
        <f t="shared" si="25"/>
        <v>0.245</v>
      </c>
      <c r="O19" s="645">
        <f t="shared" si="3"/>
        <v>0.245</v>
      </c>
      <c r="P19" s="727">
        <v>86</v>
      </c>
      <c r="Q19" s="1476">
        <v>86.74</v>
      </c>
      <c r="R19" s="706">
        <v>4946.25</v>
      </c>
      <c r="S19" s="765">
        <f>IF((_xlfn.XLOOKUP(D19,RUC!$B$3:$B$119,RUC!$E$3:$E$119)+ROUNDDOWN(O19,1)*100)&lt;95,95,((_xlfn.XLOOKUP(D19,RUC!$B$3:$B$119,RUC!$E$3:$E$119)+ROUNDDOWN(O19,1)*100)))</f>
        <v>110</v>
      </c>
      <c r="U19" s="1146">
        <f>_xlfn.XLOOKUP(D19,RUC!$B$3:$B$123,RUC!$F$3:$F$123)</f>
        <v>120</v>
      </c>
      <c r="V19" s="715">
        <v>1.1023000000000001</v>
      </c>
      <c r="Y19">
        <f>_xlfn.XLOOKUP(D19,RUC!$B$3:$B$123,RUC!$G$3:$G$123)</f>
        <v>20</v>
      </c>
      <c r="Z19" s="143">
        <f>_xlfn.XLOOKUP(D19,RUC!$B$3:$B$123,RUC!$H$3:$H$123)</f>
        <v>30</v>
      </c>
      <c r="AA19" s="144">
        <f t="shared" si="4"/>
        <v>50</v>
      </c>
      <c r="AB19" s="145">
        <f t="shared" si="21"/>
        <v>944.55081151249999</v>
      </c>
      <c r="AC19" s="145">
        <f>+(S19-T19)*V19-'data 1'!$F$4</f>
        <v>41.253</v>
      </c>
      <c r="AD19" s="145">
        <f t="shared" si="5"/>
        <v>10.39310389259993</v>
      </c>
      <c r="AE19" s="145">
        <f t="shared" si="6"/>
        <v>-14.884999999999998</v>
      </c>
      <c r="AF19" s="145">
        <f t="shared" si="7"/>
        <v>87.676386165225068</v>
      </c>
      <c r="AG19" s="772">
        <f>AC19+AD19+AE19+AF19+70</f>
        <v>194.43749005782502</v>
      </c>
      <c r="AH19" s="1253">
        <f t="shared" si="8"/>
        <v>7.702</v>
      </c>
      <c r="AI19" s="1253">
        <f t="shared" si="9"/>
        <v>8.8789999999999996</v>
      </c>
      <c r="AJ19" s="156">
        <f t="shared" si="10"/>
        <v>18.615948839400001</v>
      </c>
      <c r="AK19" s="156">
        <f t="shared" si="11"/>
        <v>7.0866765681544344</v>
      </c>
      <c r="AM19" s="716">
        <f t="shared" si="12"/>
        <v>926.6043460937625</v>
      </c>
      <c r="AN19" s="716" t="str">
        <f>_xlfn.XLOOKUP(D19,RUC!$B$3:$B$578,RUC!$M$3:$M$578)</f>
        <v xml:space="preserve">Dante </v>
      </c>
      <c r="AO19" s="1167" t="s">
        <v>2277</v>
      </c>
      <c r="AP19" t="s">
        <v>3127</v>
      </c>
      <c r="AQ19" t="s">
        <v>4559</v>
      </c>
      <c r="AV19" s="1637"/>
      <c r="AW19" s="1234"/>
      <c r="AX19" s="1234"/>
      <c r="AY19" s="1235"/>
      <c r="AZ19" s="1236"/>
      <c r="BA19" s="1237"/>
      <c r="BB19" s="1237"/>
      <c r="BC19" s="1236"/>
      <c r="BD19" s="729"/>
    </row>
    <row r="20" spans="1:56" ht="15" customHeight="1">
      <c r="A20" s="747" t="s">
        <v>4525</v>
      </c>
      <c r="B20" s="1447">
        <v>46052</v>
      </c>
      <c r="C20" s="1447">
        <v>46048</v>
      </c>
      <c r="D20" t="s">
        <v>2004</v>
      </c>
      <c r="E20" s="762">
        <f>_xlfn.XLOOKUP(D20,RUC!$B$3:$B$123,RUC!$D$3:$D$123)</f>
        <v>20612921866</v>
      </c>
      <c r="G20" s="762">
        <v>23</v>
      </c>
      <c r="H20" s="762" t="s">
        <v>69</v>
      </c>
      <c r="I20" s="703">
        <v>2.59</v>
      </c>
      <c r="J20" s="596">
        <v>1.35</v>
      </c>
      <c r="K20" s="703">
        <f t="shared" si="0"/>
        <v>2.5550000000000002</v>
      </c>
      <c r="L20" s="1192">
        <v>0.189</v>
      </c>
      <c r="M20" s="994">
        <f t="shared" si="1"/>
        <v>0.17</v>
      </c>
      <c r="N20" s="1196">
        <f t="shared" si="25"/>
        <v>0.17</v>
      </c>
      <c r="O20" s="645">
        <f t="shared" si="3"/>
        <v>0.17</v>
      </c>
      <c r="P20" s="727">
        <v>90</v>
      </c>
      <c r="Q20" s="1476">
        <v>92.06</v>
      </c>
      <c r="R20" s="706">
        <v>5090.8</v>
      </c>
      <c r="S20" s="765">
        <f>IF((_xlfn.XLOOKUP(D20,RUC!$B$3:$B$119,RUC!$E$3:$E$119)+ROUNDDOWN(O20,1)*100)&lt;95,95,((_xlfn.XLOOKUP(D20,RUC!$B$3:$B$119,RUC!$E$3:$E$119)+ROUNDDOWN(O20,1)*100)))</f>
        <v>95</v>
      </c>
      <c r="U20" s="1146">
        <f>_xlfn.XLOOKUP(D20,RUC!$B$3:$B$123,RUC!$F$3:$F$123)</f>
        <v>100</v>
      </c>
      <c r="V20" s="715">
        <v>1.1023000000000001</v>
      </c>
      <c r="Y20">
        <f>_xlfn.XLOOKUP(D20,RUC!$B$3:$B$123,RUC!$G$3:$G$123)</f>
        <v>0</v>
      </c>
      <c r="Z20" s="143">
        <f>_xlfn.XLOOKUP(D20,RUC!$B$3:$B$123,RUC!$H$3:$H$123)</f>
        <v>30</v>
      </c>
      <c r="AA20" s="144">
        <f t="shared" si="4"/>
        <v>30</v>
      </c>
      <c r="AB20" s="145">
        <f t="shared" si="21"/>
        <v>703.92040252000004</v>
      </c>
      <c r="AC20" s="145">
        <f>+(S20-T20)*V20-'data 1'!$F$4</f>
        <v>24.718500000000006</v>
      </c>
      <c r="AD20" s="145">
        <f t="shared" si="5"/>
        <v>21.418990507656027</v>
      </c>
      <c r="AE20" s="145">
        <f t="shared" si="6"/>
        <v>-36.930999999999997</v>
      </c>
      <c r="AF20" s="145">
        <f t="shared" si="7"/>
        <v>96.226468013975961</v>
      </c>
      <c r="AG20" s="772">
        <f t="shared" ref="AG20:AG23" si="28">AC20+AD20+AE20+AF20+70-10</f>
        <v>165.432958521632</v>
      </c>
      <c r="AH20" s="1253">
        <f t="shared" si="8"/>
        <v>15.242000000000001</v>
      </c>
      <c r="AI20" s="1253">
        <f t="shared" si="9"/>
        <v>16.556000000000001</v>
      </c>
      <c r="AJ20" s="156">
        <f t="shared" si="10"/>
        <v>-17.414797573656035</v>
      </c>
      <c r="AK20" s="156">
        <f t="shared" si="11"/>
        <v>13.402672469565752</v>
      </c>
      <c r="AM20" s="716">
        <f t="shared" si="12"/>
        <v>1798.5166284386003</v>
      </c>
      <c r="AN20" s="716" t="str">
        <f>_xlfn.XLOOKUP(D20,RUC!$B$3:$B$578,RUC!$M$3:$M$578)</f>
        <v>Ronald Garibay</v>
      </c>
      <c r="AO20" s="1167" t="s">
        <v>2277</v>
      </c>
      <c r="AP20" t="s">
        <v>4560</v>
      </c>
      <c r="AQ20" t="s">
        <v>4561</v>
      </c>
    </row>
    <row r="21" spans="1:56" ht="15" customHeight="1">
      <c r="A21" s="747" t="s">
        <v>4528</v>
      </c>
      <c r="B21" s="1447">
        <v>46052</v>
      </c>
      <c r="C21" s="1447">
        <v>46048</v>
      </c>
      <c r="D21" t="s">
        <v>2004</v>
      </c>
      <c r="E21" s="762">
        <f>_xlfn.XLOOKUP(D21,RUC!$B$3:$B$123,RUC!$D$3:$D$123)</f>
        <v>20612921866</v>
      </c>
      <c r="G21" s="762">
        <v>32</v>
      </c>
      <c r="H21" s="762" t="s">
        <v>69</v>
      </c>
      <c r="I21" s="703">
        <v>3.7</v>
      </c>
      <c r="J21" s="596">
        <v>1.95</v>
      </c>
      <c r="K21" s="703">
        <f t="shared" si="0"/>
        <v>3.6280000000000001</v>
      </c>
      <c r="L21" s="1192">
        <v>0.155</v>
      </c>
      <c r="M21" s="994">
        <f t="shared" si="1"/>
        <v>0.13600000000000001</v>
      </c>
      <c r="N21" s="1196">
        <f t="shared" si="25"/>
        <v>0.13600000000000001</v>
      </c>
      <c r="O21" s="645">
        <f t="shared" si="3"/>
        <v>0.13600000000000001</v>
      </c>
      <c r="P21" s="727">
        <v>90</v>
      </c>
      <c r="Q21" s="1476">
        <v>93.55</v>
      </c>
      <c r="R21" s="706">
        <v>5090.8</v>
      </c>
      <c r="S21" s="765">
        <f>IF((_xlfn.XLOOKUP(D21,RUC!$B$3:$B$119,RUC!$E$3:$E$119)+ROUNDDOWN(O21,1)*100)&lt;95,95,((_xlfn.XLOOKUP(D21,RUC!$B$3:$B$119,RUC!$E$3:$E$119)+ROUNDDOWN(O21,1)*100)))</f>
        <v>95</v>
      </c>
      <c r="U21" s="1146">
        <f>_xlfn.XLOOKUP(D21,RUC!$B$3:$B$123,RUC!$F$3:$F$123)</f>
        <v>100</v>
      </c>
      <c r="V21" s="715">
        <v>1.1023000000000001</v>
      </c>
      <c r="Y21">
        <f>_xlfn.XLOOKUP(D21,RUC!$B$3:$B$123,RUC!$G$3:$G$123)</f>
        <v>0</v>
      </c>
      <c r="Z21" s="143">
        <f>_xlfn.XLOOKUP(D21,RUC!$B$3:$B$123,RUC!$H$3:$H$123)</f>
        <v>30</v>
      </c>
      <c r="AA21" s="144">
        <f t="shared" si="4"/>
        <v>30</v>
      </c>
      <c r="AB21" s="145">
        <f t="shared" si="21"/>
        <v>535.578822016</v>
      </c>
      <c r="AC21" s="145">
        <f>+(S21-T21)*V21-'data 1'!$F$4</f>
        <v>24.718500000000006</v>
      </c>
      <c r="AD21" s="145">
        <f t="shared" si="5"/>
        <v>30.271227017099978</v>
      </c>
      <c r="AE21" s="145">
        <f t="shared" si="6"/>
        <v>-36.930999999999997</v>
      </c>
      <c r="AF21" s="145">
        <f t="shared" si="7"/>
        <v>97.783902701579962</v>
      </c>
      <c r="AG21" s="772">
        <f t="shared" si="28"/>
        <v>175.84262971867994</v>
      </c>
      <c r="AH21" s="1253">
        <f t="shared" si="8"/>
        <v>18.036000000000001</v>
      </c>
      <c r="AI21" s="1253">
        <f t="shared" si="9"/>
        <v>19.28</v>
      </c>
      <c r="AJ21" s="156">
        <f t="shared" si="10"/>
        <v>-14.513132022100031</v>
      </c>
      <c r="AK21" s="156">
        <f t="shared" si="11"/>
        <v>15.225016272276962</v>
      </c>
      <c r="AM21" s="716">
        <f t="shared" si="12"/>
        <v>1943.079966274048</v>
      </c>
      <c r="AN21" s="716" t="str">
        <f>_xlfn.XLOOKUP(D21,RUC!$B$3:$B$578,RUC!$M$3:$M$578)</f>
        <v>Ronald Garibay</v>
      </c>
      <c r="AO21" s="1167" t="s">
        <v>2280</v>
      </c>
      <c r="AP21" t="s">
        <v>4560</v>
      </c>
      <c r="AQ21" t="s">
        <v>4561</v>
      </c>
    </row>
    <row r="22" spans="1:56" ht="15" customHeight="1">
      <c r="A22" s="747" t="s">
        <v>4529</v>
      </c>
      <c r="B22" s="1447">
        <v>46057</v>
      </c>
      <c r="C22" s="1447">
        <v>46048</v>
      </c>
      <c r="D22" t="s">
        <v>2004</v>
      </c>
      <c r="E22" s="762">
        <f>_xlfn.XLOOKUP(D22,RUC!$B$3:$B$123,RUC!$D$3:$D$123)</f>
        <v>20612921866</v>
      </c>
      <c r="G22" s="762">
        <v>50</v>
      </c>
      <c r="H22" s="762" t="s">
        <v>69</v>
      </c>
      <c r="I22" s="703">
        <v>5.28</v>
      </c>
      <c r="J22" s="596">
        <v>1.4</v>
      </c>
      <c r="K22" s="703">
        <f t="shared" si="0"/>
        <v>5.2060000000000004</v>
      </c>
      <c r="L22" s="1192">
        <v>0.156</v>
      </c>
      <c r="M22" s="994">
        <f t="shared" si="1"/>
        <v>0.13700000000000001</v>
      </c>
      <c r="N22" s="1196">
        <f t="shared" si="25"/>
        <v>0.13700000000000001</v>
      </c>
      <c r="O22" s="645">
        <f t="shared" si="3"/>
        <v>0.13700000000000001</v>
      </c>
      <c r="P22" s="727">
        <v>90</v>
      </c>
      <c r="Q22" s="1476">
        <v>96.13</v>
      </c>
      <c r="R22" s="706">
        <v>5090.8</v>
      </c>
      <c r="S22" s="765">
        <f>IF((_xlfn.XLOOKUP(D22,RUC!$B$3:$B$119,RUC!$E$3:$E$119)+ROUNDDOWN(O22,1)*100)&lt;95,95,((_xlfn.XLOOKUP(D22,RUC!$B$3:$B$119,RUC!$E$3:$E$119)+ROUNDDOWN(O22,1)*100)))</f>
        <v>95</v>
      </c>
      <c r="U22" s="1146">
        <f>_xlfn.XLOOKUP(D22,RUC!$B$3:$B$123,RUC!$F$3:$F$123)</f>
        <v>100</v>
      </c>
      <c r="V22" s="715">
        <v>1.1023000000000001</v>
      </c>
      <c r="Y22">
        <f>_xlfn.XLOOKUP(D22,RUC!$B$3:$B$123,RUC!$G$3:$G$123)</f>
        <v>0</v>
      </c>
      <c r="Z22" s="143">
        <f>_xlfn.XLOOKUP(D22,RUC!$B$3:$B$123,RUC!$H$3:$H$123)</f>
        <v>30</v>
      </c>
      <c r="AA22" s="144">
        <f t="shared" si="4"/>
        <v>30</v>
      </c>
      <c r="AB22" s="145">
        <f t="shared" si="21"/>
        <v>540.53004497200016</v>
      </c>
      <c r="AC22" s="145">
        <f>+(S22-T22)*V22-'data 1'!$F$4</f>
        <v>24.718500000000006</v>
      </c>
      <c r="AD22" s="145">
        <f t="shared" si="5"/>
        <v>52.608394315151962</v>
      </c>
      <c r="AE22" s="145">
        <f t="shared" si="6"/>
        <v>-36.930999999999997</v>
      </c>
      <c r="AF22" s="145">
        <f t="shared" si="7"/>
        <v>100.48066880494797</v>
      </c>
      <c r="AG22" s="772">
        <f t="shared" si="28"/>
        <v>200.87656312009995</v>
      </c>
      <c r="AH22" s="1253">
        <f t="shared" si="8"/>
        <v>26.766999999999999</v>
      </c>
      <c r="AI22" s="1253">
        <f t="shared" si="9"/>
        <v>27.844000000000001</v>
      </c>
      <c r="AJ22" s="156">
        <f t="shared" si="10"/>
        <v>-15.009602695152029</v>
      </c>
      <c r="AK22" s="156">
        <f t="shared" si="11"/>
        <v>22.007783732217394</v>
      </c>
      <c r="AM22" s="716">
        <f t="shared" si="12"/>
        <v>2813.9994141242332</v>
      </c>
      <c r="AN22" s="716" t="str">
        <f>_xlfn.XLOOKUP(D22,RUC!$B$3:$B$578,RUC!$M$3:$M$578)</f>
        <v>Ronald Garibay</v>
      </c>
      <c r="AO22" s="1167" t="s">
        <v>2279</v>
      </c>
      <c r="AP22" t="s">
        <v>4562</v>
      </c>
      <c r="AQ22" t="s">
        <v>4563</v>
      </c>
    </row>
    <row r="23" spans="1:56" ht="15" customHeight="1">
      <c r="A23" s="747" t="s">
        <v>4530</v>
      </c>
      <c r="B23" s="1447">
        <v>46057</v>
      </c>
      <c r="C23" s="1447">
        <v>46048</v>
      </c>
      <c r="D23" t="s">
        <v>2004</v>
      </c>
      <c r="E23" s="762">
        <f>_xlfn.XLOOKUP(D23,RUC!$B$3:$B$123,RUC!$D$3:$D$123)</f>
        <v>20612921866</v>
      </c>
      <c r="G23" s="762">
        <v>50</v>
      </c>
      <c r="H23" s="762" t="s">
        <v>69</v>
      </c>
      <c r="I23" s="703">
        <v>5.4</v>
      </c>
      <c r="J23" s="596">
        <v>1.25</v>
      </c>
      <c r="K23" s="703">
        <f t="shared" si="0"/>
        <v>5.3330000000000002</v>
      </c>
      <c r="L23" s="1192">
        <v>0.16200000000000001</v>
      </c>
      <c r="M23" s="994">
        <f t="shared" si="1"/>
        <v>0.14299999999999999</v>
      </c>
      <c r="N23" s="1196">
        <f t="shared" si="25"/>
        <v>0.14299999999999999</v>
      </c>
      <c r="O23" s="645">
        <f t="shared" si="3"/>
        <v>0.14299999999999999</v>
      </c>
      <c r="P23" s="727">
        <v>90</v>
      </c>
      <c r="Q23" s="1476">
        <v>98.13</v>
      </c>
      <c r="R23" s="706">
        <v>5090.8</v>
      </c>
      <c r="S23" s="765">
        <f>IF((_xlfn.XLOOKUP(D23,RUC!$B$3:$B$119,RUC!$E$3:$E$119)+ROUNDDOWN(O23,1)*100)&lt;95,95,((_xlfn.XLOOKUP(D23,RUC!$B$3:$B$119,RUC!$E$3:$E$119)+ROUNDDOWN(O23,1)*100)))</f>
        <v>95</v>
      </c>
      <c r="U23" s="1146">
        <f>_xlfn.XLOOKUP(D23,RUC!$B$3:$B$123,RUC!$F$3:$F$123)</f>
        <v>100</v>
      </c>
      <c r="V23" s="715">
        <v>1.1023000000000001</v>
      </c>
      <c r="Y23">
        <f>_xlfn.XLOOKUP(D23,RUC!$B$3:$B$123,RUC!$G$3:$G$123)</f>
        <v>0</v>
      </c>
      <c r="Z23" s="143">
        <f>_xlfn.XLOOKUP(D23,RUC!$B$3:$B$123,RUC!$H$3:$H$123)</f>
        <v>30</v>
      </c>
      <c r="AA23" s="144">
        <f t="shared" si="4"/>
        <v>30</v>
      </c>
      <c r="AB23" s="145">
        <f t="shared" si="21"/>
        <v>570.23738270800004</v>
      </c>
      <c r="AC23" s="145">
        <f>+(S23-T23)*V23-'data 1'!$F$4</f>
        <v>24.718500000000006</v>
      </c>
      <c r="AD23" s="145">
        <f t="shared" si="5"/>
        <v>72.456196738103969</v>
      </c>
      <c r="AE23" s="145">
        <f t="shared" si="6"/>
        <v>-36.930999999999997</v>
      </c>
      <c r="AF23" s="145">
        <f t="shared" si="7"/>
        <v>102.5711851641481</v>
      </c>
      <c r="AG23" s="772">
        <f t="shared" si="28"/>
        <v>222.81488190225207</v>
      </c>
      <c r="AH23" s="1253">
        <f t="shared" si="8"/>
        <v>29.067</v>
      </c>
      <c r="AI23" s="1253">
        <f t="shared" si="9"/>
        <v>29.620999999999999</v>
      </c>
      <c r="AJ23" s="156">
        <f t="shared" si="10"/>
        <v>-15.911182948104031</v>
      </c>
      <c r="AK23" s="156">
        <f t="shared" si="11"/>
        <v>23.532019514372656</v>
      </c>
      <c r="AM23" s="716">
        <f t="shared" si="12"/>
        <v>3041.0759619817645</v>
      </c>
      <c r="AN23" s="716" t="str">
        <f>_xlfn.XLOOKUP(D23,RUC!$B$3:$B$578,RUC!$M$3:$M$578)</f>
        <v>Ronald Garibay</v>
      </c>
      <c r="AO23" s="1167" t="s">
        <v>2280</v>
      </c>
      <c r="AP23" t="s">
        <v>4562</v>
      </c>
      <c r="AQ23" t="s">
        <v>4563</v>
      </c>
    </row>
    <row r="24" spans="1:56" ht="15" customHeight="1">
      <c r="A24" s="747" t="s">
        <v>4538</v>
      </c>
      <c r="B24" s="1447">
        <v>46057</v>
      </c>
      <c r="C24" s="1447">
        <v>46048</v>
      </c>
      <c r="D24" t="s">
        <v>2368</v>
      </c>
      <c r="E24" s="762">
        <f>_xlfn.XLOOKUP(D24,RUC!$B$3:$B$123,RUC!$D$3:$D$123)</f>
        <v>20612719757</v>
      </c>
      <c r="G24" s="762">
        <v>40</v>
      </c>
      <c r="H24" s="762" t="s">
        <v>2005</v>
      </c>
      <c r="I24" s="703">
        <v>3.6</v>
      </c>
      <c r="J24" s="596">
        <v>14.53</v>
      </c>
      <c r="K24" s="703">
        <f t="shared" si="0"/>
        <v>3.077</v>
      </c>
      <c r="L24" s="1192">
        <v>0.371</v>
      </c>
      <c r="M24" s="994">
        <f t="shared" si="1"/>
        <v>0.34899999999999998</v>
      </c>
      <c r="N24" s="1196">
        <f t="shared" si="25"/>
        <v>0.34899999999999998</v>
      </c>
      <c r="O24" s="645">
        <f t="shared" si="3"/>
        <v>0.34899999999999998</v>
      </c>
      <c r="P24" s="727">
        <v>90</v>
      </c>
      <c r="Q24" s="1476">
        <v>95.96</v>
      </c>
      <c r="R24" s="706">
        <v>5090.8</v>
      </c>
      <c r="S24" s="765">
        <f>IF((_xlfn.XLOOKUP(D24,RUC!$B$3:$B$119,RUC!$E$3:$E$119)+ROUNDDOWN(O24,1)*100)&lt;95,95,((_xlfn.XLOOKUP(D24,RUC!$B$3:$B$119,RUC!$E$3:$E$119)+ROUNDDOWN(O24,1)*100)))</f>
        <v>120</v>
      </c>
      <c r="U24" s="1146">
        <f>_xlfn.XLOOKUP(D24,RUC!$B$3:$B$123,RUC!$F$3:$F$123)</f>
        <v>120</v>
      </c>
      <c r="V24" s="715">
        <v>1.1023000000000001</v>
      </c>
      <c r="Y24">
        <f>_xlfn.XLOOKUP(D24,RUC!$B$3:$B$123,RUC!$G$3:$G$123)</f>
        <v>20</v>
      </c>
      <c r="Z24" s="143">
        <f>_xlfn.XLOOKUP(D24,RUC!$B$3:$B$123,RUC!$H$3:$H$123)</f>
        <v>30</v>
      </c>
      <c r="AA24" s="144">
        <f t="shared" si="4"/>
        <v>50</v>
      </c>
      <c r="AB24" s="145">
        <f t="shared" si="21"/>
        <v>1533.6611630439997</v>
      </c>
      <c r="AC24" s="145">
        <f>+(S24-T24)*V24-'data 1'!$F$4</f>
        <v>52.27600000000001</v>
      </c>
      <c r="AD24" s="145">
        <f t="shared" si="5"/>
        <v>121.15637379294388</v>
      </c>
      <c r="AE24" s="145">
        <f t="shared" si="6"/>
        <v>-14.884999999999998</v>
      </c>
      <c r="AF24" s="145">
        <f t="shared" si="7"/>
        <v>115.6748692278081</v>
      </c>
      <c r="AG24" s="772">
        <f>AC24+AD24+AE24+AF24+70-53</f>
        <v>291.22224302075199</v>
      </c>
      <c r="AH24" s="1253">
        <f t="shared" si="8"/>
        <v>37.558</v>
      </c>
      <c r="AI24" s="1253">
        <f t="shared" si="9"/>
        <v>39.139000000000003</v>
      </c>
      <c r="AJ24" s="156">
        <f t="shared" si="10"/>
        <v>-27.784156336944068</v>
      </c>
      <c r="AK24" s="156">
        <f t="shared" si="11"/>
        <v>33.136337269275884</v>
      </c>
      <c r="AM24" s="716">
        <f t="shared" si="12"/>
        <v>4719.0753986863874</v>
      </c>
      <c r="AN24" s="716" t="str">
        <f>_xlfn.XLOOKUP(D24,RUC!$B$3:$B$578,RUC!$M$3:$M$578)</f>
        <v>SIN ACOPIADOR</v>
      </c>
      <c r="AO24" s="1167" t="s">
        <v>2278</v>
      </c>
      <c r="AP24" t="s">
        <v>4564</v>
      </c>
      <c r="AQ24" t="s">
        <v>4565</v>
      </c>
      <c r="BA24" s="1482"/>
    </row>
    <row r="25" spans="1:56" ht="15" customHeight="1" thickBot="1">
      <c r="A25" s="747" t="s">
        <v>4539</v>
      </c>
      <c r="B25" s="1447">
        <v>46057</v>
      </c>
      <c r="C25" s="1447">
        <v>46048</v>
      </c>
      <c r="D25" t="s">
        <v>2368</v>
      </c>
      <c r="E25" s="762">
        <f>_xlfn.XLOOKUP(D25,RUC!$B$3:$B$123,RUC!$D$3:$D$123)</f>
        <v>20612719757</v>
      </c>
      <c r="G25" s="762">
        <v>40</v>
      </c>
      <c r="H25" s="762" t="s">
        <v>2005</v>
      </c>
      <c r="I25" s="703">
        <v>3.75</v>
      </c>
      <c r="J25" s="596">
        <v>12.48</v>
      </c>
      <c r="K25" s="703">
        <f t="shared" si="0"/>
        <v>3.282</v>
      </c>
      <c r="L25" s="1192">
        <v>0.41899999999999998</v>
      </c>
      <c r="M25" s="994">
        <f t="shared" si="1"/>
        <v>0.39400000000000002</v>
      </c>
      <c r="N25" s="1196">
        <f t="shared" si="25"/>
        <v>0.39400000000000002</v>
      </c>
      <c r="O25" s="645">
        <f t="shared" si="3"/>
        <v>0.39400000000000002</v>
      </c>
      <c r="P25" s="727">
        <v>90</v>
      </c>
      <c r="Q25" s="1476">
        <v>94.51</v>
      </c>
      <c r="R25" s="706">
        <v>5090.8</v>
      </c>
      <c r="S25" s="765">
        <f>IF((_xlfn.XLOOKUP(D25,RUC!$B$3:$B$119,RUC!$E$3:$E$119)+ROUNDDOWN(O25,1)*100)&lt;95,95,((_xlfn.XLOOKUP(D25,RUC!$B$3:$B$119,RUC!$E$3:$E$119)+ROUNDDOWN(O25,1)*100)))</f>
        <v>120</v>
      </c>
      <c r="U25" s="1146">
        <f>_xlfn.XLOOKUP(D25,RUC!$B$3:$B$123,RUC!$F$3:$F$123)</f>
        <v>120</v>
      </c>
      <c r="V25" s="715">
        <v>1.1023000000000001</v>
      </c>
      <c r="Y25">
        <f>_xlfn.XLOOKUP(D25,RUC!$B$3:$B$123,RUC!$G$3:$G$123)</f>
        <v>20</v>
      </c>
      <c r="Z25" s="143">
        <f>_xlfn.XLOOKUP(D25,RUC!$B$3:$B$123,RUC!$H$3:$H$123)</f>
        <v>30</v>
      </c>
      <c r="AA25" s="144">
        <f t="shared" si="4"/>
        <v>50</v>
      </c>
      <c r="AB25" s="145">
        <f t="shared" si="21"/>
        <v>1755.5733330640003</v>
      </c>
      <c r="AC25" s="145">
        <f>+(S25-T25)*V25-'data 1'!$F$4</f>
        <v>52.27600000000001</v>
      </c>
      <c r="AD25" s="145">
        <f t="shared" si="5"/>
        <v>103.54202680619612</v>
      </c>
      <c r="AE25" s="145">
        <f t="shared" si="6"/>
        <v>-14.884999999999998</v>
      </c>
      <c r="AF25" s="145">
        <f t="shared" si="7"/>
        <v>129.46246412709985</v>
      </c>
      <c r="AG25" s="772">
        <f>AC25+AD25+AE25+AF25+70-53</f>
        <v>287.395490933296</v>
      </c>
      <c r="AH25" s="1253">
        <f t="shared" si="8"/>
        <v>44.558999999999997</v>
      </c>
      <c r="AI25" s="1253">
        <f t="shared" si="9"/>
        <v>47.148000000000003</v>
      </c>
      <c r="AJ25" s="156">
        <f t="shared" si="10"/>
        <v>-30.904722707196079</v>
      </c>
      <c r="AK25" s="156">
        <f t="shared" si="11"/>
        <v>39.901238613503459</v>
      </c>
      <c r="AM25" s="716">
        <f t="shared" si="12"/>
        <v>5761.7916791160487</v>
      </c>
      <c r="AN25" s="716" t="str">
        <f>_xlfn.XLOOKUP(D25,RUC!$B$3:$B$578,RUC!$M$3:$M$578)</f>
        <v>SIN ACOPIADOR</v>
      </c>
      <c r="AO25" s="1167" t="s">
        <v>2278</v>
      </c>
      <c r="AP25" t="s">
        <v>4564</v>
      </c>
      <c r="AQ25" t="s">
        <v>4565</v>
      </c>
      <c r="BA25" s="1482"/>
    </row>
    <row r="26" spans="1:56" ht="15" customHeight="1" thickBot="1">
      <c r="A26" s="747" t="s">
        <v>4540</v>
      </c>
      <c r="B26" s="1447">
        <v>46057</v>
      </c>
      <c r="C26" s="1447">
        <v>46048</v>
      </c>
      <c r="D26" t="s">
        <v>2368</v>
      </c>
      <c r="E26" s="762">
        <f>_xlfn.XLOOKUP(D26,RUC!$B$3:$B$123,RUC!$D$3:$D$123)</f>
        <v>20612719757</v>
      </c>
      <c r="G26" s="762">
        <v>30</v>
      </c>
      <c r="H26" s="762" t="s">
        <v>2005</v>
      </c>
      <c r="I26" s="703">
        <v>2.67</v>
      </c>
      <c r="J26" s="596">
        <v>12.68</v>
      </c>
      <c r="K26" s="703">
        <f t="shared" si="0"/>
        <v>2.331</v>
      </c>
      <c r="L26" s="1192">
        <v>0.26900000000000002</v>
      </c>
      <c r="M26" s="994">
        <f t="shared" si="1"/>
        <v>0.25</v>
      </c>
      <c r="N26" s="1196">
        <f t="shared" si="25"/>
        <v>0.25</v>
      </c>
      <c r="O26" s="645">
        <f t="shared" si="3"/>
        <v>0.25</v>
      </c>
      <c r="P26" s="727">
        <v>90</v>
      </c>
      <c r="Q26" s="1476">
        <v>94.42</v>
      </c>
      <c r="R26" s="706">
        <v>5090.8</v>
      </c>
      <c r="S26" s="765">
        <f>IF((_xlfn.XLOOKUP(D26,RUC!$B$3:$B$119,RUC!$E$3:$E$119)+ROUNDDOWN(O26,1)*100)&lt;95,95,((_xlfn.XLOOKUP(D26,RUC!$B$3:$B$119,RUC!$E$3:$E$119)+ROUNDDOWN(O26,1)*100)))</f>
        <v>110</v>
      </c>
      <c r="U26" s="1146">
        <f>_xlfn.XLOOKUP(D26,RUC!$B$3:$B$123,RUC!$F$3:$F$123)</f>
        <v>120</v>
      </c>
      <c r="V26" s="715">
        <v>1.1023000000000001</v>
      </c>
      <c r="Y26">
        <f>_xlfn.XLOOKUP(D26,RUC!$B$3:$B$123,RUC!$G$3:$G$123)</f>
        <v>20</v>
      </c>
      <c r="Z26" s="143">
        <f>_xlfn.XLOOKUP(D26,RUC!$B$3:$B$123,RUC!$H$3:$H$123)</f>
        <v>30</v>
      </c>
      <c r="AA26" s="144">
        <f t="shared" si="4"/>
        <v>50</v>
      </c>
      <c r="AB26" s="145">
        <f t="shared" si="21"/>
        <v>1056.4773890000001</v>
      </c>
      <c r="AC26" s="145">
        <f>+(S26-T26)*V26-'data 1'!$F$4</f>
        <v>41.253</v>
      </c>
      <c r="AD26" s="145">
        <f t="shared" si="5"/>
        <v>65.147933805032039</v>
      </c>
      <c r="AE26" s="145">
        <f t="shared" si="6"/>
        <v>-14.884999999999998</v>
      </c>
      <c r="AF26" s="145">
        <f t="shared" si="7"/>
        <v>98.297776487032095</v>
      </c>
      <c r="AG26" s="772">
        <f>AC26+AD26+AE26+AF26+70-53</f>
        <v>206.81371029206412</v>
      </c>
      <c r="AH26" s="1253">
        <f t="shared" si="8"/>
        <v>20.298999999999999</v>
      </c>
      <c r="AI26" s="1253">
        <f t="shared" si="9"/>
        <v>21.498000000000001</v>
      </c>
      <c r="AJ26" s="156">
        <f t="shared" si="10"/>
        <v>-19.822085323032056</v>
      </c>
      <c r="AK26" s="156">
        <f t="shared" si="11"/>
        <v>17.981828897523748</v>
      </c>
      <c r="AM26" s="716">
        <f t="shared" si="12"/>
        <v>2462.6487937590005</v>
      </c>
      <c r="AN26" s="716" t="str">
        <f>_xlfn.XLOOKUP(D26,RUC!$B$3:$B$578,RUC!$M$3:$M$578)</f>
        <v>SIN ACOPIADOR</v>
      </c>
      <c r="AO26" s="1167" t="s">
        <v>2278</v>
      </c>
      <c r="AP26" t="s">
        <v>4564</v>
      </c>
      <c r="AQ26" t="s">
        <v>4565</v>
      </c>
      <c r="AV26" s="1982" t="s">
        <v>4847</v>
      </c>
      <c r="AW26" s="1983"/>
      <c r="AX26" s="1983"/>
      <c r="AY26" s="1983"/>
      <c r="AZ26" s="1983"/>
      <c r="BA26" s="1984"/>
    </row>
    <row r="27" spans="1:56" ht="15" customHeight="1">
      <c r="A27" s="747" t="s">
        <v>4542</v>
      </c>
      <c r="B27" s="1447">
        <v>46057</v>
      </c>
      <c r="C27" s="1447">
        <v>46049</v>
      </c>
      <c r="D27" t="s">
        <v>1967</v>
      </c>
      <c r="E27" s="762">
        <f>_xlfn.XLOOKUP(D27,RUC!$B$3:$B$123,RUC!$D$3:$D$123)</f>
        <v>20601769396</v>
      </c>
      <c r="G27" s="762">
        <v>25</v>
      </c>
      <c r="H27" s="762" t="s">
        <v>108</v>
      </c>
      <c r="I27" s="703">
        <v>2.19</v>
      </c>
      <c r="J27" s="596">
        <v>12.4</v>
      </c>
      <c r="K27" s="703">
        <f t="shared" si="0"/>
        <v>1.9179999999999999</v>
      </c>
      <c r="L27" s="1192">
        <v>0.50700000000000001</v>
      </c>
      <c r="M27" s="994">
        <f t="shared" si="1"/>
        <v>0.47699999999999998</v>
      </c>
      <c r="N27" s="1444">
        <v>0.56299999999999994</v>
      </c>
      <c r="O27" s="645">
        <f t="shared" si="3"/>
        <v>0.52</v>
      </c>
      <c r="P27" s="727">
        <v>90</v>
      </c>
      <c r="Q27" s="1476">
        <v>95.07</v>
      </c>
      <c r="R27" s="706">
        <v>5064.25</v>
      </c>
      <c r="S27" s="765">
        <f>IF((_xlfn.XLOOKUP(D27,RUC!$B$3:$B$119,RUC!$E$3:$E$119)+ROUNDDOWN(O27,1)*100)&lt;95,95,((_xlfn.XLOOKUP(D27,RUC!$B$3:$B$119,RUC!$E$3:$E$119)+ROUNDDOWN(O27,1)*100)))</f>
        <v>140</v>
      </c>
      <c r="U27" s="1146">
        <f>_xlfn.XLOOKUP(D27,RUC!$B$3:$B$123,RUC!$F$3:$F$123)</f>
        <v>120</v>
      </c>
      <c r="V27" s="715">
        <v>1.1023000000000001</v>
      </c>
      <c r="Y27" s="1445">
        <v>30</v>
      </c>
      <c r="Z27" s="1454">
        <v>40</v>
      </c>
      <c r="AA27" s="144">
        <f t="shared" si="4"/>
        <v>70</v>
      </c>
      <c r="AB27" s="145">
        <f t="shared" si="21"/>
        <v>2319.1388907</v>
      </c>
      <c r="AC27" s="145">
        <f>+(S27-T27)*V27-'data 1'!$F$4</f>
        <v>74.322000000000003</v>
      </c>
      <c r="AD27" s="145">
        <f t="shared" si="5"/>
        <v>140.09290734669733</v>
      </c>
      <c r="AE27" s="145">
        <f t="shared" si="6"/>
        <v>7.1610000000000014</v>
      </c>
      <c r="AF27" s="145">
        <f t="shared" si="7"/>
        <v>-67.357673096902559</v>
      </c>
      <c r="AG27" s="772">
        <f t="shared" ref="AG27:AG33" si="29">AC27+AD27+AE27+AF27+70-53</f>
        <v>171.21823424979476</v>
      </c>
      <c r="AH27" s="1253">
        <f t="shared" si="8"/>
        <v>31.696000000000002</v>
      </c>
      <c r="AI27" s="1253">
        <f t="shared" si="9"/>
        <v>33.340000000000003</v>
      </c>
      <c r="AJ27" s="156">
        <f t="shared" si="10"/>
        <v>-23.510644556197505</v>
      </c>
      <c r="AK27" s="156">
        <f t="shared" si="11"/>
        <v>30.775387162993201</v>
      </c>
      <c r="AM27" s="716">
        <f t="shared" si="12"/>
        <v>4448.1083923626002</v>
      </c>
      <c r="AN27" s="716" t="str">
        <f>_xlfn.XLOOKUP(D27,RUC!$B$3:$B$578,RUC!$M$3:$M$578)</f>
        <v>Evelyn</v>
      </c>
      <c r="AO27" s="1167" t="s">
        <v>2277</v>
      </c>
      <c r="AP27" t="s">
        <v>4567</v>
      </c>
      <c r="AQ27" t="s">
        <v>3479</v>
      </c>
      <c r="BA27" s="1482">
        <f>SUM(BA29:BA38)</f>
        <v>0</v>
      </c>
    </row>
    <row r="28" spans="1:56" ht="15" customHeight="1" thickBot="1">
      <c r="A28" s="747" t="s">
        <v>4544</v>
      </c>
      <c r="B28" s="1447">
        <v>46057</v>
      </c>
      <c r="C28" s="1447">
        <v>46049</v>
      </c>
      <c r="D28" t="s">
        <v>1967</v>
      </c>
      <c r="E28" s="762">
        <f>_xlfn.XLOOKUP(D28,RUC!$B$3:$B$123,RUC!$D$3:$D$123)</f>
        <v>20601769396</v>
      </c>
      <c r="G28" s="762">
        <v>20</v>
      </c>
      <c r="H28" s="762" t="s">
        <v>108</v>
      </c>
      <c r="I28" s="703">
        <v>1.74</v>
      </c>
      <c r="J28" s="596">
        <v>12.55</v>
      </c>
      <c r="K28" s="703">
        <f t="shared" si="0"/>
        <v>1.522</v>
      </c>
      <c r="L28" s="1192">
        <v>0.20899999999999999</v>
      </c>
      <c r="M28" s="994">
        <f t="shared" si="1"/>
        <v>0.19</v>
      </c>
      <c r="N28" s="1444">
        <v>0.23300000000000001</v>
      </c>
      <c r="O28" s="645">
        <f t="shared" si="3"/>
        <v>0.21199999999999999</v>
      </c>
      <c r="P28" s="727">
        <v>90</v>
      </c>
      <c r="Q28" s="1476">
        <v>95.69</v>
      </c>
      <c r="R28" s="706">
        <v>5064.25</v>
      </c>
      <c r="S28" s="765">
        <f>IF((_xlfn.XLOOKUP(D28,RUC!$B$3:$B$119,RUC!$E$3:$E$119)+ROUNDDOWN(O28,1)*100)&lt;95,95,((_xlfn.XLOOKUP(D28,RUC!$B$3:$B$119,RUC!$E$3:$E$119)+ROUNDDOWN(O28,1)*100)))</f>
        <v>110</v>
      </c>
      <c r="U28" s="1146">
        <f>_xlfn.XLOOKUP(D28,RUC!$B$3:$B$123,RUC!$F$3:$F$123)</f>
        <v>120</v>
      </c>
      <c r="V28" s="715">
        <v>1.1023000000000001</v>
      </c>
      <c r="Y28" s="1445">
        <v>30</v>
      </c>
      <c r="Z28" s="1454">
        <v>40</v>
      </c>
      <c r="AA28" s="144">
        <f t="shared" si="4"/>
        <v>70</v>
      </c>
      <c r="AB28" s="145">
        <f t="shared" si="21"/>
        <v>841.45492466999997</v>
      </c>
      <c r="AC28" s="145">
        <f>+(S28-T28)*V28-'data 1'!$F$4</f>
        <v>41.253</v>
      </c>
      <c r="AD28" s="145">
        <f t="shared" si="5"/>
        <v>64.812501252977469</v>
      </c>
      <c r="AE28" s="145">
        <f t="shared" si="6"/>
        <v>7.1610000000000014</v>
      </c>
      <c r="AF28" s="145">
        <f t="shared" si="7"/>
        <v>-15.645449276992514</v>
      </c>
      <c r="AG28" s="772">
        <f t="shared" si="29"/>
        <v>114.58105197598496</v>
      </c>
      <c r="AH28" s="1253">
        <f t="shared" si="8"/>
        <v>10.436</v>
      </c>
      <c r="AI28" s="1253">
        <f t="shared" si="9"/>
        <v>10.906000000000001</v>
      </c>
      <c r="AJ28" s="156">
        <f t="shared" si="10"/>
        <v>-9.7549696634774996</v>
      </c>
      <c r="AK28" s="156">
        <f t="shared" si="11"/>
        <v>9.9563944047886803</v>
      </c>
      <c r="AM28" s="716">
        <f t="shared" si="12"/>
        <v>1280.6943953477401</v>
      </c>
      <c r="AN28" s="716" t="str">
        <f>_xlfn.XLOOKUP(D28,RUC!$B$3:$B$578,RUC!$M$3:$M$578)</f>
        <v>Evelyn</v>
      </c>
      <c r="AO28" s="1167" t="s">
        <v>2277</v>
      </c>
      <c r="AP28" t="s">
        <v>4567</v>
      </c>
      <c r="AQ28" t="s">
        <v>3479</v>
      </c>
      <c r="AV28" s="762"/>
      <c r="AW28" s="762" t="s">
        <v>15</v>
      </c>
      <c r="AX28" s="762" t="s">
        <v>2522</v>
      </c>
      <c r="AY28" s="762" t="s">
        <v>2558</v>
      </c>
      <c r="AZ28" s="1483" t="s">
        <v>2598</v>
      </c>
      <c r="BA28" s="762" t="s">
        <v>2559</v>
      </c>
    </row>
    <row r="29" spans="1:56" ht="15" customHeight="1">
      <c r="A29" s="747" t="s">
        <v>4546</v>
      </c>
      <c r="B29" s="1447">
        <v>46062</v>
      </c>
      <c r="C29" s="1447">
        <v>46049</v>
      </c>
      <c r="D29" t="s">
        <v>1967</v>
      </c>
      <c r="E29" s="762">
        <f>_xlfn.XLOOKUP(D29,RUC!$B$3:$B$123,RUC!$D$3:$D$123)</f>
        <v>20601769396</v>
      </c>
      <c r="G29" s="762">
        <v>13</v>
      </c>
      <c r="H29" s="762" t="s">
        <v>69</v>
      </c>
      <c r="I29" s="703">
        <v>0.91</v>
      </c>
      <c r="J29" s="596">
        <v>1.1000000000000001</v>
      </c>
      <c r="K29" s="703">
        <f t="shared" si="0"/>
        <v>0.9</v>
      </c>
      <c r="L29" s="1192">
        <v>0.24099999999999999</v>
      </c>
      <c r="M29" s="994">
        <f t="shared" si="1"/>
        <v>0.222</v>
      </c>
      <c r="N29" s="1196">
        <f t="shared" si="25"/>
        <v>0.222</v>
      </c>
      <c r="O29" s="645">
        <f t="shared" si="3"/>
        <v>0.222</v>
      </c>
      <c r="P29" s="727">
        <v>90</v>
      </c>
      <c r="Q29" s="1476">
        <v>91.29</v>
      </c>
      <c r="R29" s="706">
        <v>5064.25</v>
      </c>
      <c r="S29" s="765">
        <f>IF((_xlfn.XLOOKUP(D29,RUC!$B$3:$B$119,RUC!$E$3:$E$119)+ROUNDDOWN(O29,1)*100)&lt;95,95,((_xlfn.XLOOKUP(D29,RUC!$B$3:$B$119,RUC!$E$3:$E$119)+ROUNDDOWN(O29,1)*100)))</f>
        <v>110</v>
      </c>
      <c r="U29" s="1146">
        <f>_xlfn.XLOOKUP(D29,RUC!$B$3:$B$123,RUC!$F$3:$F$123)</f>
        <v>120</v>
      </c>
      <c r="V29" s="715">
        <v>1.1023000000000001</v>
      </c>
      <c r="Y29">
        <f>_xlfn.XLOOKUP(D29,RUC!$B$3:$B$123,RUC!$G$3:$G$123)</f>
        <v>20</v>
      </c>
      <c r="Z29" s="143">
        <f>_xlfn.XLOOKUP(D29,RUC!$B$3:$B$123,RUC!$H$3:$H$123)</f>
        <v>30</v>
      </c>
      <c r="AA29" s="144">
        <f t="shared" si="4"/>
        <v>50</v>
      </c>
      <c r="AB29" s="145">
        <f t="shared" si="21"/>
        <v>912.55134564500008</v>
      </c>
      <c r="AC29" s="145">
        <f>+(S29-T29)*V29-'data 1'!$F$4</f>
        <v>41.253</v>
      </c>
      <c r="AD29" s="145">
        <f t="shared" si="5"/>
        <v>16.943650418797585</v>
      </c>
      <c r="AE29" s="145">
        <f t="shared" si="6"/>
        <v>-14.884999999999998</v>
      </c>
      <c r="AF29" s="145">
        <f t="shared" si="7"/>
        <v>94.531606317052464</v>
      </c>
      <c r="AG29" s="772">
        <f t="shared" si="29"/>
        <v>154.84325673585005</v>
      </c>
      <c r="AH29" s="1253">
        <f t="shared" si="8"/>
        <v>6.7889999999999997</v>
      </c>
      <c r="AI29" s="1253">
        <f t="shared" si="9"/>
        <v>7.4370000000000003</v>
      </c>
      <c r="AJ29" s="156">
        <f t="shared" si="10"/>
        <v>-10.731324613297499</v>
      </c>
      <c r="AK29" s="156">
        <f t="shared" si="11"/>
        <v>6.1651984791510008</v>
      </c>
      <c r="AM29" s="716">
        <f t="shared" si="12"/>
        <v>821.29621108050014</v>
      </c>
      <c r="AN29" s="716" t="str">
        <f>_xlfn.XLOOKUP(D29,RUC!$B$3:$B$578,RUC!$M$3:$M$578)</f>
        <v>Evelyn</v>
      </c>
      <c r="AO29" s="1167" t="s">
        <v>2279</v>
      </c>
      <c r="AP29" t="s">
        <v>4567</v>
      </c>
      <c r="AQ29" t="s">
        <v>3479</v>
      </c>
      <c r="AV29" s="1556" t="s">
        <v>2277</v>
      </c>
      <c r="AW29" s="1227">
        <f t="shared" ref="AW29:AW38" si="30">SUMIF($AO$4:$AO$747,AV29,$K$4:$K$747)</f>
        <v>105.83699999999999</v>
      </c>
      <c r="AX29" s="1227"/>
      <c r="AY29" s="1229">
        <f t="shared" ref="AY29:AY38" si="31">AW29*AX29*31.1035*1.1023</f>
        <v>0</v>
      </c>
      <c r="AZ29" s="596"/>
      <c r="BA29" s="1255">
        <f t="shared" ref="BA29:BA38" si="32">AY29*AZ29/100</f>
        <v>0</v>
      </c>
      <c r="BB29" s="1573" t="s">
        <v>5031</v>
      </c>
      <c r="BC29" s="1574">
        <f ca="1">+BB7</f>
        <v>4740.6729999999998</v>
      </c>
    </row>
    <row r="30" spans="1:56" ht="15" customHeight="1">
      <c r="A30" s="747" t="s">
        <v>4547</v>
      </c>
      <c r="B30" s="1447">
        <v>46057</v>
      </c>
      <c r="C30" s="1447">
        <v>46049</v>
      </c>
      <c r="D30" t="s">
        <v>1967</v>
      </c>
      <c r="E30" s="762">
        <f>_xlfn.XLOOKUP(D30,RUC!$B$3:$B$123,RUC!$D$3:$D$123)</f>
        <v>20601769396</v>
      </c>
      <c r="G30" s="762">
        <v>34</v>
      </c>
      <c r="H30" s="762" t="s">
        <v>108</v>
      </c>
      <c r="I30" s="703">
        <v>3.34</v>
      </c>
      <c r="J30" s="596">
        <v>9.5</v>
      </c>
      <c r="K30" s="703">
        <f t="shared" si="0"/>
        <v>3.0230000000000001</v>
      </c>
      <c r="L30" s="1192">
        <v>0.29599999999999999</v>
      </c>
      <c r="M30" s="994">
        <f t="shared" si="1"/>
        <v>0.27700000000000002</v>
      </c>
      <c r="N30" s="1196">
        <f t="shared" si="25"/>
        <v>0.27700000000000002</v>
      </c>
      <c r="O30" s="645">
        <f t="shared" si="3"/>
        <v>0.27700000000000002</v>
      </c>
      <c r="P30" s="727">
        <v>89</v>
      </c>
      <c r="Q30" s="1476">
        <v>89.53</v>
      </c>
      <c r="R30" s="706">
        <v>5064.25</v>
      </c>
      <c r="S30" s="765">
        <f>IF((_xlfn.XLOOKUP(D30,RUC!$B$3:$B$119,RUC!$E$3:$E$119)+ROUNDDOWN(O30,1)*100)&lt;95,95,((_xlfn.XLOOKUP(D30,RUC!$B$3:$B$119,RUC!$E$3:$E$119)+ROUNDDOWN(O30,1)*100)))</f>
        <v>110</v>
      </c>
      <c r="U30" s="1146">
        <f>_xlfn.XLOOKUP(D30,RUC!$B$3:$B$123,RUC!$F$3:$F$123)</f>
        <v>120</v>
      </c>
      <c r="V30" s="715">
        <v>1.1023000000000001</v>
      </c>
      <c r="Y30" s="1445">
        <v>30</v>
      </c>
      <c r="Z30" s="1454">
        <v>40</v>
      </c>
      <c r="AA30" s="144">
        <f t="shared" si="4"/>
        <v>70</v>
      </c>
      <c r="AB30" s="145">
        <f t="shared" si="21"/>
        <v>1145.1860314407504</v>
      </c>
      <c r="AC30" s="145">
        <f>+(S30-T30)*V30-'data 1'!$F$4</f>
        <v>41.253</v>
      </c>
      <c r="AD30" s="145">
        <f t="shared" si="5"/>
        <v>8.5500333806200182</v>
      </c>
      <c r="AE30" s="145">
        <f t="shared" si="6"/>
        <v>7.1610000000000014</v>
      </c>
      <c r="AF30" s="145">
        <f t="shared" si="7"/>
        <v>92.709110675492326</v>
      </c>
      <c r="AG30" s="772">
        <f t="shared" si="29"/>
        <v>166.67314405611233</v>
      </c>
      <c r="AH30" s="1253">
        <f t="shared" si="8"/>
        <v>27.466999999999999</v>
      </c>
      <c r="AI30" s="1253">
        <f t="shared" si="9"/>
        <v>30.678999999999998</v>
      </c>
      <c r="AJ30" s="156">
        <f t="shared" si="10"/>
        <v>-12.92627461062</v>
      </c>
      <c r="AK30" s="156">
        <f t="shared" si="11"/>
        <v>25.551534812366736</v>
      </c>
      <c r="AM30" s="716">
        <f t="shared" si="12"/>
        <v>3461.8973730453886</v>
      </c>
      <c r="AN30" s="716" t="str">
        <f>_xlfn.XLOOKUP(D30,RUC!$B$3:$B$578,RUC!$M$3:$M$578)</f>
        <v>Evelyn</v>
      </c>
      <c r="AO30" s="1167" t="s">
        <v>2277</v>
      </c>
      <c r="AP30" t="s">
        <v>4567</v>
      </c>
      <c r="AQ30" t="s">
        <v>3479</v>
      </c>
      <c r="AV30" s="1557" t="s">
        <v>2278</v>
      </c>
      <c r="AW30" s="703">
        <f t="shared" si="30"/>
        <v>142.24499999999998</v>
      </c>
      <c r="AX30" s="703"/>
      <c r="AY30" s="596">
        <f t="shared" si="31"/>
        <v>0</v>
      </c>
      <c r="AZ30" s="596"/>
      <c r="BA30" s="1256">
        <f t="shared" si="32"/>
        <v>0</v>
      </c>
      <c r="BB30" s="1575" t="s">
        <v>5032</v>
      </c>
      <c r="BC30" s="1576">
        <f>+'38'!BC32+'38'!BC33</f>
        <v>1562.5</v>
      </c>
    </row>
    <row r="31" spans="1:56" ht="15" customHeight="1">
      <c r="A31" s="747" t="s">
        <v>4548</v>
      </c>
      <c r="B31" s="1447">
        <v>46057</v>
      </c>
      <c r="C31" s="1447">
        <v>46049</v>
      </c>
      <c r="D31" t="s">
        <v>1967</v>
      </c>
      <c r="E31" s="762">
        <f>_xlfn.XLOOKUP(D31,RUC!$B$3:$B$123,RUC!$D$3:$D$123)</f>
        <v>20601769396</v>
      </c>
      <c r="G31" s="762">
        <v>34</v>
      </c>
      <c r="H31" s="762" t="s">
        <v>108</v>
      </c>
      <c r="I31" s="703">
        <v>3.08</v>
      </c>
      <c r="J31" s="596">
        <v>10.4</v>
      </c>
      <c r="K31" s="703">
        <f t="shared" si="0"/>
        <v>2.76</v>
      </c>
      <c r="L31" s="1192">
        <v>0.38400000000000001</v>
      </c>
      <c r="M31" s="994">
        <f t="shared" si="1"/>
        <v>0.36099999999999999</v>
      </c>
      <c r="N31" s="1196">
        <f t="shared" si="25"/>
        <v>0.36099999999999999</v>
      </c>
      <c r="O31" s="645">
        <f t="shared" si="3"/>
        <v>0.36099999999999999</v>
      </c>
      <c r="P31" s="727">
        <v>90</v>
      </c>
      <c r="Q31" s="1476">
        <v>93.49</v>
      </c>
      <c r="R31" s="706">
        <v>5064.25</v>
      </c>
      <c r="S31" s="765">
        <f>IF((_xlfn.XLOOKUP(D31,RUC!$B$3:$B$119,RUC!$E$3:$E$119)+ROUNDDOWN(O31,1)*100)&lt;95,95,((_xlfn.XLOOKUP(D31,RUC!$B$3:$B$119,RUC!$E$3:$E$119)+ROUNDDOWN(O31,1)*100)))</f>
        <v>120</v>
      </c>
      <c r="U31" s="1146">
        <f>_xlfn.XLOOKUP(D31,RUC!$B$3:$B$123,RUC!$F$3:$F$123)</f>
        <v>120</v>
      </c>
      <c r="V31" s="715">
        <v>1.1023000000000001</v>
      </c>
      <c r="Y31" s="1445">
        <v>30</v>
      </c>
      <c r="Z31" s="1454">
        <v>40</v>
      </c>
      <c r="AA31" s="144">
        <f t="shared" si="4"/>
        <v>70</v>
      </c>
      <c r="AB31" s="145">
        <f t="shared" si="21"/>
        <v>1561.2831971975002</v>
      </c>
      <c r="AC31" s="145">
        <f>+(S31-T31)*V31-'data 1'!$F$4</f>
        <v>52.27600000000001</v>
      </c>
      <c r="AD31" s="145">
        <f t="shared" si="5"/>
        <v>73.039346859839895</v>
      </c>
      <c r="AE31" s="145">
        <f t="shared" si="6"/>
        <v>7.1610000000000014</v>
      </c>
      <c r="AF31" s="145">
        <f t="shared" si="7"/>
        <v>117.19072078879259</v>
      </c>
      <c r="AG31" s="772">
        <f t="shared" si="29"/>
        <v>266.6670676486325</v>
      </c>
      <c r="AH31" s="1253">
        <f t="shared" si="8"/>
        <v>33.970999999999997</v>
      </c>
      <c r="AI31" s="1253">
        <f t="shared" si="9"/>
        <v>36.337000000000003</v>
      </c>
      <c r="AJ31" s="156">
        <f t="shared" si="10"/>
        <v>-17.510940267839999</v>
      </c>
      <c r="AK31" s="156">
        <f t="shared" si="11"/>
        <v>30.7445303137482</v>
      </c>
      <c r="AM31" s="716">
        <f t="shared" si="12"/>
        <v>4309.1416242651003</v>
      </c>
      <c r="AN31" s="716" t="str">
        <f>_xlfn.XLOOKUP(D31,RUC!$B$3:$B$578,RUC!$M$3:$M$578)</f>
        <v>Evelyn</v>
      </c>
      <c r="AO31" s="1167" t="s">
        <v>2277</v>
      </c>
      <c r="AP31" t="s">
        <v>4567</v>
      </c>
      <c r="AQ31" t="s">
        <v>3479</v>
      </c>
      <c r="AV31" s="1557" t="s">
        <v>2280</v>
      </c>
      <c r="AW31" s="703">
        <f t="shared" si="30"/>
        <v>143.89699999999996</v>
      </c>
      <c r="AX31" s="703"/>
      <c r="AY31" s="596">
        <f t="shared" si="31"/>
        <v>0</v>
      </c>
      <c r="AZ31" s="596"/>
      <c r="BA31" s="1256">
        <f t="shared" si="32"/>
        <v>0</v>
      </c>
      <c r="BB31" s="1577" t="s">
        <v>5306</v>
      </c>
      <c r="BC31" s="1675">
        <f>4860.96</f>
        <v>4860.96</v>
      </c>
    </row>
    <row r="32" spans="1:56" ht="15" customHeight="1">
      <c r="A32" s="747" t="s">
        <v>4549</v>
      </c>
      <c r="B32" s="1447">
        <v>46057</v>
      </c>
      <c r="C32" s="1447">
        <v>46049</v>
      </c>
      <c r="D32" t="s">
        <v>1967</v>
      </c>
      <c r="E32" s="762">
        <f>_xlfn.XLOOKUP(D32,RUC!$B$3:$B$123,RUC!$D$3:$D$123)</f>
        <v>20601769396</v>
      </c>
      <c r="G32" s="762">
        <v>34</v>
      </c>
      <c r="H32" s="762" t="s">
        <v>108</v>
      </c>
      <c r="I32" s="703">
        <v>3.19</v>
      </c>
      <c r="J32" s="596">
        <v>8.9</v>
      </c>
      <c r="K32" s="703">
        <f t="shared" si="0"/>
        <v>2.9060000000000001</v>
      </c>
      <c r="L32" s="1192">
        <v>0.28000000000000003</v>
      </c>
      <c r="M32" s="994">
        <f t="shared" si="1"/>
        <v>0.26100000000000001</v>
      </c>
      <c r="N32" s="1196">
        <f t="shared" si="25"/>
        <v>0.26100000000000001</v>
      </c>
      <c r="O32" s="645">
        <f t="shared" si="3"/>
        <v>0.26100000000000001</v>
      </c>
      <c r="P32" s="727">
        <v>90</v>
      </c>
      <c r="Q32" s="1476">
        <v>93.21</v>
      </c>
      <c r="R32" s="706">
        <v>5064.25</v>
      </c>
      <c r="S32" s="765">
        <f>IF((_xlfn.XLOOKUP(D32,RUC!$B$3:$B$119,RUC!$E$3:$E$119)+ROUNDDOWN(O32,1)*100)&lt;95,95,((_xlfn.XLOOKUP(D32,RUC!$B$3:$B$119,RUC!$E$3:$E$119)+ROUNDDOWN(O32,1)*100)))</f>
        <v>110</v>
      </c>
      <c r="U32" s="1146">
        <f>_xlfn.XLOOKUP(D32,RUC!$B$3:$B$123,RUC!$F$3:$F$123)</f>
        <v>120</v>
      </c>
      <c r="V32" s="715">
        <v>1.1023000000000001</v>
      </c>
      <c r="Y32" s="1445">
        <v>30</v>
      </c>
      <c r="Z32" s="1454">
        <v>40</v>
      </c>
      <c r="AA32" s="144">
        <f t="shared" si="4"/>
        <v>70</v>
      </c>
      <c r="AB32" s="145">
        <f t="shared" si="21"/>
        <v>1081.8019874475003</v>
      </c>
      <c r="AC32" s="145">
        <f>+(S32-T32)*V32-'data 1'!$F$4</f>
        <v>41.253</v>
      </c>
      <c r="AD32" s="145">
        <f t="shared" si="5"/>
        <v>48.985020413699907</v>
      </c>
      <c r="AE32" s="145">
        <f t="shared" si="6"/>
        <v>7.1610000000000014</v>
      </c>
      <c r="AF32" s="145">
        <f t="shared" si="7"/>
        <v>96.519783380572576</v>
      </c>
      <c r="AG32" s="772">
        <f t="shared" si="29"/>
        <v>210.91880379427249</v>
      </c>
      <c r="AH32" s="1253">
        <f t="shared" si="8"/>
        <v>26.003</v>
      </c>
      <c r="AI32" s="1253">
        <f t="shared" si="9"/>
        <v>27.896999999999998</v>
      </c>
      <c r="AJ32" s="156">
        <f t="shared" si="10"/>
        <v>-12.730152953699999</v>
      </c>
      <c r="AK32" s="156">
        <f t="shared" si="11"/>
        <v>23.403871019458176</v>
      </c>
      <c r="AM32" s="716">
        <f t="shared" si="12"/>
        <v>3143.716575522436</v>
      </c>
      <c r="AN32" s="716" t="str">
        <f>_xlfn.XLOOKUP(D32,RUC!$B$3:$B$578,RUC!$M$3:$M$578)</f>
        <v>Evelyn</v>
      </c>
      <c r="AO32" s="1167" t="s">
        <v>2277</v>
      </c>
      <c r="AP32" t="s">
        <v>4567</v>
      </c>
      <c r="AQ32" t="s">
        <v>3479</v>
      </c>
      <c r="AV32" s="1557" t="s">
        <v>2279</v>
      </c>
      <c r="AW32" s="703">
        <f t="shared" si="30"/>
        <v>101.11500000000001</v>
      </c>
      <c r="AX32" s="703"/>
      <c r="AY32" s="596">
        <f t="shared" si="31"/>
        <v>0</v>
      </c>
      <c r="AZ32" s="596"/>
      <c r="BA32" s="1256">
        <f t="shared" si="32"/>
        <v>0</v>
      </c>
      <c r="BB32" s="1577" t="s">
        <v>5033</v>
      </c>
      <c r="BC32" s="1675"/>
    </row>
    <row r="33" spans="1:56" ht="15" customHeight="1">
      <c r="A33" s="747" t="s">
        <v>4550</v>
      </c>
      <c r="B33" s="1447">
        <v>46058</v>
      </c>
      <c r="C33" s="1447">
        <v>46049</v>
      </c>
      <c r="D33" t="s">
        <v>1967</v>
      </c>
      <c r="E33" s="762">
        <f>_xlfn.XLOOKUP(D33,RUC!$B$3:$B$123,RUC!$D$3:$D$123)</f>
        <v>20601769396</v>
      </c>
      <c r="G33" s="762">
        <v>30</v>
      </c>
      <c r="H33" s="762" t="s">
        <v>108</v>
      </c>
      <c r="I33" s="703">
        <v>2.48</v>
      </c>
      <c r="J33" s="596">
        <v>7.15</v>
      </c>
      <c r="K33" s="703">
        <f t="shared" si="0"/>
        <v>2.3029999999999999</v>
      </c>
      <c r="L33" s="1192">
        <v>0.26400000000000001</v>
      </c>
      <c r="M33" s="994">
        <f t="shared" si="1"/>
        <v>0.245</v>
      </c>
      <c r="N33" s="1196">
        <f t="shared" si="25"/>
        <v>0.245</v>
      </c>
      <c r="O33" s="645">
        <f t="shared" si="3"/>
        <v>0.245</v>
      </c>
      <c r="P33" s="727">
        <v>90</v>
      </c>
      <c r="Q33" s="1476">
        <v>95.45</v>
      </c>
      <c r="R33" s="706">
        <v>5064.25</v>
      </c>
      <c r="S33" s="765">
        <f>IF((_xlfn.XLOOKUP(D33,RUC!$B$3:$B$119,RUC!$E$3:$E$119)+ROUNDDOWN(O33,1)*100)&lt;95,95,((_xlfn.XLOOKUP(D33,RUC!$B$3:$B$119,RUC!$E$3:$E$119)+ROUNDDOWN(O33,1)*100)))</f>
        <v>110</v>
      </c>
      <c r="U33" s="1146">
        <f>_xlfn.XLOOKUP(D33,RUC!$B$3:$B$123,RUC!$F$3:$F$123)</f>
        <v>120</v>
      </c>
      <c r="V33" s="715">
        <v>1.1023000000000001</v>
      </c>
      <c r="Y33" s="1445">
        <v>30</v>
      </c>
      <c r="Z33" s="1454">
        <v>40</v>
      </c>
      <c r="AA33" s="144">
        <f t="shared" si="4"/>
        <v>70</v>
      </c>
      <c r="AB33" s="145">
        <f t="shared" si="21"/>
        <v>1003.3213138875002</v>
      </c>
      <c r="AC33" s="145">
        <f>+(S33-T33)*V33-'data 1'!$F$4</f>
        <v>41.253</v>
      </c>
      <c r="AD33" s="145">
        <f t="shared" si="5"/>
        <v>78.415272998700047</v>
      </c>
      <c r="AE33" s="145">
        <f t="shared" si="6"/>
        <v>7.1610000000000014</v>
      </c>
      <c r="AF33" s="145">
        <f t="shared" si="7"/>
        <v>98.839323288012608</v>
      </c>
      <c r="AG33" s="772">
        <f t="shared" si="29"/>
        <v>242.66859628671267</v>
      </c>
      <c r="AH33" s="1253">
        <f t="shared" si="8"/>
        <v>19.896999999999998</v>
      </c>
      <c r="AI33" s="1253">
        <f t="shared" si="9"/>
        <v>20.844999999999999</v>
      </c>
      <c r="AJ33" s="156">
        <f t="shared" si="10"/>
        <v>-12.291161978700002</v>
      </c>
      <c r="AK33" s="156">
        <f t="shared" si="11"/>
        <v>17.410514333752577</v>
      </c>
      <c r="AM33" s="716">
        <f t="shared" si="12"/>
        <v>2310.6489858829127</v>
      </c>
      <c r="AN33" s="716" t="str">
        <f>_xlfn.XLOOKUP(D33,RUC!$B$3:$B$578,RUC!$M$3:$M$578)</f>
        <v>Evelyn</v>
      </c>
      <c r="AO33" s="1167" t="s">
        <v>2279</v>
      </c>
      <c r="AP33" t="s">
        <v>4567</v>
      </c>
      <c r="AQ33" t="s">
        <v>3479</v>
      </c>
      <c r="AV33" s="1557" t="s">
        <v>2281</v>
      </c>
      <c r="AW33" s="703">
        <f t="shared" si="30"/>
        <v>0</v>
      </c>
      <c r="AX33" s="703"/>
      <c r="AY33" s="596">
        <f t="shared" si="31"/>
        <v>0</v>
      </c>
      <c r="AZ33" s="596"/>
      <c r="BA33" s="1256">
        <f t="shared" si="32"/>
        <v>0</v>
      </c>
      <c r="BB33" s="1577" t="s">
        <v>5034</v>
      </c>
      <c r="BC33" s="1581">
        <v>267</v>
      </c>
    </row>
    <row r="34" spans="1:56" ht="15" customHeight="1">
      <c r="A34" s="747" t="s">
        <v>4555</v>
      </c>
      <c r="B34" s="1447">
        <v>45691</v>
      </c>
      <c r="C34" s="1447">
        <v>46050</v>
      </c>
      <c r="D34" t="s">
        <v>4558</v>
      </c>
      <c r="E34" s="762">
        <f>_xlfn.XLOOKUP(D34,RUC!$B$3:$B$123,RUC!$D$3:$D$123)</f>
        <v>20614635101</v>
      </c>
      <c r="G34" s="762">
        <v>50</v>
      </c>
      <c r="H34" s="762" t="s">
        <v>69</v>
      </c>
      <c r="I34" s="703">
        <v>5.63</v>
      </c>
      <c r="J34" s="596">
        <v>1.4</v>
      </c>
      <c r="K34" s="703">
        <f t="shared" si="0"/>
        <v>5.5510000000000002</v>
      </c>
      <c r="L34" s="1192">
        <v>0.432</v>
      </c>
      <c r="M34" s="994">
        <f t="shared" si="1"/>
        <v>0.40600000000000003</v>
      </c>
      <c r="N34" s="1196">
        <f t="shared" si="25"/>
        <v>0.40600000000000003</v>
      </c>
      <c r="O34" s="645">
        <f t="shared" si="3"/>
        <v>0.40600000000000003</v>
      </c>
      <c r="P34" s="727">
        <v>90</v>
      </c>
      <c r="Q34" s="1476">
        <v>95.37</v>
      </c>
      <c r="R34" s="706">
        <v>5306.95</v>
      </c>
      <c r="S34" s="765">
        <f>IF((_xlfn.XLOOKUP(D34,RUC!$B$3:$B$119,RUC!$E$3:$E$119)+ROUNDDOWN(O34,1)*100)&lt;95,95,((_xlfn.XLOOKUP(D34,RUC!$B$3:$B$119,RUC!$E$3:$E$119)+ROUNDDOWN(O34,1)*100)))</f>
        <v>120</v>
      </c>
      <c r="U34" s="1146">
        <f>_xlfn.XLOOKUP(D34,RUC!$B$3:$B$123,RUC!$F$3:$F$123)</f>
        <v>100</v>
      </c>
      <c r="V34" s="715">
        <v>1.1023000000000001</v>
      </c>
      <c r="Y34">
        <f>_xlfn.XLOOKUP(D34,RUC!$B$3:$B$123,RUC!$G$3:$G$123)</f>
        <v>0</v>
      </c>
      <c r="Z34" s="143">
        <f>_xlfn.XLOOKUP(D34,RUC!$B$3:$B$123,RUC!$H$3:$H$123)</f>
        <v>30</v>
      </c>
      <c r="AA34" s="144">
        <f t="shared" si="4"/>
        <v>30</v>
      </c>
      <c r="AB34" s="145">
        <f t="shared" si="21"/>
        <v>1931.9125079189998</v>
      </c>
      <c r="AC34" s="145">
        <f>+(S34-T34)*V34-'data 1'!$F$4</f>
        <v>52.27600000000001</v>
      </c>
      <c r="AD34" s="145">
        <f t="shared" si="5"/>
        <v>133.15002345842413</v>
      </c>
      <c r="AE34" s="145">
        <f t="shared" si="6"/>
        <v>-36.930999999999997</v>
      </c>
      <c r="AF34" s="145">
        <f t="shared" si="7"/>
        <v>142.32078986825681</v>
      </c>
      <c r="AG34" s="772">
        <f t="shared" ref="AG34" si="33">AC34+AD34+AE34+AF34+70-10</f>
        <v>350.815813326681</v>
      </c>
      <c r="AH34" s="1253">
        <f t="shared" si="8"/>
        <v>78.411000000000001</v>
      </c>
      <c r="AI34" s="1253">
        <f t="shared" si="9"/>
        <v>82.216999999999999</v>
      </c>
      <c r="AJ34" s="156">
        <f t="shared" si="10"/>
        <v>-139.40006445842394</v>
      </c>
      <c r="AK34" s="156">
        <f t="shared" si="11"/>
        <v>69.542266284551985</v>
      </c>
      <c r="AM34" s="716">
        <f t="shared" si="12"/>
        <v>10724.046331458369</v>
      </c>
      <c r="AN34" s="716" t="str">
        <f>_xlfn.XLOOKUP(D34,RUC!$B$3:$B$578,RUC!$M$3:$M$578)</f>
        <v>Ronald Garibay</v>
      </c>
      <c r="AO34" s="1167" t="s">
        <v>2277</v>
      </c>
      <c r="AP34" t="s">
        <v>4569</v>
      </c>
      <c r="AQ34" t="s">
        <v>4570</v>
      </c>
      <c r="AV34" s="1557" t="s">
        <v>2297</v>
      </c>
      <c r="AW34" s="703">
        <f t="shared" si="30"/>
        <v>0</v>
      </c>
      <c r="AY34" s="596">
        <f t="shared" si="31"/>
        <v>0</v>
      </c>
      <c r="BA34" s="1256">
        <f t="shared" si="32"/>
        <v>0</v>
      </c>
      <c r="BB34" s="1579" t="s">
        <v>3206</v>
      </c>
      <c r="BC34" s="1825">
        <f ca="1">-BC29-BC30+BC31+BC32+BC33</f>
        <v>-1175.2129999999997</v>
      </c>
      <c r="BD34" s="1514"/>
    </row>
    <row r="35" spans="1:56" ht="15" customHeight="1">
      <c r="A35" s="747" t="s">
        <v>4571</v>
      </c>
      <c r="B35" s="1447">
        <v>46058</v>
      </c>
      <c r="C35" s="1447">
        <v>46052</v>
      </c>
      <c r="D35" t="s">
        <v>1967</v>
      </c>
      <c r="E35" s="762">
        <f>_xlfn.XLOOKUP(D35,RUC!$B$3:$B$123,RUC!$D$3:$D$123)</f>
        <v>20601769396</v>
      </c>
      <c r="G35" s="762">
        <v>16</v>
      </c>
      <c r="H35" s="762" t="s">
        <v>2005</v>
      </c>
      <c r="I35" s="703">
        <v>1.3</v>
      </c>
      <c r="J35" s="596">
        <v>7.08</v>
      </c>
      <c r="K35" s="703">
        <f t="shared" si="0"/>
        <v>1.208</v>
      </c>
      <c r="L35" s="1192">
        <v>0.22</v>
      </c>
      <c r="M35" s="994">
        <f t="shared" si="1"/>
        <v>0.20100000000000001</v>
      </c>
      <c r="N35" s="1196">
        <f t="shared" si="25"/>
        <v>0.20100000000000001</v>
      </c>
      <c r="O35" s="645">
        <f t="shared" si="3"/>
        <v>0.20100000000000001</v>
      </c>
      <c r="P35" s="727">
        <v>88</v>
      </c>
      <c r="Q35" s="1476">
        <v>88.64</v>
      </c>
      <c r="R35" s="706">
        <v>4981.8500000000004</v>
      </c>
      <c r="S35" s="765">
        <f>IF((_xlfn.XLOOKUP(D35,RUC!$B$3:$B$119,RUC!$E$3:$E$119)+ROUNDDOWN(O35,1)*100)&lt;95,95,((_xlfn.XLOOKUP(D35,RUC!$B$3:$B$119,RUC!$E$3:$E$119)+ROUNDDOWN(O35,1)*100)))</f>
        <v>110</v>
      </c>
      <c r="U35" s="1146">
        <f>_xlfn.XLOOKUP(D35,RUC!$B$3:$B$123,RUC!$F$3:$F$123)</f>
        <v>120</v>
      </c>
      <c r="V35" s="715">
        <v>1.1023000000000001</v>
      </c>
      <c r="Y35" s="1445"/>
      <c r="Z35" s="143">
        <f>_xlfn.XLOOKUP(D35,RUC!$B$3:$B$123,RUC!$H$3:$H$123)</f>
        <v>30</v>
      </c>
      <c r="AA35" s="144">
        <f t="shared" si="4"/>
        <v>30</v>
      </c>
      <c r="AB35" s="758">
        <f t="shared" si="21"/>
        <v>793.61634806440031</v>
      </c>
      <c r="AC35" s="145">
        <f>+(S35-T35)*V35-'data 1'!$F$4</f>
        <v>41.253</v>
      </c>
      <c r="AD35" s="145">
        <f t="shared" si="5"/>
        <v>7.5457778950400085</v>
      </c>
      <c r="AE35" s="145">
        <f t="shared" si="6"/>
        <v>-36.930999999999997</v>
      </c>
      <c r="AF35" s="145">
        <f t="shared" si="7"/>
        <v>90.257793321807952</v>
      </c>
      <c r="AG35" s="772">
        <f>AC35+AD35+AE35+AF35+70-53</f>
        <v>119.12557121684796</v>
      </c>
      <c r="AH35" s="1253">
        <f t="shared" si="8"/>
        <v>8.077</v>
      </c>
      <c r="AI35" s="1253">
        <f t="shared" si="9"/>
        <v>9.1120000000000001</v>
      </c>
      <c r="AJ35" s="156">
        <f t="shared" si="10"/>
        <v>8.2006216969599226</v>
      </c>
      <c r="AK35" s="156">
        <f t="shared" si="11"/>
        <v>7.3257945214470723</v>
      </c>
      <c r="AM35" s="716">
        <f t="shared" si="12"/>
        <v>958.68854846179556</v>
      </c>
      <c r="AN35" s="716" t="str">
        <f>_xlfn.XLOOKUP(D35,RUC!$B$3:$B$578,RUC!$M$3:$M$578)</f>
        <v>Evelyn</v>
      </c>
      <c r="AO35" s="1167" t="s">
        <v>2277</v>
      </c>
      <c r="AP35" t="s">
        <v>4638</v>
      </c>
      <c r="AQ35" t="s">
        <v>4639</v>
      </c>
      <c r="AV35" s="1557" t="s">
        <v>2518</v>
      </c>
      <c r="AW35" s="703">
        <f t="shared" si="30"/>
        <v>0</v>
      </c>
      <c r="AY35" s="596">
        <f t="shared" si="31"/>
        <v>0</v>
      </c>
      <c r="BA35" s="1256">
        <f t="shared" si="32"/>
        <v>0</v>
      </c>
    </row>
    <row r="36" spans="1:56" ht="15" customHeight="1">
      <c r="A36" s="747" t="s">
        <v>4572</v>
      </c>
      <c r="B36" s="1447">
        <v>46058</v>
      </c>
      <c r="C36" s="1447">
        <v>46052</v>
      </c>
      <c r="D36" t="s">
        <v>1967</v>
      </c>
      <c r="E36" s="762">
        <f>_xlfn.XLOOKUP(D36,RUC!$B$3:$B$123,RUC!$D$3:$D$123)</f>
        <v>20601769396</v>
      </c>
      <c r="G36" s="762">
        <v>78</v>
      </c>
      <c r="H36" s="762" t="s">
        <v>2005</v>
      </c>
      <c r="I36" s="703">
        <v>6.64</v>
      </c>
      <c r="J36" s="596">
        <v>12.08</v>
      </c>
      <c r="K36" s="703">
        <f t="shared" si="0"/>
        <v>5.8380000000000001</v>
      </c>
      <c r="L36" s="1192">
        <v>0.30399999999999999</v>
      </c>
      <c r="M36" s="994">
        <f t="shared" si="1"/>
        <v>0.28599999999999998</v>
      </c>
      <c r="N36" s="1196">
        <f t="shared" si="25"/>
        <v>0.28599999999999998</v>
      </c>
      <c r="O36" s="645">
        <f t="shared" si="3"/>
        <v>0.28599999999999998</v>
      </c>
      <c r="P36" s="727">
        <v>90</v>
      </c>
      <c r="Q36" s="1476">
        <v>90.79</v>
      </c>
      <c r="R36" s="706">
        <v>4981.8500000000004</v>
      </c>
      <c r="S36" s="765">
        <f>IF((_xlfn.XLOOKUP(D36,RUC!$B$3:$B$119,RUC!$E$3:$E$119)+ROUNDDOWN(O36,1)*100)&lt;95,95,((_xlfn.XLOOKUP(D36,RUC!$B$3:$B$119,RUC!$E$3:$E$119)+ROUNDDOWN(O36,1)*100)))</f>
        <v>110</v>
      </c>
      <c r="U36" s="1146">
        <f>_xlfn.XLOOKUP(D36,RUC!$B$3:$B$123,RUC!$F$3:$F$123)</f>
        <v>120</v>
      </c>
      <c r="V36" s="715">
        <v>1.1023000000000001</v>
      </c>
      <c r="Y36" s="1445"/>
      <c r="Z36" s="143">
        <f>_xlfn.XLOOKUP(D36,RUC!$B$3:$B$123,RUC!$H$3:$H$123)</f>
        <v>30</v>
      </c>
      <c r="AA36" s="144">
        <f t="shared" si="4"/>
        <v>30</v>
      </c>
      <c r="AB36" s="758">
        <f t="shared" si="21"/>
        <v>1225.1405214370002</v>
      </c>
      <c r="AC36" s="145">
        <f>+(S36-T36)*V36-'data 1'!$F$4</f>
        <v>41.253</v>
      </c>
      <c r="AD36" s="145">
        <f t="shared" si="5"/>
        <v>12.870696159608105</v>
      </c>
      <c r="AE36" s="145">
        <f t="shared" si="6"/>
        <v>-36.930999999999997</v>
      </c>
      <c r="AF36" s="145">
        <f t="shared" si="7"/>
        <v>87.581400224661095</v>
      </c>
      <c r="AG36" s="772">
        <f t="shared" ref="AG36:AG57" si="34">AC36+AD36+AE36+AF36+70-53</f>
        <v>121.7740963842692</v>
      </c>
      <c r="AH36" s="1253">
        <f t="shared" si="8"/>
        <v>55.244</v>
      </c>
      <c r="AI36" s="1253">
        <f t="shared" si="9"/>
        <v>60.847999999999999</v>
      </c>
      <c r="AJ36" s="156">
        <f t="shared" si="10"/>
        <v>11.606624904391893</v>
      </c>
      <c r="AK36" s="156">
        <f t="shared" si="11"/>
        <v>51.520693765200647</v>
      </c>
      <c r="AM36" s="716">
        <f t="shared" si="12"/>
        <v>7152.3703641492075</v>
      </c>
      <c r="AN36" s="716" t="str">
        <f>_xlfn.XLOOKUP(D36,RUC!$B$3:$B$578,RUC!$M$3:$M$578)</f>
        <v>Evelyn</v>
      </c>
      <c r="AO36" s="1167" t="s">
        <v>2277</v>
      </c>
      <c r="AP36" t="s">
        <v>4638</v>
      </c>
      <c r="AQ36" t="s">
        <v>4639</v>
      </c>
      <c r="AV36" s="1557" t="s">
        <v>2519</v>
      </c>
      <c r="AW36" s="703">
        <f t="shared" si="30"/>
        <v>0</v>
      </c>
      <c r="AY36" s="596">
        <f t="shared" si="31"/>
        <v>0</v>
      </c>
      <c r="BA36" s="1256">
        <f t="shared" si="32"/>
        <v>0</v>
      </c>
    </row>
    <row r="37" spans="1:56" ht="15" customHeight="1">
      <c r="A37" s="747" t="s">
        <v>4573</v>
      </c>
      <c r="B37" s="1447">
        <v>46058</v>
      </c>
      <c r="C37" s="1447">
        <v>46052</v>
      </c>
      <c r="D37" t="s">
        <v>1967</v>
      </c>
      <c r="E37" s="762">
        <f>_xlfn.XLOOKUP(D37,RUC!$B$3:$B$123,RUC!$D$3:$D$123)</f>
        <v>20601769396</v>
      </c>
      <c r="G37" s="762">
        <v>52</v>
      </c>
      <c r="H37" s="762" t="s">
        <v>108</v>
      </c>
      <c r="I37" s="703">
        <v>4.4800000000000004</v>
      </c>
      <c r="J37" s="596">
        <v>13.25</v>
      </c>
      <c r="K37" s="703">
        <f t="shared" si="0"/>
        <v>3.8860000000000001</v>
      </c>
      <c r="L37" s="1192">
        <v>0.218</v>
      </c>
      <c r="M37" s="994">
        <f t="shared" si="1"/>
        <v>0.19900000000000001</v>
      </c>
      <c r="N37" s="1196">
        <f t="shared" si="25"/>
        <v>0.19900000000000001</v>
      </c>
      <c r="O37" s="645">
        <f t="shared" si="3"/>
        <v>0.19900000000000001</v>
      </c>
      <c r="P37" s="727">
        <v>88</v>
      </c>
      <c r="Q37" s="1476">
        <v>88.53</v>
      </c>
      <c r="R37" s="706">
        <v>4981.8500000000004</v>
      </c>
      <c r="S37" s="765">
        <f>IF((_xlfn.XLOOKUP(D37,RUC!$B$3:$B$119,RUC!$E$3:$E$119)+ROUNDDOWN(O37,1)*100)&lt;95,95,((_xlfn.XLOOKUP(D37,RUC!$B$3:$B$119,RUC!$E$3:$E$119)+ROUNDDOWN(O37,1)*100)))</f>
        <v>100</v>
      </c>
      <c r="U37" s="1146">
        <f>_xlfn.XLOOKUP(D37,RUC!$B$3:$B$123,RUC!$F$3:$F$123)</f>
        <v>120</v>
      </c>
      <c r="V37" s="715">
        <v>1.1023000000000001</v>
      </c>
      <c r="Y37" s="1445"/>
      <c r="Z37" s="1454">
        <v>40</v>
      </c>
      <c r="AA37" s="144">
        <f t="shared" si="4"/>
        <v>40</v>
      </c>
      <c r="AB37" s="758">
        <f t="shared" si="21"/>
        <v>784.18412569560019</v>
      </c>
      <c r="AC37" s="145">
        <f>+(S37-T37)*V37-'data 1'!$F$4</f>
        <v>30.230000000000004</v>
      </c>
      <c r="AD37" s="145">
        <f t="shared" si="5"/>
        <v>6.1920396164270137</v>
      </c>
      <c r="AE37" s="145">
        <f t="shared" si="6"/>
        <v>-25.908000000000001</v>
      </c>
      <c r="AF37" s="145">
        <f t="shared" si="7"/>
        <v>90.145785681178452</v>
      </c>
      <c r="AG37" s="772">
        <f t="shared" si="34"/>
        <v>117.65982529760547</v>
      </c>
      <c r="AH37" s="1253">
        <f t="shared" si="8"/>
        <v>25.713000000000001</v>
      </c>
      <c r="AI37" s="1253">
        <f t="shared" si="9"/>
        <v>29.045000000000002</v>
      </c>
      <c r="AJ37" s="156">
        <f t="shared" si="10"/>
        <v>8.1159863423729242</v>
      </c>
      <c r="AK37" s="156">
        <f t="shared" si="11"/>
        <v>23.331766105557975</v>
      </c>
      <c r="AM37" s="716">
        <f t="shared" si="12"/>
        <v>3047.3395124531025</v>
      </c>
      <c r="AN37" s="716" t="str">
        <f>_xlfn.XLOOKUP(D37,RUC!$B$3:$B$578,RUC!$M$3:$M$578)</f>
        <v>Evelyn</v>
      </c>
      <c r="AO37" s="1167" t="s">
        <v>2277</v>
      </c>
      <c r="AP37" t="s">
        <v>4638</v>
      </c>
      <c r="AQ37" t="s">
        <v>4639</v>
      </c>
      <c r="AV37" s="1557" t="s">
        <v>2520</v>
      </c>
      <c r="AW37" s="703">
        <f t="shared" si="30"/>
        <v>0</v>
      </c>
      <c r="AY37" s="596">
        <f t="shared" si="31"/>
        <v>0</v>
      </c>
      <c r="BA37" s="1256">
        <f t="shared" si="32"/>
        <v>0</v>
      </c>
      <c r="BB37" t="s">
        <v>5307</v>
      </c>
      <c r="BC37" s="1826">
        <f ca="1">+BC34+'40'!BC34</f>
        <v>-1284.022999999999</v>
      </c>
    </row>
    <row r="38" spans="1:56" ht="15" customHeight="1" thickBot="1">
      <c r="A38" s="747" t="s">
        <v>4574</v>
      </c>
      <c r="B38" s="1447">
        <v>46058</v>
      </c>
      <c r="C38" s="1447">
        <v>46052</v>
      </c>
      <c r="D38" t="s">
        <v>1967</v>
      </c>
      <c r="E38" s="762">
        <f>_xlfn.XLOOKUP(D38,RUC!$B$3:$B$123,RUC!$D$3:$D$123)</f>
        <v>20601769396</v>
      </c>
      <c r="G38" s="762">
        <v>4</v>
      </c>
      <c r="H38" s="762" t="s">
        <v>108</v>
      </c>
      <c r="I38" s="703">
        <v>0.36</v>
      </c>
      <c r="J38" s="596">
        <v>15.75</v>
      </c>
      <c r="K38" s="703">
        <f t="shared" si="0"/>
        <v>0.30299999999999999</v>
      </c>
      <c r="L38" s="1192">
        <v>0.434</v>
      </c>
      <c r="M38" s="994">
        <f t="shared" si="1"/>
        <v>0.40799999999999997</v>
      </c>
      <c r="N38" s="1196">
        <f t="shared" si="25"/>
        <v>0.40799999999999997</v>
      </c>
      <c r="O38" s="645">
        <f t="shared" si="3"/>
        <v>0.40799999999999997</v>
      </c>
      <c r="P38" s="727">
        <v>85</v>
      </c>
      <c r="Q38" s="1476">
        <v>86.18</v>
      </c>
      <c r="R38" s="706">
        <v>4981.8500000000004</v>
      </c>
      <c r="S38" s="765">
        <f>IF((_xlfn.XLOOKUP(D38,RUC!$B$3:$B$119,RUC!$E$3:$E$119)+ROUNDDOWN(O38,1)*100)&lt;95,95,((_xlfn.XLOOKUP(D38,RUC!$B$3:$B$119,RUC!$E$3:$E$119)+ROUNDDOWN(O38,1)*100)))</f>
        <v>130</v>
      </c>
      <c r="U38" s="1146">
        <f>_xlfn.XLOOKUP(D38,RUC!$B$3:$B$123,RUC!$F$3:$F$123)</f>
        <v>120</v>
      </c>
      <c r="V38" s="715">
        <v>1.1023000000000001</v>
      </c>
      <c r="Y38" s="1445"/>
      <c r="Z38" s="1454">
        <v>40</v>
      </c>
      <c r="AA38" s="144">
        <f t="shared" si="4"/>
        <v>40</v>
      </c>
      <c r="AB38" s="758">
        <f t="shared" si="21"/>
        <v>1671.1855440340003</v>
      </c>
      <c r="AC38" s="145">
        <f>+(S38-T38)*V38-'data 1'!$F$4</f>
        <v>63.299000000000007</v>
      </c>
      <c r="AD38" s="145">
        <f t="shared" si="5"/>
        <v>27.445623406306161</v>
      </c>
      <c r="AE38" s="145">
        <f t="shared" si="6"/>
        <v>-25.908000000000001</v>
      </c>
      <c r="AF38" s="145">
        <f t="shared" si="7"/>
        <v>120.08290918933413</v>
      </c>
      <c r="AG38" s="772">
        <f t="shared" si="34"/>
        <v>201.91953259564031</v>
      </c>
      <c r="AH38" s="1253">
        <f t="shared" si="8"/>
        <v>3.8860000000000001</v>
      </c>
      <c r="AI38" s="1253">
        <f t="shared" si="9"/>
        <v>4.5090000000000003</v>
      </c>
      <c r="AJ38" s="156">
        <f t="shared" si="10"/>
        <v>15.728618148193853</v>
      </c>
      <c r="AK38" s="156">
        <f t="shared" si="11"/>
        <v>3.6027222904492202</v>
      </c>
      <c r="AM38" s="716">
        <f t="shared" si="12"/>
        <v>506.36921984230207</v>
      </c>
      <c r="AN38" s="716" t="str">
        <f>_xlfn.XLOOKUP(D38,RUC!$B$3:$B$578,RUC!$M$3:$M$578)</f>
        <v>Evelyn</v>
      </c>
      <c r="AO38" s="1167" t="s">
        <v>2277</v>
      </c>
      <c r="AP38" t="s">
        <v>4638</v>
      </c>
      <c r="AQ38" t="s">
        <v>4639</v>
      </c>
      <c r="AV38" s="1558" t="s">
        <v>2521</v>
      </c>
      <c r="AW38" s="1254">
        <f t="shared" si="30"/>
        <v>0</v>
      </c>
      <c r="AX38" s="1257"/>
      <c r="AY38" s="1242">
        <f t="shared" si="31"/>
        <v>0</v>
      </c>
      <c r="AZ38" s="1257"/>
      <c r="BA38" s="1258">
        <f t="shared" si="32"/>
        <v>0</v>
      </c>
      <c r="BB38" t="s">
        <v>5308</v>
      </c>
      <c r="BC38" s="1826">
        <f ca="1">+'40'!BC34</f>
        <v>-108.80999999999918</v>
      </c>
    </row>
    <row r="39" spans="1:56" ht="15" customHeight="1">
      <c r="A39" s="747" t="s">
        <v>4575</v>
      </c>
      <c r="B39" s="1447">
        <v>46059</v>
      </c>
      <c r="C39" s="1447">
        <v>46052</v>
      </c>
      <c r="D39" t="s">
        <v>1967</v>
      </c>
      <c r="E39" s="762">
        <f>_xlfn.XLOOKUP(D39,RUC!$B$3:$B$123,RUC!$D$3:$D$123)</f>
        <v>20601769396</v>
      </c>
      <c r="G39" s="762">
        <v>35</v>
      </c>
      <c r="H39" s="762" t="s">
        <v>2005</v>
      </c>
      <c r="I39" s="703">
        <v>2.6</v>
      </c>
      <c r="J39" s="596">
        <v>12.6</v>
      </c>
      <c r="K39" s="703">
        <f t="shared" si="0"/>
        <v>2.2719999999999998</v>
      </c>
      <c r="L39" s="1192">
        <v>0.16500000000000001</v>
      </c>
      <c r="M39" s="994">
        <f t="shared" si="1"/>
        <v>0.14599999999999999</v>
      </c>
      <c r="N39" s="1196">
        <f t="shared" si="25"/>
        <v>0.14599999999999999</v>
      </c>
      <c r="O39" s="645">
        <f t="shared" si="3"/>
        <v>0.14599999999999999</v>
      </c>
      <c r="P39" s="727">
        <v>85</v>
      </c>
      <c r="Q39" s="1476">
        <v>86.06</v>
      </c>
      <c r="R39" s="706">
        <v>4981.8500000000004</v>
      </c>
      <c r="S39" s="765">
        <f>IF((_xlfn.XLOOKUP(D39,RUC!$B$3:$B$119,RUC!$E$3:$E$119)+ROUNDDOWN(O39,1)*100)&lt;95,95,((_xlfn.XLOOKUP(D39,RUC!$B$3:$B$119,RUC!$E$3:$E$119)+ROUNDDOWN(O39,1)*100)))</f>
        <v>100</v>
      </c>
      <c r="U39" s="1146">
        <f>_xlfn.XLOOKUP(D39,RUC!$B$3:$B$123,RUC!$F$3:$F$123)</f>
        <v>120</v>
      </c>
      <c r="V39" s="715">
        <v>1.1023000000000001</v>
      </c>
      <c r="Y39">
        <f>_xlfn.XLOOKUP(D39,RUC!$B$3:$B$123,RUC!$G$3:$G$123)</f>
        <v>20</v>
      </c>
      <c r="Z39" s="143">
        <f>_xlfn.XLOOKUP(D39,RUC!$B$3:$B$123,RUC!$H$3:$H$123)</f>
        <v>30</v>
      </c>
      <c r="AA39" s="144">
        <f t="shared" si="4"/>
        <v>50</v>
      </c>
      <c r="AB39" s="145">
        <f t="shared" si="21"/>
        <v>499.73386134550003</v>
      </c>
      <c r="AC39" s="145">
        <f>+(S39-T39)*V39-'data 1'!$F$4</f>
        <v>30.230000000000004</v>
      </c>
      <c r="AD39" s="145">
        <f t="shared" si="5"/>
        <v>9.3732709789950217</v>
      </c>
      <c r="AE39" s="145">
        <f t="shared" si="6"/>
        <v>-14.884999999999998</v>
      </c>
      <c r="AF39" s="145">
        <f t="shared" si="7"/>
        <v>87.630705023407103</v>
      </c>
      <c r="AG39" s="772">
        <f t="shared" si="34"/>
        <v>129.34897600240214</v>
      </c>
      <c r="AH39" s="1253">
        <f t="shared" si="8"/>
        <v>11.061</v>
      </c>
      <c r="AI39" s="1253">
        <f t="shared" si="9"/>
        <v>12.853</v>
      </c>
      <c r="AJ39" s="156">
        <f t="shared" si="10"/>
        <v>5.9714477372549437</v>
      </c>
      <c r="AK39" s="156">
        <f t="shared" si="11"/>
        <v>9.6669434447153577</v>
      </c>
      <c r="AM39" s="716">
        <f t="shared" si="12"/>
        <v>1135.3953329769761</v>
      </c>
      <c r="AN39" s="716" t="str">
        <f>_xlfn.XLOOKUP(D39,RUC!$B$3:$B$578,RUC!$M$3:$M$578)</f>
        <v>Evelyn</v>
      </c>
      <c r="AO39" s="1167" t="s">
        <v>2280</v>
      </c>
      <c r="AP39" t="s">
        <v>4638</v>
      </c>
      <c r="AQ39" t="s">
        <v>4639</v>
      </c>
    </row>
    <row r="40" spans="1:56" ht="15" customHeight="1">
      <c r="A40" s="747" t="s">
        <v>4576</v>
      </c>
      <c r="B40" s="1447">
        <v>46059</v>
      </c>
      <c r="C40" s="1447">
        <v>46052</v>
      </c>
      <c r="D40" t="s">
        <v>1967</v>
      </c>
      <c r="E40" s="762">
        <f>_xlfn.XLOOKUP(D40,RUC!$B$3:$B$123,RUC!$D$3:$D$123)</f>
        <v>20601769396</v>
      </c>
      <c r="G40" s="762">
        <v>35</v>
      </c>
      <c r="H40" s="762" t="s">
        <v>2005</v>
      </c>
      <c r="I40" s="703">
        <v>2.59</v>
      </c>
      <c r="J40" s="596">
        <v>12</v>
      </c>
      <c r="K40" s="703">
        <f t="shared" si="0"/>
        <v>2.2789999999999999</v>
      </c>
      <c r="L40" s="1192">
        <v>0.188</v>
      </c>
      <c r="M40" s="994">
        <f t="shared" si="1"/>
        <v>0.16900000000000001</v>
      </c>
      <c r="N40" s="1196">
        <f t="shared" si="25"/>
        <v>0.16900000000000001</v>
      </c>
      <c r="O40" s="645">
        <f t="shared" si="3"/>
        <v>0.16900000000000001</v>
      </c>
      <c r="P40" s="727">
        <v>85</v>
      </c>
      <c r="Q40" s="1476">
        <v>91.49</v>
      </c>
      <c r="R40" s="706">
        <v>4981.8500000000004</v>
      </c>
      <c r="S40" s="765">
        <f>IF((_xlfn.XLOOKUP(D40,RUC!$B$3:$B$119,RUC!$E$3:$E$119)+ROUNDDOWN(O40,1)*100)&lt;95,95,((_xlfn.XLOOKUP(D40,RUC!$B$3:$B$119,RUC!$E$3:$E$119)+ROUNDDOWN(O40,1)*100)))</f>
        <v>100</v>
      </c>
      <c r="U40" s="1146">
        <f>_xlfn.XLOOKUP(D40,RUC!$B$3:$B$123,RUC!$F$3:$F$123)</f>
        <v>120</v>
      </c>
      <c r="V40" s="715">
        <v>1.1023000000000001</v>
      </c>
      <c r="Y40">
        <f>_xlfn.XLOOKUP(D40,RUC!$B$3:$B$123,RUC!$G$3:$G$123)</f>
        <v>20</v>
      </c>
      <c r="Z40" s="143">
        <f>_xlfn.XLOOKUP(D40,RUC!$B$3:$B$123,RUC!$H$3:$H$123)</f>
        <v>30</v>
      </c>
      <c r="AA40" s="144">
        <f t="shared" si="4"/>
        <v>50</v>
      </c>
      <c r="AB40" s="145">
        <f t="shared" si="21"/>
        <v>604.50655868075012</v>
      </c>
      <c r="AC40" s="145">
        <f>+(S40-T40)*V40-'data 1'!$F$4</f>
        <v>30.230000000000004</v>
      </c>
      <c r="AD40" s="145">
        <f t="shared" si="5"/>
        <v>65.388881571705966</v>
      </c>
      <c r="AE40" s="145">
        <f t="shared" si="6"/>
        <v>-14.884999999999998</v>
      </c>
      <c r="AF40" s="145">
        <f t="shared" si="7"/>
        <v>93.159809465390438</v>
      </c>
      <c r="AG40" s="772">
        <f t="shared" si="34"/>
        <v>190.8936910370964</v>
      </c>
      <c r="AH40" s="1253">
        <f t="shared" si="8"/>
        <v>13.44</v>
      </c>
      <c r="AI40" s="1253">
        <f t="shared" si="9"/>
        <v>14.69</v>
      </c>
      <c r="AJ40" s="156">
        <f t="shared" si="10"/>
        <v>7.2331226032939311</v>
      </c>
      <c r="AK40" s="156">
        <f t="shared" si="11"/>
        <v>11.224293768918717</v>
      </c>
      <c r="AM40" s="716">
        <f t="shared" si="12"/>
        <v>1377.6704472334295</v>
      </c>
      <c r="AN40" s="716" t="str">
        <f>_xlfn.XLOOKUP(D40,RUC!$B$3:$B$578,RUC!$M$3:$M$578)</f>
        <v>Evelyn</v>
      </c>
      <c r="AO40" s="1167" t="s">
        <v>2277</v>
      </c>
      <c r="AP40" t="s">
        <v>4638</v>
      </c>
      <c r="AQ40" t="s">
        <v>4639</v>
      </c>
      <c r="BB40" s="1827" t="s">
        <v>5309</v>
      </c>
      <c r="BC40">
        <f>856.58+46.41</f>
        <v>902.99</v>
      </c>
    </row>
    <row r="41" spans="1:56" ht="15" customHeight="1">
      <c r="A41" s="747" t="s">
        <v>4577</v>
      </c>
      <c r="B41" s="1447">
        <v>46059</v>
      </c>
      <c r="C41" s="1447">
        <v>46052</v>
      </c>
      <c r="D41" t="s">
        <v>1967</v>
      </c>
      <c r="E41" s="762">
        <f>_xlfn.XLOOKUP(D41,RUC!$B$3:$B$123,RUC!$D$3:$D$123)</f>
        <v>20601769396</v>
      </c>
      <c r="G41" s="762">
        <v>50</v>
      </c>
      <c r="H41" s="762" t="s">
        <v>2005</v>
      </c>
      <c r="I41" s="703">
        <v>3.93</v>
      </c>
      <c r="J41" s="596">
        <v>10.050000000000001</v>
      </c>
      <c r="K41" s="703">
        <f t="shared" si="0"/>
        <v>3.5350000000000001</v>
      </c>
      <c r="L41" s="1192">
        <v>0.191</v>
      </c>
      <c r="M41" s="994">
        <f t="shared" si="1"/>
        <v>0.17199999999999999</v>
      </c>
      <c r="N41" s="1196">
        <f t="shared" si="25"/>
        <v>0.17199999999999999</v>
      </c>
      <c r="O41" s="645">
        <f t="shared" si="3"/>
        <v>0.17199999999999999</v>
      </c>
      <c r="P41" s="727">
        <v>90</v>
      </c>
      <c r="Q41" s="1476">
        <v>92.15</v>
      </c>
      <c r="R41" s="706">
        <v>4981.8500000000004</v>
      </c>
      <c r="S41" s="765">
        <f>IF((_xlfn.XLOOKUP(D41,RUC!$B$3:$B$119,RUC!$E$3:$E$119)+ROUNDDOWN(O41,1)*100)&lt;95,95,((_xlfn.XLOOKUP(D41,RUC!$B$3:$B$119,RUC!$E$3:$E$119)+ROUNDDOWN(O41,1)*100)))</f>
        <v>100</v>
      </c>
      <c r="U41" s="1146">
        <f>_xlfn.XLOOKUP(D41,RUC!$B$3:$B$123,RUC!$F$3:$F$123)</f>
        <v>120</v>
      </c>
      <c r="V41" s="715">
        <v>1.1023000000000001</v>
      </c>
      <c r="Y41">
        <f>_xlfn.XLOOKUP(D41,RUC!$B$3:$B$123,RUC!$G$3:$G$123)</f>
        <v>20</v>
      </c>
      <c r="Z41" s="143">
        <f>_xlfn.XLOOKUP(D41,RUC!$B$3:$B$123,RUC!$H$3:$H$123)</f>
        <v>30</v>
      </c>
      <c r="AA41" s="144">
        <f t="shared" si="4"/>
        <v>50</v>
      </c>
      <c r="AB41" s="145">
        <f t="shared" si="21"/>
        <v>664.26183107400004</v>
      </c>
      <c r="AC41" s="145">
        <f>+(S41-T41)*V41-'data 1'!$F$4</f>
        <v>30.230000000000004</v>
      </c>
      <c r="AD41" s="145">
        <f t="shared" si="5"/>
        <v>22.007625657657563</v>
      </c>
      <c r="AE41" s="145">
        <f t="shared" si="6"/>
        <v>-14.884999999999998</v>
      </c>
      <c r="AF41" s="145">
        <f t="shared" si="7"/>
        <v>93.831855309167608</v>
      </c>
      <c r="AG41" s="772">
        <f t="shared" si="34"/>
        <v>148.18448096682516</v>
      </c>
      <c r="AH41" s="1253">
        <f t="shared" si="8"/>
        <v>21.332000000000001</v>
      </c>
      <c r="AI41" s="1253">
        <f t="shared" si="9"/>
        <v>23.149000000000001</v>
      </c>
      <c r="AJ41" s="156">
        <f t="shared" si="10"/>
        <v>7.4015564628424304</v>
      </c>
      <c r="AK41" s="156">
        <f t="shared" si="11"/>
        <v>18.761581477944898</v>
      </c>
      <c r="AM41" s="716">
        <f t="shared" si="12"/>
        <v>2348.1655728465903</v>
      </c>
      <c r="AN41" s="716" t="str">
        <f>_xlfn.XLOOKUP(D41,RUC!$B$3:$B$578,RUC!$M$3:$M$578)</f>
        <v>Evelyn</v>
      </c>
      <c r="AO41" s="1167" t="s">
        <v>2277</v>
      </c>
      <c r="AP41" t="s">
        <v>4638</v>
      </c>
      <c r="AQ41" t="s">
        <v>4639</v>
      </c>
    </row>
    <row r="42" spans="1:56" ht="15" customHeight="1">
      <c r="A42" s="747" t="s">
        <v>4578</v>
      </c>
      <c r="B42" s="1447">
        <v>46059</v>
      </c>
      <c r="C42" s="1447">
        <v>46052</v>
      </c>
      <c r="D42" t="s">
        <v>1967</v>
      </c>
      <c r="E42" s="762">
        <f>_xlfn.XLOOKUP(D42,RUC!$B$3:$B$123,RUC!$D$3:$D$123)</f>
        <v>20601769396</v>
      </c>
      <c r="G42" s="762">
        <v>50</v>
      </c>
      <c r="H42" s="762" t="s">
        <v>2005</v>
      </c>
      <c r="I42" s="703">
        <v>3.96</v>
      </c>
      <c r="J42" s="596">
        <v>9.58</v>
      </c>
      <c r="K42" s="703">
        <f t="shared" si="0"/>
        <v>3.581</v>
      </c>
      <c r="L42" s="1192">
        <v>0.26500000000000001</v>
      </c>
      <c r="M42" s="994">
        <f t="shared" si="1"/>
        <v>0.246</v>
      </c>
      <c r="N42" s="1196">
        <f t="shared" si="25"/>
        <v>0.246</v>
      </c>
      <c r="O42" s="645">
        <f t="shared" si="3"/>
        <v>0.246</v>
      </c>
      <c r="P42" s="727">
        <v>89</v>
      </c>
      <c r="Q42" s="1476">
        <v>89.06</v>
      </c>
      <c r="R42" s="706">
        <v>4981.8500000000004</v>
      </c>
      <c r="S42" s="765">
        <f>IF((_xlfn.XLOOKUP(D42,RUC!$B$3:$B$119,RUC!$E$3:$E$119)+ROUNDDOWN(O42,1)*100)&lt;95,95,((_xlfn.XLOOKUP(D42,RUC!$B$3:$B$119,RUC!$E$3:$E$119)+ROUNDDOWN(O42,1)*100)))</f>
        <v>110</v>
      </c>
      <c r="U42" s="1146">
        <f>_xlfn.XLOOKUP(D42,RUC!$B$3:$B$123,RUC!$F$3:$F$123)</f>
        <v>120</v>
      </c>
      <c r="V42" s="715">
        <v>1.1023000000000001</v>
      </c>
      <c r="Y42">
        <f>_xlfn.XLOOKUP(D42,RUC!$B$3:$B$123,RUC!$G$3:$G$123)</f>
        <v>20</v>
      </c>
      <c r="Z42" s="143">
        <f>_xlfn.XLOOKUP(D42,RUC!$B$3:$B$123,RUC!$H$3:$H$123)</f>
        <v>30</v>
      </c>
      <c r="AA42" s="144">
        <f t="shared" si="4"/>
        <v>50</v>
      </c>
      <c r="AB42" s="145">
        <f t="shared" si="21"/>
        <v>996.97902580970015</v>
      </c>
      <c r="AC42" s="145">
        <f>+(S42-T42)*V42-'data 1'!$F$4</f>
        <v>41.253</v>
      </c>
      <c r="AD42" s="145">
        <f t="shared" si="5"/>
        <v>0.85211554354503249</v>
      </c>
      <c r="AE42" s="145">
        <f t="shared" si="6"/>
        <v>-14.884999999999998</v>
      </c>
      <c r="AF42" s="145">
        <f t="shared" si="7"/>
        <v>90.685458858757102</v>
      </c>
      <c r="AG42" s="772">
        <f t="shared" si="34"/>
        <v>134.90557440230214</v>
      </c>
      <c r="AH42" s="1253">
        <f t="shared" si="8"/>
        <v>28.975999999999999</v>
      </c>
      <c r="AI42" s="1253">
        <f t="shared" si="9"/>
        <v>32.536000000000001</v>
      </c>
      <c r="AJ42" s="156">
        <f t="shared" si="10"/>
        <v>9.9248262947049071</v>
      </c>
      <c r="AK42" s="156">
        <f t="shared" si="11"/>
        <v>26.880571880467524</v>
      </c>
      <c r="AM42" s="716">
        <f t="shared" si="12"/>
        <v>3570.1818914245364</v>
      </c>
      <c r="AN42" s="716" t="str">
        <f>_xlfn.XLOOKUP(D42,RUC!$B$3:$B$578,RUC!$M$3:$M$578)</f>
        <v>Evelyn</v>
      </c>
      <c r="AO42" s="1167" t="s">
        <v>2277</v>
      </c>
      <c r="AP42" t="s">
        <v>4638</v>
      </c>
      <c r="AQ42" t="s">
        <v>4639</v>
      </c>
      <c r="BB42" s="631" t="s">
        <v>5310</v>
      </c>
      <c r="BC42" s="1826">
        <f ca="1">SUM(BC37:BC40)</f>
        <v>-489.84299999999826</v>
      </c>
    </row>
    <row r="43" spans="1:56" ht="15" customHeight="1">
      <c r="A43" s="747" t="s">
        <v>4579</v>
      </c>
      <c r="B43" s="1447">
        <v>46059</v>
      </c>
      <c r="C43" s="1447">
        <v>46052</v>
      </c>
      <c r="D43" t="s">
        <v>1967</v>
      </c>
      <c r="E43" s="762">
        <f>_xlfn.XLOOKUP(D43,RUC!$B$3:$B$123,RUC!$D$3:$D$123)</f>
        <v>20601769396</v>
      </c>
      <c r="G43" s="762">
        <v>50</v>
      </c>
      <c r="H43" s="762" t="s">
        <v>2005</v>
      </c>
      <c r="I43" s="703">
        <v>3.97</v>
      </c>
      <c r="J43" s="596">
        <v>8.5500000000000007</v>
      </c>
      <c r="K43" s="703">
        <f t="shared" si="0"/>
        <v>3.6309999999999998</v>
      </c>
      <c r="L43" s="1192">
        <v>0.221</v>
      </c>
      <c r="M43" s="994">
        <f t="shared" si="1"/>
        <v>0.20200000000000001</v>
      </c>
      <c r="N43" s="1196">
        <f t="shared" si="25"/>
        <v>0.20200000000000001</v>
      </c>
      <c r="O43" s="645">
        <f t="shared" si="3"/>
        <v>0.20200000000000001</v>
      </c>
      <c r="P43" s="727">
        <v>89</v>
      </c>
      <c r="Q43" s="1476">
        <v>89.59</v>
      </c>
      <c r="R43" s="706">
        <v>4981.8500000000004</v>
      </c>
      <c r="S43" s="765">
        <f>IF((_xlfn.XLOOKUP(D43,RUC!$B$3:$B$119,RUC!$E$3:$E$119)+ROUNDDOWN(O43,1)*100)&lt;95,95,((_xlfn.XLOOKUP(D43,RUC!$B$3:$B$119,RUC!$E$3:$E$119)+ROUNDDOWN(O43,1)*100)))</f>
        <v>110</v>
      </c>
      <c r="U43" s="1146">
        <f>_xlfn.XLOOKUP(D43,RUC!$B$3:$B$123,RUC!$F$3:$F$123)</f>
        <v>120</v>
      </c>
      <c r="V43" s="715">
        <v>1.1023000000000001</v>
      </c>
      <c r="Y43">
        <f>_xlfn.XLOOKUP(D43,RUC!$B$3:$B$123,RUC!$G$3:$G$123)</f>
        <v>20</v>
      </c>
      <c r="Z43" s="143">
        <f>_xlfn.XLOOKUP(D43,RUC!$B$3:$B$123,RUC!$H$3:$H$123)</f>
        <v>30</v>
      </c>
      <c r="AA43" s="144">
        <f t="shared" si="4"/>
        <v>50</v>
      </c>
      <c r="AB43" s="145">
        <f t="shared" si="21"/>
        <v>787.1120781039001</v>
      </c>
      <c r="AC43" s="145">
        <f>+(S43-T43)*V43-'data 1'!$F$4</f>
        <v>41.253</v>
      </c>
      <c r="AD43" s="145">
        <f t="shared" si="5"/>
        <v>6.9878833787945416</v>
      </c>
      <c r="AE43" s="145">
        <f t="shared" si="6"/>
        <v>-14.884999999999998</v>
      </c>
      <c r="AF43" s="145">
        <f t="shared" si="7"/>
        <v>91.225132036335452</v>
      </c>
      <c r="AG43" s="772">
        <f t="shared" si="34"/>
        <v>141.58101541513</v>
      </c>
      <c r="AH43" s="1253">
        <f t="shared" si="8"/>
        <v>24.648</v>
      </c>
      <c r="AI43" s="1253">
        <f t="shared" si="9"/>
        <v>27.512</v>
      </c>
      <c r="AJ43" s="156">
        <f t="shared" si="10"/>
        <v>8.3261869882554205</v>
      </c>
      <c r="AK43" s="156">
        <f t="shared" si="11"/>
        <v>22.380856068036902</v>
      </c>
      <c r="AM43" s="716">
        <f t="shared" si="12"/>
        <v>2858.0039555952612</v>
      </c>
      <c r="AN43" s="716" t="str">
        <f>_xlfn.XLOOKUP(D43,RUC!$B$3:$B$578,RUC!$M$3:$M$578)</f>
        <v>Evelyn</v>
      </c>
      <c r="AO43" s="1167" t="s">
        <v>2277</v>
      </c>
      <c r="AP43" t="s">
        <v>4638</v>
      </c>
      <c r="AQ43" t="s">
        <v>4639</v>
      </c>
    </row>
    <row r="44" spans="1:56" ht="15" customHeight="1">
      <c r="A44" s="747" t="s">
        <v>4582</v>
      </c>
      <c r="B44" s="1447">
        <v>46057</v>
      </c>
      <c r="C44" s="1447">
        <v>46052</v>
      </c>
      <c r="D44" t="s">
        <v>4499</v>
      </c>
      <c r="E44" s="762">
        <f>_xlfn.XLOOKUP(D44,RUC!$B$3:$B$123,RUC!$D$3:$D$123)</f>
        <v>20606480840</v>
      </c>
      <c r="G44" s="762">
        <v>12</v>
      </c>
      <c r="H44" s="762" t="s">
        <v>108</v>
      </c>
      <c r="I44" s="703">
        <v>0.93</v>
      </c>
      <c r="J44" s="596">
        <v>1.1499999999999999</v>
      </c>
      <c r="K44" s="703">
        <f t="shared" si="0"/>
        <v>0.91900000000000004</v>
      </c>
      <c r="L44" s="1192">
        <v>0.157</v>
      </c>
      <c r="M44" s="994">
        <f t="shared" si="1"/>
        <v>0.13800000000000001</v>
      </c>
      <c r="N44" s="1196">
        <f t="shared" si="25"/>
        <v>0.13800000000000001</v>
      </c>
      <c r="O44" s="645">
        <f t="shared" si="3"/>
        <v>0.13800000000000001</v>
      </c>
      <c r="P44" s="727">
        <v>80</v>
      </c>
      <c r="Q44" s="1476">
        <v>97.45</v>
      </c>
      <c r="R44" s="706">
        <v>4981.8500000000004</v>
      </c>
      <c r="S44" s="765">
        <f>IF((_xlfn.XLOOKUP(D44,RUC!$B$3:$B$119,RUC!$E$3:$E$119)+ROUNDDOWN(O44,1)*100)&lt;95,95,((_xlfn.XLOOKUP(D44,RUC!$B$3:$B$119,RUC!$E$3:$E$119)+ROUNDDOWN(O44,1)*100)))</f>
        <v>95</v>
      </c>
      <c r="U44" s="1146">
        <f>_xlfn.XLOOKUP(D44,RUC!$B$3:$B$123,RUC!$F$3:$F$123)</f>
        <v>110</v>
      </c>
      <c r="V44" s="715">
        <v>1.1023000000000001</v>
      </c>
      <c r="Y44" s="1445">
        <v>10</v>
      </c>
      <c r="Z44" s="143">
        <f>_xlfn.XLOOKUP(D44,RUC!$B$3:$B$123,RUC!$H$3:$H$123)</f>
        <v>35</v>
      </c>
      <c r="AA44" s="144">
        <f t="shared" si="4"/>
        <v>45</v>
      </c>
      <c r="AB44" s="145">
        <f t="shared" si="21"/>
        <v>438.5525241520001</v>
      </c>
      <c r="AC44" s="145">
        <f>+(S44-T44)*V44-'data 1'!$F$4</f>
        <v>24.718500000000006</v>
      </c>
      <c r="AD44" s="145">
        <f t="shared" si="5"/>
        <v>147.12578714610751</v>
      </c>
      <c r="AE44" s="145">
        <f t="shared" si="6"/>
        <v>-20.396500000000003</v>
      </c>
      <c r="AF44" s="145">
        <f t="shared" si="7"/>
        <v>99.432683441452482</v>
      </c>
      <c r="AG44" s="772">
        <f t="shared" si="34"/>
        <v>267.88047058756001</v>
      </c>
      <c r="AH44" s="1253">
        <f t="shared" si="8"/>
        <v>4.8209999999999997</v>
      </c>
      <c r="AI44" s="1253">
        <f t="shared" si="9"/>
        <v>4.9470000000000001</v>
      </c>
      <c r="AJ44" s="156">
        <f t="shared" si="10"/>
        <v>4.7474423808924398</v>
      </c>
      <c r="AK44" s="156">
        <f t="shared" si="11"/>
        <v>3.4785131866216807</v>
      </c>
      <c r="AM44" s="716">
        <f t="shared" si="12"/>
        <v>403.02976969568812</v>
      </c>
      <c r="AN44" s="716" t="str">
        <f>_xlfn.XLOOKUP(D44,RUC!$B$3:$B$578,RUC!$M$3:$M$578)</f>
        <v>Robinson Tuya</v>
      </c>
      <c r="AO44" s="1167" t="s">
        <v>2280</v>
      </c>
      <c r="AP44" t="s">
        <v>2745</v>
      </c>
      <c r="AQ44" t="s">
        <v>3406</v>
      </c>
    </row>
    <row r="45" spans="1:56" ht="15" customHeight="1">
      <c r="A45" s="747" t="s">
        <v>4583</v>
      </c>
      <c r="B45" s="1447">
        <v>46057</v>
      </c>
      <c r="C45" s="1447">
        <v>46052</v>
      </c>
      <c r="D45" t="s">
        <v>4499</v>
      </c>
      <c r="E45" s="762">
        <f>_xlfn.XLOOKUP(D45,RUC!$B$3:$B$123,RUC!$D$3:$D$123)</f>
        <v>20606480840</v>
      </c>
      <c r="G45" s="762">
        <v>50</v>
      </c>
      <c r="H45" s="762" t="s">
        <v>108</v>
      </c>
      <c r="I45" s="703">
        <v>2.83</v>
      </c>
      <c r="J45" s="596">
        <v>14.65</v>
      </c>
      <c r="K45" s="703">
        <f t="shared" si="0"/>
        <v>2.415</v>
      </c>
      <c r="L45" s="1192">
        <v>0.32900000000000001</v>
      </c>
      <c r="M45" s="994">
        <f t="shared" si="1"/>
        <v>0.309</v>
      </c>
      <c r="N45" s="1196">
        <f t="shared" si="25"/>
        <v>0.309</v>
      </c>
      <c r="O45" s="645">
        <f t="shared" si="3"/>
        <v>0.309</v>
      </c>
      <c r="P45" s="727">
        <v>90</v>
      </c>
      <c r="Q45" s="1476">
        <v>93.31</v>
      </c>
      <c r="R45" s="706">
        <v>4981.8500000000004</v>
      </c>
      <c r="S45" s="765">
        <f>IF((_xlfn.XLOOKUP(D45,RUC!$B$3:$B$119,RUC!$E$3:$E$119)+ROUNDDOWN(O45,1)*100)&lt;95,95,((_xlfn.XLOOKUP(D45,RUC!$B$3:$B$119,RUC!$E$3:$E$119)+ROUNDDOWN(O45,1)*100)))</f>
        <v>110</v>
      </c>
      <c r="U45" s="1146">
        <f>_xlfn.XLOOKUP(D45,RUC!$B$3:$B$123,RUC!$F$3:$F$123)</f>
        <v>110</v>
      </c>
      <c r="V45" s="715">
        <v>1.1023000000000001</v>
      </c>
      <c r="Y45" s="1445">
        <v>10</v>
      </c>
      <c r="Z45" s="143">
        <f>_xlfn.XLOOKUP(D45,RUC!$B$3:$B$123,RUC!$H$3:$H$123)</f>
        <v>35</v>
      </c>
      <c r="AA45" s="144">
        <f t="shared" si="4"/>
        <v>45</v>
      </c>
      <c r="AB45" s="145">
        <f t="shared" si="21"/>
        <v>1322.6073149155002</v>
      </c>
      <c r="AC45" s="145">
        <f>+(S45-T45)*V45-'data 1'!$F$4</f>
        <v>41.253</v>
      </c>
      <c r="AD45" s="145">
        <f t="shared" si="5"/>
        <v>58.481379352924563</v>
      </c>
      <c r="AE45" s="145">
        <f t="shared" si="6"/>
        <v>-20.396500000000003</v>
      </c>
      <c r="AF45" s="145">
        <f t="shared" si="7"/>
        <v>100.21942363881011</v>
      </c>
      <c r="AG45" s="772">
        <f t="shared" si="34"/>
        <v>196.55730299173467</v>
      </c>
      <c r="AH45" s="1253">
        <f t="shared" si="8"/>
        <v>25.419</v>
      </c>
      <c r="AI45" s="1253">
        <f t="shared" si="9"/>
        <v>27.241</v>
      </c>
      <c r="AJ45" s="156">
        <f t="shared" si="10"/>
        <v>9.5258183145753783</v>
      </c>
      <c r="AK45" s="156">
        <f t="shared" si="11"/>
        <v>23.026460896342574</v>
      </c>
      <c r="AM45" s="716">
        <f t="shared" si="12"/>
        <v>3194.0966655209331</v>
      </c>
      <c r="AN45" s="716" t="str">
        <f>_xlfn.XLOOKUP(D45,RUC!$B$3:$B$578,RUC!$M$3:$M$578)</f>
        <v>Robinson Tuya</v>
      </c>
      <c r="AO45" s="1167" t="s">
        <v>2278</v>
      </c>
      <c r="AP45" t="s">
        <v>2745</v>
      </c>
      <c r="AQ45" t="s">
        <v>3406</v>
      </c>
    </row>
    <row r="46" spans="1:56" ht="15" customHeight="1">
      <c r="A46" s="747" t="s">
        <v>4584</v>
      </c>
      <c r="B46" s="1447">
        <v>46057</v>
      </c>
      <c r="C46" s="1447">
        <v>46052</v>
      </c>
      <c r="D46" t="s">
        <v>4499</v>
      </c>
      <c r="E46" s="762">
        <f>_xlfn.XLOOKUP(D46,RUC!$B$3:$B$123,RUC!$D$3:$D$123)</f>
        <v>20606480840</v>
      </c>
      <c r="G46" s="762">
        <v>7</v>
      </c>
      <c r="H46" s="762" t="s">
        <v>69</v>
      </c>
      <c r="I46" s="703">
        <v>0.57999999999999996</v>
      </c>
      <c r="J46" s="596">
        <v>1.25</v>
      </c>
      <c r="K46" s="703">
        <f t="shared" si="0"/>
        <v>0.57299999999999995</v>
      </c>
      <c r="L46" s="1192">
        <v>0.247</v>
      </c>
      <c r="M46" s="994">
        <f t="shared" si="1"/>
        <v>0.22800000000000001</v>
      </c>
      <c r="N46" s="1196">
        <f t="shared" si="25"/>
        <v>0.22800000000000001</v>
      </c>
      <c r="O46" s="645">
        <f t="shared" si="3"/>
        <v>0.22800000000000001</v>
      </c>
      <c r="P46" s="727">
        <v>90</v>
      </c>
      <c r="Q46" s="1476">
        <v>98.38</v>
      </c>
      <c r="R46" s="706">
        <v>4981.8500000000004</v>
      </c>
      <c r="S46" s="765">
        <f>IF((_xlfn.XLOOKUP(D46,RUC!$B$3:$B$119,RUC!$E$3:$E$119)+ROUNDDOWN(O46,1)*100)&lt;95,95,((_xlfn.XLOOKUP(D46,RUC!$B$3:$B$119,RUC!$E$3:$E$119)+ROUNDDOWN(O46,1)*100)))</f>
        <v>100</v>
      </c>
      <c r="U46" s="1146">
        <f>_xlfn.XLOOKUP(D46,RUC!$B$3:$B$123,RUC!$F$3:$F$123)</f>
        <v>110</v>
      </c>
      <c r="V46" s="715">
        <v>1.1023000000000001</v>
      </c>
      <c r="Y46">
        <f>_xlfn.XLOOKUP(D46,RUC!$B$3:$B$123,RUC!$G$3:$G$123)</f>
        <v>0</v>
      </c>
      <c r="Z46" s="143">
        <f>_xlfn.XLOOKUP(D46,RUC!$B$3:$B$123,RUC!$H$3:$H$123)</f>
        <v>35</v>
      </c>
      <c r="AA46" s="144">
        <f t="shared" si="4"/>
        <v>35</v>
      </c>
      <c r="AB46" s="145">
        <f t="shared" si="21"/>
        <v>953.16280032600014</v>
      </c>
      <c r="AC46" s="145">
        <f>+(S46-T46)*V46-'data 1'!$F$4</f>
        <v>30.230000000000004</v>
      </c>
      <c r="AD46" s="145">
        <f t="shared" si="5"/>
        <v>111.15645494214296</v>
      </c>
      <c r="AE46" s="145">
        <f t="shared" si="6"/>
        <v>-31.419499999999999</v>
      </c>
      <c r="AF46" s="145">
        <f t="shared" si="7"/>
        <v>100.38160489451097</v>
      </c>
      <c r="AG46" s="772">
        <f t="shared" si="34"/>
        <v>227.34855983665392</v>
      </c>
      <c r="AH46" s="1253">
        <f t="shared" si="8"/>
        <v>4.774</v>
      </c>
      <c r="AI46" s="1253">
        <f t="shared" si="9"/>
        <v>4.8520000000000003</v>
      </c>
      <c r="AJ46" s="156">
        <f t="shared" si="10"/>
        <v>7.5401845933569032</v>
      </c>
      <c r="AK46" s="156">
        <f t="shared" si="11"/>
        <v>4.0312622127637807</v>
      </c>
      <c r="AM46" s="716">
        <f t="shared" si="12"/>
        <v>546.16228458679802</v>
      </c>
      <c r="AN46" s="716" t="str">
        <f>_xlfn.XLOOKUP(D46,RUC!$B$3:$B$578,RUC!$M$3:$M$578)</f>
        <v>Robinson Tuya</v>
      </c>
      <c r="AO46" s="1167" t="s">
        <v>2278</v>
      </c>
      <c r="AP46" t="s">
        <v>2745</v>
      </c>
      <c r="AQ46" t="s">
        <v>3406</v>
      </c>
    </row>
    <row r="47" spans="1:56" ht="15" customHeight="1">
      <c r="A47" s="747" t="s">
        <v>4585</v>
      </c>
      <c r="B47" s="1447">
        <v>46057</v>
      </c>
      <c r="C47" s="1447">
        <v>46052</v>
      </c>
      <c r="D47" t="s">
        <v>4499</v>
      </c>
      <c r="E47" s="762">
        <f>_xlfn.XLOOKUP(D47,RUC!$B$3:$B$123,RUC!$D$3:$D$123)</f>
        <v>20606480840</v>
      </c>
      <c r="G47" s="762">
        <v>19</v>
      </c>
      <c r="H47" s="762" t="s">
        <v>69</v>
      </c>
      <c r="I47" s="703">
        <v>1.53</v>
      </c>
      <c r="J47" s="596">
        <v>1.2</v>
      </c>
      <c r="K47" s="703">
        <f t="shared" ref="K47:K101" si="35">ROUND(+I47-(I47*(J47/100)),3)</f>
        <v>1.512</v>
      </c>
      <c r="L47" s="1192">
        <v>0.54700000000000004</v>
      </c>
      <c r="M47" s="994">
        <f t="shared" si="1"/>
        <v>0.51400000000000001</v>
      </c>
      <c r="N47" s="1196">
        <f t="shared" si="25"/>
        <v>0.51400000000000001</v>
      </c>
      <c r="O47" s="645">
        <f t="shared" ref="O47:O101" si="36">+ROUND((M47+N47)/2,3)</f>
        <v>0.51400000000000001</v>
      </c>
      <c r="P47" s="727">
        <v>90</v>
      </c>
      <c r="Q47" s="1476">
        <v>95.98</v>
      </c>
      <c r="R47" s="706">
        <v>4981.8500000000004</v>
      </c>
      <c r="S47" s="765">
        <f>IF((_xlfn.XLOOKUP(D47,RUC!$B$3:$B$119,RUC!$E$3:$E$119)+ROUNDDOWN(O47,1)*100)&lt;95,95,((_xlfn.XLOOKUP(D47,RUC!$B$3:$B$119,RUC!$E$3:$E$119)+ROUNDDOWN(O47,1)*100)))</f>
        <v>130</v>
      </c>
      <c r="U47" s="1146">
        <f>_xlfn.XLOOKUP(D47,RUC!$B$3:$B$123,RUC!$F$3:$F$123)</f>
        <v>110</v>
      </c>
      <c r="V47" s="715">
        <v>1.1023000000000001</v>
      </c>
      <c r="Y47">
        <f>_xlfn.XLOOKUP(D47,RUC!$B$3:$B$123,RUC!$G$3:$G$123)</f>
        <v>0</v>
      </c>
      <c r="Z47" s="143">
        <f>_xlfn.XLOOKUP(D47,RUC!$B$3:$B$123,RUC!$H$3:$H$123)</f>
        <v>35</v>
      </c>
      <c r="AA47" s="144">
        <f t="shared" ref="AA47:AA101" si="37">+Y47+Z47</f>
        <v>35</v>
      </c>
      <c r="AB47" s="145">
        <f t="shared" si="21"/>
        <v>2302.3936419630004</v>
      </c>
      <c r="AC47" s="145">
        <f>+(S47-T47)*V47-'data 1'!$F$4</f>
        <v>63.299000000000007</v>
      </c>
      <c r="AD47" s="145">
        <f t="shared" ref="AD47:AD101" si="38">+(Q47-P47)*(R47-U47)*L47*V47/100</f>
        <v>175.66378088520315</v>
      </c>
      <c r="AE47" s="145">
        <f t="shared" ref="AE47:AE101" si="39">+(Y47*V47-70)+V47*(Z47-IF(D47="UNTUCA",IF(+((W47-3)*2.5+(X47-3)*3.1)&gt;0,+((W47-3)*1.5+(X47-3)*3.1),0),IF(+((W47-3)*1.5+(X47-3)*3.1)&gt;0,+((W47-3)*1.5+(X47-3)*3.1),0)))</f>
        <v>-31.419499999999999</v>
      </c>
      <c r="AF47" s="145">
        <f t="shared" ref="AF47:AF101" si="40">(L47-O47)*(R47-U47)*Q47*V47/100</f>
        <v>170.09376769271717</v>
      </c>
      <c r="AG47" s="772">
        <f t="shared" si="34"/>
        <v>394.63704857792032</v>
      </c>
      <c r="AH47" s="1253">
        <f t="shared" ref="AH47:AH101" si="41">ROUND((31.1035*L47*Q47*1.1023*K47/100),3)</f>
        <v>27.216000000000001</v>
      </c>
      <c r="AI47" s="1253">
        <f t="shared" ref="AI47:AI101" si="42">ROUND((31.1035*L47*1.1023*K47),3)</f>
        <v>28.356000000000002</v>
      </c>
      <c r="AJ47" s="156">
        <f t="shared" ref="AJ47:AJ101" si="43">+((+$AJ$2-R47+U47)*L47*Q47*V47)/100</f>
        <v>16.290945040296791</v>
      </c>
      <c r="AK47" s="156">
        <f t="shared" ref="AK47:AK101" si="44">31.1035*1.1023*K47*P47*O47/100</f>
        <v>23.980955814038165</v>
      </c>
      <c r="AM47" s="716">
        <f t="shared" ref="AM47:AM101" si="45">+IF(AB47*K47&gt;0,AB47*K47,0)</f>
        <v>3481.2191866480566</v>
      </c>
      <c r="AN47" s="716" t="str">
        <f>_xlfn.XLOOKUP(D47,RUC!$B$3:$B$578,RUC!$M$3:$M$578)</f>
        <v>Robinson Tuya</v>
      </c>
      <c r="AO47" s="1167" t="s">
        <v>2277</v>
      </c>
      <c r="AP47" t="s">
        <v>2745</v>
      </c>
      <c r="AQ47" t="s">
        <v>3406</v>
      </c>
    </row>
    <row r="48" spans="1:56" ht="15" customHeight="1">
      <c r="A48" s="747" t="s">
        <v>4586</v>
      </c>
      <c r="B48" s="1447">
        <v>46057</v>
      </c>
      <c r="C48" s="1447">
        <v>46052</v>
      </c>
      <c r="D48" t="s">
        <v>4499</v>
      </c>
      <c r="E48" s="762">
        <f>_xlfn.XLOOKUP(D48,RUC!$B$3:$B$123,RUC!$D$3:$D$123)</f>
        <v>20606480840</v>
      </c>
      <c r="G48" s="762">
        <v>8</v>
      </c>
      <c r="H48" s="762" t="s">
        <v>69</v>
      </c>
      <c r="I48" s="703">
        <v>0.62</v>
      </c>
      <c r="J48" s="596">
        <v>2.0499999999999998</v>
      </c>
      <c r="K48" s="703">
        <f t="shared" si="35"/>
        <v>0.60699999999999998</v>
      </c>
      <c r="L48" s="1192">
        <v>0.21</v>
      </c>
      <c r="M48" s="994">
        <f t="shared" si="1"/>
        <v>0.191</v>
      </c>
      <c r="N48" s="1196">
        <f t="shared" si="25"/>
        <v>0.191</v>
      </c>
      <c r="O48" s="645">
        <f t="shared" si="36"/>
        <v>0.191</v>
      </c>
      <c r="P48" s="727">
        <v>85</v>
      </c>
      <c r="Q48" s="1476">
        <v>98.57</v>
      </c>
      <c r="R48" s="706">
        <v>4981.8500000000004</v>
      </c>
      <c r="S48" s="765">
        <f>IF((_xlfn.XLOOKUP(D48,RUC!$B$3:$B$119,RUC!$E$3:$E$119)+ROUNDDOWN(O48,1)*100)&lt;95,95,((_xlfn.XLOOKUP(D48,RUC!$B$3:$B$119,RUC!$E$3:$E$119)+ROUNDDOWN(O48,1)*100)))</f>
        <v>95</v>
      </c>
      <c r="U48" s="1146">
        <f>_xlfn.XLOOKUP(D48,RUC!$B$3:$B$123,RUC!$F$3:$F$123)</f>
        <v>110</v>
      </c>
      <c r="V48" s="715">
        <v>1.1023000000000001</v>
      </c>
      <c r="Y48">
        <f>_xlfn.XLOOKUP(D48,RUC!$B$3:$B$123,RUC!$G$3:$G$123)</f>
        <v>0</v>
      </c>
      <c r="Z48" s="143">
        <f>_xlfn.XLOOKUP(D48,RUC!$B$3:$B$123,RUC!$H$3:$H$123)</f>
        <v>35</v>
      </c>
      <c r="AA48" s="144">
        <f t="shared" si="37"/>
        <v>35</v>
      </c>
      <c r="AB48" s="145">
        <f t="shared" si="21"/>
        <v>728.55950539925004</v>
      </c>
      <c r="AC48" s="145">
        <f>+(S48-T48)*V48-'data 1'!$F$4</f>
        <v>24.718500000000006</v>
      </c>
      <c r="AD48" s="145">
        <f t="shared" si="38"/>
        <v>153.03573654673491</v>
      </c>
      <c r="AE48" s="145">
        <f t="shared" si="39"/>
        <v>-31.419499999999999</v>
      </c>
      <c r="AF48" s="145">
        <f t="shared" si="40"/>
        <v>100.57547056771645</v>
      </c>
      <c r="AG48" s="772">
        <f t="shared" si="34"/>
        <v>263.9102071144514</v>
      </c>
      <c r="AH48" s="1253">
        <f t="shared" si="41"/>
        <v>4.3079999999999998</v>
      </c>
      <c r="AI48" s="1253">
        <f t="shared" si="42"/>
        <v>4.37</v>
      </c>
      <c r="AJ48" s="156">
        <f t="shared" si="43"/>
        <v>6.4230641257649177</v>
      </c>
      <c r="AK48" s="156">
        <f t="shared" si="44"/>
        <v>3.378703279199923</v>
      </c>
      <c r="AM48" s="716">
        <f t="shared" si="45"/>
        <v>442.23561977734477</v>
      </c>
      <c r="AN48" s="716" t="str">
        <f>_xlfn.XLOOKUP(D48,RUC!$B$3:$B$578,RUC!$M$3:$M$578)</f>
        <v>Robinson Tuya</v>
      </c>
      <c r="AO48" s="1167" t="s">
        <v>2278</v>
      </c>
      <c r="AP48" t="s">
        <v>2745</v>
      </c>
      <c r="AQ48" t="s">
        <v>3406</v>
      </c>
    </row>
    <row r="49" spans="1:43" ht="15" customHeight="1">
      <c r="A49" s="747" t="s">
        <v>4587</v>
      </c>
      <c r="B49" s="1447">
        <v>46057</v>
      </c>
      <c r="C49" s="1447">
        <v>46052</v>
      </c>
      <c r="D49" t="s">
        <v>4499</v>
      </c>
      <c r="E49" s="762">
        <f>_xlfn.XLOOKUP(D49,RUC!$B$3:$B$123,RUC!$D$3:$D$123)</f>
        <v>20606480840</v>
      </c>
      <c r="G49" s="762">
        <v>45</v>
      </c>
      <c r="H49" s="762" t="s">
        <v>69</v>
      </c>
      <c r="I49" s="703">
        <v>4.3</v>
      </c>
      <c r="J49" s="596">
        <v>1.3</v>
      </c>
      <c r="K49" s="703">
        <f t="shared" si="35"/>
        <v>4.2439999999999998</v>
      </c>
      <c r="L49" s="1192">
        <v>0.19700000000000001</v>
      </c>
      <c r="M49" s="994">
        <f t="shared" ref="M49:M103" si="46">ROUND(+IF(AN49="Melchor Vera",IF(L49&gt;0.467,L49*0.985,(L49-0.007)),IF(L49&gt;0.3,L49*0.94,(L49-0.019))),3)</f>
        <v>0.17799999999999999</v>
      </c>
      <c r="N49" s="1196">
        <f t="shared" si="25"/>
        <v>0.17799999999999999</v>
      </c>
      <c r="O49" s="645">
        <f t="shared" si="36"/>
        <v>0.17799999999999999</v>
      </c>
      <c r="P49" s="727">
        <v>85</v>
      </c>
      <c r="Q49" s="1476">
        <v>92.39</v>
      </c>
      <c r="R49" s="706">
        <v>4981.8500000000004</v>
      </c>
      <c r="S49" s="765">
        <f>IF((_xlfn.XLOOKUP(D49,RUC!$B$3:$B$119,RUC!$E$3:$E$119)+ROUNDDOWN(O49,1)*100)&lt;95,95,((_xlfn.XLOOKUP(D49,RUC!$B$3:$B$119,RUC!$E$3:$E$119)+ROUNDDOWN(O49,1)*100)))</f>
        <v>95</v>
      </c>
      <c r="U49" s="1146">
        <f>_xlfn.XLOOKUP(D49,RUC!$B$3:$B$123,RUC!$F$3:$F$123)</f>
        <v>110</v>
      </c>
      <c r="V49" s="715">
        <v>1.1023000000000001</v>
      </c>
      <c r="Y49">
        <f>_xlfn.XLOOKUP(D49,RUC!$B$3:$B$123,RUC!$G$3:$G$123)</f>
        <v>0</v>
      </c>
      <c r="Z49" s="143">
        <f>_xlfn.XLOOKUP(D49,RUC!$B$3:$B$123,RUC!$H$3:$H$123)</f>
        <v>35</v>
      </c>
      <c r="AA49" s="144">
        <f t="shared" si="37"/>
        <v>35</v>
      </c>
      <c r="AB49" s="145">
        <f t="shared" si="21"/>
        <v>669.21835058150009</v>
      </c>
      <c r="AC49" s="145">
        <f>+(S49-T49)*V49-'data 1'!$F$4</f>
        <v>24.718500000000006</v>
      </c>
      <c r="AD49" s="145">
        <f t="shared" si="38"/>
        <v>78.181568704366512</v>
      </c>
      <c r="AE49" s="145">
        <f t="shared" si="39"/>
        <v>-31.419499999999999</v>
      </c>
      <c r="AF49" s="145">
        <f t="shared" si="40"/>
        <v>94.269734460295581</v>
      </c>
      <c r="AG49" s="772">
        <f t="shared" si="34"/>
        <v>182.75030316466211</v>
      </c>
      <c r="AH49" s="1253">
        <f t="shared" si="41"/>
        <v>26.484000000000002</v>
      </c>
      <c r="AI49" s="1253">
        <f t="shared" si="42"/>
        <v>28.664999999999999</v>
      </c>
      <c r="AJ49" s="156">
        <f t="shared" si="43"/>
        <v>5.647671136883428</v>
      </c>
      <c r="AK49" s="156">
        <f t="shared" si="44"/>
        <v>22.01523737557946</v>
      </c>
      <c r="AM49" s="716">
        <f t="shared" si="45"/>
        <v>2840.1626798678863</v>
      </c>
      <c r="AN49" s="716" t="str">
        <f>_xlfn.XLOOKUP(D49,RUC!$B$3:$B$578,RUC!$M$3:$M$578)</f>
        <v>Robinson Tuya</v>
      </c>
      <c r="AO49" s="1167" t="s">
        <v>2280</v>
      </c>
      <c r="AP49" t="s">
        <v>2745</v>
      </c>
      <c r="AQ49" t="s">
        <v>3406</v>
      </c>
    </row>
    <row r="50" spans="1:43" ht="15" customHeight="1">
      <c r="A50" s="747" t="s">
        <v>4588</v>
      </c>
      <c r="B50" s="1447">
        <v>46057</v>
      </c>
      <c r="C50" s="1447">
        <v>46052</v>
      </c>
      <c r="D50" t="s">
        <v>1967</v>
      </c>
      <c r="E50" s="762">
        <f>_xlfn.XLOOKUP(D50,RUC!$B$3:$B$123,RUC!$D$3:$D$123)</f>
        <v>20601769396</v>
      </c>
      <c r="G50" s="762">
        <v>54</v>
      </c>
      <c r="H50" s="762" t="s">
        <v>108</v>
      </c>
      <c r="I50" s="703">
        <v>3.85</v>
      </c>
      <c r="J50" s="596">
        <v>11.48</v>
      </c>
      <c r="K50" s="703">
        <f t="shared" si="35"/>
        <v>3.4079999999999999</v>
      </c>
      <c r="L50" s="1192">
        <v>0.245</v>
      </c>
      <c r="M50" s="994">
        <f t="shared" si="46"/>
        <v>0.22600000000000001</v>
      </c>
      <c r="N50" s="1196">
        <f t="shared" si="25"/>
        <v>0.22600000000000001</v>
      </c>
      <c r="O50" s="645">
        <f t="shared" si="36"/>
        <v>0.22600000000000001</v>
      </c>
      <c r="P50" s="727">
        <v>90</v>
      </c>
      <c r="Q50" s="1476">
        <v>94.69</v>
      </c>
      <c r="R50" s="706">
        <v>4981.8500000000004</v>
      </c>
      <c r="S50" s="765">
        <f>IF((_xlfn.XLOOKUP(D50,RUC!$B$3:$B$119,RUC!$E$3:$E$119)+ROUNDDOWN(O50,1)*100)&lt;95,95,((_xlfn.XLOOKUP(D50,RUC!$B$3:$B$119,RUC!$E$3:$E$119)+ROUNDDOWN(O50,1)*100)))</f>
        <v>110</v>
      </c>
      <c r="U50" s="1146">
        <f>_xlfn.XLOOKUP(D50,RUC!$B$3:$B$123,RUC!$F$3:$F$123)</f>
        <v>120</v>
      </c>
      <c r="V50" s="715">
        <v>1.1023000000000001</v>
      </c>
      <c r="Y50" s="1445">
        <v>30</v>
      </c>
      <c r="Z50" s="1454">
        <v>40</v>
      </c>
      <c r="AA50" s="144">
        <f t="shared" si="37"/>
        <v>70</v>
      </c>
      <c r="AB50" s="145">
        <f t="shared" si="21"/>
        <v>891.65078966700014</v>
      </c>
      <c r="AC50" s="145">
        <f>+(S50-T50)*V50-'data 1'!$F$4</f>
        <v>41.253</v>
      </c>
      <c r="AD50" s="145">
        <f t="shared" si="38"/>
        <v>61.580085868577491</v>
      </c>
      <c r="AE50" s="145">
        <f t="shared" si="39"/>
        <v>7.1610000000000014</v>
      </c>
      <c r="AF50" s="145">
        <f t="shared" si="40"/>
        <v>96.418213556430459</v>
      </c>
      <c r="AG50" s="772">
        <f t="shared" si="34"/>
        <v>223.41229942500797</v>
      </c>
      <c r="AH50" s="1253">
        <f t="shared" si="41"/>
        <v>27.106999999999999</v>
      </c>
      <c r="AI50" s="1253">
        <f t="shared" si="42"/>
        <v>28.626999999999999</v>
      </c>
      <c r="AJ50" s="156">
        <f t="shared" si="43"/>
        <v>9.755837338922408</v>
      </c>
      <c r="AK50" s="156">
        <f t="shared" si="44"/>
        <v>23.766192143292962</v>
      </c>
      <c r="AM50" s="716">
        <f t="shared" si="45"/>
        <v>3038.7458911851363</v>
      </c>
      <c r="AN50" s="716" t="str">
        <f>_xlfn.XLOOKUP(D50,RUC!$B$3:$B$578,RUC!$M$3:$M$578)</f>
        <v>Evelyn</v>
      </c>
      <c r="AO50" s="1167" t="s">
        <v>2278</v>
      </c>
      <c r="AP50" t="s">
        <v>4640</v>
      </c>
      <c r="AQ50" t="s">
        <v>4641</v>
      </c>
    </row>
    <row r="51" spans="1:43" ht="15" customHeight="1">
      <c r="A51" s="747" t="s">
        <v>4589</v>
      </c>
      <c r="B51" s="1447">
        <v>46057</v>
      </c>
      <c r="C51" s="1447">
        <v>46052</v>
      </c>
      <c r="D51" t="s">
        <v>1967</v>
      </c>
      <c r="E51" s="762">
        <f>_xlfn.XLOOKUP(D51,RUC!$B$3:$B$123,RUC!$D$3:$D$123)</f>
        <v>20601769396</v>
      </c>
      <c r="G51" s="762">
        <v>54</v>
      </c>
      <c r="H51" s="762" t="s">
        <v>108</v>
      </c>
      <c r="I51" s="703">
        <v>4.1399999999999997</v>
      </c>
      <c r="J51" s="596">
        <v>11.43</v>
      </c>
      <c r="K51" s="703">
        <f t="shared" si="35"/>
        <v>3.6669999999999998</v>
      </c>
      <c r="L51" s="1192">
        <v>0.26500000000000001</v>
      </c>
      <c r="M51" s="994">
        <f t="shared" si="46"/>
        <v>0.246</v>
      </c>
      <c r="N51" s="1196">
        <f t="shared" si="25"/>
        <v>0.246</v>
      </c>
      <c r="O51" s="645">
        <f t="shared" si="36"/>
        <v>0.246</v>
      </c>
      <c r="P51" s="727">
        <v>90</v>
      </c>
      <c r="Q51" s="1476">
        <v>93.21</v>
      </c>
      <c r="R51" s="706">
        <v>4981.8500000000004</v>
      </c>
      <c r="S51" s="765">
        <f>IF((_xlfn.XLOOKUP(D51,RUC!$B$3:$B$119,RUC!$E$3:$E$119)+ROUNDDOWN(O51,1)*100)&lt;95,95,((_xlfn.XLOOKUP(D51,RUC!$B$3:$B$119,RUC!$E$3:$E$119)+ROUNDDOWN(O51,1)*100)))</f>
        <v>110</v>
      </c>
      <c r="U51" s="1146">
        <f>_xlfn.XLOOKUP(D51,RUC!$B$3:$B$123,RUC!$F$3:$F$123)</f>
        <v>120</v>
      </c>
      <c r="V51" s="715">
        <v>1.1023000000000001</v>
      </c>
      <c r="Y51" s="1445">
        <v>30</v>
      </c>
      <c r="Z51" s="1454">
        <v>40</v>
      </c>
      <c r="AA51" s="144">
        <f t="shared" si="37"/>
        <v>70</v>
      </c>
      <c r="AB51" s="145">
        <f t="shared" si="21"/>
        <v>988.11670025700016</v>
      </c>
      <c r="AC51" s="145">
        <f>+(S51-T51)*V51-'data 1'!$F$4</f>
        <v>41.253</v>
      </c>
      <c r="AD51" s="145">
        <f t="shared" si="38"/>
        <v>45.588181579657423</v>
      </c>
      <c r="AE51" s="145">
        <f t="shared" si="39"/>
        <v>7.1610000000000014</v>
      </c>
      <c r="AF51" s="145">
        <f t="shared" si="40"/>
        <v>94.911201664324594</v>
      </c>
      <c r="AG51" s="772">
        <f t="shared" si="34"/>
        <v>205.91338324398203</v>
      </c>
      <c r="AH51" s="1253">
        <f t="shared" si="41"/>
        <v>31.055</v>
      </c>
      <c r="AI51" s="1253">
        <f t="shared" si="42"/>
        <v>33.317</v>
      </c>
      <c r="AJ51" s="156">
        <f t="shared" si="43"/>
        <v>10.3873013578424</v>
      </c>
      <c r="AK51" s="156">
        <f t="shared" si="44"/>
        <v>27.835408280628091</v>
      </c>
      <c r="AM51" s="716">
        <f t="shared" si="45"/>
        <v>3623.4239398424193</v>
      </c>
      <c r="AN51" s="716" t="str">
        <f>_xlfn.XLOOKUP(D51,RUC!$B$3:$B$578,RUC!$M$3:$M$578)</f>
        <v>Evelyn</v>
      </c>
      <c r="AO51" s="1167" t="s">
        <v>2278</v>
      </c>
      <c r="AP51" t="s">
        <v>4640</v>
      </c>
      <c r="AQ51" t="s">
        <v>4641</v>
      </c>
    </row>
    <row r="52" spans="1:43" ht="15" customHeight="1">
      <c r="A52" s="747" t="s">
        <v>4590</v>
      </c>
      <c r="B52" s="1447">
        <v>46058</v>
      </c>
      <c r="C52" s="1447">
        <v>46052</v>
      </c>
      <c r="D52" t="s">
        <v>1967</v>
      </c>
      <c r="E52" s="762">
        <f>_xlfn.XLOOKUP(D52,RUC!$B$3:$B$123,RUC!$D$3:$D$123)</f>
        <v>20601769396</v>
      </c>
      <c r="G52" s="762">
        <v>32</v>
      </c>
      <c r="H52" s="762" t="s">
        <v>108</v>
      </c>
      <c r="I52" s="703">
        <v>2.54</v>
      </c>
      <c r="J52" s="596">
        <v>15.18</v>
      </c>
      <c r="K52" s="703">
        <f t="shared" si="35"/>
        <v>2.1539999999999999</v>
      </c>
      <c r="L52" s="1192">
        <v>0.48699999999999999</v>
      </c>
      <c r="M52" s="994">
        <f t="shared" si="46"/>
        <v>0.45800000000000002</v>
      </c>
      <c r="N52" s="1196">
        <f t="shared" si="25"/>
        <v>0.45800000000000002</v>
      </c>
      <c r="O52" s="645">
        <f t="shared" si="36"/>
        <v>0.45800000000000002</v>
      </c>
      <c r="P52" s="727">
        <v>90</v>
      </c>
      <c r="Q52" s="1476">
        <v>89.53</v>
      </c>
      <c r="R52" s="706">
        <v>4981.8500000000004</v>
      </c>
      <c r="S52" s="765">
        <f>IF((_xlfn.XLOOKUP(D52,RUC!$B$3:$B$119,RUC!$E$3:$E$119)+ROUNDDOWN(O52,1)*100)&lt;95,95,((_xlfn.XLOOKUP(D52,RUC!$B$3:$B$119,RUC!$E$3:$E$119)+ROUNDDOWN(O52,1)*100)))</f>
        <v>130</v>
      </c>
      <c r="U52" s="1146">
        <f>_xlfn.XLOOKUP(D52,RUC!$B$3:$B$123,RUC!$F$3:$F$123)</f>
        <v>120</v>
      </c>
      <c r="V52" s="715">
        <v>1.1023000000000001</v>
      </c>
      <c r="Y52" s="1445">
        <v>30</v>
      </c>
      <c r="Z52" s="1454">
        <v>40</v>
      </c>
      <c r="AA52" s="144">
        <f t="shared" si="37"/>
        <v>70</v>
      </c>
      <c r="AB52" s="145">
        <f t="shared" si="21"/>
        <v>1988.6093525110005</v>
      </c>
      <c r="AC52" s="145">
        <f>+(S52-T52)*V52-'data 1'!$F$4</f>
        <v>63.299000000000007</v>
      </c>
      <c r="AD52" s="145">
        <f t="shared" si="38"/>
        <v>-12.266712374969471</v>
      </c>
      <c r="AE52" s="145">
        <f t="shared" si="39"/>
        <v>7.1610000000000014</v>
      </c>
      <c r="AF52" s="145">
        <f t="shared" si="40"/>
        <v>139.14510904364337</v>
      </c>
      <c r="AG52" s="772">
        <f t="shared" si="34"/>
        <v>214.33839666867391</v>
      </c>
      <c r="AH52" s="1253">
        <f t="shared" si="41"/>
        <v>32.200000000000003</v>
      </c>
      <c r="AI52" s="1253">
        <f t="shared" si="42"/>
        <v>35.965000000000003</v>
      </c>
      <c r="AJ52" s="156">
        <f t="shared" si="43"/>
        <v>18.335463605469325</v>
      </c>
      <c r="AK52" s="156">
        <f t="shared" si="44"/>
        <v>30.441269199368342</v>
      </c>
      <c r="AM52" s="716">
        <f t="shared" si="45"/>
        <v>4283.4645453086951</v>
      </c>
      <c r="AN52" s="716" t="str">
        <f>_xlfn.XLOOKUP(D52,RUC!$B$3:$B$578,RUC!$M$3:$M$578)</f>
        <v>Evelyn</v>
      </c>
      <c r="AO52" s="1167" t="s">
        <v>2277</v>
      </c>
      <c r="AP52" t="s">
        <v>4640</v>
      </c>
      <c r="AQ52" t="s">
        <v>4641</v>
      </c>
    </row>
    <row r="53" spans="1:43" ht="15" customHeight="1">
      <c r="A53" s="747" t="s">
        <v>4591</v>
      </c>
      <c r="B53" s="1447">
        <v>46058</v>
      </c>
      <c r="C53" s="1447">
        <v>46052</v>
      </c>
      <c r="D53" t="s">
        <v>1967</v>
      </c>
      <c r="E53" s="762">
        <f>_xlfn.XLOOKUP(D53,RUC!$B$3:$B$123,RUC!$D$3:$D$123)</f>
        <v>20601769396</v>
      </c>
      <c r="G53" s="762">
        <v>32</v>
      </c>
      <c r="H53" s="762" t="s">
        <v>108</v>
      </c>
      <c r="I53" s="703">
        <v>2.5299999999999998</v>
      </c>
      <c r="J53" s="596">
        <v>14.58</v>
      </c>
      <c r="K53" s="703">
        <f t="shared" si="35"/>
        <v>2.161</v>
      </c>
      <c r="L53" s="1192">
        <v>0.47299999999999998</v>
      </c>
      <c r="M53" s="994">
        <f t="shared" si="46"/>
        <v>0.44500000000000001</v>
      </c>
      <c r="N53" s="1196">
        <f t="shared" si="25"/>
        <v>0.44500000000000001</v>
      </c>
      <c r="O53" s="645">
        <f t="shared" si="36"/>
        <v>0.44500000000000001</v>
      </c>
      <c r="P53" s="727">
        <v>87</v>
      </c>
      <c r="Q53" s="1476">
        <v>88.16</v>
      </c>
      <c r="R53" s="706">
        <v>4981.8500000000004</v>
      </c>
      <c r="S53" s="765">
        <f>IF((_xlfn.XLOOKUP(D53,RUC!$B$3:$B$119,RUC!$E$3:$E$119)+ROUNDDOWN(O53,1)*100)&lt;95,95,((_xlfn.XLOOKUP(D53,RUC!$B$3:$B$119,RUC!$E$3:$E$119)+ROUNDDOWN(O53,1)*100)))</f>
        <v>130</v>
      </c>
      <c r="U53" s="1146">
        <f>_xlfn.XLOOKUP(D53,RUC!$B$3:$B$123,RUC!$F$3:$F$123)</f>
        <v>120</v>
      </c>
      <c r="V53" s="715">
        <v>1.1023000000000001</v>
      </c>
      <c r="Y53" s="1445">
        <v>30</v>
      </c>
      <c r="Z53" s="1454">
        <v>40</v>
      </c>
      <c r="AA53" s="144">
        <f t="shared" si="37"/>
        <v>70</v>
      </c>
      <c r="AB53" s="145">
        <f t="shared" si="21"/>
        <v>1854.3609602732504</v>
      </c>
      <c r="AC53" s="145">
        <f>+(S53-T53)*V53-'data 1'!$F$4</f>
        <v>63.299000000000007</v>
      </c>
      <c r="AD53" s="145">
        <f t="shared" si="38"/>
        <v>29.404953234733917</v>
      </c>
      <c r="AE53" s="145">
        <f t="shared" si="39"/>
        <v>7.1610000000000014</v>
      </c>
      <c r="AF53" s="145">
        <f t="shared" si="40"/>
        <v>132.29120609622387</v>
      </c>
      <c r="AG53" s="772">
        <f t="shared" si="34"/>
        <v>249.15615933095779</v>
      </c>
      <c r="AH53" s="1253">
        <f t="shared" si="41"/>
        <v>30.896000000000001</v>
      </c>
      <c r="AI53" s="1253">
        <f t="shared" si="42"/>
        <v>35.045000000000002</v>
      </c>
      <c r="AJ53" s="156">
        <f t="shared" si="43"/>
        <v>17.535860096215831</v>
      </c>
      <c r="AK53" s="156">
        <f t="shared" si="44"/>
        <v>28.684223632467759</v>
      </c>
      <c r="AM53" s="716">
        <f t="shared" si="45"/>
        <v>4007.274035150494</v>
      </c>
      <c r="AN53" s="716" t="str">
        <f>_xlfn.XLOOKUP(D53,RUC!$B$3:$B$578,RUC!$M$3:$M$578)</f>
        <v>Evelyn</v>
      </c>
      <c r="AO53" s="1167" t="s">
        <v>2277</v>
      </c>
      <c r="AP53" t="s">
        <v>4640</v>
      </c>
      <c r="AQ53" t="s">
        <v>4641</v>
      </c>
    </row>
    <row r="54" spans="1:43" ht="15" customHeight="1">
      <c r="A54" s="747" t="s">
        <v>4593</v>
      </c>
      <c r="B54" s="1447">
        <v>46057</v>
      </c>
      <c r="C54" s="1447">
        <v>46052</v>
      </c>
      <c r="D54" t="s">
        <v>1967</v>
      </c>
      <c r="E54" s="762">
        <f>_xlfn.XLOOKUP(D54,RUC!$B$3:$B$123,RUC!$D$3:$D$123)</f>
        <v>20601769396</v>
      </c>
      <c r="G54" s="762">
        <v>12</v>
      </c>
      <c r="H54" s="762" t="s">
        <v>108</v>
      </c>
      <c r="I54" s="703">
        <v>0.83</v>
      </c>
      <c r="J54" s="596">
        <v>8.8000000000000007</v>
      </c>
      <c r="K54" s="703">
        <f t="shared" si="35"/>
        <v>0.75700000000000001</v>
      </c>
      <c r="L54" s="1192">
        <v>0.189</v>
      </c>
      <c r="M54" s="994">
        <f t="shared" si="46"/>
        <v>0.17</v>
      </c>
      <c r="N54" s="1196">
        <f t="shared" si="25"/>
        <v>0.17</v>
      </c>
      <c r="O54" s="645">
        <f t="shared" si="36"/>
        <v>0.17</v>
      </c>
      <c r="P54" s="727">
        <v>85</v>
      </c>
      <c r="Q54" s="1476">
        <v>96.3</v>
      </c>
      <c r="R54" s="706">
        <v>4981.8500000000004</v>
      </c>
      <c r="S54" s="765">
        <f>IF((_xlfn.XLOOKUP(D54,RUC!$B$3:$B$119,RUC!$E$3:$E$119)+ROUNDDOWN(O54,1)*100)&lt;95,95,((_xlfn.XLOOKUP(D54,RUC!$B$3:$B$119,RUC!$E$3:$E$119)+ROUNDDOWN(O54,1)*100)))</f>
        <v>100</v>
      </c>
      <c r="U54" s="1146">
        <f>_xlfn.XLOOKUP(D54,RUC!$B$3:$B$123,RUC!$F$3:$F$123)</f>
        <v>120</v>
      </c>
      <c r="V54" s="715">
        <v>1.1023000000000001</v>
      </c>
      <c r="Y54" s="1445">
        <v>30</v>
      </c>
      <c r="Z54" s="1454">
        <v>40</v>
      </c>
      <c r="AA54" s="144">
        <f t="shared" si="37"/>
        <v>70</v>
      </c>
      <c r="AB54" s="145">
        <f t="shared" si="21"/>
        <v>587.0158933475002</v>
      </c>
      <c r="AC54" s="145">
        <f>+(S54-T54)*V54-'data 1'!$F$4</f>
        <v>30.230000000000004</v>
      </c>
      <c r="AD54" s="145">
        <f t="shared" si="38"/>
        <v>114.45680291503498</v>
      </c>
      <c r="AE54" s="145">
        <f t="shared" si="39"/>
        <v>7.1610000000000014</v>
      </c>
      <c r="AF54" s="145">
        <f t="shared" si="40"/>
        <v>98.057598114734958</v>
      </c>
      <c r="AG54" s="772">
        <f t="shared" si="34"/>
        <v>266.90540102976996</v>
      </c>
      <c r="AH54" s="1253">
        <f t="shared" si="41"/>
        <v>4.7240000000000002</v>
      </c>
      <c r="AI54" s="1253">
        <f t="shared" si="42"/>
        <v>4.9050000000000002</v>
      </c>
      <c r="AJ54" s="156">
        <f t="shared" si="43"/>
        <v>7.653893959214928</v>
      </c>
      <c r="AK54" s="156">
        <f t="shared" si="44"/>
        <v>3.7503585999313254</v>
      </c>
      <c r="AM54" s="716">
        <f t="shared" si="45"/>
        <v>444.37103126405765</v>
      </c>
      <c r="AN54" s="716" t="str">
        <f>_xlfn.XLOOKUP(D54,RUC!$B$3:$B$578,RUC!$M$3:$M$578)</f>
        <v>Evelyn</v>
      </c>
      <c r="AO54" s="1167" t="s">
        <v>2278</v>
      </c>
      <c r="AP54" t="s">
        <v>4640</v>
      </c>
      <c r="AQ54" t="s">
        <v>4641</v>
      </c>
    </row>
    <row r="55" spans="1:43" ht="15" customHeight="1">
      <c r="A55" s="747" t="s">
        <v>4594</v>
      </c>
      <c r="B55" s="1447">
        <v>46059</v>
      </c>
      <c r="C55" s="1447">
        <v>46052</v>
      </c>
      <c r="D55" t="s">
        <v>1967</v>
      </c>
      <c r="E55" s="762">
        <f>_xlfn.XLOOKUP(D55,RUC!$B$3:$B$123,RUC!$D$3:$D$123)</f>
        <v>20601769396</v>
      </c>
      <c r="G55" s="762">
        <v>25</v>
      </c>
      <c r="H55" s="762" t="s">
        <v>108</v>
      </c>
      <c r="I55" s="703">
        <v>2.27</v>
      </c>
      <c r="J55" s="596">
        <v>12.03</v>
      </c>
      <c r="K55" s="703">
        <f t="shared" si="35"/>
        <v>1.9970000000000001</v>
      </c>
      <c r="L55" s="1192">
        <v>0.17799999999999999</v>
      </c>
      <c r="M55" s="994">
        <f t="shared" si="46"/>
        <v>0.159</v>
      </c>
      <c r="N55" s="1196">
        <f t="shared" si="25"/>
        <v>0.159</v>
      </c>
      <c r="O55" s="645">
        <f t="shared" si="36"/>
        <v>0.159</v>
      </c>
      <c r="P55" s="727">
        <v>85</v>
      </c>
      <c r="Q55" s="1476">
        <v>94.94</v>
      </c>
      <c r="R55" s="706">
        <v>4981.8500000000004</v>
      </c>
      <c r="S55" s="765">
        <f>IF((_xlfn.XLOOKUP(D55,RUC!$B$3:$B$119,RUC!$E$3:$E$119)+ROUNDDOWN(O55,1)*100)&lt;95,95,((_xlfn.XLOOKUP(D55,RUC!$B$3:$B$119,RUC!$E$3:$E$119)+ROUNDDOWN(O55,1)*100)))</f>
        <v>100</v>
      </c>
      <c r="U55" s="1146">
        <f>_xlfn.XLOOKUP(D55,RUC!$B$3:$B$123,RUC!$F$3:$F$123)</f>
        <v>120</v>
      </c>
      <c r="V55" s="715">
        <v>1.1023000000000001</v>
      </c>
      <c r="Y55" s="1445">
        <v>30</v>
      </c>
      <c r="Z55" s="1454">
        <v>40</v>
      </c>
      <c r="AA55" s="144">
        <f t="shared" si="37"/>
        <v>70</v>
      </c>
      <c r="AB55" s="145">
        <f t="shared" si="21"/>
        <v>536.90721201325005</v>
      </c>
      <c r="AC55" s="145">
        <f>+(S55-T55)*V55-'data 1'!$F$4</f>
        <v>30.230000000000004</v>
      </c>
      <c r="AD55" s="145">
        <f t="shared" si="38"/>
        <v>94.821702736165989</v>
      </c>
      <c r="AE55" s="145">
        <f t="shared" si="39"/>
        <v>7.1610000000000014</v>
      </c>
      <c r="AF55" s="145">
        <f t="shared" si="40"/>
        <v>96.672776376042961</v>
      </c>
      <c r="AG55" s="772">
        <f t="shared" si="34"/>
        <v>245.88547911220894</v>
      </c>
      <c r="AH55" s="1253">
        <f t="shared" si="41"/>
        <v>11.571</v>
      </c>
      <c r="AI55" s="1253">
        <f t="shared" si="42"/>
        <v>12.186999999999999</v>
      </c>
      <c r="AJ55" s="156">
        <f t="shared" si="43"/>
        <v>7.1066279463339335</v>
      </c>
      <c r="AK55" s="156">
        <f t="shared" si="44"/>
        <v>9.2534393793301284</v>
      </c>
      <c r="AM55" s="716">
        <f t="shared" si="45"/>
        <v>1072.2037023904604</v>
      </c>
      <c r="AN55" s="716" t="str">
        <f>_xlfn.XLOOKUP(D55,RUC!$B$3:$B$578,RUC!$M$3:$M$578)</f>
        <v>Evelyn</v>
      </c>
      <c r="AO55" s="1167" t="s">
        <v>2280</v>
      </c>
      <c r="AP55" t="s">
        <v>4640</v>
      </c>
      <c r="AQ55" t="s">
        <v>4641</v>
      </c>
    </row>
    <row r="56" spans="1:43" ht="15" customHeight="1">
      <c r="A56" s="747" t="s">
        <v>4595</v>
      </c>
      <c r="B56" s="1447">
        <v>46059</v>
      </c>
      <c r="C56" s="1447">
        <v>46052</v>
      </c>
      <c r="D56" t="s">
        <v>1967</v>
      </c>
      <c r="E56" s="762">
        <f>_xlfn.XLOOKUP(D56,RUC!$B$3:$B$123,RUC!$D$3:$D$123)</f>
        <v>20601769396</v>
      </c>
      <c r="G56" s="762">
        <v>26</v>
      </c>
      <c r="H56" s="762" t="s">
        <v>108</v>
      </c>
      <c r="I56" s="703">
        <v>2.19</v>
      </c>
      <c r="J56" s="596">
        <v>13.15</v>
      </c>
      <c r="K56" s="703">
        <f t="shared" si="35"/>
        <v>1.9019999999999999</v>
      </c>
      <c r="L56" s="1192">
        <v>0.20300000000000001</v>
      </c>
      <c r="M56" s="994">
        <f t="shared" si="46"/>
        <v>0.184</v>
      </c>
      <c r="N56" s="1196">
        <f t="shared" si="25"/>
        <v>0.184</v>
      </c>
      <c r="O56" s="645">
        <f t="shared" si="36"/>
        <v>0.184</v>
      </c>
      <c r="P56" s="727">
        <v>90</v>
      </c>
      <c r="Q56" s="1476">
        <v>92.61</v>
      </c>
      <c r="R56" s="706">
        <v>4981.8500000000004</v>
      </c>
      <c r="S56" s="765">
        <f>IF((_xlfn.XLOOKUP(D56,RUC!$B$3:$B$119,RUC!$E$3:$E$119)+ROUNDDOWN(O56,1)*100)&lt;95,95,((_xlfn.XLOOKUP(D56,RUC!$B$3:$B$119,RUC!$E$3:$E$119)+ROUNDDOWN(O56,1)*100)))</f>
        <v>100</v>
      </c>
      <c r="U56" s="1146">
        <f>_xlfn.XLOOKUP(D56,RUC!$B$3:$B$123,RUC!$F$3:$F$123)</f>
        <v>120</v>
      </c>
      <c r="V56" s="715">
        <v>1.1023000000000001</v>
      </c>
      <c r="Y56" s="1445">
        <v>30</v>
      </c>
      <c r="Z56" s="1454">
        <v>40</v>
      </c>
      <c r="AA56" s="144">
        <f t="shared" si="37"/>
        <v>70</v>
      </c>
      <c r="AB56" s="145">
        <f t="shared" si="21"/>
        <v>700.09537742800012</v>
      </c>
      <c r="AC56" s="145">
        <f>+(S56-T56)*V56-'data 1'!$F$4</f>
        <v>30.230000000000004</v>
      </c>
      <c r="AD56" s="145">
        <f t="shared" si="38"/>
        <v>28.394740782166501</v>
      </c>
      <c r="AE56" s="145">
        <f t="shared" si="39"/>
        <v>7.1610000000000014</v>
      </c>
      <c r="AF56" s="145">
        <f t="shared" si="40"/>
        <v>94.300250897254614</v>
      </c>
      <c r="AG56" s="772">
        <f t="shared" si="34"/>
        <v>177.08599167942111</v>
      </c>
      <c r="AH56" s="1253">
        <f t="shared" si="41"/>
        <v>12.26</v>
      </c>
      <c r="AI56" s="1253">
        <f t="shared" si="42"/>
        <v>13.238</v>
      </c>
      <c r="AJ56" s="156">
        <f t="shared" si="43"/>
        <v>7.9058445703334259</v>
      </c>
      <c r="AK56" s="156">
        <f t="shared" si="44"/>
        <v>10.798909816574161</v>
      </c>
      <c r="AM56" s="716">
        <f t="shared" si="45"/>
        <v>1331.5814078680562</v>
      </c>
      <c r="AN56" s="716" t="str">
        <f>_xlfn.XLOOKUP(D56,RUC!$B$3:$B$578,RUC!$M$3:$M$578)</f>
        <v>Evelyn</v>
      </c>
      <c r="AO56" s="1167" t="s">
        <v>2278</v>
      </c>
      <c r="AP56" t="s">
        <v>4640</v>
      </c>
      <c r="AQ56" t="s">
        <v>4641</v>
      </c>
    </row>
    <row r="57" spans="1:43" ht="15" customHeight="1">
      <c r="A57" s="747" t="s">
        <v>4596</v>
      </c>
      <c r="B57" s="1447">
        <v>46059</v>
      </c>
      <c r="C57" s="1447">
        <v>46052</v>
      </c>
      <c r="D57" t="s">
        <v>1967</v>
      </c>
      <c r="E57" s="762">
        <f>_xlfn.XLOOKUP(D57,RUC!$B$3:$B$123,RUC!$D$3:$D$123)</f>
        <v>20601769396</v>
      </c>
      <c r="G57" s="762">
        <v>26</v>
      </c>
      <c r="H57" s="762" t="s">
        <v>108</v>
      </c>
      <c r="I57" s="703">
        <v>2.2200000000000002</v>
      </c>
      <c r="J57" s="596">
        <v>13.85</v>
      </c>
      <c r="K57" s="703">
        <f t="shared" si="35"/>
        <v>1.913</v>
      </c>
      <c r="L57" s="1192">
        <v>0.19800000000000001</v>
      </c>
      <c r="M57" s="994">
        <f t="shared" si="46"/>
        <v>0.17899999999999999</v>
      </c>
      <c r="N57" s="1196">
        <f t="shared" si="25"/>
        <v>0.17899999999999999</v>
      </c>
      <c r="O57" s="645">
        <f t="shared" si="36"/>
        <v>0.17899999999999999</v>
      </c>
      <c r="P57" s="727">
        <v>85</v>
      </c>
      <c r="Q57" s="1476">
        <v>94.95</v>
      </c>
      <c r="R57" s="706">
        <v>4981.8500000000004</v>
      </c>
      <c r="S57" s="765">
        <f>IF((_xlfn.XLOOKUP(D57,RUC!$B$3:$B$119,RUC!$E$3:$E$119)+ROUNDDOWN(O57,1)*100)&lt;95,95,((_xlfn.XLOOKUP(D57,RUC!$B$3:$B$119,RUC!$E$3:$E$119)+ROUNDDOWN(O57,1)*100)))</f>
        <v>100</v>
      </c>
      <c r="U57" s="1146">
        <f>_xlfn.XLOOKUP(D57,RUC!$B$3:$B$123,RUC!$F$3:$F$123)</f>
        <v>120</v>
      </c>
      <c r="V57" s="715">
        <v>1.1023000000000001</v>
      </c>
      <c r="Y57" s="1445">
        <v>30</v>
      </c>
      <c r="Z57" s="1454">
        <v>40</v>
      </c>
      <c r="AA57" s="144">
        <f t="shared" si="37"/>
        <v>70</v>
      </c>
      <c r="AB57" s="145">
        <f t="shared" si="21"/>
        <v>628.01390534825009</v>
      </c>
      <c r="AC57" s="145">
        <f>+(S57-T57)*V57-'data 1'!$F$4</f>
        <v>30.230000000000004</v>
      </c>
      <c r="AD57" s="145">
        <f t="shared" si="38"/>
        <v>105.58193914075505</v>
      </c>
      <c r="AE57" s="145">
        <f t="shared" si="39"/>
        <v>7.1610000000000014</v>
      </c>
      <c r="AF57" s="145">
        <f t="shared" si="40"/>
        <v>96.682958888827599</v>
      </c>
      <c r="AG57" s="772">
        <f t="shared" si="34"/>
        <v>256.65589802958266</v>
      </c>
      <c r="AH57" s="1253">
        <f t="shared" si="41"/>
        <v>12.331</v>
      </c>
      <c r="AI57" s="1253">
        <f t="shared" si="42"/>
        <v>12.986000000000001</v>
      </c>
      <c r="AJ57" s="156">
        <f t="shared" si="43"/>
        <v>7.9059581127449254</v>
      </c>
      <c r="AK57" s="156">
        <f t="shared" si="44"/>
        <v>9.9792061877277476</v>
      </c>
      <c r="AM57" s="716">
        <f t="shared" si="45"/>
        <v>1201.3906009312025</v>
      </c>
      <c r="AN57" s="716" t="str">
        <f>_xlfn.XLOOKUP(D57,RUC!$B$3:$B$578,RUC!$M$3:$M$578)</f>
        <v>Evelyn</v>
      </c>
      <c r="AO57" s="1167" t="s">
        <v>2278</v>
      </c>
      <c r="AP57" t="s">
        <v>4640</v>
      </c>
      <c r="AQ57" t="s">
        <v>4641</v>
      </c>
    </row>
    <row r="58" spans="1:43" ht="15" customHeight="1">
      <c r="A58" s="747" t="s">
        <v>4599</v>
      </c>
      <c r="B58" s="1447">
        <v>46066</v>
      </c>
      <c r="C58" s="1447">
        <v>46052</v>
      </c>
      <c r="D58" t="s">
        <v>3062</v>
      </c>
      <c r="E58" s="762">
        <f>_xlfn.XLOOKUP(D58,RUC!$B$3:$B$123,RUC!$D$3:$D$123)</f>
        <v>20610807004</v>
      </c>
      <c r="G58" s="762">
        <v>53</v>
      </c>
      <c r="H58" s="762" t="s">
        <v>108</v>
      </c>
      <c r="I58" s="703">
        <v>4.62</v>
      </c>
      <c r="J58" s="596">
        <v>14.5</v>
      </c>
      <c r="K58" s="703">
        <f t="shared" si="35"/>
        <v>3.95</v>
      </c>
      <c r="L58" s="1192">
        <v>0.29799999999999999</v>
      </c>
      <c r="M58" s="994">
        <f t="shared" si="46"/>
        <v>0.27900000000000003</v>
      </c>
      <c r="N58" s="1196">
        <f t="shared" ref="N58:N65" si="47">+M58</f>
        <v>0.27900000000000003</v>
      </c>
      <c r="O58" s="645">
        <f t="shared" si="36"/>
        <v>0.27900000000000003</v>
      </c>
      <c r="P58" s="727">
        <v>88</v>
      </c>
      <c r="Q58" s="1476">
        <v>88.26</v>
      </c>
      <c r="R58" s="706">
        <v>4981.8500000000004</v>
      </c>
      <c r="S58" s="765">
        <f>IF((_xlfn.XLOOKUP(D58,RUC!$B$3:$B$119,RUC!$E$3:$E$119)+ROUNDDOWN(O58,1)*100)&lt;95,95,((_xlfn.XLOOKUP(D58,RUC!$B$3:$B$119,RUC!$E$3:$E$119)+ROUNDDOWN(O58,1)*100)))</f>
        <v>105</v>
      </c>
      <c r="U58" s="1146">
        <f>_xlfn.XLOOKUP(D58,RUC!$B$3:$B$123,RUC!$F$3:$F$123)</f>
        <v>120</v>
      </c>
      <c r="V58" s="715">
        <v>1.1023000000000001</v>
      </c>
      <c r="Y58" s="1445">
        <v>30</v>
      </c>
      <c r="Z58" s="1454">
        <v>40</v>
      </c>
      <c r="AA58" s="144">
        <f t="shared" si="37"/>
        <v>70</v>
      </c>
      <c r="AB58" s="145">
        <f t="shared" ref="AB58:AB109" si="48">+((O58*P58*(R58-U58)/100)-S58-AA58+T58)*V58</f>
        <v>1122.8925204476004</v>
      </c>
      <c r="AC58" s="145">
        <f>+(S58-T58)*V58-'data 1'!$F$4</f>
        <v>35.741500000000002</v>
      </c>
      <c r="AD58" s="145">
        <f t="shared" si="38"/>
        <v>4.152321529174082</v>
      </c>
      <c r="AE58" s="145">
        <f t="shared" si="39"/>
        <v>7.1610000000000014</v>
      </c>
      <c r="AF58" s="145">
        <f t="shared" si="40"/>
        <v>89.87085783599683</v>
      </c>
      <c r="AG58" s="772">
        <f t="shared" ref="AG58" si="49">AC58+AD58+AE58+AF58+70-10</f>
        <v>196.92567936517091</v>
      </c>
      <c r="AH58" s="1253">
        <f t="shared" si="41"/>
        <v>35.619</v>
      </c>
      <c r="AI58" s="1253">
        <f t="shared" si="42"/>
        <v>40.356999999999999</v>
      </c>
      <c r="AJ58" s="156">
        <f t="shared" si="43"/>
        <v>11.060494315625895</v>
      </c>
      <c r="AK58" s="156">
        <f t="shared" si="44"/>
        <v>33.250106472442205</v>
      </c>
      <c r="AM58" s="716">
        <f t="shared" si="45"/>
        <v>4435.4254557680215</v>
      </c>
      <c r="AN58" s="716" t="str">
        <f>_xlfn.XLOOKUP(D58,RUC!$B$3:$B$578,RUC!$M$3:$M$578)</f>
        <v>Renzo</v>
      </c>
      <c r="AO58" s="1167" t="s">
        <v>2279</v>
      </c>
      <c r="AP58" t="s">
        <v>3286</v>
      </c>
      <c r="AQ58" t="s">
        <v>4642</v>
      </c>
    </row>
    <row r="59" spans="1:43" ht="15" customHeight="1">
      <c r="A59" s="747" t="s">
        <v>4600</v>
      </c>
      <c r="B59" s="1447">
        <v>46059</v>
      </c>
      <c r="C59" s="1447">
        <v>46053</v>
      </c>
      <c r="D59" t="s">
        <v>3642</v>
      </c>
      <c r="E59" s="762" t="str">
        <f>_xlfn.XLOOKUP(D59,RUC!$B$3:$B$123,RUC!$D$3:$D$123)</f>
        <v>20601769396*</v>
      </c>
      <c r="G59" s="762">
        <v>35</v>
      </c>
      <c r="H59" s="762" t="s">
        <v>108</v>
      </c>
      <c r="I59" s="703">
        <v>3.17</v>
      </c>
      <c r="J59" s="596">
        <v>7</v>
      </c>
      <c r="K59" s="703">
        <f t="shared" si="35"/>
        <v>2.948</v>
      </c>
      <c r="L59" s="1192">
        <v>0.13300000000000001</v>
      </c>
      <c r="M59" s="994">
        <f t="shared" si="46"/>
        <v>0.114</v>
      </c>
      <c r="N59" s="1196">
        <f t="shared" si="47"/>
        <v>0.114</v>
      </c>
      <c r="O59" s="645">
        <f t="shared" si="36"/>
        <v>0.114</v>
      </c>
      <c r="P59" s="727">
        <v>80</v>
      </c>
      <c r="Q59" s="1476">
        <v>81.2</v>
      </c>
      <c r="R59" s="706">
        <v>4981.8500000000004</v>
      </c>
      <c r="S59" s="765">
        <f>IF((_xlfn.XLOOKUP(D59,RUC!$B$3:$B$119,RUC!$E$3:$E$119)+ROUNDDOWN(O59,1)*100)&lt;95,95,((_xlfn.XLOOKUP(D59,RUC!$B$3:$B$119,RUC!$E$3:$E$119)+ROUNDDOWN(O59,1)*100)))</f>
        <v>100</v>
      </c>
      <c r="U59" s="1146">
        <f>_xlfn.XLOOKUP(D59,RUC!$B$3:$B$123,RUC!$F$3:$F$123)</f>
        <v>120</v>
      </c>
      <c r="V59" s="715">
        <v>1.1023000000000001</v>
      </c>
      <c r="Y59" s="1445">
        <v>30</v>
      </c>
      <c r="Z59" s="1454">
        <v>40</v>
      </c>
      <c r="AA59" s="144">
        <f t="shared" si="37"/>
        <v>70</v>
      </c>
      <c r="AB59" s="145">
        <f t="shared" si="48"/>
        <v>301.36961365600013</v>
      </c>
      <c r="AC59" s="145">
        <f>+(S59-T59)*V59-'data 1'!$F$4</f>
        <v>30.230000000000004</v>
      </c>
      <c r="AD59" s="145">
        <f t="shared" si="38"/>
        <v>8.55331073898002</v>
      </c>
      <c r="AE59" s="145">
        <f t="shared" si="39"/>
        <v>7.1610000000000014</v>
      </c>
      <c r="AF59" s="145">
        <f t="shared" si="40"/>
        <v>82.682003810140031</v>
      </c>
      <c r="AG59" s="772">
        <f>AC59+AD59+AE59+AF59+70-53</f>
        <v>145.62631454912005</v>
      </c>
      <c r="AH59" s="1253">
        <f t="shared" si="41"/>
        <v>10.916</v>
      </c>
      <c r="AI59" s="1253">
        <f t="shared" si="42"/>
        <v>13.443</v>
      </c>
      <c r="AJ59" s="156">
        <f t="shared" si="43"/>
        <v>4.541528249019958</v>
      </c>
      <c r="AK59" s="156">
        <f t="shared" si="44"/>
        <v>9.2178871461916803</v>
      </c>
      <c r="AM59" s="716">
        <f t="shared" si="45"/>
        <v>888.43762105788835</v>
      </c>
      <c r="AN59" s="716" t="str">
        <f>_xlfn.XLOOKUP(D59,RUC!$B$3:$B$578,RUC!$M$3:$M$578)</f>
        <v>Zudaire</v>
      </c>
      <c r="AO59" s="1167" t="s">
        <v>2279</v>
      </c>
      <c r="AP59" t="s">
        <v>3324</v>
      </c>
      <c r="AQ59" t="s">
        <v>4328</v>
      </c>
    </row>
    <row r="60" spans="1:43" ht="15" customHeight="1">
      <c r="A60" s="747" t="s">
        <v>4602</v>
      </c>
      <c r="B60" s="1447">
        <v>46059</v>
      </c>
      <c r="C60" s="1447">
        <v>46053</v>
      </c>
      <c r="D60" t="s">
        <v>3642</v>
      </c>
      <c r="E60" s="762" t="str">
        <f>_xlfn.XLOOKUP(D60,RUC!$B$3:$B$123,RUC!$D$3:$D$123)</f>
        <v>20601769396*</v>
      </c>
      <c r="G60" s="762">
        <v>50</v>
      </c>
      <c r="H60" s="762" t="s">
        <v>108</v>
      </c>
      <c r="I60" s="703">
        <v>4.25</v>
      </c>
      <c r="J60" s="596">
        <v>16.53</v>
      </c>
      <c r="K60" s="703">
        <f t="shared" si="35"/>
        <v>3.5470000000000002</v>
      </c>
      <c r="L60" s="1192">
        <v>0.18099999999999999</v>
      </c>
      <c r="M60" s="994">
        <f t="shared" si="46"/>
        <v>0.16200000000000001</v>
      </c>
      <c r="N60" s="1196">
        <f t="shared" si="47"/>
        <v>0.16200000000000001</v>
      </c>
      <c r="O60" s="645">
        <f t="shared" si="36"/>
        <v>0.16200000000000001</v>
      </c>
      <c r="P60" s="727">
        <v>85</v>
      </c>
      <c r="Q60" s="1476">
        <v>93.92</v>
      </c>
      <c r="R60" s="706">
        <v>4981.8500000000004</v>
      </c>
      <c r="S60" s="765">
        <f>IF((_xlfn.XLOOKUP(D60,RUC!$B$3:$B$119,RUC!$E$3:$E$119)+ROUNDDOWN(O60,1)*100)&lt;95,95,((_xlfn.XLOOKUP(D60,RUC!$B$3:$B$119,RUC!$E$3:$E$119)+ROUNDDOWN(O60,1)*100)))</f>
        <v>100</v>
      </c>
      <c r="U60" s="1146">
        <f>_xlfn.XLOOKUP(D60,RUC!$B$3:$B$123,RUC!$F$3:$F$123)</f>
        <v>120</v>
      </c>
      <c r="V60" s="715">
        <v>1.1023000000000001</v>
      </c>
      <c r="Y60" s="1445">
        <v>30</v>
      </c>
      <c r="Z60" s="1454">
        <v>40</v>
      </c>
      <c r="AA60" s="144">
        <f t="shared" si="37"/>
        <v>70</v>
      </c>
      <c r="AB60" s="145">
        <f t="shared" si="48"/>
        <v>550.57321601350009</v>
      </c>
      <c r="AC60" s="145">
        <f>+(S60-T60)*V60-'data 1'!$F$4</f>
        <v>30.230000000000004</v>
      </c>
      <c r="AD60" s="145">
        <f t="shared" si="38"/>
        <v>86.525634425426034</v>
      </c>
      <c r="AE60" s="145">
        <f t="shared" si="39"/>
        <v>7.1610000000000014</v>
      </c>
      <c r="AF60" s="145">
        <f t="shared" si="40"/>
        <v>95.634160072023946</v>
      </c>
      <c r="AG60" s="772">
        <f t="shared" ref="AG60:AG64" si="50">AC60+AD60+AE60+AF60+70-53</f>
        <v>236.55079449745</v>
      </c>
      <c r="AH60" s="1253">
        <f t="shared" si="41"/>
        <v>20.672999999999998</v>
      </c>
      <c r="AI60" s="1253">
        <f t="shared" si="42"/>
        <v>22.010999999999999</v>
      </c>
      <c r="AJ60" s="156">
        <f t="shared" si="43"/>
        <v>7.1487647968239321</v>
      </c>
      <c r="AK60" s="156">
        <f t="shared" si="44"/>
        <v>16.745734373618294</v>
      </c>
      <c r="AM60" s="716">
        <f t="shared" si="45"/>
        <v>1952.883197199885</v>
      </c>
      <c r="AN60" s="716" t="str">
        <f>_xlfn.XLOOKUP(D60,RUC!$B$3:$B$578,RUC!$M$3:$M$578)</f>
        <v>Zudaire</v>
      </c>
      <c r="AO60" s="1167" t="s">
        <v>2280</v>
      </c>
      <c r="AP60" t="s">
        <v>3324</v>
      </c>
      <c r="AQ60" t="s">
        <v>4328</v>
      </c>
    </row>
    <row r="61" spans="1:43" ht="15" customHeight="1">
      <c r="A61" s="747" t="s">
        <v>4603</v>
      </c>
      <c r="B61" s="1447">
        <v>46059</v>
      </c>
      <c r="C61" s="1447">
        <v>46053</v>
      </c>
      <c r="D61" t="s">
        <v>3642</v>
      </c>
      <c r="E61" s="762" t="str">
        <f>_xlfn.XLOOKUP(D61,RUC!$B$3:$B$123,RUC!$D$3:$D$123)</f>
        <v>20601769396*</v>
      </c>
      <c r="G61" s="762">
        <v>50</v>
      </c>
      <c r="H61" s="762" t="s">
        <v>108</v>
      </c>
      <c r="I61" s="703">
        <v>4.18</v>
      </c>
      <c r="J61" s="596">
        <v>17.7</v>
      </c>
      <c r="K61" s="703">
        <f t="shared" si="35"/>
        <v>3.44</v>
      </c>
      <c r="L61" s="1192">
        <v>0.19500000000000001</v>
      </c>
      <c r="M61" s="994">
        <f t="shared" si="46"/>
        <v>0.17599999999999999</v>
      </c>
      <c r="N61" s="1196">
        <f t="shared" si="47"/>
        <v>0.17599999999999999</v>
      </c>
      <c r="O61" s="645">
        <f t="shared" si="36"/>
        <v>0.17599999999999999</v>
      </c>
      <c r="P61" s="727">
        <v>90</v>
      </c>
      <c r="Q61" s="1476">
        <v>94.87</v>
      </c>
      <c r="R61" s="706">
        <v>4981.8500000000004</v>
      </c>
      <c r="S61" s="765">
        <f>IF((_xlfn.XLOOKUP(D61,RUC!$B$3:$B$119,RUC!$E$3:$E$119)+ROUNDDOWN(O61,1)*100)&lt;95,95,((_xlfn.XLOOKUP(D61,RUC!$B$3:$B$119,RUC!$E$3:$E$119)+ROUNDDOWN(O61,1)*100)))</f>
        <v>100</v>
      </c>
      <c r="U61" s="1146">
        <f>_xlfn.XLOOKUP(D61,RUC!$B$3:$B$123,RUC!$F$3:$F$123)</f>
        <v>120</v>
      </c>
      <c r="V61" s="715">
        <v>1.1023000000000001</v>
      </c>
      <c r="Y61" s="1445">
        <v>30</v>
      </c>
      <c r="Z61" s="1454">
        <v>40</v>
      </c>
      <c r="AA61" s="144">
        <f t="shared" si="37"/>
        <v>70</v>
      </c>
      <c r="AB61" s="145">
        <f t="shared" si="48"/>
        <v>661.509013192</v>
      </c>
      <c r="AC61" s="145">
        <f>+(S61-T61)*V61-'data 1'!$F$4</f>
        <v>30.230000000000004</v>
      </c>
      <c r="AD61" s="145">
        <f t="shared" si="38"/>
        <v>50.893806662107544</v>
      </c>
      <c r="AE61" s="145">
        <f t="shared" si="39"/>
        <v>7.1610000000000014</v>
      </c>
      <c r="AF61" s="145">
        <f t="shared" si="40"/>
        <v>96.601498786551602</v>
      </c>
      <c r="AG61" s="772">
        <f t="shared" si="50"/>
        <v>201.88630544865913</v>
      </c>
      <c r="AH61" s="1253">
        <f t="shared" si="41"/>
        <v>21.818999999999999</v>
      </c>
      <c r="AI61" s="1253">
        <f t="shared" si="42"/>
        <v>22.998999999999999</v>
      </c>
      <c r="AJ61" s="156">
        <f t="shared" si="43"/>
        <v>7.7796106403924261</v>
      </c>
      <c r="AK61" s="156">
        <f t="shared" si="44"/>
        <v>18.681970806892799</v>
      </c>
      <c r="AM61" s="716">
        <f t="shared" si="45"/>
        <v>2275.5910053804801</v>
      </c>
      <c r="AN61" s="716" t="str">
        <f>_xlfn.XLOOKUP(D61,RUC!$B$3:$B$578,RUC!$M$3:$M$578)</f>
        <v>Zudaire</v>
      </c>
      <c r="AO61" s="1167" t="s">
        <v>2278</v>
      </c>
      <c r="AP61" t="s">
        <v>3324</v>
      </c>
      <c r="AQ61" t="s">
        <v>4328</v>
      </c>
    </row>
    <row r="62" spans="1:43" ht="15" customHeight="1">
      <c r="A62" s="747" t="s">
        <v>4604</v>
      </c>
      <c r="B62" s="1447">
        <v>46059</v>
      </c>
      <c r="C62" s="1447">
        <v>46053</v>
      </c>
      <c r="D62" t="s">
        <v>3642</v>
      </c>
      <c r="E62" s="762" t="str">
        <f>_xlfn.XLOOKUP(D62,RUC!$B$3:$B$123,RUC!$D$3:$D$123)</f>
        <v>20601769396*</v>
      </c>
      <c r="G62" s="762">
        <v>50</v>
      </c>
      <c r="H62" s="762" t="s">
        <v>108</v>
      </c>
      <c r="I62" s="703">
        <v>4.21</v>
      </c>
      <c r="J62" s="596">
        <v>18.100000000000001</v>
      </c>
      <c r="K62" s="703">
        <f t="shared" si="35"/>
        <v>3.448</v>
      </c>
      <c r="L62" s="1192">
        <v>0.193</v>
      </c>
      <c r="M62" s="994">
        <f t="shared" si="46"/>
        <v>0.17399999999999999</v>
      </c>
      <c r="N62" s="1196">
        <f t="shared" si="47"/>
        <v>0.17399999999999999</v>
      </c>
      <c r="O62" s="645">
        <f t="shared" si="36"/>
        <v>0.17399999999999999</v>
      </c>
      <c r="P62" s="727">
        <v>90</v>
      </c>
      <c r="Q62" s="1476">
        <v>92.23</v>
      </c>
      <c r="R62" s="706">
        <v>4981.8500000000004</v>
      </c>
      <c r="S62" s="765">
        <f>IF((_xlfn.XLOOKUP(D62,RUC!$B$3:$B$119,RUC!$E$3:$E$119)+ROUNDDOWN(O62,1)*100)&lt;95,95,((_xlfn.XLOOKUP(D62,RUC!$B$3:$B$119,RUC!$E$3:$E$119)+ROUNDDOWN(O62,1)*100)))</f>
        <v>100</v>
      </c>
      <c r="U62" s="1146">
        <f>_xlfn.XLOOKUP(D62,RUC!$B$3:$B$123,RUC!$F$3:$F$123)</f>
        <v>120</v>
      </c>
      <c r="V62" s="715">
        <v>1.1023000000000001</v>
      </c>
      <c r="Y62" s="1445">
        <v>30</v>
      </c>
      <c r="Z62" s="1454">
        <v>40</v>
      </c>
      <c r="AA62" s="144">
        <f t="shared" si="37"/>
        <v>70</v>
      </c>
      <c r="AB62" s="145">
        <f t="shared" si="48"/>
        <v>651.862422133</v>
      </c>
      <c r="AC62" s="145">
        <f>+(S62-T62)*V62-'data 1'!$F$4</f>
        <v>30.230000000000004</v>
      </c>
      <c r="AD62" s="145">
        <f t="shared" si="38"/>
        <v>23.065535143794545</v>
      </c>
      <c r="AE62" s="145">
        <f t="shared" si="39"/>
        <v>7.1610000000000014</v>
      </c>
      <c r="AF62" s="145">
        <f t="shared" si="40"/>
        <v>93.913315411443605</v>
      </c>
      <c r="AG62" s="772">
        <f t="shared" si="50"/>
        <v>171.36985055523814</v>
      </c>
      <c r="AH62" s="1253">
        <f t="shared" si="41"/>
        <v>21.042999999999999</v>
      </c>
      <c r="AI62" s="1253">
        <f t="shared" si="42"/>
        <v>22.815999999999999</v>
      </c>
      <c r="AJ62" s="156">
        <f t="shared" si="43"/>
        <v>7.4855526157054291</v>
      </c>
      <c r="AK62" s="156">
        <f t="shared" si="44"/>
        <v>18.51262841823624</v>
      </c>
      <c r="AM62" s="716">
        <f t="shared" si="45"/>
        <v>2247.6216315145839</v>
      </c>
      <c r="AN62" s="716" t="str">
        <f>_xlfn.XLOOKUP(D62,RUC!$B$3:$B$578,RUC!$M$3:$M$578)</f>
        <v>Zudaire</v>
      </c>
      <c r="AO62" s="1167" t="s">
        <v>2278</v>
      </c>
      <c r="AP62" t="s">
        <v>3324</v>
      </c>
      <c r="AQ62" t="s">
        <v>4328</v>
      </c>
    </row>
    <row r="63" spans="1:43" ht="15" customHeight="1">
      <c r="A63" s="747" t="s">
        <v>4605</v>
      </c>
      <c r="B63" s="1447">
        <v>45694</v>
      </c>
      <c r="C63" s="1447">
        <v>46053</v>
      </c>
      <c r="D63" t="s">
        <v>3642</v>
      </c>
      <c r="E63" s="762" t="str">
        <f>_xlfn.XLOOKUP(D63,RUC!$B$3:$B$123,RUC!$D$3:$D$123)</f>
        <v>20601769396*</v>
      </c>
      <c r="G63" s="762">
        <v>10</v>
      </c>
      <c r="H63" s="762" t="s">
        <v>108</v>
      </c>
      <c r="I63" s="703">
        <v>0.75</v>
      </c>
      <c r="J63" s="596">
        <v>14.93</v>
      </c>
      <c r="K63" s="703">
        <f t="shared" si="35"/>
        <v>0.63800000000000001</v>
      </c>
      <c r="L63" s="1192">
        <v>0.157</v>
      </c>
      <c r="M63" s="994">
        <f t="shared" si="46"/>
        <v>0.13800000000000001</v>
      </c>
      <c r="N63" s="1196">
        <f t="shared" si="47"/>
        <v>0.13800000000000001</v>
      </c>
      <c r="O63" s="645">
        <f t="shared" si="36"/>
        <v>0.13800000000000001</v>
      </c>
      <c r="P63" s="727">
        <v>85</v>
      </c>
      <c r="Q63" s="1476">
        <v>85.99</v>
      </c>
      <c r="R63" s="706">
        <v>4981.8500000000004</v>
      </c>
      <c r="S63" s="765">
        <f>IF((_xlfn.XLOOKUP(D63,RUC!$B$3:$B$119,RUC!$E$3:$E$119)+ROUNDDOWN(O63,1)*100)&lt;95,95,((_xlfn.XLOOKUP(D63,RUC!$B$3:$B$119,RUC!$E$3:$E$119)+ROUNDDOWN(O63,1)*100)))</f>
        <v>100</v>
      </c>
      <c r="U63" s="1146">
        <f>_xlfn.XLOOKUP(D63,RUC!$B$3:$B$123,RUC!$F$3:$F$123)</f>
        <v>120</v>
      </c>
      <c r="V63" s="715">
        <v>1.1023000000000001</v>
      </c>
      <c r="Y63" s="1445">
        <v>30</v>
      </c>
      <c r="Z63" s="1454">
        <v>40</v>
      </c>
      <c r="AA63" s="144">
        <f t="shared" si="37"/>
        <v>70</v>
      </c>
      <c r="AB63" s="145">
        <f t="shared" si="48"/>
        <v>441.2451840115001</v>
      </c>
      <c r="AC63" s="145">
        <f>+(S63-T63)*V63-'data 1'!$F$4</f>
        <v>30.230000000000004</v>
      </c>
      <c r="AD63" s="145">
        <f t="shared" si="38"/>
        <v>8.3298313794464587</v>
      </c>
      <c r="AE63" s="145">
        <f t="shared" si="39"/>
        <v>7.1610000000000014</v>
      </c>
      <c r="AF63" s="145">
        <f t="shared" si="40"/>
        <v>87.559427433915445</v>
      </c>
      <c r="AG63" s="772">
        <f t="shared" si="50"/>
        <v>150.28025881336191</v>
      </c>
      <c r="AH63" s="1253">
        <f t="shared" si="41"/>
        <v>2.9529999999999998</v>
      </c>
      <c r="AI63" s="1253">
        <f t="shared" si="42"/>
        <v>3.4340000000000002</v>
      </c>
      <c r="AJ63" s="156">
        <f t="shared" si="43"/>
        <v>5.6773014018034447</v>
      </c>
      <c r="AK63" s="156">
        <f t="shared" si="44"/>
        <v>2.5658292996530707</v>
      </c>
      <c r="AM63" s="716">
        <f t="shared" si="45"/>
        <v>281.51442739933708</v>
      </c>
      <c r="AN63" s="716" t="str">
        <f>_xlfn.XLOOKUP(D63,RUC!$B$3:$B$578,RUC!$M$3:$M$578)</f>
        <v>Zudaire</v>
      </c>
      <c r="AO63" s="1167" t="s">
        <v>2280</v>
      </c>
      <c r="AP63" t="s">
        <v>3324</v>
      </c>
      <c r="AQ63" t="s">
        <v>4328</v>
      </c>
    </row>
    <row r="64" spans="1:43" ht="15" customHeight="1">
      <c r="A64" s="747" t="s">
        <v>4606</v>
      </c>
      <c r="B64" s="1447">
        <v>45694</v>
      </c>
      <c r="C64" s="1447">
        <v>46053</v>
      </c>
      <c r="D64" t="s">
        <v>3642</v>
      </c>
      <c r="E64" s="762" t="str">
        <f>_xlfn.XLOOKUP(D64,RUC!$B$3:$B$123,RUC!$D$3:$D$123)</f>
        <v>20601769396*</v>
      </c>
      <c r="G64" s="762">
        <v>44</v>
      </c>
      <c r="H64" s="762" t="s">
        <v>108</v>
      </c>
      <c r="I64" s="703">
        <v>3.55</v>
      </c>
      <c r="J64" s="596">
        <v>11.1</v>
      </c>
      <c r="K64" s="703">
        <f t="shared" si="35"/>
        <v>3.1560000000000001</v>
      </c>
      <c r="L64" s="1192">
        <v>0.20399999999999999</v>
      </c>
      <c r="M64" s="994">
        <f t="shared" si="46"/>
        <v>0.185</v>
      </c>
      <c r="N64" s="1196">
        <f t="shared" si="47"/>
        <v>0.185</v>
      </c>
      <c r="O64" s="645">
        <f t="shared" si="36"/>
        <v>0.185</v>
      </c>
      <c r="P64" s="727">
        <v>89</v>
      </c>
      <c r="Q64" s="1476">
        <v>89.22</v>
      </c>
      <c r="R64" s="706">
        <v>4981.8500000000004</v>
      </c>
      <c r="S64" s="765">
        <f>IF((_xlfn.XLOOKUP(D64,RUC!$B$3:$B$119,RUC!$E$3:$E$119)+ROUNDDOWN(O64,1)*100)&lt;95,95,((_xlfn.XLOOKUP(D64,RUC!$B$3:$B$119,RUC!$E$3:$E$119)+ROUNDDOWN(O64,1)*100)))</f>
        <v>100</v>
      </c>
      <c r="U64" s="1146">
        <f>_xlfn.XLOOKUP(D64,RUC!$B$3:$B$123,RUC!$F$3:$F$123)</f>
        <v>120</v>
      </c>
      <c r="V64" s="715">
        <v>1.1023000000000001</v>
      </c>
      <c r="Y64" s="1445">
        <v>30</v>
      </c>
      <c r="Z64" s="1454">
        <v>40</v>
      </c>
      <c r="AA64" s="144">
        <f t="shared" si="37"/>
        <v>70</v>
      </c>
      <c r="AB64" s="145">
        <f t="shared" si="48"/>
        <v>695.00412103575025</v>
      </c>
      <c r="AC64" s="145">
        <f>+(S64-T64)*V64-'data 1'!$F$4</f>
        <v>30.230000000000004</v>
      </c>
      <c r="AD64" s="145">
        <f t="shared" si="38"/>
        <v>2.4052167040439874</v>
      </c>
      <c r="AE64" s="145">
        <f t="shared" si="39"/>
        <v>7.1610000000000014</v>
      </c>
      <c r="AF64" s="145">
        <f t="shared" si="40"/>
        <v>90.848379063308968</v>
      </c>
      <c r="AG64" s="772">
        <f t="shared" si="50"/>
        <v>147.64459576735297</v>
      </c>
      <c r="AH64" s="1253">
        <f t="shared" si="41"/>
        <v>19.693999999999999</v>
      </c>
      <c r="AI64" s="1253">
        <f t="shared" si="42"/>
        <v>22.074000000000002</v>
      </c>
      <c r="AJ64" s="156">
        <f t="shared" si="43"/>
        <v>7.6539696541559259</v>
      </c>
      <c r="AK64" s="156">
        <f t="shared" si="44"/>
        <v>17.815901333516972</v>
      </c>
      <c r="AM64" s="716">
        <f t="shared" si="45"/>
        <v>2193.433005988828</v>
      </c>
      <c r="AN64" s="716" t="str">
        <f>_xlfn.XLOOKUP(D64,RUC!$B$3:$B$578,RUC!$M$3:$M$578)</f>
        <v>Zudaire</v>
      </c>
      <c r="AO64" s="1167" t="s">
        <v>2278</v>
      </c>
      <c r="AP64" t="s">
        <v>3324</v>
      </c>
      <c r="AQ64" t="s">
        <v>4328</v>
      </c>
    </row>
    <row r="65" spans="1:43" ht="15" customHeight="1">
      <c r="A65" s="747" t="s">
        <v>4607</v>
      </c>
      <c r="B65" s="1447">
        <v>45694</v>
      </c>
      <c r="C65" s="1447">
        <v>46053</v>
      </c>
      <c r="D65" t="s">
        <v>3642</v>
      </c>
      <c r="E65" s="762" t="str">
        <f>_xlfn.XLOOKUP(D65,RUC!$B$3:$B$123,RUC!$D$3:$D$123)</f>
        <v>20601769396*</v>
      </c>
      <c r="G65" s="762">
        <v>44</v>
      </c>
      <c r="H65" s="762" t="s">
        <v>108</v>
      </c>
      <c r="I65" s="703">
        <v>3.5</v>
      </c>
      <c r="J65" s="596">
        <v>12.08</v>
      </c>
      <c r="K65" s="703">
        <f t="shared" si="35"/>
        <v>3.077</v>
      </c>
      <c r="L65" s="1192">
        <v>0.218</v>
      </c>
      <c r="M65" s="994">
        <f t="shared" si="46"/>
        <v>0.19900000000000001</v>
      </c>
      <c r="N65" s="1196">
        <f t="shared" si="47"/>
        <v>0.19900000000000001</v>
      </c>
      <c r="O65" s="645">
        <f t="shared" si="36"/>
        <v>0.19900000000000001</v>
      </c>
      <c r="P65" s="727">
        <v>89</v>
      </c>
      <c r="Q65" s="1476">
        <v>89.91</v>
      </c>
      <c r="R65" s="706">
        <v>4981.8500000000004</v>
      </c>
      <c r="S65" s="765">
        <f>IF((_xlfn.XLOOKUP(D65,RUC!$B$3:$B$119,RUC!$E$3:$E$119)+ROUNDDOWN(O65,1)*100)&lt;95,95,((_xlfn.XLOOKUP(D65,RUC!$B$3:$B$119,RUC!$E$3:$E$119)+ROUNDDOWN(O65,1)*100)))</f>
        <v>100</v>
      </c>
      <c r="U65" s="1146">
        <f>_xlfn.XLOOKUP(D65,RUC!$B$3:$B$123,RUC!$F$3:$F$123)</f>
        <v>120</v>
      </c>
      <c r="V65" s="715">
        <v>1.1023000000000001</v>
      </c>
      <c r="Y65" s="1445">
        <v>30</v>
      </c>
      <c r="Z65" s="1454">
        <v>40</v>
      </c>
      <c r="AA65" s="144">
        <f t="shared" si="37"/>
        <v>70</v>
      </c>
      <c r="AB65" s="145">
        <f t="shared" si="48"/>
        <v>761.7799680330503</v>
      </c>
      <c r="AC65" s="145">
        <f>+(S65-T65)*V65-'data 1'!$F$4</f>
        <v>30.230000000000004</v>
      </c>
      <c r="AD65" s="145">
        <f t="shared" si="38"/>
        <v>10.631615190468963</v>
      </c>
      <c r="AE65" s="145">
        <f t="shared" si="39"/>
        <v>7.1610000000000014</v>
      </c>
      <c r="AF65" s="145">
        <f t="shared" si="40"/>
        <v>91.550972445439456</v>
      </c>
      <c r="AG65" s="772">
        <f>AC65+AD65+AE65+AF65+70-53</f>
        <v>156.57358763590844</v>
      </c>
      <c r="AH65" s="1253">
        <f t="shared" si="41"/>
        <v>20.678000000000001</v>
      </c>
      <c r="AI65" s="1253">
        <f t="shared" si="42"/>
        <v>22.998000000000001</v>
      </c>
      <c r="AJ65" s="156">
        <f t="shared" si="43"/>
        <v>8.2424978204309216</v>
      </c>
      <c r="AK65" s="156">
        <f t="shared" si="44"/>
        <v>18.684421183576731</v>
      </c>
      <c r="AM65" s="716">
        <f t="shared" si="45"/>
        <v>2343.9969616376957</v>
      </c>
      <c r="AN65" s="716" t="str">
        <f>_xlfn.XLOOKUP(D65,RUC!$B$3:$B$578,RUC!$M$3:$M$578)</f>
        <v>Zudaire</v>
      </c>
      <c r="AO65" s="1167" t="s">
        <v>2278</v>
      </c>
      <c r="AP65" t="s">
        <v>3324</v>
      </c>
      <c r="AQ65" t="s">
        <v>4328</v>
      </c>
    </row>
    <row r="66" spans="1:43" ht="15" customHeight="1">
      <c r="A66" s="747" t="s">
        <v>4608</v>
      </c>
      <c r="B66" s="1447">
        <v>46062</v>
      </c>
      <c r="C66" s="1447">
        <v>46054</v>
      </c>
      <c r="D66" t="s">
        <v>1967</v>
      </c>
      <c r="E66" s="762">
        <f>_xlfn.XLOOKUP(D66,RUC!$B$3:$B$123,RUC!$D$3:$D$123)</f>
        <v>20601769396</v>
      </c>
      <c r="G66" s="762">
        <v>25</v>
      </c>
      <c r="H66" s="762" t="s">
        <v>2005</v>
      </c>
      <c r="I66" s="703">
        <v>1.94</v>
      </c>
      <c r="J66" s="596">
        <v>9.6999999999999993</v>
      </c>
      <c r="K66" s="703">
        <f t="shared" si="35"/>
        <v>1.752</v>
      </c>
      <c r="L66" s="1192">
        <v>0.32700000000000001</v>
      </c>
      <c r="M66" s="994">
        <f t="shared" si="46"/>
        <v>0.307</v>
      </c>
      <c r="N66" s="1444">
        <v>0.36099999999999999</v>
      </c>
      <c r="O66" s="645">
        <f t="shared" si="36"/>
        <v>0.33400000000000002</v>
      </c>
      <c r="P66" s="727">
        <v>90</v>
      </c>
      <c r="Q66" s="1476">
        <v>94.19</v>
      </c>
      <c r="R66" s="706">
        <v>4714.75</v>
      </c>
      <c r="S66" s="765">
        <f>IF((_xlfn.XLOOKUP(D66,RUC!$B$3:$B$119,RUC!$E$3:$E$119)+ROUNDDOWN(O66,1)*100)&lt;95,95,((_xlfn.XLOOKUP(D66,RUC!$B$3:$B$119,RUC!$E$3:$E$119)+ROUNDDOWN(O66,1)*100)))</f>
        <v>120</v>
      </c>
      <c r="U66" s="1146">
        <f>_xlfn.XLOOKUP(D66,RUC!$B$3:$B$123,RUC!$F$3:$F$123)</f>
        <v>120</v>
      </c>
      <c r="V66" s="715">
        <v>1.1023000000000001</v>
      </c>
      <c r="Y66">
        <f>_xlfn.XLOOKUP(D66,RUC!$B$3:$B$123,RUC!$G$3:$G$123)</f>
        <v>20</v>
      </c>
      <c r="Z66" s="143">
        <f>_xlfn.XLOOKUP(D66,RUC!$B$3:$B$123,RUC!$H$3:$H$123)</f>
        <v>30</v>
      </c>
      <c r="AA66" s="144">
        <f t="shared" si="37"/>
        <v>50</v>
      </c>
      <c r="AB66" s="145">
        <f t="shared" si="48"/>
        <v>1335.0857532550001</v>
      </c>
      <c r="AC66" s="145">
        <f>+(S66-T66)*V66-'data 1'!$F$4</f>
        <v>52.27600000000001</v>
      </c>
      <c r="AD66" s="145">
        <f t="shared" si="38"/>
        <v>69.394247303302464</v>
      </c>
      <c r="AE66" s="145">
        <f t="shared" si="39"/>
        <v>-14.884999999999998</v>
      </c>
      <c r="AF66" s="145">
        <f t="shared" si="40"/>
        <v>-33.393699192402529</v>
      </c>
      <c r="AG66" s="772">
        <f t="shared" ref="AG66:AG81" si="51">AC66+AD66+AE66+AF66+70-10</f>
        <v>133.39154811089995</v>
      </c>
      <c r="AH66" s="1253">
        <f t="shared" si="41"/>
        <v>18.501000000000001</v>
      </c>
      <c r="AI66" s="1253">
        <f t="shared" si="42"/>
        <v>19.641999999999999</v>
      </c>
      <c r="AJ66" s="156">
        <f t="shared" si="43"/>
        <v>103.6353765201975</v>
      </c>
      <c r="AK66" s="156">
        <f t="shared" si="44"/>
        <v>18.056440758998161</v>
      </c>
      <c r="AM66" s="716">
        <f t="shared" si="45"/>
        <v>2339.0702397027603</v>
      </c>
      <c r="AN66" s="716" t="str">
        <f>_xlfn.XLOOKUP(D66,RUC!$B$3:$B$578,RUC!$M$3:$M$578)</f>
        <v>Evelyn</v>
      </c>
      <c r="AO66" s="1167" t="s">
        <v>2278</v>
      </c>
      <c r="AP66" t="s">
        <v>4643</v>
      </c>
      <c r="AQ66" t="s">
        <v>4644</v>
      </c>
    </row>
    <row r="67" spans="1:43" ht="15" customHeight="1">
      <c r="A67" s="747" t="s">
        <v>4609</v>
      </c>
      <c r="B67" s="1447">
        <v>46062</v>
      </c>
      <c r="C67" s="1447">
        <v>46054</v>
      </c>
      <c r="D67" t="s">
        <v>1967</v>
      </c>
      <c r="E67" s="762">
        <f>_xlfn.XLOOKUP(D67,RUC!$B$3:$B$123,RUC!$D$3:$D$123)</f>
        <v>20601769396</v>
      </c>
      <c r="G67" s="762">
        <v>25</v>
      </c>
      <c r="H67" s="762" t="s">
        <v>2005</v>
      </c>
      <c r="I67" s="703">
        <v>1.88</v>
      </c>
      <c r="J67" s="596">
        <v>12.68</v>
      </c>
      <c r="K67" s="703">
        <f t="shared" si="35"/>
        <v>1.6419999999999999</v>
      </c>
      <c r="L67" s="1192">
        <v>0.443</v>
      </c>
      <c r="M67" s="994">
        <f t="shared" si="46"/>
        <v>0.41599999999999998</v>
      </c>
      <c r="N67" s="1196">
        <f t="shared" ref="N67:N89" si="52">+M67</f>
        <v>0.41599999999999998</v>
      </c>
      <c r="O67" s="645">
        <f t="shared" si="36"/>
        <v>0.41599999999999998</v>
      </c>
      <c r="P67" s="727">
        <v>90</v>
      </c>
      <c r="Q67" s="1476">
        <v>94.13</v>
      </c>
      <c r="R67" s="706">
        <v>4714.75</v>
      </c>
      <c r="S67" s="765">
        <f>IF((_xlfn.XLOOKUP(D67,RUC!$B$3:$B$119,RUC!$E$3:$E$119)+ROUNDDOWN(O67,1)*100)&lt;95,95,((_xlfn.XLOOKUP(D67,RUC!$B$3:$B$119,RUC!$E$3:$E$119)+ROUNDDOWN(O67,1)*100)))</f>
        <v>130</v>
      </c>
      <c r="U67" s="1146">
        <f>_xlfn.XLOOKUP(D67,RUC!$B$3:$B$123,RUC!$F$3:$F$123)</f>
        <v>120</v>
      </c>
      <c r="V67" s="715">
        <v>1.1023000000000001</v>
      </c>
      <c r="Y67">
        <f>_xlfn.XLOOKUP(D67,RUC!$B$3:$B$123,RUC!$G$3:$G$123)</f>
        <v>20</v>
      </c>
      <c r="Z67" s="143">
        <f>_xlfn.XLOOKUP(D67,RUC!$B$3:$B$123,RUC!$H$3:$H$123)</f>
        <v>30</v>
      </c>
      <c r="AA67" s="144">
        <f t="shared" si="37"/>
        <v>50</v>
      </c>
      <c r="AB67" s="145">
        <f t="shared" si="48"/>
        <v>1697.8444711200002</v>
      </c>
      <c r="AC67" s="145">
        <f>+(S67-T67)*V67-'data 1'!$F$4</f>
        <v>63.299000000000007</v>
      </c>
      <c r="AD67" s="145">
        <f t="shared" si="38"/>
        <v>92.66494487650742</v>
      </c>
      <c r="AE67" s="145">
        <f t="shared" si="39"/>
        <v>-14.884999999999998</v>
      </c>
      <c r="AF67" s="145">
        <f t="shared" si="40"/>
        <v>128.72221866816761</v>
      </c>
      <c r="AG67" s="772">
        <f t="shared" si="51"/>
        <v>329.80116354467503</v>
      </c>
      <c r="AH67" s="1253">
        <f t="shared" si="41"/>
        <v>23.475000000000001</v>
      </c>
      <c r="AI67" s="1253">
        <f t="shared" si="42"/>
        <v>24.939</v>
      </c>
      <c r="AJ67" s="156">
        <f t="shared" si="43"/>
        <v>140.30956071899251</v>
      </c>
      <c r="AK67" s="156">
        <f t="shared" si="44"/>
        <v>21.077449727480641</v>
      </c>
      <c r="AM67" s="716">
        <f t="shared" si="45"/>
        <v>2787.8606215790401</v>
      </c>
      <c r="AN67" s="716" t="str">
        <f>_xlfn.XLOOKUP(D67,RUC!$B$3:$B$578,RUC!$M$3:$M$578)</f>
        <v>Evelyn</v>
      </c>
      <c r="AO67" s="1167" t="s">
        <v>2278</v>
      </c>
      <c r="AP67" t="s">
        <v>4643</v>
      </c>
      <c r="AQ67" t="s">
        <v>4644</v>
      </c>
    </row>
    <row r="68" spans="1:43" ht="15" customHeight="1">
      <c r="A68" s="747" t="s">
        <v>4610</v>
      </c>
      <c r="B68" s="1447">
        <v>46062</v>
      </c>
      <c r="C68" s="1447">
        <v>46054</v>
      </c>
      <c r="D68" t="s">
        <v>1967</v>
      </c>
      <c r="E68" s="762">
        <f>_xlfn.XLOOKUP(D68,RUC!$B$3:$B$123,RUC!$D$3:$D$123)</f>
        <v>20601769396</v>
      </c>
      <c r="G68" s="762">
        <v>30</v>
      </c>
      <c r="H68" s="762" t="s">
        <v>2005</v>
      </c>
      <c r="I68" s="703">
        <v>2.27</v>
      </c>
      <c r="J68" s="596">
        <v>12.2</v>
      </c>
      <c r="K68" s="703">
        <f t="shared" si="35"/>
        <v>1.9930000000000001</v>
      </c>
      <c r="L68" s="1192">
        <v>0.53800000000000003</v>
      </c>
      <c r="M68" s="994">
        <f t="shared" si="46"/>
        <v>0.50600000000000001</v>
      </c>
      <c r="N68" s="1196">
        <f t="shared" si="52"/>
        <v>0.50600000000000001</v>
      </c>
      <c r="O68" s="645">
        <f t="shared" si="36"/>
        <v>0.50600000000000001</v>
      </c>
      <c r="P68" s="727">
        <v>90</v>
      </c>
      <c r="Q68" s="1476">
        <v>94.24</v>
      </c>
      <c r="R68" s="706">
        <v>4714.75</v>
      </c>
      <c r="S68" s="765">
        <f>IF((_xlfn.XLOOKUP(D68,RUC!$B$3:$B$119,RUC!$E$3:$E$119)+ROUNDDOWN(O68,1)*100)&lt;95,95,((_xlfn.XLOOKUP(D68,RUC!$B$3:$B$119,RUC!$E$3:$E$119)+ROUNDDOWN(O68,1)*100)))</f>
        <v>140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3">
        <f>_xlfn.XLOOKUP(D68,RUC!$B$3:$B$123,RUC!$H$3:$H$123)</f>
        <v>30</v>
      </c>
      <c r="AA68" s="144">
        <f t="shared" si="37"/>
        <v>50</v>
      </c>
      <c r="AB68" s="145">
        <f t="shared" si="48"/>
        <v>2097.0696980450002</v>
      </c>
      <c r="AC68" s="145">
        <f>+(S68-T68)*V68-'data 1'!$F$4</f>
        <v>74.322000000000003</v>
      </c>
      <c r="AD68" s="145">
        <f t="shared" si="38"/>
        <v>115.53400437075987</v>
      </c>
      <c r="AE68" s="145">
        <f t="shared" si="39"/>
        <v>-14.884999999999998</v>
      </c>
      <c r="AF68" s="145">
        <f t="shared" si="40"/>
        <v>152.73794728064013</v>
      </c>
      <c r="AG68" s="772">
        <f t="shared" si="51"/>
        <v>387.70895165140001</v>
      </c>
      <c r="AH68" s="1253">
        <f t="shared" si="41"/>
        <v>34.643999999999998</v>
      </c>
      <c r="AI68" s="1253">
        <f t="shared" si="42"/>
        <v>36.762</v>
      </c>
      <c r="AJ68" s="156">
        <f t="shared" si="43"/>
        <v>170.59764556824001</v>
      </c>
      <c r="AK68" s="156">
        <f t="shared" si="44"/>
        <v>31.117836475914217</v>
      </c>
      <c r="AM68" s="716">
        <f t="shared" si="45"/>
        <v>4179.4599082036857</v>
      </c>
      <c r="AN68" s="716" t="str">
        <f>_xlfn.XLOOKUP(D68,RUC!$B$3:$B$578,RUC!$M$3:$M$578)</f>
        <v>Evelyn</v>
      </c>
      <c r="AO68" s="1167" t="s">
        <v>2278</v>
      </c>
      <c r="AP68" t="s">
        <v>4643</v>
      </c>
      <c r="AQ68" t="s">
        <v>4644</v>
      </c>
    </row>
    <row r="69" spans="1:43" ht="15" customHeight="1">
      <c r="A69" s="747" t="s">
        <v>4611</v>
      </c>
      <c r="B69" s="1447">
        <v>46062</v>
      </c>
      <c r="C69" s="1447">
        <v>46054</v>
      </c>
      <c r="D69" t="s">
        <v>1967</v>
      </c>
      <c r="E69" s="762">
        <f>_xlfn.XLOOKUP(D69,RUC!$B$3:$B$123,RUC!$D$3:$D$123)</f>
        <v>20601769396</v>
      </c>
      <c r="G69" s="762">
        <v>20</v>
      </c>
      <c r="H69" s="762" t="s">
        <v>2005</v>
      </c>
      <c r="I69" s="703">
        <v>1.42</v>
      </c>
      <c r="J69" s="596">
        <v>10.93</v>
      </c>
      <c r="K69" s="703">
        <f t="shared" si="35"/>
        <v>1.2649999999999999</v>
      </c>
      <c r="L69" s="1192">
        <v>0.24399999999999999</v>
      </c>
      <c r="M69" s="994">
        <f t="shared" si="46"/>
        <v>0.22500000000000001</v>
      </c>
      <c r="N69" s="1444">
        <v>0.27100000000000002</v>
      </c>
      <c r="O69" s="645">
        <f t="shared" si="36"/>
        <v>0.248</v>
      </c>
      <c r="P69" s="727">
        <v>90</v>
      </c>
      <c r="Q69" s="1476">
        <v>95.16</v>
      </c>
      <c r="R69" s="706">
        <v>4714.75</v>
      </c>
      <c r="S69" s="765">
        <f>IF((_xlfn.XLOOKUP(D69,RUC!$B$3:$B$119,RUC!$E$3:$E$119)+ROUNDDOWN(O69,1)*100)&lt;95,95,((_xlfn.XLOOKUP(D69,RUC!$B$3:$B$119,RUC!$E$3:$E$119)+ROUNDDOWN(O69,1)*100)))</f>
        <v>110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3">
        <f>_xlfn.XLOOKUP(D69,RUC!$B$3:$B$123,RUC!$H$3:$H$123)</f>
        <v>30</v>
      </c>
      <c r="AA69" s="144">
        <f t="shared" si="37"/>
        <v>50</v>
      </c>
      <c r="AB69" s="145">
        <f t="shared" si="48"/>
        <v>954.09378086000027</v>
      </c>
      <c r="AC69" s="145">
        <f>+(S69-T69)*V69-'data 1'!$F$4</f>
        <v>41.253</v>
      </c>
      <c r="AD69" s="145">
        <f t="shared" si="38"/>
        <v>63.76776884291997</v>
      </c>
      <c r="AE69" s="145">
        <f t="shared" si="39"/>
        <v>-14.884999999999998</v>
      </c>
      <c r="AF69" s="145">
        <f t="shared" si="40"/>
        <v>-19.278627789720016</v>
      </c>
      <c r="AG69" s="772">
        <f t="shared" si="51"/>
        <v>130.85714105319997</v>
      </c>
      <c r="AH69" s="1253">
        <f t="shared" si="41"/>
        <v>10.07</v>
      </c>
      <c r="AI69" s="1253">
        <f t="shared" si="42"/>
        <v>10.583</v>
      </c>
      <c r="AJ69" s="156">
        <f t="shared" si="43"/>
        <v>78.126746635079996</v>
      </c>
      <c r="AK69" s="156">
        <f t="shared" si="44"/>
        <v>9.6804107451413994</v>
      </c>
      <c r="AM69" s="716">
        <f t="shared" si="45"/>
        <v>1206.9286327879001</v>
      </c>
      <c r="AN69" s="716" t="str">
        <f>_xlfn.XLOOKUP(D69,RUC!$B$3:$B$578,RUC!$M$3:$M$578)</f>
        <v>Evelyn</v>
      </c>
      <c r="AO69" s="1167" t="s">
        <v>2278</v>
      </c>
      <c r="AP69" t="s">
        <v>4643</v>
      </c>
      <c r="AQ69" t="s">
        <v>4644</v>
      </c>
    </row>
    <row r="70" spans="1:43" ht="15" customHeight="1">
      <c r="A70" s="747" t="s">
        <v>4612</v>
      </c>
      <c r="B70" s="1447">
        <v>46059</v>
      </c>
      <c r="C70" s="1447">
        <v>46054</v>
      </c>
      <c r="D70" t="s">
        <v>1967</v>
      </c>
      <c r="E70" s="762">
        <f>_xlfn.XLOOKUP(D70,RUC!$B$3:$B$123,RUC!$D$3:$D$123)</f>
        <v>20601769396</v>
      </c>
      <c r="G70" s="762">
        <v>15</v>
      </c>
      <c r="H70" s="762" t="s">
        <v>2005</v>
      </c>
      <c r="I70" s="703">
        <v>1.26</v>
      </c>
      <c r="J70" s="596">
        <v>11.03</v>
      </c>
      <c r="K70" s="703">
        <f t="shared" si="35"/>
        <v>1.121</v>
      </c>
      <c r="L70" s="1192">
        <v>0.44</v>
      </c>
      <c r="M70" s="994">
        <f t="shared" si="46"/>
        <v>0.41399999999999998</v>
      </c>
      <c r="N70" s="1196">
        <f t="shared" si="52"/>
        <v>0.41399999999999998</v>
      </c>
      <c r="O70" s="645">
        <f t="shared" si="36"/>
        <v>0.41399999999999998</v>
      </c>
      <c r="P70" s="727">
        <v>90</v>
      </c>
      <c r="Q70" s="1476">
        <v>94.32</v>
      </c>
      <c r="R70" s="706">
        <v>4714.75</v>
      </c>
      <c r="S70" s="765">
        <f>IF((_xlfn.XLOOKUP(D70,RUC!$B$3:$B$119,RUC!$E$3:$E$119)+ROUNDDOWN(O70,1)*100)&lt;95,95,((_xlfn.XLOOKUP(D70,RUC!$B$3:$B$119,RUC!$E$3:$E$119)+ROUNDDOWN(O70,1)*100)))</f>
        <v>130</v>
      </c>
      <c r="U70" s="1146">
        <f>_xlfn.XLOOKUP(D70,RUC!$B$3:$B$123,RUC!$F$3:$F$123)</f>
        <v>120</v>
      </c>
      <c r="V70" s="715">
        <v>1.1023000000000001</v>
      </c>
      <c r="Y70" s="1445">
        <v>30</v>
      </c>
      <c r="Z70" s="1454">
        <v>40</v>
      </c>
      <c r="AA70" s="144">
        <f t="shared" si="37"/>
        <v>70</v>
      </c>
      <c r="AB70" s="145">
        <f t="shared" si="48"/>
        <v>1666.6818438549999</v>
      </c>
      <c r="AC70" s="145">
        <f>+(S70-T70)*V70-'data 1'!$F$4</f>
        <v>63.299000000000007</v>
      </c>
      <c r="AD70" s="145">
        <f t="shared" si="38"/>
        <v>96.271583918399841</v>
      </c>
      <c r="AE70" s="145">
        <f t="shared" si="39"/>
        <v>7.1610000000000014</v>
      </c>
      <c r="AF70" s="145">
        <f t="shared" si="40"/>
        <v>124.2049298583601</v>
      </c>
      <c r="AG70" s="772">
        <f t="shared" si="51"/>
        <v>350.93651377675997</v>
      </c>
      <c r="AH70" s="1253">
        <f t="shared" si="41"/>
        <v>15.95</v>
      </c>
      <c r="AI70" s="1253">
        <f t="shared" si="42"/>
        <v>16.911000000000001</v>
      </c>
      <c r="AJ70" s="156">
        <f t="shared" si="43"/>
        <v>139.64067794160002</v>
      </c>
      <c r="AK70" s="156">
        <f t="shared" si="44"/>
        <v>14.320478593509028</v>
      </c>
      <c r="AM70" s="716">
        <f t="shared" si="45"/>
        <v>1868.350346961455</v>
      </c>
      <c r="AN70" s="716" t="str">
        <f>_xlfn.XLOOKUP(D70,RUC!$B$3:$B$578,RUC!$M$3:$M$578)</f>
        <v>Evelyn</v>
      </c>
      <c r="AO70" s="1167" t="s">
        <v>2278</v>
      </c>
      <c r="AP70" t="s">
        <v>4643</v>
      </c>
      <c r="AQ70" t="s">
        <v>4644</v>
      </c>
    </row>
    <row r="71" spans="1:43" ht="15" customHeight="1">
      <c r="A71" s="747" t="s">
        <v>4613</v>
      </c>
      <c r="B71" s="1447">
        <v>46059</v>
      </c>
      <c r="C71" s="1447">
        <v>46054</v>
      </c>
      <c r="D71" t="s">
        <v>1967</v>
      </c>
      <c r="E71" s="762">
        <f>_xlfn.XLOOKUP(D71,RUC!$B$3:$B$123,RUC!$D$3:$D$123)</f>
        <v>20601769396</v>
      </c>
      <c r="G71" s="762">
        <v>15</v>
      </c>
      <c r="H71" s="762" t="s">
        <v>2005</v>
      </c>
      <c r="I71" s="703">
        <v>1.29</v>
      </c>
      <c r="J71" s="596">
        <v>8.6</v>
      </c>
      <c r="K71" s="703">
        <f t="shared" si="35"/>
        <v>1.179</v>
      </c>
      <c r="L71" s="1192">
        <v>0.439</v>
      </c>
      <c r="M71" s="994">
        <f t="shared" si="46"/>
        <v>0.41299999999999998</v>
      </c>
      <c r="N71" s="1196">
        <f t="shared" si="52"/>
        <v>0.41299999999999998</v>
      </c>
      <c r="O71" s="645">
        <f t="shared" si="36"/>
        <v>0.41299999999999998</v>
      </c>
      <c r="P71" s="727">
        <v>90</v>
      </c>
      <c r="Q71" s="1476">
        <v>91.34</v>
      </c>
      <c r="R71" s="706">
        <v>4714.75</v>
      </c>
      <c r="S71" s="765">
        <f>IF((_xlfn.XLOOKUP(D71,RUC!$B$3:$B$119,RUC!$E$3:$E$119)+ROUNDDOWN(O71,1)*100)&lt;95,95,((_xlfn.XLOOKUP(D71,RUC!$B$3:$B$119,RUC!$E$3:$E$119)+ROUNDDOWN(O71,1)*100)))</f>
        <v>130</v>
      </c>
      <c r="U71" s="1146">
        <f>_xlfn.XLOOKUP(D71,RUC!$B$3:$B$123,RUC!$F$3:$F$123)</f>
        <v>120</v>
      </c>
      <c r="V71" s="715">
        <v>1.1023000000000001</v>
      </c>
      <c r="Y71" s="1445">
        <v>30</v>
      </c>
      <c r="Z71" s="1454">
        <v>40</v>
      </c>
      <c r="AA71" s="144">
        <f t="shared" si="37"/>
        <v>70</v>
      </c>
      <c r="AB71" s="145">
        <f t="shared" si="48"/>
        <v>1662.1235302224998</v>
      </c>
      <c r="AC71" s="145">
        <f>+(S71-T71)*V71-'data 1'!$F$4</f>
        <v>63.299000000000007</v>
      </c>
      <c r="AD71" s="145">
        <f t="shared" si="38"/>
        <v>29.794150860605079</v>
      </c>
      <c r="AE71" s="145">
        <f t="shared" si="39"/>
        <v>7.1610000000000014</v>
      </c>
      <c r="AF71" s="145">
        <f t="shared" si="40"/>
        <v>120.28072830007014</v>
      </c>
      <c r="AG71" s="772">
        <f t="shared" si="51"/>
        <v>280.53487916067525</v>
      </c>
      <c r="AH71" s="1253">
        <f t="shared" si="41"/>
        <v>16.209</v>
      </c>
      <c r="AI71" s="1253">
        <f t="shared" si="42"/>
        <v>17.745000000000001</v>
      </c>
      <c r="AJ71" s="156">
        <f t="shared" si="43"/>
        <v>134.92145237389502</v>
      </c>
      <c r="AK71" s="156">
        <f t="shared" si="44"/>
        <v>15.025033032320113</v>
      </c>
      <c r="AM71" s="716">
        <f t="shared" si="45"/>
        <v>1959.6436421323274</v>
      </c>
      <c r="AN71" s="716" t="str">
        <f>_xlfn.XLOOKUP(D71,RUC!$B$3:$B$578,RUC!$M$3:$M$578)</f>
        <v>Evelyn</v>
      </c>
      <c r="AO71" s="1167" t="s">
        <v>2278</v>
      </c>
      <c r="AP71" t="s">
        <v>4643</v>
      </c>
      <c r="AQ71" t="s">
        <v>4644</v>
      </c>
    </row>
    <row r="72" spans="1:43" ht="15" customHeight="1">
      <c r="A72" s="747" t="s">
        <v>4614</v>
      </c>
      <c r="B72" s="1447">
        <v>46059</v>
      </c>
      <c r="C72" s="1447">
        <v>46054</v>
      </c>
      <c r="D72" t="s">
        <v>1967</v>
      </c>
      <c r="E72" s="762">
        <f>_xlfn.XLOOKUP(D72,RUC!$B$3:$B$123,RUC!$D$3:$D$123)</f>
        <v>20601769396</v>
      </c>
      <c r="G72" s="762">
        <v>15</v>
      </c>
      <c r="H72" s="762" t="s">
        <v>2005</v>
      </c>
      <c r="I72" s="703">
        <v>1.23</v>
      </c>
      <c r="J72" s="596">
        <v>10.8</v>
      </c>
      <c r="K72" s="703">
        <f t="shared" si="35"/>
        <v>1.097</v>
      </c>
      <c r="L72" s="1192">
        <v>0.41799999999999998</v>
      </c>
      <c r="M72" s="994">
        <f t="shared" si="46"/>
        <v>0.39300000000000002</v>
      </c>
      <c r="N72" s="1196">
        <f t="shared" si="52"/>
        <v>0.39300000000000002</v>
      </c>
      <c r="O72" s="645">
        <f t="shared" si="36"/>
        <v>0.39300000000000002</v>
      </c>
      <c r="P72" s="727">
        <v>90</v>
      </c>
      <c r="Q72" s="1476">
        <v>90.91</v>
      </c>
      <c r="R72" s="706">
        <v>4714.75</v>
      </c>
      <c r="S72" s="765">
        <f>IF((_xlfn.XLOOKUP(D72,RUC!$B$3:$B$119,RUC!$E$3:$E$119)+ROUNDDOWN(O72,1)*100)&lt;95,95,((_xlfn.XLOOKUP(D72,RUC!$B$3:$B$119,RUC!$E$3:$E$119)+ROUNDDOWN(O72,1)*100)))</f>
        <v>120</v>
      </c>
      <c r="U72" s="1146">
        <f>_xlfn.XLOOKUP(D72,RUC!$B$3:$B$123,RUC!$F$3:$F$123)</f>
        <v>120</v>
      </c>
      <c r="V72" s="715">
        <v>1.1023000000000001</v>
      </c>
      <c r="Y72" s="1445">
        <v>30</v>
      </c>
      <c r="Z72" s="1454">
        <v>40</v>
      </c>
      <c r="AA72" s="144">
        <f t="shared" si="37"/>
        <v>70</v>
      </c>
      <c r="AB72" s="145">
        <f t="shared" si="48"/>
        <v>1581.9802575725002</v>
      </c>
      <c r="AC72" s="145">
        <f>+(S72-T72)*V72-'data 1'!$F$4</f>
        <v>52.27600000000001</v>
      </c>
      <c r="AD72" s="145">
        <f t="shared" si="38"/>
        <v>19.265459328114929</v>
      </c>
      <c r="AE72" s="145">
        <f t="shared" si="39"/>
        <v>7.1610000000000014</v>
      </c>
      <c r="AF72" s="145">
        <f t="shared" si="40"/>
        <v>115.11008120293735</v>
      </c>
      <c r="AG72" s="772">
        <f t="shared" si="51"/>
        <v>253.81254053105226</v>
      </c>
      <c r="AH72" s="1253">
        <f t="shared" si="41"/>
        <v>14.292</v>
      </c>
      <c r="AI72" s="1253">
        <f t="shared" si="42"/>
        <v>15.721</v>
      </c>
      <c r="AJ72" s="156">
        <f t="shared" si="43"/>
        <v>127.862567112885</v>
      </c>
      <c r="AK72" s="156">
        <f t="shared" si="44"/>
        <v>13.303035703353647</v>
      </c>
      <c r="AM72" s="716">
        <f t="shared" si="45"/>
        <v>1735.4323425570328</v>
      </c>
      <c r="AN72" s="716" t="str">
        <f>_xlfn.XLOOKUP(D72,RUC!$B$3:$B$578,RUC!$M$3:$M$578)</f>
        <v>Evelyn</v>
      </c>
      <c r="AO72" s="1167" t="s">
        <v>2278</v>
      </c>
      <c r="AP72" t="s">
        <v>4643</v>
      </c>
      <c r="AQ72" t="s">
        <v>4644</v>
      </c>
    </row>
    <row r="73" spans="1:43" ht="15" customHeight="1">
      <c r="A73" s="747" t="s">
        <v>4615</v>
      </c>
      <c r="B73" s="1447">
        <v>46059</v>
      </c>
      <c r="C73" s="1447">
        <v>46054</v>
      </c>
      <c r="D73" t="s">
        <v>1967</v>
      </c>
      <c r="E73" s="762">
        <f>_xlfn.XLOOKUP(D73,RUC!$B$3:$B$123,RUC!$D$3:$D$123)</f>
        <v>20601769396</v>
      </c>
      <c r="G73" s="762">
        <v>23</v>
      </c>
      <c r="H73" s="762" t="s">
        <v>2005</v>
      </c>
      <c r="I73" s="703">
        <v>1.99</v>
      </c>
      <c r="J73" s="596">
        <v>13.73</v>
      </c>
      <c r="K73" s="703">
        <f t="shared" si="35"/>
        <v>1.7170000000000001</v>
      </c>
      <c r="L73" s="1192">
        <v>0.29399999999999998</v>
      </c>
      <c r="M73" s="994">
        <f t="shared" si="46"/>
        <v>0.27500000000000002</v>
      </c>
      <c r="N73" s="1196">
        <f t="shared" si="52"/>
        <v>0.27500000000000002</v>
      </c>
      <c r="O73" s="645">
        <f t="shared" si="36"/>
        <v>0.27500000000000002</v>
      </c>
      <c r="P73" s="727">
        <v>90</v>
      </c>
      <c r="Q73" s="1476">
        <v>93.2</v>
      </c>
      <c r="R73" s="706">
        <v>4714.75</v>
      </c>
      <c r="S73" s="765">
        <f>IF((_xlfn.XLOOKUP(D73,RUC!$B$3:$B$119,RUC!$E$3:$E$119)+ROUNDDOWN(O73,1)*100)&lt;95,95,((_xlfn.XLOOKUP(D73,RUC!$B$3:$B$119,RUC!$E$3:$E$119)+ROUNDDOWN(O73,1)*100)))</f>
        <v>110</v>
      </c>
      <c r="U73" s="1146">
        <f>_xlfn.XLOOKUP(D73,RUC!$B$3:$B$123,RUC!$F$3:$F$123)</f>
        <v>120</v>
      </c>
      <c r="V73" s="715">
        <v>1.1023000000000001</v>
      </c>
      <c r="Y73" s="1445">
        <v>30</v>
      </c>
      <c r="Z73" s="1454">
        <v>40</v>
      </c>
      <c r="AA73" s="144">
        <f t="shared" si="37"/>
        <v>70</v>
      </c>
      <c r="AB73" s="145">
        <f t="shared" si="48"/>
        <v>1055.1222489375002</v>
      </c>
      <c r="AC73" s="145">
        <f>+(S73-T73)*V73-'data 1'!$F$4</f>
        <v>41.253</v>
      </c>
      <c r="AD73" s="145">
        <f t="shared" si="38"/>
        <v>47.64957183840005</v>
      </c>
      <c r="AE73" s="145">
        <f t="shared" si="39"/>
        <v>7.1610000000000014</v>
      </c>
      <c r="AF73" s="145">
        <f t="shared" si="40"/>
        <v>89.687353115899825</v>
      </c>
      <c r="AG73" s="772">
        <f t="shared" si="51"/>
        <v>245.75092495429988</v>
      </c>
      <c r="AH73" s="1253">
        <f t="shared" si="41"/>
        <v>16.13</v>
      </c>
      <c r="AI73" s="1253">
        <f t="shared" si="42"/>
        <v>17.306999999999999</v>
      </c>
      <c r="AJ73" s="156">
        <f t="shared" si="43"/>
        <v>92.197410366599996</v>
      </c>
      <c r="AK73" s="156">
        <f t="shared" si="44"/>
        <v>14.569832792257877</v>
      </c>
      <c r="AM73" s="716">
        <f t="shared" si="45"/>
        <v>1811.644901425688</v>
      </c>
      <c r="AN73" s="716" t="str">
        <f>_xlfn.XLOOKUP(D73,RUC!$B$3:$B$578,RUC!$M$3:$M$578)</f>
        <v>Evelyn</v>
      </c>
      <c r="AO73" s="1167" t="s">
        <v>2278</v>
      </c>
      <c r="AP73" t="s">
        <v>4643</v>
      </c>
      <c r="AQ73" t="s">
        <v>4644</v>
      </c>
    </row>
    <row r="74" spans="1:43" ht="15" customHeight="1">
      <c r="A74" s="747" t="s">
        <v>4616</v>
      </c>
      <c r="B74" s="1447">
        <v>46059</v>
      </c>
      <c r="C74" s="1447">
        <v>46054</v>
      </c>
      <c r="D74" t="s">
        <v>1967</v>
      </c>
      <c r="E74" s="762">
        <f>_xlfn.XLOOKUP(D74,RUC!$B$3:$B$123,RUC!$D$3:$D$123)</f>
        <v>20601769396</v>
      </c>
      <c r="G74" s="762">
        <v>24</v>
      </c>
      <c r="H74" s="762" t="s">
        <v>2005</v>
      </c>
      <c r="I74" s="703">
        <v>1.89</v>
      </c>
      <c r="J74" s="596">
        <v>13.68</v>
      </c>
      <c r="K74" s="703">
        <f t="shared" si="35"/>
        <v>1.631</v>
      </c>
      <c r="L74" s="1192">
        <v>0.53500000000000003</v>
      </c>
      <c r="M74" s="994">
        <f t="shared" si="46"/>
        <v>0.503</v>
      </c>
      <c r="N74" s="1196">
        <f t="shared" si="52"/>
        <v>0.503</v>
      </c>
      <c r="O74" s="645">
        <f t="shared" si="36"/>
        <v>0.503</v>
      </c>
      <c r="P74" s="727">
        <v>90</v>
      </c>
      <c r="Q74" s="1476">
        <v>90.47</v>
      </c>
      <c r="R74" s="706">
        <v>4714.75</v>
      </c>
      <c r="S74" s="765">
        <f>IF((_xlfn.XLOOKUP(D74,RUC!$B$3:$B$119,RUC!$E$3:$E$119)+ROUNDDOWN(O74,1)*100)&lt;95,95,((_xlfn.XLOOKUP(D74,RUC!$B$3:$B$119,RUC!$E$3:$E$119)+ROUNDDOWN(O74,1)*100)))</f>
        <v>140</v>
      </c>
      <c r="U74" s="1146">
        <f>_xlfn.XLOOKUP(D74,RUC!$B$3:$B$123,RUC!$F$3:$F$123)</f>
        <v>120</v>
      </c>
      <c r="V74" s="715">
        <v>1.1023000000000001</v>
      </c>
      <c r="Y74" s="1445">
        <v>30</v>
      </c>
      <c r="Z74" s="1454">
        <v>40</v>
      </c>
      <c r="AA74" s="144">
        <f t="shared" si="37"/>
        <v>70</v>
      </c>
      <c r="AB74" s="145">
        <f t="shared" si="48"/>
        <v>2061.3487571475002</v>
      </c>
      <c r="AC74" s="145">
        <f>+(S74-T74)*V74-'data 1'!$F$4</f>
        <v>74.322000000000003</v>
      </c>
      <c r="AD74" s="145">
        <f t="shared" si="38"/>
        <v>12.73542180991247</v>
      </c>
      <c r="AE74" s="145">
        <f t="shared" si="39"/>
        <v>7.1610000000000014</v>
      </c>
      <c r="AF74" s="145">
        <f t="shared" si="40"/>
        <v>146.62778109592011</v>
      </c>
      <c r="AG74" s="772">
        <f t="shared" si="51"/>
        <v>300.84620290583257</v>
      </c>
      <c r="AH74" s="1253">
        <f t="shared" si="41"/>
        <v>27.065999999999999</v>
      </c>
      <c r="AI74" s="1253">
        <f t="shared" si="42"/>
        <v>29.917000000000002</v>
      </c>
      <c r="AJ74" s="156">
        <f t="shared" si="43"/>
        <v>162.85978321758751</v>
      </c>
      <c r="AK74" s="156">
        <f t="shared" si="44"/>
        <v>25.314743122653287</v>
      </c>
      <c r="AM74" s="716">
        <f t="shared" si="45"/>
        <v>3362.0598229075731</v>
      </c>
      <c r="AN74" s="716" t="str">
        <f>_xlfn.XLOOKUP(D74,RUC!$B$3:$B$578,RUC!$M$3:$M$578)</f>
        <v>Evelyn</v>
      </c>
      <c r="AO74" s="1167" t="s">
        <v>2280</v>
      </c>
      <c r="AP74" t="s">
        <v>4643</v>
      </c>
      <c r="AQ74" t="s">
        <v>4644</v>
      </c>
    </row>
    <row r="75" spans="1:43" ht="15" customHeight="1">
      <c r="A75" s="747" t="s">
        <v>4617</v>
      </c>
      <c r="B75" s="1447">
        <v>46059</v>
      </c>
      <c r="C75" s="1447">
        <v>46054</v>
      </c>
      <c r="D75" t="s">
        <v>1967</v>
      </c>
      <c r="E75" s="762">
        <f>_xlfn.XLOOKUP(D75,RUC!$B$3:$B$123,RUC!$D$3:$D$123)</f>
        <v>20601769396</v>
      </c>
      <c r="G75" s="762">
        <v>24</v>
      </c>
      <c r="H75" s="762" t="s">
        <v>2005</v>
      </c>
      <c r="I75" s="703">
        <v>1.88</v>
      </c>
      <c r="J75" s="596">
        <v>11.73</v>
      </c>
      <c r="K75" s="703">
        <f t="shared" si="35"/>
        <v>1.659</v>
      </c>
      <c r="L75" s="1192">
        <v>0.53100000000000003</v>
      </c>
      <c r="M75" s="994">
        <f t="shared" si="46"/>
        <v>0.499</v>
      </c>
      <c r="N75" s="1196">
        <f t="shared" si="52"/>
        <v>0.499</v>
      </c>
      <c r="O75" s="645">
        <f t="shared" si="36"/>
        <v>0.499</v>
      </c>
      <c r="P75" s="727">
        <v>86</v>
      </c>
      <c r="Q75" s="1476">
        <v>87.76</v>
      </c>
      <c r="R75" s="706">
        <v>4714.75</v>
      </c>
      <c r="S75" s="765">
        <f>IF((_xlfn.XLOOKUP(D75,RUC!$B$3:$B$119,RUC!$E$3:$E$119)+ROUNDDOWN(O75,1)*100)&lt;95,95,((_xlfn.XLOOKUP(D75,RUC!$B$3:$B$119,RUC!$E$3:$E$119)+ROUNDDOWN(O75,1)*100)))</f>
        <v>130</v>
      </c>
      <c r="U75" s="1146">
        <f>_xlfn.XLOOKUP(D75,RUC!$B$3:$B$123,RUC!$F$3:$F$123)</f>
        <v>120</v>
      </c>
      <c r="V75" s="715">
        <v>1.1023000000000001</v>
      </c>
      <c r="Y75" s="1445">
        <v>30</v>
      </c>
      <c r="Z75" s="1454">
        <v>40</v>
      </c>
      <c r="AA75" s="144">
        <f t="shared" si="37"/>
        <v>70</v>
      </c>
      <c r="AB75" s="145">
        <f t="shared" si="48"/>
        <v>1953.0452358345003</v>
      </c>
      <c r="AC75" s="145">
        <f>+(S75-T75)*V75-'data 1'!$F$4</f>
        <v>63.299000000000007</v>
      </c>
      <c r="AD75" s="145">
        <f t="shared" si="38"/>
        <v>47.333528759880146</v>
      </c>
      <c r="AE75" s="145">
        <f t="shared" si="39"/>
        <v>7.1610000000000014</v>
      </c>
      <c r="AF75" s="145">
        <f t="shared" si="40"/>
        <v>142.23559267136014</v>
      </c>
      <c r="AG75" s="772">
        <f t="shared" si="51"/>
        <v>320.0291214312403</v>
      </c>
      <c r="AH75" s="1253">
        <f t="shared" si="41"/>
        <v>26.506</v>
      </c>
      <c r="AI75" s="1253">
        <f t="shared" si="42"/>
        <v>30.202999999999999</v>
      </c>
      <c r="AJ75" s="156">
        <f t="shared" si="43"/>
        <v>156.80020122162003</v>
      </c>
      <c r="AK75" s="156">
        <f t="shared" si="44"/>
        <v>24.409250938682042</v>
      </c>
      <c r="AM75" s="716">
        <f t="shared" si="45"/>
        <v>3240.1020462494362</v>
      </c>
      <c r="AN75" s="716" t="str">
        <f>_xlfn.XLOOKUP(D75,RUC!$B$3:$B$578,RUC!$M$3:$M$578)</f>
        <v>Evelyn</v>
      </c>
      <c r="AO75" s="1167" t="s">
        <v>2280</v>
      </c>
      <c r="AP75" t="s">
        <v>4643</v>
      </c>
      <c r="AQ75" t="s">
        <v>4644</v>
      </c>
    </row>
    <row r="76" spans="1:43" ht="15" customHeight="1">
      <c r="A76" s="747" t="s">
        <v>4618</v>
      </c>
      <c r="B76" s="1447">
        <v>46065</v>
      </c>
      <c r="C76" s="1447">
        <v>46054</v>
      </c>
      <c r="D76" t="s">
        <v>1967</v>
      </c>
      <c r="E76" s="762">
        <f>_xlfn.XLOOKUP(D76,RUC!$B$3:$B$123,RUC!$D$3:$D$123)</f>
        <v>20601769396</v>
      </c>
      <c r="G76" s="762">
        <v>15</v>
      </c>
      <c r="H76" s="762" t="s">
        <v>2005</v>
      </c>
      <c r="I76" s="703">
        <v>1.18</v>
      </c>
      <c r="J76" s="596">
        <v>19.3</v>
      </c>
      <c r="K76" s="703">
        <f t="shared" si="35"/>
        <v>0.95199999999999996</v>
      </c>
      <c r="L76" s="1192">
        <v>0.48299999999999998</v>
      </c>
      <c r="M76" s="994">
        <f t="shared" si="46"/>
        <v>0.45400000000000001</v>
      </c>
      <c r="N76" s="1196">
        <f t="shared" si="52"/>
        <v>0.45400000000000001</v>
      </c>
      <c r="O76" s="645">
        <f t="shared" si="36"/>
        <v>0.45400000000000001</v>
      </c>
      <c r="P76" s="727">
        <v>90</v>
      </c>
      <c r="Q76" s="1476">
        <v>95.86</v>
      </c>
      <c r="R76" s="706">
        <v>4714.75</v>
      </c>
      <c r="S76" s="765">
        <f>IF((_xlfn.XLOOKUP(D76,RUC!$B$3:$B$119,RUC!$E$3:$E$119)+ROUNDDOWN(O76,1)*100)&lt;95,95,((_xlfn.XLOOKUP(D76,RUC!$B$3:$B$119,RUC!$E$3:$E$119)+ROUNDDOWN(O76,1)*100)))</f>
        <v>130</v>
      </c>
      <c r="U76" s="1146">
        <f>_xlfn.XLOOKUP(D76,RUC!$B$3:$B$123,RUC!$F$3:$F$123)</f>
        <v>120</v>
      </c>
      <c r="V76" s="715">
        <v>1.1023000000000001</v>
      </c>
      <c r="Y76">
        <f>_xlfn.XLOOKUP(D76,RUC!$B$3:$B$123,RUC!$G$3:$G$123)</f>
        <v>20</v>
      </c>
      <c r="Z76" s="143">
        <f>_xlfn.XLOOKUP(D76,RUC!$B$3:$B$123,RUC!$H$3:$H$123)</f>
        <v>30</v>
      </c>
      <c r="AA76" s="144">
        <f t="shared" si="37"/>
        <v>50</v>
      </c>
      <c r="AB76" s="145">
        <f t="shared" si="48"/>
        <v>1871.0603891549999</v>
      </c>
      <c r="AC76" s="145">
        <f>+(S76-T76)*V76-'data 1'!$F$4</f>
        <v>63.299000000000007</v>
      </c>
      <c r="AD76" s="145">
        <f t="shared" si="38"/>
        <v>143.35288599061499</v>
      </c>
      <c r="AE76" s="145">
        <f t="shared" si="39"/>
        <v>-14.884999999999998</v>
      </c>
      <c r="AF76" s="145">
        <f t="shared" si="40"/>
        <v>140.79820443924484</v>
      </c>
      <c r="AG76" s="772">
        <f t="shared" si="51"/>
        <v>392.56509042985988</v>
      </c>
      <c r="AH76" s="1253">
        <f t="shared" si="41"/>
        <v>15.112</v>
      </c>
      <c r="AI76" s="1253">
        <f t="shared" si="42"/>
        <v>15.765000000000001</v>
      </c>
      <c r="AJ76" s="156">
        <f t="shared" si="43"/>
        <v>155.79016433788499</v>
      </c>
      <c r="AK76" s="156">
        <f t="shared" si="44"/>
        <v>13.336577098482957</v>
      </c>
      <c r="AM76" s="716">
        <f t="shared" si="45"/>
        <v>1781.2494904755599</v>
      </c>
      <c r="AN76" s="716" t="str">
        <f>_xlfn.XLOOKUP(D76,RUC!$B$3:$B$578,RUC!$M$3:$M$578)</f>
        <v>Evelyn</v>
      </c>
      <c r="AO76" s="1167" t="s">
        <v>2280</v>
      </c>
      <c r="AP76" t="s">
        <v>4643</v>
      </c>
      <c r="AQ76" t="s">
        <v>4644</v>
      </c>
    </row>
    <row r="77" spans="1:43" ht="15" customHeight="1">
      <c r="A77" s="747" t="s">
        <v>4619</v>
      </c>
      <c r="B77" s="1447">
        <v>46065</v>
      </c>
      <c r="C77" s="1447">
        <v>46054</v>
      </c>
      <c r="D77" t="s">
        <v>1967</v>
      </c>
      <c r="E77" s="762">
        <f>_xlfn.XLOOKUP(D77,RUC!$B$3:$B$123,RUC!$D$3:$D$123)</f>
        <v>20601769396</v>
      </c>
      <c r="G77" s="762">
        <v>15</v>
      </c>
      <c r="H77" s="762" t="s">
        <v>2005</v>
      </c>
      <c r="I77" s="703">
        <v>1.1599999999999999</v>
      </c>
      <c r="J77" s="596">
        <v>13.8</v>
      </c>
      <c r="K77" s="703">
        <f t="shared" si="35"/>
        <v>1</v>
      </c>
      <c r="L77" s="1192">
        <v>0.42499999999999999</v>
      </c>
      <c r="M77" s="994">
        <f t="shared" si="46"/>
        <v>0.4</v>
      </c>
      <c r="N77" s="1196">
        <f t="shared" si="52"/>
        <v>0.4</v>
      </c>
      <c r="O77" s="645">
        <f t="shared" si="36"/>
        <v>0.4</v>
      </c>
      <c r="P77" s="727">
        <v>90</v>
      </c>
      <c r="Q77" s="1476">
        <v>95.29</v>
      </c>
      <c r="R77" s="706">
        <v>4714.75</v>
      </c>
      <c r="S77" s="765">
        <f>IF((_xlfn.XLOOKUP(D77,RUC!$B$3:$B$119,RUC!$E$3:$E$119)+ROUNDDOWN(O77,1)*100)&lt;95,95,((_xlfn.XLOOKUP(D77,RUC!$B$3:$B$119,RUC!$E$3:$E$119)+ROUNDDOWN(O77,1)*100)))</f>
        <v>130</v>
      </c>
      <c r="U77" s="1146">
        <f>_xlfn.XLOOKUP(D77,RUC!$B$3:$B$123,RUC!$F$3:$F$123)</f>
        <v>120</v>
      </c>
      <c r="V77" s="715">
        <v>1.1023000000000001</v>
      </c>
      <c r="Y77">
        <f>_xlfn.XLOOKUP(D77,RUC!$B$3:$B$123,RUC!$G$3:$G$123)</f>
        <v>20</v>
      </c>
      <c r="Z77" s="143">
        <f>_xlfn.XLOOKUP(D77,RUC!$B$3:$B$123,RUC!$H$3:$H$123)</f>
        <v>30</v>
      </c>
      <c r="AA77" s="144">
        <f t="shared" si="37"/>
        <v>50</v>
      </c>
      <c r="AB77" s="145">
        <f t="shared" si="48"/>
        <v>1624.9114529999999</v>
      </c>
      <c r="AC77" s="145">
        <f>+(S77-T77)*V77-'data 1'!$F$4</f>
        <v>63.299000000000007</v>
      </c>
      <c r="AD77" s="145">
        <f t="shared" si="38"/>
        <v>113.86920693631265</v>
      </c>
      <c r="AE77" s="145">
        <f t="shared" si="39"/>
        <v>-14.884999999999998</v>
      </c>
      <c r="AF77" s="145">
        <f t="shared" si="40"/>
        <v>120.65602945581234</v>
      </c>
      <c r="AG77" s="772">
        <f t="shared" si="51"/>
        <v>342.939236392125</v>
      </c>
      <c r="AH77" s="1253">
        <f t="shared" si="41"/>
        <v>13.885</v>
      </c>
      <c r="AI77" s="1253">
        <f t="shared" si="42"/>
        <v>14.571</v>
      </c>
      <c r="AJ77" s="156">
        <f t="shared" si="43"/>
        <v>136.2673270261875</v>
      </c>
      <c r="AK77" s="156">
        <f t="shared" si="44"/>
        <v>12.342739698000003</v>
      </c>
      <c r="AM77" s="716">
        <f t="shared" si="45"/>
        <v>1624.9114529999999</v>
      </c>
      <c r="AN77" s="716" t="str">
        <f>_xlfn.XLOOKUP(D77,RUC!$B$3:$B$578,RUC!$M$3:$M$578)</f>
        <v>Evelyn</v>
      </c>
      <c r="AO77" s="1167" t="s">
        <v>2280</v>
      </c>
      <c r="AP77" t="s">
        <v>4643</v>
      </c>
      <c r="AQ77" t="s">
        <v>4644</v>
      </c>
    </row>
    <row r="78" spans="1:43" ht="15" customHeight="1">
      <c r="A78" s="747" t="s">
        <v>4620</v>
      </c>
      <c r="B78" s="1447">
        <v>46062</v>
      </c>
      <c r="C78" s="1447">
        <v>46054</v>
      </c>
      <c r="D78" t="s">
        <v>1967</v>
      </c>
      <c r="E78" s="762">
        <f>_xlfn.XLOOKUP(D78,RUC!$B$3:$B$123,RUC!$D$3:$D$123)</f>
        <v>20601769396</v>
      </c>
      <c r="G78" s="762">
        <v>22</v>
      </c>
      <c r="H78" s="762" t="s">
        <v>2005</v>
      </c>
      <c r="I78" s="703">
        <v>1.74</v>
      </c>
      <c r="J78" s="596">
        <v>15.13</v>
      </c>
      <c r="K78" s="703">
        <f t="shared" si="35"/>
        <v>1.4770000000000001</v>
      </c>
      <c r="L78" s="1192">
        <v>0.48599999999999999</v>
      </c>
      <c r="M78" s="994">
        <f t="shared" si="46"/>
        <v>0.45700000000000002</v>
      </c>
      <c r="N78" s="1196">
        <f t="shared" si="52"/>
        <v>0.45700000000000002</v>
      </c>
      <c r="O78" s="645">
        <f t="shared" si="36"/>
        <v>0.45700000000000002</v>
      </c>
      <c r="P78" s="727">
        <v>90</v>
      </c>
      <c r="Q78" s="1476">
        <v>93.42</v>
      </c>
      <c r="R78" s="706">
        <v>4714.75</v>
      </c>
      <c r="S78" s="765">
        <f>IF((_xlfn.XLOOKUP(D78,RUC!$B$3:$B$119,RUC!$E$3:$E$119)+ROUNDDOWN(O78,1)*100)&lt;95,95,((_xlfn.XLOOKUP(D78,RUC!$B$3:$B$119,RUC!$E$3:$E$119)+ROUNDDOWN(O78,1)*100)))</f>
        <v>130</v>
      </c>
      <c r="U78" s="1146">
        <f>_xlfn.XLOOKUP(D78,RUC!$B$3:$B$123,RUC!$F$3:$F$123)</f>
        <v>120</v>
      </c>
      <c r="V78" s="715">
        <v>1.1023000000000001</v>
      </c>
      <c r="Y78">
        <f>_xlfn.XLOOKUP(D78,RUC!$B$3:$B$123,RUC!$G$3:$G$123)</f>
        <v>20</v>
      </c>
      <c r="Z78" s="143">
        <f>_xlfn.XLOOKUP(D78,RUC!$B$3:$B$123,RUC!$H$3:$H$123)</f>
        <v>30</v>
      </c>
      <c r="AA78" s="144">
        <f t="shared" si="37"/>
        <v>50</v>
      </c>
      <c r="AB78" s="145">
        <f t="shared" si="48"/>
        <v>1884.7353300525001</v>
      </c>
      <c r="AC78" s="145">
        <f>+(S78-T78)*V78-'data 1'!$F$4</f>
        <v>63.299000000000007</v>
      </c>
      <c r="AD78" s="145">
        <f t="shared" si="38"/>
        <v>84.182936165010034</v>
      </c>
      <c r="AE78" s="145">
        <f t="shared" si="39"/>
        <v>-14.884999999999998</v>
      </c>
      <c r="AF78" s="145">
        <f t="shared" si="40"/>
        <v>137.21435696551487</v>
      </c>
      <c r="AG78" s="772">
        <f t="shared" si="51"/>
        <v>329.81129313052492</v>
      </c>
      <c r="AH78" s="1253">
        <f t="shared" si="41"/>
        <v>22.991</v>
      </c>
      <c r="AI78" s="1253">
        <f t="shared" si="42"/>
        <v>24.611000000000001</v>
      </c>
      <c r="AJ78" s="156">
        <f t="shared" si="43"/>
        <v>152.76772536399002</v>
      </c>
      <c r="AK78" s="156">
        <f t="shared" si="44"/>
        <v>20.828033815033308</v>
      </c>
      <c r="AM78" s="716">
        <f t="shared" si="45"/>
        <v>2783.7540824875427</v>
      </c>
      <c r="AN78" s="716" t="str">
        <f>_xlfn.XLOOKUP(D78,RUC!$B$3:$B$578,RUC!$M$3:$M$578)</f>
        <v>Evelyn</v>
      </c>
      <c r="AO78" s="1167" t="s">
        <v>2280</v>
      </c>
      <c r="AP78" t="s">
        <v>4643</v>
      </c>
      <c r="AQ78" t="s">
        <v>4644</v>
      </c>
    </row>
    <row r="79" spans="1:43" ht="15" customHeight="1">
      <c r="A79" s="747" t="s">
        <v>4621</v>
      </c>
      <c r="B79" s="1447">
        <v>46062</v>
      </c>
      <c r="C79" s="1447">
        <v>46054</v>
      </c>
      <c r="D79" t="s">
        <v>1967</v>
      </c>
      <c r="E79" s="762">
        <f>_xlfn.XLOOKUP(D79,RUC!$B$3:$B$123,RUC!$D$3:$D$123)</f>
        <v>20601769396</v>
      </c>
      <c r="G79" s="762">
        <v>22</v>
      </c>
      <c r="H79" s="762" t="s">
        <v>2005</v>
      </c>
      <c r="I79" s="703">
        <v>1.75</v>
      </c>
      <c r="J79" s="596">
        <v>15.75</v>
      </c>
      <c r="K79" s="703">
        <f t="shared" si="35"/>
        <v>1.474</v>
      </c>
      <c r="L79" s="1192">
        <v>0.60899999999999999</v>
      </c>
      <c r="M79" s="994">
        <f t="shared" si="46"/>
        <v>0.57199999999999995</v>
      </c>
      <c r="N79" s="1196">
        <f t="shared" si="52"/>
        <v>0.57199999999999995</v>
      </c>
      <c r="O79" s="645">
        <f t="shared" si="36"/>
        <v>0.57199999999999995</v>
      </c>
      <c r="P79" s="727">
        <v>90</v>
      </c>
      <c r="Q79" s="1476">
        <v>97.7</v>
      </c>
      <c r="R79" s="706">
        <v>4714.75</v>
      </c>
      <c r="S79" s="765">
        <f>IF((_xlfn.XLOOKUP(D79,RUC!$B$3:$B$119,RUC!$E$3:$E$119)+ROUNDDOWN(O79,1)*100)&lt;95,95,((_xlfn.XLOOKUP(D79,RUC!$B$3:$B$119,RUC!$E$3:$E$119)+ROUNDDOWN(O79,1)*100)))</f>
        <v>140</v>
      </c>
      <c r="U79" s="1146">
        <f>_xlfn.XLOOKUP(D79,RUC!$B$3:$B$123,RUC!$F$3:$F$123)</f>
        <v>120</v>
      </c>
      <c r="V79" s="715">
        <v>1.1023000000000001</v>
      </c>
      <c r="Y79">
        <f>_xlfn.XLOOKUP(D79,RUC!$B$3:$B$123,RUC!$G$3:$G$123)</f>
        <v>20</v>
      </c>
      <c r="Z79" s="143">
        <f>_xlfn.XLOOKUP(D79,RUC!$B$3:$B$123,RUC!$H$3:$H$123)</f>
        <v>30</v>
      </c>
      <c r="AA79" s="144">
        <f t="shared" si="37"/>
        <v>50</v>
      </c>
      <c r="AB79" s="145">
        <f t="shared" si="48"/>
        <v>2397.9183977899997</v>
      </c>
      <c r="AC79" s="145">
        <f>+(S79-T79)*V79-'data 1'!$F$4</f>
        <v>74.322000000000003</v>
      </c>
      <c r="AD79" s="145">
        <f t="shared" si="38"/>
        <v>237.50333463202512</v>
      </c>
      <c r="AE79" s="145">
        <f t="shared" si="39"/>
        <v>-14.884999999999998</v>
      </c>
      <c r="AF79" s="145">
        <f t="shared" si="40"/>
        <v>183.08719944582521</v>
      </c>
      <c r="AG79" s="772">
        <f t="shared" si="51"/>
        <v>540.02753407785031</v>
      </c>
      <c r="AH79" s="1253">
        <f t="shared" si="41"/>
        <v>30.068999999999999</v>
      </c>
      <c r="AI79" s="1253">
        <f t="shared" si="42"/>
        <v>30.777000000000001</v>
      </c>
      <c r="AJ79" s="156">
        <f t="shared" si="43"/>
        <v>200.20150428547498</v>
      </c>
      <c r="AK79" s="156">
        <f t="shared" si="44"/>
        <v>26.01627359023836</v>
      </c>
      <c r="AM79" s="716">
        <f t="shared" si="45"/>
        <v>3534.5317183424595</v>
      </c>
      <c r="AN79" s="716" t="str">
        <f>_xlfn.XLOOKUP(D79,RUC!$B$3:$B$578,RUC!$M$3:$M$578)</f>
        <v>Evelyn</v>
      </c>
      <c r="AO79" s="1167" t="s">
        <v>2280</v>
      </c>
      <c r="AP79" t="s">
        <v>4643</v>
      </c>
      <c r="AQ79" t="s">
        <v>4644</v>
      </c>
    </row>
    <row r="80" spans="1:43" ht="15" customHeight="1">
      <c r="A80" s="747" t="s">
        <v>4622</v>
      </c>
      <c r="B80" s="1447">
        <v>46063</v>
      </c>
      <c r="C80" s="1447">
        <v>46054</v>
      </c>
      <c r="D80" t="s">
        <v>1967</v>
      </c>
      <c r="E80" s="762">
        <f>_xlfn.XLOOKUP(D80,RUC!$B$3:$B$123,RUC!$D$3:$D$123)</f>
        <v>20601769396</v>
      </c>
      <c r="G80" s="762">
        <v>14</v>
      </c>
      <c r="H80" s="762" t="s">
        <v>2005</v>
      </c>
      <c r="I80" s="703">
        <v>1.54</v>
      </c>
      <c r="J80" s="596">
        <v>14.35</v>
      </c>
      <c r="K80" s="703">
        <f t="shared" si="35"/>
        <v>1.319</v>
      </c>
      <c r="L80" s="1192">
        <v>0.52900000000000003</v>
      </c>
      <c r="M80" s="994">
        <f t="shared" si="46"/>
        <v>0.497</v>
      </c>
      <c r="N80" s="1196">
        <f t="shared" si="52"/>
        <v>0.497</v>
      </c>
      <c r="O80" s="645">
        <f t="shared" si="36"/>
        <v>0.497</v>
      </c>
      <c r="P80" s="727">
        <v>90</v>
      </c>
      <c r="Q80" s="1476">
        <v>96.41</v>
      </c>
      <c r="R80" s="706">
        <v>4714.75</v>
      </c>
      <c r="S80" s="765">
        <f>IF((_xlfn.XLOOKUP(D80,RUC!$B$3:$B$119,RUC!$E$3:$E$119)+ROUNDDOWN(O80,1)*100)&lt;95,95,((_xlfn.XLOOKUP(D80,RUC!$B$3:$B$119,RUC!$E$3:$E$119)+ROUNDDOWN(O80,1)*100)))</f>
        <v>130</v>
      </c>
      <c r="U80" s="1146">
        <f>_xlfn.XLOOKUP(D80,RUC!$B$3:$B$123,RUC!$F$3:$F$123)</f>
        <v>120</v>
      </c>
      <c r="V80" s="715">
        <v>1.1023000000000001</v>
      </c>
      <c r="Y80">
        <f>_xlfn.XLOOKUP(D80,RUC!$B$3:$B$123,RUC!$G$3:$G$123)</f>
        <v>20</v>
      </c>
      <c r="Z80" s="143">
        <f>_xlfn.XLOOKUP(D80,RUC!$B$3:$B$123,RUC!$H$3:$H$123)</f>
        <v>30</v>
      </c>
      <c r="AA80" s="144">
        <f t="shared" si="37"/>
        <v>50</v>
      </c>
      <c r="AB80" s="145">
        <f t="shared" si="48"/>
        <v>2067.0678753525003</v>
      </c>
      <c r="AC80" s="145">
        <f>+(S80-T80)*V80-'data 1'!$F$4</f>
        <v>63.299000000000007</v>
      </c>
      <c r="AD80" s="145">
        <f t="shared" si="38"/>
        <v>171.74155681453246</v>
      </c>
      <c r="AE80" s="145">
        <f t="shared" si="39"/>
        <v>-14.884999999999998</v>
      </c>
      <c r="AF80" s="145">
        <f t="shared" si="40"/>
        <v>156.25493948776014</v>
      </c>
      <c r="AG80" s="772">
        <f t="shared" si="51"/>
        <v>436.41049630229259</v>
      </c>
      <c r="AH80" s="1253">
        <f t="shared" si="41"/>
        <v>23.064</v>
      </c>
      <c r="AI80" s="1253">
        <f t="shared" si="42"/>
        <v>23.922999999999998</v>
      </c>
      <c r="AJ80" s="156">
        <f t="shared" si="43"/>
        <v>171.6063028959675</v>
      </c>
      <c r="AK80" s="156">
        <f t="shared" si="44"/>
        <v>20.227991524615035</v>
      </c>
      <c r="AM80" s="716">
        <f t="shared" si="45"/>
        <v>2726.462527589948</v>
      </c>
      <c r="AN80" s="716" t="str">
        <f>_xlfn.XLOOKUP(D80,RUC!$B$3:$B$578,RUC!$M$3:$M$578)</f>
        <v>Evelyn</v>
      </c>
      <c r="AO80" s="1167" t="s">
        <v>2280</v>
      </c>
      <c r="AP80" t="s">
        <v>4643</v>
      </c>
      <c r="AQ80" t="s">
        <v>4644</v>
      </c>
    </row>
    <row r="81" spans="1:43" ht="15" customHeight="1">
      <c r="A81" s="747" t="s">
        <v>4623</v>
      </c>
      <c r="B81" s="1447">
        <v>46063</v>
      </c>
      <c r="C81" s="1447">
        <v>46054</v>
      </c>
      <c r="D81" t="s">
        <v>1967</v>
      </c>
      <c r="E81" s="762">
        <f>_xlfn.XLOOKUP(D81,RUC!$B$3:$B$123,RUC!$D$3:$D$123)</f>
        <v>20601769396</v>
      </c>
      <c r="G81" s="762">
        <v>20</v>
      </c>
      <c r="H81" s="762" t="s">
        <v>2005</v>
      </c>
      <c r="I81" s="703">
        <v>1.1399999999999999</v>
      </c>
      <c r="J81" s="596">
        <v>8.9499999999999993</v>
      </c>
      <c r="K81" s="703">
        <f t="shared" si="35"/>
        <v>1.038</v>
      </c>
      <c r="L81" s="1192">
        <v>0.435</v>
      </c>
      <c r="M81" s="994">
        <f t="shared" si="46"/>
        <v>0.40899999999999997</v>
      </c>
      <c r="N81" s="1196">
        <f t="shared" si="52"/>
        <v>0.40899999999999997</v>
      </c>
      <c r="O81" s="645">
        <f t="shared" si="36"/>
        <v>0.40899999999999997</v>
      </c>
      <c r="P81" s="727">
        <v>90</v>
      </c>
      <c r="Q81" s="1476">
        <v>94.94</v>
      </c>
      <c r="R81" s="706">
        <v>4714.75</v>
      </c>
      <c r="S81" s="765">
        <f>IF((_xlfn.XLOOKUP(D81,RUC!$B$3:$B$119,RUC!$E$3:$E$119)+ROUNDDOWN(O81,1)*100)&lt;95,95,((_xlfn.XLOOKUP(D81,RUC!$B$3:$B$119,RUC!$E$3:$E$119)+ROUNDDOWN(O81,1)*100)))</f>
        <v>130</v>
      </c>
      <c r="U81" s="1146">
        <f>_xlfn.XLOOKUP(D81,RUC!$B$3:$B$123,RUC!$F$3:$F$123)</f>
        <v>120</v>
      </c>
      <c r="V81" s="715">
        <v>1.1023000000000001</v>
      </c>
      <c r="Y81">
        <f>_xlfn.XLOOKUP(D81,RUC!$B$3:$B$123,RUC!$G$3:$G$123)</f>
        <v>20</v>
      </c>
      <c r="Z81" s="143">
        <f>_xlfn.XLOOKUP(D81,RUC!$B$3:$B$123,RUC!$H$3:$H$123)</f>
        <v>30</v>
      </c>
      <c r="AA81" s="144">
        <f t="shared" si="37"/>
        <v>50</v>
      </c>
      <c r="AB81" s="145">
        <f t="shared" si="48"/>
        <v>1665.9362756924997</v>
      </c>
      <c r="AC81" s="145">
        <f>+(S81-T81)*V81-'data 1'!$F$4</f>
        <v>63.299000000000007</v>
      </c>
      <c r="AD81" s="145">
        <f t="shared" si="38"/>
        <v>108.83733516532494</v>
      </c>
      <c r="AE81" s="145">
        <f t="shared" si="39"/>
        <v>-14.884999999999998</v>
      </c>
      <c r="AF81" s="145">
        <f t="shared" si="40"/>
        <v>125.0213744778701</v>
      </c>
      <c r="AG81" s="772">
        <f t="shared" si="51"/>
        <v>342.27270964319507</v>
      </c>
      <c r="AH81" s="1253">
        <f t="shared" si="41"/>
        <v>14.698</v>
      </c>
      <c r="AI81" s="1253">
        <f t="shared" si="42"/>
        <v>15.481</v>
      </c>
      <c r="AJ81" s="156">
        <f t="shared" si="43"/>
        <v>138.96133072717501</v>
      </c>
      <c r="AK81" s="156">
        <f t="shared" si="44"/>
        <v>13.100028492170791</v>
      </c>
      <c r="AM81" s="716">
        <f t="shared" si="45"/>
        <v>1729.2418541688148</v>
      </c>
      <c r="AN81" s="716" t="str">
        <f>_xlfn.XLOOKUP(D81,RUC!$B$3:$B$578,RUC!$M$3:$M$578)</f>
        <v>Evelyn</v>
      </c>
      <c r="AO81" s="1167" t="s">
        <v>2280</v>
      </c>
      <c r="AP81" t="s">
        <v>4643</v>
      </c>
      <c r="AQ81" t="s">
        <v>4644</v>
      </c>
    </row>
    <row r="82" spans="1:43" ht="15" customHeight="1">
      <c r="A82" s="747" t="s">
        <v>4624</v>
      </c>
      <c r="B82" s="1447">
        <v>46063</v>
      </c>
      <c r="C82" s="1447">
        <v>46055</v>
      </c>
      <c r="D82" t="s">
        <v>119</v>
      </c>
      <c r="E82" s="762">
        <f>_xlfn.XLOOKUP(D82,RUC!$B$3:$B$123,RUC!$D$3:$D$123)</f>
        <v>10082235774</v>
      </c>
      <c r="G82" s="762">
        <v>61</v>
      </c>
      <c r="H82" s="762" t="s">
        <v>69</v>
      </c>
      <c r="I82" s="703">
        <v>5.85</v>
      </c>
      <c r="J82" s="596">
        <v>2.75</v>
      </c>
      <c r="K82" s="703">
        <f t="shared" si="35"/>
        <v>5.6890000000000001</v>
      </c>
      <c r="L82" s="1192">
        <v>0.374</v>
      </c>
      <c r="M82" s="994">
        <f t="shared" si="46"/>
        <v>0.36699999999999999</v>
      </c>
      <c r="N82" s="1196">
        <f t="shared" si="52"/>
        <v>0.36699999999999999</v>
      </c>
      <c r="O82" s="645">
        <f t="shared" si="36"/>
        <v>0.36699999999999999</v>
      </c>
      <c r="P82" s="1199">
        <v>87</v>
      </c>
      <c r="Q82" s="1572">
        <v>87.17</v>
      </c>
      <c r="R82" s="706">
        <v>4714.75</v>
      </c>
      <c r="S82" s="1164">
        <v>110</v>
      </c>
      <c r="U82" s="1146">
        <f>_xlfn.XLOOKUP(D82,RUC!$B$3:$B$123,RUC!$F$3:$F$123)</f>
        <v>80</v>
      </c>
      <c r="V82" s="715">
        <v>1.1023000000000001</v>
      </c>
      <c r="Y82">
        <f>_xlfn.XLOOKUP(D82,RUC!$B$3:$B$123,RUC!$G$3:$G$123)</f>
        <v>0</v>
      </c>
      <c r="Z82" s="143">
        <f>_xlfn.XLOOKUP(D82,RUC!$B$3:$B$123,RUC!$H$3:$H$123)</f>
        <v>10</v>
      </c>
      <c r="AA82" s="144">
        <f t="shared" si="37"/>
        <v>10</v>
      </c>
      <c r="AB82" s="145">
        <f t="shared" si="48"/>
        <v>1498.9398677032502</v>
      </c>
      <c r="AC82" s="145">
        <f>+(S82-T82)*V82-'data 1'!$F$4</f>
        <v>41.253</v>
      </c>
      <c r="AD82" s="145">
        <f t="shared" si="38"/>
        <v>3.2482290353150325</v>
      </c>
      <c r="AE82" s="145">
        <f t="shared" si="39"/>
        <v>-58.977000000000004</v>
      </c>
      <c r="AF82" s="145">
        <f t="shared" si="40"/>
        <v>31.173904923857528</v>
      </c>
      <c r="AG82" s="772">
        <f t="shared" ref="AG82:AG89" si="53">AC82+AD82+AE82+AF82+70</f>
        <v>86.698133959172566</v>
      </c>
      <c r="AH82" s="1253">
        <f t="shared" si="41"/>
        <v>63.588999999999999</v>
      </c>
      <c r="AI82" s="1253">
        <f t="shared" si="42"/>
        <v>72.948999999999998</v>
      </c>
      <c r="AJ82" s="156">
        <f t="shared" si="43"/>
        <v>95.322154134185027</v>
      </c>
      <c r="AK82" s="156">
        <f t="shared" si="44"/>
        <v>62.277378040706324</v>
      </c>
      <c r="AM82" s="716">
        <f t="shared" si="45"/>
        <v>8527.468907363791</v>
      </c>
      <c r="AN82" s="716" t="str">
        <f>_xlfn.XLOOKUP(D82,RUC!$B$3:$B$578,RUC!$M$3:$M$578)</f>
        <v>Melchor Vera</v>
      </c>
      <c r="AO82" s="1167" t="s">
        <v>2278</v>
      </c>
      <c r="AP82" t="s">
        <v>4645</v>
      </c>
      <c r="AQ82" t="s">
        <v>3290</v>
      </c>
    </row>
    <row r="83" spans="1:43" ht="15" customHeight="1">
      <c r="A83" s="747" t="s">
        <v>4625</v>
      </c>
      <c r="B83" s="1447">
        <v>46063</v>
      </c>
      <c r="C83" s="1447">
        <v>46055</v>
      </c>
      <c r="D83" t="s">
        <v>119</v>
      </c>
      <c r="E83" s="762">
        <f>_xlfn.XLOOKUP(D83,RUC!$B$3:$B$123,RUC!$D$3:$D$123)</f>
        <v>10082235774</v>
      </c>
      <c r="G83" s="762">
        <v>62</v>
      </c>
      <c r="H83" s="762" t="s">
        <v>69</v>
      </c>
      <c r="I83" s="703">
        <v>5.55</v>
      </c>
      <c r="J83" s="596">
        <v>3.1</v>
      </c>
      <c r="K83" s="703">
        <f t="shared" si="35"/>
        <v>5.3780000000000001</v>
      </c>
      <c r="L83" s="1192">
        <v>0.156</v>
      </c>
      <c r="M83" s="994">
        <f t="shared" si="46"/>
        <v>0.14899999999999999</v>
      </c>
      <c r="N83" s="1196">
        <f t="shared" si="52"/>
        <v>0.14899999999999999</v>
      </c>
      <c r="O83" s="645">
        <f t="shared" si="36"/>
        <v>0.14899999999999999</v>
      </c>
      <c r="P83" s="727">
        <v>85</v>
      </c>
      <c r="Q83" s="1476">
        <v>98.08</v>
      </c>
      <c r="R83" s="706">
        <v>4714.75</v>
      </c>
      <c r="S83" s="1164">
        <f>IF((_xlfn.XLOOKUP(D83,RUC!$B$3:$B$119,RUC!$E$3:$E$119)+ROUNDDOWN(O83,1)*100)&lt;95,95,((_xlfn.XLOOKUP(D83,RUC!$B$3:$B$119,RUC!$E$3:$E$119)+ROUNDDOWN(O83,1)*100)))</f>
        <v>95</v>
      </c>
      <c r="U83" s="1146">
        <f>_xlfn.XLOOKUP(D83,RUC!$B$3:$B$123,RUC!$F$3:$F$123)</f>
        <v>80</v>
      </c>
      <c r="V83" s="715">
        <v>1.1023000000000001</v>
      </c>
      <c r="Y83">
        <f>_xlfn.XLOOKUP(D83,RUC!$B$3:$B$123,RUC!$G$3:$G$123)</f>
        <v>0</v>
      </c>
      <c r="Z83" s="143">
        <f>_xlfn.XLOOKUP(D83,RUC!$B$3:$B$123,RUC!$H$3:$H$123)</f>
        <v>10</v>
      </c>
      <c r="AA83" s="144">
        <f t="shared" si="37"/>
        <v>10</v>
      </c>
      <c r="AB83" s="145">
        <f t="shared" si="48"/>
        <v>531.2987757512501</v>
      </c>
      <c r="AC83" s="145">
        <f>+(S83-T83)*V83-'data 1'!$F$4</f>
        <v>24.718500000000006</v>
      </c>
      <c r="AD83" s="145">
        <f t="shared" si="38"/>
        <v>104.24577511763999</v>
      </c>
      <c r="AE83" s="145">
        <f t="shared" si="39"/>
        <v>-58.977000000000004</v>
      </c>
      <c r="AF83" s="145">
        <f t="shared" si="40"/>
        <v>35.075560341080035</v>
      </c>
      <c r="AG83" s="772">
        <f t="shared" si="53"/>
        <v>175.06283545872003</v>
      </c>
      <c r="AH83" s="1253">
        <f t="shared" si="41"/>
        <v>28.212</v>
      </c>
      <c r="AI83" s="1253">
        <f t="shared" si="42"/>
        <v>28.763999999999999</v>
      </c>
      <c r="AJ83" s="156">
        <f t="shared" si="43"/>
        <v>44.73631992336</v>
      </c>
      <c r="AK83" s="156">
        <f t="shared" si="44"/>
        <v>23.352590364551784</v>
      </c>
      <c r="AM83" s="716">
        <f t="shared" si="45"/>
        <v>2857.3248159902232</v>
      </c>
      <c r="AN83" s="716" t="str">
        <f>_xlfn.XLOOKUP(D83,RUC!$B$3:$B$578,RUC!$M$3:$M$578)</f>
        <v>Melchor Vera</v>
      </c>
      <c r="AO83" s="1167" t="s">
        <v>2279</v>
      </c>
      <c r="AP83" t="s">
        <v>4645</v>
      </c>
      <c r="AQ83" t="s">
        <v>3290</v>
      </c>
    </row>
    <row r="84" spans="1:43" ht="15" customHeight="1">
      <c r="A84" s="747" t="s">
        <v>4626</v>
      </c>
      <c r="B84" s="1447">
        <v>46063</v>
      </c>
      <c r="C84" s="1447">
        <v>46055</v>
      </c>
      <c r="D84" t="s">
        <v>119</v>
      </c>
      <c r="E84" s="762">
        <f>_xlfn.XLOOKUP(D84,RUC!$B$3:$B$123,RUC!$D$3:$D$123)</f>
        <v>10082235774</v>
      </c>
      <c r="G84" s="762">
        <v>60</v>
      </c>
      <c r="H84" s="762" t="s">
        <v>69</v>
      </c>
      <c r="I84" s="703">
        <v>5.74</v>
      </c>
      <c r="J84" s="596">
        <v>2.5499999999999998</v>
      </c>
      <c r="K84" s="703">
        <f t="shared" si="35"/>
        <v>5.5940000000000003</v>
      </c>
      <c r="L84" s="1192">
        <v>0.57699999999999996</v>
      </c>
      <c r="M84" s="994">
        <f t="shared" si="46"/>
        <v>0.56799999999999995</v>
      </c>
      <c r="N84" s="1196">
        <f t="shared" si="52"/>
        <v>0.56799999999999995</v>
      </c>
      <c r="O84" s="645">
        <f t="shared" si="36"/>
        <v>0.56799999999999995</v>
      </c>
      <c r="P84" s="1199">
        <v>87</v>
      </c>
      <c r="Q84" s="1572">
        <v>87.87</v>
      </c>
      <c r="R84" s="706">
        <v>4714.75</v>
      </c>
      <c r="S84" s="1164">
        <v>120</v>
      </c>
      <c r="U84" s="1146">
        <f>_xlfn.XLOOKUP(D84,RUC!$B$3:$B$123,RUC!$F$3:$F$123)</f>
        <v>80</v>
      </c>
      <c r="V84" s="715">
        <v>1.1023000000000001</v>
      </c>
      <c r="Y84">
        <f>_xlfn.XLOOKUP(D84,RUC!$B$3:$B$123,RUC!$G$3:$G$123)</f>
        <v>0</v>
      </c>
      <c r="Z84" s="143">
        <f>_xlfn.XLOOKUP(D84,RUC!$B$3:$B$123,RUC!$H$3:$H$123)</f>
        <v>10</v>
      </c>
      <c r="AA84" s="144">
        <f t="shared" si="37"/>
        <v>10</v>
      </c>
      <c r="AB84" s="145">
        <f t="shared" si="48"/>
        <v>2381.3075745380002</v>
      </c>
      <c r="AC84" s="145">
        <f>+(S84-T84)*V84-'data 1'!$F$4</f>
        <v>52.27600000000001</v>
      </c>
      <c r="AD84" s="145">
        <f t="shared" si="38"/>
        <v>25.646091435007634</v>
      </c>
      <c r="AE84" s="145">
        <f t="shared" si="39"/>
        <v>-58.977000000000004</v>
      </c>
      <c r="AF84" s="145">
        <f t="shared" si="40"/>
        <v>40.402594652377537</v>
      </c>
      <c r="AG84" s="772">
        <f t="shared" si="53"/>
        <v>129.34768608738517</v>
      </c>
      <c r="AH84" s="1253">
        <f t="shared" si="41"/>
        <v>97.241</v>
      </c>
      <c r="AI84" s="1253">
        <f t="shared" si="42"/>
        <v>110.664</v>
      </c>
      <c r="AJ84" s="156">
        <f t="shared" si="43"/>
        <v>148.2421276372425</v>
      </c>
      <c r="AK84" s="156">
        <f t="shared" si="44"/>
        <v>94.776162405060077</v>
      </c>
      <c r="AM84" s="716">
        <f t="shared" si="45"/>
        <v>13321.034571965574</v>
      </c>
      <c r="AN84" s="716" t="str">
        <f>_xlfn.XLOOKUP(D84,RUC!$B$3:$B$578,RUC!$M$3:$M$578)</f>
        <v>Melchor Vera</v>
      </c>
      <c r="AO84" s="1167" t="s">
        <v>2278</v>
      </c>
      <c r="AP84" t="s">
        <v>4645</v>
      </c>
      <c r="AQ84" t="s">
        <v>3290</v>
      </c>
    </row>
    <row r="85" spans="1:43" ht="15" customHeight="1">
      <c r="A85" s="747" t="s">
        <v>4627</v>
      </c>
      <c r="B85" s="1447">
        <v>46063</v>
      </c>
      <c r="C85" s="1447">
        <v>46055</v>
      </c>
      <c r="D85" t="s">
        <v>119</v>
      </c>
      <c r="E85" s="762">
        <f>_xlfn.XLOOKUP(D85,RUC!$B$3:$B$123,RUC!$D$3:$D$123)</f>
        <v>10082235774</v>
      </c>
      <c r="G85" s="762">
        <v>37</v>
      </c>
      <c r="H85" s="762" t="s">
        <v>69</v>
      </c>
      <c r="I85" s="703">
        <v>3.4</v>
      </c>
      <c r="J85" s="596">
        <v>3.3</v>
      </c>
      <c r="K85" s="703">
        <f t="shared" si="35"/>
        <v>3.2879999999999998</v>
      </c>
      <c r="L85" s="1192">
        <v>0.30099999999999999</v>
      </c>
      <c r="M85" s="994">
        <f t="shared" si="46"/>
        <v>0.29399999999999998</v>
      </c>
      <c r="N85" s="1444">
        <v>0.33</v>
      </c>
      <c r="O85" s="645">
        <f t="shared" si="36"/>
        <v>0.312</v>
      </c>
      <c r="P85" s="727">
        <v>90</v>
      </c>
      <c r="Q85" s="1476">
        <v>91.36</v>
      </c>
      <c r="R85" s="706">
        <v>4714.75</v>
      </c>
      <c r="S85" s="1164">
        <v>110</v>
      </c>
      <c r="U85" s="1146">
        <f>_xlfn.XLOOKUP(D85,RUC!$B$3:$B$123,RUC!$F$3:$F$123)</f>
        <v>80</v>
      </c>
      <c r="V85" s="715">
        <v>1.1023000000000001</v>
      </c>
      <c r="Y85">
        <f>_xlfn.XLOOKUP(D85,RUC!$B$3:$B$123,RUC!$G$3:$G$123)</f>
        <v>0</v>
      </c>
      <c r="Z85" s="143">
        <f>_xlfn.XLOOKUP(D85,RUC!$B$3:$B$123,RUC!$H$3:$H$123)</f>
        <v>10</v>
      </c>
      <c r="AA85" s="144">
        <f t="shared" si="37"/>
        <v>10</v>
      </c>
      <c r="AB85" s="145">
        <f t="shared" si="48"/>
        <v>1302.2988869399999</v>
      </c>
      <c r="AC85" s="145">
        <f>+(S85-T85)*V85-'data 1'!$F$4</f>
        <v>41.253</v>
      </c>
      <c r="AD85" s="145">
        <f t="shared" si="38"/>
        <v>20.913731328979992</v>
      </c>
      <c r="AE85" s="145">
        <f t="shared" si="39"/>
        <v>-58.977000000000004</v>
      </c>
      <c r="AF85" s="145">
        <f t="shared" si="40"/>
        <v>-51.342249942280048</v>
      </c>
      <c r="AG85" s="772">
        <f t="shared" si="53"/>
        <v>21.84748138669994</v>
      </c>
      <c r="AH85" s="1253">
        <f t="shared" si="41"/>
        <v>31</v>
      </c>
      <c r="AI85" s="1253">
        <f t="shared" si="42"/>
        <v>33.932000000000002</v>
      </c>
      <c r="AJ85" s="156">
        <f t="shared" si="43"/>
        <v>80.404024360519998</v>
      </c>
      <c r="AK85" s="156">
        <f t="shared" si="44"/>
        <v>31.654683939078723</v>
      </c>
      <c r="AM85" s="716">
        <f t="shared" si="45"/>
        <v>4281.9587402587194</v>
      </c>
      <c r="AN85" s="716" t="str">
        <f>_xlfn.XLOOKUP(D85,RUC!$B$3:$B$578,RUC!$M$3:$M$578)</f>
        <v>Melchor Vera</v>
      </c>
      <c r="AO85" s="1167" t="s">
        <v>2278</v>
      </c>
      <c r="AP85" t="s">
        <v>4645</v>
      </c>
      <c r="AQ85" t="s">
        <v>3290</v>
      </c>
    </row>
    <row r="86" spans="1:43" ht="15" customHeight="1">
      <c r="A86" s="747" t="s">
        <v>4628</v>
      </c>
      <c r="B86" s="1447">
        <v>46063</v>
      </c>
      <c r="C86" s="1447">
        <v>46055</v>
      </c>
      <c r="D86" t="s">
        <v>119</v>
      </c>
      <c r="E86" s="762">
        <f>_xlfn.XLOOKUP(D86,RUC!$B$3:$B$123,RUC!$D$3:$D$123)</f>
        <v>10082235774</v>
      </c>
      <c r="G86" s="762">
        <v>58</v>
      </c>
      <c r="H86" s="762" t="s">
        <v>69</v>
      </c>
      <c r="I86" s="703">
        <v>5.28</v>
      </c>
      <c r="J86" s="596">
        <v>3.35</v>
      </c>
      <c r="K86" s="703">
        <f t="shared" si="35"/>
        <v>5.1029999999999998</v>
      </c>
      <c r="L86" s="1192">
        <v>0.29099999999999998</v>
      </c>
      <c r="M86" s="994">
        <f t="shared" si="46"/>
        <v>0.28399999999999997</v>
      </c>
      <c r="N86" s="1444">
        <v>0.314</v>
      </c>
      <c r="O86" s="645">
        <f t="shared" si="36"/>
        <v>0.29899999999999999</v>
      </c>
      <c r="P86" s="727">
        <v>90</v>
      </c>
      <c r="Q86" s="1476">
        <v>91.07</v>
      </c>
      <c r="R86" s="706">
        <v>4714.75</v>
      </c>
      <c r="S86" s="1164">
        <v>105</v>
      </c>
      <c r="U86" s="1146">
        <f>_xlfn.XLOOKUP(D86,RUC!$B$3:$B$123,RUC!$F$3:$F$123)</f>
        <v>80</v>
      </c>
      <c r="V86" s="715">
        <v>1.1023000000000001</v>
      </c>
      <c r="Y86">
        <f>_xlfn.XLOOKUP(D86,RUC!$B$3:$B$123,RUC!$G$3:$G$123)</f>
        <v>0</v>
      </c>
      <c r="Z86" s="143">
        <f>_xlfn.XLOOKUP(D86,RUC!$B$3:$B$123,RUC!$H$3:$H$123)</f>
        <v>10</v>
      </c>
      <c r="AA86" s="144">
        <f t="shared" si="37"/>
        <v>10</v>
      </c>
      <c r="AB86" s="145">
        <f t="shared" si="48"/>
        <v>1248.0364333175</v>
      </c>
      <c r="AC86" s="145">
        <f>+(S86-T86)*V86-'data 1'!$F$4</f>
        <v>35.741500000000002</v>
      </c>
      <c r="AD86" s="145">
        <f t="shared" si="38"/>
        <v>15.907534990972398</v>
      </c>
      <c r="AE86" s="145">
        <f t="shared" si="39"/>
        <v>-58.977000000000004</v>
      </c>
      <c r="AF86" s="145">
        <f t="shared" si="40"/>
        <v>-37.221292009580033</v>
      </c>
      <c r="AG86" s="772">
        <f t="shared" si="53"/>
        <v>25.450742981392359</v>
      </c>
      <c r="AH86" s="1253">
        <f t="shared" si="41"/>
        <v>46.366</v>
      </c>
      <c r="AI86" s="1253">
        <f t="shared" si="42"/>
        <v>50.912999999999997</v>
      </c>
      <c r="AJ86" s="156">
        <f t="shared" si="43"/>
        <v>77.486050550527494</v>
      </c>
      <c r="AK86" s="156">
        <f t="shared" si="44"/>
        <v>47.081288007473269</v>
      </c>
      <c r="AM86" s="716">
        <f t="shared" si="45"/>
        <v>6368.7299192192022</v>
      </c>
      <c r="AN86" s="716" t="str">
        <f>_xlfn.XLOOKUP(D86,RUC!$B$3:$B$578,RUC!$M$3:$M$578)</f>
        <v>Melchor Vera</v>
      </c>
      <c r="AO86" s="1167" t="s">
        <v>2278</v>
      </c>
      <c r="AP86" t="s">
        <v>4645</v>
      </c>
      <c r="AQ86" t="s">
        <v>3290</v>
      </c>
    </row>
    <row r="87" spans="1:43" ht="15" customHeight="1">
      <c r="A87" s="747" t="s">
        <v>4629</v>
      </c>
      <c r="B87" s="1447">
        <v>46063</v>
      </c>
      <c r="C87" s="1447">
        <v>46055</v>
      </c>
      <c r="D87" t="s">
        <v>119</v>
      </c>
      <c r="E87" s="762">
        <f>_xlfn.XLOOKUP(D87,RUC!$B$3:$B$123,RUC!$D$3:$D$123)</f>
        <v>10082235774</v>
      </c>
      <c r="G87" s="762">
        <v>53</v>
      </c>
      <c r="H87" s="762" t="s">
        <v>69</v>
      </c>
      <c r="I87" s="703">
        <v>4.75</v>
      </c>
      <c r="J87" s="596">
        <v>2.7</v>
      </c>
      <c r="K87" s="703">
        <f t="shared" si="35"/>
        <v>4.6219999999999999</v>
      </c>
      <c r="L87" s="1192">
        <v>0.30599999999999999</v>
      </c>
      <c r="M87" s="994">
        <f t="shared" si="46"/>
        <v>0.29899999999999999</v>
      </c>
      <c r="N87" s="1444">
        <v>0.32</v>
      </c>
      <c r="O87" s="645">
        <f t="shared" si="36"/>
        <v>0.31</v>
      </c>
      <c r="P87" s="727">
        <v>90</v>
      </c>
      <c r="Q87" s="1476">
        <v>90.85</v>
      </c>
      <c r="R87" s="706">
        <v>4714.75</v>
      </c>
      <c r="S87" s="1164">
        <v>110</v>
      </c>
      <c r="U87" s="1146">
        <f>_xlfn.XLOOKUP(D87,RUC!$B$3:$B$123,RUC!$F$3:$F$123)</f>
        <v>80</v>
      </c>
      <c r="V87" s="715">
        <v>1.1023000000000001</v>
      </c>
      <c r="Y87">
        <f>_xlfn.XLOOKUP(D87,RUC!$B$3:$B$123,RUC!$G$3:$G$123)</f>
        <v>0</v>
      </c>
      <c r="Z87" s="143">
        <f>_xlfn.XLOOKUP(D87,RUC!$B$3:$B$123,RUC!$H$3:$H$123)</f>
        <v>10</v>
      </c>
      <c r="AA87" s="144">
        <f t="shared" si="37"/>
        <v>10</v>
      </c>
      <c r="AB87" s="145">
        <f t="shared" si="48"/>
        <v>1293.102894075</v>
      </c>
      <c r="AC87" s="145">
        <f>+(S87-T87)*V87-'data 1'!$F$4</f>
        <v>41.253</v>
      </c>
      <c r="AD87" s="145">
        <f t="shared" si="38"/>
        <v>13.28820968992491</v>
      </c>
      <c r="AE87" s="145">
        <f t="shared" si="39"/>
        <v>-58.977000000000004</v>
      </c>
      <c r="AF87" s="145">
        <f t="shared" si="40"/>
        <v>-18.565687817450012</v>
      </c>
      <c r="AG87" s="772">
        <f t="shared" si="53"/>
        <v>46.998521872474896</v>
      </c>
      <c r="AH87" s="1253">
        <f t="shared" si="41"/>
        <v>44.054000000000002</v>
      </c>
      <c r="AI87" s="1253">
        <f t="shared" si="42"/>
        <v>48.491</v>
      </c>
      <c r="AJ87" s="156">
        <f t="shared" si="43"/>
        <v>81.283343235074994</v>
      </c>
      <c r="AK87" s="156">
        <f t="shared" si="44"/>
        <v>44.212310735220896</v>
      </c>
      <c r="AM87" s="716">
        <f t="shared" si="45"/>
        <v>5976.7215764146495</v>
      </c>
      <c r="AN87" s="716" t="str">
        <f>_xlfn.XLOOKUP(D87,RUC!$B$3:$B$578,RUC!$M$3:$M$578)</f>
        <v>Melchor Vera</v>
      </c>
      <c r="AO87" s="1167" t="s">
        <v>2278</v>
      </c>
      <c r="AP87" t="s">
        <v>4645</v>
      </c>
      <c r="AQ87" t="s">
        <v>3290</v>
      </c>
    </row>
    <row r="88" spans="1:43" ht="15" customHeight="1">
      <c r="A88" s="747" t="s">
        <v>4630</v>
      </c>
      <c r="B88" s="1447">
        <v>46063</v>
      </c>
      <c r="C88" s="1447">
        <v>46055</v>
      </c>
      <c r="D88" t="s">
        <v>119</v>
      </c>
      <c r="E88" s="762">
        <f>_xlfn.XLOOKUP(D88,RUC!$B$3:$B$123,RUC!$D$3:$D$123)</f>
        <v>10082235774</v>
      </c>
      <c r="G88" s="762">
        <v>28</v>
      </c>
      <c r="H88" s="762" t="s">
        <v>69</v>
      </c>
      <c r="I88" s="703">
        <v>2.38</v>
      </c>
      <c r="J88" s="596">
        <v>2</v>
      </c>
      <c r="K88" s="703">
        <f t="shared" si="35"/>
        <v>2.3319999999999999</v>
      </c>
      <c r="L88" s="1192">
        <v>0.22900000000000001</v>
      </c>
      <c r="M88" s="994">
        <f t="shared" si="46"/>
        <v>0.222</v>
      </c>
      <c r="N88" s="1196">
        <f t="shared" si="52"/>
        <v>0.222</v>
      </c>
      <c r="O88" s="645">
        <f t="shared" si="36"/>
        <v>0.222</v>
      </c>
      <c r="P88" s="727">
        <v>85</v>
      </c>
      <c r="Q88" s="1476">
        <v>90.83</v>
      </c>
      <c r="R88" s="706">
        <v>4714.75</v>
      </c>
      <c r="S88" s="1164">
        <v>105</v>
      </c>
      <c r="U88" s="1146">
        <f>_xlfn.XLOOKUP(D88,RUC!$B$3:$B$123,RUC!$F$3:$F$123)</f>
        <v>80</v>
      </c>
      <c r="V88" s="715">
        <v>1.1023000000000001</v>
      </c>
      <c r="Y88">
        <f>_xlfn.XLOOKUP(D88,RUC!$B$3:$B$123,RUC!$G$3:$G$123)</f>
        <v>0</v>
      </c>
      <c r="Z88" s="143">
        <f>_xlfn.XLOOKUP(D88,RUC!$B$3:$B$123,RUC!$H$3:$H$123)</f>
        <v>10</v>
      </c>
      <c r="AA88" s="144">
        <f t="shared" si="37"/>
        <v>10</v>
      </c>
      <c r="AB88" s="145">
        <f t="shared" si="48"/>
        <v>837.28208534750001</v>
      </c>
      <c r="AC88" s="145">
        <f>+(S88-T88)*V88-'data 1'!$F$4</f>
        <v>35.741500000000002</v>
      </c>
      <c r="AD88" s="145">
        <f t="shared" si="38"/>
        <v>68.207189968197497</v>
      </c>
      <c r="AE88" s="145">
        <f t="shared" si="39"/>
        <v>-58.977000000000004</v>
      </c>
      <c r="AF88" s="145">
        <f t="shared" si="40"/>
        <v>32.482801241642527</v>
      </c>
      <c r="AG88" s="772">
        <f t="shared" si="53"/>
        <v>147.45449120984003</v>
      </c>
      <c r="AH88" s="1253">
        <f t="shared" si="41"/>
        <v>16.63</v>
      </c>
      <c r="AI88" s="1253">
        <f t="shared" si="42"/>
        <v>18.309000000000001</v>
      </c>
      <c r="AJ88" s="156">
        <f t="shared" si="43"/>
        <v>60.816300269552499</v>
      </c>
      <c r="AK88" s="156">
        <f t="shared" si="44"/>
        <v>15.08723015478162</v>
      </c>
      <c r="AM88" s="716">
        <f t="shared" si="45"/>
        <v>1952.5418230303699</v>
      </c>
      <c r="AN88" s="716" t="str">
        <f>_xlfn.XLOOKUP(D88,RUC!$B$3:$B$578,RUC!$M$3:$M$578)</f>
        <v>Melchor Vera</v>
      </c>
      <c r="AO88" s="1167" t="s">
        <v>2278</v>
      </c>
      <c r="AP88" t="s">
        <v>4645</v>
      </c>
      <c r="AQ88" t="s">
        <v>3290</v>
      </c>
    </row>
    <row r="89" spans="1:43" ht="15" customHeight="1">
      <c r="A89" s="747" t="s">
        <v>4631</v>
      </c>
      <c r="B89" s="1447">
        <v>46063</v>
      </c>
      <c r="C89" s="1447">
        <v>46055</v>
      </c>
      <c r="D89" t="s">
        <v>119</v>
      </c>
      <c r="E89" s="762">
        <f>_xlfn.XLOOKUP(D89,RUC!$B$3:$B$123,RUC!$D$3:$D$123)</f>
        <v>10082235774</v>
      </c>
      <c r="G89" s="762">
        <v>55</v>
      </c>
      <c r="H89" s="762" t="s">
        <v>69</v>
      </c>
      <c r="I89" s="703">
        <v>4.62</v>
      </c>
      <c r="J89" s="596">
        <v>3.2</v>
      </c>
      <c r="K89" s="703">
        <f t="shared" si="35"/>
        <v>4.4720000000000004</v>
      </c>
      <c r="L89" s="1192">
        <v>0.23</v>
      </c>
      <c r="M89" s="994">
        <f t="shared" si="46"/>
        <v>0.223</v>
      </c>
      <c r="N89" s="1196">
        <f t="shared" si="52"/>
        <v>0.223</v>
      </c>
      <c r="O89" s="645">
        <f t="shared" si="36"/>
        <v>0.223</v>
      </c>
      <c r="P89" s="727">
        <v>85</v>
      </c>
      <c r="Q89" s="1476">
        <v>85.22</v>
      </c>
      <c r="R89" s="706">
        <v>4714.75</v>
      </c>
      <c r="S89" s="1164">
        <v>105</v>
      </c>
      <c r="U89" s="1146">
        <f>_xlfn.XLOOKUP(D89,RUC!$B$3:$B$123,RUC!$F$3:$F$123)</f>
        <v>80</v>
      </c>
      <c r="V89" s="715">
        <v>1.1023000000000001</v>
      </c>
      <c r="Y89">
        <f>_xlfn.XLOOKUP(D89,RUC!$B$3:$B$123,RUC!$G$3:$G$123)</f>
        <v>0</v>
      </c>
      <c r="Z89" s="143">
        <f>_xlfn.XLOOKUP(D89,RUC!$B$3:$B$123,RUC!$H$3:$H$123)</f>
        <v>10</v>
      </c>
      <c r="AA89" s="144">
        <f t="shared" si="37"/>
        <v>10</v>
      </c>
      <c r="AB89" s="145">
        <f t="shared" si="48"/>
        <v>841.62463753375016</v>
      </c>
      <c r="AC89" s="145">
        <f>+(S89-T89)*V89-'data 1'!$F$4</f>
        <v>35.741500000000002</v>
      </c>
      <c r="AD89" s="145">
        <f t="shared" si="38"/>
        <v>2.5850957720499874</v>
      </c>
      <c r="AE89" s="145">
        <f t="shared" si="39"/>
        <v>-58.977000000000004</v>
      </c>
      <c r="AF89" s="145">
        <f t="shared" si="40"/>
        <v>30.476542131595025</v>
      </c>
      <c r="AG89" s="772">
        <f t="shared" si="53"/>
        <v>79.826137903645019</v>
      </c>
      <c r="AH89" s="1253">
        <f t="shared" si="41"/>
        <v>30.052</v>
      </c>
      <c r="AI89" s="1253">
        <f t="shared" si="42"/>
        <v>35.265000000000001</v>
      </c>
      <c r="AJ89" s="156">
        <f t="shared" si="43"/>
        <v>57.309229010450011</v>
      </c>
      <c r="AK89" s="156">
        <f t="shared" si="44"/>
        <v>29.062612603412184</v>
      </c>
      <c r="AM89" s="716">
        <f t="shared" si="45"/>
        <v>3763.7453790509312</v>
      </c>
      <c r="AN89" s="716" t="str">
        <f>_xlfn.XLOOKUP(D89,RUC!$B$3:$B$578,RUC!$M$3:$M$578)</f>
        <v>Melchor Vera</v>
      </c>
      <c r="AO89" s="1167" t="s">
        <v>2278</v>
      </c>
      <c r="AP89" t="s">
        <v>4645</v>
      </c>
      <c r="AQ89" t="s">
        <v>3290</v>
      </c>
    </row>
    <row r="90" spans="1:43" ht="15" customHeight="1">
      <c r="A90" s="747" t="s">
        <v>4632</v>
      </c>
      <c r="B90" s="1447">
        <v>46063</v>
      </c>
      <c r="C90" s="1447">
        <v>46055</v>
      </c>
      <c r="D90" t="s">
        <v>1484</v>
      </c>
      <c r="E90" s="762">
        <f>_xlfn.XLOOKUP(D90,RUC!$B$3:$B$123,RUC!$D$3:$D$123)</f>
        <v>10761932735</v>
      </c>
      <c r="G90" s="762">
        <v>18</v>
      </c>
      <c r="H90" s="762" t="s">
        <v>69</v>
      </c>
      <c r="I90" s="703">
        <v>1.38</v>
      </c>
      <c r="J90" s="596">
        <v>12.2</v>
      </c>
      <c r="K90" s="703">
        <f t="shared" si="35"/>
        <v>1.212</v>
      </c>
      <c r="L90" s="1192">
        <v>0.316</v>
      </c>
      <c r="M90" s="994">
        <f t="shared" si="46"/>
        <v>0.29699999999999999</v>
      </c>
      <c r="N90" s="1444">
        <v>0.35099999999999998</v>
      </c>
      <c r="O90" s="645">
        <f t="shared" si="36"/>
        <v>0.32400000000000001</v>
      </c>
      <c r="P90" s="727">
        <v>90</v>
      </c>
      <c r="Q90" s="1476">
        <v>97.15</v>
      </c>
      <c r="R90" s="706">
        <v>4714.75</v>
      </c>
      <c r="S90" s="765">
        <f>IF((_xlfn.XLOOKUP(D90,RUC!$B$3:$B$119,RUC!$E$3:$E$119)+ROUNDDOWN(O90,1)*100)&lt;95,95,((_xlfn.XLOOKUP(D90,RUC!$B$3:$B$119,RUC!$E$3:$E$119)+ROUNDDOWN(O90,1)*100)))</f>
        <v>120</v>
      </c>
      <c r="U90" s="1146">
        <f>_xlfn.XLOOKUP(D90,RUC!$B$3:$B$123,RUC!$F$3:$F$123)</f>
        <v>120</v>
      </c>
      <c r="V90" s="715">
        <v>1.1023000000000001</v>
      </c>
      <c r="Y90" s="1445">
        <v>30</v>
      </c>
      <c r="Z90" s="143">
        <f>_xlfn.XLOOKUP(D90,RUC!$B$3:$B$123,RUC!$H$3:$H$123)</f>
        <v>30</v>
      </c>
      <c r="AA90" s="144">
        <f t="shared" si="37"/>
        <v>60</v>
      </c>
      <c r="AB90" s="145">
        <f t="shared" si="48"/>
        <v>1278.47961693</v>
      </c>
      <c r="AC90" s="145">
        <f>+(S90-T90)*V90-'data 1'!$F$4</f>
        <v>52.27600000000001</v>
      </c>
      <c r="AD90" s="145">
        <f t="shared" si="38"/>
        <v>114.43393134745008</v>
      </c>
      <c r="AE90" s="145">
        <f t="shared" si="39"/>
        <v>-3.8619999999999948</v>
      </c>
      <c r="AF90" s="145">
        <f t="shared" si="40"/>
        <v>-39.363570613100045</v>
      </c>
      <c r="AG90" s="772">
        <f>AC90+AD90+AE90+AF90+70-53</f>
        <v>140.48436073435005</v>
      </c>
      <c r="AH90" s="1253">
        <f t="shared" si="41"/>
        <v>12.757</v>
      </c>
      <c r="AI90" s="1253">
        <f t="shared" si="42"/>
        <v>13.131</v>
      </c>
      <c r="AJ90" s="156">
        <f t="shared" si="43"/>
        <v>103.29644316255001</v>
      </c>
      <c r="AK90" s="156">
        <f t="shared" si="44"/>
        <v>12.117114416320563</v>
      </c>
      <c r="AM90" s="716">
        <f t="shared" si="45"/>
        <v>1549.5172957191601</v>
      </c>
      <c r="AN90" s="716" t="str">
        <f>_xlfn.XLOOKUP(D90,RUC!$B$3:$B$578,RUC!$M$3:$M$578)</f>
        <v>Richard Sapacayo</v>
      </c>
      <c r="AO90" s="1167" t="s">
        <v>2278</v>
      </c>
      <c r="AP90" t="s">
        <v>4149</v>
      </c>
      <c r="AQ90" t="s">
        <v>4652</v>
      </c>
    </row>
    <row r="91" spans="1:43" ht="15" customHeight="1">
      <c r="A91" s="747" t="s">
        <v>4633</v>
      </c>
      <c r="B91" s="1447">
        <v>46063</v>
      </c>
      <c r="C91" s="1447">
        <v>46055</v>
      </c>
      <c r="D91" t="s">
        <v>1484</v>
      </c>
      <c r="E91" s="762">
        <f>_xlfn.XLOOKUP(D91,RUC!$B$3:$B$123,RUC!$D$3:$D$123)</f>
        <v>10761932735</v>
      </c>
      <c r="G91" s="762">
        <v>75</v>
      </c>
      <c r="H91" s="762" t="s">
        <v>69</v>
      </c>
      <c r="I91" s="703">
        <v>6.39</v>
      </c>
      <c r="J91" s="596">
        <v>19.75</v>
      </c>
      <c r="K91" s="703">
        <f t="shared" si="35"/>
        <v>5.1280000000000001</v>
      </c>
      <c r="L91" s="1192">
        <v>1.016</v>
      </c>
      <c r="M91" s="994">
        <f t="shared" si="46"/>
        <v>0.95499999999999996</v>
      </c>
      <c r="N91" s="1444">
        <v>1.079</v>
      </c>
      <c r="O91" s="645">
        <f t="shared" si="36"/>
        <v>1.0169999999999999</v>
      </c>
      <c r="P91" s="727">
        <v>90</v>
      </c>
      <c r="Q91" s="1476">
        <v>95.57</v>
      </c>
      <c r="R91" s="706">
        <v>4714.75</v>
      </c>
      <c r="S91" s="765">
        <f>IF((_xlfn.XLOOKUP(D91,RUC!$B$3:$B$119,RUC!$E$3:$E$119)+ROUNDDOWN(O91,1)*100)&lt;95,95,((_xlfn.XLOOKUP(D91,RUC!$B$3:$B$119,RUC!$E$3:$E$119)+ROUNDDOWN(O91,1)*100)))</f>
        <v>190</v>
      </c>
      <c r="U91" s="1146">
        <f>_xlfn.XLOOKUP(D91,RUC!$B$3:$B$123,RUC!$F$3:$F$123)</f>
        <v>120</v>
      </c>
      <c r="V91" s="715">
        <v>1.1023000000000001</v>
      </c>
      <c r="Y91">
        <f>_xlfn.XLOOKUP(D91,RUC!$B$3:$B$123,RUC!$G$3:$G$123)</f>
        <v>20</v>
      </c>
      <c r="Z91" s="143">
        <f>_xlfn.XLOOKUP(D91,RUC!$B$3:$B$123,RUC!$H$3:$H$123)</f>
        <v>30</v>
      </c>
      <c r="AA91" s="144">
        <f t="shared" si="37"/>
        <v>50</v>
      </c>
      <c r="AB91" s="145">
        <f t="shared" si="48"/>
        <v>4371.2529642524987</v>
      </c>
      <c r="AC91" s="145">
        <f>+(S91-T91)*V91-'data 1'!$F$4</f>
        <v>129.43700000000001</v>
      </c>
      <c r="AD91" s="145">
        <f t="shared" si="38"/>
        <v>286.6227093772597</v>
      </c>
      <c r="AE91" s="145">
        <f t="shared" si="39"/>
        <v>-14.884999999999998</v>
      </c>
      <c r="AF91" s="145">
        <f t="shared" si="40"/>
        <v>-4.8404225984219673</v>
      </c>
      <c r="AG91" s="772">
        <f t="shared" ref="AG91:AG99" si="54">AC91+AD91+AE91+AF91+70-53</f>
        <v>413.33428677883774</v>
      </c>
      <c r="AH91" s="1253">
        <f t="shared" si="41"/>
        <v>170.715</v>
      </c>
      <c r="AI91" s="1253">
        <f t="shared" si="42"/>
        <v>178.62899999999999</v>
      </c>
      <c r="AJ91" s="156">
        <f t="shared" si="43"/>
        <v>326.71627882673999</v>
      </c>
      <c r="AK91" s="156">
        <f t="shared" si="44"/>
        <v>160.92389961814212</v>
      </c>
      <c r="AM91" s="716">
        <f t="shared" si="45"/>
        <v>22415.785200686812</v>
      </c>
      <c r="AN91" s="716" t="str">
        <f>_xlfn.XLOOKUP(D91,RUC!$B$3:$B$578,RUC!$M$3:$M$578)</f>
        <v>Richard Sapacayo</v>
      </c>
      <c r="AO91" s="1167" t="s">
        <v>2277</v>
      </c>
      <c r="AP91" t="s">
        <v>4149</v>
      </c>
      <c r="AQ91" t="s">
        <v>4652</v>
      </c>
    </row>
    <row r="92" spans="1:43" ht="15" customHeight="1">
      <c r="A92" s="747" t="s">
        <v>4634</v>
      </c>
      <c r="B92" s="1447">
        <v>46063</v>
      </c>
      <c r="C92" s="1447">
        <v>46055</v>
      </c>
      <c r="D92" t="s">
        <v>1484</v>
      </c>
      <c r="E92" s="762">
        <f>_xlfn.XLOOKUP(D92,RUC!$B$3:$B$123,RUC!$D$3:$D$123)</f>
        <v>10761932735</v>
      </c>
      <c r="G92" s="762">
        <v>28</v>
      </c>
      <c r="H92" s="762" t="s">
        <v>69</v>
      </c>
      <c r="I92" s="703">
        <v>2.21</v>
      </c>
      <c r="J92" s="596">
        <v>20.100000000000001</v>
      </c>
      <c r="K92" s="703">
        <f t="shared" si="35"/>
        <v>1.766</v>
      </c>
      <c r="L92" s="1192">
        <v>0.42199999999999999</v>
      </c>
      <c r="M92" s="994">
        <f t="shared" si="46"/>
        <v>0.39700000000000002</v>
      </c>
      <c r="N92" s="1196">
        <f t="shared" ref="N92:N109" si="55">+M92</f>
        <v>0.39700000000000002</v>
      </c>
      <c r="O92" s="645">
        <f t="shared" si="36"/>
        <v>0.39700000000000002</v>
      </c>
      <c r="P92" s="727">
        <v>90</v>
      </c>
      <c r="Q92" s="1476">
        <v>96.45</v>
      </c>
      <c r="R92" s="706">
        <v>4714.75</v>
      </c>
      <c r="S92" s="765">
        <f>IF((_xlfn.XLOOKUP(D92,RUC!$B$3:$B$119,RUC!$E$3:$E$119)+ROUNDDOWN(O92,1)*100)&lt;95,95,((_xlfn.XLOOKUP(D92,RUC!$B$3:$B$119,RUC!$E$3:$E$119)+ROUNDDOWN(O92,1)*100)))</f>
        <v>120</v>
      </c>
      <c r="U92" s="1146">
        <f>_xlfn.XLOOKUP(D92,RUC!$B$3:$B$123,RUC!$F$3:$F$123)</f>
        <v>120</v>
      </c>
      <c r="V92" s="715">
        <v>1.1023000000000001</v>
      </c>
      <c r="Y92">
        <f>_xlfn.XLOOKUP(D92,RUC!$B$3:$B$123,RUC!$G$3:$G$123)</f>
        <v>20</v>
      </c>
      <c r="Z92" s="143">
        <f>_xlfn.XLOOKUP(D92,RUC!$B$3:$B$123,RUC!$H$3:$H$123)</f>
        <v>30</v>
      </c>
      <c r="AA92" s="144">
        <f t="shared" si="37"/>
        <v>50</v>
      </c>
      <c r="AB92" s="145">
        <f t="shared" si="48"/>
        <v>1622.2595121025001</v>
      </c>
      <c r="AC92" s="145">
        <f>+(S92-T92)*V92-'data 1'!$F$4</f>
        <v>52.27600000000001</v>
      </c>
      <c r="AD92" s="145">
        <f t="shared" si="38"/>
        <v>137.85859862557504</v>
      </c>
      <c r="AE92" s="145">
        <f t="shared" si="39"/>
        <v>-14.884999999999998</v>
      </c>
      <c r="AF92" s="145">
        <f t="shared" si="40"/>
        <v>122.12481940406236</v>
      </c>
      <c r="AG92" s="772">
        <f t="shared" si="54"/>
        <v>314.37441802963741</v>
      </c>
      <c r="AH92" s="1253">
        <f t="shared" si="41"/>
        <v>24.643999999999998</v>
      </c>
      <c r="AI92" s="1253">
        <f t="shared" si="42"/>
        <v>25.550999999999998</v>
      </c>
      <c r="AJ92" s="156">
        <f t="shared" si="43"/>
        <v>136.95256258942499</v>
      </c>
      <c r="AK92" s="156">
        <f t="shared" si="44"/>
        <v>21.633798719367991</v>
      </c>
      <c r="AM92" s="716">
        <f t="shared" si="45"/>
        <v>2864.9102983730154</v>
      </c>
      <c r="AN92" s="716" t="str">
        <f>_xlfn.XLOOKUP(D92,RUC!$B$3:$B$578,RUC!$M$3:$M$578)</f>
        <v>Richard Sapacayo</v>
      </c>
      <c r="AO92" s="1167" t="s">
        <v>2278</v>
      </c>
      <c r="AP92" t="s">
        <v>4149</v>
      </c>
      <c r="AQ92" t="s">
        <v>4652</v>
      </c>
    </row>
    <row r="93" spans="1:43" ht="15" customHeight="1">
      <c r="A93" s="747" t="s">
        <v>4635</v>
      </c>
      <c r="B93" s="1447">
        <v>46063</v>
      </c>
      <c r="C93" s="1447">
        <v>46055</v>
      </c>
      <c r="D93" t="s">
        <v>1484</v>
      </c>
      <c r="E93" s="762">
        <f>_xlfn.XLOOKUP(D93,RUC!$B$3:$B$123,RUC!$D$3:$D$123)</f>
        <v>10761932735</v>
      </c>
      <c r="G93" s="762">
        <v>102</v>
      </c>
      <c r="H93" s="762" t="s">
        <v>69</v>
      </c>
      <c r="I93" s="703">
        <v>7.99</v>
      </c>
      <c r="J93" s="596">
        <v>18.78</v>
      </c>
      <c r="K93" s="703">
        <f t="shared" si="35"/>
        <v>6.4889999999999999</v>
      </c>
      <c r="L93" s="1192">
        <v>0.18</v>
      </c>
      <c r="M93" s="994">
        <f t="shared" si="46"/>
        <v>0.161</v>
      </c>
      <c r="N93" s="1196">
        <f t="shared" si="55"/>
        <v>0.161</v>
      </c>
      <c r="O93" s="645">
        <f t="shared" si="36"/>
        <v>0.161</v>
      </c>
      <c r="P93" s="727">
        <v>90</v>
      </c>
      <c r="Q93" s="1476">
        <v>91.67</v>
      </c>
      <c r="R93" s="706">
        <v>4714.75</v>
      </c>
      <c r="S93" s="765">
        <f>IF((_xlfn.XLOOKUP(D93,RUC!$B$3:$B$119,RUC!$E$3:$E$119)+ROUNDDOWN(O93,1)*100)&lt;95,95,((_xlfn.XLOOKUP(D93,RUC!$B$3:$B$119,RUC!$E$3:$E$119)+ROUNDDOWN(O93,1)*100)))</f>
        <v>100</v>
      </c>
      <c r="U93" s="1146">
        <f>_xlfn.XLOOKUP(D93,RUC!$B$3:$B$123,RUC!$F$3:$F$123)</f>
        <v>120</v>
      </c>
      <c r="V93" s="715">
        <v>1.1023000000000001</v>
      </c>
      <c r="Y93">
        <f>_xlfn.XLOOKUP(D93,RUC!$B$3:$B$123,RUC!$G$3:$G$123)</f>
        <v>20</v>
      </c>
      <c r="Z93" s="143">
        <f>_xlfn.XLOOKUP(D93,RUC!$B$3:$B$123,RUC!$H$3:$H$123)</f>
        <v>30</v>
      </c>
      <c r="AA93" s="144">
        <f t="shared" si="37"/>
        <v>50</v>
      </c>
      <c r="AB93" s="145">
        <f t="shared" si="48"/>
        <v>568.54349483250019</v>
      </c>
      <c r="AC93" s="145">
        <f>+(S93-T93)*V93-'data 1'!$F$4</f>
        <v>30.230000000000004</v>
      </c>
      <c r="AD93" s="145">
        <f t="shared" si="38"/>
        <v>15.224767532550018</v>
      </c>
      <c r="AE93" s="145">
        <f t="shared" si="39"/>
        <v>-14.884999999999998</v>
      </c>
      <c r="AF93" s="145">
        <f t="shared" si="40"/>
        <v>88.215017812602454</v>
      </c>
      <c r="AG93" s="772">
        <f t="shared" si="54"/>
        <v>135.78478534515247</v>
      </c>
      <c r="AH93" s="1253">
        <f t="shared" si="41"/>
        <v>36.71</v>
      </c>
      <c r="AI93" s="1253">
        <f t="shared" si="42"/>
        <v>40.045999999999999</v>
      </c>
      <c r="AJ93" s="156">
        <f t="shared" si="43"/>
        <v>55.520736237450002</v>
      </c>
      <c r="AK93" s="156">
        <f t="shared" si="44"/>
        <v>32.237045254879604</v>
      </c>
      <c r="AM93" s="716">
        <f t="shared" si="45"/>
        <v>3689.2787379680935</v>
      </c>
      <c r="AN93" s="716" t="str">
        <f>_xlfn.XLOOKUP(D93,RUC!$B$3:$B$578,RUC!$M$3:$M$578)</f>
        <v>Richard Sapacayo</v>
      </c>
      <c r="AO93" s="1167" t="s">
        <v>2280</v>
      </c>
      <c r="AP93" t="s">
        <v>4149</v>
      </c>
      <c r="AQ93" t="s">
        <v>4652</v>
      </c>
    </row>
    <row r="94" spans="1:43" ht="15" customHeight="1">
      <c r="A94" s="747" t="s">
        <v>4646</v>
      </c>
      <c r="B94" s="1447">
        <v>46070</v>
      </c>
      <c r="C94" s="1447">
        <v>46056</v>
      </c>
      <c r="D94" t="s">
        <v>2444</v>
      </c>
      <c r="E94" s="762">
        <f>_xlfn.XLOOKUP(D94,RUC!$B$3:$B$123,RUC!$D$3:$D$123)</f>
        <v>20608774000</v>
      </c>
      <c r="G94" s="762">
        <v>60</v>
      </c>
      <c r="H94" s="762" t="s">
        <v>69</v>
      </c>
      <c r="I94" s="703">
        <v>4.92</v>
      </c>
      <c r="J94" s="596">
        <v>1.3</v>
      </c>
      <c r="K94" s="703">
        <f t="shared" si="35"/>
        <v>4.8559999999999999</v>
      </c>
      <c r="L94" s="1192">
        <v>0.16200000000000001</v>
      </c>
      <c r="M94" s="994">
        <f t="shared" si="46"/>
        <v>0.14299999999999999</v>
      </c>
      <c r="N94" s="1196">
        <f t="shared" si="55"/>
        <v>0.14299999999999999</v>
      </c>
      <c r="O94" s="645">
        <f t="shared" si="36"/>
        <v>0.14299999999999999</v>
      </c>
      <c r="P94" s="727">
        <v>80</v>
      </c>
      <c r="Q94" s="1476">
        <v>89.94</v>
      </c>
      <c r="R94" s="706">
        <v>4920.95</v>
      </c>
      <c r="S94" s="765">
        <f>IF((_xlfn.XLOOKUP(D94,RUC!$B$3:$B$119,RUC!$E$3:$E$119)+ROUNDDOWN(O94,1)*100)&lt;95,95,((_xlfn.XLOOKUP(D94,RUC!$B$3:$B$119,RUC!$E$3:$E$119)+ROUNDDOWN(O94,1)*100)))</f>
        <v>95</v>
      </c>
      <c r="U94" s="1146">
        <f>_xlfn.XLOOKUP(D94,RUC!$B$3:$B$123,RUC!$F$3:$F$123)</f>
        <v>120</v>
      </c>
      <c r="V94" s="715">
        <v>1.1023000000000001</v>
      </c>
      <c r="Y94" s="1445">
        <v>25</v>
      </c>
      <c r="Z94" s="1454">
        <v>35</v>
      </c>
      <c r="AA94" s="144">
        <f t="shared" si="37"/>
        <v>60</v>
      </c>
      <c r="AB94" s="145">
        <f t="shared" si="48"/>
        <v>434.55827396399997</v>
      </c>
      <c r="AC94" s="145">
        <f>+(S94-T94)*V94-'data 1'!$F$4</f>
        <v>24.718500000000006</v>
      </c>
      <c r="AD94" s="145">
        <f t="shared" si="38"/>
        <v>85.217421522617983</v>
      </c>
      <c r="AE94" s="145">
        <f t="shared" si="39"/>
        <v>-3.8619999999999948</v>
      </c>
      <c r="AF94" s="145">
        <f t="shared" si="40"/>
        <v>90.434361069591063</v>
      </c>
      <c r="AG94" s="772">
        <f t="shared" si="54"/>
        <v>213.50828259220907</v>
      </c>
      <c r="AH94" s="1253">
        <f t="shared" si="41"/>
        <v>24.257999999999999</v>
      </c>
      <c r="AI94" s="1253">
        <f t="shared" si="42"/>
        <v>26.971</v>
      </c>
      <c r="AJ94" s="156">
        <f t="shared" si="43"/>
        <v>15.908241857382031</v>
      </c>
      <c r="AK94" s="156">
        <f t="shared" si="44"/>
        <v>19.046438196019519</v>
      </c>
      <c r="AM94" s="716">
        <f t="shared" si="45"/>
        <v>2110.2149783691839</v>
      </c>
      <c r="AN94" s="716" t="str">
        <f>_xlfn.XLOOKUP(D94,RUC!$B$3:$B$578,RUC!$M$3:$M$578)</f>
        <v>Ronald Miranda</v>
      </c>
      <c r="AO94" s="1167" t="s">
        <v>2280</v>
      </c>
      <c r="AP94" t="s">
        <v>4653</v>
      </c>
      <c r="AQ94" t="s">
        <v>4654</v>
      </c>
    </row>
    <row r="95" spans="1:43" ht="15" customHeight="1">
      <c r="A95" s="747" t="s">
        <v>4647</v>
      </c>
      <c r="B95" s="1447">
        <v>46070</v>
      </c>
      <c r="C95" s="1447">
        <v>46056</v>
      </c>
      <c r="D95" t="s">
        <v>2444</v>
      </c>
      <c r="E95" s="762">
        <f>_xlfn.XLOOKUP(D95,RUC!$B$3:$B$123,RUC!$D$3:$D$123)</f>
        <v>20608774000</v>
      </c>
      <c r="G95" s="762">
        <v>60</v>
      </c>
      <c r="H95" s="762" t="s">
        <v>69</v>
      </c>
      <c r="I95" s="703">
        <v>4.8499999999999996</v>
      </c>
      <c r="J95" s="596">
        <v>1.2</v>
      </c>
      <c r="K95" s="703">
        <f t="shared" si="35"/>
        <v>4.7919999999999998</v>
      </c>
      <c r="L95" s="1192">
        <v>0.20200000000000001</v>
      </c>
      <c r="M95" s="994">
        <v>0.185</v>
      </c>
      <c r="N95" s="1196">
        <f t="shared" si="55"/>
        <v>0.185</v>
      </c>
      <c r="O95" s="645">
        <f t="shared" si="36"/>
        <v>0.185</v>
      </c>
      <c r="P95" s="727">
        <v>85</v>
      </c>
      <c r="Q95" s="1476">
        <v>87.25</v>
      </c>
      <c r="R95" s="706">
        <v>4920.95</v>
      </c>
      <c r="S95" s="765">
        <f>IF((_xlfn.XLOOKUP(D95,RUC!$B$3:$B$119,RUC!$E$3:$E$119)+ROUNDDOWN(O95,1)*100)&lt;95,95,((_xlfn.XLOOKUP(D95,RUC!$B$3:$B$119,RUC!$E$3:$E$119)+ROUNDDOWN(O95,1)*100)))</f>
        <v>95</v>
      </c>
      <c r="U95" s="1146">
        <f>_xlfn.XLOOKUP(D95,RUC!$B$3:$B$123,RUC!$F$3:$F$123)</f>
        <v>120</v>
      </c>
      <c r="V95" s="715">
        <v>1.1023000000000001</v>
      </c>
      <c r="Y95" s="1445">
        <v>25</v>
      </c>
      <c r="Z95" s="1454">
        <v>35</v>
      </c>
      <c r="AA95" s="144">
        <f t="shared" si="37"/>
        <v>60</v>
      </c>
      <c r="AB95" s="145">
        <f t="shared" si="48"/>
        <v>661.32420984125008</v>
      </c>
      <c r="AC95" s="145">
        <f>+(S95-T95)*V95-'data 1'!$F$4</f>
        <v>24.718500000000006</v>
      </c>
      <c r="AD95" s="145">
        <f t="shared" si="38"/>
        <v>24.052536255825004</v>
      </c>
      <c r="AE95" s="145">
        <f t="shared" si="39"/>
        <v>-3.8619999999999948</v>
      </c>
      <c r="AF95" s="145">
        <f t="shared" si="40"/>
        <v>78.494883171512583</v>
      </c>
      <c r="AG95" s="772">
        <f t="shared" si="54"/>
        <v>140.4039194273376</v>
      </c>
      <c r="AH95" s="1253">
        <f t="shared" si="41"/>
        <v>28.956</v>
      </c>
      <c r="AI95" s="1253">
        <f t="shared" si="42"/>
        <v>33.188000000000002</v>
      </c>
      <c r="AJ95" s="156">
        <f t="shared" si="43"/>
        <v>19.242925229675038</v>
      </c>
      <c r="AK95" s="156">
        <f t="shared" si="44"/>
        <v>25.8354798819731</v>
      </c>
      <c r="AM95" s="716">
        <f t="shared" si="45"/>
        <v>3169.0656135592703</v>
      </c>
      <c r="AN95" s="716" t="str">
        <f>_xlfn.XLOOKUP(D95,RUC!$B$3:$B$578,RUC!$M$3:$M$578)</f>
        <v>Ronald Miranda</v>
      </c>
      <c r="AO95" s="1167" t="s">
        <v>2280</v>
      </c>
      <c r="AP95" t="s">
        <v>4653</v>
      </c>
      <c r="AQ95" t="s">
        <v>4654</v>
      </c>
    </row>
    <row r="96" spans="1:43" ht="15" customHeight="1">
      <c r="A96" s="747" t="s">
        <v>4648</v>
      </c>
      <c r="B96" s="1447">
        <v>46070</v>
      </c>
      <c r="C96" s="1447">
        <v>46056</v>
      </c>
      <c r="D96" t="s">
        <v>2444</v>
      </c>
      <c r="E96" s="762">
        <f>_xlfn.XLOOKUP(D96,RUC!$B$3:$B$123,RUC!$D$3:$D$123)</f>
        <v>20608774000</v>
      </c>
      <c r="G96" s="762">
        <v>60</v>
      </c>
      <c r="H96" s="762" t="s">
        <v>69</v>
      </c>
      <c r="I96" s="703">
        <v>4.6900000000000004</v>
      </c>
      <c r="J96" s="596">
        <v>1.2</v>
      </c>
      <c r="K96" s="703">
        <f t="shared" si="35"/>
        <v>4.6340000000000003</v>
      </c>
      <c r="L96" s="1192">
        <v>0.185</v>
      </c>
      <c r="M96" s="994">
        <f t="shared" si="46"/>
        <v>0.16600000000000001</v>
      </c>
      <c r="N96" s="1196">
        <f t="shared" si="55"/>
        <v>0.16600000000000001</v>
      </c>
      <c r="O96" s="645">
        <f t="shared" si="36"/>
        <v>0.16600000000000001</v>
      </c>
      <c r="P96" s="727">
        <v>85</v>
      </c>
      <c r="Q96" s="1476">
        <v>89.44</v>
      </c>
      <c r="R96" s="706">
        <v>4920.95</v>
      </c>
      <c r="S96" s="765">
        <f>IF((_xlfn.XLOOKUP(D96,RUC!$B$3:$B$119,RUC!$E$3:$E$119)+ROUNDDOWN(O96,1)*100)&lt;95,95,((_xlfn.XLOOKUP(D96,RUC!$B$3:$B$119,RUC!$E$3:$E$119)+ROUNDDOWN(O96,1)*100)))</f>
        <v>95</v>
      </c>
      <c r="U96" s="1146">
        <f>_xlfn.XLOOKUP(D96,RUC!$B$3:$B$123,RUC!$F$3:$F$123)</f>
        <v>120</v>
      </c>
      <c r="V96" s="715">
        <v>1.1023000000000001</v>
      </c>
      <c r="Y96" s="1445">
        <v>25</v>
      </c>
      <c r="Z96" s="1454">
        <v>35</v>
      </c>
      <c r="AA96" s="144">
        <f t="shared" si="37"/>
        <v>60</v>
      </c>
      <c r="AB96" s="145">
        <f t="shared" si="48"/>
        <v>575.8570018035</v>
      </c>
      <c r="AC96" s="145">
        <f>+(S96-T96)*V96-'data 1'!$F$4</f>
        <v>24.718500000000006</v>
      </c>
      <c r="AD96" s="145">
        <f t="shared" si="38"/>
        <v>43.469204137589976</v>
      </c>
      <c r="AE96" s="145">
        <f t="shared" si="39"/>
        <v>-3.8619999999999948</v>
      </c>
      <c r="AF96" s="145">
        <f t="shared" si="40"/>
        <v>89.931612787015951</v>
      </c>
      <c r="AG96" s="772">
        <f t="shared" si="54"/>
        <v>171.25731692460593</v>
      </c>
      <c r="AH96" s="1253">
        <f t="shared" si="41"/>
        <v>26.289000000000001</v>
      </c>
      <c r="AI96" s="1253">
        <f t="shared" si="42"/>
        <v>29.393000000000001</v>
      </c>
      <c r="AJ96" s="156">
        <f t="shared" si="43"/>
        <v>18.065825301160036</v>
      </c>
      <c r="AK96" s="156">
        <f t="shared" si="44"/>
        <v>22.417754688364074</v>
      </c>
      <c r="AM96" s="716">
        <f t="shared" si="45"/>
        <v>2668.5213463574191</v>
      </c>
      <c r="AN96" s="716" t="str">
        <f>_xlfn.XLOOKUP(D96,RUC!$B$3:$B$578,RUC!$M$3:$M$578)</f>
        <v>Ronald Miranda</v>
      </c>
      <c r="AO96" s="1167" t="s">
        <v>2280</v>
      </c>
      <c r="AP96" t="s">
        <v>4653</v>
      </c>
      <c r="AQ96" t="s">
        <v>4654</v>
      </c>
    </row>
    <row r="97" spans="1:43" ht="15" customHeight="1">
      <c r="A97" s="747" t="s">
        <v>4649</v>
      </c>
      <c r="B97" s="1447">
        <v>46070</v>
      </c>
      <c r="C97" s="1447">
        <v>46056</v>
      </c>
      <c r="D97" t="s">
        <v>2444</v>
      </c>
      <c r="E97" s="762">
        <f>_xlfn.XLOOKUP(D97,RUC!$B$3:$B$123,RUC!$D$3:$D$123)</f>
        <v>20608774000</v>
      </c>
      <c r="G97" s="762">
        <v>60</v>
      </c>
      <c r="H97" s="762" t="s">
        <v>69</v>
      </c>
      <c r="I97" s="703">
        <v>4.93</v>
      </c>
      <c r="J97" s="596">
        <v>1.2</v>
      </c>
      <c r="K97" s="703">
        <f t="shared" si="35"/>
        <v>4.8710000000000004</v>
      </c>
      <c r="L97" s="1192">
        <v>0.30099999999999999</v>
      </c>
      <c r="M97" s="994">
        <f t="shared" si="46"/>
        <v>0.28299999999999997</v>
      </c>
      <c r="N97" s="1196">
        <f t="shared" si="55"/>
        <v>0.28299999999999997</v>
      </c>
      <c r="O97" s="645">
        <f t="shared" si="36"/>
        <v>0.28299999999999997</v>
      </c>
      <c r="P97" s="727">
        <v>87</v>
      </c>
      <c r="Q97" s="1476">
        <v>87.38</v>
      </c>
      <c r="R97" s="706">
        <v>4920.95</v>
      </c>
      <c r="S97" s="765">
        <f>IF((_xlfn.XLOOKUP(D97,RUC!$B$3:$B$119,RUC!$E$3:$E$119)+ROUNDDOWN(O97,1)*100)&lt;95,95,((_xlfn.XLOOKUP(D97,RUC!$B$3:$B$119,RUC!$E$3:$E$119)+ROUNDDOWN(O97,1)*100)))</f>
        <v>105</v>
      </c>
      <c r="U97" s="1146">
        <f>_xlfn.XLOOKUP(D97,RUC!$B$3:$B$123,RUC!$F$3:$F$123)</f>
        <v>120</v>
      </c>
      <c r="V97" s="715">
        <v>1.1023000000000001</v>
      </c>
      <c r="Y97" s="1445">
        <v>25</v>
      </c>
      <c r="Z97" s="1454">
        <v>35</v>
      </c>
      <c r="AA97" s="144">
        <f t="shared" si="37"/>
        <v>60</v>
      </c>
      <c r="AB97" s="145">
        <f t="shared" si="48"/>
        <v>1121.0852858188498</v>
      </c>
      <c r="AC97" s="145">
        <f>+(S97-T97)*V97-'data 1'!$F$4</f>
        <v>35.741500000000002</v>
      </c>
      <c r="AD97" s="145">
        <f t="shared" si="38"/>
        <v>6.0530893222029274</v>
      </c>
      <c r="AE97" s="145">
        <f t="shared" si="39"/>
        <v>-3.8619999999999948</v>
      </c>
      <c r="AF97" s="145">
        <f t="shared" si="40"/>
        <v>83.236064080554073</v>
      </c>
      <c r="AG97" s="772">
        <f t="shared" si="54"/>
        <v>138.168653402757</v>
      </c>
      <c r="AH97" s="1253">
        <f t="shared" si="41"/>
        <v>43.923999999999999</v>
      </c>
      <c r="AI97" s="1253">
        <f t="shared" si="42"/>
        <v>50.268000000000001</v>
      </c>
      <c r="AJ97" s="156">
        <f t="shared" si="43"/>
        <v>28.716587067847055</v>
      </c>
      <c r="AK97" s="156">
        <f t="shared" si="44"/>
        <v>41.118085663411527</v>
      </c>
      <c r="AM97" s="716">
        <f t="shared" si="45"/>
        <v>5460.8064272236179</v>
      </c>
      <c r="AN97" s="716" t="str">
        <f>_xlfn.XLOOKUP(D97,RUC!$B$3:$B$578,RUC!$M$3:$M$578)</f>
        <v>Ronald Miranda</v>
      </c>
      <c r="AO97" s="1167" t="s">
        <v>2280</v>
      </c>
      <c r="AP97" t="s">
        <v>4653</v>
      </c>
      <c r="AQ97" t="s">
        <v>4654</v>
      </c>
    </row>
    <row r="98" spans="1:43" ht="15" customHeight="1">
      <c r="A98" s="747" t="s">
        <v>4650</v>
      </c>
      <c r="B98" s="1447">
        <v>46070</v>
      </c>
      <c r="C98" s="1447">
        <v>46056</v>
      </c>
      <c r="D98" t="s">
        <v>2444</v>
      </c>
      <c r="E98" s="762">
        <f>_xlfn.XLOOKUP(D98,RUC!$B$3:$B$123,RUC!$D$3:$D$123)</f>
        <v>20608774000</v>
      </c>
      <c r="G98" s="762">
        <v>60</v>
      </c>
      <c r="H98" s="762" t="s">
        <v>69</v>
      </c>
      <c r="I98" s="703">
        <v>4.66</v>
      </c>
      <c r="J98" s="596">
        <v>1.3</v>
      </c>
      <c r="K98" s="703">
        <f t="shared" si="35"/>
        <v>4.5990000000000002</v>
      </c>
      <c r="L98" s="1192">
        <v>0.57899999999999996</v>
      </c>
      <c r="M98" s="994">
        <f t="shared" si="46"/>
        <v>0.54400000000000004</v>
      </c>
      <c r="N98" s="1196">
        <f t="shared" si="55"/>
        <v>0.54400000000000004</v>
      </c>
      <c r="O98" s="645">
        <f t="shared" si="36"/>
        <v>0.54400000000000004</v>
      </c>
      <c r="P98" s="727">
        <v>90</v>
      </c>
      <c r="Q98" s="1476">
        <v>92.92</v>
      </c>
      <c r="R98" s="706">
        <v>4920.95</v>
      </c>
      <c r="S98" s="765">
        <f>IF((_xlfn.XLOOKUP(D98,RUC!$B$3:$B$119,RUC!$E$3:$E$119)+ROUNDDOWN(O98,1)*100)&lt;95,95,((_xlfn.XLOOKUP(D98,RUC!$B$3:$B$119,RUC!$E$3:$E$119)+ROUNDDOWN(O98,1)*100)))</f>
        <v>135</v>
      </c>
      <c r="U98" s="1146">
        <f>_xlfn.XLOOKUP(D98,RUC!$B$3:$B$123,RUC!$F$3:$F$123)</f>
        <v>120</v>
      </c>
      <c r="V98" s="715">
        <v>1.1023000000000001</v>
      </c>
      <c r="Y98" s="1445">
        <v>25</v>
      </c>
      <c r="Z98" s="1454">
        <v>35</v>
      </c>
      <c r="AA98" s="144">
        <f t="shared" si="37"/>
        <v>60</v>
      </c>
      <c r="AB98" s="145">
        <f t="shared" si="48"/>
        <v>2376.057385776</v>
      </c>
      <c r="AC98" s="145">
        <f>+(S98-T98)*V98-'data 1'!$F$4</f>
        <v>68.810500000000019</v>
      </c>
      <c r="AD98" s="145">
        <f t="shared" si="38"/>
        <v>89.47225961935807</v>
      </c>
      <c r="AE98" s="145">
        <f t="shared" si="39"/>
        <v>-3.8619999999999948</v>
      </c>
      <c r="AF98" s="145">
        <f t="shared" si="40"/>
        <v>172.10925943056961</v>
      </c>
      <c r="AG98" s="772">
        <f t="shared" si="54"/>
        <v>343.53001904992772</v>
      </c>
      <c r="AH98" s="1253">
        <f t="shared" si="41"/>
        <v>84.831999999999994</v>
      </c>
      <c r="AI98" s="1253">
        <f t="shared" si="42"/>
        <v>91.296000000000006</v>
      </c>
      <c r="AJ98" s="156">
        <f t="shared" si="43"/>
        <v>58.741096913142101</v>
      </c>
      <c r="AK98" s="156">
        <f t="shared" si="44"/>
        <v>77.199393424698741</v>
      </c>
      <c r="AM98" s="716">
        <f t="shared" si="45"/>
        <v>10927.487917183824</v>
      </c>
      <c r="AN98" s="716" t="str">
        <f>_xlfn.XLOOKUP(D98,RUC!$B$3:$B$578,RUC!$M$3:$M$578)</f>
        <v>Ronald Miranda</v>
      </c>
      <c r="AO98" s="1167" t="s">
        <v>2280</v>
      </c>
      <c r="AP98" t="s">
        <v>4653</v>
      </c>
      <c r="AQ98" t="s">
        <v>4654</v>
      </c>
    </row>
    <row r="99" spans="1:43" ht="15" customHeight="1">
      <c r="A99" s="747" t="s">
        <v>4651</v>
      </c>
      <c r="B99" s="1447">
        <v>46070</v>
      </c>
      <c r="C99" s="1447">
        <v>46056</v>
      </c>
      <c r="D99" t="s">
        <v>2444</v>
      </c>
      <c r="E99" s="762">
        <f>_xlfn.XLOOKUP(D99,RUC!$B$3:$B$123,RUC!$D$3:$D$123)</f>
        <v>20608774000</v>
      </c>
      <c r="G99" s="762">
        <v>60</v>
      </c>
      <c r="H99" s="762" t="s">
        <v>69</v>
      </c>
      <c r="I99" s="703">
        <v>4.76</v>
      </c>
      <c r="J99" s="596">
        <v>1.25</v>
      </c>
      <c r="K99" s="703">
        <f t="shared" si="35"/>
        <v>4.7009999999999996</v>
      </c>
      <c r="L99" s="1192">
        <v>0.214</v>
      </c>
      <c r="M99" s="994">
        <f t="shared" si="46"/>
        <v>0.19500000000000001</v>
      </c>
      <c r="N99" s="1196">
        <f t="shared" si="55"/>
        <v>0.19500000000000001</v>
      </c>
      <c r="O99" s="645">
        <f t="shared" si="36"/>
        <v>0.19500000000000001</v>
      </c>
      <c r="P99" s="727">
        <v>85</v>
      </c>
      <c r="Q99" s="1476">
        <v>88.67</v>
      </c>
      <c r="R99" s="706">
        <v>4920.95</v>
      </c>
      <c r="S99" s="765">
        <f>IF((_xlfn.XLOOKUP(D99,RUC!$B$3:$B$119,RUC!$E$3:$E$119)+ROUNDDOWN(O99,1)*100)&lt;95,95,((_xlfn.XLOOKUP(D99,RUC!$B$3:$B$119,RUC!$E$3:$E$119)+ROUNDDOWN(O99,1)*100)))</f>
        <v>95</v>
      </c>
      <c r="U99" s="1146">
        <f>_xlfn.XLOOKUP(D99,RUC!$B$3:$B$123,RUC!$F$3:$F$123)</f>
        <v>120</v>
      </c>
      <c r="V99" s="715">
        <v>1.1023000000000001</v>
      </c>
      <c r="Y99" s="1445">
        <v>25</v>
      </c>
      <c r="Z99" s="1454">
        <v>35</v>
      </c>
      <c r="AA99" s="144">
        <f t="shared" si="37"/>
        <v>60</v>
      </c>
      <c r="AB99" s="145">
        <f t="shared" si="48"/>
        <v>706.30695091375003</v>
      </c>
      <c r="AC99" s="145">
        <f>+(S99-T99)*V99-'data 1'!$F$4</f>
        <v>24.718500000000006</v>
      </c>
      <c r="AD99" s="145">
        <f t="shared" si="38"/>
        <v>41.562994333553014</v>
      </c>
      <c r="AE99" s="145">
        <f t="shared" si="39"/>
        <v>-3.8619999999999948</v>
      </c>
      <c r="AF99" s="145">
        <f t="shared" si="40"/>
        <v>89.157380431850456</v>
      </c>
      <c r="AG99" s="772">
        <f t="shared" si="54"/>
        <v>168.57687476540349</v>
      </c>
      <c r="AH99" s="1253">
        <f t="shared" si="41"/>
        <v>30.584</v>
      </c>
      <c r="AI99" s="1253">
        <f t="shared" si="42"/>
        <v>34.491999999999997</v>
      </c>
      <c r="AJ99" s="156">
        <f t="shared" si="43"/>
        <v>20.717854040947042</v>
      </c>
      <c r="AK99" s="156">
        <f t="shared" si="44"/>
        <v>26.71485722872054</v>
      </c>
      <c r="AM99" s="716">
        <f t="shared" si="45"/>
        <v>3320.3489762455388</v>
      </c>
      <c r="AN99" s="716" t="str">
        <f>_xlfn.XLOOKUP(D99,RUC!$B$3:$B$578,RUC!$M$3:$M$578)</f>
        <v>Ronald Miranda</v>
      </c>
      <c r="AO99" s="1167" t="s">
        <v>2280</v>
      </c>
      <c r="AP99" t="s">
        <v>4653</v>
      </c>
      <c r="AQ99" t="s">
        <v>4654</v>
      </c>
    </row>
    <row r="100" spans="1:43" ht="15" customHeight="1">
      <c r="A100" s="747" t="s">
        <v>4655</v>
      </c>
      <c r="B100" s="1447">
        <v>46063</v>
      </c>
      <c r="C100" s="1447">
        <v>46057</v>
      </c>
      <c r="D100" t="s">
        <v>2004</v>
      </c>
      <c r="E100" s="762">
        <f>_xlfn.XLOOKUP(D100,RUC!$B$3:$B$123,RUC!$D$3:$D$123)</f>
        <v>20612921866</v>
      </c>
      <c r="G100" s="762">
        <v>50</v>
      </c>
      <c r="H100" s="762" t="s">
        <v>69</v>
      </c>
      <c r="I100" s="703">
        <v>5.38</v>
      </c>
      <c r="J100" s="596">
        <v>1.4</v>
      </c>
      <c r="K100" s="703">
        <f t="shared" si="35"/>
        <v>5.3049999999999997</v>
      </c>
      <c r="L100" s="1192">
        <v>0.191</v>
      </c>
      <c r="M100" s="994">
        <f t="shared" si="46"/>
        <v>0.17199999999999999</v>
      </c>
      <c r="N100" s="1196">
        <f t="shared" si="55"/>
        <v>0.17199999999999999</v>
      </c>
      <c r="O100" s="645">
        <f t="shared" si="36"/>
        <v>0.17199999999999999</v>
      </c>
      <c r="P100" s="727">
        <v>90</v>
      </c>
      <c r="Q100" s="1476">
        <v>94.76</v>
      </c>
      <c r="R100" s="706">
        <v>4985.1000000000004</v>
      </c>
      <c r="S100" s="765">
        <f>IF((_xlfn.XLOOKUP(D100,RUC!$B$3:$B$119,RUC!$E$3:$E$119)+ROUNDDOWN(O100,1)*100)&lt;95,95,((_xlfn.XLOOKUP(D100,RUC!$B$3:$B$119,RUC!$E$3:$E$119)+ROUNDDOWN(O100,1)*100)))</f>
        <v>95</v>
      </c>
      <c r="U100" s="1146">
        <f>_xlfn.XLOOKUP(D100,RUC!$B$3:$B$123,RUC!$F$3:$F$123)</f>
        <v>100</v>
      </c>
      <c r="V100" s="715">
        <v>1.1023000000000001</v>
      </c>
      <c r="Y100">
        <f>_xlfn.XLOOKUP(D100,RUC!$B$3:$B$123,RUC!$G$3:$G$123)</f>
        <v>0</v>
      </c>
      <c r="Z100" s="143">
        <f>_xlfn.XLOOKUP(D100,RUC!$B$3:$B$123,RUC!$H$3:$H$123)</f>
        <v>30</v>
      </c>
      <c r="AA100" s="144">
        <f t="shared" si="37"/>
        <v>30</v>
      </c>
      <c r="AB100" s="145">
        <f t="shared" si="48"/>
        <v>695.78661900400004</v>
      </c>
      <c r="AC100" s="145">
        <f>+(S100-T100)*V100-'data 1'!$F$4</f>
        <v>24.718500000000006</v>
      </c>
      <c r="AD100" s="145">
        <f t="shared" si="38"/>
        <v>48.956863438868055</v>
      </c>
      <c r="AE100" s="145">
        <f t="shared" si="39"/>
        <v>-36.930999999999997</v>
      </c>
      <c r="AF100" s="145">
        <f t="shared" si="40"/>
        <v>96.950916461212088</v>
      </c>
      <c r="AG100" s="772">
        <f>AC100+AD100+AE100+AF100+70-10</f>
        <v>193.69527990008015</v>
      </c>
      <c r="AH100" s="1253">
        <f t="shared" si="41"/>
        <v>32.918999999999997</v>
      </c>
      <c r="AI100" s="1253">
        <f t="shared" si="42"/>
        <v>34.74</v>
      </c>
      <c r="AJ100" s="156">
        <f t="shared" si="43"/>
        <v>2.9726549061319281</v>
      </c>
      <c r="AK100" s="156">
        <f t="shared" si="44"/>
        <v>28.155640662092697</v>
      </c>
      <c r="AM100" s="716">
        <f t="shared" si="45"/>
        <v>3691.1480138162201</v>
      </c>
      <c r="AN100" s="716" t="str">
        <f>_xlfn.XLOOKUP(D100,RUC!$B$3:$B$578,RUC!$M$3:$M$578)</f>
        <v>Ronald Garibay</v>
      </c>
      <c r="AO100" s="1167" t="s">
        <v>2278</v>
      </c>
      <c r="AP100" t="s">
        <v>4685</v>
      </c>
      <c r="AQ100" t="s">
        <v>4686</v>
      </c>
    </row>
    <row r="101" spans="1:43" ht="15" customHeight="1">
      <c r="A101" s="747" t="s">
        <v>4656</v>
      </c>
      <c r="B101" s="1447">
        <v>46063</v>
      </c>
      <c r="C101" s="1447">
        <v>46057</v>
      </c>
      <c r="D101" t="s">
        <v>2004</v>
      </c>
      <c r="E101" s="762">
        <f>_xlfn.XLOOKUP(D101,RUC!$B$3:$B$123,RUC!$D$3:$D$123)</f>
        <v>20612921866</v>
      </c>
      <c r="G101" s="762">
        <v>50</v>
      </c>
      <c r="H101" s="762" t="s">
        <v>69</v>
      </c>
      <c r="I101" s="703">
        <v>5.0199999999999996</v>
      </c>
      <c r="J101" s="596">
        <v>1.65</v>
      </c>
      <c r="K101" s="703">
        <f t="shared" si="35"/>
        <v>4.9370000000000003</v>
      </c>
      <c r="L101" s="1192">
        <v>0.153</v>
      </c>
      <c r="M101" s="994">
        <f t="shared" si="46"/>
        <v>0.13400000000000001</v>
      </c>
      <c r="N101" s="1196">
        <f t="shared" si="55"/>
        <v>0.13400000000000001</v>
      </c>
      <c r="O101" s="645">
        <f t="shared" si="36"/>
        <v>0.13400000000000001</v>
      </c>
      <c r="P101" s="727">
        <v>90</v>
      </c>
      <c r="Q101" s="1476">
        <v>98.04</v>
      </c>
      <c r="R101" s="706">
        <v>4985.1000000000004</v>
      </c>
      <c r="S101" s="765">
        <f>IF((_xlfn.XLOOKUP(D101,RUC!$B$3:$B$119,RUC!$E$3:$E$119)+ROUNDDOWN(O101,1)*100)&lt;95,95,((_xlfn.XLOOKUP(D101,RUC!$B$3:$B$119,RUC!$E$3:$E$119)+ROUNDDOWN(O101,1)*100)))</f>
        <v>95</v>
      </c>
      <c r="U101" s="1146">
        <f>_xlfn.XLOOKUP(D101,RUC!$B$3:$B$123,RUC!$F$3:$F$123)</f>
        <v>100</v>
      </c>
      <c r="V101" s="715">
        <v>1.1023000000000001</v>
      </c>
      <c r="Y101">
        <f>_xlfn.XLOOKUP(D101,RUC!$B$3:$B$123,RUC!$G$3:$G$123)</f>
        <v>0</v>
      </c>
      <c r="Z101" s="143">
        <f>_xlfn.XLOOKUP(D101,RUC!$B$3:$B$123,RUC!$H$3:$H$123)</f>
        <v>30</v>
      </c>
      <c r="AA101" s="144">
        <f t="shared" si="37"/>
        <v>30</v>
      </c>
      <c r="AB101" s="145">
        <f t="shared" si="48"/>
        <v>511.62489503800003</v>
      </c>
      <c r="AC101" s="145">
        <f>+(S101-T101)*V101-'data 1'!$F$4</f>
        <v>24.718500000000006</v>
      </c>
      <c r="AD101" s="145">
        <f t="shared" si="38"/>
        <v>66.24006429387606</v>
      </c>
      <c r="AE101" s="145">
        <f t="shared" si="39"/>
        <v>-36.930999999999997</v>
      </c>
      <c r="AF101" s="145">
        <f t="shared" si="40"/>
        <v>100.30675232014795</v>
      </c>
      <c r="AG101" s="772">
        <f>AC101+AD101+AE101+AF101+70-10</f>
        <v>214.33431661402403</v>
      </c>
      <c r="AH101" s="1253">
        <f t="shared" si="41"/>
        <v>25.39</v>
      </c>
      <c r="AI101" s="1253">
        <f t="shared" si="42"/>
        <v>25.898</v>
      </c>
      <c r="AJ101" s="156">
        <f t="shared" si="43"/>
        <v>2.4636602091239399</v>
      </c>
      <c r="AK101" s="156">
        <f t="shared" si="44"/>
        <v>20.413595472823712</v>
      </c>
      <c r="AM101" s="716">
        <f t="shared" si="45"/>
        <v>2525.8921068026061</v>
      </c>
      <c r="AN101" s="716" t="str">
        <f>_xlfn.XLOOKUP(D101,RUC!$B$3:$B$578,RUC!$M$3:$M$578)</f>
        <v>Ronald Garibay</v>
      </c>
      <c r="AO101" s="1167" t="s">
        <v>2279</v>
      </c>
      <c r="AP101" t="s">
        <v>4685</v>
      </c>
      <c r="AQ101" t="s">
        <v>4686</v>
      </c>
    </row>
    <row r="102" spans="1:43" ht="15" customHeight="1">
      <c r="A102" s="747" t="s">
        <v>4662</v>
      </c>
      <c r="B102" s="1447">
        <v>46066</v>
      </c>
      <c r="C102" s="1447">
        <v>46058</v>
      </c>
      <c r="D102" t="s">
        <v>93</v>
      </c>
      <c r="E102" s="762">
        <f>_xlfn.XLOOKUP(D102,RUC!$B$3:$B$123,RUC!$D$3:$D$123)</f>
        <v>20169040231</v>
      </c>
      <c r="G102" s="762">
        <v>54</v>
      </c>
      <c r="H102" s="762" t="s">
        <v>69</v>
      </c>
      <c r="I102" s="703">
        <v>4.66</v>
      </c>
      <c r="J102" s="596">
        <v>2.0499999999999998</v>
      </c>
      <c r="K102" s="703">
        <f t="shared" ref="K102:K133" si="56">ROUND(+I102-(I102*(J102/100)),3)</f>
        <v>4.5640000000000001</v>
      </c>
      <c r="L102" s="1192">
        <v>0.27</v>
      </c>
      <c r="M102" s="994">
        <f t="shared" si="46"/>
        <v>0.251</v>
      </c>
      <c r="N102" s="1196">
        <f t="shared" si="55"/>
        <v>0.251</v>
      </c>
      <c r="O102" s="645">
        <f t="shared" ref="O102:O133" si="57">+ROUND((M102+N102)/2,3)</f>
        <v>0.251</v>
      </c>
      <c r="P102" s="727">
        <v>85</v>
      </c>
      <c r="Q102" s="1476">
        <v>85.56</v>
      </c>
      <c r="R102" s="706">
        <v>4847.25</v>
      </c>
      <c r="S102" s="765">
        <f>IF((_xlfn.XLOOKUP(D102,RUC!$B$3:$B$119,RUC!$E$3:$E$119)+ROUNDDOWN(O102,1)*100)&lt;95,95,((_xlfn.XLOOKUP(D102,RUC!$B$3:$B$119,RUC!$E$3:$E$119)+ROUNDDOWN(O102,1)*100)))</f>
        <v>105</v>
      </c>
      <c r="U102" s="1146">
        <f>_xlfn.XLOOKUP(D102,RUC!$B$3:$B$123,RUC!$F$3:$F$123)</f>
        <v>120</v>
      </c>
      <c r="V102" s="715">
        <v>1.1023000000000001</v>
      </c>
      <c r="Y102" s="1445">
        <v>25</v>
      </c>
      <c r="Z102" s="1454">
        <v>35</v>
      </c>
      <c r="AA102" s="144">
        <f t="shared" ref="AA102:AA133" si="58">+Y102+Z102</f>
        <v>60</v>
      </c>
      <c r="AB102" s="145">
        <f t="shared" si="48"/>
        <v>929.85485146125006</v>
      </c>
      <c r="AC102" s="145">
        <f>+(S102-T102)*V102-'data 1'!$F$4</f>
        <v>35.741500000000002</v>
      </c>
      <c r="AD102" s="145">
        <f t="shared" ref="AD102:AD133" si="59">+(Q102-P102)*(R102-U102)*L102*V102/100</f>
        <v>7.8788016846000319</v>
      </c>
      <c r="AE102" s="145">
        <f t="shared" ref="AE102:AE133" si="60">+(Y102*V102-70)+V102*(Z102-IF(D102="UNTUCA",IF(+((W102-3)*2.5+(X102-3)*3.1)&gt;0,+((W102-3)*1.5+(X102-3)*3.1),0),IF(+((W102-3)*1.5+(X102-3)*3.1)&gt;0,+((W102-3)*1.5+(X102-3)*3.1),0)))</f>
        <v>-3.8619999999999948</v>
      </c>
      <c r="AF102" s="145">
        <f t="shared" ref="AF102:AF133" si="61">(L102-O102)*(R102-U102)*Q102*V102/100</f>
        <v>84.709624143870073</v>
      </c>
      <c r="AG102" s="772">
        <f t="shared" ref="AG102:AG106" si="62">AC102+AD102+AE102+AF102+70-53</f>
        <v>141.46792582847013</v>
      </c>
      <c r="AH102" s="1253">
        <f t="shared" ref="AH102:AH133" si="63">ROUND((31.1035*L102*Q102*1.1023*K102/100),3)</f>
        <v>36.148000000000003</v>
      </c>
      <c r="AI102" s="1253">
        <f t="shared" ref="AI102:AI133" si="64">ROUND((31.1035*L102*1.1023*K102),3)</f>
        <v>42.249000000000002</v>
      </c>
      <c r="AJ102" s="156">
        <f t="shared" ref="AJ102:AJ133" si="65">+((+$AJ$2-R102+U102)*L102*Q102*V102)/100</f>
        <v>43.989842142900009</v>
      </c>
      <c r="AK102" s="156">
        <f t="shared" ref="AK102:AK133" si="66">31.1035*1.1023*K102*P102*O102/100</f>
        <v>33.384690334693673</v>
      </c>
      <c r="AM102" s="716">
        <f t="shared" ref="AM102:AM133" si="67">+IF(AB102*K102&gt;0,AB102*K102,0)</f>
        <v>4243.857542069145</v>
      </c>
      <c r="AN102" s="716" t="str">
        <f>_xlfn.XLOOKUP(D102,RUC!$B$3:$B$578,RUC!$M$3:$M$578)</f>
        <v>Ronald Miranda</v>
      </c>
      <c r="AO102" s="1167" t="s">
        <v>2279</v>
      </c>
      <c r="AP102" t="s">
        <v>4689</v>
      </c>
      <c r="AQ102" t="s">
        <v>4690</v>
      </c>
    </row>
    <row r="103" spans="1:43" ht="15" customHeight="1">
      <c r="A103" s="747" t="s">
        <v>4663</v>
      </c>
      <c r="B103" s="1447">
        <v>46066</v>
      </c>
      <c r="C103" s="1447">
        <v>46058</v>
      </c>
      <c r="D103" t="s">
        <v>93</v>
      </c>
      <c r="E103" s="762">
        <f>_xlfn.XLOOKUP(D103,RUC!$B$3:$B$123,RUC!$D$3:$D$123)</f>
        <v>20169040231</v>
      </c>
      <c r="G103" s="762">
        <v>62</v>
      </c>
      <c r="H103" s="762" t="s">
        <v>69</v>
      </c>
      <c r="I103" s="703">
        <v>5.34</v>
      </c>
      <c r="J103" s="596">
        <v>2</v>
      </c>
      <c r="K103" s="703">
        <f t="shared" si="56"/>
        <v>5.2329999999999997</v>
      </c>
      <c r="L103" s="1192">
        <v>0.17499999999999999</v>
      </c>
      <c r="M103" s="994">
        <f t="shared" si="46"/>
        <v>0.156</v>
      </c>
      <c r="N103" s="1196">
        <f t="shared" si="55"/>
        <v>0.156</v>
      </c>
      <c r="O103" s="645">
        <f t="shared" si="57"/>
        <v>0.156</v>
      </c>
      <c r="P103" s="727">
        <v>85</v>
      </c>
      <c r="Q103" s="1476">
        <v>93.14</v>
      </c>
      <c r="R103" s="706">
        <v>4847.25</v>
      </c>
      <c r="S103" s="765">
        <f>IF((_xlfn.XLOOKUP(D103,RUC!$B$3:$B$119,RUC!$E$3:$E$119)+ROUNDDOWN(O103,1)*100)&lt;95,95,((_xlfn.XLOOKUP(D103,RUC!$B$3:$B$119,RUC!$E$3:$E$119)+ROUNDDOWN(O103,1)*100)))</f>
        <v>95</v>
      </c>
      <c r="U103" s="1146">
        <f>_xlfn.XLOOKUP(D103,RUC!$B$3:$B$123,RUC!$F$3:$F$123)</f>
        <v>120</v>
      </c>
      <c r="V103" s="715">
        <v>1.1023000000000001</v>
      </c>
      <c r="Y103" s="1445">
        <v>25</v>
      </c>
      <c r="Z103" s="1454">
        <v>35</v>
      </c>
      <c r="AA103" s="144">
        <f t="shared" si="58"/>
        <v>60</v>
      </c>
      <c r="AB103" s="145">
        <f t="shared" si="48"/>
        <v>520.10190170500005</v>
      </c>
      <c r="AC103" s="145">
        <f>+(S103-T103)*V103-'data 1'!$F$4</f>
        <v>24.718500000000006</v>
      </c>
      <c r="AD103" s="145">
        <f t="shared" si="59"/>
        <v>74.228525130375004</v>
      </c>
      <c r="AE103" s="145">
        <f t="shared" si="60"/>
        <v>-3.8619999999999948</v>
      </c>
      <c r="AF103" s="145">
        <f t="shared" si="61"/>
        <v>92.214286965404952</v>
      </c>
      <c r="AG103" s="772">
        <f t="shared" si="62"/>
        <v>204.29931209577995</v>
      </c>
      <c r="AH103" s="1253">
        <f t="shared" si="63"/>
        <v>29.244</v>
      </c>
      <c r="AI103" s="1253">
        <f t="shared" si="64"/>
        <v>31.398</v>
      </c>
      <c r="AJ103" s="156">
        <f t="shared" si="65"/>
        <v>31.037886863375</v>
      </c>
      <c r="AK103" s="156">
        <f t="shared" si="66"/>
        <v>23.79048676926519</v>
      </c>
      <c r="AM103" s="716">
        <f t="shared" si="67"/>
        <v>2721.6932516222651</v>
      </c>
      <c r="AN103" s="716" t="str">
        <f>_xlfn.XLOOKUP(D103,RUC!$B$3:$B$578,RUC!$M$3:$M$578)</f>
        <v>Ronald Miranda</v>
      </c>
      <c r="AO103" s="1167" t="s">
        <v>2279</v>
      </c>
      <c r="AP103" t="s">
        <v>4689</v>
      </c>
      <c r="AQ103" t="s">
        <v>4690</v>
      </c>
    </row>
    <row r="104" spans="1:43" ht="15" customHeight="1">
      <c r="A104" s="747" t="s">
        <v>4664</v>
      </c>
      <c r="B104" s="1447">
        <v>46066</v>
      </c>
      <c r="C104" s="1447">
        <v>46058</v>
      </c>
      <c r="D104" t="s">
        <v>93</v>
      </c>
      <c r="E104" s="762">
        <f>_xlfn.XLOOKUP(D104,RUC!$B$3:$B$123,RUC!$D$3:$D$123)</f>
        <v>20169040231</v>
      </c>
      <c r="G104" s="762">
        <v>62</v>
      </c>
      <c r="H104" s="762" t="s">
        <v>69</v>
      </c>
      <c r="I104" s="703">
        <v>5.48</v>
      </c>
      <c r="J104" s="596">
        <v>2.04</v>
      </c>
      <c r="K104" s="703">
        <f t="shared" si="56"/>
        <v>5.3680000000000003</v>
      </c>
      <c r="L104" s="1192">
        <v>0.161</v>
      </c>
      <c r="M104" s="994">
        <f t="shared" ref="M104:M123" si="68">ROUND(+IF(AN104="Melchor Vera",IF(L104&gt;0.467,L104*0.985,(L104-0.007)),IF(L104&gt;0.3,L104*0.94,(L104-0.019))),3)</f>
        <v>0.14199999999999999</v>
      </c>
      <c r="N104" s="1196">
        <f t="shared" si="55"/>
        <v>0.14199999999999999</v>
      </c>
      <c r="O104" s="645">
        <f t="shared" si="57"/>
        <v>0.14199999999999999</v>
      </c>
      <c r="P104" s="727">
        <v>80</v>
      </c>
      <c r="Q104" s="1476">
        <v>97.52</v>
      </c>
      <c r="R104" s="706">
        <v>4847.25</v>
      </c>
      <c r="S104" s="765">
        <f>IF((_xlfn.XLOOKUP(D104,RUC!$B$3:$B$119,RUC!$E$3:$E$119)+ROUNDDOWN(O104,1)*100)&lt;95,95,((_xlfn.XLOOKUP(D104,RUC!$B$3:$B$119,RUC!$E$3:$E$119)+ROUNDDOWN(O104,1)*100)))</f>
        <v>95</v>
      </c>
      <c r="U104" s="1146">
        <f>_xlfn.XLOOKUP(D104,RUC!$B$3:$B$123,RUC!$F$3:$F$123)</f>
        <v>120</v>
      </c>
      <c r="V104" s="715">
        <v>1.1023000000000001</v>
      </c>
      <c r="Y104" s="1445">
        <v>25</v>
      </c>
      <c r="Z104" s="1454">
        <v>35</v>
      </c>
      <c r="AA104" s="144">
        <f t="shared" si="58"/>
        <v>60</v>
      </c>
      <c r="AB104" s="145">
        <f t="shared" si="48"/>
        <v>421.09579587999997</v>
      </c>
      <c r="AC104" s="145">
        <f>+(S104-T104)*V104-'data 1'!$F$4</f>
        <v>24.718500000000006</v>
      </c>
      <c r="AD104" s="145">
        <f t="shared" si="59"/>
        <v>146.98342253825999</v>
      </c>
      <c r="AE104" s="145">
        <f t="shared" si="60"/>
        <v>-3.8619999999999948</v>
      </c>
      <c r="AF104" s="145">
        <f t="shared" si="61"/>
        <v>96.5507544005401</v>
      </c>
      <c r="AG104" s="772">
        <f t="shared" si="62"/>
        <v>281.39067693880008</v>
      </c>
      <c r="AH104" s="1253">
        <f t="shared" si="63"/>
        <v>28.896000000000001</v>
      </c>
      <c r="AI104" s="1253">
        <f t="shared" si="64"/>
        <v>29.631</v>
      </c>
      <c r="AJ104" s="156">
        <f t="shared" si="65"/>
        <v>29.897676065740001</v>
      </c>
      <c r="AK104" s="156">
        <f t="shared" si="66"/>
        <v>20.907394202752638</v>
      </c>
      <c r="AM104" s="716">
        <f t="shared" si="67"/>
        <v>2260.44223228384</v>
      </c>
      <c r="AN104" s="716" t="str">
        <f>_xlfn.XLOOKUP(D104,RUC!$B$3:$B$578,RUC!$M$3:$M$578)</f>
        <v>Ronald Miranda</v>
      </c>
      <c r="AO104" s="1167" t="s">
        <v>2279</v>
      </c>
      <c r="AP104" t="s">
        <v>4689</v>
      </c>
      <c r="AQ104" t="s">
        <v>4690</v>
      </c>
    </row>
    <row r="105" spans="1:43" ht="15" customHeight="1">
      <c r="A105" s="747" t="s">
        <v>4665</v>
      </c>
      <c r="B105" s="1447">
        <v>46066</v>
      </c>
      <c r="C105" s="1447">
        <v>46058</v>
      </c>
      <c r="D105" t="s">
        <v>93</v>
      </c>
      <c r="E105" s="762">
        <f>_xlfn.XLOOKUP(D105,RUC!$B$3:$B$123,RUC!$D$3:$D$123)</f>
        <v>20169040231</v>
      </c>
      <c r="G105" s="762">
        <v>20</v>
      </c>
      <c r="H105" s="762" t="s">
        <v>69</v>
      </c>
      <c r="I105" s="703">
        <v>1.76</v>
      </c>
      <c r="J105" s="596">
        <v>2</v>
      </c>
      <c r="K105" s="703">
        <f t="shared" si="56"/>
        <v>1.7250000000000001</v>
      </c>
      <c r="L105" s="1192">
        <v>0.19800000000000001</v>
      </c>
      <c r="M105" s="994">
        <f t="shared" si="68"/>
        <v>0.17899999999999999</v>
      </c>
      <c r="N105" s="1196">
        <f t="shared" si="55"/>
        <v>0.17899999999999999</v>
      </c>
      <c r="O105" s="645">
        <f t="shared" si="57"/>
        <v>0.17899999999999999</v>
      </c>
      <c r="P105" s="727">
        <v>82</v>
      </c>
      <c r="Q105" s="1476">
        <v>82.83</v>
      </c>
      <c r="R105" s="706">
        <v>4847.25</v>
      </c>
      <c r="S105" s="765">
        <f>IF((_xlfn.XLOOKUP(D105,RUC!$B$3:$B$119,RUC!$E$3:$E$119)+ROUNDDOWN(O105,1)*100)&lt;95,95,((_xlfn.XLOOKUP(D105,RUC!$B$3:$B$119,RUC!$E$3:$E$119)+ROUNDDOWN(O105,1)*100)))</f>
        <v>95</v>
      </c>
      <c r="U105" s="1146">
        <f>_xlfn.XLOOKUP(D105,RUC!$B$3:$B$123,RUC!$F$3:$F$123)</f>
        <v>120</v>
      </c>
      <c r="V105" s="715">
        <v>1.1023000000000001</v>
      </c>
      <c r="Y105" s="1445">
        <v>25</v>
      </c>
      <c r="Z105" s="1454">
        <v>35</v>
      </c>
      <c r="AA105" s="144">
        <f t="shared" si="58"/>
        <v>60</v>
      </c>
      <c r="AB105" s="145">
        <f t="shared" si="48"/>
        <v>593.99172173649993</v>
      </c>
      <c r="AC105" s="145">
        <f>+(S105-T105)*V105-'data 1'!$F$4</f>
        <v>24.718500000000006</v>
      </c>
      <c r="AD105" s="145">
        <f t="shared" si="59"/>
        <v>8.5635070690949835</v>
      </c>
      <c r="AE105" s="145">
        <f t="shared" si="60"/>
        <v>-3.8619999999999948</v>
      </c>
      <c r="AF105" s="145">
        <f t="shared" si="61"/>
        <v>82.006757454847573</v>
      </c>
      <c r="AG105" s="772">
        <f t="shared" si="62"/>
        <v>128.42676452394255</v>
      </c>
      <c r="AH105" s="1253">
        <f t="shared" si="63"/>
        <v>9.6999999999999993</v>
      </c>
      <c r="AI105" s="1253">
        <f t="shared" si="64"/>
        <v>11.71</v>
      </c>
      <c r="AJ105" s="156">
        <f t="shared" si="65"/>
        <v>31.229908735904999</v>
      </c>
      <c r="AK105" s="156">
        <f t="shared" si="66"/>
        <v>8.6809059700137752</v>
      </c>
      <c r="AM105" s="716">
        <f t="shared" si="67"/>
        <v>1024.6357199954625</v>
      </c>
      <c r="AN105" s="716" t="str">
        <f>_xlfn.XLOOKUP(D105,RUC!$B$3:$B$578,RUC!$M$3:$M$578)</f>
        <v>Ronald Miranda</v>
      </c>
      <c r="AO105" s="1167" t="s">
        <v>2279</v>
      </c>
      <c r="AP105" t="s">
        <v>4689</v>
      </c>
      <c r="AQ105" t="s">
        <v>4690</v>
      </c>
    </row>
    <row r="106" spans="1:43" ht="15" customHeight="1">
      <c r="A106" s="747" t="s">
        <v>4666</v>
      </c>
      <c r="B106" s="1447">
        <v>46066</v>
      </c>
      <c r="C106" s="1447">
        <v>46058</v>
      </c>
      <c r="D106" t="s">
        <v>93</v>
      </c>
      <c r="E106" s="762">
        <f>_xlfn.XLOOKUP(D106,RUC!$B$3:$B$123,RUC!$D$3:$D$123)</f>
        <v>20169040231</v>
      </c>
      <c r="G106" s="762">
        <v>27</v>
      </c>
      <c r="H106" s="762" t="s">
        <v>69</v>
      </c>
      <c r="I106" s="703">
        <v>2.42</v>
      </c>
      <c r="J106" s="596">
        <v>2</v>
      </c>
      <c r="K106" s="703">
        <f t="shared" si="56"/>
        <v>2.3719999999999999</v>
      </c>
      <c r="L106" s="1192">
        <v>0.22800000000000001</v>
      </c>
      <c r="M106" s="994">
        <f t="shared" si="68"/>
        <v>0.20899999999999999</v>
      </c>
      <c r="N106" s="1196">
        <f t="shared" si="55"/>
        <v>0.20899999999999999</v>
      </c>
      <c r="O106" s="645">
        <f t="shared" si="57"/>
        <v>0.20899999999999999</v>
      </c>
      <c r="P106" s="727">
        <v>90</v>
      </c>
      <c r="Q106" s="1476">
        <v>99.56</v>
      </c>
      <c r="R106" s="706">
        <v>4847.25</v>
      </c>
      <c r="S106" s="765">
        <f>IF((_xlfn.XLOOKUP(D106,RUC!$B$3:$B$119,RUC!$E$3:$E$119)+ROUNDDOWN(O106,1)*100)&lt;95,95,((_xlfn.XLOOKUP(D106,RUC!$B$3:$B$119,RUC!$E$3:$E$119)+ROUNDDOWN(O106,1)*100)))</f>
        <v>105</v>
      </c>
      <c r="U106" s="1146">
        <f>_xlfn.XLOOKUP(D106,RUC!$B$3:$B$123,RUC!$F$3:$F$123)</f>
        <v>120</v>
      </c>
      <c r="V106" s="715">
        <v>1.1023000000000001</v>
      </c>
      <c r="Y106" s="1445">
        <v>25</v>
      </c>
      <c r="Z106" s="1454">
        <v>35</v>
      </c>
      <c r="AA106" s="144">
        <f t="shared" si="58"/>
        <v>60</v>
      </c>
      <c r="AB106" s="145">
        <f t="shared" si="48"/>
        <v>798.28094766749996</v>
      </c>
      <c r="AC106" s="145">
        <f>+(S106-T106)*V106-'data 1'!$F$4</f>
        <v>35.741500000000002</v>
      </c>
      <c r="AD106" s="145">
        <f t="shared" si="59"/>
        <v>113.57980460244002</v>
      </c>
      <c r="AE106" s="145">
        <f t="shared" si="60"/>
        <v>-3.8619999999999948</v>
      </c>
      <c r="AF106" s="145">
        <f t="shared" si="61"/>
        <v>98.570478959370078</v>
      </c>
      <c r="AG106" s="772">
        <f t="shared" si="62"/>
        <v>261.02978356181012</v>
      </c>
      <c r="AH106" s="1253">
        <f t="shared" si="63"/>
        <v>18.460999999999999</v>
      </c>
      <c r="AI106" s="1253">
        <f t="shared" si="64"/>
        <v>18.542000000000002</v>
      </c>
      <c r="AJ106" s="156">
        <f t="shared" si="65"/>
        <v>43.225258423560007</v>
      </c>
      <c r="AK106" s="156">
        <f t="shared" si="66"/>
        <v>15.297221299510259</v>
      </c>
      <c r="AM106" s="716">
        <f t="shared" si="67"/>
        <v>1893.5224078673098</v>
      </c>
      <c r="AN106" s="716" t="str">
        <f>_xlfn.XLOOKUP(D106,RUC!$B$3:$B$578,RUC!$M$3:$M$578)</f>
        <v>Ronald Miranda</v>
      </c>
      <c r="AO106" s="1167" t="s">
        <v>2279</v>
      </c>
      <c r="AP106" t="s">
        <v>4689</v>
      </c>
      <c r="AQ106" t="s">
        <v>4690</v>
      </c>
    </row>
    <row r="107" spans="1:43" ht="15" customHeight="1">
      <c r="A107" s="747" t="s">
        <v>4671</v>
      </c>
      <c r="B107" s="1447">
        <v>46063</v>
      </c>
      <c r="C107" s="1447">
        <v>46059</v>
      </c>
      <c r="D107" t="s">
        <v>4722</v>
      </c>
      <c r="E107" s="762" t="str">
        <f>_xlfn.XLOOKUP(D107,RUC!$B$3:$B$123,RUC!$D$3:$D$123)</f>
        <v>20610807004*</v>
      </c>
      <c r="G107" s="762">
        <v>298</v>
      </c>
      <c r="H107" s="762" t="s">
        <v>108</v>
      </c>
      <c r="I107" s="703">
        <v>9.4</v>
      </c>
      <c r="J107" s="596">
        <v>16.75</v>
      </c>
      <c r="K107" s="703">
        <f t="shared" si="56"/>
        <v>7.8259999999999996</v>
      </c>
      <c r="L107" s="1192">
        <v>0.39</v>
      </c>
      <c r="M107" s="994">
        <f t="shared" si="68"/>
        <v>0.36699999999999999</v>
      </c>
      <c r="N107" s="1444">
        <v>0.41</v>
      </c>
      <c r="O107" s="645">
        <f t="shared" si="57"/>
        <v>0.38900000000000001</v>
      </c>
      <c r="P107" s="727">
        <v>86</v>
      </c>
      <c r="Q107" s="1476">
        <v>86.41</v>
      </c>
      <c r="R107" s="706">
        <v>4948</v>
      </c>
      <c r="S107" s="765">
        <f>IF((_xlfn.XLOOKUP(D107,RUC!$B$3:$B$119,RUC!$E$3:$E$119)+ROUNDDOWN(O107,1)*100)&lt;95,95,((_xlfn.XLOOKUP(D107,RUC!$B$3:$B$119,RUC!$E$3:$E$119)+ROUNDDOWN(O107,1)*100)))</f>
        <v>115</v>
      </c>
      <c r="U107" s="1146">
        <f>_xlfn.XLOOKUP(D107,RUC!$B$3:$B$123,RUC!$F$3:$F$123)</f>
        <v>120</v>
      </c>
      <c r="V107" s="715">
        <v>1.1023000000000001</v>
      </c>
      <c r="Y107" s="1445">
        <v>30</v>
      </c>
      <c r="Z107" s="1454">
        <v>40</v>
      </c>
      <c r="AA107" s="144">
        <f t="shared" si="58"/>
        <v>70</v>
      </c>
      <c r="AB107" s="145">
        <f t="shared" si="48"/>
        <v>1576.4643979760001</v>
      </c>
      <c r="AC107" s="145">
        <f>+(S107-T107)*V107-'data 1'!$F$4</f>
        <v>46.764500000000012</v>
      </c>
      <c r="AD107" s="145">
        <f t="shared" si="59"/>
        <v>8.5097251355999308</v>
      </c>
      <c r="AE107" s="145">
        <f t="shared" si="60"/>
        <v>7.1610000000000014</v>
      </c>
      <c r="AF107" s="145">
        <f t="shared" si="61"/>
        <v>4.5986575920400048</v>
      </c>
      <c r="AG107" s="772">
        <f>AC107+AD107+AE107+AF107+70-53</f>
        <v>84.033882727639934</v>
      </c>
      <c r="AH107" s="1253">
        <f t="shared" si="63"/>
        <v>90.423000000000002</v>
      </c>
      <c r="AI107" s="1253">
        <f t="shared" si="64"/>
        <v>104.64400000000001</v>
      </c>
      <c r="AJ107" s="156">
        <f t="shared" si="65"/>
        <v>26.746127834400003</v>
      </c>
      <c r="AK107" s="156">
        <f t="shared" si="66"/>
        <v>89.762918679001032</v>
      </c>
      <c r="AM107" s="716">
        <f t="shared" si="67"/>
        <v>12337.410378560176</v>
      </c>
      <c r="AN107" s="148" t="str">
        <f>_xlfn.XLOOKUP(D107,RUC!$B$3:$B$578,RUC!$M$3:$M$578)</f>
        <v>Ronald Miranda</v>
      </c>
      <c r="AO107" s="1167" t="s">
        <v>2278</v>
      </c>
      <c r="AP107" t="s">
        <v>3291</v>
      </c>
      <c r="AQ107" t="s">
        <v>4695</v>
      </c>
    </row>
    <row r="108" spans="1:43" ht="15" customHeight="1">
      <c r="A108" s="747" t="s">
        <v>4672</v>
      </c>
      <c r="B108" s="1447">
        <v>46063</v>
      </c>
      <c r="C108" s="1447">
        <v>46059</v>
      </c>
      <c r="D108" t="s">
        <v>4722</v>
      </c>
      <c r="E108" s="762" t="str">
        <f>_xlfn.XLOOKUP(D108,RUC!$B$3:$B$123,RUC!$D$3:$D$123)</f>
        <v>20610807004*</v>
      </c>
      <c r="G108" s="762">
        <v>418</v>
      </c>
      <c r="H108" s="762" t="s">
        <v>108</v>
      </c>
      <c r="I108" s="703">
        <v>12.03</v>
      </c>
      <c r="J108" s="596">
        <v>17.87</v>
      </c>
      <c r="K108" s="703">
        <f t="shared" si="56"/>
        <v>9.8800000000000008</v>
      </c>
      <c r="L108" s="1192">
        <v>0.32900000000000001</v>
      </c>
      <c r="M108" s="994">
        <f t="shared" si="68"/>
        <v>0.309</v>
      </c>
      <c r="N108" s="1196">
        <f t="shared" si="55"/>
        <v>0.309</v>
      </c>
      <c r="O108" s="645">
        <f t="shared" si="57"/>
        <v>0.309</v>
      </c>
      <c r="P108" s="727">
        <v>89</v>
      </c>
      <c r="Q108" s="1476">
        <v>89.06</v>
      </c>
      <c r="R108" s="706">
        <v>4948</v>
      </c>
      <c r="S108" s="765">
        <f>IF((_xlfn.XLOOKUP(D108,RUC!$B$3:$B$119,RUC!$E$3:$E$119)+ROUNDDOWN(O108,1)*100)&lt;95,95,((_xlfn.XLOOKUP(D108,RUC!$B$3:$B$119,RUC!$E$3:$E$119)+ROUNDDOWN(O108,1)*100)))</f>
        <v>115</v>
      </c>
      <c r="U108" s="1146">
        <f>_xlfn.XLOOKUP(D108,RUC!$B$3:$B$123,RUC!$F$3:$F$123)</f>
        <v>120</v>
      </c>
      <c r="V108" s="715">
        <v>1.1023000000000001</v>
      </c>
      <c r="Y108" s="1445">
        <v>30</v>
      </c>
      <c r="Z108" s="1454">
        <v>40</v>
      </c>
      <c r="AA108" s="144">
        <f t="shared" si="58"/>
        <v>70</v>
      </c>
      <c r="AB108" s="145">
        <f t="shared" si="48"/>
        <v>1259.651429044</v>
      </c>
      <c r="AC108" s="145">
        <f>+(S108-T108)*V108-'data 1'!$F$4</f>
        <v>46.764500000000012</v>
      </c>
      <c r="AD108" s="145">
        <f t="shared" si="59"/>
        <v>1.0505439285600398</v>
      </c>
      <c r="AE108" s="145">
        <f t="shared" si="60"/>
        <v>7.1610000000000014</v>
      </c>
      <c r="AF108" s="145">
        <f t="shared" si="61"/>
        <v>94.793761172800089</v>
      </c>
      <c r="AG108" s="772">
        <f t="shared" ref="AG108:AG112" si="69">AC108+AD108+AE108+AF108+70-53</f>
        <v>166.76980510136013</v>
      </c>
      <c r="AH108" s="1253">
        <f t="shared" si="63"/>
        <v>99.253</v>
      </c>
      <c r="AI108" s="1253">
        <f t="shared" si="64"/>
        <v>111.44499999999999</v>
      </c>
      <c r="AJ108" s="156">
        <f t="shared" si="65"/>
        <v>23.254708105440002</v>
      </c>
      <c r="AK108" s="156">
        <f t="shared" si="66"/>
        <v>93.156786728189346</v>
      </c>
      <c r="AM108" s="716">
        <f t="shared" si="67"/>
        <v>12445.356118954722</v>
      </c>
      <c r="AN108" s="148" t="str">
        <f>_xlfn.XLOOKUP(D108,RUC!$B$3:$B$578,RUC!$M$3:$M$578)</f>
        <v>Ronald Miranda</v>
      </c>
      <c r="AO108" s="1167" t="s">
        <v>2278</v>
      </c>
      <c r="AP108" t="s">
        <v>3291</v>
      </c>
      <c r="AQ108" t="s">
        <v>4695</v>
      </c>
    </row>
    <row r="109" spans="1:43" ht="15" customHeight="1">
      <c r="A109" s="747" t="s">
        <v>4673</v>
      </c>
      <c r="B109" s="1447">
        <v>46063</v>
      </c>
      <c r="C109" s="1447">
        <v>46059</v>
      </c>
      <c r="D109" t="s">
        <v>4722</v>
      </c>
      <c r="E109" s="762" t="str">
        <f>_xlfn.XLOOKUP(D109,RUC!$B$3:$B$123,RUC!$D$3:$D$123)</f>
        <v>20610807004*</v>
      </c>
      <c r="G109" s="762">
        <v>523</v>
      </c>
      <c r="H109" s="762" t="s">
        <v>108</v>
      </c>
      <c r="I109" s="703">
        <v>14.42</v>
      </c>
      <c r="J109" s="596">
        <v>18.27</v>
      </c>
      <c r="K109" s="703">
        <f t="shared" si="56"/>
        <v>11.785</v>
      </c>
      <c r="L109" s="1192">
        <v>0.33200000000000002</v>
      </c>
      <c r="M109" s="994">
        <f t="shared" si="68"/>
        <v>0.312</v>
      </c>
      <c r="N109" s="1196">
        <f t="shared" si="55"/>
        <v>0.312</v>
      </c>
      <c r="O109" s="645">
        <f t="shared" si="57"/>
        <v>0.312</v>
      </c>
      <c r="P109" s="727">
        <v>87</v>
      </c>
      <c r="Q109" s="1476">
        <v>87.95</v>
      </c>
      <c r="R109" s="706">
        <v>4948</v>
      </c>
      <c r="S109" s="765">
        <f>IF((_xlfn.XLOOKUP(D109,RUC!$B$3:$B$119,RUC!$E$3:$E$119)+ROUNDDOWN(O109,1)*100)&lt;95,95,((_xlfn.XLOOKUP(D109,RUC!$B$3:$B$119,RUC!$E$3:$E$119)+ROUNDDOWN(O109,1)*100)))</f>
        <v>115</v>
      </c>
      <c r="U109" s="1146">
        <f>_xlfn.XLOOKUP(D109,RUC!$B$3:$B$123,RUC!$F$3:$F$123)</f>
        <v>120</v>
      </c>
      <c r="V109" s="715">
        <v>1.1023000000000001</v>
      </c>
      <c r="Y109" s="1445">
        <v>30</v>
      </c>
      <c r="Z109" s="1454">
        <v>40</v>
      </c>
      <c r="AA109" s="144">
        <f t="shared" si="58"/>
        <v>70</v>
      </c>
      <c r="AB109" s="145">
        <f t="shared" si="48"/>
        <v>1240.6522303359998</v>
      </c>
      <c r="AC109" s="145">
        <f>+(S109-T109)*V109-'data 1'!$F$4</f>
        <v>46.764500000000012</v>
      </c>
      <c r="AD109" s="145">
        <f t="shared" si="59"/>
        <v>16.785286477600053</v>
      </c>
      <c r="AE109" s="145">
        <f t="shared" si="60"/>
        <v>7.1610000000000014</v>
      </c>
      <c r="AF109" s="145">
        <f t="shared" si="61"/>
        <v>93.612298396000099</v>
      </c>
      <c r="AG109" s="772">
        <f t="shared" si="69"/>
        <v>181.32308487360018</v>
      </c>
      <c r="AH109" s="1253">
        <f t="shared" si="63"/>
        <v>117.98099999999999</v>
      </c>
      <c r="AI109" s="1253">
        <f t="shared" si="64"/>
        <v>134.14599999999999</v>
      </c>
      <c r="AJ109" s="156">
        <f t="shared" si="65"/>
        <v>23.174279006400003</v>
      </c>
      <c r="AK109" s="156">
        <f t="shared" si="66"/>
        <v>109.67622725506121</v>
      </c>
      <c r="AM109" s="716">
        <f t="shared" si="67"/>
        <v>14621.086534509757</v>
      </c>
      <c r="AN109" s="148" t="str">
        <f>_xlfn.XLOOKUP(D109,RUC!$B$3:$B$578,RUC!$M$3:$M$578)</f>
        <v>Ronald Miranda</v>
      </c>
      <c r="AO109" s="1167" t="s">
        <v>2278</v>
      </c>
      <c r="AP109" t="s">
        <v>3291</v>
      </c>
      <c r="AQ109" t="s">
        <v>4695</v>
      </c>
    </row>
    <row r="110" spans="1:43" ht="15" customHeight="1">
      <c r="A110" s="747" t="s">
        <v>4676</v>
      </c>
      <c r="B110" s="1447">
        <v>46064</v>
      </c>
      <c r="C110" s="1447">
        <v>46059</v>
      </c>
      <c r="D110" t="s">
        <v>1484</v>
      </c>
      <c r="E110" s="762">
        <f>_xlfn.XLOOKUP(D110,RUC!$B$3:$B$123,RUC!$D$3:$D$123)</f>
        <v>10761932735</v>
      </c>
      <c r="G110" s="762">
        <v>82</v>
      </c>
      <c r="H110" s="762" t="s">
        <v>69</v>
      </c>
      <c r="I110" s="703">
        <v>5.17</v>
      </c>
      <c r="J110" s="596">
        <v>8.3000000000000007</v>
      </c>
      <c r="K110" s="703">
        <f t="shared" si="56"/>
        <v>4.7409999999999997</v>
      </c>
      <c r="L110" s="1192">
        <v>0.41499999999999998</v>
      </c>
      <c r="M110" s="994">
        <f t="shared" si="68"/>
        <v>0.39</v>
      </c>
      <c r="N110" s="1672">
        <v>0.44900000000000001</v>
      </c>
      <c r="O110" s="645">
        <f t="shared" si="57"/>
        <v>0.42</v>
      </c>
      <c r="P110" s="727">
        <v>90</v>
      </c>
      <c r="Q110" s="1476">
        <v>93.98</v>
      </c>
      <c r="R110" s="706">
        <v>4948</v>
      </c>
      <c r="S110" s="765">
        <f>IF((_xlfn.XLOOKUP(D110,RUC!$B$3:$B$119,RUC!$E$3:$E$119)+ROUNDDOWN(O110,1)*100)&lt;95,95,((_xlfn.XLOOKUP(D110,RUC!$B$3:$B$119,RUC!$E$3:$E$119)+ROUNDDOWN(O110,1)*100)))</f>
        <v>130</v>
      </c>
      <c r="U110" s="1146">
        <f>_xlfn.XLOOKUP(D110,RUC!$B$3:$B$123,RUC!$F$3:$F$123)</f>
        <v>120</v>
      </c>
      <c r="V110" s="715">
        <v>1.1023000000000001</v>
      </c>
      <c r="Y110">
        <f>_xlfn.XLOOKUP(D110,RUC!$B$3:$B$123,RUC!$G$3:$G$123)</f>
        <v>20</v>
      </c>
      <c r="Z110" s="143">
        <f>_xlfn.XLOOKUP(D110,RUC!$B$3:$B$123,RUC!$H$3:$H$123)</f>
        <v>30</v>
      </c>
      <c r="AA110" s="144">
        <f t="shared" si="58"/>
        <v>50</v>
      </c>
      <c r="AB110" s="145">
        <f t="shared" ref="AB110:AB135" si="70">+((O110*P110*(R110-U110)/100)-S110-AA110+T110)*V110</f>
        <v>1813.2658632</v>
      </c>
      <c r="AC110" s="145">
        <f>+(S110-T110)*V110-'data 1'!$F$4</f>
        <v>63.299000000000007</v>
      </c>
      <c r="AD110" s="145">
        <f t="shared" si="59"/>
        <v>87.901894974800086</v>
      </c>
      <c r="AE110" s="145">
        <f t="shared" si="60"/>
        <v>-14.884999999999998</v>
      </c>
      <c r="AF110" s="145">
        <f t="shared" si="61"/>
        <v>-25.007628775600029</v>
      </c>
      <c r="AG110" s="772">
        <f t="shared" si="69"/>
        <v>128.30826619920009</v>
      </c>
      <c r="AH110" s="1253">
        <f t="shared" si="63"/>
        <v>63.396000000000001</v>
      </c>
      <c r="AI110" s="1253">
        <f t="shared" si="64"/>
        <v>67.456999999999994</v>
      </c>
      <c r="AJ110" s="156">
        <f t="shared" si="65"/>
        <v>30.953933215200003</v>
      </c>
      <c r="AK110" s="156">
        <f t="shared" si="66"/>
        <v>61.442775353628903</v>
      </c>
      <c r="AM110" s="716">
        <f t="shared" si="67"/>
        <v>8596.6934574311999</v>
      </c>
      <c r="AN110" s="148" t="str">
        <f>_xlfn.XLOOKUP(D110,RUC!$B$3:$B$578,RUC!$M$3:$M$578)</f>
        <v>Richard Sapacayo</v>
      </c>
      <c r="AO110" s="1167" t="s">
        <v>2280</v>
      </c>
      <c r="AP110" t="s">
        <v>4696</v>
      </c>
      <c r="AQ110" t="s">
        <v>4697</v>
      </c>
    </row>
    <row r="111" spans="1:43" ht="15" customHeight="1">
      <c r="A111" s="747" t="s">
        <v>4678</v>
      </c>
      <c r="B111" s="1447">
        <v>46066</v>
      </c>
      <c r="C111" s="1447">
        <v>46059</v>
      </c>
      <c r="D111" t="s">
        <v>1484</v>
      </c>
      <c r="E111" s="762">
        <f>_xlfn.XLOOKUP(D111,RUC!$B$3:$B$123,RUC!$D$3:$D$123)</f>
        <v>10761932735</v>
      </c>
      <c r="G111" s="762" t="s">
        <v>2985</v>
      </c>
      <c r="H111" s="762" t="s">
        <v>69</v>
      </c>
      <c r="I111" s="703">
        <v>26.76</v>
      </c>
      <c r="J111" s="596">
        <v>8.25</v>
      </c>
      <c r="K111" s="703">
        <f t="shared" si="56"/>
        <v>24.552</v>
      </c>
      <c r="L111" s="1192">
        <v>0.22500000000000001</v>
      </c>
      <c r="M111" s="994">
        <f t="shared" si="68"/>
        <v>0.20599999999999999</v>
      </c>
      <c r="N111" s="1196">
        <f t="shared" ref="N111:N118" si="71">+M111</f>
        <v>0.20599999999999999</v>
      </c>
      <c r="O111" s="645">
        <f t="shared" si="57"/>
        <v>0.20599999999999999</v>
      </c>
      <c r="P111" s="727">
        <v>90</v>
      </c>
      <c r="Q111" s="1476">
        <v>94.67</v>
      </c>
      <c r="R111" s="706">
        <v>4948</v>
      </c>
      <c r="S111" s="765">
        <f>IF((_xlfn.XLOOKUP(D111,RUC!$B$3:$B$119,RUC!$E$3:$E$119)+ROUNDDOWN(O111,1)*100)&lt;95,95,((_xlfn.XLOOKUP(D111,RUC!$B$3:$B$119,RUC!$E$3:$E$119)+ROUNDDOWN(O111,1)*100)))</f>
        <v>110</v>
      </c>
      <c r="U111" s="1146">
        <f>_xlfn.XLOOKUP(D111,RUC!$B$3:$B$123,RUC!$F$3:$F$123)</f>
        <v>120</v>
      </c>
      <c r="V111" s="715">
        <v>1.1023000000000001</v>
      </c>
      <c r="Y111">
        <f>_xlfn.XLOOKUP(D111,RUC!$B$3:$B$123,RUC!$G$3:$G$123)</f>
        <v>20</v>
      </c>
      <c r="Z111" s="143">
        <f>_xlfn.XLOOKUP(D111,RUC!$B$3:$B$123,RUC!$H$3:$H$123)</f>
        <v>30</v>
      </c>
      <c r="AA111" s="144">
        <f t="shared" si="58"/>
        <v>50</v>
      </c>
      <c r="AB111" s="145">
        <f t="shared" si="70"/>
        <v>810.31307575999995</v>
      </c>
      <c r="AC111" s="145">
        <f>+(S111-T111)*V111-'data 1'!$F$4</f>
        <v>41.253</v>
      </c>
      <c r="AD111" s="145">
        <f t="shared" si="59"/>
        <v>55.919910483000031</v>
      </c>
      <c r="AE111" s="145">
        <f t="shared" si="60"/>
        <v>-14.884999999999998</v>
      </c>
      <c r="AF111" s="145">
        <f t="shared" si="61"/>
        <v>95.726691014120092</v>
      </c>
      <c r="AG111" s="772">
        <f t="shared" si="69"/>
        <v>195.01460149712014</v>
      </c>
      <c r="AH111" s="1253">
        <f t="shared" si="63"/>
        <v>179.304</v>
      </c>
      <c r="AI111" s="1253">
        <f t="shared" si="64"/>
        <v>189.399</v>
      </c>
      <c r="AJ111" s="156">
        <f t="shared" si="65"/>
        <v>16.905468041999999</v>
      </c>
      <c r="AK111" s="156">
        <f t="shared" si="66"/>
        <v>156.06505670862742</v>
      </c>
      <c r="AM111" s="716">
        <f t="shared" si="67"/>
        <v>19894.806636059518</v>
      </c>
      <c r="AN111" s="148" t="str">
        <f>_xlfn.XLOOKUP(D111,RUC!$B$3:$B$578,RUC!$M$3:$M$578)</f>
        <v>Richard Sapacayo</v>
      </c>
      <c r="AO111" s="1167" t="s">
        <v>2278</v>
      </c>
      <c r="AP111" t="s">
        <v>3243</v>
      </c>
      <c r="AQ111" t="s">
        <v>3951</v>
      </c>
    </row>
    <row r="112" spans="1:43" ht="15" customHeight="1">
      <c r="A112" s="747" t="s">
        <v>4680</v>
      </c>
      <c r="B112" s="1447">
        <v>46068</v>
      </c>
      <c r="C112" s="1447">
        <v>46059</v>
      </c>
      <c r="D112" t="s">
        <v>4722</v>
      </c>
      <c r="E112" s="762" t="str">
        <f>_xlfn.XLOOKUP(D112,RUC!$B$3:$B$123,RUC!$D$3:$D$123)</f>
        <v>20610807004*</v>
      </c>
      <c r="G112" s="762">
        <v>589</v>
      </c>
      <c r="H112" s="762" t="s">
        <v>108</v>
      </c>
      <c r="I112" s="703">
        <v>28.44</v>
      </c>
      <c r="J112" s="596">
        <v>2.6</v>
      </c>
      <c r="K112" s="703">
        <f t="shared" si="56"/>
        <v>27.701000000000001</v>
      </c>
      <c r="L112" s="1192">
        <v>0.36199999999999999</v>
      </c>
      <c r="M112" s="994">
        <f t="shared" si="68"/>
        <v>0.34</v>
      </c>
      <c r="N112" s="1196">
        <f t="shared" si="71"/>
        <v>0.34</v>
      </c>
      <c r="O112" s="645">
        <f t="shared" si="57"/>
        <v>0.34</v>
      </c>
      <c r="P112" s="727">
        <v>76</v>
      </c>
      <c r="Q112" s="1476">
        <v>76.239999999999995</v>
      </c>
      <c r="R112" s="706">
        <v>4948</v>
      </c>
      <c r="S112" s="765">
        <f>IF((_xlfn.XLOOKUP(D112,RUC!$B$3:$B$119,RUC!$E$3:$E$119)+ROUNDDOWN(O112,1)*100)&lt;95,95,((_xlfn.XLOOKUP(D112,RUC!$B$3:$B$119,RUC!$E$3:$E$119)+ROUNDDOWN(O112,1)*100)))</f>
        <v>115</v>
      </c>
      <c r="U112" s="1146">
        <f>_xlfn.XLOOKUP(D112,RUC!$B$3:$B$123,RUC!$F$3:$F$123)</f>
        <v>120</v>
      </c>
      <c r="V112" s="715">
        <v>1.1023000000000001</v>
      </c>
      <c r="Y112" s="1445">
        <v>0</v>
      </c>
      <c r="Z112" s="1454">
        <v>40</v>
      </c>
      <c r="AA112" s="144">
        <f t="shared" si="58"/>
        <v>40</v>
      </c>
      <c r="AB112" s="145">
        <f t="shared" si="70"/>
        <v>1204.3235969600003</v>
      </c>
      <c r="AC112" s="145">
        <f>+(S112-T112)*V112-'data 1'!$F$4</f>
        <v>46.764500000000012</v>
      </c>
      <c r="AD112" s="145">
        <f t="shared" si="59"/>
        <v>4.6236705427199016</v>
      </c>
      <c r="AE112" s="145">
        <f t="shared" si="60"/>
        <v>-25.908000000000001</v>
      </c>
      <c r="AF112" s="145">
        <f t="shared" si="61"/>
        <v>89.263238120319855</v>
      </c>
      <c r="AG112" s="772">
        <f t="shared" si="69"/>
        <v>131.74340866303976</v>
      </c>
      <c r="AH112" s="1253">
        <f t="shared" si="63"/>
        <v>262.11700000000002</v>
      </c>
      <c r="AI112" s="1253">
        <f t="shared" si="64"/>
        <v>343.80599999999998</v>
      </c>
      <c r="AJ112" s="156">
        <f t="shared" si="65"/>
        <v>21.90401670528</v>
      </c>
      <c r="AK112" s="156">
        <f t="shared" si="66"/>
        <v>245.41269568199615</v>
      </c>
      <c r="AM112" s="716">
        <f t="shared" si="67"/>
        <v>33360.967959388967</v>
      </c>
      <c r="AN112" s="148" t="str">
        <f>_xlfn.XLOOKUP(D112,RUC!$B$3:$B$578,RUC!$M$3:$M$578)</f>
        <v>Ronald Miranda</v>
      </c>
      <c r="AO112" s="1167" t="s">
        <v>2280</v>
      </c>
      <c r="AP112" t="s">
        <v>2905</v>
      </c>
      <c r="AQ112" t="s">
        <v>4698</v>
      </c>
    </row>
    <row r="113" spans="1:44" ht="15" customHeight="1">
      <c r="A113" s="747" t="s">
        <v>4681</v>
      </c>
      <c r="B113" s="1447">
        <v>46065</v>
      </c>
      <c r="C113" s="1447">
        <v>45695</v>
      </c>
      <c r="D113" t="s">
        <v>2004</v>
      </c>
      <c r="E113" s="762">
        <f>_xlfn.XLOOKUP(D113,RUC!$B$3:$B$123,RUC!$D$3:$D$123)</f>
        <v>20612921866</v>
      </c>
      <c r="G113" s="762" t="s">
        <v>2985</v>
      </c>
      <c r="H113" s="762" t="s">
        <v>69</v>
      </c>
      <c r="I113" s="703">
        <v>10.78</v>
      </c>
      <c r="J113" s="596">
        <v>2</v>
      </c>
      <c r="K113" s="703">
        <f t="shared" si="56"/>
        <v>10.564</v>
      </c>
      <c r="L113" s="1192">
        <v>0.22600000000000001</v>
      </c>
      <c r="M113" s="994">
        <f t="shared" si="68"/>
        <v>0.20699999999999999</v>
      </c>
      <c r="N113" s="1196">
        <f t="shared" si="71"/>
        <v>0.20699999999999999</v>
      </c>
      <c r="O113" s="645">
        <f t="shared" si="57"/>
        <v>0.20699999999999999</v>
      </c>
      <c r="P113" s="727">
        <v>90</v>
      </c>
      <c r="Q113" s="1476">
        <v>91.59</v>
      </c>
      <c r="R113" s="706">
        <v>4948</v>
      </c>
      <c r="S113" s="765">
        <f>IF((_xlfn.XLOOKUP(D113,RUC!$B$3:$B$119,RUC!$E$3:$E$119)+ROUNDDOWN(O113,1)*100)&lt;95,95,((_xlfn.XLOOKUP(D113,RUC!$B$3:$B$119,RUC!$E$3:$E$119)+ROUNDDOWN(O113,1)*100)))</f>
        <v>100</v>
      </c>
      <c r="U113" s="1146">
        <f>_xlfn.XLOOKUP(D113,RUC!$B$3:$B$123,RUC!$F$3:$F$123)</f>
        <v>100</v>
      </c>
      <c r="V113" s="715">
        <v>1.1023000000000001</v>
      </c>
      <c r="Y113">
        <f>_xlfn.XLOOKUP(D113,RUC!$B$3:$B$123,RUC!$G$3:$G$123)</f>
        <v>0</v>
      </c>
      <c r="Z113" s="143">
        <f>_xlfn.XLOOKUP(D113,RUC!$B$3:$B$123,RUC!$H$3:$H$123)</f>
        <v>30</v>
      </c>
      <c r="AA113" s="144">
        <f t="shared" si="58"/>
        <v>30</v>
      </c>
      <c r="AB113" s="145">
        <f t="shared" si="70"/>
        <v>852.27895951999994</v>
      </c>
      <c r="AC113" s="145">
        <f>+(S113-T113)*V113-'data 1'!$F$4</f>
        <v>30.230000000000004</v>
      </c>
      <c r="AD113" s="145">
        <f t="shared" si="59"/>
        <v>19.202951367360043</v>
      </c>
      <c r="AE113" s="145">
        <f t="shared" si="60"/>
        <v>-36.930999999999997</v>
      </c>
      <c r="AF113" s="145">
        <f t="shared" si="61"/>
        <v>92.995959255840077</v>
      </c>
      <c r="AG113" s="772">
        <f>AC113+AD113+AE113+AF113+70-10</f>
        <v>165.49791062320014</v>
      </c>
      <c r="AH113" s="1253">
        <f t="shared" si="63"/>
        <v>74.971000000000004</v>
      </c>
      <c r="AI113" s="1253">
        <f t="shared" si="64"/>
        <v>81.855000000000004</v>
      </c>
      <c r="AJ113" s="156">
        <f t="shared" si="65"/>
        <v>11.864778890640002</v>
      </c>
      <c r="AK113" s="156">
        <f t="shared" si="66"/>
        <v>67.476153372805257</v>
      </c>
      <c r="AM113" s="716">
        <f t="shared" si="67"/>
        <v>9003.47492836928</v>
      </c>
      <c r="AN113" s="148" t="str">
        <f>_xlfn.XLOOKUP(D113,RUC!$B$3:$B$578,RUC!$M$3:$M$578)</f>
        <v>Ronald Garibay</v>
      </c>
      <c r="AO113" s="1167" t="s">
        <v>2279</v>
      </c>
      <c r="AP113" t="s">
        <v>4699</v>
      </c>
      <c r="AQ113" t="s">
        <v>4700</v>
      </c>
    </row>
    <row r="114" spans="1:44" ht="15" customHeight="1">
      <c r="A114" s="747" t="s">
        <v>4684</v>
      </c>
      <c r="B114" s="1447">
        <v>46065</v>
      </c>
      <c r="C114" s="1447">
        <v>46060</v>
      </c>
      <c r="D114" t="s">
        <v>4722</v>
      </c>
      <c r="E114" s="762" t="str">
        <f>_xlfn.XLOOKUP(D114,RUC!$B$3:$B$123,RUC!$D$3:$D$123)</f>
        <v>20610807004*</v>
      </c>
      <c r="G114" s="762">
        <v>20</v>
      </c>
      <c r="H114" s="762" t="s">
        <v>69</v>
      </c>
      <c r="I114" s="703">
        <v>1.86</v>
      </c>
      <c r="J114" s="596">
        <v>2.5</v>
      </c>
      <c r="K114" s="703">
        <f t="shared" si="56"/>
        <v>1.8140000000000001</v>
      </c>
      <c r="L114" s="1192">
        <v>0.36499999999999999</v>
      </c>
      <c r="M114" s="994">
        <f t="shared" si="68"/>
        <v>0.34300000000000003</v>
      </c>
      <c r="N114" s="1196">
        <f t="shared" si="71"/>
        <v>0.34300000000000003</v>
      </c>
      <c r="O114" s="645">
        <f t="shared" si="57"/>
        <v>0.34300000000000003</v>
      </c>
      <c r="P114" s="727">
        <v>86</v>
      </c>
      <c r="Q114" s="1476">
        <v>86.3</v>
      </c>
      <c r="R114" s="706">
        <v>4948</v>
      </c>
      <c r="S114" s="765">
        <f>IF((_xlfn.XLOOKUP(D114,RUC!$B$3:$B$119,RUC!$E$3:$E$119)+ROUNDDOWN(O114,1)*100)&lt;95,95,((_xlfn.XLOOKUP(D114,RUC!$B$3:$B$119,RUC!$E$3:$E$119)+ROUNDDOWN(O114,1)*100)))</f>
        <v>115</v>
      </c>
      <c r="U114" s="1146">
        <f>_xlfn.XLOOKUP(D114,RUC!$B$3:$B$123,RUC!$F$3:$F$123)</f>
        <v>120</v>
      </c>
      <c r="V114" s="715">
        <v>1.1023000000000001</v>
      </c>
      <c r="Y114" s="1445">
        <v>25</v>
      </c>
      <c r="Z114" s="1454">
        <v>35</v>
      </c>
      <c r="AA114" s="144">
        <f t="shared" si="58"/>
        <v>60</v>
      </c>
      <c r="AB114" s="145">
        <f t="shared" si="70"/>
        <v>1376.9528599120001</v>
      </c>
      <c r="AC114" s="145">
        <f>+(S114-T114)*V114-'data 1'!$F$4</f>
        <v>46.764500000000012</v>
      </c>
      <c r="AD114" s="145">
        <f t="shared" si="59"/>
        <v>5.8274853179999448</v>
      </c>
      <c r="AE114" s="145">
        <f t="shared" si="60"/>
        <v>-3.8619999999999948</v>
      </c>
      <c r="AF114" s="145">
        <f t="shared" si="61"/>
        <v>101.04167693839983</v>
      </c>
      <c r="AG114" s="772">
        <f t="shared" ref="AG114" si="72">AC114+AD114+AE114+AF114+70-53</f>
        <v>166.77166225639979</v>
      </c>
      <c r="AH114" s="1253">
        <f t="shared" si="63"/>
        <v>19.591000000000001</v>
      </c>
      <c r="AI114" s="1253">
        <f t="shared" si="64"/>
        <v>22.701000000000001</v>
      </c>
      <c r="AJ114" s="156">
        <f t="shared" si="65"/>
        <v>24.999767172000002</v>
      </c>
      <c r="AK114" s="156">
        <f t="shared" si="66"/>
        <v>18.345895833318046</v>
      </c>
      <c r="AM114" s="716">
        <f t="shared" si="67"/>
        <v>2497.7924878803683</v>
      </c>
      <c r="AN114" s="716" t="str">
        <f>_xlfn.XLOOKUP(D114,RUC!$B$3:$B$578,RUC!$M$3:$M$578)</f>
        <v>Ronald Miranda</v>
      </c>
      <c r="AO114" s="1167" t="s">
        <v>2279</v>
      </c>
      <c r="AP114" t="s">
        <v>4702</v>
      </c>
      <c r="AQ114" t="s">
        <v>4703</v>
      </c>
    </row>
    <row r="115" spans="1:44" ht="15" customHeight="1">
      <c r="A115" s="747" t="s">
        <v>4709</v>
      </c>
      <c r="B115" s="1447">
        <v>46066</v>
      </c>
      <c r="C115" s="1447">
        <v>46061</v>
      </c>
      <c r="D115" t="s">
        <v>1967</v>
      </c>
      <c r="E115" s="762">
        <f>_xlfn.XLOOKUP(D115,RUC!$B$3:$B$123,RUC!$D$3:$D$123)</f>
        <v>20601769396</v>
      </c>
      <c r="G115" s="762">
        <v>25</v>
      </c>
      <c r="H115" s="762" t="s">
        <v>2005</v>
      </c>
      <c r="I115" s="703">
        <v>2.2200000000000002</v>
      </c>
      <c r="J115" s="596">
        <v>16.55</v>
      </c>
      <c r="K115" s="703">
        <f t="shared" si="56"/>
        <v>1.853</v>
      </c>
      <c r="L115" s="1192">
        <v>0.42599999999999999</v>
      </c>
      <c r="M115" s="994">
        <f t="shared" si="68"/>
        <v>0.4</v>
      </c>
      <c r="N115" s="1196">
        <f t="shared" si="71"/>
        <v>0.4</v>
      </c>
      <c r="O115" s="645">
        <f t="shared" si="57"/>
        <v>0.4</v>
      </c>
      <c r="P115" s="727">
        <v>86</v>
      </c>
      <c r="Q115" s="1476">
        <v>86.38</v>
      </c>
      <c r="R115" s="706">
        <v>5039.55</v>
      </c>
      <c r="S115" s="765">
        <f>IF((_xlfn.XLOOKUP(D115,RUC!$B$3:$B$119,RUC!$E$3:$E$119)+ROUNDDOWN(O115,1)*100)&lt;95,95,((_xlfn.XLOOKUP(D115,RUC!$B$3:$B$119,RUC!$E$3:$E$119)+ROUNDDOWN(O115,1)*100)))</f>
        <v>130</v>
      </c>
      <c r="U115" s="1146">
        <f>_xlfn.XLOOKUP(D115,RUC!$B$3:$B$123,RUC!$F$3:$F$123)</f>
        <v>120</v>
      </c>
      <c r="V115" s="715">
        <v>1.1023000000000001</v>
      </c>
      <c r="Y115">
        <f>_xlfn.XLOOKUP(D115,RUC!$B$3:$B$123,RUC!$G$3:$G$123)</f>
        <v>20</v>
      </c>
      <c r="Z115" s="143">
        <f>_xlfn.XLOOKUP(D115,RUC!$B$3:$B$123,RUC!$H$3:$H$123)</f>
        <v>30</v>
      </c>
      <c r="AA115" s="144">
        <f t="shared" si="58"/>
        <v>50</v>
      </c>
      <c r="AB115" s="145">
        <f t="shared" si="70"/>
        <v>1667.0360679600001</v>
      </c>
      <c r="AC115" s="145">
        <f>+(S115-T115)*V115-'data 1'!$F$4</f>
        <v>63.299000000000007</v>
      </c>
      <c r="AD115" s="145">
        <f t="shared" si="59"/>
        <v>8.7784609593418956</v>
      </c>
      <c r="AE115" s="145">
        <f t="shared" si="60"/>
        <v>-14.884999999999998</v>
      </c>
      <c r="AF115" s="145">
        <f t="shared" si="61"/>
        <v>121.79002902994185</v>
      </c>
      <c r="AG115" s="772">
        <f t="shared" ref="AG115:AG118" si="73">AC115+AD115+AE115+AF115+70-10</f>
        <v>238.98248998928375</v>
      </c>
      <c r="AH115" s="1253">
        <f t="shared" si="63"/>
        <v>23.378</v>
      </c>
      <c r="AI115" s="1253">
        <f t="shared" si="64"/>
        <v>27.064</v>
      </c>
      <c r="AJ115" s="156">
        <f t="shared" si="65"/>
        <v>-7.9299302607420721</v>
      </c>
      <c r="AK115" s="156">
        <f t="shared" si="66"/>
        <v>21.8546034754876</v>
      </c>
      <c r="AM115" s="716">
        <f t="shared" si="67"/>
        <v>3089.01783392988</v>
      </c>
      <c r="AN115" s="716" t="str">
        <f>_xlfn.XLOOKUP(D115,RUC!$B$3:$B$578,RUC!$M$3:$M$578)</f>
        <v>Evelyn</v>
      </c>
      <c r="AO115" s="1167" t="s">
        <v>2280</v>
      </c>
      <c r="AP115" t="s">
        <v>3830</v>
      </c>
      <c r="AQ115" t="s">
        <v>2796</v>
      </c>
    </row>
    <row r="116" spans="1:44" ht="15" customHeight="1">
      <c r="A116" s="747" t="s">
        <v>4710</v>
      </c>
      <c r="B116" s="1447">
        <v>46066</v>
      </c>
      <c r="C116" s="1447">
        <v>46061</v>
      </c>
      <c r="D116" t="s">
        <v>1967</v>
      </c>
      <c r="E116" s="762">
        <f>_xlfn.XLOOKUP(D116,RUC!$B$3:$B$123,RUC!$D$3:$D$123)</f>
        <v>20601769396</v>
      </c>
      <c r="G116" s="762">
        <v>25</v>
      </c>
      <c r="H116" s="762" t="s">
        <v>2005</v>
      </c>
      <c r="I116" s="703">
        <v>2.3199999999999998</v>
      </c>
      <c r="J116" s="596">
        <v>15.2</v>
      </c>
      <c r="K116" s="703">
        <f t="shared" si="56"/>
        <v>1.9670000000000001</v>
      </c>
      <c r="L116" s="1192">
        <v>0.54400000000000004</v>
      </c>
      <c r="M116" s="994">
        <f t="shared" si="68"/>
        <v>0.51100000000000001</v>
      </c>
      <c r="N116" s="1196">
        <f t="shared" si="71"/>
        <v>0.51100000000000001</v>
      </c>
      <c r="O116" s="645">
        <f t="shared" si="57"/>
        <v>0.51100000000000001</v>
      </c>
      <c r="P116" s="727">
        <v>90</v>
      </c>
      <c r="Q116" s="1476">
        <v>91.91</v>
      </c>
      <c r="R116" s="706">
        <v>5039.55</v>
      </c>
      <c r="S116" s="765">
        <f>IF((_xlfn.XLOOKUP(D116,RUC!$B$3:$B$119,RUC!$E$3:$E$119)+ROUNDDOWN(O116,1)*100)&lt;95,95,((_xlfn.XLOOKUP(D116,RUC!$B$3:$B$119,RUC!$E$3:$E$119)+ROUNDDOWN(O116,1)*100)))</f>
        <v>140</v>
      </c>
      <c r="U116" s="1146">
        <f>_xlfn.XLOOKUP(D116,RUC!$B$3:$B$123,RUC!$F$3:$F$123)</f>
        <v>120</v>
      </c>
      <c r="V116" s="715">
        <v>1.1023000000000001</v>
      </c>
      <c r="Y116">
        <f>_xlfn.XLOOKUP(D116,RUC!$B$3:$B$123,RUC!$G$3:$G$123)</f>
        <v>20</v>
      </c>
      <c r="Z116" s="143">
        <f>_xlfn.XLOOKUP(D116,RUC!$B$3:$B$123,RUC!$H$3:$H$123)</f>
        <v>30</v>
      </c>
      <c r="AA116" s="144">
        <f t="shared" si="58"/>
        <v>50</v>
      </c>
      <c r="AB116" s="145">
        <f t="shared" si="70"/>
        <v>2284.5179019034999</v>
      </c>
      <c r="AC116" s="145">
        <f>+(S116-T116)*V116-'data 1'!$F$4</f>
        <v>74.322000000000003</v>
      </c>
      <c r="AD116" s="145">
        <f t="shared" si="59"/>
        <v>56.34526856433591</v>
      </c>
      <c r="AE116" s="145">
        <f t="shared" si="60"/>
        <v>-14.884999999999998</v>
      </c>
      <c r="AF116" s="145">
        <f t="shared" si="61"/>
        <v>164.47575638443968</v>
      </c>
      <c r="AG116" s="772">
        <f t="shared" si="73"/>
        <v>340.25802494877564</v>
      </c>
      <c r="AH116" s="1253">
        <f t="shared" si="63"/>
        <v>33.719000000000001</v>
      </c>
      <c r="AI116" s="1253">
        <f t="shared" si="64"/>
        <v>36.686999999999998</v>
      </c>
      <c r="AJ116" s="156">
        <f t="shared" si="65"/>
        <v>-10.774775620336102</v>
      </c>
      <c r="AK116" s="156">
        <f t="shared" si="66"/>
        <v>31.015360879571567</v>
      </c>
      <c r="AM116" s="716">
        <f t="shared" si="67"/>
        <v>4493.6467130441843</v>
      </c>
      <c r="AN116" s="716" t="str">
        <f>_xlfn.XLOOKUP(D116,RUC!$B$3:$B$578,RUC!$M$3:$M$578)</f>
        <v>Evelyn</v>
      </c>
      <c r="AO116" s="1167" t="s">
        <v>2280</v>
      </c>
      <c r="AP116" t="s">
        <v>3830</v>
      </c>
      <c r="AQ116" t="s">
        <v>2796</v>
      </c>
    </row>
    <row r="117" spans="1:44" ht="15" customHeight="1">
      <c r="A117" s="747" t="s">
        <v>4711</v>
      </c>
      <c r="B117" s="1447">
        <v>46066</v>
      </c>
      <c r="C117" s="1447">
        <v>46061</v>
      </c>
      <c r="D117" t="s">
        <v>1967</v>
      </c>
      <c r="E117" s="762">
        <f>_xlfn.XLOOKUP(D117,RUC!$B$3:$B$123,RUC!$D$3:$D$123)</f>
        <v>20601769396</v>
      </c>
      <c r="G117" s="762">
        <v>25</v>
      </c>
      <c r="H117" s="762" t="s">
        <v>2005</v>
      </c>
      <c r="I117" s="703">
        <v>2.2599999999999998</v>
      </c>
      <c r="J117" s="596">
        <v>14.8</v>
      </c>
      <c r="K117" s="703">
        <f t="shared" si="56"/>
        <v>1.9259999999999999</v>
      </c>
      <c r="L117" s="1192">
        <v>0.55100000000000005</v>
      </c>
      <c r="M117" s="994">
        <f t="shared" si="68"/>
        <v>0.51800000000000002</v>
      </c>
      <c r="N117" s="1196">
        <f t="shared" si="71"/>
        <v>0.51800000000000002</v>
      </c>
      <c r="O117" s="645">
        <f t="shared" si="57"/>
        <v>0.51800000000000002</v>
      </c>
      <c r="P117" s="727">
        <v>90</v>
      </c>
      <c r="Q117" s="1476">
        <v>94.19</v>
      </c>
      <c r="R117" s="706">
        <v>5039.55</v>
      </c>
      <c r="S117" s="765">
        <f>IF((_xlfn.XLOOKUP(D117,RUC!$B$3:$B$119,RUC!$E$3:$E$119)+ROUNDDOWN(O117,1)*100)&lt;95,95,((_xlfn.XLOOKUP(D117,RUC!$B$3:$B$119,RUC!$E$3:$E$119)+ROUNDDOWN(O117,1)*100)))</f>
        <v>140</v>
      </c>
      <c r="U117" s="1146">
        <f>_xlfn.XLOOKUP(D117,RUC!$B$3:$B$123,RUC!$F$3:$F$123)</f>
        <v>120</v>
      </c>
      <c r="V117" s="715">
        <v>1.1023000000000001</v>
      </c>
      <c r="Y117">
        <f>_xlfn.XLOOKUP(D117,RUC!$B$3:$B$123,RUC!$G$3:$G$123)</f>
        <v>20</v>
      </c>
      <c r="Z117" s="143">
        <f>_xlfn.XLOOKUP(D117,RUC!$B$3:$B$123,RUC!$H$3:$H$123)</f>
        <v>30</v>
      </c>
      <c r="AA117" s="144">
        <f t="shared" si="58"/>
        <v>50</v>
      </c>
      <c r="AB117" s="145">
        <f t="shared" si="70"/>
        <v>2318.6816676830003</v>
      </c>
      <c r="AC117" s="145">
        <f>+(S117-T117)*V117-'data 1'!$F$4</f>
        <v>74.322000000000003</v>
      </c>
      <c r="AD117" s="145">
        <f t="shared" si="59"/>
        <v>125.19610224995844</v>
      </c>
      <c r="AE117" s="145">
        <f t="shared" si="60"/>
        <v>-14.884999999999998</v>
      </c>
      <c r="AF117" s="145">
        <f t="shared" si="61"/>
        <v>168.55588612610566</v>
      </c>
      <c r="AG117" s="772">
        <f t="shared" si="73"/>
        <v>413.18898837606412</v>
      </c>
      <c r="AH117" s="1253">
        <f t="shared" si="63"/>
        <v>34.271000000000001</v>
      </c>
      <c r="AI117" s="1253">
        <f t="shared" si="64"/>
        <v>36.384999999999998</v>
      </c>
      <c r="AJ117" s="156">
        <f t="shared" si="65"/>
        <v>-11.184149530458605</v>
      </c>
      <c r="AK117" s="156">
        <f t="shared" si="66"/>
        <v>30.784891072560661</v>
      </c>
      <c r="AM117" s="716">
        <f t="shared" si="67"/>
        <v>4465.7808919574582</v>
      </c>
      <c r="AN117" s="716" t="str">
        <f>_xlfn.XLOOKUP(D117,RUC!$B$3:$B$578,RUC!$M$3:$M$578)</f>
        <v>Evelyn</v>
      </c>
      <c r="AO117" s="1167" t="s">
        <v>2280</v>
      </c>
      <c r="AP117" t="s">
        <v>3830</v>
      </c>
      <c r="AQ117" t="s">
        <v>2796</v>
      </c>
    </row>
    <row r="118" spans="1:44" ht="15" customHeight="1">
      <c r="A118" s="747" t="s">
        <v>4712</v>
      </c>
      <c r="B118" s="1447">
        <v>46066</v>
      </c>
      <c r="C118" s="1447">
        <v>46061</v>
      </c>
      <c r="D118" t="s">
        <v>1967</v>
      </c>
      <c r="E118" s="762">
        <f>_xlfn.XLOOKUP(D118,RUC!$B$3:$B$123,RUC!$D$3:$D$123)</f>
        <v>20601769396</v>
      </c>
      <c r="G118" s="762">
        <v>25</v>
      </c>
      <c r="H118" s="762" t="s">
        <v>2005</v>
      </c>
      <c r="I118" s="703">
        <v>2.27</v>
      </c>
      <c r="J118" s="596">
        <v>15.8</v>
      </c>
      <c r="K118" s="703">
        <f t="shared" si="56"/>
        <v>1.911</v>
      </c>
      <c r="L118" s="1192">
        <v>0.56699999999999995</v>
      </c>
      <c r="M118" s="994">
        <f t="shared" si="68"/>
        <v>0.53300000000000003</v>
      </c>
      <c r="N118" s="1196">
        <f t="shared" si="71"/>
        <v>0.53300000000000003</v>
      </c>
      <c r="O118" s="645">
        <f t="shared" si="57"/>
        <v>0.53300000000000003</v>
      </c>
      <c r="P118" s="727">
        <v>90</v>
      </c>
      <c r="Q118" s="1476">
        <v>92.42</v>
      </c>
      <c r="R118" s="706">
        <v>5039.55</v>
      </c>
      <c r="S118" s="765">
        <f>IF((_xlfn.XLOOKUP(D118,RUC!$B$3:$B$119,RUC!$E$3:$E$119)+ROUNDDOWN(O118,1)*100)&lt;95,95,((_xlfn.XLOOKUP(D118,RUC!$B$3:$B$119,RUC!$E$3:$E$119)+ROUNDDOWN(O118,1)*100)))</f>
        <v>140</v>
      </c>
      <c r="U118" s="1146">
        <f>_xlfn.XLOOKUP(D118,RUC!$B$3:$B$123,RUC!$F$3:$F$123)</f>
        <v>120</v>
      </c>
      <c r="V118" s="715">
        <v>1.1023000000000001</v>
      </c>
      <c r="Y118">
        <f>_xlfn.XLOOKUP(D118,RUC!$B$3:$B$123,RUC!$G$3:$G$123)</f>
        <v>20</v>
      </c>
      <c r="Z118" s="143">
        <f>_xlfn.XLOOKUP(D118,RUC!$B$3:$B$123,RUC!$H$3:$H$123)</f>
        <v>30</v>
      </c>
      <c r="AA118" s="144">
        <f t="shared" si="58"/>
        <v>50</v>
      </c>
      <c r="AB118" s="145">
        <f t="shared" si="70"/>
        <v>2391.8897372105007</v>
      </c>
      <c r="AC118" s="145">
        <f>+(S118-T118)*V118-'data 1'!$F$4</f>
        <v>74.322000000000003</v>
      </c>
      <c r="AD118" s="145">
        <f t="shared" si="59"/>
        <v>74.408681867751056</v>
      </c>
      <c r="AE118" s="145">
        <f t="shared" si="60"/>
        <v>-14.884999999999998</v>
      </c>
      <c r="AF118" s="145">
        <f t="shared" si="61"/>
        <v>170.40018719620161</v>
      </c>
      <c r="AG118" s="772">
        <f t="shared" si="73"/>
        <v>364.24586906395268</v>
      </c>
      <c r="AH118" s="1253">
        <f t="shared" si="63"/>
        <v>34.334000000000003</v>
      </c>
      <c r="AI118" s="1253">
        <f t="shared" si="64"/>
        <v>37.149000000000001</v>
      </c>
      <c r="AJ118" s="156">
        <f t="shared" si="65"/>
        <v>-11.292642829251104</v>
      </c>
      <c r="AK118" s="156">
        <f t="shared" si="66"/>
        <v>31.429644937534942</v>
      </c>
      <c r="AM118" s="716">
        <f t="shared" si="67"/>
        <v>4570.9012878092672</v>
      </c>
      <c r="AN118" s="716" t="str">
        <f>_xlfn.XLOOKUP(D118,RUC!$B$3:$B$578,RUC!$M$3:$M$578)</f>
        <v>Evelyn</v>
      </c>
      <c r="AO118" s="1167" t="s">
        <v>2280</v>
      </c>
      <c r="AP118" t="s">
        <v>3830</v>
      </c>
      <c r="AQ118" t="s">
        <v>2796</v>
      </c>
    </row>
    <row r="119" spans="1:44" ht="15" customHeight="1">
      <c r="A119" s="747" t="s">
        <v>4719</v>
      </c>
      <c r="B119" s="1447">
        <v>46071</v>
      </c>
      <c r="C119" s="1447">
        <v>46061</v>
      </c>
      <c r="D119" t="s">
        <v>1967</v>
      </c>
      <c r="E119" s="762">
        <f>_xlfn.XLOOKUP(D119,RUC!$B$3:$B$123,RUC!$D$3:$D$123)</f>
        <v>20601769396</v>
      </c>
      <c r="G119" s="762">
        <v>41</v>
      </c>
      <c r="H119" s="762" t="s">
        <v>69</v>
      </c>
      <c r="I119" s="703">
        <v>2.92</v>
      </c>
      <c r="J119" s="596">
        <v>16.2</v>
      </c>
      <c r="K119" s="703">
        <f t="shared" si="56"/>
        <v>2.4470000000000001</v>
      </c>
      <c r="L119" s="1192">
        <v>0.35099999999999998</v>
      </c>
      <c r="M119" s="994">
        <f t="shared" si="68"/>
        <v>0.33</v>
      </c>
      <c r="N119" s="1196">
        <f t="shared" ref="N119:N137" si="74">+M119</f>
        <v>0.33</v>
      </c>
      <c r="O119" s="645">
        <f t="shared" si="57"/>
        <v>0.33</v>
      </c>
      <c r="P119" s="727">
        <v>90</v>
      </c>
      <c r="Q119" s="1476">
        <v>95.015000000000001</v>
      </c>
      <c r="R119" s="706">
        <v>5039.55</v>
      </c>
      <c r="S119" s="765">
        <f>IF((_xlfn.XLOOKUP(D119,RUC!$B$3:$B$119,RUC!$E$3:$E$119)+ROUNDDOWN(O119,1)*100)&lt;95,95,((_xlfn.XLOOKUP(D119,RUC!$B$3:$B$119,RUC!$E$3:$E$119)+ROUNDDOWN(O119,1)*100)))</f>
        <v>120</v>
      </c>
      <c r="U119" s="1146">
        <f>_xlfn.XLOOKUP(D119,RUC!$B$3:$B$123,RUC!$F$3:$F$123)</f>
        <v>120</v>
      </c>
      <c r="V119" s="715">
        <v>1.1023000000000001</v>
      </c>
      <c r="Y119">
        <f>_xlfn.XLOOKUP(D119,RUC!$B$3:$B$123,RUC!$G$3:$G$123)</f>
        <v>20</v>
      </c>
      <c r="Z119" s="1454">
        <v>80</v>
      </c>
      <c r="AA119" s="144">
        <f t="shared" si="58"/>
        <v>100</v>
      </c>
      <c r="AB119" s="145">
        <f t="shared" si="70"/>
        <v>1368.071529605</v>
      </c>
      <c r="AC119" s="145">
        <f>+(S119-T119)*V119-'data 1'!$F$4</f>
        <v>52.27600000000001</v>
      </c>
      <c r="AD119" s="145">
        <f t="shared" si="59"/>
        <v>95.456001856907264</v>
      </c>
      <c r="AE119" s="145">
        <f t="shared" si="60"/>
        <v>40.229999999999997</v>
      </c>
      <c r="AF119" s="145">
        <f t="shared" si="61"/>
        <v>108.20234018463958</v>
      </c>
      <c r="AG119" s="772">
        <f t="shared" ref="AG119:AG123" si="75">AC119+AD119+AE119+AF119+70-10</f>
        <v>356.16434204154689</v>
      </c>
      <c r="AH119" s="1253">
        <f t="shared" si="63"/>
        <v>27.98</v>
      </c>
      <c r="AI119" s="1253">
        <f t="shared" si="64"/>
        <v>29.448</v>
      </c>
      <c r="AJ119" s="156">
        <f t="shared" si="65"/>
        <v>-7.186970434907316</v>
      </c>
      <c r="AK119" s="156">
        <f t="shared" si="66"/>
        <v>24.917214333829953</v>
      </c>
      <c r="AM119" s="716">
        <f t="shared" si="67"/>
        <v>3347.671032943435</v>
      </c>
      <c r="AN119" s="716" t="str">
        <f>_xlfn.XLOOKUP(D119,RUC!$B$3:$B$578,RUC!$M$3:$M$578)</f>
        <v>Evelyn</v>
      </c>
      <c r="AO119" s="1167" t="s">
        <v>2280</v>
      </c>
      <c r="AP119" t="s">
        <v>4364</v>
      </c>
      <c r="AQ119" t="s">
        <v>4761</v>
      </c>
      <c r="AR119" s="1674" t="s">
        <v>4765</v>
      </c>
    </row>
    <row r="120" spans="1:44" ht="15" customHeight="1">
      <c r="A120" s="747" t="s">
        <v>4746</v>
      </c>
      <c r="B120" s="1447">
        <v>46071</v>
      </c>
      <c r="C120" s="1447">
        <v>46061</v>
      </c>
      <c r="D120" t="s">
        <v>1967</v>
      </c>
      <c r="E120" s="762">
        <f>_xlfn.XLOOKUP(D120,RUC!$B$3:$B$123,RUC!$D$3:$D$123)</f>
        <v>20601769396</v>
      </c>
      <c r="G120" s="762">
        <v>40</v>
      </c>
      <c r="H120" s="762" t="s">
        <v>69</v>
      </c>
      <c r="I120" s="703">
        <v>2.86</v>
      </c>
      <c r="J120" s="596">
        <v>15.1</v>
      </c>
      <c r="K120" s="703">
        <f t="shared" si="56"/>
        <v>2.4279999999999999</v>
      </c>
      <c r="L120" s="1192">
        <v>0.33500000000000002</v>
      </c>
      <c r="M120" s="994">
        <f t="shared" si="68"/>
        <v>0.315</v>
      </c>
      <c r="N120" s="1196">
        <f t="shared" si="74"/>
        <v>0.315</v>
      </c>
      <c r="O120" s="645">
        <f t="shared" si="57"/>
        <v>0.315</v>
      </c>
      <c r="P120" s="727">
        <v>90</v>
      </c>
      <c r="Q120" s="1476">
        <v>92.240000000000009</v>
      </c>
      <c r="R120" s="706">
        <v>5039.55</v>
      </c>
      <c r="S120" s="765">
        <f>IF((_xlfn.XLOOKUP(D120,RUC!$B$3:$B$119,RUC!$E$3:$E$119)+ROUNDDOWN(O120,1)*100)&lt;95,95,((_xlfn.XLOOKUP(D120,RUC!$B$3:$B$119,RUC!$E$3:$E$119)+ROUNDDOWN(O120,1)*100)))</f>
        <v>120</v>
      </c>
      <c r="U120" s="1146">
        <f>_xlfn.XLOOKUP(D120,RUC!$B$3:$B$123,RUC!$F$3:$F$123)</f>
        <v>120</v>
      </c>
      <c r="V120" s="715">
        <v>1.1023000000000001</v>
      </c>
      <c r="Y120">
        <f>_xlfn.XLOOKUP(D120,RUC!$B$3:$B$123,RUC!$G$3:$G$123)</f>
        <v>20</v>
      </c>
      <c r="Z120" s="1454">
        <v>80</v>
      </c>
      <c r="AA120" s="144">
        <f t="shared" si="58"/>
        <v>100</v>
      </c>
      <c r="AB120" s="145">
        <f t="shared" si="70"/>
        <v>1294.8634600775003</v>
      </c>
      <c r="AC120" s="145">
        <f>+(S120-T120)*V120-'data 1'!$F$4</f>
        <v>52.27600000000001</v>
      </c>
      <c r="AD120" s="145">
        <f t="shared" si="59"/>
        <v>40.692841017360166</v>
      </c>
      <c r="AE120" s="145">
        <f t="shared" si="60"/>
        <v>40.229999999999997</v>
      </c>
      <c r="AF120" s="145">
        <f t="shared" si="61"/>
        <v>100.04018271432011</v>
      </c>
      <c r="AG120" s="772">
        <f t="shared" si="75"/>
        <v>293.23902373168028</v>
      </c>
      <c r="AH120" s="1253">
        <f t="shared" si="63"/>
        <v>25.722999999999999</v>
      </c>
      <c r="AI120" s="1253">
        <f t="shared" si="64"/>
        <v>27.887</v>
      </c>
      <c r="AJ120" s="156">
        <f t="shared" si="65"/>
        <v>-6.6590253848600636</v>
      </c>
      <c r="AK120" s="156">
        <f t="shared" si="66"/>
        <v>23.599935439560898</v>
      </c>
      <c r="AM120" s="716">
        <f t="shared" si="67"/>
        <v>3143.9284810681706</v>
      </c>
      <c r="AN120" s="716" t="str">
        <f>_xlfn.XLOOKUP(D120,RUC!$B$3:$B$578,RUC!$M$3:$M$578)</f>
        <v>Evelyn</v>
      </c>
      <c r="AO120" s="1167" t="s">
        <v>2280</v>
      </c>
      <c r="AP120" t="s">
        <v>4364</v>
      </c>
      <c r="AQ120" t="s">
        <v>4761</v>
      </c>
      <c r="AR120" s="1674" t="s">
        <v>4765</v>
      </c>
    </row>
    <row r="121" spans="1:44" ht="15" customHeight="1">
      <c r="A121" s="747" t="s">
        <v>4747</v>
      </c>
      <c r="B121" s="1447">
        <v>46071</v>
      </c>
      <c r="C121" s="1447">
        <v>46061</v>
      </c>
      <c r="D121" t="s">
        <v>1967</v>
      </c>
      <c r="E121" s="762">
        <f>_xlfn.XLOOKUP(D121,RUC!$B$3:$B$123,RUC!$D$3:$D$123)</f>
        <v>20601769396</v>
      </c>
      <c r="G121" s="762">
        <v>40</v>
      </c>
      <c r="H121" s="762" t="s">
        <v>69</v>
      </c>
      <c r="I121" s="703">
        <v>2.84</v>
      </c>
      <c r="J121" s="596">
        <v>15.3</v>
      </c>
      <c r="K121" s="703">
        <f t="shared" si="56"/>
        <v>2.4049999999999998</v>
      </c>
      <c r="L121" s="1192">
        <v>0.308</v>
      </c>
      <c r="M121" s="994">
        <f t="shared" si="68"/>
        <v>0.28999999999999998</v>
      </c>
      <c r="N121" s="1196">
        <f t="shared" si="74"/>
        <v>0.28999999999999998</v>
      </c>
      <c r="O121" s="645">
        <f t="shared" si="57"/>
        <v>0.28999999999999998</v>
      </c>
      <c r="P121" s="727">
        <v>90</v>
      </c>
      <c r="Q121" s="1476">
        <v>96.10499999999999</v>
      </c>
      <c r="R121" s="706">
        <v>5039.55</v>
      </c>
      <c r="S121" s="765">
        <f>IF((_xlfn.XLOOKUP(D121,RUC!$B$3:$B$119,RUC!$E$3:$E$119)+ROUNDDOWN(O121,1)*100)&lt;95,95,((_xlfn.XLOOKUP(D121,RUC!$B$3:$B$119,RUC!$E$3:$E$119)+ROUNDDOWN(O121,1)*100)))</f>
        <v>110</v>
      </c>
      <c r="U121" s="1146">
        <f>_xlfn.XLOOKUP(D121,RUC!$B$3:$B$123,RUC!$F$3:$F$123)</f>
        <v>120</v>
      </c>
      <c r="V121" s="715">
        <v>1.1023000000000001</v>
      </c>
      <c r="Y121">
        <f>_xlfn.XLOOKUP(D121,RUC!$B$3:$B$123,RUC!$G$3:$G$123)</f>
        <v>20</v>
      </c>
      <c r="Z121" s="1454">
        <v>80</v>
      </c>
      <c r="AA121" s="144">
        <f t="shared" si="58"/>
        <v>100</v>
      </c>
      <c r="AB121" s="145">
        <f t="shared" si="70"/>
        <v>1183.873010865</v>
      </c>
      <c r="AC121" s="145">
        <f>+(S121-T121)*V121-'data 1'!$F$4</f>
        <v>41.253</v>
      </c>
      <c r="AD121" s="145">
        <f t="shared" si="59"/>
        <v>101.96745292988082</v>
      </c>
      <c r="AE121" s="145">
        <f t="shared" si="60"/>
        <v>40.229999999999997</v>
      </c>
      <c r="AF121" s="145">
        <f t="shared" si="61"/>
        <v>93.808820292538584</v>
      </c>
      <c r="AG121" s="772">
        <f t="shared" si="75"/>
        <v>337.25927322241938</v>
      </c>
      <c r="AH121" s="1253">
        <f t="shared" si="63"/>
        <v>24.407</v>
      </c>
      <c r="AI121" s="1253">
        <f t="shared" si="64"/>
        <v>25.396999999999998</v>
      </c>
      <c r="AJ121" s="156">
        <f t="shared" si="65"/>
        <v>-6.3788629098810592</v>
      </c>
      <c r="AK121" s="156">
        <f t="shared" si="66"/>
        <v>21.521109505925246</v>
      </c>
      <c r="AM121" s="716">
        <f t="shared" si="67"/>
        <v>2847.2145911303246</v>
      </c>
      <c r="AN121" s="716" t="str">
        <f>_xlfn.XLOOKUP(D121,RUC!$B$3:$B$578,RUC!$M$3:$M$578)</f>
        <v>Evelyn</v>
      </c>
      <c r="AO121" s="1167" t="s">
        <v>2280</v>
      </c>
      <c r="AP121" t="s">
        <v>4364</v>
      </c>
      <c r="AQ121" t="s">
        <v>4761</v>
      </c>
      <c r="AR121" s="1674" t="s">
        <v>4765</v>
      </c>
    </row>
    <row r="122" spans="1:44" ht="15" customHeight="1">
      <c r="A122" s="747" t="s">
        <v>4748</v>
      </c>
      <c r="B122" s="1447">
        <v>46071</v>
      </c>
      <c r="C122" s="1447">
        <v>46061</v>
      </c>
      <c r="D122" t="s">
        <v>1967</v>
      </c>
      <c r="E122" s="762">
        <f>_xlfn.XLOOKUP(D122,RUC!$B$3:$B$123,RUC!$D$3:$D$123)</f>
        <v>20601769396</v>
      </c>
      <c r="G122" s="762">
        <v>40</v>
      </c>
      <c r="H122" s="762" t="s">
        <v>69</v>
      </c>
      <c r="I122" s="703">
        <v>2.85</v>
      </c>
      <c r="J122" s="596">
        <v>13.55</v>
      </c>
      <c r="K122" s="703">
        <f t="shared" si="56"/>
        <v>2.464</v>
      </c>
      <c r="L122" s="1192">
        <v>0.27300000000000002</v>
      </c>
      <c r="M122" s="994">
        <f t="shared" si="68"/>
        <v>0.254</v>
      </c>
      <c r="N122" s="1196">
        <f t="shared" si="74"/>
        <v>0.254</v>
      </c>
      <c r="O122" s="645">
        <f t="shared" si="57"/>
        <v>0.254</v>
      </c>
      <c r="P122" s="727">
        <v>90</v>
      </c>
      <c r="Q122" s="1476">
        <v>91.759999999999991</v>
      </c>
      <c r="R122" s="706">
        <v>5039.55</v>
      </c>
      <c r="S122" s="765">
        <f>IF((_xlfn.XLOOKUP(D122,RUC!$B$3:$B$119,RUC!$E$3:$E$119)+ROUNDDOWN(O122,1)*100)&lt;95,95,((_xlfn.XLOOKUP(D122,RUC!$B$3:$B$119,RUC!$E$3:$E$119)+ROUNDDOWN(O122,1)*100)))</f>
        <v>110</v>
      </c>
      <c r="U122" s="1146">
        <f>_xlfn.XLOOKUP(D122,RUC!$B$3:$B$123,RUC!$F$3:$F$123)</f>
        <v>120</v>
      </c>
      <c r="V122" s="715">
        <v>1.1023000000000001</v>
      </c>
      <c r="Y122">
        <f>_xlfn.XLOOKUP(D122,RUC!$B$3:$B$123,RUC!$G$3:$G$123)</f>
        <v>20</v>
      </c>
      <c r="Z122" s="1454">
        <v>80</v>
      </c>
      <c r="AA122" s="144">
        <f t="shared" si="58"/>
        <v>100</v>
      </c>
      <c r="AB122" s="145">
        <f t="shared" si="70"/>
        <v>1008.1736439990001</v>
      </c>
      <c r="AC122" s="145">
        <f>+(S122-T122)*V122-'data 1'!$F$4</f>
        <v>41.253</v>
      </c>
      <c r="AD122" s="145">
        <f t="shared" si="59"/>
        <v>26.055565367831868</v>
      </c>
      <c r="AE122" s="145">
        <f t="shared" si="60"/>
        <v>40.229999999999997</v>
      </c>
      <c r="AF122" s="145">
        <f t="shared" si="61"/>
        <v>94.543612397796096</v>
      </c>
      <c r="AG122" s="772">
        <f t="shared" si="75"/>
        <v>262.08217776562799</v>
      </c>
      <c r="AH122" s="1253">
        <f t="shared" si="63"/>
        <v>21.161999999999999</v>
      </c>
      <c r="AI122" s="1253">
        <f t="shared" si="64"/>
        <v>23.062999999999999</v>
      </c>
      <c r="AJ122" s="156">
        <f t="shared" si="65"/>
        <v>-5.3983696723320493</v>
      </c>
      <c r="AK122" s="156">
        <f t="shared" si="66"/>
        <v>19.31194424107872</v>
      </c>
      <c r="AM122" s="716">
        <f t="shared" si="67"/>
        <v>2484.1398588135362</v>
      </c>
      <c r="AN122" s="716" t="str">
        <f>_xlfn.XLOOKUP(D122,RUC!$B$3:$B$578,RUC!$M$3:$M$578)</f>
        <v>Evelyn</v>
      </c>
      <c r="AO122" s="1167" t="s">
        <v>2280</v>
      </c>
      <c r="AP122" t="s">
        <v>4364</v>
      </c>
      <c r="AQ122" t="s">
        <v>4761</v>
      </c>
      <c r="AR122" s="1674" t="s">
        <v>4765</v>
      </c>
    </row>
    <row r="123" spans="1:44" ht="15" customHeight="1">
      <c r="A123" s="747" t="s">
        <v>4749</v>
      </c>
      <c r="B123" s="1447">
        <v>46071</v>
      </c>
      <c r="C123" s="1447">
        <v>46061</v>
      </c>
      <c r="D123" t="s">
        <v>1967</v>
      </c>
      <c r="E123" s="762">
        <f>_xlfn.XLOOKUP(D123,RUC!$B$3:$B$123,RUC!$D$3:$D$123)</f>
        <v>20601769396</v>
      </c>
      <c r="G123" s="762">
        <v>40</v>
      </c>
      <c r="H123" s="762" t="s">
        <v>69</v>
      </c>
      <c r="I123" s="703">
        <v>2.84</v>
      </c>
      <c r="J123" s="596">
        <v>15.5</v>
      </c>
      <c r="K123" s="703">
        <f>ROUND(+I123-(I123*(J123/100)),3)</f>
        <v>2.4</v>
      </c>
      <c r="L123" s="1192">
        <v>0.312</v>
      </c>
      <c r="M123" s="994">
        <f t="shared" si="68"/>
        <v>0.29299999999999998</v>
      </c>
      <c r="N123" s="1196">
        <f t="shared" si="74"/>
        <v>0.29299999999999998</v>
      </c>
      <c r="O123" s="645">
        <f t="shared" si="57"/>
        <v>0.29299999999999998</v>
      </c>
      <c r="P123" s="727">
        <v>90</v>
      </c>
      <c r="Q123" s="1476">
        <v>95.03</v>
      </c>
      <c r="R123" s="706">
        <v>5039.55</v>
      </c>
      <c r="S123" s="765">
        <f>IF((_xlfn.XLOOKUP(D123,RUC!$B$3:$B$119,RUC!$E$3:$E$119)+ROUNDDOWN(O123,1)*100)&lt;95,95,((_xlfn.XLOOKUP(D123,RUC!$B$3:$B$119,RUC!$E$3:$E$119)+ROUNDDOWN(O123,1)*100)))</f>
        <v>110</v>
      </c>
      <c r="U123" s="1146">
        <f>_xlfn.XLOOKUP(D123,RUC!$B$3:$B$123,RUC!$F$3:$F$123)</f>
        <v>120</v>
      </c>
      <c r="V123" s="715">
        <v>1.1023000000000001</v>
      </c>
      <c r="Y123">
        <f>_xlfn.XLOOKUP(D123,RUC!$B$3:$B$123,RUC!$G$3:$G$123)</f>
        <v>20</v>
      </c>
      <c r="Z123" s="1454">
        <v>80</v>
      </c>
      <c r="AA123" s="144">
        <f t="shared" si="58"/>
        <v>100</v>
      </c>
      <c r="AB123" s="145">
        <f t="shared" si="70"/>
        <v>1198.5146247704999</v>
      </c>
      <c r="AC123" s="145">
        <f>+(S123-T123)*V123-'data 1'!$F$4</f>
        <v>41.253</v>
      </c>
      <c r="AD123" s="145">
        <f t="shared" si="59"/>
        <v>85.103567402724025</v>
      </c>
      <c r="AE123" s="145">
        <f t="shared" si="60"/>
        <v>40.229999999999997</v>
      </c>
      <c r="AF123" s="145">
        <f t="shared" si="61"/>
        <v>97.912810442050599</v>
      </c>
      <c r="AG123" s="772">
        <f t="shared" si="75"/>
        <v>324.49937784477464</v>
      </c>
      <c r="AH123" s="1253">
        <f t="shared" si="63"/>
        <v>24.396999999999998</v>
      </c>
      <c r="AI123" s="1253">
        <f t="shared" si="64"/>
        <v>25.672999999999998</v>
      </c>
      <c r="AJ123" s="156">
        <f t="shared" si="65"/>
        <v>-6.3894267027240597</v>
      </c>
      <c r="AK123" s="156">
        <f t="shared" si="66"/>
        <v>21.698536389083998</v>
      </c>
      <c r="AM123" s="716">
        <f t="shared" si="67"/>
        <v>2876.4350994491997</v>
      </c>
      <c r="AN123" s="716" t="str">
        <f>_xlfn.XLOOKUP(D123,RUC!$B$3:$B$578,RUC!$M$3:$M$578)</f>
        <v>Evelyn</v>
      </c>
      <c r="AO123" s="1167" t="s">
        <v>2280</v>
      </c>
      <c r="AP123" t="s">
        <v>4364</v>
      </c>
      <c r="AQ123" t="s">
        <v>4761</v>
      </c>
      <c r="AR123" s="1674" t="s">
        <v>4765</v>
      </c>
    </row>
    <row r="124" spans="1:44" ht="15" customHeight="1">
      <c r="A124" s="747" t="s">
        <v>4766</v>
      </c>
      <c r="B124" s="1447">
        <v>46072</v>
      </c>
      <c r="C124" s="1447">
        <v>46064</v>
      </c>
      <c r="D124" t="s">
        <v>1967</v>
      </c>
      <c r="E124" s="762">
        <f>_xlfn.XLOOKUP(D124,RUC!$B$3:$B$123,RUC!$D$3:$D$123)</f>
        <v>20601769396</v>
      </c>
      <c r="G124" s="762">
        <v>51</v>
      </c>
      <c r="H124" s="762" t="s">
        <v>2005</v>
      </c>
      <c r="I124" s="703">
        <v>4.09</v>
      </c>
      <c r="J124" s="596">
        <v>10</v>
      </c>
      <c r="K124" s="703">
        <f t="shared" si="56"/>
        <v>3.681</v>
      </c>
      <c r="L124" s="1192">
        <v>0.24099999999999999</v>
      </c>
      <c r="M124" s="994">
        <f t="shared" ref="M124:M138" si="76">ROUND(+IF(AN124="Melchor Vera",IF(L124&gt;0.467,L124*0.985,(L124-0.007)),IF(L124&gt;0.3,L124*0.94,(L124-0.019))),3)</f>
        <v>0.222</v>
      </c>
      <c r="N124" s="1444">
        <v>0.28000000000000003</v>
      </c>
      <c r="O124" s="645">
        <f t="shared" si="57"/>
        <v>0.251</v>
      </c>
      <c r="P124" s="727">
        <v>90</v>
      </c>
      <c r="Q124" s="1476">
        <v>91.495000000000005</v>
      </c>
      <c r="R124" s="706">
        <v>5077.8500000000004</v>
      </c>
      <c r="S124" s="765">
        <f>IF((_xlfn.XLOOKUP(D124,RUC!$B$3:$B$119,RUC!$E$3:$E$119)+ROUNDDOWN(O124,1)*100)&lt;95,95,((_xlfn.XLOOKUP(D124,RUC!$B$3:$B$119,RUC!$E$3:$E$119)+ROUNDDOWN(O124,1)*100)))</f>
        <v>110</v>
      </c>
      <c r="U124" s="1146">
        <f>_xlfn.XLOOKUP(D124,RUC!$B$3:$B$123,RUC!$F$3:$F$123)</f>
        <v>120</v>
      </c>
      <c r="V124" s="715">
        <v>1.1023000000000001</v>
      </c>
      <c r="Y124" s="1445">
        <v>50</v>
      </c>
      <c r="Z124" s="143">
        <f>_xlfn.XLOOKUP(D124,RUC!$B$3:$B$123,RUC!$H$3:$H$123)</f>
        <v>30</v>
      </c>
      <c r="AA124" s="144">
        <f t="shared" si="58"/>
        <v>80</v>
      </c>
      <c r="AB124" s="145">
        <f t="shared" si="70"/>
        <v>1025.1150966245002</v>
      </c>
      <c r="AC124" s="145">
        <f>+(S124-T124)*V124-'data 1'!$F$4</f>
        <v>41.253</v>
      </c>
      <c r="AD124" s="145">
        <f t="shared" si="59"/>
        <v>19.690258860262315</v>
      </c>
      <c r="AE124" s="145">
        <f t="shared" si="60"/>
        <v>18.184000000000005</v>
      </c>
      <c r="AF124" s="145">
        <f t="shared" si="61"/>
        <v>-50.002365684222561</v>
      </c>
      <c r="AG124" s="772">
        <f t="shared" ref="AG124:AG133" si="77">AC124+AD124+AE124+AF124+70-10</f>
        <v>89.124893176039762</v>
      </c>
      <c r="AH124" s="1253">
        <f t="shared" si="63"/>
        <v>27.827999999999999</v>
      </c>
      <c r="AI124" s="1253">
        <f t="shared" si="64"/>
        <v>30.414999999999999</v>
      </c>
      <c r="AJ124" s="156">
        <f t="shared" si="65"/>
        <v>-14.061044243262341</v>
      </c>
      <c r="AK124" s="156">
        <f t="shared" si="66"/>
        <v>28.509599579782098</v>
      </c>
      <c r="AM124" s="716">
        <f t="shared" si="67"/>
        <v>3773.4486706747853</v>
      </c>
      <c r="AN124" s="716" t="str">
        <f>_xlfn.XLOOKUP(D124,RUC!$B$3:$B$578,RUC!$M$3:$M$578)</f>
        <v>Evelyn</v>
      </c>
      <c r="AO124" s="1167" t="s">
        <v>2279</v>
      </c>
      <c r="AP124" t="s">
        <v>4801</v>
      </c>
      <c r="AQ124" t="s">
        <v>4802</v>
      </c>
    </row>
    <row r="125" spans="1:44" ht="15" customHeight="1">
      <c r="A125" s="747" t="s">
        <v>4767</v>
      </c>
      <c r="B125" s="1447">
        <v>46072</v>
      </c>
      <c r="C125" s="1447">
        <v>46064</v>
      </c>
      <c r="D125" t="s">
        <v>1967</v>
      </c>
      <c r="E125" s="762">
        <f>_xlfn.XLOOKUP(D125,RUC!$B$3:$B$123,RUC!$D$3:$D$123)</f>
        <v>20601769396</v>
      </c>
      <c r="G125" s="762">
        <v>50</v>
      </c>
      <c r="H125" s="762" t="s">
        <v>2005</v>
      </c>
      <c r="I125" s="703">
        <v>4.01</v>
      </c>
      <c r="J125" s="596">
        <v>13.3</v>
      </c>
      <c r="K125" s="703">
        <f t="shared" si="56"/>
        <v>3.4769999999999999</v>
      </c>
      <c r="L125" s="1192">
        <v>0.20699999999999999</v>
      </c>
      <c r="M125" s="994">
        <f t="shared" si="76"/>
        <v>0.188</v>
      </c>
      <c r="N125" s="1444">
        <v>0.254</v>
      </c>
      <c r="O125" s="645">
        <f t="shared" si="57"/>
        <v>0.221</v>
      </c>
      <c r="P125" s="727">
        <v>89</v>
      </c>
      <c r="Q125" s="1476">
        <v>89.13</v>
      </c>
      <c r="R125" s="706">
        <v>5077.8500000000004</v>
      </c>
      <c r="S125" s="765">
        <f>IF((_xlfn.XLOOKUP(D125,RUC!$B$3:$B$119,RUC!$E$3:$E$119)+ROUNDDOWN(O125,1)*100)&lt;95,95,((_xlfn.XLOOKUP(D125,RUC!$B$3:$B$119,RUC!$E$3:$E$119)+ROUNDDOWN(O125,1)*100)))</f>
        <v>110</v>
      </c>
      <c r="U125" s="1146">
        <f>_xlfn.XLOOKUP(D125,RUC!$B$3:$B$123,RUC!$F$3:$F$123)</f>
        <v>120</v>
      </c>
      <c r="V125" s="715">
        <v>1.1023000000000001</v>
      </c>
      <c r="Y125" s="1445">
        <v>50</v>
      </c>
      <c r="Z125" s="143">
        <f>_xlfn.XLOOKUP(D125,RUC!$B$3:$B$123,RUC!$H$3:$H$123)</f>
        <v>30</v>
      </c>
      <c r="AA125" s="144">
        <f t="shared" si="58"/>
        <v>80</v>
      </c>
      <c r="AB125" s="145">
        <f t="shared" si="70"/>
        <v>865.48133503795009</v>
      </c>
      <c r="AC125" s="145">
        <f>+(S125-T125)*V125-'data 1'!$F$4</f>
        <v>41.253</v>
      </c>
      <c r="AD125" s="145">
        <f t="shared" si="59"/>
        <v>1.4706417406004484</v>
      </c>
      <c r="AE125" s="145">
        <f t="shared" si="60"/>
        <v>18.184000000000005</v>
      </c>
      <c r="AF125" s="145">
        <f t="shared" si="61"/>
        <v>-68.193837857901059</v>
      </c>
      <c r="AG125" s="772">
        <f t="shared" si="77"/>
        <v>52.713803882699395</v>
      </c>
      <c r="AH125" s="1253">
        <f t="shared" si="63"/>
        <v>21.994</v>
      </c>
      <c r="AI125" s="1253">
        <f t="shared" si="64"/>
        <v>24.677</v>
      </c>
      <c r="AJ125" s="156">
        <f t="shared" si="65"/>
        <v>-11.765148756250573</v>
      </c>
      <c r="AK125" s="156">
        <f t="shared" si="66"/>
        <v>23.447472776002996</v>
      </c>
      <c r="AM125" s="716">
        <f t="shared" si="67"/>
        <v>3009.2786019269524</v>
      </c>
      <c r="AN125" s="716" t="str">
        <f>_xlfn.XLOOKUP(D125,RUC!$B$3:$B$578,RUC!$M$3:$M$578)</f>
        <v>Evelyn</v>
      </c>
      <c r="AO125" s="1167" t="s">
        <v>2279</v>
      </c>
      <c r="AP125" t="s">
        <v>4801</v>
      </c>
      <c r="AQ125" t="s">
        <v>4802</v>
      </c>
    </row>
    <row r="126" spans="1:44" ht="15" customHeight="1">
      <c r="A126" s="747" t="s">
        <v>4768</v>
      </c>
      <c r="B126" s="1447">
        <v>46072</v>
      </c>
      <c r="C126" s="1447">
        <v>46064</v>
      </c>
      <c r="D126" t="s">
        <v>1967</v>
      </c>
      <c r="E126" s="762">
        <f>_xlfn.XLOOKUP(D126,RUC!$B$3:$B$123,RUC!$D$3:$D$123)</f>
        <v>20601769396</v>
      </c>
      <c r="G126" s="762">
        <v>50</v>
      </c>
      <c r="H126" s="762" t="s">
        <v>2005</v>
      </c>
      <c r="I126" s="703">
        <v>3.87</v>
      </c>
      <c r="J126" s="596">
        <v>14.16</v>
      </c>
      <c r="K126" s="703">
        <f t="shared" si="56"/>
        <v>3.3220000000000001</v>
      </c>
      <c r="L126" s="1192">
        <v>0.22800000000000001</v>
      </c>
      <c r="M126" s="994">
        <f t="shared" si="76"/>
        <v>0.20899999999999999</v>
      </c>
      <c r="N126" s="1444">
        <v>0.27700000000000002</v>
      </c>
      <c r="O126" s="645">
        <f t="shared" si="57"/>
        <v>0.24299999999999999</v>
      </c>
      <c r="P126" s="727">
        <v>87</v>
      </c>
      <c r="Q126" s="1476">
        <v>87.28</v>
      </c>
      <c r="R126" s="706">
        <v>5077.8500000000004</v>
      </c>
      <c r="S126" s="765">
        <f>IF((_xlfn.XLOOKUP(D126,RUC!$B$3:$B$119,RUC!$E$3:$E$119)+ROUNDDOWN(O126,1)*100)&lt;95,95,((_xlfn.XLOOKUP(D126,RUC!$B$3:$B$119,RUC!$E$3:$E$119)+ROUNDDOWN(O126,1)*100)))</f>
        <v>110</v>
      </c>
      <c r="U126" s="1146">
        <f>_xlfn.XLOOKUP(D126,RUC!$B$3:$B$123,RUC!$F$3:$F$123)</f>
        <v>120</v>
      </c>
      <c r="V126" s="715">
        <v>1.1023000000000001</v>
      </c>
      <c r="Y126" s="1445">
        <v>50</v>
      </c>
      <c r="Z126" s="143">
        <f>_xlfn.XLOOKUP(D126,RUC!$B$3:$B$123,RUC!$H$3:$H$123)</f>
        <v>30</v>
      </c>
      <c r="AA126" s="144">
        <f t="shared" si="58"/>
        <v>80</v>
      </c>
      <c r="AB126" s="145">
        <f t="shared" si="70"/>
        <v>945.92669520754998</v>
      </c>
      <c r="AC126" s="145">
        <f>+(S126-T126)*V126-'data 1'!$F$4</f>
        <v>41.253</v>
      </c>
      <c r="AD126" s="145">
        <f t="shared" si="59"/>
        <v>3.4888802943120152</v>
      </c>
      <c r="AE126" s="145">
        <f t="shared" si="60"/>
        <v>18.184000000000005</v>
      </c>
      <c r="AF126" s="145">
        <f t="shared" si="61"/>
        <v>-71.548278216059941</v>
      </c>
      <c r="AG126" s="772">
        <f t="shared" si="77"/>
        <v>51.377602078252082</v>
      </c>
      <c r="AH126" s="1253">
        <f t="shared" si="63"/>
        <v>22.664999999999999</v>
      </c>
      <c r="AI126" s="1253">
        <f t="shared" si="64"/>
        <v>25.968</v>
      </c>
      <c r="AJ126" s="156">
        <f t="shared" si="65"/>
        <v>-12.689740916112083</v>
      </c>
      <c r="AK126" s="156">
        <f t="shared" si="66"/>
        <v>24.078765854774964</v>
      </c>
      <c r="AM126" s="716">
        <f t="shared" si="67"/>
        <v>3142.368481479481</v>
      </c>
      <c r="AN126" s="716" t="str">
        <f>_xlfn.XLOOKUP(D126,RUC!$B$3:$B$578,RUC!$M$3:$M$578)</f>
        <v>Evelyn</v>
      </c>
      <c r="AO126" s="1167" t="s">
        <v>2279</v>
      </c>
      <c r="AP126" t="s">
        <v>4801</v>
      </c>
      <c r="AQ126" t="s">
        <v>4802</v>
      </c>
    </row>
    <row r="127" spans="1:44" ht="15" customHeight="1">
      <c r="A127" s="747" t="s">
        <v>4769</v>
      </c>
      <c r="B127" s="1447">
        <v>46070</v>
      </c>
      <c r="C127" s="1447">
        <v>46064</v>
      </c>
      <c r="D127" t="s">
        <v>1967</v>
      </c>
      <c r="E127" s="762">
        <f>_xlfn.XLOOKUP(D127,RUC!$B$3:$B$123,RUC!$D$3:$D$123)</f>
        <v>20601769396</v>
      </c>
      <c r="G127" s="762">
        <v>22</v>
      </c>
      <c r="H127" s="762" t="s">
        <v>2005</v>
      </c>
      <c r="I127" s="703">
        <v>1.67</v>
      </c>
      <c r="J127" s="596">
        <v>12.9</v>
      </c>
      <c r="K127" s="703">
        <f t="shared" si="56"/>
        <v>1.4550000000000001</v>
      </c>
      <c r="L127" s="1192">
        <v>0.56699999999999995</v>
      </c>
      <c r="M127" s="994">
        <f t="shared" si="76"/>
        <v>0.53300000000000003</v>
      </c>
      <c r="N127" s="1196">
        <f t="shared" si="74"/>
        <v>0.53300000000000003</v>
      </c>
      <c r="O127" s="645">
        <f t="shared" si="57"/>
        <v>0.53300000000000003</v>
      </c>
      <c r="P127" s="727">
        <v>90</v>
      </c>
      <c r="Q127" s="1476">
        <v>96.3</v>
      </c>
      <c r="R127" s="706">
        <v>5077.8500000000004</v>
      </c>
      <c r="S127" s="765">
        <f>IF((_xlfn.XLOOKUP(D127,RUC!$B$3:$B$119,RUC!$E$3:$E$119)+ROUNDDOWN(O127,1)*100)&lt;95,95,((_xlfn.XLOOKUP(D127,RUC!$B$3:$B$119,RUC!$E$3:$E$119)+ROUNDDOWN(O127,1)*100)))</f>
        <v>140</v>
      </c>
      <c r="U127" s="1146">
        <f>_xlfn.XLOOKUP(D127,RUC!$B$3:$B$123,RUC!$F$3:$F$123)</f>
        <v>120</v>
      </c>
      <c r="V127" s="715">
        <v>1.1023000000000001</v>
      </c>
      <c r="Y127">
        <f>_xlfn.XLOOKUP(D127,RUC!$B$3:$B$123,RUC!$G$3:$G$123)</f>
        <v>20</v>
      </c>
      <c r="Z127" s="143">
        <f>_xlfn.XLOOKUP(D127,RUC!$B$3:$B$123,RUC!$H$3:$H$123)</f>
        <v>30</v>
      </c>
      <c r="AA127" s="144">
        <f t="shared" si="58"/>
        <v>50</v>
      </c>
      <c r="AB127" s="145">
        <f t="shared" si="70"/>
        <v>2412.1417549835005</v>
      </c>
      <c r="AC127" s="145">
        <f>+(S127-T127)*V127-'data 1'!$F$4</f>
        <v>74.322000000000003</v>
      </c>
      <c r="AD127" s="145">
        <f t="shared" si="59"/>
        <v>195.21662436265495</v>
      </c>
      <c r="AE127" s="145">
        <f t="shared" si="60"/>
        <v>-14.884999999999998</v>
      </c>
      <c r="AF127" s="145">
        <f t="shared" si="61"/>
        <v>178.93627599680957</v>
      </c>
      <c r="AG127" s="772">
        <f t="shared" si="77"/>
        <v>493.58990035946454</v>
      </c>
      <c r="AH127" s="1253">
        <f t="shared" si="63"/>
        <v>27.238</v>
      </c>
      <c r="AI127" s="1253">
        <f t="shared" si="64"/>
        <v>28.285</v>
      </c>
      <c r="AJ127" s="156">
        <f t="shared" si="65"/>
        <v>-34.818697159155221</v>
      </c>
      <c r="AK127" s="156">
        <f t="shared" si="66"/>
        <v>23.929949442236179</v>
      </c>
      <c r="AM127" s="716">
        <f t="shared" si="67"/>
        <v>3509.6662535009932</v>
      </c>
      <c r="AN127" s="716" t="str">
        <f>_xlfn.XLOOKUP(D127,RUC!$B$3:$B$578,RUC!$M$3:$M$578)</f>
        <v>Evelyn</v>
      </c>
      <c r="AO127" s="1167" t="s">
        <v>2280</v>
      </c>
      <c r="AP127" t="s">
        <v>4801</v>
      </c>
      <c r="AQ127" t="s">
        <v>4802</v>
      </c>
    </row>
    <row r="128" spans="1:44" ht="15" customHeight="1">
      <c r="A128" s="747" t="s">
        <v>4770</v>
      </c>
      <c r="B128" s="1447">
        <v>46070</v>
      </c>
      <c r="C128" s="1447">
        <v>46064</v>
      </c>
      <c r="D128" t="s">
        <v>1967</v>
      </c>
      <c r="E128" s="762">
        <f>_xlfn.XLOOKUP(D128,RUC!$B$3:$B$123,RUC!$D$3:$D$123)</f>
        <v>20601769396</v>
      </c>
      <c r="G128" s="762">
        <v>13</v>
      </c>
      <c r="H128" s="762" t="s">
        <v>2005</v>
      </c>
      <c r="I128" s="703">
        <v>1.01</v>
      </c>
      <c r="J128" s="596">
        <v>15.5</v>
      </c>
      <c r="K128" s="703">
        <f t="shared" si="56"/>
        <v>0.85299999999999998</v>
      </c>
      <c r="L128" s="1192">
        <v>0.224</v>
      </c>
      <c r="M128" s="994">
        <f t="shared" si="76"/>
        <v>0.20499999999999999</v>
      </c>
      <c r="N128" s="1196">
        <f t="shared" si="74"/>
        <v>0.20499999999999999</v>
      </c>
      <c r="O128" s="645">
        <f t="shared" si="57"/>
        <v>0.20499999999999999</v>
      </c>
      <c r="P128" s="727">
        <v>90</v>
      </c>
      <c r="Q128" s="1476">
        <v>90.63</v>
      </c>
      <c r="R128" s="706">
        <v>5077.8500000000004</v>
      </c>
      <c r="S128" s="765">
        <f>IF((_xlfn.XLOOKUP(D128,RUC!$B$3:$B$119,RUC!$E$3:$E$119)+ROUNDDOWN(O128,1)*100)&lt;95,95,((_xlfn.XLOOKUP(D128,RUC!$B$3:$B$119,RUC!$E$3:$E$119)+ROUNDDOWN(O128,1)*100)))</f>
        <v>110</v>
      </c>
      <c r="U128" s="1146">
        <f>_xlfn.XLOOKUP(D128,RUC!$B$3:$B$123,RUC!$F$3:$F$123)</f>
        <v>120</v>
      </c>
      <c r="V128" s="715">
        <v>1.1023000000000001</v>
      </c>
      <c r="Y128">
        <f>_xlfn.XLOOKUP(D128,RUC!$B$3:$B$123,RUC!$G$3:$G$123)</f>
        <v>20</v>
      </c>
      <c r="Z128" s="143">
        <f>_xlfn.XLOOKUP(D128,RUC!$B$3:$B$123,RUC!$H$3:$H$123)</f>
        <v>30</v>
      </c>
      <c r="AA128" s="144">
        <f t="shared" si="58"/>
        <v>50</v>
      </c>
      <c r="AB128" s="145">
        <f t="shared" si="70"/>
        <v>831.93152114750012</v>
      </c>
      <c r="AC128" s="145">
        <f>+(S128-T128)*V128-'data 1'!$F$4</f>
        <v>41.253</v>
      </c>
      <c r="AD128" s="145">
        <f t="shared" si="59"/>
        <v>7.7122617032159448</v>
      </c>
      <c r="AE128" s="145">
        <f t="shared" si="60"/>
        <v>-14.884999999999998</v>
      </c>
      <c r="AF128" s="145">
        <f t="shared" si="61"/>
        <v>94.106315795683599</v>
      </c>
      <c r="AG128" s="772">
        <f t="shared" si="77"/>
        <v>188.18657749889954</v>
      </c>
      <c r="AH128" s="1253">
        <f t="shared" si="63"/>
        <v>5.9370000000000003</v>
      </c>
      <c r="AI128" s="1253">
        <f t="shared" si="64"/>
        <v>6.5510000000000002</v>
      </c>
      <c r="AJ128" s="156">
        <f t="shared" si="65"/>
        <v>-12.945629367216078</v>
      </c>
      <c r="AK128" s="156">
        <f t="shared" si="66"/>
        <v>5.3957829432269246</v>
      </c>
      <c r="AM128" s="716">
        <f t="shared" si="67"/>
        <v>709.63758753881757</v>
      </c>
      <c r="AN128" s="716" t="str">
        <f>_xlfn.XLOOKUP(D128,RUC!$B$3:$B$578,RUC!$M$3:$M$578)</f>
        <v>Evelyn</v>
      </c>
      <c r="AO128" s="1167" t="s">
        <v>2279</v>
      </c>
      <c r="AP128" t="s">
        <v>4801</v>
      </c>
      <c r="AQ128" t="s">
        <v>4802</v>
      </c>
    </row>
    <row r="129" spans="1:43" ht="15" customHeight="1">
      <c r="A129" s="747" t="s">
        <v>4771</v>
      </c>
      <c r="B129" s="1447">
        <v>46070</v>
      </c>
      <c r="C129" s="1447">
        <v>46064</v>
      </c>
      <c r="D129" t="s">
        <v>1967</v>
      </c>
      <c r="E129" s="762">
        <f>_xlfn.XLOOKUP(D129,RUC!$B$3:$B$123,RUC!$D$3:$D$123)</f>
        <v>20601769396</v>
      </c>
      <c r="G129" s="762">
        <v>26</v>
      </c>
      <c r="H129" s="762" t="s">
        <v>2005</v>
      </c>
      <c r="I129" s="703">
        <v>1.89</v>
      </c>
      <c r="J129" s="596">
        <v>15.4</v>
      </c>
      <c r="K129" s="703">
        <f t="shared" si="56"/>
        <v>1.599</v>
      </c>
      <c r="L129" s="1192">
        <v>0.374</v>
      </c>
      <c r="M129" s="994">
        <f>ROUND(+IF(AN129="Melchor Vera",IF(L129&gt;0.467,L129*0.985,(L129-0.007)),IF(L129&gt;0.3,L129*0.93,(L129-0.019))),3)</f>
        <v>0.34799999999999998</v>
      </c>
      <c r="N129" s="1196">
        <f t="shared" si="74"/>
        <v>0.34799999999999998</v>
      </c>
      <c r="O129" s="645">
        <f t="shared" si="57"/>
        <v>0.34799999999999998</v>
      </c>
      <c r="P129" s="727">
        <v>90</v>
      </c>
      <c r="Q129" s="1476">
        <v>90.11</v>
      </c>
      <c r="R129" s="706">
        <v>5077.8500000000004</v>
      </c>
      <c r="S129" s="765">
        <f>IF((_xlfn.XLOOKUP(D129,RUC!$B$3:$B$119,RUC!$E$3:$E$119)+ROUNDDOWN(O129,1)*100)&lt;95,95,((_xlfn.XLOOKUP(D129,RUC!$B$3:$B$119,RUC!$E$3:$E$119)+ROUNDDOWN(O129,1)*100)))</f>
        <v>120</v>
      </c>
      <c r="U129" s="1146">
        <f>_xlfn.XLOOKUP(D129,RUC!$B$3:$B$123,RUC!$F$3:$F$123)</f>
        <v>120</v>
      </c>
      <c r="V129" s="715">
        <v>1.1023000000000001</v>
      </c>
      <c r="Y129" s="1445">
        <v>25</v>
      </c>
      <c r="Z129" s="143">
        <f>_xlfn.XLOOKUP(D129,RUC!$B$3:$B$123,RUC!$H$3:$H$123)</f>
        <v>30</v>
      </c>
      <c r="AA129" s="144">
        <f t="shared" si="58"/>
        <v>55</v>
      </c>
      <c r="AB129" s="145">
        <f t="shared" si="70"/>
        <v>1518.7474188260001</v>
      </c>
      <c r="AC129" s="145">
        <f>+(S129-T129)*V129-'data 1'!$F$4</f>
        <v>52.27600000000001</v>
      </c>
      <c r="AD129" s="145">
        <f t="shared" si="59"/>
        <v>2.2483166558269887</v>
      </c>
      <c r="AE129" s="145">
        <f t="shared" si="60"/>
        <v>-9.3734999999999928</v>
      </c>
      <c r="AF129" s="145">
        <f t="shared" si="61"/>
        <v>128.03819057537311</v>
      </c>
      <c r="AG129" s="772">
        <f t="shared" si="77"/>
        <v>233.18900723120012</v>
      </c>
      <c r="AH129" s="1253">
        <f t="shared" si="63"/>
        <v>18.475999999999999</v>
      </c>
      <c r="AI129" s="1253">
        <f t="shared" si="64"/>
        <v>20.504000000000001</v>
      </c>
      <c r="AJ129" s="156">
        <f t="shared" si="65"/>
        <v>-21.490561490827137</v>
      </c>
      <c r="AK129" s="156">
        <f t="shared" si="66"/>
        <v>17.17035547607874</v>
      </c>
      <c r="AM129" s="716">
        <f t="shared" si="67"/>
        <v>2428.4771227027741</v>
      </c>
      <c r="AN129" s="716" t="str">
        <f>_xlfn.XLOOKUP(D129,RUC!$B$3:$B$578,RUC!$M$3:$M$578)</f>
        <v>Evelyn</v>
      </c>
      <c r="AO129" s="1167" t="s">
        <v>2279</v>
      </c>
      <c r="AP129" t="s">
        <v>4801</v>
      </c>
      <c r="AQ129" t="s">
        <v>4802</v>
      </c>
    </row>
    <row r="130" spans="1:43" ht="15" customHeight="1">
      <c r="A130" s="747" t="s">
        <v>4772</v>
      </c>
      <c r="B130" s="1447">
        <v>46070</v>
      </c>
      <c r="C130" s="1447">
        <v>46064</v>
      </c>
      <c r="D130" t="s">
        <v>1967</v>
      </c>
      <c r="E130" s="762">
        <f>_xlfn.XLOOKUP(D130,RUC!$B$3:$B$123,RUC!$D$3:$D$123)</f>
        <v>20601769396</v>
      </c>
      <c r="G130" s="762">
        <v>19</v>
      </c>
      <c r="H130" s="762" t="s">
        <v>2005</v>
      </c>
      <c r="I130" s="703">
        <v>1.53</v>
      </c>
      <c r="J130" s="596">
        <v>16.899999999999999</v>
      </c>
      <c r="K130" s="703">
        <f t="shared" si="56"/>
        <v>1.2709999999999999</v>
      </c>
      <c r="L130" s="1192">
        <v>0.53900000000000003</v>
      </c>
      <c r="M130" s="994">
        <f t="shared" si="76"/>
        <v>0.50700000000000001</v>
      </c>
      <c r="N130" s="1196">
        <f t="shared" si="74"/>
        <v>0.50700000000000001</v>
      </c>
      <c r="O130" s="645">
        <f t="shared" si="57"/>
        <v>0.50700000000000001</v>
      </c>
      <c r="P130" s="727">
        <v>90</v>
      </c>
      <c r="Q130" s="1476">
        <v>92.76</v>
      </c>
      <c r="R130" s="706">
        <v>5077.8500000000004</v>
      </c>
      <c r="S130" s="765">
        <f>IF((_xlfn.XLOOKUP(D130,RUC!$B$3:$B$119,RUC!$E$3:$E$119)+ROUNDDOWN(O130,1)*100)&lt;95,95,((_xlfn.XLOOKUP(D130,RUC!$B$3:$B$119,RUC!$E$3:$E$119)+ROUNDDOWN(O130,1)*100)))</f>
        <v>140</v>
      </c>
      <c r="U130" s="1146">
        <f>_xlfn.XLOOKUP(D130,RUC!$B$3:$B$123,RUC!$F$3:$F$123)</f>
        <v>120</v>
      </c>
      <c r="V130" s="715">
        <v>1.1023000000000001</v>
      </c>
      <c r="Y130" s="1445">
        <v>25</v>
      </c>
      <c r="Z130" s="143">
        <f>_xlfn.XLOOKUP(D130,RUC!$B$3:$B$123,RUC!$H$3:$H$123)</f>
        <v>30</v>
      </c>
      <c r="AA130" s="144">
        <f t="shared" si="58"/>
        <v>55</v>
      </c>
      <c r="AB130" s="145">
        <f t="shared" si="70"/>
        <v>2278.7483644965005</v>
      </c>
      <c r="AC130" s="145">
        <f>+(S130-T130)*V130-'data 1'!$F$4</f>
        <v>74.322000000000003</v>
      </c>
      <c r="AD130" s="145">
        <f t="shared" si="59"/>
        <v>81.300092121402173</v>
      </c>
      <c r="AE130" s="145">
        <f t="shared" si="60"/>
        <v>-9.3734999999999928</v>
      </c>
      <c r="AF130" s="145">
        <f t="shared" si="61"/>
        <v>162.21981759417619</v>
      </c>
      <c r="AG130" s="772">
        <f t="shared" si="77"/>
        <v>368.46840971557833</v>
      </c>
      <c r="AH130" s="1253">
        <f t="shared" si="63"/>
        <v>21.786999999999999</v>
      </c>
      <c r="AI130" s="1253">
        <f t="shared" si="64"/>
        <v>23.488</v>
      </c>
      <c r="AJ130" s="156">
        <f t="shared" si="65"/>
        <v>-31.882522573902207</v>
      </c>
      <c r="AK130" s="156">
        <f t="shared" si="66"/>
        <v>19.884061082930263</v>
      </c>
      <c r="AM130" s="716">
        <f t="shared" si="67"/>
        <v>2896.289171275052</v>
      </c>
      <c r="AN130" s="716" t="str">
        <f>_xlfn.XLOOKUP(D130,RUC!$B$3:$B$578,RUC!$M$3:$M$578)</f>
        <v>Evelyn</v>
      </c>
      <c r="AO130" s="1167" t="s">
        <v>2279</v>
      </c>
      <c r="AP130" t="s">
        <v>4801</v>
      </c>
      <c r="AQ130" t="s">
        <v>4802</v>
      </c>
    </row>
    <row r="131" spans="1:43" ht="15" customHeight="1">
      <c r="A131" s="747" t="s">
        <v>4773</v>
      </c>
      <c r="B131" s="1447">
        <v>46071</v>
      </c>
      <c r="C131" s="1447">
        <v>46064</v>
      </c>
      <c r="D131" t="s">
        <v>1967</v>
      </c>
      <c r="E131" s="762">
        <f>_xlfn.XLOOKUP(D131,RUC!$B$3:$B$123,RUC!$D$3:$D$123)</f>
        <v>20601769396</v>
      </c>
      <c r="G131" s="762">
        <v>31</v>
      </c>
      <c r="H131" s="762" t="s">
        <v>2005</v>
      </c>
      <c r="I131" s="703">
        <v>2.34</v>
      </c>
      <c r="J131" s="596">
        <v>13.85</v>
      </c>
      <c r="K131" s="703">
        <f t="shared" si="56"/>
        <v>2.016</v>
      </c>
      <c r="L131" s="1192">
        <v>0.46400000000000002</v>
      </c>
      <c r="M131" s="994">
        <f t="shared" si="76"/>
        <v>0.436</v>
      </c>
      <c r="N131" s="1196">
        <f t="shared" si="74"/>
        <v>0.436</v>
      </c>
      <c r="O131" s="645">
        <f t="shared" si="57"/>
        <v>0.436</v>
      </c>
      <c r="P131" s="727">
        <v>87</v>
      </c>
      <c r="Q131" s="1476">
        <v>87.28</v>
      </c>
      <c r="R131" s="706">
        <v>5077.8500000000004</v>
      </c>
      <c r="S131" s="765">
        <f>IF((_xlfn.XLOOKUP(D131,RUC!$B$3:$B$119,RUC!$E$3:$E$119)+ROUNDDOWN(O131,1)*100)&lt;95,95,((_xlfn.XLOOKUP(D131,RUC!$B$3:$B$119,RUC!$E$3:$E$119)+ROUNDDOWN(O131,1)*100)))</f>
        <v>130</v>
      </c>
      <c r="U131" s="1146">
        <f>_xlfn.XLOOKUP(D131,RUC!$B$3:$B$123,RUC!$F$3:$F$123)</f>
        <v>120</v>
      </c>
      <c r="V131" s="715">
        <v>1.1023000000000001</v>
      </c>
      <c r="Y131">
        <f>_xlfn.XLOOKUP(D131,RUC!$B$3:$B$123,RUC!$G$3:$G$123)</f>
        <v>20</v>
      </c>
      <c r="Z131" s="143">
        <f>_xlfn.XLOOKUP(D131,RUC!$B$3:$B$123,RUC!$H$3:$H$123)</f>
        <v>30</v>
      </c>
      <c r="AA131" s="144">
        <f t="shared" si="58"/>
        <v>50</v>
      </c>
      <c r="AB131" s="145">
        <f t="shared" si="70"/>
        <v>1874.5842350226003</v>
      </c>
      <c r="AC131" s="145">
        <f>+(S131-T131)*V131-'data 1'!$F$4</f>
        <v>63.299000000000007</v>
      </c>
      <c r="AD131" s="145">
        <f t="shared" si="59"/>
        <v>7.1001774410560303</v>
      </c>
      <c r="AE131" s="145">
        <f t="shared" si="60"/>
        <v>-14.884999999999998</v>
      </c>
      <c r="AF131" s="145">
        <f t="shared" si="61"/>
        <v>133.55678600331214</v>
      </c>
      <c r="AG131" s="772">
        <f t="shared" si="77"/>
        <v>249.0709634443682</v>
      </c>
      <c r="AH131" s="1253">
        <f t="shared" si="63"/>
        <v>27.992000000000001</v>
      </c>
      <c r="AI131" s="1253">
        <f t="shared" si="64"/>
        <v>32.070999999999998</v>
      </c>
      <c r="AJ131" s="156">
        <f t="shared" si="65"/>
        <v>-25.824735899456169</v>
      </c>
      <c r="AK131" s="156">
        <f t="shared" si="66"/>
        <v>26.218348924574016</v>
      </c>
      <c r="AM131" s="716">
        <f t="shared" si="67"/>
        <v>3779.1618178055624</v>
      </c>
      <c r="AN131" s="716" t="str">
        <f>_xlfn.XLOOKUP(D131,RUC!$B$3:$B$578,RUC!$M$3:$M$578)</f>
        <v>Evelyn</v>
      </c>
      <c r="AO131" s="1167" t="s">
        <v>2279</v>
      </c>
      <c r="AP131" t="s">
        <v>4801</v>
      </c>
      <c r="AQ131" t="s">
        <v>4802</v>
      </c>
    </row>
    <row r="132" spans="1:43" ht="15" customHeight="1">
      <c r="A132" s="747" t="s">
        <v>4774</v>
      </c>
      <c r="B132" s="1447">
        <v>46071</v>
      </c>
      <c r="C132" s="1447">
        <v>46064</v>
      </c>
      <c r="D132" t="s">
        <v>1967</v>
      </c>
      <c r="E132" s="762">
        <f>_xlfn.XLOOKUP(D132,RUC!$B$3:$B$123,RUC!$D$3:$D$123)</f>
        <v>20601769396</v>
      </c>
      <c r="G132" s="762">
        <v>31</v>
      </c>
      <c r="H132" s="762" t="s">
        <v>2005</v>
      </c>
      <c r="I132" s="703">
        <v>2.31</v>
      </c>
      <c r="J132" s="596">
        <v>16.100000000000001</v>
      </c>
      <c r="K132" s="703">
        <f t="shared" si="56"/>
        <v>1.9379999999999999</v>
      </c>
      <c r="L132" s="1192">
        <v>0.45900000000000002</v>
      </c>
      <c r="M132" s="994">
        <f t="shared" si="76"/>
        <v>0.43099999999999999</v>
      </c>
      <c r="N132" s="1196">
        <f t="shared" si="74"/>
        <v>0.43099999999999999</v>
      </c>
      <c r="O132" s="645">
        <f t="shared" si="57"/>
        <v>0.43099999999999999</v>
      </c>
      <c r="P132" s="727">
        <v>87</v>
      </c>
      <c r="Q132" s="1476">
        <v>87.36</v>
      </c>
      <c r="R132" s="706">
        <v>5077.8500000000004</v>
      </c>
      <c r="S132" s="765">
        <f>IF((_xlfn.XLOOKUP(D132,RUC!$B$3:$B$119,RUC!$E$3:$E$119)+ROUNDDOWN(O132,1)*100)&lt;95,95,((_xlfn.XLOOKUP(D132,RUC!$B$3:$B$119,RUC!$E$3:$E$119)+ROUNDDOWN(O132,1)*100)))</f>
        <v>130</v>
      </c>
      <c r="U132" s="1146">
        <f>_xlfn.XLOOKUP(D132,RUC!$B$3:$B$123,RUC!$F$3:$F$123)</f>
        <v>120</v>
      </c>
      <c r="V132" s="715">
        <v>1.1023000000000001</v>
      </c>
      <c r="Y132">
        <f>_xlfn.XLOOKUP(D132,RUC!$B$3:$B$123,RUC!$G$3:$G$123)</f>
        <v>20</v>
      </c>
      <c r="Z132" s="143">
        <f>_xlfn.XLOOKUP(D132,RUC!$B$3:$B$123,RUC!$H$3:$H$123)</f>
        <v>30</v>
      </c>
      <c r="AA132" s="144">
        <f t="shared" si="58"/>
        <v>50</v>
      </c>
      <c r="AB132" s="145">
        <f t="shared" si="70"/>
        <v>1850.8113194833504</v>
      </c>
      <c r="AC132" s="145">
        <f>+(S132-T132)*V132-'data 1'!$F$4</f>
        <v>63.299000000000007</v>
      </c>
      <c r="AD132" s="145">
        <f t="shared" si="59"/>
        <v>9.0304288820819867</v>
      </c>
      <c r="AE132" s="145">
        <f t="shared" si="60"/>
        <v>-14.884999999999998</v>
      </c>
      <c r="AF132" s="145">
        <f t="shared" si="61"/>
        <v>133.67920285574411</v>
      </c>
      <c r="AG132" s="772">
        <f t="shared" si="77"/>
        <v>251.12363173782614</v>
      </c>
      <c r="AH132" s="1253">
        <f t="shared" si="63"/>
        <v>26.643000000000001</v>
      </c>
      <c r="AI132" s="1253">
        <f t="shared" si="64"/>
        <v>30.498000000000001</v>
      </c>
      <c r="AJ132" s="156">
        <f t="shared" si="65"/>
        <v>-25.569867737232165</v>
      </c>
      <c r="AK132" s="156">
        <f t="shared" si="66"/>
        <v>24.914912412876273</v>
      </c>
      <c r="AM132" s="716">
        <f t="shared" si="67"/>
        <v>3586.872337158733</v>
      </c>
      <c r="AN132" s="716" t="str">
        <f>_xlfn.XLOOKUP(D132,RUC!$B$3:$B$578,RUC!$M$3:$M$578)</f>
        <v>Evelyn</v>
      </c>
      <c r="AO132" s="1167" t="s">
        <v>2279</v>
      </c>
      <c r="AP132" t="s">
        <v>4801</v>
      </c>
      <c r="AQ132" t="s">
        <v>4802</v>
      </c>
    </row>
    <row r="133" spans="1:43" ht="15" customHeight="1">
      <c r="A133" s="747" t="s">
        <v>4775</v>
      </c>
      <c r="B133" s="1447">
        <v>46071</v>
      </c>
      <c r="C133" s="1447">
        <v>46064</v>
      </c>
      <c r="D133" t="s">
        <v>1967</v>
      </c>
      <c r="E133" s="762">
        <f>_xlfn.XLOOKUP(D133,RUC!$B$3:$B$123,RUC!$D$3:$D$123)</f>
        <v>20601769396</v>
      </c>
      <c r="G133" s="762">
        <v>15</v>
      </c>
      <c r="H133" s="762" t="s">
        <v>2005</v>
      </c>
      <c r="I133" s="703">
        <v>1.17</v>
      </c>
      <c r="J133" s="596">
        <v>21.15</v>
      </c>
      <c r="K133" s="703">
        <f t="shared" si="56"/>
        <v>0.92300000000000004</v>
      </c>
      <c r="L133" s="1192">
        <v>0.54500000000000004</v>
      </c>
      <c r="M133" s="994">
        <f t="shared" si="76"/>
        <v>0.51200000000000001</v>
      </c>
      <c r="N133" s="1196">
        <f t="shared" si="74"/>
        <v>0.51200000000000001</v>
      </c>
      <c r="O133" s="645">
        <f t="shared" si="57"/>
        <v>0.51200000000000001</v>
      </c>
      <c r="P133" s="727">
        <v>90</v>
      </c>
      <c r="Q133" s="1476">
        <v>93.39</v>
      </c>
      <c r="R133" s="706">
        <v>5077.8500000000004</v>
      </c>
      <c r="S133" s="765">
        <f>IF((_xlfn.XLOOKUP(D133,RUC!$B$3:$B$119,RUC!$E$3:$E$119)+ROUNDDOWN(O133,1)*100)&lt;95,95,((_xlfn.XLOOKUP(D133,RUC!$B$3:$B$119,RUC!$E$3:$E$119)+ROUNDDOWN(O133,1)*100)))</f>
        <v>140</v>
      </c>
      <c r="U133" s="1146">
        <f>_xlfn.XLOOKUP(D133,RUC!$B$3:$B$123,RUC!$F$3:$F$123)</f>
        <v>120</v>
      </c>
      <c r="V133" s="715">
        <v>1.1023000000000001</v>
      </c>
      <c r="Y133">
        <f>_xlfn.XLOOKUP(D133,RUC!$B$3:$B$123,RUC!$G$3:$G$123)</f>
        <v>20</v>
      </c>
      <c r="Z133" s="143">
        <f>_xlfn.XLOOKUP(D133,RUC!$B$3:$B$123,RUC!$H$3:$H$123)</f>
        <v>30</v>
      </c>
      <c r="AA133" s="144">
        <f t="shared" si="58"/>
        <v>50</v>
      </c>
      <c r="AB133" s="145">
        <f t="shared" si="70"/>
        <v>2308.8525357440003</v>
      </c>
      <c r="AC133" s="145">
        <f>+(S133-T133)*V133-'data 1'!$F$4</f>
        <v>74.322000000000003</v>
      </c>
      <c r="AD133" s="145">
        <f t="shared" si="59"/>
        <v>100.96931058515253</v>
      </c>
      <c r="AE133" s="145">
        <f t="shared" si="60"/>
        <v>-14.884999999999998</v>
      </c>
      <c r="AF133" s="145">
        <f t="shared" si="61"/>
        <v>168.42536830562869</v>
      </c>
      <c r="AG133" s="772">
        <f t="shared" si="77"/>
        <v>388.83167889078123</v>
      </c>
      <c r="AH133" s="1253">
        <f t="shared" si="63"/>
        <v>16.106999999999999</v>
      </c>
      <c r="AI133" s="1253">
        <f t="shared" si="64"/>
        <v>17.247</v>
      </c>
      <c r="AJ133" s="156">
        <f t="shared" si="65"/>
        <v>-32.456377677652704</v>
      </c>
      <c r="AK133" s="156">
        <f t="shared" si="66"/>
        <v>14.582206388805123</v>
      </c>
      <c r="AM133" s="716">
        <f t="shared" si="67"/>
        <v>2131.0708904917124</v>
      </c>
      <c r="AN133" s="716" t="str">
        <f>_xlfn.XLOOKUP(D133,RUC!$B$3:$B$578,RUC!$M$3:$M$578)</f>
        <v>Evelyn</v>
      </c>
      <c r="AO133" s="1167" t="s">
        <v>2279</v>
      </c>
      <c r="AP133" t="s">
        <v>4801</v>
      </c>
      <c r="AQ133" t="s">
        <v>4802</v>
      </c>
    </row>
    <row r="134" spans="1:43" ht="15" customHeight="1">
      <c r="A134" s="747" t="s">
        <v>4787</v>
      </c>
      <c r="B134" s="1447">
        <v>46069</v>
      </c>
      <c r="C134" s="1447">
        <v>46064</v>
      </c>
      <c r="D134" t="s">
        <v>1967</v>
      </c>
      <c r="E134" s="762">
        <f>_xlfn.XLOOKUP(D134,RUC!$B$3:$B$123,RUC!$D$3:$D$123)</f>
        <v>20601769396</v>
      </c>
      <c r="G134" s="762">
        <v>45</v>
      </c>
      <c r="H134" s="762" t="s">
        <v>2005</v>
      </c>
      <c r="I134" s="703">
        <v>3.46</v>
      </c>
      <c r="J134" s="596">
        <v>17.5</v>
      </c>
      <c r="K134" s="703">
        <f t="shared" ref="K134:K138" si="78">ROUND(+I134-(I134*(J134/100)),3)</f>
        <v>2.855</v>
      </c>
      <c r="L134" s="1192">
        <v>0.53300000000000003</v>
      </c>
      <c r="M134" s="994">
        <f t="shared" si="76"/>
        <v>0.501</v>
      </c>
      <c r="N134" s="1196">
        <f t="shared" si="74"/>
        <v>0.501</v>
      </c>
      <c r="O134" s="645">
        <f t="shared" ref="O134:O138" si="79">+ROUND((M134+N134)/2,3)</f>
        <v>0.501</v>
      </c>
      <c r="P134" s="727">
        <v>90</v>
      </c>
      <c r="Q134" s="1476">
        <v>90.905000000000001</v>
      </c>
      <c r="R134" s="706">
        <v>5077.8500000000004</v>
      </c>
      <c r="S134" s="765">
        <f>IF((_xlfn.XLOOKUP(D134,RUC!$B$3:$B$119,RUC!$E$3:$E$119)+ROUNDDOWN(O134,1)*100)&lt;95,95,((_xlfn.XLOOKUP(D134,RUC!$B$3:$B$119,RUC!$E$3:$E$119)+ROUNDDOWN(O134,1)*100)))</f>
        <v>140</v>
      </c>
      <c r="U134" s="1146">
        <f>_xlfn.XLOOKUP(D134,RUC!$B$3:$B$123,RUC!$F$3:$F$123)</f>
        <v>120</v>
      </c>
      <c r="V134" s="715">
        <v>1.1023000000000001</v>
      </c>
      <c r="Y134">
        <f>_xlfn.XLOOKUP(D134,RUC!$B$3:$B$123,RUC!$G$3:$G$123)</f>
        <v>20</v>
      </c>
      <c r="Z134" s="143">
        <f>_xlfn.XLOOKUP(D134,RUC!$B$3:$B$123,RUC!$H$3:$H$123)</f>
        <v>30</v>
      </c>
      <c r="AA134" s="144">
        <f t="shared" ref="AA134:AA138" si="80">+Y134+Z134</f>
        <v>50</v>
      </c>
      <c r="AB134" s="145">
        <f t="shared" si="70"/>
        <v>2254.7486589995005</v>
      </c>
      <c r="AC134" s="145">
        <f>+(S134-T134)*V134-'data 1'!$F$4</f>
        <v>74.322000000000003</v>
      </c>
      <c r="AD134" s="145">
        <f t="shared" ref="AD134:AD138" si="81">+(Q134-P134)*(R134-U134)*L134*V134/100</f>
        <v>26.361430814000787</v>
      </c>
      <c r="AE134" s="145">
        <f t="shared" ref="AE134:AE138" si="82">+(Y134*V134-70)+V134*(Z134-IF(D134="UNTUCA",IF(+((W134-3)*2.5+(X134-3)*3.1)&gt;0,+((W134-3)*1.5+(X134-3)*3.1),0),IF(+((W134-3)*1.5+(X134-3)*3.1)&gt;0,+((W134-3)*1.5+(X134-3)*3.1),0)))</f>
        <v>-14.884999999999998</v>
      </c>
      <c r="AF134" s="145">
        <f t="shared" ref="AF134:AF138" si="83">(L134-O134)*(R134-U134)*Q134*V134/100</f>
        <v>158.97577100472819</v>
      </c>
      <c r="AG134" s="772">
        <f t="shared" ref="AG134:AG137" si="84">AC134+AD134+AE134+AF134+70-10</f>
        <v>304.77420181872901</v>
      </c>
      <c r="AH134" s="1253">
        <f t="shared" ref="AH134:AH138" si="85">ROUND((31.1035*L134*Q134*1.1023*K134/100),3)</f>
        <v>47.427</v>
      </c>
      <c r="AI134" s="1253">
        <f t="shared" ref="AI134:AI138" si="86">ROUND((31.1035*L134*1.1023*K134),3)</f>
        <v>52.173000000000002</v>
      </c>
      <c r="AJ134" s="156">
        <f t="shared" ref="AJ134:AJ138" si="87">+((+$AJ$2-R134+U134)*L134*Q134*V134)/100</f>
        <v>-30.897130762000952</v>
      </c>
      <c r="AK134" s="156">
        <f t="shared" ref="AK134:AK138" si="88">31.1035*1.1023*K134*P134*O134/100</f>
        <v>44.136248601831973</v>
      </c>
      <c r="AM134" s="716">
        <f t="shared" ref="AM134:AM138" si="89">+IF(AB134*K134&gt;0,AB134*K134,0)</f>
        <v>6437.3074214435737</v>
      </c>
      <c r="AN134" s="716" t="str">
        <f>_xlfn.XLOOKUP(D134,RUC!$B$3:$B$578,RUC!$M$3:$M$578)</f>
        <v>Evelyn</v>
      </c>
      <c r="AO134" s="1167" t="s">
        <v>2279</v>
      </c>
      <c r="AP134" t="s">
        <v>3855</v>
      </c>
      <c r="AQ134" t="s">
        <v>4804</v>
      </c>
    </row>
    <row r="135" spans="1:43" ht="15" customHeight="1">
      <c r="A135" s="747" t="s">
        <v>4788</v>
      </c>
      <c r="B135" s="1447">
        <v>46069</v>
      </c>
      <c r="C135" s="1447">
        <v>46064</v>
      </c>
      <c r="D135" t="s">
        <v>1967</v>
      </c>
      <c r="E135" s="762">
        <f>_xlfn.XLOOKUP(D135,RUC!$B$3:$B$123,RUC!$D$3:$D$123)</f>
        <v>20601769396</v>
      </c>
      <c r="G135" s="762">
        <v>45</v>
      </c>
      <c r="H135" s="762" t="s">
        <v>2005</v>
      </c>
      <c r="I135" s="703">
        <v>3.47</v>
      </c>
      <c r="J135" s="596">
        <v>17.399999999999999</v>
      </c>
      <c r="K135" s="703">
        <f t="shared" si="78"/>
        <v>2.8660000000000001</v>
      </c>
      <c r="L135" s="1192">
        <v>0.46600000000000003</v>
      </c>
      <c r="M135" s="994">
        <f t="shared" si="76"/>
        <v>0.438</v>
      </c>
      <c r="N135" s="1196">
        <f t="shared" si="74"/>
        <v>0.438</v>
      </c>
      <c r="O135" s="645">
        <f t="shared" si="79"/>
        <v>0.438</v>
      </c>
      <c r="P135" s="727">
        <v>90</v>
      </c>
      <c r="Q135" s="1476">
        <v>92.81</v>
      </c>
      <c r="R135" s="706">
        <v>5077.8500000000004</v>
      </c>
      <c r="S135" s="765">
        <f>IF((_xlfn.XLOOKUP(D135,RUC!$B$3:$B$119,RUC!$E$3:$E$119)+ROUNDDOWN(O135,1)*100)&lt;95,95,((_xlfn.XLOOKUP(D135,RUC!$B$3:$B$119,RUC!$E$3:$E$119)+ROUNDDOWN(O135,1)*100)))</f>
        <v>130</v>
      </c>
      <c r="U135" s="1146">
        <f>_xlfn.XLOOKUP(D135,RUC!$B$3:$B$123,RUC!$F$3:$F$123)</f>
        <v>120</v>
      </c>
      <c r="V135" s="715">
        <v>1.1023000000000001</v>
      </c>
      <c r="Y135">
        <f>_xlfn.XLOOKUP(D135,RUC!$B$3:$B$123,RUC!$G$3:$G$123)</f>
        <v>20</v>
      </c>
      <c r="Z135" s="143">
        <f>_xlfn.XLOOKUP(D135,RUC!$B$3:$B$123,RUC!$H$3:$H$123)</f>
        <v>30</v>
      </c>
      <c r="AA135" s="144">
        <f t="shared" si="80"/>
        <v>50</v>
      </c>
      <c r="AB135" s="145">
        <f t="shared" si="70"/>
        <v>1955.9040012810003</v>
      </c>
      <c r="AC135" s="145">
        <f>+(S135-T135)*V135-'data 1'!$F$4</f>
        <v>63.299000000000007</v>
      </c>
      <c r="AD135" s="145">
        <f t="shared" si="81"/>
        <v>71.562487315003068</v>
      </c>
      <c r="AE135" s="145">
        <f t="shared" si="82"/>
        <v>-14.884999999999998</v>
      </c>
      <c r="AF135" s="145">
        <f t="shared" si="83"/>
        <v>142.01885092767415</v>
      </c>
      <c r="AG135" s="772">
        <f t="shared" si="84"/>
        <v>321.99533824267724</v>
      </c>
      <c r="AH135" s="1253">
        <f t="shared" si="85"/>
        <v>42.497999999999998</v>
      </c>
      <c r="AI135" s="1253">
        <f t="shared" si="86"/>
        <v>45.79</v>
      </c>
      <c r="AJ135" s="156">
        <f t="shared" si="87"/>
        <v>-27.579339440003181</v>
      </c>
      <c r="AK135" s="156">
        <f t="shared" si="88"/>
        <v>38.734849712042461</v>
      </c>
      <c r="AM135" s="716">
        <f t="shared" si="89"/>
        <v>5605.6208676713468</v>
      </c>
      <c r="AN135" s="716" t="str">
        <f>_xlfn.XLOOKUP(D135,RUC!$B$3:$B$578,RUC!$M$3:$M$578)</f>
        <v>Evelyn</v>
      </c>
      <c r="AO135" s="1167" t="s">
        <v>2279</v>
      </c>
      <c r="AP135" t="s">
        <v>3855</v>
      </c>
      <c r="AQ135" t="s">
        <v>4804</v>
      </c>
    </row>
    <row r="136" spans="1:43" ht="15" customHeight="1">
      <c r="A136" s="747" t="s">
        <v>4792</v>
      </c>
      <c r="B136" s="1447">
        <v>46072</v>
      </c>
      <c r="C136" s="1447">
        <v>46065</v>
      </c>
      <c r="D136" t="s">
        <v>1967</v>
      </c>
      <c r="E136" s="762">
        <f>_xlfn.XLOOKUP(D136,RUC!$B$3:$B$123,RUC!$D$3:$D$123)</f>
        <v>20601769396</v>
      </c>
      <c r="G136" s="1082">
        <v>37</v>
      </c>
      <c r="H136" s="762" t="s">
        <v>2005</v>
      </c>
      <c r="I136" s="703">
        <v>2.97</v>
      </c>
      <c r="J136" s="596">
        <v>12.8</v>
      </c>
      <c r="K136" s="703">
        <f t="shared" si="78"/>
        <v>2.59</v>
      </c>
      <c r="L136" s="1192">
        <v>0.248</v>
      </c>
      <c r="M136" s="994">
        <f t="shared" si="76"/>
        <v>0.22900000000000001</v>
      </c>
      <c r="N136" s="1196">
        <f t="shared" si="74"/>
        <v>0.22900000000000001</v>
      </c>
      <c r="O136" s="645">
        <f t="shared" si="79"/>
        <v>0.22900000000000001</v>
      </c>
      <c r="P136" s="727">
        <v>90</v>
      </c>
      <c r="Q136" s="1476">
        <v>95.16</v>
      </c>
      <c r="R136" s="706">
        <v>5043.1499999999996</v>
      </c>
      <c r="S136" s="765">
        <f>IF((_xlfn.XLOOKUP(D136,RUC!$B$3:$B$119,RUC!$E$3:$E$119)+ROUNDDOWN(O136,1)*100)&lt;95,95,((_xlfn.XLOOKUP(D136,RUC!$B$3:$B$119,RUC!$E$3:$E$119)+ROUNDDOWN(O136,1)*100)))</f>
        <v>110</v>
      </c>
      <c r="U136" s="1146">
        <f>_xlfn.XLOOKUP(D136,RUC!$B$3:$B$123,RUC!$F$3:$F$123)</f>
        <v>120</v>
      </c>
      <c r="V136" s="715">
        <v>1.1023000000000001</v>
      </c>
      <c r="Y136">
        <f>_xlfn.XLOOKUP(D136,RUC!$B$3:$B$123,RUC!$G$3:$G$123)</f>
        <v>20</v>
      </c>
      <c r="Z136" s="143">
        <f>_xlfn.XLOOKUP(D136,RUC!$B$3:$B$123,RUC!$H$3:$H$123)</f>
        <v>30</v>
      </c>
      <c r="AA136" s="144">
        <f t="shared" si="80"/>
        <v>50</v>
      </c>
      <c r="AB136" s="145">
        <f t="shared" ref="AB136:AB138" si="90">+((O136*P136*(R136-U136)/100)-S136-AA136+T136)*V136</f>
        <v>942.0930572945</v>
      </c>
      <c r="AC136" s="145">
        <f>+(S136-T136)*V136-'data 1'!$F$4</f>
        <v>41.253</v>
      </c>
      <c r="AD136" s="145">
        <f t="shared" si="81"/>
        <v>69.445523813615949</v>
      </c>
      <c r="AE136" s="145">
        <f t="shared" si="82"/>
        <v>-14.884999999999998</v>
      </c>
      <c r="AF136" s="145">
        <f t="shared" si="83"/>
        <v>98.118502184897935</v>
      </c>
      <c r="AG136" s="772">
        <f t="shared" si="84"/>
        <v>253.93202599851389</v>
      </c>
      <c r="AH136" s="1253">
        <f t="shared" si="85"/>
        <v>20.956</v>
      </c>
      <c r="AI136" s="1253">
        <f t="shared" si="86"/>
        <v>22.021999999999998</v>
      </c>
      <c r="AJ136" s="156">
        <f t="shared" si="87"/>
        <v>-6.0222241616159042</v>
      </c>
      <c r="AK136" s="156">
        <f t="shared" si="88"/>
        <v>18.301505855701951</v>
      </c>
      <c r="AM136" s="716">
        <f t="shared" si="89"/>
        <v>2440.0210183927547</v>
      </c>
      <c r="AN136" s="716" t="str">
        <f>_xlfn.XLOOKUP(D136,RUC!$B$3:$B$578,RUC!$M$3:$M$578)</f>
        <v>Evelyn</v>
      </c>
      <c r="AO136" s="1167" t="s">
        <v>2279</v>
      </c>
      <c r="AP136" t="s">
        <v>4327</v>
      </c>
      <c r="AQ136" t="s">
        <v>2452</v>
      </c>
    </row>
    <row r="137" spans="1:43" ht="15" customHeight="1">
      <c r="A137" s="747" t="s">
        <v>4793</v>
      </c>
      <c r="B137" s="1447">
        <v>46072</v>
      </c>
      <c r="C137" s="1447">
        <v>46065</v>
      </c>
      <c r="D137" t="s">
        <v>1967</v>
      </c>
      <c r="E137" s="762">
        <f>_xlfn.XLOOKUP(D137,RUC!$B$3:$B$123,RUC!$D$3:$D$123)</f>
        <v>20601769396</v>
      </c>
      <c r="G137" s="1082">
        <v>36</v>
      </c>
      <c r="H137" s="762" t="s">
        <v>2005</v>
      </c>
      <c r="I137" s="703">
        <v>3.34</v>
      </c>
      <c r="J137" s="596">
        <v>12.7</v>
      </c>
      <c r="K137" s="703">
        <f t="shared" si="78"/>
        <v>2.9159999999999999</v>
      </c>
      <c r="L137" s="1192">
        <v>0.23499999999999999</v>
      </c>
      <c r="M137" s="994">
        <f t="shared" si="76"/>
        <v>0.216</v>
      </c>
      <c r="N137" s="1196">
        <f t="shared" si="74"/>
        <v>0.216</v>
      </c>
      <c r="O137" s="645">
        <f t="shared" si="79"/>
        <v>0.216</v>
      </c>
      <c r="P137" s="727">
        <v>88</v>
      </c>
      <c r="Q137" s="1476">
        <v>88.509999999999991</v>
      </c>
      <c r="R137" s="706">
        <v>5043.1499999999996</v>
      </c>
      <c r="S137" s="765">
        <f>IF((_xlfn.XLOOKUP(D137,RUC!$B$3:$B$119,RUC!$E$3:$E$119)+ROUNDDOWN(O137,1)*100)&lt;95,95,((_xlfn.XLOOKUP(D137,RUC!$B$3:$B$119,RUC!$E$3:$E$119)+ROUNDDOWN(O137,1)*100)))</f>
        <v>110</v>
      </c>
      <c r="U137" s="1146">
        <f>_xlfn.XLOOKUP(D137,RUC!$B$3:$B$123,RUC!$F$3:$F$123)</f>
        <v>120</v>
      </c>
      <c r="V137" s="715">
        <v>1.1023000000000001</v>
      </c>
      <c r="Y137">
        <f>_xlfn.XLOOKUP(D137,RUC!$B$3:$B$123,RUC!$G$3:$G$123)</f>
        <v>20</v>
      </c>
      <c r="Z137" s="143">
        <f>_xlfn.XLOOKUP(D137,RUC!$B$3:$B$123,RUC!$H$3:$H$123)</f>
        <v>30</v>
      </c>
      <c r="AA137" s="144">
        <f t="shared" si="80"/>
        <v>50</v>
      </c>
      <c r="AB137" s="145">
        <f t="shared" si="90"/>
        <v>855.15590960960003</v>
      </c>
      <c r="AC137" s="145">
        <f>+(S137-T137)*V137-'data 1'!$F$4</f>
        <v>41.253</v>
      </c>
      <c r="AD137" s="145">
        <f t="shared" si="81"/>
        <v>6.5040057116323826</v>
      </c>
      <c r="AE137" s="145">
        <f t="shared" si="82"/>
        <v>-14.884999999999998</v>
      </c>
      <c r="AF137" s="145">
        <f t="shared" si="83"/>
        <v>91.261755237340438</v>
      </c>
      <c r="AG137" s="772">
        <f t="shared" si="84"/>
        <v>184.13376094897282</v>
      </c>
      <c r="AH137" s="1253">
        <f t="shared" si="85"/>
        <v>20.795000000000002</v>
      </c>
      <c r="AI137" s="1253">
        <f t="shared" si="86"/>
        <v>23.494</v>
      </c>
      <c r="AJ137" s="156">
        <f t="shared" si="87"/>
        <v>-5.3077566826324167</v>
      </c>
      <c r="AK137" s="156">
        <f t="shared" si="88"/>
        <v>19.003474490546303</v>
      </c>
      <c r="AM137" s="716">
        <f t="shared" si="89"/>
        <v>2493.6346324215938</v>
      </c>
      <c r="AN137" s="716" t="str">
        <f>_xlfn.XLOOKUP(D137,RUC!$B$3:$B$578,RUC!$M$3:$M$578)</f>
        <v>Evelyn</v>
      </c>
      <c r="AO137" s="1167" t="s">
        <v>2279</v>
      </c>
      <c r="AP137" t="s">
        <v>4327</v>
      </c>
      <c r="AQ137" t="s">
        <v>2452</v>
      </c>
    </row>
    <row r="138" spans="1:43" ht="15" customHeight="1">
      <c r="A138" s="747" t="s">
        <v>4800</v>
      </c>
      <c r="B138" s="1447">
        <v>46072</v>
      </c>
      <c r="C138" s="1447">
        <v>46067</v>
      </c>
      <c r="D138" s="1676" t="s">
        <v>3125</v>
      </c>
      <c r="E138" s="762" t="str">
        <f>_xlfn.XLOOKUP(D138,RUC!$B$3:$B$123,RUC!$D$3:$D$123)</f>
        <v>10486077447,</v>
      </c>
      <c r="G138" s="1082">
        <v>60</v>
      </c>
      <c r="H138" s="762" t="s">
        <v>69</v>
      </c>
      <c r="I138" s="703">
        <v>5.52</v>
      </c>
      <c r="J138" s="596">
        <v>5.3</v>
      </c>
      <c r="K138" s="703">
        <f t="shared" si="78"/>
        <v>5.2270000000000003</v>
      </c>
      <c r="L138" s="1192">
        <v>1.47</v>
      </c>
      <c r="M138" s="994">
        <f t="shared" si="76"/>
        <v>1.3819999999999999</v>
      </c>
      <c r="N138" s="1444">
        <v>1.5049999999999999</v>
      </c>
      <c r="O138" s="645">
        <f t="shared" si="79"/>
        <v>1.444</v>
      </c>
      <c r="P138" s="727">
        <v>90</v>
      </c>
      <c r="Q138" s="1476">
        <v>97.65</v>
      </c>
      <c r="R138" s="706">
        <v>4994.95</v>
      </c>
      <c r="S138" s="765">
        <f>IF((_xlfn.XLOOKUP(D138,RUC!$B$3:$B$119,RUC!$E$3:$E$119)+ROUNDDOWN(O138,1)*100)&lt;95,95,((_xlfn.XLOOKUP(D138,RUC!$B$3:$B$119,RUC!$E$3:$E$119)+ROUNDDOWN(O138,1)*100)))</f>
        <v>230</v>
      </c>
      <c r="U138" s="1146">
        <f>_xlfn.XLOOKUP(D138,RUC!$B$3:$B$123,RUC!$F$3:$F$123)</f>
        <v>120</v>
      </c>
      <c r="V138" s="715">
        <v>1.1023000000000001</v>
      </c>
      <c r="Y138">
        <f>_xlfn.XLOOKUP(D138,RUC!$B$3:$B$123,RUC!$G$3:$G$123)</f>
        <v>20</v>
      </c>
      <c r="Z138" s="143">
        <f>_xlfn.XLOOKUP(D138,RUC!$B$3:$B$123,RUC!$H$3:$H$123)</f>
        <v>30</v>
      </c>
      <c r="AA138" s="144">
        <f t="shared" si="80"/>
        <v>50</v>
      </c>
      <c r="AB138" s="145">
        <f t="shared" si="90"/>
        <v>6674.9611375460008</v>
      </c>
      <c r="AC138" s="145">
        <f>+(S138-T138)*V138-'data 1'!$F$4</f>
        <v>173.52900000000002</v>
      </c>
      <c r="AD138" s="145">
        <f t="shared" si="81"/>
        <v>604.29464123017544</v>
      </c>
      <c r="AE138" s="145">
        <f t="shared" si="82"/>
        <v>-14.884999999999998</v>
      </c>
      <c r="AF138" s="145">
        <f t="shared" si="83"/>
        <v>136.43178734776512</v>
      </c>
      <c r="AG138" s="772">
        <f t="shared" ref="AG138" si="91">AC138+AD138+AE138+AF138+70-53</f>
        <v>916.37042857794063</v>
      </c>
      <c r="AH138" s="1253">
        <f t="shared" si="85"/>
        <v>257.24700000000001</v>
      </c>
      <c r="AI138" s="1253">
        <f t="shared" si="86"/>
        <v>263.43799999999999</v>
      </c>
      <c r="AJ138" s="156">
        <f t="shared" si="87"/>
        <v>39.636666264825287</v>
      </c>
      <c r="AK138" s="156">
        <f t="shared" si="88"/>
        <v>232.90095644922008</v>
      </c>
      <c r="AM138" s="716">
        <f t="shared" si="89"/>
        <v>34890.021865952949</v>
      </c>
      <c r="AN138" s="148" t="str">
        <f>_xlfn.XLOOKUP(D138,RUC!$B$3:$B$578,RUC!$M$3:$M$578)</f>
        <v>SIN ACOPIO</v>
      </c>
      <c r="AO138" s="1167" t="s">
        <v>2279</v>
      </c>
      <c r="AP138" t="s">
        <v>4449</v>
      </c>
      <c r="AQ138" t="s">
        <v>4805</v>
      </c>
    </row>
  </sheetData>
  <autoFilter ref="A3:AO138" xr:uid="{00000000-0009-0000-0000-00000C000000}"/>
  <mergeCells count="2">
    <mergeCell ref="AV5:BD5"/>
    <mergeCell ref="AV26:BA26"/>
  </mergeCells>
  <phoneticPr fontId="338" type="noConversion"/>
  <pageMargins left="0.7" right="0.7" top="0.75" bottom="0.75" header="0" footer="0"/>
  <pageSetup paperSize="9" scale="10" fitToHeight="0" orientation="portrait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AECA8-9FDF-4444-95E6-D76F1EAD5721}">
  <sheetPr>
    <tabColor rgb="FF00B050"/>
    <pageSetUpPr fitToPage="1"/>
  </sheetPr>
  <dimension ref="A1:BD109"/>
  <sheetViews>
    <sheetView showGridLines="0" zoomScale="80" zoomScaleNormal="80" workbookViewId="0">
      <pane xSplit="4" ySplit="3" topLeftCell="E4" activePane="bottomRight" state="frozen"/>
      <selection activeCell="D26" sqref="D26"/>
      <selection pane="topRight" activeCell="D26" sqref="D26"/>
      <selection pane="bottomLeft" activeCell="D26" sqref="D26"/>
      <selection pane="bottomRight" activeCell="D26" sqref="D26"/>
    </sheetView>
  </sheetViews>
  <sheetFormatPr baseColWidth="10" defaultColWidth="14.44140625" defaultRowHeight="15" customHeight="1"/>
  <cols>
    <col min="1" max="1" width="14.5546875" customWidth="1"/>
    <col min="2" max="2" width="12.33203125" style="1447" customWidth="1"/>
    <col min="3" max="3" width="11.6640625" style="762" customWidth="1"/>
    <col min="4" max="4" width="42.5546875" customWidth="1"/>
    <col min="5" max="5" width="15.88671875" customWidth="1"/>
    <col min="6" max="6" width="15.33203125" customWidth="1"/>
    <col min="7" max="7" width="12.109375" customWidth="1"/>
    <col min="8" max="8" width="11.44140625" style="762" customWidth="1"/>
    <col min="9" max="10" width="10.332031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7.66406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0.88671875" customWidth="1"/>
    <col min="43" max="43" width="12.6640625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4097.3130000000001</v>
      </c>
      <c r="F1" s="1075" t="s">
        <v>1906</v>
      </c>
      <c r="G1" s="1076">
        <f>+$AM3</f>
        <v>467940.29254909366</v>
      </c>
      <c r="H1" s="1448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D2" s="1075" t="s">
        <v>1907</v>
      </c>
      <c r="E2" s="1076">
        <f>+AH3</f>
        <v>3852.6979999999999</v>
      </c>
      <c r="F2" s="1079" t="s">
        <v>1908</v>
      </c>
      <c r="G2" s="1080">
        <f>+Q2</f>
        <v>94.332592417054286</v>
      </c>
      <c r="H2" s="90"/>
      <c r="I2" s="1251">
        <f>SUBTOTAL(9,I4:I519)</f>
        <v>490.47999999999979</v>
      </c>
      <c r="J2" s="81"/>
      <c r="K2" s="91">
        <f>SUBTOTAL(9,K4:K519)</f>
        <v>450.798</v>
      </c>
      <c r="L2" s="1202">
        <f>+SUMPRODUCT(L5:L519,K5:K519)/K2</f>
        <v>0.26509899777727497</v>
      </c>
      <c r="M2" s="6"/>
      <c r="O2" s="703"/>
      <c r="P2" s="94">
        <f>+SUMPRODUCT(P4:P519,AH4:AH519)/SUM(AH4:AH519)</f>
        <v>88.478317272726756</v>
      </c>
      <c r="Q2" s="1201">
        <f>+SUMPRODUCT(Q4:Q519,AH4:AH519)/SUM(AH4:AH519)</f>
        <v>94.332592417054286</v>
      </c>
      <c r="R2" s="1151">
        <f>+SUMPRODUCT(R4:R519,AH4:AH519)/SUM(AH4:AH519)</f>
        <v>5096.3831469920569</v>
      </c>
      <c r="S2" s="6"/>
      <c r="AB2" s="83"/>
      <c r="AC2" s="83"/>
      <c r="AD2" s="83"/>
      <c r="AE2" s="83"/>
      <c r="AF2" s="83"/>
      <c r="AG2" s="1209">
        <f>SUMPRODUCT($AG4:$AG519,$K4:$K519)/SUM($K4:$K519)</f>
        <v>216.60621633178425</v>
      </c>
      <c r="AH2" s="702"/>
      <c r="AI2" s="631"/>
      <c r="AJ2" s="252">
        <v>4900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1692" t="s">
        <v>39</v>
      </c>
      <c r="C3" s="679" t="s">
        <v>40</v>
      </c>
      <c r="D3" s="1077" t="s">
        <v>41</v>
      </c>
      <c r="E3" s="1077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SUBTOTAL(9,AH4:AH519)</f>
        <v>3852.6979999999999</v>
      </c>
      <c r="AI3" s="1252">
        <f>SUBTOTAL(9,AI4:AI519)</f>
        <v>4097.3130000000001</v>
      </c>
      <c r="AJ3" s="1388">
        <f>SUMPRODUCT(K4:K519,AJ4:AJ519)/K2</f>
        <v>-22.753716520506767</v>
      </c>
      <c r="AK3" s="118">
        <f>SUBTOTAL(9,AK4:AK519)</f>
        <v>3406.954904891546</v>
      </c>
      <c r="AL3" s="88"/>
      <c r="AM3" s="118">
        <f>SUBTOTAL(9,AM4:AM519)</f>
        <v>467940.29254909366</v>
      </c>
      <c r="AN3" s="1182" t="s">
        <v>2247</v>
      </c>
      <c r="AO3" s="1168" t="s">
        <v>2283</v>
      </c>
      <c r="AP3" s="1167" t="s">
        <v>2351</v>
      </c>
      <c r="AQ3" s="1167" t="s">
        <v>2352</v>
      </c>
      <c r="AS3" s="1216"/>
    </row>
    <row r="4" spans="1:56" s="677" customFormat="1" ht="15.75" customHeight="1" thickBot="1">
      <c r="A4" s="720"/>
      <c r="B4" s="1693"/>
      <c r="C4" s="1694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56" ht="15" customHeight="1" thickBot="1">
      <c r="A5" s="877" t="s">
        <v>3988</v>
      </c>
      <c r="C5" s="1447">
        <v>46014</v>
      </c>
      <c r="D5" t="s">
        <v>1484</v>
      </c>
      <c r="E5" s="762">
        <f>_xlfn.XLOOKUP(D5,RUC!$B$3:$B$123,RUC!$D$3:$D$123)</f>
        <v>10761932735</v>
      </c>
      <c r="G5" s="1082"/>
      <c r="I5" s="703"/>
      <c r="J5" s="596"/>
      <c r="K5" s="703"/>
      <c r="L5" s="1192"/>
      <c r="M5" s="994"/>
      <c r="N5" s="1196"/>
      <c r="O5" s="645"/>
      <c r="P5" s="727"/>
      <c r="Q5" s="1476"/>
      <c r="R5" s="706"/>
      <c r="S5" s="765"/>
      <c r="U5" s="1146"/>
      <c r="V5" s="715"/>
      <c r="Z5" s="143"/>
      <c r="AA5" s="144"/>
      <c r="AB5" s="145"/>
      <c r="AC5" s="145"/>
      <c r="AD5" s="145"/>
      <c r="AE5" s="145"/>
      <c r="AF5" s="145"/>
      <c r="AG5" s="772"/>
      <c r="AH5" s="1253"/>
      <c r="AI5" s="1253"/>
      <c r="AJ5" s="156"/>
      <c r="AK5" s="156"/>
      <c r="AM5" s="716"/>
      <c r="AN5" s="716" t="str">
        <f>_xlfn.XLOOKUP(D5,RUC!$B$3:$B$578,RUC!$M$3:$M$578)</f>
        <v>Richard Sapacayo</v>
      </c>
      <c r="AO5" s="1167" t="s">
        <v>2282</v>
      </c>
      <c r="AP5" t="s">
        <v>4075</v>
      </c>
      <c r="AQ5" t="s">
        <v>4076</v>
      </c>
      <c r="AR5" t="s">
        <v>4850</v>
      </c>
      <c r="AV5" s="1982" t="s">
        <v>4848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877" t="s">
        <v>3989</v>
      </c>
      <c r="C6" s="1447">
        <v>46014</v>
      </c>
      <c r="D6" t="s">
        <v>1484</v>
      </c>
      <c r="E6" s="762">
        <f>_xlfn.XLOOKUP(D6,RUC!$B$3:$B$123,RUC!$D$3:$D$123)</f>
        <v>10761932735</v>
      </c>
      <c r="G6" s="1082"/>
      <c r="I6" s="703"/>
      <c r="J6" s="596"/>
      <c r="K6" s="703"/>
      <c r="L6" s="1192"/>
      <c r="M6" s="994"/>
      <c r="N6" s="1196"/>
      <c r="O6" s="645"/>
      <c r="P6" s="727"/>
      <c r="Q6" s="1583"/>
      <c r="R6" s="706"/>
      <c r="S6" s="765"/>
      <c r="U6" s="1146"/>
      <c r="V6" s="715"/>
      <c r="Z6" s="143"/>
      <c r="AA6" s="144"/>
      <c r="AB6" s="145"/>
      <c r="AC6" s="145"/>
      <c r="AD6" s="145"/>
      <c r="AE6" s="145"/>
      <c r="AF6" s="145"/>
      <c r="AG6" s="772"/>
      <c r="AH6" s="1253"/>
      <c r="AI6" s="1253"/>
      <c r="AJ6" s="156"/>
      <c r="AK6" s="156"/>
      <c r="AM6" s="716"/>
      <c r="AN6" s="716" t="str">
        <f>_xlfn.XLOOKUP(D6,RUC!$B$3:$B$578,RUC!$M$3:$M$578)</f>
        <v>Richard Sapacayo</v>
      </c>
      <c r="AO6" s="1167" t="s">
        <v>2282</v>
      </c>
      <c r="AP6" t="s">
        <v>4077</v>
      </c>
      <c r="AQ6" t="s">
        <v>4078</v>
      </c>
      <c r="AR6" t="s">
        <v>4851</v>
      </c>
      <c r="AV6" s="1636"/>
      <c r="AW6" s="1636"/>
      <c r="AX6" s="1636"/>
      <c r="AY6" s="1636"/>
      <c r="AZ6" s="1636"/>
      <c r="BA6" s="1636"/>
      <c r="BB6" s="1636"/>
      <c r="BC6" s="1636"/>
      <c r="BD6" s="1636"/>
    </row>
    <row r="7" spans="1:56" ht="15" customHeight="1">
      <c r="A7" s="1491" t="s">
        <v>4376</v>
      </c>
      <c r="C7" s="1447">
        <v>46039</v>
      </c>
      <c r="D7" t="s">
        <v>4315</v>
      </c>
      <c r="E7" s="762">
        <f>_xlfn.XLOOKUP(D7,RUC!$B$3:$B$123,RUC!$D$3:$D$123)</f>
        <v>20614031698</v>
      </c>
      <c r="G7" s="1082">
        <v>11</v>
      </c>
      <c r="H7" s="762" t="s">
        <v>2005</v>
      </c>
      <c r="I7" s="703">
        <v>1.05</v>
      </c>
      <c r="J7" s="596">
        <v>1.2</v>
      </c>
      <c r="K7" s="703">
        <f t="shared" ref="K7:K33" si="0">ROUND(+I7-(I7*(J7/100)),3)</f>
        <v>1.0369999999999999</v>
      </c>
      <c r="L7" s="1192">
        <v>6.8000000000000005E-2</v>
      </c>
      <c r="M7" s="994">
        <f t="shared" ref="M7:M11" si="1">ROUND(+IF(AN7="Melchor Vera",IF(L7&gt;0.467,L7*0.985,(L7-0.007)),IF(L7&gt;0.3,L7*0.94,(L7-0.019))),3)</f>
        <v>4.9000000000000002E-2</v>
      </c>
      <c r="N7" s="1196">
        <f t="shared" ref="N7:N18" si="2">+M7</f>
        <v>4.9000000000000002E-2</v>
      </c>
      <c r="O7" s="645">
        <f t="shared" ref="O7:O21" si="3">+ROUND((M7+N7)/2,3)</f>
        <v>4.9000000000000002E-2</v>
      </c>
      <c r="P7" s="727">
        <v>80</v>
      </c>
      <c r="Q7" s="1476">
        <v>94.12</v>
      </c>
      <c r="R7" s="706">
        <v>4611.05</v>
      </c>
      <c r="S7" s="765">
        <f>IF((_xlfn.XLOOKUP(D7,RUC!$B$3:$B$119,RUC!$E$3:$E$119)+ROUNDDOWN(O7,1)*100)&lt;95,95,((_xlfn.XLOOKUP(D7,RUC!$B$3:$B$119,RUC!$E$3:$E$119)+ROUNDDOWN(O7,1)*100)))</f>
        <v>95</v>
      </c>
      <c r="U7" s="1146">
        <f>_xlfn.XLOOKUP(D7,RUC!$B$3:$B$123,RUC!$F$3:$F$123)</f>
        <v>110</v>
      </c>
      <c r="V7" s="715">
        <v>1.1023000000000001</v>
      </c>
      <c r="Y7">
        <f>_xlfn.XLOOKUP(D7,RUC!$B$3:$B$123,RUC!$G$3:$G$123)</f>
        <v>0</v>
      </c>
      <c r="Z7" s="143">
        <f>_xlfn.XLOOKUP(D7,RUC!$B$3:$B$123,RUC!$H$3:$H$123)</f>
        <v>35</v>
      </c>
      <c r="AA7" s="144">
        <f t="shared" ref="AA7:AA33" si="4">+Y7+Z7</f>
        <v>35</v>
      </c>
      <c r="AB7" s="145">
        <v>0</v>
      </c>
      <c r="AC7" s="145">
        <f>+(S7-T7)*V7-'data 1'!$F$4</f>
        <v>24.718500000000006</v>
      </c>
      <c r="AD7" s="145">
        <f t="shared" ref="AD7:AD33" si="5">+(Q7-P7)*(R7-U7)*L7*V7/100</f>
        <v>47.638409595864026</v>
      </c>
      <c r="AE7" s="145">
        <f t="shared" ref="AE7:AE33" si="6">+(Y7*V7-70)+V7*(Z7-IF(D7="UNTUCA",IF(+((W7-3)*2.5+(X7-3)*3.1)&gt;0,+((W7-3)*1.5+(X7-3)*3.1),0),IF(+((W7-3)*1.5+(X7-3)*3.1)&gt;0,+((W7-3)*1.5+(X7-3)*3.1),0)))</f>
        <v>-31.419499999999999</v>
      </c>
      <c r="AF7" s="145">
        <f t="shared" ref="AF7:AF33" si="7">(L7-O7)*(R7-U7)*Q7*V7/100</f>
        <v>88.72564480096203</v>
      </c>
      <c r="AG7" s="772">
        <f>AC7+AD7+AE7+AF7+70-53+51.19</f>
        <v>197.85305439682605</v>
      </c>
      <c r="AH7" s="1253">
        <f t="shared" ref="AH7:AH33" si="8">ROUND((31.1035*L7*Q7*1.1023*K7/100),3)</f>
        <v>2.2759999999999998</v>
      </c>
      <c r="AI7" s="1253">
        <f t="shared" ref="AI7:AI33" si="9">ROUND((31.1035*L7*1.1023*K7),3)</f>
        <v>2.4180000000000001</v>
      </c>
      <c r="AJ7" s="156">
        <f t="shared" ref="AJ7:AJ33" si="10">+((+$AJ$2-R7+U7)*L7*Q7*V7)/100</f>
        <v>28.145509060135993</v>
      </c>
      <c r="AK7" s="156">
        <f t="shared" ref="AK7:AK33" si="11">31.1035*1.1023*K7*P7*O7/100</f>
        <v>1.3937147383877198</v>
      </c>
      <c r="AM7" s="716">
        <f t="shared" ref="AM7:AM33" si="12">+IF(AB7*K7&gt;0,AB7*K7,0)</f>
        <v>0</v>
      </c>
      <c r="AN7" s="716" t="str">
        <f>_xlfn.XLOOKUP(D7,RUC!$B$3:$B$578,RUC!$M$3:$M$578)</f>
        <v>Robinson Tuya</v>
      </c>
      <c r="AO7" s="1167" t="s">
        <v>2277</v>
      </c>
      <c r="AP7" t="s">
        <v>4441</v>
      </c>
      <c r="AQ7" t="s">
        <v>4442</v>
      </c>
      <c r="AW7" s="1469">
        <f>SUM(AW9:AW18)</f>
        <v>450.79799999999994</v>
      </c>
      <c r="AX7" s="1470">
        <f>SUMPRODUCT(AW9:AW18,AX9:AX18)/SUM(AW9:AW18)</f>
        <v>0.26509899777727503</v>
      </c>
      <c r="AY7" s="704"/>
      <c r="AZ7" s="1471">
        <f ca="1">SUMPRODUCT(AZ9:AZ18,$BB9:$BB18)/SUM($BB9:$BB18)/100</f>
        <v>0.94332592417054228</v>
      </c>
      <c r="BA7" s="707">
        <f>SUM(BA9:BA18)</f>
        <v>4097.3129442713289</v>
      </c>
      <c r="BB7" s="707">
        <f ca="1">SUM(BB9:BB18)</f>
        <v>3852.6979999999994</v>
      </c>
    </row>
    <row r="8" spans="1:56" ht="15" customHeight="1" thickBot="1">
      <c r="A8" s="1491" t="s">
        <v>4471</v>
      </c>
      <c r="B8" s="1542">
        <v>46049</v>
      </c>
      <c r="C8" s="1447">
        <v>46043</v>
      </c>
      <c r="D8" t="s">
        <v>4171</v>
      </c>
      <c r="E8" s="762">
        <f>_xlfn.XLOOKUP(D8,RUC!$B$3:$B$123,RUC!$D$3:$D$123)</f>
        <v>20614284740</v>
      </c>
      <c r="G8" s="762">
        <v>40</v>
      </c>
      <c r="H8" s="762" t="s">
        <v>69</v>
      </c>
      <c r="I8" s="703">
        <v>2.68</v>
      </c>
      <c r="J8" s="596">
        <v>4.25</v>
      </c>
      <c r="K8" s="703">
        <f t="shared" si="0"/>
        <v>2.5659999999999998</v>
      </c>
      <c r="L8" s="1192">
        <v>8.7999999999999995E-2</v>
      </c>
      <c r="M8" s="994">
        <f t="shared" si="1"/>
        <v>6.9000000000000006E-2</v>
      </c>
      <c r="N8" s="1196">
        <f t="shared" si="2"/>
        <v>6.9000000000000006E-2</v>
      </c>
      <c r="O8" s="645">
        <f t="shared" si="3"/>
        <v>6.9000000000000006E-2</v>
      </c>
      <c r="P8" s="727">
        <v>80</v>
      </c>
      <c r="Q8" s="1476">
        <v>96.59</v>
      </c>
      <c r="R8" s="706">
        <v>4866.5</v>
      </c>
      <c r="S8" s="765">
        <f>IF((_xlfn.XLOOKUP(D8,RUC!$B$3:$B$119,RUC!$E$3:$E$119)+ROUNDDOWN(O8,1)*100)&lt;95,95,((_xlfn.XLOOKUP(D8,RUC!$B$3:$B$119,RUC!$E$3:$E$119)+ROUNDDOWN(O8,1)*100)))</f>
        <v>95</v>
      </c>
      <c r="U8" s="1146">
        <f>_xlfn.XLOOKUP(D8,RUC!$B$3:$B$123,RUC!$F$3:$F$123)</f>
        <v>120</v>
      </c>
      <c r="V8" s="715">
        <v>1.1023000000000001</v>
      </c>
      <c r="Y8">
        <f>_xlfn.XLOOKUP(D8,RUC!$B$3:$B$123,RUC!$G$3:$G$123)</f>
        <v>20</v>
      </c>
      <c r="Z8" s="143">
        <f>_xlfn.XLOOKUP(D8,RUC!$B$3:$B$123,RUC!$H$3:$H$123)</f>
        <v>30</v>
      </c>
      <c r="AA8" s="144">
        <f t="shared" si="4"/>
        <v>50</v>
      </c>
      <c r="AB8" s="145">
        <v>1E-3</v>
      </c>
      <c r="AC8" s="145">
        <f>+(S8-T8)*V8-'data 1'!$F$4</f>
        <v>24.718500000000006</v>
      </c>
      <c r="AD8" s="145">
        <f t="shared" si="5"/>
        <v>76.383991816440016</v>
      </c>
      <c r="AE8" s="145">
        <f t="shared" si="6"/>
        <v>-14.884999999999998</v>
      </c>
      <c r="AF8" s="145">
        <f t="shared" si="7"/>
        <v>96.019415873094943</v>
      </c>
      <c r="AG8" s="772">
        <f>AC8+AD8+AE8+AF8+70-53+128.98</f>
        <v>328.21690768953499</v>
      </c>
      <c r="AH8" s="1253">
        <f t="shared" si="8"/>
        <v>7.4779999999999998</v>
      </c>
      <c r="AI8" s="1253">
        <f t="shared" si="9"/>
        <v>7.742</v>
      </c>
      <c r="AJ8" s="156">
        <f t="shared" si="10"/>
        <v>14.382123887559999</v>
      </c>
      <c r="AK8" s="156">
        <f t="shared" si="11"/>
        <v>4.8562920766437596</v>
      </c>
      <c r="AM8" s="716">
        <f t="shared" si="12"/>
        <v>2.5659999999999997E-3</v>
      </c>
      <c r="AN8" s="716" t="str">
        <f>_xlfn.XLOOKUP(D8,RUC!$B$3:$B$578,RUC!$M$3:$M$578)</f>
        <v xml:space="preserve">Dante </v>
      </c>
      <c r="AO8" s="1167" t="s">
        <v>2277</v>
      </c>
      <c r="AP8" t="s">
        <v>4508</v>
      </c>
      <c r="AQ8" t="s">
        <v>4509</v>
      </c>
      <c r="AV8" s="762"/>
      <c r="AW8" s="762" t="s">
        <v>15</v>
      </c>
      <c r="AX8" s="762" t="s">
        <v>2522</v>
      </c>
      <c r="AY8" s="1214" t="s">
        <v>2522</v>
      </c>
      <c r="AZ8" s="762" t="s">
        <v>2523</v>
      </c>
      <c r="BA8" s="762" t="s">
        <v>2558</v>
      </c>
      <c r="BB8" s="762" t="s">
        <v>2559</v>
      </c>
      <c r="BC8" s="1555" t="s">
        <v>2565</v>
      </c>
      <c r="BD8" s="729" t="s">
        <v>2579</v>
      </c>
    </row>
    <row r="9" spans="1:56" ht="15" customHeight="1">
      <c r="A9" s="747" t="s">
        <v>4543</v>
      </c>
      <c r="B9" s="1447">
        <v>46057</v>
      </c>
      <c r="C9" s="1447">
        <v>46049</v>
      </c>
      <c r="D9" t="s">
        <v>1967</v>
      </c>
      <c r="E9" s="762">
        <f>_xlfn.XLOOKUP(D9,RUC!$B$3:$B$123,RUC!$D$3:$D$123)</f>
        <v>20601769396</v>
      </c>
      <c r="G9" s="762">
        <v>21</v>
      </c>
      <c r="H9" s="762" t="s">
        <v>108</v>
      </c>
      <c r="I9" s="703">
        <v>1.81</v>
      </c>
      <c r="J9" s="596">
        <v>13.03</v>
      </c>
      <c r="K9" s="703">
        <f t="shared" si="0"/>
        <v>1.5740000000000001</v>
      </c>
      <c r="L9" s="1192">
        <v>0.14299999999999999</v>
      </c>
      <c r="M9" s="994">
        <f t="shared" si="1"/>
        <v>0.124</v>
      </c>
      <c r="N9" s="1196">
        <f t="shared" si="2"/>
        <v>0.124</v>
      </c>
      <c r="O9" s="645">
        <f t="shared" si="3"/>
        <v>0.124</v>
      </c>
      <c r="P9" s="727">
        <v>80</v>
      </c>
      <c r="Q9" s="1476">
        <v>95.1</v>
      </c>
      <c r="R9" s="706">
        <v>5064.25</v>
      </c>
      <c r="S9" s="765">
        <f>IF((_xlfn.XLOOKUP(D9,RUC!$B$3:$B$119,RUC!$E$3:$E$119)+ROUNDDOWN(O9,1)*100)&lt;95,95,((_xlfn.XLOOKUP(D9,RUC!$B$3:$B$119,RUC!$E$3:$E$119)+ROUNDDOWN(O9,1)*100)))</f>
        <v>100</v>
      </c>
      <c r="U9" s="1146">
        <f>_xlfn.XLOOKUP(D9,RUC!$B$3:$B$123,RUC!$F$3:$F$123)</f>
        <v>120</v>
      </c>
      <c r="V9" s="715">
        <v>1.1023000000000001</v>
      </c>
      <c r="Y9" s="1445">
        <v>30</v>
      </c>
      <c r="Z9" s="1454">
        <v>40</v>
      </c>
      <c r="AA9" s="144">
        <f t="shared" si="4"/>
        <v>70</v>
      </c>
      <c r="AB9" s="145">
        <f t="shared" ref="AB9" si="13">+((O9*P9*(R9-U9)/100)-S9-AA9+T9)*V9</f>
        <v>353.25364008000003</v>
      </c>
      <c r="AC9" s="145">
        <f>+(S9-T9)*V9-'data 1'!$F$4</f>
        <v>30.230000000000004</v>
      </c>
      <c r="AD9" s="145">
        <f t="shared" si="5"/>
        <v>117.68286001257495</v>
      </c>
      <c r="AE9" s="145">
        <f t="shared" si="6"/>
        <v>7.1610000000000014</v>
      </c>
      <c r="AF9" s="145">
        <f t="shared" si="7"/>
        <v>98.476895177474944</v>
      </c>
      <c r="AG9" s="772">
        <f t="shared" ref="AG9" si="14">AC9+AD9+AE9+AF9+70-53</f>
        <v>270.55075519004993</v>
      </c>
      <c r="AH9" s="1253">
        <f t="shared" si="8"/>
        <v>7.3390000000000004</v>
      </c>
      <c r="AI9" s="1253">
        <f t="shared" si="9"/>
        <v>7.7169999999999996</v>
      </c>
      <c r="AJ9" s="156">
        <f t="shared" si="10"/>
        <v>-6.6332999625749984</v>
      </c>
      <c r="AK9" s="156">
        <f t="shared" si="11"/>
        <v>5.3533479184374402</v>
      </c>
      <c r="AM9" s="716">
        <f t="shared" si="12"/>
        <v>556.02122948592012</v>
      </c>
      <c r="AN9" s="716" t="str">
        <f>_xlfn.XLOOKUP(D9,RUC!$B$3:$B$578,RUC!$M$3:$M$578)</f>
        <v>Evelyn</v>
      </c>
      <c r="AO9" s="1167" t="s">
        <v>2280</v>
      </c>
      <c r="AP9" t="s">
        <v>4567</v>
      </c>
      <c r="AQ9" t="s">
        <v>3479</v>
      </c>
      <c r="AV9" s="1556" t="s">
        <v>2277</v>
      </c>
      <c r="AW9" s="1227">
        <f t="shared" ref="AW9:AW18" si="15">SUMIF($AO$4:$AO$627,AV9,$K$4:$K$627)</f>
        <v>117.776</v>
      </c>
      <c r="AX9" s="1227" cm="1">
        <f t="array" ref="AX9">+SUMPRODUCT(IF($AO$4:$AO$627=AV9,$L$4:$L$627*$K$4:$K$627/AW9))</f>
        <v>0.2996395530498574</v>
      </c>
      <c r="AY9" s="1228">
        <f t="shared" ref="AY9:AY18" si="16">31.1035*1.1023*AX9*(100-AZ9)/100</f>
        <v>0.44854535989184158</v>
      </c>
      <c r="AZ9" s="1229" cm="1">
        <f t="array" ref="AZ9">+SUMPRODUCT(IF($AO$4:$AO$627=AV9,($Q$4:$Q$627*$AH$4:$AH$627)/SUMIF($AO$4:$AO$627,$AV9,$AH$4:$AH$627)))</f>
        <v>95.63385496064312</v>
      </c>
      <c r="BA9" s="1441">
        <f t="shared" ref="BA9:BA18" si="17">+AX9*31.1035*1.1023*AW9</f>
        <v>1209.9432755995417</v>
      </c>
      <c r="BB9" s="1230">
        <f t="shared" ref="BB9:BB17" ca="1" si="18">SUMIF($AO$4:$AO$617,$AV9,$AH$4:$AH$6)</f>
        <v>1155.7069999999999</v>
      </c>
      <c r="BC9" s="1229">
        <f ca="1">+BA9-BB9</f>
        <v>54.236275599541841</v>
      </c>
      <c r="BD9" s="1231">
        <f>+AW9</f>
        <v>117.776</v>
      </c>
    </row>
    <row r="10" spans="1:56" ht="15" customHeight="1">
      <c r="A10" s="747" t="s">
        <v>4551</v>
      </c>
      <c r="B10" s="1447">
        <v>46077</v>
      </c>
      <c r="C10" s="1447">
        <v>46049</v>
      </c>
      <c r="D10" t="s">
        <v>1967</v>
      </c>
      <c r="E10" s="762">
        <f>_xlfn.XLOOKUP(D10,RUC!$B$3:$B$123,RUC!$D$3:$D$123)</f>
        <v>20601769396</v>
      </c>
      <c r="G10" s="762">
        <v>43</v>
      </c>
      <c r="H10" s="762" t="s">
        <v>2005</v>
      </c>
      <c r="I10" s="703">
        <v>3.8</v>
      </c>
      <c r="J10" s="596">
        <v>12.3</v>
      </c>
      <c r="K10" s="703">
        <f t="shared" si="0"/>
        <v>3.3330000000000002</v>
      </c>
      <c r="L10" s="1192">
        <v>0.17499999999999999</v>
      </c>
      <c r="M10" s="994">
        <f t="shared" si="1"/>
        <v>0.156</v>
      </c>
      <c r="N10" s="1196">
        <f t="shared" si="2"/>
        <v>0.156</v>
      </c>
      <c r="O10" s="645">
        <f t="shared" si="3"/>
        <v>0.156</v>
      </c>
      <c r="P10" s="727">
        <v>85</v>
      </c>
      <c r="Q10" s="1476">
        <v>92.65</v>
      </c>
      <c r="R10" s="706">
        <v>5064.25</v>
      </c>
      <c r="S10" s="765">
        <f>IF((_xlfn.XLOOKUP(D10,RUC!$B$3:$B$119,RUC!$E$3:$E$119)+ROUNDDOWN(O10,1)*100)&lt;95,95,((_xlfn.XLOOKUP(D10,RUC!$B$3:$B$119,RUC!$E$3:$E$119)+ROUNDDOWN(O10,1)*100)))</f>
        <v>100</v>
      </c>
      <c r="U10" s="1146">
        <f>_xlfn.XLOOKUP(D10,RUC!$B$3:$B$123,RUC!$F$3:$F$123)</f>
        <v>120</v>
      </c>
      <c r="V10" s="715">
        <v>1.1023000000000001</v>
      </c>
      <c r="Y10">
        <f>_xlfn.XLOOKUP(D10,RUC!$B$3:$B$123,RUC!$G$3:$G$123)</f>
        <v>20</v>
      </c>
      <c r="Z10" s="143">
        <f>_xlfn.XLOOKUP(D10,RUC!$B$3:$B$123,RUC!$H$3:$H$123)</f>
        <v>30</v>
      </c>
      <c r="AA10" s="144">
        <f t="shared" si="4"/>
        <v>50</v>
      </c>
      <c r="AB10" s="145">
        <f t="shared" ref="AB10:AB16" si="19">+((O10*P10*(R10-U10)/100)-S10-AA10+T10)*V10</f>
        <v>557.33120236500008</v>
      </c>
      <c r="AC10" s="145">
        <f>+(S10-T10)*V10-'data 1'!$F$4</f>
        <v>30.230000000000004</v>
      </c>
      <c r="AD10" s="145">
        <f t="shared" si="5"/>
        <v>72.962501200312545</v>
      </c>
      <c r="AE10" s="145">
        <f t="shared" si="6"/>
        <v>-14.884999999999998</v>
      </c>
      <c r="AF10" s="145">
        <f t="shared" si="7"/>
        <v>95.939898403712462</v>
      </c>
      <c r="AG10" s="772">
        <f t="shared" ref="AG10:AG11" si="20">AC10+AD10+AE10+AF10+70-53</f>
        <v>201.24739960402502</v>
      </c>
      <c r="AH10" s="1253">
        <f t="shared" si="8"/>
        <v>18.527999999999999</v>
      </c>
      <c r="AI10" s="1253">
        <f t="shared" si="9"/>
        <v>19.998000000000001</v>
      </c>
      <c r="AJ10" s="156">
        <f t="shared" si="10"/>
        <v>-7.9085443565624995</v>
      </c>
      <c r="AK10" s="156">
        <f t="shared" si="11"/>
        <v>15.152626103948188</v>
      </c>
      <c r="AM10" s="716">
        <f t="shared" si="12"/>
        <v>1857.5848974825453</v>
      </c>
      <c r="AN10" s="716" t="str">
        <f>_xlfn.XLOOKUP(D10,RUC!$B$3:$B$578,RUC!$M$3:$M$578)</f>
        <v>Evelyn</v>
      </c>
      <c r="AO10" s="1167" t="s">
        <v>2278</v>
      </c>
      <c r="AP10" t="s">
        <v>3737</v>
      </c>
      <c r="AQ10" t="s">
        <v>4568</v>
      </c>
      <c r="AV10" s="1557" t="s">
        <v>2278</v>
      </c>
      <c r="AW10" s="703">
        <f t="shared" si="15"/>
        <v>144.30499999999998</v>
      </c>
      <c r="AX10" s="703" cm="1">
        <f t="array" ref="AX10">+SUMPRODUCT(IF($AO$4:$AO$627=AV10,$L$4:$L$627*$K$4:$K$627/AW10))</f>
        <v>0.26745837635563563</v>
      </c>
      <c r="AY10" s="1215">
        <f t="shared" si="16"/>
        <v>0.66289425682440084</v>
      </c>
      <c r="AZ10" s="596" cm="1">
        <f t="array" ref="AZ10">+SUMPRODUCT(IF($AO$4:$AO$627=AV10,($Q$4:$Q$627*$AH$4:$AH$627)/SUMIF($AO$4:$AO$627,$AV10,$AH$4:$AH$627)))</f>
        <v>92.770987373720843</v>
      </c>
      <c r="BA10" s="1481">
        <f t="shared" si="17"/>
        <v>1323.2644716002069</v>
      </c>
      <c r="BB10" s="1237">
        <f t="shared" ca="1" si="18"/>
        <v>1220.7079999999996</v>
      </c>
      <c r="BC10" s="596">
        <f t="shared" ref="BC10:BC18" ca="1" si="21">+BC9+BA10-BB10</f>
        <v>156.7927471997491</v>
      </c>
      <c r="BD10" s="1238">
        <f t="shared" ref="BD10:BD18" si="22">+BD9+AW10</f>
        <v>262.08099999999996</v>
      </c>
    </row>
    <row r="11" spans="1:56" ht="15" customHeight="1">
      <c r="A11" s="747" t="s">
        <v>4552</v>
      </c>
      <c r="B11" s="1447">
        <v>46077</v>
      </c>
      <c r="C11" s="1447">
        <v>46049</v>
      </c>
      <c r="D11" t="s">
        <v>1967</v>
      </c>
      <c r="E11" s="762">
        <f>_xlfn.XLOOKUP(D11,RUC!$B$3:$B$123,RUC!$D$3:$D$123)</f>
        <v>20601769396</v>
      </c>
      <c r="G11" s="762">
        <v>43</v>
      </c>
      <c r="H11" s="762" t="s">
        <v>2005</v>
      </c>
      <c r="I11" s="703">
        <v>3.75</v>
      </c>
      <c r="J11" s="596">
        <v>14.45</v>
      </c>
      <c r="K11" s="703">
        <f t="shared" si="0"/>
        <v>3.2080000000000002</v>
      </c>
      <c r="L11" s="1192">
        <v>0.14499999999999999</v>
      </c>
      <c r="M11" s="994">
        <f t="shared" si="1"/>
        <v>0.126</v>
      </c>
      <c r="N11" s="1196">
        <f t="shared" si="2"/>
        <v>0.126</v>
      </c>
      <c r="O11" s="645">
        <f t="shared" si="3"/>
        <v>0.126</v>
      </c>
      <c r="P11" s="727">
        <v>80</v>
      </c>
      <c r="Q11" s="1476">
        <v>85.92</v>
      </c>
      <c r="R11" s="706">
        <v>5064.25</v>
      </c>
      <c r="S11" s="765">
        <f>IF((_xlfn.XLOOKUP(D11,RUC!$B$3:$B$119,RUC!$E$3:$E$119)+ROUNDDOWN(O11,1)*100)&lt;95,95,((_xlfn.XLOOKUP(D11,RUC!$B$3:$B$119,RUC!$E$3:$E$119)+ROUNDDOWN(O11,1)*100)))</f>
        <v>100</v>
      </c>
      <c r="U11" s="1146">
        <f>_xlfn.XLOOKUP(D11,RUC!$B$3:$B$123,RUC!$F$3:$F$123)</f>
        <v>120</v>
      </c>
      <c r="V11" s="715">
        <v>1.1023000000000001</v>
      </c>
      <c r="Y11">
        <f>_xlfn.XLOOKUP(D11,RUC!$B$3:$B$123,RUC!$G$3:$G$123)</f>
        <v>20</v>
      </c>
      <c r="Z11" s="143">
        <f>_xlfn.XLOOKUP(D11,RUC!$B$3:$B$123,RUC!$H$3:$H$123)</f>
        <v>30</v>
      </c>
      <c r="AA11" s="144">
        <f t="shared" si="4"/>
        <v>50</v>
      </c>
      <c r="AB11" s="145">
        <f t="shared" si="19"/>
        <v>384.01971492000001</v>
      </c>
      <c r="AC11" s="145">
        <f>+(S11-T11)*V11-'data 1'!$F$4</f>
        <v>30.230000000000004</v>
      </c>
      <c r="AD11" s="145">
        <f t="shared" si="5"/>
        <v>46.783201516600023</v>
      </c>
      <c r="AE11" s="145">
        <f t="shared" si="6"/>
        <v>-14.884999999999998</v>
      </c>
      <c r="AF11" s="145">
        <f t="shared" si="7"/>
        <v>88.970923592519952</v>
      </c>
      <c r="AG11" s="772">
        <f t="shared" si="20"/>
        <v>168.09912510911997</v>
      </c>
      <c r="AH11" s="1253">
        <f t="shared" si="8"/>
        <v>13.702999999999999</v>
      </c>
      <c r="AI11" s="1253">
        <f t="shared" si="9"/>
        <v>15.948</v>
      </c>
      <c r="AJ11" s="156">
        <f t="shared" si="10"/>
        <v>-6.076805736599999</v>
      </c>
      <c r="AK11" s="156">
        <f t="shared" si="11"/>
        <v>11.08674250633152</v>
      </c>
      <c r="AM11" s="716">
        <f t="shared" si="12"/>
        <v>1231.9352454633602</v>
      </c>
      <c r="AN11" s="716" t="str">
        <f>_xlfn.XLOOKUP(D11,RUC!$B$3:$B$578,RUC!$M$3:$M$578)</f>
        <v>Evelyn</v>
      </c>
      <c r="AO11" s="1167" t="s">
        <v>2280</v>
      </c>
      <c r="AP11" t="s">
        <v>3737</v>
      </c>
      <c r="AQ11" t="s">
        <v>4568</v>
      </c>
      <c r="AV11" s="1557" t="s">
        <v>2280</v>
      </c>
      <c r="AW11" s="703">
        <f t="shared" si="15"/>
        <v>103.81500000000001</v>
      </c>
      <c r="AX11" s="703" cm="1">
        <f t="array" ref="AX11">+SUMPRODUCT(IF($AO$4:$AO$627=AV11,$L$4:$L$627*$K$4:$K$627/AW11))</f>
        <v>0.24072867119395072</v>
      </c>
      <c r="AY11" s="1215">
        <f t="shared" si="16"/>
        <v>0.47577668150487507</v>
      </c>
      <c r="AZ11" s="596" cm="1">
        <f t="array" ref="AZ11">+SUMPRODUCT(IF($AO$4:$AO$627=AV11,($Q$4:$Q$627*$AH$4:$AH$627)/SUMIF($AO$4:$AO$627,$AV11,$AH$4:$AH$627)))</f>
        <v>94.235438657768498</v>
      </c>
      <c r="BA11" s="1237">
        <f t="shared" si="17"/>
        <v>856.83460124839826</v>
      </c>
      <c r="BB11" s="1237">
        <f t="shared" ca="1" si="18"/>
        <v>804.51099999999997</v>
      </c>
      <c r="BC11" s="596">
        <f t="shared" ca="1" si="21"/>
        <v>209.11634844814739</v>
      </c>
      <c r="BD11" s="1238">
        <f t="shared" si="22"/>
        <v>365.89599999999996</v>
      </c>
    </row>
    <row r="12" spans="1:56" ht="15" customHeight="1">
      <c r="A12" s="747" t="s">
        <v>4557</v>
      </c>
      <c r="B12" s="1447">
        <v>46057</v>
      </c>
      <c r="C12" s="1447">
        <v>46051</v>
      </c>
      <c r="D12" s="1650" t="s">
        <v>4171</v>
      </c>
      <c r="E12" s="762">
        <f>_xlfn.XLOOKUP(D12,RUC!$B$3:$B$123,RUC!$D$3:$D$123)</f>
        <v>20614284740</v>
      </c>
      <c r="G12" s="762">
        <v>93</v>
      </c>
      <c r="H12" s="762" t="s">
        <v>69</v>
      </c>
      <c r="I12" s="703">
        <v>6.74</v>
      </c>
      <c r="J12" s="596">
        <v>2.5499999999999998</v>
      </c>
      <c r="K12" s="703">
        <f t="shared" si="0"/>
        <v>6.5679999999999996</v>
      </c>
      <c r="L12" s="1192">
        <v>0.14499999999999999</v>
      </c>
      <c r="M12" s="994">
        <f t="shared" ref="M12:M22" si="23">ROUND(+IF(AN12="Melchor Vera",IF(L12&gt;0.467,L12*0.985,(L12-0.007)),IF(L12&gt;0.3,L12*0.94,(L12-0.019))),3)</f>
        <v>0.126</v>
      </c>
      <c r="N12" s="1196">
        <f t="shared" si="2"/>
        <v>0.126</v>
      </c>
      <c r="O12" s="645">
        <f t="shared" si="3"/>
        <v>0.126</v>
      </c>
      <c r="P12" s="727">
        <v>80</v>
      </c>
      <c r="Q12" s="1476">
        <v>97.93</v>
      </c>
      <c r="R12" s="706">
        <v>5405</v>
      </c>
      <c r="S12" s="765">
        <f>IF((_xlfn.XLOOKUP(D12,RUC!$B$3:$B$119,RUC!$E$3:$E$119)+ROUNDDOWN(O12,1)*100)&lt;95,95,((_xlfn.XLOOKUP(D12,RUC!$B$3:$B$119,RUC!$E$3:$E$119)+ROUNDDOWN(O12,1)*100)))</f>
        <v>100</v>
      </c>
      <c r="U12" s="1146">
        <f>_xlfn.XLOOKUP(D12,RUC!$B$3:$B$123,RUC!$F$3:$F$123)</f>
        <v>120</v>
      </c>
      <c r="V12" s="715">
        <v>1.1023000000000001</v>
      </c>
      <c r="Y12">
        <f>_xlfn.XLOOKUP(D12,RUC!$B$3:$B$123,RUC!$G$3:$G$123)</f>
        <v>20</v>
      </c>
      <c r="Z12" s="143">
        <f>_xlfn.XLOOKUP(D12,RUC!$B$3:$B$123,RUC!$H$3:$H$123)</f>
        <v>30</v>
      </c>
      <c r="AA12" s="144">
        <f t="shared" si="4"/>
        <v>50</v>
      </c>
      <c r="AB12" s="145">
        <f t="shared" si="19"/>
        <v>421.8810744000001</v>
      </c>
      <c r="AC12" s="145">
        <f>+(S12-T12)*V12-'data 1'!$F$4</f>
        <v>30.230000000000004</v>
      </c>
      <c r="AD12" s="145">
        <f t="shared" si="5"/>
        <v>151.45830451675005</v>
      </c>
      <c r="AE12" s="145">
        <f t="shared" si="6"/>
        <v>-14.884999999999998</v>
      </c>
      <c r="AF12" s="145">
        <f t="shared" si="7"/>
        <v>108.39622419184997</v>
      </c>
      <c r="AG12" s="772">
        <f>AC12+AD12+AE12+AF12+70</f>
        <v>345.19952870860004</v>
      </c>
      <c r="AH12" s="1253">
        <f t="shared" si="8"/>
        <v>31.975999999999999</v>
      </c>
      <c r="AI12" s="1253">
        <f t="shared" si="9"/>
        <v>32.652000000000001</v>
      </c>
      <c r="AJ12" s="156">
        <f t="shared" si="10"/>
        <v>-60.262104421750003</v>
      </c>
      <c r="AK12" s="156">
        <f t="shared" si="11"/>
        <v>22.698792014209921</v>
      </c>
      <c r="AM12" s="716">
        <f t="shared" si="12"/>
        <v>2770.9148966592006</v>
      </c>
      <c r="AN12" s="716" t="str">
        <f>_xlfn.XLOOKUP(D12,RUC!$B$3:$B$578,RUC!$M$3:$M$578)</f>
        <v xml:space="preserve">Dante </v>
      </c>
      <c r="AO12" s="1167" t="s">
        <v>2280</v>
      </c>
      <c r="AP12" t="s">
        <v>4319</v>
      </c>
      <c r="AQ12" t="s">
        <v>4637</v>
      </c>
      <c r="AV12" s="1557" t="s">
        <v>2279</v>
      </c>
      <c r="AW12" s="703">
        <f t="shared" si="15"/>
        <v>84.902000000000001</v>
      </c>
      <c r="AX12" s="703" cm="1">
        <f t="array" ref="AX12">+SUMPRODUCT(IF($AO$4:$AO$627=AV12,$L$4:$L$627*$K$4:$K$627/AW12))</f>
        <v>0.2429733339615085</v>
      </c>
      <c r="AY12" s="1215">
        <f t="shared" si="16"/>
        <v>0.41252859654069951</v>
      </c>
      <c r="AZ12" s="596" cm="1">
        <f t="array" ref="AZ12">+SUMPRODUCT(IF($AO$4:$AO$627=AV12,($Q$4:$Q$627*$AH$4:$AH$627)/SUMIF($AO$4:$AO$627,$AV12,$AH$4:$AH$627)))</f>
        <v>95.047934537313267</v>
      </c>
      <c r="BA12" s="1237">
        <f t="shared" si="17"/>
        <v>707.27059582318202</v>
      </c>
      <c r="BB12" s="1237">
        <f t="shared" ca="1" si="18"/>
        <v>671.77200000000005</v>
      </c>
      <c r="BC12" s="596">
        <f t="shared" ca="1" si="21"/>
        <v>244.61494427132936</v>
      </c>
      <c r="BD12" s="1238">
        <f t="shared" si="22"/>
        <v>450.79799999999994</v>
      </c>
    </row>
    <row r="13" spans="1:56" ht="15" customHeight="1">
      <c r="A13" s="747" t="s">
        <v>4580</v>
      </c>
      <c r="B13" s="1447">
        <v>46057</v>
      </c>
      <c r="C13" s="1447">
        <v>46052</v>
      </c>
      <c r="D13" t="s">
        <v>4499</v>
      </c>
      <c r="E13" s="762">
        <f>_xlfn.XLOOKUP(D13,RUC!$B$3:$B$123,RUC!$D$3:$D$123)</f>
        <v>20606480840</v>
      </c>
      <c r="G13" s="762">
        <v>12</v>
      </c>
      <c r="H13" s="762" t="s">
        <v>69</v>
      </c>
      <c r="I13" s="703">
        <v>0.88</v>
      </c>
      <c r="J13" s="596">
        <v>1.2</v>
      </c>
      <c r="K13" s="703">
        <f t="shared" si="0"/>
        <v>0.86899999999999999</v>
      </c>
      <c r="L13" s="1192">
        <v>0.13700000000000001</v>
      </c>
      <c r="M13" s="994">
        <f t="shared" si="23"/>
        <v>0.11799999999999999</v>
      </c>
      <c r="N13" s="1196">
        <f t="shared" si="2"/>
        <v>0.11799999999999999</v>
      </c>
      <c r="O13" s="645">
        <f t="shared" si="3"/>
        <v>0.11799999999999999</v>
      </c>
      <c r="P13" s="727">
        <v>80</v>
      </c>
      <c r="Q13" s="1476">
        <v>97.81</v>
      </c>
      <c r="R13" s="706">
        <v>4981.8500000000004</v>
      </c>
      <c r="S13" s="765">
        <f>IF((_xlfn.XLOOKUP(D13,RUC!$B$3:$B$119,RUC!$E$3:$E$119)+ROUNDDOWN(O13,1)*100)&lt;95,95,((_xlfn.XLOOKUP(D13,RUC!$B$3:$B$119,RUC!$E$3:$E$119)+ROUNDDOWN(O13,1)*100)))</f>
        <v>95</v>
      </c>
      <c r="U13" s="1146">
        <f>_xlfn.XLOOKUP(D13,RUC!$B$3:$B$123,RUC!$F$3:$F$123)</f>
        <v>110</v>
      </c>
      <c r="V13" s="715">
        <v>1.1023000000000001</v>
      </c>
      <c r="Y13">
        <f>_xlfn.XLOOKUP(D13,RUC!$B$3:$B$123,RUC!$G$3:$G$123)</f>
        <v>0</v>
      </c>
      <c r="Z13" s="143">
        <f>_xlfn.XLOOKUP(D13,RUC!$B$3:$B$123,RUC!$H$3:$H$123)</f>
        <v>35</v>
      </c>
      <c r="AA13" s="144">
        <f t="shared" si="4"/>
        <v>35</v>
      </c>
      <c r="AB13" s="145">
        <f t="shared" si="19"/>
        <v>363.65168007200003</v>
      </c>
      <c r="AC13" s="145">
        <f>+(S13-T13)*V13-'data 1'!$F$4</f>
        <v>24.718500000000006</v>
      </c>
      <c r="AD13" s="145">
        <f t="shared" si="5"/>
        <v>131.03225114992355</v>
      </c>
      <c r="AE13" s="145">
        <f t="shared" si="6"/>
        <v>-31.419499999999999</v>
      </c>
      <c r="AF13" s="145">
        <f t="shared" si="7"/>
        <v>99.800007874894604</v>
      </c>
      <c r="AG13" s="772">
        <f t="shared" ref="AG13:AG15" si="24">AC13+AD13+AE13+AF13+70-53</f>
        <v>241.13125902481818</v>
      </c>
      <c r="AH13" s="1253">
        <f t="shared" si="8"/>
        <v>3.992</v>
      </c>
      <c r="AI13" s="1253">
        <f t="shared" si="9"/>
        <v>4.0819999999999999</v>
      </c>
      <c r="AJ13" s="156">
        <f t="shared" si="10"/>
        <v>4.1579765210764466</v>
      </c>
      <c r="AK13" s="156">
        <f t="shared" si="11"/>
        <v>2.8125538091384801</v>
      </c>
      <c r="AM13" s="716">
        <f t="shared" si="12"/>
        <v>316.01330998256805</v>
      </c>
      <c r="AN13" s="716" t="str">
        <f>_xlfn.XLOOKUP(D13,RUC!$B$3:$B$578,RUC!$M$3:$M$578)</f>
        <v>Robinson Tuya</v>
      </c>
      <c r="AO13" s="1167" t="s">
        <v>2280</v>
      </c>
      <c r="AP13" t="s">
        <v>2745</v>
      </c>
      <c r="AQ13" t="s">
        <v>3406</v>
      </c>
      <c r="AV13" s="1557" t="s">
        <v>2281</v>
      </c>
      <c r="AW13" s="703">
        <f t="shared" si="15"/>
        <v>0</v>
      </c>
      <c r="AX13" s="703" cm="1">
        <f t="array" ref="AX13">+SUMPRODUCT(IF($AO$4:$AO$627=AV13,$L$4:$L$627*$K$4:$K$627/AW13))</f>
        <v>0</v>
      </c>
      <c r="AY13" s="1215">
        <f t="shared" si="16"/>
        <v>0</v>
      </c>
      <c r="AZ13" s="596" cm="1">
        <f t="array" ref="AZ13">+SUMPRODUCT(IF($AO$4:$AO$627=AV13,($Q$4:$Q$627*$AH$4:$AH$627)/SUMIF($AO$4:$AO$627,$AV13,$AH$4:$AH$627)))</f>
        <v>0</v>
      </c>
      <c r="BA13" s="1237">
        <f t="shared" si="17"/>
        <v>0</v>
      </c>
      <c r="BB13" s="1237">
        <f t="shared" ca="1" si="18"/>
        <v>0</v>
      </c>
      <c r="BC13" s="596">
        <f t="shared" ca="1" si="21"/>
        <v>244.61494427132936</v>
      </c>
      <c r="BD13" s="1238">
        <f t="shared" si="22"/>
        <v>450.79799999999994</v>
      </c>
    </row>
    <row r="14" spans="1:56" ht="15" customHeight="1">
      <c r="A14" s="747" t="s">
        <v>4592</v>
      </c>
      <c r="B14" s="1447">
        <v>46058</v>
      </c>
      <c r="C14" s="1447">
        <v>46052</v>
      </c>
      <c r="D14" t="s">
        <v>1967</v>
      </c>
      <c r="E14" s="762">
        <f>_xlfn.XLOOKUP(D14,RUC!$B$3:$B$123,RUC!$D$3:$D$123)</f>
        <v>20601769396</v>
      </c>
      <c r="G14" s="762">
        <v>30</v>
      </c>
      <c r="H14" s="762" t="s">
        <v>108</v>
      </c>
      <c r="I14" s="703">
        <v>2.61</v>
      </c>
      <c r="J14" s="596">
        <v>6.2</v>
      </c>
      <c r="K14" s="703">
        <f t="shared" si="0"/>
        <v>2.448</v>
      </c>
      <c r="L14" s="1192">
        <v>0.11899999999999999</v>
      </c>
      <c r="M14" s="994">
        <f t="shared" si="23"/>
        <v>0.1</v>
      </c>
      <c r="N14" s="1196">
        <f t="shared" si="2"/>
        <v>0.1</v>
      </c>
      <c r="O14" s="645">
        <f t="shared" si="3"/>
        <v>0.1</v>
      </c>
      <c r="P14" s="727">
        <v>80</v>
      </c>
      <c r="Q14" s="1476">
        <v>87.39</v>
      </c>
      <c r="R14" s="706">
        <v>4981.8500000000004</v>
      </c>
      <c r="S14" s="765">
        <f>IF((_xlfn.XLOOKUP(D14,RUC!$B$3:$B$119,RUC!$E$3:$E$119)+ROUNDDOWN(O14,1)*100)&lt;95,95,((_xlfn.XLOOKUP(D14,RUC!$B$3:$B$119,RUC!$E$3:$E$119)+ROUNDDOWN(O14,1)*100)))</f>
        <v>100</v>
      </c>
      <c r="U14" s="1146">
        <f>_xlfn.XLOOKUP(D14,RUC!$B$3:$B$123,RUC!$F$3:$F$123)</f>
        <v>120</v>
      </c>
      <c r="V14" s="715">
        <v>1.1023000000000001</v>
      </c>
      <c r="Y14" s="1445">
        <v>30</v>
      </c>
      <c r="Z14" s="1454">
        <v>40</v>
      </c>
      <c r="AA14" s="144">
        <f t="shared" si="4"/>
        <v>70</v>
      </c>
      <c r="AB14" s="145">
        <f t="shared" si="19"/>
        <v>241.34638040000004</v>
      </c>
      <c r="AC14" s="145">
        <f>+(S14-T14)*V14-'data 1'!$F$4</f>
        <v>30.230000000000004</v>
      </c>
      <c r="AD14" s="145">
        <f t="shared" si="5"/>
        <v>47.1294924621955</v>
      </c>
      <c r="AE14" s="145">
        <f t="shared" si="6"/>
        <v>7.1610000000000014</v>
      </c>
      <c r="AF14" s="145">
        <f t="shared" si="7"/>
        <v>88.984979223745455</v>
      </c>
      <c r="AG14" s="772">
        <f t="shared" si="24"/>
        <v>190.50547168594096</v>
      </c>
      <c r="AH14" s="1253">
        <f t="shared" si="8"/>
        <v>8.7279999999999998</v>
      </c>
      <c r="AI14" s="1253">
        <f t="shared" si="9"/>
        <v>9.9879999999999995</v>
      </c>
      <c r="AJ14" s="156">
        <f t="shared" si="10"/>
        <v>4.3732373688044586</v>
      </c>
      <c r="AK14" s="156">
        <f t="shared" si="11"/>
        <v>6.7144503957120012</v>
      </c>
      <c r="AM14" s="716">
        <f t="shared" si="12"/>
        <v>590.81593921920012</v>
      </c>
      <c r="AN14" s="716" t="str">
        <f>_xlfn.XLOOKUP(D14,RUC!$B$3:$B$578,RUC!$M$3:$M$578)</f>
        <v>Evelyn</v>
      </c>
      <c r="AO14" s="1167" t="s">
        <v>2279</v>
      </c>
      <c r="AP14" t="s">
        <v>4640</v>
      </c>
      <c r="AQ14" t="s">
        <v>4641</v>
      </c>
      <c r="AV14" s="1557" t="s">
        <v>2297</v>
      </c>
      <c r="AW14" s="703">
        <f t="shared" si="15"/>
        <v>0</v>
      </c>
      <c r="AX14" s="703" cm="1">
        <f t="array" ref="AX14">+SUMPRODUCT(IF($AO$4:$AO$627=AV14,$L$4:$L$627*$K$4:$K$627/AW14))</f>
        <v>0</v>
      </c>
      <c r="AY14" s="1215">
        <f t="shared" si="16"/>
        <v>0</v>
      </c>
      <c r="AZ14" s="596" cm="1">
        <f t="array" ref="AZ14">+SUMPRODUCT(IF('40'!$AO$4:$AO$519=AV14,('40'!$Q$4:$Q$519*'40'!$AH$4:$AH$519)/SUMIF('40'!$AO$4:$AO$519,#REF!,'40'!$AH$4:$AH$519)))</f>
        <v>0</v>
      </c>
      <c r="BA14" s="1237">
        <f t="shared" si="17"/>
        <v>0</v>
      </c>
      <c r="BB14" s="1237">
        <f t="shared" ca="1" si="18"/>
        <v>0</v>
      </c>
      <c r="BC14" s="596">
        <f t="shared" ca="1" si="21"/>
        <v>244.61494427132936</v>
      </c>
      <c r="BD14" s="1238">
        <f t="shared" si="22"/>
        <v>450.79799999999994</v>
      </c>
    </row>
    <row r="15" spans="1:56" ht="15" customHeight="1">
      <c r="A15" s="747" t="s">
        <v>4597</v>
      </c>
      <c r="B15" s="1447">
        <v>46059</v>
      </c>
      <c r="C15" s="1447">
        <v>46052</v>
      </c>
      <c r="D15" t="s">
        <v>1967</v>
      </c>
      <c r="E15" s="762">
        <f>_xlfn.XLOOKUP(D15,RUC!$B$3:$B$123,RUC!$D$3:$D$123)</f>
        <v>20601769396</v>
      </c>
      <c r="G15" s="762">
        <v>26</v>
      </c>
      <c r="H15" s="762" t="s">
        <v>108</v>
      </c>
      <c r="I15" s="703">
        <v>2.21</v>
      </c>
      <c r="J15" s="596">
        <v>13.15</v>
      </c>
      <c r="K15" s="703">
        <f t="shared" si="0"/>
        <v>1.919</v>
      </c>
      <c r="L15" s="1192">
        <v>0.13700000000000001</v>
      </c>
      <c r="M15" s="994">
        <f t="shared" si="23"/>
        <v>0.11799999999999999</v>
      </c>
      <c r="N15" s="1196">
        <f t="shared" si="2"/>
        <v>0.11799999999999999</v>
      </c>
      <c r="O15" s="645">
        <f t="shared" si="3"/>
        <v>0.11799999999999999</v>
      </c>
      <c r="P15" s="727">
        <v>80</v>
      </c>
      <c r="Q15" s="1476">
        <v>93.43</v>
      </c>
      <c r="R15" s="706">
        <v>4981.8500000000004</v>
      </c>
      <c r="S15" s="765">
        <f>IF((_xlfn.XLOOKUP(D15,RUC!$B$3:$B$119,RUC!$E$3:$E$119)+ROUNDDOWN(O15,1)*100)&lt;95,95,((_xlfn.XLOOKUP(D15,RUC!$B$3:$B$119,RUC!$E$3:$E$119)+ROUNDDOWN(O15,1)*100)))</f>
        <v>100</v>
      </c>
      <c r="U15" s="1146">
        <f>_xlfn.XLOOKUP(D15,RUC!$B$3:$B$123,RUC!$F$3:$F$123)</f>
        <v>120</v>
      </c>
      <c r="V15" s="715">
        <v>1.1023000000000001</v>
      </c>
      <c r="Y15" s="1445">
        <v>30</v>
      </c>
      <c r="Z15" s="1454">
        <v>40</v>
      </c>
      <c r="AA15" s="144">
        <f t="shared" si="4"/>
        <v>70</v>
      </c>
      <c r="AB15" s="145">
        <f t="shared" si="19"/>
        <v>318.519108872</v>
      </c>
      <c r="AC15" s="145">
        <f>+(S15-T15)*V15-'data 1'!$F$4</f>
        <v>30.230000000000004</v>
      </c>
      <c r="AD15" s="145">
        <f t="shared" si="5"/>
        <v>98.604774196470558</v>
      </c>
      <c r="AE15" s="145">
        <f t="shared" si="6"/>
        <v>7.1610000000000014</v>
      </c>
      <c r="AF15" s="145">
        <f t="shared" si="7"/>
        <v>95.135216945583593</v>
      </c>
      <c r="AG15" s="772">
        <f t="shared" si="24"/>
        <v>248.13099114205414</v>
      </c>
      <c r="AH15" s="1253">
        <f t="shared" si="8"/>
        <v>8.4220000000000006</v>
      </c>
      <c r="AI15" s="1253">
        <f t="shared" si="9"/>
        <v>9.0139999999999993</v>
      </c>
      <c r="AJ15" s="156">
        <f t="shared" si="10"/>
        <v>5.3827135125294499</v>
      </c>
      <c r="AK15" s="156">
        <f t="shared" si="11"/>
        <v>6.2109214726544799</v>
      </c>
      <c r="AM15" s="716">
        <f t="shared" si="12"/>
        <v>611.23816992536797</v>
      </c>
      <c r="AN15" s="716" t="str">
        <f>_xlfn.XLOOKUP(D15,RUC!$B$3:$B$578,RUC!$M$3:$M$578)</f>
        <v>Evelyn</v>
      </c>
      <c r="AO15" s="1167" t="s">
        <v>2280</v>
      </c>
      <c r="AP15" t="s">
        <v>4640</v>
      </c>
      <c r="AQ15" t="s">
        <v>4641</v>
      </c>
      <c r="AV15" s="1557" t="s">
        <v>2518</v>
      </c>
      <c r="AW15" s="703">
        <f t="shared" si="15"/>
        <v>0</v>
      </c>
      <c r="AX15" s="703" cm="1">
        <f t="array" ref="AX15">+SUMPRODUCT(IF($AO$4:$AO$627=AV15,$L$4:$L$627*$K$4:$K$627/AW15))</f>
        <v>0</v>
      </c>
      <c r="AY15" s="1215">
        <f t="shared" si="16"/>
        <v>0</v>
      </c>
      <c r="AZ15" s="596" cm="1">
        <f t="array" ref="AZ15">+SUMPRODUCT(IF('40'!$AO$4:$AO$519=AV15,('40'!$Q$4:$Q$519*'40'!$AH$4:$AH$519)/SUMIF('40'!$AO$4:$AO$519,#REF!,'40'!$AH$4:$AH$519)))</f>
        <v>0</v>
      </c>
      <c r="BA15" s="1237">
        <f t="shared" si="17"/>
        <v>0</v>
      </c>
      <c r="BB15" s="1237">
        <f t="shared" ca="1" si="18"/>
        <v>0</v>
      </c>
      <c r="BC15" s="596">
        <f t="shared" ca="1" si="21"/>
        <v>244.61494427132936</v>
      </c>
      <c r="BD15" s="1238">
        <f t="shared" si="22"/>
        <v>450.79799999999994</v>
      </c>
    </row>
    <row r="16" spans="1:56" ht="15" customHeight="1">
      <c r="A16" s="747" t="s">
        <v>4598</v>
      </c>
      <c r="B16" s="1447">
        <v>46066</v>
      </c>
      <c r="C16" s="1447">
        <v>46052</v>
      </c>
      <c r="D16" t="s">
        <v>3062</v>
      </c>
      <c r="E16" s="762">
        <f>_xlfn.XLOOKUP(D16,RUC!$B$3:$B$123,RUC!$D$3:$D$123)</f>
        <v>20610807004</v>
      </c>
      <c r="G16" s="762">
        <v>29</v>
      </c>
      <c r="H16" s="762" t="s">
        <v>108</v>
      </c>
      <c r="I16" s="703">
        <v>2.62</v>
      </c>
      <c r="J16" s="596">
        <v>14.55</v>
      </c>
      <c r="K16" s="703">
        <f t="shared" si="0"/>
        <v>2.2389999999999999</v>
      </c>
      <c r="L16" s="1192">
        <v>0.14499999999999999</v>
      </c>
      <c r="M16" s="994">
        <f t="shared" si="23"/>
        <v>0.126</v>
      </c>
      <c r="N16" s="1196">
        <f t="shared" si="2"/>
        <v>0.126</v>
      </c>
      <c r="O16" s="645">
        <f t="shared" si="3"/>
        <v>0.126</v>
      </c>
      <c r="P16" s="727">
        <v>60</v>
      </c>
      <c r="Q16" s="1476">
        <v>60.69</v>
      </c>
      <c r="R16" s="706">
        <v>4981.8500000000004</v>
      </c>
      <c r="S16" s="765">
        <f>IF((_xlfn.XLOOKUP(D16,RUC!$B$3:$B$119,RUC!$E$3:$E$119)+ROUNDDOWN(O16,1)*100)&lt;95,95,((_xlfn.XLOOKUP(D16,RUC!$B$3:$B$119,RUC!$E$3:$E$119)+ROUNDDOWN(O16,1)*100)))</f>
        <v>95</v>
      </c>
      <c r="U16" s="1146">
        <f>_xlfn.XLOOKUP(D16,RUC!$B$3:$B$123,RUC!$F$3:$F$123)</f>
        <v>120</v>
      </c>
      <c r="V16" s="715">
        <v>1.1023000000000001</v>
      </c>
      <c r="Y16" s="1445">
        <v>30</v>
      </c>
      <c r="Z16" s="1454">
        <v>40</v>
      </c>
      <c r="AA16" s="144">
        <f t="shared" si="4"/>
        <v>70</v>
      </c>
      <c r="AB16" s="145">
        <f t="shared" si="19"/>
        <v>223.27732447800008</v>
      </c>
      <c r="AC16" s="145">
        <f>+(S16-T16)*V16-'data 1'!$F$4</f>
        <v>24.718500000000006</v>
      </c>
      <c r="AD16" s="145">
        <f t="shared" si="5"/>
        <v>5.3618968636274822</v>
      </c>
      <c r="AE16" s="145">
        <f t="shared" si="6"/>
        <v>7.1610000000000014</v>
      </c>
      <c r="AF16" s="145">
        <f t="shared" si="7"/>
        <v>61.797670089130463</v>
      </c>
      <c r="AG16" s="772">
        <f t="shared" ref="AG16" si="25">AC16+AD16+AE16+AF16+70-10</f>
        <v>159.03906695275793</v>
      </c>
      <c r="AH16" s="1253">
        <f t="shared" si="8"/>
        <v>6.7549999999999999</v>
      </c>
      <c r="AI16" s="1253">
        <f t="shared" si="9"/>
        <v>11.131</v>
      </c>
      <c r="AJ16" s="156">
        <f t="shared" si="10"/>
        <v>3.7006625863724647</v>
      </c>
      <c r="AK16" s="156">
        <f t="shared" si="11"/>
        <v>5.8034327786026214</v>
      </c>
      <c r="AM16" s="716">
        <f t="shared" si="12"/>
        <v>499.91792950624216</v>
      </c>
      <c r="AN16" s="716" t="str">
        <f>_xlfn.XLOOKUP(D16,RUC!$B$3:$B$578,RUC!$M$3:$M$578)</f>
        <v>Renzo</v>
      </c>
      <c r="AO16" s="1167" t="s">
        <v>2280</v>
      </c>
      <c r="AP16" t="s">
        <v>3286</v>
      </c>
      <c r="AQ16" t="s">
        <v>4642</v>
      </c>
      <c r="AV16" s="1557" t="s">
        <v>2519</v>
      </c>
      <c r="AW16" s="703">
        <f t="shared" si="15"/>
        <v>0</v>
      </c>
      <c r="AX16" s="703" cm="1">
        <f t="array" ref="AX16">+SUMPRODUCT(IF($AO$4:$AO$627=AV16,$L$4:$L$627*$K$4:$K$627/AW16))</f>
        <v>0</v>
      </c>
      <c r="AY16" s="1215">
        <f t="shared" si="16"/>
        <v>0</v>
      </c>
      <c r="AZ16" s="596" cm="1">
        <f t="array" ref="AZ16">+SUMPRODUCT(IF('40'!$AO$4:$AO$519=AV16,('40'!$Q$4:$Q$519*'40'!$AH$4:$AH$519)/SUMIF('40'!$AO$4:$AO$519,#REF!,'40'!$AH$4:$AH$519)))</f>
        <v>0</v>
      </c>
      <c r="BA16" s="1237">
        <f t="shared" si="17"/>
        <v>0</v>
      </c>
      <c r="BB16" s="1237">
        <f t="shared" ca="1" si="18"/>
        <v>0</v>
      </c>
      <c r="BC16" s="596">
        <f t="shared" ca="1" si="21"/>
        <v>244.61494427132936</v>
      </c>
      <c r="BD16" s="1238">
        <f t="shared" si="22"/>
        <v>450.79799999999994</v>
      </c>
    </row>
    <row r="17" spans="1:56" ht="15" customHeight="1">
      <c r="A17" s="1491" t="s">
        <v>4601</v>
      </c>
      <c r="B17" s="1542">
        <v>46059</v>
      </c>
      <c r="C17" s="1447">
        <v>46053</v>
      </c>
      <c r="D17" t="s">
        <v>3642</v>
      </c>
      <c r="E17" s="762" t="str">
        <f>_xlfn.XLOOKUP(D17,RUC!$B$3:$B$123,RUC!$D$3:$D$123)</f>
        <v>20601769396*</v>
      </c>
      <c r="G17" s="762">
        <v>35</v>
      </c>
      <c r="H17" s="762" t="s">
        <v>108</v>
      </c>
      <c r="I17" s="703">
        <v>3.29</v>
      </c>
      <c r="J17" s="596">
        <v>6.55</v>
      </c>
      <c r="K17" s="703">
        <f t="shared" si="0"/>
        <v>3.0750000000000002</v>
      </c>
      <c r="L17" s="1192">
        <v>9.6000000000000002E-2</v>
      </c>
      <c r="M17" s="994">
        <f t="shared" si="23"/>
        <v>7.6999999999999999E-2</v>
      </c>
      <c r="N17" s="1196">
        <f t="shared" si="2"/>
        <v>7.6999999999999999E-2</v>
      </c>
      <c r="O17" s="645">
        <f t="shared" si="3"/>
        <v>7.6999999999999999E-2</v>
      </c>
      <c r="P17" s="727">
        <v>70</v>
      </c>
      <c r="Q17" s="1476">
        <v>70.83</v>
      </c>
      <c r="R17" s="706">
        <v>4981.8500000000004</v>
      </c>
      <c r="S17" s="765">
        <f>IF((_xlfn.XLOOKUP(D17,RUC!$B$3:$B$119,RUC!$E$3:$E$119)+ROUNDDOWN(O17,1)*100)&lt;95,95,((_xlfn.XLOOKUP(D17,RUC!$B$3:$B$119,RUC!$E$3:$E$119)+ROUNDDOWN(O17,1)*100)))</f>
        <v>95</v>
      </c>
      <c r="U17" s="1146">
        <f>_xlfn.XLOOKUP(D17,RUC!$B$3:$B$123,RUC!$F$3:$F$123)</f>
        <v>120</v>
      </c>
      <c r="V17" s="715">
        <v>1.1023000000000001</v>
      </c>
      <c r="Y17" s="1445">
        <v>30</v>
      </c>
      <c r="Z17" s="1454">
        <v>40</v>
      </c>
      <c r="AA17" s="144">
        <f t="shared" si="4"/>
        <v>70</v>
      </c>
      <c r="AB17" s="145">
        <v>0</v>
      </c>
      <c r="AC17" s="145">
        <f>+(S17-T17)*V17-'data 1'!$F$4</f>
        <v>24.718500000000006</v>
      </c>
      <c r="AD17" s="145">
        <f t="shared" si="5"/>
        <v>4.270224308783992</v>
      </c>
      <c r="AE17" s="145">
        <f t="shared" si="6"/>
        <v>7.1610000000000014</v>
      </c>
      <c r="AF17" s="145">
        <f t="shared" si="7"/>
        <v>72.122738052613514</v>
      </c>
      <c r="AG17" s="772">
        <f>AC17+AD17+AE17+AF17+70-10+102.86</f>
        <v>271.13246236139753</v>
      </c>
      <c r="AH17" s="1253">
        <f t="shared" si="8"/>
        <v>7.1689999999999996</v>
      </c>
      <c r="AI17" s="1253">
        <f t="shared" si="9"/>
        <v>10.121</v>
      </c>
      <c r="AJ17" s="156">
        <f t="shared" si="10"/>
        <v>2.8594520912159731</v>
      </c>
      <c r="AK17" s="156">
        <f t="shared" si="11"/>
        <v>5.6825459288771256</v>
      </c>
      <c r="AM17" s="716">
        <f t="shared" si="12"/>
        <v>0</v>
      </c>
      <c r="AN17" s="716" t="str">
        <f>_xlfn.XLOOKUP(D17,RUC!$B$3:$B$578,RUC!$M$3:$M$578)</f>
        <v>Zudaire</v>
      </c>
      <c r="AO17" s="1167" t="s">
        <v>2277</v>
      </c>
      <c r="AP17" t="s">
        <v>3324</v>
      </c>
      <c r="AQ17" t="s">
        <v>4328</v>
      </c>
      <c r="AV17" s="1557" t="s">
        <v>2520</v>
      </c>
      <c r="AW17" s="703">
        <f t="shared" si="15"/>
        <v>0</v>
      </c>
      <c r="AX17" s="703" cm="1">
        <f t="array" ref="AX17">+SUMPRODUCT(IF($AO$4:$AO$627=AV17,$L$4:$L$627*$K$4:$K$627/AW17))</f>
        <v>0</v>
      </c>
      <c r="AY17" s="1215">
        <f t="shared" si="16"/>
        <v>0</v>
      </c>
      <c r="AZ17" s="596" cm="1">
        <f t="array" ref="AZ17">+SUMPRODUCT(IF('40'!$AO$4:$AO$519=AV17,('40'!$Q$4:$Q$519*'40'!$AH$4:$AH$519)/SUMIF('40'!$AO$4:$AO$519,#REF!,'40'!$AH$4:$AH$519)))</f>
        <v>0</v>
      </c>
      <c r="BA17" s="1237">
        <f t="shared" si="17"/>
        <v>0</v>
      </c>
      <c r="BB17" s="1237">
        <f t="shared" ca="1" si="18"/>
        <v>0</v>
      </c>
      <c r="BC17" s="596">
        <f t="shared" ca="1" si="21"/>
        <v>244.61494427132936</v>
      </c>
      <c r="BD17" s="1238">
        <f t="shared" si="22"/>
        <v>450.79799999999994</v>
      </c>
    </row>
    <row r="18" spans="1:56" ht="15" customHeight="1" thickBot="1">
      <c r="A18" s="747" t="s">
        <v>4661</v>
      </c>
      <c r="B18" s="1447">
        <v>46066</v>
      </c>
      <c r="C18" s="1447">
        <v>46058</v>
      </c>
      <c r="D18" t="s">
        <v>93</v>
      </c>
      <c r="E18" s="762">
        <f>_xlfn.XLOOKUP(D18,RUC!$B$3:$B$123,RUC!$D$3:$D$123)</f>
        <v>20169040231</v>
      </c>
      <c r="G18" s="762">
        <v>54</v>
      </c>
      <c r="H18" s="762" t="s">
        <v>69</v>
      </c>
      <c r="I18" s="703">
        <v>4.62</v>
      </c>
      <c r="J18" s="596">
        <v>2.04</v>
      </c>
      <c r="K18" s="703">
        <f t="shared" si="0"/>
        <v>4.5259999999999998</v>
      </c>
      <c r="L18" s="1192">
        <v>0.14499999999999999</v>
      </c>
      <c r="M18" s="994">
        <f t="shared" si="23"/>
        <v>0.126</v>
      </c>
      <c r="N18" s="1196">
        <f t="shared" si="2"/>
        <v>0.126</v>
      </c>
      <c r="O18" s="645">
        <f t="shared" si="3"/>
        <v>0.126</v>
      </c>
      <c r="P18" s="727">
        <v>80</v>
      </c>
      <c r="Q18" s="1476">
        <v>80</v>
      </c>
      <c r="R18" s="706">
        <v>4847.25</v>
      </c>
      <c r="S18" s="765">
        <f>IF((_xlfn.XLOOKUP(D18,RUC!$B$3:$B$119,RUC!$E$3:$E$119)+ROUNDDOWN(O18,1)*100)&lt;95,95,((_xlfn.XLOOKUP(D18,RUC!$B$3:$B$119,RUC!$E$3:$E$119)+ROUNDDOWN(O18,1)*100)))</f>
        <v>95</v>
      </c>
      <c r="U18" s="1146">
        <f>_xlfn.XLOOKUP(D18,RUC!$B$3:$B$123,RUC!$F$3:$F$123)</f>
        <v>120</v>
      </c>
      <c r="V18" s="715">
        <v>1.1023000000000001</v>
      </c>
      <c r="Y18" s="1445">
        <v>25</v>
      </c>
      <c r="Z18" s="1454">
        <v>35</v>
      </c>
      <c r="AA18" s="144">
        <f t="shared" si="4"/>
        <v>60</v>
      </c>
      <c r="AB18" s="145">
        <f t="shared" ref="AB18:AB51" si="26">+((O18*P18*(R18-U18)/100)-S18-AA18+T18)*V18</f>
        <v>354.39694564000001</v>
      </c>
      <c r="AC18" s="145">
        <f>+(S18-T18)*V18-'data 1'!$F$4</f>
        <v>24.718500000000006</v>
      </c>
      <c r="AD18" s="145">
        <f t="shared" si="5"/>
        <v>0</v>
      </c>
      <c r="AE18" s="145">
        <f t="shared" si="6"/>
        <v>-3.8619999999999948</v>
      </c>
      <c r="AF18" s="145">
        <f t="shared" si="7"/>
        <v>79.204884659999948</v>
      </c>
      <c r="AG18" s="772">
        <f t="shared" ref="AG18:AG19" si="27">AC18+AD18+AE18+AF18+70-53</f>
        <v>117.06138465999996</v>
      </c>
      <c r="AH18" s="1253">
        <f t="shared" si="8"/>
        <v>18</v>
      </c>
      <c r="AI18" s="1253">
        <f t="shared" si="9"/>
        <v>22.5</v>
      </c>
      <c r="AJ18" s="156">
        <f t="shared" si="10"/>
        <v>22.088989700000003</v>
      </c>
      <c r="AK18" s="156">
        <f t="shared" si="11"/>
        <v>15.64170716448144</v>
      </c>
      <c r="AM18" s="716">
        <f t="shared" si="12"/>
        <v>1604.0005759666401</v>
      </c>
      <c r="AN18" s="716" t="str">
        <f>_xlfn.XLOOKUP(D18,RUC!$B$3:$B$578,RUC!$M$3:$M$578)</f>
        <v>Ronald Miranda</v>
      </c>
      <c r="AO18" s="1167" t="s">
        <v>2280</v>
      </c>
      <c r="AP18" t="s">
        <v>4689</v>
      </c>
      <c r="AQ18" t="s">
        <v>4690</v>
      </c>
      <c r="AV18" s="1558" t="s">
        <v>2521</v>
      </c>
      <c r="AW18" s="1254">
        <f t="shared" si="15"/>
        <v>0</v>
      </c>
      <c r="AX18" s="1254" cm="1">
        <f t="array" ref="AX18">+SUMPRODUCT(IF('40'!$AO$4:$AO$519=AV18,'40'!$L$4:$L$519*'40'!$K$4:$K$519/AW18))</f>
        <v>0</v>
      </c>
      <c r="AY18" s="1241">
        <f t="shared" si="16"/>
        <v>0</v>
      </c>
      <c r="AZ18" s="1242" cm="1">
        <f t="array" ref="AZ18">+SUMPRODUCT(IF('40'!$AO$4:$AO$519=AV18,('40'!$Q$4:$Q$519*'40'!$AH$4:$AH$519)/SUMIF('40'!$AO$4:$AO$519,#REF!,'40'!$AH$4:$AH$519)))</f>
        <v>0</v>
      </c>
      <c r="BA18" s="1243">
        <f t="shared" si="17"/>
        <v>0</v>
      </c>
      <c r="BB18" s="1243">
        <f>SUMIF($AO$4:$AO$6,$AV18,$AH$4:$AH$6)</f>
        <v>0</v>
      </c>
      <c r="BC18" s="1242">
        <f t="shared" ca="1" si="21"/>
        <v>244.61494427132936</v>
      </c>
      <c r="BD18" s="1436">
        <f t="shared" si="22"/>
        <v>450.79799999999994</v>
      </c>
    </row>
    <row r="19" spans="1:56" ht="15" customHeight="1">
      <c r="A19" s="747" t="s">
        <v>4674</v>
      </c>
      <c r="B19" s="1447">
        <v>46066</v>
      </c>
      <c r="C19" s="1447">
        <v>46059</v>
      </c>
      <c r="D19" t="s">
        <v>1484</v>
      </c>
      <c r="E19" s="762">
        <f>_xlfn.XLOOKUP(D19,RUC!$B$3:$B$123,RUC!$D$3:$D$123)</f>
        <v>10761932735</v>
      </c>
      <c r="G19" s="762">
        <v>75</v>
      </c>
      <c r="H19" s="762" t="s">
        <v>69</v>
      </c>
      <c r="I19" s="703">
        <v>7.31</v>
      </c>
      <c r="J19" s="596">
        <v>15.3</v>
      </c>
      <c r="K19" s="703">
        <f t="shared" si="0"/>
        <v>6.1920000000000002</v>
      </c>
      <c r="L19" s="1192">
        <v>0.19900000000000001</v>
      </c>
      <c r="M19" s="994">
        <f t="shared" si="23"/>
        <v>0.18</v>
      </c>
      <c r="N19" s="1444">
        <v>0.26500000000000001</v>
      </c>
      <c r="O19" s="645">
        <f t="shared" si="3"/>
        <v>0.223</v>
      </c>
      <c r="P19" s="727">
        <v>90</v>
      </c>
      <c r="Q19" s="1476">
        <v>93.47</v>
      </c>
      <c r="R19" s="706">
        <v>4948</v>
      </c>
      <c r="S19" s="765">
        <f>IF((_xlfn.XLOOKUP(D19,RUC!$B$3:$B$119,RUC!$E$3:$E$119)+ROUNDDOWN(O19,1)*100)&lt;95,95,((_xlfn.XLOOKUP(D19,RUC!$B$3:$B$119,RUC!$E$3:$E$119)+ROUNDDOWN(O19,1)*100)))</f>
        <v>110</v>
      </c>
      <c r="U19" s="1146">
        <f>_xlfn.XLOOKUP(D19,RUC!$B$3:$B$123,RUC!$F$3:$F$123)</f>
        <v>120</v>
      </c>
      <c r="V19" s="715">
        <v>1.1023000000000001</v>
      </c>
      <c r="Y19" s="1445">
        <v>40</v>
      </c>
      <c r="Z19" s="143">
        <f>_xlfn.XLOOKUP(D19,RUC!$B$3:$B$123,RUC!$H$3:$H$123)</f>
        <v>30</v>
      </c>
      <c r="AA19" s="144">
        <f t="shared" si="4"/>
        <v>70</v>
      </c>
      <c r="AB19" s="145">
        <f t="shared" si="26"/>
        <v>869.69221308000022</v>
      </c>
      <c r="AC19" s="145">
        <f>+(S19-T19)*V19-'data 1'!$F$4</f>
        <v>41.253</v>
      </c>
      <c r="AD19" s="145">
        <f t="shared" si="5"/>
        <v>36.749346453319994</v>
      </c>
      <c r="AE19" s="145">
        <f t="shared" si="6"/>
        <v>7.1610000000000014</v>
      </c>
      <c r="AF19" s="145">
        <f t="shared" si="7"/>
        <v>-119.38521702431997</v>
      </c>
      <c r="AG19" s="772">
        <f t="shared" si="27"/>
        <v>-17.221870570999968</v>
      </c>
      <c r="AH19" s="1253">
        <f t="shared" si="8"/>
        <v>39.488</v>
      </c>
      <c r="AI19" s="1253">
        <f t="shared" si="9"/>
        <v>42.247</v>
      </c>
      <c r="AJ19" s="156">
        <f t="shared" si="10"/>
        <v>14.762422237680003</v>
      </c>
      <c r="AK19" s="156">
        <f t="shared" si="11"/>
        <v>42.607631147083929</v>
      </c>
      <c r="AM19" s="716">
        <f t="shared" si="12"/>
        <v>5385.1341833913611</v>
      </c>
      <c r="AN19" s="148" t="str">
        <f>_xlfn.XLOOKUP(D19,RUC!$B$3:$B$578,RUC!$M$3:$M$578)</f>
        <v>Richard Sapacayo</v>
      </c>
      <c r="AO19" s="1167" t="s">
        <v>2277</v>
      </c>
      <c r="AP19" t="s">
        <v>4696</v>
      </c>
      <c r="AQ19" t="s">
        <v>4697</v>
      </c>
      <c r="AV19" s="1637"/>
      <c r="AW19" s="1234"/>
      <c r="AX19" s="1234"/>
      <c r="AY19" s="1235"/>
      <c r="AZ19" s="1236"/>
      <c r="BA19" s="1237"/>
      <c r="BB19" s="1237"/>
      <c r="BC19" s="1236"/>
      <c r="BD19" s="729"/>
    </row>
    <row r="20" spans="1:56" ht="15" customHeight="1">
      <c r="A20" s="747" t="s">
        <v>4682</v>
      </c>
      <c r="B20" s="1447">
        <v>46068</v>
      </c>
      <c r="C20" s="1447">
        <v>46060</v>
      </c>
      <c r="D20" t="s">
        <v>3316</v>
      </c>
      <c r="E20" s="762">
        <f>_xlfn.XLOOKUP(D20,RUC!$B$3:$B$123,RUC!$D$3:$D$123)</f>
        <v>20613935151</v>
      </c>
      <c r="G20" s="762">
        <v>100</v>
      </c>
      <c r="H20" s="762" t="s">
        <v>69</v>
      </c>
      <c r="I20" s="703">
        <v>7.02</v>
      </c>
      <c r="J20" s="596">
        <v>2.02</v>
      </c>
      <c r="K20" s="703">
        <f t="shared" si="0"/>
        <v>6.8780000000000001</v>
      </c>
      <c r="L20" s="1192">
        <v>0.14099999999999999</v>
      </c>
      <c r="M20" s="994">
        <f t="shared" si="23"/>
        <v>0.122</v>
      </c>
      <c r="N20" s="1196">
        <f t="shared" ref="N20:N21" si="28">+M20</f>
        <v>0.122</v>
      </c>
      <c r="O20" s="645">
        <f t="shared" si="3"/>
        <v>0.122</v>
      </c>
      <c r="P20" s="727">
        <v>80</v>
      </c>
      <c r="Q20" s="1476">
        <v>92.91</v>
      </c>
      <c r="R20" s="706">
        <v>4948</v>
      </c>
      <c r="S20" s="765">
        <f>IF((_xlfn.XLOOKUP(D20,RUC!$B$3:$B$119,RUC!$E$3:$E$119)+ROUNDDOWN(O20,1)*100)&lt;95,95,((_xlfn.XLOOKUP(D20,RUC!$B$3:$B$119,RUC!$E$3:$E$119)+ROUNDDOWN(O20,1)*100)))</f>
        <v>100</v>
      </c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3">
        <f>_xlfn.XLOOKUP(D20,RUC!$B$3:$B$123,RUC!$H$3:$H$123)</f>
        <v>30</v>
      </c>
      <c r="AA20" s="144">
        <f t="shared" si="4"/>
        <v>50</v>
      </c>
      <c r="AB20" s="145">
        <f t="shared" si="26"/>
        <v>354.07286944000003</v>
      </c>
      <c r="AC20" s="145">
        <f>+(S20-T20)*V20-'data 1'!$F$4</f>
        <v>30.230000000000004</v>
      </c>
      <c r="AD20" s="145">
        <f t="shared" si="5"/>
        <v>96.875157983639966</v>
      </c>
      <c r="AE20" s="145">
        <f t="shared" si="6"/>
        <v>-14.884999999999998</v>
      </c>
      <c r="AF20" s="145">
        <f t="shared" si="7"/>
        <v>93.947046182759948</v>
      </c>
      <c r="AG20" s="772">
        <f>AC20+AD20+AE20+AF20+70-53</f>
        <v>223.16720416639993</v>
      </c>
      <c r="AH20" s="1253">
        <f t="shared" si="8"/>
        <v>30.891999999999999</v>
      </c>
      <c r="AI20" s="1253">
        <f t="shared" si="9"/>
        <v>33.25</v>
      </c>
      <c r="AJ20" s="156">
        <f t="shared" si="10"/>
        <v>10.39713963336</v>
      </c>
      <c r="AK20" s="156">
        <f t="shared" si="11"/>
        <v>23.015534143171038</v>
      </c>
      <c r="AM20" s="716">
        <f t="shared" si="12"/>
        <v>2435.3131960083201</v>
      </c>
      <c r="AN20" s="716" t="str">
        <f>_xlfn.XLOOKUP(D20,RUC!$B$3:$B$578,RUC!$M$3:$M$578)</f>
        <v xml:space="preserve">Dante </v>
      </c>
      <c r="AO20" s="1167" t="s">
        <v>2280</v>
      </c>
      <c r="AP20" t="s">
        <v>3911</v>
      </c>
      <c r="AQ20" t="s">
        <v>4701</v>
      </c>
    </row>
    <row r="21" spans="1:56" ht="15" customHeight="1">
      <c r="A21" s="747" t="s">
        <v>4707</v>
      </c>
      <c r="B21" s="1447">
        <v>46071</v>
      </c>
      <c r="C21" s="1447">
        <v>46060</v>
      </c>
      <c r="D21" t="s">
        <v>4722</v>
      </c>
      <c r="E21" s="762" t="str">
        <f>_xlfn.XLOOKUP(D21,RUC!$B$3:$B$123,RUC!$D$3:$D$123)</f>
        <v>20610807004*</v>
      </c>
      <c r="G21" s="762">
        <v>73</v>
      </c>
      <c r="H21" s="762" t="s">
        <v>69</v>
      </c>
      <c r="I21" s="703">
        <v>6.57</v>
      </c>
      <c r="J21" s="596">
        <v>2.6</v>
      </c>
      <c r="K21" s="703">
        <f t="shared" si="0"/>
        <v>6.399</v>
      </c>
      <c r="L21" s="1192">
        <v>0.14299999999999999</v>
      </c>
      <c r="M21" s="994">
        <f t="shared" si="23"/>
        <v>0.124</v>
      </c>
      <c r="N21" s="1196">
        <f t="shared" si="28"/>
        <v>0.124</v>
      </c>
      <c r="O21" s="645">
        <f t="shared" si="3"/>
        <v>0.124</v>
      </c>
      <c r="P21" s="727">
        <v>80</v>
      </c>
      <c r="Q21" s="1476">
        <v>86.71</v>
      </c>
      <c r="R21" s="706">
        <v>4948</v>
      </c>
      <c r="S21" s="765">
        <f>IF((_xlfn.XLOOKUP(D21,RUC!$B$3:$B$119,RUC!$E$3:$E$119)+ROUNDDOWN(O21,1)*100)&lt;95,95,((_xlfn.XLOOKUP(D21,RUC!$B$3:$B$119,RUC!$E$3:$E$119)+ROUNDDOWN(O21,1)*100)))</f>
        <v>95</v>
      </c>
      <c r="U21" s="1146">
        <f>_xlfn.XLOOKUP(D21,RUC!$B$3:$B$123,RUC!$F$3:$F$123)</f>
        <v>120</v>
      </c>
      <c r="V21" s="715">
        <v>1.1023000000000001</v>
      </c>
      <c r="Y21" s="1445">
        <v>25</v>
      </c>
      <c r="Z21" s="1454">
        <v>35</v>
      </c>
      <c r="AA21" s="144">
        <f t="shared" si="4"/>
        <v>60</v>
      </c>
      <c r="AB21" s="145">
        <f t="shared" si="26"/>
        <v>357.07641648000003</v>
      </c>
      <c r="AC21" s="145">
        <f>+(S21-T21)*V21-'data 1'!$F$4</f>
        <v>24.718500000000006</v>
      </c>
      <c r="AD21" s="145">
        <f t="shared" si="5"/>
        <v>51.06526928931995</v>
      </c>
      <c r="AE21" s="145">
        <f t="shared" si="6"/>
        <v>-3.8619999999999948</v>
      </c>
      <c r="AF21" s="145">
        <f t="shared" si="7"/>
        <v>87.677842799559954</v>
      </c>
      <c r="AG21" s="772">
        <f t="shared" ref="AG21" si="29">AC21+AD21+AE21+AF21+70-53</f>
        <v>176.59961208887992</v>
      </c>
      <c r="AH21" s="1253">
        <f t="shared" si="8"/>
        <v>27.204000000000001</v>
      </c>
      <c r="AI21" s="1253">
        <f t="shared" si="9"/>
        <v>31.373000000000001</v>
      </c>
      <c r="AJ21" s="156">
        <f t="shared" si="10"/>
        <v>9.8409613816799997</v>
      </c>
      <c r="AK21" s="156">
        <f t="shared" si="11"/>
        <v>21.763706054689443</v>
      </c>
      <c r="AM21" s="716">
        <f t="shared" si="12"/>
        <v>2284.9319890555203</v>
      </c>
      <c r="AN21" s="716" t="str">
        <f>_xlfn.XLOOKUP(D21,RUC!$B$3:$B$578,RUC!$M$3:$M$578)</f>
        <v>Ronald Miranda</v>
      </c>
      <c r="AO21" s="1167" t="s">
        <v>2280</v>
      </c>
      <c r="AP21" t="s">
        <v>4702</v>
      </c>
      <c r="AQ21" t="s">
        <v>4703</v>
      </c>
    </row>
    <row r="22" spans="1:56" ht="15" customHeight="1">
      <c r="A22" s="747" t="s">
        <v>4750</v>
      </c>
      <c r="B22" s="1447">
        <v>46068</v>
      </c>
      <c r="C22" s="1447">
        <v>46062</v>
      </c>
      <c r="D22" t="s">
        <v>4171</v>
      </c>
      <c r="E22" s="762">
        <f>_xlfn.XLOOKUP(D22,RUC!$B$3:$B$123,RUC!$D$3:$D$123)</f>
        <v>20614284740</v>
      </c>
      <c r="G22" s="762">
        <v>64</v>
      </c>
      <c r="H22" s="762" t="s">
        <v>108</v>
      </c>
      <c r="I22" s="703">
        <v>4.7</v>
      </c>
      <c r="J22" s="596">
        <v>2</v>
      </c>
      <c r="K22" s="703">
        <f t="shared" si="0"/>
        <v>4.6059999999999999</v>
      </c>
      <c r="L22" s="1192">
        <v>0.14299999999999999</v>
      </c>
      <c r="M22" s="994">
        <f t="shared" si="23"/>
        <v>0.124</v>
      </c>
      <c r="N22" s="1196">
        <f t="shared" ref="N22:N38" si="30">+M22</f>
        <v>0.124</v>
      </c>
      <c r="O22" s="645">
        <f t="shared" ref="O22:O62" si="31">+ROUND((M22+N22)/2,3)</f>
        <v>0.124</v>
      </c>
      <c r="P22" s="727">
        <v>80</v>
      </c>
      <c r="Q22" s="1476">
        <v>93.71</v>
      </c>
      <c r="R22" s="706">
        <v>5039.55</v>
      </c>
      <c r="S22" s="765">
        <f>IF((_xlfn.XLOOKUP(D22,RUC!$B$3:$B$119,RUC!$E$3:$E$119)+ROUNDDOWN(O22,1)*100)&lt;95,95,((_xlfn.XLOOKUP(D22,RUC!$B$3:$B$119,RUC!$E$3:$E$119)+ROUNDDOWN(O22,1)*100)))</f>
        <v>100</v>
      </c>
      <c r="U22" s="1146">
        <f>_xlfn.XLOOKUP(D22,RUC!$B$3:$B$123,RUC!$F$3:$F$123)</f>
        <v>120</v>
      </c>
      <c r="V22" s="715">
        <v>1.1023000000000001</v>
      </c>
      <c r="Y22" s="1445">
        <v>30</v>
      </c>
      <c r="Z22" s="1454">
        <v>40</v>
      </c>
      <c r="AA22" s="144">
        <f t="shared" si="4"/>
        <v>70</v>
      </c>
      <c r="AB22" s="145">
        <f t="shared" si="26"/>
        <v>350.55274052800002</v>
      </c>
      <c r="AC22" s="145">
        <f>+(S22-T22)*V22-'data 1'!$F$4</f>
        <v>30.230000000000004</v>
      </c>
      <c r="AD22" s="145">
        <f t="shared" si="5"/>
        <v>106.31601225981447</v>
      </c>
      <c r="AE22" s="145">
        <f t="shared" si="6"/>
        <v>7.1610000000000014</v>
      </c>
      <c r="AF22" s="145">
        <f t="shared" si="7"/>
        <v>96.552767194828448</v>
      </c>
      <c r="AG22" s="772">
        <f>AC22+AD22+AE22+AF22+70-53</f>
        <v>257.25977945464291</v>
      </c>
      <c r="AH22" s="1253">
        <f t="shared" si="8"/>
        <v>21.161999999999999</v>
      </c>
      <c r="AI22" s="1253">
        <f t="shared" si="9"/>
        <v>22.582000000000001</v>
      </c>
      <c r="AJ22" s="156">
        <f t="shared" si="10"/>
        <v>-2.8878095248145268</v>
      </c>
      <c r="AK22" s="156">
        <f t="shared" si="11"/>
        <v>15.66551493794336</v>
      </c>
      <c r="AM22" s="716">
        <f t="shared" si="12"/>
        <v>1614.645922871968</v>
      </c>
      <c r="AN22" s="716" t="str">
        <f>_xlfn.XLOOKUP(D22,RUC!$B$3:$B$578,RUC!$M$3:$M$578)</f>
        <v xml:space="preserve">Dante </v>
      </c>
      <c r="AO22" s="1167" t="s">
        <v>2280</v>
      </c>
      <c r="AP22" t="s">
        <v>4506</v>
      </c>
      <c r="AQ22" t="s">
        <v>4762</v>
      </c>
    </row>
    <row r="23" spans="1:56" ht="15" customHeight="1">
      <c r="A23" s="747" t="s">
        <v>4752</v>
      </c>
      <c r="B23" s="1447">
        <v>46076</v>
      </c>
      <c r="C23" s="1447">
        <v>46063</v>
      </c>
      <c r="D23" t="s">
        <v>1967</v>
      </c>
      <c r="E23" s="762">
        <f>_xlfn.XLOOKUP(D23,RUC!$B$3:$B$123,RUC!$D$3:$D$123)</f>
        <v>20601769396</v>
      </c>
      <c r="G23" s="762">
        <v>35</v>
      </c>
      <c r="H23" s="762" t="s">
        <v>69</v>
      </c>
      <c r="I23" s="703">
        <v>2.71</v>
      </c>
      <c r="J23" s="596">
        <v>9.65</v>
      </c>
      <c r="K23" s="703">
        <f t="shared" si="0"/>
        <v>2.448</v>
      </c>
      <c r="L23" s="1192">
        <v>0.157</v>
      </c>
      <c r="M23" s="994">
        <f t="shared" ref="M23:M71" si="32">ROUND(+IF(AN23="Melchor Vera",IF(L23&gt;0.467,L23*0.985,(L23-0.007)),IF(L23&gt;0.3,L23*0.94,(L23-0.019))),3)</f>
        <v>0.13800000000000001</v>
      </c>
      <c r="N23" s="1196">
        <f t="shared" si="30"/>
        <v>0.13800000000000001</v>
      </c>
      <c r="O23" s="645">
        <f t="shared" si="31"/>
        <v>0.13800000000000001</v>
      </c>
      <c r="P23" s="727">
        <v>72</v>
      </c>
      <c r="Q23" s="1583">
        <v>79.62</v>
      </c>
      <c r="R23" s="706">
        <v>5031.3999999999996</v>
      </c>
      <c r="S23" s="765">
        <f>IF((_xlfn.XLOOKUP(D23,RUC!$B$3:$B$119,RUC!$E$3:$E$119)+ROUNDDOWN(O23,1)*100)&lt;95,95,((_xlfn.XLOOKUP(D23,RUC!$B$3:$B$119,RUC!$E$3:$E$119)+ROUNDDOWN(O23,1)*100)))</f>
        <v>100</v>
      </c>
      <c r="U23" s="1146">
        <f>_xlfn.XLOOKUP(D23,RUC!$B$3:$B$123,RUC!$F$3:$F$123)</f>
        <v>120</v>
      </c>
      <c r="V23" s="715">
        <v>1.1023000000000001</v>
      </c>
      <c r="Y23">
        <f>_xlfn.XLOOKUP(D23,RUC!$B$3:$B$123,RUC!$G$3:$G$123)</f>
        <v>20</v>
      </c>
      <c r="Z23" s="1454">
        <v>80</v>
      </c>
      <c r="AA23" s="144">
        <f t="shared" si="4"/>
        <v>100</v>
      </c>
      <c r="AB23" s="145">
        <f t="shared" si="26"/>
        <v>317.45876681919998</v>
      </c>
      <c r="AC23" s="145">
        <f>+(S23-T23)*V23-'data 1'!$F$4</f>
        <v>30.230000000000004</v>
      </c>
      <c r="AD23" s="145">
        <f t="shared" si="5"/>
        <v>64.767888234348035</v>
      </c>
      <c r="AE23" s="145">
        <f t="shared" si="6"/>
        <v>40.229999999999997</v>
      </c>
      <c r="AF23" s="145">
        <f t="shared" si="7"/>
        <v>81.899431568915958</v>
      </c>
      <c r="AG23" s="772">
        <f t="shared" ref="AG23:AG28" si="33">AC23+AD23+AE23+AF23+70-10</f>
        <v>277.12731980326396</v>
      </c>
      <c r="AH23" s="1253">
        <f t="shared" si="8"/>
        <v>10.492000000000001</v>
      </c>
      <c r="AI23" s="1253">
        <f t="shared" si="9"/>
        <v>13.177</v>
      </c>
      <c r="AJ23" s="156">
        <f t="shared" si="10"/>
        <v>-1.5708202251479504</v>
      </c>
      <c r="AK23" s="156">
        <f t="shared" si="11"/>
        <v>8.3393473914743055</v>
      </c>
      <c r="AM23" s="716">
        <f t="shared" si="12"/>
        <v>777.1390611734015</v>
      </c>
      <c r="AN23" s="716" t="str">
        <f>_xlfn.XLOOKUP(D23,RUC!$B$3:$B$578,RUC!$M$3:$M$578)</f>
        <v>Evelyn</v>
      </c>
      <c r="AO23" s="1167" t="s">
        <v>2278</v>
      </c>
      <c r="AP23" t="s">
        <v>3853</v>
      </c>
      <c r="AQ23" t="s">
        <v>4763</v>
      </c>
      <c r="AR23" s="1674" t="s">
        <v>4765</v>
      </c>
    </row>
    <row r="24" spans="1:56" ht="15" customHeight="1">
      <c r="A24" s="747" t="s">
        <v>4753</v>
      </c>
      <c r="B24" s="1447">
        <v>46076</v>
      </c>
      <c r="C24" s="1447">
        <v>46063</v>
      </c>
      <c r="D24" t="s">
        <v>1967</v>
      </c>
      <c r="E24" s="762">
        <f>_xlfn.XLOOKUP(D24,RUC!$B$3:$B$123,RUC!$D$3:$D$123)</f>
        <v>20601769396</v>
      </c>
      <c r="G24" s="762">
        <v>35</v>
      </c>
      <c r="H24" s="762" t="s">
        <v>69</v>
      </c>
      <c r="I24" s="703">
        <v>2.76</v>
      </c>
      <c r="J24" s="596">
        <v>8.0500000000000007</v>
      </c>
      <c r="K24" s="703">
        <f t="shared" si="0"/>
        <v>2.5379999999999998</v>
      </c>
      <c r="L24" s="1192">
        <v>0.16500000000000001</v>
      </c>
      <c r="M24" s="994">
        <f t="shared" si="32"/>
        <v>0.14599999999999999</v>
      </c>
      <c r="N24" s="1196">
        <f t="shared" si="30"/>
        <v>0.14599999999999999</v>
      </c>
      <c r="O24" s="645">
        <f t="shared" si="31"/>
        <v>0.14599999999999999</v>
      </c>
      <c r="P24" s="727">
        <v>85</v>
      </c>
      <c r="Q24" s="1476">
        <v>92.12</v>
      </c>
      <c r="R24" s="706">
        <v>5031.3999999999996</v>
      </c>
      <c r="S24" s="765">
        <f>IF((_xlfn.XLOOKUP(D24,RUC!$B$3:$B$119,RUC!$E$3:$E$119)+ROUNDDOWN(O24,1)*100)&lt;95,95,((_xlfn.XLOOKUP(D24,RUC!$B$3:$B$119,RUC!$E$3:$E$119)+ROUNDDOWN(O24,1)*100)))</f>
        <v>100</v>
      </c>
      <c r="U24" s="1146">
        <f>_xlfn.XLOOKUP(D24,RUC!$B$3:$B$123,RUC!$F$3:$F$123)</f>
        <v>120</v>
      </c>
      <c r="V24" s="715">
        <v>1.1023000000000001</v>
      </c>
      <c r="Y24">
        <f>_xlfn.XLOOKUP(D24,RUC!$B$3:$B$123,RUC!$G$3:$G$123)</f>
        <v>20</v>
      </c>
      <c r="Z24" s="1454">
        <v>80</v>
      </c>
      <c r="AA24" s="144">
        <f t="shared" si="4"/>
        <v>100</v>
      </c>
      <c r="AB24" s="145">
        <f t="shared" si="26"/>
        <v>451.39707490199987</v>
      </c>
      <c r="AC24" s="145">
        <f>+(S24-T24)*V24-'data 1'!$F$4</f>
        <v>30.230000000000004</v>
      </c>
      <c r="AD24" s="145">
        <f t="shared" si="5"/>
        <v>63.60174791256005</v>
      </c>
      <c r="AE24" s="145">
        <f t="shared" si="6"/>
        <v>40.229999999999997</v>
      </c>
      <c r="AF24" s="145">
        <f t="shared" si="7"/>
        <v>94.757292591416075</v>
      </c>
      <c r="AG24" s="772">
        <f t="shared" si="33"/>
        <v>288.81904050397611</v>
      </c>
      <c r="AH24" s="1253">
        <f t="shared" si="8"/>
        <v>13.226000000000001</v>
      </c>
      <c r="AI24" s="1253">
        <f t="shared" si="9"/>
        <v>14.358000000000001</v>
      </c>
      <c r="AJ24" s="156">
        <f t="shared" si="10"/>
        <v>-1.910040307559939</v>
      </c>
      <c r="AK24" s="156">
        <f t="shared" si="11"/>
        <v>10.79872467547869</v>
      </c>
      <c r="AM24" s="716">
        <f t="shared" si="12"/>
        <v>1145.6457761012755</v>
      </c>
      <c r="AN24" s="716" t="str">
        <f>_xlfn.XLOOKUP(D24,RUC!$B$3:$B$578,RUC!$M$3:$M$578)</f>
        <v>Evelyn</v>
      </c>
      <c r="AO24" s="1167" t="s">
        <v>2278</v>
      </c>
      <c r="AP24" t="s">
        <v>3853</v>
      </c>
      <c r="AQ24" t="s">
        <v>4763</v>
      </c>
      <c r="AR24" s="1674" t="s">
        <v>4765</v>
      </c>
      <c r="BA24" s="1482"/>
    </row>
    <row r="25" spans="1:56" ht="15" customHeight="1" thickBot="1">
      <c r="A25" s="747" t="s">
        <v>4754</v>
      </c>
      <c r="B25" s="1447">
        <v>46076</v>
      </c>
      <c r="C25" s="1447">
        <v>46063</v>
      </c>
      <c r="D25" t="s">
        <v>1967</v>
      </c>
      <c r="E25" s="762">
        <f>_xlfn.XLOOKUP(D25,RUC!$B$3:$B$123,RUC!$D$3:$D$123)</f>
        <v>20601769396</v>
      </c>
      <c r="G25" s="762">
        <v>25</v>
      </c>
      <c r="H25" s="762" t="s">
        <v>69</v>
      </c>
      <c r="I25" s="703">
        <v>1.9</v>
      </c>
      <c r="J25" s="596">
        <v>10.35</v>
      </c>
      <c r="K25" s="703">
        <f t="shared" si="0"/>
        <v>1.7030000000000001</v>
      </c>
      <c r="L25" s="1192">
        <v>0.184</v>
      </c>
      <c r="M25" s="994">
        <f t="shared" si="32"/>
        <v>0.16500000000000001</v>
      </c>
      <c r="N25" s="1196">
        <f t="shared" si="30"/>
        <v>0.16500000000000001</v>
      </c>
      <c r="O25" s="645">
        <f t="shared" si="31"/>
        <v>0.16500000000000001</v>
      </c>
      <c r="P25" s="727">
        <v>60</v>
      </c>
      <c r="Q25" s="1583">
        <v>60.055</v>
      </c>
      <c r="R25" s="706">
        <v>5031.3999999999996</v>
      </c>
      <c r="S25" s="765">
        <f>IF((_xlfn.XLOOKUP(D25,RUC!$B$3:$B$119,RUC!$E$3:$E$119)+ROUNDDOWN(O25,1)*100)&lt;95,95,((_xlfn.XLOOKUP(D25,RUC!$B$3:$B$119,RUC!$E$3:$E$119)+ROUNDDOWN(O25,1)*100)))</f>
        <v>100</v>
      </c>
      <c r="U25" s="1146">
        <f>_xlfn.XLOOKUP(D25,RUC!$B$3:$B$123,RUC!$F$3:$F$123)</f>
        <v>120</v>
      </c>
      <c r="V25" s="715">
        <v>1.1023000000000001</v>
      </c>
      <c r="Y25">
        <f>_xlfn.XLOOKUP(D25,RUC!$B$3:$B$123,RUC!$G$3:$G$123)</f>
        <v>20</v>
      </c>
      <c r="Z25" s="1454">
        <v>80</v>
      </c>
      <c r="AA25" s="144">
        <f t="shared" si="4"/>
        <v>100</v>
      </c>
      <c r="AB25" s="145">
        <f t="shared" si="26"/>
        <v>315.50978578000007</v>
      </c>
      <c r="AC25" s="145">
        <f>+(S25-T25)*V25-'data 1'!$F$4</f>
        <v>30.230000000000004</v>
      </c>
      <c r="AD25" s="145">
        <f t="shared" si="5"/>
        <v>0.54788022546399717</v>
      </c>
      <c r="AE25" s="145">
        <f t="shared" si="6"/>
        <v>40.229999999999997</v>
      </c>
      <c r="AF25" s="145">
        <f t="shared" si="7"/>
        <v>61.774307496498956</v>
      </c>
      <c r="AG25" s="772">
        <f t="shared" si="33"/>
        <v>192.78218772196294</v>
      </c>
      <c r="AH25" s="1253">
        <f t="shared" si="8"/>
        <v>6.452</v>
      </c>
      <c r="AI25" s="1253">
        <f t="shared" si="9"/>
        <v>10.743</v>
      </c>
      <c r="AJ25" s="156">
        <f t="shared" si="10"/>
        <v>-1.3885823894639555</v>
      </c>
      <c r="AK25" s="156">
        <f t="shared" si="11"/>
        <v>5.7804135690658516</v>
      </c>
      <c r="AM25" s="716">
        <f t="shared" si="12"/>
        <v>537.31316518334017</v>
      </c>
      <c r="AN25" s="716" t="str">
        <f>_xlfn.XLOOKUP(D25,RUC!$B$3:$B$578,RUC!$M$3:$M$578)</f>
        <v>Evelyn</v>
      </c>
      <c r="AO25" s="1167" t="s">
        <v>2278</v>
      </c>
      <c r="AP25" t="s">
        <v>3853</v>
      </c>
      <c r="AQ25" t="s">
        <v>4763</v>
      </c>
      <c r="AR25" s="1674" t="s">
        <v>4765</v>
      </c>
      <c r="BA25" s="1482"/>
    </row>
    <row r="26" spans="1:56" ht="15" customHeight="1" thickBot="1">
      <c r="A26" s="747" t="s">
        <v>4755</v>
      </c>
      <c r="B26" s="1447">
        <v>46076</v>
      </c>
      <c r="C26" s="1447">
        <v>46063</v>
      </c>
      <c r="D26" t="s">
        <v>1967</v>
      </c>
      <c r="E26" s="762">
        <f>_xlfn.XLOOKUP(D26,RUC!$B$3:$B$123,RUC!$D$3:$D$123)</f>
        <v>20601769396</v>
      </c>
      <c r="G26" s="762">
        <v>25</v>
      </c>
      <c r="H26" s="762" t="s">
        <v>69</v>
      </c>
      <c r="I26" s="703">
        <v>1.95</v>
      </c>
      <c r="J26" s="596">
        <v>12.6</v>
      </c>
      <c r="K26" s="703">
        <f t="shared" si="0"/>
        <v>1.704</v>
      </c>
      <c r="L26" s="1192">
        <v>0.20699999999999999</v>
      </c>
      <c r="M26" s="994">
        <f t="shared" si="32"/>
        <v>0.188</v>
      </c>
      <c r="N26" s="1196">
        <f t="shared" si="30"/>
        <v>0.188</v>
      </c>
      <c r="O26" s="645">
        <f t="shared" si="31"/>
        <v>0.188</v>
      </c>
      <c r="P26" s="727">
        <v>55</v>
      </c>
      <c r="Q26" s="1583">
        <v>56.04</v>
      </c>
      <c r="R26" s="706">
        <v>5031.3999999999996</v>
      </c>
      <c r="S26" s="765">
        <f>IF((_xlfn.XLOOKUP(D26,RUC!$B$3:$B$119,RUC!$E$3:$E$119)+ROUNDDOWN(O26,1)*100)&lt;95,95,((_xlfn.XLOOKUP(D26,RUC!$B$3:$B$119,RUC!$E$3:$E$119)+ROUNDDOWN(O26,1)*100)))</f>
        <v>100</v>
      </c>
      <c r="U26" s="1146">
        <f>_xlfn.XLOOKUP(D26,RUC!$B$3:$B$123,RUC!$F$3:$F$123)</f>
        <v>120</v>
      </c>
      <c r="V26" s="715">
        <v>1.1023000000000001</v>
      </c>
      <c r="Y26">
        <f>_xlfn.XLOOKUP(D26,RUC!$B$3:$B$123,RUC!$G$3:$G$123)</f>
        <v>20</v>
      </c>
      <c r="Z26" s="1454">
        <v>80</v>
      </c>
      <c r="AA26" s="144">
        <f t="shared" si="4"/>
        <v>100</v>
      </c>
      <c r="AB26" s="145">
        <f t="shared" si="26"/>
        <v>339.33066514799998</v>
      </c>
      <c r="AC26" s="145">
        <f>+(S26-T26)*V26-'data 1'!$F$4</f>
        <v>30.230000000000004</v>
      </c>
      <c r="AD26" s="145">
        <f t="shared" si="5"/>
        <v>11.654906614415989</v>
      </c>
      <c r="AE26" s="145">
        <f t="shared" si="6"/>
        <v>40.229999999999997</v>
      </c>
      <c r="AF26" s="145">
        <f t="shared" si="7"/>
        <v>57.644362536071959</v>
      </c>
      <c r="AG26" s="772">
        <f t="shared" si="33"/>
        <v>199.75926915048794</v>
      </c>
      <c r="AH26" s="1253">
        <f t="shared" si="8"/>
        <v>6.7770000000000001</v>
      </c>
      <c r="AI26" s="1253">
        <f t="shared" si="9"/>
        <v>12.093</v>
      </c>
      <c r="AJ26" s="156">
        <f t="shared" si="10"/>
        <v>-1.4577167054159534</v>
      </c>
      <c r="AK26" s="156">
        <f t="shared" si="11"/>
        <v>6.0408659479264806</v>
      </c>
      <c r="AM26" s="716">
        <f t="shared" si="12"/>
        <v>578.21945341219191</v>
      </c>
      <c r="AN26" s="716" t="str">
        <f>_xlfn.XLOOKUP(D26,RUC!$B$3:$B$578,RUC!$M$3:$M$578)</f>
        <v>Evelyn</v>
      </c>
      <c r="AO26" s="1167" t="s">
        <v>2278</v>
      </c>
      <c r="AP26" t="s">
        <v>3853</v>
      </c>
      <c r="AQ26" t="s">
        <v>4763</v>
      </c>
      <c r="AR26" s="1674" t="s">
        <v>4765</v>
      </c>
      <c r="AV26" s="1982" t="s">
        <v>4849</v>
      </c>
      <c r="AW26" s="1983"/>
      <c r="AX26" s="1983"/>
      <c r="AY26" s="1983"/>
      <c r="AZ26" s="1983"/>
      <c r="BA26" s="1984"/>
    </row>
    <row r="27" spans="1:56" ht="15" customHeight="1">
      <c r="A27" s="747" t="s">
        <v>4757</v>
      </c>
      <c r="B27" s="1447">
        <v>46076</v>
      </c>
      <c r="C27" s="1447">
        <v>46063</v>
      </c>
      <c r="D27" t="s">
        <v>1967</v>
      </c>
      <c r="E27" s="762">
        <f>_xlfn.XLOOKUP(D27,RUC!$B$3:$B$123,RUC!$D$3:$D$123)</f>
        <v>20601769396</v>
      </c>
      <c r="G27" s="762">
        <v>45</v>
      </c>
      <c r="H27" s="762" t="s">
        <v>69</v>
      </c>
      <c r="I27" s="703">
        <v>3.52</v>
      </c>
      <c r="J27" s="596">
        <v>12.7</v>
      </c>
      <c r="K27" s="703">
        <f t="shared" si="0"/>
        <v>3.073</v>
      </c>
      <c r="L27" s="1192">
        <v>0.16</v>
      </c>
      <c r="M27" s="994">
        <f t="shared" si="32"/>
        <v>0.14099999999999999</v>
      </c>
      <c r="N27" s="1196">
        <f t="shared" si="30"/>
        <v>0.14099999999999999</v>
      </c>
      <c r="O27" s="645">
        <f t="shared" si="31"/>
        <v>0.14099999999999999</v>
      </c>
      <c r="P27" s="727">
        <v>60</v>
      </c>
      <c r="Q27" s="1583">
        <v>64.064999999999998</v>
      </c>
      <c r="R27" s="706">
        <v>5031.3999999999996</v>
      </c>
      <c r="S27" s="765">
        <f>IF((_xlfn.XLOOKUP(D27,RUC!$B$3:$B$119,RUC!$E$3:$E$119)+ROUNDDOWN(O27,1)*100)&lt;95,95,((_xlfn.XLOOKUP(D27,RUC!$B$3:$B$119,RUC!$E$3:$E$119)+ROUNDDOWN(O27,1)*100)))</f>
        <v>100</v>
      </c>
      <c r="U27" s="1146">
        <f>_xlfn.XLOOKUP(D27,RUC!$B$3:$B$123,RUC!$F$3:$F$123)</f>
        <v>120</v>
      </c>
      <c r="V27" s="715">
        <v>1.1023000000000001</v>
      </c>
      <c r="Y27">
        <f>_xlfn.XLOOKUP(D27,RUC!$B$3:$B$123,RUC!$G$3:$G$123)</f>
        <v>20</v>
      </c>
      <c r="Z27" s="1454">
        <v>80</v>
      </c>
      <c r="AA27" s="144">
        <f t="shared" si="4"/>
        <v>100</v>
      </c>
      <c r="AB27" s="145">
        <f t="shared" si="26"/>
        <v>237.55054421199995</v>
      </c>
      <c r="AC27" s="145">
        <f>+(S27-T27)*V27-'data 1'!$F$4</f>
        <v>30.230000000000004</v>
      </c>
      <c r="AD27" s="145">
        <f t="shared" si="5"/>
        <v>35.21159077487998</v>
      </c>
      <c r="AE27" s="145">
        <f t="shared" si="6"/>
        <v>40.229999999999997</v>
      </c>
      <c r="AF27" s="145">
        <f t="shared" si="7"/>
        <v>65.899109312517055</v>
      </c>
      <c r="AG27" s="772">
        <f t="shared" si="33"/>
        <v>231.57070008739703</v>
      </c>
      <c r="AH27" s="1253">
        <f t="shared" si="8"/>
        <v>10.8</v>
      </c>
      <c r="AI27" s="1253">
        <f t="shared" si="9"/>
        <v>16.856999999999999</v>
      </c>
      <c r="AJ27" s="156">
        <f t="shared" si="10"/>
        <v>-1.288087814879959</v>
      </c>
      <c r="AK27" s="156">
        <f t="shared" si="11"/>
        <v>8.91337118660919</v>
      </c>
      <c r="AM27" s="716">
        <f t="shared" si="12"/>
        <v>729.99282236347585</v>
      </c>
      <c r="AN27" s="716" t="str">
        <f>_xlfn.XLOOKUP(D27,RUC!$B$3:$B$578,RUC!$M$3:$M$578)</f>
        <v>Evelyn</v>
      </c>
      <c r="AO27" s="1167" t="s">
        <v>2278</v>
      </c>
      <c r="AP27" t="s">
        <v>3853</v>
      </c>
      <c r="AQ27" t="s">
        <v>4763</v>
      </c>
      <c r="AR27" s="1674" t="s">
        <v>4765</v>
      </c>
      <c r="BA27" s="1482">
        <f>SUM(BA29:BA38)</f>
        <v>0</v>
      </c>
    </row>
    <row r="28" spans="1:56" ht="15" customHeight="1" thickBot="1">
      <c r="A28" s="747" t="s">
        <v>4758</v>
      </c>
      <c r="B28" s="1447">
        <v>46374</v>
      </c>
      <c r="C28" s="1447">
        <v>46063</v>
      </c>
      <c r="D28" t="s">
        <v>1967</v>
      </c>
      <c r="E28" s="762">
        <f>_xlfn.XLOOKUP(D28,RUC!$B$3:$B$123,RUC!$D$3:$D$123)</f>
        <v>20601769396</v>
      </c>
      <c r="G28" s="762">
        <v>20</v>
      </c>
      <c r="H28" s="762" t="s">
        <v>69</v>
      </c>
      <c r="I28" s="703">
        <v>1.59</v>
      </c>
      <c r="J28" s="596">
        <v>11.8</v>
      </c>
      <c r="K28" s="703">
        <f t="shared" si="0"/>
        <v>1.4019999999999999</v>
      </c>
      <c r="L28" s="1192">
        <v>0.47899999999999998</v>
      </c>
      <c r="M28" s="994">
        <f t="shared" si="32"/>
        <v>0.45</v>
      </c>
      <c r="N28" s="1196">
        <f t="shared" si="30"/>
        <v>0.45</v>
      </c>
      <c r="O28" s="645">
        <f t="shared" si="31"/>
        <v>0.45</v>
      </c>
      <c r="P28" s="727">
        <v>87</v>
      </c>
      <c r="Q28" s="1476">
        <v>87.27</v>
      </c>
      <c r="R28" s="706">
        <v>5031.3999999999996</v>
      </c>
      <c r="S28" s="765">
        <f>IF((_xlfn.XLOOKUP(D28,RUC!$B$3:$B$119,RUC!$E$3:$E$119)+ROUNDDOWN(O28,1)*100)&lt;95,95,((_xlfn.XLOOKUP(D28,RUC!$B$3:$B$119,RUC!$E$3:$E$119)+ROUNDDOWN(O28,1)*100)))</f>
        <v>130</v>
      </c>
      <c r="U28" s="1146">
        <f>_xlfn.XLOOKUP(D28,RUC!$B$3:$B$123,RUC!$F$3:$F$123)</f>
        <v>120</v>
      </c>
      <c r="V28" s="715">
        <v>1.1023000000000001</v>
      </c>
      <c r="Y28">
        <f>_xlfn.XLOOKUP(D28,RUC!$B$3:$B$123,RUC!$G$3:$G$123)</f>
        <v>20</v>
      </c>
      <c r="Z28" s="143">
        <f>_xlfn.XLOOKUP(D28,RUC!$B$3:$B$123,RUC!$H$3:$H$123)</f>
        <v>30</v>
      </c>
      <c r="AA28" s="144">
        <f t="shared" si="4"/>
        <v>50</v>
      </c>
      <c r="AB28" s="145">
        <f t="shared" si="26"/>
        <v>1921.1028801299997</v>
      </c>
      <c r="AC28" s="145">
        <f>+(S28-T28)*V28-'data 1'!$F$4</f>
        <v>63.299000000000007</v>
      </c>
      <c r="AD28" s="145">
        <f t="shared" si="5"/>
        <v>7.001714383325897</v>
      </c>
      <c r="AE28" s="145">
        <f t="shared" si="6"/>
        <v>-14.884999999999998</v>
      </c>
      <c r="AF28" s="145">
        <f t="shared" si="7"/>
        <v>137.01499120662587</v>
      </c>
      <c r="AG28" s="772">
        <f t="shared" si="33"/>
        <v>252.4307055899518</v>
      </c>
      <c r="AH28" s="1253">
        <f t="shared" si="8"/>
        <v>20.094000000000001</v>
      </c>
      <c r="AI28" s="1253">
        <f t="shared" si="9"/>
        <v>23.024999999999999</v>
      </c>
      <c r="AJ28" s="156">
        <f t="shared" si="10"/>
        <v>-5.2529727529258317</v>
      </c>
      <c r="AK28" s="156">
        <f t="shared" si="11"/>
        <v>18.818666649048147</v>
      </c>
      <c r="AM28" s="716">
        <f t="shared" si="12"/>
        <v>2693.3862379422594</v>
      </c>
      <c r="AN28" s="716" t="str">
        <f>_xlfn.XLOOKUP(D28,RUC!$B$3:$B$578,RUC!$M$3:$M$578)</f>
        <v>Evelyn</v>
      </c>
      <c r="AO28" s="1167" t="s">
        <v>2278</v>
      </c>
      <c r="AP28" t="s">
        <v>3853</v>
      </c>
      <c r="AQ28" t="s">
        <v>4763</v>
      </c>
      <c r="AV28" s="762"/>
      <c r="AW28" s="762" t="s">
        <v>15</v>
      </c>
      <c r="AX28" s="762" t="s">
        <v>2522</v>
      </c>
      <c r="AY28" s="762" t="s">
        <v>2558</v>
      </c>
      <c r="AZ28" s="1483" t="s">
        <v>2598</v>
      </c>
      <c r="BA28" s="762" t="s">
        <v>2559</v>
      </c>
    </row>
    <row r="29" spans="1:56" ht="15" customHeight="1">
      <c r="A29" s="747" t="s">
        <v>4759</v>
      </c>
      <c r="B29" s="1447">
        <v>46070</v>
      </c>
      <c r="C29" s="1447">
        <v>46063</v>
      </c>
      <c r="D29" t="s">
        <v>4171</v>
      </c>
      <c r="E29" s="762">
        <f>_xlfn.XLOOKUP(D29,RUC!$B$3:$B$123,RUC!$D$3:$D$123)</f>
        <v>20614284740</v>
      </c>
      <c r="G29" s="762">
        <v>54</v>
      </c>
      <c r="H29" s="762" t="s">
        <v>69</v>
      </c>
      <c r="I29" s="703">
        <v>4.26</v>
      </c>
      <c r="J29" s="596">
        <v>2.35</v>
      </c>
      <c r="K29" s="703">
        <f t="shared" si="0"/>
        <v>4.16</v>
      </c>
      <c r="L29" s="1192">
        <v>0.156</v>
      </c>
      <c r="M29" s="994">
        <f t="shared" si="32"/>
        <v>0.13700000000000001</v>
      </c>
      <c r="N29" s="1196">
        <f t="shared" si="30"/>
        <v>0.13700000000000001</v>
      </c>
      <c r="O29" s="645">
        <f t="shared" si="31"/>
        <v>0.13700000000000001</v>
      </c>
      <c r="P29" s="727">
        <v>85</v>
      </c>
      <c r="Q29" s="1476">
        <v>98.08</v>
      </c>
      <c r="R29" s="706">
        <v>5031.3999999999996</v>
      </c>
      <c r="S29" s="765">
        <f>IF((_xlfn.XLOOKUP(D29,RUC!$B$3:$B$119,RUC!$E$3:$E$119)+ROUNDDOWN(O29,1)*100)&lt;95,95,((_xlfn.XLOOKUP(D29,RUC!$B$3:$B$119,RUC!$E$3:$E$119)+ROUNDDOWN(O29,1)*100)))</f>
        <v>100</v>
      </c>
      <c r="U29" s="1146">
        <f>_xlfn.XLOOKUP(D29,RUC!$B$3:$B$123,RUC!$F$3:$F$123)</f>
        <v>120</v>
      </c>
      <c r="V29" s="715">
        <v>1.1023000000000001</v>
      </c>
      <c r="Y29">
        <f>_xlfn.XLOOKUP(D29,RUC!$B$3:$B$123,RUC!$G$3:$G$123)</f>
        <v>20</v>
      </c>
      <c r="Z29" s="143">
        <f>_xlfn.XLOOKUP(D29,RUC!$B$3:$B$123,RUC!$H$3:$H$123)</f>
        <v>30</v>
      </c>
      <c r="AA29" s="144">
        <f t="shared" si="4"/>
        <v>50</v>
      </c>
      <c r="AB29" s="145">
        <f t="shared" si="26"/>
        <v>465.09622781900009</v>
      </c>
      <c r="AC29" s="145">
        <f>+(S29-T29)*V29-'data 1'!$F$4</f>
        <v>30.230000000000004</v>
      </c>
      <c r="AD29" s="145">
        <f t="shared" si="5"/>
        <v>110.46824530185597</v>
      </c>
      <c r="AE29" s="145">
        <f t="shared" si="6"/>
        <v>-14.884999999999998</v>
      </c>
      <c r="AF29" s="145">
        <f t="shared" si="7"/>
        <v>100.88792072694395</v>
      </c>
      <c r="AG29" s="772">
        <f t="shared" ref="AG29:AG51" si="34">AC29+AD29+AE29+AF29+70-53</f>
        <v>243.70116602879995</v>
      </c>
      <c r="AH29" s="1253">
        <f t="shared" si="8"/>
        <v>21.823</v>
      </c>
      <c r="AI29" s="1253">
        <f t="shared" si="9"/>
        <v>22.25</v>
      </c>
      <c r="AJ29" s="156">
        <f t="shared" si="10"/>
        <v>-1.9226919778559386</v>
      </c>
      <c r="AK29" s="156">
        <f t="shared" si="11"/>
        <v>16.608939103837603</v>
      </c>
      <c r="AM29" s="716">
        <f t="shared" si="12"/>
        <v>1934.8003077270405</v>
      </c>
      <c r="AN29" s="716" t="str">
        <f>_xlfn.XLOOKUP(D29,RUC!$B$3:$B$578,RUC!$M$3:$M$578)</f>
        <v xml:space="preserve">Dante </v>
      </c>
      <c r="AO29" s="1167" t="s">
        <v>2277</v>
      </c>
      <c r="AP29" t="s">
        <v>4764</v>
      </c>
      <c r="AQ29" t="s">
        <v>3373</v>
      </c>
      <c r="AV29" s="1556" t="s">
        <v>2277</v>
      </c>
      <c r="AW29" s="1227">
        <f t="shared" ref="AW29:AW38" si="35">SUMIF($AO$4:$AO$627,AV29,$K$4:$K$627)</f>
        <v>117.776</v>
      </c>
      <c r="AX29" s="1227"/>
      <c r="AY29" s="1229">
        <f t="shared" ref="AY29:AY38" si="36">AW29*AX29*31.1035*1.1023</f>
        <v>0</v>
      </c>
      <c r="AZ29" s="596"/>
      <c r="BA29" s="1255">
        <f t="shared" ref="BA29:BA38" si="37">AY29*AZ29/100</f>
        <v>0</v>
      </c>
      <c r="BB29" s="1749" t="s">
        <v>5035</v>
      </c>
      <c r="BC29" s="1574">
        <f ca="1">+BB7</f>
        <v>3852.6979999999994</v>
      </c>
    </row>
    <row r="30" spans="1:56" ht="15" customHeight="1">
      <c r="A30" s="747" t="s">
        <v>4760</v>
      </c>
      <c r="B30" s="1447">
        <v>46070</v>
      </c>
      <c r="C30" s="1447">
        <v>46063</v>
      </c>
      <c r="D30" t="s">
        <v>4171</v>
      </c>
      <c r="E30" s="762">
        <f>_xlfn.XLOOKUP(D30,RUC!$B$3:$B$123,RUC!$D$3:$D$123)</f>
        <v>20614284740</v>
      </c>
      <c r="G30" s="762">
        <v>30</v>
      </c>
      <c r="H30" s="762" t="s">
        <v>69</v>
      </c>
      <c r="I30" s="703">
        <v>2.4500000000000002</v>
      </c>
      <c r="J30" s="596">
        <v>2.5</v>
      </c>
      <c r="K30" s="703">
        <f t="shared" si="0"/>
        <v>2.3889999999999998</v>
      </c>
      <c r="L30" s="1192">
        <v>0.14599999999999999</v>
      </c>
      <c r="M30" s="994">
        <f t="shared" si="32"/>
        <v>0.127</v>
      </c>
      <c r="N30" s="1196">
        <f t="shared" si="30"/>
        <v>0.127</v>
      </c>
      <c r="O30" s="645">
        <f t="shared" si="31"/>
        <v>0.127</v>
      </c>
      <c r="P30" s="727">
        <v>80</v>
      </c>
      <c r="Q30" s="1476">
        <v>97.95</v>
      </c>
      <c r="R30" s="706">
        <v>5031.3999999999996</v>
      </c>
      <c r="S30" s="765">
        <f>IF((_xlfn.XLOOKUP(D30,RUC!$B$3:$B$119,RUC!$E$3:$E$119)+ROUNDDOWN(O30,1)*100)&lt;95,95,((_xlfn.XLOOKUP(D30,RUC!$B$3:$B$119,RUC!$E$3:$E$119)+ROUNDDOWN(O30,1)*100)))</f>
        <v>100</v>
      </c>
      <c r="U30" s="1146">
        <f>_xlfn.XLOOKUP(D30,RUC!$B$3:$B$123,RUC!$F$3:$F$123)</f>
        <v>120</v>
      </c>
      <c r="V30" s="715">
        <v>1.1023000000000001</v>
      </c>
      <c r="Y30">
        <f>_xlfn.XLOOKUP(D30,RUC!$B$3:$B$123,RUC!$G$3:$G$123)</f>
        <v>20</v>
      </c>
      <c r="Z30" s="143">
        <f>_xlfn.XLOOKUP(D30,RUC!$B$3:$B$123,RUC!$H$3:$H$123)</f>
        <v>30</v>
      </c>
      <c r="AA30" s="144">
        <f t="shared" si="4"/>
        <v>50</v>
      </c>
      <c r="AB30" s="145">
        <f t="shared" si="26"/>
        <v>384.70075995200006</v>
      </c>
      <c r="AC30" s="145">
        <f>+(S30-T30)*V30-'data 1'!$F$4</f>
        <v>30.230000000000004</v>
      </c>
      <c r="AD30" s="145">
        <f t="shared" si="5"/>
        <v>141.88040581754001</v>
      </c>
      <c r="AE30" s="145">
        <f t="shared" si="6"/>
        <v>-14.884999999999998</v>
      </c>
      <c r="AF30" s="145">
        <f t="shared" si="7"/>
        <v>100.75419897230995</v>
      </c>
      <c r="AG30" s="772">
        <f t="shared" si="34"/>
        <v>274.97960478984999</v>
      </c>
      <c r="AH30" s="1253">
        <f t="shared" si="8"/>
        <v>11.712999999999999</v>
      </c>
      <c r="AI30" s="1253">
        <f t="shared" si="9"/>
        <v>11.959</v>
      </c>
      <c r="AJ30" s="156">
        <f t="shared" si="10"/>
        <v>-1.7970574235399426</v>
      </c>
      <c r="AK30" s="156">
        <f t="shared" si="11"/>
        <v>8.3218316724273205</v>
      </c>
      <c r="AM30" s="716">
        <f t="shared" si="12"/>
        <v>919.05011552532801</v>
      </c>
      <c r="AN30" s="716" t="str">
        <f>_xlfn.XLOOKUP(D30,RUC!$B$3:$B$578,RUC!$M$3:$M$578)</f>
        <v xml:space="preserve">Dante </v>
      </c>
      <c r="AO30" s="1167" t="s">
        <v>2280</v>
      </c>
      <c r="AP30" t="s">
        <v>4764</v>
      </c>
      <c r="AQ30" t="s">
        <v>3373</v>
      </c>
      <c r="AV30" s="1557" t="s">
        <v>2278</v>
      </c>
      <c r="AW30" s="703">
        <f t="shared" si="35"/>
        <v>144.30499999999998</v>
      </c>
      <c r="AX30" s="703"/>
      <c r="AY30" s="596">
        <f t="shared" si="36"/>
        <v>0</v>
      </c>
      <c r="AZ30" s="596"/>
      <c r="BA30" s="1256">
        <f t="shared" si="37"/>
        <v>0</v>
      </c>
      <c r="BB30" s="1750" t="s">
        <v>5036</v>
      </c>
      <c r="BC30" s="1576">
        <f>+'39'!BC33</f>
        <v>267</v>
      </c>
    </row>
    <row r="31" spans="1:56" ht="15" customHeight="1">
      <c r="A31" s="747" t="s">
        <v>4777</v>
      </c>
      <c r="B31" s="1447">
        <v>46080</v>
      </c>
      <c r="C31" s="1447">
        <v>46064</v>
      </c>
      <c r="D31" t="s">
        <v>1484</v>
      </c>
      <c r="E31" s="762">
        <f>_xlfn.XLOOKUP(D31,RUC!$B$3:$B$123,RUC!$D$3:$D$123)</f>
        <v>10761932735</v>
      </c>
      <c r="G31" s="762">
        <v>73</v>
      </c>
      <c r="H31" s="762" t="s">
        <v>69</v>
      </c>
      <c r="I31" s="703">
        <v>7.5</v>
      </c>
      <c r="J31" s="596">
        <v>12.13</v>
      </c>
      <c r="K31" s="703">
        <f t="shared" si="0"/>
        <v>6.59</v>
      </c>
      <c r="L31" s="1192">
        <v>0.187</v>
      </c>
      <c r="M31" s="994">
        <f t="shared" si="32"/>
        <v>0.16800000000000001</v>
      </c>
      <c r="N31" s="1444">
        <v>0.222</v>
      </c>
      <c r="O31" s="645">
        <f t="shared" si="31"/>
        <v>0.19500000000000001</v>
      </c>
      <c r="P31" s="727">
        <v>90</v>
      </c>
      <c r="Q31" s="1476">
        <v>98.94</v>
      </c>
      <c r="R31" s="706">
        <v>5077.8500000000004</v>
      </c>
      <c r="S31" s="765">
        <f>IF((_xlfn.XLOOKUP(D31,RUC!$B$3:$B$119,RUC!$E$3:$E$119)+ROUNDDOWN(O31,1)*100)&lt;95,95,((_xlfn.XLOOKUP(D31,RUC!$B$3:$B$119,RUC!$E$3:$E$119)+ROUNDDOWN(O31,1)*100)))</f>
        <v>100</v>
      </c>
      <c r="U31" s="1146">
        <f>_xlfn.XLOOKUP(D31,RUC!$B$3:$B$123,RUC!$F$3:$F$123)</f>
        <v>120</v>
      </c>
      <c r="V31" s="715">
        <v>1.1023000000000001</v>
      </c>
      <c r="Y31" s="1445">
        <v>40</v>
      </c>
      <c r="Z31" s="143">
        <f>_xlfn.XLOOKUP(D31,RUC!$B$3:$B$123,RUC!$H$3:$H$123)</f>
        <v>30</v>
      </c>
      <c r="AA31" s="144">
        <f t="shared" si="4"/>
        <v>70</v>
      </c>
      <c r="AB31" s="145">
        <f t="shared" si="26"/>
        <v>771.72317865250022</v>
      </c>
      <c r="AC31" s="145">
        <f>+(S31-T31)*V31-'data 1'!$F$4</f>
        <v>30.230000000000004</v>
      </c>
      <c r="AD31" s="145">
        <f t="shared" si="5"/>
        <v>91.363413195878991</v>
      </c>
      <c r="AE31" s="145">
        <f t="shared" si="6"/>
        <v>7.1610000000000014</v>
      </c>
      <c r="AF31" s="145">
        <f t="shared" si="7"/>
        <v>-43.256869212936046</v>
      </c>
      <c r="AG31" s="772">
        <f t="shared" si="34"/>
        <v>102.49754398294297</v>
      </c>
      <c r="AH31" s="1253">
        <f t="shared" si="8"/>
        <v>41.802999999999997</v>
      </c>
      <c r="AI31" s="1253">
        <f t="shared" si="9"/>
        <v>42.250999999999998</v>
      </c>
      <c r="AJ31" s="156">
        <f t="shared" si="10"/>
        <v>-11.798225246379072</v>
      </c>
      <c r="AK31" s="156">
        <f t="shared" si="11"/>
        <v>39.652594122287255</v>
      </c>
      <c r="AM31" s="716">
        <f t="shared" si="12"/>
        <v>5085.6557473199764</v>
      </c>
      <c r="AN31" s="716" t="str">
        <f>_xlfn.XLOOKUP(D31,RUC!$B$3:$B$578,RUC!$M$3:$M$578)</f>
        <v>Richard Sapacayo</v>
      </c>
      <c r="AO31" s="1167" t="s">
        <v>2279</v>
      </c>
      <c r="AP31" t="s">
        <v>3415</v>
      </c>
      <c r="AQ31" t="s">
        <v>4803</v>
      </c>
      <c r="AV31" s="1557" t="s">
        <v>2280</v>
      </c>
      <c r="AW31" s="703">
        <f t="shared" si="35"/>
        <v>103.81500000000001</v>
      </c>
      <c r="AX31" s="703"/>
      <c r="AY31" s="596">
        <f t="shared" si="36"/>
        <v>0</v>
      </c>
      <c r="AZ31" s="596"/>
      <c r="BA31" s="1256">
        <f t="shared" si="37"/>
        <v>0</v>
      </c>
      <c r="BB31" s="1751" t="s">
        <v>5037</v>
      </c>
      <c r="BC31" s="1675">
        <v>3149.53</v>
      </c>
    </row>
    <row r="32" spans="1:56" ht="15" customHeight="1">
      <c r="A32" s="747" t="s">
        <v>4779</v>
      </c>
      <c r="B32" s="1447">
        <v>46078</v>
      </c>
      <c r="C32" s="1447">
        <v>46064</v>
      </c>
      <c r="D32" t="s">
        <v>1967</v>
      </c>
      <c r="E32" s="762">
        <f>_xlfn.XLOOKUP(D32,RUC!$B$3:$B$123,RUC!$D$3:$D$123)</f>
        <v>20601769396</v>
      </c>
      <c r="G32" s="762">
        <v>20</v>
      </c>
      <c r="H32" s="762" t="s">
        <v>2005</v>
      </c>
      <c r="I32" s="703">
        <v>1.69</v>
      </c>
      <c r="J32" s="596">
        <v>7.7</v>
      </c>
      <c r="K32" s="703">
        <f t="shared" si="0"/>
        <v>1.56</v>
      </c>
      <c r="L32" s="1192">
        <v>0.29299999999999998</v>
      </c>
      <c r="M32" s="994">
        <f t="shared" si="32"/>
        <v>0.27400000000000002</v>
      </c>
      <c r="N32" s="1196">
        <f t="shared" si="30"/>
        <v>0.27400000000000002</v>
      </c>
      <c r="O32" s="645">
        <f t="shared" si="31"/>
        <v>0.27400000000000002</v>
      </c>
      <c r="P32" s="727">
        <v>83</v>
      </c>
      <c r="Q32" s="1476">
        <v>83.96</v>
      </c>
      <c r="R32" s="706">
        <v>5077.8500000000004</v>
      </c>
      <c r="S32" s="765">
        <f>IF((_xlfn.XLOOKUP(D32,RUC!$B$3:$B$119,RUC!$E$3:$E$119)+ROUNDDOWN(O32,1)*100)&lt;95,95,((_xlfn.XLOOKUP(D32,RUC!$B$3:$B$119,RUC!$E$3:$E$119)+ROUNDDOWN(O32,1)*100)))</f>
        <v>110</v>
      </c>
      <c r="U32" s="1146">
        <f>_xlfn.XLOOKUP(D32,RUC!$B$3:$B$123,RUC!$F$3:$F$123)</f>
        <v>120</v>
      </c>
      <c r="V32" s="715">
        <v>1.1023000000000001</v>
      </c>
      <c r="Y32">
        <f>_xlfn.XLOOKUP(D32,RUC!$B$3:$B$123,RUC!$G$3:$G$123)</f>
        <v>20</v>
      </c>
      <c r="Z32" s="143">
        <f>_xlfn.XLOOKUP(D32,RUC!$B$3:$B$123,RUC!$H$3:$H$123)</f>
        <v>30</v>
      </c>
      <c r="AA32" s="144">
        <f t="shared" si="4"/>
        <v>50</v>
      </c>
      <c r="AB32" s="145">
        <f t="shared" si="26"/>
        <v>1066.4909544681002</v>
      </c>
      <c r="AC32" s="145">
        <f>+(S32-T32)*V32-'data 1'!$F$4</f>
        <v>41.253</v>
      </c>
      <c r="AD32" s="145">
        <f t="shared" si="5"/>
        <v>15.372059041103901</v>
      </c>
      <c r="AE32" s="145">
        <f t="shared" si="6"/>
        <v>-14.884999999999998</v>
      </c>
      <c r="AF32" s="145">
        <f t="shared" si="7"/>
        <v>87.180473068581833</v>
      </c>
      <c r="AG32" s="772">
        <f t="shared" si="34"/>
        <v>145.92053210968572</v>
      </c>
      <c r="AH32" s="1253">
        <f t="shared" si="8"/>
        <v>13.157999999999999</v>
      </c>
      <c r="AI32" s="1253">
        <f t="shared" si="9"/>
        <v>15.670999999999999</v>
      </c>
      <c r="AJ32" s="156">
        <f t="shared" si="10"/>
        <v>-15.687120080554095</v>
      </c>
      <c r="AK32" s="156">
        <f t="shared" si="11"/>
        <v>12.163605402516362</v>
      </c>
      <c r="AM32" s="716">
        <f t="shared" si="12"/>
        <v>1663.7258889702364</v>
      </c>
      <c r="AN32" s="716" t="str">
        <f>_xlfn.XLOOKUP(D32,RUC!$B$3:$B$578,RUC!$M$3:$M$578)</f>
        <v>Evelyn</v>
      </c>
      <c r="AO32" s="1167" t="s">
        <v>2278</v>
      </c>
      <c r="AP32" t="s">
        <v>3855</v>
      </c>
      <c r="AQ32" t="s">
        <v>4804</v>
      </c>
      <c r="AV32" s="1557" t="s">
        <v>2279</v>
      </c>
      <c r="AW32" s="703">
        <f t="shared" si="35"/>
        <v>84.902000000000001</v>
      </c>
      <c r="AX32" s="703"/>
      <c r="AY32" s="596">
        <f t="shared" si="36"/>
        <v>0</v>
      </c>
      <c r="AZ32" s="596"/>
      <c r="BA32" s="1256">
        <f t="shared" si="37"/>
        <v>0</v>
      </c>
      <c r="BB32" s="1751" t="s">
        <v>5038</v>
      </c>
      <c r="BC32" s="1675">
        <v>712.10400000000004</v>
      </c>
    </row>
    <row r="33" spans="1:55" ht="15" customHeight="1">
      <c r="A33" s="747" t="s">
        <v>4780</v>
      </c>
      <c r="B33" s="1447">
        <v>46078</v>
      </c>
      <c r="C33" s="1447">
        <v>46064</v>
      </c>
      <c r="D33" t="s">
        <v>1967</v>
      </c>
      <c r="E33" s="762">
        <f>_xlfn.XLOOKUP(D33,RUC!$B$3:$B$123,RUC!$D$3:$D$123)</f>
        <v>20601769396</v>
      </c>
      <c r="G33" s="762">
        <v>20</v>
      </c>
      <c r="H33" s="762" t="s">
        <v>2005</v>
      </c>
      <c r="I33" s="703">
        <v>1.85</v>
      </c>
      <c r="J33" s="596">
        <v>7.45</v>
      </c>
      <c r="K33" s="703">
        <f t="shared" si="0"/>
        <v>1.712</v>
      </c>
      <c r="L33" s="1192">
        <v>0.21</v>
      </c>
      <c r="M33" s="994">
        <f t="shared" si="32"/>
        <v>0.191</v>
      </c>
      <c r="N33" s="1444">
        <v>0.26800000000000002</v>
      </c>
      <c r="O33" s="645">
        <f t="shared" si="31"/>
        <v>0.23</v>
      </c>
      <c r="P33" s="727">
        <v>83</v>
      </c>
      <c r="Q33" s="1476">
        <v>83.81</v>
      </c>
      <c r="R33" s="706">
        <v>5077.8500000000004</v>
      </c>
      <c r="S33" s="765">
        <f>IF((_xlfn.XLOOKUP(D33,RUC!$B$3:$B$119,RUC!$E$3:$E$119)+ROUNDDOWN(O33,1)*100)&lt;95,95,((_xlfn.XLOOKUP(D33,RUC!$B$3:$B$119,RUC!$E$3:$E$119)+ROUNDDOWN(O33,1)*100)))</f>
        <v>110</v>
      </c>
      <c r="U33" s="1146">
        <f>_xlfn.XLOOKUP(D33,RUC!$B$3:$B$123,RUC!$F$3:$F$123)</f>
        <v>120</v>
      </c>
      <c r="V33" s="715">
        <v>1.1023000000000001</v>
      </c>
      <c r="Y33" s="1445">
        <v>30</v>
      </c>
      <c r="Z33" s="143">
        <f>_xlfn.XLOOKUP(D33,RUC!$B$3:$B$123,RUC!$H$3:$H$123)</f>
        <v>30</v>
      </c>
      <c r="AA33" s="144">
        <f t="shared" si="4"/>
        <v>60</v>
      </c>
      <c r="AB33" s="145">
        <f t="shared" si="26"/>
        <v>855.88476469950024</v>
      </c>
      <c r="AC33" s="145">
        <f>+(S33-T33)*V33-'data 1'!$F$4</f>
        <v>41.253</v>
      </c>
      <c r="AD33" s="145">
        <f t="shared" si="5"/>
        <v>9.2960297315550271</v>
      </c>
      <c r="AE33" s="145">
        <f t="shared" si="6"/>
        <v>-3.8619999999999948</v>
      </c>
      <c r="AF33" s="145">
        <f t="shared" si="7"/>
        <v>-91.604967877910099</v>
      </c>
      <c r="AG33" s="772">
        <f t="shared" si="34"/>
        <v>-27.91793814635507</v>
      </c>
      <c r="AH33" s="1253">
        <f t="shared" si="8"/>
        <v>10.331</v>
      </c>
      <c r="AI33" s="1253">
        <f t="shared" si="9"/>
        <v>12.326000000000001</v>
      </c>
      <c r="AJ33" s="156">
        <f t="shared" si="10"/>
        <v>-11.223241448055074</v>
      </c>
      <c r="AK33" s="156">
        <f t="shared" si="11"/>
        <v>11.205177950811441</v>
      </c>
      <c r="AM33" s="716">
        <f t="shared" si="12"/>
        <v>1465.2747171655444</v>
      </c>
      <c r="AN33" s="716" t="str">
        <f>_xlfn.XLOOKUP(D33,RUC!$B$3:$B$578,RUC!$M$3:$M$578)</f>
        <v>Evelyn</v>
      </c>
      <c r="AO33" s="1167" t="s">
        <v>2278</v>
      </c>
      <c r="AP33" t="s">
        <v>3855</v>
      </c>
      <c r="AQ33" t="s">
        <v>4804</v>
      </c>
      <c r="AV33" s="1557" t="s">
        <v>2281</v>
      </c>
      <c r="AW33" s="703">
        <f t="shared" si="35"/>
        <v>0</v>
      </c>
      <c r="AX33" s="703"/>
      <c r="AY33" s="596">
        <f t="shared" si="36"/>
        <v>0</v>
      </c>
      <c r="AZ33" s="596"/>
      <c r="BA33" s="1256">
        <f t="shared" si="37"/>
        <v>0</v>
      </c>
      <c r="BB33" s="1751" t="s">
        <v>5039</v>
      </c>
      <c r="BC33" s="1581">
        <v>149.25399999999999</v>
      </c>
    </row>
    <row r="34" spans="1:55" ht="15" customHeight="1">
      <c r="A34" s="747" t="s">
        <v>4781</v>
      </c>
      <c r="B34" s="1447">
        <v>46080</v>
      </c>
      <c r="C34" s="1447">
        <v>46064</v>
      </c>
      <c r="D34" t="s">
        <v>1967</v>
      </c>
      <c r="E34" s="762">
        <f>_xlfn.XLOOKUP(D34,RUC!$B$3:$B$123,RUC!$D$3:$D$123)</f>
        <v>20601769396</v>
      </c>
      <c r="G34" s="762">
        <v>28</v>
      </c>
      <c r="H34" s="762" t="s">
        <v>2005</v>
      </c>
      <c r="I34" s="703">
        <v>2.61</v>
      </c>
      <c r="J34" s="596">
        <v>9.5500000000000007</v>
      </c>
      <c r="K34" s="703">
        <f t="shared" ref="K34:K86" si="38">ROUND(+I34-(I34*(J34/100)),3)</f>
        <v>2.3610000000000002</v>
      </c>
      <c r="L34" s="1192">
        <v>0.17799999999999999</v>
      </c>
      <c r="M34" s="994">
        <f t="shared" si="32"/>
        <v>0.159</v>
      </c>
      <c r="N34" s="1444">
        <v>0.24299999999999999</v>
      </c>
      <c r="O34" s="645">
        <f t="shared" si="31"/>
        <v>0.20100000000000001</v>
      </c>
      <c r="P34" s="727">
        <v>84</v>
      </c>
      <c r="Q34" s="1476">
        <v>86.52</v>
      </c>
      <c r="R34" s="706">
        <v>5077.8500000000004</v>
      </c>
      <c r="S34" s="765">
        <f>IF((_xlfn.XLOOKUP(D34,RUC!$B$3:$B$119,RUC!$E$3:$E$119)+ROUNDDOWN(O34,1)*100)&lt;95,95,((_xlfn.XLOOKUP(D34,RUC!$B$3:$B$119,RUC!$E$3:$E$119)+ROUNDDOWN(O34,1)*100)))</f>
        <v>110</v>
      </c>
      <c r="U34" s="1146">
        <f>_xlfn.XLOOKUP(D34,RUC!$B$3:$B$123,RUC!$F$3:$F$123)</f>
        <v>120</v>
      </c>
      <c r="V34" s="715">
        <v>1.1023000000000001</v>
      </c>
      <c r="Y34" s="1445">
        <v>40</v>
      </c>
      <c r="Z34" s="143">
        <f>_xlfn.XLOOKUP(D34,RUC!$B$3:$B$123,RUC!$H$3:$H$123)</f>
        <v>30</v>
      </c>
      <c r="AA34" s="144">
        <f t="shared" ref="AA34:AA86" si="39">+Y34+Z34</f>
        <v>70</v>
      </c>
      <c r="AB34" s="145">
        <f t="shared" si="26"/>
        <v>724.30302520620012</v>
      </c>
      <c r="AC34" s="145">
        <f>+(S34-T34)*V34-'data 1'!$F$4</f>
        <v>41.253</v>
      </c>
      <c r="AD34" s="145">
        <f t="shared" ref="AD34:AD86" si="40">+(Q34-P34)*(R34-U34)*L34*V34/100</f>
        <v>24.513974699507962</v>
      </c>
      <c r="AE34" s="145">
        <f t="shared" ref="AE34:AE86" si="41">+(Y34*V34-70)+V34*(Z34-IF(D34="UNTUCA",IF(+((W34-3)*2.5+(X34-3)*3.1)&gt;0,+((W34-3)*1.5+(X34-3)*3.1),0),IF(+((W34-3)*1.5+(X34-3)*3.1)&gt;0,+((W34-3)*1.5+(X34-3)*3.1),0)))</f>
        <v>7.1610000000000014</v>
      </c>
      <c r="AF34" s="145">
        <f t="shared" ref="AF34:AF86" si="42">(L34-O34)*(R34-U34)*Q34*V34/100</f>
        <v>-108.7520712792781</v>
      </c>
      <c r="AG34" s="772">
        <f t="shared" si="34"/>
        <v>-18.824096579770142</v>
      </c>
      <c r="AH34" s="1253">
        <f t="shared" ref="AH34:AH86" si="43">ROUND((31.1035*L34*Q34*1.1023*K34/100),3)</f>
        <v>12.465999999999999</v>
      </c>
      <c r="AI34" s="1253">
        <f t="shared" ref="AI34:AI86" si="44">ROUND((31.1035*L34*1.1023*K34),3)</f>
        <v>14.409000000000001</v>
      </c>
      <c r="AJ34" s="156">
        <f t="shared" ref="AJ34:AJ86" si="45">+((+$AJ$2-R34+U34)*L34*Q34*V34)/100</f>
        <v>-9.8206375711080618</v>
      </c>
      <c r="AK34" s="156">
        <f t="shared" ref="AK34:AK86" si="46">31.1035*1.1023*K34*P34*O34/100</f>
        <v>13.667226752252686</v>
      </c>
      <c r="AM34" s="716">
        <f t="shared" ref="AM34:AM86" si="47">+IF(AB34*K34&gt;0,AB34*K34,0)</f>
        <v>1710.0794425118386</v>
      </c>
      <c r="AN34" s="716" t="str">
        <f>_xlfn.XLOOKUP(D34,RUC!$B$3:$B$578,RUC!$M$3:$M$578)</f>
        <v>Evelyn</v>
      </c>
      <c r="AO34" s="1167" t="s">
        <v>2278</v>
      </c>
      <c r="AP34" t="s">
        <v>3855</v>
      </c>
      <c r="AQ34" t="s">
        <v>4804</v>
      </c>
      <c r="AV34" s="1557" t="s">
        <v>2297</v>
      </c>
      <c r="AW34" s="703">
        <f t="shared" si="35"/>
        <v>0</v>
      </c>
      <c r="AY34" s="596">
        <f t="shared" si="36"/>
        <v>0</v>
      </c>
      <c r="BA34" s="1256">
        <f t="shared" si="37"/>
        <v>0</v>
      </c>
      <c r="BB34" s="1579" t="s">
        <v>3206</v>
      </c>
      <c r="BC34" s="1825">
        <f ca="1">-BC29-BC30+BC31+BC32+BC33</f>
        <v>-108.80999999999918</v>
      </c>
    </row>
    <row r="35" spans="1:55" ht="15" customHeight="1">
      <c r="A35" s="747" t="s">
        <v>4782</v>
      </c>
      <c r="B35" s="1447">
        <v>46080</v>
      </c>
      <c r="C35" s="1447">
        <v>46064</v>
      </c>
      <c r="D35" t="s">
        <v>1967</v>
      </c>
      <c r="E35" s="762">
        <f>_xlfn.XLOOKUP(D35,RUC!$B$3:$B$123,RUC!$D$3:$D$123)</f>
        <v>20601769396</v>
      </c>
      <c r="G35" s="762">
        <v>29</v>
      </c>
      <c r="H35" s="762" t="s">
        <v>2005</v>
      </c>
      <c r="I35" s="703">
        <v>2.81</v>
      </c>
      <c r="J35" s="596">
        <v>9.85</v>
      </c>
      <c r="K35" s="703">
        <f t="shared" si="38"/>
        <v>2.5329999999999999</v>
      </c>
      <c r="L35" s="1192">
        <v>0.19800000000000001</v>
      </c>
      <c r="M35" s="994">
        <f t="shared" si="32"/>
        <v>0.17899999999999999</v>
      </c>
      <c r="N35" s="1196">
        <f t="shared" si="30"/>
        <v>0.17899999999999999</v>
      </c>
      <c r="O35" s="1546">
        <v>0.20200000000000001</v>
      </c>
      <c r="P35" s="727">
        <v>82</v>
      </c>
      <c r="Q35" s="1476">
        <v>84.34</v>
      </c>
      <c r="R35" s="706">
        <v>5077.8500000000004</v>
      </c>
      <c r="S35" s="765">
        <f>IF((_xlfn.XLOOKUP(D35,RUC!$B$3:$B$119,RUC!$E$3:$E$119)+ROUNDDOWN(O35,1)*100)&lt;95,95,((_xlfn.XLOOKUP(D35,RUC!$B$3:$B$119,RUC!$E$3:$E$119)+ROUNDDOWN(O35,1)*100)))</f>
        <v>110</v>
      </c>
      <c r="U35" s="1146">
        <f>_xlfn.XLOOKUP(D35,RUC!$B$3:$B$123,RUC!$F$3:$F$123)</f>
        <v>120</v>
      </c>
      <c r="V35" s="715">
        <v>1.1023000000000001</v>
      </c>
      <c r="Y35" s="1445">
        <v>40</v>
      </c>
      <c r="Z35" s="143">
        <f>_xlfn.XLOOKUP(D35,RUC!$B$3:$B$123,RUC!$H$3:$H$123)</f>
        <v>30</v>
      </c>
      <c r="AA35" s="144">
        <f t="shared" si="39"/>
        <v>70</v>
      </c>
      <c r="AB35" s="145">
        <f t="shared" si="26"/>
        <v>706.81490343020016</v>
      </c>
      <c r="AC35" s="145">
        <f>+(S35-T35)*V35-'data 1'!$F$4</f>
        <v>41.253</v>
      </c>
      <c r="AD35" s="145">
        <f t="shared" si="40"/>
        <v>25.320614316426042</v>
      </c>
      <c r="AE35" s="145">
        <f t="shared" si="41"/>
        <v>7.1610000000000014</v>
      </c>
      <c r="AF35" s="145">
        <f t="shared" si="42"/>
        <v>-18.436852382348022</v>
      </c>
      <c r="AG35" s="772">
        <f t="shared" si="34"/>
        <v>72.297761934078025</v>
      </c>
      <c r="AH35" s="1253">
        <f t="shared" si="43"/>
        <v>14.503</v>
      </c>
      <c r="AI35" s="1253">
        <f t="shared" si="44"/>
        <v>17.195</v>
      </c>
      <c r="AJ35" s="156">
        <f t="shared" si="45"/>
        <v>-10.64883156222607</v>
      </c>
      <c r="AK35" s="156">
        <f t="shared" si="46"/>
        <v>14.384987236832867</v>
      </c>
      <c r="AM35" s="716">
        <f t="shared" si="47"/>
        <v>1790.362150388697</v>
      </c>
      <c r="AN35" s="716" t="str">
        <f>_xlfn.XLOOKUP(D35,RUC!$B$3:$B$578,RUC!$M$3:$M$578)</f>
        <v>Evelyn</v>
      </c>
      <c r="AO35" s="1167" t="s">
        <v>2278</v>
      </c>
      <c r="AP35" t="s">
        <v>3855</v>
      </c>
      <c r="AQ35" t="s">
        <v>4804</v>
      </c>
      <c r="AV35" s="1557" t="s">
        <v>2518</v>
      </c>
      <c r="AW35" s="703">
        <f t="shared" si="35"/>
        <v>0</v>
      </c>
      <c r="AY35" s="596">
        <f t="shared" si="36"/>
        <v>0</v>
      </c>
      <c r="BA35" s="1256">
        <f t="shared" si="37"/>
        <v>0</v>
      </c>
    </row>
    <row r="36" spans="1:55" ht="15" customHeight="1">
      <c r="A36" s="747" t="s">
        <v>4783</v>
      </c>
      <c r="B36" s="1447">
        <v>46080</v>
      </c>
      <c r="C36" s="1447">
        <v>46064</v>
      </c>
      <c r="D36" t="s">
        <v>1967</v>
      </c>
      <c r="E36" s="762">
        <f>_xlfn.XLOOKUP(D36,RUC!$B$3:$B$123,RUC!$D$3:$D$123)</f>
        <v>20601769396</v>
      </c>
      <c r="G36" s="762">
        <v>30</v>
      </c>
      <c r="H36" s="762" t="s">
        <v>2005</v>
      </c>
      <c r="I36" s="703">
        <v>2.63</v>
      </c>
      <c r="J36" s="596">
        <v>8.5500000000000007</v>
      </c>
      <c r="K36" s="703">
        <f t="shared" si="38"/>
        <v>2.4049999999999998</v>
      </c>
      <c r="L36" s="1192">
        <v>0.157</v>
      </c>
      <c r="M36" s="994">
        <f t="shared" si="32"/>
        <v>0.13800000000000001</v>
      </c>
      <c r="N36" s="1196">
        <f t="shared" si="30"/>
        <v>0.13800000000000001</v>
      </c>
      <c r="O36" s="645">
        <f t="shared" si="31"/>
        <v>0.13800000000000001</v>
      </c>
      <c r="P36" s="727">
        <v>82</v>
      </c>
      <c r="Q36" s="1476">
        <v>84.08</v>
      </c>
      <c r="R36" s="706">
        <v>5077.8500000000004</v>
      </c>
      <c r="S36" s="765">
        <f>IF((_xlfn.XLOOKUP(D36,RUC!$B$3:$B$119,RUC!$E$3:$E$119)+ROUNDDOWN(O36,1)*100)&lt;95,95,((_xlfn.XLOOKUP(D36,RUC!$B$3:$B$119,RUC!$E$3:$E$119)+ROUNDDOWN(O36,1)*100)))</f>
        <v>100</v>
      </c>
      <c r="U36" s="1146">
        <f>_xlfn.XLOOKUP(D36,RUC!$B$3:$B$123,RUC!$F$3:$F$123)</f>
        <v>120</v>
      </c>
      <c r="V36" s="715">
        <v>1.1023000000000001</v>
      </c>
      <c r="Y36" s="1445">
        <v>40</v>
      </c>
      <c r="Z36" s="143">
        <f>_xlfn.XLOOKUP(D36,RUC!$B$3:$B$123,RUC!$H$3:$H$123)</f>
        <v>30</v>
      </c>
      <c r="AA36" s="144">
        <f t="shared" si="39"/>
        <v>70</v>
      </c>
      <c r="AB36" s="145">
        <f t="shared" si="26"/>
        <v>431.03270630380013</v>
      </c>
      <c r="AC36" s="145">
        <f>+(S36-T36)*V36-'data 1'!$F$4</f>
        <v>30.230000000000004</v>
      </c>
      <c r="AD36" s="145">
        <f t="shared" si="40"/>
        <v>17.846628272407987</v>
      </c>
      <c r="AE36" s="145">
        <f t="shared" si="41"/>
        <v>7.1610000000000014</v>
      </c>
      <c r="AF36" s="145">
        <f t="shared" si="42"/>
        <v>87.305075936235951</v>
      </c>
      <c r="AG36" s="772">
        <f t="shared" si="34"/>
        <v>159.54270420864395</v>
      </c>
      <c r="AH36" s="1253">
        <f t="shared" si="43"/>
        <v>10.885</v>
      </c>
      <c r="AI36" s="1253">
        <f t="shared" si="44"/>
        <v>12.946</v>
      </c>
      <c r="AJ36" s="156">
        <f t="shared" si="45"/>
        <v>-8.4177403611080521</v>
      </c>
      <c r="AK36" s="156">
        <f t="shared" si="46"/>
        <v>9.3307615007298903</v>
      </c>
      <c r="AM36" s="716">
        <f t="shared" si="47"/>
        <v>1036.6336586606392</v>
      </c>
      <c r="AN36" s="716" t="str">
        <f>_xlfn.XLOOKUP(D36,RUC!$B$3:$B$578,RUC!$M$3:$M$578)</f>
        <v>Evelyn</v>
      </c>
      <c r="AO36" s="1167" t="s">
        <v>2278</v>
      </c>
      <c r="AP36" t="s">
        <v>3855</v>
      </c>
      <c r="AQ36" t="s">
        <v>4804</v>
      </c>
      <c r="AV36" s="1557" t="s">
        <v>2519</v>
      </c>
      <c r="AW36" s="703">
        <f t="shared" si="35"/>
        <v>0</v>
      </c>
      <c r="AY36" s="596">
        <f t="shared" si="36"/>
        <v>0</v>
      </c>
      <c r="BA36" s="1256">
        <f t="shared" si="37"/>
        <v>0</v>
      </c>
    </row>
    <row r="37" spans="1:55" ht="15" customHeight="1">
      <c r="A37" s="747" t="s">
        <v>4784</v>
      </c>
      <c r="B37" s="1447">
        <v>46080</v>
      </c>
      <c r="C37" s="1447">
        <v>46064</v>
      </c>
      <c r="D37" t="s">
        <v>1967</v>
      </c>
      <c r="E37" s="762">
        <f>_xlfn.XLOOKUP(D37,RUC!$B$3:$B$123,RUC!$D$3:$D$123)</f>
        <v>20601769396</v>
      </c>
      <c r="G37" s="762">
        <v>20</v>
      </c>
      <c r="H37" s="762" t="s">
        <v>2005</v>
      </c>
      <c r="I37" s="703">
        <v>1.85</v>
      </c>
      <c r="J37" s="596">
        <v>13.5</v>
      </c>
      <c r="K37" s="703">
        <f t="shared" si="38"/>
        <v>1.6</v>
      </c>
      <c r="L37" s="1192">
        <v>0.27900000000000003</v>
      </c>
      <c r="M37" s="994">
        <f t="shared" si="32"/>
        <v>0.26</v>
      </c>
      <c r="N37" s="1196">
        <f t="shared" si="30"/>
        <v>0.26</v>
      </c>
      <c r="O37" s="1669">
        <v>0.27700000000000002</v>
      </c>
      <c r="P37" s="727">
        <v>86</v>
      </c>
      <c r="Q37" s="1476">
        <v>88.53</v>
      </c>
      <c r="R37" s="706">
        <v>5077.8500000000004</v>
      </c>
      <c r="S37" s="765">
        <f>IF((_xlfn.XLOOKUP(D37,RUC!$B$3:$B$119,RUC!$E$3:$E$119)+ROUNDDOWN(O37,1)*100)&lt;95,95,((_xlfn.XLOOKUP(D37,RUC!$B$3:$B$119,RUC!$E$3:$E$119)+ROUNDDOWN(O37,1)*100)))</f>
        <v>110</v>
      </c>
      <c r="U37" s="1146">
        <f>_xlfn.XLOOKUP(D37,RUC!$B$3:$B$123,RUC!$F$3:$F$123)</f>
        <v>120</v>
      </c>
      <c r="V37" s="715">
        <v>1.1023000000000001</v>
      </c>
      <c r="Y37" s="1445">
        <v>40</v>
      </c>
      <c r="Z37" s="143">
        <f>_xlfn.XLOOKUP(D37,RUC!$B$3:$B$123,RUC!$H$3:$H$123)</f>
        <v>30</v>
      </c>
      <c r="AA37" s="144">
        <f t="shared" si="39"/>
        <v>70</v>
      </c>
      <c r="AB37" s="145">
        <f t="shared" si="26"/>
        <v>1103.4673654621004</v>
      </c>
      <c r="AC37" s="145">
        <f>+(S37-T37)*V37-'data 1'!$F$4</f>
        <v>41.253</v>
      </c>
      <c r="AD37" s="145">
        <f t="shared" si="40"/>
        <v>38.576064118828526</v>
      </c>
      <c r="AE37" s="145">
        <f t="shared" si="41"/>
        <v>7.1610000000000014</v>
      </c>
      <c r="AF37" s="145">
        <f t="shared" si="42"/>
        <v>9.6763963801830091</v>
      </c>
      <c r="AG37" s="772">
        <f t="shared" si="34"/>
        <v>113.66646049901152</v>
      </c>
      <c r="AH37" s="1253">
        <f t="shared" si="43"/>
        <v>13.55</v>
      </c>
      <c r="AI37" s="1253">
        <f t="shared" si="44"/>
        <v>15.305</v>
      </c>
      <c r="AJ37" s="156">
        <f t="shared" si="45"/>
        <v>-15.750626686528602</v>
      </c>
      <c r="AK37" s="156">
        <f t="shared" si="46"/>
        <v>13.067944226033603</v>
      </c>
      <c r="AM37" s="716">
        <f t="shared" si="47"/>
        <v>1765.5477847393606</v>
      </c>
      <c r="AN37" s="716" t="str">
        <f>_xlfn.XLOOKUP(D37,RUC!$B$3:$B$578,RUC!$M$3:$M$578)</f>
        <v>Evelyn</v>
      </c>
      <c r="AO37" s="1167" t="s">
        <v>2278</v>
      </c>
      <c r="AP37" t="s">
        <v>3855</v>
      </c>
      <c r="AQ37" t="s">
        <v>4804</v>
      </c>
      <c r="AV37" s="1557" t="s">
        <v>2520</v>
      </c>
      <c r="AW37" s="703">
        <f t="shared" si="35"/>
        <v>0</v>
      </c>
      <c r="AY37" s="596">
        <f t="shared" si="36"/>
        <v>0</v>
      </c>
      <c r="BA37" s="1256">
        <f t="shared" si="37"/>
        <v>0</v>
      </c>
    </row>
    <row r="38" spans="1:55" ht="15" customHeight="1" thickBot="1">
      <c r="A38" s="747" t="s">
        <v>4785</v>
      </c>
      <c r="B38" s="1447">
        <v>46080</v>
      </c>
      <c r="C38" s="1447">
        <v>46064</v>
      </c>
      <c r="D38" t="s">
        <v>1967</v>
      </c>
      <c r="E38" s="762">
        <f>_xlfn.XLOOKUP(D38,RUC!$B$3:$B$123,RUC!$D$3:$D$123)</f>
        <v>20601769396</v>
      </c>
      <c r="G38" s="762">
        <v>20</v>
      </c>
      <c r="H38" s="762" t="s">
        <v>2005</v>
      </c>
      <c r="I38" s="703">
        <v>1.85</v>
      </c>
      <c r="J38" s="596">
        <v>9.0500000000000007</v>
      </c>
      <c r="K38" s="703">
        <f t="shared" si="38"/>
        <v>1.6830000000000001</v>
      </c>
      <c r="L38" s="1192">
        <v>0.252</v>
      </c>
      <c r="M38" s="994">
        <f t="shared" si="32"/>
        <v>0.23300000000000001</v>
      </c>
      <c r="N38" s="1196">
        <f t="shared" si="30"/>
        <v>0.23300000000000001</v>
      </c>
      <c r="O38" s="645">
        <f t="shared" si="31"/>
        <v>0.23300000000000001</v>
      </c>
      <c r="P38" s="727">
        <v>86</v>
      </c>
      <c r="Q38" s="1476">
        <v>88.89</v>
      </c>
      <c r="R38" s="706">
        <v>5077.8500000000004</v>
      </c>
      <c r="S38" s="765">
        <f>IF((_xlfn.XLOOKUP(D38,RUC!$B$3:$B$119,RUC!$E$3:$E$119)+ROUNDDOWN(O38,1)*100)&lt;95,95,((_xlfn.XLOOKUP(D38,RUC!$B$3:$B$119,RUC!$E$3:$E$119)+ROUNDDOWN(O38,1)*100)))</f>
        <v>110</v>
      </c>
      <c r="U38" s="1146">
        <f>_xlfn.XLOOKUP(D38,RUC!$B$3:$B$123,RUC!$F$3:$F$123)</f>
        <v>120</v>
      </c>
      <c r="V38" s="715">
        <v>1.1023000000000001</v>
      </c>
      <c r="Y38" s="1445">
        <v>40</v>
      </c>
      <c r="Z38" s="143">
        <f>_xlfn.XLOOKUP(D38,RUC!$B$3:$B$123,RUC!$H$3:$H$123)</f>
        <v>30</v>
      </c>
      <c r="AA38" s="144">
        <f t="shared" si="39"/>
        <v>70</v>
      </c>
      <c r="AB38" s="145">
        <f t="shared" si="26"/>
        <v>896.67032546090013</v>
      </c>
      <c r="AC38" s="145">
        <f>+(S38-T38)*V38-'data 1'!$F$4</f>
        <v>41.253</v>
      </c>
      <c r="AD38" s="145">
        <f t="shared" si="40"/>
        <v>39.800779146954014</v>
      </c>
      <c r="AE38" s="145">
        <f t="shared" si="41"/>
        <v>7.1610000000000014</v>
      </c>
      <c r="AF38" s="145">
        <f t="shared" si="42"/>
        <v>92.299574214700442</v>
      </c>
      <c r="AG38" s="772">
        <f t="shared" si="34"/>
        <v>197.51435336165446</v>
      </c>
      <c r="AH38" s="1253">
        <f t="shared" si="43"/>
        <v>12.925000000000001</v>
      </c>
      <c r="AI38" s="1253">
        <f t="shared" si="44"/>
        <v>14.541</v>
      </c>
      <c r="AJ38" s="156">
        <f t="shared" si="45"/>
        <v>-14.284222870554091</v>
      </c>
      <c r="AK38" s="156">
        <f t="shared" si="46"/>
        <v>11.562388494703498</v>
      </c>
      <c r="AM38" s="716">
        <f t="shared" si="47"/>
        <v>1509.0961577506951</v>
      </c>
      <c r="AN38" s="716" t="str">
        <f>_xlfn.XLOOKUP(D38,RUC!$B$3:$B$578,RUC!$M$3:$M$578)</f>
        <v>Evelyn</v>
      </c>
      <c r="AO38" s="1167" t="s">
        <v>2278</v>
      </c>
      <c r="AP38" t="s">
        <v>3855</v>
      </c>
      <c r="AQ38" t="s">
        <v>4804</v>
      </c>
      <c r="AV38" s="1558" t="s">
        <v>2521</v>
      </c>
      <c r="AW38" s="1254">
        <f t="shared" si="35"/>
        <v>0</v>
      </c>
      <c r="AX38" s="1257"/>
      <c r="AY38" s="1242">
        <f t="shared" si="36"/>
        <v>0</v>
      </c>
      <c r="AZ38" s="1257"/>
      <c r="BA38" s="1258">
        <f t="shared" si="37"/>
        <v>0</v>
      </c>
    </row>
    <row r="39" spans="1:55" ht="15" customHeight="1">
      <c r="A39" s="747" t="s">
        <v>4786</v>
      </c>
      <c r="B39" s="1447">
        <v>46080</v>
      </c>
      <c r="C39" s="1447">
        <v>46064</v>
      </c>
      <c r="D39" t="s">
        <v>1967</v>
      </c>
      <c r="E39" s="762">
        <f>_xlfn.XLOOKUP(D39,RUC!$B$3:$B$123,RUC!$D$3:$D$123)</f>
        <v>20601769396</v>
      </c>
      <c r="G39" s="762">
        <v>12</v>
      </c>
      <c r="H39" s="762" t="s">
        <v>2005</v>
      </c>
      <c r="I39" s="703">
        <v>1.5</v>
      </c>
      <c r="J39" s="596">
        <v>8.0500000000000007</v>
      </c>
      <c r="K39" s="703">
        <f t="shared" si="38"/>
        <v>1.379</v>
      </c>
      <c r="L39" s="1192">
        <v>0.24299999999999999</v>
      </c>
      <c r="M39" s="994">
        <f t="shared" si="32"/>
        <v>0.224</v>
      </c>
      <c r="N39" s="1444">
        <v>0.32200000000000001</v>
      </c>
      <c r="O39" s="645">
        <f t="shared" si="31"/>
        <v>0.27300000000000002</v>
      </c>
      <c r="P39" s="727">
        <v>88</v>
      </c>
      <c r="Q39" s="1476">
        <v>90.95</v>
      </c>
      <c r="R39" s="706">
        <v>5077.8500000000004</v>
      </c>
      <c r="S39" s="765">
        <f>IF((_xlfn.XLOOKUP(D39,RUC!$B$3:$B$119,RUC!$E$3:$E$119)+ROUNDDOWN(O39,1)*100)&lt;95,95,((_xlfn.XLOOKUP(D39,RUC!$B$3:$B$119,RUC!$E$3:$E$119)+ROUNDDOWN(O39,1)*100)))</f>
        <v>110</v>
      </c>
      <c r="U39" s="1146">
        <f>_xlfn.XLOOKUP(D39,RUC!$B$3:$B$123,RUC!$F$3:$F$123)</f>
        <v>120</v>
      </c>
      <c r="V39" s="715">
        <v>1.1023000000000001</v>
      </c>
      <c r="Y39" s="1445">
        <v>40</v>
      </c>
      <c r="Z39" s="143">
        <f>_xlfn.XLOOKUP(D39,RUC!$B$3:$B$123,RUC!$H$3:$H$123)</f>
        <v>30</v>
      </c>
      <c r="AA39" s="144">
        <f t="shared" si="39"/>
        <v>70</v>
      </c>
      <c r="AB39" s="145">
        <f t="shared" si="26"/>
        <v>1114.5067423332002</v>
      </c>
      <c r="AC39" s="145">
        <f>+(S39-T39)*V39-'data 1'!$F$4</f>
        <v>41.253</v>
      </c>
      <c r="AD39" s="145">
        <f t="shared" si="40"/>
        <v>39.176125297267546</v>
      </c>
      <c r="AE39" s="145">
        <f t="shared" si="41"/>
        <v>7.1610000000000014</v>
      </c>
      <c r="AF39" s="145">
        <f t="shared" si="42"/>
        <v>-149.11356333067516</v>
      </c>
      <c r="AG39" s="772">
        <f t="shared" si="34"/>
        <v>-44.523438033407615</v>
      </c>
      <c r="AH39" s="1253">
        <f t="shared" si="43"/>
        <v>10.449</v>
      </c>
      <c r="AI39" s="1253">
        <f t="shared" si="44"/>
        <v>11.489000000000001</v>
      </c>
      <c r="AJ39" s="156">
        <f t="shared" si="45"/>
        <v>-14.093282183467588</v>
      </c>
      <c r="AK39" s="156">
        <f t="shared" si="46"/>
        <v>11.358439121057028</v>
      </c>
      <c r="AM39" s="716">
        <f t="shared" si="47"/>
        <v>1536.9047976774832</v>
      </c>
      <c r="AN39" s="716" t="str">
        <f>_xlfn.XLOOKUP(D39,RUC!$B$3:$B$578,RUC!$M$3:$M$578)</f>
        <v>Evelyn</v>
      </c>
      <c r="AO39" s="1167" t="s">
        <v>2278</v>
      </c>
      <c r="AP39" t="s">
        <v>3855</v>
      </c>
      <c r="AQ39" t="s">
        <v>4804</v>
      </c>
    </row>
    <row r="40" spans="1:55" ht="15" customHeight="1">
      <c r="A40" s="747" t="s">
        <v>4789</v>
      </c>
      <c r="B40" s="1447">
        <v>46073</v>
      </c>
      <c r="C40" s="1447">
        <v>46065</v>
      </c>
      <c r="D40" t="s">
        <v>1967</v>
      </c>
      <c r="E40" s="762">
        <f>_xlfn.XLOOKUP(D40,RUC!$B$3:$B$123,RUC!$D$3:$D$123)</f>
        <v>20601769396</v>
      </c>
      <c r="G40" s="1082">
        <v>30</v>
      </c>
      <c r="H40" s="762" t="s">
        <v>2005</v>
      </c>
      <c r="I40" s="703">
        <v>2.5299999999999998</v>
      </c>
      <c r="J40" s="596">
        <v>17.7</v>
      </c>
      <c r="K40" s="703">
        <f t="shared" si="38"/>
        <v>2.0819999999999999</v>
      </c>
      <c r="L40" s="1192">
        <v>0.53800000000000003</v>
      </c>
      <c r="M40" s="994">
        <f t="shared" si="32"/>
        <v>0.50600000000000001</v>
      </c>
      <c r="N40" s="1196">
        <f t="shared" ref="N40:N51" si="48">+M40</f>
        <v>0.50600000000000001</v>
      </c>
      <c r="O40" s="645">
        <f t="shared" si="31"/>
        <v>0.50600000000000001</v>
      </c>
      <c r="P40" s="727">
        <v>90</v>
      </c>
      <c r="Q40" s="1476">
        <v>96.655000000000001</v>
      </c>
      <c r="R40" s="706">
        <v>5043.1499999999996</v>
      </c>
      <c r="S40" s="765">
        <f>IF((_xlfn.XLOOKUP(D40,RUC!$B$3:$B$119,RUC!$E$3:$E$119)+ROUNDDOWN(O40,1)*100)&lt;95,95,((_xlfn.XLOOKUP(D40,RUC!$B$3:$B$119,RUC!$E$3:$E$119)+ROUNDDOWN(O40,1)*100)))</f>
        <v>140</v>
      </c>
      <c r="U40" s="1146">
        <f>_xlfn.XLOOKUP(D40,RUC!$B$3:$B$123,RUC!$F$3:$F$123)</f>
        <v>120</v>
      </c>
      <c r="V40" s="715">
        <v>1.1023000000000001</v>
      </c>
      <c r="Y40">
        <f>_xlfn.XLOOKUP(D40,RUC!$B$3:$B$123,RUC!$G$3:$G$123)</f>
        <v>20</v>
      </c>
      <c r="Z40" s="143">
        <f>_xlfn.XLOOKUP(D40,RUC!$B$3:$B$123,RUC!$H$3:$H$123)</f>
        <v>30</v>
      </c>
      <c r="AA40" s="144">
        <f t="shared" si="39"/>
        <v>50</v>
      </c>
      <c r="AB40" s="145">
        <f t="shared" si="26"/>
        <v>2261.9223667729998</v>
      </c>
      <c r="AC40" s="145">
        <f>+(S40-T40)*V40-'data 1'!$F$4</f>
        <v>74.322000000000003</v>
      </c>
      <c r="AD40" s="145">
        <f t="shared" si="40"/>
        <v>194.30018364515553</v>
      </c>
      <c r="AE40" s="145">
        <f t="shared" si="41"/>
        <v>-14.884999999999998</v>
      </c>
      <c r="AF40" s="145">
        <f t="shared" si="42"/>
        <v>167.84838970255217</v>
      </c>
      <c r="AG40" s="772">
        <f t="shared" si="34"/>
        <v>438.58557334770774</v>
      </c>
      <c r="AH40" s="1253">
        <f t="shared" si="43"/>
        <v>37.119</v>
      </c>
      <c r="AI40" s="1253">
        <f t="shared" si="44"/>
        <v>38.404000000000003</v>
      </c>
      <c r="AJ40" s="156">
        <f t="shared" si="45"/>
        <v>-13.269586921155295</v>
      </c>
      <c r="AK40" s="156">
        <f t="shared" si="46"/>
        <v>32.507443824813535</v>
      </c>
      <c r="AM40" s="716">
        <f t="shared" si="47"/>
        <v>4709.3223676213856</v>
      </c>
      <c r="AN40" s="716" t="str">
        <f>_xlfn.XLOOKUP(D40,RUC!$B$3:$B$578,RUC!$M$3:$M$578)</f>
        <v>Evelyn</v>
      </c>
      <c r="AO40" s="1167" t="s">
        <v>2278</v>
      </c>
      <c r="AP40" t="s">
        <v>4327</v>
      </c>
      <c r="AQ40" t="s">
        <v>2452</v>
      </c>
    </row>
    <row r="41" spans="1:55" ht="15" customHeight="1">
      <c r="A41" s="747" t="s">
        <v>4790</v>
      </c>
      <c r="B41" s="1447">
        <v>46073</v>
      </c>
      <c r="C41" s="1447">
        <v>46065</v>
      </c>
      <c r="D41" t="s">
        <v>1967</v>
      </c>
      <c r="E41" s="762">
        <f>_xlfn.XLOOKUP(D41,RUC!$B$3:$B$123,RUC!$D$3:$D$123)</f>
        <v>20601769396</v>
      </c>
      <c r="G41" s="1082">
        <v>35</v>
      </c>
      <c r="H41" s="762" t="s">
        <v>2005</v>
      </c>
      <c r="I41" s="703">
        <v>2.92</v>
      </c>
      <c r="J41" s="596">
        <v>18.5</v>
      </c>
      <c r="K41" s="703">
        <f t="shared" si="38"/>
        <v>2.38</v>
      </c>
      <c r="L41" s="1192">
        <v>0.58299999999999996</v>
      </c>
      <c r="M41" s="994">
        <f t="shared" si="32"/>
        <v>0.54800000000000004</v>
      </c>
      <c r="N41" s="1196">
        <f t="shared" si="48"/>
        <v>0.54800000000000004</v>
      </c>
      <c r="O41" s="645">
        <f t="shared" si="31"/>
        <v>0.54800000000000004</v>
      </c>
      <c r="P41" s="727">
        <v>90</v>
      </c>
      <c r="Q41" s="1476">
        <v>96.74</v>
      </c>
      <c r="R41" s="706">
        <v>5043.1499999999996</v>
      </c>
      <c r="S41" s="765">
        <f>IF((_xlfn.XLOOKUP(D41,RUC!$B$3:$B$119,RUC!$E$3:$E$119)+ROUNDDOWN(O41,1)*100)&lt;95,95,((_xlfn.XLOOKUP(D41,RUC!$B$3:$B$119,RUC!$E$3:$E$119)+ROUNDDOWN(O41,1)*100)))</f>
        <v>140</v>
      </c>
      <c r="U41" s="1146">
        <f>_xlfn.XLOOKUP(D41,RUC!$B$3:$B$123,RUC!$F$3:$F$123)</f>
        <v>120</v>
      </c>
      <c r="V41" s="715">
        <v>1.1023000000000001</v>
      </c>
      <c r="Y41">
        <f>_xlfn.XLOOKUP(D41,RUC!$B$3:$B$123,RUC!$G$3:$G$123)</f>
        <v>20</v>
      </c>
      <c r="Z41" s="143">
        <f>_xlfn.XLOOKUP(D41,RUC!$B$3:$B$123,RUC!$H$3:$H$123)</f>
        <v>30</v>
      </c>
      <c r="AA41" s="144">
        <f t="shared" si="39"/>
        <v>50</v>
      </c>
      <c r="AB41" s="145">
        <f t="shared" si="26"/>
        <v>2467.0549624340001</v>
      </c>
      <c r="AC41" s="145">
        <f>+(S41-T41)*V41-'data 1'!$F$4</f>
        <v>74.322000000000003</v>
      </c>
      <c r="AD41" s="145">
        <f t="shared" si="40"/>
        <v>213.24130265667884</v>
      </c>
      <c r="AE41" s="145">
        <f t="shared" si="41"/>
        <v>-14.884999999999998</v>
      </c>
      <c r="AF41" s="145">
        <f t="shared" si="42"/>
        <v>183.74562318745456</v>
      </c>
      <c r="AG41" s="772">
        <f t="shared" si="34"/>
        <v>473.42392584413346</v>
      </c>
      <c r="AH41" s="1253">
        <f t="shared" si="43"/>
        <v>46.021000000000001</v>
      </c>
      <c r="AI41" s="1253">
        <f t="shared" si="44"/>
        <v>47.572000000000003</v>
      </c>
      <c r="AJ41" s="156">
        <f t="shared" si="45"/>
        <v>-14.392142174178773</v>
      </c>
      <c r="AK41" s="156">
        <f t="shared" si="46"/>
        <v>40.244737059298799</v>
      </c>
      <c r="AM41" s="716">
        <f t="shared" si="47"/>
        <v>5871.5908105929202</v>
      </c>
      <c r="AN41" s="716" t="str">
        <f>_xlfn.XLOOKUP(D41,RUC!$B$3:$B$578,RUC!$M$3:$M$578)</f>
        <v>Evelyn</v>
      </c>
      <c r="AO41" s="1167" t="s">
        <v>2278</v>
      </c>
      <c r="AP41" t="s">
        <v>4327</v>
      </c>
      <c r="AQ41" t="s">
        <v>2452</v>
      </c>
    </row>
    <row r="42" spans="1:55" ht="15" customHeight="1">
      <c r="A42" s="747" t="s">
        <v>4791</v>
      </c>
      <c r="B42" s="1447">
        <v>46073</v>
      </c>
      <c r="C42" s="1447">
        <v>46065</v>
      </c>
      <c r="D42" t="s">
        <v>1967</v>
      </c>
      <c r="E42" s="762">
        <f>_xlfn.XLOOKUP(D42,RUC!$B$3:$B$123,RUC!$D$3:$D$123)</f>
        <v>20601769396</v>
      </c>
      <c r="G42" s="1082">
        <v>36</v>
      </c>
      <c r="H42" s="762" t="s">
        <v>2005</v>
      </c>
      <c r="I42" s="703">
        <v>3.04</v>
      </c>
      <c r="J42" s="596">
        <v>15</v>
      </c>
      <c r="K42" s="703">
        <f t="shared" si="38"/>
        <v>2.5840000000000001</v>
      </c>
      <c r="L42" s="1192">
        <v>0.60399999999999998</v>
      </c>
      <c r="M42" s="994">
        <f t="shared" si="32"/>
        <v>0.56799999999999995</v>
      </c>
      <c r="N42" s="1196">
        <f t="shared" si="48"/>
        <v>0.56799999999999995</v>
      </c>
      <c r="O42" s="645">
        <f t="shared" si="31"/>
        <v>0.56799999999999995</v>
      </c>
      <c r="P42" s="727">
        <v>90</v>
      </c>
      <c r="Q42" s="1476">
        <v>96.69</v>
      </c>
      <c r="R42" s="706">
        <v>5043.1499999999996</v>
      </c>
      <c r="S42" s="765">
        <f>IF((_xlfn.XLOOKUP(D42,RUC!$B$3:$B$119,RUC!$E$3:$E$119)+ROUNDDOWN(O42,1)*100)&lt;95,95,((_xlfn.XLOOKUP(D42,RUC!$B$3:$B$119,RUC!$E$3:$E$119)+ROUNDDOWN(O42,1)*100)))</f>
        <v>140</v>
      </c>
      <c r="U42" s="1146">
        <f>_xlfn.XLOOKUP(D42,RUC!$B$3:$B$123,RUC!$F$3:$F$123)</f>
        <v>120</v>
      </c>
      <c r="V42" s="715">
        <v>1.1023000000000001</v>
      </c>
      <c r="Y42">
        <f>_xlfn.XLOOKUP(D42,RUC!$B$3:$B$123,RUC!$G$3:$G$123)</f>
        <v>20</v>
      </c>
      <c r="Z42" s="143">
        <f>_xlfn.XLOOKUP(D42,RUC!$B$3:$B$123,RUC!$H$3:$H$123)</f>
        <v>30</v>
      </c>
      <c r="AA42" s="144">
        <f t="shared" si="39"/>
        <v>50</v>
      </c>
      <c r="AB42" s="145">
        <f t="shared" si="26"/>
        <v>2564.7371508439996</v>
      </c>
      <c r="AC42" s="145">
        <f>+(S42-T42)*V42-'data 1'!$F$4</f>
        <v>74.322000000000003</v>
      </c>
      <c r="AD42" s="145">
        <f t="shared" si="40"/>
        <v>219.28348868866189</v>
      </c>
      <c r="AE42" s="145">
        <f t="shared" si="41"/>
        <v>-14.884999999999998</v>
      </c>
      <c r="AF42" s="145">
        <f t="shared" si="42"/>
        <v>188.89781594725818</v>
      </c>
      <c r="AG42" s="772">
        <f t="shared" si="34"/>
        <v>484.61830463592014</v>
      </c>
      <c r="AH42" s="1253">
        <f t="shared" si="43"/>
        <v>51.738999999999997</v>
      </c>
      <c r="AI42" s="1253">
        <f t="shared" si="44"/>
        <v>53.51</v>
      </c>
      <c r="AJ42" s="156">
        <f t="shared" si="45"/>
        <v>-14.902849018661763</v>
      </c>
      <c r="AK42" s="156">
        <f t="shared" si="46"/>
        <v>45.288967919077443</v>
      </c>
      <c r="AM42" s="716">
        <f t="shared" si="47"/>
        <v>6627.2807977808952</v>
      </c>
      <c r="AN42" s="716" t="str">
        <f>_xlfn.XLOOKUP(D42,RUC!$B$3:$B$578,RUC!$M$3:$M$578)</f>
        <v>Evelyn</v>
      </c>
      <c r="AO42" s="1167" t="s">
        <v>2278</v>
      </c>
      <c r="AP42" t="s">
        <v>4327</v>
      </c>
      <c r="AQ42" t="s">
        <v>2452</v>
      </c>
    </row>
    <row r="43" spans="1:55" ht="15" customHeight="1">
      <c r="A43" s="747" t="s">
        <v>4794</v>
      </c>
      <c r="B43" s="1447">
        <v>46073</v>
      </c>
      <c r="C43" s="1447">
        <v>46067</v>
      </c>
      <c r="D43" s="1676" t="s">
        <v>4171</v>
      </c>
      <c r="E43" s="762">
        <f>_xlfn.XLOOKUP(D43,RUC!$B$3:$B$123,RUC!$D$3:$D$123)</f>
        <v>20614284740</v>
      </c>
      <c r="G43" s="1082">
        <v>19</v>
      </c>
      <c r="H43" s="762" t="s">
        <v>69</v>
      </c>
      <c r="I43" s="703">
        <v>1.43</v>
      </c>
      <c r="J43" s="596">
        <v>3.7</v>
      </c>
      <c r="K43" s="703">
        <f t="shared" si="38"/>
        <v>1.377</v>
      </c>
      <c r="L43" s="1192">
        <v>0.73199999999999998</v>
      </c>
      <c r="M43" s="994">
        <f t="shared" si="32"/>
        <v>0.68799999999999994</v>
      </c>
      <c r="N43" s="1196">
        <f t="shared" si="48"/>
        <v>0.68799999999999994</v>
      </c>
      <c r="O43" s="645">
        <f t="shared" si="31"/>
        <v>0.68799999999999994</v>
      </c>
      <c r="P43" s="727">
        <v>90</v>
      </c>
      <c r="Q43" s="1476">
        <v>97.265000000000001</v>
      </c>
      <c r="R43" s="706">
        <v>4994.95</v>
      </c>
      <c r="S43" s="765">
        <f>IF((_xlfn.XLOOKUP(D43,RUC!$B$3:$B$119,RUC!$E$3:$E$119)+ROUNDDOWN(O43,1)*100)&lt;95,95,((_xlfn.XLOOKUP(D43,RUC!$B$3:$B$119,RUC!$E$3:$E$119)+ROUNDDOWN(O43,1)*100)))</f>
        <v>150</v>
      </c>
      <c r="U43" s="1146">
        <f>_xlfn.XLOOKUP(D43,RUC!$B$3:$B$123,RUC!$F$3:$F$123)</f>
        <v>120</v>
      </c>
      <c r="V43" s="715">
        <v>1.1023000000000001</v>
      </c>
      <c r="Y43">
        <f>_xlfn.XLOOKUP(D43,RUC!$B$3:$B$123,RUC!$G$3:$G$123)</f>
        <v>20</v>
      </c>
      <c r="Z43" s="143">
        <f>_xlfn.XLOOKUP(D43,RUC!$B$3:$B$123,RUC!$H$3:$H$123)</f>
        <v>30</v>
      </c>
      <c r="AA43" s="144">
        <f t="shared" si="39"/>
        <v>50</v>
      </c>
      <c r="AB43" s="145">
        <f t="shared" si="26"/>
        <v>3106.9086527919999</v>
      </c>
      <c r="AC43" s="145">
        <f>+(S43-T43)*V43-'data 1'!$F$4</f>
        <v>85.344999999999999</v>
      </c>
      <c r="AD43" s="145">
        <f t="shared" si="40"/>
        <v>285.77002500282299</v>
      </c>
      <c r="AE43" s="145">
        <f t="shared" si="41"/>
        <v>-14.884999999999998</v>
      </c>
      <c r="AF43" s="145">
        <f t="shared" si="42"/>
        <v>229.97426564289123</v>
      </c>
      <c r="AG43" s="772">
        <f t="shared" si="34"/>
        <v>603.20429064571431</v>
      </c>
      <c r="AH43" s="1253">
        <f t="shared" si="43"/>
        <v>33.613</v>
      </c>
      <c r="AI43" s="1253">
        <f t="shared" si="44"/>
        <v>34.558</v>
      </c>
      <c r="AJ43" s="156">
        <f t="shared" si="45"/>
        <v>19.659624105177144</v>
      </c>
      <c r="AK43" s="156">
        <f t="shared" si="46"/>
        <v>29.233038410331122</v>
      </c>
      <c r="AM43" s="716">
        <f t="shared" si="47"/>
        <v>4278.2132148945839</v>
      </c>
      <c r="AN43" s="716" t="str">
        <f>_xlfn.XLOOKUP(D43,RUC!$B$3:$B$578,RUC!$M$3:$M$578)</f>
        <v xml:space="preserve">Dante </v>
      </c>
      <c r="AO43" s="1167" t="s">
        <v>2277</v>
      </c>
      <c r="AP43" t="s">
        <v>3737</v>
      </c>
      <c r="AQ43" t="s">
        <v>3795</v>
      </c>
    </row>
    <row r="44" spans="1:55" ht="15" customHeight="1">
      <c r="A44" s="747" t="s">
        <v>4795</v>
      </c>
      <c r="B44" s="1447">
        <v>46073</v>
      </c>
      <c r="C44" s="1447">
        <v>46067</v>
      </c>
      <c r="D44" s="1676" t="s">
        <v>4171</v>
      </c>
      <c r="E44" s="762">
        <f>_xlfn.XLOOKUP(D44,RUC!$B$3:$B$123,RUC!$D$3:$D$123)</f>
        <v>20614284740</v>
      </c>
      <c r="G44" s="1082">
        <v>105</v>
      </c>
      <c r="H44" s="762" t="s">
        <v>69</v>
      </c>
      <c r="I44" s="703">
        <v>8.26</v>
      </c>
      <c r="J44" s="596">
        <v>2.75</v>
      </c>
      <c r="K44" s="703">
        <f t="shared" si="38"/>
        <v>8.0329999999999995</v>
      </c>
      <c r="L44" s="1192">
        <v>0.15</v>
      </c>
      <c r="M44" s="994">
        <f t="shared" si="32"/>
        <v>0.13100000000000001</v>
      </c>
      <c r="N44" s="1196">
        <f t="shared" si="48"/>
        <v>0.13100000000000001</v>
      </c>
      <c r="O44" s="645">
        <f t="shared" si="31"/>
        <v>0.13100000000000001</v>
      </c>
      <c r="P44" s="727">
        <v>85</v>
      </c>
      <c r="Q44" s="1476">
        <v>95.67</v>
      </c>
      <c r="R44" s="706">
        <v>4994.95</v>
      </c>
      <c r="S44" s="765">
        <f>IF((_xlfn.XLOOKUP(D44,RUC!$B$3:$B$119,RUC!$E$3:$E$119)+ROUNDDOWN(O44,1)*100)&lt;95,95,((_xlfn.XLOOKUP(D44,RUC!$B$3:$B$119,RUC!$E$3:$E$119)+ROUNDDOWN(O44,1)*100)))</f>
        <v>100</v>
      </c>
      <c r="U44" s="1146">
        <f>_xlfn.XLOOKUP(D44,RUC!$B$3:$B$123,RUC!$F$3:$F$123)</f>
        <v>120</v>
      </c>
      <c r="V44" s="715">
        <v>1.1023000000000001</v>
      </c>
      <c r="Y44">
        <f>_xlfn.XLOOKUP(D44,RUC!$B$3:$B$123,RUC!$G$3:$G$123)</f>
        <v>20</v>
      </c>
      <c r="Z44" s="143">
        <f>_xlfn.XLOOKUP(D44,RUC!$B$3:$B$123,RUC!$H$3:$H$123)</f>
        <v>30</v>
      </c>
      <c r="AA44" s="144">
        <f t="shared" si="39"/>
        <v>50</v>
      </c>
      <c r="AB44" s="145">
        <f t="shared" si="26"/>
        <v>433.01174981974998</v>
      </c>
      <c r="AC44" s="145">
        <f>+(S44-T44)*V44-'data 1'!$F$4</f>
        <v>30.230000000000004</v>
      </c>
      <c r="AD44" s="145">
        <f t="shared" si="40"/>
        <v>86.005386446925002</v>
      </c>
      <c r="AE44" s="145">
        <f t="shared" si="41"/>
        <v>-14.884999999999998</v>
      </c>
      <c r="AF44" s="145">
        <f t="shared" si="42"/>
        <v>97.678582384360453</v>
      </c>
      <c r="AG44" s="772">
        <f t="shared" si="34"/>
        <v>216.02896883128545</v>
      </c>
      <c r="AH44" s="1253">
        <f t="shared" si="43"/>
        <v>39.523000000000003</v>
      </c>
      <c r="AI44" s="1253">
        <f t="shared" si="44"/>
        <v>41.311999999999998</v>
      </c>
      <c r="AJ44" s="156">
        <f t="shared" si="45"/>
        <v>3.9625483155750283</v>
      </c>
      <c r="AK44" s="156">
        <f t="shared" si="46"/>
        <v>30.667407047599124</v>
      </c>
      <c r="AM44" s="716">
        <f t="shared" si="47"/>
        <v>3478.3833863020513</v>
      </c>
      <c r="AN44" s="716" t="str">
        <f>_xlfn.XLOOKUP(D44,RUC!$B$3:$B$578,RUC!$M$3:$M$578)</f>
        <v xml:space="preserve">Dante </v>
      </c>
      <c r="AO44" s="1167" t="s">
        <v>2277</v>
      </c>
      <c r="AP44" t="s">
        <v>3737</v>
      </c>
      <c r="AQ44" t="s">
        <v>3795</v>
      </c>
    </row>
    <row r="45" spans="1:55" ht="15" customHeight="1">
      <c r="A45" s="747" t="s">
        <v>4796</v>
      </c>
      <c r="B45" s="1447">
        <v>46073</v>
      </c>
      <c r="C45" s="1447">
        <v>46067</v>
      </c>
      <c r="D45" s="1676" t="s">
        <v>4171</v>
      </c>
      <c r="E45" s="762">
        <f>_xlfn.XLOOKUP(D45,RUC!$B$3:$B$123,RUC!$D$3:$D$123)</f>
        <v>20614284740</v>
      </c>
      <c r="G45" s="1082">
        <v>28</v>
      </c>
      <c r="H45" s="762" t="s">
        <v>108</v>
      </c>
      <c r="I45" s="703">
        <v>1.75</v>
      </c>
      <c r="J45" s="596">
        <v>2.1</v>
      </c>
      <c r="K45" s="703">
        <f t="shared" si="38"/>
        <v>1.7130000000000001</v>
      </c>
      <c r="L45" s="1192">
        <v>0.33700000000000002</v>
      </c>
      <c r="M45" s="994">
        <f t="shared" si="32"/>
        <v>0.317</v>
      </c>
      <c r="N45" s="1196">
        <f t="shared" si="48"/>
        <v>0.317</v>
      </c>
      <c r="O45" s="645">
        <f t="shared" si="31"/>
        <v>0.317</v>
      </c>
      <c r="P45" s="727">
        <v>90</v>
      </c>
      <c r="Q45" s="1476">
        <v>94.07</v>
      </c>
      <c r="R45" s="706">
        <v>4994.95</v>
      </c>
      <c r="S45" s="765">
        <f>IF((_xlfn.XLOOKUP(D45,RUC!$B$3:$B$119,RUC!$E$3:$E$119)+ROUNDDOWN(O45,1)*100)&lt;95,95,((_xlfn.XLOOKUP(D45,RUC!$B$3:$B$119,RUC!$E$3:$E$119)+ROUNDDOWN(O45,1)*100)))</f>
        <v>120</v>
      </c>
      <c r="U45" s="1146">
        <f>_xlfn.XLOOKUP(D45,RUC!$B$3:$B$123,RUC!$F$3:$F$123)</f>
        <v>120</v>
      </c>
      <c r="V45" s="715">
        <v>1.1023000000000001</v>
      </c>
      <c r="Y45">
        <f>_xlfn.XLOOKUP(D45,RUC!$B$3:$B$123,RUC!$G$3:$G$123)</f>
        <v>20</v>
      </c>
      <c r="Z45" s="143">
        <f>_xlfn.XLOOKUP(D45,RUC!$B$3:$B$123,RUC!$H$3:$H$123)</f>
        <v>30</v>
      </c>
      <c r="AA45" s="144">
        <f t="shared" si="39"/>
        <v>50</v>
      </c>
      <c r="AB45" s="145">
        <f t="shared" si="26"/>
        <v>1345.7134519405001</v>
      </c>
      <c r="AC45" s="145">
        <f>+(S45-T45)*V45-'data 1'!$F$4</f>
        <v>52.27600000000001</v>
      </c>
      <c r="AD45" s="145">
        <f t="shared" si="40"/>
        <v>73.704547326921386</v>
      </c>
      <c r="AE45" s="145">
        <f t="shared" si="41"/>
        <v>-14.884999999999998</v>
      </c>
      <c r="AF45" s="145">
        <f t="shared" si="42"/>
        <v>101.09999004139009</v>
      </c>
      <c r="AG45" s="772">
        <f t="shared" si="34"/>
        <v>229.19553736831148</v>
      </c>
      <c r="AH45" s="1253">
        <f t="shared" si="43"/>
        <v>18.619</v>
      </c>
      <c r="AI45" s="1253">
        <f t="shared" si="44"/>
        <v>19.792000000000002</v>
      </c>
      <c r="AJ45" s="156">
        <f t="shared" si="45"/>
        <v>8.7536379955785648</v>
      </c>
      <c r="AK45" s="156">
        <f t="shared" si="46"/>
        <v>16.755917133869147</v>
      </c>
      <c r="AM45" s="716">
        <f t="shared" si="47"/>
        <v>2305.2071431740769</v>
      </c>
      <c r="AN45" s="716" t="str">
        <f>_xlfn.XLOOKUP(D45,RUC!$B$3:$B$578,RUC!$M$3:$M$578)</f>
        <v xml:space="preserve">Dante </v>
      </c>
      <c r="AO45" s="1167" t="s">
        <v>2277</v>
      </c>
      <c r="AP45" t="s">
        <v>3737</v>
      </c>
      <c r="AQ45" t="s">
        <v>3795</v>
      </c>
    </row>
    <row r="46" spans="1:55" ht="15" customHeight="1">
      <c r="A46" s="747" t="s">
        <v>4797</v>
      </c>
      <c r="B46" s="1447">
        <v>46073</v>
      </c>
      <c r="C46" s="1447">
        <v>46067</v>
      </c>
      <c r="D46" s="1676" t="s">
        <v>4171</v>
      </c>
      <c r="E46" s="762">
        <f>_xlfn.XLOOKUP(D46,RUC!$B$3:$B$123,RUC!$D$3:$D$123)</f>
        <v>20614284740</v>
      </c>
      <c r="G46" s="1082">
        <v>41</v>
      </c>
      <c r="H46" s="762" t="s">
        <v>69</v>
      </c>
      <c r="I46" s="703">
        <v>2.88</v>
      </c>
      <c r="J46" s="596">
        <v>2.2000000000000002</v>
      </c>
      <c r="K46" s="703">
        <f t="shared" si="38"/>
        <v>2.8170000000000002</v>
      </c>
      <c r="L46" s="1192">
        <v>1.258</v>
      </c>
      <c r="M46" s="994">
        <f t="shared" si="32"/>
        <v>1.1830000000000001</v>
      </c>
      <c r="N46" s="1444">
        <v>1.234</v>
      </c>
      <c r="O46" s="645">
        <f t="shared" si="31"/>
        <v>1.2090000000000001</v>
      </c>
      <c r="P46" s="727">
        <v>90</v>
      </c>
      <c r="Q46" s="1476">
        <v>97.18</v>
      </c>
      <c r="R46" s="706">
        <v>4994.95</v>
      </c>
      <c r="S46" s="765">
        <f>IF((_xlfn.XLOOKUP(D46,RUC!$B$3:$B$119,RUC!$E$3:$E$119)+ROUNDDOWN(O46,1)*100)&lt;95,95,((_xlfn.XLOOKUP(D46,RUC!$B$3:$B$119,RUC!$E$3:$E$119)+ROUNDDOWN(O46,1)*100)))</f>
        <v>210</v>
      </c>
      <c r="U46" s="1146">
        <f>_xlfn.XLOOKUP(D46,RUC!$B$3:$B$123,RUC!$F$3:$F$123)</f>
        <v>120</v>
      </c>
      <c r="V46" s="715">
        <v>1.1023000000000001</v>
      </c>
      <c r="Y46">
        <f>_xlfn.XLOOKUP(D46,RUC!$B$3:$B$123,RUC!$G$3:$G$123)</f>
        <v>20</v>
      </c>
      <c r="Z46" s="143">
        <f>_xlfn.XLOOKUP(D46,RUC!$B$3:$B$123,RUC!$H$3:$H$123)</f>
        <v>30</v>
      </c>
      <c r="AA46" s="144">
        <f t="shared" si="39"/>
        <v>50</v>
      </c>
      <c r="AB46" s="145">
        <f t="shared" si="26"/>
        <v>5560.4786006184995</v>
      </c>
      <c r="AC46" s="145">
        <f>+(S46-T46)*V46-'data 1'!$F$4</f>
        <v>151.483</v>
      </c>
      <c r="AD46" s="145">
        <f t="shared" si="40"/>
        <v>485.37237910569451</v>
      </c>
      <c r="AE46" s="145">
        <f t="shared" si="41"/>
        <v>-14.884999999999998</v>
      </c>
      <c r="AF46" s="145">
        <f t="shared" si="42"/>
        <v>255.88389209040662</v>
      </c>
      <c r="AG46" s="772">
        <f t="shared" si="34"/>
        <v>894.85427119610108</v>
      </c>
      <c r="AH46" s="1253">
        <f t="shared" si="43"/>
        <v>118.074</v>
      </c>
      <c r="AI46" s="1253">
        <f t="shared" si="44"/>
        <v>121.5</v>
      </c>
      <c r="AJ46" s="156">
        <f t="shared" si="45"/>
        <v>33.757095585306253</v>
      </c>
      <c r="AK46" s="156">
        <f t="shared" si="46"/>
        <v>105.0908068867065</v>
      </c>
      <c r="AM46" s="716">
        <f t="shared" si="47"/>
        <v>15663.868217942314</v>
      </c>
      <c r="AN46" s="716" t="str">
        <f>_xlfn.XLOOKUP(D46,RUC!$B$3:$B$578,RUC!$M$3:$M$578)</f>
        <v xml:space="preserve">Dante </v>
      </c>
      <c r="AO46" s="1167" t="s">
        <v>2277</v>
      </c>
      <c r="AP46" t="s">
        <v>3737</v>
      </c>
      <c r="AQ46" t="s">
        <v>3795</v>
      </c>
    </row>
    <row r="47" spans="1:55" ht="15" customHeight="1">
      <c r="A47" s="747" t="s">
        <v>4798</v>
      </c>
      <c r="B47" s="1447">
        <v>46072</v>
      </c>
      <c r="C47" s="1447">
        <v>46067</v>
      </c>
      <c r="D47" s="1676" t="s">
        <v>4198</v>
      </c>
      <c r="E47" s="762" t="str">
        <f>_xlfn.XLOOKUP(D47,RUC!$B$3:$B$123,RUC!$D$3:$D$123)</f>
        <v>20614284740*</v>
      </c>
      <c r="G47" s="1082">
        <v>14</v>
      </c>
      <c r="H47" s="762" t="s">
        <v>69</v>
      </c>
      <c r="I47" s="703">
        <v>1.1499999999999999</v>
      </c>
      <c r="J47" s="596">
        <v>2.15</v>
      </c>
      <c r="K47" s="703">
        <f t="shared" si="38"/>
        <v>1.125</v>
      </c>
      <c r="L47" s="1192">
        <v>0.46700000000000003</v>
      </c>
      <c r="M47" s="994">
        <f t="shared" si="32"/>
        <v>0.439</v>
      </c>
      <c r="N47" s="1196">
        <f t="shared" si="48"/>
        <v>0.439</v>
      </c>
      <c r="O47" s="645">
        <f t="shared" si="31"/>
        <v>0.439</v>
      </c>
      <c r="P47" s="727">
        <v>90</v>
      </c>
      <c r="Q47" s="1476">
        <v>91.65</v>
      </c>
      <c r="R47" s="706">
        <v>4994.95</v>
      </c>
      <c r="S47" s="765">
        <f>IF((_xlfn.XLOOKUP(D47,RUC!$B$3:$B$119,RUC!$E$3:$E$119)+ROUNDDOWN(O47,1)*100)&lt;95,95,((_xlfn.XLOOKUP(D47,RUC!$B$3:$B$119,RUC!$E$3:$E$119)+ROUNDDOWN(O47,1)*100)))</f>
        <v>120</v>
      </c>
      <c r="U47" s="1146">
        <f>_xlfn.XLOOKUP(D47,RUC!$B$3:$B$123,RUC!$F$3:$F$123)</f>
        <v>110</v>
      </c>
      <c r="V47" s="715">
        <v>1.1023000000000001</v>
      </c>
      <c r="Y47">
        <f>_xlfn.XLOOKUP(D47,RUC!$B$3:$B$123,RUC!$G$3:$G$123)</f>
        <v>0</v>
      </c>
      <c r="Z47" s="143">
        <f>_xlfn.XLOOKUP(D47,RUC!$B$3:$B$123,RUC!$H$3:$H$123)</f>
        <v>35</v>
      </c>
      <c r="AA47" s="144">
        <f t="shared" si="39"/>
        <v>35</v>
      </c>
      <c r="AB47" s="145">
        <f t="shared" si="26"/>
        <v>1956.6307201134998</v>
      </c>
      <c r="AC47" s="145">
        <f>+(S47-T47)*V47-'data 1'!$F$4</f>
        <v>52.27600000000001</v>
      </c>
      <c r="AD47" s="145">
        <f t="shared" si="40"/>
        <v>41.491654706617645</v>
      </c>
      <c r="AE47" s="145">
        <f t="shared" si="41"/>
        <v>-31.419499999999999</v>
      </c>
      <c r="AF47" s="145">
        <f t="shared" si="42"/>
        <v>138.18166803987012</v>
      </c>
      <c r="AG47" s="772">
        <f t="shared" si="34"/>
        <v>217.52982274648775</v>
      </c>
      <c r="AH47" s="1253">
        <f t="shared" si="43"/>
        <v>16.509</v>
      </c>
      <c r="AI47" s="1253">
        <f t="shared" si="44"/>
        <v>18.013000000000002</v>
      </c>
      <c r="AJ47" s="156">
        <f t="shared" si="45"/>
        <v>7.1004464628825863</v>
      </c>
      <c r="AK47" s="156">
        <f t="shared" si="46"/>
        <v>15.239426420874373</v>
      </c>
      <c r="AM47" s="716">
        <f t="shared" si="47"/>
        <v>2201.2095601276874</v>
      </c>
      <c r="AN47" s="148" t="str">
        <f>_xlfn.XLOOKUP(D47,RUC!$B$3:$B$578,RUC!$M$3:$M$578)</f>
        <v>Robinson Tuya</v>
      </c>
      <c r="AO47" s="1167" t="s">
        <v>2277</v>
      </c>
      <c r="AP47" t="s">
        <v>3739</v>
      </c>
      <c r="AQ47" t="s">
        <v>3748</v>
      </c>
    </row>
    <row r="48" spans="1:55" ht="15" customHeight="1">
      <c r="A48" s="747" t="s">
        <v>4811</v>
      </c>
      <c r="B48" s="1447">
        <v>46073</v>
      </c>
      <c r="C48" s="1447">
        <v>46068</v>
      </c>
      <c r="D48" t="s">
        <v>3316</v>
      </c>
      <c r="E48" s="762">
        <f>_xlfn.XLOOKUP(D48,RUC!$B$3:$B$123,RUC!$D$3:$D$123)</f>
        <v>20613935151</v>
      </c>
      <c r="G48" s="1082">
        <v>46</v>
      </c>
      <c r="H48" s="762" t="s">
        <v>69</v>
      </c>
      <c r="I48" s="703">
        <v>3.57</v>
      </c>
      <c r="J48" s="596">
        <v>3.5</v>
      </c>
      <c r="K48" s="703">
        <f t="shared" si="38"/>
        <v>3.4449999999999998</v>
      </c>
      <c r="L48" s="1192">
        <v>0.247</v>
      </c>
      <c r="M48" s="994">
        <f t="shared" si="32"/>
        <v>0.22800000000000001</v>
      </c>
      <c r="N48" s="1196">
        <f t="shared" si="48"/>
        <v>0.22800000000000001</v>
      </c>
      <c r="O48" s="645">
        <f t="shared" si="31"/>
        <v>0.22800000000000001</v>
      </c>
      <c r="P48" s="727">
        <v>90</v>
      </c>
      <c r="Q48" s="1476">
        <v>94.94</v>
      </c>
      <c r="R48" s="706">
        <v>4972.1000000000004</v>
      </c>
      <c r="S48" s="765">
        <f>IF((_xlfn.XLOOKUP(D48,RUC!$B$3:$B$119,RUC!$E$3:$E$119)+ROUNDDOWN(O48,1)*100)&lt;95,95,((_xlfn.XLOOKUP(D48,RUC!$B$3:$B$119,RUC!$E$3:$E$119)+ROUNDDOWN(O48,1)*100)))</f>
        <v>110</v>
      </c>
      <c r="U48" s="1146">
        <f>_xlfn.XLOOKUP(D48,RUC!$B$3:$B$123,RUC!$F$3:$F$123)</f>
        <v>120</v>
      </c>
      <c r="V48" s="715">
        <v>1.1023000000000001</v>
      </c>
      <c r="Y48">
        <f>_xlfn.XLOOKUP(D48,RUC!$B$3:$B$123,RUC!$G$3:$G$123)</f>
        <v>20</v>
      </c>
      <c r="Z48" s="143">
        <f>_xlfn.XLOOKUP(D48,RUC!$B$3:$B$123,RUC!$H$3:$H$123)</f>
        <v>30</v>
      </c>
      <c r="AA48" s="144">
        <f t="shared" si="39"/>
        <v>50</v>
      </c>
      <c r="AB48" s="145">
        <f t="shared" si="26"/>
        <v>921.13800911600015</v>
      </c>
      <c r="AC48" s="145">
        <f>+(S48-T48)*V48-'data 1'!$F$4</f>
        <v>41.253</v>
      </c>
      <c r="AD48" s="145">
        <f t="shared" si="40"/>
        <v>65.260959171693983</v>
      </c>
      <c r="AE48" s="145">
        <f t="shared" si="41"/>
        <v>-14.884999999999998</v>
      </c>
      <c r="AF48" s="145">
        <f t="shared" si="42"/>
        <v>96.478907875437969</v>
      </c>
      <c r="AG48" s="772">
        <f t="shared" si="34"/>
        <v>205.10786704713195</v>
      </c>
      <c r="AH48" s="1253">
        <f t="shared" si="43"/>
        <v>27.698</v>
      </c>
      <c r="AI48" s="1253">
        <f t="shared" si="44"/>
        <v>29.173999999999999</v>
      </c>
      <c r="AJ48" s="156">
        <f t="shared" si="45"/>
        <v>12.381734905305906</v>
      </c>
      <c r="AK48" s="156">
        <f t="shared" si="46"/>
        <v>24.236820807977701</v>
      </c>
      <c r="AM48" s="716">
        <f t="shared" si="47"/>
        <v>3173.3204414046204</v>
      </c>
      <c r="AN48" s="716" t="str">
        <f>_xlfn.XLOOKUP(D48,RUC!$B$3:$B$578,RUC!$M$3:$M$578)</f>
        <v xml:space="preserve">Dante </v>
      </c>
      <c r="AO48" s="1167" t="s">
        <v>2278</v>
      </c>
      <c r="AP48" t="s">
        <v>4068</v>
      </c>
      <c r="AQ48" t="s">
        <v>4328</v>
      </c>
    </row>
    <row r="49" spans="1:44" ht="15" customHeight="1">
      <c r="A49" s="747" t="s">
        <v>4812</v>
      </c>
      <c r="B49" s="1447">
        <v>46073</v>
      </c>
      <c r="C49" s="1447">
        <v>46068</v>
      </c>
      <c r="D49" t="s">
        <v>3316</v>
      </c>
      <c r="E49" s="762">
        <f>_xlfn.XLOOKUP(D49,RUC!$B$3:$B$123,RUC!$D$3:$D$123)</f>
        <v>20613935151</v>
      </c>
      <c r="G49" s="1082">
        <v>45</v>
      </c>
      <c r="H49" s="762" t="s">
        <v>69</v>
      </c>
      <c r="I49" s="703">
        <v>3.45</v>
      </c>
      <c r="J49" s="596">
        <v>3</v>
      </c>
      <c r="K49" s="703">
        <f t="shared" si="38"/>
        <v>3.347</v>
      </c>
      <c r="L49" s="1192">
        <v>0.25</v>
      </c>
      <c r="M49" s="994">
        <f t="shared" si="32"/>
        <v>0.23100000000000001</v>
      </c>
      <c r="N49" s="1196">
        <f t="shared" si="48"/>
        <v>0.23100000000000001</v>
      </c>
      <c r="O49" s="645">
        <f t="shared" si="31"/>
        <v>0.23100000000000001</v>
      </c>
      <c r="P49" s="727">
        <v>90</v>
      </c>
      <c r="Q49" s="1476">
        <v>95.4</v>
      </c>
      <c r="R49" s="706">
        <v>4972.1000000000004</v>
      </c>
      <c r="S49" s="765">
        <f>IF((_xlfn.XLOOKUP(D49,RUC!$B$3:$B$119,RUC!$E$3:$E$119)+ROUNDDOWN(O49,1)*100)&lt;95,95,((_xlfn.XLOOKUP(D49,RUC!$B$3:$B$119,RUC!$E$3:$E$119)+ROUNDDOWN(O49,1)*100)))</f>
        <v>110</v>
      </c>
      <c r="U49" s="1146">
        <f>_xlfn.XLOOKUP(D49,RUC!$B$3:$B$123,RUC!$F$3:$F$123)</f>
        <v>120</v>
      </c>
      <c r="V49" s="715">
        <v>1.1023000000000001</v>
      </c>
      <c r="Y49">
        <f>_xlfn.XLOOKUP(D49,RUC!$B$3:$B$123,RUC!$G$3:$G$123)</f>
        <v>20</v>
      </c>
      <c r="Z49" s="143">
        <f>_xlfn.XLOOKUP(D49,RUC!$B$3:$B$123,RUC!$H$3:$H$123)</f>
        <v>30</v>
      </c>
      <c r="AA49" s="144">
        <f t="shared" si="39"/>
        <v>50</v>
      </c>
      <c r="AB49" s="145">
        <f t="shared" si="26"/>
        <v>935.57887765700025</v>
      </c>
      <c r="AC49" s="145">
        <f>+(S49-T49)*V49-'data 1'!$F$4</f>
        <v>41.253</v>
      </c>
      <c r="AD49" s="145">
        <f t="shared" si="40"/>
        <v>72.204342705000087</v>
      </c>
      <c r="AE49" s="145">
        <f t="shared" si="41"/>
        <v>-14.884999999999998</v>
      </c>
      <c r="AF49" s="145">
        <f t="shared" si="42"/>
        <v>96.94636413857998</v>
      </c>
      <c r="AG49" s="772">
        <f t="shared" si="34"/>
        <v>212.51870684358005</v>
      </c>
      <c r="AH49" s="1253">
        <f t="shared" si="43"/>
        <v>27.369</v>
      </c>
      <c r="AI49" s="1253">
        <f t="shared" si="44"/>
        <v>28.687999999999999</v>
      </c>
      <c r="AJ49" s="156">
        <f t="shared" si="45"/>
        <v>12.592840544999905</v>
      </c>
      <c r="AK49" s="156">
        <f t="shared" si="46"/>
        <v>23.857188991716466</v>
      </c>
      <c r="AM49" s="716">
        <f t="shared" si="47"/>
        <v>3131.3825035179798</v>
      </c>
      <c r="AN49" s="716" t="str">
        <f>_xlfn.XLOOKUP(D49,RUC!$B$3:$B$578,RUC!$M$3:$M$578)</f>
        <v xml:space="preserve">Dante </v>
      </c>
      <c r="AO49" s="1167" t="s">
        <v>2278</v>
      </c>
      <c r="AP49" t="s">
        <v>4068</v>
      </c>
      <c r="AQ49" t="s">
        <v>4328</v>
      </c>
    </row>
    <row r="50" spans="1:44" ht="15" customHeight="1">
      <c r="A50" s="747" t="s">
        <v>4813</v>
      </c>
      <c r="B50" s="1447">
        <v>46076</v>
      </c>
      <c r="C50" s="1447">
        <v>46068</v>
      </c>
      <c r="D50" t="s">
        <v>2004</v>
      </c>
      <c r="E50" s="762">
        <f>_xlfn.XLOOKUP(D50,RUC!$B$3:$B$123,RUC!$D$3:$D$123)</f>
        <v>20612921866</v>
      </c>
      <c r="G50" s="1082">
        <v>125</v>
      </c>
      <c r="H50" s="762" t="s">
        <v>69</v>
      </c>
      <c r="I50" s="703">
        <v>11.76</v>
      </c>
      <c r="J50" s="596">
        <v>2.1</v>
      </c>
      <c r="K50" s="703">
        <f t="shared" si="38"/>
        <v>11.513</v>
      </c>
      <c r="L50" s="1192">
        <v>0.30299999999999999</v>
      </c>
      <c r="M50" s="994">
        <f t="shared" si="32"/>
        <v>0.28499999999999998</v>
      </c>
      <c r="N50" s="1196">
        <f t="shared" si="48"/>
        <v>0.28499999999999998</v>
      </c>
      <c r="O50" s="1669">
        <v>0.28799999999999998</v>
      </c>
      <c r="P50" s="727">
        <v>90</v>
      </c>
      <c r="Q50" s="1476">
        <v>97.360000000000014</v>
      </c>
      <c r="R50" s="706">
        <v>4972.1000000000004</v>
      </c>
      <c r="S50" s="765">
        <f>IF((_xlfn.XLOOKUP(D50,RUC!$B$3:$B$119,RUC!$E$3:$E$119)+ROUNDDOWN(O50,1)*100)&lt;95,95,((_xlfn.XLOOKUP(D50,RUC!$B$3:$B$119,RUC!$E$3:$E$119)+ROUNDDOWN(O50,1)*100)))</f>
        <v>100</v>
      </c>
      <c r="U50" s="1146">
        <f>_xlfn.XLOOKUP(D50,RUC!$B$3:$B$123,RUC!$F$3:$F$123)</f>
        <v>100</v>
      </c>
      <c r="V50" s="715">
        <v>1.1023000000000001</v>
      </c>
      <c r="Y50">
        <f>_xlfn.XLOOKUP(D50,RUC!$B$3:$B$123,RUC!$G$3:$G$123)</f>
        <v>0</v>
      </c>
      <c r="Z50" s="143">
        <f>_xlfn.XLOOKUP(D50,RUC!$B$3:$B$123,RUC!$H$3:$H$123)</f>
        <v>30</v>
      </c>
      <c r="AA50" s="144">
        <f t="shared" si="39"/>
        <v>30</v>
      </c>
      <c r="AB50" s="145">
        <f t="shared" si="26"/>
        <v>1248.7387031360001</v>
      </c>
      <c r="AC50" s="145">
        <f>+(S50-T50)*V50-'data 1'!$F$4</f>
        <v>30.230000000000004</v>
      </c>
      <c r="AD50" s="145">
        <f t="shared" si="40"/>
        <v>119.76679942166423</v>
      </c>
      <c r="AE50" s="145">
        <f t="shared" si="41"/>
        <v>-36.930999999999997</v>
      </c>
      <c r="AF50" s="145">
        <f t="shared" si="42"/>
        <v>78.431013181320111</v>
      </c>
      <c r="AG50" s="772">
        <f>AC50+AD50+AE50+AF50+70-10</f>
        <v>251.49681260298433</v>
      </c>
      <c r="AH50" s="1253">
        <f t="shared" si="43"/>
        <v>116.44499999999999</v>
      </c>
      <c r="AI50" s="1253">
        <f t="shared" si="44"/>
        <v>119.602</v>
      </c>
      <c r="AJ50" s="156">
        <f t="shared" si="45"/>
        <v>9.0725047533358829</v>
      </c>
      <c r="AK50" s="156">
        <f t="shared" si="46"/>
        <v>102.31341274301329</v>
      </c>
      <c r="AM50" s="716">
        <f t="shared" si="47"/>
        <v>14376.728689204769</v>
      </c>
      <c r="AN50" s="716" t="str">
        <f>_xlfn.XLOOKUP(D50,RUC!$B$3:$B$578,RUC!$M$3:$M$578)</f>
        <v>Ronald Garibay</v>
      </c>
      <c r="AO50" s="1167" t="s">
        <v>2277</v>
      </c>
      <c r="AP50" t="s">
        <v>4817</v>
      </c>
      <c r="AQ50" t="s">
        <v>4818</v>
      </c>
      <c r="AR50" s="1679" t="s">
        <v>4859</v>
      </c>
    </row>
    <row r="51" spans="1:44" ht="15" customHeight="1">
      <c r="A51" s="747" t="s">
        <v>4814</v>
      </c>
      <c r="B51" s="1447">
        <v>46077</v>
      </c>
      <c r="C51" s="1447">
        <v>46068</v>
      </c>
      <c r="D51" t="s">
        <v>3510</v>
      </c>
      <c r="E51" s="762">
        <f>_xlfn.XLOOKUP(D51,RUC!$B$3:$B$123,RUC!$D$3:$D$123)</f>
        <v>10408856049</v>
      </c>
      <c r="G51" s="1082" t="s">
        <v>2985</v>
      </c>
      <c r="H51" s="762" t="s">
        <v>69</v>
      </c>
      <c r="I51" s="703">
        <v>34.130000000000003</v>
      </c>
      <c r="J51" s="596">
        <v>15.85</v>
      </c>
      <c r="K51" s="703">
        <f t="shared" si="38"/>
        <v>28.72</v>
      </c>
      <c r="L51" s="1192">
        <v>0.20699999999999999</v>
      </c>
      <c r="M51" s="994">
        <f t="shared" si="32"/>
        <v>0.188</v>
      </c>
      <c r="N51" s="1196">
        <f t="shared" si="48"/>
        <v>0.188</v>
      </c>
      <c r="O51" s="645">
        <f t="shared" si="31"/>
        <v>0.188</v>
      </c>
      <c r="P51" s="727">
        <v>90</v>
      </c>
      <c r="Q51" s="1476">
        <v>96.62</v>
      </c>
      <c r="R51" s="706">
        <v>4972.1000000000004</v>
      </c>
      <c r="S51" s="1551">
        <v>105</v>
      </c>
      <c r="U51" s="1458">
        <v>170</v>
      </c>
      <c r="V51" s="715">
        <v>1.1023000000000001</v>
      </c>
      <c r="Y51">
        <v>0</v>
      </c>
      <c r="Z51" s="143">
        <f>_xlfn.XLOOKUP(D51,RUC!$B$3:$B$123,RUC!$H$3:$H$123)</f>
        <v>30</v>
      </c>
      <c r="AA51" s="144">
        <f t="shared" si="39"/>
        <v>30</v>
      </c>
      <c r="AB51" s="145">
        <f t="shared" si="26"/>
        <v>746.82513723600027</v>
      </c>
      <c r="AC51" s="145">
        <f>+(S51-T51)*V51-'data 1'!$F$4</f>
        <v>35.741500000000002</v>
      </c>
      <c r="AD51" s="145">
        <f t="shared" si="40"/>
        <v>72.536958577422055</v>
      </c>
      <c r="AE51" s="145">
        <f t="shared" si="41"/>
        <v>-36.930999999999997</v>
      </c>
      <c r="AF51" s="145">
        <f t="shared" si="42"/>
        <v>97.174349298173965</v>
      </c>
      <c r="AG51" s="772">
        <f t="shared" si="34"/>
        <v>185.52180787559604</v>
      </c>
      <c r="AH51" s="1253">
        <f t="shared" si="43"/>
        <v>196.93899999999999</v>
      </c>
      <c r="AI51" s="1253">
        <f t="shared" si="44"/>
        <v>203.828</v>
      </c>
      <c r="AJ51" s="156">
        <f t="shared" si="45"/>
        <v>21.583400911577925</v>
      </c>
      <c r="AK51" s="156">
        <f t="shared" si="46"/>
        <v>166.60723753948318</v>
      </c>
      <c r="AM51" s="716">
        <f t="shared" si="47"/>
        <v>21448.817941417929</v>
      </c>
      <c r="AN51" s="716" t="str">
        <f>_xlfn.XLOOKUP(D51,RUC!$B$3:$B$578,RUC!$M$3:$M$578)</f>
        <v>Richard Sapacayo</v>
      </c>
      <c r="AO51" s="1167" t="s">
        <v>2279</v>
      </c>
      <c r="AP51" t="s">
        <v>2372</v>
      </c>
      <c r="AQ51" t="s">
        <v>2376</v>
      </c>
    </row>
    <row r="52" spans="1:44" ht="15" customHeight="1">
      <c r="A52" s="747" t="s">
        <v>4825</v>
      </c>
      <c r="B52" s="1447">
        <v>46076</v>
      </c>
      <c r="C52" s="1447">
        <v>46071</v>
      </c>
      <c r="D52" t="s">
        <v>2004</v>
      </c>
      <c r="E52" s="762">
        <f>_xlfn.XLOOKUP(D52,RUC!$B$3:$B$123,RUC!$D$3:$D$123)</f>
        <v>20612921866</v>
      </c>
      <c r="G52" s="1082" t="s">
        <v>2985</v>
      </c>
      <c r="H52" s="762" t="s">
        <v>69</v>
      </c>
      <c r="I52" s="703">
        <v>10.16</v>
      </c>
      <c r="J52" s="596">
        <v>2.1</v>
      </c>
      <c r="K52" s="703">
        <f t="shared" si="38"/>
        <v>9.9469999999999992</v>
      </c>
      <c r="L52" s="1192">
        <v>0.32300000000000001</v>
      </c>
      <c r="M52" s="994">
        <f t="shared" si="32"/>
        <v>0.30399999999999999</v>
      </c>
      <c r="N52" s="1444">
        <v>0.373</v>
      </c>
      <c r="O52" s="645">
        <f t="shared" si="31"/>
        <v>0.33900000000000002</v>
      </c>
      <c r="P52" s="727">
        <v>90</v>
      </c>
      <c r="Q52" s="1476">
        <v>97.52</v>
      </c>
      <c r="R52" s="706">
        <v>5003.3</v>
      </c>
      <c r="S52" s="765">
        <f>IF((_xlfn.XLOOKUP(D52,RUC!$B$3:$B$119,RUC!$E$3:$E$119)+ROUNDDOWN(O52,1)*100)&lt;95,95,((_xlfn.XLOOKUP(D52,RUC!$B$3:$B$119,RUC!$E$3:$E$119)+ROUNDDOWN(O52,1)*100)))</f>
        <v>110</v>
      </c>
      <c r="U52" s="1146">
        <f>_xlfn.XLOOKUP(D52,RUC!$B$3:$B$123,RUC!$F$3:$F$123)</f>
        <v>100</v>
      </c>
      <c r="V52" s="715">
        <v>1.1023000000000001</v>
      </c>
      <c r="Y52">
        <f>_xlfn.XLOOKUP(D52,RUC!$B$3:$B$123,RUC!$G$3:$G$123)</f>
        <v>0</v>
      </c>
      <c r="Z52" s="143">
        <f>_xlfn.XLOOKUP(D52,RUC!$B$3:$B$123,RUC!$H$3:$H$123)</f>
        <v>30</v>
      </c>
      <c r="AA52" s="144">
        <f t="shared" si="39"/>
        <v>30</v>
      </c>
      <c r="AB52" s="145">
        <f t="shared" ref="AB52:AB106" si="49">+((O52*P52*(R52-U52)/100)-S52-AA52+T52)*V52</f>
        <v>1494.7153057090004</v>
      </c>
      <c r="AC52" s="145">
        <f>+(S52-T52)*V52-'data 1'!$F$4</f>
        <v>41.253</v>
      </c>
      <c r="AD52" s="145">
        <f t="shared" si="40"/>
        <v>131.28304339806397</v>
      </c>
      <c r="AE52" s="145">
        <f t="shared" si="41"/>
        <v>-36.930999999999997</v>
      </c>
      <c r="AF52" s="145">
        <f t="shared" si="42"/>
        <v>-84.333854108288065</v>
      </c>
      <c r="AG52" s="772">
        <f t="shared" ref="AG52:AG58" si="50">AC52+AD52+AE52+AF52+70-10</f>
        <v>111.2711892897759</v>
      </c>
      <c r="AH52" s="1253">
        <f t="shared" si="43"/>
        <v>107.423</v>
      </c>
      <c r="AI52" s="1253">
        <f t="shared" si="44"/>
        <v>110.155</v>
      </c>
      <c r="AJ52" s="156">
        <f t="shared" si="45"/>
        <v>-1.1458030190640631</v>
      </c>
      <c r="AK52" s="156">
        <f t="shared" si="46"/>
        <v>104.05031393016509</v>
      </c>
      <c r="AM52" s="716">
        <f t="shared" si="47"/>
        <v>14867.933145887426</v>
      </c>
      <c r="AN52" s="716" t="str">
        <f>_xlfn.XLOOKUP(D52,RUC!$B$3:$B$578,RUC!$M$3:$M$578)</f>
        <v>Ronald Garibay</v>
      </c>
      <c r="AO52" s="1167" t="s">
        <v>2277</v>
      </c>
      <c r="AP52" t="s">
        <v>4834</v>
      </c>
      <c r="AQ52" t="s">
        <v>4835</v>
      </c>
    </row>
    <row r="53" spans="1:44" ht="15" customHeight="1">
      <c r="A53" s="747" t="s">
        <v>4826</v>
      </c>
      <c r="B53" s="1447">
        <v>46076</v>
      </c>
      <c r="C53" s="1447">
        <v>46071</v>
      </c>
      <c r="D53" t="s">
        <v>2004</v>
      </c>
      <c r="E53" s="762">
        <f>_xlfn.XLOOKUP(D53,RUC!$B$3:$B$123,RUC!$D$3:$D$123)</f>
        <v>20612921866</v>
      </c>
      <c r="G53" s="1082" t="s">
        <v>2985</v>
      </c>
      <c r="H53" s="762" t="s">
        <v>69</v>
      </c>
      <c r="I53" s="703">
        <v>11.48</v>
      </c>
      <c r="J53" s="596">
        <v>2.1</v>
      </c>
      <c r="K53" s="703">
        <f t="shared" si="38"/>
        <v>11.239000000000001</v>
      </c>
      <c r="L53" s="1192">
        <v>0.32300000000000001</v>
      </c>
      <c r="M53" s="994">
        <f t="shared" si="32"/>
        <v>0.30399999999999999</v>
      </c>
      <c r="N53" s="1444">
        <v>0.373</v>
      </c>
      <c r="O53" s="645">
        <f t="shared" si="31"/>
        <v>0.33900000000000002</v>
      </c>
      <c r="P53" s="727">
        <v>90</v>
      </c>
      <c r="Q53" s="1476">
        <v>97.52</v>
      </c>
      <c r="R53" s="706">
        <v>5003.3</v>
      </c>
      <c r="S53" s="765">
        <f>IF((_xlfn.XLOOKUP(D53,RUC!$B$3:$B$119,RUC!$E$3:$E$119)+ROUNDDOWN(O53,1)*100)&lt;95,95,((_xlfn.XLOOKUP(D53,RUC!$B$3:$B$119,RUC!$E$3:$E$119)+ROUNDDOWN(O53,1)*100)))</f>
        <v>110</v>
      </c>
      <c r="U53" s="1146">
        <f>_xlfn.XLOOKUP(D53,RUC!$B$3:$B$123,RUC!$F$3:$F$123)</f>
        <v>100</v>
      </c>
      <c r="V53" s="715">
        <v>1.1023000000000001</v>
      </c>
      <c r="Y53">
        <f>_xlfn.XLOOKUP(D53,RUC!$B$3:$B$123,RUC!$G$3:$G$123)</f>
        <v>0</v>
      </c>
      <c r="Z53" s="143">
        <f>_xlfn.XLOOKUP(D53,RUC!$B$3:$B$123,RUC!$H$3:$H$123)</f>
        <v>30</v>
      </c>
      <c r="AA53" s="144">
        <f t="shared" si="39"/>
        <v>30</v>
      </c>
      <c r="AB53" s="145">
        <f t="shared" si="49"/>
        <v>1494.7153057090004</v>
      </c>
      <c r="AC53" s="145">
        <f>+(S53-T53)*V53-'data 1'!$F$4</f>
        <v>41.253</v>
      </c>
      <c r="AD53" s="145">
        <f t="shared" si="40"/>
        <v>131.28304339806397</v>
      </c>
      <c r="AE53" s="145">
        <f t="shared" si="41"/>
        <v>-36.930999999999997</v>
      </c>
      <c r="AF53" s="145">
        <f t="shared" si="42"/>
        <v>-84.333854108288065</v>
      </c>
      <c r="AG53" s="772">
        <f t="shared" si="50"/>
        <v>111.2711892897759</v>
      </c>
      <c r="AH53" s="1253">
        <f t="shared" si="43"/>
        <v>121.376</v>
      </c>
      <c r="AI53" s="1253">
        <f t="shared" si="44"/>
        <v>124.46299999999999</v>
      </c>
      <c r="AJ53" s="156">
        <f t="shared" si="45"/>
        <v>-1.1458030190640631</v>
      </c>
      <c r="AK53" s="156">
        <f t="shared" si="46"/>
        <v>117.56524361728418</v>
      </c>
      <c r="AM53" s="716">
        <f t="shared" si="47"/>
        <v>16799.105320863458</v>
      </c>
      <c r="AN53" s="716" t="str">
        <f>_xlfn.XLOOKUP(D53,RUC!$B$3:$B$578,RUC!$M$3:$M$578)</f>
        <v>Ronald Garibay</v>
      </c>
      <c r="AO53" s="1167" t="s">
        <v>2277</v>
      </c>
      <c r="AP53" t="s">
        <v>4836</v>
      </c>
      <c r="AQ53" t="s">
        <v>4837</v>
      </c>
    </row>
    <row r="54" spans="1:44" ht="15" customHeight="1">
      <c r="A54" s="747" t="s">
        <v>4827</v>
      </c>
      <c r="B54" s="1447">
        <v>46076</v>
      </c>
      <c r="C54" s="1447">
        <v>46071</v>
      </c>
      <c r="D54" t="s">
        <v>2004</v>
      </c>
      <c r="E54" s="762">
        <f>_xlfn.XLOOKUP(D54,RUC!$B$3:$B$123,RUC!$D$3:$D$123)</f>
        <v>20612921866</v>
      </c>
      <c r="G54" s="1082" t="s">
        <v>2985</v>
      </c>
      <c r="H54" s="762" t="s">
        <v>69</v>
      </c>
      <c r="I54" s="703">
        <v>8.51</v>
      </c>
      <c r="J54" s="596">
        <v>2.15</v>
      </c>
      <c r="K54" s="703">
        <f t="shared" si="38"/>
        <v>8.327</v>
      </c>
      <c r="L54" s="1192">
        <v>0.33900000000000002</v>
      </c>
      <c r="M54" s="1443">
        <f>ROUND(+IF(AN54="Melchor Vera",IF(L54&gt;0.467,L54*0.985,(L54-0.007)),IF(L54&gt;0.3,L54*0.93,(L54-0.019))),3)</f>
        <v>0.315</v>
      </c>
      <c r="N54" s="1444">
        <v>0.36699999999999999</v>
      </c>
      <c r="O54" s="645">
        <f t="shared" si="31"/>
        <v>0.34100000000000003</v>
      </c>
      <c r="P54" s="727">
        <v>90</v>
      </c>
      <c r="Q54" s="1476">
        <v>97.05</v>
      </c>
      <c r="R54" s="706">
        <v>5003.3</v>
      </c>
      <c r="S54" s="765">
        <f>IF((_xlfn.XLOOKUP(D54,RUC!$B$3:$B$119,RUC!$E$3:$E$119)+ROUNDDOWN(O54,1)*100)&lt;95,95,((_xlfn.XLOOKUP(D54,RUC!$B$3:$B$119,RUC!$E$3:$E$119)+ROUNDDOWN(O54,1)*100)))</f>
        <v>110</v>
      </c>
      <c r="U54" s="1146">
        <f>_xlfn.XLOOKUP(D54,RUC!$B$3:$B$123,RUC!$F$3:$F$123)</f>
        <v>100</v>
      </c>
      <c r="V54" s="715">
        <v>1.1023000000000001</v>
      </c>
      <c r="Y54">
        <f>_xlfn.XLOOKUP(D54,RUC!$B$3:$B$123,RUC!$G$3:$G$123)</f>
        <v>0</v>
      </c>
      <c r="Z54" s="143">
        <f>_xlfn.XLOOKUP(D54,RUC!$B$3:$B$123,RUC!$H$3:$H$123)</f>
        <v>30</v>
      </c>
      <c r="AA54" s="144">
        <f t="shared" si="39"/>
        <v>30</v>
      </c>
      <c r="AB54" s="145">
        <f t="shared" si="49"/>
        <v>1504.4441393710001</v>
      </c>
      <c r="AC54" s="145">
        <f>+(S54-T54)*V54-'data 1'!$F$4</f>
        <v>41.253</v>
      </c>
      <c r="AD54" s="145">
        <f t="shared" si="40"/>
        <v>129.17458894720497</v>
      </c>
      <c r="AE54" s="145">
        <f t="shared" si="41"/>
        <v>-36.930999999999997</v>
      </c>
      <c r="AF54" s="145">
        <f t="shared" si="42"/>
        <v>-10.49092563219001</v>
      </c>
      <c r="AG54" s="772">
        <f t="shared" si="50"/>
        <v>183.005663315015</v>
      </c>
      <c r="AH54" s="1253">
        <f t="shared" si="43"/>
        <v>93.927999999999997</v>
      </c>
      <c r="AI54" s="1253">
        <f t="shared" si="44"/>
        <v>96.783000000000001</v>
      </c>
      <c r="AJ54" s="156">
        <f t="shared" si="45"/>
        <v>-1.1967652912050661</v>
      </c>
      <c r="AK54" s="156">
        <f t="shared" si="46"/>
        <v>87.618239429122227</v>
      </c>
      <c r="AM54" s="716">
        <f t="shared" si="47"/>
        <v>12527.506348542318</v>
      </c>
      <c r="AN54" s="716" t="str">
        <f>_xlfn.XLOOKUP(D54,RUC!$B$3:$B$578,RUC!$M$3:$M$578)</f>
        <v>Ronald Garibay</v>
      </c>
      <c r="AO54" s="1167" t="s">
        <v>2277</v>
      </c>
      <c r="AP54" t="s">
        <v>4838</v>
      </c>
      <c r="AQ54" t="s">
        <v>4839</v>
      </c>
    </row>
    <row r="55" spans="1:44" ht="15" customHeight="1">
      <c r="A55" s="747" t="s">
        <v>4828</v>
      </c>
      <c r="B55" s="1447">
        <v>46076</v>
      </c>
      <c r="C55" s="1447">
        <v>46071</v>
      </c>
      <c r="D55" t="s">
        <v>2004</v>
      </c>
      <c r="E55" s="762">
        <f>_xlfn.XLOOKUP(D55,RUC!$B$3:$B$123,RUC!$D$3:$D$123)</f>
        <v>20612921866</v>
      </c>
      <c r="G55" s="1082" t="s">
        <v>2985</v>
      </c>
      <c r="H55" s="762" t="s">
        <v>69</v>
      </c>
      <c r="I55" s="703">
        <v>9.85</v>
      </c>
      <c r="J55" s="596">
        <v>2.15</v>
      </c>
      <c r="K55" s="703">
        <f t="shared" si="38"/>
        <v>9.6379999999999999</v>
      </c>
      <c r="L55" s="1192">
        <v>0.33900000000000002</v>
      </c>
      <c r="M55" s="1443">
        <f>ROUND(+IF(AN55="Melchor Vera",IF(L55&gt;0.467,L55*0.985,(L55-0.007)),IF(L55&gt;0.3,L55*0.93,(L55-0.019))),3)</f>
        <v>0.315</v>
      </c>
      <c r="N55" s="1444">
        <v>0.36699999999999999</v>
      </c>
      <c r="O55" s="645">
        <f t="shared" si="31"/>
        <v>0.34100000000000003</v>
      </c>
      <c r="P55" s="727">
        <v>90</v>
      </c>
      <c r="Q55" s="1476">
        <v>97.05</v>
      </c>
      <c r="R55" s="706">
        <v>5003.3</v>
      </c>
      <c r="S55" s="765">
        <f>IF((_xlfn.XLOOKUP(D55,RUC!$B$3:$B$119,RUC!$E$3:$E$119)+ROUNDDOWN(O55,1)*100)&lt;95,95,((_xlfn.XLOOKUP(D55,RUC!$B$3:$B$119,RUC!$E$3:$E$119)+ROUNDDOWN(O55,1)*100)))</f>
        <v>110</v>
      </c>
      <c r="U55" s="1146">
        <f>_xlfn.XLOOKUP(D55,RUC!$B$3:$B$123,RUC!$F$3:$F$123)</f>
        <v>100</v>
      </c>
      <c r="V55" s="715">
        <v>1.1023000000000001</v>
      </c>
      <c r="Y55">
        <f>_xlfn.XLOOKUP(D55,RUC!$B$3:$B$123,RUC!$G$3:$G$123)</f>
        <v>0</v>
      </c>
      <c r="Z55" s="143">
        <f>_xlfn.XLOOKUP(D55,RUC!$B$3:$B$123,RUC!$H$3:$H$123)</f>
        <v>30</v>
      </c>
      <c r="AA55" s="144">
        <f t="shared" si="39"/>
        <v>30</v>
      </c>
      <c r="AB55" s="145">
        <f t="shared" si="49"/>
        <v>1504.4441393710001</v>
      </c>
      <c r="AC55" s="145">
        <f>+(S55-T55)*V55-'data 1'!$F$4</f>
        <v>41.253</v>
      </c>
      <c r="AD55" s="145">
        <f t="shared" si="40"/>
        <v>129.17458894720497</v>
      </c>
      <c r="AE55" s="145">
        <f t="shared" si="41"/>
        <v>-36.930999999999997</v>
      </c>
      <c r="AF55" s="145">
        <f t="shared" si="42"/>
        <v>-10.49092563219001</v>
      </c>
      <c r="AG55" s="772">
        <f t="shared" si="50"/>
        <v>183.005663315015</v>
      </c>
      <c r="AH55" s="1253">
        <f t="shared" si="43"/>
        <v>108.715</v>
      </c>
      <c r="AI55" s="1253">
        <f t="shared" si="44"/>
        <v>112.02</v>
      </c>
      <c r="AJ55" s="156">
        <f t="shared" si="45"/>
        <v>-1.1967652912050661</v>
      </c>
      <c r="AK55" s="156">
        <f t="shared" si="46"/>
        <v>101.41282474094872</v>
      </c>
      <c r="AM55" s="716">
        <f t="shared" si="47"/>
        <v>14499.832615257699</v>
      </c>
      <c r="AN55" s="716" t="str">
        <f>_xlfn.XLOOKUP(D55,RUC!$B$3:$B$578,RUC!$M$3:$M$578)</f>
        <v>Ronald Garibay</v>
      </c>
      <c r="AO55" s="1167" t="s">
        <v>2277</v>
      </c>
      <c r="AP55" t="s">
        <v>4840</v>
      </c>
      <c r="AQ55" t="s">
        <v>4841</v>
      </c>
    </row>
    <row r="56" spans="1:44" ht="15" customHeight="1">
      <c r="A56" s="747" t="s">
        <v>4829</v>
      </c>
      <c r="B56" s="1447">
        <v>46076</v>
      </c>
      <c r="C56" s="1447">
        <v>46072</v>
      </c>
      <c r="D56" t="s">
        <v>2004</v>
      </c>
      <c r="E56" s="762">
        <f>_xlfn.XLOOKUP(D56,RUC!$B$3:$B$123,RUC!$D$3:$D$123)</f>
        <v>20612921866</v>
      </c>
      <c r="G56" s="1082">
        <v>12</v>
      </c>
      <c r="H56" s="762" t="s">
        <v>69</v>
      </c>
      <c r="I56" s="703">
        <v>1.5</v>
      </c>
      <c r="J56" s="596">
        <v>2.2000000000000002</v>
      </c>
      <c r="K56" s="703">
        <f t="shared" si="38"/>
        <v>1.4670000000000001</v>
      </c>
      <c r="L56" s="1192">
        <v>0.60899999999999999</v>
      </c>
      <c r="M56" s="994">
        <f t="shared" si="32"/>
        <v>0.57199999999999995</v>
      </c>
      <c r="N56" s="1196">
        <f t="shared" ref="N56:N109" si="51">+M56</f>
        <v>0.57199999999999995</v>
      </c>
      <c r="O56" s="645">
        <f t="shared" si="31"/>
        <v>0.57199999999999995</v>
      </c>
      <c r="P56" s="727">
        <v>90</v>
      </c>
      <c r="Q56" s="1476">
        <v>97.54</v>
      </c>
      <c r="R56" s="706">
        <v>5004.8</v>
      </c>
      <c r="S56" s="765">
        <f>IF((_xlfn.XLOOKUP(D56,RUC!$B$3:$B$119,RUC!$E$3:$E$119)+ROUNDDOWN(O56,1)*100)&lt;95,95,((_xlfn.XLOOKUP(D56,RUC!$B$3:$B$119,RUC!$E$3:$E$119)+ROUNDDOWN(O56,1)*100)))</f>
        <v>130</v>
      </c>
      <c r="U56" s="1146">
        <f>_xlfn.XLOOKUP(D56,RUC!$B$3:$B$123,RUC!$F$3:$F$123)</f>
        <v>100</v>
      </c>
      <c r="V56" s="715">
        <v>1.1023000000000001</v>
      </c>
      <c r="Y56">
        <f>_xlfn.XLOOKUP(D56,RUC!$B$3:$B$123,RUC!$G$3:$G$123)</f>
        <v>0</v>
      </c>
      <c r="Z56" s="143">
        <f>_xlfn.XLOOKUP(D56,RUC!$B$3:$B$123,RUC!$H$3:$H$123)</f>
        <v>30</v>
      </c>
      <c r="AA56" s="144">
        <f t="shared" si="39"/>
        <v>30</v>
      </c>
      <c r="AB56" s="145">
        <f t="shared" si="49"/>
        <v>2606.9296233919999</v>
      </c>
      <c r="AC56" s="145">
        <f>+(S56-T56)*V56-'data 1'!$F$4</f>
        <v>63.299000000000007</v>
      </c>
      <c r="AD56" s="145">
        <f t="shared" si="40"/>
        <v>248.26171377134423</v>
      </c>
      <c r="AE56" s="145">
        <f t="shared" si="41"/>
        <v>-36.930999999999997</v>
      </c>
      <c r="AF56" s="145">
        <f t="shared" si="42"/>
        <v>195.12170662139224</v>
      </c>
      <c r="AG56" s="772">
        <f t="shared" si="50"/>
        <v>529.75142039273646</v>
      </c>
      <c r="AH56" s="1253">
        <f t="shared" si="43"/>
        <v>29.876999999999999</v>
      </c>
      <c r="AI56" s="1253">
        <f t="shared" si="44"/>
        <v>30.631</v>
      </c>
      <c r="AJ56" s="156">
        <f t="shared" si="45"/>
        <v>-3.1429761733441195</v>
      </c>
      <c r="AK56" s="156">
        <f t="shared" si="46"/>
        <v>25.892722765861382</v>
      </c>
      <c r="AM56" s="716">
        <f t="shared" si="47"/>
        <v>3824.3657575160641</v>
      </c>
      <c r="AN56" s="716" t="str">
        <f>_xlfn.XLOOKUP(D56,RUC!$B$3:$B$578,RUC!$M$3:$M$578)</f>
        <v>Ronald Garibay</v>
      </c>
      <c r="AO56" s="1167" t="s">
        <v>2277</v>
      </c>
      <c r="AP56" t="s">
        <v>4842</v>
      </c>
      <c r="AQ56" t="s">
        <v>4843</v>
      </c>
    </row>
    <row r="57" spans="1:44" ht="15" customHeight="1">
      <c r="A57" s="747" t="s">
        <v>4830</v>
      </c>
      <c r="B57" s="1447">
        <v>46076</v>
      </c>
      <c r="C57" s="1447">
        <v>46072</v>
      </c>
      <c r="D57" t="s">
        <v>2004</v>
      </c>
      <c r="E57" s="762">
        <f>_xlfn.XLOOKUP(D57,RUC!$B$3:$B$123,RUC!$D$3:$D$123)</f>
        <v>20612921866</v>
      </c>
      <c r="G57" s="1082" t="s">
        <v>2985</v>
      </c>
      <c r="H57" s="762" t="s">
        <v>69</v>
      </c>
      <c r="I57" s="703">
        <v>7.85</v>
      </c>
      <c r="J57" s="596">
        <v>2.4</v>
      </c>
      <c r="K57" s="703">
        <f t="shared" si="38"/>
        <v>7.6619999999999999</v>
      </c>
      <c r="L57" s="1192">
        <v>0.33400000000000002</v>
      </c>
      <c r="M57" s="994">
        <f t="shared" si="32"/>
        <v>0.314</v>
      </c>
      <c r="N57" s="1196">
        <f t="shared" si="51"/>
        <v>0.314</v>
      </c>
      <c r="O57" s="645">
        <f t="shared" si="31"/>
        <v>0.314</v>
      </c>
      <c r="P57" s="727">
        <v>90</v>
      </c>
      <c r="Q57" s="1476">
        <v>93.11</v>
      </c>
      <c r="R57" s="706">
        <v>5004.8</v>
      </c>
      <c r="S57" s="765">
        <f>IF((_xlfn.XLOOKUP(D57,RUC!$B$3:$B$119,RUC!$E$3:$E$119)+ROUNDDOWN(O57,1)*100)&lt;95,95,((_xlfn.XLOOKUP(D57,RUC!$B$3:$B$119,RUC!$E$3:$E$119)+ROUNDDOWN(O57,1)*100)))</f>
        <v>110</v>
      </c>
      <c r="U57" s="1146">
        <f>_xlfn.XLOOKUP(D57,RUC!$B$3:$B$123,RUC!$F$3:$F$123)</f>
        <v>100</v>
      </c>
      <c r="V57" s="715">
        <v>1.1023000000000001</v>
      </c>
      <c r="Y57">
        <f>_xlfn.XLOOKUP(D57,RUC!$B$3:$B$123,RUC!$G$3:$G$123)</f>
        <v>0</v>
      </c>
      <c r="Z57" s="143">
        <f>_xlfn.XLOOKUP(D57,RUC!$B$3:$B$123,RUC!$H$3:$H$123)</f>
        <v>30</v>
      </c>
      <c r="AA57" s="144">
        <f t="shared" si="39"/>
        <v>30</v>
      </c>
      <c r="AB57" s="145">
        <f t="shared" si="49"/>
        <v>1373.5721499040003</v>
      </c>
      <c r="AC57" s="145">
        <f>+(S57-T57)*V57-'data 1'!$F$4</f>
        <v>41.253</v>
      </c>
      <c r="AD57" s="145">
        <f t="shared" si="40"/>
        <v>56.160112146895997</v>
      </c>
      <c r="AE57" s="145">
        <f t="shared" si="41"/>
        <v>-36.930999999999997</v>
      </c>
      <c r="AF57" s="145">
        <f t="shared" si="42"/>
        <v>100.68097968688009</v>
      </c>
      <c r="AG57" s="772">
        <f t="shared" si="50"/>
        <v>221.16309183377609</v>
      </c>
      <c r="AH57" s="1253">
        <f t="shared" si="43"/>
        <v>81.694999999999993</v>
      </c>
      <c r="AI57" s="1253">
        <f t="shared" si="44"/>
        <v>87.74</v>
      </c>
      <c r="AJ57" s="156">
        <f t="shared" si="45"/>
        <v>-1.6454467728960624</v>
      </c>
      <c r="AK57" s="156">
        <f t="shared" si="46"/>
        <v>74.23750617936966</v>
      </c>
      <c r="AM57" s="716">
        <f t="shared" si="47"/>
        <v>10524.30981256445</v>
      </c>
      <c r="AN57" s="716" t="str">
        <f>_xlfn.XLOOKUP(D57,RUC!$B$3:$B$578,RUC!$M$3:$M$578)</f>
        <v>Ronald Garibay</v>
      </c>
      <c r="AO57" s="1167" t="s">
        <v>2277</v>
      </c>
      <c r="AP57" t="s">
        <v>4842</v>
      </c>
      <c r="AQ57" t="s">
        <v>4843</v>
      </c>
    </row>
    <row r="58" spans="1:44" ht="15" customHeight="1">
      <c r="A58" s="747" t="s">
        <v>4831</v>
      </c>
      <c r="B58" s="1447">
        <v>46076</v>
      </c>
      <c r="C58" s="1447">
        <v>46072</v>
      </c>
      <c r="D58" t="s">
        <v>2004</v>
      </c>
      <c r="E58" s="762">
        <f>_xlfn.XLOOKUP(D58,RUC!$B$3:$B$123,RUC!$D$3:$D$123)</f>
        <v>20612921866</v>
      </c>
      <c r="G58" s="1082" t="s">
        <v>2985</v>
      </c>
      <c r="H58" s="762" t="s">
        <v>69</v>
      </c>
      <c r="I58" s="703">
        <v>9.5500000000000007</v>
      </c>
      <c r="J58" s="596">
        <v>2.4</v>
      </c>
      <c r="K58" s="703">
        <f t="shared" si="38"/>
        <v>9.3209999999999997</v>
      </c>
      <c r="L58" s="1192">
        <v>0.33400000000000002</v>
      </c>
      <c r="M58" s="994">
        <f t="shared" si="32"/>
        <v>0.314</v>
      </c>
      <c r="N58" s="1196">
        <f t="shared" si="51"/>
        <v>0.314</v>
      </c>
      <c r="O58" s="645">
        <f t="shared" si="31"/>
        <v>0.314</v>
      </c>
      <c r="P58" s="727">
        <v>90</v>
      </c>
      <c r="Q58" s="1476">
        <v>93.11</v>
      </c>
      <c r="R58" s="706">
        <v>5004.8</v>
      </c>
      <c r="S58" s="765">
        <f>IF((_xlfn.XLOOKUP(D58,RUC!$B$3:$B$119,RUC!$E$3:$E$119)+ROUNDDOWN(O58,1)*100)&lt;95,95,((_xlfn.XLOOKUP(D58,RUC!$B$3:$B$119,RUC!$E$3:$E$119)+ROUNDDOWN(O58,1)*100)))</f>
        <v>110</v>
      </c>
      <c r="U58" s="1146">
        <f>_xlfn.XLOOKUP(D58,RUC!$B$3:$B$123,RUC!$F$3:$F$123)</f>
        <v>100</v>
      </c>
      <c r="V58" s="715">
        <v>1.1023000000000001</v>
      </c>
      <c r="Y58">
        <f>_xlfn.XLOOKUP(D58,RUC!$B$3:$B$123,RUC!$G$3:$G$123)</f>
        <v>0</v>
      </c>
      <c r="Z58" s="143">
        <f>_xlfn.XLOOKUP(D58,RUC!$B$3:$B$123,RUC!$H$3:$H$123)</f>
        <v>30</v>
      </c>
      <c r="AA58" s="144">
        <f t="shared" si="39"/>
        <v>30</v>
      </c>
      <c r="AB58" s="145">
        <f t="shared" si="49"/>
        <v>1373.5721499040003</v>
      </c>
      <c r="AC58" s="145">
        <f>+(S58-T58)*V58-'data 1'!$F$4</f>
        <v>41.253</v>
      </c>
      <c r="AD58" s="145">
        <f t="shared" si="40"/>
        <v>56.160112146895997</v>
      </c>
      <c r="AE58" s="145">
        <f t="shared" si="41"/>
        <v>-36.930999999999997</v>
      </c>
      <c r="AF58" s="145">
        <f t="shared" si="42"/>
        <v>100.68097968688009</v>
      </c>
      <c r="AG58" s="772">
        <f t="shared" si="50"/>
        <v>221.16309183377609</v>
      </c>
      <c r="AH58" s="1253">
        <f t="shared" si="43"/>
        <v>99.384</v>
      </c>
      <c r="AI58" s="1253">
        <f t="shared" si="44"/>
        <v>106.738</v>
      </c>
      <c r="AJ58" s="156">
        <f t="shared" si="45"/>
        <v>-1.6454467728960624</v>
      </c>
      <c r="AK58" s="156">
        <f t="shared" si="46"/>
        <v>90.311641229170547</v>
      </c>
      <c r="AM58" s="716">
        <f t="shared" si="47"/>
        <v>12803.066009255186</v>
      </c>
      <c r="AN58" s="716" t="str">
        <f>_xlfn.XLOOKUP(D58,RUC!$B$3:$B$578,RUC!$M$3:$M$578)</f>
        <v>Ronald Garibay</v>
      </c>
      <c r="AO58" s="1167" t="s">
        <v>2277</v>
      </c>
      <c r="AP58" t="s">
        <v>4844</v>
      </c>
      <c r="AQ58" t="s">
        <v>4845</v>
      </c>
    </row>
    <row r="59" spans="1:44" ht="15" customHeight="1">
      <c r="A59" s="747" t="s">
        <v>4852</v>
      </c>
      <c r="B59" s="1447">
        <v>46077</v>
      </c>
      <c r="C59" s="1447">
        <v>46073</v>
      </c>
      <c r="D59" t="s">
        <v>119</v>
      </c>
      <c r="E59" s="762">
        <f>_xlfn.XLOOKUP(D59,RUC!$B$3:$B$123,RUC!$D$3:$D$123)</f>
        <v>10082235774</v>
      </c>
      <c r="G59" s="1082">
        <v>78</v>
      </c>
      <c r="H59" s="762" t="s">
        <v>69</v>
      </c>
      <c r="I59" s="703">
        <v>7.18</v>
      </c>
      <c r="J59" s="596">
        <v>2.9</v>
      </c>
      <c r="K59" s="703">
        <f t="shared" si="38"/>
        <v>6.9720000000000004</v>
      </c>
      <c r="L59" s="1192">
        <v>0.16800000000000001</v>
      </c>
      <c r="M59" s="994">
        <f t="shared" si="32"/>
        <v>0.161</v>
      </c>
      <c r="N59" s="1196">
        <f t="shared" si="51"/>
        <v>0.161</v>
      </c>
      <c r="O59" s="645">
        <f t="shared" si="31"/>
        <v>0.161</v>
      </c>
      <c r="P59" s="727">
        <v>85</v>
      </c>
      <c r="Q59" s="1476">
        <v>93.45</v>
      </c>
      <c r="R59" s="706">
        <v>5053.2</v>
      </c>
      <c r="S59" s="1164">
        <v>95</v>
      </c>
      <c r="U59" s="1146">
        <f>_xlfn.XLOOKUP(D59,RUC!$B$3:$B$123,RUC!$F$3:$F$123)</f>
        <v>80</v>
      </c>
      <c r="V59" s="715">
        <v>1.1023000000000001</v>
      </c>
      <c r="Y59">
        <f>_xlfn.XLOOKUP(D59,RUC!$B$3:$B$123,RUC!$G$3:$G$123)</f>
        <v>0</v>
      </c>
      <c r="Z59" s="143">
        <f>_xlfn.XLOOKUP(D59,RUC!$B$3:$B$123,RUC!$H$3:$H$123)</f>
        <v>10</v>
      </c>
      <c r="AA59" s="144">
        <f t="shared" si="39"/>
        <v>10</v>
      </c>
      <c r="AB59" s="145">
        <f t="shared" si="49"/>
        <v>634.46450156599997</v>
      </c>
      <c r="AC59" s="145">
        <f>+(S59-T59)*V59-'data 1'!$F$4</f>
        <v>24.718500000000006</v>
      </c>
      <c r="AD59" s="145">
        <f t="shared" si="40"/>
        <v>77.821880878560037</v>
      </c>
      <c r="AE59" s="145">
        <f t="shared" si="41"/>
        <v>-58.977000000000004</v>
      </c>
      <c r="AF59" s="145">
        <f t="shared" si="42"/>
        <v>35.86023061194004</v>
      </c>
      <c r="AG59" s="772">
        <f>AC59+AD59+AE59+AF59+70</f>
        <v>149.42361149050009</v>
      </c>
      <c r="AH59" s="1253">
        <f t="shared" si="43"/>
        <v>37.527999999999999</v>
      </c>
      <c r="AI59" s="1253">
        <f t="shared" si="44"/>
        <v>40.158000000000001</v>
      </c>
      <c r="AJ59" s="156">
        <f t="shared" si="45"/>
        <v>-12.667749766559972</v>
      </c>
      <c r="AK59" s="156">
        <f t="shared" si="46"/>
        <v>32.712312732567518</v>
      </c>
      <c r="AM59" s="716">
        <f t="shared" si="47"/>
        <v>4423.4865049181517</v>
      </c>
      <c r="AN59" s="716" t="str">
        <f>_xlfn.XLOOKUP(D59,RUC!$B$3:$B$578,RUC!$M$3:$M$578)</f>
        <v>Melchor Vera</v>
      </c>
      <c r="AO59" s="1167" t="s">
        <v>2277</v>
      </c>
      <c r="AP59" s="1682" t="s">
        <v>4860</v>
      </c>
      <c r="AQ59" s="1682" t="s">
        <v>4861</v>
      </c>
    </row>
    <row r="60" spans="1:44" ht="15" customHeight="1">
      <c r="A60" s="747" t="s">
        <v>4853</v>
      </c>
      <c r="B60" s="1447">
        <v>46077</v>
      </c>
      <c r="C60" s="1447">
        <v>46073</v>
      </c>
      <c r="D60" t="s">
        <v>119</v>
      </c>
      <c r="E60" s="762">
        <f>_xlfn.XLOOKUP(D60,RUC!$B$3:$B$123,RUC!$D$3:$D$123)</f>
        <v>10082235774</v>
      </c>
      <c r="G60" s="1082">
        <v>77</v>
      </c>
      <c r="H60" s="762" t="s">
        <v>69</v>
      </c>
      <c r="I60" s="703">
        <v>6.95</v>
      </c>
      <c r="J60" s="596">
        <v>2.25</v>
      </c>
      <c r="K60" s="703">
        <f t="shared" si="38"/>
        <v>6.7939999999999996</v>
      </c>
      <c r="L60" s="1192">
        <v>0.16800000000000001</v>
      </c>
      <c r="M60" s="994">
        <f t="shared" si="32"/>
        <v>0.161</v>
      </c>
      <c r="N60" s="1196">
        <f t="shared" si="51"/>
        <v>0.161</v>
      </c>
      <c r="O60" s="645">
        <f t="shared" si="31"/>
        <v>0.161</v>
      </c>
      <c r="P60" s="727">
        <v>85</v>
      </c>
      <c r="Q60" s="1476">
        <v>89.88</v>
      </c>
      <c r="R60" s="706">
        <v>5053.2</v>
      </c>
      <c r="S60" s="1164">
        <v>95</v>
      </c>
      <c r="U60" s="1146">
        <f>_xlfn.XLOOKUP(D60,RUC!$B$3:$B$123,RUC!$F$3:$F$123)</f>
        <v>80</v>
      </c>
      <c r="V60" s="715">
        <v>1.1023000000000001</v>
      </c>
      <c r="Y60">
        <f>_xlfn.XLOOKUP(D60,RUC!$B$3:$B$123,RUC!$G$3:$G$123)</f>
        <v>0</v>
      </c>
      <c r="Z60" s="143">
        <f>_xlfn.XLOOKUP(D60,RUC!$B$3:$B$123,RUC!$H$3:$H$123)</f>
        <v>10</v>
      </c>
      <c r="AA60" s="144">
        <f t="shared" si="39"/>
        <v>10</v>
      </c>
      <c r="AB60" s="145">
        <f t="shared" si="49"/>
        <v>634.46450156599997</v>
      </c>
      <c r="AC60" s="145">
        <f>+(S60-T60)*V60-'data 1'!$F$4</f>
        <v>24.718500000000006</v>
      </c>
      <c r="AD60" s="145">
        <f t="shared" si="40"/>
        <v>44.94328741862396</v>
      </c>
      <c r="AE60" s="145">
        <f t="shared" si="41"/>
        <v>-58.977000000000004</v>
      </c>
      <c r="AF60" s="145">
        <f t="shared" si="42"/>
        <v>34.490289217776038</v>
      </c>
      <c r="AG60" s="772">
        <f>AC60+AD60+AE60+AF60+70</f>
        <v>115.17507663639999</v>
      </c>
      <c r="AH60" s="1253">
        <f t="shared" si="43"/>
        <v>35.173000000000002</v>
      </c>
      <c r="AI60" s="1253">
        <f t="shared" si="44"/>
        <v>39.133000000000003</v>
      </c>
      <c r="AJ60" s="156">
        <f t="shared" si="45"/>
        <v>-12.183813258623971</v>
      </c>
      <c r="AK60" s="156">
        <f t="shared" si="46"/>
        <v>31.877144679441145</v>
      </c>
      <c r="AM60" s="716">
        <f t="shared" si="47"/>
        <v>4310.5518236394037</v>
      </c>
      <c r="AN60" s="716" t="str">
        <f>_xlfn.XLOOKUP(D60,RUC!$B$3:$B$578,RUC!$M$3:$M$578)</f>
        <v>Melchor Vera</v>
      </c>
      <c r="AO60" s="1167" t="s">
        <v>2277</v>
      </c>
      <c r="AP60" s="1682" t="s">
        <v>4860</v>
      </c>
      <c r="AQ60" s="1682" t="s">
        <v>4861</v>
      </c>
    </row>
    <row r="61" spans="1:44" ht="15" customHeight="1">
      <c r="A61" s="747" t="s">
        <v>4854</v>
      </c>
      <c r="B61" s="1447">
        <v>46077</v>
      </c>
      <c r="C61" s="1447">
        <v>46073</v>
      </c>
      <c r="D61" t="s">
        <v>119</v>
      </c>
      <c r="E61" s="762">
        <f>_xlfn.XLOOKUP(D61,RUC!$B$3:$B$123,RUC!$D$3:$D$123)</f>
        <v>10082235774</v>
      </c>
      <c r="G61" s="1082">
        <v>74</v>
      </c>
      <c r="H61" s="762" t="s">
        <v>69</v>
      </c>
      <c r="I61" s="703">
        <v>6.58</v>
      </c>
      <c r="J61" s="596">
        <v>2.2999999999999998</v>
      </c>
      <c r="K61" s="703">
        <f t="shared" si="38"/>
        <v>6.4290000000000003</v>
      </c>
      <c r="L61" s="1192">
        <v>0.14000000000000001</v>
      </c>
      <c r="M61" s="994">
        <f t="shared" si="32"/>
        <v>0.13300000000000001</v>
      </c>
      <c r="N61" s="1196">
        <f t="shared" si="51"/>
        <v>0.13300000000000001</v>
      </c>
      <c r="O61" s="645">
        <f t="shared" si="31"/>
        <v>0.13300000000000001</v>
      </c>
      <c r="P61" s="727">
        <v>85</v>
      </c>
      <c r="Q61" s="1476">
        <v>94.29</v>
      </c>
      <c r="R61" s="706">
        <v>5053.2</v>
      </c>
      <c r="S61" s="1164">
        <f>IF((_xlfn.XLOOKUP(D61,RUC!$B$3:$B$119,RUC!$E$3:$E$119)+ROUNDDOWN(O61,1)*100)&lt;95,95,((_xlfn.XLOOKUP(D61,RUC!$B$3:$B$119,RUC!$E$3:$E$119)+ROUNDDOWN(O61,1)*100)))</f>
        <v>95</v>
      </c>
      <c r="U61" s="1146">
        <f>_xlfn.XLOOKUP(D61,RUC!$B$3:$B$123,RUC!$F$3:$F$123)</f>
        <v>80</v>
      </c>
      <c r="V61" s="715">
        <v>1.1023000000000001</v>
      </c>
      <c r="Y61">
        <f>_xlfn.XLOOKUP(D61,RUC!$B$3:$B$123,RUC!$G$3:$G$123)</f>
        <v>0</v>
      </c>
      <c r="Z61" s="143">
        <f>_xlfn.XLOOKUP(D61,RUC!$B$3:$B$123,RUC!$H$3:$H$123)</f>
        <v>10</v>
      </c>
      <c r="AA61" s="144">
        <f t="shared" si="39"/>
        <v>10</v>
      </c>
      <c r="AB61" s="145">
        <f t="shared" si="49"/>
        <v>503.99389259799995</v>
      </c>
      <c r="AC61" s="145">
        <f>+(S61-T61)*V61-'data 1'!$F$4</f>
        <v>24.718500000000006</v>
      </c>
      <c r="AD61" s="145">
        <f t="shared" si="40"/>
        <v>71.298350430160042</v>
      </c>
      <c r="AE61" s="145">
        <f t="shared" si="41"/>
        <v>-58.977000000000004</v>
      </c>
      <c r="AF61" s="145">
        <f t="shared" si="42"/>
        <v>36.182569763508042</v>
      </c>
      <c r="AG61" s="772">
        <f>AC61+AD61+AE61+AF61+70</f>
        <v>143.22242019366809</v>
      </c>
      <c r="AH61" s="1253">
        <f t="shared" si="43"/>
        <v>29.097000000000001</v>
      </c>
      <c r="AI61" s="1253">
        <f t="shared" si="44"/>
        <v>30.859000000000002</v>
      </c>
      <c r="AJ61" s="156">
        <f t="shared" si="45"/>
        <v>-10.651347650159975</v>
      </c>
      <c r="AK61" s="156">
        <f t="shared" si="46"/>
        <v>24.918566892388526</v>
      </c>
      <c r="AM61" s="716">
        <f t="shared" si="47"/>
        <v>3240.1767355125417</v>
      </c>
      <c r="AN61" s="716" t="str">
        <f>_xlfn.XLOOKUP(D61,RUC!$B$3:$B$578,RUC!$M$3:$M$578)</f>
        <v>Melchor Vera</v>
      </c>
      <c r="AO61" s="1167" t="s">
        <v>2280</v>
      </c>
      <c r="AP61" s="1682" t="s">
        <v>4860</v>
      </c>
      <c r="AQ61" s="1682" t="s">
        <v>4861</v>
      </c>
    </row>
    <row r="62" spans="1:44" ht="15" customHeight="1">
      <c r="A62" s="747" t="s">
        <v>4856</v>
      </c>
      <c r="B62" s="1447">
        <v>46077</v>
      </c>
      <c r="C62" s="1447">
        <v>46073</v>
      </c>
      <c r="D62" t="s">
        <v>119</v>
      </c>
      <c r="E62" s="762">
        <f>_xlfn.XLOOKUP(D62,RUC!$B$3:$B$123,RUC!$D$3:$D$123)</f>
        <v>10082235774</v>
      </c>
      <c r="G62" s="1082">
        <v>31</v>
      </c>
      <c r="H62" s="762" t="s">
        <v>69</v>
      </c>
      <c r="I62" s="703">
        <v>2.91</v>
      </c>
      <c r="J62" s="596">
        <v>3.75</v>
      </c>
      <c r="K62" s="703">
        <f t="shared" si="38"/>
        <v>2.8010000000000002</v>
      </c>
      <c r="L62" s="1192">
        <v>0.23499999999999999</v>
      </c>
      <c r="M62" s="994">
        <f t="shared" si="32"/>
        <v>0.22800000000000001</v>
      </c>
      <c r="N62" s="1196">
        <f t="shared" si="51"/>
        <v>0.22800000000000001</v>
      </c>
      <c r="O62" s="645">
        <f t="shared" si="31"/>
        <v>0.22800000000000001</v>
      </c>
      <c r="P62" s="727">
        <v>85</v>
      </c>
      <c r="Q62" s="1476">
        <v>86.81</v>
      </c>
      <c r="R62" s="706">
        <v>5053.2</v>
      </c>
      <c r="S62" s="1164">
        <v>105</v>
      </c>
      <c r="U62" s="1146">
        <f>_xlfn.XLOOKUP(D62,RUC!$B$3:$B$123,RUC!$F$3:$F$123)</f>
        <v>80</v>
      </c>
      <c r="V62" s="715">
        <v>1.1023000000000001</v>
      </c>
      <c r="Y62">
        <f>_xlfn.XLOOKUP(D62,RUC!$B$3:$B$123,RUC!$G$3:$G$123)</f>
        <v>0</v>
      </c>
      <c r="Z62" s="143">
        <f>_xlfn.XLOOKUP(D62,RUC!$B$3:$B$123,RUC!$H$3:$H$123)</f>
        <v>10</v>
      </c>
      <c r="AA62" s="144">
        <f t="shared" si="39"/>
        <v>10</v>
      </c>
      <c r="AB62" s="145">
        <f>+((O62*P62*(R62-U62)/100)-S62-AA62+T62)*V62</f>
        <v>935.63903016799998</v>
      </c>
      <c r="AC62" s="145">
        <f>+(S62-T62)*V62-'data 1'!$F$4</f>
        <v>35.741500000000002</v>
      </c>
      <c r="AD62" s="145">
        <f t="shared" si="40"/>
        <v>23.31750988426003</v>
      </c>
      <c r="AE62" s="145">
        <f t="shared" si="41"/>
        <v>-58.977000000000004</v>
      </c>
      <c r="AF62" s="145">
        <f t="shared" si="42"/>
        <v>33.312216366211899</v>
      </c>
      <c r="AG62" s="772">
        <f>AC62+AD62+AE62+AF62+70</f>
        <v>103.39422625047193</v>
      </c>
      <c r="AH62" s="1253">
        <f t="shared" si="43"/>
        <v>19.591000000000001</v>
      </c>
      <c r="AI62" s="1253">
        <f t="shared" si="44"/>
        <v>22.568000000000001</v>
      </c>
      <c r="AJ62" s="156">
        <f t="shared" si="45"/>
        <v>-16.460707849259958</v>
      </c>
      <c r="AK62" s="156">
        <f t="shared" si="46"/>
        <v>18.611267479656092</v>
      </c>
      <c r="AM62" s="716">
        <f t="shared" si="47"/>
        <v>2620.7249235005679</v>
      </c>
      <c r="AN62" s="716" t="str">
        <f>_xlfn.XLOOKUP(D62,RUC!$B$3:$B$578,RUC!$M$3:$M$578)</f>
        <v>Melchor Vera</v>
      </c>
      <c r="AO62" s="1167" t="s">
        <v>2277</v>
      </c>
      <c r="AP62" s="1682" t="s">
        <v>4860</v>
      </c>
      <c r="AQ62" s="1682" t="s">
        <v>4861</v>
      </c>
    </row>
    <row r="63" spans="1:44" ht="15" customHeight="1">
      <c r="A63" s="747" t="s">
        <v>4866</v>
      </c>
      <c r="B63" s="1447">
        <v>46082</v>
      </c>
      <c r="C63" s="1447">
        <v>46076</v>
      </c>
      <c r="D63" t="s">
        <v>4917</v>
      </c>
      <c r="E63" s="762" t="str">
        <f>_xlfn.XLOOKUP(D63,RUC!$B$3:$B$123,RUC!$D$3:$D$123)</f>
        <v>20611329556*</v>
      </c>
      <c r="G63" s="1082" t="s">
        <v>2985</v>
      </c>
      <c r="H63" s="1691" t="s">
        <v>108</v>
      </c>
      <c r="I63" s="703">
        <v>10.36</v>
      </c>
      <c r="J63" s="596">
        <v>10.3</v>
      </c>
      <c r="K63" s="703">
        <f t="shared" si="38"/>
        <v>9.2929999999999993</v>
      </c>
      <c r="L63" s="762">
        <v>0.317</v>
      </c>
      <c r="M63" s="994">
        <f>ROUND(+IF(AN63="Melchor Vera",IF(L63&gt;0.467,L63*0.985,(L63-0.007)),IF(L63&gt;0.3,L63*0.94,(L63-0.019))),3)</f>
        <v>0.29799999999999999</v>
      </c>
      <c r="N63" s="1196">
        <f t="shared" si="51"/>
        <v>0.29799999999999999</v>
      </c>
      <c r="O63" s="645">
        <f t="shared" ref="O63:O109" si="52">+ROUND((M63+N63)/2,3)</f>
        <v>0.29799999999999999</v>
      </c>
      <c r="P63" s="727">
        <v>90</v>
      </c>
      <c r="Q63" s="1476">
        <v>98.11</v>
      </c>
      <c r="R63" s="706">
        <v>5191.3999999999996</v>
      </c>
      <c r="S63" s="765">
        <f>IF((_xlfn.XLOOKUP(D63,RUC!$B$3:$B$119,RUC!$E$3:$E$119)+ROUNDDOWN(O63,1)*100)&lt;95,95,((_xlfn.XLOOKUP(D63,RUC!$B$3:$B$119,RUC!$E$3:$E$119)+ROUNDDOWN(O63,1)*100)))</f>
        <v>100</v>
      </c>
      <c r="U63" s="1146">
        <f>_xlfn.XLOOKUP(D63,RUC!$B$3:$B$123,RUC!$F$3:$F$123)</f>
        <v>110</v>
      </c>
      <c r="V63" s="715">
        <v>1.1023000000000001</v>
      </c>
      <c r="Y63">
        <f>_xlfn.XLOOKUP(D63,RUC!$B$3:$B$123,RUC!$G$3:$G$123)</f>
        <v>0</v>
      </c>
      <c r="Z63" s="143">
        <f>_xlfn.XLOOKUP(D63,RUC!$B$3:$B$123,RUC!$H$3:$H$123)</f>
        <v>35</v>
      </c>
      <c r="AA63" s="144">
        <f t="shared" si="39"/>
        <v>35</v>
      </c>
      <c r="AB63" s="145">
        <f t="shared" si="49"/>
        <v>1353.4386404039999</v>
      </c>
      <c r="AC63" s="145">
        <f>+(S63-T63)*V63-'data 1'!$F$4</f>
        <v>30.230000000000004</v>
      </c>
      <c r="AD63" s="145">
        <f t="shared" si="40"/>
        <v>144.00027023081401</v>
      </c>
      <c r="AE63" s="145">
        <f t="shared" si="41"/>
        <v>-31.419499999999999</v>
      </c>
      <c r="AF63" s="145">
        <f t="shared" si="42"/>
        <v>104.41191648529809</v>
      </c>
      <c r="AG63" s="772">
        <f t="shared" ref="AG63:AG109" si="53">AC63+AD63+AE63+AF63+70-53</f>
        <v>264.22268671611209</v>
      </c>
      <c r="AH63" s="1253">
        <f t="shared" si="43"/>
        <v>99.091999999999999</v>
      </c>
      <c r="AI63" s="1253">
        <f t="shared" si="44"/>
        <v>101.001</v>
      </c>
      <c r="AJ63" s="156">
        <f t="shared" si="45"/>
        <v>-62.188435047813883</v>
      </c>
      <c r="AK63" s="156">
        <f t="shared" si="46"/>
        <v>85.452304610067927</v>
      </c>
      <c r="AM63" s="716">
        <f t="shared" si="47"/>
        <v>12577.50528527437</v>
      </c>
      <c r="AN63" s="716" t="str">
        <f>_xlfn.XLOOKUP(D63,RUC!$B$3:$B$578,RUC!$M$3:$M$578)</f>
        <v>Robinson Tuya</v>
      </c>
      <c r="AO63" s="1167" t="s">
        <v>2278</v>
      </c>
      <c r="AP63" t="s">
        <v>4905</v>
      </c>
      <c r="AQ63" t="s">
        <v>4906</v>
      </c>
    </row>
    <row r="64" spans="1:44" ht="15" customHeight="1">
      <c r="A64" s="747" t="s">
        <v>4867</v>
      </c>
      <c r="B64" s="1447">
        <v>46082</v>
      </c>
      <c r="C64" s="1447">
        <v>46076</v>
      </c>
      <c r="D64" t="s">
        <v>4917</v>
      </c>
      <c r="E64" s="762" t="str">
        <f>_xlfn.XLOOKUP(D64,RUC!$B$3:$B$123,RUC!$D$3:$D$123)</f>
        <v>20611329556*</v>
      </c>
      <c r="G64" s="1082" t="s">
        <v>2985</v>
      </c>
      <c r="H64" s="1691" t="s">
        <v>108</v>
      </c>
      <c r="I64" s="703">
        <v>6.18</v>
      </c>
      <c r="J64" s="596">
        <v>14.4</v>
      </c>
      <c r="K64" s="703">
        <f t="shared" si="38"/>
        <v>5.29</v>
      </c>
      <c r="L64" s="762">
        <v>0.42299999999999999</v>
      </c>
      <c r="M64" s="994">
        <f t="shared" si="32"/>
        <v>0.39800000000000002</v>
      </c>
      <c r="N64" s="1196">
        <f t="shared" si="51"/>
        <v>0.39800000000000002</v>
      </c>
      <c r="O64" s="645">
        <f t="shared" si="52"/>
        <v>0.39800000000000002</v>
      </c>
      <c r="P64" s="727">
        <v>90</v>
      </c>
      <c r="Q64" s="1476">
        <v>98.82</v>
      </c>
      <c r="R64" s="706">
        <v>5191.3999999999996</v>
      </c>
      <c r="S64" s="765">
        <f>IF((_xlfn.XLOOKUP(D64,RUC!$B$3:$B$119,RUC!$E$3:$E$119)+ROUNDDOWN(O64,1)*100)&lt;95,95,((_xlfn.XLOOKUP(D64,RUC!$B$3:$B$119,RUC!$E$3:$E$119)+ROUNDDOWN(O64,1)*100)))</f>
        <v>110</v>
      </c>
      <c r="U64" s="1146">
        <f>_xlfn.XLOOKUP(D64,RUC!$B$3:$B$123,RUC!$F$3:$F$123)</f>
        <v>110</v>
      </c>
      <c r="V64" s="715">
        <v>1.1023000000000001</v>
      </c>
      <c r="Y64">
        <f>_xlfn.XLOOKUP(D64,RUC!$B$3:$B$123,RUC!$G$3:$G$123)</f>
        <v>0</v>
      </c>
      <c r="Z64" s="143">
        <f>_xlfn.XLOOKUP(D64,RUC!$B$3:$B$123,RUC!$H$3:$H$123)</f>
        <v>35</v>
      </c>
      <c r="AA64" s="144">
        <f t="shared" si="39"/>
        <v>35</v>
      </c>
      <c r="AB64" s="145">
        <f t="shared" si="49"/>
        <v>1846.526090204</v>
      </c>
      <c r="AC64" s="145">
        <f>+(S64-T64)*V64-'data 1'!$F$4</f>
        <v>41.253</v>
      </c>
      <c r="AD64" s="145">
        <f t="shared" si="40"/>
        <v>208.97394586009182</v>
      </c>
      <c r="AE64" s="145">
        <f t="shared" si="41"/>
        <v>-31.419499999999999</v>
      </c>
      <c r="AF64" s="145">
        <f t="shared" si="42"/>
        <v>138.37831847009983</v>
      </c>
      <c r="AG64" s="772">
        <f t="shared" si="53"/>
        <v>374.18576433019166</v>
      </c>
      <c r="AH64" s="1253">
        <f t="shared" si="43"/>
        <v>75.813999999999993</v>
      </c>
      <c r="AI64" s="1253">
        <f t="shared" si="44"/>
        <v>76.718999999999994</v>
      </c>
      <c r="AJ64" s="156">
        <f t="shared" si="45"/>
        <v>-83.583837592091839</v>
      </c>
      <c r="AK64" s="156">
        <f t="shared" si="46"/>
        <v>64.966627537407916</v>
      </c>
      <c r="AM64" s="716">
        <f t="shared" si="47"/>
        <v>9768.1230171791594</v>
      </c>
      <c r="AN64" s="716" t="str">
        <f>_xlfn.XLOOKUP(D64,RUC!$B$3:$B$578,RUC!$M$3:$M$578)</f>
        <v>Robinson Tuya</v>
      </c>
      <c r="AO64" s="1167" t="s">
        <v>2278</v>
      </c>
      <c r="AP64" t="s">
        <v>4905</v>
      </c>
      <c r="AQ64" t="s">
        <v>4906</v>
      </c>
    </row>
    <row r="65" spans="1:43" ht="15" customHeight="1">
      <c r="A65" s="747" t="s">
        <v>4871</v>
      </c>
      <c r="B65" s="1447">
        <v>46082</v>
      </c>
      <c r="C65" s="1447">
        <v>46078</v>
      </c>
      <c r="D65" t="s">
        <v>3358</v>
      </c>
      <c r="E65" s="762">
        <f>_xlfn.XLOOKUP(D65,RUC!$B$3:$B$123,RUC!$D$3:$D$123)</f>
        <v>20535021563</v>
      </c>
      <c r="G65" s="1082">
        <v>297</v>
      </c>
      <c r="H65" s="762" t="s">
        <v>69</v>
      </c>
      <c r="I65" s="703">
        <v>23.75</v>
      </c>
      <c r="J65" s="596">
        <v>2.2000000000000002</v>
      </c>
      <c r="K65" s="703">
        <f t="shared" si="38"/>
        <v>23.228000000000002</v>
      </c>
      <c r="L65" s="762">
        <v>0.218</v>
      </c>
      <c r="M65" s="994">
        <f t="shared" si="32"/>
        <v>0.19900000000000001</v>
      </c>
      <c r="N65" s="1196">
        <f t="shared" si="51"/>
        <v>0.19900000000000001</v>
      </c>
      <c r="O65" s="645">
        <f t="shared" si="52"/>
        <v>0.19900000000000001</v>
      </c>
      <c r="P65" s="727">
        <v>90</v>
      </c>
      <c r="Q65" s="1476">
        <v>90.37</v>
      </c>
      <c r="R65" s="706">
        <v>5191.55</v>
      </c>
      <c r="S65" s="765">
        <f>IF((_xlfn.XLOOKUP(D65,RUC!$B$3:$B$119,RUC!$E$3:$E$119)+ROUNDDOWN(O65,1)*100)&lt;95,95,((_xlfn.XLOOKUP(D65,RUC!$B$3:$B$119,RUC!$E$3:$E$119)+ROUNDDOWN(O65,1)*100)))</f>
        <v>95</v>
      </c>
      <c r="U65" s="1146">
        <f>_xlfn.XLOOKUP(D65,RUC!$B$3:$B$123,RUC!$F$3:$F$123)</f>
        <v>100</v>
      </c>
      <c r="V65" s="715">
        <v>1.1023000000000001</v>
      </c>
      <c r="Y65">
        <f>_xlfn.XLOOKUP(D65,RUC!$B$3:$B$123,RUC!$G$3:$G$123)</f>
        <v>0</v>
      </c>
      <c r="Z65" s="1454">
        <v>90</v>
      </c>
      <c r="AA65" s="144">
        <f t="shared" si="39"/>
        <v>90</v>
      </c>
      <c r="AB65" s="145">
        <f t="shared" si="49"/>
        <v>801.25812769150002</v>
      </c>
      <c r="AC65" s="145">
        <f>+(S65-T65)*V65-'data 1'!$F$4</f>
        <v>24.718500000000006</v>
      </c>
      <c r="AD65" s="145">
        <f t="shared" si="40"/>
        <v>4.5269743947290557</v>
      </c>
      <c r="AE65" s="145">
        <f t="shared" si="41"/>
        <v>29.207000000000008</v>
      </c>
      <c r="AF65" s="145">
        <f t="shared" si="42"/>
        <v>96.366858975719467</v>
      </c>
      <c r="AG65" s="772">
        <f t="shared" si="53"/>
        <v>171.81933337044853</v>
      </c>
      <c r="AH65" s="1253">
        <f t="shared" si="43"/>
        <v>156.892</v>
      </c>
      <c r="AI65" s="1253">
        <f t="shared" si="44"/>
        <v>173.61099999999999</v>
      </c>
      <c r="AJ65" s="156">
        <f t="shared" si="45"/>
        <v>-41.597069865729047</v>
      </c>
      <c r="AK65" s="156">
        <f t="shared" si="46"/>
        <v>142.63183595830915</v>
      </c>
      <c r="AM65" s="716">
        <f t="shared" si="47"/>
        <v>18611.623790018162</v>
      </c>
      <c r="AN65" s="716" t="str">
        <f>_xlfn.XLOOKUP(D65,RUC!$B$3:$B$578,RUC!$M$3:$M$578)</f>
        <v>Alfred Torres  *</v>
      </c>
      <c r="AO65" s="1167" t="s">
        <v>2278</v>
      </c>
      <c r="AP65" t="s">
        <v>4907</v>
      </c>
      <c r="AQ65" t="s">
        <v>4908</v>
      </c>
    </row>
    <row r="66" spans="1:43" ht="15" customHeight="1">
      <c r="A66" s="747" t="s">
        <v>4872</v>
      </c>
      <c r="B66" s="1447">
        <v>46082</v>
      </c>
      <c r="C66" s="1447">
        <v>46078</v>
      </c>
      <c r="D66" t="s">
        <v>2368</v>
      </c>
      <c r="E66" s="762">
        <f>_xlfn.XLOOKUP(D66,RUC!$B$3:$B$123,RUC!$D$3:$D$123)</f>
        <v>20612719757</v>
      </c>
      <c r="G66" s="1082">
        <v>41</v>
      </c>
      <c r="H66" s="762" t="s">
        <v>2005</v>
      </c>
      <c r="I66" s="703">
        <v>4.05</v>
      </c>
      <c r="J66" s="596">
        <v>11.5</v>
      </c>
      <c r="K66" s="703">
        <f t="shared" si="38"/>
        <v>3.5840000000000001</v>
      </c>
      <c r="L66" s="762">
        <v>0.48199999999999998</v>
      </c>
      <c r="M66" s="994">
        <f t="shared" si="32"/>
        <v>0.45300000000000001</v>
      </c>
      <c r="N66" s="1196">
        <f t="shared" si="51"/>
        <v>0.45300000000000001</v>
      </c>
      <c r="O66" s="645">
        <f t="shared" si="52"/>
        <v>0.45300000000000001</v>
      </c>
      <c r="P66" s="727">
        <v>90</v>
      </c>
      <c r="Q66" s="1476">
        <v>97.93</v>
      </c>
      <c r="R66" s="706">
        <v>5191.55</v>
      </c>
      <c r="S66" s="765">
        <f>IF((_xlfn.XLOOKUP(D66,RUC!$B$3:$B$119,RUC!$E$3:$E$119)+ROUNDDOWN(O66,1)*100)&lt;95,95,((_xlfn.XLOOKUP(D66,RUC!$B$3:$B$119,RUC!$E$3:$E$119)+ROUNDDOWN(O66,1)*100)))</f>
        <v>130</v>
      </c>
      <c r="U66" s="1146">
        <f>_xlfn.XLOOKUP(D66,RUC!$B$3:$B$123,RUC!$F$3:$F$123)</f>
        <v>120</v>
      </c>
      <c r="V66" s="715">
        <v>1.1023000000000001</v>
      </c>
      <c r="Y66">
        <f>_xlfn.XLOOKUP(D66,RUC!$B$3:$B$123,RUC!$G$3:$G$123)</f>
        <v>20</v>
      </c>
      <c r="Z66" s="143">
        <f>_xlfn.XLOOKUP(D66,RUC!$B$3:$B$123,RUC!$H$3:$H$123)</f>
        <v>30</v>
      </c>
      <c r="AA66" s="144">
        <f t="shared" si="39"/>
        <v>50</v>
      </c>
      <c r="AB66" s="145">
        <f t="shared" si="49"/>
        <v>2080.7796716505004</v>
      </c>
      <c r="AC66" s="145">
        <f>+(S66-T66)*V66-'data 1'!$F$4</f>
        <v>63.299000000000007</v>
      </c>
      <c r="AD66" s="145">
        <f t="shared" si="40"/>
        <v>213.67845973516916</v>
      </c>
      <c r="AE66" s="145">
        <f t="shared" si="41"/>
        <v>-14.884999999999998</v>
      </c>
      <c r="AF66" s="145">
        <f t="shared" si="42"/>
        <v>158.76481853513039</v>
      </c>
      <c r="AG66" s="772">
        <f t="shared" si="53"/>
        <v>437.85727827029962</v>
      </c>
      <c r="AH66" s="1253">
        <f t="shared" si="43"/>
        <v>58.002000000000002</v>
      </c>
      <c r="AI66" s="1253">
        <f t="shared" si="44"/>
        <v>59.228000000000002</v>
      </c>
      <c r="AJ66" s="156">
        <f t="shared" si="45"/>
        <v>-89.259268330169107</v>
      </c>
      <c r="AK66" s="156">
        <f t="shared" si="46"/>
        <v>50.097699305418246</v>
      </c>
      <c r="AM66" s="716">
        <f t="shared" si="47"/>
        <v>7457.5143431953938</v>
      </c>
      <c r="AN66" s="716" t="str">
        <f>_xlfn.XLOOKUP(D66,RUC!$B$3:$B$578,RUC!$M$3:$M$578)</f>
        <v>SIN ACOPIADOR</v>
      </c>
      <c r="AO66" s="1167" t="s">
        <v>2278</v>
      </c>
      <c r="AP66" t="s">
        <v>4909</v>
      </c>
      <c r="AQ66" t="s">
        <v>4910</v>
      </c>
    </row>
    <row r="67" spans="1:43" ht="15" customHeight="1">
      <c r="A67" s="747" t="s">
        <v>4873</v>
      </c>
      <c r="B67" s="1447">
        <v>46082</v>
      </c>
      <c r="C67" s="1447">
        <v>46078</v>
      </c>
      <c r="D67" t="s">
        <v>2368</v>
      </c>
      <c r="E67" s="762">
        <f>_xlfn.XLOOKUP(D67,RUC!$B$3:$B$123,RUC!$D$3:$D$123)</f>
        <v>20612719757</v>
      </c>
      <c r="G67" s="1082">
        <v>30</v>
      </c>
      <c r="H67" s="762" t="s">
        <v>2005</v>
      </c>
      <c r="I67" s="703">
        <v>2.57</v>
      </c>
      <c r="J67" s="596">
        <v>11.4</v>
      </c>
      <c r="K67" s="703">
        <f t="shared" si="38"/>
        <v>2.2770000000000001</v>
      </c>
      <c r="L67" s="762">
        <v>0.47799999999999998</v>
      </c>
      <c r="M67" s="994">
        <f t="shared" si="32"/>
        <v>0.44900000000000001</v>
      </c>
      <c r="N67" s="1196">
        <f t="shared" si="51"/>
        <v>0.44900000000000001</v>
      </c>
      <c r="O67" s="645">
        <f t="shared" si="52"/>
        <v>0.44900000000000001</v>
      </c>
      <c r="P67" s="727">
        <v>90</v>
      </c>
      <c r="Q67" s="1476">
        <v>97.28</v>
      </c>
      <c r="R67" s="706">
        <v>5191.55</v>
      </c>
      <c r="S67" s="765">
        <f>IF((_xlfn.XLOOKUP(D67,RUC!$B$3:$B$119,RUC!$E$3:$E$119)+ROUNDDOWN(O67,1)*100)&lt;95,95,((_xlfn.XLOOKUP(D67,RUC!$B$3:$B$119,RUC!$E$3:$E$119)+ROUNDDOWN(O67,1)*100)))</f>
        <v>130</v>
      </c>
      <c r="U67" s="1146">
        <f>_xlfn.XLOOKUP(D67,RUC!$B$3:$B$123,RUC!$F$3:$F$123)</f>
        <v>120</v>
      </c>
      <c r="V67" s="715">
        <v>1.1023000000000001</v>
      </c>
      <c r="Y67">
        <f>_xlfn.XLOOKUP(D67,RUC!$B$3:$B$123,RUC!$G$3:$G$123)</f>
        <v>20</v>
      </c>
      <c r="Z67" s="143">
        <f>_xlfn.XLOOKUP(D67,RUC!$B$3:$B$123,RUC!$H$3:$H$123)</f>
        <v>30</v>
      </c>
      <c r="AA67" s="144">
        <f t="shared" si="39"/>
        <v>50</v>
      </c>
      <c r="AB67" s="145">
        <f t="shared" si="49"/>
        <v>2060.6543412165001</v>
      </c>
      <c r="AC67" s="145">
        <f>+(S67-T67)*V67-'data 1'!$F$4</f>
        <v>63.299000000000007</v>
      </c>
      <c r="AD67" s="145">
        <f t="shared" si="40"/>
        <v>194.53591627069602</v>
      </c>
      <c r="AE67" s="145">
        <f t="shared" si="41"/>
        <v>-14.884999999999998</v>
      </c>
      <c r="AF67" s="145">
        <f t="shared" si="42"/>
        <v>157.71103387212787</v>
      </c>
      <c r="AG67" s="772">
        <f t="shared" si="53"/>
        <v>417.66095014282388</v>
      </c>
      <c r="AH67" s="1253">
        <f t="shared" si="43"/>
        <v>36.301000000000002</v>
      </c>
      <c r="AI67" s="1253">
        <f t="shared" si="44"/>
        <v>37.316000000000003</v>
      </c>
      <c r="AJ67" s="156">
        <f t="shared" si="45"/>
        <v>-87.930995165696089</v>
      </c>
      <c r="AK67" s="156">
        <f t="shared" si="46"/>
        <v>31.547209533158387</v>
      </c>
      <c r="AM67" s="716">
        <f t="shared" si="47"/>
        <v>4692.1099349499709</v>
      </c>
      <c r="AN67" s="716" t="str">
        <f>_xlfn.XLOOKUP(D67,RUC!$B$3:$B$578,RUC!$M$3:$M$578)</f>
        <v>SIN ACOPIADOR</v>
      </c>
      <c r="AO67" s="1167" t="s">
        <v>2278</v>
      </c>
      <c r="AP67" t="s">
        <v>4909</v>
      </c>
      <c r="AQ67" t="s">
        <v>4910</v>
      </c>
    </row>
    <row r="68" spans="1:43" ht="15" customHeight="1">
      <c r="A68" s="747" t="s">
        <v>4874</v>
      </c>
      <c r="B68" s="1447">
        <v>46082</v>
      </c>
      <c r="C68" s="1447">
        <v>46078</v>
      </c>
      <c r="D68" t="s">
        <v>2368</v>
      </c>
      <c r="E68" s="762">
        <f>_xlfn.XLOOKUP(D68,RUC!$B$3:$B$123,RUC!$D$3:$D$123)</f>
        <v>20612719757</v>
      </c>
      <c r="G68" s="1082">
        <v>34</v>
      </c>
      <c r="H68" s="762" t="s">
        <v>2005</v>
      </c>
      <c r="I68" s="703">
        <v>2.71</v>
      </c>
      <c r="J68" s="596">
        <v>18.350000000000001</v>
      </c>
      <c r="K68" s="703">
        <f t="shared" si="38"/>
        <v>2.2130000000000001</v>
      </c>
      <c r="L68" s="762">
        <v>0.42699999999999999</v>
      </c>
      <c r="M68" s="994">
        <f t="shared" si="32"/>
        <v>0.40100000000000002</v>
      </c>
      <c r="N68" s="1196">
        <f t="shared" si="51"/>
        <v>0.40100000000000002</v>
      </c>
      <c r="O68" s="645">
        <f t="shared" si="52"/>
        <v>0.40100000000000002</v>
      </c>
      <c r="P68" s="727">
        <v>90</v>
      </c>
      <c r="Q68" s="1476">
        <v>90.87</v>
      </c>
      <c r="R68" s="706">
        <v>5191.55</v>
      </c>
      <c r="S68" s="765">
        <f>IF((_xlfn.XLOOKUP(D68,RUC!$B$3:$B$119,RUC!$E$3:$E$119)+ROUNDDOWN(O68,1)*100)&lt;95,95,((_xlfn.XLOOKUP(D68,RUC!$B$3:$B$119,RUC!$E$3:$E$119)+ROUNDDOWN(O68,1)*100)))</f>
        <v>130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3">
        <f>_xlfn.XLOOKUP(D68,RUC!$B$3:$B$123,RUC!$H$3:$H$123)</f>
        <v>30</v>
      </c>
      <c r="AA68" s="144">
        <f t="shared" si="39"/>
        <v>50</v>
      </c>
      <c r="AB68" s="145">
        <f t="shared" si="49"/>
        <v>1819.1503760085002</v>
      </c>
      <c r="AC68" s="145">
        <f>+(S68-T68)*V68-'data 1'!$F$4</f>
        <v>63.299000000000007</v>
      </c>
      <c r="AD68" s="145">
        <f t="shared" si="40"/>
        <v>20.767663897018611</v>
      </c>
      <c r="AE68" s="145">
        <f t="shared" si="41"/>
        <v>-14.884999999999998</v>
      </c>
      <c r="AF68" s="145">
        <f t="shared" si="42"/>
        <v>132.07918941660287</v>
      </c>
      <c r="AG68" s="772">
        <f t="shared" si="53"/>
        <v>218.26085331362151</v>
      </c>
      <c r="AH68" s="1253">
        <f t="shared" si="43"/>
        <v>29.44</v>
      </c>
      <c r="AI68" s="1253">
        <f t="shared" si="44"/>
        <v>32.398000000000003</v>
      </c>
      <c r="AJ68" s="156">
        <f t="shared" si="45"/>
        <v>-73.373448803518585</v>
      </c>
      <c r="AK68" s="156">
        <f t="shared" si="46"/>
        <v>27.38276915905319</v>
      </c>
      <c r="AM68" s="716">
        <f t="shared" si="47"/>
        <v>4025.7797821068111</v>
      </c>
      <c r="AN68" s="716" t="str">
        <f>_xlfn.XLOOKUP(D68,RUC!$B$3:$B$578,RUC!$M$3:$M$578)</f>
        <v>SIN ACOPIADOR</v>
      </c>
      <c r="AO68" s="1167" t="s">
        <v>2278</v>
      </c>
      <c r="AP68" t="s">
        <v>4909</v>
      </c>
      <c r="AQ68" t="s">
        <v>4910</v>
      </c>
    </row>
    <row r="69" spans="1:43" ht="15" customHeight="1">
      <c r="A69" s="747" t="s">
        <v>4875</v>
      </c>
      <c r="B69" s="1447">
        <v>46083</v>
      </c>
      <c r="C69" s="1447">
        <v>46078</v>
      </c>
      <c r="D69" t="s">
        <v>1967</v>
      </c>
      <c r="E69" s="762">
        <f>_xlfn.XLOOKUP(D69,RUC!$B$3:$B$123,RUC!$D$3:$D$123)</f>
        <v>20601769396</v>
      </c>
      <c r="G69" s="1082">
        <v>50</v>
      </c>
      <c r="H69" s="762" t="s">
        <v>2005</v>
      </c>
      <c r="I69" s="703">
        <v>3.76</v>
      </c>
      <c r="J69" s="596">
        <v>11.75</v>
      </c>
      <c r="K69" s="703">
        <f t="shared" si="38"/>
        <v>3.3180000000000001</v>
      </c>
      <c r="L69" s="762">
        <v>0.29799999999999999</v>
      </c>
      <c r="M69" s="994">
        <f>ROUND(+IF(AN69="Melchor Vera",IF(L69&gt;0.467,L69*0.985,(L69-0.007)),IF(L69&gt;0.3,L69*0.94,(L69-0.023))),3)</f>
        <v>0.27500000000000002</v>
      </c>
      <c r="N69" s="1196">
        <f t="shared" si="51"/>
        <v>0.27500000000000002</v>
      </c>
      <c r="O69" s="645">
        <f t="shared" si="52"/>
        <v>0.27500000000000002</v>
      </c>
      <c r="P69" s="727">
        <v>90</v>
      </c>
      <c r="Q69" s="1476">
        <v>96.17</v>
      </c>
      <c r="R69" s="706">
        <v>5191.55</v>
      </c>
      <c r="S69" s="765">
        <f>IF((_xlfn.XLOOKUP(D69,RUC!$B$3:$B$119,RUC!$E$3:$E$119)+ROUNDDOWN(O69,1)*100)&lt;95,95,((_xlfn.XLOOKUP(D69,RUC!$B$3:$B$119,RUC!$E$3:$E$119)+ROUNDDOWN(O69,1)*100)))</f>
        <v>110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3">
        <f>_xlfn.XLOOKUP(D69,RUC!$B$3:$B$123,RUC!$H$3:$H$123)</f>
        <v>30</v>
      </c>
      <c r="AA69" s="144">
        <f t="shared" si="39"/>
        <v>50</v>
      </c>
      <c r="AB69" s="145">
        <f t="shared" si="49"/>
        <v>1207.2484673375002</v>
      </c>
      <c r="AC69" s="145">
        <f>+(S69-T69)*V69-'data 1'!$F$4</f>
        <v>41.253</v>
      </c>
      <c r="AD69" s="145">
        <f t="shared" si="40"/>
        <v>102.78788904382901</v>
      </c>
      <c r="AE69" s="145">
        <f t="shared" si="41"/>
        <v>-14.884999999999998</v>
      </c>
      <c r="AF69" s="145">
        <f t="shared" si="42"/>
        <v>123.65394344519133</v>
      </c>
      <c r="AG69" s="772">
        <f t="shared" si="53"/>
        <v>269.80983248902032</v>
      </c>
      <c r="AH69" s="1253">
        <f t="shared" si="43"/>
        <v>32.601999999999997</v>
      </c>
      <c r="AI69" s="1253">
        <f t="shared" si="44"/>
        <v>33.9</v>
      </c>
      <c r="AJ69" s="156">
        <f t="shared" si="45"/>
        <v>-54.19340139482906</v>
      </c>
      <c r="AK69" s="156">
        <f t="shared" si="46"/>
        <v>28.155332093600254</v>
      </c>
      <c r="AM69" s="716">
        <f t="shared" si="47"/>
        <v>4005.6504146258258</v>
      </c>
      <c r="AN69" s="716" t="str">
        <f>_xlfn.XLOOKUP(D69,RUC!$B$3:$B$578,RUC!$M$3:$M$578)</f>
        <v>Evelyn</v>
      </c>
      <c r="AO69" s="1167" t="s">
        <v>2278</v>
      </c>
      <c r="AP69" t="s">
        <v>4911</v>
      </c>
      <c r="AQ69" t="s">
        <v>4912</v>
      </c>
    </row>
    <row r="70" spans="1:43" ht="15" customHeight="1">
      <c r="A70" s="747" t="s">
        <v>4876</v>
      </c>
      <c r="B70" s="1447">
        <v>46083</v>
      </c>
      <c r="C70" s="1447">
        <v>46078</v>
      </c>
      <c r="D70" t="s">
        <v>1967</v>
      </c>
      <c r="E70" s="762">
        <f>_xlfn.XLOOKUP(D70,RUC!$B$3:$B$123,RUC!$D$3:$D$123)</f>
        <v>20601769396</v>
      </c>
      <c r="G70" s="1082">
        <v>50</v>
      </c>
      <c r="H70" s="762" t="s">
        <v>2005</v>
      </c>
      <c r="I70" s="703">
        <v>3.62</v>
      </c>
      <c r="J70" s="596">
        <v>13.98</v>
      </c>
      <c r="K70" s="703">
        <f t="shared" si="38"/>
        <v>3.1139999999999999</v>
      </c>
      <c r="L70" s="762">
        <v>0.36399999999999999</v>
      </c>
      <c r="M70" s="994">
        <f>ROUND(+IF(AN70="Melchor Vera",IF(L70&gt;0.467,L70*0.985,(L70-0.007)),IF(L70&gt;0.3,L70*0.93,(L70-0.019))),3)</f>
        <v>0.33900000000000002</v>
      </c>
      <c r="N70" s="1196">
        <f t="shared" si="51"/>
        <v>0.33900000000000002</v>
      </c>
      <c r="O70" s="645">
        <f t="shared" si="52"/>
        <v>0.33900000000000002</v>
      </c>
      <c r="P70" s="727">
        <v>90</v>
      </c>
      <c r="Q70" s="1476">
        <v>96.24</v>
      </c>
      <c r="R70" s="706">
        <v>5191.55</v>
      </c>
      <c r="S70" s="765">
        <f>IF((_xlfn.XLOOKUP(D70,RUC!$B$3:$B$119,RUC!$E$3:$E$119)+ROUNDDOWN(O70,1)*100)&lt;95,95,((_xlfn.XLOOKUP(D70,RUC!$B$3:$B$119,RUC!$E$3:$E$119)+ROUNDDOWN(O70,1)*100)))</f>
        <v>120</v>
      </c>
      <c r="U70" s="1146">
        <f>_xlfn.XLOOKUP(D70,RUC!$B$3:$B$123,RUC!$F$3:$F$123)</f>
        <v>120</v>
      </c>
      <c r="V70" s="715">
        <v>1.1023000000000001</v>
      </c>
      <c r="Y70">
        <f>_xlfn.XLOOKUP(D70,RUC!$B$3:$B$123,RUC!$G$3:$G$123)</f>
        <v>20</v>
      </c>
      <c r="Z70" s="143">
        <f>_xlfn.XLOOKUP(D70,RUC!$B$3:$B$123,RUC!$H$3:$H$123)</f>
        <v>30</v>
      </c>
      <c r="AA70" s="144">
        <f t="shared" si="39"/>
        <v>50</v>
      </c>
      <c r="AB70" s="145">
        <f t="shared" si="49"/>
        <v>1518.2307542815001</v>
      </c>
      <c r="AC70" s="145">
        <f>+(S70-T70)*V70-'data 1'!$F$4</f>
        <v>52.27600000000001</v>
      </c>
      <c r="AD70" s="145">
        <f t="shared" si="40"/>
        <v>126.97741815158389</v>
      </c>
      <c r="AE70" s="145">
        <f t="shared" si="41"/>
        <v>-14.884999999999998</v>
      </c>
      <c r="AF70" s="145">
        <f t="shared" si="42"/>
        <v>134.50429173389981</v>
      </c>
      <c r="AG70" s="772">
        <f t="shared" si="53"/>
        <v>315.87270988548369</v>
      </c>
      <c r="AH70" s="1253">
        <f t="shared" si="43"/>
        <v>37.401000000000003</v>
      </c>
      <c r="AI70" s="1253">
        <f t="shared" si="44"/>
        <v>38.862000000000002</v>
      </c>
      <c r="AJ70" s="156">
        <f t="shared" si="45"/>
        <v>-66.244149373584065</v>
      </c>
      <c r="AK70" s="156">
        <f t="shared" si="46"/>
        <v>32.573909478087273</v>
      </c>
      <c r="AM70" s="716">
        <f t="shared" si="47"/>
        <v>4727.7705688325914</v>
      </c>
      <c r="AN70" s="716" t="str">
        <f>_xlfn.XLOOKUP(D70,RUC!$B$3:$B$578,RUC!$M$3:$M$578)</f>
        <v>Evelyn</v>
      </c>
      <c r="AO70" s="1167" t="s">
        <v>2278</v>
      </c>
      <c r="AP70" t="s">
        <v>4911</v>
      </c>
      <c r="AQ70" t="s">
        <v>4912</v>
      </c>
    </row>
    <row r="71" spans="1:43" ht="15" customHeight="1">
      <c r="A71" s="747" t="s">
        <v>4877</v>
      </c>
      <c r="B71" s="1447">
        <v>46082</v>
      </c>
      <c r="C71" s="1447">
        <v>46078</v>
      </c>
      <c r="D71" t="s">
        <v>1967</v>
      </c>
      <c r="E71" s="762">
        <f>_xlfn.XLOOKUP(D71,RUC!$B$3:$B$123,RUC!$D$3:$D$123)</f>
        <v>20601769396</v>
      </c>
      <c r="G71" s="1082">
        <v>65</v>
      </c>
      <c r="H71" s="762" t="s">
        <v>2005</v>
      </c>
      <c r="I71" s="703">
        <v>5.94</v>
      </c>
      <c r="J71" s="596">
        <v>9.5299999999999994</v>
      </c>
      <c r="K71" s="703">
        <f t="shared" si="38"/>
        <v>5.3739999999999997</v>
      </c>
      <c r="L71" s="994">
        <v>0.14000000000000001</v>
      </c>
      <c r="M71" s="994">
        <f t="shared" si="32"/>
        <v>0.121</v>
      </c>
      <c r="N71" s="1196">
        <f t="shared" si="51"/>
        <v>0.121</v>
      </c>
      <c r="O71" s="645">
        <f t="shared" si="52"/>
        <v>0.121</v>
      </c>
      <c r="P71" s="727">
        <v>80</v>
      </c>
      <c r="Q71" s="1476">
        <v>92.86</v>
      </c>
      <c r="R71" s="706">
        <v>5191.55</v>
      </c>
      <c r="S71" s="765">
        <f>IF((_xlfn.XLOOKUP(D71,RUC!$B$3:$B$119,RUC!$E$3:$E$119)+ROUNDDOWN(O71,1)*100)&lt;95,95,((_xlfn.XLOOKUP(D71,RUC!$B$3:$B$119,RUC!$E$3:$E$119)+ROUNDDOWN(O71,1)*100)))</f>
        <v>100</v>
      </c>
      <c r="U71" s="1146">
        <f>_xlfn.XLOOKUP(D71,RUC!$B$3:$B$123,RUC!$F$3:$F$123)</f>
        <v>120</v>
      </c>
      <c r="V71" s="715">
        <v>1.1023000000000001</v>
      </c>
      <c r="Y71">
        <f>_xlfn.XLOOKUP(D71,RUC!$B$3:$B$123,RUC!$G$3:$G$123)</f>
        <v>20</v>
      </c>
      <c r="Z71" s="143">
        <f>_xlfn.XLOOKUP(D71,RUC!$B$3:$B$123,RUC!$H$3:$H$123)</f>
        <v>30</v>
      </c>
      <c r="AA71" s="144">
        <f t="shared" si="39"/>
        <v>50</v>
      </c>
      <c r="AB71" s="145">
        <f t="shared" si="49"/>
        <v>375.802773892</v>
      </c>
      <c r="AC71" s="145">
        <f>+(S71-T71)*V71-'data 1'!$F$4</f>
        <v>30.230000000000004</v>
      </c>
      <c r="AD71" s="145">
        <f t="shared" si="40"/>
        <v>100.64901364826002</v>
      </c>
      <c r="AE71" s="145">
        <f t="shared" si="41"/>
        <v>-14.884999999999998</v>
      </c>
      <c r="AF71" s="145">
        <f t="shared" si="42"/>
        <v>98.633126383121109</v>
      </c>
      <c r="AG71" s="772">
        <f t="shared" si="53"/>
        <v>231.62714003138115</v>
      </c>
      <c r="AH71" s="1253">
        <f t="shared" si="43"/>
        <v>23.952999999999999</v>
      </c>
      <c r="AI71" s="1253">
        <f t="shared" si="44"/>
        <v>25.795000000000002</v>
      </c>
      <c r="AJ71" s="156">
        <f t="shared" si="45"/>
        <v>-24.583699848260025</v>
      </c>
      <c r="AK71" s="156">
        <f t="shared" si="46"/>
        <v>17.835368576851756</v>
      </c>
      <c r="AM71" s="716">
        <f t="shared" si="47"/>
        <v>2019.5641068956079</v>
      </c>
      <c r="AN71" s="716" t="str">
        <f>_xlfn.XLOOKUP(D71,RUC!$B$3:$B$578,RUC!$M$3:$M$578)</f>
        <v>Evelyn</v>
      </c>
      <c r="AO71" s="1167" t="s">
        <v>2280</v>
      </c>
      <c r="AP71" t="s">
        <v>4911</v>
      </c>
      <c r="AQ71" t="s">
        <v>4912</v>
      </c>
    </row>
    <row r="72" spans="1:43" ht="15" customHeight="1">
      <c r="A72" s="747" t="s">
        <v>4878</v>
      </c>
      <c r="B72" s="1447">
        <v>46082</v>
      </c>
      <c r="C72" s="1447">
        <v>46078</v>
      </c>
      <c r="D72" t="s">
        <v>1967</v>
      </c>
      <c r="E72" s="762">
        <f>_xlfn.XLOOKUP(D72,RUC!$B$3:$B$123,RUC!$D$3:$D$123)</f>
        <v>20601769396</v>
      </c>
      <c r="G72" s="1082">
        <v>65</v>
      </c>
      <c r="H72" s="762" t="s">
        <v>2005</v>
      </c>
      <c r="I72" s="703">
        <v>5.9</v>
      </c>
      <c r="J72" s="596">
        <v>10.25</v>
      </c>
      <c r="K72" s="703">
        <f t="shared" si="38"/>
        <v>5.2949999999999999</v>
      </c>
      <c r="L72" s="762">
        <v>0.154</v>
      </c>
      <c r="M72" s="994">
        <f t="shared" ref="M72:M109" si="54">ROUND(+IF(AN72="Melchor Vera",IF(L72&gt;0.467,L72*0.985,(L72-0.007)),IF(L72&gt;0.3,L72*0.94,(L72-0.019))),3)</f>
        <v>0.13500000000000001</v>
      </c>
      <c r="N72" s="1196">
        <f t="shared" si="51"/>
        <v>0.13500000000000001</v>
      </c>
      <c r="O72" s="645">
        <f t="shared" si="52"/>
        <v>0.13500000000000001</v>
      </c>
      <c r="P72" s="727">
        <v>85</v>
      </c>
      <c r="Q72" s="1476">
        <v>90.91</v>
      </c>
      <c r="R72" s="706">
        <v>5191.55</v>
      </c>
      <c r="S72" s="765">
        <f>IF((_xlfn.XLOOKUP(D72,RUC!$B$3:$B$119,RUC!$E$3:$E$119)+ROUNDDOWN(O72,1)*100)&lt;95,95,((_xlfn.XLOOKUP(D72,RUC!$B$3:$B$119,RUC!$E$3:$E$119)+ROUNDDOWN(O72,1)*100)))</f>
        <v>100</v>
      </c>
      <c r="U72" s="1146">
        <f>_xlfn.XLOOKUP(D72,RUC!$B$3:$B$123,RUC!$F$3:$F$123)</f>
        <v>120</v>
      </c>
      <c r="V72" s="715">
        <v>1.1023000000000001</v>
      </c>
      <c r="Y72">
        <f>_xlfn.XLOOKUP(D72,RUC!$B$3:$B$123,RUC!$G$3:$G$123)</f>
        <v>20</v>
      </c>
      <c r="Z72" s="143">
        <f>_xlfn.XLOOKUP(D72,RUC!$B$3:$B$123,RUC!$H$3:$H$123)</f>
        <v>30</v>
      </c>
      <c r="AA72" s="144">
        <f t="shared" si="39"/>
        <v>50</v>
      </c>
      <c r="AB72" s="145">
        <f t="shared" si="49"/>
        <v>476.14990758375012</v>
      </c>
      <c r="AC72" s="145">
        <f>+(S72-T72)*V72-'data 1'!$F$4</f>
        <v>30.230000000000004</v>
      </c>
      <c r="AD72" s="145">
        <f t="shared" si="40"/>
        <v>50.880189558890969</v>
      </c>
      <c r="AE72" s="145">
        <f t="shared" si="41"/>
        <v>-14.884999999999998</v>
      </c>
      <c r="AF72" s="145">
        <f t="shared" si="42"/>
        <v>96.561894459288453</v>
      </c>
      <c r="AG72" s="772">
        <f t="shared" si="53"/>
        <v>179.78708401817943</v>
      </c>
      <c r="AH72" s="1253">
        <f t="shared" si="43"/>
        <v>25.416</v>
      </c>
      <c r="AI72" s="1253">
        <f t="shared" si="44"/>
        <v>27.957000000000001</v>
      </c>
      <c r="AJ72" s="156">
        <f t="shared" si="45"/>
        <v>-26.474203839391024</v>
      </c>
      <c r="AK72" s="156">
        <f t="shared" si="46"/>
        <v>20.831844635915061</v>
      </c>
      <c r="AM72" s="716">
        <f t="shared" si="47"/>
        <v>2521.2137606559568</v>
      </c>
      <c r="AN72" s="716" t="str">
        <f>_xlfn.XLOOKUP(D72,RUC!$B$3:$B$578,RUC!$M$3:$M$578)</f>
        <v>Evelyn</v>
      </c>
      <c r="AO72" s="1167" t="s">
        <v>2278</v>
      </c>
      <c r="AP72" t="s">
        <v>4911</v>
      </c>
      <c r="AQ72" t="s">
        <v>4912</v>
      </c>
    </row>
    <row r="73" spans="1:43" ht="15" customHeight="1">
      <c r="A73" s="747" t="s">
        <v>4879</v>
      </c>
      <c r="B73" s="1447">
        <v>46084</v>
      </c>
      <c r="C73" s="1447">
        <v>46079</v>
      </c>
      <c r="D73" t="s">
        <v>1967</v>
      </c>
      <c r="E73" s="762">
        <f>_xlfn.XLOOKUP(D73,RUC!$B$3:$B$123,RUC!$D$3:$D$123)</f>
        <v>20601769396</v>
      </c>
      <c r="G73" s="1082">
        <v>25</v>
      </c>
      <c r="H73" s="762" t="s">
        <v>2005</v>
      </c>
      <c r="I73" s="703">
        <v>1.63</v>
      </c>
      <c r="J73" s="596">
        <v>10</v>
      </c>
      <c r="K73" s="703">
        <f t="shared" si="38"/>
        <v>1.4670000000000001</v>
      </c>
      <c r="L73" s="762">
        <v>0.24099999999999999</v>
      </c>
      <c r="M73" s="994">
        <f t="shared" si="54"/>
        <v>0.222</v>
      </c>
      <c r="N73" s="1196">
        <f t="shared" si="51"/>
        <v>0.222</v>
      </c>
      <c r="O73" s="645">
        <f t="shared" si="52"/>
        <v>0.222</v>
      </c>
      <c r="P73" s="727">
        <v>90</v>
      </c>
      <c r="Q73" s="1476">
        <v>90.46</v>
      </c>
      <c r="R73" s="706">
        <v>5167.3500000000004</v>
      </c>
      <c r="S73" s="765">
        <f>IF((_xlfn.XLOOKUP(D73,RUC!$B$3:$B$119,RUC!$E$3:$E$119)+ROUNDDOWN(O73,1)*100)&lt;95,95,((_xlfn.XLOOKUP(D73,RUC!$B$3:$B$119,RUC!$E$3:$E$119)+ROUNDDOWN(O73,1)*100)))</f>
        <v>110</v>
      </c>
      <c r="U73" s="1146">
        <f>_xlfn.XLOOKUP(D73,RUC!$B$3:$B$123,RUC!$F$3:$F$123)</f>
        <v>120</v>
      </c>
      <c r="V73" s="715">
        <v>1.1023000000000001</v>
      </c>
      <c r="Y73">
        <f>_xlfn.XLOOKUP(D73,RUC!$B$3:$B$123,RUC!$G$3:$G$123)</f>
        <v>20</v>
      </c>
      <c r="Z73" s="143">
        <f>_xlfn.XLOOKUP(D73,RUC!$B$3:$B$123,RUC!$H$3:$H$123)</f>
        <v>30</v>
      </c>
      <c r="AA73" s="144">
        <f t="shared" si="39"/>
        <v>50</v>
      </c>
      <c r="AB73" s="145">
        <f t="shared" si="49"/>
        <v>935.25804221900023</v>
      </c>
      <c r="AC73" s="145">
        <f>+(S73-T73)*V73-'data 1'!$F$4</f>
        <v>41.253</v>
      </c>
      <c r="AD73" s="145">
        <f t="shared" si="40"/>
        <v>6.1679110630829168</v>
      </c>
      <c r="AE73" s="145">
        <f t="shared" si="41"/>
        <v>-14.884999999999998</v>
      </c>
      <c r="AF73" s="145">
        <f t="shared" si="42"/>
        <v>95.62543262279695</v>
      </c>
      <c r="AG73" s="772">
        <f t="shared" si="53"/>
        <v>145.16134368587987</v>
      </c>
      <c r="AH73" s="1253">
        <f t="shared" si="43"/>
        <v>10.965</v>
      </c>
      <c r="AI73" s="1253">
        <f t="shared" si="44"/>
        <v>12.121</v>
      </c>
      <c r="AJ73" s="156">
        <f t="shared" si="45"/>
        <v>-35.409808135583084</v>
      </c>
      <c r="AK73" s="156">
        <f t="shared" si="46"/>
        <v>10.049273521016131</v>
      </c>
      <c r="AM73" s="716">
        <f t="shared" si="47"/>
        <v>1372.0235479352734</v>
      </c>
      <c r="AN73" s="716" t="str">
        <f>_xlfn.XLOOKUP(D73,RUC!$B$3:$B$578,RUC!$M$3:$M$578)</f>
        <v>Evelyn</v>
      </c>
      <c r="AO73" s="1167" t="s">
        <v>2278</v>
      </c>
      <c r="AP73" t="s">
        <v>4913</v>
      </c>
      <c r="AQ73" t="s">
        <v>4914</v>
      </c>
    </row>
    <row r="74" spans="1:43" ht="15" customHeight="1">
      <c r="A74" s="747" t="s">
        <v>4880</v>
      </c>
      <c r="B74" s="1447">
        <v>46084</v>
      </c>
      <c r="C74" s="1447">
        <v>46079</v>
      </c>
      <c r="D74" t="s">
        <v>1967</v>
      </c>
      <c r="E74" s="762">
        <f>_xlfn.XLOOKUP(D74,RUC!$B$3:$B$123,RUC!$D$3:$D$123)</f>
        <v>20601769396</v>
      </c>
      <c r="G74" s="1082">
        <v>25</v>
      </c>
      <c r="H74" s="762" t="s">
        <v>2005</v>
      </c>
      <c r="I74" s="703">
        <v>1.89</v>
      </c>
      <c r="J74" s="596">
        <v>10.3</v>
      </c>
      <c r="K74" s="703">
        <f t="shared" si="38"/>
        <v>1.6950000000000001</v>
      </c>
      <c r="L74" s="994">
        <v>0.26</v>
      </c>
      <c r="M74" s="994">
        <f t="shared" si="54"/>
        <v>0.24099999999999999</v>
      </c>
      <c r="N74" s="1196">
        <f t="shared" si="51"/>
        <v>0.24099999999999999</v>
      </c>
      <c r="O74" s="645">
        <f t="shared" si="52"/>
        <v>0.24099999999999999</v>
      </c>
      <c r="P74" s="727">
        <v>90</v>
      </c>
      <c r="Q74" s="1476">
        <v>93.46</v>
      </c>
      <c r="R74" s="706">
        <v>5167.3500000000004</v>
      </c>
      <c r="S74" s="765">
        <f>IF((_xlfn.XLOOKUP(D74,RUC!$B$3:$B$119,RUC!$E$3:$E$119)+ROUNDDOWN(O74,1)*100)&lt;95,95,((_xlfn.XLOOKUP(D74,RUC!$B$3:$B$119,RUC!$E$3:$E$119)+ROUNDDOWN(O74,1)*100)))</f>
        <v>110</v>
      </c>
      <c r="U74" s="1146">
        <f>_xlfn.XLOOKUP(D74,RUC!$B$3:$B$123,RUC!$F$3:$F$123)</f>
        <v>120</v>
      </c>
      <c r="V74" s="715">
        <v>1.1023000000000001</v>
      </c>
      <c r="Y74">
        <f>_xlfn.XLOOKUP(D74,RUC!$B$3:$B$123,RUC!$G$3:$G$123)</f>
        <v>20</v>
      </c>
      <c r="Z74" s="143">
        <f>_xlfn.XLOOKUP(D74,RUC!$B$3:$B$123,RUC!$H$3:$H$123)</f>
        <v>30</v>
      </c>
      <c r="AA74" s="144">
        <f t="shared" si="39"/>
        <v>50</v>
      </c>
      <c r="AB74" s="145">
        <f t="shared" si="49"/>
        <v>1030.3972079945001</v>
      </c>
      <c r="AC74" s="145">
        <f>+(S74-T74)*V74-'data 1'!$F$4</f>
        <v>41.253</v>
      </c>
      <c r="AD74" s="145">
        <f t="shared" si="40"/>
        <v>50.050990369379925</v>
      </c>
      <c r="AE74" s="145">
        <f t="shared" si="41"/>
        <v>-14.884999999999998</v>
      </c>
      <c r="AF74" s="145">
        <f t="shared" si="42"/>
        <v>98.796738148647094</v>
      </c>
      <c r="AG74" s="772">
        <f t="shared" si="53"/>
        <v>192.21572851802705</v>
      </c>
      <c r="AH74" s="1253">
        <f t="shared" si="43"/>
        <v>14.121</v>
      </c>
      <c r="AI74" s="1253">
        <f t="shared" si="44"/>
        <v>15.11</v>
      </c>
      <c r="AJ74" s="156">
        <f t="shared" si="45"/>
        <v>-39.468359219380105</v>
      </c>
      <c r="AK74" s="156">
        <f t="shared" si="46"/>
        <v>12.604868632336277</v>
      </c>
      <c r="AM74" s="716">
        <f t="shared" si="47"/>
        <v>1746.5232675506779</v>
      </c>
      <c r="AN74" s="716" t="str">
        <f>_xlfn.XLOOKUP(D74,RUC!$B$3:$B$578,RUC!$M$3:$M$578)</f>
        <v>Evelyn</v>
      </c>
      <c r="AO74" s="1167" t="s">
        <v>2278</v>
      </c>
      <c r="AP74" t="s">
        <v>4913</v>
      </c>
      <c r="AQ74" t="s">
        <v>4914</v>
      </c>
    </row>
    <row r="75" spans="1:43" ht="15" customHeight="1">
      <c r="A75" s="747" t="s">
        <v>4881</v>
      </c>
      <c r="B75" s="1447">
        <v>46084</v>
      </c>
      <c r="C75" s="1447">
        <v>46079</v>
      </c>
      <c r="D75" t="s">
        <v>1967</v>
      </c>
      <c r="E75" s="762">
        <f>_xlfn.XLOOKUP(D75,RUC!$B$3:$B$123,RUC!$D$3:$D$123)</f>
        <v>20601769396</v>
      </c>
      <c r="G75" s="1082">
        <v>25</v>
      </c>
      <c r="H75" s="762" t="s">
        <v>2005</v>
      </c>
      <c r="I75" s="703">
        <v>1.62</v>
      </c>
      <c r="J75" s="596">
        <v>11</v>
      </c>
      <c r="K75" s="703">
        <f t="shared" si="38"/>
        <v>1.4419999999999999</v>
      </c>
      <c r="L75" s="762">
        <v>0.29699999999999999</v>
      </c>
      <c r="M75" s="994">
        <f t="shared" si="54"/>
        <v>0.27800000000000002</v>
      </c>
      <c r="N75" s="1196">
        <f t="shared" si="51"/>
        <v>0.27800000000000002</v>
      </c>
      <c r="O75" s="645">
        <f t="shared" si="52"/>
        <v>0.27800000000000002</v>
      </c>
      <c r="P75" s="727">
        <v>90</v>
      </c>
      <c r="Q75" s="1476">
        <v>92.93</v>
      </c>
      <c r="R75" s="706">
        <v>5167.3500000000004</v>
      </c>
      <c r="S75" s="765">
        <f>IF((_xlfn.XLOOKUP(D75,RUC!$B$3:$B$119,RUC!$E$3:$E$119)+ROUNDDOWN(O75,1)*100)&lt;95,95,((_xlfn.XLOOKUP(D75,RUC!$B$3:$B$119,RUC!$E$3:$E$119)+ROUNDDOWN(O75,1)*100)))</f>
        <v>110</v>
      </c>
      <c r="U75" s="1146">
        <f>_xlfn.XLOOKUP(D75,RUC!$B$3:$B$123,RUC!$F$3:$F$123)</f>
        <v>120</v>
      </c>
      <c r="V75" s="715">
        <v>1.1023000000000001</v>
      </c>
      <c r="Y75">
        <f>_xlfn.XLOOKUP(D75,RUC!$B$3:$B$123,RUC!$G$3:$G$123)</f>
        <v>20</v>
      </c>
      <c r="Z75" s="143">
        <f>_xlfn.XLOOKUP(D75,RUC!$B$3:$B$123,RUC!$H$3:$H$123)</f>
        <v>30</v>
      </c>
      <c r="AA75" s="144">
        <f t="shared" si="39"/>
        <v>50</v>
      </c>
      <c r="AB75" s="145">
        <f t="shared" si="49"/>
        <v>1215.6682150310003</v>
      </c>
      <c r="AC75" s="145">
        <f>+(S75-T75)*V75-'data 1'!$F$4</f>
        <v>41.253</v>
      </c>
      <c r="AD75" s="145">
        <f t="shared" si="40"/>
        <v>48.415820730700617</v>
      </c>
      <c r="AE75" s="145">
        <f t="shared" si="41"/>
        <v>-14.884999999999998</v>
      </c>
      <c r="AF75" s="145">
        <f t="shared" si="42"/>
        <v>98.23647417241331</v>
      </c>
      <c r="AG75" s="772">
        <f t="shared" si="53"/>
        <v>190.02029490311395</v>
      </c>
      <c r="AH75" s="1253">
        <f t="shared" si="43"/>
        <v>13.645</v>
      </c>
      <c r="AI75" s="1253">
        <f t="shared" si="44"/>
        <v>14.683999999999999</v>
      </c>
      <c r="AJ75" s="156">
        <f t="shared" si="45"/>
        <v>-44.829338870200608</v>
      </c>
      <c r="AK75" s="156">
        <f t="shared" si="46"/>
        <v>12.369770297938622</v>
      </c>
      <c r="AM75" s="716">
        <f t="shared" si="47"/>
        <v>1752.9935660747024</v>
      </c>
      <c r="AN75" s="716" t="str">
        <f>_xlfn.XLOOKUP(D75,RUC!$B$3:$B$578,RUC!$M$3:$M$578)</f>
        <v>Evelyn</v>
      </c>
      <c r="AO75" s="1167" t="s">
        <v>2278</v>
      </c>
      <c r="AP75" t="s">
        <v>4913</v>
      </c>
      <c r="AQ75" t="s">
        <v>4914</v>
      </c>
    </row>
    <row r="76" spans="1:43" ht="15" customHeight="1">
      <c r="A76" s="747" t="s">
        <v>4882</v>
      </c>
      <c r="B76" s="1447">
        <v>46084</v>
      </c>
      <c r="C76" s="1447">
        <v>46079</v>
      </c>
      <c r="D76" t="s">
        <v>1967</v>
      </c>
      <c r="E76" s="762">
        <f>_xlfn.XLOOKUP(D76,RUC!$B$3:$B$123,RUC!$D$3:$D$123)</f>
        <v>20601769396</v>
      </c>
      <c r="G76" s="1082">
        <v>25</v>
      </c>
      <c r="H76" s="762" t="s">
        <v>2005</v>
      </c>
      <c r="I76" s="703">
        <v>1.7</v>
      </c>
      <c r="J76" s="596">
        <v>13.43</v>
      </c>
      <c r="K76" s="703">
        <f t="shared" si="38"/>
        <v>1.472</v>
      </c>
      <c r="L76" s="762">
        <v>0.27500000000000002</v>
      </c>
      <c r="M76" s="994">
        <f t="shared" si="54"/>
        <v>0.25600000000000001</v>
      </c>
      <c r="N76" s="1196">
        <f t="shared" si="51"/>
        <v>0.25600000000000001</v>
      </c>
      <c r="O76" s="645">
        <f t="shared" si="52"/>
        <v>0.25600000000000001</v>
      </c>
      <c r="P76" s="727">
        <v>90</v>
      </c>
      <c r="Q76" s="1476">
        <v>93.45</v>
      </c>
      <c r="R76" s="706">
        <v>5167.3500000000004</v>
      </c>
      <c r="S76" s="765">
        <f>IF((_xlfn.XLOOKUP(D76,RUC!$B$3:$B$119,RUC!$E$3:$E$119)+ROUNDDOWN(O76,1)*100)&lt;95,95,((_xlfn.XLOOKUP(D76,RUC!$B$3:$B$119,RUC!$E$3:$E$119)+ROUNDDOWN(O76,1)*100)))</f>
        <v>110</v>
      </c>
      <c r="U76" s="1146">
        <f>_xlfn.XLOOKUP(D76,RUC!$B$3:$B$123,RUC!$F$3:$F$123)</f>
        <v>120</v>
      </c>
      <c r="V76" s="715">
        <v>1.1023000000000001</v>
      </c>
      <c r="Y76">
        <f>_xlfn.XLOOKUP(D76,RUC!$B$3:$B$123,RUC!$G$3:$G$123)</f>
        <v>20</v>
      </c>
      <c r="Z76" s="143">
        <f>_xlfn.XLOOKUP(D76,RUC!$B$3:$B$123,RUC!$H$3:$H$123)</f>
        <v>30</v>
      </c>
      <c r="AA76" s="144">
        <f t="shared" si="39"/>
        <v>50</v>
      </c>
      <c r="AB76" s="145">
        <f t="shared" si="49"/>
        <v>1105.5070757120002</v>
      </c>
      <c r="AC76" s="145">
        <f>+(S76-T76)*V76-'data 1'!$F$4</f>
        <v>41.253</v>
      </c>
      <c r="AD76" s="145">
        <f t="shared" si="40"/>
        <v>52.78554592368755</v>
      </c>
      <c r="AE76" s="145">
        <f t="shared" si="41"/>
        <v>-14.884999999999998</v>
      </c>
      <c r="AF76" s="145">
        <f t="shared" si="42"/>
        <v>98.786167130227611</v>
      </c>
      <c r="AG76" s="772">
        <f t="shared" si="53"/>
        <v>194.93971305391517</v>
      </c>
      <c r="AH76" s="1253">
        <f t="shared" si="43"/>
        <v>12.97</v>
      </c>
      <c r="AI76" s="1253">
        <f t="shared" si="44"/>
        <v>13.879</v>
      </c>
      <c r="AJ76" s="156">
        <f t="shared" si="45"/>
        <v>-41.740913286187606</v>
      </c>
      <c r="AK76" s="156">
        <f t="shared" si="46"/>
        <v>11.62784821469184</v>
      </c>
      <c r="AM76" s="716">
        <f t="shared" si="47"/>
        <v>1627.3064154480642</v>
      </c>
      <c r="AN76" s="716" t="str">
        <f>_xlfn.XLOOKUP(D76,RUC!$B$3:$B$578,RUC!$M$3:$M$578)</f>
        <v>Evelyn</v>
      </c>
      <c r="AO76" s="1167" t="s">
        <v>2278</v>
      </c>
      <c r="AP76" t="s">
        <v>4913</v>
      </c>
      <c r="AQ76" t="s">
        <v>4914</v>
      </c>
    </row>
    <row r="77" spans="1:43" ht="15" customHeight="1">
      <c r="A77" s="747" t="s">
        <v>4883</v>
      </c>
      <c r="B77" s="1447">
        <v>46084</v>
      </c>
      <c r="C77" s="1447">
        <v>46079</v>
      </c>
      <c r="D77" t="s">
        <v>1967</v>
      </c>
      <c r="E77" s="762">
        <f>_xlfn.XLOOKUP(D77,RUC!$B$3:$B$123,RUC!$D$3:$D$123)</f>
        <v>20601769396</v>
      </c>
      <c r="G77" s="1082">
        <v>26</v>
      </c>
      <c r="H77" s="762" t="s">
        <v>2005</v>
      </c>
      <c r="I77" s="703">
        <v>1.72</v>
      </c>
      <c r="J77" s="596">
        <v>15.3</v>
      </c>
      <c r="K77" s="703">
        <f t="shared" si="38"/>
        <v>1.4570000000000001</v>
      </c>
      <c r="L77" s="762">
        <v>0.248</v>
      </c>
      <c r="M77" s="994">
        <f t="shared" si="54"/>
        <v>0.22900000000000001</v>
      </c>
      <c r="N77" s="1196">
        <f t="shared" si="51"/>
        <v>0.22900000000000001</v>
      </c>
      <c r="O77" s="645">
        <f t="shared" si="52"/>
        <v>0.22900000000000001</v>
      </c>
      <c r="P77" s="727">
        <v>90</v>
      </c>
      <c r="Q77" s="1476">
        <v>93.55</v>
      </c>
      <c r="R77" s="706">
        <v>5167.3500000000004</v>
      </c>
      <c r="S77" s="765">
        <f>IF((_xlfn.XLOOKUP(D77,RUC!$B$3:$B$119,RUC!$E$3:$E$119)+ROUNDDOWN(O77,1)*100)&lt;95,95,((_xlfn.XLOOKUP(D77,RUC!$B$3:$B$119,RUC!$E$3:$E$119)+ROUNDDOWN(O77,1)*100)))</f>
        <v>110</v>
      </c>
      <c r="U77" s="1146">
        <f>_xlfn.XLOOKUP(D77,RUC!$B$3:$B$123,RUC!$F$3:$F$123)</f>
        <v>120</v>
      </c>
      <c r="V77" s="715">
        <v>1.1023000000000001</v>
      </c>
      <c r="Y77">
        <f>_xlfn.XLOOKUP(D77,RUC!$B$3:$B$123,RUC!$G$3:$G$123)</f>
        <v>20</v>
      </c>
      <c r="Z77" s="143">
        <f>_xlfn.XLOOKUP(D77,RUC!$B$3:$B$123,RUC!$H$3:$H$123)</f>
        <v>30</v>
      </c>
      <c r="AA77" s="144">
        <f t="shared" si="39"/>
        <v>50</v>
      </c>
      <c r="AB77" s="145">
        <f t="shared" si="49"/>
        <v>970.30931382050017</v>
      </c>
      <c r="AC77" s="145">
        <f>+(S77-T77)*V77-'data 1'!$F$4</f>
        <v>41.253</v>
      </c>
      <c r="AD77" s="145">
        <f t="shared" si="40"/>
        <v>48.982761139619967</v>
      </c>
      <c r="AE77" s="145">
        <f t="shared" si="41"/>
        <v>-14.884999999999998</v>
      </c>
      <c r="AF77" s="145">
        <f t="shared" si="42"/>
        <v>98.891877314422459</v>
      </c>
      <c r="AG77" s="772">
        <f t="shared" si="53"/>
        <v>191.24263845404244</v>
      </c>
      <c r="AH77" s="1253">
        <f t="shared" si="43"/>
        <v>11.589</v>
      </c>
      <c r="AI77" s="1253">
        <f t="shared" si="44"/>
        <v>12.388999999999999</v>
      </c>
      <c r="AJ77" s="156">
        <f t="shared" si="45"/>
        <v>-37.682995655620097</v>
      </c>
      <c r="AK77" s="156">
        <f t="shared" si="46"/>
        <v>10.295480321141985</v>
      </c>
      <c r="AM77" s="716">
        <f t="shared" si="47"/>
        <v>1413.7406702364688</v>
      </c>
      <c r="AN77" s="716" t="str">
        <f>_xlfn.XLOOKUP(D77,RUC!$B$3:$B$578,RUC!$M$3:$M$578)</f>
        <v>Evelyn</v>
      </c>
      <c r="AO77" s="1167" t="s">
        <v>2278</v>
      </c>
      <c r="AP77" t="s">
        <v>4913</v>
      </c>
      <c r="AQ77" t="s">
        <v>4914</v>
      </c>
    </row>
    <row r="78" spans="1:43" ht="15" customHeight="1">
      <c r="A78" s="747" t="s">
        <v>4884</v>
      </c>
      <c r="B78" s="1447">
        <v>46084</v>
      </c>
      <c r="C78" s="1447">
        <v>46079</v>
      </c>
      <c r="D78" t="s">
        <v>1967</v>
      </c>
      <c r="E78" s="762">
        <f>_xlfn.XLOOKUP(D78,RUC!$B$3:$B$123,RUC!$D$3:$D$123)</f>
        <v>20601769396</v>
      </c>
      <c r="G78" s="1082">
        <v>25</v>
      </c>
      <c r="H78" s="762" t="s">
        <v>2005</v>
      </c>
      <c r="I78" s="703">
        <v>1.45</v>
      </c>
      <c r="J78" s="596">
        <v>15.8</v>
      </c>
      <c r="K78" s="703">
        <f t="shared" si="38"/>
        <v>1.2210000000000001</v>
      </c>
      <c r="L78" s="762">
        <v>0.23200000000000001</v>
      </c>
      <c r="M78" s="994">
        <f t="shared" si="54"/>
        <v>0.21299999999999999</v>
      </c>
      <c r="N78" s="1196">
        <f t="shared" si="51"/>
        <v>0.21299999999999999</v>
      </c>
      <c r="O78" s="645">
        <f t="shared" si="52"/>
        <v>0.21299999999999999</v>
      </c>
      <c r="P78" s="727">
        <v>90</v>
      </c>
      <c r="Q78" s="1476">
        <v>93.53</v>
      </c>
      <c r="R78" s="706">
        <v>5167.3500000000004</v>
      </c>
      <c r="S78" s="765">
        <f>IF((_xlfn.XLOOKUP(D78,RUC!$B$3:$B$119,RUC!$E$3:$E$119)+ROUNDDOWN(O78,1)*100)&lt;95,95,((_xlfn.XLOOKUP(D78,RUC!$B$3:$B$119,RUC!$E$3:$E$119)+ROUNDDOWN(O78,1)*100)))</f>
        <v>110</v>
      </c>
      <c r="U78" s="1146">
        <f>_xlfn.XLOOKUP(D78,RUC!$B$3:$B$123,RUC!$F$3:$F$123)</f>
        <v>120</v>
      </c>
      <c r="V78" s="715">
        <v>1.1023000000000001</v>
      </c>
      <c r="Y78">
        <f>_xlfn.XLOOKUP(D78,RUC!$B$3:$B$123,RUC!$G$3:$G$123)</f>
        <v>20</v>
      </c>
      <c r="Z78" s="143">
        <f>_xlfn.XLOOKUP(D78,RUC!$B$3:$B$123,RUC!$H$3:$H$123)</f>
        <v>30</v>
      </c>
      <c r="AA78" s="144">
        <f t="shared" si="39"/>
        <v>50</v>
      </c>
      <c r="AB78" s="145">
        <f t="shared" si="49"/>
        <v>890.19212158850007</v>
      </c>
      <c r="AC78" s="145">
        <f>+(S78-T78)*V78-'data 1'!$F$4</f>
        <v>41.253</v>
      </c>
      <c r="AD78" s="145">
        <f t="shared" si="40"/>
        <v>45.564427604388023</v>
      </c>
      <c r="AE78" s="145">
        <f t="shared" si="41"/>
        <v>-14.884999999999998</v>
      </c>
      <c r="AF78" s="145">
        <f t="shared" si="42"/>
        <v>98.870735277583591</v>
      </c>
      <c r="AG78" s="772">
        <f t="shared" si="53"/>
        <v>187.80316288197162</v>
      </c>
      <c r="AH78" s="1253">
        <f t="shared" si="43"/>
        <v>9.0839999999999996</v>
      </c>
      <c r="AI78" s="1253">
        <f t="shared" si="44"/>
        <v>9.7119999999999997</v>
      </c>
      <c r="AJ78" s="156">
        <f t="shared" si="45"/>
        <v>-35.244298176388085</v>
      </c>
      <c r="AK78" s="156">
        <f t="shared" si="46"/>
        <v>8.0250333536948855</v>
      </c>
      <c r="AM78" s="716">
        <f t="shared" si="47"/>
        <v>1086.9245804595587</v>
      </c>
      <c r="AN78" s="716" t="str">
        <f>_xlfn.XLOOKUP(D78,RUC!$B$3:$B$578,RUC!$M$3:$M$578)</f>
        <v>Evelyn</v>
      </c>
      <c r="AO78" s="1167" t="s">
        <v>2278</v>
      </c>
      <c r="AP78" t="s">
        <v>4913</v>
      </c>
      <c r="AQ78" t="s">
        <v>4914</v>
      </c>
    </row>
    <row r="79" spans="1:43" ht="15" customHeight="1">
      <c r="A79" s="747" t="s">
        <v>4885</v>
      </c>
      <c r="B79" s="1447">
        <v>46084</v>
      </c>
      <c r="C79" s="1447">
        <v>46079</v>
      </c>
      <c r="D79" t="s">
        <v>1967</v>
      </c>
      <c r="E79" s="762">
        <f>_xlfn.XLOOKUP(D79,RUC!$B$3:$B$123,RUC!$D$3:$D$123)</f>
        <v>20601769396</v>
      </c>
      <c r="G79" s="1082">
        <v>90</v>
      </c>
      <c r="H79" s="762" t="s">
        <v>108</v>
      </c>
      <c r="I79" s="703">
        <v>7.95</v>
      </c>
      <c r="J79" s="596">
        <v>15.6</v>
      </c>
      <c r="K79" s="703">
        <f t="shared" si="38"/>
        <v>6.71</v>
      </c>
      <c r="L79" s="762">
        <v>0.17100000000000001</v>
      </c>
      <c r="M79" s="994">
        <f t="shared" si="54"/>
        <v>0.152</v>
      </c>
      <c r="N79" s="1196">
        <f t="shared" si="51"/>
        <v>0.152</v>
      </c>
      <c r="O79" s="645">
        <f t="shared" si="52"/>
        <v>0.152</v>
      </c>
      <c r="P79" s="727">
        <v>85</v>
      </c>
      <c r="Q79" s="1476">
        <v>87.72</v>
      </c>
      <c r="R79" s="706">
        <v>5167.3500000000004</v>
      </c>
      <c r="S79" s="765">
        <f>IF((_xlfn.XLOOKUP(D79,RUC!$B$3:$B$119,RUC!$E$3:$E$119)+ROUNDDOWN(O79,1)*100)&lt;95,95,((_xlfn.XLOOKUP(D79,RUC!$B$3:$B$119,RUC!$E$3:$E$119)+ROUNDDOWN(O79,1)*100)))</f>
        <v>100</v>
      </c>
      <c r="U79" s="1146">
        <f>_xlfn.XLOOKUP(D79,RUC!$B$3:$B$123,RUC!$F$3:$F$123)</f>
        <v>120</v>
      </c>
      <c r="V79" s="715">
        <v>1.1023000000000001</v>
      </c>
      <c r="Y79">
        <f>_xlfn.XLOOKUP(D79,RUC!$B$3:$B$123,RUC!$G$3:$G$123)</f>
        <v>20</v>
      </c>
      <c r="Z79" s="143">
        <f>_xlfn.XLOOKUP(D79,RUC!$B$3:$B$123,RUC!$H$3:$H$123)</f>
        <v>30</v>
      </c>
      <c r="AA79" s="144">
        <f t="shared" si="39"/>
        <v>50</v>
      </c>
      <c r="AB79" s="145">
        <f t="shared" si="49"/>
        <v>553.48425252599998</v>
      </c>
      <c r="AC79" s="145">
        <f>+(S79-T79)*V79-'data 1'!$F$4</f>
        <v>30.230000000000004</v>
      </c>
      <c r="AD79" s="145">
        <f t="shared" si="40"/>
        <v>25.877853090935997</v>
      </c>
      <c r="AE79" s="145">
        <f t="shared" si="41"/>
        <v>-14.884999999999998</v>
      </c>
      <c r="AF79" s="145">
        <f t="shared" si="42"/>
        <v>92.728973575854084</v>
      </c>
      <c r="AG79" s="772">
        <f t="shared" si="53"/>
        <v>150.95182666679008</v>
      </c>
      <c r="AH79" s="1253">
        <f t="shared" si="43"/>
        <v>34.509</v>
      </c>
      <c r="AI79" s="1253">
        <f t="shared" si="44"/>
        <v>39.338999999999999</v>
      </c>
      <c r="AJ79" s="156">
        <f t="shared" si="45"/>
        <v>-24.363780658686064</v>
      </c>
      <c r="AK79" s="156">
        <f t="shared" si="46"/>
        <v>29.723100032962599</v>
      </c>
      <c r="AM79" s="716">
        <f t="shared" si="47"/>
        <v>3713.8793344494597</v>
      </c>
      <c r="AN79" s="716" t="str">
        <f>_xlfn.XLOOKUP(D79,RUC!$B$3:$B$578,RUC!$M$3:$M$578)</f>
        <v>Evelyn</v>
      </c>
      <c r="AO79" s="1167" t="s">
        <v>2278</v>
      </c>
      <c r="AP79" t="s">
        <v>4913</v>
      </c>
      <c r="AQ79" t="s">
        <v>4914</v>
      </c>
    </row>
    <row r="80" spans="1:43" ht="15" customHeight="1">
      <c r="A80" s="747" t="s">
        <v>4886</v>
      </c>
      <c r="B80" s="1447">
        <v>46084</v>
      </c>
      <c r="C80" s="1447">
        <v>46079</v>
      </c>
      <c r="D80" t="s">
        <v>1967</v>
      </c>
      <c r="E80" s="762">
        <f>_xlfn.XLOOKUP(D80,RUC!$B$3:$B$123,RUC!$D$3:$D$123)</f>
        <v>20601769396</v>
      </c>
      <c r="G80" s="1082">
        <v>60</v>
      </c>
      <c r="H80" s="762" t="s">
        <v>108</v>
      </c>
      <c r="I80" s="703">
        <v>5.51</v>
      </c>
      <c r="J80" s="596">
        <v>17.600000000000001</v>
      </c>
      <c r="K80" s="703">
        <f t="shared" si="38"/>
        <v>4.54</v>
      </c>
      <c r="L80" s="762">
        <v>0.13800000000000001</v>
      </c>
      <c r="M80" s="994">
        <f t="shared" si="54"/>
        <v>0.11899999999999999</v>
      </c>
      <c r="N80" s="1196">
        <f t="shared" si="51"/>
        <v>0.11899999999999999</v>
      </c>
      <c r="O80" s="645">
        <f t="shared" si="52"/>
        <v>0.11899999999999999</v>
      </c>
      <c r="P80" s="727">
        <v>80</v>
      </c>
      <c r="Q80" s="1476">
        <v>88.41</v>
      </c>
      <c r="R80" s="706">
        <v>5167.3500000000004</v>
      </c>
      <c r="S80" s="765">
        <f>IF((_xlfn.XLOOKUP(D80,RUC!$B$3:$B$119,RUC!$E$3:$E$119)+ROUNDDOWN(O80,1)*100)&lt;95,95,((_xlfn.XLOOKUP(D80,RUC!$B$3:$B$119,RUC!$E$3:$E$119)+ROUNDDOWN(O80,1)*100)))</f>
        <v>100</v>
      </c>
      <c r="U80" s="1146">
        <f>_xlfn.XLOOKUP(D80,RUC!$B$3:$B$123,RUC!$F$3:$F$123)</f>
        <v>120</v>
      </c>
      <c r="V80" s="715">
        <v>1.1023000000000001</v>
      </c>
      <c r="Y80">
        <f>_xlfn.XLOOKUP(D80,RUC!$B$3:$B$123,RUC!$G$3:$G$123)</f>
        <v>20</v>
      </c>
      <c r="Z80" s="143">
        <f>_xlfn.XLOOKUP(D80,RUC!$B$3:$B$123,RUC!$H$3:$H$123)</f>
        <v>30</v>
      </c>
      <c r="AA80" s="144">
        <f t="shared" si="39"/>
        <v>50</v>
      </c>
      <c r="AB80" s="145">
        <f t="shared" si="49"/>
        <v>364.3186597560001</v>
      </c>
      <c r="AC80" s="145">
        <f>+(S80-T80)*V80-'data 1'!$F$4</f>
        <v>30.230000000000004</v>
      </c>
      <c r="AD80" s="145">
        <f t="shared" si="40"/>
        <v>64.57111872264899</v>
      </c>
      <c r="AE80" s="145">
        <f t="shared" si="41"/>
        <v>-14.884999999999998</v>
      </c>
      <c r="AF80" s="145">
        <f t="shared" si="42"/>
        <v>93.458373846799589</v>
      </c>
      <c r="AG80" s="772">
        <f t="shared" si="53"/>
        <v>190.37449256944859</v>
      </c>
      <c r="AH80" s="1253">
        <f t="shared" si="43"/>
        <v>18.991</v>
      </c>
      <c r="AI80" s="1253">
        <f t="shared" si="44"/>
        <v>21.48</v>
      </c>
      <c r="AJ80" s="156">
        <f t="shared" si="45"/>
        <v>-19.816658468649049</v>
      </c>
      <c r="AK80" s="156">
        <f t="shared" si="46"/>
        <v>14.818418998314401</v>
      </c>
      <c r="AM80" s="716">
        <f t="shared" si="47"/>
        <v>1654.0067152922404</v>
      </c>
      <c r="AN80" s="716" t="str">
        <f>_xlfn.XLOOKUP(D80,RUC!$B$3:$B$578,RUC!$M$3:$M$578)</f>
        <v>Evelyn</v>
      </c>
      <c r="AO80" s="1167" t="s">
        <v>2280</v>
      </c>
      <c r="AP80" t="s">
        <v>4913</v>
      </c>
      <c r="AQ80" t="s">
        <v>4914</v>
      </c>
    </row>
    <row r="81" spans="1:43" ht="15" customHeight="1">
      <c r="A81" s="747" t="s">
        <v>4887</v>
      </c>
      <c r="B81" s="1447">
        <v>46083</v>
      </c>
      <c r="C81" s="1447">
        <v>46079</v>
      </c>
      <c r="D81" t="s">
        <v>3358</v>
      </c>
      <c r="E81" s="762">
        <f>_xlfn.XLOOKUP(D81,RUC!$B$3:$B$123,RUC!$D$3:$D$123)</f>
        <v>20535021563</v>
      </c>
      <c r="G81" s="1082">
        <v>297</v>
      </c>
      <c r="H81" s="762" t="s">
        <v>69</v>
      </c>
      <c r="I81" s="703">
        <v>23.21</v>
      </c>
      <c r="J81" s="596">
        <v>2.15</v>
      </c>
      <c r="K81" s="703">
        <f t="shared" si="38"/>
        <v>22.710999999999999</v>
      </c>
      <c r="L81" s="762">
        <v>0.219</v>
      </c>
      <c r="M81" s="994">
        <f t="shared" si="54"/>
        <v>0.2</v>
      </c>
      <c r="N81" s="1196">
        <f t="shared" si="51"/>
        <v>0.2</v>
      </c>
      <c r="O81" s="645">
        <f t="shared" si="52"/>
        <v>0.2</v>
      </c>
      <c r="P81" s="727">
        <v>90</v>
      </c>
      <c r="Q81" s="1476">
        <v>92.24</v>
      </c>
      <c r="R81" s="706">
        <v>5167.3500000000004</v>
      </c>
      <c r="S81" s="765">
        <f>IF((_xlfn.XLOOKUP(D81,RUC!$B$3:$B$119,RUC!$E$3:$E$119)+ROUNDDOWN(O81,1)*100)&lt;95,95,((_xlfn.XLOOKUP(D81,RUC!$B$3:$B$119,RUC!$E$3:$E$119)+ROUNDDOWN(O81,1)*100)))</f>
        <v>105</v>
      </c>
      <c r="U81" s="1146">
        <f>_xlfn.XLOOKUP(D81,RUC!$B$3:$B$123,RUC!$F$3:$F$123)</f>
        <v>100</v>
      </c>
      <c r="V81" s="715">
        <v>1.1023000000000001</v>
      </c>
      <c r="Y81">
        <f>_xlfn.XLOOKUP(D81,RUC!$B$3:$B$123,RUC!$G$3:$G$123)</f>
        <v>0</v>
      </c>
      <c r="Z81" s="1454">
        <v>90</v>
      </c>
      <c r="AA81" s="144">
        <f t="shared" si="39"/>
        <v>90</v>
      </c>
      <c r="AB81" s="145">
        <f t="shared" si="49"/>
        <v>790.48468290000005</v>
      </c>
      <c r="AC81" s="145">
        <f>+(S81-T81)*V81-'data 1'!$F$4</f>
        <v>35.741500000000002</v>
      </c>
      <c r="AD81" s="145">
        <f t="shared" si="40"/>
        <v>27.40140567796794</v>
      </c>
      <c r="AE81" s="145">
        <f t="shared" si="41"/>
        <v>29.207000000000008</v>
      </c>
      <c r="AF81" s="145">
        <f t="shared" si="42"/>
        <v>97.893443279067938</v>
      </c>
      <c r="AG81" s="772">
        <f t="shared" si="53"/>
        <v>207.24334895703589</v>
      </c>
      <c r="AH81" s="1253">
        <f t="shared" si="43"/>
        <v>157.29300000000001</v>
      </c>
      <c r="AI81" s="1253">
        <f t="shared" si="44"/>
        <v>170.52600000000001</v>
      </c>
      <c r="AJ81" s="156">
        <f t="shared" si="45"/>
        <v>-37.26395384146808</v>
      </c>
      <c r="AK81" s="156">
        <f t="shared" si="46"/>
        <v>140.15798064063901</v>
      </c>
      <c r="AM81" s="716">
        <f t="shared" si="47"/>
        <v>17952.697633341901</v>
      </c>
      <c r="AN81" s="716" t="str">
        <f>_xlfn.XLOOKUP(D81,RUC!$B$3:$B$578,RUC!$M$3:$M$578)</f>
        <v>Alfred Torres  *</v>
      </c>
      <c r="AO81" s="1167" t="s">
        <v>2278</v>
      </c>
      <c r="AP81" t="s">
        <v>4915</v>
      </c>
      <c r="AQ81" t="s">
        <v>4916</v>
      </c>
    </row>
    <row r="82" spans="1:43" ht="15" customHeight="1">
      <c r="A82" s="747" t="s">
        <v>4888</v>
      </c>
      <c r="B82" s="1447">
        <v>46086</v>
      </c>
      <c r="C82" s="1447">
        <v>46079</v>
      </c>
      <c r="D82" t="s">
        <v>1967</v>
      </c>
      <c r="E82" s="762">
        <f>_xlfn.XLOOKUP(D82,RUC!$B$3:$B$123,RUC!$D$3:$D$123)</f>
        <v>20601769396</v>
      </c>
      <c r="G82" s="1082">
        <v>41</v>
      </c>
      <c r="H82" s="762" t="s">
        <v>108</v>
      </c>
      <c r="I82" s="703">
        <v>2.94</v>
      </c>
      <c r="J82" s="596">
        <v>12.6</v>
      </c>
      <c r="K82" s="1215">
        <f t="shared" si="38"/>
        <v>2.57</v>
      </c>
      <c r="L82" s="762">
        <v>0.28699999999999998</v>
      </c>
      <c r="M82" s="994">
        <f t="shared" si="54"/>
        <v>0.26800000000000002</v>
      </c>
      <c r="N82" s="1196">
        <f t="shared" si="51"/>
        <v>0.26800000000000002</v>
      </c>
      <c r="O82" s="645">
        <f t="shared" si="52"/>
        <v>0.26800000000000002</v>
      </c>
      <c r="P82" s="727">
        <v>90</v>
      </c>
      <c r="Q82" s="1476">
        <v>91.64</v>
      </c>
      <c r="R82" s="706">
        <v>5167.3500000000004</v>
      </c>
      <c r="S82" s="765">
        <f>IF((_xlfn.XLOOKUP(D82,RUC!$B$3:$B$119,RUC!$E$3:$E$119)+ROUNDDOWN(O82,1)*100)&lt;95,95,((_xlfn.XLOOKUP(D82,RUC!$B$3:$B$119,RUC!$E$3:$E$119)+ROUNDDOWN(O82,1)*100)))</f>
        <v>110</v>
      </c>
      <c r="U82" s="1146">
        <f>_xlfn.XLOOKUP(D82,RUC!$B$3:$B$123,RUC!$F$3:$F$123)</f>
        <v>120</v>
      </c>
      <c r="V82" s="715">
        <v>1.1023000000000001</v>
      </c>
      <c r="Y82" s="1445">
        <v>30</v>
      </c>
      <c r="Z82" s="1454">
        <v>40</v>
      </c>
      <c r="AA82" s="144">
        <f t="shared" si="39"/>
        <v>70</v>
      </c>
      <c r="AB82" s="145">
        <f t="shared" si="49"/>
        <v>1143.5489698860001</v>
      </c>
      <c r="AC82" s="145">
        <f>+(S82-T82)*V82-'data 1'!$F$4</f>
        <v>41.253</v>
      </c>
      <c r="AD82" s="145">
        <f t="shared" si="40"/>
        <v>26.18719447205401</v>
      </c>
      <c r="AE82" s="145">
        <f t="shared" si="41"/>
        <v>7.1610000000000014</v>
      </c>
      <c r="AF82" s="145">
        <f t="shared" si="42"/>
        <v>96.872812796297822</v>
      </c>
      <c r="AG82" s="772">
        <f t="shared" si="53"/>
        <v>188.47400726835184</v>
      </c>
      <c r="AH82" s="1253">
        <f t="shared" si="43"/>
        <v>23.173999999999999</v>
      </c>
      <c r="AI82" s="1253">
        <f t="shared" si="44"/>
        <v>25.289000000000001</v>
      </c>
      <c r="AJ82" s="156">
        <f t="shared" si="45"/>
        <v>-42.718591497554108</v>
      </c>
      <c r="AK82" s="156">
        <f t="shared" si="46"/>
        <v>21.2529634859862</v>
      </c>
      <c r="AM82" s="716">
        <f t="shared" si="47"/>
        <v>2938.9208526070202</v>
      </c>
      <c r="AN82" s="716" t="str">
        <f>_xlfn.XLOOKUP(D82,RUC!$B$3:$B$578,RUC!$M$3:$M$578)</f>
        <v>Evelyn</v>
      </c>
      <c r="AO82" s="1167" t="s">
        <v>2279</v>
      </c>
      <c r="AP82" t="s">
        <v>4913</v>
      </c>
      <c r="AQ82" t="s">
        <v>4914</v>
      </c>
    </row>
    <row r="83" spans="1:43" ht="15" customHeight="1">
      <c r="A83" s="747" t="s">
        <v>4889</v>
      </c>
      <c r="B83" s="1447">
        <v>46086</v>
      </c>
      <c r="C83" s="1447">
        <v>46079</v>
      </c>
      <c r="D83" t="s">
        <v>1967</v>
      </c>
      <c r="E83" s="762">
        <f>_xlfn.XLOOKUP(D83,RUC!$B$3:$B$123,RUC!$D$3:$D$123)</f>
        <v>20601769396</v>
      </c>
      <c r="G83" s="1082">
        <v>40</v>
      </c>
      <c r="H83" s="762" t="s">
        <v>108</v>
      </c>
      <c r="I83" s="703">
        <v>2.9</v>
      </c>
      <c r="J83" s="596">
        <v>12.9</v>
      </c>
      <c r="K83" s="1215">
        <f t="shared" si="38"/>
        <v>2.5259999999999998</v>
      </c>
      <c r="L83" s="762">
        <v>0.16600000000000001</v>
      </c>
      <c r="M83" s="994">
        <f t="shared" si="54"/>
        <v>0.14699999999999999</v>
      </c>
      <c r="N83" s="1196">
        <f t="shared" si="51"/>
        <v>0.14699999999999999</v>
      </c>
      <c r="O83" s="645">
        <f t="shared" si="52"/>
        <v>0.14699999999999999</v>
      </c>
      <c r="P83" s="727">
        <v>85</v>
      </c>
      <c r="Q83" s="1476">
        <v>90.91</v>
      </c>
      <c r="R83" s="706">
        <v>5167.3500000000004</v>
      </c>
      <c r="S83" s="765">
        <f>IF((_xlfn.XLOOKUP(D83,RUC!$B$3:$B$119,RUC!$E$3:$E$119)+ROUNDDOWN(O83,1)*100)&lt;95,95,((_xlfn.XLOOKUP(D83,RUC!$B$3:$B$119,RUC!$E$3:$E$119)+ROUNDDOWN(O83,1)*100)))</f>
        <v>100</v>
      </c>
      <c r="U83" s="1146">
        <f>_xlfn.XLOOKUP(D83,RUC!$B$3:$B$123,RUC!$F$3:$F$123)</f>
        <v>120</v>
      </c>
      <c r="V83" s="715">
        <v>1.1023000000000001</v>
      </c>
      <c r="Y83" s="1445">
        <v>30</v>
      </c>
      <c r="Z83" s="1454">
        <v>40</v>
      </c>
      <c r="AA83" s="144">
        <f t="shared" si="39"/>
        <v>70</v>
      </c>
      <c r="AB83" s="145">
        <f t="shared" si="49"/>
        <v>507.79255342975011</v>
      </c>
      <c r="AC83" s="145">
        <f>+(S83-T83)*V83-'data 1'!$F$4</f>
        <v>30.230000000000004</v>
      </c>
      <c r="AD83" s="145">
        <f t="shared" si="40"/>
        <v>54.583175424392984</v>
      </c>
      <c r="AE83" s="145">
        <f t="shared" si="41"/>
        <v>7.1610000000000014</v>
      </c>
      <c r="AF83" s="145">
        <f t="shared" si="42"/>
        <v>96.101128451674597</v>
      </c>
      <c r="AG83" s="772">
        <f t="shared" si="53"/>
        <v>205.07530387606761</v>
      </c>
      <c r="AH83" s="1253">
        <f t="shared" si="43"/>
        <v>13.07</v>
      </c>
      <c r="AI83" s="1253">
        <f t="shared" si="44"/>
        <v>14.375999999999999</v>
      </c>
      <c r="AJ83" s="156">
        <f t="shared" si="45"/>
        <v>-24.511488957893061</v>
      </c>
      <c r="AK83" s="156">
        <f t="shared" si="46"/>
        <v>10.821281032276783</v>
      </c>
      <c r="AM83" s="716">
        <f t="shared" si="47"/>
        <v>1282.6839899635486</v>
      </c>
      <c r="AN83" s="716" t="str">
        <f>_xlfn.XLOOKUP(D83,RUC!$B$3:$B$578,RUC!$M$3:$M$578)</f>
        <v>Evelyn</v>
      </c>
      <c r="AO83" s="1167" t="s">
        <v>2279</v>
      </c>
      <c r="AP83" t="s">
        <v>4913</v>
      </c>
      <c r="AQ83" t="s">
        <v>4914</v>
      </c>
    </row>
    <row r="84" spans="1:43" ht="15" customHeight="1">
      <c r="A84" s="747" t="s">
        <v>4890</v>
      </c>
      <c r="B84" s="1447">
        <v>46084</v>
      </c>
      <c r="C84" s="1447">
        <v>46079</v>
      </c>
      <c r="D84" t="s">
        <v>1967</v>
      </c>
      <c r="E84" s="762">
        <f>_xlfn.XLOOKUP(D84,RUC!$B$3:$B$123,RUC!$D$3:$D$123)</f>
        <v>20601769396</v>
      </c>
      <c r="G84" s="1082">
        <v>10</v>
      </c>
      <c r="H84" s="762" t="s">
        <v>69</v>
      </c>
      <c r="I84" s="703">
        <v>0.76</v>
      </c>
      <c r="J84" s="596">
        <v>2.2000000000000002</v>
      </c>
      <c r="K84" s="703">
        <f t="shared" si="38"/>
        <v>0.74299999999999999</v>
      </c>
      <c r="L84" s="762">
        <v>0.20799999999999999</v>
      </c>
      <c r="M84" s="994">
        <f t="shared" si="54"/>
        <v>0.189</v>
      </c>
      <c r="N84" s="1196">
        <f t="shared" si="51"/>
        <v>0.189</v>
      </c>
      <c r="O84" s="645">
        <f t="shared" si="52"/>
        <v>0.189</v>
      </c>
      <c r="P84" s="727">
        <v>85</v>
      </c>
      <c r="Q84" s="1476">
        <v>94.23</v>
      </c>
      <c r="R84" s="706">
        <v>5167.3500000000004</v>
      </c>
      <c r="S84" s="765">
        <f>IF((_xlfn.XLOOKUP(D84,RUC!$B$3:$B$119,RUC!$E$3:$E$119)+ROUNDDOWN(O84,1)*100)&lt;95,95,((_xlfn.XLOOKUP(D84,RUC!$B$3:$B$119,RUC!$E$3:$E$119)+ROUNDDOWN(O84,1)*100)))</f>
        <v>100</v>
      </c>
      <c r="U84" s="1146">
        <f>_xlfn.XLOOKUP(D84,RUC!$B$3:$B$123,RUC!$F$3:$F$123)</f>
        <v>120</v>
      </c>
      <c r="V84" s="715">
        <v>1.1023000000000001</v>
      </c>
      <c r="Y84">
        <f>_xlfn.XLOOKUP(D84,RUC!$B$3:$B$123,RUC!$G$3:$G$123)</f>
        <v>20</v>
      </c>
      <c r="Z84" s="143">
        <f>_xlfn.XLOOKUP(D84,RUC!$B$3:$B$123,RUC!$H$3:$H$123)</f>
        <v>30</v>
      </c>
      <c r="AA84" s="144">
        <f t="shared" si="39"/>
        <v>50</v>
      </c>
      <c r="AB84" s="145">
        <f t="shared" si="49"/>
        <v>728.46242583825017</v>
      </c>
      <c r="AC84" s="145">
        <f>+(S84-T84)*V84-'data 1'!$F$4</f>
        <v>30.230000000000004</v>
      </c>
      <c r="AD84" s="145">
        <f t="shared" si="40"/>
        <v>106.81402106575206</v>
      </c>
      <c r="AE84" s="145">
        <f t="shared" si="41"/>
        <v>-14.884999999999998</v>
      </c>
      <c r="AF84" s="145">
        <f t="shared" si="42"/>
        <v>99.610706566948451</v>
      </c>
      <c r="AG84" s="772">
        <f t="shared" si="53"/>
        <v>238.76972763270055</v>
      </c>
      <c r="AH84" s="1253">
        <f t="shared" si="43"/>
        <v>4.9930000000000003</v>
      </c>
      <c r="AI84" s="1253">
        <f t="shared" si="44"/>
        <v>5.2990000000000004</v>
      </c>
      <c r="AJ84" s="156">
        <f t="shared" si="45"/>
        <v>-31.834825501752078</v>
      </c>
      <c r="AK84" s="156">
        <f t="shared" si="46"/>
        <v>4.0924050595427479</v>
      </c>
      <c r="AM84" s="716">
        <f t="shared" si="47"/>
        <v>541.24758239781988</v>
      </c>
      <c r="AN84" s="716" t="str">
        <f>_xlfn.XLOOKUP(D84,RUC!$B$3:$B$578,RUC!$M$3:$M$578)</f>
        <v>Evelyn</v>
      </c>
      <c r="AO84" s="1167" t="s">
        <v>2278</v>
      </c>
      <c r="AP84" t="s">
        <v>4913</v>
      </c>
      <c r="AQ84" t="s">
        <v>4914</v>
      </c>
    </row>
    <row r="85" spans="1:43" ht="15" customHeight="1">
      <c r="A85" s="747" t="s">
        <v>4891</v>
      </c>
      <c r="B85" s="1447">
        <v>46084</v>
      </c>
      <c r="C85" s="1447">
        <v>46079</v>
      </c>
      <c r="D85" t="s">
        <v>1967</v>
      </c>
      <c r="E85" s="762">
        <f>_xlfn.XLOOKUP(D85,RUC!$B$3:$B$123,RUC!$D$3:$D$123)</f>
        <v>20601769396</v>
      </c>
      <c r="G85" s="1082">
        <v>21</v>
      </c>
      <c r="H85" s="762" t="s">
        <v>108</v>
      </c>
      <c r="I85" s="703">
        <v>1.49</v>
      </c>
      <c r="J85" s="596">
        <v>12.4</v>
      </c>
      <c r="K85" s="703">
        <f t="shared" si="38"/>
        <v>1.3049999999999999</v>
      </c>
      <c r="L85" s="762">
        <v>0.29299999999999998</v>
      </c>
      <c r="M85" s="994">
        <f t="shared" si="54"/>
        <v>0.27400000000000002</v>
      </c>
      <c r="N85" s="1196">
        <f t="shared" si="51"/>
        <v>0.27400000000000002</v>
      </c>
      <c r="O85" s="645">
        <f t="shared" si="52"/>
        <v>0.27400000000000002</v>
      </c>
      <c r="P85" s="727">
        <v>90</v>
      </c>
      <c r="Q85" s="1476">
        <v>95.22</v>
      </c>
      <c r="R85" s="706">
        <v>5167.3500000000004</v>
      </c>
      <c r="S85" s="765">
        <f>IF((_xlfn.XLOOKUP(D85,RUC!$B$3:$B$119,RUC!$E$3:$E$119)+ROUNDDOWN(O85,1)*100)&lt;95,95,((_xlfn.XLOOKUP(D85,RUC!$B$3:$B$119,RUC!$E$3:$E$119)+ROUNDDOWN(O85,1)*100)))</f>
        <v>110</v>
      </c>
      <c r="U85" s="1146">
        <f>_xlfn.XLOOKUP(D85,RUC!$B$3:$B$123,RUC!$F$3:$F$123)</f>
        <v>120</v>
      </c>
      <c r="V85" s="715">
        <v>1.1023000000000001</v>
      </c>
      <c r="Y85">
        <f>_xlfn.XLOOKUP(D85,RUC!$B$3:$B$123,RUC!$G$3:$G$123)</f>
        <v>20</v>
      </c>
      <c r="Z85" s="143">
        <f>_xlfn.XLOOKUP(D85,RUC!$B$3:$B$123,RUC!$H$3:$H$123)</f>
        <v>30</v>
      </c>
      <c r="AA85" s="144">
        <f t="shared" si="39"/>
        <v>50</v>
      </c>
      <c r="AB85" s="145">
        <f t="shared" si="49"/>
        <v>1195.6389169730003</v>
      </c>
      <c r="AC85" s="145">
        <f>+(S85-T85)*V85-'data 1'!$F$4</f>
        <v>41.253</v>
      </c>
      <c r="AD85" s="145">
        <f t="shared" si="40"/>
        <v>85.094472799412998</v>
      </c>
      <c r="AE85" s="145">
        <f t="shared" si="41"/>
        <v>-14.884999999999998</v>
      </c>
      <c r="AF85" s="145">
        <f t="shared" si="42"/>
        <v>100.65723739047883</v>
      </c>
      <c r="AG85" s="772">
        <f t="shared" si="53"/>
        <v>229.11971018989186</v>
      </c>
      <c r="AH85" s="1253">
        <f t="shared" si="43"/>
        <v>12.483000000000001</v>
      </c>
      <c r="AI85" s="1253">
        <f t="shared" si="44"/>
        <v>13.11</v>
      </c>
      <c r="AJ85" s="156">
        <f t="shared" si="45"/>
        <v>-45.315392405913116</v>
      </c>
      <c r="AK85" s="156">
        <f t="shared" si="46"/>
        <v>11.033483584534652</v>
      </c>
      <c r="AM85" s="716">
        <f t="shared" si="47"/>
        <v>1560.3087866497654</v>
      </c>
      <c r="AN85" s="716" t="str">
        <f>_xlfn.XLOOKUP(D85,RUC!$B$3:$B$578,RUC!$M$3:$M$578)</f>
        <v>Evelyn</v>
      </c>
      <c r="AO85" s="1167" t="s">
        <v>2278</v>
      </c>
      <c r="AP85" t="s">
        <v>4913</v>
      </c>
      <c r="AQ85" t="s">
        <v>4914</v>
      </c>
    </row>
    <row r="86" spans="1:43" ht="15" customHeight="1">
      <c r="A86" s="747" t="s">
        <v>4892</v>
      </c>
      <c r="B86" s="1447">
        <v>46084</v>
      </c>
      <c r="C86" s="1447">
        <v>46079</v>
      </c>
      <c r="D86" t="s">
        <v>1967</v>
      </c>
      <c r="E86" s="762">
        <f>_xlfn.XLOOKUP(D86,RUC!$B$3:$B$123,RUC!$D$3:$D$123)</f>
        <v>20601769396</v>
      </c>
      <c r="G86" s="1082">
        <v>20</v>
      </c>
      <c r="H86" s="762" t="s">
        <v>108</v>
      </c>
      <c r="I86" s="703">
        <v>1.4</v>
      </c>
      <c r="J86" s="596">
        <v>14.4</v>
      </c>
      <c r="K86" s="703">
        <f t="shared" si="38"/>
        <v>1.198</v>
      </c>
      <c r="L86" s="762">
        <v>0.35599999999999998</v>
      </c>
      <c r="M86" s="994">
        <f t="shared" si="54"/>
        <v>0.33500000000000002</v>
      </c>
      <c r="N86" s="1196">
        <f t="shared" si="51"/>
        <v>0.33500000000000002</v>
      </c>
      <c r="O86" s="645">
        <f t="shared" si="52"/>
        <v>0.33500000000000002</v>
      </c>
      <c r="P86" s="727">
        <v>90</v>
      </c>
      <c r="Q86" s="1476">
        <v>92.42</v>
      </c>
      <c r="R86" s="706">
        <v>5167.3500000000004</v>
      </c>
      <c r="S86" s="765">
        <f>IF((_xlfn.XLOOKUP(D86,RUC!$B$3:$B$119,RUC!$E$3:$E$119)+ROUNDDOWN(O86,1)*100)&lt;95,95,((_xlfn.XLOOKUP(D86,RUC!$B$3:$B$119,RUC!$E$3:$E$119)+ROUNDDOWN(O86,1)*100)))</f>
        <v>120</v>
      </c>
      <c r="U86" s="1146">
        <f>_xlfn.XLOOKUP(D86,RUC!$B$3:$B$123,RUC!$F$3:$F$123)</f>
        <v>120</v>
      </c>
      <c r="V86" s="715">
        <v>1.1023000000000001</v>
      </c>
      <c r="Y86">
        <f>_xlfn.XLOOKUP(D86,RUC!$B$3:$B$123,RUC!$G$3:$G$123)</f>
        <v>20</v>
      </c>
      <c r="Z86" s="143">
        <f>_xlfn.XLOOKUP(D86,RUC!$B$3:$B$123,RUC!$H$3:$H$123)</f>
        <v>30</v>
      </c>
      <c r="AA86" s="144">
        <f t="shared" si="39"/>
        <v>50</v>
      </c>
      <c r="AB86" s="145">
        <f t="shared" si="49"/>
        <v>1490.0627123575002</v>
      </c>
      <c r="AC86" s="145">
        <f>+(S86-T86)*V86-'data 1'!$F$4</f>
        <v>52.27600000000001</v>
      </c>
      <c r="AD86" s="145">
        <f t="shared" si="40"/>
        <v>47.932335730356037</v>
      </c>
      <c r="AE86" s="145">
        <f t="shared" si="41"/>
        <v>-14.884999999999998</v>
      </c>
      <c r="AF86" s="145">
        <f t="shared" si="42"/>
        <v>107.98128404702084</v>
      </c>
      <c r="AG86" s="772">
        <f t="shared" si="53"/>
        <v>210.3046197773769</v>
      </c>
      <c r="AH86" s="1253">
        <f t="shared" si="43"/>
        <v>13.513999999999999</v>
      </c>
      <c r="AI86" s="1253">
        <f t="shared" si="44"/>
        <v>14.622</v>
      </c>
      <c r="AJ86" s="156">
        <f t="shared" si="45"/>
        <v>-53.439933588356133</v>
      </c>
      <c r="AK86" s="156">
        <f t="shared" si="46"/>
        <v>12.383779307495852</v>
      </c>
      <c r="AM86" s="716">
        <f t="shared" si="47"/>
        <v>1785.0951294042852</v>
      </c>
      <c r="AN86" s="716" t="str">
        <f>_xlfn.XLOOKUP(D86,RUC!$B$3:$B$578,RUC!$M$3:$M$578)</f>
        <v>Evelyn</v>
      </c>
      <c r="AO86" s="1167" t="s">
        <v>2278</v>
      </c>
      <c r="AP86" t="s">
        <v>4913</v>
      </c>
      <c r="AQ86" t="s">
        <v>4914</v>
      </c>
    </row>
    <row r="87" spans="1:43" ht="15" customHeight="1">
      <c r="A87" s="747" t="s">
        <v>4894</v>
      </c>
      <c r="B87" s="1447">
        <v>46084</v>
      </c>
      <c r="C87" s="1447">
        <v>46079</v>
      </c>
      <c r="D87" t="s">
        <v>2004</v>
      </c>
      <c r="E87" s="762">
        <f>_xlfn.XLOOKUP(D87,RUC!$B$3:$B$123,RUC!$D$3:$D$123)</f>
        <v>20612921866</v>
      </c>
      <c r="G87" s="1082">
        <v>50</v>
      </c>
      <c r="H87" s="762" t="s">
        <v>69</v>
      </c>
      <c r="I87" s="703">
        <v>5.26</v>
      </c>
      <c r="J87" s="596">
        <v>2.25</v>
      </c>
      <c r="K87" s="1215">
        <f t="shared" ref="K87:K109" si="55">ROUND(+I87-(I87*(J87/100)),3)</f>
        <v>5.1420000000000003</v>
      </c>
      <c r="L87" s="762">
        <v>0.218</v>
      </c>
      <c r="M87" s="994">
        <f t="shared" si="54"/>
        <v>0.19900000000000001</v>
      </c>
      <c r="N87" s="1196">
        <f t="shared" si="51"/>
        <v>0.19900000000000001</v>
      </c>
      <c r="O87" s="645">
        <f t="shared" si="52"/>
        <v>0.19900000000000001</v>
      </c>
      <c r="P87" s="727">
        <v>90</v>
      </c>
      <c r="Q87" s="1476">
        <v>96.79</v>
      </c>
      <c r="R87" s="706">
        <v>5167.3500000000004</v>
      </c>
      <c r="S87" s="765">
        <f>IF((_xlfn.XLOOKUP(D87,RUC!$B$3:$B$119,RUC!$E$3:$E$119)+ROUNDDOWN(O87,1)*100)&lt;95,95,((_xlfn.XLOOKUP(D87,RUC!$B$3:$B$119,RUC!$E$3:$E$119)+ROUNDDOWN(O87,1)*100)))</f>
        <v>95</v>
      </c>
      <c r="U87" s="1146">
        <f>_xlfn.XLOOKUP(D87,RUC!$B$3:$B$123,RUC!$F$3:$F$123)</f>
        <v>100</v>
      </c>
      <c r="V87" s="715">
        <v>1.1023000000000001</v>
      </c>
      <c r="Y87">
        <f>_xlfn.XLOOKUP(D87,RUC!$B$3:$B$123,RUC!$G$3:$G$123)</f>
        <v>0</v>
      </c>
      <c r="Z87" s="143">
        <f>_xlfn.XLOOKUP(D87,RUC!$B$3:$B$123,RUC!$H$3:$H$123)</f>
        <v>30</v>
      </c>
      <c r="AA87" s="144">
        <f t="shared" ref="AA87:AA109" si="56">+Y87+Z87</f>
        <v>30</v>
      </c>
      <c r="AB87" s="145">
        <f t="shared" si="49"/>
        <v>862.61851698550015</v>
      </c>
      <c r="AC87" s="145">
        <f>+(S87-T87)*V87-'data 1'!$F$4</f>
        <v>24.718500000000006</v>
      </c>
      <c r="AD87" s="145">
        <f t="shared" ref="AD87:AD109" si="57">+(Q87-P87)*(R87-U87)*L87*V87/100</f>
        <v>82.681239221791088</v>
      </c>
      <c r="AE87" s="145">
        <f t="shared" ref="AE87:AE109" si="58">+(Y87*V87-70)+V87*(Z87-IF(D87="UNTUCA",IF(+((W87-3)*2.5+(X87-3)*3.1)&gt;0,+((W87-3)*1.5+(X87-3)*3.1),0),IF(+((W87-3)*1.5+(X87-3)*3.1)&gt;0,+((W87-3)*1.5+(X87-3)*3.1),0)))</f>
        <v>-36.930999999999997</v>
      </c>
      <c r="AF87" s="145">
        <f t="shared" ref="AF87:AF109" si="59">(L87-O87)*(R87-U87)*Q87*V87/100</f>
        <v>102.72231542694045</v>
      </c>
      <c r="AG87" s="772">
        <f>AC87+AD87+AE87+AF87+70-10</f>
        <v>233.19105464873155</v>
      </c>
      <c r="AH87" s="1253">
        <f t="shared" ref="AH87:AH109" si="60">ROUND((31.1035*L87*Q87*1.1023*K87/100),3)</f>
        <v>37.198999999999998</v>
      </c>
      <c r="AI87" s="1253">
        <f t="shared" ref="AI87:AI109" si="61">ROUND((31.1035*L87*1.1023*K87),3)</f>
        <v>38.432000000000002</v>
      </c>
      <c r="AJ87" s="156">
        <f t="shared" ref="AJ87:AJ109" si="62">+((+$AJ$2-R87+U87)*L87*Q87*V87)/100</f>
        <v>-38.923555788791091</v>
      </c>
      <c r="AK87" s="156">
        <f t="shared" ref="AK87:AK109" si="63">31.1035*1.1023*K87*P87*O87/100</f>
        <v>31.574517844740214</v>
      </c>
      <c r="AM87" s="716">
        <f t="shared" ref="AM87:AM109" si="64">+IF(AB87*K87&gt;0,AB87*K87,0)</f>
        <v>4435.5844143394424</v>
      </c>
      <c r="AN87" s="716" t="str">
        <f>_xlfn.XLOOKUP(D87,RUC!$B$3:$B$578,RUC!$M$3:$M$578)</f>
        <v>Ronald Garibay</v>
      </c>
      <c r="AO87" s="1167" t="s">
        <v>2279</v>
      </c>
      <c r="AP87" s="1698" t="s">
        <v>4921</v>
      </c>
      <c r="AQ87" t="s">
        <v>4919</v>
      </c>
    </row>
    <row r="88" spans="1:43" ht="15" customHeight="1">
      <c r="A88" s="747" t="s">
        <v>4895</v>
      </c>
      <c r="B88" s="1447">
        <v>46085</v>
      </c>
      <c r="C88" s="1447">
        <v>46080</v>
      </c>
      <c r="D88" t="s">
        <v>2004</v>
      </c>
      <c r="E88" s="762">
        <f>_xlfn.XLOOKUP(D88,RUC!$B$3:$B$123,RUC!$D$3:$D$123)</f>
        <v>20612921866</v>
      </c>
      <c r="G88" s="1082" t="s">
        <v>2985</v>
      </c>
      <c r="H88" s="762" t="s">
        <v>69</v>
      </c>
      <c r="I88" s="703">
        <v>2.06</v>
      </c>
      <c r="J88" s="596">
        <v>2.1</v>
      </c>
      <c r="K88" s="1215">
        <f t="shared" si="55"/>
        <v>2.0169999999999999</v>
      </c>
      <c r="L88" s="762">
        <v>0.36699999999999999</v>
      </c>
      <c r="M88" s="994">
        <f t="shared" si="54"/>
        <v>0.34499999999999997</v>
      </c>
      <c r="N88" s="1196">
        <f t="shared" si="51"/>
        <v>0.34499999999999997</v>
      </c>
      <c r="O88" s="645">
        <f t="shared" si="52"/>
        <v>0.34499999999999997</v>
      </c>
      <c r="P88" s="727">
        <v>90</v>
      </c>
      <c r="Q88" s="1476">
        <v>98.64</v>
      </c>
      <c r="R88" s="706">
        <v>5222.3</v>
      </c>
      <c r="S88" s="765">
        <f>IF((_xlfn.XLOOKUP(D88,RUC!$B$3:$B$119,RUC!$E$3:$E$119)+ROUNDDOWN(O88,1)*100)&lt;95,95,((_xlfn.XLOOKUP(D88,RUC!$B$3:$B$119,RUC!$E$3:$E$119)+ROUNDDOWN(O88,1)*100)))</f>
        <v>110</v>
      </c>
      <c r="U88" s="1146">
        <f>_xlfn.XLOOKUP(D88,RUC!$B$3:$B$123,RUC!$F$3:$F$123)</f>
        <v>100</v>
      </c>
      <c r="V88" s="715">
        <v>1.1023000000000001</v>
      </c>
      <c r="Y88">
        <f>_xlfn.XLOOKUP(D88,RUC!$B$3:$B$123,RUC!$G$3:$G$123)</f>
        <v>0</v>
      </c>
      <c r="Z88" s="143">
        <f>_xlfn.XLOOKUP(D88,RUC!$B$3:$B$123,RUC!$H$3:$H$123)</f>
        <v>30</v>
      </c>
      <c r="AA88" s="144">
        <f t="shared" si="56"/>
        <v>30</v>
      </c>
      <c r="AB88" s="145">
        <f t="shared" si="49"/>
        <v>1598.8576555449999</v>
      </c>
      <c r="AC88" s="145">
        <f>+(S88-T88)*V88-'data 1'!$F$4</f>
        <v>41.253</v>
      </c>
      <c r="AD88" s="145">
        <f t="shared" si="57"/>
        <v>179.03775543235201</v>
      </c>
      <c r="AE88" s="145">
        <f t="shared" si="58"/>
        <v>-36.930999999999997</v>
      </c>
      <c r="AF88" s="145">
        <f t="shared" si="59"/>
        <v>122.52947204203213</v>
      </c>
      <c r="AG88" s="772">
        <f>AC88+AD88+AE88+AF88+70-10</f>
        <v>365.88922747438414</v>
      </c>
      <c r="AH88" s="1253">
        <f t="shared" si="60"/>
        <v>25.033999999999999</v>
      </c>
      <c r="AI88" s="1253">
        <f t="shared" si="61"/>
        <v>25.379000000000001</v>
      </c>
      <c r="AJ88" s="156">
        <f t="shared" si="62"/>
        <v>-88.707103343352088</v>
      </c>
      <c r="AK88" s="156">
        <f t="shared" si="63"/>
        <v>21.472201399871921</v>
      </c>
      <c r="AM88" s="716">
        <f t="shared" si="64"/>
        <v>3224.8958912342646</v>
      </c>
      <c r="AN88" s="716" t="str">
        <f>_xlfn.XLOOKUP(D88,RUC!$B$3:$B$578,RUC!$M$3:$M$578)</f>
        <v>Ronald Garibay</v>
      </c>
      <c r="AO88" s="1167" t="s">
        <v>2279</v>
      </c>
      <c r="AP88" s="1698" t="s">
        <v>4922</v>
      </c>
      <c r="AQ88" t="s">
        <v>3902</v>
      </c>
    </row>
    <row r="89" spans="1:43" ht="15" customHeight="1">
      <c r="A89" s="747" t="s">
        <v>4896</v>
      </c>
      <c r="B89" s="1447">
        <v>46086</v>
      </c>
      <c r="C89" s="1447">
        <v>46081</v>
      </c>
      <c r="D89" t="s">
        <v>4904</v>
      </c>
      <c r="E89" s="762">
        <f>_xlfn.XLOOKUP(D89,RUC!$B$3:$B$123,RUC!$D$3:$D$123)</f>
        <v>20613170848</v>
      </c>
      <c r="G89" s="1082">
        <v>12</v>
      </c>
      <c r="H89" s="762" t="s">
        <v>69</v>
      </c>
      <c r="I89" s="703">
        <v>0.93</v>
      </c>
      <c r="J89" s="596">
        <v>2.1</v>
      </c>
      <c r="K89" s="703">
        <f t="shared" si="55"/>
        <v>0.91</v>
      </c>
      <c r="L89" s="762">
        <v>0.19900000000000001</v>
      </c>
      <c r="M89" s="994">
        <f t="shared" si="54"/>
        <v>0.18</v>
      </c>
      <c r="N89" s="1196">
        <f t="shared" si="51"/>
        <v>0.18</v>
      </c>
      <c r="O89" s="645">
        <f t="shared" si="52"/>
        <v>0.18</v>
      </c>
      <c r="P89" s="727">
        <v>85</v>
      </c>
      <c r="Q89" s="1476">
        <v>98.49</v>
      </c>
      <c r="R89" s="706">
        <v>5222.3</v>
      </c>
      <c r="S89" s="765">
        <f>IF((_xlfn.XLOOKUP(D89,RUC!$B$3:$B$119,RUC!$E$3:$E$119)+ROUNDDOWN(O89,1)*100)&lt;95,95,((_xlfn.XLOOKUP(D89,RUC!$B$3:$B$119,RUC!$E$3:$E$119)+ROUNDDOWN(O89,1)*100)))</f>
        <v>95</v>
      </c>
      <c r="U89" s="1146">
        <f>_xlfn.XLOOKUP(D89,RUC!$B$3:$B$123,RUC!$F$3:$F$123)</f>
        <v>110</v>
      </c>
      <c r="V89" s="715">
        <v>1.1023000000000001</v>
      </c>
      <c r="Y89">
        <f>_xlfn.XLOOKUP(D89,RUC!$B$3:$B$123,RUC!$G$3:$G$123)</f>
        <v>0</v>
      </c>
      <c r="Z89" s="143">
        <f>_xlfn.XLOOKUP(D89,RUC!$B$3:$B$123,RUC!$H$3:$H$123)</f>
        <v>35</v>
      </c>
      <c r="AA89" s="144">
        <f t="shared" si="56"/>
        <v>35</v>
      </c>
      <c r="AB89" s="145">
        <f t="shared" si="49"/>
        <v>718.90010837000011</v>
      </c>
      <c r="AC89" s="145">
        <f>+(S89-T89)*V89-'data 1'!$F$4</f>
        <v>24.718500000000006</v>
      </c>
      <c r="AD89" s="145">
        <f t="shared" si="57"/>
        <v>151.27987767387899</v>
      </c>
      <c r="AE89" s="145">
        <f t="shared" si="58"/>
        <v>-31.419499999999999</v>
      </c>
      <c r="AF89" s="145">
        <f t="shared" si="59"/>
        <v>105.45371329959909</v>
      </c>
      <c r="AG89" s="772">
        <f t="shared" si="53"/>
        <v>267.03259097347808</v>
      </c>
      <c r="AH89" s="1253">
        <f t="shared" si="60"/>
        <v>6.1150000000000002</v>
      </c>
      <c r="AI89" s="1253">
        <f t="shared" si="61"/>
        <v>6.2089999999999996</v>
      </c>
      <c r="AJ89" s="156">
        <f t="shared" si="62"/>
        <v>-45.866438150379032</v>
      </c>
      <c r="AK89" s="156">
        <f t="shared" si="63"/>
        <v>4.7735545782014999</v>
      </c>
      <c r="AM89" s="716">
        <f t="shared" si="64"/>
        <v>654.1990986167001</v>
      </c>
      <c r="AN89" s="716" t="str">
        <f>_xlfn.XLOOKUP(D89,RUC!$B$3:$B$578,RUC!$M$3:$M$578)</f>
        <v>Robinson Tuya</v>
      </c>
      <c r="AO89" s="1167" t="s">
        <v>2280</v>
      </c>
      <c r="AP89" s="1698" t="s">
        <v>3757</v>
      </c>
      <c r="AQ89" t="s">
        <v>4920</v>
      </c>
    </row>
    <row r="90" spans="1:43" ht="15" customHeight="1">
      <c r="A90" s="747" t="s">
        <v>4897</v>
      </c>
      <c r="B90" s="1447">
        <v>46086</v>
      </c>
      <c r="C90" s="1447">
        <v>46081</v>
      </c>
      <c r="D90" t="s">
        <v>4904</v>
      </c>
      <c r="E90" s="762">
        <f>_xlfn.XLOOKUP(D90,RUC!$B$3:$B$123,RUC!$D$3:$D$123)</f>
        <v>20613170848</v>
      </c>
      <c r="G90" s="1082">
        <v>20</v>
      </c>
      <c r="H90" s="762" t="s">
        <v>108</v>
      </c>
      <c r="I90" s="703">
        <v>1.36</v>
      </c>
      <c r="J90" s="596">
        <v>17.850000000000001</v>
      </c>
      <c r="K90" s="703">
        <f t="shared" si="55"/>
        <v>1.117</v>
      </c>
      <c r="L90" s="762">
        <v>0.88700000000000001</v>
      </c>
      <c r="M90" s="994">
        <f t="shared" si="54"/>
        <v>0.83399999999999996</v>
      </c>
      <c r="N90" s="1196">
        <f t="shared" si="51"/>
        <v>0.83399999999999996</v>
      </c>
      <c r="O90" s="645">
        <f t="shared" si="52"/>
        <v>0.83399999999999996</v>
      </c>
      <c r="P90" s="727">
        <v>90</v>
      </c>
      <c r="Q90" s="1476">
        <v>98.42</v>
      </c>
      <c r="R90" s="706">
        <v>5222.3</v>
      </c>
      <c r="S90" s="765">
        <f>IF((_xlfn.XLOOKUP(D90,RUC!$B$3:$B$119,RUC!$E$3:$E$119)+ROUNDDOWN(O90,1)*100)&lt;95,95,((_xlfn.XLOOKUP(D90,RUC!$B$3:$B$119,RUC!$E$3:$E$119)+ROUNDDOWN(O90,1)*100)))</f>
        <v>160</v>
      </c>
      <c r="U90" s="1146">
        <f>_xlfn.XLOOKUP(D90,RUC!$B$3:$B$123,RUC!$F$3:$F$123)</f>
        <v>110</v>
      </c>
      <c r="V90" s="715">
        <v>1.1023000000000001</v>
      </c>
      <c r="Y90">
        <f>_xlfn.XLOOKUP(D90,RUC!$B$3:$B$123,RUC!$G$3:$G$123)</f>
        <v>0</v>
      </c>
      <c r="Z90" s="143">
        <f>_xlfn.XLOOKUP(D90,RUC!$B$3:$B$123,RUC!$H$3:$H$123)</f>
        <v>35</v>
      </c>
      <c r="AA90" s="144">
        <f t="shared" si="56"/>
        <v>35</v>
      </c>
      <c r="AB90" s="145">
        <f t="shared" si="49"/>
        <v>4014.8988904740004</v>
      </c>
      <c r="AC90" s="145">
        <f>+(S90-T90)*V90-'data 1'!$F$4</f>
        <v>96.367999999999995</v>
      </c>
      <c r="AD90" s="145">
        <f t="shared" si="57"/>
        <v>420.87376005396618</v>
      </c>
      <c r="AE90" s="145">
        <f t="shared" si="58"/>
        <v>-31.419499999999999</v>
      </c>
      <c r="AF90" s="145">
        <f t="shared" si="59"/>
        <v>293.95128895595428</v>
      </c>
      <c r="AG90" s="772">
        <f t="shared" si="53"/>
        <v>796.77354900992043</v>
      </c>
      <c r="AH90" s="1253">
        <f t="shared" si="60"/>
        <v>33.433</v>
      </c>
      <c r="AI90" s="1253">
        <f t="shared" si="61"/>
        <v>33.969000000000001</v>
      </c>
      <c r="AJ90" s="156">
        <f t="shared" si="62"/>
        <v>-204.29455050296619</v>
      </c>
      <c r="AK90" s="156">
        <f t="shared" si="63"/>
        <v>28.74556190595861</v>
      </c>
      <c r="AM90" s="716">
        <f t="shared" si="64"/>
        <v>4484.6420606594584</v>
      </c>
      <c r="AN90" s="716" t="str">
        <f>_xlfn.XLOOKUP(D90,RUC!$B$3:$B$578,RUC!$M$3:$M$578)</f>
        <v>Robinson Tuya</v>
      </c>
      <c r="AO90" s="1167" t="s">
        <v>2280</v>
      </c>
      <c r="AP90" s="1698" t="s">
        <v>3757</v>
      </c>
      <c r="AQ90" t="s">
        <v>4920</v>
      </c>
    </row>
    <row r="91" spans="1:43" ht="15" customHeight="1">
      <c r="A91" s="747" t="s">
        <v>4898</v>
      </c>
      <c r="B91" s="1447">
        <v>46086</v>
      </c>
      <c r="C91" s="1447">
        <v>46081</v>
      </c>
      <c r="D91" t="s">
        <v>4904</v>
      </c>
      <c r="E91" s="762">
        <f>_xlfn.XLOOKUP(D91,RUC!$B$3:$B$123,RUC!$D$3:$D$123)</f>
        <v>20613170848</v>
      </c>
      <c r="G91" s="1082">
        <v>133</v>
      </c>
      <c r="H91" s="762" t="s">
        <v>108</v>
      </c>
      <c r="I91" s="703">
        <v>8.06</v>
      </c>
      <c r="J91" s="596">
        <v>13.1</v>
      </c>
      <c r="K91" s="703">
        <f t="shared" si="55"/>
        <v>7.0039999999999996</v>
      </c>
      <c r="L91" s="762">
        <v>0.31900000000000001</v>
      </c>
      <c r="M91" s="994">
        <f t="shared" si="54"/>
        <v>0.3</v>
      </c>
      <c r="N91" s="1196">
        <f t="shared" si="51"/>
        <v>0.3</v>
      </c>
      <c r="O91" s="645">
        <f t="shared" si="52"/>
        <v>0.3</v>
      </c>
      <c r="P91" s="727">
        <v>90</v>
      </c>
      <c r="Q91" s="1476">
        <v>92.16</v>
      </c>
      <c r="R91" s="706">
        <v>5222.3</v>
      </c>
      <c r="S91" s="765">
        <f>IF((_xlfn.XLOOKUP(D91,RUC!$B$3:$B$119,RUC!$E$3:$E$119)+ROUNDDOWN(O91,1)*100)&lt;95,95,((_xlfn.XLOOKUP(D91,RUC!$B$3:$B$119,RUC!$E$3:$E$119)+ROUNDDOWN(O91,1)*100)))</f>
        <v>110</v>
      </c>
      <c r="U91" s="1146">
        <f>_xlfn.XLOOKUP(D91,RUC!$B$3:$B$123,RUC!$F$3:$F$123)</f>
        <v>110</v>
      </c>
      <c r="V91" s="715">
        <v>1.1023000000000001</v>
      </c>
      <c r="Y91">
        <f>_xlfn.XLOOKUP(D91,RUC!$B$3:$B$123,RUC!$G$3:$G$123)</f>
        <v>0</v>
      </c>
      <c r="Z91" s="143">
        <f>_xlfn.XLOOKUP(D91,RUC!$B$3:$B$123,RUC!$H$3:$H$123)</f>
        <v>35</v>
      </c>
      <c r="AA91" s="144">
        <f t="shared" si="56"/>
        <v>35</v>
      </c>
      <c r="AB91" s="145">
        <f t="shared" si="49"/>
        <v>1361.6943383000003</v>
      </c>
      <c r="AC91" s="145">
        <f>+(S91-T91)*V91-'data 1'!$F$4</f>
        <v>41.253</v>
      </c>
      <c r="AD91" s="145">
        <f t="shared" si="57"/>
        <v>38.829390433415945</v>
      </c>
      <c r="AE91" s="145">
        <f t="shared" si="58"/>
        <v>-31.419499999999999</v>
      </c>
      <c r="AF91" s="145">
        <f t="shared" si="59"/>
        <v>98.676152073216088</v>
      </c>
      <c r="AG91" s="772">
        <f t="shared" si="53"/>
        <v>164.33904250663204</v>
      </c>
      <c r="AH91" s="1253">
        <f t="shared" si="60"/>
        <v>70.596999999999994</v>
      </c>
      <c r="AI91" s="1253">
        <f t="shared" si="61"/>
        <v>76.602999999999994</v>
      </c>
      <c r="AJ91" s="156">
        <f t="shared" si="62"/>
        <v>-68.79913068441607</v>
      </c>
      <c r="AK91" s="156">
        <f t="shared" si="63"/>
        <v>64.836411633593983</v>
      </c>
      <c r="AM91" s="716">
        <f t="shared" si="64"/>
        <v>9537.3071454532019</v>
      </c>
      <c r="AN91" s="716" t="str">
        <f>_xlfn.XLOOKUP(D91,RUC!$B$3:$B$578,RUC!$M$3:$M$578)</f>
        <v>Robinson Tuya</v>
      </c>
      <c r="AO91" s="1167" t="s">
        <v>2280</v>
      </c>
      <c r="AP91" s="1698" t="s">
        <v>3757</v>
      </c>
      <c r="AQ91" t="s">
        <v>4920</v>
      </c>
    </row>
    <row r="92" spans="1:43" ht="15" customHeight="1">
      <c r="A92" s="747" t="s">
        <v>4899</v>
      </c>
      <c r="B92" s="1447">
        <v>46086</v>
      </c>
      <c r="C92" s="1447">
        <v>46081</v>
      </c>
      <c r="D92" t="s">
        <v>4904</v>
      </c>
      <c r="E92" s="762">
        <f>_xlfn.XLOOKUP(D92,RUC!$B$3:$B$123,RUC!$D$3:$D$123)</f>
        <v>20613170848</v>
      </c>
      <c r="G92" s="1082">
        <v>136</v>
      </c>
      <c r="H92" s="762" t="s">
        <v>108</v>
      </c>
      <c r="I92" s="703">
        <v>9.59</v>
      </c>
      <c r="J92" s="596">
        <v>16.2</v>
      </c>
      <c r="K92" s="703">
        <f t="shared" si="55"/>
        <v>8.0359999999999996</v>
      </c>
      <c r="L92" s="762">
        <v>0.32600000000000001</v>
      </c>
      <c r="M92" s="994">
        <f t="shared" si="54"/>
        <v>0.30599999999999999</v>
      </c>
      <c r="N92" s="1196">
        <f t="shared" si="51"/>
        <v>0.30599999999999999</v>
      </c>
      <c r="O92" s="645">
        <f t="shared" si="52"/>
        <v>0.30599999999999999</v>
      </c>
      <c r="P92" s="727">
        <v>90</v>
      </c>
      <c r="Q92" s="1476">
        <v>94.48</v>
      </c>
      <c r="R92" s="706">
        <v>5222.3</v>
      </c>
      <c r="S92" s="765">
        <f>IF((_xlfn.XLOOKUP(D92,RUC!$B$3:$B$119,RUC!$E$3:$E$119)+ROUNDDOWN(O92,1)*100)&lt;95,95,((_xlfn.XLOOKUP(D92,RUC!$B$3:$B$119,RUC!$E$3:$E$119)+ROUNDDOWN(O92,1)*100)))</f>
        <v>110</v>
      </c>
      <c r="U92" s="1146">
        <f>_xlfn.XLOOKUP(D92,RUC!$B$3:$B$123,RUC!$F$3:$F$123)</f>
        <v>110</v>
      </c>
      <c r="V92" s="715">
        <v>1.1023000000000001</v>
      </c>
      <c r="Y92">
        <f>_xlfn.XLOOKUP(D92,RUC!$B$3:$B$123,RUC!$G$3:$G$123)</f>
        <v>0</v>
      </c>
      <c r="Z92" s="143">
        <f>_xlfn.XLOOKUP(D92,RUC!$B$3:$B$123,RUC!$H$3:$H$123)</f>
        <v>35</v>
      </c>
      <c r="AA92" s="144">
        <f t="shared" si="56"/>
        <v>35</v>
      </c>
      <c r="AB92" s="145">
        <f t="shared" si="49"/>
        <v>1392.1248950660001</v>
      </c>
      <c r="AC92" s="145">
        <f>+(S92-T92)*V92-'data 1'!$F$4</f>
        <v>41.253</v>
      </c>
      <c r="AD92" s="145">
        <f t="shared" si="57"/>
        <v>82.302258417792075</v>
      </c>
      <c r="AE92" s="145">
        <f t="shared" si="58"/>
        <v>-31.419499999999999</v>
      </c>
      <c r="AF92" s="145">
        <f t="shared" si="59"/>
        <v>106.48440752784012</v>
      </c>
      <c r="AG92" s="772">
        <f t="shared" si="53"/>
        <v>215.62016594563221</v>
      </c>
      <c r="AH92" s="1253">
        <f t="shared" si="60"/>
        <v>84.861000000000004</v>
      </c>
      <c r="AI92" s="1253">
        <f t="shared" si="61"/>
        <v>89.819000000000003</v>
      </c>
      <c r="AJ92" s="156">
        <f t="shared" si="62"/>
        <v>-72.078756607792059</v>
      </c>
      <c r="AK92" s="156">
        <f t="shared" si="63"/>
        <v>75.877486003042918</v>
      </c>
      <c r="AM92" s="716">
        <f t="shared" si="64"/>
        <v>11187.115656750377</v>
      </c>
      <c r="AN92" s="716" t="str">
        <f>_xlfn.XLOOKUP(D92,RUC!$B$3:$B$578,RUC!$M$3:$M$578)</f>
        <v>Robinson Tuya</v>
      </c>
      <c r="AO92" s="1167" t="s">
        <v>2280</v>
      </c>
      <c r="AP92" s="1698" t="s">
        <v>3757</v>
      </c>
      <c r="AQ92" t="s">
        <v>4920</v>
      </c>
    </row>
    <row r="93" spans="1:43" ht="15" customHeight="1">
      <c r="A93" s="747" t="s">
        <v>4900</v>
      </c>
      <c r="B93" s="1447">
        <v>46086</v>
      </c>
      <c r="C93" s="1447">
        <v>46081</v>
      </c>
      <c r="D93" t="s">
        <v>4904</v>
      </c>
      <c r="E93" s="762">
        <f>_xlfn.XLOOKUP(D93,RUC!$B$3:$B$123,RUC!$D$3:$D$123)</f>
        <v>20613170848</v>
      </c>
      <c r="G93" s="1082">
        <v>107</v>
      </c>
      <c r="H93" s="762" t="s">
        <v>108</v>
      </c>
      <c r="I93" s="703">
        <v>6.8</v>
      </c>
      <c r="J93" s="596">
        <v>7.6</v>
      </c>
      <c r="K93" s="703">
        <f t="shared" si="55"/>
        <v>6.2830000000000004</v>
      </c>
      <c r="L93" s="762">
        <v>0.26600000000000001</v>
      </c>
      <c r="M93" s="994">
        <f t="shared" si="54"/>
        <v>0.247</v>
      </c>
      <c r="N93" s="1196">
        <f t="shared" si="51"/>
        <v>0.247</v>
      </c>
      <c r="O93" s="645">
        <f t="shared" si="52"/>
        <v>0.247</v>
      </c>
      <c r="P93" s="727">
        <v>90</v>
      </c>
      <c r="Q93" s="1476">
        <v>90.6</v>
      </c>
      <c r="R93" s="706">
        <v>5222.3</v>
      </c>
      <c r="S93" s="765">
        <f>IF((_xlfn.XLOOKUP(D93,RUC!$B$3:$B$119,RUC!$E$3:$E$119)+ROUNDDOWN(O93,1)*100)&lt;95,95,((_xlfn.XLOOKUP(D93,RUC!$B$3:$B$119,RUC!$E$3:$E$119)+ROUNDDOWN(O93,1)*100)))</f>
        <v>100</v>
      </c>
      <c r="U93" s="1146">
        <f>_xlfn.XLOOKUP(D93,RUC!$B$3:$B$123,RUC!$F$3:$F$123)</f>
        <v>110</v>
      </c>
      <c r="V93" s="715">
        <v>1.1023000000000001</v>
      </c>
      <c r="Y93">
        <f>_xlfn.XLOOKUP(D93,RUC!$B$3:$B$123,RUC!$G$3:$G$123)</f>
        <v>0</v>
      </c>
      <c r="Z93" s="143">
        <f>_xlfn.XLOOKUP(D93,RUC!$B$3:$B$123,RUC!$H$3:$H$123)</f>
        <v>35</v>
      </c>
      <c r="AA93" s="144">
        <f t="shared" si="56"/>
        <v>35</v>
      </c>
      <c r="AB93" s="145">
        <f t="shared" si="49"/>
        <v>1103.9140868670002</v>
      </c>
      <c r="AC93" s="145">
        <f>+(S93-T93)*V93-'data 1'!$F$4</f>
        <v>30.230000000000004</v>
      </c>
      <c r="AD93" s="145">
        <f t="shared" si="57"/>
        <v>8.993920110839916</v>
      </c>
      <c r="AE93" s="145">
        <f t="shared" si="58"/>
        <v>-31.419499999999999</v>
      </c>
      <c r="AF93" s="145">
        <f t="shared" si="59"/>
        <v>97.005852624060083</v>
      </c>
      <c r="AG93" s="772">
        <f t="shared" si="53"/>
        <v>121.8102727349</v>
      </c>
      <c r="AH93" s="1253">
        <f t="shared" si="60"/>
        <v>51.914000000000001</v>
      </c>
      <c r="AI93" s="1253">
        <f t="shared" si="61"/>
        <v>57.3</v>
      </c>
      <c r="AJ93" s="156">
        <f t="shared" si="62"/>
        <v>-56.397471816840053</v>
      </c>
      <c r="AK93" s="156">
        <f t="shared" si="63"/>
        <v>47.886775200164749</v>
      </c>
      <c r="AM93" s="716">
        <f t="shared" si="64"/>
        <v>6935.8922077853622</v>
      </c>
      <c r="AN93" s="716" t="str">
        <f>_xlfn.XLOOKUP(D93,RUC!$B$3:$B$578,RUC!$M$3:$M$578)</f>
        <v>Robinson Tuya</v>
      </c>
      <c r="AO93" s="1167" t="s">
        <v>2280</v>
      </c>
      <c r="AP93" s="1698" t="s">
        <v>3757</v>
      </c>
      <c r="AQ93" t="s">
        <v>4920</v>
      </c>
    </row>
    <row r="94" spans="1:43" ht="15" customHeight="1">
      <c r="A94" s="747" t="s">
        <v>4901</v>
      </c>
      <c r="B94" s="1447">
        <v>46086</v>
      </c>
      <c r="C94" s="1447">
        <v>46081</v>
      </c>
      <c r="D94" s="1696" t="s">
        <v>4904</v>
      </c>
      <c r="E94" s="762">
        <f>_xlfn.XLOOKUP(D94,RUC!$B$3:$B$123,RUC!$D$3:$D$123)</f>
        <v>20613170848</v>
      </c>
      <c r="G94" s="1082">
        <v>138</v>
      </c>
      <c r="H94" s="762" t="s">
        <v>108</v>
      </c>
      <c r="I94" s="703">
        <v>10.33</v>
      </c>
      <c r="J94" s="596">
        <v>14</v>
      </c>
      <c r="K94" s="703">
        <f t="shared" si="55"/>
        <v>8.8840000000000003</v>
      </c>
      <c r="L94" s="994">
        <v>0.27</v>
      </c>
      <c r="M94" s="994">
        <f t="shared" si="54"/>
        <v>0.251</v>
      </c>
      <c r="N94" s="1196">
        <f t="shared" si="51"/>
        <v>0.251</v>
      </c>
      <c r="O94" s="645">
        <f t="shared" si="52"/>
        <v>0.251</v>
      </c>
      <c r="P94" s="727">
        <v>90</v>
      </c>
      <c r="Q94" s="1476">
        <v>95.19</v>
      </c>
      <c r="R94" s="706">
        <v>5222.3</v>
      </c>
      <c r="S94" s="765">
        <f>IF((_xlfn.XLOOKUP(D94,RUC!$B$3:$B$119,RUC!$E$3:$E$119)+ROUNDDOWN(O94,1)*100)&lt;95,95,((_xlfn.XLOOKUP(D94,RUC!$B$3:$B$119,RUC!$E$3:$E$119)+ROUNDDOWN(O94,1)*100)))</f>
        <v>100</v>
      </c>
      <c r="U94" s="1146">
        <f>_xlfn.XLOOKUP(D94,RUC!$B$3:$B$123,RUC!$F$3:$F$123)</f>
        <v>110</v>
      </c>
      <c r="V94" s="715">
        <v>1.1023000000000001</v>
      </c>
      <c r="Y94">
        <f>_xlfn.XLOOKUP(D94,RUC!$B$3:$B$123,RUC!$G$3:$G$123)</f>
        <v>0</v>
      </c>
      <c r="Z94" s="143">
        <f>_xlfn.XLOOKUP(D94,RUC!$B$3:$B$123,RUC!$H$3:$H$123)</f>
        <v>35</v>
      </c>
      <c r="AA94" s="144">
        <f t="shared" si="56"/>
        <v>35</v>
      </c>
      <c r="AB94" s="145">
        <f t="shared" si="49"/>
        <v>1124.2011247110001</v>
      </c>
      <c r="AC94" s="145">
        <f>+(S94-T94)*V94-'data 1'!$F$4</f>
        <v>30.230000000000004</v>
      </c>
      <c r="AD94" s="145">
        <f t="shared" si="57"/>
        <v>78.967294807769974</v>
      </c>
      <c r="AE94" s="145">
        <f t="shared" si="58"/>
        <v>-31.419499999999999</v>
      </c>
      <c r="AF94" s="145">
        <f t="shared" si="59"/>
        <v>101.9203875417691</v>
      </c>
      <c r="AG94" s="772">
        <f t="shared" si="53"/>
        <v>196.69818234953908</v>
      </c>
      <c r="AH94" s="1253">
        <f t="shared" si="60"/>
        <v>78.284000000000006</v>
      </c>
      <c r="AI94" s="1253">
        <f t="shared" si="61"/>
        <v>82.24</v>
      </c>
      <c r="AJ94" s="156">
        <f t="shared" si="62"/>
        <v>-60.145742767770059</v>
      </c>
      <c r="AK94" s="156">
        <f t="shared" si="63"/>
        <v>68.807194421837579</v>
      </c>
      <c r="AM94" s="716">
        <f t="shared" si="64"/>
        <v>9987.4027919325254</v>
      </c>
      <c r="AN94" s="716" t="str">
        <f>_xlfn.XLOOKUP(D94,RUC!$B$3:$B$578,RUC!$M$3:$M$578)</f>
        <v>Robinson Tuya</v>
      </c>
      <c r="AO94" s="1167" t="s">
        <v>2280</v>
      </c>
      <c r="AP94" s="1698" t="s">
        <v>3757</v>
      </c>
      <c r="AQ94" t="s">
        <v>4920</v>
      </c>
    </row>
    <row r="95" spans="1:43" ht="15" customHeight="1">
      <c r="A95" s="747" t="s">
        <v>4902</v>
      </c>
      <c r="B95" s="1447">
        <v>46086</v>
      </c>
      <c r="C95" s="1447">
        <v>46081</v>
      </c>
      <c r="D95" t="s">
        <v>4904</v>
      </c>
      <c r="E95" s="762">
        <f>_xlfn.XLOOKUP(D95,RUC!$B$3:$B$123,RUC!$D$3:$D$123)</f>
        <v>20613170848</v>
      </c>
      <c r="G95" s="1082">
        <v>94</v>
      </c>
      <c r="H95" s="762" t="s">
        <v>108</v>
      </c>
      <c r="I95" s="703">
        <v>6.88</v>
      </c>
      <c r="J95" s="596">
        <v>22.1</v>
      </c>
      <c r="K95" s="703">
        <f t="shared" si="55"/>
        <v>5.36</v>
      </c>
      <c r="L95" s="762">
        <v>0.30199999999999999</v>
      </c>
      <c r="M95" s="994">
        <f t="shared" si="54"/>
        <v>0.28399999999999997</v>
      </c>
      <c r="N95" s="1196">
        <f t="shared" si="51"/>
        <v>0.28399999999999997</v>
      </c>
      <c r="O95" s="645">
        <f t="shared" si="52"/>
        <v>0.28399999999999997</v>
      </c>
      <c r="P95" s="727">
        <v>90</v>
      </c>
      <c r="Q95">
        <v>95.03</v>
      </c>
      <c r="R95" s="706">
        <v>5222.3</v>
      </c>
      <c r="S95" s="765">
        <f>IF((_xlfn.XLOOKUP(D95,RUC!$B$3:$B$119,RUC!$E$3:$E$119)+ROUNDDOWN(O95,1)*100)&lt;95,95,((_xlfn.XLOOKUP(D95,RUC!$B$3:$B$119,RUC!$E$3:$E$119)+ROUNDDOWN(O95,1)*100)))</f>
        <v>100</v>
      </c>
      <c r="U95" s="1146">
        <f>_xlfn.XLOOKUP(D95,RUC!$B$3:$B$123,RUC!$F$3:$F$123)</f>
        <v>110</v>
      </c>
      <c r="V95" s="715">
        <v>1.1023000000000001</v>
      </c>
      <c r="Y95">
        <f>_xlfn.XLOOKUP(D95,RUC!$B$3:$B$123,RUC!$G$3:$G$123)</f>
        <v>0</v>
      </c>
      <c r="Z95" s="143">
        <f>_xlfn.XLOOKUP(D95,RUC!$B$3:$B$123,RUC!$H$3:$H$123)</f>
        <v>35</v>
      </c>
      <c r="AA95" s="144">
        <f t="shared" si="56"/>
        <v>35</v>
      </c>
      <c r="AB95" s="145">
        <f t="shared" si="49"/>
        <v>1291.5691869240002</v>
      </c>
      <c r="AC95" s="145">
        <f>+(S95-T95)*V95-'data 1'!$F$4</f>
        <v>30.230000000000004</v>
      </c>
      <c r="AD95" s="145">
        <f t="shared" si="57"/>
        <v>85.60341029807401</v>
      </c>
      <c r="AE95" s="145">
        <f t="shared" si="58"/>
        <v>-31.419499999999999</v>
      </c>
      <c r="AF95" s="145">
        <f t="shared" si="59"/>
        <v>96.393860315766091</v>
      </c>
      <c r="AG95" s="772">
        <f t="shared" si="53"/>
        <v>197.80777061384009</v>
      </c>
      <c r="AH95" s="1253">
        <f t="shared" si="60"/>
        <v>52.74</v>
      </c>
      <c r="AI95" s="1253">
        <f t="shared" si="61"/>
        <v>55.497999999999998</v>
      </c>
      <c r="AJ95" s="156">
        <f t="shared" si="62"/>
        <v>-67.161049458074061</v>
      </c>
      <c r="AK95" s="156">
        <f t="shared" si="63"/>
        <v>46.971530194708805</v>
      </c>
      <c r="AM95" s="716">
        <f t="shared" si="64"/>
        <v>6922.8108419126411</v>
      </c>
      <c r="AN95" s="716" t="str">
        <f>_xlfn.XLOOKUP(D95,RUC!$B$3:$B$578,RUC!$M$3:$M$578)</f>
        <v>Robinson Tuya</v>
      </c>
      <c r="AO95" s="1167" t="s">
        <v>2280</v>
      </c>
      <c r="AP95" s="1698" t="s">
        <v>3757</v>
      </c>
      <c r="AQ95" t="s">
        <v>4920</v>
      </c>
    </row>
    <row r="96" spans="1:43" ht="15" customHeight="1">
      <c r="A96" s="747" t="s">
        <v>4903</v>
      </c>
      <c r="B96" s="1447">
        <v>46087</v>
      </c>
      <c r="C96" s="1447">
        <v>46083</v>
      </c>
      <c r="D96" s="1699" t="s">
        <v>4171</v>
      </c>
      <c r="E96" s="762">
        <f>_xlfn.XLOOKUP(D96,RUC!$B$3:$B$123,RUC!$D$3:$D$123)</f>
        <v>20614284740</v>
      </c>
      <c r="G96" s="1082">
        <v>109</v>
      </c>
      <c r="H96" s="762" t="s">
        <v>69</v>
      </c>
      <c r="I96" s="703">
        <v>8.89</v>
      </c>
      <c r="J96" s="596">
        <v>2.1</v>
      </c>
      <c r="K96" s="703">
        <f t="shared" si="55"/>
        <v>8.7029999999999994</v>
      </c>
      <c r="L96" s="762">
        <v>0.58599999999999997</v>
      </c>
      <c r="M96" s="994">
        <f t="shared" si="54"/>
        <v>0.55100000000000005</v>
      </c>
      <c r="N96" s="1196">
        <f t="shared" si="51"/>
        <v>0.55100000000000005</v>
      </c>
      <c r="O96" s="645">
        <f t="shared" si="52"/>
        <v>0.55100000000000005</v>
      </c>
      <c r="P96" s="727">
        <v>90</v>
      </c>
      <c r="Q96" s="880">
        <v>99.15</v>
      </c>
      <c r="R96" s="706">
        <v>5313.9</v>
      </c>
      <c r="S96" s="765">
        <f>IF((_xlfn.XLOOKUP(D96,RUC!$B$3:$B$119,RUC!$E$3:$E$119)+ROUNDDOWN(O96,1)*100)&lt;95,95,((_xlfn.XLOOKUP(D96,RUC!$B$3:$B$119,RUC!$E$3:$E$119)+ROUNDDOWN(O96,1)*100)))</f>
        <v>140</v>
      </c>
      <c r="U96" s="1146">
        <f>_xlfn.XLOOKUP(D96,RUC!$B$3:$B$123,RUC!$F$3:$F$123)</f>
        <v>120</v>
      </c>
      <c r="V96" s="715">
        <v>1.1023000000000001</v>
      </c>
      <c r="Y96">
        <f>_xlfn.XLOOKUP(D96,RUC!$B$3:$B$123,RUC!$G$3:$G$123)</f>
        <v>20</v>
      </c>
      <c r="Z96" s="143">
        <f>_xlfn.XLOOKUP(D96,RUC!$B$3:$B$123,RUC!$H$3:$H$123)</f>
        <v>30</v>
      </c>
      <c r="AA96" s="144">
        <f t="shared" si="56"/>
        <v>50</v>
      </c>
      <c r="AB96" s="145">
        <f t="shared" si="49"/>
        <v>2629.7075175230002</v>
      </c>
      <c r="AC96" s="145">
        <f>+(S96-T96)*V96-'data 1'!$F$4</f>
        <v>74.322000000000003</v>
      </c>
      <c r="AD96" s="145">
        <f t="shared" si="57"/>
        <v>306.98142747543017</v>
      </c>
      <c r="AE96" s="145">
        <f t="shared" si="58"/>
        <v>-14.884999999999998</v>
      </c>
      <c r="AF96" s="145">
        <f t="shared" si="59"/>
        <v>198.68000124892455</v>
      </c>
      <c r="AG96" s="772">
        <f t="shared" si="53"/>
        <v>582.09842872435479</v>
      </c>
      <c r="AH96" s="1253">
        <f t="shared" si="60"/>
        <v>173.36799999999999</v>
      </c>
      <c r="AI96" s="1253">
        <f t="shared" si="61"/>
        <v>174.85400000000001</v>
      </c>
      <c r="AJ96" s="156">
        <f t="shared" si="62"/>
        <v>-188.2303839234298</v>
      </c>
      <c r="AK96" s="156">
        <f t="shared" si="63"/>
        <v>147.96948459755848</v>
      </c>
      <c r="AM96" s="716">
        <f t="shared" si="64"/>
        <v>22886.344525002671</v>
      </c>
      <c r="AN96" s="716" t="str">
        <f>_xlfn.XLOOKUP(D96,RUC!$B$3:$B$578,RUC!$M$3:$M$578)</f>
        <v xml:space="preserve">Dante </v>
      </c>
      <c r="AO96" s="1167" t="s">
        <v>2280</v>
      </c>
      <c r="AP96" t="s">
        <v>4944</v>
      </c>
      <c r="AQ96" t="s">
        <v>3196</v>
      </c>
    </row>
    <row r="97" spans="1:43" ht="15" customHeight="1">
      <c r="A97" s="747" t="s">
        <v>4923</v>
      </c>
      <c r="B97" s="1447">
        <v>46087</v>
      </c>
      <c r="C97" s="1447">
        <v>46083</v>
      </c>
      <c r="D97" t="s">
        <v>2004</v>
      </c>
      <c r="E97" s="762">
        <f>_xlfn.XLOOKUP(D97,RUC!$B$3:$B$123,RUC!$D$3:$D$123)</f>
        <v>20612921866</v>
      </c>
      <c r="G97" s="1700" t="s">
        <v>2985</v>
      </c>
      <c r="H97" s="762" t="s">
        <v>69</v>
      </c>
      <c r="I97" s="703">
        <v>10.64</v>
      </c>
      <c r="J97" s="596">
        <v>2.5</v>
      </c>
      <c r="K97" s="703">
        <f t="shared" si="55"/>
        <v>10.374000000000001</v>
      </c>
      <c r="L97" s="762">
        <v>0.19900000000000001</v>
      </c>
      <c r="M97" s="994">
        <f t="shared" si="54"/>
        <v>0.18</v>
      </c>
      <c r="N97" s="1196">
        <f t="shared" si="51"/>
        <v>0.18</v>
      </c>
      <c r="O97" s="645">
        <f t="shared" si="52"/>
        <v>0.18</v>
      </c>
      <c r="P97" s="727">
        <v>90</v>
      </c>
      <c r="Q97" s="880">
        <v>90.95</v>
      </c>
      <c r="R97" s="706">
        <v>5313.9</v>
      </c>
      <c r="S97" s="765">
        <f>IF((_xlfn.XLOOKUP(D97,RUC!$B$3:$B$119,RUC!$E$3:$E$119)+ROUNDDOWN(O97,1)*100)&lt;95,95,((_xlfn.XLOOKUP(D97,RUC!$B$3:$B$119,RUC!$E$3:$E$119)+ROUNDDOWN(O97,1)*100)))</f>
        <v>95</v>
      </c>
      <c r="U97" s="1146">
        <f>_xlfn.XLOOKUP(D97,RUC!$B$3:$B$123,RUC!$F$3:$F$123)</f>
        <v>100</v>
      </c>
      <c r="V97" s="715">
        <v>1.1023000000000001</v>
      </c>
      <c r="Y97">
        <f>_xlfn.XLOOKUP(D97,RUC!$B$3:$B$123,RUC!$G$3:$G$123)</f>
        <v>0</v>
      </c>
      <c r="Z97" s="143">
        <f>_xlfn.XLOOKUP(D97,RUC!$B$3:$B$123,RUC!$H$3:$H$123)</f>
        <v>30</v>
      </c>
      <c r="AA97" s="144">
        <f t="shared" si="56"/>
        <v>30</v>
      </c>
      <c r="AB97" s="145">
        <f t="shared" si="49"/>
        <v>793.27217914000005</v>
      </c>
      <c r="AC97" s="145">
        <f>+(S97-T97)*V97-'data 1'!$F$4</f>
        <v>24.718500000000006</v>
      </c>
      <c r="AD97" s="145">
        <f t="shared" si="57"/>
        <v>10.865236564285032</v>
      </c>
      <c r="AE97" s="145">
        <f t="shared" si="58"/>
        <v>-36.930999999999997</v>
      </c>
      <c r="AF97" s="145">
        <f t="shared" si="59"/>
        <v>99.315906082585073</v>
      </c>
      <c r="AG97" s="772">
        <f t="shared" ref="AG97" si="65">AC97+AD97+AE97+AF97+70-10</f>
        <v>157.96864264687011</v>
      </c>
      <c r="AH97" s="1253">
        <f t="shared" si="60"/>
        <v>64.373999999999995</v>
      </c>
      <c r="AI97" s="1253">
        <f t="shared" si="61"/>
        <v>70.78</v>
      </c>
      <c r="AJ97" s="156">
        <f t="shared" si="62"/>
        <v>-62.624879456284937</v>
      </c>
      <c r="AK97" s="156">
        <f t="shared" si="63"/>
        <v>57.619611732173411</v>
      </c>
      <c r="AM97" s="716">
        <f t="shared" si="64"/>
        <v>8229.4055863983613</v>
      </c>
      <c r="AN97" s="716" t="str">
        <f>_xlfn.XLOOKUP(D97,RUC!$B$3:$B$578,RUC!$M$3:$M$578)</f>
        <v>Ronald Garibay</v>
      </c>
      <c r="AO97" s="1167" t="s">
        <v>2279</v>
      </c>
      <c r="AP97" t="s">
        <v>4945</v>
      </c>
      <c r="AQ97" t="s">
        <v>2376</v>
      </c>
    </row>
    <row r="98" spans="1:43" ht="15" customHeight="1">
      <c r="A98" s="747" t="s">
        <v>4926</v>
      </c>
      <c r="B98" s="1447">
        <v>46090</v>
      </c>
      <c r="C98" s="1447">
        <v>46084</v>
      </c>
      <c r="D98" t="s">
        <v>3062</v>
      </c>
      <c r="E98" s="762">
        <f>_xlfn.XLOOKUP(D98,RUC!$B$3:$B$123,RUC!$D$3:$D$123)</f>
        <v>20610807004</v>
      </c>
      <c r="G98" s="1082">
        <v>26</v>
      </c>
      <c r="H98" s="762" t="s">
        <v>2005</v>
      </c>
      <c r="I98" s="703">
        <v>1.93</v>
      </c>
      <c r="J98" s="596">
        <v>14.68</v>
      </c>
      <c r="K98" s="703">
        <f>ROUND(+I98-(I98*(J98/100)),3)</f>
        <v>1.647</v>
      </c>
      <c r="L98" s="762">
        <v>0.45100000000000001</v>
      </c>
      <c r="M98" s="994">
        <f t="shared" si="54"/>
        <v>0.42399999999999999</v>
      </c>
      <c r="N98" s="1196">
        <f t="shared" si="51"/>
        <v>0.42399999999999999</v>
      </c>
      <c r="O98" s="645">
        <f t="shared" si="52"/>
        <v>0.42399999999999999</v>
      </c>
      <c r="P98" s="727">
        <v>90</v>
      </c>
      <c r="Q98" s="880">
        <v>95.79</v>
      </c>
      <c r="R98" s="706">
        <v>5033.6499999999996</v>
      </c>
      <c r="S98" s="765">
        <f>IF((_xlfn.XLOOKUP(D98,RUC!$B$3:$B$119,RUC!$E$3:$E$119)+ROUNDDOWN(O98,1)*100)&lt;95,95,((_xlfn.XLOOKUP(D98,RUC!$B$3:$B$119,RUC!$E$3:$E$119)+ROUNDDOWN(O98,1)*100)))</f>
        <v>125</v>
      </c>
      <c r="U98" s="1146">
        <f>_xlfn.XLOOKUP(D98,RUC!$B$3:$B$123,RUC!$F$3:$F$123)</f>
        <v>120</v>
      </c>
      <c r="V98" s="715">
        <v>1.1023000000000001</v>
      </c>
      <c r="Y98">
        <f>_xlfn.XLOOKUP(D98,RUC!$B$3:$B$123,RUC!$G$3:$G$123)</f>
        <v>20</v>
      </c>
      <c r="Z98" s="143">
        <f>_xlfn.XLOOKUP(D98,RUC!$B$3:$B$123,RUC!$H$3:$H$123)</f>
        <v>30</v>
      </c>
      <c r="AA98" s="144">
        <f t="shared" si="56"/>
        <v>50</v>
      </c>
      <c r="AB98" s="145">
        <f t="shared" si="49"/>
        <v>1873.9638363319998</v>
      </c>
      <c r="AC98" s="145">
        <f>+(S98-T98)*V98-'data 1'!$F$4</f>
        <v>57.787499999999994</v>
      </c>
      <c r="AD98" s="145">
        <f t="shared" si="57"/>
        <v>141.43572839099565</v>
      </c>
      <c r="AE98" s="145">
        <f t="shared" si="58"/>
        <v>-14.884999999999998</v>
      </c>
      <c r="AF98" s="145">
        <f t="shared" si="59"/>
        <v>140.0838158188036</v>
      </c>
      <c r="AG98" s="772">
        <f t="shared" si="53"/>
        <v>341.42204420979925</v>
      </c>
      <c r="AH98" s="1253">
        <f t="shared" si="60"/>
        <v>24.395</v>
      </c>
      <c r="AI98" s="1253">
        <f t="shared" si="61"/>
        <v>25.466999999999999</v>
      </c>
      <c r="AJ98" s="156">
        <f t="shared" si="62"/>
        <v>-6.5002367384953281</v>
      </c>
      <c r="AK98" s="156">
        <f t="shared" si="63"/>
        <v>21.548201819562365</v>
      </c>
      <c r="AM98" s="716">
        <f t="shared" si="64"/>
        <v>3086.4184384388036</v>
      </c>
      <c r="AN98" s="716" t="str">
        <f>_xlfn.XLOOKUP(D98,RUC!$B$3:$B$578,RUC!$M$3:$M$578)</f>
        <v>Renzo</v>
      </c>
      <c r="AO98" s="1167" t="s">
        <v>2279</v>
      </c>
      <c r="AP98" t="s">
        <v>4950</v>
      </c>
      <c r="AQ98" t="s">
        <v>4951</v>
      </c>
    </row>
    <row r="99" spans="1:43" ht="15" customHeight="1">
      <c r="A99" s="747" t="s">
        <v>4927</v>
      </c>
      <c r="B99" s="1447">
        <v>46090</v>
      </c>
      <c r="C99" s="1447">
        <v>46084</v>
      </c>
      <c r="D99" t="s">
        <v>3062</v>
      </c>
      <c r="E99" s="762">
        <f>_xlfn.XLOOKUP(D99,RUC!$B$3:$B$123,RUC!$D$3:$D$123)</f>
        <v>20610807004</v>
      </c>
      <c r="G99" s="1082">
        <v>37</v>
      </c>
      <c r="H99" s="762" t="s">
        <v>2005</v>
      </c>
      <c r="I99" s="703">
        <v>2.7</v>
      </c>
      <c r="J99" s="596">
        <v>12.33</v>
      </c>
      <c r="K99" s="703">
        <f t="shared" si="55"/>
        <v>2.367</v>
      </c>
      <c r="L99" s="994">
        <v>0.42899999999999999</v>
      </c>
      <c r="M99" s="994">
        <f t="shared" si="54"/>
        <v>0.40300000000000002</v>
      </c>
      <c r="N99" s="1196">
        <f t="shared" si="51"/>
        <v>0.40300000000000002</v>
      </c>
      <c r="O99" s="645">
        <f t="shared" si="52"/>
        <v>0.40300000000000002</v>
      </c>
      <c r="P99" s="727">
        <v>90</v>
      </c>
      <c r="Q99" s="880">
        <v>94.64</v>
      </c>
      <c r="R99" s="706">
        <v>5033.6499999999996</v>
      </c>
      <c r="S99" s="765">
        <f>IF((_xlfn.XLOOKUP(D99,RUC!$B$3:$B$119,RUC!$E$3:$E$119)+ROUNDDOWN(O99,1)*100)&lt;95,95,((_xlfn.XLOOKUP(D99,RUC!$B$3:$B$119,RUC!$E$3:$E$119)+ROUNDDOWN(O99,1)*100)))</f>
        <v>125</v>
      </c>
      <c r="U99" s="1146">
        <f>_xlfn.XLOOKUP(D99,RUC!$B$3:$B$123,RUC!$F$3:$F$123)</f>
        <v>120</v>
      </c>
      <c r="V99" s="715">
        <v>1.1023000000000001</v>
      </c>
      <c r="Y99">
        <f>_xlfn.XLOOKUP(D99,RUC!$B$3:$B$123,RUC!$G$3:$G$123)</f>
        <v>20</v>
      </c>
      <c r="Z99" s="143">
        <f>_xlfn.XLOOKUP(D99,RUC!$B$3:$B$123,RUC!$H$3:$H$123)</f>
        <v>30</v>
      </c>
      <c r="AA99" s="144">
        <f t="shared" si="56"/>
        <v>50</v>
      </c>
      <c r="AB99" s="145">
        <f t="shared" si="49"/>
        <v>1771.5954564665001</v>
      </c>
      <c r="AC99" s="145">
        <f>+(S99-T99)*V99-'data 1'!$F$4</f>
        <v>57.787499999999994</v>
      </c>
      <c r="AD99" s="145">
        <f t="shared" si="57"/>
        <v>107.815027632312</v>
      </c>
      <c r="AE99" s="145">
        <f t="shared" si="58"/>
        <v>-14.884999999999998</v>
      </c>
      <c r="AF99" s="145">
        <f t="shared" si="59"/>
        <v>133.27604774192784</v>
      </c>
      <c r="AG99" s="772">
        <f t="shared" si="53"/>
        <v>300.99357537423987</v>
      </c>
      <c r="AH99" s="1253">
        <f t="shared" si="60"/>
        <v>32.948999999999998</v>
      </c>
      <c r="AI99" s="1253">
        <f t="shared" si="61"/>
        <v>34.814999999999998</v>
      </c>
      <c r="AJ99" s="156">
        <f t="shared" si="62"/>
        <v>-6.1089206298118368</v>
      </c>
      <c r="AK99" s="156">
        <f t="shared" si="63"/>
        <v>29.434379351654748</v>
      </c>
      <c r="AM99" s="716">
        <f t="shared" si="64"/>
        <v>4193.3664454562058</v>
      </c>
      <c r="AN99" s="716" t="str">
        <f>_xlfn.XLOOKUP(D99,RUC!$B$3:$B$578,RUC!$M$3:$M$578)</f>
        <v>Renzo</v>
      </c>
      <c r="AO99" s="1167" t="s">
        <v>2279</v>
      </c>
      <c r="AP99" t="s">
        <v>4950</v>
      </c>
      <c r="AQ99" t="s">
        <v>4951</v>
      </c>
    </row>
    <row r="100" spans="1:43" ht="15" customHeight="1">
      <c r="A100" s="747" t="s">
        <v>4928</v>
      </c>
      <c r="B100" s="1447">
        <v>46090</v>
      </c>
      <c r="C100" s="1447">
        <v>46084</v>
      </c>
      <c r="D100" t="s">
        <v>3062</v>
      </c>
      <c r="E100" s="762">
        <f>_xlfn.XLOOKUP(D100,RUC!$B$3:$B$123,RUC!$D$3:$D$123)</f>
        <v>20610807004</v>
      </c>
      <c r="G100" s="1082">
        <v>29</v>
      </c>
      <c r="H100" s="762" t="s">
        <v>2005</v>
      </c>
      <c r="I100" s="703">
        <v>2.31</v>
      </c>
      <c r="J100" s="596">
        <v>6.7</v>
      </c>
      <c r="K100" s="703">
        <f t="shared" si="55"/>
        <v>2.1549999999999998</v>
      </c>
      <c r="L100" s="994">
        <v>0.23</v>
      </c>
      <c r="M100" s="994">
        <f t="shared" si="54"/>
        <v>0.21099999999999999</v>
      </c>
      <c r="N100" s="1196">
        <f t="shared" si="51"/>
        <v>0.21099999999999999</v>
      </c>
      <c r="O100" s="645">
        <f t="shared" si="52"/>
        <v>0.21099999999999999</v>
      </c>
      <c r="P100" s="727">
        <v>90</v>
      </c>
      <c r="Q100" s="880">
        <v>92.17</v>
      </c>
      <c r="R100" s="706">
        <v>5033.6499999999996</v>
      </c>
      <c r="S100" s="765">
        <f>IF((_xlfn.XLOOKUP(D100,RUC!$B$3:$B$119,RUC!$E$3:$E$119)+ROUNDDOWN(O100,1)*100)&lt;95,95,((_xlfn.XLOOKUP(D100,RUC!$B$3:$B$119,RUC!$E$3:$E$119)+ROUNDDOWN(O100,1)*100)))</f>
        <v>105</v>
      </c>
      <c r="U100" s="1146">
        <f>_xlfn.XLOOKUP(D100,RUC!$B$3:$B$123,RUC!$F$3:$F$123)</f>
        <v>120</v>
      </c>
      <c r="V100" s="715">
        <v>1.1023000000000001</v>
      </c>
      <c r="Y100">
        <f>_xlfn.XLOOKUP(D100,RUC!$B$3:$B$123,RUC!$G$3:$G$123)</f>
        <v>20</v>
      </c>
      <c r="Z100" s="143">
        <f>_xlfn.XLOOKUP(D100,RUC!$B$3:$B$123,RUC!$H$3:$H$123)</f>
        <v>30</v>
      </c>
      <c r="AA100" s="144">
        <f t="shared" si="56"/>
        <v>50</v>
      </c>
      <c r="AB100" s="145">
        <f t="shared" si="49"/>
        <v>857.70198341049991</v>
      </c>
      <c r="AC100" s="145">
        <f>+(S100-T100)*V100-'data 1'!$F$4</f>
        <v>35.741500000000002</v>
      </c>
      <c r="AD100" s="145">
        <f t="shared" si="57"/>
        <v>27.032835127445022</v>
      </c>
      <c r="AE100" s="145">
        <f t="shared" si="58"/>
        <v>-14.884999999999998</v>
      </c>
      <c r="AF100" s="145">
        <f t="shared" si="59"/>
        <v>94.852157604158577</v>
      </c>
      <c r="AG100" s="772">
        <f t="shared" si="53"/>
        <v>159.74149273160361</v>
      </c>
      <c r="AH100" s="1253">
        <f t="shared" si="60"/>
        <v>15.663</v>
      </c>
      <c r="AI100" s="1253">
        <f t="shared" si="61"/>
        <v>16.994</v>
      </c>
      <c r="AJ100" s="156">
        <f t="shared" si="62"/>
        <v>-3.189700322444915</v>
      </c>
      <c r="AK100" s="156">
        <f t="shared" si="63"/>
        <v>14.030763635947723</v>
      </c>
      <c r="AM100" s="716">
        <f t="shared" si="64"/>
        <v>1848.347774249627</v>
      </c>
      <c r="AN100" s="716" t="str">
        <f>_xlfn.XLOOKUP(D100,RUC!$B$3:$B$578,RUC!$M$3:$M$578)</f>
        <v>Renzo</v>
      </c>
      <c r="AO100" s="1167" t="s">
        <v>2279</v>
      </c>
      <c r="AP100" t="s">
        <v>4950</v>
      </c>
      <c r="AQ100" t="s">
        <v>4951</v>
      </c>
    </row>
    <row r="101" spans="1:43" ht="15" customHeight="1">
      <c r="A101" s="747" t="s">
        <v>4929</v>
      </c>
      <c r="B101" s="1447">
        <v>46090</v>
      </c>
      <c r="C101" s="1447">
        <v>46084</v>
      </c>
      <c r="D101" t="s">
        <v>3062</v>
      </c>
      <c r="E101" s="762">
        <f>_xlfn.XLOOKUP(D101,RUC!$B$3:$B$123,RUC!$D$3:$D$123)</f>
        <v>20610807004</v>
      </c>
      <c r="G101" s="1082">
        <v>41</v>
      </c>
      <c r="H101" s="762" t="s">
        <v>2005</v>
      </c>
      <c r="I101" s="703">
        <v>3.15</v>
      </c>
      <c r="J101" s="596">
        <v>11.9</v>
      </c>
      <c r="K101" s="703">
        <f t="shared" si="55"/>
        <v>2.7749999999999999</v>
      </c>
      <c r="L101" s="994">
        <v>0.21199999999999999</v>
      </c>
      <c r="M101" s="994">
        <f t="shared" si="54"/>
        <v>0.193</v>
      </c>
      <c r="N101" s="1196">
        <f t="shared" si="51"/>
        <v>0.193</v>
      </c>
      <c r="O101" s="645">
        <f t="shared" si="52"/>
        <v>0.193</v>
      </c>
      <c r="P101" s="727">
        <v>85</v>
      </c>
      <c r="Q101" s="1476">
        <v>91.51</v>
      </c>
      <c r="R101" s="706">
        <v>5033.6499999999996</v>
      </c>
      <c r="S101" s="765">
        <f>IF((_xlfn.XLOOKUP(D101,RUC!$B$3:$B$119,RUC!$E$3:$E$119)+ROUNDDOWN(O101,1)*100)&lt;95,95,((_xlfn.XLOOKUP(D101,RUC!$B$3:$B$119,RUC!$E$3:$E$119)+ROUNDDOWN(O101,1)*100)))</f>
        <v>95</v>
      </c>
      <c r="U101" s="1146">
        <f>_xlfn.XLOOKUP(D101,RUC!$B$3:$B$123,RUC!$F$3:$F$123)</f>
        <v>120</v>
      </c>
      <c r="V101" s="715">
        <v>1.1023000000000001</v>
      </c>
      <c r="Y101">
        <f>_xlfn.XLOOKUP(D101,RUC!$B$3:$B$123,RUC!$G$3:$G$123)</f>
        <v>20</v>
      </c>
      <c r="Z101" s="143">
        <f>_xlfn.XLOOKUP(D101,RUC!$B$3:$B$123,RUC!$H$3:$H$123)</f>
        <v>30</v>
      </c>
      <c r="AA101" s="144">
        <f t="shared" si="56"/>
        <v>50</v>
      </c>
      <c r="AB101" s="145">
        <f t="shared" si="49"/>
        <v>728.71320459975004</v>
      </c>
      <c r="AC101" s="145">
        <f>+(S101-T101)*V101-'data 1'!$F$4</f>
        <v>24.718500000000006</v>
      </c>
      <c r="AD101" s="145">
        <f t="shared" si="57"/>
        <v>74.751665830674071</v>
      </c>
      <c r="AE101" s="145">
        <f t="shared" si="58"/>
        <v>-14.884999999999998</v>
      </c>
      <c r="AF101" s="145">
        <f t="shared" si="59"/>
        <v>94.172951528225454</v>
      </c>
      <c r="AG101" s="772">
        <f t="shared" si="53"/>
        <v>195.75811735889954</v>
      </c>
      <c r="AH101" s="1253">
        <f t="shared" si="60"/>
        <v>18.457999999999998</v>
      </c>
      <c r="AI101" s="1253">
        <f t="shared" si="61"/>
        <v>20.170000000000002</v>
      </c>
      <c r="AJ101" s="156">
        <f t="shared" si="62"/>
        <v>-2.9190186856739229</v>
      </c>
      <c r="AK101" s="156">
        <f t="shared" si="63"/>
        <v>15.608037199146938</v>
      </c>
      <c r="AM101" s="716">
        <f t="shared" si="64"/>
        <v>2022.1791427643063</v>
      </c>
      <c r="AN101" s="716" t="str">
        <f>_xlfn.XLOOKUP(D101,RUC!$B$3:$B$578,RUC!$M$3:$M$578)</f>
        <v>Renzo</v>
      </c>
      <c r="AO101" s="1167" t="s">
        <v>2279</v>
      </c>
      <c r="AP101" t="s">
        <v>4950</v>
      </c>
      <c r="AQ101" t="s">
        <v>4951</v>
      </c>
    </row>
    <row r="102" spans="1:43" ht="15" customHeight="1">
      <c r="A102" s="747" t="s">
        <v>4930</v>
      </c>
      <c r="B102" s="1447">
        <v>46090</v>
      </c>
      <c r="C102" s="1447">
        <v>46084</v>
      </c>
      <c r="D102" t="s">
        <v>3062</v>
      </c>
      <c r="E102" s="762">
        <f>_xlfn.XLOOKUP(D102,RUC!$B$3:$B$123,RUC!$D$3:$D$123)</f>
        <v>20610807004</v>
      </c>
      <c r="G102" s="1082">
        <v>30</v>
      </c>
      <c r="H102" s="762" t="s">
        <v>69</v>
      </c>
      <c r="I102" s="703">
        <v>2.39</v>
      </c>
      <c r="J102" s="596">
        <v>11.9</v>
      </c>
      <c r="K102" s="703">
        <f t="shared" si="55"/>
        <v>2.1059999999999999</v>
      </c>
      <c r="L102" s="994">
        <v>0.374</v>
      </c>
      <c r="M102" s="994">
        <f t="shared" si="54"/>
        <v>0.35199999999999998</v>
      </c>
      <c r="N102" s="1196">
        <f t="shared" si="51"/>
        <v>0.35199999999999998</v>
      </c>
      <c r="O102" s="645">
        <f t="shared" si="52"/>
        <v>0.35199999999999998</v>
      </c>
      <c r="P102" s="727">
        <v>90</v>
      </c>
      <c r="Q102" s="1476">
        <v>95.19</v>
      </c>
      <c r="R102" s="706">
        <v>5033.6499999999996</v>
      </c>
      <c r="S102" s="765">
        <f>IF((_xlfn.XLOOKUP(D102,RUC!$B$3:$B$119,RUC!$E$3:$E$119)+ROUNDDOWN(O102,1)*100)&lt;95,95,((_xlfn.XLOOKUP(D102,RUC!$B$3:$B$119,RUC!$E$3:$E$119)+ROUNDDOWN(O102,1)*100)))</f>
        <v>115</v>
      </c>
      <c r="U102" s="1146">
        <f>_xlfn.XLOOKUP(D102,RUC!$B$3:$B$123,RUC!$F$3:$F$123)</f>
        <v>120</v>
      </c>
      <c r="V102" s="715">
        <v>1.1023000000000001</v>
      </c>
      <c r="Y102">
        <f>_xlfn.XLOOKUP(D102,RUC!$B$3:$B$123,RUC!$G$3:$G$123)</f>
        <v>20</v>
      </c>
      <c r="Z102" s="143">
        <f>_xlfn.XLOOKUP(D102,RUC!$B$3:$B$123,RUC!$H$3:$H$123)</f>
        <v>30</v>
      </c>
      <c r="AA102" s="144">
        <f t="shared" si="56"/>
        <v>50</v>
      </c>
      <c r="AB102" s="145">
        <f t="shared" si="49"/>
        <v>1534.0095339360003</v>
      </c>
      <c r="AC102" s="145">
        <f>+(S102-T102)*V102-'data 1'!$F$4</f>
        <v>46.764500000000012</v>
      </c>
      <c r="AD102" s="145">
        <f t="shared" si="57"/>
        <v>105.13395101678697</v>
      </c>
      <c r="AE102" s="145">
        <f t="shared" si="58"/>
        <v>-14.884999999999998</v>
      </c>
      <c r="AF102" s="145">
        <f t="shared" si="59"/>
        <v>113.42741468081108</v>
      </c>
      <c r="AG102" s="772">
        <f t="shared" si="53"/>
        <v>267.44086569759804</v>
      </c>
      <c r="AH102" s="1253">
        <f t="shared" si="60"/>
        <v>25.706</v>
      </c>
      <c r="AI102" s="1253">
        <f t="shared" si="61"/>
        <v>27.004999999999999</v>
      </c>
      <c r="AJ102" s="156">
        <f t="shared" si="62"/>
        <v>-5.3566761117868573</v>
      </c>
      <c r="AK102" s="156">
        <f t="shared" si="63"/>
        <v>22.874552627509438</v>
      </c>
      <c r="AM102" s="716">
        <f t="shared" si="64"/>
        <v>3230.6240784692163</v>
      </c>
      <c r="AN102" s="716" t="str">
        <f>_xlfn.XLOOKUP(D102,RUC!$B$3:$B$578,RUC!$M$3:$M$578)</f>
        <v>Renzo</v>
      </c>
      <c r="AO102" s="1167" t="s">
        <v>2279</v>
      </c>
      <c r="AP102" t="s">
        <v>4950</v>
      </c>
      <c r="AQ102" t="s">
        <v>4951</v>
      </c>
    </row>
    <row r="103" spans="1:43" ht="15" customHeight="1">
      <c r="A103" s="747" t="s">
        <v>4931</v>
      </c>
      <c r="B103" s="1447">
        <v>46090</v>
      </c>
      <c r="C103" s="1447">
        <v>46084</v>
      </c>
      <c r="D103" t="s">
        <v>3062</v>
      </c>
      <c r="E103" s="762">
        <f>_xlfn.XLOOKUP(D103,RUC!$B$3:$B$123,RUC!$D$3:$D$123)</f>
        <v>20610807004</v>
      </c>
      <c r="G103" s="1082">
        <v>30</v>
      </c>
      <c r="H103" s="762" t="s">
        <v>69</v>
      </c>
      <c r="I103" s="703">
        <v>2.11</v>
      </c>
      <c r="J103" s="596">
        <v>15.2</v>
      </c>
      <c r="K103" s="703">
        <f t="shared" si="55"/>
        <v>1.7889999999999999</v>
      </c>
      <c r="L103" s="994">
        <v>0.433</v>
      </c>
      <c r="M103" s="994">
        <f t="shared" si="54"/>
        <v>0.40699999999999997</v>
      </c>
      <c r="N103" s="1196">
        <f t="shared" si="51"/>
        <v>0.40699999999999997</v>
      </c>
      <c r="O103" s="645">
        <f t="shared" si="52"/>
        <v>0.40699999999999997</v>
      </c>
      <c r="P103" s="727">
        <v>90</v>
      </c>
      <c r="Q103" s="1476">
        <v>92.61</v>
      </c>
      <c r="R103" s="706">
        <v>5033.6499999999996</v>
      </c>
      <c r="S103" s="765">
        <f>IF((_xlfn.XLOOKUP(D103,RUC!$B$3:$B$119,RUC!$E$3:$E$119)+ROUNDDOWN(O103,1)*100)&lt;95,95,((_xlfn.XLOOKUP(D103,RUC!$B$3:$B$119,RUC!$E$3:$E$119)+ROUNDDOWN(O103,1)*100)))</f>
        <v>125</v>
      </c>
      <c r="U103" s="1146">
        <f>_xlfn.XLOOKUP(D103,RUC!$B$3:$B$123,RUC!$F$3:$F$123)</f>
        <v>120</v>
      </c>
      <c r="V103" s="715">
        <v>1.1023000000000001</v>
      </c>
      <c r="Y103">
        <f>_xlfn.XLOOKUP(D103,RUC!$B$3:$B$123,RUC!$G$3:$G$123)</f>
        <v>20</v>
      </c>
      <c r="Z103" s="143">
        <f>_xlfn.XLOOKUP(D103,RUC!$B$3:$B$123,RUC!$H$3:$H$123)</f>
        <v>30</v>
      </c>
      <c r="AA103" s="144">
        <f t="shared" si="56"/>
        <v>50</v>
      </c>
      <c r="AB103" s="145">
        <f t="shared" si="49"/>
        <v>1791.0941954885</v>
      </c>
      <c r="AC103" s="145">
        <f>+(S103-T103)*V103-'data 1'!$F$4</f>
        <v>57.787499999999994</v>
      </c>
      <c r="AD103" s="145">
        <f t="shared" si="57"/>
        <v>61.21141647481349</v>
      </c>
      <c r="AE103" s="145">
        <f t="shared" si="58"/>
        <v>-14.884999999999998</v>
      </c>
      <c r="AF103" s="145">
        <f t="shared" si="59"/>
        <v>130.41731594864711</v>
      </c>
      <c r="AG103" s="772">
        <f t="shared" si="53"/>
        <v>251.53123242346061</v>
      </c>
      <c r="AH103" s="1253">
        <f t="shared" si="60"/>
        <v>24.596</v>
      </c>
      <c r="AI103" s="1253">
        <f t="shared" si="61"/>
        <v>26.559000000000001</v>
      </c>
      <c r="AJ103" s="156">
        <f t="shared" si="62"/>
        <v>-6.0336239553133399</v>
      </c>
      <c r="AK103" s="156">
        <f t="shared" si="63"/>
        <v>22.46758164281713</v>
      </c>
      <c r="AM103" s="716">
        <f t="shared" si="64"/>
        <v>3204.2675157289264</v>
      </c>
      <c r="AN103" s="716" t="str">
        <f>_xlfn.XLOOKUP(D103,RUC!$B$3:$B$578,RUC!$M$3:$M$578)</f>
        <v>Renzo</v>
      </c>
      <c r="AO103" s="1167" t="s">
        <v>2279</v>
      </c>
      <c r="AP103" t="s">
        <v>4950</v>
      </c>
      <c r="AQ103" t="s">
        <v>4951</v>
      </c>
    </row>
    <row r="104" spans="1:43" ht="15" customHeight="1">
      <c r="A104" s="747" t="s">
        <v>4932</v>
      </c>
      <c r="B104" s="1447">
        <v>46090</v>
      </c>
      <c r="C104" s="1447">
        <v>46084</v>
      </c>
      <c r="D104" t="s">
        <v>3062</v>
      </c>
      <c r="E104" s="762">
        <f>_xlfn.XLOOKUP(D104,RUC!$B$3:$B$123,RUC!$D$3:$D$123)</f>
        <v>20610807004</v>
      </c>
      <c r="G104" s="1082">
        <v>30</v>
      </c>
      <c r="H104" s="762" t="s">
        <v>69</v>
      </c>
      <c r="I104" s="703">
        <v>2.33</v>
      </c>
      <c r="J104" s="596">
        <v>11.9</v>
      </c>
      <c r="K104" s="703">
        <f t="shared" si="55"/>
        <v>2.0529999999999999</v>
      </c>
      <c r="L104" s="994">
        <v>0.29899999999999999</v>
      </c>
      <c r="M104" s="994">
        <f t="shared" si="54"/>
        <v>0.28000000000000003</v>
      </c>
      <c r="N104" s="1196">
        <f t="shared" si="51"/>
        <v>0.28000000000000003</v>
      </c>
      <c r="O104" s="645">
        <f t="shared" si="52"/>
        <v>0.28000000000000003</v>
      </c>
      <c r="P104" s="727">
        <v>90</v>
      </c>
      <c r="Q104" s="1476">
        <v>95.99</v>
      </c>
      <c r="R104" s="706">
        <v>5033.6499999999996</v>
      </c>
      <c r="S104" s="765">
        <f>IF((_xlfn.XLOOKUP(D104,RUC!$B$3:$B$119,RUC!$E$3:$E$119)+ROUNDDOWN(O104,1)*100)&lt;95,95,((_xlfn.XLOOKUP(D104,RUC!$B$3:$B$119,RUC!$E$3:$E$119)+ROUNDDOWN(O104,1)*100)))</f>
        <v>105</v>
      </c>
      <c r="U104" s="1146">
        <f>_xlfn.XLOOKUP(D104,RUC!$B$3:$B$123,RUC!$F$3:$F$123)</f>
        <v>120</v>
      </c>
      <c r="V104" s="715">
        <v>1.1023000000000001</v>
      </c>
      <c r="Y104">
        <f>_xlfn.XLOOKUP(D104,RUC!$B$3:$B$123,RUC!$G$3:$G$123)</f>
        <v>20</v>
      </c>
      <c r="Z104" s="143">
        <f>_xlfn.XLOOKUP(D104,RUC!$B$3:$B$123,RUC!$H$3:$H$123)</f>
        <v>30</v>
      </c>
      <c r="AA104" s="144">
        <f t="shared" si="56"/>
        <v>50</v>
      </c>
      <c r="AB104" s="145">
        <f t="shared" si="49"/>
        <v>1194.05523154</v>
      </c>
      <c r="AC104" s="145">
        <f>+(S104-T104)*V104-'data 1'!$F$4</f>
        <v>35.741500000000002</v>
      </c>
      <c r="AD104" s="145">
        <f t="shared" si="57"/>
        <v>97.006768266089423</v>
      </c>
      <c r="AE104" s="145">
        <f t="shared" si="58"/>
        <v>-14.884999999999998</v>
      </c>
      <c r="AF104" s="145">
        <f t="shared" si="59"/>
        <v>98.783320043649297</v>
      </c>
      <c r="AG104" s="772">
        <f t="shared" si="53"/>
        <v>233.64658830973872</v>
      </c>
      <c r="AH104" s="1253">
        <f t="shared" si="60"/>
        <v>20.202000000000002</v>
      </c>
      <c r="AI104" s="1253">
        <f t="shared" si="61"/>
        <v>21.045999999999999</v>
      </c>
      <c r="AJ104" s="156">
        <f t="shared" si="62"/>
        <v>-4.3184673335893846</v>
      </c>
      <c r="AK104" s="156">
        <f t="shared" si="63"/>
        <v>17.737751219995801</v>
      </c>
      <c r="AM104" s="716">
        <f t="shared" si="64"/>
        <v>2451.3953903516199</v>
      </c>
      <c r="AN104" s="716" t="str">
        <f>_xlfn.XLOOKUP(D104,RUC!$B$3:$B$578,RUC!$M$3:$M$578)</f>
        <v>Renzo</v>
      </c>
      <c r="AO104" s="1167" t="s">
        <v>2279</v>
      </c>
      <c r="AP104" t="s">
        <v>4950</v>
      </c>
      <c r="AQ104" t="s">
        <v>4951</v>
      </c>
    </row>
    <row r="105" spans="1:43" ht="15" customHeight="1">
      <c r="A105" s="747" t="s">
        <v>4933</v>
      </c>
      <c r="B105" s="1447">
        <v>46090</v>
      </c>
      <c r="C105" s="1447">
        <v>46084</v>
      </c>
      <c r="D105" t="s">
        <v>3062</v>
      </c>
      <c r="E105" s="762">
        <f>_xlfn.XLOOKUP(D105,RUC!$B$3:$B$123,RUC!$D$3:$D$123)</f>
        <v>20610807004</v>
      </c>
      <c r="G105" s="1082">
        <v>30</v>
      </c>
      <c r="H105" s="762" t="s">
        <v>2005</v>
      </c>
      <c r="I105" s="703">
        <v>2.12</v>
      </c>
      <c r="J105" s="596">
        <v>18.5</v>
      </c>
      <c r="K105" s="703">
        <f t="shared" si="55"/>
        <v>1.728</v>
      </c>
      <c r="L105" s="994">
        <v>0.4</v>
      </c>
      <c r="M105" s="994">
        <f t="shared" si="54"/>
        <v>0.376</v>
      </c>
      <c r="N105" s="1196">
        <f t="shared" si="51"/>
        <v>0.376</v>
      </c>
      <c r="O105" s="645">
        <f t="shared" si="52"/>
        <v>0.376</v>
      </c>
      <c r="P105" s="727">
        <v>90</v>
      </c>
      <c r="Q105" s="1476">
        <v>95.5</v>
      </c>
      <c r="R105" s="706">
        <v>5033.6499999999996</v>
      </c>
      <c r="S105" s="765">
        <f>IF((_xlfn.XLOOKUP(D105,RUC!$B$3:$B$119,RUC!$E$3:$E$119)+ROUNDDOWN(O105,1)*100)&lt;95,95,((_xlfn.XLOOKUP(D105,RUC!$B$3:$B$119,RUC!$E$3:$E$119)+ROUNDDOWN(O105,1)*100)))</f>
        <v>115</v>
      </c>
      <c r="U105" s="1146">
        <f>_xlfn.XLOOKUP(D105,RUC!$B$3:$B$123,RUC!$F$3:$F$123)</f>
        <v>120</v>
      </c>
      <c r="V105" s="715">
        <v>1.1023000000000001</v>
      </c>
      <c r="Y105">
        <f>_xlfn.XLOOKUP(D105,RUC!$B$3:$B$123,RUC!$G$3:$G$123)</f>
        <v>20</v>
      </c>
      <c r="Z105" s="143">
        <f>_xlfn.XLOOKUP(D105,RUC!$B$3:$B$123,RUC!$H$3:$H$123)</f>
        <v>30</v>
      </c>
      <c r="AA105" s="144">
        <f t="shared" si="56"/>
        <v>50</v>
      </c>
      <c r="AB105" s="145">
        <f t="shared" si="49"/>
        <v>1651.0019680680002</v>
      </c>
      <c r="AC105" s="145">
        <f>+(S105-T105)*V105-'data 1'!$F$4</f>
        <v>46.764500000000012</v>
      </c>
      <c r="AD105" s="145">
        <f t="shared" si="57"/>
        <v>119.15896068999999</v>
      </c>
      <c r="AE105" s="145">
        <f t="shared" si="58"/>
        <v>-14.884999999999998</v>
      </c>
      <c r="AF105" s="145">
        <f t="shared" si="59"/>
        <v>124.14197177340012</v>
      </c>
      <c r="AG105" s="772">
        <f t="shared" si="53"/>
        <v>292.18043246340017</v>
      </c>
      <c r="AH105" s="1253">
        <f t="shared" si="60"/>
        <v>22.632000000000001</v>
      </c>
      <c r="AI105" s="1253">
        <f t="shared" si="61"/>
        <v>23.698</v>
      </c>
      <c r="AJ105" s="156">
        <f t="shared" si="62"/>
        <v>-5.7477228899998476</v>
      </c>
      <c r="AK105" s="156">
        <f t="shared" si="63"/>
        <v>20.048558946255362</v>
      </c>
      <c r="AM105" s="716">
        <f t="shared" si="64"/>
        <v>2852.9314008215042</v>
      </c>
      <c r="AN105" s="716" t="str">
        <f>_xlfn.XLOOKUP(D105,RUC!$B$3:$B$578,RUC!$M$3:$M$578)</f>
        <v>Renzo</v>
      </c>
      <c r="AO105" s="1167" t="s">
        <v>2279</v>
      </c>
      <c r="AP105" t="s">
        <v>4950</v>
      </c>
      <c r="AQ105" t="s">
        <v>4951</v>
      </c>
    </row>
    <row r="106" spans="1:43" ht="15" customHeight="1">
      <c r="A106" s="747" t="s">
        <v>4934</v>
      </c>
      <c r="B106" s="1447">
        <v>46090</v>
      </c>
      <c r="C106" s="1447">
        <v>46084</v>
      </c>
      <c r="D106" t="s">
        <v>3062</v>
      </c>
      <c r="E106" s="762">
        <f>_xlfn.XLOOKUP(D106,RUC!$B$3:$B$123,RUC!$D$3:$D$123)</f>
        <v>20610807004</v>
      </c>
      <c r="G106" s="1082">
        <v>30</v>
      </c>
      <c r="H106" s="762" t="s">
        <v>69</v>
      </c>
      <c r="I106" s="703">
        <v>2.59</v>
      </c>
      <c r="J106" s="596">
        <v>13.3</v>
      </c>
      <c r="K106" s="703">
        <f t="shared" si="55"/>
        <v>2.246</v>
      </c>
      <c r="L106" s="994">
        <v>0.224</v>
      </c>
      <c r="M106" s="994">
        <f t="shared" si="54"/>
        <v>0.20499999999999999</v>
      </c>
      <c r="N106" s="1196">
        <f t="shared" si="51"/>
        <v>0.20499999999999999</v>
      </c>
      <c r="O106" s="645">
        <f t="shared" si="52"/>
        <v>0.20499999999999999</v>
      </c>
      <c r="P106" s="727">
        <v>90</v>
      </c>
      <c r="Q106" s="1476">
        <v>94.64</v>
      </c>
      <c r="R106" s="706">
        <v>5033.6499999999996</v>
      </c>
      <c r="S106" s="765">
        <f>IF((_xlfn.XLOOKUP(D106,RUC!$B$3:$B$119,RUC!$E$3:$E$119)+ROUNDDOWN(O106,1)*100)&lt;95,95,((_xlfn.XLOOKUP(D106,RUC!$B$3:$B$119,RUC!$E$3:$E$119)+ROUNDDOWN(O106,1)*100)))</f>
        <v>105</v>
      </c>
      <c r="U106" s="1146">
        <f>_xlfn.XLOOKUP(D106,RUC!$B$3:$B$123,RUC!$F$3:$F$123)</f>
        <v>120</v>
      </c>
      <c r="V106" s="715">
        <v>1.1023000000000001</v>
      </c>
      <c r="Y106">
        <f>_xlfn.XLOOKUP(D106,RUC!$B$3:$B$123,RUC!$G$3:$G$123)</f>
        <v>20</v>
      </c>
      <c r="Z106" s="143">
        <f>_xlfn.XLOOKUP(D106,RUC!$B$3:$B$123,RUC!$H$3:$H$123)</f>
        <v>30</v>
      </c>
      <c r="AA106" s="144">
        <f t="shared" si="56"/>
        <v>50</v>
      </c>
      <c r="AB106" s="145">
        <f t="shared" si="49"/>
        <v>828.45387487749986</v>
      </c>
      <c r="AC106" s="145">
        <f>+(S106-T106)*V106-'data 1'!$F$4</f>
        <v>35.741500000000002</v>
      </c>
      <c r="AD106" s="145">
        <f t="shared" si="57"/>
        <v>56.295026083071996</v>
      </c>
      <c r="AE106" s="145">
        <f t="shared" si="58"/>
        <v>-14.884999999999998</v>
      </c>
      <c r="AF106" s="145">
        <f t="shared" si="59"/>
        <v>97.394034888332087</v>
      </c>
      <c r="AG106" s="772">
        <f t="shared" si="53"/>
        <v>191.54556097140409</v>
      </c>
      <c r="AH106" s="1253">
        <f t="shared" si="60"/>
        <v>16.324999999999999</v>
      </c>
      <c r="AI106" s="1253">
        <f t="shared" si="61"/>
        <v>17.248999999999999</v>
      </c>
      <c r="AJ106" s="156">
        <f t="shared" si="62"/>
        <v>-3.1897394430719159</v>
      </c>
      <c r="AK106" s="156">
        <f t="shared" si="63"/>
        <v>14.207419097875352</v>
      </c>
      <c r="AM106" s="716">
        <f t="shared" si="64"/>
        <v>1860.7074029748646</v>
      </c>
      <c r="AN106" s="716" t="str">
        <f>_xlfn.XLOOKUP(D106,RUC!$B$3:$B$578,RUC!$M$3:$M$578)</f>
        <v>Renzo</v>
      </c>
      <c r="AO106" s="1167" t="s">
        <v>2279</v>
      </c>
      <c r="AP106" t="s">
        <v>4950</v>
      </c>
      <c r="AQ106" t="s">
        <v>4951</v>
      </c>
    </row>
    <row r="107" spans="1:43" ht="15" customHeight="1">
      <c r="A107" s="747" t="s">
        <v>4935</v>
      </c>
      <c r="B107" s="1447">
        <v>46090</v>
      </c>
      <c r="C107" s="1447">
        <v>46084</v>
      </c>
      <c r="D107" t="s">
        <v>3062</v>
      </c>
      <c r="E107" s="762">
        <f>_xlfn.XLOOKUP(D107,RUC!$B$3:$B$123,RUC!$D$3:$D$123)</f>
        <v>20610807004</v>
      </c>
      <c r="G107" s="1082">
        <v>25</v>
      </c>
      <c r="H107" s="762" t="s">
        <v>69</v>
      </c>
      <c r="I107" s="703">
        <v>2.13</v>
      </c>
      <c r="J107" s="596">
        <v>12.2</v>
      </c>
      <c r="K107" s="703">
        <f t="shared" si="55"/>
        <v>1.87</v>
      </c>
      <c r="L107" s="994">
        <v>0.32800000000000001</v>
      </c>
      <c r="M107" s="994">
        <f t="shared" si="54"/>
        <v>0.308</v>
      </c>
      <c r="N107" s="1196">
        <f t="shared" si="51"/>
        <v>0.308</v>
      </c>
      <c r="O107" s="645">
        <f t="shared" si="52"/>
        <v>0.308</v>
      </c>
      <c r="P107" s="727">
        <v>90</v>
      </c>
      <c r="Q107" s="1476">
        <v>94.21</v>
      </c>
      <c r="R107" s="706">
        <v>5033.6499999999996</v>
      </c>
      <c r="S107" s="765">
        <f>IF((_xlfn.XLOOKUP(D107,RUC!$B$3:$B$119,RUC!$E$3:$E$119)+ROUNDDOWN(O107,1)*100)&lt;95,95,((_xlfn.XLOOKUP(D107,RUC!$B$3:$B$119,RUC!$E$3:$E$119)+ROUNDDOWN(O107,1)*100)))</f>
        <v>115</v>
      </c>
      <c r="U107" s="1146">
        <f>_xlfn.XLOOKUP(D107,RUC!$B$3:$B$123,RUC!$F$3:$F$123)</f>
        <v>120</v>
      </c>
      <c r="V107" s="715">
        <v>1.1023000000000001</v>
      </c>
      <c r="Y107">
        <f>_xlfn.XLOOKUP(D107,RUC!$B$3:$B$123,RUC!$G$3:$G$123)</f>
        <v>20</v>
      </c>
      <c r="Z107" s="143">
        <f>_xlfn.XLOOKUP(D107,RUC!$B$3:$B$123,RUC!$H$3:$H$123)</f>
        <v>30</v>
      </c>
      <c r="AA107" s="144">
        <f t="shared" si="56"/>
        <v>50</v>
      </c>
      <c r="AB107" s="145">
        <f t="shared" ref="AB107:AB109" si="66">+((O107*P107*(R107-U107)/100)-S107-AA107+T107)*V107</f>
        <v>1319.523404694</v>
      </c>
      <c r="AC107" s="145">
        <f>+(S107-T107)*V107-'data 1'!$F$4</f>
        <v>46.764500000000012</v>
      </c>
      <c r="AD107" s="145">
        <f t="shared" si="57"/>
        <v>74.792829835275896</v>
      </c>
      <c r="AE107" s="145">
        <f t="shared" si="58"/>
        <v>-14.884999999999998</v>
      </c>
      <c r="AF107" s="145">
        <f t="shared" si="59"/>
        <v>102.05423351459008</v>
      </c>
      <c r="AG107" s="772">
        <f t="shared" si="53"/>
        <v>225.72656334986601</v>
      </c>
      <c r="AH107" s="1253">
        <f t="shared" si="60"/>
        <v>19.812000000000001</v>
      </c>
      <c r="AI107" s="1253">
        <f t="shared" si="61"/>
        <v>21.029</v>
      </c>
      <c r="AJ107" s="156">
        <f t="shared" si="62"/>
        <v>-4.649468463275876</v>
      </c>
      <c r="AK107" s="156">
        <f t="shared" si="63"/>
        <v>17.772310891150202</v>
      </c>
      <c r="AM107" s="716">
        <f t="shared" si="64"/>
        <v>2467.5087667777802</v>
      </c>
      <c r="AN107" s="716" t="str">
        <f>_xlfn.XLOOKUP(D107,RUC!$B$3:$B$578,RUC!$M$3:$M$578)</f>
        <v>Renzo</v>
      </c>
      <c r="AO107" s="1167" t="s">
        <v>2279</v>
      </c>
      <c r="AP107" t="s">
        <v>4950</v>
      </c>
      <c r="AQ107" t="s">
        <v>4951</v>
      </c>
    </row>
    <row r="108" spans="1:43" ht="15" customHeight="1">
      <c r="A108" s="747" t="s">
        <v>4936</v>
      </c>
      <c r="B108" s="1447">
        <v>46090</v>
      </c>
      <c r="C108" s="1447">
        <v>46084</v>
      </c>
      <c r="D108" t="s">
        <v>3062</v>
      </c>
      <c r="E108" s="762">
        <f>_xlfn.XLOOKUP(D108,RUC!$B$3:$B$123,RUC!$D$3:$D$123)</f>
        <v>20610807004</v>
      </c>
      <c r="G108" s="1082">
        <v>25</v>
      </c>
      <c r="H108" s="762" t="s">
        <v>69</v>
      </c>
      <c r="I108" s="703">
        <v>2.2200000000000002</v>
      </c>
      <c r="J108" s="596">
        <v>14.2</v>
      </c>
      <c r="K108" s="703">
        <f t="shared" si="55"/>
        <v>1.905</v>
      </c>
      <c r="L108" s="762">
        <v>0.29899999999999999</v>
      </c>
      <c r="M108" s="994">
        <f t="shared" si="54"/>
        <v>0.28000000000000003</v>
      </c>
      <c r="N108" s="1196">
        <f t="shared" si="51"/>
        <v>0.28000000000000003</v>
      </c>
      <c r="O108" s="645">
        <f t="shared" si="52"/>
        <v>0.28000000000000003</v>
      </c>
      <c r="P108" s="727">
        <v>90</v>
      </c>
      <c r="Q108" s="1476">
        <v>94.31</v>
      </c>
      <c r="R108" s="706">
        <v>5033.6499999999996</v>
      </c>
      <c r="S108" s="765">
        <f>IF((_xlfn.XLOOKUP(D108,RUC!$B$3:$B$119,RUC!$E$3:$E$119)+ROUNDDOWN(O108,1)*100)&lt;95,95,((_xlfn.XLOOKUP(D108,RUC!$B$3:$B$119,RUC!$E$3:$E$119)+ROUNDDOWN(O108,1)*100)))</f>
        <v>105</v>
      </c>
      <c r="U108" s="1146">
        <f>_xlfn.XLOOKUP(D108,RUC!$B$3:$B$123,RUC!$F$3:$F$123)</f>
        <v>120</v>
      </c>
      <c r="V108" s="715">
        <v>1.1023000000000001</v>
      </c>
      <c r="Y108">
        <f>_xlfn.XLOOKUP(D108,RUC!$B$3:$B$123,RUC!$G$3:$G$123)</f>
        <v>20</v>
      </c>
      <c r="Z108" s="143">
        <f>_xlfn.XLOOKUP(D108,RUC!$B$3:$B$123,RUC!$H$3:$H$123)</f>
        <v>30</v>
      </c>
      <c r="AA108" s="144">
        <f t="shared" si="56"/>
        <v>50</v>
      </c>
      <c r="AB108" s="145">
        <f t="shared" si="66"/>
        <v>1194.05523154</v>
      </c>
      <c r="AC108" s="145">
        <f>+(S108-T108)*V108-'data 1'!$F$4</f>
        <v>35.741500000000002</v>
      </c>
      <c r="AD108" s="145">
        <f t="shared" si="57"/>
        <v>69.799527750725531</v>
      </c>
      <c r="AE108" s="145">
        <f t="shared" si="58"/>
        <v>-14.884999999999998</v>
      </c>
      <c r="AF108" s="145">
        <f t="shared" si="59"/>
        <v>97.054431850365305</v>
      </c>
      <c r="AG108" s="772">
        <f t="shared" si="53"/>
        <v>204.71045960109086</v>
      </c>
      <c r="AH108" s="1253">
        <f t="shared" si="60"/>
        <v>18.417999999999999</v>
      </c>
      <c r="AI108" s="1253">
        <f t="shared" si="61"/>
        <v>19.529</v>
      </c>
      <c r="AJ108" s="156">
        <f t="shared" si="62"/>
        <v>-4.2428862822253874</v>
      </c>
      <c r="AK108" s="156">
        <f t="shared" si="63"/>
        <v>16.459043387283003</v>
      </c>
      <c r="AM108" s="716">
        <f t="shared" si="64"/>
        <v>2274.6752160837</v>
      </c>
      <c r="AN108" s="716" t="str">
        <f>_xlfn.XLOOKUP(D108,RUC!$B$3:$B$578,RUC!$M$3:$M$578)</f>
        <v>Renzo</v>
      </c>
      <c r="AO108" s="1167" t="s">
        <v>2279</v>
      </c>
      <c r="AP108" t="s">
        <v>4950</v>
      </c>
      <c r="AQ108" t="s">
        <v>4951</v>
      </c>
    </row>
    <row r="109" spans="1:43" ht="15" customHeight="1">
      <c r="A109" s="747" t="s">
        <v>4937</v>
      </c>
      <c r="B109" s="1447">
        <v>46090</v>
      </c>
      <c r="C109" s="1447">
        <v>46084</v>
      </c>
      <c r="D109" t="s">
        <v>3062</v>
      </c>
      <c r="E109" s="762">
        <f>_xlfn.XLOOKUP(D109,RUC!$B$3:$B$123,RUC!$D$3:$D$123)</f>
        <v>20610807004</v>
      </c>
      <c r="G109" s="1082">
        <v>25</v>
      </c>
      <c r="H109" s="762" t="s">
        <v>69</v>
      </c>
      <c r="I109" s="703">
        <v>2.21</v>
      </c>
      <c r="J109" s="596">
        <v>15.2</v>
      </c>
      <c r="K109" s="703">
        <f t="shared" si="55"/>
        <v>1.8740000000000001</v>
      </c>
      <c r="L109" s="762">
        <v>0.36399999999999999</v>
      </c>
      <c r="M109" s="994">
        <f t="shared" si="54"/>
        <v>0.34200000000000003</v>
      </c>
      <c r="N109" s="1196">
        <f t="shared" si="51"/>
        <v>0.34200000000000003</v>
      </c>
      <c r="O109" s="645">
        <f t="shared" si="52"/>
        <v>0.34200000000000003</v>
      </c>
      <c r="P109" s="727">
        <v>90</v>
      </c>
      <c r="Q109" s="1476">
        <v>95.33</v>
      </c>
      <c r="R109" s="706">
        <v>5033.6499999999996</v>
      </c>
      <c r="S109" s="765">
        <f>IF((_xlfn.XLOOKUP(D109,RUC!$B$3:$B$119,RUC!$E$3:$E$119)+ROUNDDOWN(O109,1)*100)&lt;95,95,((_xlfn.XLOOKUP(D109,RUC!$B$3:$B$119,RUC!$E$3:$E$119)+ROUNDDOWN(O109,1)*100)))</f>
        <v>115</v>
      </c>
      <c r="U109" s="1146">
        <f>_xlfn.XLOOKUP(D109,RUC!$B$3:$B$123,RUC!$F$3:$F$123)</f>
        <v>120</v>
      </c>
      <c r="V109" s="715">
        <v>1.1023000000000001</v>
      </c>
      <c r="Y109">
        <f>_xlfn.XLOOKUP(D109,RUC!$B$3:$B$123,RUC!$G$3:$G$123)</f>
        <v>20</v>
      </c>
      <c r="Z109" s="143">
        <f>_xlfn.XLOOKUP(D109,RUC!$B$3:$B$123,RUC!$H$3:$H$123)</f>
        <v>30</v>
      </c>
      <c r="AA109" s="144">
        <f t="shared" si="56"/>
        <v>50</v>
      </c>
      <c r="AB109" s="145">
        <f t="shared" si="66"/>
        <v>1485.2626863810001</v>
      </c>
      <c r="AC109" s="145">
        <f>+(S109-T109)*V109-'data 1'!$F$4</f>
        <v>46.764500000000012</v>
      </c>
      <c r="AD109" s="145">
        <f t="shared" si="57"/>
        <v>105.08303764267396</v>
      </c>
      <c r="AE109" s="145">
        <f t="shared" si="58"/>
        <v>-14.884999999999998</v>
      </c>
      <c r="AF109" s="145">
        <f t="shared" si="59"/>
        <v>113.59423722577679</v>
      </c>
      <c r="AG109" s="772">
        <f t="shared" si="53"/>
        <v>267.55677486845076</v>
      </c>
      <c r="AH109" s="1253">
        <f t="shared" si="60"/>
        <v>22.295000000000002</v>
      </c>
      <c r="AI109" s="1253">
        <f t="shared" si="61"/>
        <v>23.387</v>
      </c>
      <c r="AJ109" s="156">
        <f t="shared" si="62"/>
        <v>-5.2211171206738607</v>
      </c>
      <c r="AK109" s="156">
        <f t="shared" si="63"/>
        <v>19.776401535914459</v>
      </c>
      <c r="AM109" s="716">
        <f t="shared" si="64"/>
        <v>2783.3822742779944</v>
      </c>
      <c r="AN109" s="716" t="str">
        <f>_xlfn.XLOOKUP(D109,RUC!$B$3:$B$578,RUC!$M$3:$M$578)</f>
        <v>Renzo</v>
      </c>
      <c r="AO109" s="1167" t="s">
        <v>2279</v>
      </c>
      <c r="AP109" t="s">
        <v>4950</v>
      </c>
      <c r="AQ109" t="s">
        <v>4951</v>
      </c>
    </row>
  </sheetData>
  <autoFilter ref="A3:AO109" xr:uid="{00000000-0009-0000-0000-00000C000000}"/>
  <mergeCells count="2">
    <mergeCell ref="AV5:BD5"/>
    <mergeCell ref="AV26:BA26"/>
  </mergeCells>
  <pageMargins left="0.7" right="0.7" top="0.75" bottom="0.75" header="0" footer="0"/>
  <pageSetup paperSize="9" scale="10" fitToHeight="0" orientation="portrait" horizontalDpi="360" verticalDpi="360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C390F-B6E1-49D7-8F5C-1F94C87E0DD3}">
  <sheetPr>
    <tabColor rgb="FF00B050"/>
    <pageSetUpPr fitToPage="1"/>
  </sheetPr>
  <dimension ref="A1:BD104"/>
  <sheetViews>
    <sheetView showGridLines="0" zoomScale="80" zoomScaleNormal="80" workbookViewId="0">
      <pane xSplit="4" ySplit="3" topLeftCell="E83" activePane="bottomRight" state="frozen"/>
      <selection activeCell="D26" sqref="D26"/>
      <selection pane="topRight" activeCell="D26" sqref="D26"/>
      <selection pane="bottomLeft" activeCell="D26" sqref="D26"/>
      <selection pane="bottomRight" activeCell="D26" sqref="D26"/>
    </sheetView>
  </sheetViews>
  <sheetFormatPr baseColWidth="10" defaultColWidth="14.44140625" defaultRowHeight="15" customHeight="1"/>
  <cols>
    <col min="1" max="1" width="14.5546875" customWidth="1"/>
    <col min="2" max="2" width="12.33203125" style="1447" customWidth="1"/>
    <col min="3" max="3" width="11.6640625" style="762" customWidth="1"/>
    <col min="4" max="4" width="42.5546875" customWidth="1"/>
    <col min="5" max="5" width="15.88671875" style="762" customWidth="1"/>
    <col min="6" max="6" width="15.33203125" customWidth="1"/>
    <col min="7" max="7" width="12.109375" customWidth="1"/>
    <col min="8" max="8" width="11.44140625" style="762" customWidth="1"/>
    <col min="9" max="10" width="10.332031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7.66406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0.88671875" customWidth="1"/>
    <col min="43" max="43" width="12.6640625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4238.9259999999986</v>
      </c>
      <c r="F1" s="1075" t="s">
        <v>1906</v>
      </c>
      <c r="G1" s="1076">
        <f>+$AM3</f>
        <v>451670.32877987024</v>
      </c>
      <c r="H1" s="1448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D2" s="1075" t="s">
        <v>1907</v>
      </c>
      <c r="E2" s="1076">
        <f>+AH3</f>
        <v>4052.831999999999</v>
      </c>
      <c r="F2" s="1079" t="s">
        <v>1908</v>
      </c>
      <c r="G2" s="1080">
        <f>+Q2</f>
        <v>95.750135228896767</v>
      </c>
      <c r="H2" s="90"/>
      <c r="I2" s="1251">
        <f>SUBTOTAL(9,I4:I359)</f>
        <v>641.72000000000014</v>
      </c>
      <c r="J2" s="81"/>
      <c r="K2" s="91">
        <f>SUBTOTAL(9,K4:K359)</f>
        <v>599.89400000000012</v>
      </c>
      <c r="L2" s="1202">
        <f>+SUMPRODUCT(L5:L359,K5:K359)/K2</f>
        <v>0.22328044121128054</v>
      </c>
      <c r="M2" s="6"/>
      <c r="O2" s="703"/>
      <c r="P2" s="94">
        <f>+SUMPRODUCT(P4:P359,AH4:AH359)/SUM(AH4:AH359)</f>
        <v>87.559967943403549</v>
      </c>
      <c r="Q2" s="1201">
        <f>+SUMPRODUCT(Q4:Q359,AH4:AH359)/SUM(AH4:AH359)</f>
        <v>95.750135228896767</v>
      </c>
      <c r="R2" s="1151">
        <f>+SUMPRODUCT(R4:R359,AH4:AH359)/SUM(AH4:AH359)</f>
        <v>4930.4212934066863</v>
      </c>
      <c r="S2" s="6"/>
      <c r="AB2" s="83"/>
      <c r="AC2" s="83"/>
      <c r="AD2" s="83"/>
      <c r="AE2" s="83"/>
      <c r="AF2" s="83"/>
      <c r="AG2" s="1209">
        <f>SUMPRODUCT($AG4:$AG359,$K4:$K359)/SUM($K4:$K359)</f>
        <v>188.64778932490114</v>
      </c>
      <c r="AH2" s="702"/>
      <c r="AI2" s="631"/>
      <c r="AJ2" s="252">
        <v>4900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1692" t="s">
        <v>39</v>
      </c>
      <c r="C3" s="679" t="s">
        <v>40</v>
      </c>
      <c r="D3" s="1077" t="s">
        <v>41</v>
      </c>
      <c r="E3" s="1078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SUBTOTAL(9,AH4:AH359)</f>
        <v>4052.831999999999</v>
      </c>
      <c r="AI3" s="1252">
        <f>SUBTOTAL(9,AI4:AI359)</f>
        <v>4238.9259999999986</v>
      </c>
      <c r="AJ3" s="1388">
        <f>SUMPRODUCT(K4:K359,AJ4:AJ359)/K2</f>
        <v>18.053203294122831</v>
      </c>
      <c r="AK3" s="118">
        <f>SUBTOTAL(9,AK4:AK359)</f>
        <v>3524.810935570476</v>
      </c>
      <c r="AL3" s="88"/>
      <c r="AM3" s="118">
        <f>SUBTOTAL(9,AM4:AM359)</f>
        <v>451670.32877987024</v>
      </c>
      <c r="AN3" s="1182" t="s">
        <v>2247</v>
      </c>
      <c r="AO3" s="1806" t="s">
        <v>2283</v>
      </c>
      <c r="AP3" s="1167" t="s">
        <v>2351</v>
      </c>
      <c r="AQ3" s="1167" t="s">
        <v>2352</v>
      </c>
      <c r="AS3" s="1216"/>
    </row>
    <row r="4" spans="1:56" s="677" customFormat="1" ht="15.75" customHeight="1" thickBot="1">
      <c r="A4" s="720"/>
      <c r="B4" s="1693"/>
      <c r="C4" s="1694"/>
      <c r="D4" s="721"/>
      <c r="E4" s="1764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56" ht="15" customHeight="1" thickBot="1">
      <c r="A5" s="747" t="s">
        <v>4500</v>
      </c>
      <c r="B5" s="1447">
        <v>46050</v>
      </c>
      <c r="C5" s="1447">
        <v>46045</v>
      </c>
      <c r="D5" s="1650" t="s">
        <v>4171</v>
      </c>
      <c r="E5" s="762">
        <f>_xlfn.XLOOKUP(D5,RUC!$B$3:$B$123,RUC!$D$3:$D$123)</f>
        <v>20614284740</v>
      </c>
      <c r="G5" s="762">
        <v>71</v>
      </c>
      <c r="H5" s="762" t="s">
        <v>69</v>
      </c>
      <c r="I5" s="703">
        <v>7.41</v>
      </c>
      <c r="J5" s="596">
        <v>2.85</v>
      </c>
      <c r="K5" s="703">
        <f t="shared" ref="K5:K42" si="0">ROUND(+I5-(I5*(J5/100)),3)</f>
        <v>7.1989999999999998</v>
      </c>
      <c r="L5" s="1192">
        <v>0.13800000000000001</v>
      </c>
      <c r="M5" s="994">
        <f t="shared" ref="M5:M7" si="1">ROUND(+IF(AN5="Melchor Vera",IF(L5&gt;0.467,L5*0.985,(L5-0.007)),IF(L5&gt;0.3,L5*0.94,(L5-0.019))),3)</f>
        <v>0.11899999999999999</v>
      </c>
      <c r="N5" s="1196">
        <f t="shared" ref="N5:N8" si="2">+M5</f>
        <v>0.11899999999999999</v>
      </c>
      <c r="O5" s="645">
        <f t="shared" ref="O5:O11" si="3">+ROUND((M5+N5)/2,3)</f>
        <v>0.11899999999999999</v>
      </c>
      <c r="P5" s="727">
        <v>80</v>
      </c>
      <c r="Q5" s="1476">
        <v>86.23</v>
      </c>
      <c r="R5" s="706">
        <v>4946.25</v>
      </c>
      <c r="S5" s="765">
        <f>IF((_xlfn.XLOOKUP(D5,RUC!$B$3:$B$119,RUC!$E$3:$E$119)+ROUNDDOWN(O5,1)*100)&lt;95,95,((_xlfn.XLOOKUP(D5,RUC!$B$3:$B$119,RUC!$E$3:$E$119)+ROUNDDOWN(O5,1)*100)))</f>
        <v>100</v>
      </c>
      <c r="U5" s="1146">
        <f>_xlfn.XLOOKUP(D5,RUC!$B$3:$B$123,RUC!$F$3:$F$123)</f>
        <v>120</v>
      </c>
      <c r="V5" s="715">
        <v>1.1023000000000001</v>
      </c>
      <c r="Y5">
        <f>_xlfn.XLOOKUP(D5,RUC!$B$3:$B$123,RUC!$G$3:$G$123)</f>
        <v>20</v>
      </c>
      <c r="Z5" s="143">
        <f>_xlfn.XLOOKUP(D5,RUC!$B$3:$B$123,RUC!$H$3:$H$123)</f>
        <v>30</v>
      </c>
      <c r="AA5" s="144">
        <f t="shared" ref="AA5:AA16" si="4">+Y5+Z5</f>
        <v>50</v>
      </c>
      <c r="AB5" s="145">
        <f>+((O5*P5*(R5-U5)/100)-S5-AA5+T5)*V5</f>
        <v>341.11665570000002</v>
      </c>
      <c r="AC5" s="145">
        <f>+(S5-T5)*V5-'data 1'!$F$4</f>
        <v>30.230000000000004</v>
      </c>
      <c r="AD5" s="145">
        <f t="shared" ref="AD5:AD13" si="5">+(Q5-P5)*(R5-U5)*L5*V5/100</f>
        <v>45.737956289025043</v>
      </c>
      <c r="AE5" s="145">
        <f t="shared" ref="AE5:AE13" si="6">+(Y5*V5-70)+V5*(Z5-IF(D5="UNTUCA",IF(+((W5-3)*2.5+(X5-3)*3.1)&gt;0,+((W5-3)*1.5+(X5-3)*3.1),0),IF(+((W5-3)*1.5+(X5-3)*3.1)&gt;0,+((W5-3)*1.5+(X5-3)*3.1),0)))</f>
        <v>-14.884999999999998</v>
      </c>
      <c r="AF5" s="145">
        <f t="shared" ref="AF5:AF13" si="7">(L5-O5)*(R5-U5)*Q5*V5/100</f>
        <v>87.160880551387578</v>
      </c>
      <c r="AG5" s="772">
        <f>AC5+AD5+AE5+AF5+70</f>
        <v>218.24383684041263</v>
      </c>
      <c r="AH5" s="1253">
        <f t="shared" ref="AH5:AH13" si="8">ROUND((31.1035*L5*Q5*1.1023*K5/100),3)</f>
        <v>29.370999999999999</v>
      </c>
      <c r="AI5" s="1253">
        <f t="shared" ref="AI5:AI13" si="9">ROUND((31.1035*L5*1.1023*K5),3)</f>
        <v>34.061</v>
      </c>
      <c r="AJ5" s="156">
        <f t="shared" ref="AJ5:AJ13" si="10">+((+$AJ$2-R5+U5)*L5*Q5*V5)/100</f>
        <v>9.6738490089750027</v>
      </c>
      <c r="AK5" s="156">
        <f t="shared" ref="AK5:AK13" si="11">31.1035*1.1023*K5*P5*O5/100</f>
        <v>23.497312416049638</v>
      </c>
      <c r="AM5" s="716">
        <f t="shared" ref="AM5:AM13" si="12">+IF(AB5*K5&gt;0,AB5*K5,0)</f>
        <v>2455.6988043843003</v>
      </c>
      <c r="AN5" s="716" t="str">
        <f>_xlfn.XLOOKUP(D5,RUC!$B$3:$B$578,RUC!$M$3:$M$578)</f>
        <v xml:space="preserve">Dante </v>
      </c>
      <c r="AO5" s="1167" t="s">
        <v>2278</v>
      </c>
      <c r="AP5" t="s">
        <v>4074</v>
      </c>
      <c r="AQ5" t="s">
        <v>4518</v>
      </c>
      <c r="AV5" s="1982" t="s">
        <v>4992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747" t="s">
        <v>4527</v>
      </c>
      <c r="B6" s="1447">
        <v>46052</v>
      </c>
      <c r="C6" s="1447">
        <v>46048</v>
      </c>
      <c r="D6" t="s">
        <v>2004</v>
      </c>
      <c r="E6" s="762">
        <f>_xlfn.XLOOKUP(D6,RUC!$B$3:$B$123,RUC!$D$3:$D$123)</f>
        <v>20612921866</v>
      </c>
      <c r="G6" s="762">
        <v>28</v>
      </c>
      <c r="H6" s="762" t="s">
        <v>69</v>
      </c>
      <c r="I6" s="703">
        <v>2.77</v>
      </c>
      <c r="J6" s="596">
        <v>1.3</v>
      </c>
      <c r="K6" s="703">
        <f t="shared" si="0"/>
        <v>2.734</v>
      </c>
      <c r="L6" s="1192">
        <v>0.125</v>
      </c>
      <c r="M6" s="994">
        <f t="shared" si="1"/>
        <v>0.106</v>
      </c>
      <c r="N6" s="1196">
        <f t="shared" si="2"/>
        <v>0.106</v>
      </c>
      <c r="O6" s="645">
        <f t="shared" si="3"/>
        <v>0.106</v>
      </c>
      <c r="P6" s="727">
        <v>90</v>
      </c>
      <c r="Q6" s="1476">
        <v>94.4</v>
      </c>
      <c r="R6" s="706">
        <v>5090.8</v>
      </c>
      <c r="S6" s="765">
        <f>IF((_xlfn.XLOOKUP(D6,RUC!$B$3:$B$119,RUC!$E$3:$E$119)+ROUNDDOWN(O6,1)*100)&lt;95,95,((_xlfn.XLOOKUP(D6,RUC!$B$3:$B$119,RUC!$E$3:$E$119)+ROUNDDOWN(O6,1)*100)))</f>
        <v>95</v>
      </c>
      <c r="U6" s="1146">
        <f>_xlfn.XLOOKUP(D6,RUC!$B$3:$B$123,RUC!$F$3:$F$123)</f>
        <v>100</v>
      </c>
      <c r="V6" s="715">
        <v>1.1023000000000001</v>
      </c>
      <c r="Y6">
        <f>_xlfn.XLOOKUP(D6,RUC!$B$3:$B$123,RUC!$G$3:$G$123)</f>
        <v>0</v>
      </c>
      <c r="Z6" s="143">
        <f>_xlfn.XLOOKUP(D6,RUC!$B$3:$B$123,RUC!$H$3:$H$123)</f>
        <v>30</v>
      </c>
      <c r="AA6" s="144">
        <f t="shared" si="4"/>
        <v>30</v>
      </c>
      <c r="AB6" s="145">
        <f>+((O6*P6*(R6-U6)/100)-S6-AA6+T6)*V6</f>
        <v>387.04213333599995</v>
      </c>
      <c r="AC6" s="145">
        <f>+(S6-T6)*V6-'data 1'!$F$4</f>
        <v>24.718500000000006</v>
      </c>
      <c r="AD6" s="145">
        <f t="shared" si="5"/>
        <v>30.257473620000042</v>
      </c>
      <c r="AE6" s="145">
        <f t="shared" si="6"/>
        <v>-36.930999999999997</v>
      </c>
      <c r="AF6" s="145">
        <f t="shared" si="7"/>
        <v>98.672372154240037</v>
      </c>
      <c r="AG6" s="772">
        <f t="shared" ref="AG6" si="13">AC6+AD6+AE6+AF6+70-10</f>
        <v>176.71734577424007</v>
      </c>
      <c r="AH6" s="1253">
        <f t="shared" si="8"/>
        <v>11.061</v>
      </c>
      <c r="AI6" s="1253">
        <f t="shared" si="9"/>
        <v>11.717000000000001</v>
      </c>
      <c r="AJ6" s="156">
        <f t="shared" si="10"/>
        <v>-11.810483120000024</v>
      </c>
      <c r="AK6" s="156">
        <f t="shared" si="11"/>
        <v>8.9424383385979791</v>
      </c>
      <c r="AM6" s="716">
        <f t="shared" si="12"/>
        <v>1058.1731925406239</v>
      </c>
      <c r="AN6" s="716" t="str">
        <f>_xlfn.XLOOKUP(D6,RUC!$B$3:$B$578,RUC!$M$3:$M$578)</f>
        <v>Ronald Garibay</v>
      </c>
      <c r="AO6" s="1167" t="s">
        <v>2280</v>
      </c>
      <c r="AP6" t="s">
        <v>4560</v>
      </c>
      <c r="AQ6" t="s">
        <v>4561</v>
      </c>
      <c r="AV6" s="1636"/>
      <c r="AW6" s="1636"/>
      <c r="AX6" s="1636"/>
      <c r="AY6" s="1636"/>
      <c r="AZ6" s="1636"/>
      <c r="BA6" s="1636"/>
      <c r="BB6" s="1636"/>
      <c r="BC6" s="1636"/>
      <c r="BD6" s="1636"/>
    </row>
    <row r="7" spans="1:56" ht="15" customHeight="1">
      <c r="A7" s="747" t="s">
        <v>4541</v>
      </c>
      <c r="B7" s="1447">
        <v>46057</v>
      </c>
      <c r="C7" s="1447">
        <v>46048</v>
      </c>
      <c r="D7" t="s">
        <v>3316</v>
      </c>
      <c r="E7" s="762">
        <f>_xlfn.XLOOKUP(D7,RUC!$B$3:$B$123,RUC!$D$3:$D$123)</f>
        <v>20613935151</v>
      </c>
      <c r="G7" s="762">
        <v>110</v>
      </c>
      <c r="H7" s="762" t="s">
        <v>69</v>
      </c>
      <c r="I7" s="703">
        <v>8.67</v>
      </c>
      <c r="J7" s="596">
        <v>3</v>
      </c>
      <c r="K7" s="703">
        <f t="shared" si="0"/>
        <v>8.41</v>
      </c>
      <c r="L7" s="1192">
        <v>0.122</v>
      </c>
      <c r="M7" s="994">
        <f t="shared" si="1"/>
        <v>0.10299999999999999</v>
      </c>
      <c r="N7" s="1196">
        <f t="shared" si="2"/>
        <v>0.10299999999999999</v>
      </c>
      <c r="O7" s="645">
        <f t="shared" si="3"/>
        <v>0.10299999999999999</v>
      </c>
      <c r="P7" s="727">
        <v>80</v>
      </c>
      <c r="Q7" s="1476">
        <v>97.54</v>
      </c>
      <c r="R7" s="706">
        <v>5090.8</v>
      </c>
      <c r="S7" s="765">
        <f>IF((_xlfn.XLOOKUP(D7,RUC!$B$3:$B$119,RUC!$E$3:$E$119)+ROUNDDOWN(O7,1)*100)&lt;95,95,((_xlfn.XLOOKUP(D7,RUC!$B$3:$B$119,RUC!$E$3:$E$119)+ROUNDDOWN(O7,1)*100)))</f>
        <v>100</v>
      </c>
      <c r="U7" s="1146">
        <f>_xlfn.XLOOKUP(D7,RUC!$B$3:$B$123,RUC!$F$3:$F$123)</f>
        <v>120</v>
      </c>
      <c r="V7" s="715">
        <v>1.1023000000000001</v>
      </c>
      <c r="Y7">
        <f>_xlfn.XLOOKUP(D7,RUC!$B$3:$B$123,RUC!$G$3:$G$123)</f>
        <v>20</v>
      </c>
      <c r="Z7" s="143">
        <f>_xlfn.XLOOKUP(D7,RUC!$B$3:$B$123,RUC!$H$3:$H$123)</f>
        <v>30</v>
      </c>
      <c r="AA7" s="144">
        <f t="shared" si="4"/>
        <v>50</v>
      </c>
      <c r="AB7" s="145">
        <f>+((O7*P7*(R7-U7)/100)-S7-AA7+T7)*V7</f>
        <v>286.15037801600005</v>
      </c>
      <c r="AC7" s="145">
        <f>+(S7-T7)*V7-'data 1'!$F$4</f>
        <v>30.230000000000004</v>
      </c>
      <c r="AD7" s="145">
        <f t="shared" si="5"/>
        <v>117.25071960059205</v>
      </c>
      <c r="AE7" s="145">
        <f t="shared" si="6"/>
        <v>-14.884999999999998</v>
      </c>
      <c r="AF7" s="145">
        <f t="shared" si="7"/>
        <v>101.54591313858401</v>
      </c>
      <c r="AG7" s="772">
        <f>AC7+AD7+AE7+AF7+70</f>
        <v>304.14163273917609</v>
      </c>
      <c r="AH7" s="1253">
        <f t="shared" si="8"/>
        <v>34.311999999999998</v>
      </c>
      <c r="AI7" s="1253">
        <f t="shared" si="9"/>
        <v>35.177</v>
      </c>
      <c r="AJ7" s="156">
        <f t="shared" si="10"/>
        <v>-9.2870043085920244</v>
      </c>
      <c r="AK7" s="156">
        <f t="shared" si="11"/>
        <v>23.759225352441202</v>
      </c>
      <c r="AM7" s="716">
        <f t="shared" si="12"/>
        <v>2406.5246791145605</v>
      </c>
      <c r="AN7" s="716" t="str">
        <f>_xlfn.XLOOKUP(D7,RUC!$B$3:$B$578,RUC!$M$3:$M$578)</f>
        <v xml:space="preserve">Dante </v>
      </c>
      <c r="AO7" s="1167" t="s">
        <v>2280</v>
      </c>
      <c r="AP7" t="s">
        <v>4327</v>
      </c>
      <c r="AQ7" t="s">
        <v>4566</v>
      </c>
      <c r="AW7" s="1469">
        <f>SUM(AW9:AW18)</f>
        <v>599.89400000000001</v>
      </c>
      <c r="AX7" s="1470">
        <f>SUMPRODUCT(AW9:AW18,AX9:AX18)/SUM(AW9:AW18)</f>
        <v>0.22328044121128068</v>
      </c>
      <c r="AY7" s="704"/>
      <c r="AZ7" s="1471">
        <f ca="1">SUMPRODUCT(AZ9:AZ18,$BB9:$BB18)/SUM($BB9:$BB18)/100</f>
        <v>0.95750135228896727</v>
      </c>
      <c r="BA7" s="707">
        <f>SUM(BA9:BA18)</f>
        <v>4592.3424853458664</v>
      </c>
      <c r="BB7" s="707">
        <f ca="1">SUM(BB9:BB18)</f>
        <v>4052.8320000000003</v>
      </c>
    </row>
    <row r="8" spans="1:56" ht="15" customHeight="1" thickBot="1">
      <c r="A8" s="747" t="s">
        <v>4556</v>
      </c>
      <c r="B8" s="1447">
        <v>45691</v>
      </c>
      <c r="C8" s="1447">
        <v>46050</v>
      </c>
      <c r="D8" t="s">
        <v>4558</v>
      </c>
      <c r="E8" s="762">
        <f>_xlfn.XLOOKUP(D8,RUC!$B$3:$B$123,RUC!$D$3:$D$123)</f>
        <v>20614635101</v>
      </c>
      <c r="G8" s="762">
        <v>79</v>
      </c>
      <c r="H8" s="762" t="s">
        <v>69</v>
      </c>
      <c r="I8" s="703">
        <v>9.85</v>
      </c>
      <c r="J8" s="596">
        <v>3.25</v>
      </c>
      <c r="K8" s="703">
        <f t="shared" si="0"/>
        <v>9.5299999999999994</v>
      </c>
      <c r="L8" s="1192">
        <v>0.112</v>
      </c>
      <c r="M8" s="1443">
        <v>0.1</v>
      </c>
      <c r="N8" s="1196">
        <f t="shared" si="2"/>
        <v>0.1</v>
      </c>
      <c r="O8" s="645">
        <f t="shared" si="3"/>
        <v>0.1</v>
      </c>
      <c r="P8" s="727">
        <v>80</v>
      </c>
      <c r="Q8" s="1476">
        <v>81.2</v>
      </c>
      <c r="R8" s="706">
        <v>5306.95</v>
      </c>
      <c r="S8" s="765">
        <f>IF((_xlfn.XLOOKUP(D8,RUC!$B$3:$B$119,RUC!$E$3:$E$119)+ROUNDDOWN(O8,1)*100)&lt;95,95,((_xlfn.XLOOKUP(D8,RUC!$B$3:$B$119,RUC!$E$3:$E$119)+ROUNDDOWN(O8,1)*100)))</f>
        <v>95</v>
      </c>
      <c r="U8" s="1146">
        <f>_xlfn.XLOOKUP(D8,RUC!$B$3:$B$123,RUC!$F$3:$F$123)</f>
        <v>100</v>
      </c>
      <c r="V8" s="715">
        <v>1.1023000000000001</v>
      </c>
      <c r="Y8">
        <f>_xlfn.XLOOKUP(D8,RUC!$B$3:$B$123,RUC!$G$3:$G$123)</f>
        <v>0</v>
      </c>
      <c r="Z8" s="143">
        <f>_xlfn.XLOOKUP(D8,RUC!$B$3:$B$123,RUC!$H$3:$H$123)</f>
        <v>30</v>
      </c>
      <c r="AA8" s="144">
        <f t="shared" si="4"/>
        <v>30</v>
      </c>
      <c r="AB8" s="145">
        <f>+((O8*P8*(R8-U8)/100)-S8-AA8+T8)*V8</f>
        <v>321.38217880000002</v>
      </c>
      <c r="AC8" s="145">
        <f>+(S8-T8)*V8-'data 1'!$F$4</f>
        <v>24.718500000000006</v>
      </c>
      <c r="AD8" s="145">
        <f t="shared" si="5"/>
        <v>7.7140506038400192</v>
      </c>
      <c r="AE8" s="145">
        <f t="shared" si="6"/>
        <v>-36.930999999999997</v>
      </c>
      <c r="AF8" s="145">
        <f t="shared" si="7"/>
        <v>55.926866877839991</v>
      </c>
      <c r="AG8" s="772">
        <f t="shared" ref="AG8" si="14">AC8+AD8+AE8+AF8+70-10</f>
        <v>111.42841748168001</v>
      </c>
      <c r="AH8" s="1253">
        <f t="shared" si="8"/>
        <v>29.715</v>
      </c>
      <c r="AI8" s="1253">
        <f t="shared" si="9"/>
        <v>36.594999999999999</v>
      </c>
      <c r="AJ8" s="156">
        <f t="shared" si="10"/>
        <v>-30.770991979839984</v>
      </c>
      <c r="AK8" s="156">
        <f t="shared" si="11"/>
        <v>26.139179849319998</v>
      </c>
      <c r="AM8" s="716">
        <f t="shared" si="12"/>
        <v>3062.7721639639999</v>
      </c>
      <c r="AN8" s="716" t="str">
        <f>_xlfn.XLOOKUP(D8,RUC!$B$3:$B$578,RUC!$M$3:$M$578)</f>
        <v>Ronald Garibay</v>
      </c>
      <c r="AO8" s="1167" t="s">
        <v>2280</v>
      </c>
      <c r="AP8" t="s">
        <v>4569</v>
      </c>
      <c r="AQ8" t="s">
        <v>4570</v>
      </c>
      <c r="AV8" s="762"/>
      <c r="AW8" s="762" t="s">
        <v>15</v>
      </c>
      <c r="AX8" s="762" t="s">
        <v>2522</v>
      </c>
      <c r="AY8" s="1214" t="s">
        <v>2522</v>
      </c>
      <c r="AZ8" s="762" t="s">
        <v>2523</v>
      </c>
      <c r="BA8" s="762" t="s">
        <v>2558</v>
      </c>
      <c r="BB8" s="762" t="s">
        <v>2559</v>
      </c>
      <c r="BC8" s="1555" t="s">
        <v>2565</v>
      </c>
      <c r="BD8" s="729" t="s">
        <v>2579</v>
      </c>
    </row>
    <row r="9" spans="1:56" ht="15" customHeight="1">
      <c r="A9" s="747" t="s">
        <v>4675</v>
      </c>
      <c r="B9" s="1447">
        <v>46066</v>
      </c>
      <c r="C9" s="1447">
        <v>46059</v>
      </c>
      <c r="D9" t="s">
        <v>1484</v>
      </c>
      <c r="E9" s="762">
        <f>_xlfn.XLOOKUP(D9,RUC!$B$3:$B$123,RUC!$D$3:$D$123)</f>
        <v>10761932735</v>
      </c>
      <c r="G9" s="762">
        <v>35</v>
      </c>
      <c r="H9" s="762" t="s">
        <v>69</v>
      </c>
      <c r="I9" s="703">
        <v>3.34</v>
      </c>
      <c r="J9" s="596">
        <v>11.8</v>
      </c>
      <c r="K9" s="703">
        <f t="shared" si="0"/>
        <v>2.9460000000000002</v>
      </c>
      <c r="L9" s="1192">
        <v>0.14099999999999999</v>
      </c>
      <c r="M9" s="994">
        <f t="shared" ref="M9:M23" si="15">ROUND(+IF(AN9="Melchor Vera",IF(L9&gt;0.467,L9*0.985,(L9-0.007)),IF(L9&gt;0.3,L9*0.94,(L9-0.019))),3)</f>
        <v>0.122</v>
      </c>
      <c r="N9" s="1444">
        <v>0.17599999999999999</v>
      </c>
      <c r="O9" s="645">
        <f t="shared" si="3"/>
        <v>0.14899999999999999</v>
      </c>
      <c r="P9" s="727">
        <v>85</v>
      </c>
      <c r="Q9" s="1476">
        <v>97.87</v>
      </c>
      <c r="R9" s="706">
        <v>4948</v>
      </c>
      <c r="S9" s="765">
        <f>IF((_xlfn.XLOOKUP(D9,RUC!$B$3:$B$119,RUC!$E$3:$E$119)+ROUNDDOWN(O9,1)*100)&lt;95,95,((_xlfn.XLOOKUP(D9,RUC!$B$3:$B$119,RUC!$E$3:$E$119)+ROUNDDOWN(O9,1)*100)))</f>
        <v>100</v>
      </c>
      <c r="U9" s="1146">
        <f>_xlfn.XLOOKUP(D9,RUC!$B$3:$B$123,RUC!$F$3:$F$123)</f>
        <v>120</v>
      </c>
      <c r="V9" s="715">
        <v>1.1023000000000001</v>
      </c>
      <c r="Y9" s="1445">
        <v>40</v>
      </c>
      <c r="Z9" s="143">
        <f>_xlfn.XLOOKUP(D9,RUC!$B$3:$B$123,RUC!$H$3:$H$123)</f>
        <v>30</v>
      </c>
      <c r="AA9" s="144">
        <f t="shared" si="4"/>
        <v>70</v>
      </c>
      <c r="AB9" s="145">
        <f t="shared" ref="AB9:AB11" si="16">+((O9*P9*(R9-U9)/100)-S9-AA9+T9)*V9</f>
        <v>486.62819225999999</v>
      </c>
      <c r="AC9" s="145">
        <f>+(S9-T9)*V9-'data 1'!$F$4</f>
        <v>30.230000000000004</v>
      </c>
      <c r="AD9" s="145">
        <f t="shared" si="5"/>
        <v>96.575002575480042</v>
      </c>
      <c r="AE9" s="145">
        <f t="shared" si="6"/>
        <v>7.1610000000000014</v>
      </c>
      <c r="AF9" s="145">
        <f t="shared" si="7"/>
        <v>-41.668382690240044</v>
      </c>
      <c r="AG9" s="772">
        <f t="shared" ref="AG9:AG11" si="17">AC9+AD9+AE9+AF9+70-53</f>
        <v>109.29761988524001</v>
      </c>
      <c r="AH9" s="1253">
        <f t="shared" si="8"/>
        <v>13.938000000000001</v>
      </c>
      <c r="AI9" s="1253">
        <f t="shared" si="9"/>
        <v>14.242000000000001</v>
      </c>
      <c r="AJ9" s="156">
        <f t="shared" si="10"/>
        <v>10.952190893520001</v>
      </c>
      <c r="AK9" s="156">
        <f t="shared" si="11"/>
        <v>12.792251992184747</v>
      </c>
      <c r="AM9" s="716">
        <f t="shared" si="12"/>
        <v>1433.60665439796</v>
      </c>
      <c r="AN9" s="148" t="str">
        <f>_xlfn.XLOOKUP(D9,RUC!$B$3:$B$578,RUC!$M$3:$M$578)</f>
        <v>Richard Sapacayo</v>
      </c>
      <c r="AO9" s="1167" t="s">
        <v>2278</v>
      </c>
      <c r="AP9" t="s">
        <v>4696</v>
      </c>
      <c r="AQ9" t="s">
        <v>4697</v>
      </c>
      <c r="AV9" s="1556" t="s">
        <v>2277</v>
      </c>
      <c r="AW9" s="1227">
        <f t="shared" ref="AW9:AW18" si="18">SUMIF($AO$4:$AO$467,AV9,$K$4:$K$467)</f>
        <v>133.28300000000002</v>
      </c>
      <c r="AX9" s="1227" cm="1">
        <f t="array" ref="AX9">+SUMPRODUCT(IF($AO$4:$AO$467=AV9,$L$4:$L$467*$K$4:$K$467/AW9))</f>
        <v>0.21298762782950559</v>
      </c>
      <c r="AY9" s="1228">
        <f t="shared" ref="AY9:AY18" si="19">31.1035*1.1023*AX9*(100-AZ9)/100</f>
        <v>0.40314198296604509</v>
      </c>
      <c r="AZ9" s="1229" cm="1">
        <f t="array" ref="AZ9">+SUMPRODUCT(IF($AO$4:$AO$467=AV9,($Q$4:$Q$467*$AH$4:$AH$467)/SUMIF($AO$4:$AO$467,$AV9,$AH$4:$AH$467)))</f>
        <v>94.479294482900457</v>
      </c>
      <c r="BA9" s="1441">
        <f t="shared" ref="BA9:BA18" si="20">+AX9*31.1035*1.1023*AW9</f>
        <v>973.28091036982141</v>
      </c>
      <c r="BB9" s="1230">
        <f t="shared" ref="BB9:BB17" ca="1" si="21">SUMIF($AO$4:$AO$457,$AV9,$AH$4:$AH$4)</f>
        <v>918.94299999999998</v>
      </c>
      <c r="BC9" s="1229">
        <f ca="1">+BA9-BB9</f>
        <v>54.337910369821429</v>
      </c>
      <c r="BD9" s="1231">
        <f>+AW9</f>
        <v>133.28300000000002</v>
      </c>
    </row>
    <row r="10" spans="1:56" ht="15" customHeight="1">
      <c r="A10" s="747" t="s">
        <v>4677</v>
      </c>
      <c r="B10" s="1447">
        <v>46066</v>
      </c>
      <c r="C10" s="1447">
        <v>46059</v>
      </c>
      <c r="D10" t="s">
        <v>1484</v>
      </c>
      <c r="E10" s="762">
        <f>_xlfn.XLOOKUP(D10,RUC!$B$3:$B$123,RUC!$D$3:$D$123)</f>
        <v>10761932735</v>
      </c>
      <c r="G10" s="762">
        <v>124</v>
      </c>
      <c r="H10" s="762" t="s">
        <v>69</v>
      </c>
      <c r="I10" s="703">
        <v>10.63</v>
      </c>
      <c r="J10" s="596">
        <v>11.8</v>
      </c>
      <c r="K10" s="703">
        <f t="shared" si="0"/>
        <v>9.3759999999999994</v>
      </c>
      <c r="L10" s="1192">
        <v>0.127</v>
      </c>
      <c r="M10" s="994">
        <f t="shared" si="15"/>
        <v>0.108</v>
      </c>
      <c r="N10" s="1196">
        <f t="shared" ref="N10:N12" si="22">+M10</f>
        <v>0.108</v>
      </c>
      <c r="O10" s="645">
        <f t="shared" si="3"/>
        <v>0.108</v>
      </c>
      <c r="P10" s="727">
        <v>80</v>
      </c>
      <c r="Q10" s="1476">
        <v>90.55</v>
      </c>
      <c r="R10" s="706">
        <v>4948</v>
      </c>
      <c r="S10" s="765">
        <f>IF((_xlfn.XLOOKUP(D10,RUC!$B$3:$B$119,RUC!$E$3:$E$119)+ROUNDDOWN(O10,1)*100)&lt;95,95,((_xlfn.XLOOKUP(D10,RUC!$B$3:$B$119,RUC!$E$3:$E$119)+ROUNDDOWN(O10,1)*100)))</f>
        <v>100</v>
      </c>
      <c r="U10" s="1146">
        <f>_xlfn.XLOOKUP(D10,RUC!$B$3:$B$123,RUC!$F$3:$F$123)</f>
        <v>120</v>
      </c>
      <c r="V10" s="715">
        <v>1.1023000000000001</v>
      </c>
      <c r="Y10">
        <f>_xlfn.XLOOKUP(D10,RUC!$B$3:$B$123,RUC!$G$3:$G$123)</f>
        <v>20</v>
      </c>
      <c r="Z10" s="143">
        <f>_xlfn.XLOOKUP(D10,RUC!$B$3:$B$123,RUC!$H$3:$H$123)</f>
        <v>30</v>
      </c>
      <c r="AA10" s="144">
        <f t="shared" si="4"/>
        <v>50</v>
      </c>
      <c r="AB10" s="145">
        <f t="shared" si="16"/>
        <v>294.46754016000011</v>
      </c>
      <c r="AC10" s="145">
        <f>+(S10-T10)*V10-'data 1'!$F$4</f>
        <v>30.230000000000004</v>
      </c>
      <c r="AD10" s="145">
        <f t="shared" si="5"/>
        <v>71.305536103399987</v>
      </c>
      <c r="AE10" s="145">
        <f t="shared" si="6"/>
        <v>-14.884999999999998</v>
      </c>
      <c r="AF10" s="145">
        <f t="shared" si="7"/>
        <v>91.560704249800025</v>
      </c>
      <c r="AG10" s="772">
        <f t="shared" si="17"/>
        <v>195.21124035320003</v>
      </c>
      <c r="AH10" s="1253">
        <f t="shared" si="8"/>
        <v>36.966999999999999</v>
      </c>
      <c r="AI10" s="1253">
        <f t="shared" si="9"/>
        <v>40.825000000000003</v>
      </c>
      <c r="AJ10" s="156">
        <f t="shared" si="10"/>
        <v>9.1269249515999995</v>
      </c>
      <c r="AK10" s="156">
        <f t="shared" si="11"/>
        <v>27.77412657802752</v>
      </c>
      <c r="AM10" s="716">
        <f t="shared" si="12"/>
        <v>2760.927656540161</v>
      </c>
      <c r="AN10" s="148" t="str">
        <f>_xlfn.XLOOKUP(D10,RUC!$B$3:$B$578,RUC!$M$3:$M$578)</f>
        <v>Richard Sapacayo</v>
      </c>
      <c r="AO10" s="1167" t="s">
        <v>2280</v>
      </c>
      <c r="AP10" t="s">
        <v>3243</v>
      </c>
      <c r="AQ10" t="s">
        <v>3951</v>
      </c>
      <c r="AV10" s="1557" t="s">
        <v>2278</v>
      </c>
      <c r="AW10" s="703">
        <f t="shared" si="18"/>
        <v>130.66100000000003</v>
      </c>
      <c r="AX10" s="703" cm="1">
        <f t="array" ref="AX10">+SUMPRODUCT(IF($AO$4:$AO$467=AV10,$L$4:$L$467*$K$4:$K$467/AW10))</f>
        <v>0.22856910631328392</v>
      </c>
      <c r="AY10" s="1215">
        <f t="shared" si="19"/>
        <v>0.26304313941499691</v>
      </c>
      <c r="AZ10" s="596" cm="1">
        <f t="array" ref="AZ10">+SUMPRODUCT(IF($AO$4:$AO$467=AV10,($Q$4:$Q$467*$AH$4:$AH$467)/SUMIF($AO$4:$AO$467,$AV10,$AH$4:$AH$467)))</f>
        <v>96.64339389856157</v>
      </c>
      <c r="BA10" s="1481">
        <f t="shared" si="20"/>
        <v>1023.9354455196374</v>
      </c>
      <c r="BB10" s="1237">
        <f t="shared" ca="1" si="21"/>
        <v>988.52100000000019</v>
      </c>
      <c r="BC10" s="596">
        <f t="shared" ref="BC10:BC18" ca="1" si="23">+BC9+BA10-BB10</f>
        <v>89.752355889458613</v>
      </c>
      <c r="BD10" s="1238">
        <f t="shared" ref="BD10:BD18" si="24">+BD9+AW10</f>
        <v>263.94400000000007</v>
      </c>
    </row>
    <row r="11" spans="1:56" ht="15" customHeight="1">
      <c r="A11" s="747" t="s">
        <v>4679</v>
      </c>
      <c r="B11" s="1447">
        <v>46071</v>
      </c>
      <c r="C11" s="1447">
        <v>46059</v>
      </c>
      <c r="D11" t="s">
        <v>1484</v>
      </c>
      <c r="E11" s="762">
        <f>_xlfn.XLOOKUP(D11,RUC!$B$3:$B$123,RUC!$D$3:$D$123)</f>
        <v>10761932735</v>
      </c>
      <c r="G11" s="762" t="s">
        <v>2985</v>
      </c>
      <c r="H11" s="762" t="s">
        <v>69</v>
      </c>
      <c r="I11" s="703">
        <v>34.479999999999997</v>
      </c>
      <c r="J11" s="596">
        <v>5</v>
      </c>
      <c r="K11" s="703">
        <f t="shared" si="0"/>
        <v>32.756</v>
      </c>
      <c r="L11" s="1192">
        <v>0.12</v>
      </c>
      <c r="M11" s="994">
        <f t="shared" si="15"/>
        <v>0.10100000000000001</v>
      </c>
      <c r="N11" s="1196">
        <f t="shared" si="22"/>
        <v>0.10100000000000001</v>
      </c>
      <c r="O11" s="645">
        <f t="shared" si="3"/>
        <v>0.10100000000000001</v>
      </c>
      <c r="P11" s="727">
        <v>80</v>
      </c>
      <c r="Q11" s="1476">
        <v>97.5</v>
      </c>
      <c r="R11" s="706">
        <v>4948</v>
      </c>
      <c r="S11" s="765">
        <f>IF((_xlfn.XLOOKUP(D11,RUC!$B$3:$B$119,RUC!$E$3:$E$119)+ROUNDDOWN(O11,1)*100)&lt;95,95,((_xlfn.XLOOKUP(D11,RUC!$B$3:$B$119,RUC!$E$3:$E$119)+ROUNDDOWN(O11,1)*100)))</f>
        <v>100</v>
      </c>
      <c r="U11" s="1146">
        <f>_xlfn.XLOOKUP(D11,RUC!$B$3:$B$123,RUC!$F$3:$F$123)</f>
        <v>120</v>
      </c>
      <c r="V11" s="715">
        <v>1.1023000000000001</v>
      </c>
      <c r="Y11">
        <f>_xlfn.XLOOKUP(D11,RUC!$B$3:$B$123,RUC!$G$3:$G$123)</f>
        <v>20</v>
      </c>
      <c r="Z11" s="143">
        <f>_xlfn.XLOOKUP(D11,RUC!$B$3:$B$123,RUC!$H$3:$H$123)</f>
        <v>30</v>
      </c>
      <c r="AA11" s="144">
        <f t="shared" si="4"/>
        <v>50</v>
      </c>
      <c r="AB11" s="145">
        <f t="shared" si="16"/>
        <v>264.66487552000001</v>
      </c>
      <c r="AC11" s="145">
        <f>+(S11-T11)*V11-'data 1'!$F$4</f>
        <v>30.230000000000004</v>
      </c>
      <c r="AD11" s="145">
        <f t="shared" si="5"/>
        <v>111.75999239999999</v>
      </c>
      <c r="AE11" s="145">
        <f t="shared" si="6"/>
        <v>-14.884999999999998</v>
      </c>
      <c r="AF11" s="145">
        <f t="shared" si="7"/>
        <v>98.588279009999937</v>
      </c>
      <c r="AG11" s="772">
        <f t="shared" si="17"/>
        <v>242.69327140999997</v>
      </c>
      <c r="AH11" s="1253">
        <f t="shared" si="8"/>
        <v>131.39699999999999</v>
      </c>
      <c r="AI11" s="1253">
        <f t="shared" si="9"/>
        <v>134.76599999999999</v>
      </c>
      <c r="AJ11" s="156">
        <f t="shared" si="10"/>
        <v>9.2857752000000016</v>
      </c>
      <c r="AK11" s="156">
        <f t="shared" si="11"/>
        <v>90.742615414036663</v>
      </c>
      <c r="AM11" s="716">
        <f t="shared" si="12"/>
        <v>8669.3626625331199</v>
      </c>
      <c r="AN11" s="148" t="str">
        <f>_xlfn.XLOOKUP(D11,RUC!$B$3:$B$578,RUC!$M$3:$M$578)</f>
        <v>Richard Sapacayo</v>
      </c>
      <c r="AO11" s="1167" t="s">
        <v>2279</v>
      </c>
      <c r="AP11" t="s">
        <v>3192</v>
      </c>
      <c r="AQ11" t="s">
        <v>2450</v>
      </c>
      <c r="AV11" s="1557" t="s">
        <v>2280</v>
      </c>
      <c r="AW11" s="703">
        <f t="shared" si="18"/>
        <v>169.75400000000002</v>
      </c>
      <c r="AX11" s="703" cm="1">
        <f t="array" ref="AX11">+SUMPRODUCT(IF($AO$4:$AO$467=AV11,$L$4:$L$467*$K$4:$K$467/AW11))</f>
        <v>0.21052923053359565</v>
      </c>
      <c r="AY11" s="1215">
        <f t="shared" si="19"/>
        <v>0.28414475492531982</v>
      </c>
      <c r="AZ11" s="596" cm="1">
        <f t="array" ref="AZ11">+SUMPRODUCT(IF($AO$4:$AO$467=AV11,($Q$4:$Q$467*$AH$4:$AH$467)/SUMIF($AO$4:$AO$467,$AV11,$AH$4:$AH$467)))</f>
        <v>96.063428251958541</v>
      </c>
      <c r="BA11" s="1237">
        <f t="shared" si="20"/>
        <v>1225.297335215361</v>
      </c>
      <c r="BB11" s="1237">
        <f t="shared" ca="1" si="21"/>
        <v>835.31200000000001</v>
      </c>
      <c r="BC11" s="596">
        <f t="shared" ca="1" si="23"/>
        <v>479.73769110481965</v>
      </c>
      <c r="BD11" s="1238">
        <f t="shared" si="24"/>
        <v>433.69800000000009</v>
      </c>
    </row>
    <row r="12" spans="1:56" ht="15" customHeight="1">
      <c r="A12" s="747" t="s">
        <v>4708</v>
      </c>
      <c r="B12" s="1447">
        <v>46071</v>
      </c>
      <c r="C12" s="1447">
        <v>46060</v>
      </c>
      <c r="D12" t="s">
        <v>4722</v>
      </c>
      <c r="E12" s="762" t="str">
        <f>_xlfn.XLOOKUP(D12,RUC!$B$3:$B$123,RUC!$D$3:$D$123)</f>
        <v>20610807004*</v>
      </c>
      <c r="G12" s="762">
        <v>72</v>
      </c>
      <c r="H12" s="762" t="s">
        <v>69</v>
      </c>
      <c r="I12" s="703">
        <v>7.06</v>
      </c>
      <c r="J12" s="596">
        <v>2.2999999999999998</v>
      </c>
      <c r="K12" s="703">
        <f t="shared" si="0"/>
        <v>6.8979999999999997</v>
      </c>
      <c r="L12" s="1192">
        <v>0.13800000000000001</v>
      </c>
      <c r="M12" s="994">
        <f t="shared" si="15"/>
        <v>0.11899999999999999</v>
      </c>
      <c r="N12" s="1196">
        <f t="shared" si="22"/>
        <v>0.11899999999999999</v>
      </c>
      <c r="O12" s="647">
        <v>0.123</v>
      </c>
      <c r="P12" s="727">
        <v>80</v>
      </c>
      <c r="Q12" s="1476">
        <v>88.73</v>
      </c>
      <c r="R12" s="706">
        <v>4948</v>
      </c>
      <c r="S12" s="765">
        <f>IF((_xlfn.XLOOKUP(D12,RUC!$B$3:$B$119,RUC!$E$3:$E$119)+ROUNDDOWN(O12,1)*100)&lt;95,95,((_xlfn.XLOOKUP(D12,RUC!$B$3:$B$119,RUC!$E$3:$E$119)+ROUNDDOWN(O12,1)*100)))</f>
        <v>95</v>
      </c>
      <c r="U12" s="1146">
        <f>_xlfn.XLOOKUP(D12,RUC!$B$3:$B$123,RUC!$F$3:$F$123)</f>
        <v>120</v>
      </c>
      <c r="V12" s="715">
        <v>1.1023000000000001</v>
      </c>
      <c r="Y12" s="1445">
        <v>30</v>
      </c>
      <c r="Z12" s="1454">
        <v>35</v>
      </c>
      <c r="AA12" s="144">
        <f t="shared" si="4"/>
        <v>65</v>
      </c>
      <c r="AB12" s="145">
        <f t="shared" ref="AB12:AB22" si="25">+((O12*P12*(R12-U12)/100)-S12-AA12+T12)*V12</f>
        <v>347.30739296000002</v>
      </c>
      <c r="AC12" s="145">
        <f>+(S12-T12)*V12-'data 1'!$F$4</f>
        <v>24.718500000000006</v>
      </c>
      <c r="AD12" s="145">
        <f t="shared" si="5"/>
        <v>64.11511106856004</v>
      </c>
      <c r="AE12" s="145">
        <f t="shared" si="6"/>
        <v>1.6495000000000033</v>
      </c>
      <c r="AF12" s="145">
        <f t="shared" si="7"/>
        <v>70.831886611800059</v>
      </c>
      <c r="AG12" s="772">
        <f t="shared" ref="AG12:AG13" si="26">AC12+AD12+AE12+AF12+70-53</f>
        <v>178.31499768036011</v>
      </c>
      <c r="AH12" s="1253">
        <f t="shared" si="8"/>
        <v>28.959</v>
      </c>
      <c r="AI12" s="1253">
        <f t="shared" si="9"/>
        <v>32.637</v>
      </c>
      <c r="AJ12" s="156">
        <f t="shared" si="10"/>
        <v>9.7181113694400025</v>
      </c>
      <c r="AK12" s="156">
        <f t="shared" si="11"/>
        <v>23.271659706059765</v>
      </c>
      <c r="AM12" s="716">
        <f t="shared" si="12"/>
        <v>2395.7263966380801</v>
      </c>
      <c r="AN12" s="716" t="str">
        <f>_xlfn.XLOOKUP(D12,RUC!$B$3:$B$578,RUC!$M$3:$M$578)</f>
        <v>Ronald Miranda</v>
      </c>
      <c r="AO12" s="1167" t="s">
        <v>2278</v>
      </c>
      <c r="AP12" t="s">
        <v>4702</v>
      </c>
      <c r="AQ12" t="s">
        <v>4703</v>
      </c>
      <c r="AR12" s="1678" t="s">
        <v>4821</v>
      </c>
      <c r="AV12" s="1557" t="s">
        <v>2279</v>
      </c>
      <c r="AW12" s="703">
        <f t="shared" si="18"/>
        <v>166.19599999999991</v>
      </c>
      <c r="AX12" s="703" cm="1">
        <f t="array" ref="AX12">+SUMPRODUCT(IF($AO$4:$AO$467=AV12,$L$4:$L$467*$K$4:$K$467/AW12))</f>
        <v>0.24040121302558443</v>
      </c>
      <c r="AY12" s="1215">
        <f t="shared" si="19"/>
        <v>0.3488293381828152</v>
      </c>
      <c r="AZ12" s="596" cm="1">
        <f t="array" ref="AZ12">+SUMPRODUCT(IF($AO$4:$AO$467=AV12,($Q$4:$Q$467*$AH$4:$AH$467)/SUMIF($AO$4:$AO$467,$AV12,$AH$4:$AH$467)))</f>
        <v>95.767789308243323</v>
      </c>
      <c r="BA12" s="1237">
        <f t="shared" si="20"/>
        <v>1369.8287942410464</v>
      </c>
      <c r="BB12" s="1237">
        <f t="shared" ca="1" si="21"/>
        <v>1310.056</v>
      </c>
      <c r="BC12" s="596">
        <f t="shared" ca="1" si="23"/>
        <v>539.51048534586607</v>
      </c>
      <c r="BD12" s="1238">
        <f t="shared" si="24"/>
        <v>599.89400000000001</v>
      </c>
    </row>
    <row r="13" spans="1:56" ht="15" customHeight="1">
      <c r="A13" s="747" t="s">
        <v>4713</v>
      </c>
      <c r="B13" s="1447">
        <v>46074</v>
      </c>
      <c r="C13" s="1447">
        <v>46061</v>
      </c>
      <c r="D13" t="s">
        <v>1484</v>
      </c>
      <c r="E13" s="762">
        <f>_xlfn.XLOOKUP(D13,RUC!$B$3:$B$123,RUC!$D$3:$D$123)</f>
        <v>10761932735</v>
      </c>
      <c r="G13" s="762" t="s">
        <v>2985</v>
      </c>
      <c r="H13" s="762" t="s">
        <v>69</v>
      </c>
      <c r="I13" s="703">
        <v>34.28</v>
      </c>
      <c r="J13" s="596">
        <v>12.8</v>
      </c>
      <c r="K13" s="703">
        <f t="shared" si="0"/>
        <v>29.891999999999999</v>
      </c>
      <c r="L13" s="1192">
        <v>0.111</v>
      </c>
      <c r="M13" s="994">
        <f t="shared" si="15"/>
        <v>9.1999999999999998E-2</v>
      </c>
      <c r="N13" s="1444">
        <v>0.161</v>
      </c>
      <c r="O13" s="645">
        <f t="shared" ref="O13" si="27">+ROUND((M13+N13)/2,3)</f>
        <v>0.127</v>
      </c>
      <c r="P13" s="727">
        <v>80</v>
      </c>
      <c r="Q13" s="1476">
        <v>97.25</v>
      </c>
      <c r="R13" s="706">
        <v>5039.55</v>
      </c>
      <c r="S13" s="765">
        <f>IF((_xlfn.XLOOKUP(D13,RUC!$B$3:$B$119,RUC!$E$3:$E$119)+ROUNDDOWN(O13,1)*100)&lt;95,95,((_xlfn.XLOOKUP(D13,RUC!$B$3:$B$119,RUC!$E$3:$E$119)+ROUNDDOWN(O13,1)*100)))</f>
        <v>100</v>
      </c>
      <c r="U13" s="1146">
        <f>_xlfn.XLOOKUP(D13,RUC!$B$3:$B$123,RUC!$F$3:$F$123)</f>
        <v>120</v>
      </c>
      <c r="V13" s="715">
        <v>1.1023000000000001</v>
      </c>
      <c r="Y13">
        <f>_xlfn.XLOOKUP(D13,RUC!$B$3:$B$123,RUC!$G$3:$G$123)</f>
        <v>20</v>
      </c>
      <c r="Z13" s="143">
        <f>_xlfn.XLOOKUP(D13,RUC!$B$3:$B$123,RUC!$H$3:$H$123)</f>
        <v>30</v>
      </c>
      <c r="AA13" s="144">
        <f t="shared" si="4"/>
        <v>50</v>
      </c>
      <c r="AB13" s="145">
        <f t="shared" si="25"/>
        <v>385.6135084440001</v>
      </c>
      <c r="AC13" s="145">
        <f>+(S13-T13)*V13-'data 1'!$F$4</f>
        <v>30.230000000000004</v>
      </c>
      <c r="AD13" s="145">
        <f t="shared" si="5"/>
        <v>103.83344527983751</v>
      </c>
      <c r="AE13" s="145">
        <f t="shared" si="6"/>
        <v>-14.884999999999998</v>
      </c>
      <c r="AF13" s="145">
        <f t="shared" si="7"/>
        <v>-84.379078655400008</v>
      </c>
      <c r="AG13" s="772">
        <f t="shared" si="26"/>
        <v>51.799366624437511</v>
      </c>
      <c r="AH13" s="1253">
        <f t="shared" si="8"/>
        <v>110.631</v>
      </c>
      <c r="AI13" s="1253">
        <f t="shared" si="9"/>
        <v>113.759</v>
      </c>
      <c r="AJ13" s="156">
        <f t="shared" si="10"/>
        <v>-2.326264846837522</v>
      </c>
      <c r="AK13" s="156">
        <f t="shared" si="11"/>
        <v>104.12565607040494</v>
      </c>
      <c r="AM13" s="716">
        <f t="shared" si="12"/>
        <v>11526.75899440805</v>
      </c>
      <c r="AN13" s="716" t="str">
        <f>_xlfn.XLOOKUP(D13,RUC!$B$3:$B$578,RUC!$M$3:$M$578)</f>
        <v>Richard Sapacayo</v>
      </c>
      <c r="AO13" s="1167" t="s">
        <v>2280</v>
      </c>
      <c r="AP13" t="s">
        <v>4704</v>
      </c>
      <c r="AQ13" t="s">
        <v>4705</v>
      </c>
      <c r="AV13" s="1557" t="s">
        <v>2281</v>
      </c>
      <c r="AW13" s="703">
        <f t="shared" si="18"/>
        <v>0</v>
      </c>
      <c r="AX13" s="703" cm="1">
        <f t="array" ref="AX13">+SUMPRODUCT(IF($AO$4:$AO$467=AV13,$L$4:$L$467*$K$4:$K$467/AW13))</f>
        <v>0</v>
      </c>
      <c r="AY13" s="1215">
        <f t="shared" si="19"/>
        <v>0</v>
      </c>
      <c r="AZ13" s="596" cm="1">
        <f t="array" ref="AZ13">+SUMPRODUCT(IF($AO$4:$AO$467=AV13,($Q$4:$Q$467*$AH$4:$AH$467)/SUMIF($AO$4:$AO$467,$AV13,$AH$4:$AH$467)))</f>
        <v>0</v>
      </c>
      <c r="BA13" s="1237">
        <f t="shared" si="20"/>
        <v>0</v>
      </c>
      <c r="BB13" s="1237">
        <f t="shared" ca="1" si="21"/>
        <v>0</v>
      </c>
      <c r="BC13" s="596">
        <f t="shared" ca="1" si="23"/>
        <v>539.51048534586607</v>
      </c>
      <c r="BD13" s="1238">
        <f t="shared" si="24"/>
        <v>599.89400000000001</v>
      </c>
    </row>
    <row r="14" spans="1:56" ht="15" customHeight="1">
      <c r="A14" s="747" t="s">
        <v>4716</v>
      </c>
      <c r="B14" s="1447">
        <v>46068</v>
      </c>
      <c r="C14" s="1447">
        <v>46061</v>
      </c>
      <c r="D14" t="s">
        <v>4171</v>
      </c>
      <c r="E14" s="762">
        <f>_xlfn.XLOOKUP(D14,RUC!$B$3:$B$123,RUC!$D$3:$D$123)</f>
        <v>20614284740</v>
      </c>
      <c r="G14" s="762" t="s">
        <v>2985</v>
      </c>
      <c r="H14" s="762" t="s">
        <v>2005</v>
      </c>
      <c r="I14" s="703">
        <v>2.2799999999999998</v>
      </c>
      <c r="J14" s="596">
        <v>2</v>
      </c>
      <c r="K14" s="703">
        <f t="shared" si="0"/>
        <v>2.234</v>
      </c>
      <c r="L14" s="1192">
        <v>0.13600000000000001</v>
      </c>
      <c r="M14" s="994">
        <f t="shared" si="15"/>
        <v>0.11700000000000001</v>
      </c>
      <c r="N14" s="1196">
        <f t="shared" ref="N14:N18" si="28">+M14</f>
        <v>0.11700000000000001</v>
      </c>
      <c r="O14" s="645">
        <f t="shared" ref="O14:O16" si="29">+ROUND((M14+N14)/2,3)</f>
        <v>0.11700000000000001</v>
      </c>
      <c r="P14" s="727">
        <v>80</v>
      </c>
      <c r="Q14" s="1476">
        <v>94.85</v>
      </c>
      <c r="R14" s="706">
        <v>5039.55</v>
      </c>
      <c r="S14" s="765">
        <f>IF((_xlfn.XLOOKUP(D14,RUC!$B$3:$B$119,RUC!$E$3:$E$119)+ROUNDDOWN(O14,1)*100)&lt;95,95,((_xlfn.XLOOKUP(D14,RUC!$B$3:$B$119,RUC!$E$3:$E$119)+ROUNDDOWN(O14,1)*100)))</f>
        <v>100</v>
      </c>
      <c r="U14" s="1146">
        <f>_xlfn.XLOOKUP(D14,RUC!$B$3:$B$123,RUC!$F$3:$F$123)</f>
        <v>120</v>
      </c>
      <c r="V14" s="715">
        <v>1.1023000000000001</v>
      </c>
      <c r="Y14">
        <f>_xlfn.XLOOKUP(D14,RUC!$B$3:$B$123,RUC!$G$3:$G$123)</f>
        <v>20</v>
      </c>
      <c r="Z14" s="1454">
        <v>40</v>
      </c>
      <c r="AA14" s="144">
        <f t="shared" si="4"/>
        <v>60</v>
      </c>
      <c r="AB14" s="145">
        <f t="shared" si="25"/>
        <v>331.20794872400006</v>
      </c>
      <c r="AC14" s="145">
        <f>+(S14-T14)*V14-'data 1'!$F$4</f>
        <v>30.230000000000004</v>
      </c>
      <c r="AD14" s="145">
        <f>+(Q14-P14)*(R14-U14)*L14*V14/100</f>
        <v>109.51927201313997</v>
      </c>
      <c r="AE14" s="145">
        <f>+(Y14*V14-70)+V14*(Z14-IF(D14="UNTUCA",IF(+((W14-3)*2.5+(X14-3)*3.1)&gt;0,+((W14-3)*1.5+(X14-3)*3.1),0),IF(+((W14-3)*1.5+(X14-3)*3.1)&gt;0,+((W14-3)*1.5+(X14-3)*3.1),0)))</f>
        <v>-3.8620000000000019</v>
      </c>
      <c r="AF14" s="145">
        <f>(L14-O14)*(R14-U14)*Q14*V14/100</f>
        <v>97.727349999247522</v>
      </c>
      <c r="AG14" s="772">
        <f>AC14+AD14+AE14+AF14+70-53</f>
        <v>250.61462201238749</v>
      </c>
      <c r="AH14" s="1253">
        <f>ROUND((31.1035*L14*Q14*1.1023*K14/100),3)</f>
        <v>9.8800000000000008</v>
      </c>
      <c r="AI14" s="1253">
        <f>ROUND((31.1035*L14*1.1023*K14),3)</f>
        <v>10.417</v>
      </c>
      <c r="AJ14" s="156">
        <f>+((+$AJ$2-R14+U14)*L14*Q14*V14)/100</f>
        <v>-2.7798592851400263</v>
      </c>
      <c r="AK14" s="156">
        <f>31.1035*1.1023*K14*P14*O14/100</f>
        <v>7.1691569261863206</v>
      </c>
      <c r="AM14" s="716">
        <f>+IF(AB14*K14&gt;0,AB14*K14,0)</f>
        <v>739.91855744941608</v>
      </c>
      <c r="AN14" s="716" t="str">
        <f>_xlfn.XLOOKUP(D14,RUC!$B$3:$B$578,RUC!$M$3:$M$578)</f>
        <v xml:space="preserve">Dante </v>
      </c>
      <c r="AO14" s="1167" t="s">
        <v>2278</v>
      </c>
      <c r="AP14" t="s">
        <v>3659</v>
      </c>
      <c r="AQ14" t="s">
        <v>4706</v>
      </c>
      <c r="AV14" s="1557" t="s">
        <v>2297</v>
      </c>
      <c r="AW14" s="703">
        <f t="shared" si="18"/>
        <v>0</v>
      </c>
      <c r="AX14" s="703" cm="1">
        <f t="array" ref="AX14">+SUMPRODUCT(IF($AO$4:$AO$467=AV14,$L$4:$L$467*$K$4:$K$467/AW14))</f>
        <v>0</v>
      </c>
      <c r="AY14" s="1215">
        <f t="shared" si="19"/>
        <v>0</v>
      </c>
      <c r="AZ14" s="596" cm="1">
        <f t="array" ref="AZ14">+SUMPRODUCT(IF('41'!$AO$4:$AO$359=AV14,('41'!$Q$4:$Q$359*'41'!$AH$4:$AH$359)/SUMIF('41'!$AO$4:$AO$359,#REF!,'41'!$AH$4:$AH$359)))</f>
        <v>0</v>
      </c>
      <c r="BA14" s="1237">
        <f t="shared" si="20"/>
        <v>0</v>
      </c>
      <c r="BB14" s="1237">
        <f t="shared" ca="1" si="21"/>
        <v>0</v>
      </c>
      <c r="BC14" s="596">
        <f t="shared" ca="1" si="23"/>
        <v>539.51048534586607</v>
      </c>
      <c r="BD14" s="1238">
        <f t="shared" si="24"/>
        <v>599.89400000000001</v>
      </c>
    </row>
    <row r="15" spans="1:56" ht="15" customHeight="1">
      <c r="A15" s="747" t="s">
        <v>4717</v>
      </c>
      <c r="B15" s="1447">
        <v>46068</v>
      </c>
      <c r="C15" s="1447">
        <v>46061</v>
      </c>
      <c r="D15" t="s">
        <v>4171</v>
      </c>
      <c r="E15" s="762">
        <f>_xlfn.XLOOKUP(D15,RUC!$B$3:$B$123,RUC!$D$3:$D$123)</f>
        <v>20614284740</v>
      </c>
      <c r="G15" s="1673">
        <v>42</v>
      </c>
      <c r="H15" s="762" t="s">
        <v>2005</v>
      </c>
      <c r="I15" s="703">
        <v>3.1</v>
      </c>
      <c r="J15" s="596">
        <v>2</v>
      </c>
      <c r="K15" s="703">
        <f t="shared" si="0"/>
        <v>3.0379999999999998</v>
      </c>
      <c r="L15" s="1192">
        <v>0.12</v>
      </c>
      <c r="M15" s="994">
        <f t="shared" si="15"/>
        <v>0.10100000000000001</v>
      </c>
      <c r="N15" s="1196">
        <f t="shared" si="28"/>
        <v>0.10100000000000001</v>
      </c>
      <c r="O15" s="645">
        <f t="shared" si="29"/>
        <v>0.10100000000000001</v>
      </c>
      <c r="P15" s="727">
        <v>80</v>
      </c>
      <c r="Q15" s="1476">
        <v>92.5</v>
      </c>
      <c r="R15" s="706">
        <v>5039.55</v>
      </c>
      <c r="S15" s="765">
        <f>IF((_xlfn.XLOOKUP(D15,RUC!$B$3:$B$119,RUC!$E$3:$E$119)+ROUNDDOWN(O15,1)*100)&lt;95,95,((_xlfn.XLOOKUP(D15,RUC!$B$3:$B$119,RUC!$E$3:$E$119)+ROUNDDOWN(O15,1)*100)))</f>
        <v>100</v>
      </c>
      <c r="U15" s="1146">
        <f>_xlfn.XLOOKUP(D15,RUC!$B$3:$B$123,RUC!$F$3:$F$123)</f>
        <v>120</v>
      </c>
      <c r="V15" s="715">
        <v>1.1023000000000001</v>
      </c>
      <c r="Y15">
        <f>_xlfn.XLOOKUP(D15,RUC!$B$3:$B$123,RUC!$G$3:$G$123)</f>
        <v>20</v>
      </c>
      <c r="Z15" s="1454">
        <v>40</v>
      </c>
      <c r="AA15" s="144">
        <f t="shared" si="4"/>
        <v>60</v>
      </c>
      <c r="AB15" s="145">
        <f t="shared" si="25"/>
        <v>261.79585317200002</v>
      </c>
      <c r="AC15" s="145">
        <f>+(S15-T15)*V15-'data 1'!$F$4</f>
        <v>30.230000000000004</v>
      </c>
      <c r="AD15" s="145">
        <f>+(Q15-P15)*(R15-U15)*L15*V15/100</f>
        <v>81.342299475000004</v>
      </c>
      <c r="AE15" s="145">
        <f>+(Y15*V15-70)+V15*(Z15-IF(D15="UNTUCA",IF(+((W15-3)*2.5+(X15-3)*3.1)&gt;0,+((W15-3)*1.5+(X15-3)*3.1),0),IF(+((W15-3)*1.5+(X15-3)*3.1)&gt;0,+((W15-3)*1.5+(X15-3)*3.1),0)))</f>
        <v>-3.8620000000000019</v>
      </c>
      <c r="AF15" s="145">
        <f>(L15-O15)*(R15-U15)*Q15*V15/100</f>
        <v>95.306060884874952</v>
      </c>
      <c r="AG15" s="772">
        <f>AC15+AD15+AE15+AF15+70-53</f>
        <v>220.01636035987497</v>
      </c>
      <c r="AH15" s="1253">
        <f>ROUND((31.1035*L15*Q15*1.1023*K15/100),3)</f>
        <v>11.561999999999999</v>
      </c>
      <c r="AI15" s="1253">
        <f>ROUND((31.1035*L15*1.1023*K15),3)</f>
        <v>12.499000000000001</v>
      </c>
      <c r="AJ15" s="156">
        <f>+((+$AJ$2-R15+U15)*L15*Q15*V15)/100</f>
        <v>-2.3920461150000225</v>
      </c>
      <c r="AK15" s="156">
        <f>31.1035*1.1023*K15*P15*O15/100</f>
        <v>8.4160479187887205</v>
      </c>
      <c r="AM15" s="716">
        <f>+IF(AB15*K15&gt;0,AB15*K15,0)</f>
        <v>795.33580193653597</v>
      </c>
      <c r="AN15" s="716" t="str">
        <f>_xlfn.XLOOKUP(D15,RUC!$B$3:$B$578,RUC!$M$3:$M$578)</f>
        <v xml:space="preserve">Dante </v>
      </c>
      <c r="AO15" s="1167" t="s">
        <v>2279</v>
      </c>
      <c r="AP15" t="s">
        <v>3659</v>
      </c>
      <c r="AQ15" t="s">
        <v>4706</v>
      </c>
      <c r="AV15" s="1557" t="s">
        <v>2518</v>
      </c>
      <c r="AW15" s="703">
        <f t="shared" si="18"/>
        <v>0</v>
      </c>
      <c r="AX15" s="703" cm="1">
        <f t="array" ref="AX15">+SUMPRODUCT(IF($AO$4:$AO$467=AV15,$L$4:$L$467*$K$4:$K$467/AW15))</f>
        <v>0</v>
      </c>
      <c r="AY15" s="1215">
        <f t="shared" si="19"/>
        <v>0</v>
      </c>
      <c r="AZ15" s="596" cm="1">
        <f t="array" ref="AZ15">+SUMPRODUCT(IF('41'!$AO$4:$AO$359=AV15,('41'!$Q$4:$Q$359*'41'!$AH$4:$AH$359)/SUMIF('41'!$AO$4:$AO$359,#REF!,'41'!$AH$4:$AH$359)))</f>
        <v>0</v>
      </c>
      <c r="BA15" s="1237">
        <f t="shared" si="20"/>
        <v>0</v>
      </c>
      <c r="BB15" s="1237">
        <f t="shared" ca="1" si="21"/>
        <v>0</v>
      </c>
      <c r="BC15" s="596">
        <f t="shared" ca="1" si="23"/>
        <v>539.51048534586607</v>
      </c>
      <c r="BD15" s="1238">
        <f t="shared" si="24"/>
        <v>599.89400000000001</v>
      </c>
    </row>
    <row r="16" spans="1:56" ht="15" customHeight="1">
      <c r="A16" s="747" t="s">
        <v>4718</v>
      </c>
      <c r="B16" s="1447">
        <v>46068</v>
      </c>
      <c r="C16" s="1447">
        <v>46061</v>
      </c>
      <c r="D16" t="s">
        <v>4171</v>
      </c>
      <c r="E16" s="762">
        <f>_xlfn.XLOOKUP(D16,RUC!$B$3:$B$123,RUC!$D$3:$D$123)</f>
        <v>20614284740</v>
      </c>
      <c r="G16" s="762">
        <v>46</v>
      </c>
      <c r="H16" s="762" t="s">
        <v>2005</v>
      </c>
      <c r="I16" s="703">
        <v>3.27</v>
      </c>
      <c r="J16" s="596">
        <v>2</v>
      </c>
      <c r="K16" s="703">
        <f t="shared" si="0"/>
        <v>3.2050000000000001</v>
      </c>
      <c r="L16" s="1192">
        <v>0.125</v>
      </c>
      <c r="M16" s="994">
        <f t="shared" si="15"/>
        <v>0.106</v>
      </c>
      <c r="N16" s="1196">
        <f t="shared" si="28"/>
        <v>0.106</v>
      </c>
      <c r="O16" s="645">
        <f t="shared" si="29"/>
        <v>0.106</v>
      </c>
      <c r="P16" s="727">
        <v>80</v>
      </c>
      <c r="Q16" s="1476">
        <v>88.8</v>
      </c>
      <c r="R16" s="706">
        <v>5039.55</v>
      </c>
      <c r="S16" s="765">
        <f>IF((_xlfn.XLOOKUP(D16,RUC!$B$3:$B$119,RUC!$E$3:$E$119)+ROUNDDOWN(O16,1)*100)&lt;95,95,((_xlfn.XLOOKUP(D16,RUC!$B$3:$B$119,RUC!$E$3:$E$119)+ROUNDDOWN(O16,1)*100)))</f>
        <v>100</v>
      </c>
      <c r="U16" s="1146">
        <f>_xlfn.XLOOKUP(D16,RUC!$B$3:$B$123,RUC!$F$3:$F$123)</f>
        <v>120</v>
      </c>
      <c r="V16" s="715">
        <v>1.1023000000000001</v>
      </c>
      <c r="Y16">
        <f>_xlfn.XLOOKUP(D16,RUC!$B$3:$B$123,RUC!$G$3:$G$123)</f>
        <v>20</v>
      </c>
      <c r="Z16" s="1454">
        <v>40</v>
      </c>
      <c r="AA16" s="144">
        <f t="shared" si="4"/>
        <v>60</v>
      </c>
      <c r="AB16" s="145">
        <f t="shared" si="25"/>
        <v>283.48713303200009</v>
      </c>
      <c r="AC16" s="145">
        <f>+(S16-T16)*V16-'data 1'!$F$4</f>
        <v>30.230000000000004</v>
      </c>
      <c r="AD16" s="145">
        <f>+(Q16-P16)*(R16-U16)*L16*V16/100</f>
        <v>59.651019614999989</v>
      </c>
      <c r="AE16" s="145">
        <f>+(Y16*V16-70)+V16*(Z16-IF(D16="UNTUCA",IF(+((W16-3)*2.5+(X16-3)*3.1)&gt;0,+((W16-3)*1.5+(X16-3)*3.1),0),IF(+((W16-3)*1.5+(X16-3)*3.1)&gt;0,+((W16-3)*1.5+(X16-3)*3.1),0)))</f>
        <v>-3.8620000000000019</v>
      </c>
      <c r="AF16" s="145">
        <f>(L16-O16)*(R16-U16)*Q16*V16/100</f>
        <v>91.493818449480017</v>
      </c>
      <c r="AG16" s="772">
        <f>AC16+AD16+AE16+AF16+70-53</f>
        <v>194.51283806448001</v>
      </c>
      <c r="AH16" s="1253">
        <f>ROUND((31.1035*L16*Q16*1.1023*K16/100),3)</f>
        <v>12.196999999999999</v>
      </c>
      <c r="AI16" s="1253">
        <f>ROUND((31.1035*L16*1.1023*K16),3)</f>
        <v>13.736000000000001</v>
      </c>
      <c r="AJ16" s="156">
        <f>+((+$AJ$2-R16+U16)*L16*Q16*V16)/100</f>
        <v>-2.3920461150000225</v>
      </c>
      <c r="AK16" s="156">
        <f>31.1035*1.1023*K16*P16*O16/100</f>
        <v>9.3182199057811985</v>
      </c>
      <c r="AM16" s="716">
        <f>+IF(AB16*K16&gt;0,AB16*K16,0)</f>
        <v>908.57626136756028</v>
      </c>
      <c r="AN16" s="716" t="str">
        <f>_xlfn.XLOOKUP(D16,RUC!$B$3:$B$578,RUC!$M$3:$M$578)</f>
        <v xml:space="preserve">Dante </v>
      </c>
      <c r="AO16" s="1167" t="s">
        <v>2280</v>
      </c>
      <c r="AP16" t="s">
        <v>3659</v>
      </c>
      <c r="AQ16" t="s">
        <v>4706</v>
      </c>
      <c r="AV16" s="1557" t="s">
        <v>2519</v>
      </c>
      <c r="AW16" s="703">
        <f t="shared" si="18"/>
        <v>0</v>
      </c>
      <c r="AX16" s="703" cm="1">
        <f t="array" ref="AX16">+SUMPRODUCT(IF($AO$4:$AO$467=AV16,$L$4:$L$467*$K$4:$K$467/AW16))</f>
        <v>0</v>
      </c>
      <c r="AY16" s="1215">
        <f t="shared" si="19"/>
        <v>0</v>
      </c>
      <c r="AZ16" s="596" cm="1">
        <f t="array" ref="AZ16">+SUMPRODUCT(IF('41'!$AO$4:$AO$359=AV16,('41'!$Q$4:$Q$359*'41'!$AH$4:$AH$359)/SUMIF('41'!$AO$4:$AO$359,#REF!,'41'!$AH$4:$AH$359)))</f>
        <v>0</v>
      </c>
      <c r="BA16" s="1237">
        <f t="shared" si="20"/>
        <v>0</v>
      </c>
      <c r="BB16" s="1237">
        <f t="shared" ca="1" si="21"/>
        <v>0</v>
      </c>
      <c r="BC16" s="596">
        <f t="shared" ca="1" si="23"/>
        <v>539.51048534586607</v>
      </c>
      <c r="BD16" s="1238">
        <f t="shared" si="24"/>
        <v>599.89400000000001</v>
      </c>
    </row>
    <row r="17" spans="1:56" ht="15" customHeight="1">
      <c r="A17" s="747" t="s">
        <v>4751</v>
      </c>
      <c r="B17" s="1447">
        <v>46068</v>
      </c>
      <c r="C17" s="1447">
        <v>46062</v>
      </c>
      <c r="D17" t="s">
        <v>4171</v>
      </c>
      <c r="E17" s="762">
        <f>_xlfn.XLOOKUP(D17,RUC!$B$3:$B$123,RUC!$D$3:$D$123)</f>
        <v>20614284740</v>
      </c>
      <c r="G17" s="762">
        <v>54</v>
      </c>
      <c r="H17" s="762" t="s">
        <v>69</v>
      </c>
      <c r="I17" s="703">
        <v>4.42</v>
      </c>
      <c r="J17" s="596">
        <v>2.4500000000000002</v>
      </c>
      <c r="K17" s="703">
        <f t="shared" si="0"/>
        <v>4.3120000000000003</v>
      </c>
      <c r="L17" s="1192">
        <v>0.122</v>
      </c>
      <c r="M17" s="994">
        <f t="shared" si="15"/>
        <v>0.10299999999999999</v>
      </c>
      <c r="N17" s="1196">
        <f t="shared" si="28"/>
        <v>0.10299999999999999</v>
      </c>
      <c r="O17" s="645">
        <f t="shared" ref="O17:O18" si="30">+ROUND((M17+N17)/2,3)</f>
        <v>0.10299999999999999</v>
      </c>
      <c r="P17" s="727">
        <v>80</v>
      </c>
      <c r="Q17" s="1476">
        <v>92.62</v>
      </c>
      <c r="R17" s="706">
        <v>5039.55</v>
      </c>
      <c r="S17" s="765">
        <f>IF((_xlfn.XLOOKUP(D17,RUC!$B$3:$B$119,RUC!$E$3:$E$119)+ROUNDDOWN(O17,1)*100)&lt;95,95,((_xlfn.XLOOKUP(D17,RUC!$B$3:$B$119,RUC!$E$3:$E$119)+ROUNDDOWN(O17,1)*100)))</f>
        <v>100</v>
      </c>
      <c r="U17" s="1146">
        <f>_xlfn.XLOOKUP(D17,RUC!$B$3:$B$123,RUC!$F$3:$F$123)</f>
        <v>120</v>
      </c>
      <c r="V17" s="715">
        <v>1.1023000000000001</v>
      </c>
      <c r="Y17">
        <f>_xlfn.XLOOKUP(D17,RUC!$B$3:$B$123,RUC!$G$3:$G$123)</f>
        <v>20</v>
      </c>
      <c r="Z17" s="143">
        <f>_xlfn.XLOOKUP(D17,RUC!$B$3:$B$123,RUC!$H$3:$H$123)</f>
        <v>30</v>
      </c>
      <c r="AA17" s="144">
        <f t="shared" ref="AA17:AA74" si="31">+Y17+Z17</f>
        <v>50</v>
      </c>
      <c r="AB17" s="145">
        <f t="shared" si="25"/>
        <v>281.49536511600007</v>
      </c>
      <c r="AC17" s="145">
        <f>+(S17-T17)*V17-'data 1'!$F$4</f>
        <v>30.230000000000004</v>
      </c>
      <c r="AD17" s="145">
        <f>+(Q17-P17)*(R17-U17)*L17*V17/100</f>
        <v>83.491905309126025</v>
      </c>
      <c r="AE17" s="145">
        <f>+(Y17*V17-70)+V17*(Z17-IF(D17="UNTUCA",IF(+((W17-3)*2.5+(X17-3)*3.1)&gt;0,+((W17-3)*1.5+(X17-3)*3.1),0),IF(+((W17-3)*1.5+(X17-3)*3.1)&gt;0,+((W17-3)*1.5+(X17-3)*3.1),0)))</f>
        <v>-14.884999999999998</v>
      </c>
      <c r="AF17" s="145">
        <f>(L17-O17)*(R17-U17)*Q17*V17/100</f>
        <v>95.429701180077032</v>
      </c>
      <c r="AG17" s="772">
        <f t="shared" ref="AG17" si="32">AC17+AD17+AE17+AF17+70-53</f>
        <v>211.26660648920307</v>
      </c>
      <c r="AH17" s="1253">
        <f>ROUND((31.1035*L17*Q17*1.1023*K17/100),3)</f>
        <v>16.704999999999998</v>
      </c>
      <c r="AI17" s="1253">
        <f>ROUND((31.1035*L17*1.1023*K17),3)</f>
        <v>18.036000000000001</v>
      </c>
      <c r="AJ17" s="156">
        <f>+((+$AJ$2-R17+U17)*L17*Q17*V17)/100</f>
        <v>-2.4350684651260228</v>
      </c>
      <c r="AK17" s="156">
        <f>31.1035*1.1023*K17*P17*O17/100</f>
        <v>12.181900085579841</v>
      </c>
      <c r="AM17" s="716">
        <f>+IF(AB17*K17&gt;0,AB17*K17,0)</f>
        <v>1213.8080143801924</v>
      </c>
      <c r="AN17" s="716" t="str">
        <f>_xlfn.XLOOKUP(D17,RUC!$B$3:$B$578,RUC!$M$3:$M$578)</f>
        <v xml:space="preserve">Dante </v>
      </c>
      <c r="AO17" s="1167" t="s">
        <v>2280</v>
      </c>
      <c r="AP17" t="s">
        <v>3672</v>
      </c>
      <c r="AQ17" t="s">
        <v>3562</v>
      </c>
      <c r="AV17" s="1557" t="s">
        <v>2520</v>
      </c>
      <c r="AW17" s="703">
        <f t="shared" si="18"/>
        <v>0</v>
      </c>
      <c r="AX17" s="703" cm="1">
        <f t="array" ref="AX17">+SUMPRODUCT(IF($AO$4:$AO$467=AV17,$L$4:$L$467*$K$4:$K$467/AW17))</f>
        <v>0</v>
      </c>
      <c r="AY17" s="1215">
        <f t="shared" si="19"/>
        <v>0</v>
      </c>
      <c r="AZ17" s="596" cm="1">
        <f t="array" ref="AZ17">+SUMPRODUCT(IF('41'!$AO$4:$AO$359=AV17,('41'!$Q$4:$Q$359*'41'!$AH$4:$AH$359)/SUMIF('41'!$AO$4:$AO$359,#REF!,'41'!$AH$4:$AH$359)))</f>
        <v>0</v>
      </c>
      <c r="BA17" s="1237">
        <f t="shared" si="20"/>
        <v>0</v>
      </c>
      <c r="BB17" s="1237">
        <f t="shared" ca="1" si="21"/>
        <v>0</v>
      </c>
      <c r="BC17" s="596">
        <f t="shared" ca="1" si="23"/>
        <v>539.51048534586607</v>
      </c>
      <c r="BD17" s="1238">
        <f t="shared" si="24"/>
        <v>599.89400000000001</v>
      </c>
    </row>
    <row r="18" spans="1:56" ht="15" customHeight="1" thickBot="1">
      <c r="A18" s="747" t="s">
        <v>4756</v>
      </c>
      <c r="B18" s="1447">
        <v>46076</v>
      </c>
      <c r="C18" s="1447">
        <v>46063</v>
      </c>
      <c r="D18" t="s">
        <v>1967</v>
      </c>
      <c r="E18" s="762">
        <f>_xlfn.XLOOKUP(D18,RUC!$B$3:$B$123,RUC!$D$3:$D$123)</f>
        <v>20601769396</v>
      </c>
      <c r="G18" s="762">
        <v>45</v>
      </c>
      <c r="H18" s="762" t="s">
        <v>69</v>
      </c>
      <c r="I18" s="703">
        <v>3.56</v>
      </c>
      <c r="J18" s="596">
        <v>15.2</v>
      </c>
      <c r="K18" s="703">
        <f t="shared" si="0"/>
        <v>3.0190000000000001</v>
      </c>
      <c r="L18" s="1192">
        <v>0.125</v>
      </c>
      <c r="M18" s="994">
        <f t="shared" si="15"/>
        <v>0.106</v>
      </c>
      <c r="N18" s="1196">
        <f t="shared" si="28"/>
        <v>0.106</v>
      </c>
      <c r="O18" s="645">
        <f t="shared" si="30"/>
        <v>0.106</v>
      </c>
      <c r="P18" s="727">
        <v>68</v>
      </c>
      <c r="Q18" s="1583">
        <v>69.199999999999989</v>
      </c>
      <c r="R18" s="706">
        <v>5031.3999999999996</v>
      </c>
      <c r="S18" s="765">
        <f>IF((_xlfn.XLOOKUP(D18,RUC!$B$3:$B$119,RUC!$E$3:$E$119)+ROUNDDOWN(O18,1)*100)&lt;95,95,((_xlfn.XLOOKUP(D18,RUC!$B$3:$B$119,RUC!$E$3:$E$119)+ROUNDDOWN(O18,1)*100)))</f>
        <v>100</v>
      </c>
      <c r="U18" s="1146">
        <f>_xlfn.XLOOKUP(D18,RUC!$B$3:$B$123,RUC!$F$3:$F$123)</f>
        <v>120</v>
      </c>
      <c r="V18" s="715">
        <v>1.1023000000000001</v>
      </c>
      <c r="Y18">
        <f>_xlfn.XLOOKUP(D18,RUC!$B$3:$B$123,RUC!$G$3:$G$123)</f>
        <v>20</v>
      </c>
      <c r="Z18" s="1454">
        <v>80</v>
      </c>
      <c r="AA18" s="144">
        <f t="shared" si="31"/>
        <v>100</v>
      </c>
      <c r="AB18" s="145">
        <f t="shared" si="25"/>
        <v>169.76931473760001</v>
      </c>
      <c r="AC18" s="145">
        <f>+(S18-T18)*V18-'data 1'!$F$4</f>
        <v>30.230000000000004</v>
      </c>
      <c r="AD18" s="145">
        <f>+(Q18-P18)*(R18-U18)*L18*V18/100</f>
        <v>8.1207543299999241</v>
      </c>
      <c r="AE18" s="145">
        <f>+(Y18*V18-70)+V18*(Z18-IF(D18="UNTUCA",IF(+((W18-3)*2.5+(X18-3)*3.1)&gt;0,+((W18-3)*1.5+(X18-3)*3.1),0),IF(+((W18-3)*1.5+(X18-3)*3.1)&gt;0,+((W18-3)*1.5+(X18-3)*3.1),0)))</f>
        <v>40.229999999999997</v>
      </c>
      <c r="AF18" s="145">
        <f>(L18-O18)*(R18-U18)*Q18*V18/100</f>
        <v>71.181118620559999</v>
      </c>
      <c r="AG18" s="772">
        <f t="shared" ref="AG18" si="33">AC18+AD18+AE18+AF18+70-10</f>
        <v>209.76187295055993</v>
      </c>
      <c r="AH18" s="1253">
        <f>ROUND((31.1035*L18*Q18*1.1023*K18/100),3)</f>
        <v>8.9529999999999994</v>
      </c>
      <c r="AI18" s="1253">
        <f>ROUND((31.1035*L18*1.1023*K18),3)</f>
        <v>12.938000000000001</v>
      </c>
      <c r="AJ18" s="156">
        <f>+((+$AJ$2-R18+U18)*L18*Q18*V18)/100</f>
        <v>-1.0869780299999652</v>
      </c>
      <c r="AK18" s="156">
        <f>31.1035*1.1023*K18*P18*O18/100</f>
        <v>7.4608268365742365</v>
      </c>
      <c r="AM18" s="716">
        <f>+IF(AB18*K18&gt;0,AB18*K18,0)</f>
        <v>512.53356119281443</v>
      </c>
      <c r="AN18" s="716" t="str">
        <f>_xlfn.XLOOKUP(D18,RUC!$B$3:$B$578,RUC!$M$3:$M$578)</f>
        <v>Evelyn</v>
      </c>
      <c r="AO18" s="1167" t="s">
        <v>2280</v>
      </c>
      <c r="AP18" t="s">
        <v>3853</v>
      </c>
      <c r="AQ18" t="s">
        <v>4763</v>
      </c>
      <c r="AR18" s="1674" t="s">
        <v>4765</v>
      </c>
      <c r="AV18" s="1558" t="s">
        <v>2521</v>
      </c>
      <c r="AW18" s="1254">
        <f t="shared" si="18"/>
        <v>0</v>
      </c>
      <c r="AX18" s="1254" cm="1">
        <f t="array" ref="AX18">+SUMPRODUCT(IF('41'!$AO$4:$AO$359=AV18,'41'!$L$4:$L$359*'41'!$K$4:$K$359/AW18))</f>
        <v>0</v>
      </c>
      <c r="AY18" s="1241">
        <f t="shared" si="19"/>
        <v>0</v>
      </c>
      <c r="AZ18" s="1242" cm="1">
        <f t="array" ref="AZ18">+SUMPRODUCT(IF('41'!$AO$4:$AO$359=AV18,('41'!$Q$4:$Q$359*'41'!$AH$4:$AH$359)/SUMIF('41'!$AO$4:$AO$359,#REF!,'41'!$AH$4:$AH$359)))</f>
        <v>0</v>
      </c>
      <c r="BA18" s="1243">
        <f t="shared" si="20"/>
        <v>0</v>
      </c>
      <c r="BB18" s="1243">
        <f>SUMIF($AO$4:$AO$4,$AV18,$AH$4:$AH$4)</f>
        <v>0</v>
      </c>
      <c r="BC18" s="1242">
        <f t="shared" ca="1" si="23"/>
        <v>539.51048534586607</v>
      </c>
      <c r="BD18" s="1436">
        <f t="shared" si="24"/>
        <v>599.89400000000001</v>
      </c>
    </row>
    <row r="19" spans="1:56" ht="15" customHeight="1">
      <c r="A19" s="747" t="s">
        <v>4815</v>
      </c>
      <c r="B19" s="1447">
        <v>46075</v>
      </c>
      <c r="C19" s="1447">
        <v>46069</v>
      </c>
      <c r="D19" t="s">
        <v>2004</v>
      </c>
      <c r="E19" s="762">
        <f>_xlfn.XLOOKUP(D19,RUC!$B$3:$B$123,RUC!$D$3:$D$123)</f>
        <v>20612921866</v>
      </c>
      <c r="G19" s="1082">
        <v>50</v>
      </c>
      <c r="H19" s="762" t="s">
        <v>69</v>
      </c>
      <c r="I19" s="703">
        <v>5.27</v>
      </c>
      <c r="J19" s="596">
        <v>2.1</v>
      </c>
      <c r="K19" s="703">
        <f t="shared" si="0"/>
        <v>5.1589999999999998</v>
      </c>
      <c r="L19" s="1192">
        <v>0.121</v>
      </c>
      <c r="M19" s="994">
        <f t="shared" si="15"/>
        <v>0.10199999999999999</v>
      </c>
      <c r="N19" s="1196">
        <f t="shared" ref="N19:N25" si="34">+M19</f>
        <v>0.10199999999999999</v>
      </c>
      <c r="O19" s="645">
        <f t="shared" ref="O19:O74" si="35">+ROUND((M19+N19)/2,3)</f>
        <v>0.10199999999999999</v>
      </c>
      <c r="P19" s="727">
        <v>90</v>
      </c>
      <c r="Q19" s="1476">
        <v>95.039999999999992</v>
      </c>
      <c r="R19" s="706">
        <v>4972.1000000000004</v>
      </c>
      <c r="S19" s="765">
        <f>IF((_xlfn.XLOOKUP(D19,RUC!$B$3:$B$119,RUC!$E$3:$E$119)+ROUNDDOWN(O19,1)*100)&lt;95,95,((_xlfn.XLOOKUP(D19,RUC!$B$3:$B$119,RUC!$E$3:$E$119)+ROUNDDOWN(O19,1)*100)))</f>
        <v>95</v>
      </c>
      <c r="U19" s="1146">
        <f>_xlfn.XLOOKUP(D19,RUC!$B$3:$B$123,RUC!$F$3:$F$123)</f>
        <v>100</v>
      </c>
      <c r="V19" s="715">
        <v>1.1023000000000001</v>
      </c>
      <c r="Y19">
        <f>_xlfn.XLOOKUP(D19,RUC!$B$3:$B$123,RUC!$G$3:$G$123)</f>
        <v>0</v>
      </c>
      <c r="Z19" s="143">
        <f>_xlfn.XLOOKUP(D19,RUC!$B$3:$B$123,RUC!$H$3:$H$123)</f>
        <v>30</v>
      </c>
      <c r="AA19" s="144">
        <f t="shared" si="31"/>
        <v>30</v>
      </c>
      <c r="AB19" s="145">
        <f t="shared" si="25"/>
        <v>355.22585319400008</v>
      </c>
      <c r="AC19" s="145">
        <f>+(S19-T19)*V19-'data 1'!$F$4</f>
        <v>24.718500000000006</v>
      </c>
      <c r="AD19" s="145">
        <f t="shared" ref="AD19:AD78" si="36">+(Q19-P19)*(R19-U19)*L19*V19/100</f>
        <v>32.751553737671948</v>
      </c>
      <c r="AE19" s="145">
        <f t="shared" ref="AE19:AE78" si="37">+(Y19*V19-70)+V19*(Z19-IF(D19="UNTUCA",IF(+((W19-3)*2.5+(X19-3)*3.1)&gt;0,+((W19-3)*1.5+(X19-3)*3.1),0),IF(+((W19-3)*1.5+(X19-3)*3.1)&gt;0,+((W19-3)*1.5+(X19-3)*3.1),0)))</f>
        <v>-36.930999999999997</v>
      </c>
      <c r="AF19" s="145">
        <f t="shared" ref="AF19:AF78" si="38">(L19-O19)*(R19-U19)*Q19*V19/100</f>
        <v>96.978626651808014</v>
      </c>
      <c r="AG19" s="772">
        <f t="shared" ref="AG19:AG20" si="39">AC19+AD19+AE19+AF19+70-10</f>
        <v>177.51768038947998</v>
      </c>
      <c r="AH19" s="1253">
        <f t="shared" ref="AH19:AH78" si="40">ROUND((31.1035*L19*Q19*1.1023*K19/100),3)</f>
        <v>20.341000000000001</v>
      </c>
      <c r="AI19" s="1253">
        <f t="shared" ref="AI19:AI78" si="41">ROUND((31.1035*L19*1.1023*K19),3)</f>
        <v>21.402000000000001</v>
      </c>
      <c r="AJ19" s="156">
        <f t="shared" ref="AJ19:AJ75" si="42">+((+$AJ$2-R19+U19)*L19*Q19*V19)/100</f>
        <v>3.5366803433279532</v>
      </c>
      <c r="AK19" s="156">
        <f t="shared" ref="AK19:AK78" si="43">31.1035*1.1023*K19*P19*O19/100</f>
        <v>16.237429496005408</v>
      </c>
      <c r="AM19" s="716">
        <f t="shared" ref="AM19:AM78" si="44">+IF(AB19*K19&gt;0,AB19*K19,0)</f>
        <v>1832.6101766278464</v>
      </c>
      <c r="AN19" s="716" t="str">
        <f>_xlfn.XLOOKUP(D19,RUC!$B$3:$B$578,RUC!$M$3:$M$578)</f>
        <v>Ronald Garibay</v>
      </c>
      <c r="AO19" s="1167" t="s">
        <v>2280</v>
      </c>
      <c r="AP19" t="s">
        <v>4819</v>
      </c>
      <c r="AQ19" t="s">
        <v>4820</v>
      </c>
      <c r="AV19" s="1637"/>
      <c r="AW19" s="1234"/>
      <c r="AX19" s="1234"/>
      <c r="AY19" s="1235"/>
      <c r="AZ19" s="1236"/>
      <c r="BA19" s="1237"/>
      <c r="BB19" s="1237"/>
      <c r="BC19" s="1236"/>
      <c r="BD19" s="729"/>
    </row>
    <row r="20" spans="1:56" ht="15" customHeight="1">
      <c r="A20" s="747" t="s">
        <v>4816</v>
      </c>
      <c r="B20" s="1447">
        <v>46075</v>
      </c>
      <c r="C20" s="1447">
        <v>46069</v>
      </c>
      <c r="D20" t="s">
        <v>2004</v>
      </c>
      <c r="E20" s="762">
        <f>_xlfn.XLOOKUP(D20,RUC!$B$3:$B$123,RUC!$D$3:$D$123)</f>
        <v>20612921866</v>
      </c>
      <c r="G20" s="1082">
        <v>50</v>
      </c>
      <c r="H20" s="762" t="s">
        <v>69</v>
      </c>
      <c r="I20" s="703">
        <v>5.3</v>
      </c>
      <c r="J20" s="596">
        <v>2.2000000000000002</v>
      </c>
      <c r="K20" s="703">
        <f t="shared" si="0"/>
        <v>5.1829999999999998</v>
      </c>
      <c r="L20" s="1192">
        <v>0.13400000000000001</v>
      </c>
      <c r="M20" s="994">
        <f t="shared" si="15"/>
        <v>0.115</v>
      </c>
      <c r="N20" s="1196">
        <f t="shared" si="34"/>
        <v>0.115</v>
      </c>
      <c r="O20" s="645">
        <f t="shared" si="35"/>
        <v>0.115</v>
      </c>
      <c r="P20" s="727">
        <v>90</v>
      </c>
      <c r="Q20" s="1476">
        <v>97.01</v>
      </c>
      <c r="R20" s="706">
        <v>4972.1000000000004</v>
      </c>
      <c r="S20" s="765">
        <f>IF((_xlfn.XLOOKUP(D20,RUC!$B$3:$B$119,RUC!$E$3:$E$119)+ROUNDDOWN(O20,1)*100)&lt;95,95,((_xlfn.XLOOKUP(D20,RUC!$B$3:$B$119,RUC!$E$3:$E$119)+ROUNDDOWN(O20,1)*100)))</f>
        <v>95</v>
      </c>
      <c r="U20" s="1146">
        <f>_xlfn.XLOOKUP(D20,RUC!$B$3:$B$123,RUC!$F$3:$F$123)</f>
        <v>100</v>
      </c>
      <c r="V20" s="715">
        <v>1.1023000000000001</v>
      </c>
      <c r="Y20">
        <f>_xlfn.XLOOKUP(D20,RUC!$B$3:$B$123,RUC!$G$3:$G$123)</f>
        <v>0</v>
      </c>
      <c r="Z20" s="143">
        <f>_xlfn.XLOOKUP(D20,RUC!$B$3:$B$123,RUC!$H$3:$H$123)</f>
        <v>30</v>
      </c>
      <c r="AA20" s="144">
        <f t="shared" si="31"/>
        <v>30</v>
      </c>
      <c r="AB20" s="145">
        <f t="shared" si="25"/>
        <v>418.06088840500007</v>
      </c>
      <c r="AC20" s="145">
        <f>+(S20-T20)*V20-'data 1'!$F$4</f>
        <v>24.718500000000006</v>
      </c>
      <c r="AD20" s="145">
        <f t="shared" si="36"/>
        <v>50.447403397522045</v>
      </c>
      <c r="AE20" s="145">
        <f t="shared" si="37"/>
        <v>-36.930999999999997</v>
      </c>
      <c r="AF20" s="145">
        <f t="shared" si="38"/>
        <v>98.988810726977022</v>
      </c>
      <c r="AG20" s="772">
        <f t="shared" si="39"/>
        <v>197.22371412449905</v>
      </c>
      <c r="AH20" s="1253">
        <f t="shared" si="40"/>
        <v>23.1</v>
      </c>
      <c r="AI20" s="1253">
        <f t="shared" si="41"/>
        <v>23.812000000000001</v>
      </c>
      <c r="AJ20" s="156">
        <f t="shared" si="42"/>
        <v>3.997839122477949</v>
      </c>
      <c r="AK20" s="156">
        <f t="shared" si="43"/>
        <v>18.392070708236027</v>
      </c>
      <c r="AM20" s="716">
        <f t="shared" si="44"/>
        <v>2166.8095846031151</v>
      </c>
      <c r="AN20" s="716" t="str">
        <f>_xlfn.XLOOKUP(D20,RUC!$B$3:$B$578,RUC!$M$3:$M$578)</f>
        <v>Ronald Garibay</v>
      </c>
      <c r="AO20" s="1167" t="s">
        <v>2278</v>
      </c>
      <c r="AP20" t="s">
        <v>4819</v>
      </c>
      <c r="AQ20" t="s">
        <v>4820</v>
      </c>
    </row>
    <row r="21" spans="1:56" ht="15" customHeight="1">
      <c r="A21" s="747" t="s">
        <v>4823</v>
      </c>
      <c r="B21" s="1447">
        <v>46077</v>
      </c>
      <c r="C21" s="1447">
        <v>46070</v>
      </c>
      <c r="D21" s="1681" t="s">
        <v>4171</v>
      </c>
      <c r="E21" s="762">
        <f>_xlfn.XLOOKUP(D21,RUC!$B$3:$B$123,RUC!$D$3:$D$123)</f>
        <v>20614284740</v>
      </c>
      <c r="G21" s="1082">
        <v>120</v>
      </c>
      <c r="H21" s="762" t="s">
        <v>69</v>
      </c>
      <c r="I21" s="703">
        <v>10.3</v>
      </c>
      <c r="J21" s="596">
        <v>4.0999999999999996</v>
      </c>
      <c r="K21" s="703">
        <f t="shared" si="0"/>
        <v>9.8780000000000001</v>
      </c>
      <c r="L21" s="1192">
        <v>0.125</v>
      </c>
      <c r="M21" s="994">
        <f t="shared" si="15"/>
        <v>0.106</v>
      </c>
      <c r="N21" s="1196">
        <f t="shared" si="34"/>
        <v>0.106</v>
      </c>
      <c r="O21" s="645">
        <f t="shared" si="35"/>
        <v>0.106</v>
      </c>
      <c r="P21" s="727">
        <v>80</v>
      </c>
      <c r="Q21" s="1476">
        <v>96.8</v>
      </c>
      <c r="R21" s="706">
        <v>4861.45</v>
      </c>
      <c r="S21" s="765">
        <f>IF((_xlfn.XLOOKUP(D21,RUC!$B$3:$B$119,RUC!$E$3:$E$119)+ROUNDDOWN(O21,1)*100)&lt;95,95,((_xlfn.XLOOKUP(D21,RUC!$B$3:$B$119,RUC!$E$3:$E$119)+ROUNDDOWN(O21,1)*100)))</f>
        <v>100</v>
      </c>
      <c r="U21" s="1146">
        <f>_xlfn.XLOOKUP(D21,RUC!$B$3:$B$123,RUC!$F$3:$F$123)</f>
        <v>120</v>
      </c>
      <c r="V21" s="715">
        <v>1.1023000000000001</v>
      </c>
      <c r="Y21">
        <f>_xlfn.XLOOKUP(D21,RUC!$B$3:$B$123,RUC!$G$3:$G$123)</f>
        <v>20</v>
      </c>
      <c r="Z21" s="143">
        <f>_xlfn.XLOOKUP(D21,RUC!$B$3:$B$123,RUC!$H$3:$H$123)</f>
        <v>30</v>
      </c>
      <c r="AA21" s="144">
        <f t="shared" si="31"/>
        <v>50</v>
      </c>
      <c r="AB21" s="145">
        <f t="shared" si="25"/>
        <v>277.86222840799996</v>
      </c>
      <c r="AC21" s="145">
        <f>+(S21-T21)*V21-'data 1'!$F$4</f>
        <v>30.230000000000004</v>
      </c>
      <c r="AD21" s="145">
        <f t="shared" si="36"/>
        <v>109.756507035</v>
      </c>
      <c r="AE21" s="145">
        <f t="shared" si="37"/>
        <v>-14.884999999999998</v>
      </c>
      <c r="AF21" s="145">
        <f t="shared" si="38"/>
        <v>96.125794161320016</v>
      </c>
      <c r="AG21" s="772">
        <f>AC21+AD21+AE21+AF21+70</f>
        <v>291.22730119632001</v>
      </c>
      <c r="AH21" s="1253">
        <f t="shared" si="40"/>
        <v>40.978999999999999</v>
      </c>
      <c r="AI21" s="1253">
        <f t="shared" si="41"/>
        <v>42.334000000000003</v>
      </c>
      <c r="AJ21" s="156">
        <f t="shared" si="42"/>
        <v>21.147129465000024</v>
      </c>
      <c r="AK21" s="156">
        <f t="shared" si="43"/>
        <v>28.719306155789919</v>
      </c>
      <c r="AM21" s="716">
        <f t="shared" si="44"/>
        <v>2744.7230922142235</v>
      </c>
      <c r="AN21" s="716" t="str">
        <f>_xlfn.XLOOKUP(D21,RUC!$B$3:$B$578,RUC!$M$3:$M$578)</f>
        <v xml:space="preserve">Dante </v>
      </c>
      <c r="AO21" s="1167" t="s">
        <v>2280</v>
      </c>
      <c r="AP21" t="s">
        <v>3565</v>
      </c>
      <c r="AQ21" t="s">
        <v>4700</v>
      </c>
    </row>
    <row r="22" spans="1:56" ht="15" customHeight="1">
      <c r="A22" s="747" t="s">
        <v>4824</v>
      </c>
      <c r="B22" s="1447">
        <v>46077</v>
      </c>
      <c r="C22" s="1447">
        <v>46070</v>
      </c>
      <c r="D22" s="1681" t="s">
        <v>4171</v>
      </c>
      <c r="E22" s="762">
        <f>_xlfn.XLOOKUP(D22,RUC!$B$3:$B$123,RUC!$D$3:$D$123)</f>
        <v>20614284740</v>
      </c>
      <c r="G22" s="1082">
        <v>165</v>
      </c>
      <c r="H22" s="762" t="s">
        <v>69</v>
      </c>
      <c r="I22" s="703">
        <v>14.28</v>
      </c>
      <c r="J22" s="596">
        <v>5</v>
      </c>
      <c r="K22" s="703">
        <f t="shared" si="0"/>
        <v>13.566000000000001</v>
      </c>
      <c r="L22" s="1192">
        <v>0.12</v>
      </c>
      <c r="M22" s="994">
        <f t="shared" si="15"/>
        <v>0.10100000000000001</v>
      </c>
      <c r="N22" s="1196">
        <f t="shared" si="34"/>
        <v>0.10100000000000001</v>
      </c>
      <c r="O22" s="645">
        <f t="shared" si="35"/>
        <v>0.10100000000000001</v>
      </c>
      <c r="P22" s="727">
        <v>80</v>
      </c>
      <c r="Q22" s="1476">
        <v>95.83</v>
      </c>
      <c r="R22" s="706">
        <v>4861.45</v>
      </c>
      <c r="S22" s="765">
        <f>IF((_xlfn.XLOOKUP(D22,RUC!$B$3:$B$119,RUC!$E$3:$E$119)+ROUNDDOWN(O22,1)*100)&lt;95,95,((_xlfn.XLOOKUP(D22,RUC!$B$3:$B$119,RUC!$E$3:$E$119)+ROUNDDOWN(O22,1)*100)))</f>
        <v>100</v>
      </c>
      <c r="U22" s="1146">
        <f>_xlfn.XLOOKUP(D22,RUC!$B$3:$B$123,RUC!$F$3:$F$123)</f>
        <v>120</v>
      </c>
      <c r="V22" s="715">
        <v>1.1023000000000001</v>
      </c>
      <c r="Y22">
        <f>_xlfn.XLOOKUP(D22,RUC!$B$3:$B$123,RUC!$G$3:$G$123)</f>
        <v>20</v>
      </c>
      <c r="Z22" s="143">
        <f>_xlfn.XLOOKUP(D22,RUC!$B$3:$B$123,RUC!$H$3:$H$123)</f>
        <v>30</v>
      </c>
      <c r="AA22" s="144">
        <f t="shared" si="31"/>
        <v>50</v>
      </c>
      <c r="AB22" s="145">
        <f t="shared" si="25"/>
        <v>256.95622706799998</v>
      </c>
      <c r="AC22" s="145">
        <f>+(S22-T22)*V22-'data 1'!$F$4</f>
        <v>30.230000000000004</v>
      </c>
      <c r="AD22" s="145">
        <f t="shared" si="36"/>
        <v>99.282600363659981</v>
      </c>
      <c r="AE22" s="145">
        <f t="shared" si="37"/>
        <v>-14.884999999999998</v>
      </c>
      <c r="AF22" s="145">
        <f t="shared" si="38"/>
        <v>95.162550149579459</v>
      </c>
      <c r="AG22" s="772">
        <f>AC22+AD22+AE22+AF22+70</f>
        <v>279.7901505132395</v>
      </c>
      <c r="AH22" s="1253">
        <f t="shared" si="40"/>
        <v>53.485999999999997</v>
      </c>
      <c r="AI22" s="1253">
        <f t="shared" si="41"/>
        <v>55.814</v>
      </c>
      <c r="AJ22" s="156">
        <f t="shared" si="42"/>
        <v>20.097812396340021</v>
      </c>
      <c r="AK22" s="156">
        <f t="shared" si="43"/>
        <v>37.581338402333046</v>
      </c>
      <c r="AM22" s="716">
        <f t="shared" si="44"/>
        <v>3485.8681764044877</v>
      </c>
      <c r="AN22" s="716" t="str">
        <f>_xlfn.XLOOKUP(D22,RUC!$B$3:$B$578,RUC!$M$3:$M$578)</f>
        <v xml:space="preserve">Dante </v>
      </c>
      <c r="AO22" s="1167" t="s">
        <v>2279</v>
      </c>
      <c r="AP22" t="s">
        <v>4832</v>
      </c>
      <c r="AQ22" t="s">
        <v>4833</v>
      </c>
    </row>
    <row r="23" spans="1:56" ht="15" customHeight="1">
      <c r="A23" s="747" t="s">
        <v>4857</v>
      </c>
      <c r="B23" s="1447">
        <v>46077</v>
      </c>
      <c r="C23" s="1447">
        <v>46073</v>
      </c>
      <c r="D23" t="s">
        <v>119</v>
      </c>
      <c r="E23" s="762">
        <f>_xlfn.XLOOKUP(D23,RUC!$B$3:$B$123,RUC!$D$3:$D$123)</f>
        <v>10082235774</v>
      </c>
      <c r="G23" s="1082">
        <v>45</v>
      </c>
      <c r="H23" s="762" t="s">
        <v>69</v>
      </c>
      <c r="I23" s="703">
        <v>3.79</v>
      </c>
      <c r="J23" s="596">
        <v>5.65</v>
      </c>
      <c r="K23" s="703">
        <f t="shared" si="0"/>
        <v>3.5760000000000001</v>
      </c>
      <c r="L23" s="1192">
        <v>0.13400000000000001</v>
      </c>
      <c r="M23" s="994">
        <f t="shared" si="15"/>
        <v>0.127</v>
      </c>
      <c r="N23" s="1196">
        <f t="shared" si="34"/>
        <v>0.127</v>
      </c>
      <c r="O23" s="645">
        <f t="shared" si="35"/>
        <v>0.127</v>
      </c>
      <c r="P23" s="727">
        <v>85</v>
      </c>
      <c r="Q23" s="1476">
        <v>90.3</v>
      </c>
      <c r="R23" s="706">
        <v>5053.2</v>
      </c>
      <c r="S23" s="1164">
        <f>IF((_xlfn.XLOOKUP(D23,RUC!$B$3:$B$119,RUC!$E$3:$E$119)+ROUNDDOWN(O23,1)*100)&lt;95,95,((_xlfn.XLOOKUP(D23,RUC!$B$3:$B$119,RUC!$E$3:$E$119)+ROUNDDOWN(O23,1)*100)))</f>
        <v>95</v>
      </c>
      <c r="U23" s="1146">
        <f>_xlfn.XLOOKUP(D23,RUC!$B$3:$B$123,RUC!$F$3:$F$123)</f>
        <v>80</v>
      </c>
      <c r="V23" s="715">
        <v>1.1023000000000001</v>
      </c>
      <c r="Y23">
        <f>_xlfn.XLOOKUP(D23,RUC!$B$3:$B$123,RUC!$G$3:$G$123)</f>
        <v>0</v>
      </c>
      <c r="Z23" s="143">
        <f>_xlfn.XLOOKUP(D23,RUC!$B$3:$B$123,RUC!$H$3:$H$123)</f>
        <v>10</v>
      </c>
      <c r="AA23" s="144">
        <f t="shared" si="31"/>
        <v>10</v>
      </c>
      <c r="AB23" s="145">
        <f t="shared" ref="AB23:AB82" si="45">+((O23*P23*(R23-U23)/100)-S23-AA23+T23)*V23</f>
        <v>476.03590496200002</v>
      </c>
      <c r="AC23" s="145">
        <f>+(S23-T23)*V23-'data 1'!$F$4</f>
        <v>24.718500000000006</v>
      </c>
      <c r="AD23" s="145">
        <f t="shared" si="36"/>
        <v>38.932868272719986</v>
      </c>
      <c r="AE23" s="145">
        <f t="shared" si="37"/>
        <v>-58.977000000000004</v>
      </c>
      <c r="AF23" s="145">
        <f t="shared" si="38"/>
        <v>34.651458793560032</v>
      </c>
      <c r="AG23" s="772">
        <f>AC23+AD23+AE23+AF23+70</f>
        <v>109.32582706628003</v>
      </c>
      <c r="AH23" s="1253">
        <f t="shared" si="40"/>
        <v>14.835000000000001</v>
      </c>
      <c r="AI23" s="1253">
        <f t="shared" si="41"/>
        <v>16.428999999999998</v>
      </c>
      <c r="AJ23" s="156">
        <f t="shared" si="42"/>
        <v>-9.7634529367199772</v>
      </c>
      <c r="AK23" s="156">
        <f t="shared" si="43"/>
        <v>13.23516092063106</v>
      </c>
      <c r="AM23" s="716">
        <f t="shared" si="44"/>
        <v>1702.3043961441122</v>
      </c>
      <c r="AN23" s="716" t="str">
        <f>_xlfn.XLOOKUP(D23,RUC!$B$3:$B$578,RUC!$M$3:$M$578)</f>
        <v>Melchor Vera</v>
      </c>
      <c r="AO23" s="1167" t="s">
        <v>2278</v>
      </c>
      <c r="AP23" s="1682" t="s">
        <v>4860</v>
      </c>
      <c r="AQ23" s="1682" t="s">
        <v>4861</v>
      </c>
    </row>
    <row r="24" spans="1:56" ht="15" customHeight="1">
      <c r="A24" s="747" t="s">
        <v>4863</v>
      </c>
      <c r="B24" s="1447">
        <v>46080</v>
      </c>
      <c r="C24" s="1447">
        <v>46075</v>
      </c>
      <c r="D24" t="s">
        <v>1484</v>
      </c>
      <c r="E24" s="762">
        <f>_xlfn.XLOOKUP(D24,RUC!$B$3:$B$123,RUC!$D$3:$D$123)</f>
        <v>10761932735</v>
      </c>
      <c r="G24" s="1082">
        <v>203</v>
      </c>
      <c r="H24" s="762" t="s">
        <v>69</v>
      </c>
      <c r="I24" s="703">
        <v>21.22</v>
      </c>
      <c r="J24" s="596">
        <v>9.3000000000000007</v>
      </c>
      <c r="K24" s="703">
        <f t="shared" si="0"/>
        <v>19.247</v>
      </c>
      <c r="L24" s="762">
        <v>0.14099999999999999</v>
      </c>
      <c r="M24" s="994">
        <f>+L24-0.035</f>
        <v>0.10599999999999998</v>
      </c>
      <c r="N24" s="1444">
        <v>0.16200000000000001</v>
      </c>
      <c r="O24" s="645">
        <f t="shared" si="35"/>
        <v>0.13400000000000001</v>
      </c>
      <c r="P24" s="727">
        <v>85</v>
      </c>
      <c r="Q24" s="1476">
        <v>97.87</v>
      </c>
      <c r="R24" s="706">
        <v>5191.3999999999996</v>
      </c>
      <c r="S24" s="765">
        <f>IF((_xlfn.XLOOKUP(D24,RUC!$B$3:$B$119,RUC!$E$3:$E$119)+ROUNDDOWN(O24,1)*100)&lt;95,95,((_xlfn.XLOOKUP(D24,RUC!$B$3:$B$119,RUC!$E$3:$E$119)+ROUNDDOWN(O24,1)*100)))</f>
        <v>100</v>
      </c>
      <c r="U24" s="1146">
        <f>_xlfn.XLOOKUP(D24,RUC!$B$3:$B$123,RUC!$F$3:$F$123)</f>
        <v>120</v>
      </c>
      <c r="V24" s="715">
        <v>1.1023000000000001</v>
      </c>
      <c r="Y24">
        <f>_xlfn.XLOOKUP(D24,RUC!$B$3:$B$123,RUC!$G$3:$G$123)</f>
        <v>20</v>
      </c>
      <c r="Z24" s="143">
        <f>_xlfn.XLOOKUP(D24,RUC!$B$3:$B$123,RUC!$H$3:$H$123)</f>
        <v>30</v>
      </c>
      <c r="AA24" s="144">
        <f t="shared" si="31"/>
        <v>50</v>
      </c>
      <c r="AB24" s="145">
        <f t="shared" si="45"/>
        <v>471.37926065800008</v>
      </c>
      <c r="AC24" s="145">
        <f>+(S24-T24)*V24-'data 1'!$F$4</f>
        <v>30.230000000000004</v>
      </c>
      <c r="AD24" s="145">
        <f t="shared" si="36"/>
        <v>101.44375891907403</v>
      </c>
      <c r="AE24" s="145">
        <f t="shared" si="37"/>
        <v>-14.884999999999998</v>
      </c>
      <c r="AF24" s="145">
        <f t="shared" si="38"/>
        <v>38.297930090797884</v>
      </c>
      <c r="AG24" s="772">
        <f t="shared" ref="AG24:AG26" si="46">AC24+AD24+AE24+AF24+70-53</f>
        <v>172.08668900987192</v>
      </c>
      <c r="AH24" s="1253">
        <f t="shared" si="40"/>
        <v>91.063000000000002</v>
      </c>
      <c r="AI24" s="1253">
        <f t="shared" si="41"/>
        <v>93.045000000000002</v>
      </c>
      <c r="AJ24" s="156">
        <f t="shared" si="42"/>
        <v>-26.072298877073944</v>
      </c>
      <c r="AK24" s="156">
        <f t="shared" si="43"/>
        <v>75.161569386632067</v>
      </c>
      <c r="AM24" s="716">
        <f t="shared" si="44"/>
        <v>9072.6366298845278</v>
      </c>
      <c r="AN24" s="716" t="str">
        <f>_xlfn.XLOOKUP(D24,RUC!$B$3:$B$578,RUC!$M$3:$M$578)</f>
        <v>Richard Sapacayo</v>
      </c>
      <c r="AO24" s="1167" t="s">
        <v>2278</v>
      </c>
      <c r="AP24" t="s">
        <v>4868</v>
      </c>
      <c r="AQ24" t="s">
        <v>4869</v>
      </c>
      <c r="BA24" s="1482"/>
    </row>
    <row r="25" spans="1:56" ht="15" customHeight="1" thickBot="1">
      <c r="A25" s="747" t="s">
        <v>4864</v>
      </c>
      <c r="B25" s="1447">
        <v>46080</v>
      </c>
      <c r="C25" s="1447">
        <v>46075</v>
      </c>
      <c r="D25" t="s">
        <v>1484</v>
      </c>
      <c r="E25" s="762">
        <f>_xlfn.XLOOKUP(D25,RUC!$B$3:$B$123,RUC!$D$3:$D$123)</f>
        <v>10761932735</v>
      </c>
      <c r="G25" s="1082">
        <v>64</v>
      </c>
      <c r="H25" s="762" t="s">
        <v>69</v>
      </c>
      <c r="I25" s="703">
        <v>6.53</v>
      </c>
      <c r="J25" s="596">
        <v>9</v>
      </c>
      <c r="K25" s="703">
        <f t="shared" si="0"/>
        <v>5.9420000000000002</v>
      </c>
      <c r="L25" s="762">
        <v>0.14399999999999999</v>
      </c>
      <c r="M25" s="994">
        <f>+L25-0.035</f>
        <v>0.10899999999999999</v>
      </c>
      <c r="N25" s="1196">
        <f t="shared" si="34"/>
        <v>0.10899999999999999</v>
      </c>
      <c r="O25" s="645">
        <f t="shared" si="35"/>
        <v>0.109</v>
      </c>
      <c r="P25" s="727">
        <v>80</v>
      </c>
      <c r="Q25" s="1476">
        <v>98.61</v>
      </c>
      <c r="R25" s="706">
        <v>5191.3999999999996</v>
      </c>
      <c r="S25" s="765">
        <f>IF((_xlfn.XLOOKUP(D25,RUC!$B$3:$B$119,RUC!$E$3:$E$119)+ROUNDDOWN(O25,1)*100)&lt;95,95,((_xlfn.XLOOKUP(D25,RUC!$B$3:$B$119,RUC!$E$3:$E$119)+ROUNDDOWN(O25,1)*100)))</f>
        <v>100</v>
      </c>
      <c r="U25" s="1146">
        <f>_xlfn.XLOOKUP(D25,RUC!$B$3:$B$123,RUC!$F$3:$F$123)</f>
        <v>120</v>
      </c>
      <c r="V25" s="715">
        <v>1.1023000000000001</v>
      </c>
      <c r="Y25">
        <f>_xlfn.XLOOKUP(D25,RUC!$B$3:$B$123,RUC!$G$3:$G$123)</f>
        <v>20</v>
      </c>
      <c r="Z25" s="143">
        <f>_xlfn.XLOOKUP(D25,RUC!$B$3:$B$123,RUC!$H$3:$H$123)</f>
        <v>30</v>
      </c>
      <c r="AA25" s="144">
        <f t="shared" si="31"/>
        <v>50</v>
      </c>
      <c r="AB25" s="145">
        <f t="shared" si="45"/>
        <v>322.12080798400007</v>
      </c>
      <c r="AC25" s="145">
        <f>+(S25-T25)*V25-'data 1'!$F$4</f>
        <v>30.230000000000004</v>
      </c>
      <c r="AD25" s="145">
        <f t="shared" si="36"/>
        <v>149.808528769248</v>
      </c>
      <c r="AE25" s="145">
        <f t="shared" si="37"/>
        <v>-14.884999999999998</v>
      </c>
      <c r="AF25" s="145">
        <f t="shared" si="38"/>
        <v>192.93751334696992</v>
      </c>
      <c r="AG25" s="772">
        <f t="shared" si="46"/>
        <v>375.09104211621792</v>
      </c>
      <c r="AH25" s="1253">
        <f t="shared" si="40"/>
        <v>28.928000000000001</v>
      </c>
      <c r="AI25" s="1253">
        <f t="shared" si="41"/>
        <v>29.335999999999999</v>
      </c>
      <c r="AJ25" s="156">
        <f t="shared" si="42"/>
        <v>-26.828356945247943</v>
      </c>
      <c r="AK25" s="156">
        <f t="shared" si="43"/>
        <v>17.764713249158319</v>
      </c>
      <c r="AM25" s="716">
        <f t="shared" si="44"/>
        <v>1914.0418410409284</v>
      </c>
      <c r="AN25" s="716" t="str">
        <f>_xlfn.XLOOKUP(D25,RUC!$B$3:$B$578,RUC!$M$3:$M$578)</f>
        <v>Richard Sapacayo</v>
      </c>
      <c r="AO25" s="1167" t="s">
        <v>2277</v>
      </c>
      <c r="AP25" t="s">
        <v>4868</v>
      </c>
      <c r="AQ25" t="s">
        <v>4869</v>
      </c>
      <c r="BA25" s="1482"/>
    </row>
    <row r="26" spans="1:56" ht="15" customHeight="1" thickBot="1">
      <c r="A26" s="747" t="s">
        <v>4865</v>
      </c>
      <c r="B26" s="1447">
        <v>46083</v>
      </c>
      <c r="C26" s="1447">
        <v>46076</v>
      </c>
      <c r="D26" t="s">
        <v>2004</v>
      </c>
      <c r="E26" s="762">
        <f>_xlfn.XLOOKUP(D26,RUC!$B$3:$B$123,RUC!$D$3:$D$123)</f>
        <v>20612921866</v>
      </c>
      <c r="G26" s="1082" t="s">
        <v>2985</v>
      </c>
      <c r="H26" s="762" t="s">
        <v>69</v>
      </c>
      <c r="I26" s="703">
        <v>18.22</v>
      </c>
      <c r="J26" s="596">
        <v>2.1</v>
      </c>
      <c r="K26" s="703">
        <f t="shared" si="0"/>
        <v>17.837</v>
      </c>
      <c r="L26" s="762">
        <v>0.14099999999999999</v>
      </c>
      <c r="M26" s="994">
        <f t="shared" ref="M26:M69" si="47">ROUND(+IF(AN26="Melchor Vera",IF(L26&gt;0.467,L26*0.985,(L26-0.007)),IF(L26&gt;0.3,L26*0.94,(L26-0.019))),3)</f>
        <v>0.122</v>
      </c>
      <c r="N26" s="1444">
        <v>0.21299999999999999</v>
      </c>
      <c r="O26" s="645">
        <f t="shared" si="35"/>
        <v>0.16800000000000001</v>
      </c>
      <c r="P26" s="727">
        <v>90</v>
      </c>
      <c r="Q26" s="1476">
        <v>98.58</v>
      </c>
      <c r="R26" s="706">
        <v>5191.3999999999996</v>
      </c>
      <c r="S26" s="765">
        <f>IF((_xlfn.XLOOKUP(D26,RUC!$B$3:$B$119,RUC!$E$3:$E$119)+ROUNDDOWN(O26,1)*100)&lt;95,95,((_xlfn.XLOOKUP(D26,RUC!$B$3:$B$119,RUC!$E$3:$E$119)+ROUNDDOWN(O26,1)*100)))</f>
        <v>95</v>
      </c>
      <c r="U26" s="1146">
        <f>_xlfn.XLOOKUP(D26,RUC!$B$3:$B$123,RUC!$F$3:$F$123)</f>
        <v>100</v>
      </c>
      <c r="V26" s="715">
        <v>1.1023000000000001</v>
      </c>
      <c r="Y26">
        <f>_xlfn.XLOOKUP(D26,RUC!$B$3:$B$123,RUC!$G$3:$G$123)</f>
        <v>0</v>
      </c>
      <c r="Z26" s="143">
        <f>_xlfn.XLOOKUP(D26,RUC!$B$3:$B$123,RUC!$H$3:$H$123)</f>
        <v>30</v>
      </c>
      <c r="AA26" s="144">
        <f t="shared" si="31"/>
        <v>30</v>
      </c>
      <c r="AB26" s="145">
        <f t="shared" si="45"/>
        <v>710.78473326400001</v>
      </c>
      <c r="AC26" s="145">
        <f>+(S26-T26)*V26-'data 1'!$F$4</f>
        <v>24.718500000000006</v>
      </c>
      <c r="AD26" s="145">
        <f t="shared" si="36"/>
        <v>67.895880711515971</v>
      </c>
      <c r="AE26" s="145">
        <f t="shared" si="37"/>
        <v>-36.930999999999997</v>
      </c>
      <c r="AF26" s="145">
        <f t="shared" si="38"/>
        <v>-149.37901920565213</v>
      </c>
      <c r="AG26" s="772">
        <f t="shared" si="46"/>
        <v>-76.695638494136148</v>
      </c>
      <c r="AH26" s="1253">
        <f t="shared" si="40"/>
        <v>85.004000000000005</v>
      </c>
      <c r="AI26" s="1253">
        <f t="shared" si="41"/>
        <v>86.227999999999994</v>
      </c>
      <c r="AJ26" s="156">
        <f t="shared" si="42"/>
        <v>-29.325786423515947</v>
      </c>
      <c r="AK26" s="156">
        <f t="shared" si="43"/>
        <v>92.466128157154927</v>
      </c>
      <c r="AM26" s="716">
        <f t="shared" si="44"/>
        <v>12678.267287229968</v>
      </c>
      <c r="AN26" s="716" t="str">
        <f>_xlfn.XLOOKUP(D26,RUC!$B$3:$B$578,RUC!$M$3:$M$578)</f>
        <v>Ronald Garibay</v>
      </c>
      <c r="AO26" s="1167" t="s">
        <v>2278</v>
      </c>
      <c r="AP26" t="s">
        <v>4870</v>
      </c>
      <c r="AQ26" t="s">
        <v>3748</v>
      </c>
      <c r="AV26" s="1982" t="s">
        <v>4993</v>
      </c>
      <c r="AW26" s="1983"/>
      <c r="AX26" s="1983"/>
      <c r="AY26" s="1983"/>
      <c r="AZ26" s="1983"/>
      <c r="BA26" s="1984"/>
    </row>
    <row r="27" spans="1:56" ht="15" customHeight="1">
      <c r="A27" s="747" t="s">
        <v>4893</v>
      </c>
      <c r="B27" s="1447">
        <v>46084</v>
      </c>
      <c r="C27" s="1447">
        <v>46079</v>
      </c>
      <c r="D27" t="s">
        <v>2004</v>
      </c>
      <c r="E27" s="762">
        <f>_xlfn.XLOOKUP(D27,RUC!$B$3:$B$123,RUC!$D$3:$D$123)</f>
        <v>20612921866</v>
      </c>
      <c r="G27" s="1082">
        <v>50</v>
      </c>
      <c r="H27" s="762" t="s">
        <v>69</v>
      </c>
      <c r="I27" s="703">
        <v>5.26</v>
      </c>
      <c r="J27" s="596">
        <v>2.2000000000000002</v>
      </c>
      <c r="K27" s="1215">
        <f t="shared" si="0"/>
        <v>5.1440000000000001</v>
      </c>
      <c r="L27" s="762">
        <v>0.161</v>
      </c>
      <c r="M27" s="994">
        <f t="shared" si="47"/>
        <v>0.14199999999999999</v>
      </c>
      <c r="N27" s="1196">
        <f t="shared" ref="N27:N64" si="48">+M27</f>
        <v>0.14199999999999999</v>
      </c>
      <c r="O27" s="645">
        <f t="shared" si="35"/>
        <v>0.14199999999999999</v>
      </c>
      <c r="P27" s="727">
        <v>90</v>
      </c>
      <c r="Q27" s="1476">
        <v>95.65</v>
      </c>
      <c r="R27" s="706">
        <v>5167.3500000000004</v>
      </c>
      <c r="S27" s="765">
        <f>IF((_xlfn.XLOOKUP(D27,RUC!$B$3:$B$119,RUC!$E$3:$E$119)+ROUNDDOWN(O27,1)*100)&lt;95,95,((_xlfn.XLOOKUP(D27,RUC!$B$3:$B$119,RUC!$E$3:$E$119)+ROUNDDOWN(O27,1)*100)))</f>
        <v>95</v>
      </c>
      <c r="U27" s="1146">
        <f>_xlfn.XLOOKUP(D27,RUC!$B$3:$B$123,RUC!$F$3:$F$123)</f>
        <v>100</v>
      </c>
      <c r="V27" s="715">
        <v>1.1023000000000001</v>
      </c>
      <c r="Y27">
        <f>_xlfn.XLOOKUP(D27,RUC!$B$3:$B$123,RUC!$G$3:$G$123)</f>
        <v>0</v>
      </c>
      <c r="Z27" s="143">
        <f>_xlfn.XLOOKUP(D27,RUC!$B$3:$B$123,RUC!$H$3:$H$123)</f>
        <v>30</v>
      </c>
      <c r="AA27" s="144">
        <f t="shared" si="31"/>
        <v>30</v>
      </c>
      <c r="AB27" s="145">
        <f t="shared" si="45"/>
        <v>576.07005985900003</v>
      </c>
      <c r="AC27" s="145">
        <f>+(S27-T27)*V27-'data 1'!$F$4</f>
        <v>24.718500000000006</v>
      </c>
      <c r="AD27" s="145">
        <f t="shared" si="36"/>
        <v>50.810683045832555</v>
      </c>
      <c r="AE27" s="145">
        <f t="shared" si="37"/>
        <v>-36.930999999999997</v>
      </c>
      <c r="AF27" s="145">
        <f t="shared" si="38"/>
        <v>101.5124441635176</v>
      </c>
      <c r="AG27" s="772">
        <f>AC27+AD27+AE27+AF27+70-10</f>
        <v>200.11062720935016</v>
      </c>
      <c r="AH27" s="1253">
        <f t="shared" si="40"/>
        <v>27.158999999999999</v>
      </c>
      <c r="AI27" s="1253">
        <f t="shared" si="41"/>
        <v>28.395</v>
      </c>
      <c r="AJ27" s="156">
        <f t="shared" si="42"/>
        <v>-28.407719725332569</v>
      </c>
      <c r="AK27" s="156">
        <f t="shared" si="43"/>
        <v>22.539323817311761</v>
      </c>
      <c r="AM27" s="716">
        <f t="shared" si="44"/>
        <v>2963.3043879146962</v>
      </c>
      <c r="AN27" s="716" t="str">
        <f>_xlfn.XLOOKUP(D27,RUC!$B$3:$B$578,RUC!$M$3:$M$578)</f>
        <v>Ronald Garibay</v>
      </c>
      <c r="AO27" s="1167" t="s">
        <v>2277</v>
      </c>
      <c r="AP27" s="1698" t="s">
        <v>4921</v>
      </c>
      <c r="AQ27" t="s">
        <v>4919</v>
      </c>
      <c r="BA27" s="1482">
        <f>SUM(BA29:BA38)</f>
        <v>0</v>
      </c>
    </row>
    <row r="28" spans="1:56" ht="15" customHeight="1" thickBot="1">
      <c r="A28" s="747" t="s">
        <v>4924</v>
      </c>
      <c r="B28" s="1447">
        <v>46087</v>
      </c>
      <c r="C28" s="1447">
        <v>46083</v>
      </c>
      <c r="D28" t="s">
        <v>2004</v>
      </c>
      <c r="E28" s="762">
        <f>_xlfn.XLOOKUP(D28,RUC!$B$3:$B$123,RUC!$D$3:$D$123)</f>
        <v>20612921866</v>
      </c>
      <c r="G28" s="1082" t="s">
        <v>2985</v>
      </c>
      <c r="H28" s="762" t="s">
        <v>69</v>
      </c>
      <c r="I28" s="703">
        <v>26.5</v>
      </c>
      <c r="J28" s="596">
        <v>2.7</v>
      </c>
      <c r="K28" s="1215">
        <f t="shared" si="0"/>
        <v>25.785</v>
      </c>
      <c r="L28" s="762">
        <v>0.17299999999999999</v>
      </c>
      <c r="M28" s="994">
        <f t="shared" si="47"/>
        <v>0.154</v>
      </c>
      <c r="N28" s="1196">
        <f t="shared" si="48"/>
        <v>0.154</v>
      </c>
      <c r="O28" s="645">
        <f t="shared" si="35"/>
        <v>0.154</v>
      </c>
      <c r="P28" s="727">
        <v>90</v>
      </c>
      <c r="Q28" s="880">
        <v>93.64</v>
      </c>
      <c r="R28" s="706">
        <v>5313.9</v>
      </c>
      <c r="S28" s="765">
        <f>IF((_xlfn.XLOOKUP(D28,RUC!$B$3:$B$119,RUC!$E$3:$E$119)+ROUNDDOWN(O28,1)*100)&lt;95,95,((_xlfn.XLOOKUP(D28,RUC!$B$3:$B$119,RUC!$E$3:$E$119)+ROUNDDOWN(O28,1)*100)))</f>
        <v>95</v>
      </c>
      <c r="U28" s="1146">
        <f>_xlfn.XLOOKUP(D28,RUC!$B$3:$B$123,RUC!$F$3:$F$123)</f>
        <v>100</v>
      </c>
      <c r="V28" s="715">
        <v>1.1023000000000001</v>
      </c>
      <c r="Y28">
        <f>_xlfn.XLOOKUP(D28,RUC!$B$3:$B$123,RUC!$G$3:$G$123)</f>
        <v>0</v>
      </c>
      <c r="Z28" s="143">
        <f>_xlfn.XLOOKUP(D28,RUC!$B$3:$B$123,RUC!$H$3:$H$123)</f>
        <v>30</v>
      </c>
      <c r="AA28" s="144">
        <f t="shared" si="31"/>
        <v>30</v>
      </c>
      <c r="AB28" s="145">
        <f t="shared" si="45"/>
        <v>658.78578104199994</v>
      </c>
      <c r="AC28" s="145">
        <f>+(S28-T28)*V28-'data 1'!$F$4</f>
        <v>24.718500000000006</v>
      </c>
      <c r="AD28" s="145">
        <f t="shared" si="36"/>
        <v>36.191784021484004</v>
      </c>
      <c r="AE28" s="145">
        <f t="shared" si="37"/>
        <v>-36.930999999999997</v>
      </c>
      <c r="AF28" s="145">
        <f t="shared" si="38"/>
        <v>102.25334189745193</v>
      </c>
      <c r="AG28" s="772">
        <f t="shared" ref="AG28:AG29" si="49">AC28+AD28+AE28+AF28+70-10</f>
        <v>186.23262591893595</v>
      </c>
      <c r="AH28" s="1253">
        <f t="shared" si="40"/>
        <v>143.21299999999999</v>
      </c>
      <c r="AI28" s="1253">
        <f t="shared" si="41"/>
        <v>152.94</v>
      </c>
      <c r="AJ28" s="156">
        <f t="shared" si="42"/>
        <v>-56.052970306483928</v>
      </c>
      <c r="AK28" s="156">
        <f t="shared" si="43"/>
        <v>122.52915409847806</v>
      </c>
      <c r="AM28" s="716">
        <f t="shared" si="44"/>
        <v>16986.79136416797</v>
      </c>
      <c r="AN28" s="716" t="str">
        <f>_xlfn.XLOOKUP(D28,RUC!$B$3:$B$578,RUC!$M$3:$M$578)</f>
        <v>Ronald Garibay</v>
      </c>
      <c r="AO28" s="1167" t="s">
        <v>2277</v>
      </c>
      <c r="AP28" t="s">
        <v>4946</v>
      </c>
      <c r="AQ28" t="s">
        <v>4947</v>
      </c>
      <c r="AV28" s="762"/>
      <c r="AW28" s="762" t="s">
        <v>15</v>
      </c>
      <c r="AX28" s="762" t="s">
        <v>2522</v>
      </c>
      <c r="AY28" s="762" t="s">
        <v>2558</v>
      </c>
      <c r="AZ28" s="1483" t="s">
        <v>2598</v>
      </c>
      <c r="BA28" s="762" t="s">
        <v>2559</v>
      </c>
    </row>
    <row r="29" spans="1:56" ht="15" customHeight="1">
      <c r="A29" s="747" t="s">
        <v>4925</v>
      </c>
      <c r="B29" s="1447">
        <v>46087</v>
      </c>
      <c r="C29" s="1447">
        <v>46083</v>
      </c>
      <c r="D29" t="s">
        <v>2004</v>
      </c>
      <c r="E29" s="762">
        <f>_xlfn.XLOOKUP(D29,RUC!$B$3:$B$123,RUC!$D$3:$D$123)</f>
        <v>20612921866</v>
      </c>
      <c r="G29" s="1082">
        <v>125</v>
      </c>
      <c r="H29" s="762" t="s">
        <v>69</v>
      </c>
      <c r="I29" s="703">
        <v>12.27</v>
      </c>
      <c r="J29" s="596">
        <v>2.2999999999999998</v>
      </c>
      <c r="K29" s="703">
        <f t="shared" si="0"/>
        <v>11.988</v>
      </c>
      <c r="L29" s="762">
        <v>0.161</v>
      </c>
      <c r="M29" s="994">
        <f t="shared" si="47"/>
        <v>0.14199999999999999</v>
      </c>
      <c r="N29" s="1196">
        <f t="shared" si="48"/>
        <v>0.14199999999999999</v>
      </c>
      <c r="O29" s="645">
        <f t="shared" si="35"/>
        <v>0.14199999999999999</v>
      </c>
      <c r="P29" s="727">
        <v>90</v>
      </c>
      <c r="Q29" s="880">
        <v>94.41</v>
      </c>
      <c r="R29" s="706">
        <v>5313.9</v>
      </c>
      <c r="S29" s="765">
        <f>IF((_xlfn.XLOOKUP(D29,RUC!$B$3:$B$119,RUC!$E$3:$E$119)+ROUNDDOWN(O29,1)*100)&lt;95,95,((_xlfn.XLOOKUP(D29,RUC!$B$3:$B$119,RUC!$E$3:$E$119)+ROUNDDOWN(O29,1)*100)))</f>
        <v>95</v>
      </c>
      <c r="U29" s="1146">
        <f>_xlfn.XLOOKUP(D29,RUC!$B$3:$B$123,RUC!$F$3:$F$123)</f>
        <v>100</v>
      </c>
      <c r="V29" s="715">
        <v>1.1023000000000001</v>
      </c>
      <c r="Y29">
        <f>_xlfn.XLOOKUP(D29,RUC!$B$3:$B$123,RUC!$G$3:$G$123)</f>
        <v>0</v>
      </c>
      <c r="Z29" s="143">
        <f>_xlfn.XLOOKUP(D29,RUC!$B$3:$B$123,RUC!$H$3:$H$123)</f>
        <v>30</v>
      </c>
      <c r="AA29" s="144">
        <f t="shared" si="31"/>
        <v>30</v>
      </c>
      <c r="AB29" s="145">
        <f t="shared" si="45"/>
        <v>596.715135766</v>
      </c>
      <c r="AC29" s="145">
        <f>+(S29-T29)*V29-'data 1'!$F$4</f>
        <v>24.718500000000006</v>
      </c>
      <c r="AD29" s="145">
        <f t="shared" si="36"/>
        <v>40.806276715196965</v>
      </c>
      <c r="AE29" s="145">
        <f t="shared" si="37"/>
        <v>-36.930999999999997</v>
      </c>
      <c r="AF29" s="145">
        <f t="shared" si="38"/>
        <v>103.0941692496631</v>
      </c>
      <c r="AG29" s="772">
        <f t="shared" si="49"/>
        <v>191.68794596486006</v>
      </c>
      <c r="AH29" s="1253">
        <f t="shared" si="40"/>
        <v>62.473999999999997</v>
      </c>
      <c r="AI29" s="1253">
        <f t="shared" si="41"/>
        <v>66.173000000000002</v>
      </c>
      <c r="AJ29" s="156">
        <f t="shared" si="42"/>
        <v>-52.593854041196948</v>
      </c>
      <c r="AK29" s="156">
        <f t="shared" si="43"/>
        <v>52.52749104236652</v>
      </c>
      <c r="AM29" s="716">
        <f t="shared" si="44"/>
        <v>7153.4210475628079</v>
      </c>
      <c r="AN29" s="716" t="str">
        <f>_xlfn.XLOOKUP(D29,RUC!$B$3:$B$578,RUC!$M$3:$M$578)</f>
        <v>Ronald Garibay</v>
      </c>
      <c r="AO29" s="1167" t="s">
        <v>2277</v>
      </c>
      <c r="AP29" t="s">
        <v>4948</v>
      </c>
      <c r="AQ29" t="s">
        <v>4949</v>
      </c>
      <c r="AV29" s="1556" t="s">
        <v>2277</v>
      </c>
      <c r="AW29" s="1227">
        <f t="shared" ref="AW29:AW38" si="50">SUMIF($AO$4:$AO$467,AV29,$K$4:$K$467)</f>
        <v>133.28300000000002</v>
      </c>
      <c r="AX29" s="1227"/>
      <c r="AY29" s="1229">
        <f t="shared" ref="AY29:AY38" si="51">AW29*AX29*31.1035*1.1023</f>
        <v>0</v>
      </c>
      <c r="AZ29" s="596"/>
      <c r="BA29" s="1255">
        <f t="shared" ref="BA29:BA38" si="52">AY29*AZ29/100</f>
        <v>0</v>
      </c>
      <c r="BB29" s="1812" t="s">
        <v>5267</v>
      </c>
      <c r="BC29" s="1574">
        <f ca="1">+BB7</f>
        <v>4052.8320000000003</v>
      </c>
    </row>
    <row r="30" spans="1:56" ht="15" customHeight="1">
      <c r="A30" s="747" t="s">
        <v>4938</v>
      </c>
      <c r="B30" s="1447">
        <v>46090</v>
      </c>
      <c r="C30" s="1447">
        <v>46084</v>
      </c>
      <c r="D30" t="s">
        <v>3062</v>
      </c>
      <c r="E30" s="762">
        <f>_xlfn.XLOOKUP(D30,RUC!$B$3:$B$123,RUC!$D$3:$D$123)</f>
        <v>20610807004</v>
      </c>
      <c r="G30" s="1082">
        <v>25</v>
      </c>
      <c r="H30" s="762" t="s">
        <v>69</v>
      </c>
      <c r="I30" s="703">
        <v>2.19</v>
      </c>
      <c r="J30" s="596">
        <v>12.9</v>
      </c>
      <c r="K30" s="703">
        <f t="shared" si="0"/>
        <v>1.907</v>
      </c>
      <c r="L30" s="762">
        <v>0.42599999999999999</v>
      </c>
      <c r="M30" s="994">
        <f t="shared" si="47"/>
        <v>0.4</v>
      </c>
      <c r="N30" s="1196">
        <f t="shared" si="48"/>
        <v>0.4</v>
      </c>
      <c r="O30" s="645">
        <f t="shared" si="35"/>
        <v>0.4</v>
      </c>
      <c r="P30" s="727">
        <v>90</v>
      </c>
      <c r="Q30" s="1476">
        <v>94.6</v>
      </c>
      <c r="R30" s="706">
        <v>5033.6499999999996</v>
      </c>
      <c r="S30" s="765">
        <f>IF((_xlfn.XLOOKUP(D30,RUC!$B$3:$B$119,RUC!$E$3:$E$119)+ROUNDDOWN(O30,1)*100)&lt;95,95,((_xlfn.XLOOKUP(D30,RUC!$B$3:$B$119,RUC!$E$3:$E$119)+ROUNDDOWN(O30,1)*100)))</f>
        <v>125</v>
      </c>
      <c r="U30" s="1146">
        <f>_xlfn.XLOOKUP(D30,RUC!$B$3:$B$123,RUC!$F$3:$F$123)</f>
        <v>120</v>
      </c>
      <c r="V30" s="715">
        <v>1.1023000000000001</v>
      </c>
      <c r="Y30">
        <f>_xlfn.XLOOKUP(D30,RUC!$B$3:$B$123,RUC!$G$3:$G$123)</f>
        <v>20</v>
      </c>
      <c r="Z30" s="143">
        <f>_xlfn.XLOOKUP(D30,RUC!$B$3:$B$123,RUC!$H$3:$H$123)</f>
        <v>30</v>
      </c>
      <c r="AA30" s="144">
        <f t="shared" si="31"/>
        <v>50</v>
      </c>
      <c r="AB30" s="145">
        <f t="shared" si="45"/>
        <v>1756.9714022000001</v>
      </c>
      <c r="AC30" s="145">
        <f>+(S30-T30)*V30-'data 1'!$F$4</f>
        <v>57.787499999999994</v>
      </c>
      <c r="AD30" s="145">
        <f t="shared" si="36"/>
        <v>106.13813607641988</v>
      </c>
      <c r="AE30" s="145">
        <f t="shared" si="37"/>
        <v>-14.884999999999998</v>
      </c>
      <c r="AF30" s="145">
        <f t="shared" si="38"/>
        <v>133.21971805141982</v>
      </c>
      <c r="AG30" s="772">
        <f t="shared" ref="AG30:AG32" si="53">AC30+AD30+AE30+AF30+70-53</f>
        <v>299.26035412783972</v>
      </c>
      <c r="AH30" s="1253">
        <f t="shared" si="40"/>
        <v>26.349</v>
      </c>
      <c r="AI30" s="1253">
        <f t="shared" si="41"/>
        <v>27.853000000000002</v>
      </c>
      <c r="AJ30" s="156">
        <f t="shared" si="42"/>
        <v>-6.0636369994198382</v>
      </c>
      <c r="AK30" s="156">
        <f t="shared" si="43"/>
        <v>23.537604604086006</v>
      </c>
      <c r="AM30" s="716">
        <f t="shared" si="44"/>
        <v>3350.5444639954003</v>
      </c>
      <c r="AN30" s="716" t="str">
        <f>_xlfn.XLOOKUP(D30,RUC!$B$3:$B$578,RUC!$M$3:$M$578)</f>
        <v>Renzo</v>
      </c>
      <c r="AO30" s="1167" t="s">
        <v>2277</v>
      </c>
      <c r="AP30" t="s">
        <v>4950</v>
      </c>
      <c r="AQ30" t="s">
        <v>4951</v>
      </c>
      <c r="AV30" s="1557" t="s">
        <v>2278</v>
      </c>
      <c r="AW30" s="703">
        <f t="shared" si="50"/>
        <v>130.66100000000003</v>
      </c>
      <c r="AX30" s="703"/>
      <c r="AY30" s="596">
        <f t="shared" si="51"/>
        <v>0</v>
      </c>
      <c r="AZ30" s="596"/>
      <c r="BA30" s="1256">
        <f t="shared" si="52"/>
        <v>0</v>
      </c>
      <c r="BB30" s="1813" t="s">
        <v>5268</v>
      </c>
      <c r="BC30" s="1576">
        <f>+'40'!BC32+'40'!BC33</f>
        <v>861.35800000000006</v>
      </c>
    </row>
    <row r="31" spans="1:56" ht="15" customHeight="1">
      <c r="A31" s="747" t="s">
        <v>4939</v>
      </c>
      <c r="B31" s="1447">
        <v>46090</v>
      </c>
      <c r="C31" s="1447">
        <v>46084</v>
      </c>
      <c r="D31" t="s">
        <v>3062</v>
      </c>
      <c r="E31" s="762">
        <f>_xlfn.XLOOKUP(D31,RUC!$B$3:$B$123,RUC!$D$3:$D$123)</f>
        <v>20610807004</v>
      </c>
      <c r="G31" s="1082">
        <v>25</v>
      </c>
      <c r="H31" s="762" t="s">
        <v>69</v>
      </c>
      <c r="I31" s="703">
        <v>2.17</v>
      </c>
      <c r="J31" s="596">
        <v>16</v>
      </c>
      <c r="K31" s="703">
        <f t="shared" si="0"/>
        <v>1.823</v>
      </c>
      <c r="L31" s="762">
        <v>0.40500000000000003</v>
      </c>
      <c r="M31" s="994">
        <f t="shared" si="47"/>
        <v>0.38100000000000001</v>
      </c>
      <c r="N31" s="1196">
        <f t="shared" si="48"/>
        <v>0.38100000000000001</v>
      </c>
      <c r="O31" s="645">
        <f t="shared" si="35"/>
        <v>0.38100000000000001</v>
      </c>
      <c r="P31" s="727">
        <v>90</v>
      </c>
      <c r="Q31" s="1476">
        <v>95.06</v>
      </c>
      <c r="R31" s="706">
        <v>5033.6499999999996</v>
      </c>
      <c r="S31" s="765">
        <f>IF((_xlfn.XLOOKUP(D31,RUC!$B$3:$B$119,RUC!$E$3:$E$119)+ROUNDDOWN(O31,1)*100)&lt;95,95,((_xlfn.XLOOKUP(D31,RUC!$B$3:$B$119,RUC!$E$3:$E$119)+ROUNDDOWN(O31,1)*100)))</f>
        <v>115</v>
      </c>
      <c r="U31" s="1146">
        <f>_xlfn.XLOOKUP(D31,RUC!$B$3:$B$123,RUC!$F$3:$F$123)</f>
        <v>120</v>
      </c>
      <c r="V31" s="715">
        <v>1.1023000000000001</v>
      </c>
      <c r="Y31">
        <f>_xlfn.XLOOKUP(D31,RUC!$B$3:$B$123,RUC!$G$3:$G$123)</f>
        <v>20</v>
      </c>
      <c r="Z31" s="143">
        <f>_xlfn.XLOOKUP(D31,RUC!$B$3:$B$123,RUC!$H$3:$H$123)</f>
        <v>30</v>
      </c>
      <c r="AA31" s="144">
        <f t="shared" si="31"/>
        <v>50</v>
      </c>
      <c r="AB31" s="145">
        <f t="shared" si="45"/>
        <v>1675.3753918455</v>
      </c>
      <c r="AC31" s="145">
        <f>+(S31-T31)*V31-'data 1'!$F$4</f>
        <v>46.764500000000012</v>
      </c>
      <c r="AD31" s="145">
        <f t="shared" si="36"/>
        <v>110.99657188273505</v>
      </c>
      <c r="AE31" s="145">
        <f t="shared" si="37"/>
        <v>-14.884999999999998</v>
      </c>
      <c r="AF31" s="145">
        <f t="shared" si="38"/>
        <v>123.57000876208811</v>
      </c>
      <c r="AG31" s="772">
        <f t="shared" si="53"/>
        <v>283.44608064482316</v>
      </c>
      <c r="AH31" s="1253">
        <f t="shared" si="40"/>
        <v>24.062999999999999</v>
      </c>
      <c r="AI31" s="1253">
        <f t="shared" si="41"/>
        <v>25.312999999999999</v>
      </c>
      <c r="AJ31" s="156">
        <f t="shared" si="42"/>
        <v>-5.7927567502348465</v>
      </c>
      <c r="AK31" s="156">
        <f t="shared" si="43"/>
        <v>21.432025782154934</v>
      </c>
      <c r="AM31" s="716">
        <f t="shared" si="44"/>
        <v>3054.2093393343462</v>
      </c>
      <c r="AN31" s="716" t="str">
        <f>_xlfn.XLOOKUP(D31,RUC!$B$3:$B$578,RUC!$M$3:$M$578)</f>
        <v>Renzo</v>
      </c>
      <c r="AO31" s="1167" t="s">
        <v>2277</v>
      </c>
      <c r="AP31" t="s">
        <v>4950</v>
      </c>
      <c r="AQ31" t="s">
        <v>4951</v>
      </c>
      <c r="AV31" s="1557" t="s">
        <v>2280</v>
      </c>
      <c r="AW31" s="703">
        <f t="shared" si="50"/>
        <v>169.75400000000002</v>
      </c>
      <c r="AX31" s="703"/>
      <c r="AY31" s="596">
        <f t="shared" si="51"/>
        <v>0</v>
      </c>
      <c r="AZ31" s="596"/>
      <c r="BA31" s="1256">
        <f t="shared" si="52"/>
        <v>0</v>
      </c>
      <c r="BB31" s="1814" t="s">
        <v>5269</v>
      </c>
      <c r="BC31" s="1675">
        <v>4305.75</v>
      </c>
    </row>
    <row r="32" spans="1:56" ht="15" customHeight="1">
      <c r="A32" s="747" t="s">
        <v>4940</v>
      </c>
      <c r="B32" s="1447">
        <v>46090</v>
      </c>
      <c r="C32" s="1447">
        <v>46084</v>
      </c>
      <c r="D32" t="s">
        <v>3062</v>
      </c>
      <c r="E32" s="762">
        <f>_xlfn.XLOOKUP(D32,RUC!$B$3:$B$123,RUC!$D$3:$D$123)</f>
        <v>20610807004</v>
      </c>
      <c r="G32" s="1082">
        <v>25</v>
      </c>
      <c r="H32" s="762" t="s">
        <v>69</v>
      </c>
      <c r="I32" s="703">
        <v>2.17</v>
      </c>
      <c r="J32" s="596">
        <v>13.5</v>
      </c>
      <c r="K32" s="703">
        <f t="shared" si="0"/>
        <v>1.877</v>
      </c>
      <c r="L32" s="994">
        <v>0.28000000000000003</v>
      </c>
      <c r="M32" s="994">
        <f t="shared" si="47"/>
        <v>0.26100000000000001</v>
      </c>
      <c r="N32" s="1196">
        <f t="shared" si="48"/>
        <v>0.26100000000000001</v>
      </c>
      <c r="O32" s="645">
        <f t="shared" si="35"/>
        <v>0.26100000000000001</v>
      </c>
      <c r="P32" s="727">
        <v>86</v>
      </c>
      <c r="Q32" s="1476">
        <v>86.07</v>
      </c>
      <c r="R32" s="706">
        <v>5033.6499999999996</v>
      </c>
      <c r="S32" s="765">
        <f>IF((_xlfn.XLOOKUP(D32,RUC!$B$3:$B$119,RUC!$E$3:$E$119)+ROUNDDOWN(O32,1)*100)&lt;95,95,((_xlfn.XLOOKUP(D32,RUC!$B$3:$B$119,RUC!$E$3:$E$119)+ROUNDDOWN(O32,1)*100)))</f>
        <v>105</v>
      </c>
      <c r="U32" s="1146">
        <f>_xlfn.XLOOKUP(D32,RUC!$B$3:$B$123,RUC!$F$3:$F$123)</f>
        <v>120</v>
      </c>
      <c r="V32" s="715">
        <v>1.1023000000000001</v>
      </c>
      <c r="Y32">
        <f>_xlfn.XLOOKUP(D32,RUC!$B$3:$B$123,RUC!$G$3:$G$123)</f>
        <v>20</v>
      </c>
      <c r="Z32" s="143">
        <f>_xlfn.XLOOKUP(D32,RUC!$B$3:$B$123,RUC!$H$3:$H$123)</f>
        <v>30</v>
      </c>
      <c r="AA32" s="144">
        <f t="shared" si="31"/>
        <v>50</v>
      </c>
      <c r="AB32" s="145">
        <f t="shared" si="45"/>
        <v>1044.8898780216998</v>
      </c>
      <c r="AC32" s="145">
        <f>+(S32-T32)*V32-'data 1'!$F$4</f>
        <v>35.741500000000002</v>
      </c>
      <c r="AD32" s="145">
        <f t="shared" si="36"/>
        <v>1.0615980134198966</v>
      </c>
      <c r="AE32" s="145">
        <f t="shared" si="37"/>
        <v>-14.884999999999998</v>
      </c>
      <c r="AF32" s="145">
        <f t="shared" si="38"/>
        <v>88.574646902353578</v>
      </c>
      <c r="AG32" s="772">
        <f t="shared" si="53"/>
        <v>127.49274491577347</v>
      </c>
      <c r="AH32" s="1253">
        <f t="shared" si="40"/>
        <v>15.509</v>
      </c>
      <c r="AI32" s="1253">
        <f t="shared" si="41"/>
        <v>18.018999999999998</v>
      </c>
      <c r="AJ32" s="156">
        <f t="shared" si="42"/>
        <v>-3.6261210094199039</v>
      </c>
      <c r="AK32" s="156">
        <f t="shared" si="43"/>
        <v>14.444825524596533</v>
      </c>
      <c r="AM32" s="716">
        <f t="shared" si="44"/>
        <v>1961.2583010467306</v>
      </c>
      <c r="AN32" s="716" t="str">
        <f>_xlfn.XLOOKUP(D32,RUC!$B$3:$B$578,RUC!$M$3:$M$578)</f>
        <v>Renzo</v>
      </c>
      <c r="AO32" s="1167" t="s">
        <v>2277</v>
      </c>
      <c r="AP32" t="s">
        <v>4950</v>
      </c>
      <c r="AQ32" t="s">
        <v>4951</v>
      </c>
      <c r="AV32" s="1557" t="s">
        <v>2279</v>
      </c>
      <c r="AW32" s="703">
        <f t="shared" si="50"/>
        <v>166.19599999999991</v>
      </c>
      <c r="AX32" s="703"/>
      <c r="AY32" s="596">
        <f t="shared" si="51"/>
        <v>0</v>
      </c>
      <c r="AZ32" s="596"/>
      <c r="BA32" s="1256">
        <f t="shared" si="52"/>
        <v>0</v>
      </c>
      <c r="BB32" s="1814" t="s">
        <v>5270</v>
      </c>
      <c r="BC32" s="1815">
        <v>827.2</v>
      </c>
    </row>
    <row r="33" spans="1:55" ht="15" customHeight="1">
      <c r="A33" s="747" t="s">
        <v>4941</v>
      </c>
      <c r="B33" s="1447">
        <v>46088</v>
      </c>
      <c r="C33" s="1447">
        <v>46084</v>
      </c>
      <c r="D33" t="s">
        <v>2004</v>
      </c>
      <c r="E33" s="762">
        <f>_xlfn.XLOOKUP(D33,RUC!$B$3:$B$123,RUC!$D$3:$D$123)</f>
        <v>20612921866</v>
      </c>
      <c r="G33" s="1082" t="s">
        <v>2985</v>
      </c>
      <c r="H33" s="762" t="s">
        <v>69</v>
      </c>
      <c r="I33" s="703">
        <v>26.45</v>
      </c>
      <c r="J33" s="596">
        <v>2.2999999999999998</v>
      </c>
      <c r="K33" s="703">
        <f t="shared" si="0"/>
        <v>25.841999999999999</v>
      </c>
      <c r="L33" s="762">
        <v>0.17499999999999999</v>
      </c>
      <c r="M33" s="994">
        <f t="shared" si="47"/>
        <v>0.156</v>
      </c>
      <c r="N33" s="1196">
        <f t="shared" si="48"/>
        <v>0.156</v>
      </c>
      <c r="O33" s="645">
        <f t="shared" si="35"/>
        <v>0.156</v>
      </c>
      <c r="P33" s="727">
        <v>90</v>
      </c>
      <c r="Q33" s="1476">
        <v>93.71</v>
      </c>
      <c r="R33" s="706">
        <v>5033.6499999999996</v>
      </c>
      <c r="S33" s="765">
        <f>IF((_xlfn.XLOOKUP(D33,RUC!$B$3:$B$119,RUC!$E$3:$E$119)+ROUNDDOWN(O33,1)*100)&lt;95,95,((_xlfn.XLOOKUP(D33,RUC!$B$3:$B$119,RUC!$E$3:$E$119)+ROUNDDOWN(O33,1)*100)))</f>
        <v>95</v>
      </c>
      <c r="U33" s="1146">
        <f>_xlfn.XLOOKUP(D33,RUC!$B$3:$B$123,RUC!$F$3:$F$123)</f>
        <v>100</v>
      </c>
      <c r="V33" s="715">
        <v>1.1023000000000001</v>
      </c>
      <c r="Y33">
        <f>_xlfn.XLOOKUP(D33,RUC!$B$3:$B$123,RUC!$G$3:$G$123)</f>
        <v>0</v>
      </c>
      <c r="Z33" s="143">
        <f>_xlfn.XLOOKUP(D33,RUC!$B$3:$B$123,RUC!$H$3:$H$123)</f>
        <v>30</v>
      </c>
      <c r="AA33" s="144">
        <f t="shared" si="31"/>
        <v>30</v>
      </c>
      <c r="AB33" s="145">
        <f t="shared" si="45"/>
        <v>625.75858025799994</v>
      </c>
      <c r="AC33" s="145">
        <f>+(S33-T33)*V33-'data 1'!$F$4</f>
        <v>24.718500000000006</v>
      </c>
      <c r="AD33" s="145">
        <f t="shared" si="36"/>
        <v>35.30856784953744</v>
      </c>
      <c r="AE33" s="145">
        <f t="shared" si="37"/>
        <v>-36.930999999999997</v>
      </c>
      <c r="AF33" s="145">
        <f t="shared" si="38"/>
        <v>96.829498606735456</v>
      </c>
      <c r="AG33" s="772">
        <f>AC33+AD33+AE33+AF33+70-10</f>
        <v>179.92556645627292</v>
      </c>
      <c r="AH33" s="1253">
        <f t="shared" si="40"/>
        <v>145.298</v>
      </c>
      <c r="AI33" s="1253">
        <f t="shared" si="41"/>
        <v>155.05099999999999</v>
      </c>
      <c r="AJ33" s="156">
        <f t="shared" si="42"/>
        <v>-6.0828745870374341</v>
      </c>
      <c r="AK33" s="156">
        <f t="shared" si="43"/>
        <v>124.39482091752923</v>
      </c>
      <c r="AM33" s="716">
        <f t="shared" si="44"/>
        <v>16170.853231027233</v>
      </c>
      <c r="AN33" s="716" t="str">
        <f>_xlfn.XLOOKUP(D33,RUC!$B$3:$B$578,RUC!$M$3:$M$578)</f>
        <v>Ronald Garibay</v>
      </c>
      <c r="AO33" s="1167" t="s">
        <v>2277</v>
      </c>
      <c r="AP33" t="s">
        <v>4952</v>
      </c>
      <c r="AQ33" t="s">
        <v>4953</v>
      </c>
      <c r="AV33" s="1557" t="s">
        <v>2281</v>
      </c>
      <c r="AW33" s="703">
        <f t="shared" si="50"/>
        <v>0</v>
      </c>
      <c r="AX33" s="703"/>
      <c r="AY33" s="596">
        <f t="shared" si="51"/>
        <v>0</v>
      </c>
      <c r="AZ33" s="596"/>
      <c r="BA33" s="1256">
        <f t="shared" si="52"/>
        <v>0</v>
      </c>
      <c r="BB33" s="1814" t="s">
        <v>5271</v>
      </c>
      <c r="BC33" s="1581">
        <v>173.69</v>
      </c>
    </row>
    <row r="34" spans="1:55" ht="15" customHeight="1">
      <c r="A34" s="747" t="s">
        <v>4942</v>
      </c>
      <c r="B34" s="1447">
        <v>46091</v>
      </c>
      <c r="C34" s="1447">
        <v>46086</v>
      </c>
      <c r="D34" s="1699" t="s">
        <v>4171</v>
      </c>
      <c r="E34" s="762">
        <f>_xlfn.XLOOKUP(D34,RUC!$B$3:$B$123,RUC!$D$3:$D$123)</f>
        <v>20614284740</v>
      </c>
      <c r="G34" s="1082">
        <v>236</v>
      </c>
      <c r="H34" s="762" t="s">
        <v>69</v>
      </c>
      <c r="I34" s="703">
        <v>20.72</v>
      </c>
      <c r="J34" s="596">
        <v>2.8</v>
      </c>
      <c r="K34" s="703">
        <f t="shared" si="0"/>
        <v>20.14</v>
      </c>
      <c r="L34" s="762">
        <v>0.128</v>
      </c>
      <c r="M34" s="994">
        <f t="shared" si="47"/>
        <v>0.109</v>
      </c>
      <c r="N34" s="1444">
        <v>0.155</v>
      </c>
      <c r="O34" s="645">
        <f t="shared" si="35"/>
        <v>0.13200000000000001</v>
      </c>
      <c r="P34" s="727">
        <v>80</v>
      </c>
      <c r="Q34" s="1476">
        <v>96.88</v>
      </c>
      <c r="R34" s="706">
        <v>5104.05</v>
      </c>
      <c r="S34" s="765">
        <f>IF((_xlfn.XLOOKUP(D34,RUC!$B$3:$B$119,RUC!$E$3:$E$119)+ROUNDDOWN(O34,1)*100)&lt;95,95,((_xlfn.XLOOKUP(D34,RUC!$B$3:$B$119,RUC!$E$3:$E$119)+ROUNDDOWN(O34,1)*100)))</f>
        <v>100</v>
      </c>
      <c r="U34" s="1146">
        <f>_xlfn.XLOOKUP(D34,RUC!$B$3:$B$123,RUC!$F$3:$F$123)</f>
        <v>120</v>
      </c>
      <c r="V34" s="715">
        <v>1.1023000000000001</v>
      </c>
      <c r="Y34" s="1445">
        <v>40</v>
      </c>
      <c r="Z34" s="143">
        <f>_xlfn.XLOOKUP(D34,RUC!$B$3:$B$123,RUC!$H$3:$H$123)</f>
        <v>30</v>
      </c>
      <c r="AA34" s="144">
        <f t="shared" si="31"/>
        <v>70</v>
      </c>
      <c r="AB34" s="145">
        <f t="shared" si="45"/>
        <v>392.76677406400006</v>
      </c>
      <c r="AC34" s="145">
        <f>+(S34-T34)*V34-'data 1'!$F$4</f>
        <v>30.230000000000004</v>
      </c>
      <c r="AD34" s="145">
        <f t="shared" si="36"/>
        <v>118.70379668121599</v>
      </c>
      <c r="AE34" s="145">
        <f t="shared" si="37"/>
        <v>7.1610000000000014</v>
      </c>
      <c r="AF34" s="145">
        <f t="shared" si="38"/>
        <v>-21.290032254288018</v>
      </c>
      <c r="AG34" s="772">
        <f t="shared" ref="AG34:AG36" si="54">AC34+AD34+AE34+AF34+70-53</f>
        <v>151.80476442692799</v>
      </c>
      <c r="AH34" s="1253">
        <f t="shared" si="40"/>
        <v>85.626999999999995</v>
      </c>
      <c r="AI34" s="1253">
        <f t="shared" si="41"/>
        <v>88.385000000000005</v>
      </c>
      <c r="AJ34" s="156">
        <f t="shared" si="42"/>
        <v>-11.488984009216026</v>
      </c>
      <c r="AK34" s="156">
        <f t="shared" si="43"/>
        <v>72.917614738531199</v>
      </c>
      <c r="AM34" s="716">
        <f t="shared" si="44"/>
        <v>7910.3228296489615</v>
      </c>
      <c r="AN34" s="716" t="str">
        <f>_xlfn.XLOOKUP(D34,RUC!$B$3:$B$578,RUC!$M$3:$M$578)</f>
        <v xml:space="preserve">Dante </v>
      </c>
      <c r="AO34" s="1167" t="s">
        <v>2280</v>
      </c>
      <c r="AP34" t="s">
        <v>4969</v>
      </c>
      <c r="AQ34" t="s">
        <v>4970</v>
      </c>
      <c r="AV34" s="1557" t="s">
        <v>2297</v>
      </c>
      <c r="AW34" s="703">
        <f t="shared" si="50"/>
        <v>0</v>
      </c>
      <c r="AY34" s="596">
        <f t="shared" si="51"/>
        <v>0</v>
      </c>
      <c r="BA34" s="1256">
        <f t="shared" si="52"/>
        <v>0</v>
      </c>
      <c r="BB34" s="1579" t="s">
        <v>3206</v>
      </c>
      <c r="BC34" s="1580">
        <f ca="1">-BC29-BC30+BC31+BC32+BC33</f>
        <v>392.44999999999953</v>
      </c>
    </row>
    <row r="35" spans="1:55" ht="15" customHeight="1">
      <c r="A35" s="747" t="s">
        <v>4943</v>
      </c>
      <c r="B35" s="1447">
        <v>46092</v>
      </c>
      <c r="C35" s="1447">
        <v>46086</v>
      </c>
      <c r="D35" s="1699" t="s">
        <v>4171</v>
      </c>
      <c r="E35" s="762">
        <f>_xlfn.XLOOKUP(D35,RUC!$B$3:$B$123,RUC!$D$3:$D$123)</f>
        <v>20614284740</v>
      </c>
      <c r="G35" s="1082">
        <v>37</v>
      </c>
      <c r="H35" s="762" t="s">
        <v>69</v>
      </c>
      <c r="I35" s="703">
        <v>2.97</v>
      </c>
      <c r="J35" s="596">
        <v>3.2</v>
      </c>
      <c r="K35" s="703">
        <f t="shared" si="0"/>
        <v>2.875</v>
      </c>
      <c r="L35" s="994">
        <v>0.16</v>
      </c>
      <c r="M35" s="994">
        <f t="shared" si="47"/>
        <v>0.14099999999999999</v>
      </c>
      <c r="N35" s="1196">
        <f t="shared" si="48"/>
        <v>0.14099999999999999</v>
      </c>
      <c r="O35" s="645">
        <f t="shared" si="35"/>
        <v>0.14099999999999999</v>
      </c>
      <c r="P35" s="727">
        <v>85</v>
      </c>
      <c r="Q35" s="1476">
        <v>95</v>
      </c>
      <c r="R35" s="706">
        <v>5104.05</v>
      </c>
      <c r="S35" s="765">
        <f>IF((_xlfn.XLOOKUP(D35,RUC!$B$3:$B$119,RUC!$E$3:$E$119)+ROUNDDOWN(O35,1)*100)&lt;95,95,((_xlfn.XLOOKUP(D35,RUC!$B$3:$B$119,RUC!$E$3:$E$119)+ROUNDDOWN(O35,1)*100)))</f>
        <v>100</v>
      </c>
      <c r="U35" s="1146">
        <f>_xlfn.XLOOKUP(D35,RUC!$B$3:$B$123,RUC!$F$3:$F$123)</f>
        <v>120</v>
      </c>
      <c r="V35" s="715">
        <v>1.1023000000000001</v>
      </c>
      <c r="Y35" s="1445">
        <v>40</v>
      </c>
      <c r="Z35" s="143">
        <f>_xlfn.XLOOKUP(D35,RUC!$B$3:$B$123,RUC!$H$3:$H$123)</f>
        <v>30</v>
      </c>
      <c r="AA35" s="144">
        <f t="shared" si="31"/>
        <v>70</v>
      </c>
      <c r="AB35" s="145">
        <f t="shared" si="45"/>
        <v>471.05511005274997</v>
      </c>
      <c r="AC35" s="145">
        <f>+(S35-T35)*V35-'data 1'!$F$4</f>
        <v>30.230000000000004</v>
      </c>
      <c r="AD35" s="145">
        <f t="shared" si="36"/>
        <v>87.902693040000017</v>
      </c>
      <c r="AE35" s="145">
        <f t="shared" si="37"/>
        <v>7.1610000000000014</v>
      </c>
      <c r="AF35" s="145">
        <f t="shared" si="38"/>
        <v>99.165225585750079</v>
      </c>
      <c r="AG35" s="772">
        <f t="shared" si="54"/>
        <v>241.45891862575013</v>
      </c>
      <c r="AH35" s="1253">
        <f t="shared" si="40"/>
        <v>14.983000000000001</v>
      </c>
      <c r="AI35" s="1253">
        <f t="shared" si="41"/>
        <v>15.771000000000001</v>
      </c>
      <c r="AJ35" s="156">
        <f t="shared" si="42"/>
        <v>-14.08254388000003</v>
      </c>
      <c r="AK35" s="156">
        <f t="shared" si="43"/>
        <v>11.813673303653436</v>
      </c>
      <c r="AM35" s="716">
        <f t="shared" si="44"/>
        <v>1354.2834414016561</v>
      </c>
      <c r="AN35" s="716" t="str">
        <f>_xlfn.XLOOKUP(D35,RUC!$B$3:$B$578,RUC!$M$3:$M$578)</f>
        <v xml:space="preserve">Dante </v>
      </c>
      <c r="AO35" s="1167" t="s">
        <v>2278</v>
      </c>
      <c r="AP35" t="s">
        <v>4146</v>
      </c>
      <c r="AQ35" t="s">
        <v>3218</v>
      </c>
      <c r="AV35" s="1557" t="s">
        <v>2518</v>
      </c>
      <c r="AW35" s="703">
        <f t="shared" si="50"/>
        <v>0</v>
      </c>
      <c r="AY35" s="596">
        <f t="shared" si="51"/>
        <v>0</v>
      </c>
      <c r="BA35" s="1256">
        <f t="shared" si="52"/>
        <v>0</v>
      </c>
      <c r="BB35" s="1816" t="s">
        <v>5272</v>
      </c>
    </row>
    <row r="36" spans="1:55" ht="15" customHeight="1" thickBot="1">
      <c r="A36" s="747" t="s">
        <v>4954</v>
      </c>
      <c r="B36" s="1447">
        <v>46092</v>
      </c>
      <c r="C36" s="1447">
        <v>46086</v>
      </c>
      <c r="D36" s="1699" t="s">
        <v>4171</v>
      </c>
      <c r="E36" s="762">
        <f>_xlfn.XLOOKUP(D36,RUC!$B$3:$B$123,RUC!$D$3:$D$123)</f>
        <v>20614284740</v>
      </c>
      <c r="G36" s="1082">
        <v>80</v>
      </c>
      <c r="H36" s="762" t="s">
        <v>69</v>
      </c>
      <c r="I36" s="703">
        <v>7.27</v>
      </c>
      <c r="J36" s="596">
        <v>2.2000000000000002</v>
      </c>
      <c r="K36" s="703">
        <f t="shared" si="0"/>
        <v>7.11</v>
      </c>
      <c r="L36" s="762">
        <v>0.13200000000000001</v>
      </c>
      <c r="M36" s="994">
        <f t="shared" si="47"/>
        <v>0.113</v>
      </c>
      <c r="N36" s="1196">
        <f t="shared" si="48"/>
        <v>0.113</v>
      </c>
      <c r="O36" s="645">
        <f t="shared" si="35"/>
        <v>0.113</v>
      </c>
      <c r="P36" s="727">
        <v>80</v>
      </c>
      <c r="Q36" s="1476">
        <v>97.73</v>
      </c>
      <c r="R36" s="706">
        <v>5104.05</v>
      </c>
      <c r="S36" s="765">
        <f>IF((_xlfn.XLOOKUP(D36,RUC!$B$3:$B$119,RUC!$E$3:$E$119)+ROUNDDOWN(O36,1)*100)&lt;95,95,((_xlfn.XLOOKUP(D36,RUC!$B$3:$B$119,RUC!$E$3:$E$119)+ROUNDDOWN(O36,1)*100)))</f>
        <v>100</v>
      </c>
      <c r="U36" s="1146">
        <f>_xlfn.XLOOKUP(D36,RUC!$B$3:$B$123,RUC!$F$3:$F$123)</f>
        <v>120</v>
      </c>
      <c r="V36" s="715">
        <v>1.1023000000000001</v>
      </c>
      <c r="Y36" s="1445">
        <v>40</v>
      </c>
      <c r="Z36" s="143">
        <f>_xlfn.XLOOKUP(D36,RUC!$B$3:$B$123,RUC!$H$3:$H$123)</f>
        <v>30</v>
      </c>
      <c r="AA36" s="144">
        <f t="shared" si="31"/>
        <v>70</v>
      </c>
      <c r="AB36" s="145">
        <f t="shared" si="45"/>
        <v>309.25921567600005</v>
      </c>
      <c r="AC36" s="145">
        <f>+(S36-T36)*V36-'data 1'!$F$4</f>
        <v>30.230000000000004</v>
      </c>
      <c r="AD36" s="145">
        <f t="shared" si="36"/>
        <v>128.57746667693405</v>
      </c>
      <c r="AE36" s="145">
        <f t="shared" si="37"/>
        <v>7.1610000000000014</v>
      </c>
      <c r="AF36" s="145">
        <f t="shared" si="38"/>
        <v>102.01492101574053</v>
      </c>
      <c r="AG36" s="772">
        <f t="shared" si="54"/>
        <v>284.98338769267457</v>
      </c>
      <c r="AH36" s="1253">
        <f t="shared" si="40"/>
        <v>31.446999999999999</v>
      </c>
      <c r="AI36" s="1253">
        <f t="shared" si="41"/>
        <v>32.177999999999997</v>
      </c>
      <c r="AJ36" s="156">
        <f t="shared" si="42"/>
        <v>-11.951966168934028</v>
      </c>
      <c r="AK36" s="156">
        <f t="shared" si="43"/>
        <v>22.036727456809206</v>
      </c>
      <c r="AM36" s="716">
        <f t="shared" si="44"/>
        <v>2198.8330234563605</v>
      </c>
      <c r="AN36" s="716" t="str">
        <f>_xlfn.XLOOKUP(D36,RUC!$B$3:$B$578,RUC!$M$3:$M$578)</f>
        <v xml:space="preserve">Dante </v>
      </c>
      <c r="AO36" s="1167" t="s">
        <v>2278</v>
      </c>
      <c r="AP36" t="s">
        <v>4146</v>
      </c>
      <c r="AQ36" t="s">
        <v>3218</v>
      </c>
      <c r="AV36" s="1557" t="s">
        <v>2519</v>
      </c>
      <c r="AW36" s="703">
        <f t="shared" si="50"/>
        <v>0</v>
      </c>
      <c r="AY36" s="596">
        <f t="shared" si="51"/>
        <v>0</v>
      </c>
      <c r="BA36" s="1256">
        <f t="shared" si="52"/>
        <v>0</v>
      </c>
      <c r="BB36" s="1817"/>
    </row>
    <row r="37" spans="1:55" ht="15" customHeight="1" thickBot="1">
      <c r="A37" s="747" t="s">
        <v>4955</v>
      </c>
      <c r="B37" s="1447">
        <v>46092</v>
      </c>
      <c r="C37" s="1447">
        <v>46088</v>
      </c>
      <c r="D37" t="s">
        <v>2004</v>
      </c>
      <c r="E37" s="762">
        <f>_xlfn.XLOOKUP(D37,RUC!$B$3:$B$123,RUC!$D$3:$D$123)</f>
        <v>20612921866</v>
      </c>
      <c r="G37" s="1082">
        <v>10</v>
      </c>
      <c r="H37" s="762" t="s">
        <v>69</v>
      </c>
      <c r="I37" s="703">
        <v>1.1200000000000001</v>
      </c>
      <c r="J37" s="596">
        <v>2</v>
      </c>
      <c r="K37" s="703">
        <f t="shared" si="0"/>
        <v>1.0980000000000001</v>
      </c>
      <c r="L37" s="762">
        <v>0.16900000000000001</v>
      </c>
      <c r="M37" s="994">
        <f t="shared" si="47"/>
        <v>0.15</v>
      </c>
      <c r="N37" s="1196">
        <f t="shared" si="48"/>
        <v>0.15</v>
      </c>
      <c r="O37" s="645">
        <f t="shared" si="35"/>
        <v>0.15</v>
      </c>
      <c r="P37" s="727">
        <v>90</v>
      </c>
      <c r="Q37" s="1476">
        <v>98.22</v>
      </c>
      <c r="R37" s="706">
        <v>5127.55</v>
      </c>
      <c r="S37" s="765">
        <f>IF((_xlfn.XLOOKUP(D37,RUC!$B$3:$B$119,RUC!$E$3:$E$119)+ROUNDDOWN(O37,1)*100)&lt;95,95,((_xlfn.XLOOKUP(D37,RUC!$B$3:$B$119,RUC!$E$3:$E$119)+ROUNDDOWN(O37,1)*100)))</f>
        <v>95</v>
      </c>
      <c r="U37" s="1146">
        <f>_xlfn.XLOOKUP(D37,RUC!$B$3:$B$123,RUC!$F$3:$F$123)</f>
        <v>100</v>
      </c>
      <c r="V37" s="715">
        <v>1.1023000000000001</v>
      </c>
      <c r="Y37">
        <f>_xlfn.XLOOKUP(D37,RUC!$B$3:$B$123,RUC!$G$3:$G$123)</f>
        <v>0</v>
      </c>
      <c r="Z37" s="143">
        <f>_xlfn.XLOOKUP(D37,RUC!$B$3:$B$123,RUC!$H$3:$H$123)</f>
        <v>30</v>
      </c>
      <c r="AA37" s="144">
        <f t="shared" si="31"/>
        <v>30</v>
      </c>
      <c r="AB37" s="145">
        <f t="shared" si="45"/>
        <v>610.36472927500006</v>
      </c>
      <c r="AC37" s="145">
        <f>+(S37-T37)*V37-'data 1'!$F$4</f>
        <v>24.718500000000006</v>
      </c>
      <c r="AD37" s="145">
        <f t="shared" si="36"/>
        <v>76.986526952906999</v>
      </c>
      <c r="AE37" s="145">
        <f t="shared" si="37"/>
        <v>-36.930999999999997</v>
      </c>
      <c r="AF37" s="145">
        <f t="shared" si="38"/>
        <v>103.42123905395709</v>
      </c>
      <c r="AG37" s="772">
        <f t="shared" ref="AG37:AG38" si="55">AC37+AD37+AE37+AF37+70-10</f>
        <v>228.1952660068641</v>
      </c>
      <c r="AH37" s="1253">
        <f t="shared" si="40"/>
        <v>6.2489999999999997</v>
      </c>
      <c r="AI37" s="1253">
        <f t="shared" si="41"/>
        <v>6.3620000000000001</v>
      </c>
      <c r="AJ37" s="156">
        <f t="shared" si="42"/>
        <v>-23.338175683407034</v>
      </c>
      <c r="AK37" s="156">
        <f t="shared" si="43"/>
        <v>5.0821230706515008</v>
      </c>
      <c r="AM37" s="716">
        <f t="shared" si="44"/>
        <v>670.18047274395008</v>
      </c>
      <c r="AN37" s="716" t="str">
        <f>_xlfn.XLOOKUP(D37,RUC!$B$3:$B$578,RUC!$M$3:$M$578)</f>
        <v>Ronald Garibay</v>
      </c>
      <c r="AO37" s="1167" t="s">
        <v>2277</v>
      </c>
      <c r="AP37" t="s">
        <v>4971</v>
      </c>
      <c r="AQ37" t="s">
        <v>4972</v>
      </c>
      <c r="AV37" s="1557" t="s">
        <v>2520</v>
      </c>
      <c r="AW37" s="703">
        <f t="shared" si="50"/>
        <v>0</v>
      </c>
      <c r="AY37" s="596">
        <f t="shared" si="51"/>
        <v>0</v>
      </c>
      <c r="BA37" s="1256">
        <f t="shared" si="52"/>
        <v>0</v>
      </c>
      <c r="BB37" s="1817" t="s">
        <v>5273</v>
      </c>
      <c r="BC37" s="1818">
        <f ca="1">+BC34-308</f>
        <v>84.449999999999534</v>
      </c>
    </row>
    <row r="38" spans="1:55" ht="15" customHeight="1" thickBot="1">
      <c r="A38" s="747" t="s">
        <v>4956</v>
      </c>
      <c r="B38" s="1447">
        <v>46092</v>
      </c>
      <c r="C38" s="1447">
        <v>46088</v>
      </c>
      <c r="D38" t="s">
        <v>2004</v>
      </c>
      <c r="E38" s="762">
        <f>_xlfn.XLOOKUP(D38,RUC!$B$3:$B$123,RUC!$D$3:$D$123)</f>
        <v>20612921866</v>
      </c>
      <c r="G38" s="1082">
        <v>87</v>
      </c>
      <c r="H38" s="762" t="s">
        <v>69</v>
      </c>
      <c r="I38" s="703">
        <v>10.48</v>
      </c>
      <c r="J38" s="596">
        <v>2</v>
      </c>
      <c r="K38" s="703">
        <f t="shared" si="0"/>
        <v>10.27</v>
      </c>
      <c r="L38" s="762">
        <v>0.16200000000000001</v>
      </c>
      <c r="M38" s="994">
        <f t="shared" si="47"/>
        <v>0.14299999999999999</v>
      </c>
      <c r="N38" s="1196">
        <f t="shared" si="48"/>
        <v>0.14299999999999999</v>
      </c>
      <c r="O38" s="645">
        <f t="shared" si="35"/>
        <v>0.14299999999999999</v>
      </c>
      <c r="P38" s="727">
        <v>90</v>
      </c>
      <c r="Q38" s="1476">
        <v>95.68</v>
      </c>
      <c r="R38" s="706">
        <v>5127.55</v>
      </c>
      <c r="S38" s="765">
        <f>IF((_xlfn.XLOOKUP(D38,RUC!$B$3:$B$119,RUC!$E$3:$E$119)+ROUNDDOWN(O38,1)*100)&lt;95,95,((_xlfn.XLOOKUP(D38,RUC!$B$3:$B$119,RUC!$E$3:$E$119)+ROUNDDOWN(O38,1)*100)))</f>
        <v>95</v>
      </c>
      <c r="U38" s="1146">
        <f>_xlfn.XLOOKUP(D38,RUC!$B$3:$B$123,RUC!$F$3:$F$123)</f>
        <v>100</v>
      </c>
      <c r="V38" s="715">
        <v>1.1023000000000001</v>
      </c>
      <c r="Y38">
        <f>_xlfn.XLOOKUP(D38,RUC!$B$3:$B$123,RUC!$G$3:$G$123)</f>
        <v>0</v>
      </c>
      <c r="Z38" s="143">
        <f>_xlfn.XLOOKUP(D38,RUC!$B$3:$B$123,RUC!$H$3:$H$123)</f>
        <v>30</v>
      </c>
      <c r="AA38" s="144">
        <f t="shared" si="31"/>
        <v>30</v>
      </c>
      <c r="AB38" s="145">
        <f t="shared" si="45"/>
        <v>575.45095857550007</v>
      </c>
      <c r="AC38" s="145">
        <f>+(S38-T38)*V38-'data 1'!$F$4</f>
        <v>24.718500000000006</v>
      </c>
      <c r="AD38" s="145">
        <f t="shared" si="36"/>
        <v>50.994055947384069</v>
      </c>
      <c r="AE38" s="145">
        <f t="shared" si="37"/>
        <v>-36.930999999999997</v>
      </c>
      <c r="AF38" s="145">
        <f t="shared" si="38"/>
        <v>100.74673338100811</v>
      </c>
      <c r="AG38" s="772">
        <f t="shared" si="55"/>
        <v>199.52828932839219</v>
      </c>
      <c r="AH38" s="1253">
        <f t="shared" si="40"/>
        <v>54.578000000000003</v>
      </c>
      <c r="AI38" s="1253">
        <f t="shared" si="41"/>
        <v>57.042000000000002</v>
      </c>
      <c r="AJ38" s="156">
        <f t="shared" si="42"/>
        <v>-21.79297153238403</v>
      </c>
      <c r="AK38" s="156">
        <f t="shared" si="43"/>
        <v>45.316677369699448</v>
      </c>
      <c r="AM38" s="716">
        <f t="shared" si="44"/>
        <v>5909.8813445703854</v>
      </c>
      <c r="AN38" s="716" t="str">
        <f>_xlfn.XLOOKUP(D38,RUC!$B$3:$B$578,RUC!$M$3:$M$578)</f>
        <v>Ronald Garibay</v>
      </c>
      <c r="AO38" s="1167" t="s">
        <v>2277</v>
      </c>
      <c r="AP38" t="s">
        <v>4971</v>
      </c>
      <c r="AQ38" t="s">
        <v>4972</v>
      </c>
      <c r="AV38" s="1558" t="s">
        <v>2521</v>
      </c>
      <c r="AW38" s="1254">
        <f t="shared" si="50"/>
        <v>0</v>
      </c>
      <c r="AX38" s="1257"/>
      <c r="AY38" s="1242">
        <f t="shared" si="51"/>
        <v>0</v>
      </c>
      <c r="AZ38" s="1257"/>
      <c r="BA38" s="1258">
        <f t="shared" si="52"/>
        <v>0</v>
      </c>
    </row>
    <row r="39" spans="1:55" ht="14.25" customHeight="1">
      <c r="A39" s="747" t="s">
        <v>4957</v>
      </c>
      <c r="B39" s="1447">
        <v>46100</v>
      </c>
      <c r="C39" s="1447">
        <v>46089</v>
      </c>
      <c r="D39" t="s">
        <v>1967</v>
      </c>
      <c r="E39" s="762">
        <f>_xlfn.XLOOKUP(D39,RUC!$B$3:$B$123,RUC!$D$3:$D$123)</f>
        <v>20601769396</v>
      </c>
      <c r="G39" s="1082">
        <v>15</v>
      </c>
      <c r="H39" s="762" t="s">
        <v>2005</v>
      </c>
      <c r="I39" s="703">
        <v>1.1599999999999999</v>
      </c>
      <c r="J39" s="596">
        <v>6.4</v>
      </c>
      <c r="K39" s="703">
        <f t="shared" si="0"/>
        <v>1.0860000000000001</v>
      </c>
      <c r="L39" s="994">
        <v>0.27100000000000002</v>
      </c>
      <c r="M39" s="994">
        <f t="shared" si="47"/>
        <v>0.252</v>
      </c>
      <c r="N39" s="1196">
        <f t="shared" si="48"/>
        <v>0.252</v>
      </c>
      <c r="O39" s="645">
        <f t="shared" si="35"/>
        <v>0.252</v>
      </c>
      <c r="P39" s="727">
        <v>85</v>
      </c>
      <c r="Q39" s="1476">
        <v>85.98</v>
      </c>
      <c r="R39" s="706">
        <v>5086.3500000000004</v>
      </c>
      <c r="S39" s="765">
        <f>IF((_xlfn.XLOOKUP(D39,RUC!$B$3:$B$119,RUC!$E$3:$E$119)+ROUNDDOWN(O39,1)*100)&lt;95,95,((_xlfn.XLOOKUP(D39,RUC!$B$3:$B$119,RUC!$E$3:$E$119)+ROUNDDOWN(O39,1)*100)))</f>
        <v>110</v>
      </c>
      <c r="U39" s="1146">
        <f>_xlfn.XLOOKUP(D39,RUC!$B$3:$B$123,RUC!$F$3:$F$123)</f>
        <v>120</v>
      </c>
      <c r="V39" s="715">
        <v>1.1023000000000001</v>
      </c>
      <c r="Y39">
        <f>_xlfn.XLOOKUP(D39,RUC!$B$3:$B$123,RUC!$G$3:$G$123)</f>
        <v>20</v>
      </c>
      <c r="Z39" s="143">
        <f>_xlfn.XLOOKUP(D39,RUC!$B$3:$B$123,RUC!$H$3:$H$123)</f>
        <v>30</v>
      </c>
      <c r="AA39" s="144">
        <f t="shared" si="31"/>
        <v>50</v>
      </c>
      <c r="AB39" s="145">
        <f t="shared" si="45"/>
        <v>996.25010899100027</v>
      </c>
      <c r="AC39" s="145">
        <f>+(S39-T39)*V39-'data 1'!$F$4</f>
        <v>41.253</v>
      </c>
      <c r="AD39" s="145">
        <f t="shared" si="36"/>
        <v>14.538931717359063</v>
      </c>
      <c r="AE39" s="145">
        <f t="shared" si="37"/>
        <v>-14.884999999999998</v>
      </c>
      <c r="AF39" s="145">
        <f t="shared" si="38"/>
        <v>89.431017516801091</v>
      </c>
      <c r="AG39" s="772">
        <f>AC39+AD39+AE39+AF39+70-53</f>
        <v>147.33794923416016</v>
      </c>
      <c r="AH39" s="1253">
        <f t="shared" si="40"/>
        <v>8.6760000000000002</v>
      </c>
      <c r="AI39" s="1253">
        <f t="shared" si="41"/>
        <v>10.09</v>
      </c>
      <c r="AJ39" s="156">
        <f t="shared" si="42"/>
        <v>-17.041486163109095</v>
      </c>
      <c r="AK39" s="156">
        <f t="shared" si="43"/>
        <v>7.9755081106566603</v>
      </c>
      <c r="AM39" s="716">
        <f t="shared" si="44"/>
        <v>1081.9276183642264</v>
      </c>
      <c r="AN39" s="716" t="str">
        <f>_xlfn.XLOOKUP(D39,RUC!$B$3:$B$578,RUC!$M$3:$M$578)</f>
        <v>Evelyn</v>
      </c>
      <c r="AO39" s="1167" t="s">
        <v>2277</v>
      </c>
      <c r="AP39" t="s">
        <v>4189</v>
      </c>
      <c r="AQ39" t="s">
        <v>4973</v>
      </c>
    </row>
    <row r="40" spans="1:55" ht="15" customHeight="1">
      <c r="A40" s="747" t="s">
        <v>4958</v>
      </c>
      <c r="B40" s="1447">
        <v>46100</v>
      </c>
      <c r="C40" s="1447">
        <v>46089</v>
      </c>
      <c r="D40" t="s">
        <v>1967</v>
      </c>
      <c r="E40" s="762">
        <f>_xlfn.XLOOKUP(D40,RUC!$B$3:$B$123,RUC!$D$3:$D$123)</f>
        <v>20601769396</v>
      </c>
      <c r="G40" s="1082">
        <v>15</v>
      </c>
      <c r="H40" s="762" t="s">
        <v>2005</v>
      </c>
      <c r="I40" s="703">
        <v>1.06</v>
      </c>
      <c r="J40" s="596">
        <v>6.8</v>
      </c>
      <c r="K40" s="703">
        <f t="shared" si="0"/>
        <v>0.98799999999999999</v>
      </c>
      <c r="L40" s="994">
        <v>0.26</v>
      </c>
      <c r="M40" s="994">
        <f t="shared" si="47"/>
        <v>0.24099999999999999</v>
      </c>
      <c r="N40" s="1196">
        <f t="shared" si="48"/>
        <v>0.24099999999999999</v>
      </c>
      <c r="O40" s="645">
        <f t="shared" si="35"/>
        <v>0.24099999999999999</v>
      </c>
      <c r="P40" s="727">
        <v>82</v>
      </c>
      <c r="Q40" s="1476">
        <v>82.73</v>
      </c>
      <c r="R40" s="706">
        <v>5086.3500000000004</v>
      </c>
      <c r="S40" s="765">
        <f>IF((_xlfn.XLOOKUP(D40,RUC!$B$3:$B$119,RUC!$E$3:$E$119)+ROUNDDOWN(O40,1)*100)&lt;95,95,((_xlfn.XLOOKUP(D40,RUC!$B$3:$B$119,RUC!$E$3:$E$119)+ROUNDDOWN(O40,1)*100)))</f>
        <v>110</v>
      </c>
      <c r="U40" s="1146">
        <f>_xlfn.XLOOKUP(D40,RUC!$B$3:$B$123,RUC!$F$3:$F$123)</f>
        <v>120</v>
      </c>
      <c r="V40" s="715">
        <v>1.1023000000000001</v>
      </c>
      <c r="Y40">
        <f>_xlfn.XLOOKUP(D40,RUC!$B$3:$B$123,RUC!$G$3:$G$123)</f>
        <v>20</v>
      </c>
      <c r="Z40" s="143">
        <f>_xlfn.XLOOKUP(D40,RUC!$B$3:$B$123,RUC!$H$3:$H$123)</f>
        <v>30</v>
      </c>
      <c r="AA40" s="144">
        <f t="shared" si="31"/>
        <v>50</v>
      </c>
      <c r="AB40" s="145">
        <f t="shared" si="45"/>
        <v>905.48443090010005</v>
      </c>
      <c r="AC40" s="145">
        <f>+(S40-T40)*V40-'data 1'!$F$4</f>
        <v>41.253</v>
      </c>
      <c r="AD40" s="145">
        <f t="shared" si="36"/>
        <v>10.390425634290059</v>
      </c>
      <c r="AE40" s="145">
        <f t="shared" si="37"/>
        <v>-14.884999999999998</v>
      </c>
      <c r="AF40" s="145">
        <f t="shared" si="38"/>
        <v>86.050570820713602</v>
      </c>
      <c r="AG40" s="772">
        <f t="shared" ref="AG40:AG48" si="56">AC40+AD40+AE40+AF40+70-53</f>
        <v>139.80899645500367</v>
      </c>
      <c r="AH40" s="1253">
        <f t="shared" si="40"/>
        <v>7.2859999999999996</v>
      </c>
      <c r="AI40" s="1253">
        <f t="shared" si="41"/>
        <v>8.8070000000000004</v>
      </c>
      <c r="AJ40" s="156">
        <f t="shared" si="42"/>
        <v>-15.731752560290088</v>
      </c>
      <c r="AK40" s="156">
        <f t="shared" si="43"/>
        <v>6.6941726458037092</v>
      </c>
      <c r="AM40" s="716">
        <f t="shared" si="44"/>
        <v>894.61861772929888</v>
      </c>
      <c r="AN40" s="716" t="str">
        <f>_xlfn.XLOOKUP(D40,RUC!$B$3:$B$578,RUC!$M$3:$M$578)</f>
        <v>Evelyn</v>
      </c>
      <c r="AO40" s="1167" t="s">
        <v>2277</v>
      </c>
      <c r="AP40" t="s">
        <v>4189</v>
      </c>
      <c r="AQ40" t="s">
        <v>4973</v>
      </c>
    </row>
    <row r="41" spans="1:55" ht="15" customHeight="1">
      <c r="A41" s="747" t="s">
        <v>4959</v>
      </c>
      <c r="B41" s="1447">
        <v>46100</v>
      </c>
      <c r="C41" s="1447">
        <v>46089</v>
      </c>
      <c r="D41" t="s">
        <v>1967</v>
      </c>
      <c r="E41" s="762">
        <f>_xlfn.XLOOKUP(D41,RUC!$B$3:$B$123,RUC!$D$3:$D$123)</f>
        <v>20601769396</v>
      </c>
      <c r="G41" s="1082">
        <v>15</v>
      </c>
      <c r="H41" s="762" t="s">
        <v>2005</v>
      </c>
      <c r="I41" s="703">
        <v>1.1200000000000001</v>
      </c>
      <c r="J41" s="596">
        <v>6</v>
      </c>
      <c r="K41" s="703">
        <f t="shared" si="0"/>
        <v>1.0529999999999999</v>
      </c>
      <c r="L41" s="994">
        <v>0.30399999999999999</v>
      </c>
      <c r="M41" s="994">
        <f t="shared" si="47"/>
        <v>0.28599999999999998</v>
      </c>
      <c r="N41" s="1196">
        <f t="shared" si="48"/>
        <v>0.28599999999999998</v>
      </c>
      <c r="O41" s="645">
        <f t="shared" si="35"/>
        <v>0.28599999999999998</v>
      </c>
      <c r="P41" s="727">
        <v>89</v>
      </c>
      <c r="Q41" s="1476">
        <v>89.7</v>
      </c>
      <c r="R41" s="706">
        <v>5086.3500000000004</v>
      </c>
      <c r="S41" s="765">
        <f>IF((_xlfn.XLOOKUP(D41,RUC!$B$3:$B$119,RUC!$E$3:$E$119)+ROUNDDOWN(O41,1)*100)&lt;95,95,((_xlfn.XLOOKUP(D41,RUC!$B$3:$B$119,RUC!$E$3:$E$119)+ROUNDDOWN(O41,1)*100)))</f>
        <v>110</v>
      </c>
      <c r="U41" s="1146">
        <f>_xlfn.XLOOKUP(D41,RUC!$B$3:$B$123,RUC!$F$3:$F$123)</f>
        <v>120</v>
      </c>
      <c r="V41" s="715">
        <v>1.1023000000000001</v>
      </c>
      <c r="Y41">
        <f>_xlfn.XLOOKUP(D41,RUC!$B$3:$B$123,RUC!$G$3:$G$123)</f>
        <v>20</v>
      </c>
      <c r="Z41" s="143">
        <f>_xlfn.XLOOKUP(D41,RUC!$B$3:$B$123,RUC!$H$3:$H$123)</f>
        <v>30</v>
      </c>
      <c r="AA41" s="144">
        <f t="shared" si="31"/>
        <v>50</v>
      </c>
      <c r="AB41" s="145">
        <f t="shared" si="45"/>
        <v>1217.0877117767</v>
      </c>
      <c r="AC41" s="145">
        <f>+(S41-T41)*V41-'data 1'!$F$4</f>
        <v>41.253</v>
      </c>
      <c r="AD41" s="145">
        <f t="shared" si="36"/>
        <v>11.649539383440047</v>
      </c>
      <c r="AE41" s="145">
        <f t="shared" si="37"/>
        <v>-14.884999999999998</v>
      </c>
      <c r="AF41" s="145">
        <f t="shared" si="38"/>
        <v>88.389785190330088</v>
      </c>
      <c r="AG41" s="772">
        <f t="shared" si="56"/>
        <v>143.40732457377013</v>
      </c>
      <c r="AH41" s="1253">
        <f t="shared" si="40"/>
        <v>9.8450000000000006</v>
      </c>
      <c r="AI41" s="1253">
        <f t="shared" si="41"/>
        <v>10.975</v>
      </c>
      <c r="AJ41" s="156">
        <f t="shared" si="42"/>
        <v>-19.94374723224011</v>
      </c>
      <c r="AK41" s="156">
        <f t="shared" si="43"/>
        <v>9.1895338159820898</v>
      </c>
      <c r="AM41" s="716">
        <f t="shared" si="44"/>
        <v>1281.5933605008649</v>
      </c>
      <c r="AN41" s="716" t="str">
        <f>_xlfn.XLOOKUP(D41,RUC!$B$3:$B$578,RUC!$M$3:$M$578)</f>
        <v>Evelyn</v>
      </c>
      <c r="AO41" s="1167" t="s">
        <v>2277</v>
      </c>
      <c r="AP41" t="s">
        <v>4189</v>
      </c>
      <c r="AQ41" t="s">
        <v>4973</v>
      </c>
    </row>
    <row r="42" spans="1:55" ht="15" customHeight="1">
      <c r="A42" s="747" t="s">
        <v>4960</v>
      </c>
      <c r="B42" s="1447">
        <v>46093</v>
      </c>
      <c r="C42" s="1447">
        <v>46089</v>
      </c>
      <c r="D42" t="s">
        <v>1967</v>
      </c>
      <c r="E42" s="762">
        <f>_xlfn.XLOOKUP(D42,RUC!$B$3:$B$123,RUC!$D$3:$D$123)</f>
        <v>20601769396</v>
      </c>
      <c r="G42" s="1082">
        <v>15</v>
      </c>
      <c r="H42" s="762" t="s">
        <v>2005</v>
      </c>
      <c r="I42" s="703">
        <v>1.24</v>
      </c>
      <c r="J42" s="596">
        <v>12.35</v>
      </c>
      <c r="K42" s="703">
        <f t="shared" si="0"/>
        <v>1.087</v>
      </c>
      <c r="L42" s="762">
        <v>0.66700000000000004</v>
      </c>
      <c r="M42" s="994">
        <f t="shared" si="47"/>
        <v>0.627</v>
      </c>
      <c r="N42" s="1196">
        <f t="shared" si="48"/>
        <v>0.627</v>
      </c>
      <c r="O42" s="645">
        <f t="shared" si="35"/>
        <v>0.627</v>
      </c>
      <c r="P42" s="727">
        <v>90</v>
      </c>
      <c r="Q42" s="1476">
        <v>91</v>
      </c>
      <c r="R42" s="706">
        <v>5086.3500000000004</v>
      </c>
      <c r="S42" s="765">
        <f>IF((_xlfn.XLOOKUP(D42,RUC!$B$3:$B$119,RUC!$E$3:$E$119)+ROUNDDOWN(O42,1)*100)&lt;95,95,((_xlfn.XLOOKUP(D42,RUC!$B$3:$B$119,RUC!$E$3:$E$119)+ROUNDDOWN(O42,1)*100)))</f>
        <v>150</v>
      </c>
      <c r="U42" s="1146">
        <f>_xlfn.XLOOKUP(D42,RUC!$B$3:$B$123,RUC!$F$3:$F$123)</f>
        <v>120</v>
      </c>
      <c r="V42" s="715">
        <v>1.1023000000000001</v>
      </c>
      <c r="Y42">
        <f>_xlfn.XLOOKUP(D42,RUC!$B$3:$B$123,RUC!$G$3:$G$123)</f>
        <v>20</v>
      </c>
      <c r="Z42" s="143">
        <f>_xlfn.XLOOKUP(D42,RUC!$B$3:$B$123,RUC!$H$3:$H$123)</f>
        <v>30</v>
      </c>
      <c r="AA42" s="144">
        <f t="shared" si="31"/>
        <v>50</v>
      </c>
      <c r="AB42" s="145">
        <f t="shared" si="45"/>
        <v>2868.7482115015005</v>
      </c>
      <c r="AC42" s="145">
        <f>+(S42-T42)*V42-'data 1'!$F$4</f>
        <v>85.344999999999999</v>
      </c>
      <c r="AD42" s="145">
        <f t="shared" si="36"/>
        <v>36.514298725350002</v>
      </c>
      <c r="AE42" s="145">
        <f t="shared" si="37"/>
        <v>-14.884999999999998</v>
      </c>
      <c r="AF42" s="145">
        <f t="shared" si="38"/>
        <v>199.26843682200018</v>
      </c>
      <c r="AG42" s="772">
        <f t="shared" si="56"/>
        <v>323.24273554735021</v>
      </c>
      <c r="AH42" s="1253">
        <f t="shared" si="40"/>
        <v>22.620999999999999</v>
      </c>
      <c r="AI42" s="1253">
        <f t="shared" si="41"/>
        <v>24.858000000000001</v>
      </c>
      <c r="AJ42" s="156">
        <f t="shared" si="42"/>
        <v>-44.392332106850247</v>
      </c>
      <c r="AK42" s="156">
        <f t="shared" si="43"/>
        <v>21.030454746080505</v>
      </c>
      <c r="AM42" s="716">
        <f t="shared" si="44"/>
        <v>3118.3293059021307</v>
      </c>
      <c r="AN42" s="716" t="str">
        <f>_xlfn.XLOOKUP(D42,RUC!$B$3:$B$578,RUC!$M$3:$M$578)</f>
        <v>Evelyn</v>
      </c>
      <c r="AO42" s="1167" t="s">
        <v>2277</v>
      </c>
      <c r="AP42" t="s">
        <v>4189</v>
      </c>
      <c r="AQ42" t="s">
        <v>4973</v>
      </c>
    </row>
    <row r="43" spans="1:55" ht="15" customHeight="1">
      <c r="A43" s="747" t="s">
        <v>4961</v>
      </c>
      <c r="B43" s="1447">
        <v>46093</v>
      </c>
      <c r="C43" s="1447">
        <v>46089</v>
      </c>
      <c r="D43" t="s">
        <v>1967</v>
      </c>
      <c r="E43" s="762">
        <f>_xlfn.XLOOKUP(D43,RUC!$B$3:$B$123,RUC!$D$3:$D$123)</f>
        <v>20601769396</v>
      </c>
      <c r="G43" s="1082">
        <v>16</v>
      </c>
      <c r="H43" s="762" t="s">
        <v>2005</v>
      </c>
      <c r="I43" s="703">
        <v>1.38</v>
      </c>
      <c r="J43" s="596">
        <v>10</v>
      </c>
      <c r="K43" s="703">
        <f t="shared" ref="K43:K92" si="57">ROUND(+I43-(I43*(J43/100)),3)</f>
        <v>1.242</v>
      </c>
      <c r="L43" s="762">
        <v>0.754</v>
      </c>
      <c r="M43" s="994">
        <f t="shared" si="47"/>
        <v>0.70899999999999996</v>
      </c>
      <c r="N43" s="1196">
        <f t="shared" si="48"/>
        <v>0.70899999999999996</v>
      </c>
      <c r="O43" s="645">
        <f t="shared" si="35"/>
        <v>0.70899999999999996</v>
      </c>
      <c r="P43" s="727">
        <v>90</v>
      </c>
      <c r="Q43" s="1476">
        <v>94.43</v>
      </c>
      <c r="R43" s="706">
        <v>5086.3500000000004</v>
      </c>
      <c r="S43" s="765">
        <f>IF((_xlfn.XLOOKUP(D43,RUC!$B$3:$B$119,RUC!$E$3:$E$119)+ROUNDDOWN(O43,1)*100)&lt;95,95,((_xlfn.XLOOKUP(D43,RUC!$B$3:$B$119,RUC!$E$3:$E$119)+ROUNDDOWN(O43,1)*100)))</f>
        <v>160</v>
      </c>
      <c r="U43" s="1146">
        <f>_xlfn.XLOOKUP(D43,RUC!$B$3:$B$123,RUC!$F$3:$F$123)</f>
        <v>120</v>
      </c>
      <c r="V43" s="715">
        <v>1.1023000000000001</v>
      </c>
      <c r="Y43">
        <f>_xlfn.XLOOKUP(D43,RUC!$B$3:$B$123,RUC!$G$3:$G$123)</f>
        <v>20</v>
      </c>
      <c r="Z43" s="143">
        <f>_xlfn.XLOOKUP(D43,RUC!$B$3:$B$123,RUC!$H$3:$H$123)</f>
        <v>30</v>
      </c>
      <c r="AA43" s="144">
        <f t="shared" si="31"/>
        <v>50</v>
      </c>
      <c r="AB43" s="145">
        <f t="shared" si="45"/>
        <v>3261.7364927504996</v>
      </c>
      <c r="AC43" s="145">
        <f>+(S43-T43)*V43-'data 1'!$F$4</f>
        <v>96.367999999999995</v>
      </c>
      <c r="AD43" s="145">
        <f t="shared" si="36"/>
        <v>182.85725770373128</v>
      </c>
      <c r="AE43" s="145">
        <f t="shared" si="37"/>
        <v>-14.884999999999998</v>
      </c>
      <c r="AF43" s="145">
        <f t="shared" si="38"/>
        <v>232.62673956306776</v>
      </c>
      <c r="AG43" s="772">
        <f t="shared" si="56"/>
        <v>513.96699726679901</v>
      </c>
      <c r="AH43" s="1253">
        <f t="shared" si="40"/>
        <v>30.318999999999999</v>
      </c>
      <c r="AI43" s="1253">
        <f t="shared" si="41"/>
        <v>32.106999999999999</v>
      </c>
      <c r="AJ43" s="156">
        <f t="shared" si="42"/>
        <v>-52.074135662731287</v>
      </c>
      <c r="AK43" s="156">
        <f t="shared" si="43"/>
        <v>27.171862594463608</v>
      </c>
      <c r="AM43" s="716">
        <f t="shared" si="44"/>
        <v>4051.0767239961206</v>
      </c>
      <c r="AN43" s="716" t="str">
        <f>_xlfn.XLOOKUP(D43,RUC!$B$3:$B$578,RUC!$M$3:$M$578)</f>
        <v>Evelyn</v>
      </c>
      <c r="AO43" s="1167" t="s">
        <v>2277</v>
      </c>
      <c r="AP43" t="s">
        <v>4189</v>
      </c>
      <c r="AQ43" t="s">
        <v>4973</v>
      </c>
    </row>
    <row r="44" spans="1:55" ht="15" customHeight="1">
      <c r="A44" s="747" t="s">
        <v>4962</v>
      </c>
      <c r="B44" s="1447">
        <v>46093</v>
      </c>
      <c r="C44" s="1447">
        <v>46089</v>
      </c>
      <c r="D44" t="s">
        <v>1967</v>
      </c>
      <c r="E44" s="762">
        <f>_xlfn.XLOOKUP(D44,RUC!$B$3:$B$123,RUC!$D$3:$D$123)</f>
        <v>20601769396</v>
      </c>
      <c r="G44" s="1082">
        <v>16</v>
      </c>
      <c r="H44" s="762" t="s">
        <v>2005</v>
      </c>
      <c r="I44" s="703">
        <v>1.31</v>
      </c>
      <c r="J44" s="596">
        <v>11.37</v>
      </c>
      <c r="K44" s="703">
        <f t="shared" si="57"/>
        <v>1.161</v>
      </c>
      <c r="L44" s="994">
        <v>0.70899999999999996</v>
      </c>
      <c r="M44" s="994">
        <f t="shared" si="47"/>
        <v>0.66600000000000004</v>
      </c>
      <c r="N44" s="1196">
        <f t="shared" si="48"/>
        <v>0.66600000000000004</v>
      </c>
      <c r="O44" s="645">
        <f t="shared" si="35"/>
        <v>0.66600000000000004</v>
      </c>
      <c r="P44" s="727">
        <v>90</v>
      </c>
      <c r="Q44" s="1476">
        <v>95.91</v>
      </c>
      <c r="R44" s="706">
        <v>5086.3500000000004</v>
      </c>
      <c r="S44" s="765">
        <f>IF((_xlfn.XLOOKUP(D44,RUC!$B$3:$B$119,RUC!$E$3:$E$119)+ROUNDDOWN(O44,1)*100)&lt;95,95,((_xlfn.XLOOKUP(D44,RUC!$B$3:$B$119,RUC!$E$3:$E$119)+ROUNDDOWN(O44,1)*100)))</f>
        <v>150</v>
      </c>
      <c r="U44" s="1146">
        <f>_xlfn.XLOOKUP(D44,RUC!$B$3:$B$123,RUC!$F$3:$F$123)</f>
        <v>120</v>
      </c>
      <c r="V44" s="715">
        <v>1.1023000000000001</v>
      </c>
      <c r="Y44">
        <f>_xlfn.XLOOKUP(D44,RUC!$B$3:$B$123,RUC!$G$3:$G$123)</f>
        <v>20</v>
      </c>
      <c r="Z44" s="143">
        <f>_xlfn.XLOOKUP(D44,RUC!$B$3:$B$123,RUC!$H$3:$H$123)</f>
        <v>30</v>
      </c>
      <c r="AA44" s="144">
        <f t="shared" si="31"/>
        <v>50</v>
      </c>
      <c r="AB44" s="145">
        <f t="shared" si="45"/>
        <v>3060.8999184370005</v>
      </c>
      <c r="AC44" s="145">
        <f>+(S44-T44)*V44-'data 1'!$F$4</f>
        <v>85.344999999999999</v>
      </c>
      <c r="AD44" s="145">
        <f t="shared" si="36"/>
        <v>229.38808002394941</v>
      </c>
      <c r="AE44" s="145">
        <f t="shared" si="37"/>
        <v>-14.884999999999998</v>
      </c>
      <c r="AF44" s="145">
        <f t="shared" si="38"/>
        <v>225.77168636008614</v>
      </c>
      <c r="AG44" s="772">
        <f t="shared" si="56"/>
        <v>542.61976638403553</v>
      </c>
      <c r="AH44" s="1253">
        <f t="shared" si="40"/>
        <v>27.068000000000001</v>
      </c>
      <c r="AI44" s="1253">
        <f t="shared" si="41"/>
        <v>28.222000000000001</v>
      </c>
      <c r="AJ44" s="156">
        <f t="shared" si="42"/>
        <v>-49.733710361449766</v>
      </c>
      <c r="AK44" s="156">
        <f t="shared" si="43"/>
        <v>23.859318114314373</v>
      </c>
      <c r="AM44" s="716">
        <f t="shared" si="44"/>
        <v>3553.7048053053577</v>
      </c>
      <c r="AN44" s="716" t="str">
        <f>_xlfn.XLOOKUP(D44,RUC!$B$3:$B$578,RUC!$M$3:$M$578)</f>
        <v>Evelyn</v>
      </c>
      <c r="AO44" s="1167" t="s">
        <v>2277</v>
      </c>
      <c r="AP44" t="s">
        <v>4189</v>
      </c>
      <c r="AQ44" t="s">
        <v>4973</v>
      </c>
    </row>
    <row r="45" spans="1:55" ht="15" customHeight="1">
      <c r="A45" s="747" t="s">
        <v>4963</v>
      </c>
      <c r="B45" s="1447">
        <v>46094</v>
      </c>
      <c r="C45" s="1447">
        <v>46089</v>
      </c>
      <c r="D45" t="s">
        <v>1967</v>
      </c>
      <c r="E45" s="762">
        <f>_xlfn.XLOOKUP(D45,RUC!$B$3:$B$123,RUC!$D$3:$D$123)</f>
        <v>20601769396</v>
      </c>
      <c r="G45" s="1082">
        <v>41</v>
      </c>
      <c r="H45" s="762" t="s">
        <v>2005</v>
      </c>
      <c r="I45" s="703">
        <v>2.97</v>
      </c>
      <c r="J45" s="596">
        <v>13.7</v>
      </c>
      <c r="K45" s="703">
        <f t="shared" si="57"/>
        <v>2.5630000000000002</v>
      </c>
      <c r="L45" s="994">
        <v>0.214</v>
      </c>
      <c r="M45" s="994">
        <f t="shared" si="47"/>
        <v>0.19500000000000001</v>
      </c>
      <c r="N45" s="1196">
        <f t="shared" si="48"/>
        <v>0.19500000000000001</v>
      </c>
      <c r="O45" s="645">
        <f t="shared" si="35"/>
        <v>0.19500000000000001</v>
      </c>
      <c r="P45" s="727">
        <v>90</v>
      </c>
      <c r="Q45" s="1476">
        <v>96.26</v>
      </c>
      <c r="R45" s="706">
        <v>5086.3500000000004</v>
      </c>
      <c r="S45" s="765">
        <f>IF((_xlfn.XLOOKUP(D45,RUC!$B$3:$B$119,RUC!$E$3:$E$119)+ROUNDDOWN(O45,1)*100)&lt;95,95,((_xlfn.XLOOKUP(D45,RUC!$B$3:$B$119,RUC!$E$3:$E$119)+ROUNDDOWN(O45,1)*100)))</f>
        <v>100</v>
      </c>
      <c r="U45" s="1146">
        <f>_xlfn.XLOOKUP(D45,RUC!$B$3:$B$123,RUC!$F$3:$F$123)</f>
        <v>120</v>
      </c>
      <c r="V45" s="715">
        <v>1.1023000000000001</v>
      </c>
      <c r="Y45">
        <f>_xlfn.XLOOKUP(D45,RUC!$B$3:$B$123,RUC!$G$3:$G$123)</f>
        <v>20</v>
      </c>
      <c r="Z45" s="143">
        <f>_xlfn.XLOOKUP(D45,RUC!$B$3:$B$123,RUC!$H$3:$H$123)</f>
        <v>30</v>
      </c>
      <c r="AA45" s="144">
        <f t="shared" si="31"/>
        <v>50</v>
      </c>
      <c r="AB45" s="145">
        <f t="shared" si="45"/>
        <v>795.41353467750002</v>
      </c>
      <c r="AC45" s="145">
        <f>+(S45-T45)*V45-'data 1'!$F$4</f>
        <v>30.230000000000004</v>
      </c>
      <c r="AD45" s="145">
        <f t="shared" si="36"/>
        <v>73.33735403962207</v>
      </c>
      <c r="AE45" s="145">
        <f t="shared" si="37"/>
        <v>-14.884999999999998</v>
      </c>
      <c r="AF45" s="145">
        <f t="shared" si="38"/>
        <v>100.12363045088696</v>
      </c>
      <c r="AG45" s="772">
        <f t="shared" si="56"/>
        <v>205.80598449050905</v>
      </c>
      <c r="AH45" s="1253">
        <f t="shared" si="40"/>
        <v>18.102</v>
      </c>
      <c r="AI45" s="1253">
        <f t="shared" si="41"/>
        <v>18.805</v>
      </c>
      <c r="AJ45" s="156">
        <f t="shared" si="42"/>
        <v>-15.066083334622084</v>
      </c>
      <c r="AK45" s="156">
        <f t="shared" si="43"/>
        <v>15.421790399912327</v>
      </c>
      <c r="AM45" s="716">
        <f t="shared" si="44"/>
        <v>2038.6448893784327</v>
      </c>
      <c r="AN45" s="716" t="str">
        <f>_xlfn.XLOOKUP(D45,RUC!$B$3:$B$578,RUC!$M$3:$M$578)</f>
        <v>Evelyn</v>
      </c>
      <c r="AO45" s="1167" t="s">
        <v>2277</v>
      </c>
      <c r="AP45" t="s">
        <v>4189</v>
      </c>
      <c r="AQ45" t="s">
        <v>4973</v>
      </c>
    </row>
    <row r="46" spans="1:55" ht="15" customHeight="1">
      <c r="A46" s="747" t="s">
        <v>4964</v>
      </c>
      <c r="B46" s="1447">
        <v>46094</v>
      </c>
      <c r="C46" s="1447">
        <v>46089</v>
      </c>
      <c r="D46" t="s">
        <v>1967</v>
      </c>
      <c r="E46" s="762">
        <f>_xlfn.XLOOKUP(D46,RUC!$B$3:$B$123,RUC!$D$3:$D$123)</f>
        <v>20601769396</v>
      </c>
      <c r="G46" s="1082">
        <v>41</v>
      </c>
      <c r="H46" s="762" t="s">
        <v>2005</v>
      </c>
      <c r="I46" s="703">
        <v>2.9</v>
      </c>
      <c r="J46" s="596">
        <v>9.65</v>
      </c>
      <c r="K46" s="703">
        <f t="shared" si="57"/>
        <v>2.62</v>
      </c>
      <c r="L46" s="994">
        <v>0.27600000000000002</v>
      </c>
      <c r="M46" s="994">
        <f t="shared" si="47"/>
        <v>0.25700000000000001</v>
      </c>
      <c r="N46" s="1196">
        <f t="shared" si="48"/>
        <v>0.25700000000000001</v>
      </c>
      <c r="O46" s="645">
        <f t="shared" si="35"/>
        <v>0.25700000000000001</v>
      </c>
      <c r="P46" s="727">
        <v>90</v>
      </c>
      <c r="Q46" s="1476">
        <v>96.01</v>
      </c>
      <c r="R46" s="706">
        <v>5086.3500000000004</v>
      </c>
      <c r="S46" s="765">
        <f>IF((_xlfn.XLOOKUP(D46,RUC!$B$3:$B$119,RUC!$E$3:$E$119)+ROUNDDOWN(O46,1)*100)&lt;95,95,((_xlfn.XLOOKUP(D46,RUC!$B$3:$B$119,RUC!$E$3:$E$119)+ROUNDDOWN(O46,1)*100)))</f>
        <v>110</v>
      </c>
      <c r="U46" s="1146">
        <f>_xlfn.XLOOKUP(D46,RUC!$B$3:$B$123,RUC!$F$3:$F$123)</f>
        <v>120</v>
      </c>
      <c r="V46" s="715">
        <v>1.1023000000000001</v>
      </c>
      <c r="Y46">
        <f>_xlfn.XLOOKUP(D46,RUC!$B$3:$B$123,RUC!$G$3:$G$123)</f>
        <v>20</v>
      </c>
      <c r="Z46" s="143">
        <f>_xlfn.XLOOKUP(D46,RUC!$B$3:$B$123,RUC!$H$3:$H$123)</f>
        <v>30</v>
      </c>
      <c r="AA46" s="144">
        <f t="shared" si="31"/>
        <v>50</v>
      </c>
      <c r="AB46" s="145">
        <f t="shared" si="45"/>
        <v>1089.8624790365</v>
      </c>
      <c r="AC46" s="145">
        <f>+(S46-T46)*V46-'data 1'!$F$4</f>
        <v>41.253</v>
      </c>
      <c r="AD46" s="145">
        <f t="shared" si="36"/>
        <v>90.807283588698084</v>
      </c>
      <c r="AE46" s="145">
        <f t="shared" si="37"/>
        <v>-14.884999999999998</v>
      </c>
      <c r="AF46" s="145">
        <f t="shared" si="38"/>
        <v>99.863596089649619</v>
      </c>
      <c r="AG46" s="772">
        <f t="shared" si="56"/>
        <v>234.03887967834771</v>
      </c>
      <c r="AH46" s="1253">
        <f t="shared" si="40"/>
        <v>23.803000000000001</v>
      </c>
      <c r="AI46" s="1253">
        <f t="shared" si="41"/>
        <v>24.792000000000002</v>
      </c>
      <c r="AJ46" s="156">
        <f t="shared" si="42"/>
        <v>-19.380558418698111</v>
      </c>
      <c r="AK46" s="156">
        <f t="shared" si="43"/>
        <v>20.777150870628301</v>
      </c>
      <c r="AM46" s="716">
        <f t="shared" si="44"/>
        <v>2855.43969507563</v>
      </c>
      <c r="AN46" s="716" t="str">
        <f>_xlfn.XLOOKUP(D46,RUC!$B$3:$B$578,RUC!$M$3:$M$578)</f>
        <v>Evelyn</v>
      </c>
      <c r="AO46" s="1167" t="s">
        <v>2277</v>
      </c>
      <c r="AP46" t="s">
        <v>4189</v>
      </c>
      <c r="AQ46" t="s">
        <v>4973</v>
      </c>
    </row>
    <row r="47" spans="1:55" ht="15" customHeight="1">
      <c r="A47" s="747" t="s">
        <v>4965</v>
      </c>
      <c r="B47" s="1447">
        <v>46094</v>
      </c>
      <c r="C47" s="1447">
        <v>46089</v>
      </c>
      <c r="D47" t="s">
        <v>1967</v>
      </c>
      <c r="E47" s="762">
        <f>_xlfn.XLOOKUP(D47,RUC!$B$3:$B$123,RUC!$D$3:$D$123)</f>
        <v>20601769396</v>
      </c>
      <c r="G47" s="1082">
        <v>40</v>
      </c>
      <c r="H47" s="762" t="s">
        <v>2005</v>
      </c>
      <c r="I47" s="703">
        <v>2.67</v>
      </c>
      <c r="J47" s="596">
        <v>14.75</v>
      </c>
      <c r="K47" s="703">
        <f t="shared" si="57"/>
        <v>2.2759999999999998</v>
      </c>
      <c r="L47" s="994">
        <v>0.40500000000000003</v>
      </c>
      <c r="M47" s="994">
        <f t="shared" si="47"/>
        <v>0.38100000000000001</v>
      </c>
      <c r="N47" s="1196">
        <f t="shared" si="48"/>
        <v>0.38100000000000001</v>
      </c>
      <c r="O47" s="645">
        <f t="shared" si="35"/>
        <v>0.38100000000000001</v>
      </c>
      <c r="P47" s="727">
        <v>90</v>
      </c>
      <c r="Q47" s="1476">
        <v>96.79</v>
      </c>
      <c r="R47" s="706">
        <v>5086.3500000000004</v>
      </c>
      <c r="S47" s="765">
        <f>IF((_xlfn.XLOOKUP(D47,RUC!$B$3:$B$119,RUC!$E$3:$E$119)+ROUNDDOWN(O47,1)*100)&lt;95,95,((_xlfn.XLOOKUP(D47,RUC!$B$3:$B$119,RUC!$E$3:$E$119)+ROUNDDOWN(O47,1)*100)))</f>
        <v>120</v>
      </c>
      <c r="U47" s="1146">
        <f>_xlfn.XLOOKUP(D47,RUC!$B$3:$B$123,RUC!$F$3:$F$123)</f>
        <v>120</v>
      </c>
      <c r="V47" s="715">
        <v>1.1023000000000001</v>
      </c>
      <c r="Y47">
        <f>_xlfn.XLOOKUP(D47,RUC!$B$3:$B$123,RUC!$G$3:$G$123)</f>
        <v>20</v>
      </c>
      <c r="Z47" s="143">
        <f>_xlfn.XLOOKUP(D47,RUC!$B$3:$B$123,RUC!$H$3:$H$123)</f>
        <v>30</v>
      </c>
      <c r="AA47" s="144">
        <f t="shared" si="31"/>
        <v>50</v>
      </c>
      <c r="AB47" s="145">
        <f t="shared" si="45"/>
        <v>1689.7833677545</v>
      </c>
      <c r="AC47" s="145">
        <f>+(S47-T47)*V47-'data 1'!$F$4</f>
        <v>52.27600000000001</v>
      </c>
      <c r="AD47" s="145">
        <f t="shared" si="36"/>
        <v>150.54347193369767</v>
      </c>
      <c r="AE47" s="145">
        <f t="shared" si="37"/>
        <v>-14.884999999999998</v>
      </c>
      <c r="AF47" s="145">
        <f t="shared" si="38"/>
        <v>127.16829890110813</v>
      </c>
      <c r="AG47" s="772">
        <f t="shared" si="56"/>
        <v>332.10277083480582</v>
      </c>
      <c r="AH47" s="1253">
        <f t="shared" si="40"/>
        <v>30.588999999999999</v>
      </c>
      <c r="AI47" s="1253">
        <f t="shared" si="41"/>
        <v>31.603999999999999</v>
      </c>
      <c r="AJ47" s="156">
        <f t="shared" si="42"/>
        <v>-28.66990459119766</v>
      </c>
      <c r="AK47" s="156">
        <f t="shared" si="43"/>
        <v>26.757701963897219</v>
      </c>
      <c r="AM47" s="716">
        <f t="shared" si="44"/>
        <v>3845.9469450092415</v>
      </c>
      <c r="AN47" s="716" t="str">
        <f>_xlfn.XLOOKUP(D47,RUC!$B$3:$B$578,RUC!$M$3:$M$578)</f>
        <v>Evelyn</v>
      </c>
      <c r="AO47" s="1167" t="s">
        <v>2277</v>
      </c>
      <c r="AP47" t="s">
        <v>4189</v>
      </c>
      <c r="AQ47" t="s">
        <v>4973</v>
      </c>
    </row>
    <row r="48" spans="1:55" ht="15" customHeight="1">
      <c r="A48" s="747" t="s">
        <v>4966</v>
      </c>
      <c r="B48" s="1447">
        <v>46094</v>
      </c>
      <c r="C48" s="1447">
        <v>46089</v>
      </c>
      <c r="D48" t="s">
        <v>1967</v>
      </c>
      <c r="E48" s="762">
        <f>_xlfn.XLOOKUP(D48,RUC!$B$3:$B$123,RUC!$D$3:$D$123)</f>
        <v>20601769396</v>
      </c>
      <c r="G48" s="1082">
        <v>40</v>
      </c>
      <c r="H48" s="762" t="s">
        <v>2005</v>
      </c>
      <c r="I48" s="703">
        <v>2.78</v>
      </c>
      <c r="J48" s="596">
        <v>13.22</v>
      </c>
      <c r="K48" s="703">
        <f t="shared" si="57"/>
        <v>2.4119999999999999</v>
      </c>
      <c r="L48" s="994">
        <v>0.31</v>
      </c>
      <c r="M48" s="994">
        <f t="shared" si="47"/>
        <v>0.29099999999999998</v>
      </c>
      <c r="N48" s="1196">
        <f t="shared" si="48"/>
        <v>0.29099999999999998</v>
      </c>
      <c r="O48" s="645">
        <f t="shared" si="35"/>
        <v>0.29099999999999998</v>
      </c>
      <c r="P48" s="727">
        <v>90</v>
      </c>
      <c r="Q48" s="1476">
        <v>96.45</v>
      </c>
      <c r="R48" s="706">
        <v>5086.3500000000004</v>
      </c>
      <c r="S48" s="765">
        <f>IF((_xlfn.XLOOKUP(D48,RUC!$B$3:$B$119,RUC!$E$3:$E$119)+ROUNDDOWN(O48,1)*100)&lt;95,95,((_xlfn.XLOOKUP(D48,RUC!$B$3:$B$119,RUC!$E$3:$E$119)+ROUNDDOWN(O48,1)*100)))</f>
        <v>110</v>
      </c>
      <c r="U48" s="1146">
        <f>_xlfn.XLOOKUP(D48,RUC!$B$3:$B$123,RUC!$F$3:$F$123)</f>
        <v>120</v>
      </c>
      <c r="V48" s="715">
        <v>1.1023000000000001</v>
      </c>
      <c r="Y48">
        <f>_xlfn.XLOOKUP(D48,RUC!$B$3:$B$123,RUC!$G$3:$G$123)</f>
        <v>20</v>
      </c>
      <c r="Z48" s="143">
        <f>_xlfn.XLOOKUP(D48,RUC!$B$3:$B$123,RUC!$H$3:$H$123)</f>
        <v>30</v>
      </c>
      <c r="AA48" s="144">
        <f t="shared" si="31"/>
        <v>50</v>
      </c>
      <c r="AB48" s="145">
        <f t="shared" si="45"/>
        <v>1257.3793517495001</v>
      </c>
      <c r="AC48" s="145">
        <f>+(S48-T48)*V48-'data 1'!$F$4</f>
        <v>41.253</v>
      </c>
      <c r="AD48" s="145">
        <f t="shared" si="36"/>
        <v>109.46078006197506</v>
      </c>
      <c r="AE48" s="145">
        <f t="shared" si="37"/>
        <v>-14.884999999999998</v>
      </c>
      <c r="AF48" s="145">
        <f t="shared" si="38"/>
        <v>100.32125656542762</v>
      </c>
      <c r="AG48" s="772">
        <f t="shared" si="56"/>
        <v>253.1500366274027</v>
      </c>
      <c r="AH48" s="1253">
        <f t="shared" si="40"/>
        <v>24.725999999999999</v>
      </c>
      <c r="AI48" s="1253">
        <f t="shared" si="41"/>
        <v>25.635999999999999</v>
      </c>
      <c r="AJ48" s="156">
        <f t="shared" si="42"/>
        <v>-21.867778206975121</v>
      </c>
      <c r="AK48" s="156">
        <f t="shared" si="43"/>
        <v>21.65817563027154</v>
      </c>
      <c r="AM48" s="716">
        <f t="shared" si="44"/>
        <v>3032.7989964197941</v>
      </c>
      <c r="AN48" s="716" t="str">
        <f>_xlfn.XLOOKUP(D48,RUC!$B$3:$B$578,RUC!$M$3:$M$578)</f>
        <v>Evelyn</v>
      </c>
      <c r="AO48" s="1167" t="s">
        <v>2277</v>
      </c>
      <c r="AP48" t="s">
        <v>4189</v>
      </c>
      <c r="AQ48" t="s">
        <v>4973</v>
      </c>
    </row>
    <row r="49" spans="1:43" ht="15" customHeight="1">
      <c r="A49" s="747" t="s">
        <v>4967</v>
      </c>
      <c r="B49" s="1447">
        <v>46094</v>
      </c>
      <c r="C49" s="1447">
        <v>46089</v>
      </c>
      <c r="D49" t="s">
        <v>1967</v>
      </c>
      <c r="E49" s="762">
        <f>_xlfn.XLOOKUP(D49,RUC!$B$3:$B$123,RUC!$D$3:$D$123)</f>
        <v>20601769396</v>
      </c>
      <c r="G49" s="1082">
        <v>40</v>
      </c>
      <c r="H49" s="762" t="s">
        <v>2005</v>
      </c>
      <c r="I49" s="703">
        <v>2.92</v>
      </c>
      <c r="J49" s="596">
        <v>13.95</v>
      </c>
      <c r="K49" s="703">
        <f t="shared" si="57"/>
        <v>2.5129999999999999</v>
      </c>
      <c r="L49" s="994">
        <v>0.28699999999999998</v>
      </c>
      <c r="M49" s="994">
        <f t="shared" si="47"/>
        <v>0.26800000000000002</v>
      </c>
      <c r="N49" s="1196">
        <f t="shared" si="48"/>
        <v>0.26800000000000002</v>
      </c>
      <c r="O49" s="645">
        <f t="shared" si="35"/>
        <v>0.26800000000000002</v>
      </c>
      <c r="P49" s="727">
        <v>90</v>
      </c>
      <c r="Q49" s="1476">
        <v>96.52</v>
      </c>
      <c r="R49" s="706">
        <v>5086.3500000000004</v>
      </c>
      <c r="S49" s="765">
        <f>IF((_xlfn.XLOOKUP(D49,RUC!$B$3:$B$119,RUC!$E$3:$E$119)+ROUNDDOWN(O49,1)*100)&lt;95,95,((_xlfn.XLOOKUP(D49,RUC!$B$3:$B$119,RUC!$E$3:$E$119)+ROUNDDOWN(O49,1)*100)))</f>
        <v>110</v>
      </c>
      <c r="U49" s="1146">
        <f>_xlfn.XLOOKUP(D49,RUC!$B$3:$B$123,RUC!$F$3:$F$123)</f>
        <v>120</v>
      </c>
      <c r="V49" s="715">
        <v>1.1023000000000001</v>
      </c>
      <c r="Y49">
        <f>_xlfn.XLOOKUP(D49,RUC!$B$3:$B$123,RUC!$G$3:$G$123)</f>
        <v>20</v>
      </c>
      <c r="Z49" s="143">
        <f>_xlfn.XLOOKUP(D49,RUC!$B$3:$B$123,RUC!$H$3:$H$123)</f>
        <v>30</v>
      </c>
      <c r="AA49" s="144">
        <f t="shared" si="31"/>
        <v>50</v>
      </c>
      <c r="AB49" s="145">
        <f t="shared" si="45"/>
        <v>1144.0591143260001</v>
      </c>
      <c r="AC49" s="145">
        <f>+(S49-T49)*V49-'data 1'!$F$4</f>
        <v>41.253</v>
      </c>
      <c r="AD49" s="145">
        <f t="shared" si="36"/>
        <v>102.43930486780195</v>
      </c>
      <c r="AE49" s="145">
        <f t="shared" si="37"/>
        <v>-14.884999999999998</v>
      </c>
      <c r="AF49" s="145">
        <f t="shared" si="38"/>
        <v>100.39406618657382</v>
      </c>
      <c r="AG49" s="772">
        <f>AC49+AD49+AE49+AF49+70-53</f>
        <v>246.20137105437578</v>
      </c>
      <c r="AH49" s="1253">
        <f t="shared" si="40"/>
        <v>23.867000000000001</v>
      </c>
      <c r="AI49" s="1253">
        <f t="shared" si="41"/>
        <v>24.728000000000002</v>
      </c>
      <c r="AJ49" s="156">
        <f t="shared" si="42"/>
        <v>-20.260023491302107</v>
      </c>
      <c r="AK49" s="156">
        <f t="shared" si="43"/>
        <v>20.781594256919579</v>
      </c>
      <c r="AM49" s="716">
        <f t="shared" si="44"/>
        <v>2875.020554301238</v>
      </c>
      <c r="AN49" s="716" t="str">
        <f>_xlfn.XLOOKUP(D49,RUC!$B$3:$B$578,RUC!$M$3:$M$578)</f>
        <v>Evelyn</v>
      </c>
      <c r="AO49" s="1167" t="s">
        <v>2277</v>
      </c>
      <c r="AP49" t="s">
        <v>4189</v>
      </c>
      <c r="AQ49" t="s">
        <v>4973</v>
      </c>
    </row>
    <row r="50" spans="1:43" ht="15" customHeight="1">
      <c r="A50" s="747" t="s">
        <v>4968</v>
      </c>
      <c r="B50" s="1447">
        <v>46097</v>
      </c>
      <c r="C50" s="1447">
        <v>46091</v>
      </c>
      <c r="D50" t="s">
        <v>3316</v>
      </c>
      <c r="E50" s="762">
        <f>_xlfn.XLOOKUP(D50,RUC!$B$3:$B$123,RUC!$D$3:$D$123)</f>
        <v>20613935151</v>
      </c>
      <c r="G50" s="1082">
        <v>26</v>
      </c>
      <c r="H50" s="762" t="s">
        <v>69</v>
      </c>
      <c r="I50" s="703">
        <v>1.99</v>
      </c>
      <c r="J50" s="596">
        <v>2.35</v>
      </c>
      <c r="K50" s="703">
        <f t="shared" si="57"/>
        <v>1.9430000000000001</v>
      </c>
      <c r="L50" s="994">
        <v>0.23699999999999999</v>
      </c>
      <c r="M50" s="994">
        <f t="shared" si="47"/>
        <v>0.218</v>
      </c>
      <c r="N50" s="1196">
        <f t="shared" si="48"/>
        <v>0.218</v>
      </c>
      <c r="O50" s="645">
        <f t="shared" si="35"/>
        <v>0.218</v>
      </c>
      <c r="P50" s="727">
        <v>90</v>
      </c>
      <c r="Q50" s="1476">
        <v>97.89</v>
      </c>
      <c r="R50" s="706">
        <v>5209.7</v>
      </c>
      <c r="S50" s="765">
        <f>IF((_xlfn.XLOOKUP(D50,RUC!$B$3:$B$119,RUC!$E$3:$E$119)+ROUNDDOWN(O50,1)*100)&lt;95,95,((_xlfn.XLOOKUP(D50,RUC!$B$3:$B$119,RUC!$E$3:$E$119)+ROUNDDOWN(O50,1)*100)))</f>
        <v>110</v>
      </c>
      <c r="U50" s="1146">
        <f>_xlfn.XLOOKUP(D50,RUC!$B$3:$B$123,RUC!$F$3:$F$123)</f>
        <v>120</v>
      </c>
      <c r="V50" s="715">
        <v>1.1023000000000001</v>
      </c>
      <c r="Y50">
        <f>_xlfn.XLOOKUP(D50,RUC!$B$3:$B$123,RUC!$G$3:$G$123)</f>
        <v>20</v>
      </c>
      <c r="Z50" s="143">
        <f>_xlfn.XLOOKUP(D50,RUC!$B$3:$B$123,RUC!$H$3:$H$123)</f>
        <v>30</v>
      </c>
      <c r="AA50" s="144">
        <f t="shared" si="31"/>
        <v>50</v>
      </c>
      <c r="AB50" s="145">
        <f t="shared" si="45"/>
        <v>924.38783202200011</v>
      </c>
      <c r="AC50" s="145">
        <f>+(S50-T50)*V50-'data 1'!$F$4</f>
        <v>41.253</v>
      </c>
      <c r="AD50" s="145">
        <f t="shared" si="36"/>
        <v>104.91010973358301</v>
      </c>
      <c r="AE50" s="145">
        <f t="shared" si="37"/>
        <v>-14.884999999999998</v>
      </c>
      <c r="AF50" s="145">
        <f t="shared" si="38"/>
        <v>104.34795002732095</v>
      </c>
      <c r="AG50" s="772">
        <f>AC50+AD50+AE50+AF50+70-10</f>
        <v>295.62605976090396</v>
      </c>
      <c r="AH50" s="1253">
        <f t="shared" si="40"/>
        <v>15.455</v>
      </c>
      <c r="AI50" s="1253">
        <f t="shared" si="41"/>
        <v>15.788</v>
      </c>
      <c r="AJ50" s="156">
        <f t="shared" si="42"/>
        <v>-48.512517545582952</v>
      </c>
      <c r="AK50" s="156">
        <f t="shared" si="43"/>
        <v>13.070159062101631</v>
      </c>
      <c r="AM50" s="716">
        <f t="shared" si="44"/>
        <v>1796.0855576187462</v>
      </c>
      <c r="AN50" s="716" t="str">
        <f>_xlfn.XLOOKUP(D50,RUC!$B$3:$B$578,RUC!$M$3:$M$578)</f>
        <v xml:space="preserve">Dante </v>
      </c>
      <c r="AO50" s="1167" t="s">
        <v>2278</v>
      </c>
      <c r="AP50" t="s">
        <v>4987</v>
      </c>
      <c r="AQ50" t="s">
        <v>3201</v>
      </c>
    </row>
    <row r="51" spans="1:43" ht="15" customHeight="1">
      <c r="A51" s="747" t="s">
        <v>4986</v>
      </c>
      <c r="B51" s="1447">
        <v>46097</v>
      </c>
      <c r="C51" s="1447">
        <v>46091</v>
      </c>
      <c r="D51" t="s">
        <v>3316</v>
      </c>
      <c r="E51" s="762">
        <f>_xlfn.XLOOKUP(D51,RUC!$B$3:$B$123,RUC!$D$3:$D$123)</f>
        <v>20613935151</v>
      </c>
      <c r="G51" s="1082">
        <v>63</v>
      </c>
      <c r="H51" s="762" t="s">
        <v>69</v>
      </c>
      <c r="I51" s="703">
        <v>4.8499999999999996</v>
      </c>
      <c r="J51" s="596">
        <v>2.85</v>
      </c>
      <c r="K51" s="703">
        <f t="shared" si="57"/>
        <v>4.7119999999999997</v>
      </c>
      <c r="L51" s="994">
        <v>0.29599999999999999</v>
      </c>
      <c r="M51" s="994">
        <f t="shared" si="47"/>
        <v>0.27700000000000002</v>
      </c>
      <c r="N51" s="1196">
        <f t="shared" si="48"/>
        <v>0.27700000000000002</v>
      </c>
      <c r="O51" s="645">
        <f t="shared" si="35"/>
        <v>0.27700000000000002</v>
      </c>
      <c r="P51" s="727">
        <v>90</v>
      </c>
      <c r="Q51" s="1476">
        <v>98.31</v>
      </c>
      <c r="R51" s="706">
        <v>5209.7</v>
      </c>
      <c r="S51" s="765">
        <f>IF((_xlfn.XLOOKUP(D51,RUC!$B$3:$B$119,RUC!$E$3:$E$119)+ROUNDDOWN(O51,1)*100)&lt;95,95,((_xlfn.XLOOKUP(D51,RUC!$B$3:$B$119,RUC!$E$3:$E$119)+ROUNDDOWN(O51,1)*100)))</f>
        <v>110</v>
      </c>
      <c r="U51" s="1146">
        <f>_xlfn.XLOOKUP(D51,RUC!$B$3:$B$123,RUC!$F$3:$F$123)</f>
        <v>120</v>
      </c>
      <c r="V51" s="715">
        <v>1.1023000000000001</v>
      </c>
      <c r="Y51">
        <f>_xlfn.XLOOKUP(D51,RUC!$B$3:$B$123,RUC!$G$3:$G$123)</f>
        <v>20</v>
      </c>
      <c r="Z51" s="143">
        <f>_xlfn.XLOOKUP(D51,RUC!$B$3:$B$123,RUC!$H$3:$H$123)</f>
        <v>30</v>
      </c>
      <c r="AA51" s="144">
        <f t="shared" si="31"/>
        <v>50</v>
      </c>
      <c r="AB51" s="145">
        <f t="shared" si="45"/>
        <v>1222.298814083</v>
      </c>
      <c r="AC51" s="145">
        <f>+(S51-T51)*V51-'data 1'!$F$4</f>
        <v>41.253</v>
      </c>
      <c r="AD51" s="145">
        <f t="shared" si="36"/>
        <v>138.00179232285603</v>
      </c>
      <c r="AE51" s="145">
        <f t="shared" si="37"/>
        <v>-14.884999999999998</v>
      </c>
      <c r="AF51" s="145">
        <f t="shared" si="38"/>
        <v>104.7956580568588</v>
      </c>
      <c r="AG51" s="772">
        <f t="shared" ref="AG51:AG53" si="58">AC51+AD51+AE51+AF51+70-10</f>
        <v>329.1654503797148</v>
      </c>
      <c r="AH51" s="1253">
        <f t="shared" si="40"/>
        <v>47.011000000000003</v>
      </c>
      <c r="AI51" s="1253">
        <f t="shared" si="41"/>
        <v>47.82</v>
      </c>
      <c r="AJ51" s="156">
        <f t="shared" si="42"/>
        <v>-60.849434354855937</v>
      </c>
      <c r="AK51" s="156">
        <f t="shared" si="43"/>
        <v>40.275100198955883</v>
      </c>
      <c r="AM51" s="716">
        <f t="shared" si="44"/>
        <v>5759.4720119590957</v>
      </c>
      <c r="AN51" s="716" t="str">
        <f>_xlfn.XLOOKUP(D51,RUC!$B$3:$B$578,RUC!$M$3:$M$578)</f>
        <v xml:space="preserve">Dante </v>
      </c>
      <c r="AO51" s="1167" t="s">
        <v>2278</v>
      </c>
      <c r="AP51" t="s">
        <v>4987</v>
      </c>
      <c r="AQ51" t="s">
        <v>3201</v>
      </c>
    </row>
    <row r="52" spans="1:43" ht="15" customHeight="1">
      <c r="A52" s="747" t="s">
        <v>4974</v>
      </c>
      <c r="B52" s="1447">
        <v>46094</v>
      </c>
      <c r="C52" s="1447">
        <v>46091</v>
      </c>
      <c r="D52" t="s">
        <v>4558</v>
      </c>
      <c r="E52" s="762">
        <f>_xlfn.XLOOKUP(D52,RUC!$B$3:$B$123,RUC!$D$3:$D$123)</f>
        <v>20614635101</v>
      </c>
      <c r="G52" s="1082">
        <v>52</v>
      </c>
      <c r="H52" s="762" t="s">
        <v>69</v>
      </c>
      <c r="I52" s="703">
        <v>5.95</v>
      </c>
      <c r="J52" s="596">
        <v>2</v>
      </c>
      <c r="K52" s="703">
        <f t="shared" si="57"/>
        <v>5.8310000000000004</v>
      </c>
      <c r="L52" s="994">
        <v>0.18</v>
      </c>
      <c r="M52" s="994">
        <f t="shared" si="47"/>
        <v>0.161</v>
      </c>
      <c r="N52" s="1196">
        <f t="shared" si="48"/>
        <v>0.161</v>
      </c>
      <c r="O52" s="645">
        <f t="shared" si="35"/>
        <v>0.161</v>
      </c>
      <c r="P52" s="727">
        <v>90</v>
      </c>
      <c r="Q52" s="1476">
        <v>92.78</v>
      </c>
      <c r="R52" s="706">
        <v>5209.7</v>
      </c>
      <c r="S52" s="765">
        <f>IF((_xlfn.XLOOKUP(D52,RUC!$B$3:$B$119,RUC!$E$3:$E$119)+ROUNDDOWN(O52,1)*100)&lt;95,95,((_xlfn.XLOOKUP(D52,RUC!$B$3:$B$119,RUC!$E$3:$E$119)+ROUNDDOWN(O52,1)*100)))</f>
        <v>95</v>
      </c>
      <c r="U52" s="1146">
        <f>_xlfn.XLOOKUP(D52,RUC!$B$3:$B$123,RUC!$F$3:$F$123)</f>
        <v>100</v>
      </c>
      <c r="V52" s="715">
        <v>1.1023000000000001</v>
      </c>
      <c r="Y52">
        <f>_xlfn.XLOOKUP(D52,RUC!$B$3:$B$123,RUC!$G$3:$G$123)</f>
        <v>0</v>
      </c>
      <c r="Z52" s="143">
        <f>_xlfn.XLOOKUP(D52,RUC!$B$3:$B$123,RUC!$H$3:$H$123)</f>
        <v>30</v>
      </c>
      <c r="AA52" s="144">
        <f t="shared" si="31"/>
        <v>30</v>
      </c>
      <c r="AB52" s="145">
        <f t="shared" si="45"/>
        <v>678.35049271900004</v>
      </c>
      <c r="AC52" s="145">
        <f>+(S52-T52)*V52-'data 1'!$F$4</f>
        <v>24.718500000000006</v>
      </c>
      <c r="AD52" s="145">
        <f t="shared" si="36"/>
        <v>28.184641239240012</v>
      </c>
      <c r="AE52" s="145">
        <f t="shared" si="37"/>
        <v>-36.930999999999997</v>
      </c>
      <c r="AF52" s="145">
        <f t="shared" si="38"/>
        <v>99.289466965141941</v>
      </c>
      <c r="AG52" s="772">
        <f t="shared" si="58"/>
        <v>175.26160820438196</v>
      </c>
      <c r="AH52" s="1253">
        <f t="shared" si="40"/>
        <v>33.387</v>
      </c>
      <c r="AI52" s="1253">
        <f t="shared" si="41"/>
        <v>35.984999999999999</v>
      </c>
      <c r="AJ52" s="156">
        <f t="shared" si="42"/>
        <v>-38.603360379239966</v>
      </c>
      <c r="AK52" s="156">
        <f t="shared" si="43"/>
        <v>28.968132359562798</v>
      </c>
      <c r="AM52" s="716">
        <f t="shared" si="44"/>
        <v>3955.4617230444896</v>
      </c>
      <c r="AN52" s="716" t="str">
        <f>_xlfn.XLOOKUP(D52,RUC!$B$3:$B$578,RUC!$M$3:$M$578)</f>
        <v>Ronald Garibay</v>
      </c>
      <c r="AO52" s="1167" t="s">
        <v>2278</v>
      </c>
      <c r="AP52" t="s">
        <v>4988</v>
      </c>
      <c r="AQ52" t="s">
        <v>4989</v>
      </c>
    </row>
    <row r="53" spans="1:43" ht="15" customHeight="1">
      <c r="A53" s="747" t="s">
        <v>4975</v>
      </c>
      <c r="B53" s="1447">
        <v>46094</v>
      </c>
      <c r="C53" s="1447">
        <v>46091</v>
      </c>
      <c r="D53" t="s">
        <v>4558</v>
      </c>
      <c r="E53" s="762">
        <f>_xlfn.XLOOKUP(D53,RUC!$B$3:$B$123,RUC!$D$3:$D$123)</f>
        <v>20614635101</v>
      </c>
      <c r="G53" s="1082">
        <v>30</v>
      </c>
      <c r="H53" s="762" t="s">
        <v>69</v>
      </c>
      <c r="I53" s="703">
        <v>3.8</v>
      </c>
      <c r="J53" s="596">
        <v>3.15</v>
      </c>
      <c r="K53" s="703">
        <f t="shared" si="57"/>
        <v>3.68</v>
      </c>
      <c r="L53" s="994">
        <v>0.13500000000000001</v>
      </c>
      <c r="M53" s="994">
        <f t="shared" si="47"/>
        <v>0.11600000000000001</v>
      </c>
      <c r="N53" s="1196">
        <f t="shared" si="48"/>
        <v>0.11600000000000001</v>
      </c>
      <c r="O53" s="645">
        <f t="shared" si="35"/>
        <v>0.11600000000000001</v>
      </c>
      <c r="P53" s="727">
        <v>89</v>
      </c>
      <c r="Q53" s="1476">
        <v>89.63</v>
      </c>
      <c r="R53" s="706">
        <v>5209.7</v>
      </c>
      <c r="S53" s="765">
        <f>IF((_xlfn.XLOOKUP(D53,RUC!$B$3:$B$119,RUC!$E$3:$E$119)+ROUNDDOWN(O53,1)*100)&lt;95,95,((_xlfn.XLOOKUP(D53,RUC!$B$3:$B$119,RUC!$E$3:$E$119)+ROUNDDOWN(O53,1)*100)))</f>
        <v>95</v>
      </c>
      <c r="U53" s="1146">
        <f>_xlfn.XLOOKUP(D53,RUC!$B$3:$B$123,RUC!$F$3:$F$123)</f>
        <v>100</v>
      </c>
      <c r="V53" s="715">
        <v>1.1023000000000001</v>
      </c>
      <c r="Y53">
        <f>_xlfn.XLOOKUP(D53,RUC!$B$3:$B$123,RUC!$G$3:$G$123)</f>
        <v>0</v>
      </c>
      <c r="Z53" s="143">
        <f>_xlfn.XLOOKUP(D53,RUC!$B$3:$B$123,RUC!$H$3:$H$123)</f>
        <v>30</v>
      </c>
      <c r="AA53" s="144">
        <f t="shared" si="31"/>
        <v>30</v>
      </c>
      <c r="AB53" s="145">
        <f t="shared" si="45"/>
        <v>443.70377928439996</v>
      </c>
      <c r="AC53" s="145">
        <f>+(S53-T53)*V53-'data 1'!$F$4</f>
        <v>24.718500000000006</v>
      </c>
      <c r="AD53" s="145">
        <f t="shared" si="36"/>
        <v>4.7903751746549661</v>
      </c>
      <c r="AE53" s="145">
        <f t="shared" si="37"/>
        <v>-36.930999999999997</v>
      </c>
      <c r="AF53" s="145">
        <f t="shared" si="38"/>
        <v>95.918462212607011</v>
      </c>
      <c r="AG53" s="772">
        <f t="shared" si="58"/>
        <v>148.49633738726197</v>
      </c>
      <c r="AH53" s="1253">
        <f t="shared" si="40"/>
        <v>15.266999999999999</v>
      </c>
      <c r="AI53" s="1253">
        <f t="shared" si="41"/>
        <v>17.033000000000001</v>
      </c>
      <c r="AJ53" s="156">
        <f t="shared" si="42"/>
        <v>-27.969545086154977</v>
      </c>
      <c r="AK53" s="156">
        <f t="shared" si="43"/>
        <v>13.025814341197764</v>
      </c>
      <c r="AM53" s="716">
        <f t="shared" si="44"/>
        <v>1632.829907766592</v>
      </c>
      <c r="AN53" s="716" t="str">
        <f>_xlfn.XLOOKUP(D53,RUC!$B$3:$B$578,RUC!$M$3:$M$578)</f>
        <v>Ronald Garibay</v>
      </c>
      <c r="AO53" s="1167" t="s">
        <v>2278</v>
      </c>
      <c r="AP53" t="s">
        <v>4988</v>
      </c>
      <c r="AQ53" t="s">
        <v>4989</v>
      </c>
    </row>
    <row r="54" spans="1:43" ht="15" customHeight="1">
      <c r="A54" s="747" t="s">
        <v>4976</v>
      </c>
      <c r="B54" s="1447">
        <v>46095</v>
      </c>
      <c r="C54" s="1447">
        <v>46091</v>
      </c>
      <c r="D54" t="s">
        <v>93</v>
      </c>
      <c r="E54" s="762">
        <f>_xlfn.XLOOKUP(D54,RUC!$B$3:$B$123,RUC!$D$3:$D$123)</f>
        <v>20169040231</v>
      </c>
      <c r="G54" s="1082">
        <v>59</v>
      </c>
      <c r="H54" s="762" t="s">
        <v>69</v>
      </c>
      <c r="I54" s="703">
        <v>6.06</v>
      </c>
      <c r="J54" s="596">
        <v>4.45</v>
      </c>
      <c r="K54" s="703">
        <f t="shared" si="57"/>
        <v>5.79</v>
      </c>
      <c r="L54" s="994">
        <v>0.23499999999999999</v>
      </c>
      <c r="M54" s="994">
        <f t="shared" si="47"/>
        <v>0.216</v>
      </c>
      <c r="N54" s="1196">
        <f t="shared" si="48"/>
        <v>0.216</v>
      </c>
      <c r="O54" s="645">
        <f t="shared" si="35"/>
        <v>0.216</v>
      </c>
      <c r="P54" s="727">
        <v>90</v>
      </c>
      <c r="Q54" s="1476">
        <v>96.6</v>
      </c>
      <c r="R54" s="706">
        <v>5209.7</v>
      </c>
      <c r="S54" s="765">
        <f>IF((_xlfn.XLOOKUP(D54,RUC!$B$3:$B$119,RUC!$E$3:$E$119)+ROUNDDOWN(O54,1)*100)&lt;95,95,((_xlfn.XLOOKUP(D54,RUC!$B$3:$B$119,RUC!$E$3:$E$119)+ROUNDDOWN(O54,1)*100)))</f>
        <v>105</v>
      </c>
      <c r="U54" s="1146">
        <f>_xlfn.XLOOKUP(D54,RUC!$B$3:$B$123,RUC!$F$3:$F$123)</f>
        <v>120</v>
      </c>
      <c r="V54" s="715">
        <v>1.1023000000000001</v>
      </c>
      <c r="Y54">
        <f>_xlfn.XLOOKUP(D54,RUC!$B$3:$B$123,RUC!$G$3:$G$123)</f>
        <v>20</v>
      </c>
      <c r="Z54" s="1454">
        <v>35</v>
      </c>
      <c r="AA54" s="144">
        <f t="shared" si="31"/>
        <v>55</v>
      </c>
      <c r="AB54" s="145">
        <f t="shared" si="45"/>
        <v>914.28915466400008</v>
      </c>
      <c r="AC54" s="145">
        <f>+(S54-T54)*V54-'data 1'!$F$4</f>
        <v>35.741500000000002</v>
      </c>
      <c r="AD54" s="145">
        <f t="shared" si="36"/>
        <v>87.016936568099922</v>
      </c>
      <c r="AE54" s="145">
        <f t="shared" si="37"/>
        <v>-9.3734999999999999</v>
      </c>
      <c r="AF54" s="145">
        <f t="shared" si="38"/>
        <v>102.97284679373993</v>
      </c>
      <c r="AG54" s="772">
        <f t="shared" ref="AG54:AG84" si="59">AC54+AD54+AE54+AF54+70-53</f>
        <v>233.35778336183989</v>
      </c>
      <c r="AH54" s="1253">
        <f t="shared" si="40"/>
        <v>45.064</v>
      </c>
      <c r="AI54" s="1253">
        <f t="shared" si="41"/>
        <v>46.65</v>
      </c>
      <c r="AJ54" s="156">
        <f t="shared" si="42"/>
        <v>-47.469223433099948</v>
      </c>
      <c r="AK54" s="156">
        <f t="shared" si="43"/>
        <v>38.5908099397668</v>
      </c>
      <c r="AM54" s="716">
        <f t="shared" si="44"/>
        <v>5293.7342055045601</v>
      </c>
      <c r="AN54" s="716" t="str">
        <f>_xlfn.XLOOKUP(D54,RUC!$B$3:$B$578,RUC!$M$3:$M$578)</f>
        <v>Ronald Miranda</v>
      </c>
      <c r="AO54" s="1167" t="s">
        <v>2277</v>
      </c>
      <c r="AP54" t="s">
        <v>4990</v>
      </c>
      <c r="AQ54" t="s">
        <v>4991</v>
      </c>
    </row>
    <row r="55" spans="1:43" ht="15" customHeight="1">
      <c r="A55" s="747" t="s">
        <v>4977</v>
      </c>
      <c r="B55" s="1447">
        <v>46095</v>
      </c>
      <c r="C55" s="1447">
        <v>46091</v>
      </c>
      <c r="D55" t="s">
        <v>93</v>
      </c>
      <c r="E55" s="762">
        <f>_xlfn.XLOOKUP(D55,RUC!$B$3:$B$123,RUC!$D$3:$D$123)</f>
        <v>20169040231</v>
      </c>
      <c r="G55" s="1082">
        <v>60</v>
      </c>
      <c r="H55" s="762" t="s">
        <v>69</v>
      </c>
      <c r="I55" s="703">
        <v>6.2</v>
      </c>
      <c r="J55" s="596">
        <v>5</v>
      </c>
      <c r="K55" s="703">
        <f t="shared" si="57"/>
        <v>5.89</v>
      </c>
      <c r="L55" s="994">
        <v>0.16</v>
      </c>
      <c r="M55" s="994">
        <f t="shared" si="47"/>
        <v>0.14099999999999999</v>
      </c>
      <c r="N55" s="1196">
        <f t="shared" si="48"/>
        <v>0.14099999999999999</v>
      </c>
      <c r="O55" s="645">
        <f t="shared" si="35"/>
        <v>0.14099999999999999</v>
      </c>
      <c r="P55" s="727">
        <v>80</v>
      </c>
      <c r="Q55" s="1476">
        <v>96.25</v>
      </c>
      <c r="R55" s="706">
        <v>5209.7</v>
      </c>
      <c r="S55" s="765">
        <f>IF((_xlfn.XLOOKUP(D55,RUC!$B$3:$B$119,RUC!$E$3:$E$119)+ROUNDDOWN(O55,1)*100)&lt;95,95,((_xlfn.XLOOKUP(D55,RUC!$B$3:$B$119,RUC!$E$3:$E$119)+ROUNDDOWN(O55,1)*100)))</f>
        <v>95</v>
      </c>
      <c r="U55" s="1146">
        <f>_xlfn.XLOOKUP(D55,RUC!$B$3:$B$123,RUC!$F$3:$F$123)</f>
        <v>120</v>
      </c>
      <c r="V55" s="715">
        <v>1.1023000000000001</v>
      </c>
      <c r="Y55">
        <f>_xlfn.XLOOKUP(D55,RUC!$B$3:$B$123,RUC!$G$3:$G$123)</f>
        <v>20</v>
      </c>
      <c r="Z55" s="1454">
        <v>35</v>
      </c>
      <c r="AA55" s="144">
        <f t="shared" si="31"/>
        <v>55</v>
      </c>
      <c r="AB55" s="145">
        <f t="shared" si="45"/>
        <v>467.5054477679999</v>
      </c>
      <c r="AC55" s="145">
        <f>+(S55-T55)*V55-'data 1'!$F$4</f>
        <v>24.718500000000006</v>
      </c>
      <c r="AD55" s="145">
        <f t="shared" si="36"/>
        <v>145.86978406000003</v>
      </c>
      <c r="AE55" s="145">
        <f t="shared" si="37"/>
        <v>-9.3734999999999999</v>
      </c>
      <c r="AF55" s="145">
        <f t="shared" si="38"/>
        <v>102.59975676912511</v>
      </c>
      <c r="AG55" s="772">
        <f t="shared" si="59"/>
        <v>280.81454082912512</v>
      </c>
      <c r="AH55" s="1253">
        <f t="shared" si="40"/>
        <v>31.099</v>
      </c>
      <c r="AI55" s="1253">
        <f t="shared" si="41"/>
        <v>32.311</v>
      </c>
      <c r="AJ55" s="156">
        <f t="shared" si="42"/>
        <v>-32.202371739999968</v>
      </c>
      <c r="AK55" s="156">
        <f t="shared" si="43"/>
        <v>22.778937537315596</v>
      </c>
      <c r="AM55" s="716">
        <f t="shared" si="44"/>
        <v>2753.6070873535191</v>
      </c>
      <c r="AN55" s="716" t="str">
        <f>_xlfn.XLOOKUP(D55,RUC!$B$3:$B$578,RUC!$M$3:$M$578)</f>
        <v>Ronald Miranda</v>
      </c>
      <c r="AO55" s="1167" t="s">
        <v>2277</v>
      </c>
      <c r="AP55" t="s">
        <v>4990</v>
      </c>
      <c r="AQ55" t="s">
        <v>4991</v>
      </c>
    </row>
    <row r="56" spans="1:43" ht="15" customHeight="1">
      <c r="A56" s="747" t="s">
        <v>4978</v>
      </c>
      <c r="B56" s="1447">
        <v>46095</v>
      </c>
      <c r="C56" s="1447">
        <v>46091</v>
      </c>
      <c r="D56" t="s">
        <v>93</v>
      </c>
      <c r="E56" s="762">
        <f>_xlfn.XLOOKUP(D56,RUC!$B$3:$B$123,RUC!$D$3:$D$123)</f>
        <v>20169040231</v>
      </c>
      <c r="G56" s="1082">
        <v>19</v>
      </c>
      <c r="H56" s="762" t="s">
        <v>69</v>
      </c>
      <c r="I56" s="703">
        <v>1.67</v>
      </c>
      <c r="J56" s="596">
        <v>2</v>
      </c>
      <c r="K56" s="703">
        <f t="shared" si="57"/>
        <v>1.637</v>
      </c>
      <c r="L56" s="994">
        <v>0.157</v>
      </c>
      <c r="M56" s="994">
        <f t="shared" si="47"/>
        <v>0.13800000000000001</v>
      </c>
      <c r="N56" s="1196">
        <f t="shared" si="48"/>
        <v>0.13800000000000001</v>
      </c>
      <c r="O56" s="645">
        <f t="shared" si="35"/>
        <v>0.13800000000000001</v>
      </c>
      <c r="P56" s="727">
        <v>80</v>
      </c>
      <c r="Q56" s="1476">
        <v>96.18</v>
      </c>
      <c r="R56" s="706">
        <v>5209.7</v>
      </c>
      <c r="S56" s="765">
        <f>IF((_xlfn.XLOOKUP(D56,RUC!$B$3:$B$119,RUC!$E$3:$E$119)+ROUNDDOWN(O56,1)*100)&lt;95,95,((_xlfn.XLOOKUP(D56,RUC!$B$3:$B$119,RUC!$E$3:$E$119)+ROUNDDOWN(O56,1)*100)))</f>
        <v>95</v>
      </c>
      <c r="U56" s="1146">
        <f>_xlfn.XLOOKUP(D56,RUC!$B$3:$B$123,RUC!$F$3:$F$123)</f>
        <v>120</v>
      </c>
      <c r="V56" s="715">
        <v>1.1023000000000001</v>
      </c>
      <c r="Y56">
        <f>_xlfn.XLOOKUP(D56,RUC!$B$3:$B$123,RUC!$G$3:$G$123)</f>
        <v>20</v>
      </c>
      <c r="Z56" s="1454">
        <v>35</v>
      </c>
      <c r="AA56" s="144">
        <f t="shared" si="31"/>
        <v>55</v>
      </c>
      <c r="AB56" s="145">
        <f t="shared" si="45"/>
        <v>454.04054462400001</v>
      </c>
      <c r="AC56" s="145">
        <f>+(S56-T56)*V56-'data 1'!$F$4</f>
        <v>24.718500000000006</v>
      </c>
      <c r="AD56" s="145">
        <f t="shared" si="36"/>
        <v>142.51814525240607</v>
      </c>
      <c r="AE56" s="145">
        <f t="shared" si="37"/>
        <v>-9.3734999999999999</v>
      </c>
      <c r="AF56" s="145">
        <f t="shared" si="38"/>
        <v>102.52513876420197</v>
      </c>
      <c r="AG56" s="772">
        <f t="shared" si="59"/>
        <v>277.38828401660805</v>
      </c>
      <c r="AH56" s="1253">
        <f t="shared" si="40"/>
        <v>8.4749999999999996</v>
      </c>
      <c r="AI56" s="1253">
        <f t="shared" si="41"/>
        <v>8.8119999999999994</v>
      </c>
      <c r="AJ56" s="156">
        <f t="shared" si="42"/>
        <v>-31.575596486405981</v>
      </c>
      <c r="AK56" s="156">
        <f t="shared" si="43"/>
        <v>6.1962198982586418</v>
      </c>
      <c r="AM56" s="716">
        <f t="shared" si="44"/>
        <v>743.26437154948803</v>
      </c>
      <c r="AN56" s="716" t="str">
        <f>_xlfn.XLOOKUP(D56,RUC!$B$3:$B$578,RUC!$M$3:$M$578)</f>
        <v>Ronald Miranda</v>
      </c>
      <c r="AO56" s="1167" t="s">
        <v>2277</v>
      </c>
      <c r="AP56" t="s">
        <v>4990</v>
      </c>
      <c r="AQ56" t="s">
        <v>4991</v>
      </c>
    </row>
    <row r="57" spans="1:43" ht="15" customHeight="1">
      <c r="A57" s="747" t="s">
        <v>4979</v>
      </c>
      <c r="B57" s="1447">
        <v>46095</v>
      </c>
      <c r="C57" s="1447">
        <v>46091</v>
      </c>
      <c r="D57" t="s">
        <v>93</v>
      </c>
      <c r="E57" s="762">
        <f>_xlfn.XLOOKUP(D57,RUC!$B$3:$B$123,RUC!$D$3:$D$123)</f>
        <v>20169040231</v>
      </c>
      <c r="G57" s="1082">
        <v>12</v>
      </c>
      <c r="H57" s="762" t="s">
        <v>69</v>
      </c>
      <c r="I57" s="703">
        <v>1.02</v>
      </c>
      <c r="J57" s="596">
        <v>2</v>
      </c>
      <c r="K57" s="703">
        <f t="shared" si="57"/>
        <v>1</v>
      </c>
      <c r="L57" s="994">
        <v>0.17699999999999999</v>
      </c>
      <c r="M57" s="994">
        <f t="shared" si="47"/>
        <v>0.158</v>
      </c>
      <c r="N57" s="1196">
        <f t="shared" si="48"/>
        <v>0.158</v>
      </c>
      <c r="O57" s="645">
        <f t="shared" si="35"/>
        <v>0.158</v>
      </c>
      <c r="P57" s="727">
        <v>85</v>
      </c>
      <c r="Q57" s="1476">
        <v>97.18</v>
      </c>
      <c r="R57" s="706">
        <v>5209.7</v>
      </c>
      <c r="S57" s="765">
        <f>IF((_xlfn.XLOOKUP(D57,RUC!$B$3:$B$119,RUC!$E$3:$E$119)+ROUNDDOWN(O57,1)*100)&lt;95,95,((_xlfn.XLOOKUP(D57,RUC!$B$3:$B$119,RUC!$E$3:$E$119)+ROUNDDOWN(O57,1)*100)))</f>
        <v>95</v>
      </c>
      <c r="U57" s="1146">
        <f>_xlfn.XLOOKUP(D57,RUC!$B$3:$B$123,RUC!$F$3:$F$123)</f>
        <v>120</v>
      </c>
      <c r="V57" s="715">
        <v>1.1023000000000001</v>
      </c>
      <c r="Y57">
        <f>_xlfn.XLOOKUP(D57,RUC!$B$3:$B$123,RUC!$G$3:$G$123)</f>
        <v>20</v>
      </c>
      <c r="Z57" s="1454">
        <v>35</v>
      </c>
      <c r="AA57" s="144">
        <f t="shared" si="31"/>
        <v>55</v>
      </c>
      <c r="AB57" s="145">
        <f t="shared" si="45"/>
        <v>588.12853843300013</v>
      </c>
      <c r="AC57" s="145">
        <f>+(S57-T57)*V57-'data 1'!$F$4</f>
        <v>24.718500000000006</v>
      </c>
      <c r="AD57" s="145">
        <f t="shared" si="36"/>
        <v>120.95185871676605</v>
      </c>
      <c r="AE57" s="145">
        <f t="shared" si="37"/>
        <v>-9.3734999999999999</v>
      </c>
      <c r="AF57" s="145">
        <f t="shared" si="38"/>
        <v>103.59111026310197</v>
      </c>
      <c r="AG57" s="772">
        <f t="shared" si="59"/>
        <v>256.88796897986799</v>
      </c>
      <c r="AH57" s="1253">
        <f t="shared" si="40"/>
        <v>5.8970000000000002</v>
      </c>
      <c r="AI57" s="1253">
        <f t="shared" si="41"/>
        <v>6.069</v>
      </c>
      <c r="AJ57" s="156">
        <f t="shared" si="42"/>
        <v>-35.968083634265966</v>
      </c>
      <c r="AK57" s="156">
        <f t="shared" si="43"/>
        <v>4.6045276151149999</v>
      </c>
      <c r="AM57" s="716">
        <f t="shared" si="44"/>
        <v>588.12853843300013</v>
      </c>
      <c r="AN57" s="716" t="str">
        <f>_xlfn.XLOOKUP(D57,RUC!$B$3:$B$578,RUC!$M$3:$M$578)</f>
        <v>Ronald Miranda</v>
      </c>
      <c r="AO57" s="1167" t="s">
        <v>2277</v>
      </c>
      <c r="AP57" t="s">
        <v>4990</v>
      </c>
      <c r="AQ57" t="s">
        <v>4991</v>
      </c>
    </row>
    <row r="58" spans="1:43" ht="15" customHeight="1">
      <c r="A58" s="747" t="s">
        <v>4982</v>
      </c>
      <c r="B58" s="1447">
        <v>46095</v>
      </c>
      <c r="C58" s="1447">
        <v>46091</v>
      </c>
      <c r="D58" t="s">
        <v>4722</v>
      </c>
      <c r="E58" s="762" t="str">
        <f>_xlfn.XLOOKUP(D58,RUC!$B$3:$B$123,RUC!$D$3:$D$123)</f>
        <v>20610807004*</v>
      </c>
      <c r="G58" s="1082">
        <v>50</v>
      </c>
      <c r="H58" s="762" t="s">
        <v>2005</v>
      </c>
      <c r="I58" s="703">
        <v>3.51</v>
      </c>
      <c r="J58" s="596">
        <v>20.87</v>
      </c>
      <c r="K58" s="703">
        <f t="shared" si="57"/>
        <v>2.7770000000000001</v>
      </c>
      <c r="L58" s="994">
        <v>0.22900000000000001</v>
      </c>
      <c r="M58" s="994">
        <f t="shared" si="47"/>
        <v>0.21</v>
      </c>
      <c r="N58" s="1196">
        <f t="shared" si="48"/>
        <v>0.21</v>
      </c>
      <c r="O58" s="645">
        <f t="shared" si="35"/>
        <v>0.21</v>
      </c>
      <c r="P58" s="727">
        <v>90</v>
      </c>
      <c r="Q58" s="1476">
        <v>93.45</v>
      </c>
      <c r="R58" s="706">
        <v>5209.7</v>
      </c>
      <c r="S58" s="765">
        <f>IF((_xlfn.XLOOKUP(D58,RUC!$B$3:$B$119,RUC!$E$3:$E$119)+ROUNDDOWN(O58,1)*100)&lt;95,95,((_xlfn.XLOOKUP(D58,RUC!$B$3:$B$119,RUC!$E$3:$E$119)+ROUNDDOWN(O58,1)*100)))</f>
        <v>105</v>
      </c>
      <c r="U58" s="1146">
        <f>_xlfn.XLOOKUP(D58,RUC!$B$3:$B$123,RUC!$F$3:$F$123)</f>
        <v>120</v>
      </c>
      <c r="V58" s="715">
        <v>1.1023000000000001</v>
      </c>
      <c r="Y58">
        <f>_xlfn.XLOOKUP(D58,RUC!$B$3:$B$123,RUC!$G$3:$G$123)</f>
        <v>20</v>
      </c>
      <c r="Z58" s="1454">
        <v>35</v>
      </c>
      <c r="AA58" s="144">
        <f t="shared" si="31"/>
        <v>55</v>
      </c>
      <c r="AB58" s="145">
        <f t="shared" si="45"/>
        <v>883.99312258999998</v>
      </c>
      <c r="AC58" s="145">
        <f>+(S58-T58)*V58-'data 1'!$F$4</f>
        <v>35.741500000000002</v>
      </c>
      <c r="AD58" s="145">
        <f t="shared" si="36"/>
        <v>44.324778037155035</v>
      </c>
      <c r="AE58" s="145">
        <f t="shared" si="37"/>
        <v>-9.3734999999999999</v>
      </c>
      <c r="AF58" s="145">
        <f t="shared" si="38"/>
        <v>99.615036572205113</v>
      </c>
      <c r="AG58" s="772">
        <f t="shared" si="59"/>
        <v>187.30781460936015</v>
      </c>
      <c r="AH58" s="1253">
        <f t="shared" si="40"/>
        <v>20.375</v>
      </c>
      <c r="AI58" s="1253">
        <f t="shared" si="41"/>
        <v>21.803000000000001</v>
      </c>
      <c r="AJ58" s="156">
        <f t="shared" si="42"/>
        <v>-44.74885489315497</v>
      </c>
      <c r="AK58" s="156">
        <f t="shared" si="43"/>
        <v>17.994788774206651</v>
      </c>
      <c r="AM58" s="716">
        <f t="shared" si="44"/>
        <v>2454.84890143243</v>
      </c>
      <c r="AN58" s="716" t="str">
        <f>_xlfn.XLOOKUP(D58,RUC!$B$3:$B$578,RUC!$M$3:$M$578)</f>
        <v>Ronald Miranda</v>
      </c>
      <c r="AO58" s="1167" t="s">
        <v>2277</v>
      </c>
      <c r="AP58" t="s">
        <v>3486</v>
      </c>
      <c r="AQ58" t="s">
        <v>2866</v>
      </c>
    </row>
    <row r="59" spans="1:43" ht="15" customHeight="1">
      <c r="A59" s="747" t="s">
        <v>4983</v>
      </c>
      <c r="B59" s="1447">
        <v>46095</v>
      </c>
      <c r="C59" s="1447">
        <v>46091</v>
      </c>
      <c r="D59" t="s">
        <v>4722</v>
      </c>
      <c r="E59" s="762" t="str">
        <f>_xlfn.XLOOKUP(D59,RUC!$B$3:$B$123,RUC!$D$3:$D$123)</f>
        <v>20610807004*</v>
      </c>
      <c r="G59" s="1082">
        <v>50</v>
      </c>
      <c r="H59" s="762" t="s">
        <v>2005</v>
      </c>
      <c r="I59" s="703">
        <v>3.47</v>
      </c>
      <c r="J59" s="596">
        <v>19.670000000000002</v>
      </c>
      <c r="K59" s="703">
        <f t="shared" si="57"/>
        <v>2.7869999999999999</v>
      </c>
      <c r="L59" s="994">
        <v>0.25600000000000001</v>
      </c>
      <c r="M59" s="994">
        <f t="shared" si="47"/>
        <v>0.23699999999999999</v>
      </c>
      <c r="N59" s="1196">
        <f t="shared" si="48"/>
        <v>0.23699999999999999</v>
      </c>
      <c r="O59" s="645">
        <f t="shared" si="35"/>
        <v>0.23699999999999999</v>
      </c>
      <c r="P59" s="727">
        <v>90</v>
      </c>
      <c r="Q59" s="1476">
        <v>92.58</v>
      </c>
      <c r="R59" s="706">
        <v>5209.7</v>
      </c>
      <c r="S59" s="765">
        <f>IF((_xlfn.XLOOKUP(D59,RUC!$B$3:$B$119,RUC!$E$3:$E$119)+ROUNDDOWN(O59,1)*100)&lt;95,95,((_xlfn.XLOOKUP(D59,RUC!$B$3:$B$119,RUC!$E$3:$E$119)+ROUNDDOWN(O59,1)*100)))</f>
        <v>105</v>
      </c>
      <c r="U59" s="1146">
        <f>_xlfn.XLOOKUP(D59,RUC!$B$3:$B$123,RUC!$F$3:$F$123)</f>
        <v>120</v>
      </c>
      <c r="V59" s="715">
        <v>1.1023000000000001</v>
      </c>
      <c r="Y59">
        <f>_xlfn.XLOOKUP(D59,RUC!$B$3:$B$123,RUC!$G$3:$G$123)</f>
        <v>20</v>
      </c>
      <c r="Z59" s="1454">
        <v>35</v>
      </c>
      <c r="AA59" s="144">
        <f t="shared" si="31"/>
        <v>55</v>
      </c>
      <c r="AB59" s="145">
        <f t="shared" si="45"/>
        <v>1020.3252669230001</v>
      </c>
      <c r="AC59" s="145">
        <f>+(S59-T59)*V59-'data 1'!$F$4</f>
        <v>35.741500000000002</v>
      </c>
      <c r="AD59" s="145">
        <f t="shared" si="36"/>
        <v>37.055413452287979</v>
      </c>
      <c r="AE59" s="145">
        <f t="shared" si="37"/>
        <v>-9.3734999999999999</v>
      </c>
      <c r="AF59" s="145">
        <f t="shared" si="38"/>
        <v>98.68764136816209</v>
      </c>
      <c r="AG59" s="772">
        <f t="shared" si="59"/>
        <v>179.11105482045008</v>
      </c>
      <c r="AH59" s="1253">
        <f t="shared" si="40"/>
        <v>22.646999999999998</v>
      </c>
      <c r="AI59" s="1253">
        <f t="shared" si="41"/>
        <v>24.462</v>
      </c>
      <c r="AJ59" s="156">
        <f t="shared" si="42"/>
        <v>-49.559199180287948</v>
      </c>
      <c r="AK59" s="156">
        <f t="shared" si="43"/>
        <v>20.381535206458157</v>
      </c>
      <c r="AM59" s="716">
        <f t="shared" si="44"/>
        <v>2843.646518914401</v>
      </c>
      <c r="AN59" s="716" t="str">
        <f>_xlfn.XLOOKUP(D59,RUC!$B$3:$B$578,RUC!$M$3:$M$578)</f>
        <v>Ronald Miranda</v>
      </c>
      <c r="AO59" s="1167" t="s">
        <v>2277</v>
      </c>
      <c r="AP59" t="s">
        <v>3486</v>
      </c>
      <c r="AQ59" t="s">
        <v>2866</v>
      </c>
    </row>
    <row r="60" spans="1:43" ht="15" customHeight="1">
      <c r="A60" s="747" t="s">
        <v>4984</v>
      </c>
      <c r="B60" s="1447">
        <v>46095</v>
      </c>
      <c r="C60" s="1447">
        <v>46091</v>
      </c>
      <c r="D60" t="s">
        <v>4722</v>
      </c>
      <c r="E60" s="762" t="str">
        <f>_xlfn.XLOOKUP(D60,RUC!$B$3:$B$123,RUC!$D$3:$D$123)</f>
        <v>20610807004*</v>
      </c>
      <c r="G60" s="1082">
        <v>50</v>
      </c>
      <c r="H60" s="762" t="s">
        <v>2005</v>
      </c>
      <c r="I60" s="703">
        <v>3.47</v>
      </c>
      <c r="J60" s="596">
        <v>21.47</v>
      </c>
      <c r="K60" s="703">
        <f t="shared" si="57"/>
        <v>2.7250000000000001</v>
      </c>
      <c r="L60" s="994">
        <v>0.27900000000000003</v>
      </c>
      <c r="M60" s="994">
        <f t="shared" si="47"/>
        <v>0.26</v>
      </c>
      <c r="N60" s="1196">
        <f t="shared" si="48"/>
        <v>0.26</v>
      </c>
      <c r="O60" s="645">
        <f t="shared" si="35"/>
        <v>0.26</v>
      </c>
      <c r="P60" s="727">
        <v>90</v>
      </c>
      <c r="Q60" s="1476">
        <v>94.62</v>
      </c>
      <c r="R60" s="706">
        <v>5209.7</v>
      </c>
      <c r="S60" s="765">
        <f>IF((_xlfn.XLOOKUP(D60,RUC!$B$3:$B$119,RUC!$E$3:$E$119)+ROUNDDOWN(O60,1)*100)&lt;95,95,((_xlfn.XLOOKUP(D60,RUC!$B$3:$B$119,RUC!$E$3:$E$119)+ROUNDDOWN(O60,1)*100)))</f>
        <v>105</v>
      </c>
      <c r="U60" s="1146">
        <f>_xlfn.XLOOKUP(D60,RUC!$B$3:$B$123,RUC!$F$3:$F$123)</f>
        <v>120</v>
      </c>
      <c r="V60" s="715">
        <v>1.1023000000000001</v>
      </c>
      <c r="Y60">
        <f>_xlfn.XLOOKUP(D60,RUC!$B$3:$B$123,RUC!$G$3:$G$123)</f>
        <v>20</v>
      </c>
      <c r="Z60" s="1454">
        <v>35</v>
      </c>
      <c r="AA60" s="144">
        <f t="shared" si="31"/>
        <v>55</v>
      </c>
      <c r="AB60" s="145">
        <f t="shared" si="45"/>
        <v>1136.4600565400001</v>
      </c>
      <c r="AC60" s="145">
        <f>+(S60-T60)*V60-'data 1'!$F$4</f>
        <v>35.741500000000002</v>
      </c>
      <c r="AD60" s="145">
        <f t="shared" si="36"/>
        <v>72.31662856063808</v>
      </c>
      <c r="AE60" s="145">
        <f t="shared" si="37"/>
        <v>-9.3734999999999999</v>
      </c>
      <c r="AF60" s="145">
        <f t="shared" si="38"/>
        <v>100.86222322591811</v>
      </c>
      <c r="AG60" s="772">
        <f t="shared" si="59"/>
        <v>216.5468517865562</v>
      </c>
      <c r="AH60" s="1253">
        <f t="shared" si="40"/>
        <v>24.664000000000001</v>
      </c>
      <c r="AI60" s="1253">
        <f t="shared" si="41"/>
        <v>26.065999999999999</v>
      </c>
      <c r="AJ60" s="156">
        <f t="shared" si="42"/>
        <v>-55.201932955637957</v>
      </c>
      <c r="AK60" s="156">
        <f t="shared" si="43"/>
        <v>21.862077690082501</v>
      </c>
      <c r="AM60" s="716">
        <f t="shared" si="44"/>
        <v>3096.8536540715004</v>
      </c>
      <c r="AN60" s="716" t="str">
        <f>_xlfn.XLOOKUP(D60,RUC!$B$3:$B$578,RUC!$M$3:$M$578)</f>
        <v>Ronald Miranda</v>
      </c>
      <c r="AO60" s="1167" t="s">
        <v>2277</v>
      </c>
      <c r="AP60" t="s">
        <v>3486</v>
      </c>
      <c r="AQ60" t="s">
        <v>2866</v>
      </c>
    </row>
    <row r="61" spans="1:43" ht="15" customHeight="1">
      <c r="A61" s="747" t="s">
        <v>4985</v>
      </c>
      <c r="B61" s="1447">
        <v>46095</v>
      </c>
      <c r="C61" s="1447">
        <v>46092</v>
      </c>
      <c r="D61" t="s">
        <v>4171</v>
      </c>
      <c r="E61" s="762">
        <f>_xlfn.XLOOKUP(D61,RUC!$B$3:$B$123,RUC!$D$3:$D$123)</f>
        <v>20614284740</v>
      </c>
      <c r="G61" s="1082">
        <v>72</v>
      </c>
      <c r="H61" s="762" t="s">
        <v>69</v>
      </c>
      <c r="I61" s="703">
        <v>5.95</v>
      </c>
      <c r="J61" s="596">
        <v>2</v>
      </c>
      <c r="K61" s="703">
        <f t="shared" si="57"/>
        <v>5.8310000000000004</v>
      </c>
      <c r="L61" s="994">
        <v>0.41299999999999998</v>
      </c>
      <c r="M61" s="994">
        <f t="shared" si="47"/>
        <v>0.38800000000000001</v>
      </c>
      <c r="N61" s="1196">
        <f t="shared" si="48"/>
        <v>0.38800000000000001</v>
      </c>
      <c r="O61" s="645">
        <f t="shared" si="35"/>
        <v>0.38800000000000001</v>
      </c>
      <c r="P61" s="727">
        <v>90</v>
      </c>
      <c r="Q61" s="1476">
        <v>98.79</v>
      </c>
      <c r="R61" s="706">
        <v>5182.3999999999996</v>
      </c>
      <c r="S61" s="765">
        <f>IF((_xlfn.XLOOKUP(D61,RUC!$B$3:$B$119,RUC!$E$3:$E$119)+ROUNDDOWN(O61,1)*100)&lt;95,95,((_xlfn.XLOOKUP(D61,RUC!$B$3:$B$119,RUC!$E$3:$E$119)+ROUNDDOWN(O61,1)*100)))</f>
        <v>120</v>
      </c>
      <c r="U61" s="1146">
        <f>_xlfn.XLOOKUP(D61,RUC!$B$3:$B$123,RUC!$F$3:$F$123)</f>
        <v>120</v>
      </c>
      <c r="V61" s="715">
        <v>1.1023000000000001</v>
      </c>
      <c r="Y61">
        <f>_xlfn.XLOOKUP(D61,RUC!$B$3:$B$123,RUC!$G$3:$G$123)</f>
        <v>20</v>
      </c>
      <c r="Z61" s="143">
        <f>_xlfn.XLOOKUP(D61,RUC!$B$3:$B$123,RUC!$H$3:$H$123)</f>
        <v>30</v>
      </c>
      <c r="AA61" s="144">
        <f t="shared" si="31"/>
        <v>50</v>
      </c>
      <c r="AB61" s="145">
        <f t="shared" si="45"/>
        <v>1761.2440051840001</v>
      </c>
      <c r="AC61" s="145">
        <f>+(S61-T61)*V61-'data 1'!$F$4</f>
        <v>52.27600000000001</v>
      </c>
      <c r="AD61" s="145">
        <f t="shared" si="36"/>
        <v>202.57935854150412</v>
      </c>
      <c r="AE61" s="145">
        <f t="shared" si="37"/>
        <v>-14.884999999999998</v>
      </c>
      <c r="AF61" s="145">
        <f t="shared" si="38"/>
        <v>137.81905223519982</v>
      </c>
      <c r="AG61" s="772">
        <f t="shared" si="59"/>
        <v>394.78941077670396</v>
      </c>
      <c r="AH61" s="1253">
        <f t="shared" si="40"/>
        <v>81.566999999999993</v>
      </c>
      <c r="AI61" s="1253">
        <f t="shared" si="41"/>
        <v>82.566000000000003</v>
      </c>
      <c r="AJ61" s="156">
        <f t="shared" si="42"/>
        <v>-73.037999496503843</v>
      </c>
      <c r="AK61" s="156">
        <f t="shared" si="43"/>
        <v>69.811399723666867</v>
      </c>
      <c r="AM61" s="716">
        <f t="shared" si="44"/>
        <v>10269.813794227905</v>
      </c>
      <c r="AN61" s="716" t="str">
        <f>_xlfn.XLOOKUP(D61,RUC!$B$3:$B$578,RUC!$M$3:$M$578)</f>
        <v xml:space="preserve">Dante </v>
      </c>
      <c r="AO61" s="1167" t="s">
        <v>2278</v>
      </c>
      <c r="AP61" t="s">
        <v>4997</v>
      </c>
      <c r="AQ61" t="s">
        <v>4998</v>
      </c>
    </row>
    <row r="62" spans="1:43" ht="15" customHeight="1">
      <c r="A62" s="747" t="s">
        <v>4994</v>
      </c>
      <c r="B62" s="1447">
        <v>46097</v>
      </c>
      <c r="C62" s="1447">
        <v>46093</v>
      </c>
      <c r="D62" t="s">
        <v>4722</v>
      </c>
      <c r="E62" s="762" t="str">
        <f>_xlfn.XLOOKUP(D62,RUC!$B$3:$B$123,RUC!$D$3:$D$123)</f>
        <v>20610807004*</v>
      </c>
      <c r="G62" s="1082">
        <v>50</v>
      </c>
      <c r="H62" s="762" t="s">
        <v>2005</v>
      </c>
      <c r="I62" s="703">
        <v>3.17</v>
      </c>
      <c r="J62" s="596">
        <v>21.25</v>
      </c>
      <c r="K62" s="703">
        <f t="shared" si="57"/>
        <v>2.496</v>
      </c>
      <c r="L62" s="994">
        <v>0.27300000000000002</v>
      </c>
      <c r="M62" s="994">
        <f t="shared" si="47"/>
        <v>0.254</v>
      </c>
      <c r="N62" s="1196">
        <f t="shared" si="48"/>
        <v>0.254</v>
      </c>
      <c r="O62" s="645">
        <f t="shared" si="35"/>
        <v>0.254</v>
      </c>
      <c r="P62" s="727">
        <v>90</v>
      </c>
      <c r="Q62" s="1476">
        <v>95.97</v>
      </c>
      <c r="R62" s="706">
        <v>5130.1000000000004</v>
      </c>
      <c r="S62" s="765">
        <f>IF((_xlfn.XLOOKUP(D62,RUC!$B$3:$B$119,RUC!$E$3:$E$119)+ROUNDDOWN(O62,1)*100)&lt;95,95,((_xlfn.XLOOKUP(D62,RUC!$B$3:$B$119,RUC!$E$3:$E$119)+ROUNDDOWN(O62,1)*100)))</f>
        <v>105</v>
      </c>
      <c r="U62" s="1146">
        <f>_xlfn.XLOOKUP(D62,RUC!$B$3:$B$123,RUC!$F$3:$F$123)</f>
        <v>120</v>
      </c>
      <c r="V62" s="715">
        <v>1.1023000000000001</v>
      </c>
      <c r="Y62">
        <f>_xlfn.XLOOKUP(D62,RUC!$B$3:$B$123,RUC!$G$3:$G$123)</f>
        <v>20</v>
      </c>
      <c r="Z62" s="1454">
        <v>35</v>
      </c>
      <c r="AA62" s="144">
        <f t="shared" si="31"/>
        <v>55</v>
      </c>
      <c r="AB62" s="145">
        <f t="shared" si="45"/>
        <v>1086.1059563780002</v>
      </c>
      <c r="AC62" s="145">
        <f>+(S62-T62)*V62-'data 1'!$F$4</f>
        <v>35.741500000000002</v>
      </c>
      <c r="AD62" s="145">
        <f t="shared" si="36"/>
        <v>90.008428645863006</v>
      </c>
      <c r="AE62" s="145">
        <f t="shared" si="37"/>
        <v>-9.3734999999999999</v>
      </c>
      <c r="AF62" s="145">
        <f t="shared" si="38"/>
        <v>100.70135110578912</v>
      </c>
      <c r="AG62" s="772">
        <f t="shared" si="59"/>
        <v>234.07777975165209</v>
      </c>
      <c r="AH62" s="1253">
        <f t="shared" si="40"/>
        <v>22.420999999999999</v>
      </c>
      <c r="AI62" s="1253">
        <f t="shared" si="41"/>
        <v>23.361999999999998</v>
      </c>
      <c r="AJ62" s="156">
        <f t="shared" si="42"/>
        <v>-31.79693566986311</v>
      </c>
      <c r="AK62" s="156">
        <f t="shared" si="43"/>
        <v>19.562748711742081</v>
      </c>
      <c r="AM62" s="716">
        <f t="shared" si="44"/>
        <v>2710.9204671194884</v>
      </c>
      <c r="AN62" s="716" t="str">
        <f>_xlfn.XLOOKUP(D62,RUC!$B$3:$B$578,RUC!$M$3:$M$578)</f>
        <v>Ronald Miranda</v>
      </c>
      <c r="AO62" s="1167" t="s">
        <v>2278</v>
      </c>
      <c r="AP62" t="s">
        <v>3735</v>
      </c>
      <c r="AQ62" t="s">
        <v>4999</v>
      </c>
    </row>
    <row r="63" spans="1:43" ht="15" customHeight="1">
      <c r="A63" s="747" t="s">
        <v>4995</v>
      </c>
      <c r="B63" s="1447">
        <v>46097</v>
      </c>
      <c r="C63" s="1447">
        <v>46093</v>
      </c>
      <c r="D63" t="s">
        <v>4722</v>
      </c>
      <c r="E63" s="762" t="str">
        <f>_xlfn.XLOOKUP(D63,RUC!$B$3:$B$123,RUC!$D$3:$D$123)</f>
        <v>20610807004*</v>
      </c>
      <c r="G63" s="1082">
        <v>50</v>
      </c>
      <c r="H63" s="762" t="s">
        <v>2005</v>
      </c>
      <c r="I63" s="703">
        <v>3.08</v>
      </c>
      <c r="J63" s="596">
        <v>21.32</v>
      </c>
      <c r="K63" s="703">
        <f t="shared" si="57"/>
        <v>2.423</v>
      </c>
      <c r="L63" s="994">
        <v>0.28899999999999998</v>
      </c>
      <c r="M63" s="994">
        <f t="shared" si="47"/>
        <v>0.27</v>
      </c>
      <c r="N63" s="1196">
        <f t="shared" si="48"/>
        <v>0.27</v>
      </c>
      <c r="O63" s="645">
        <f t="shared" si="35"/>
        <v>0.27</v>
      </c>
      <c r="P63" s="727">
        <v>90</v>
      </c>
      <c r="Q63" s="1476">
        <v>96.19</v>
      </c>
      <c r="R63" s="706">
        <v>5130.1000000000004</v>
      </c>
      <c r="S63" s="765">
        <f>IF((_xlfn.XLOOKUP(D63,RUC!$B$3:$B$119,RUC!$E$3:$E$119)+ROUNDDOWN(O63,1)*100)&lt;95,95,((_xlfn.XLOOKUP(D63,RUC!$B$3:$B$119,RUC!$E$3:$E$119)+ROUNDDOWN(O63,1)*100)))</f>
        <v>105</v>
      </c>
      <c r="U63" s="1146">
        <f>_xlfn.XLOOKUP(D63,RUC!$B$3:$B$123,RUC!$F$3:$F$123)</f>
        <v>120</v>
      </c>
      <c r="V63" s="715">
        <v>1.1023000000000001</v>
      </c>
      <c r="Y63">
        <f>_xlfn.XLOOKUP(D63,RUC!$B$3:$B$123,RUC!$G$3:$G$123)</f>
        <v>20</v>
      </c>
      <c r="Z63" s="1454">
        <v>35</v>
      </c>
      <c r="AA63" s="144">
        <f t="shared" si="31"/>
        <v>55</v>
      </c>
      <c r="AB63" s="145">
        <f t="shared" si="45"/>
        <v>1165.6318748900001</v>
      </c>
      <c r="AC63" s="145">
        <f>+(S63-T63)*V63-'data 1'!$F$4</f>
        <v>35.741500000000002</v>
      </c>
      <c r="AD63" s="145">
        <f t="shared" si="36"/>
        <v>98.794938114792956</v>
      </c>
      <c r="AE63" s="145">
        <f t="shared" si="37"/>
        <v>-9.3734999999999999</v>
      </c>
      <c r="AF63" s="145">
        <f t="shared" si="38"/>
        <v>100.93219717480281</v>
      </c>
      <c r="AG63" s="772">
        <f t="shared" si="59"/>
        <v>243.09513528959576</v>
      </c>
      <c r="AH63" s="1253">
        <f t="shared" si="40"/>
        <v>23.094000000000001</v>
      </c>
      <c r="AI63" s="1253">
        <f t="shared" si="41"/>
        <v>24.007999999999999</v>
      </c>
      <c r="AJ63" s="156">
        <f t="shared" si="42"/>
        <v>-33.737655080793111</v>
      </c>
      <c r="AK63" s="156">
        <f t="shared" si="43"/>
        <v>20.186859344571452</v>
      </c>
      <c r="AM63" s="716">
        <f t="shared" si="44"/>
        <v>2824.3260328584702</v>
      </c>
      <c r="AN63" s="716" t="str">
        <f>_xlfn.XLOOKUP(D63,RUC!$B$3:$B$578,RUC!$M$3:$M$578)</f>
        <v>Ronald Miranda</v>
      </c>
      <c r="AO63" s="1167" t="s">
        <v>2278</v>
      </c>
      <c r="AP63" t="s">
        <v>3735</v>
      </c>
      <c r="AQ63" t="s">
        <v>4999</v>
      </c>
    </row>
    <row r="64" spans="1:43" ht="15" customHeight="1">
      <c r="A64" s="747" t="s">
        <v>4996</v>
      </c>
      <c r="B64" s="1447">
        <v>46097</v>
      </c>
      <c r="C64" s="1447">
        <v>46093</v>
      </c>
      <c r="D64" t="s">
        <v>4722</v>
      </c>
      <c r="E64" s="762" t="str">
        <f>_xlfn.XLOOKUP(D64,RUC!$B$3:$B$123,RUC!$D$3:$D$123)</f>
        <v>20610807004*</v>
      </c>
      <c r="G64" s="1082">
        <v>50</v>
      </c>
      <c r="H64" s="762" t="s">
        <v>2005</v>
      </c>
      <c r="I64" s="703">
        <v>3.15</v>
      </c>
      <c r="J64" s="596">
        <v>20.02</v>
      </c>
      <c r="K64" s="703">
        <f t="shared" si="57"/>
        <v>2.5190000000000001</v>
      </c>
      <c r="L64" s="994">
        <v>0.28000000000000003</v>
      </c>
      <c r="M64" s="994">
        <f t="shared" si="47"/>
        <v>0.26100000000000001</v>
      </c>
      <c r="N64" s="1196">
        <f t="shared" si="48"/>
        <v>0.26100000000000001</v>
      </c>
      <c r="O64" s="645">
        <f t="shared" si="35"/>
        <v>0.26100000000000001</v>
      </c>
      <c r="P64" s="727">
        <v>90</v>
      </c>
      <c r="Q64" s="1476">
        <v>96.07</v>
      </c>
      <c r="R64" s="706">
        <v>5130.1000000000004</v>
      </c>
      <c r="S64" s="765">
        <f>IF((_xlfn.XLOOKUP(D64,RUC!$B$3:$B$119,RUC!$E$3:$E$119)+ROUNDDOWN(O64,1)*100)&lt;95,95,((_xlfn.XLOOKUP(D64,RUC!$B$3:$B$119,RUC!$E$3:$E$119)+ROUNDDOWN(O64,1)*100)))</f>
        <v>105</v>
      </c>
      <c r="U64" s="1146">
        <f>_xlfn.XLOOKUP(D64,RUC!$B$3:$B$123,RUC!$F$3:$F$123)</f>
        <v>120</v>
      </c>
      <c r="V64" s="715">
        <v>1.1023000000000001</v>
      </c>
      <c r="Y64">
        <f>_xlfn.XLOOKUP(D64,RUC!$B$3:$B$123,RUC!$G$3:$G$123)</f>
        <v>20</v>
      </c>
      <c r="Z64" s="1454">
        <v>35</v>
      </c>
      <c r="AA64" s="144">
        <f t="shared" si="31"/>
        <v>55</v>
      </c>
      <c r="AB64" s="145">
        <f t="shared" si="45"/>
        <v>1120.8985457270003</v>
      </c>
      <c r="AC64" s="145">
        <f>+(S64-T64)*V64-'data 1'!$F$4</f>
        <v>35.741500000000002</v>
      </c>
      <c r="AD64" s="145">
        <f t="shared" si="36"/>
        <v>93.862674377079912</v>
      </c>
      <c r="AE64" s="145">
        <f t="shared" si="37"/>
        <v>-9.3734999999999999</v>
      </c>
      <c r="AF64" s="145">
        <f t="shared" si="38"/>
        <v>100.80628113715909</v>
      </c>
      <c r="AG64" s="772">
        <f t="shared" si="59"/>
        <v>238.03695551423903</v>
      </c>
      <c r="AH64" s="1253">
        <f t="shared" si="40"/>
        <v>23.231999999999999</v>
      </c>
      <c r="AI64" s="1253">
        <f t="shared" si="41"/>
        <v>24.181999999999999</v>
      </c>
      <c r="AJ64" s="156">
        <f t="shared" si="42"/>
        <v>-32.646223417080108</v>
      </c>
      <c r="AK64" s="156">
        <f t="shared" si="43"/>
        <v>20.28711324776846</v>
      </c>
      <c r="AM64" s="716">
        <f t="shared" si="44"/>
        <v>2823.5434366863137</v>
      </c>
      <c r="AN64" s="716" t="str">
        <f>_xlfn.XLOOKUP(D64,RUC!$B$3:$B$578,RUC!$M$3:$M$578)</f>
        <v>Ronald Miranda</v>
      </c>
      <c r="AO64" s="1167" t="s">
        <v>2278</v>
      </c>
      <c r="AP64" t="s">
        <v>3735</v>
      </c>
      <c r="AQ64" t="s">
        <v>4999</v>
      </c>
    </row>
    <row r="65" spans="1:44" ht="15" customHeight="1">
      <c r="A65" s="747" t="s">
        <v>5003</v>
      </c>
      <c r="B65" s="1447">
        <v>46098</v>
      </c>
      <c r="C65" s="1447">
        <v>46094</v>
      </c>
      <c r="D65" t="s">
        <v>1484</v>
      </c>
      <c r="E65" s="762">
        <f>_xlfn.XLOOKUP(D65,RUC!$B$3:$B$123,RUC!$D$3:$D$123)</f>
        <v>10761932735</v>
      </c>
      <c r="G65" s="1082">
        <v>68</v>
      </c>
      <c r="H65" s="762" t="s">
        <v>69</v>
      </c>
      <c r="I65" s="703">
        <v>5.37</v>
      </c>
      <c r="J65" s="596">
        <v>7.65</v>
      </c>
      <c r="K65" s="703">
        <f t="shared" si="57"/>
        <v>4.9589999999999996</v>
      </c>
      <c r="L65" s="994">
        <v>0.36299999999999999</v>
      </c>
      <c r="M65" s="994">
        <f>ROUND(+IF(AN65="Melchor Vera",IF(L65&gt;0.467,L65*0.985,(L65-0.007)),IF(L65&gt;0.3,L65*0.94,(L65-0.019))),3)</f>
        <v>0.34100000000000003</v>
      </c>
      <c r="N65" s="1444">
        <v>0.40100000000000002</v>
      </c>
      <c r="O65" s="645">
        <f t="shared" si="35"/>
        <v>0.371</v>
      </c>
      <c r="P65" s="727">
        <v>90</v>
      </c>
      <c r="Q65" s="1476">
        <v>98.07</v>
      </c>
      <c r="R65" s="706">
        <v>5044.6000000000004</v>
      </c>
      <c r="S65" s="765">
        <f>IF((_xlfn.XLOOKUP(D65,RUC!$B$3:$B$119,RUC!$E$3:$E$119)+ROUNDDOWN(O65,1)*100)&lt;95,95,((_xlfn.XLOOKUP(D65,RUC!$B$3:$B$119,RUC!$E$3:$E$119)+ROUNDDOWN(O65,1)*100)))</f>
        <v>120</v>
      </c>
      <c r="U65" s="1146">
        <f>_xlfn.XLOOKUP(D65,RUC!$B$3:$B$123,RUC!$F$3:$F$123)</f>
        <v>120</v>
      </c>
      <c r="V65" s="715">
        <v>1.1023000000000001</v>
      </c>
      <c r="Y65">
        <f>_xlfn.XLOOKUP(D65,RUC!$B$3:$B$123,RUC!$G$3:$G$123)</f>
        <v>20</v>
      </c>
      <c r="Z65" s="143">
        <f>_xlfn.XLOOKUP(D65,RUC!$B$3:$B$123,RUC!$H$3:$H$123)</f>
        <v>30</v>
      </c>
      <c r="AA65" s="144">
        <f t="shared" si="31"/>
        <v>50</v>
      </c>
      <c r="AB65" s="145">
        <f t="shared" si="45"/>
        <v>1625.1472790620003</v>
      </c>
      <c r="AC65" s="145">
        <f>+(S65-T65)*V65-'data 1'!$F$4</f>
        <v>52.27600000000001</v>
      </c>
      <c r="AD65" s="145">
        <f t="shared" si="36"/>
        <v>159.01969931317788</v>
      </c>
      <c r="AE65" s="145">
        <f t="shared" si="37"/>
        <v>-14.884999999999998</v>
      </c>
      <c r="AF65" s="145">
        <f t="shared" si="38"/>
        <v>-42.588949752048038</v>
      </c>
      <c r="AG65" s="772">
        <f t="shared" si="59"/>
        <v>170.82174956112988</v>
      </c>
      <c r="AH65" s="1253">
        <f t="shared" si="40"/>
        <v>60.527000000000001</v>
      </c>
      <c r="AI65" s="1253">
        <f t="shared" si="41"/>
        <v>61.718000000000004</v>
      </c>
      <c r="AJ65" s="156">
        <f t="shared" si="42"/>
        <v>-9.6533424921781421</v>
      </c>
      <c r="AK65" s="156">
        <f t="shared" si="43"/>
        <v>56.770091815609305</v>
      </c>
      <c r="AM65" s="716">
        <f t="shared" si="44"/>
        <v>8059.1053568684592</v>
      </c>
      <c r="AN65" s="716" t="str">
        <f>_xlfn.XLOOKUP(D65,RUC!$B$3:$B$578,RUC!$M$3:$M$578)</f>
        <v>Richard Sapacayo</v>
      </c>
      <c r="AO65" s="1167" t="s">
        <v>2278</v>
      </c>
      <c r="AP65" t="s">
        <v>4359</v>
      </c>
      <c r="AQ65" t="s">
        <v>5013</v>
      </c>
    </row>
    <row r="66" spans="1:44" ht="15" customHeight="1">
      <c r="A66" s="1491" t="s">
        <v>5004</v>
      </c>
      <c r="B66" s="1447">
        <v>46098</v>
      </c>
      <c r="C66" s="1447">
        <v>46094</v>
      </c>
      <c r="D66" t="s">
        <v>1484</v>
      </c>
      <c r="E66" s="762">
        <f>_xlfn.XLOOKUP(D66,RUC!$B$3:$B$123,RUC!$D$3:$D$123)</f>
        <v>10761932735</v>
      </c>
      <c r="G66" s="762">
        <v>19</v>
      </c>
      <c r="H66" s="762" t="s">
        <v>108</v>
      </c>
      <c r="I66" s="703">
        <v>1.6</v>
      </c>
      <c r="J66" s="596">
        <v>17.45</v>
      </c>
      <c r="K66" s="703">
        <f t="shared" si="57"/>
        <v>1.321</v>
      </c>
      <c r="L66" s="994">
        <v>0.11600000000000001</v>
      </c>
      <c r="M66" s="994">
        <f t="shared" si="47"/>
        <v>9.7000000000000003E-2</v>
      </c>
      <c r="N66" s="1196">
        <f t="shared" ref="N66:N71" si="60">+M66</f>
        <v>9.7000000000000003E-2</v>
      </c>
      <c r="O66" s="645">
        <f t="shared" si="35"/>
        <v>9.7000000000000003E-2</v>
      </c>
      <c r="P66" s="727">
        <v>80</v>
      </c>
      <c r="Q66" s="1476">
        <v>96.55</v>
      </c>
      <c r="R66" s="706">
        <v>5044.6000000000004</v>
      </c>
      <c r="S66" s="765">
        <f>IF((_xlfn.XLOOKUP(D66,RUC!$B$3:$B$119,RUC!$E$3:$E$119)+ROUNDDOWN(O66,1)*100)&lt;95,95,((_xlfn.XLOOKUP(D66,RUC!$B$3:$B$119,RUC!$E$3:$E$119)+ROUNDDOWN(O66,1)*100)))</f>
        <v>95</v>
      </c>
      <c r="U66" s="1146">
        <f>_xlfn.XLOOKUP(D66,RUC!$B$3:$B$123,RUC!$F$3:$F$123)</f>
        <v>120</v>
      </c>
      <c r="V66" s="715">
        <v>1.1023000000000001</v>
      </c>
      <c r="Y66">
        <f>_xlfn.XLOOKUP(D66,RUC!$B$3:$B$123,RUC!$G$3:$G$123)</f>
        <v>20</v>
      </c>
      <c r="Z66" s="143">
        <f>_xlfn.XLOOKUP(D66,RUC!$B$3:$B$123,RUC!$H$3:$H$123)</f>
        <v>30</v>
      </c>
      <c r="AA66" s="144">
        <f t="shared" si="31"/>
        <v>50</v>
      </c>
      <c r="AB66" s="145">
        <v>1E-3</v>
      </c>
      <c r="AC66" s="145">
        <f>+(S66-T66)*V66-'data 1'!$F$4</f>
        <v>24.718500000000006</v>
      </c>
      <c r="AD66" s="145">
        <f t="shared" si="36"/>
        <v>104.21416556283999</v>
      </c>
      <c r="AE66" s="145">
        <f t="shared" si="37"/>
        <v>-14.884999999999998</v>
      </c>
      <c r="AF66" s="145">
        <f t="shared" si="38"/>
        <v>99.581037616810022</v>
      </c>
      <c r="AG66" s="772">
        <f>AC66+AD66+AE66+AF66+70-53+261.41</f>
        <v>492.03870317965004</v>
      </c>
      <c r="AH66" s="1253">
        <f t="shared" si="40"/>
        <v>5.0730000000000004</v>
      </c>
      <c r="AI66" s="1253">
        <f t="shared" si="41"/>
        <v>5.2539999999999996</v>
      </c>
      <c r="AJ66" s="156">
        <f t="shared" si="42"/>
        <v>-3.0370027268400452</v>
      </c>
      <c r="AK66" s="156">
        <f t="shared" si="43"/>
        <v>3.5145814148502801</v>
      </c>
      <c r="AM66" s="716">
        <f t="shared" si="44"/>
        <v>1.3209999999999999E-3</v>
      </c>
      <c r="AN66" s="716" t="str">
        <f>_xlfn.XLOOKUP(D66,RUC!$B$3:$B$578,RUC!$M$3:$M$578)</f>
        <v>Richard Sapacayo</v>
      </c>
      <c r="AO66" s="1167" t="s">
        <v>2280</v>
      </c>
      <c r="AP66" t="s">
        <v>4359</v>
      </c>
      <c r="AQ66" t="s">
        <v>5013</v>
      </c>
    </row>
    <row r="67" spans="1:44" ht="15" customHeight="1">
      <c r="A67" s="747" t="s">
        <v>5005</v>
      </c>
      <c r="B67" s="1447">
        <v>46098</v>
      </c>
      <c r="C67" s="1447">
        <v>46094</v>
      </c>
      <c r="D67" t="s">
        <v>1484</v>
      </c>
      <c r="E67" s="762">
        <f>_xlfn.XLOOKUP(D67,RUC!$B$3:$B$123,RUC!$D$3:$D$123)</f>
        <v>10761932735</v>
      </c>
      <c r="G67" s="762">
        <v>7</v>
      </c>
      <c r="H67" s="762" t="s">
        <v>108</v>
      </c>
      <c r="I67" s="703">
        <v>0.5</v>
      </c>
      <c r="J67" s="596">
        <v>21.1</v>
      </c>
      <c r="K67" s="703">
        <f t="shared" si="57"/>
        <v>0.39500000000000002</v>
      </c>
      <c r="L67" s="994">
        <v>2.456</v>
      </c>
      <c r="M67" s="994">
        <f>ROUND(+IF(AN67="Melchor Vera",IF(L67&gt;0.467,L67*0.985,(L67-0.007)),IF(L67&gt;0.3,L67*0.94,(L67-0.019))),3)</f>
        <v>2.3090000000000002</v>
      </c>
      <c r="N67" s="1196">
        <f t="shared" si="60"/>
        <v>2.3090000000000002</v>
      </c>
      <c r="O67" s="645">
        <f t="shared" si="35"/>
        <v>2.3090000000000002</v>
      </c>
      <c r="P67" s="727">
        <v>90</v>
      </c>
      <c r="Q67" s="1476">
        <v>96.13</v>
      </c>
      <c r="R67" s="706">
        <v>5044.6000000000004</v>
      </c>
      <c r="S67" s="765">
        <f>IF((_xlfn.XLOOKUP(D67,RUC!$B$3:$B$119,RUC!$E$3:$E$119)+ROUNDDOWN(O67,1)*100)&lt;95,95,((_xlfn.XLOOKUP(D67,RUC!$B$3:$B$119,RUC!$E$3:$E$119)+ROUNDDOWN(O67,1)*100)))</f>
        <v>320</v>
      </c>
      <c r="U67" s="1146">
        <f>_xlfn.XLOOKUP(D67,RUC!$B$3:$B$123,RUC!$F$3:$F$123)</f>
        <v>120</v>
      </c>
      <c r="V67" s="715">
        <v>1.1023000000000001</v>
      </c>
      <c r="Y67">
        <f>_xlfn.XLOOKUP(D67,RUC!$B$3:$B$123,RUC!$G$3:$G$123)</f>
        <v>20</v>
      </c>
      <c r="Z67" s="143">
        <f>_xlfn.XLOOKUP(D67,RUC!$B$3:$B$123,RUC!$H$3:$H$123)</f>
        <v>30</v>
      </c>
      <c r="AA67" s="144">
        <f t="shared" si="31"/>
        <v>50</v>
      </c>
      <c r="AB67" s="145">
        <f t="shared" si="45"/>
        <v>10872.879151898002</v>
      </c>
      <c r="AC67" s="145">
        <f>+(S67-T67)*V67-'data 1'!$F$4</f>
        <v>272.73599999999999</v>
      </c>
      <c r="AD67" s="145">
        <f t="shared" si="36"/>
        <v>817.25879910142351</v>
      </c>
      <c r="AE67" s="145">
        <f t="shared" si="37"/>
        <v>-14.884999999999998</v>
      </c>
      <c r="AF67" s="145">
        <f t="shared" si="38"/>
        <v>767.09127884503698</v>
      </c>
      <c r="AG67" s="772">
        <f t="shared" si="59"/>
        <v>1859.2010779464604</v>
      </c>
      <c r="AH67" s="1253">
        <f t="shared" si="40"/>
        <v>31.974</v>
      </c>
      <c r="AI67" s="1253">
        <f t="shared" si="41"/>
        <v>33.261000000000003</v>
      </c>
      <c r="AJ67" s="156">
        <f t="shared" si="42"/>
        <v>-64.020965477424951</v>
      </c>
      <c r="AK67" s="156">
        <f t="shared" si="43"/>
        <v>28.143143638148477</v>
      </c>
      <c r="AM67" s="716">
        <f t="shared" si="44"/>
        <v>4294.7872649997107</v>
      </c>
      <c r="AN67" s="716" t="str">
        <f>_xlfn.XLOOKUP(D67,RUC!$B$3:$B$578,RUC!$M$3:$M$578)</f>
        <v>Richard Sapacayo</v>
      </c>
      <c r="AO67" s="1167" t="s">
        <v>2278</v>
      </c>
      <c r="AP67" t="s">
        <v>4359</v>
      </c>
      <c r="AQ67" t="s">
        <v>5013</v>
      </c>
    </row>
    <row r="68" spans="1:44" ht="15" customHeight="1">
      <c r="A68" s="747" t="s">
        <v>5006</v>
      </c>
      <c r="B68" s="1447">
        <v>46098</v>
      </c>
      <c r="C68" s="1447">
        <v>46094</v>
      </c>
      <c r="D68" t="s">
        <v>1484</v>
      </c>
      <c r="E68" s="762">
        <f>_xlfn.XLOOKUP(D68,RUC!$B$3:$B$123,RUC!$D$3:$D$123)</f>
        <v>10761932735</v>
      </c>
      <c r="G68" s="762">
        <v>68</v>
      </c>
      <c r="H68" s="762" t="s">
        <v>69</v>
      </c>
      <c r="I68" s="703">
        <v>5.86</v>
      </c>
      <c r="J68" s="596">
        <v>11.55</v>
      </c>
      <c r="K68" s="703">
        <f t="shared" si="57"/>
        <v>5.1829999999999998</v>
      </c>
      <c r="L68" s="994">
        <v>0.27</v>
      </c>
      <c r="M68" s="994">
        <f t="shared" si="47"/>
        <v>0.251</v>
      </c>
      <c r="N68" s="1196">
        <f t="shared" si="60"/>
        <v>0.251</v>
      </c>
      <c r="O68" s="645">
        <f t="shared" si="35"/>
        <v>0.251</v>
      </c>
      <c r="P68" s="727">
        <v>90</v>
      </c>
      <c r="Q68" s="1476">
        <v>98.45</v>
      </c>
      <c r="R68" s="706">
        <v>5044.6000000000004</v>
      </c>
      <c r="S68" s="765">
        <f>IF((_xlfn.XLOOKUP(D68,RUC!$B$3:$B$119,RUC!$E$3:$E$119)+ROUNDDOWN(O68,1)*100)&lt;95,95,((_xlfn.XLOOKUP(D68,RUC!$B$3:$B$119,RUC!$E$3:$E$119)+ROUNDDOWN(O68,1)*100)))</f>
        <v>110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3">
        <f>_xlfn.XLOOKUP(D68,RUC!$B$3:$B$123,RUC!$H$3:$H$123)</f>
        <v>30</v>
      </c>
      <c r="AA68" s="144">
        <f t="shared" si="31"/>
        <v>50</v>
      </c>
      <c r="AB68" s="145">
        <f t="shared" si="45"/>
        <v>1049.9045284220001</v>
      </c>
      <c r="AC68" s="145">
        <f>+(S68-T68)*V68-'data 1'!$F$4</f>
        <v>41.253</v>
      </c>
      <c r="AD68" s="145">
        <f t="shared" si="36"/>
        <v>123.84863982270006</v>
      </c>
      <c r="AE68" s="145">
        <f t="shared" si="37"/>
        <v>-14.884999999999998</v>
      </c>
      <c r="AF68" s="145">
        <f t="shared" si="38"/>
        <v>101.54068517219011</v>
      </c>
      <c r="AG68" s="772">
        <f t="shared" si="59"/>
        <v>268.75732499489015</v>
      </c>
      <c r="AH68" s="1253">
        <f t="shared" si="40"/>
        <v>47.235999999999997</v>
      </c>
      <c r="AI68" s="1253">
        <f t="shared" si="41"/>
        <v>47.978999999999999</v>
      </c>
      <c r="AJ68" s="156">
        <f t="shared" si="42"/>
        <v>-7.2079937127001088</v>
      </c>
      <c r="AK68" s="156">
        <f t="shared" si="43"/>
        <v>40.142693458845585</v>
      </c>
      <c r="AM68" s="716">
        <f t="shared" si="44"/>
        <v>5441.6551708112265</v>
      </c>
      <c r="AN68" s="716" t="str">
        <f>_xlfn.XLOOKUP(D68,RUC!$B$3:$B$578,RUC!$M$3:$M$578)</f>
        <v>Richard Sapacayo</v>
      </c>
      <c r="AO68" s="1167" t="s">
        <v>2278</v>
      </c>
      <c r="AP68" t="s">
        <v>4359</v>
      </c>
      <c r="AQ68" t="s">
        <v>5013</v>
      </c>
    </row>
    <row r="69" spans="1:44" ht="15" customHeight="1">
      <c r="A69" s="747" t="s">
        <v>5007</v>
      </c>
      <c r="B69" s="1447">
        <v>46098</v>
      </c>
      <c r="C69" s="1447">
        <v>46095</v>
      </c>
      <c r="D69" t="s">
        <v>4171</v>
      </c>
      <c r="E69" s="762">
        <f>_xlfn.XLOOKUP(D69,RUC!$B$3:$B$123,RUC!$D$3:$D$123)</f>
        <v>20614284740</v>
      </c>
      <c r="G69" s="1082">
        <v>39</v>
      </c>
      <c r="H69" s="762" t="s">
        <v>69</v>
      </c>
      <c r="I69" s="703">
        <v>4.33</v>
      </c>
      <c r="J69" s="596">
        <v>3.35</v>
      </c>
      <c r="K69" s="703">
        <f t="shared" si="57"/>
        <v>4.1849999999999996</v>
      </c>
      <c r="L69" s="994">
        <v>0.12</v>
      </c>
      <c r="M69" s="994">
        <f t="shared" si="47"/>
        <v>0.10100000000000001</v>
      </c>
      <c r="N69" s="1196">
        <f t="shared" si="60"/>
        <v>0.10100000000000001</v>
      </c>
      <c r="O69" s="645">
        <f t="shared" si="35"/>
        <v>0.10100000000000001</v>
      </c>
      <c r="P69" s="727">
        <v>80</v>
      </c>
      <c r="Q69" s="1476">
        <v>95.83</v>
      </c>
      <c r="R69" s="706">
        <v>5044.6000000000004</v>
      </c>
      <c r="S69" s="765">
        <f>IF((_xlfn.XLOOKUP(D69,RUC!$B$3:$B$119,RUC!$E$3:$E$119)+ROUNDDOWN(O69,1)*100)&lt;95,95,((_xlfn.XLOOKUP(D69,RUC!$B$3:$B$119,RUC!$E$3:$E$119)+ROUNDDOWN(O69,1)*100)))</f>
        <v>100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3">
        <f>_xlfn.XLOOKUP(D69,RUC!$B$3:$B$123,RUC!$H$3:$H$123)</f>
        <v>30</v>
      </c>
      <c r="AA69" s="144">
        <f t="shared" si="31"/>
        <v>50</v>
      </c>
      <c r="AB69" s="145">
        <f t="shared" si="45"/>
        <v>273.26863566400004</v>
      </c>
      <c r="AC69" s="145">
        <f>+(S69-T69)*V69-'data 1'!$F$4</f>
        <v>30.230000000000004</v>
      </c>
      <c r="AD69" s="145">
        <f t="shared" si="36"/>
        <v>103.11763147367999</v>
      </c>
      <c r="AE69" s="145">
        <f t="shared" si="37"/>
        <v>-14.884999999999998</v>
      </c>
      <c r="AF69" s="145">
        <f t="shared" si="38"/>
        <v>98.83843433266594</v>
      </c>
      <c r="AG69" s="772">
        <f t="shared" si="59"/>
        <v>234.30106580634595</v>
      </c>
      <c r="AH69" s="1253">
        <f t="shared" si="40"/>
        <v>16.5</v>
      </c>
      <c r="AI69" s="1253">
        <f t="shared" si="41"/>
        <v>17.218</v>
      </c>
      <c r="AJ69" s="156">
        <f t="shared" si="42"/>
        <v>-3.1182982336800462</v>
      </c>
      <c r="AK69" s="156">
        <f t="shared" si="43"/>
        <v>11.593535398331399</v>
      </c>
      <c r="AM69" s="716">
        <f t="shared" si="44"/>
        <v>1143.6292402538402</v>
      </c>
      <c r="AN69" s="716" t="str">
        <f>_xlfn.XLOOKUP(D69,RUC!$B$3:$B$578,RUC!$M$3:$M$578)</f>
        <v xml:space="preserve">Dante </v>
      </c>
      <c r="AO69" s="1167" t="s">
        <v>2279</v>
      </c>
      <c r="AP69" t="s">
        <v>5014</v>
      </c>
      <c r="AQ69" t="s">
        <v>2987</v>
      </c>
    </row>
    <row r="70" spans="1:44" ht="15" customHeight="1">
      <c r="A70" s="747" t="s">
        <v>5008</v>
      </c>
      <c r="B70" s="1447">
        <v>46107</v>
      </c>
      <c r="C70" s="1447">
        <v>46095</v>
      </c>
      <c r="D70" t="s">
        <v>4171</v>
      </c>
      <c r="E70" s="762">
        <f>_xlfn.XLOOKUP(D70,RUC!$B$3:$B$123,RUC!$D$3:$D$123)</f>
        <v>20614284740</v>
      </c>
      <c r="G70" s="1082">
        <v>97</v>
      </c>
      <c r="H70" s="762" t="s">
        <v>69</v>
      </c>
      <c r="I70" s="703">
        <v>7.82</v>
      </c>
      <c r="J70" s="596">
        <v>3.1</v>
      </c>
      <c r="K70" s="703">
        <f t="shared" si="57"/>
        <v>7.5780000000000003</v>
      </c>
      <c r="L70" s="1082">
        <v>0.28299999999999997</v>
      </c>
      <c r="M70" s="994">
        <f>ROUND(+IF(AN70="Melchor Vera",IF(L70&gt;0.467,L70*0.985,(L70-0.007)),IF(L70&gt;0.3,L70*0.94,(L70-0.019))),3)+0.002</f>
        <v>0.26600000000000001</v>
      </c>
      <c r="N70" s="1196">
        <f t="shared" si="60"/>
        <v>0.26600000000000001</v>
      </c>
      <c r="O70" s="645">
        <f t="shared" si="35"/>
        <v>0.26600000000000001</v>
      </c>
      <c r="P70" s="727">
        <v>90</v>
      </c>
      <c r="Q70" s="1476">
        <v>95.76</v>
      </c>
      <c r="R70" s="706">
        <v>5044.6000000000004</v>
      </c>
      <c r="S70" s="765">
        <f>IF((_xlfn.XLOOKUP(D70,RUC!$B$3:$B$119,RUC!$E$3:$E$119)+ROUNDDOWN(O70,1)*100)&lt;95,95,((_xlfn.XLOOKUP(D70,RUC!$B$3:$B$119,RUC!$E$3:$E$119)+ROUNDDOWN(O70,1)*100)))</f>
        <v>110</v>
      </c>
      <c r="U70" s="1146">
        <f>_xlfn.XLOOKUP(D70,RUC!$B$3:$B$123,RUC!$F$3:$F$123)</f>
        <v>120</v>
      </c>
      <c r="V70" s="715">
        <v>1.1023000000000001</v>
      </c>
      <c r="Y70">
        <f>_xlfn.XLOOKUP(D70,RUC!$B$3:$B$123,RUC!$G$3:$G$123)</f>
        <v>20</v>
      </c>
      <c r="Z70" s="143">
        <f>_xlfn.XLOOKUP(D70,RUC!$B$3:$B$123,RUC!$H$3:$H$123)</f>
        <v>30</v>
      </c>
      <c r="AA70" s="144">
        <f t="shared" si="31"/>
        <v>50</v>
      </c>
      <c r="AB70" s="145">
        <f t="shared" si="45"/>
        <v>1123.1877472520002</v>
      </c>
      <c r="AC70" s="145">
        <f>+(S70-T70)*V70-'data 1'!$F$4</f>
        <v>41.253</v>
      </c>
      <c r="AD70" s="145">
        <f t="shared" si="36"/>
        <v>88.487043963264099</v>
      </c>
      <c r="AE70" s="145">
        <f t="shared" si="37"/>
        <v>-14.884999999999998</v>
      </c>
      <c r="AF70" s="145">
        <f t="shared" si="38"/>
        <v>88.369790813135808</v>
      </c>
      <c r="AG70" s="772">
        <f t="shared" si="59"/>
        <v>220.22483477639992</v>
      </c>
      <c r="AH70" s="1253">
        <f t="shared" si="40"/>
        <v>70.41</v>
      </c>
      <c r="AI70" s="1253">
        <f t="shared" si="41"/>
        <v>73.528000000000006</v>
      </c>
      <c r="AJ70" s="156">
        <f t="shared" si="42"/>
        <v>-7.3486148732641094</v>
      </c>
      <c r="AK70" s="156">
        <f t="shared" si="43"/>
        <v>62.199632151910265</v>
      </c>
      <c r="AM70" s="716">
        <f t="shared" si="44"/>
        <v>8511.5167486756582</v>
      </c>
      <c r="AN70" s="716" t="str">
        <f>_xlfn.XLOOKUP(D70,RUC!$B$3:$B$578,RUC!$M$3:$M$578)</f>
        <v xml:space="preserve">Dante </v>
      </c>
      <c r="AO70" s="1167" t="s">
        <v>2278</v>
      </c>
      <c r="AP70" t="s">
        <v>5014</v>
      </c>
      <c r="AQ70" t="s">
        <v>2987</v>
      </c>
    </row>
    <row r="71" spans="1:44" ht="15" customHeight="1">
      <c r="A71" s="747" t="s">
        <v>5010</v>
      </c>
      <c r="B71" s="1447">
        <v>46099</v>
      </c>
      <c r="C71" s="1447">
        <v>46096</v>
      </c>
      <c r="D71" t="s">
        <v>5012</v>
      </c>
      <c r="E71" s="762">
        <f>_xlfn.XLOOKUP(D71,RUC!$B$3:$B$123,RUC!$D$3:$D$123)</f>
        <v>20603162812</v>
      </c>
      <c r="G71" s="1082">
        <v>34</v>
      </c>
      <c r="H71" s="762" t="s">
        <v>69</v>
      </c>
      <c r="I71" s="703">
        <v>3.13</v>
      </c>
      <c r="J71" s="596">
        <v>2</v>
      </c>
      <c r="K71" s="703">
        <f t="shared" si="57"/>
        <v>3.0670000000000002</v>
      </c>
      <c r="L71" s="1082">
        <v>0.996</v>
      </c>
      <c r="M71" s="994">
        <f t="shared" ref="M71:M76" si="61">ROUND(+IF(AN71="Melchor Vera",IF(L71&gt;0.467,L71*0.985,(L71-0.007)),IF(L71&gt;0.3,L71*0.94,(L71-0.019))),3)</f>
        <v>0.93600000000000005</v>
      </c>
      <c r="N71" s="1196">
        <f t="shared" si="60"/>
        <v>0.93600000000000005</v>
      </c>
      <c r="O71" s="645">
        <f t="shared" si="35"/>
        <v>0.93600000000000005</v>
      </c>
      <c r="P71" s="727">
        <v>90</v>
      </c>
      <c r="Q71" s="1476">
        <v>99.4</v>
      </c>
      <c r="R71" s="706">
        <v>4994.8500000000004</v>
      </c>
      <c r="S71" s="765">
        <f>IF((_xlfn.XLOOKUP(D71,RUC!$B$3:$B$119,RUC!$E$3:$E$119)+ROUNDDOWN(O71,1)*100)&lt;95,95,((_xlfn.XLOOKUP(D71,RUC!$B$3:$B$119,RUC!$E$3:$E$119)+ROUNDDOWN(O71,1)*100)))</f>
        <v>170</v>
      </c>
      <c r="U71" s="1146">
        <f>_xlfn.XLOOKUP(D71,RUC!$B$3:$B$123,RUC!$F$3:$F$123)</f>
        <v>110</v>
      </c>
      <c r="V71" s="715">
        <v>1.1023000000000001</v>
      </c>
      <c r="Y71">
        <f>_xlfn.XLOOKUP(D71,RUC!$B$3:$B$123,RUC!$G$3:$G$123)</f>
        <v>0</v>
      </c>
      <c r="Z71" s="143">
        <f>_xlfn.XLOOKUP(D71,RUC!$B$3:$B$123,RUC!$H$3:$H$123)</f>
        <v>35</v>
      </c>
      <c r="AA71" s="144">
        <f t="shared" si="31"/>
        <v>35</v>
      </c>
      <c r="AB71" s="145">
        <f t="shared" si="45"/>
        <v>4309.9903985720011</v>
      </c>
      <c r="AC71" s="145">
        <f>+(S71-T71)*V71-'data 1'!$F$4</f>
        <v>107.39100000000002</v>
      </c>
      <c r="AD71" s="145">
        <f t="shared" si="36"/>
        <v>504.12499619172036</v>
      </c>
      <c r="AE71" s="145">
        <f t="shared" si="37"/>
        <v>-31.419499999999999</v>
      </c>
      <c r="AF71" s="145">
        <f t="shared" si="38"/>
        <v>321.13576404419973</v>
      </c>
      <c r="AG71" s="772">
        <f t="shared" si="59"/>
        <v>918.23226023592019</v>
      </c>
      <c r="AH71" s="1253">
        <f t="shared" si="40"/>
        <v>104.104</v>
      </c>
      <c r="AI71" s="1253">
        <f t="shared" si="41"/>
        <v>104.733</v>
      </c>
      <c r="AJ71" s="156">
        <f t="shared" si="42"/>
        <v>16.533247346279605</v>
      </c>
      <c r="AK71" s="156">
        <f t="shared" si="43"/>
        <v>88.581127409812453</v>
      </c>
      <c r="AM71" s="716">
        <f t="shared" si="44"/>
        <v>13218.740552420328</v>
      </c>
      <c r="AN71" s="716" t="str">
        <f>_xlfn.XLOOKUP(D71,RUC!$B$3:$B$578,RUC!$M$3:$M$578)</f>
        <v>Robinson Tuya</v>
      </c>
      <c r="AO71" s="1167" t="s">
        <v>2278</v>
      </c>
      <c r="AP71" t="s">
        <v>3955</v>
      </c>
      <c r="AQ71" t="s">
        <v>2454</v>
      </c>
    </row>
    <row r="72" spans="1:44" ht="15" customHeight="1">
      <c r="A72" s="747" t="s">
        <v>5011</v>
      </c>
      <c r="B72" s="1447">
        <v>46099</v>
      </c>
      <c r="C72" s="1447">
        <v>46096</v>
      </c>
      <c r="D72" t="s">
        <v>5012</v>
      </c>
      <c r="E72" s="762">
        <f>_xlfn.XLOOKUP(D72,RUC!$B$3:$B$123,RUC!$D$3:$D$123)</f>
        <v>20603162812</v>
      </c>
      <c r="G72" s="1082">
        <v>48</v>
      </c>
      <c r="H72" s="762" t="s">
        <v>69</v>
      </c>
      <c r="I72" s="703">
        <v>5.04</v>
      </c>
      <c r="J72" s="596">
        <v>2</v>
      </c>
      <c r="K72" s="703">
        <f t="shared" si="57"/>
        <v>4.9390000000000001</v>
      </c>
      <c r="L72" s="1082">
        <v>0.432</v>
      </c>
      <c r="M72" s="994">
        <f t="shared" si="61"/>
        <v>0.40600000000000003</v>
      </c>
      <c r="N72" s="1444">
        <v>0.44700000000000001</v>
      </c>
      <c r="O72" s="645">
        <f t="shared" si="35"/>
        <v>0.42699999999999999</v>
      </c>
      <c r="P72" s="727">
        <v>90</v>
      </c>
      <c r="Q72" s="1476">
        <v>96.04</v>
      </c>
      <c r="R72" s="706">
        <v>4994.8500000000004</v>
      </c>
      <c r="S72" s="765">
        <f>IF((_xlfn.XLOOKUP(D72,RUC!$B$3:$B$119,RUC!$E$3:$E$119)+ROUNDDOWN(O72,1)*100)&lt;95,95,((_xlfn.XLOOKUP(D72,RUC!$B$3:$B$119,RUC!$E$3:$E$119)+ROUNDDOWN(O72,1)*100)))</f>
        <v>120</v>
      </c>
      <c r="U72" s="1146">
        <f>_xlfn.XLOOKUP(D72,RUC!$B$3:$B$123,RUC!$F$3:$F$123)</f>
        <v>110</v>
      </c>
      <c r="V72" s="715">
        <v>1.1023000000000001</v>
      </c>
      <c r="Y72">
        <f>_xlfn.XLOOKUP(D72,RUC!$B$3:$B$123,RUC!$G$3:$G$123)</f>
        <v>0</v>
      </c>
      <c r="Z72" s="143">
        <f>_xlfn.XLOOKUP(D72,RUC!$B$3:$B$123,RUC!$H$3:$H$123)</f>
        <v>35</v>
      </c>
      <c r="AA72" s="144">
        <f t="shared" si="31"/>
        <v>35</v>
      </c>
      <c r="AB72" s="145">
        <f t="shared" si="45"/>
        <v>1898.4338105665001</v>
      </c>
      <c r="AC72" s="145">
        <f>+(S72-T72)*V72-'data 1'!$F$4</f>
        <v>52.27600000000001</v>
      </c>
      <c r="AD72" s="145">
        <f t="shared" si="36"/>
        <v>140.49851214038415</v>
      </c>
      <c r="AE72" s="145">
        <f t="shared" si="37"/>
        <v>-31.419499999999999</v>
      </c>
      <c r="AF72" s="145">
        <f t="shared" si="38"/>
        <v>25.856705884310021</v>
      </c>
      <c r="AG72" s="772">
        <f t="shared" si="59"/>
        <v>204.21171802469416</v>
      </c>
      <c r="AH72" s="1253">
        <f t="shared" si="40"/>
        <v>70.256</v>
      </c>
      <c r="AI72" s="1253">
        <f t="shared" si="41"/>
        <v>73.153000000000006</v>
      </c>
      <c r="AJ72" s="156">
        <f t="shared" si="42"/>
        <v>6.9286454516158349</v>
      </c>
      <c r="AK72" s="156">
        <f t="shared" si="43"/>
        <v>65.075644785790487</v>
      </c>
      <c r="AM72" s="716">
        <f t="shared" si="44"/>
        <v>9376.3645903879442</v>
      </c>
      <c r="AN72" s="716" t="str">
        <f>_xlfn.XLOOKUP(D72,RUC!$B$3:$B$578,RUC!$M$3:$M$578)</f>
        <v>Robinson Tuya</v>
      </c>
      <c r="AO72" s="1167" t="s">
        <v>2278</v>
      </c>
      <c r="AP72" t="s">
        <v>3955</v>
      </c>
      <c r="AQ72" t="s">
        <v>2454</v>
      </c>
    </row>
    <row r="73" spans="1:44" ht="15" customHeight="1">
      <c r="A73" s="747" t="s">
        <v>5015</v>
      </c>
      <c r="B73" s="1447">
        <v>46101</v>
      </c>
      <c r="C73" s="1447">
        <v>46097</v>
      </c>
      <c r="D73" t="s">
        <v>4171</v>
      </c>
      <c r="E73" s="762">
        <f>_xlfn.XLOOKUP(D73,RUC!$B$3:$B$123,RUC!$D$3:$D$123)</f>
        <v>20614284740</v>
      </c>
      <c r="G73" s="1082">
        <v>17</v>
      </c>
      <c r="H73" s="762" t="s">
        <v>108</v>
      </c>
      <c r="I73" s="703">
        <v>1.33</v>
      </c>
      <c r="J73" s="596">
        <v>2.2000000000000002</v>
      </c>
      <c r="K73" s="703">
        <f t="shared" si="57"/>
        <v>1.3009999999999999</v>
      </c>
      <c r="L73" s="1082">
        <v>0.252</v>
      </c>
      <c r="M73" s="994">
        <f t="shared" si="61"/>
        <v>0.23300000000000001</v>
      </c>
      <c r="N73" s="1196">
        <f t="shared" ref="N73:N75" si="62">+M73</f>
        <v>0.23300000000000001</v>
      </c>
      <c r="O73" s="645">
        <f t="shared" si="35"/>
        <v>0.23300000000000001</v>
      </c>
      <c r="P73" s="727">
        <v>90</v>
      </c>
      <c r="Q73" s="1476">
        <v>98.02</v>
      </c>
      <c r="R73" s="706">
        <v>4994.8500000000004</v>
      </c>
      <c r="S73" s="765">
        <f>IF((_xlfn.XLOOKUP(D73,RUC!$B$3:$B$119,RUC!$E$3:$E$119)+ROUNDDOWN(O73,1)*100)&lt;95,95,((_xlfn.XLOOKUP(D73,RUC!$B$3:$B$119,RUC!$E$3:$E$119)+ROUNDDOWN(O73,1)*100)))</f>
        <v>110</v>
      </c>
      <c r="U73" s="1146">
        <f>_xlfn.XLOOKUP(D73,RUC!$B$3:$B$123,RUC!$F$3:$F$123)</f>
        <v>120</v>
      </c>
      <c r="V73" s="715">
        <v>1.1023000000000001</v>
      </c>
      <c r="Y73">
        <f>_xlfn.XLOOKUP(D73,RUC!$B$3:$B$123,RUC!$G$3:$G$123)</f>
        <v>20</v>
      </c>
      <c r="Z73" s="1454">
        <v>70</v>
      </c>
      <c r="AA73" s="144">
        <f t="shared" si="31"/>
        <v>90</v>
      </c>
      <c r="AB73" s="145">
        <f t="shared" si="45"/>
        <v>906.37283840350028</v>
      </c>
      <c r="AC73" s="145">
        <f>+(S73-T73)*V73-'data 1'!$F$4</f>
        <v>41.253</v>
      </c>
      <c r="AD73" s="145">
        <f t="shared" si="36"/>
        <v>108.60153742141196</v>
      </c>
      <c r="AE73" s="145">
        <f t="shared" si="37"/>
        <v>29.207000000000001</v>
      </c>
      <c r="AF73" s="145">
        <f t="shared" si="38"/>
        <v>100.07586750528894</v>
      </c>
      <c r="AG73" s="772">
        <f t="shared" si="59"/>
        <v>296.13740492670092</v>
      </c>
      <c r="AH73" s="1253">
        <f t="shared" si="40"/>
        <v>11.018000000000001</v>
      </c>
      <c r="AI73" s="1253">
        <f t="shared" si="41"/>
        <v>11.241</v>
      </c>
      <c r="AJ73" s="156">
        <f t="shared" si="42"/>
        <v>6.8478310325879015</v>
      </c>
      <c r="AK73" s="156">
        <f t="shared" si="43"/>
        <v>9.3537292821845863</v>
      </c>
      <c r="AM73" s="716">
        <f t="shared" si="44"/>
        <v>1179.1910627629538</v>
      </c>
      <c r="AN73" s="716" t="str">
        <f>_xlfn.XLOOKUP(D73,RUC!$B$3:$B$578,RUC!$M$3:$M$578)</f>
        <v xml:space="preserve">Dante </v>
      </c>
      <c r="AO73" s="1167" t="s">
        <v>2280</v>
      </c>
      <c r="AP73" t="s">
        <v>5024</v>
      </c>
      <c r="AQ73" t="s">
        <v>3193</v>
      </c>
    </row>
    <row r="74" spans="1:44" ht="15" customHeight="1">
      <c r="A74" s="747" t="s">
        <v>5016</v>
      </c>
      <c r="B74" s="1447">
        <v>46101</v>
      </c>
      <c r="C74" s="1447">
        <v>46097</v>
      </c>
      <c r="D74" t="s">
        <v>4171</v>
      </c>
      <c r="E74" s="762">
        <f>_xlfn.XLOOKUP(D74,RUC!$B$3:$B$123,RUC!$D$3:$D$123)</f>
        <v>20614284740</v>
      </c>
      <c r="G74" s="1082">
        <v>15</v>
      </c>
      <c r="H74" s="762" t="s">
        <v>108</v>
      </c>
      <c r="I74" s="703">
        <v>1.19</v>
      </c>
      <c r="J74" s="596">
        <v>2.1</v>
      </c>
      <c r="K74" s="703">
        <f t="shared" si="57"/>
        <v>1.165</v>
      </c>
      <c r="L74" s="1082">
        <v>0.248</v>
      </c>
      <c r="M74" s="994">
        <f t="shared" si="61"/>
        <v>0.22900000000000001</v>
      </c>
      <c r="N74" s="1196">
        <f t="shared" si="62"/>
        <v>0.22900000000000001</v>
      </c>
      <c r="O74" s="645">
        <f t="shared" si="35"/>
        <v>0.22900000000000001</v>
      </c>
      <c r="P74" s="727">
        <v>90</v>
      </c>
      <c r="Q74" s="1476">
        <v>97.98</v>
      </c>
      <c r="R74" s="706">
        <v>4994.8500000000004</v>
      </c>
      <c r="S74" s="765">
        <f>IF((_xlfn.XLOOKUP(D74,RUC!$B$3:$B$119,RUC!$E$3:$E$119)+ROUNDDOWN(O74,1)*100)&lt;95,95,((_xlfn.XLOOKUP(D74,RUC!$B$3:$B$119,RUC!$E$3:$E$119)+ROUNDDOWN(O74,1)*100)))</f>
        <v>110</v>
      </c>
      <c r="U74" s="1146">
        <f>_xlfn.XLOOKUP(D74,RUC!$B$3:$B$123,RUC!$F$3:$F$123)</f>
        <v>120</v>
      </c>
      <c r="V74" s="715">
        <v>1.1023000000000001</v>
      </c>
      <c r="Y74">
        <f>_xlfn.XLOOKUP(D74,RUC!$B$3:$B$123,RUC!$G$3:$G$123)</f>
        <v>20</v>
      </c>
      <c r="Z74" s="1454">
        <v>70</v>
      </c>
      <c r="AA74" s="144">
        <f t="shared" si="31"/>
        <v>90</v>
      </c>
      <c r="AB74" s="145">
        <f t="shared" si="45"/>
        <v>887.02806864550007</v>
      </c>
      <c r="AC74" s="145">
        <f>+(S74-T74)*V74-'data 1'!$F$4</f>
        <v>41.253</v>
      </c>
      <c r="AD74" s="145">
        <f t="shared" si="36"/>
        <v>106.34464761631207</v>
      </c>
      <c r="AE74" s="145">
        <f t="shared" si="37"/>
        <v>29.207000000000001</v>
      </c>
      <c r="AF74" s="145">
        <f t="shared" si="38"/>
        <v>100.03502854691095</v>
      </c>
      <c r="AG74" s="772">
        <f t="shared" si="59"/>
        <v>293.83967616322303</v>
      </c>
      <c r="AH74" s="1253">
        <f t="shared" si="40"/>
        <v>9.7059999999999995</v>
      </c>
      <c r="AI74" s="1253">
        <f t="shared" si="41"/>
        <v>9.9060000000000006</v>
      </c>
      <c r="AJ74" s="156">
        <f t="shared" si="42"/>
        <v>6.7363851956879035</v>
      </c>
      <c r="AK74" s="156">
        <f t="shared" si="43"/>
        <v>8.2321445258273247</v>
      </c>
      <c r="AM74" s="716">
        <f t="shared" si="44"/>
        <v>1033.3876999720076</v>
      </c>
      <c r="AN74" s="716" t="str">
        <f>_xlfn.XLOOKUP(D74,RUC!$B$3:$B$578,RUC!$M$3:$M$578)</f>
        <v xml:space="preserve">Dante </v>
      </c>
      <c r="AO74" s="1167" t="s">
        <v>2280</v>
      </c>
      <c r="AP74" t="s">
        <v>5024</v>
      </c>
      <c r="AQ74" t="s">
        <v>3193</v>
      </c>
    </row>
    <row r="75" spans="1:44" ht="15" customHeight="1">
      <c r="A75" s="747" t="s">
        <v>5017</v>
      </c>
      <c r="B75" s="1447">
        <v>46107</v>
      </c>
      <c r="C75" s="1447">
        <v>46097</v>
      </c>
      <c r="D75" t="s">
        <v>4171</v>
      </c>
      <c r="E75" s="762">
        <f>_xlfn.XLOOKUP(D75,RUC!$B$3:$B$123,RUC!$D$3:$D$123)</f>
        <v>20614284740</v>
      </c>
      <c r="G75" s="1082">
        <v>97</v>
      </c>
      <c r="H75" s="762" t="s">
        <v>2005</v>
      </c>
      <c r="I75" s="703">
        <v>9.1999999999999993</v>
      </c>
      <c r="J75" s="596">
        <v>3.6</v>
      </c>
      <c r="K75" s="703">
        <f t="shared" si="57"/>
        <v>8.8689999999999998</v>
      </c>
      <c r="L75" s="1178">
        <v>0.13200000000000001</v>
      </c>
      <c r="M75" s="994">
        <f t="shared" si="61"/>
        <v>0.113</v>
      </c>
      <c r="N75" s="1196">
        <f t="shared" si="62"/>
        <v>0.113</v>
      </c>
      <c r="O75" s="645">
        <v>0.115</v>
      </c>
      <c r="P75" s="727">
        <v>80</v>
      </c>
      <c r="Q75" s="1476">
        <v>98.51</v>
      </c>
      <c r="R75" s="706">
        <v>4994.8500000000004</v>
      </c>
      <c r="S75" s="765">
        <f>IF((_xlfn.XLOOKUP(D75,RUC!$B$3:$B$119,RUC!$E$3:$E$119)+ROUNDDOWN(O75,1)*100)&lt;95,95,((_xlfn.XLOOKUP(D75,RUC!$B$3:$B$119,RUC!$E$3:$E$119)+ROUNDDOWN(O75,1)*100)))</f>
        <v>100</v>
      </c>
      <c r="U75" s="1146">
        <f>_xlfn.XLOOKUP(D75,RUC!$B$3:$B$123,RUC!$F$3:$F$123)</f>
        <v>120</v>
      </c>
      <c r="V75" s="715">
        <v>1.1023000000000001</v>
      </c>
      <c r="Y75">
        <f>_xlfn.XLOOKUP(D75,RUC!$B$3:$B$123,RUC!$G$3:$G$123)</f>
        <v>20</v>
      </c>
      <c r="Z75" s="143">
        <f>_xlfn.XLOOKUP(D75,RUC!$B$3:$B$123,RUC!$H$3:$H$123)</f>
        <v>30</v>
      </c>
      <c r="AA75" s="144">
        <f t="shared" ref="AA75:AA102" si="63">+Y75+Z75</f>
        <v>50</v>
      </c>
      <c r="AB75" s="145">
        <f t="shared" si="45"/>
        <v>329.02133826000016</v>
      </c>
      <c r="AC75" s="145">
        <f>+(S75-T75)*V75-'data 1'!$F$4</f>
        <v>30.230000000000004</v>
      </c>
      <c r="AD75" s="145">
        <f t="shared" si="36"/>
        <v>131.29295234754608</v>
      </c>
      <c r="AE75" s="145">
        <f t="shared" si="37"/>
        <v>-14.884999999999998</v>
      </c>
      <c r="AF75" s="145">
        <f t="shared" si="38"/>
        <v>89.989182140638533</v>
      </c>
      <c r="AG75" s="772">
        <f t="shared" si="59"/>
        <v>253.62713448818465</v>
      </c>
      <c r="AH75" s="1253">
        <f t="shared" si="40"/>
        <v>39.54</v>
      </c>
      <c r="AI75" s="1253">
        <f t="shared" si="41"/>
        <v>40.137999999999998</v>
      </c>
      <c r="AJ75" s="156">
        <f t="shared" si="42"/>
        <v>3.6048902484539491</v>
      </c>
      <c r="AK75" s="156">
        <f t="shared" si="43"/>
        <v>27.975093808621406</v>
      </c>
      <c r="AM75" s="716">
        <f t="shared" si="44"/>
        <v>2918.0902490279414</v>
      </c>
      <c r="AN75" s="716" t="str">
        <f>_xlfn.XLOOKUP(D75,RUC!$B$3:$B$578,RUC!$M$3:$M$578)</f>
        <v xml:space="preserve">Dante </v>
      </c>
      <c r="AO75" s="1167" t="s">
        <v>2280</v>
      </c>
      <c r="AP75" t="s">
        <v>5024</v>
      </c>
      <c r="AQ75" t="s">
        <v>3193</v>
      </c>
      <c r="AR75" s="1805" t="s">
        <v>5239</v>
      </c>
    </row>
    <row r="76" spans="1:44" ht="15" customHeight="1">
      <c r="A76" s="747" t="s">
        <v>5019</v>
      </c>
      <c r="B76" s="1447">
        <v>46104</v>
      </c>
      <c r="C76" s="1447">
        <v>46099</v>
      </c>
      <c r="D76" t="s">
        <v>5012</v>
      </c>
      <c r="E76" s="762">
        <f>_xlfn.XLOOKUP(D76,RUC!$B$3:$B$123,RUC!$D$3:$D$123)</f>
        <v>20603162812</v>
      </c>
      <c r="G76" s="1082">
        <v>40</v>
      </c>
      <c r="H76" s="762" t="s">
        <v>69</v>
      </c>
      <c r="I76" s="703">
        <v>4.47</v>
      </c>
      <c r="J76" s="596">
        <v>4.55</v>
      </c>
      <c r="K76" s="703">
        <f t="shared" si="57"/>
        <v>4.2670000000000003</v>
      </c>
      <c r="L76" s="1746">
        <v>2.0960000000000001</v>
      </c>
      <c r="M76" s="1672">
        <f t="shared" si="61"/>
        <v>1.97</v>
      </c>
      <c r="N76" s="1196">
        <f t="shared" ref="N76" si="64">+M76</f>
        <v>1.97</v>
      </c>
      <c r="O76" s="1546">
        <v>2.1560000000000001</v>
      </c>
      <c r="P76" s="727">
        <v>90</v>
      </c>
      <c r="Q76" s="1476">
        <v>97.63</v>
      </c>
      <c r="R76" s="706">
        <v>4869.95</v>
      </c>
      <c r="S76" s="765">
        <f>IF((_xlfn.XLOOKUP(D76,RUC!$B$3:$B$119,RUC!$E$3:$E$119)+ROUNDDOWN(O76,1)*100)&lt;95,95,((_xlfn.XLOOKUP(D76,RUC!$B$3:$B$119,RUC!$E$3:$E$119)+ROUNDDOWN(O76,1)*100)))</f>
        <v>290</v>
      </c>
      <c r="U76" s="1146">
        <f>_xlfn.XLOOKUP(D76,RUC!$B$3:$B$123,RUC!$F$3:$F$123)</f>
        <v>110</v>
      </c>
      <c r="V76" s="715">
        <v>1.1023000000000001</v>
      </c>
      <c r="Y76" s="1445">
        <v>20</v>
      </c>
      <c r="Z76" s="143">
        <f>_xlfn.XLOOKUP(D76,RUC!$B$3:$B$123,RUC!$H$3:$H$123)</f>
        <v>35</v>
      </c>
      <c r="AA76" s="144">
        <f t="shared" si="63"/>
        <v>55</v>
      </c>
      <c r="AB76" s="145">
        <f t="shared" si="45"/>
        <v>9800.7774540540013</v>
      </c>
      <c r="AC76" s="145">
        <f>+(S76-T76)*V76-'data 1'!$F$4</f>
        <v>239.66700000000003</v>
      </c>
      <c r="AD76" s="145">
        <f t="shared" si="36"/>
        <v>839.10829525504755</v>
      </c>
      <c r="AE76" s="145">
        <f t="shared" si="37"/>
        <v>-9.3734999999999999</v>
      </c>
      <c r="AF76" s="145">
        <f t="shared" si="38"/>
        <v>-307.3524914175303</v>
      </c>
      <c r="AG76" s="772">
        <f t="shared" si="59"/>
        <v>779.04930383751753</v>
      </c>
      <c r="AH76" s="1253">
        <f t="shared" si="40"/>
        <v>299.36900000000003</v>
      </c>
      <c r="AI76" s="1253">
        <f t="shared" si="41"/>
        <v>306.63600000000002</v>
      </c>
      <c r="AJ76" s="156">
        <f t="shared" ref="AJ76:AJ102" si="65">+((+$AJ$2-R76+U76)*L76*Q76*V76)/100</f>
        <v>315.90571897695241</v>
      </c>
      <c r="AK76" s="156">
        <f t="shared" si="43"/>
        <v>283.87227487046277</v>
      </c>
      <c r="AM76" s="716">
        <f t="shared" si="44"/>
        <v>41819.917396448429</v>
      </c>
      <c r="AN76" s="716" t="str">
        <f>_xlfn.XLOOKUP(D76,RUC!$B$3:$B$578,RUC!$M$3:$M$578)</f>
        <v>Robinson Tuya</v>
      </c>
      <c r="AO76" s="1167" t="s">
        <v>2280</v>
      </c>
      <c r="AP76" t="s">
        <v>4085</v>
      </c>
      <c r="AQ76" t="s">
        <v>2388</v>
      </c>
    </row>
    <row r="77" spans="1:44" ht="15" customHeight="1">
      <c r="A77" s="747" t="s">
        <v>5021</v>
      </c>
      <c r="B77" s="1447">
        <v>46103</v>
      </c>
      <c r="C77" s="1447">
        <v>46099</v>
      </c>
      <c r="D77" t="s">
        <v>1484</v>
      </c>
      <c r="E77" s="762">
        <f>_xlfn.XLOOKUP(D77,RUC!$B$3:$B$123,RUC!$D$3:$D$123)</f>
        <v>10761932735</v>
      </c>
      <c r="G77" s="1082">
        <v>215</v>
      </c>
      <c r="H77" s="762" t="s">
        <v>69</v>
      </c>
      <c r="I77" s="703">
        <v>17.809999999999999</v>
      </c>
      <c r="J77" s="596">
        <v>14.05</v>
      </c>
      <c r="K77" s="703">
        <f t="shared" si="57"/>
        <v>15.308</v>
      </c>
      <c r="L77" s="1745">
        <v>0.16300000000000001</v>
      </c>
      <c r="M77" s="994">
        <f>+L77-0.035</f>
        <v>0.128</v>
      </c>
      <c r="N77" s="1444">
        <v>0.17899999999999999</v>
      </c>
      <c r="O77" s="645">
        <f t="shared" ref="O77:O80" si="66">+ROUND((M77+N77)/2,3)</f>
        <v>0.154</v>
      </c>
      <c r="P77" s="727">
        <v>90</v>
      </c>
      <c r="Q77" s="1476">
        <v>96.93</v>
      </c>
      <c r="R77" s="706">
        <v>4869.95</v>
      </c>
      <c r="S77" s="765">
        <f>IF((_xlfn.XLOOKUP(D77,RUC!$B$3:$B$119,RUC!$E$3:$E$119)+ROUNDDOWN(O77,1)*100)&lt;95,95,((_xlfn.XLOOKUP(D77,RUC!$B$3:$B$119,RUC!$E$3:$E$119)+ROUNDDOWN(O77,1)*100)))</f>
        <v>100</v>
      </c>
      <c r="U77" s="1146">
        <f>_xlfn.XLOOKUP(D77,RUC!$B$3:$B$123,RUC!$F$3:$F$123)</f>
        <v>120</v>
      </c>
      <c r="V77" s="715">
        <v>1.1023000000000001</v>
      </c>
      <c r="Y77">
        <f>_xlfn.XLOOKUP(D77,RUC!$B$3:$B$123,RUC!$G$3:$G$123)</f>
        <v>20</v>
      </c>
      <c r="Z77" s="143">
        <f>_xlfn.XLOOKUP(D77,RUC!$B$3:$B$123,RUC!$H$3:$H$123)</f>
        <v>30</v>
      </c>
      <c r="AA77" s="144">
        <f t="shared" si="63"/>
        <v>50</v>
      </c>
      <c r="AB77" s="145">
        <f t="shared" si="45"/>
        <v>560.34656606100009</v>
      </c>
      <c r="AC77" s="145">
        <f>+(S77-T77)*V77-'data 1'!$F$4</f>
        <v>30.230000000000004</v>
      </c>
      <c r="AD77" s="145">
        <f t="shared" si="36"/>
        <v>59.143862633971558</v>
      </c>
      <c r="AE77" s="145">
        <f t="shared" si="37"/>
        <v>-14.884999999999998</v>
      </c>
      <c r="AF77" s="145">
        <f t="shared" si="38"/>
        <v>45.676158115774541</v>
      </c>
      <c r="AG77" s="772">
        <f t="shared" si="59"/>
        <v>137.16502074974611</v>
      </c>
      <c r="AH77" s="1253">
        <f t="shared" si="40"/>
        <v>82.923000000000002</v>
      </c>
      <c r="AI77" s="1253">
        <f t="shared" si="41"/>
        <v>85.549000000000007</v>
      </c>
      <c r="AJ77" s="156">
        <f t="shared" si="65"/>
        <v>26.132540029528535</v>
      </c>
      <c r="AK77" s="156">
        <f t="shared" si="43"/>
        <v>72.742923829338849</v>
      </c>
      <c r="AM77" s="716">
        <f t="shared" si="44"/>
        <v>8577.7852332617895</v>
      </c>
      <c r="AN77" s="716" t="str">
        <f>_xlfn.XLOOKUP(D77,RUC!$B$3:$B$578,RUC!$M$3:$M$578)</f>
        <v>Richard Sapacayo</v>
      </c>
      <c r="AO77" s="1167" t="s">
        <v>2279</v>
      </c>
      <c r="AP77" t="s">
        <v>3675</v>
      </c>
      <c r="AQ77" t="s">
        <v>2388</v>
      </c>
    </row>
    <row r="78" spans="1:44" ht="15" customHeight="1">
      <c r="A78" s="747" t="s">
        <v>5022</v>
      </c>
      <c r="B78" s="1447">
        <v>46103</v>
      </c>
      <c r="C78" s="1447">
        <v>46099</v>
      </c>
      <c r="D78" t="s">
        <v>1484</v>
      </c>
      <c r="E78" s="762">
        <f>_xlfn.XLOOKUP(D78,RUC!$B$3:$B$123,RUC!$D$3:$D$123)</f>
        <v>10761932735</v>
      </c>
      <c r="G78" s="1082">
        <v>75</v>
      </c>
      <c r="H78" s="762" t="s">
        <v>69</v>
      </c>
      <c r="I78" s="703">
        <v>6.65</v>
      </c>
      <c r="J78" s="596">
        <v>13.83</v>
      </c>
      <c r="K78" s="703">
        <f t="shared" si="57"/>
        <v>5.73</v>
      </c>
      <c r="L78" s="1745">
        <v>0.68300000000000005</v>
      </c>
      <c r="M78" s="994">
        <f>L78*0.94</f>
        <v>0.64202000000000004</v>
      </c>
      <c r="N78" s="1196">
        <f t="shared" ref="N78" si="67">+M78</f>
        <v>0.64202000000000004</v>
      </c>
      <c r="O78" s="645">
        <f t="shared" si="66"/>
        <v>0.64200000000000002</v>
      </c>
      <c r="P78" s="727">
        <v>90</v>
      </c>
      <c r="Q78" s="1476">
        <v>98.68</v>
      </c>
      <c r="R78" s="706">
        <v>4869.95</v>
      </c>
      <c r="S78" s="765">
        <f>IF((_xlfn.XLOOKUP(D78,RUC!$B$3:$B$119,RUC!$E$3:$E$119)+ROUNDDOWN(O78,1)*100)&lt;95,95,((_xlfn.XLOOKUP(D78,RUC!$B$3:$B$119,RUC!$E$3:$E$119)+ROUNDDOWN(O78,1)*100)))</f>
        <v>150</v>
      </c>
      <c r="U78" s="1146">
        <f>_xlfn.XLOOKUP(D78,RUC!$B$3:$B$123,RUC!$F$3:$F$123)</f>
        <v>120</v>
      </c>
      <c r="V78" s="715">
        <v>1.1023000000000001</v>
      </c>
      <c r="Y78">
        <f>_xlfn.XLOOKUP(D78,RUC!$B$3:$B$123,RUC!$G$3:$G$123)</f>
        <v>20</v>
      </c>
      <c r="Z78" s="143">
        <f>_xlfn.XLOOKUP(D78,RUC!$B$3:$B$123,RUC!$H$3:$H$123)</f>
        <v>30</v>
      </c>
      <c r="AA78" s="144">
        <f t="shared" si="63"/>
        <v>50</v>
      </c>
      <c r="AB78" s="145">
        <f t="shared" si="45"/>
        <v>2804.8256195529998</v>
      </c>
      <c r="AC78" s="145">
        <f>+(S78-T78)*V78-'data 1'!$F$4</f>
        <v>85.344999999999999</v>
      </c>
      <c r="AD78" s="145">
        <f t="shared" si="36"/>
        <v>310.40540461029428</v>
      </c>
      <c r="AE78" s="145">
        <f t="shared" si="37"/>
        <v>-14.884999999999998</v>
      </c>
      <c r="AF78" s="145">
        <f t="shared" si="38"/>
        <v>211.83701250323821</v>
      </c>
      <c r="AG78" s="772">
        <f t="shared" si="59"/>
        <v>609.70241711353242</v>
      </c>
      <c r="AH78" s="1253">
        <f t="shared" si="40"/>
        <v>132.40799999999999</v>
      </c>
      <c r="AI78" s="1253">
        <f t="shared" si="41"/>
        <v>134.179</v>
      </c>
      <c r="AJ78" s="156">
        <f t="shared" si="65"/>
        <v>111.47709726820617</v>
      </c>
      <c r="AK78" s="156">
        <f t="shared" si="43"/>
        <v>113.51185704361173</v>
      </c>
      <c r="AM78" s="716">
        <f t="shared" si="44"/>
        <v>16071.650800038689</v>
      </c>
      <c r="AN78" s="716" t="str">
        <f>_xlfn.XLOOKUP(D78,RUC!$B$3:$B$578,RUC!$M$3:$M$578)</f>
        <v>Richard Sapacayo</v>
      </c>
      <c r="AO78" s="1167" t="s">
        <v>2279</v>
      </c>
      <c r="AP78" t="s">
        <v>3675</v>
      </c>
      <c r="AQ78" t="s">
        <v>2388</v>
      </c>
    </row>
    <row r="79" spans="1:44" ht="15" customHeight="1">
      <c r="A79" s="747" t="s">
        <v>5025</v>
      </c>
      <c r="B79" s="1447">
        <v>46103</v>
      </c>
      <c r="C79" s="1447">
        <v>46099</v>
      </c>
      <c r="D79" t="s">
        <v>1484</v>
      </c>
      <c r="E79" s="762">
        <f>_xlfn.XLOOKUP(D79,RUC!$B$3:$B$123,RUC!$D$3:$D$123)</f>
        <v>10761932735</v>
      </c>
      <c r="G79" s="1082">
        <v>61</v>
      </c>
      <c r="H79" s="762" t="s">
        <v>69</v>
      </c>
      <c r="I79" s="703">
        <v>5.38</v>
      </c>
      <c r="J79" s="596">
        <v>12.73</v>
      </c>
      <c r="K79" s="703">
        <f t="shared" si="57"/>
        <v>4.6950000000000003</v>
      </c>
      <c r="L79" s="1745">
        <v>0.37</v>
      </c>
      <c r="M79" s="994">
        <f>+L79-0.035</f>
        <v>0.33499999999999996</v>
      </c>
      <c r="N79" s="1444">
        <v>0.42699999999999999</v>
      </c>
      <c r="O79" s="645">
        <f t="shared" si="66"/>
        <v>0.38100000000000001</v>
      </c>
      <c r="P79" s="727">
        <v>90</v>
      </c>
      <c r="Q79" s="1476">
        <v>96.22</v>
      </c>
      <c r="R79" s="706">
        <v>4869.95</v>
      </c>
      <c r="S79" s="765">
        <f>IF((_xlfn.XLOOKUP(D79,RUC!$B$3:$B$119,RUC!$E$3:$E$119)+ROUNDDOWN(O79,1)*100)&lt;95,95,((_xlfn.XLOOKUP(D79,RUC!$B$3:$B$119,RUC!$E$3:$E$119)+ROUNDDOWN(O79,1)*100)))</f>
        <v>120</v>
      </c>
      <c r="U79" s="1146">
        <f>_xlfn.XLOOKUP(D79,RUC!$B$3:$B$123,RUC!$F$3:$F$123)</f>
        <v>120</v>
      </c>
      <c r="V79" s="715">
        <v>1.1023000000000001</v>
      </c>
      <c r="Y79">
        <f>_xlfn.XLOOKUP(D79,RUC!$B$3:$B$123,RUC!$G$3:$G$123)</f>
        <v>20</v>
      </c>
      <c r="Z79" s="143">
        <f>_xlfn.XLOOKUP(D79,RUC!$B$3:$B$123,RUC!$H$3:$H$123)</f>
        <v>30</v>
      </c>
      <c r="AA79" s="144">
        <f t="shared" si="63"/>
        <v>50</v>
      </c>
      <c r="AB79" s="145">
        <f t="shared" si="45"/>
        <v>1607.9887835665002</v>
      </c>
      <c r="AC79" s="145">
        <f>+(S79-T79)*V79-'data 1'!$F$4</f>
        <v>52.27600000000001</v>
      </c>
      <c r="AD79" s="145">
        <f t="shared" ref="AD79:AD102" si="68">+(Q79-P79)*(R79-U79)*L79*V79/100</f>
        <v>120.49830953338999</v>
      </c>
      <c r="AE79" s="145">
        <f t="shared" ref="AE79:AE102" si="69">+(Y79*V79-70)+V79*(Z79-IF(D79="UNTUCA",IF(+((W79-3)*2.5+(X79-3)*3.1)&gt;0,+((W79-3)*1.5+(X79-3)*3.1),0),IF(+((W79-3)*1.5+(X79-3)*3.1)&gt;0,+((W79-3)*1.5+(X79-3)*3.1),0)))</f>
        <v>-14.884999999999998</v>
      </c>
      <c r="AF79" s="145">
        <f t="shared" ref="AF79:AF102" si="70">(L79-O79)*(R79-U79)*Q79*V79/100</f>
        <v>-55.41749403681704</v>
      </c>
      <c r="AG79" s="772">
        <f t="shared" si="59"/>
        <v>119.47181549657299</v>
      </c>
      <c r="AH79" s="1253">
        <f t="shared" ref="AH79:AH102" si="71">ROUND((31.1035*L79*Q79*1.1023*K79/100),3)</f>
        <v>57.308</v>
      </c>
      <c r="AI79" s="1253">
        <f t="shared" ref="AI79:AI102" si="72">ROUND((31.1035*L79*1.1023*K79),3)</f>
        <v>59.558999999999997</v>
      </c>
      <c r="AJ79" s="156">
        <f t="shared" si="65"/>
        <v>58.884756541610066</v>
      </c>
      <c r="AK79" s="156">
        <f t="shared" ref="AK79:AK102" si="73">31.1035*1.1023*K79*P79*O79/100</f>
        <v>55.196577645209778</v>
      </c>
      <c r="AM79" s="716">
        <f t="shared" ref="AM79:AM102" si="74">+IF(AB79*K79&gt;0,AB79*K79,0)</f>
        <v>7549.507338844719</v>
      </c>
      <c r="AN79" s="716" t="str">
        <f>_xlfn.XLOOKUP(D79,RUC!$B$3:$B$578,RUC!$M$3:$M$578)</f>
        <v>Richard Sapacayo</v>
      </c>
      <c r="AO79" s="1167" t="s">
        <v>2279</v>
      </c>
      <c r="AP79" t="s">
        <v>3675</v>
      </c>
      <c r="AQ79" t="s">
        <v>2388</v>
      </c>
    </row>
    <row r="80" spans="1:44" ht="15" customHeight="1">
      <c r="A80" s="747" t="s">
        <v>5026</v>
      </c>
      <c r="B80" s="1447">
        <v>46106</v>
      </c>
      <c r="C80" s="1447">
        <v>46099</v>
      </c>
      <c r="D80" t="s">
        <v>4171</v>
      </c>
      <c r="E80" s="762">
        <f>_xlfn.XLOOKUP(D80,RUC!$B$3:$B$123,RUC!$D$3:$D$123)</f>
        <v>20614284740</v>
      </c>
      <c r="G80" s="1082">
        <v>106</v>
      </c>
      <c r="H80" s="762" t="s">
        <v>69</v>
      </c>
      <c r="I80" s="703">
        <v>9.89</v>
      </c>
      <c r="J80" s="596">
        <v>2</v>
      </c>
      <c r="K80" s="703">
        <f t="shared" si="57"/>
        <v>9.6920000000000002</v>
      </c>
      <c r="L80" s="1745">
        <v>0.192</v>
      </c>
      <c r="M80" s="994">
        <f t="shared" ref="M80" si="75">ROUND(+IF(AN80="Melchor Vera",IF(L80&gt;0.467,L80*0.985,(L80-0.007)),IF(L80&gt;0.3,L80*0.94,(L80-0.019))),3)</f>
        <v>0.17299999999999999</v>
      </c>
      <c r="N80" s="1196">
        <f t="shared" ref="N80" si="76">+M80</f>
        <v>0.17299999999999999</v>
      </c>
      <c r="O80" s="645">
        <f t="shared" si="66"/>
        <v>0.17299999999999999</v>
      </c>
      <c r="P80" s="727">
        <v>90</v>
      </c>
      <c r="Q80" s="1476">
        <v>98.93</v>
      </c>
      <c r="R80" s="706">
        <v>4869.95</v>
      </c>
      <c r="S80" s="765">
        <f>IF((_xlfn.XLOOKUP(D80,RUC!$B$3:$B$119,RUC!$E$3:$E$119)+ROUNDDOWN(O80,1)*100)&lt;95,95,((_xlfn.XLOOKUP(D80,RUC!$B$3:$B$119,RUC!$E$3:$E$119)+ROUNDDOWN(O80,1)*100)))</f>
        <v>100</v>
      </c>
      <c r="U80" s="1146">
        <f>_xlfn.XLOOKUP(D80,RUC!$B$3:$B$123,RUC!$F$3:$F$123)</f>
        <v>120</v>
      </c>
      <c r="V80" s="715">
        <v>1.1023000000000001</v>
      </c>
      <c r="Y80">
        <f>_xlfn.XLOOKUP(D80,RUC!$B$3:$B$123,RUC!$G$3:$G$123)</f>
        <v>20</v>
      </c>
      <c r="Z80" s="143">
        <f>_xlfn.XLOOKUP(D80,RUC!$B$3:$B$123,RUC!$H$3:$H$123)</f>
        <v>30</v>
      </c>
      <c r="AA80" s="144">
        <f t="shared" si="63"/>
        <v>50</v>
      </c>
      <c r="AB80" s="145">
        <f t="shared" si="45"/>
        <v>649.87994109449983</v>
      </c>
      <c r="AC80" s="145">
        <f>+(S80-T80)*V80-'data 1'!$F$4</f>
        <v>30.230000000000004</v>
      </c>
      <c r="AD80" s="145">
        <f t="shared" si="68"/>
        <v>89.772130700256071</v>
      </c>
      <c r="AE80" s="145">
        <f t="shared" si="69"/>
        <v>-14.884999999999998</v>
      </c>
      <c r="AF80" s="145">
        <f t="shared" si="70"/>
        <v>98.417075467379604</v>
      </c>
      <c r="AG80" s="772">
        <f t="shared" si="59"/>
        <v>220.53420616763566</v>
      </c>
      <c r="AH80" s="1253">
        <f t="shared" si="71"/>
        <v>63.118000000000002</v>
      </c>
      <c r="AI80" s="1253">
        <f t="shared" si="72"/>
        <v>63.8</v>
      </c>
      <c r="AJ80" s="156">
        <f t="shared" si="65"/>
        <v>31.417024083744046</v>
      </c>
      <c r="AK80" s="156">
        <f t="shared" si="73"/>
        <v>51.738172838679411</v>
      </c>
      <c r="AM80" s="716">
        <f t="shared" si="74"/>
        <v>6298.636389087892</v>
      </c>
      <c r="AN80" s="716" t="str">
        <f>_xlfn.XLOOKUP(D80,RUC!$B$3:$B$578,RUC!$M$3:$M$578)</f>
        <v xml:space="preserve">Dante </v>
      </c>
      <c r="AO80" s="1167" t="s">
        <v>2280</v>
      </c>
      <c r="AP80" t="s">
        <v>5067</v>
      </c>
      <c r="AQ80" t="s">
        <v>3744</v>
      </c>
    </row>
    <row r="81" spans="1:43" ht="15" customHeight="1">
      <c r="A81" s="747" t="s">
        <v>5063</v>
      </c>
      <c r="C81" s="1447"/>
      <c r="D81" s="704" t="s">
        <v>5064</v>
      </c>
      <c r="G81" s="1082" t="s">
        <v>2985</v>
      </c>
      <c r="H81" s="762" t="s">
        <v>69</v>
      </c>
      <c r="I81" s="703">
        <v>38.21</v>
      </c>
      <c r="J81" s="596">
        <v>1.9</v>
      </c>
      <c r="K81" s="703">
        <f t="shared" si="57"/>
        <v>37.484000000000002</v>
      </c>
      <c r="L81" s="1759">
        <v>0.27500000000000002</v>
      </c>
      <c r="M81" s="762"/>
      <c r="N81" s="762"/>
      <c r="O81" s="994">
        <f>+L81</f>
        <v>0.27500000000000002</v>
      </c>
      <c r="P81" s="727"/>
      <c r="Q81" s="1476">
        <v>87.27</v>
      </c>
      <c r="R81" s="706"/>
      <c r="S81" s="765"/>
      <c r="U81" s="1146"/>
      <c r="V81" s="715"/>
      <c r="Z81" s="143"/>
      <c r="AA81" s="144"/>
      <c r="AB81" s="145"/>
      <c r="AC81" s="145"/>
      <c r="AD81" s="145"/>
      <c r="AE81" s="145"/>
      <c r="AF81" s="145"/>
      <c r="AG81" s="772"/>
      <c r="AH81" s="1253"/>
      <c r="AI81" s="1253"/>
      <c r="AJ81" s="156"/>
      <c r="AK81" s="156"/>
      <c r="AM81" s="716"/>
      <c r="AN81" s="716"/>
      <c r="AO81" s="1167" t="s">
        <v>2280</v>
      </c>
      <c r="AP81">
        <v>0</v>
      </c>
      <c r="AQ81">
        <v>0</v>
      </c>
    </row>
    <row r="82" spans="1:43" ht="15" customHeight="1">
      <c r="A82" s="747" t="s">
        <v>5027</v>
      </c>
      <c r="B82" s="1447">
        <v>46107</v>
      </c>
      <c r="C82" s="1447">
        <v>46100</v>
      </c>
      <c r="D82" t="s">
        <v>4171</v>
      </c>
      <c r="E82" s="762">
        <f>_xlfn.XLOOKUP(D82,RUC!$B$3:$B$123,RUC!$D$3:$D$123)</f>
        <v>20614284740</v>
      </c>
      <c r="G82" s="1082" t="s">
        <v>2985</v>
      </c>
      <c r="H82" s="762" t="s">
        <v>69</v>
      </c>
      <c r="I82" s="703">
        <v>4.29</v>
      </c>
      <c r="J82" s="596">
        <v>3.4</v>
      </c>
      <c r="K82" s="703">
        <f t="shared" si="57"/>
        <v>4.1440000000000001</v>
      </c>
      <c r="L82" s="1745">
        <v>0.223</v>
      </c>
      <c r="M82" s="994">
        <f t="shared" ref="M82:M83" si="77">ROUND(+IF(AN82="Melchor Vera",IF(L82&gt;0.467,L82*0.985,(L82-0.007)),IF(L82&gt;0.3,L82*0.94,(L82-0.019))),3)</f>
        <v>0.20399999999999999</v>
      </c>
      <c r="N82" s="1196">
        <f t="shared" ref="N82:N83" si="78">+M82</f>
        <v>0.20399999999999999</v>
      </c>
      <c r="O82" s="645">
        <f t="shared" ref="O82:O90" si="79">+ROUND((M82+N82)/2,3)</f>
        <v>0.20399999999999999</v>
      </c>
      <c r="P82" s="727">
        <v>90</v>
      </c>
      <c r="Q82" s="1476">
        <v>96.86</v>
      </c>
      <c r="R82" s="706">
        <v>4600.3500000000004</v>
      </c>
      <c r="S82" s="765">
        <f>IF((_xlfn.XLOOKUP(D82,RUC!$B$3:$B$119,RUC!$E$3:$E$119)+ROUNDDOWN(O82,1)*100)&lt;95,95,((_xlfn.XLOOKUP(D82,RUC!$B$3:$B$119,RUC!$E$3:$E$119)+ROUNDDOWN(O82,1)*100)))</f>
        <v>110</v>
      </c>
      <c r="U82" s="1146">
        <f>_xlfn.XLOOKUP(D82,RUC!$B$3:$B$123,RUC!$F$3:$F$123)</f>
        <v>120</v>
      </c>
      <c r="V82" s="715">
        <v>1.1023000000000001</v>
      </c>
      <c r="Y82">
        <f>_xlfn.XLOOKUP(D82,RUC!$B$3:$B$123,RUC!$G$3:$G$123)</f>
        <v>20</v>
      </c>
      <c r="Z82" s="143">
        <f>_xlfn.XLOOKUP(D82,RUC!$B$3:$B$123,RUC!$H$3:$H$123)</f>
        <v>30</v>
      </c>
      <c r="AA82" s="144">
        <f t="shared" si="63"/>
        <v>50</v>
      </c>
      <c r="AB82" s="145">
        <f t="shared" si="45"/>
        <v>730.37544819800019</v>
      </c>
      <c r="AC82" s="145">
        <f>+(S82-T82)*V82-'data 1'!$F$4</f>
        <v>41.253</v>
      </c>
      <c r="AD82" s="145">
        <f t="shared" si="68"/>
        <v>75.551088898928995</v>
      </c>
      <c r="AE82" s="145">
        <f t="shared" si="69"/>
        <v>-14.884999999999998</v>
      </c>
      <c r="AF82" s="145">
        <f t="shared" si="70"/>
        <v>90.888683957337093</v>
      </c>
      <c r="AG82" s="772">
        <f t="shared" si="59"/>
        <v>209.80777285626607</v>
      </c>
      <c r="AH82" s="1253">
        <f t="shared" si="71"/>
        <v>30.689</v>
      </c>
      <c r="AI82" s="1253">
        <f t="shared" si="72"/>
        <v>31.684000000000001</v>
      </c>
      <c r="AJ82" s="156">
        <f t="shared" si="65"/>
        <v>99.916304443570922</v>
      </c>
      <c r="AK82" s="156">
        <f t="shared" si="73"/>
        <v>26.085639787341119</v>
      </c>
      <c r="AM82" s="716">
        <f t="shared" si="74"/>
        <v>3026.6758573325128</v>
      </c>
      <c r="AN82" s="716" t="str">
        <f>_xlfn.XLOOKUP(D82,RUC!$B$3:$B$578,RUC!$M$3:$M$578)</f>
        <v xml:space="preserve">Dante </v>
      </c>
      <c r="AO82" s="1167" t="s">
        <v>2279</v>
      </c>
      <c r="AP82" t="s">
        <v>5102</v>
      </c>
      <c r="AQ82" t="s">
        <v>5103</v>
      </c>
    </row>
    <row r="83" spans="1:43" ht="15" customHeight="1">
      <c r="A83" s="747" t="s">
        <v>5062</v>
      </c>
      <c r="B83" s="1447">
        <v>46110</v>
      </c>
      <c r="C83" s="1447">
        <v>46100</v>
      </c>
      <c r="D83" t="s">
        <v>1967</v>
      </c>
      <c r="E83" s="762">
        <f>_xlfn.XLOOKUP(D83,RUC!$B$3:$B$123,RUC!$D$3:$D$123)</f>
        <v>20601769396</v>
      </c>
      <c r="G83" s="1082">
        <v>19</v>
      </c>
      <c r="H83" s="762" t="s">
        <v>2005</v>
      </c>
      <c r="I83" s="703">
        <v>1.55</v>
      </c>
      <c r="J83" s="596">
        <v>12.85</v>
      </c>
      <c r="K83" s="703">
        <f t="shared" si="57"/>
        <v>1.351</v>
      </c>
      <c r="L83" s="1745">
        <v>0.28399999999999997</v>
      </c>
      <c r="M83" s="994">
        <f t="shared" si="77"/>
        <v>0.26500000000000001</v>
      </c>
      <c r="N83" s="1196">
        <f t="shared" si="78"/>
        <v>0.26500000000000001</v>
      </c>
      <c r="O83" s="645">
        <f t="shared" si="79"/>
        <v>0.26500000000000001</v>
      </c>
      <c r="P83" s="727">
        <v>90</v>
      </c>
      <c r="Q83" s="1476">
        <v>96.17</v>
      </c>
      <c r="R83" s="706">
        <v>4600.3500000000004</v>
      </c>
      <c r="S83" s="765">
        <f>IF((_xlfn.XLOOKUP(D83,RUC!$B$3:$B$119,RUC!$E$3:$E$119)+ROUNDDOWN(O83,1)*100)&lt;95,95,((_xlfn.XLOOKUP(D83,RUC!$B$3:$B$119,RUC!$E$3:$E$119)+ROUNDDOWN(O83,1)*100)))</f>
        <v>110</v>
      </c>
      <c r="U83" s="1146">
        <f>_xlfn.XLOOKUP(D83,RUC!$B$3:$B$123,RUC!$F$3:$F$123)</f>
        <v>120</v>
      </c>
      <c r="V83" s="715">
        <v>1.1023000000000001</v>
      </c>
      <c r="Y83">
        <f>_xlfn.XLOOKUP(D83,RUC!$B$3:$B$123,RUC!$G$3:$G$123)</f>
        <v>20</v>
      </c>
      <c r="Z83" s="143">
        <f>_xlfn.XLOOKUP(D83,RUC!$B$3:$B$123,RUC!$H$3:$H$123)</f>
        <v>30</v>
      </c>
      <c r="AA83" s="144">
        <f t="shared" si="63"/>
        <v>50</v>
      </c>
      <c r="AB83" s="145">
        <f t="shared" ref="AB83:AB102" si="80">+((O83*P83*(R83-U83)/100)-S83-AA83+T83)*V83</f>
        <v>1001.5095184925002</v>
      </c>
      <c r="AC83" s="145">
        <f>+(S83-T83)*V83-'data 1'!$F$4</f>
        <v>41.253</v>
      </c>
      <c r="AD83" s="145">
        <f t="shared" si="68"/>
        <v>86.539673715054036</v>
      </c>
      <c r="AE83" s="145">
        <f t="shared" si="69"/>
        <v>-14.884999999999998</v>
      </c>
      <c r="AF83" s="145">
        <f t="shared" si="70"/>
        <v>90.241221723901333</v>
      </c>
      <c r="AG83" s="772">
        <f t="shared" si="59"/>
        <v>220.14889543895538</v>
      </c>
      <c r="AH83" s="1253">
        <f t="shared" si="71"/>
        <v>12.651</v>
      </c>
      <c r="AI83" s="1253">
        <f t="shared" si="72"/>
        <v>13.154999999999999</v>
      </c>
      <c r="AJ83" s="156">
        <f t="shared" si="65"/>
        <v>126.34119808294588</v>
      </c>
      <c r="AK83" s="156">
        <f t="shared" si="73"/>
        <v>11.047214882448674</v>
      </c>
      <c r="AM83" s="716">
        <f t="shared" si="74"/>
        <v>1353.0393594833677</v>
      </c>
      <c r="AN83" s="716" t="str">
        <f>_xlfn.XLOOKUP(D83,RUC!$B$3:$B$578,RUC!$M$3:$M$578)</f>
        <v>Evelyn</v>
      </c>
      <c r="AO83" s="1167" t="s">
        <v>2279</v>
      </c>
      <c r="AP83" t="s">
        <v>5104</v>
      </c>
      <c r="AQ83" t="s">
        <v>3332</v>
      </c>
    </row>
    <row r="84" spans="1:43" ht="15" customHeight="1">
      <c r="A84" s="747" t="s">
        <v>5071</v>
      </c>
      <c r="B84" s="1447">
        <v>46108</v>
      </c>
      <c r="C84" s="1447">
        <v>46103</v>
      </c>
      <c r="D84" t="s">
        <v>5094</v>
      </c>
      <c r="E84" s="762">
        <f>_xlfn.XLOOKUP(D84,RUC!$B$3:$B$123,RUC!$D$3:$D$123)</f>
        <v>20613105621</v>
      </c>
      <c r="G84" s="1082">
        <v>220</v>
      </c>
      <c r="H84" s="762" t="s">
        <v>69</v>
      </c>
      <c r="I84" s="703">
        <v>9.42</v>
      </c>
      <c r="J84" s="596">
        <v>17.13</v>
      </c>
      <c r="K84" s="703">
        <f t="shared" si="57"/>
        <v>7.806</v>
      </c>
      <c r="L84" s="1745">
        <v>0.32800000000000001</v>
      </c>
      <c r="M84" s="994">
        <f t="shared" ref="M84:M99" si="81">ROUND(+IF(AN84="Melchor Vera",IF(L84&gt;0.467,L84*0.985,(L84-0.007)),IF(L84&gt;0.3,L84*0.94,(L84-0.019))),3)</f>
        <v>0.308</v>
      </c>
      <c r="N84" s="1444">
        <v>0.35399999999999998</v>
      </c>
      <c r="O84" s="645">
        <f t="shared" si="79"/>
        <v>0.33100000000000002</v>
      </c>
      <c r="P84" s="727">
        <v>90</v>
      </c>
      <c r="Q84" s="1476">
        <v>98.48</v>
      </c>
      <c r="R84" s="706">
        <v>4466.25</v>
      </c>
      <c r="S84" s="765">
        <f>IF((_xlfn.XLOOKUP(D84,RUC!$B$3:$B$119,RUC!$E$3:$E$119)+ROUNDDOWN(O84,1)*100)&lt;95,95,((_xlfn.XLOOKUP(D84,RUC!$B$3:$B$119,RUC!$E$3:$E$119)+ROUNDDOWN(O84,1)*100)))</f>
        <v>120</v>
      </c>
      <c r="U84" s="1146">
        <f>_xlfn.XLOOKUP(D84,RUC!$B$3:$B$123,RUC!$F$3:$F$123)</f>
        <v>120</v>
      </c>
      <c r="V84" s="715">
        <v>1.1023000000000001</v>
      </c>
      <c r="Y84">
        <f>_xlfn.XLOOKUP(D84,RUC!$B$3:$B$123,RUC!$G$3:$G$123)</f>
        <v>20</v>
      </c>
      <c r="Z84" s="143">
        <f>_xlfn.XLOOKUP(D84,RUC!$B$3:$B$123,RUC!$H$3:$H$123)</f>
        <v>30</v>
      </c>
      <c r="AA84" s="144">
        <f t="shared" si="63"/>
        <v>50</v>
      </c>
      <c r="AB84" s="145">
        <f t="shared" si="80"/>
        <v>1239.8095826125</v>
      </c>
      <c r="AC84" s="145">
        <f>+(S84-T84)*V84-'data 1'!$F$4</f>
        <v>52.27600000000001</v>
      </c>
      <c r="AD84" s="145">
        <f t="shared" si="68"/>
        <v>133.25521277280006</v>
      </c>
      <c r="AE84" s="145">
        <f t="shared" si="69"/>
        <v>-14.884999999999998</v>
      </c>
      <c r="AF84" s="145">
        <f t="shared" si="70"/>
        <v>-14.154150390300012</v>
      </c>
      <c r="AG84" s="772">
        <f t="shared" si="59"/>
        <v>173.49206238250008</v>
      </c>
      <c r="AH84" s="1253">
        <f t="shared" si="71"/>
        <v>86.448999999999998</v>
      </c>
      <c r="AI84" s="1253">
        <f t="shared" si="72"/>
        <v>87.783000000000001</v>
      </c>
      <c r="AJ84" s="156">
        <f t="shared" si="65"/>
        <v>197.1675456152</v>
      </c>
      <c r="AK84" s="156">
        <f t="shared" si="73"/>
        <v>79.72749508334158</v>
      </c>
      <c r="AM84" s="716">
        <f t="shared" si="74"/>
        <v>9677.9536018731742</v>
      </c>
      <c r="AN84" s="716" t="str">
        <f>_xlfn.XLOOKUP(D84,RUC!$B$3:$B$578,RUC!$M$3:$M$578)</f>
        <v>Richard Sapacayo</v>
      </c>
      <c r="AO84" s="1167" t="s">
        <v>2279</v>
      </c>
      <c r="AP84" t="s">
        <v>3517</v>
      </c>
      <c r="AQ84" t="s">
        <v>3744</v>
      </c>
    </row>
    <row r="85" spans="1:43" ht="15" customHeight="1">
      <c r="A85" s="747" t="s">
        <v>5077</v>
      </c>
      <c r="B85" s="1447">
        <v>46107</v>
      </c>
      <c r="C85" s="1447">
        <v>46103</v>
      </c>
      <c r="D85" t="s">
        <v>119</v>
      </c>
      <c r="E85" s="762">
        <f>_xlfn.XLOOKUP(D85,RUC!$B$3:$B$123,RUC!$D$3:$D$123)</f>
        <v>10082235774</v>
      </c>
      <c r="G85" s="1082">
        <v>79</v>
      </c>
      <c r="H85" s="762" t="s">
        <v>69</v>
      </c>
      <c r="I85" s="703">
        <v>7.61</v>
      </c>
      <c r="J85" s="596">
        <v>2.35</v>
      </c>
      <c r="K85" s="703">
        <f t="shared" si="57"/>
        <v>7.431</v>
      </c>
      <c r="L85" s="1745">
        <v>0.19</v>
      </c>
      <c r="M85" s="994">
        <f t="shared" si="81"/>
        <v>0.183</v>
      </c>
      <c r="N85" s="1444">
        <v>0.20699999999999999</v>
      </c>
      <c r="O85" s="645">
        <f t="shared" si="79"/>
        <v>0.19500000000000001</v>
      </c>
      <c r="P85" s="727">
        <v>85</v>
      </c>
      <c r="Q85" s="1476">
        <v>88.42</v>
      </c>
      <c r="R85" s="706">
        <v>4466.25</v>
      </c>
      <c r="S85" s="1164">
        <f>IF((_xlfn.XLOOKUP(D85,RUC!$B$3:$B$119,RUC!$E$3:$E$119)+ROUNDDOWN(O85,1)*100)&lt;95,95,((_xlfn.XLOOKUP(D85,RUC!$B$3:$B$119,RUC!$E$3:$E$119)+ROUNDDOWN(O85,1)*100)))</f>
        <v>95</v>
      </c>
      <c r="U85" s="1146">
        <f>_xlfn.XLOOKUP(D85,RUC!$B$3:$B$123,RUC!$F$3:$F$123)</f>
        <v>80</v>
      </c>
      <c r="V85" s="715">
        <v>1.1023000000000001</v>
      </c>
      <c r="Y85">
        <f>_xlfn.XLOOKUP(D85,RUC!$B$3:$B$123,RUC!$G$3:$G$123)</f>
        <v>0</v>
      </c>
      <c r="Z85" s="143">
        <f>_xlfn.XLOOKUP(D85,RUC!$B$3:$B$123,RUC!$H$3:$H$123)</f>
        <v>10</v>
      </c>
      <c r="AA85" s="144">
        <f t="shared" si="63"/>
        <v>10</v>
      </c>
      <c r="AB85" s="145">
        <f t="shared" si="80"/>
        <v>685.65367940624992</v>
      </c>
      <c r="AC85" s="145">
        <f>+(S85-T85)*V85-'data 1'!$F$4</f>
        <v>24.718500000000006</v>
      </c>
      <c r="AD85" s="145">
        <f t="shared" si="68"/>
        <v>31.417592010750017</v>
      </c>
      <c r="AE85" s="145">
        <f t="shared" si="69"/>
        <v>-58.977000000000004</v>
      </c>
      <c r="AF85" s="145">
        <f t="shared" si="70"/>
        <v>-21.375373080875026</v>
      </c>
      <c r="AG85" s="772">
        <f>AC85+AD85+AE85+AF85+70</f>
        <v>45.783718929874993</v>
      </c>
      <c r="AH85" s="1253">
        <f t="shared" si="71"/>
        <v>42.802</v>
      </c>
      <c r="AI85" s="1253">
        <f t="shared" si="72"/>
        <v>48.406999999999996</v>
      </c>
      <c r="AJ85" s="156">
        <f t="shared" si="65"/>
        <v>95.138380386750015</v>
      </c>
      <c r="AK85" s="156">
        <f t="shared" si="73"/>
        <v>42.228909607875408</v>
      </c>
      <c r="AM85" s="716">
        <f t="shared" si="74"/>
        <v>5095.0924916678432</v>
      </c>
      <c r="AN85" s="716" t="str">
        <f>_xlfn.XLOOKUP(D85,RUC!$B$3:$B$578,RUC!$M$3:$M$578)</f>
        <v>Melchor Vera</v>
      </c>
      <c r="AO85" s="1167" t="s">
        <v>2279</v>
      </c>
      <c r="AP85" t="s">
        <v>5111</v>
      </c>
      <c r="AQ85" t="s">
        <v>5112</v>
      </c>
    </row>
    <row r="86" spans="1:43" ht="15" customHeight="1">
      <c r="A86" s="747" t="s">
        <v>5078</v>
      </c>
      <c r="B86" s="1447">
        <v>46107</v>
      </c>
      <c r="C86" s="1447">
        <v>46103</v>
      </c>
      <c r="D86" t="s">
        <v>119</v>
      </c>
      <c r="E86" s="762">
        <f>_xlfn.XLOOKUP(D86,RUC!$B$3:$B$123,RUC!$D$3:$D$123)</f>
        <v>10082235774</v>
      </c>
      <c r="G86" s="1082">
        <v>76</v>
      </c>
      <c r="H86" s="762" t="s">
        <v>69</v>
      </c>
      <c r="I86" s="703">
        <v>7.06</v>
      </c>
      <c r="J86" s="596">
        <v>2.2999999999999998</v>
      </c>
      <c r="K86" s="703">
        <f t="shared" si="57"/>
        <v>6.8979999999999997</v>
      </c>
      <c r="L86" s="1745">
        <v>0.191</v>
      </c>
      <c r="M86" s="994">
        <f t="shared" si="81"/>
        <v>0.184</v>
      </c>
      <c r="N86" s="1196">
        <f t="shared" ref="N86:N99" si="82">+M86</f>
        <v>0.184</v>
      </c>
      <c r="O86" s="645">
        <f t="shared" si="79"/>
        <v>0.184</v>
      </c>
      <c r="P86" s="727">
        <v>85</v>
      </c>
      <c r="Q86" s="1476">
        <v>90.58</v>
      </c>
      <c r="R86" s="706">
        <v>4466.25</v>
      </c>
      <c r="S86" s="1164">
        <f>IF((_xlfn.XLOOKUP(D86,RUC!$B$3:$B$119,RUC!$E$3:$E$119)+ROUNDDOWN(O86,1)*100)&lt;95,95,((_xlfn.XLOOKUP(D86,RUC!$B$3:$B$119,RUC!$E$3:$E$119)+ROUNDDOWN(O86,1)*100)))</f>
        <v>95</v>
      </c>
      <c r="U86" s="1146">
        <f>_xlfn.XLOOKUP(D86,RUC!$B$3:$B$123,RUC!$F$3:$F$123)</f>
        <v>80</v>
      </c>
      <c r="V86" s="715">
        <v>1.1023000000000001</v>
      </c>
      <c r="Y86">
        <f>_xlfn.XLOOKUP(D86,RUC!$B$3:$B$123,RUC!$G$3:$G$123)</f>
        <v>0</v>
      </c>
      <c r="Z86" s="143">
        <f>_xlfn.XLOOKUP(D86,RUC!$B$3:$B$123,RUC!$H$3:$H$123)</f>
        <v>10</v>
      </c>
      <c r="AA86" s="144">
        <f t="shared" si="63"/>
        <v>10</v>
      </c>
      <c r="AB86" s="145">
        <f t="shared" si="80"/>
        <v>640.44677185</v>
      </c>
      <c r="AC86" s="145">
        <f>+(S86-T86)*V86-'data 1'!$F$4</f>
        <v>24.718500000000006</v>
      </c>
      <c r="AD86" s="145">
        <f t="shared" si="68"/>
        <v>51.530072658074985</v>
      </c>
      <c r="AE86" s="145">
        <f t="shared" si="69"/>
        <v>-58.977000000000004</v>
      </c>
      <c r="AF86" s="145">
        <f t="shared" si="70"/>
        <v>30.656568775525031</v>
      </c>
      <c r="AG86" s="772">
        <f t="shared" ref="AG86:AG90" si="83">AC86+AD86+AE86+AF86+70</f>
        <v>117.92814143360002</v>
      </c>
      <c r="AH86" s="1253">
        <f t="shared" si="71"/>
        <v>40.915999999999997</v>
      </c>
      <c r="AI86" s="1253">
        <f t="shared" si="72"/>
        <v>45.171999999999997</v>
      </c>
      <c r="AJ86" s="156">
        <f t="shared" si="65"/>
        <v>97.97546331667499</v>
      </c>
      <c r="AK86" s="156">
        <f t="shared" si="73"/>
        <v>36.988694898655964</v>
      </c>
      <c r="AM86" s="716">
        <f t="shared" si="74"/>
        <v>4417.8018322213002</v>
      </c>
      <c r="AN86" s="716" t="str">
        <f>_xlfn.XLOOKUP(D86,RUC!$B$3:$B$578,RUC!$M$3:$M$578)</f>
        <v>Melchor Vera</v>
      </c>
      <c r="AO86" s="1167" t="s">
        <v>2279</v>
      </c>
      <c r="AP86" t="s">
        <v>5111</v>
      </c>
      <c r="AQ86" t="s">
        <v>5112</v>
      </c>
    </row>
    <row r="87" spans="1:43" ht="15" customHeight="1">
      <c r="A87" s="747" t="s">
        <v>5079</v>
      </c>
      <c r="B87" s="1447">
        <v>46107</v>
      </c>
      <c r="C87" s="1447">
        <v>46103</v>
      </c>
      <c r="D87" t="s">
        <v>119</v>
      </c>
      <c r="E87" s="762">
        <f>_xlfn.XLOOKUP(D87,RUC!$B$3:$B$123,RUC!$D$3:$D$123)</f>
        <v>10082235774</v>
      </c>
      <c r="G87" s="1082">
        <v>36</v>
      </c>
      <c r="H87" s="762" t="s">
        <v>69</v>
      </c>
      <c r="I87" s="703">
        <v>3.33</v>
      </c>
      <c r="J87" s="596">
        <v>2.4</v>
      </c>
      <c r="K87" s="703">
        <f t="shared" si="57"/>
        <v>3.25</v>
      </c>
      <c r="L87" s="1745">
        <v>0.318</v>
      </c>
      <c r="M87" s="994">
        <f t="shared" si="81"/>
        <v>0.311</v>
      </c>
      <c r="N87" s="1196">
        <f t="shared" si="82"/>
        <v>0.311</v>
      </c>
      <c r="O87" s="645">
        <f t="shared" si="79"/>
        <v>0.311</v>
      </c>
      <c r="P87" s="1199">
        <v>89</v>
      </c>
      <c r="Q87" s="1476">
        <v>89.62</v>
      </c>
      <c r="R87" s="706">
        <v>4466.25</v>
      </c>
      <c r="S87" s="1164">
        <v>110</v>
      </c>
      <c r="U87" s="1146">
        <f>_xlfn.XLOOKUP(D87,RUC!$B$3:$B$123,RUC!$F$3:$F$123)</f>
        <v>80</v>
      </c>
      <c r="V87" s="715">
        <v>1.1023000000000001</v>
      </c>
      <c r="Y87">
        <f>_xlfn.XLOOKUP(D87,RUC!$B$3:$B$123,RUC!$G$3:$G$123)</f>
        <v>0</v>
      </c>
      <c r="Z87" s="143">
        <f>_xlfn.XLOOKUP(D87,RUC!$B$3:$B$123,RUC!$H$3:$H$123)</f>
        <v>10</v>
      </c>
      <c r="AA87" s="144">
        <f t="shared" si="63"/>
        <v>10</v>
      </c>
      <c r="AB87" s="145">
        <f t="shared" si="80"/>
        <v>1205.9935125662498</v>
      </c>
      <c r="AC87" s="145">
        <f>+(S87-T87)*V87-'data 1'!$F$4</f>
        <v>41.253</v>
      </c>
      <c r="AD87" s="145">
        <f t="shared" si="68"/>
        <v>9.5326137901500712</v>
      </c>
      <c r="AE87" s="145">
        <f t="shared" si="69"/>
        <v>-58.977000000000004</v>
      </c>
      <c r="AF87" s="145">
        <f t="shared" si="70"/>
        <v>30.331659236725031</v>
      </c>
      <c r="AG87" s="772">
        <f t="shared" si="83"/>
        <v>92.140273026875093</v>
      </c>
      <c r="AH87" s="1253">
        <f t="shared" si="71"/>
        <v>31.756</v>
      </c>
      <c r="AI87" s="1253">
        <f t="shared" si="72"/>
        <v>35.433999999999997</v>
      </c>
      <c r="AJ87" s="156">
        <f t="shared" si="65"/>
        <v>161.39263114935002</v>
      </c>
      <c r="AK87" s="156">
        <f t="shared" si="73"/>
        <v>30.842020814668377</v>
      </c>
      <c r="AM87" s="716">
        <f t="shared" si="74"/>
        <v>3919.4789158403119</v>
      </c>
      <c r="AN87" s="716" t="str">
        <f>_xlfn.XLOOKUP(D87,RUC!$B$3:$B$578,RUC!$M$3:$M$578)</f>
        <v>Melchor Vera</v>
      </c>
      <c r="AO87" s="1167" t="s">
        <v>2279</v>
      </c>
      <c r="AP87" t="s">
        <v>5111</v>
      </c>
      <c r="AQ87" t="s">
        <v>5112</v>
      </c>
    </row>
    <row r="88" spans="1:43" ht="15" customHeight="1">
      <c r="A88" s="747" t="s">
        <v>5080</v>
      </c>
      <c r="B88" s="1447">
        <v>46107</v>
      </c>
      <c r="C88" s="1447">
        <v>46103</v>
      </c>
      <c r="D88" t="s">
        <v>119</v>
      </c>
      <c r="E88" s="762">
        <f>_xlfn.XLOOKUP(D88,RUC!$B$3:$B$123,RUC!$D$3:$D$123)</f>
        <v>10082235774</v>
      </c>
      <c r="G88" s="1082">
        <v>109</v>
      </c>
      <c r="H88" s="762" t="s">
        <v>69</v>
      </c>
      <c r="I88" s="703">
        <v>9.82</v>
      </c>
      <c r="J88" s="596">
        <v>2.5</v>
      </c>
      <c r="K88" s="703">
        <f t="shared" si="57"/>
        <v>9.5749999999999993</v>
      </c>
      <c r="L88" s="1745">
        <v>0.14499999999999999</v>
      </c>
      <c r="M88" s="994">
        <f t="shared" si="81"/>
        <v>0.13800000000000001</v>
      </c>
      <c r="N88" s="1444">
        <v>0.158</v>
      </c>
      <c r="O88" s="645">
        <f t="shared" si="79"/>
        <v>0.14799999999999999</v>
      </c>
      <c r="P88" s="727">
        <v>85</v>
      </c>
      <c r="Q88" s="1476">
        <v>94.48</v>
      </c>
      <c r="R88" s="706">
        <v>4466.25</v>
      </c>
      <c r="S88" s="1164">
        <f>IF((_xlfn.XLOOKUP(D88,RUC!$B$3:$B$119,RUC!$E$3:$E$119)+ROUNDDOWN(O88,1)*100)&lt;95,95,((_xlfn.XLOOKUP(D88,RUC!$B$3:$B$119,RUC!$E$3:$E$119)+ROUNDDOWN(O88,1)*100)))</f>
        <v>95</v>
      </c>
      <c r="U88" s="1146">
        <f>_xlfn.XLOOKUP(D88,RUC!$B$3:$B$123,RUC!$F$3:$F$123)</f>
        <v>80</v>
      </c>
      <c r="V88" s="715">
        <v>1.1023000000000001</v>
      </c>
      <c r="Y88">
        <f>_xlfn.XLOOKUP(D88,RUC!$B$3:$B$123,RUC!$G$3:$G$123)</f>
        <v>0</v>
      </c>
      <c r="Z88" s="143">
        <f>_xlfn.XLOOKUP(D88,RUC!$B$3:$B$123,RUC!$H$3:$H$123)</f>
        <v>10</v>
      </c>
      <c r="AA88" s="144">
        <f t="shared" si="63"/>
        <v>10</v>
      </c>
      <c r="AB88" s="145">
        <f t="shared" si="80"/>
        <v>492.49689257500006</v>
      </c>
      <c r="AC88" s="145">
        <f>+(S88-T88)*V88-'data 1'!$F$4</f>
        <v>24.718500000000006</v>
      </c>
      <c r="AD88" s="145">
        <f t="shared" si="68"/>
        <v>66.46140655275002</v>
      </c>
      <c r="AE88" s="145">
        <f t="shared" si="69"/>
        <v>-58.977000000000004</v>
      </c>
      <c r="AF88" s="145">
        <f t="shared" si="70"/>
        <v>-13.704220190100013</v>
      </c>
      <c r="AG88" s="772">
        <f t="shared" si="83"/>
        <v>88.498686362650005</v>
      </c>
      <c r="AH88" s="1253">
        <f t="shared" si="71"/>
        <v>44.972999999999999</v>
      </c>
      <c r="AI88" s="1253">
        <f t="shared" si="72"/>
        <v>47.600999999999999</v>
      </c>
      <c r="AJ88" s="156">
        <f t="shared" si="65"/>
        <v>77.581742398499998</v>
      </c>
      <c r="AK88" s="156">
        <f t="shared" si="73"/>
        <v>41.297949894806749</v>
      </c>
      <c r="AM88" s="716">
        <f t="shared" si="74"/>
        <v>4715.6577464056254</v>
      </c>
      <c r="AN88" s="716" t="str">
        <f>_xlfn.XLOOKUP(D88,RUC!$B$3:$B$578,RUC!$M$3:$M$578)</f>
        <v>Melchor Vera</v>
      </c>
      <c r="AO88" s="1167" t="s">
        <v>2279</v>
      </c>
      <c r="AP88" t="s">
        <v>5111</v>
      </c>
      <c r="AQ88" t="s">
        <v>5112</v>
      </c>
    </row>
    <row r="89" spans="1:43" ht="15" customHeight="1">
      <c r="A89" s="747" t="s">
        <v>5082</v>
      </c>
      <c r="B89" s="1447">
        <v>46107</v>
      </c>
      <c r="C89" s="1447">
        <v>46103</v>
      </c>
      <c r="D89" t="s">
        <v>119</v>
      </c>
      <c r="E89" s="762">
        <f>_xlfn.XLOOKUP(D89,RUC!$B$3:$B$123,RUC!$D$3:$D$123)</f>
        <v>10082235774</v>
      </c>
      <c r="G89" s="1082">
        <v>17</v>
      </c>
      <c r="H89" s="762" t="s">
        <v>69</v>
      </c>
      <c r="I89" s="703">
        <v>1.46</v>
      </c>
      <c r="J89" s="596">
        <v>2</v>
      </c>
      <c r="K89" s="703">
        <f t="shared" si="57"/>
        <v>1.431</v>
      </c>
      <c r="L89" s="1745">
        <v>0.28699999999999998</v>
      </c>
      <c r="M89" s="994">
        <f t="shared" si="81"/>
        <v>0.28000000000000003</v>
      </c>
      <c r="N89" s="1196">
        <f t="shared" si="82"/>
        <v>0.28000000000000003</v>
      </c>
      <c r="O89" s="645">
        <f t="shared" si="79"/>
        <v>0.28000000000000003</v>
      </c>
      <c r="P89" s="727">
        <v>90</v>
      </c>
      <c r="Q89" s="1476">
        <v>98.26</v>
      </c>
      <c r="R89" s="706">
        <v>4466.25</v>
      </c>
      <c r="S89" s="1164">
        <v>105</v>
      </c>
      <c r="U89" s="1146">
        <f>_xlfn.XLOOKUP(D89,RUC!$B$3:$B$123,RUC!$F$3:$F$123)</f>
        <v>80</v>
      </c>
      <c r="V89" s="715">
        <v>1.1023000000000001</v>
      </c>
      <c r="Y89">
        <f>_xlfn.XLOOKUP(D89,RUC!$B$3:$B$123,RUC!$G$3:$G$123)</f>
        <v>0</v>
      </c>
      <c r="Z89" s="143">
        <f>_xlfn.XLOOKUP(D89,RUC!$B$3:$B$123,RUC!$H$3:$H$123)</f>
        <v>10</v>
      </c>
      <c r="AA89" s="144">
        <f t="shared" si="63"/>
        <v>10</v>
      </c>
      <c r="AB89" s="145">
        <f t="shared" si="80"/>
        <v>1091.6462705000001</v>
      </c>
      <c r="AC89" s="145">
        <f>+(S89-T89)*V89-'data 1'!$F$4</f>
        <v>35.741500000000002</v>
      </c>
      <c r="AD89" s="145">
        <f t="shared" si="68"/>
        <v>114.61860876042506</v>
      </c>
      <c r="AE89" s="145">
        <f t="shared" si="69"/>
        <v>-58.977000000000004</v>
      </c>
      <c r="AF89" s="145">
        <f t="shared" si="70"/>
        <v>33.255845085924769</v>
      </c>
      <c r="AG89" s="772">
        <f t="shared" si="83"/>
        <v>194.63895384634984</v>
      </c>
      <c r="AH89" s="1253">
        <f t="shared" si="71"/>
        <v>13.836</v>
      </c>
      <c r="AI89" s="1253">
        <f t="shared" si="72"/>
        <v>14.081</v>
      </c>
      <c r="AJ89" s="156">
        <f t="shared" si="65"/>
        <v>159.70197935107501</v>
      </c>
      <c r="AK89" s="156">
        <f t="shared" si="73"/>
        <v>12.363722355486603</v>
      </c>
      <c r="AM89" s="716">
        <f t="shared" si="74"/>
        <v>1562.1458130855003</v>
      </c>
      <c r="AN89" s="716" t="str">
        <f>_xlfn.XLOOKUP(D89,RUC!$B$3:$B$578,RUC!$M$3:$M$578)</f>
        <v>Melchor Vera</v>
      </c>
      <c r="AO89" s="1167" t="s">
        <v>2279</v>
      </c>
      <c r="AP89" t="s">
        <v>5111</v>
      </c>
      <c r="AQ89" t="s">
        <v>5112</v>
      </c>
    </row>
    <row r="90" spans="1:43" ht="15" customHeight="1">
      <c r="A90" s="747" t="s">
        <v>5083</v>
      </c>
      <c r="B90" s="1447">
        <v>46107</v>
      </c>
      <c r="C90" s="1447">
        <v>46103</v>
      </c>
      <c r="D90" t="s">
        <v>119</v>
      </c>
      <c r="E90" s="762">
        <f>_xlfn.XLOOKUP(D90,RUC!$B$3:$B$123,RUC!$D$3:$D$123)</f>
        <v>10082235774</v>
      </c>
      <c r="G90" s="1082">
        <v>35</v>
      </c>
      <c r="H90" s="762" t="s">
        <v>69</v>
      </c>
      <c r="I90" s="703">
        <v>2.97</v>
      </c>
      <c r="J90" s="596">
        <v>4.0999999999999996</v>
      </c>
      <c r="K90" s="703">
        <f t="shared" si="57"/>
        <v>2.8479999999999999</v>
      </c>
      <c r="L90" s="1745">
        <v>0.21299999999999999</v>
      </c>
      <c r="M90" s="994">
        <f t="shared" si="81"/>
        <v>0.20599999999999999</v>
      </c>
      <c r="N90" s="1196">
        <f t="shared" si="82"/>
        <v>0.20599999999999999</v>
      </c>
      <c r="O90" s="645">
        <f t="shared" si="79"/>
        <v>0.20599999999999999</v>
      </c>
      <c r="P90" s="727">
        <v>85</v>
      </c>
      <c r="Q90" s="1476">
        <v>91.08</v>
      </c>
      <c r="R90" s="706">
        <v>4466.25</v>
      </c>
      <c r="S90" s="1164">
        <v>105</v>
      </c>
      <c r="U90" s="1146">
        <f>_xlfn.XLOOKUP(D90,RUC!$B$3:$B$123,RUC!$F$3:$F$123)</f>
        <v>80</v>
      </c>
      <c r="V90" s="715">
        <v>1.1023000000000001</v>
      </c>
      <c r="Y90">
        <f>_xlfn.XLOOKUP(D90,RUC!$B$3:$B$123,RUC!$G$3:$G$123)</f>
        <v>0</v>
      </c>
      <c r="Z90" s="143">
        <f>_xlfn.XLOOKUP(D90,RUC!$B$3:$B$123,RUC!$H$3:$H$123)</f>
        <v>10</v>
      </c>
      <c r="AA90" s="144">
        <f t="shared" si="63"/>
        <v>10</v>
      </c>
      <c r="AB90" s="145">
        <f t="shared" si="80"/>
        <v>719.83758696249993</v>
      </c>
      <c r="AC90" s="145">
        <f>+(S90-T90)*V90-'data 1'!$F$4</f>
        <v>35.741500000000002</v>
      </c>
      <c r="AD90" s="145">
        <f t="shared" si="68"/>
        <v>62.614709691599984</v>
      </c>
      <c r="AE90" s="145">
        <f t="shared" si="69"/>
        <v>-58.977000000000004</v>
      </c>
      <c r="AF90" s="145">
        <f t="shared" si="70"/>
        <v>30.825792493650027</v>
      </c>
      <c r="AG90" s="772">
        <f t="shared" si="83"/>
        <v>140.20500218525001</v>
      </c>
      <c r="AH90" s="1253">
        <f t="shared" si="71"/>
        <v>18.943000000000001</v>
      </c>
      <c r="AI90" s="1253">
        <f t="shared" si="72"/>
        <v>20.797999999999998</v>
      </c>
      <c r="AJ90" s="156">
        <f t="shared" si="65"/>
        <v>109.86371177265001</v>
      </c>
      <c r="AK90" s="156">
        <f t="shared" si="73"/>
        <v>17.097601882636638</v>
      </c>
      <c r="AM90" s="716">
        <f t="shared" si="74"/>
        <v>2050.0974476691995</v>
      </c>
      <c r="AN90" s="716" t="str">
        <f>_xlfn.XLOOKUP(D90,RUC!$B$3:$B$578,RUC!$M$3:$M$578)</f>
        <v>Melchor Vera</v>
      </c>
      <c r="AO90" s="1167" t="s">
        <v>2279</v>
      </c>
      <c r="AP90" t="s">
        <v>5111</v>
      </c>
      <c r="AQ90" t="s">
        <v>5112</v>
      </c>
    </row>
    <row r="91" spans="1:43" ht="15" customHeight="1">
      <c r="A91" s="747" t="s">
        <v>5084</v>
      </c>
      <c r="B91" s="1447">
        <v>46110</v>
      </c>
      <c r="C91" s="1447">
        <v>46103</v>
      </c>
      <c r="D91" t="s">
        <v>4722</v>
      </c>
      <c r="E91" s="762" t="str">
        <f>_xlfn.XLOOKUP(D91,RUC!$B$3:$B$123,RUC!$D$3:$D$123)</f>
        <v>20610807004*</v>
      </c>
      <c r="G91" s="1082">
        <v>25</v>
      </c>
      <c r="H91" s="762" t="s">
        <v>2005</v>
      </c>
      <c r="I91" s="703">
        <v>2.35</v>
      </c>
      <c r="J91" s="596">
        <v>12.85</v>
      </c>
      <c r="K91" s="703">
        <f t="shared" si="57"/>
        <v>2.048</v>
      </c>
      <c r="L91" s="1745">
        <v>0.41799999999999998</v>
      </c>
      <c r="M91" s="994">
        <f t="shared" si="81"/>
        <v>0.39300000000000002</v>
      </c>
      <c r="N91" s="1196">
        <f t="shared" si="82"/>
        <v>0.39300000000000002</v>
      </c>
      <c r="O91" s="1546">
        <v>0.438</v>
      </c>
      <c r="P91" s="727">
        <v>90</v>
      </c>
      <c r="Q91" s="1476">
        <v>96.17</v>
      </c>
      <c r="R91" s="706">
        <v>4466.25</v>
      </c>
      <c r="S91" s="765">
        <f>IF((_xlfn.XLOOKUP(D91,RUC!$B$3:$B$119,RUC!$E$3:$E$119)+ROUNDDOWN(O91,1)*100)&lt;95,95,((_xlfn.XLOOKUP(D91,RUC!$B$3:$B$119,RUC!$E$3:$E$119)+ROUNDDOWN(O91,1)*100)))</f>
        <v>125</v>
      </c>
      <c r="U91" s="1146">
        <f>_xlfn.XLOOKUP(D91,RUC!$B$3:$B$123,RUC!$F$3:$F$123)</f>
        <v>120</v>
      </c>
      <c r="V91" s="715">
        <v>1.1023000000000001</v>
      </c>
      <c r="Y91">
        <f>_xlfn.XLOOKUP(D91,RUC!$B$3:$B$123,RUC!$G$3:$G$123)</f>
        <v>20</v>
      </c>
      <c r="Z91" s="1454">
        <v>35</v>
      </c>
      <c r="AA91" s="144">
        <f t="shared" si="63"/>
        <v>55</v>
      </c>
      <c r="AB91" s="145">
        <f t="shared" si="80"/>
        <v>1690.1474960250002</v>
      </c>
      <c r="AC91" s="145">
        <f>+(S91-T91)*V91-'data 1'!$F$4</f>
        <v>57.787499999999994</v>
      </c>
      <c r="AD91" s="145">
        <f t="shared" si="68"/>
        <v>123.55944728407503</v>
      </c>
      <c r="AE91" s="145">
        <f t="shared" si="69"/>
        <v>-9.3734999999999999</v>
      </c>
      <c r="AF91" s="145">
        <f t="shared" si="70"/>
        <v>-92.147620026750076</v>
      </c>
      <c r="AG91" s="772">
        <f t="shared" ref="AG91:AG102" si="84">AC91+AD91+AE91+AF91+70-53</f>
        <v>96.82582725732496</v>
      </c>
      <c r="AH91" s="1253">
        <f t="shared" si="71"/>
        <v>28.225999999999999</v>
      </c>
      <c r="AI91" s="1253">
        <f t="shared" si="72"/>
        <v>29.35</v>
      </c>
      <c r="AJ91" s="156">
        <f t="shared" si="65"/>
        <v>245.37450950292504</v>
      </c>
      <c r="AK91" s="156">
        <f t="shared" si="73"/>
        <v>27.679334337146884</v>
      </c>
      <c r="AM91" s="716">
        <f t="shared" si="74"/>
        <v>3461.4220718592005</v>
      </c>
      <c r="AN91" s="148" t="str">
        <f>_xlfn.XLOOKUP(D91,RUC!$B$3:$B$578,RUC!$M$3:$M$578)</f>
        <v>Ronald Miranda</v>
      </c>
      <c r="AO91" s="1167" t="s">
        <v>2279</v>
      </c>
      <c r="AP91" t="s">
        <v>3491</v>
      </c>
      <c r="AQ91" t="s">
        <v>5113</v>
      </c>
    </row>
    <row r="92" spans="1:43" ht="15" customHeight="1">
      <c r="A92" s="747" t="s">
        <v>5085</v>
      </c>
      <c r="B92" s="1447">
        <v>46110</v>
      </c>
      <c r="C92" s="1447">
        <v>46103</v>
      </c>
      <c r="D92" t="s">
        <v>4722</v>
      </c>
      <c r="E92" s="762" t="str">
        <f>_xlfn.XLOOKUP(D92,RUC!$B$3:$B$123,RUC!$D$3:$D$123)</f>
        <v>20610807004*</v>
      </c>
      <c r="G92" s="1082">
        <v>25</v>
      </c>
      <c r="H92" s="762" t="s">
        <v>2005</v>
      </c>
      <c r="I92" s="703">
        <v>2.33</v>
      </c>
      <c r="J92" s="596">
        <v>13.1</v>
      </c>
      <c r="K92" s="703">
        <f t="shared" si="57"/>
        <v>2.0249999999999999</v>
      </c>
      <c r="L92" s="1745">
        <v>0.30299999999999999</v>
      </c>
      <c r="M92" s="994">
        <f t="shared" si="81"/>
        <v>0.28499999999999998</v>
      </c>
      <c r="N92" s="1444">
        <v>0.33</v>
      </c>
      <c r="O92" s="645">
        <f t="shared" ref="O92:O101" si="85">+ROUND((M92+N92)/2,3)</f>
        <v>0.308</v>
      </c>
      <c r="P92" s="727">
        <v>90</v>
      </c>
      <c r="Q92" s="1476">
        <v>95.71</v>
      </c>
      <c r="R92" s="706">
        <v>4466.25</v>
      </c>
      <c r="S92" s="765">
        <f>IF((_xlfn.XLOOKUP(D92,RUC!$B$3:$B$119,RUC!$E$3:$E$119)+ROUNDDOWN(O92,1)*100)&lt;95,95,((_xlfn.XLOOKUP(D92,RUC!$B$3:$B$119,RUC!$E$3:$E$119)+ROUNDDOWN(O92,1)*100)))</f>
        <v>115</v>
      </c>
      <c r="U92" s="1146">
        <f>_xlfn.XLOOKUP(D92,RUC!$B$3:$B$123,RUC!$F$3:$F$123)</f>
        <v>120</v>
      </c>
      <c r="V92" s="715">
        <v>1.1023000000000001</v>
      </c>
      <c r="Y92">
        <f>_xlfn.XLOOKUP(D92,RUC!$B$3:$B$123,RUC!$G$3:$G$123)</f>
        <v>20</v>
      </c>
      <c r="Z92" s="1454">
        <v>35</v>
      </c>
      <c r="AA92" s="144">
        <f t="shared" si="63"/>
        <v>55</v>
      </c>
      <c r="AB92" s="145">
        <f t="shared" si="80"/>
        <v>1140.6385451499998</v>
      </c>
      <c r="AC92" s="145">
        <f>+(S92-T92)*V92-'data 1'!$F$4</f>
        <v>46.764500000000012</v>
      </c>
      <c r="AD92" s="145">
        <f t="shared" si="68"/>
        <v>82.888302920287401</v>
      </c>
      <c r="AE92" s="145">
        <f t="shared" si="69"/>
        <v>-9.3734999999999999</v>
      </c>
      <c r="AF92" s="145">
        <f t="shared" si="70"/>
        <v>-22.926714965062519</v>
      </c>
      <c r="AG92" s="772">
        <f t="shared" si="84"/>
        <v>114.35258795522486</v>
      </c>
      <c r="AH92" s="1253">
        <f t="shared" si="71"/>
        <v>20.134</v>
      </c>
      <c r="AI92" s="1253">
        <f t="shared" si="72"/>
        <v>21.036999999999999</v>
      </c>
      <c r="AJ92" s="156">
        <f t="shared" si="65"/>
        <v>177.01639476821248</v>
      </c>
      <c r="AK92" s="156">
        <f t="shared" si="73"/>
        <v>19.245416874106496</v>
      </c>
      <c r="AM92" s="716">
        <f t="shared" si="74"/>
        <v>2309.7930539287495</v>
      </c>
      <c r="AN92" s="148" t="str">
        <f>_xlfn.XLOOKUP(D92,RUC!$B$3:$B$578,RUC!$M$3:$M$578)</f>
        <v>Ronald Miranda</v>
      </c>
      <c r="AO92" s="1167" t="s">
        <v>2279</v>
      </c>
      <c r="AP92" t="s">
        <v>3491</v>
      </c>
      <c r="AQ92" t="s">
        <v>5113</v>
      </c>
    </row>
    <row r="93" spans="1:43" ht="15" customHeight="1">
      <c r="A93" s="747" t="s">
        <v>5086</v>
      </c>
      <c r="B93" s="1447">
        <v>46110</v>
      </c>
      <c r="C93" s="1447">
        <v>46103</v>
      </c>
      <c r="D93" t="s">
        <v>4722</v>
      </c>
      <c r="E93" s="762" t="str">
        <f>_xlfn.XLOOKUP(D93,RUC!$B$3:$B$123,RUC!$D$3:$D$123)</f>
        <v>20610807004*</v>
      </c>
      <c r="G93" s="1082">
        <v>25</v>
      </c>
      <c r="H93" s="762" t="s">
        <v>69</v>
      </c>
      <c r="I93" s="703">
        <v>1.8</v>
      </c>
      <c r="J93" s="596">
        <v>6.25</v>
      </c>
      <c r="K93" s="703">
        <f t="shared" ref="K93:K102" si="86">ROUND(+I93-(I93*(J93/100)),3)</f>
        <v>1.6879999999999999</v>
      </c>
      <c r="L93" s="1745">
        <v>0.2</v>
      </c>
      <c r="M93" s="994">
        <f t="shared" si="81"/>
        <v>0.18099999999999999</v>
      </c>
      <c r="N93" s="1196">
        <f t="shared" si="82"/>
        <v>0.18099999999999999</v>
      </c>
      <c r="O93" s="645">
        <f t="shared" si="85"/>
        <v>0.18099999999999999</v>
      </c>
      <c r="P93" s="727">
        <v>85</v>
      </c>
      <c r="Q93" s="1476">
        <v>90</v>
      </c>
      <c r="R93" s="706">
        <v>4466.25</v>
      </c>
      <c r="S93" s="765">
        <f>IF((_xlfn.XLOOKUP(D93,RUC!$B$3:$B$119,RUC!$E$3:$E$119)+ROUNDDOWN(O93,1)*100)&lt;95,95,((_xlfn.XLOOKUP(D93,RUC!$B$3:$B$119,RUC!$E$3:$E$119)+ROUNDDOWN(O93,1)*100)))</f>
        <v>95</v>
      </c>
      <c r="U93" s="1146">
        <f>_xlfn.XLOOKUP(D93,RUC!$B$3:$B$123,RUC!$F$3:$F$123)</f>
        <v>120</v>
      </c>
      <c r="V93" s="715">
        <v>1.1023000000000001</v>
      </c>
      <c r="Y93">
        <f>_xlfn.XLOOKUP(D93,RUC!$B$3:$B$123,RUC!$G$3:$G$123)</f>
        <v>20</v>
      </c>
      <c r="Z93" s="1454">
        <v>35</v>
      </c>
      <c r="AA93" s="144">
        <f t="shared" si="63"/>
        <v>55</v>
      </c>
      <c r="AB93" s="145">
        <f t="shared" si="80"/>
        <v>571.73056104374996</v>
      </c>
      <c r="AC93" s="145">
        <f>+(S93-T93)*V93-'data 1'!$F$4</f>
        <v>24.718500000000006</v>
      </c>
      <c r="AD93" s="145">
        <f t="shared" si="68"/>
        <v>47.908713750000004</v>
      </c>
      <c r="AE93" s="145">
        <f t="shared" si="69"/>
        <v>-9.3734999999999999</v>
      </c>
      <c r="AF93" s="145">
        <f t="shared" si="70"/>
        <v>81.923900512500083</v>
      </c>
      <c r="AG93" s="772">
        <f t="shared" si="84"/>
        <v>162.1776142625001</v>
      </c>
      <c r="AH93" s="1253">
        <f t="shared" si="71"/>
        <v>10.417</v>
      </c>
      <c r="AI93" s="1253">
        <f t="shared" si="72"/>
        <v>11.574999999999999</v>
      </c>
      <c r="AJ93" s="156">
        <f t="shared" si="65"/>
        <v>109.8717525</v>
      </c>
      <c r="AK93" s="156">
        <f t="shared" si="73"/>
        <v>8.9038741341193397</v>
      </c>
      <c r="AM93" s="716">
        <f t="shared" si="74"/>
        <v>965.08118704184994</v>
      </c>
      <c r="AN93" s="148" t="str">
        <f>_xlfn.XLOOKUP(D93,RUC!$B$3:$B$578,RUC!$M$3:$M$578)</f>
        <v>Ronald Miranda</v>
      </c>
      <c r="AO93" s="1167" t="s">
        <v>2279</v>
      </c>
      <c r="AP93" t="s">
        <v>3491</v>
      </c>
      <c r="AQ93" t="s">
        <v>5113</v>
      </c>
    </row>
    <row r="94" spans="1:43" ht="15" customHeight="1">
      <c r="A94" s="747" t="s">
        <v>5087</v>
      </c>
      <c r="B94" s="1447">
        <v>46110</v>
      </c>
      <c r="C94" s="1447">
        <v>46103</v>
      </c>
      <c r="D94" t="s">
        <v>4722</v>
      </c>
      <c r="E94" s="762" t="str">
        <f>_xlfn.XLOOKUP(D94,RUC!$B$3:$B$123,RUC!$D$3:$D$123)</f>
        <v>20610807004*</v>
      </c>
      <c r="G94" s="1082">
        <v>25</v>
      </c>
      <c r="H94" s="762" t="s">
        <v>2005</v>
      </c>
      <c r="I94" s="703">
        <v>1.8</v>
      </c>
      <c r="J94" s="596">
        <v>12.05</v>
      </c>
      <c r="K94" s="703">
        <f t="shared" si="86"/>
        <v>1.583</v>
      </c>
      <c r="L94" s="1745">
        <v>0.42699999999999999</v>
      </c>
      <c r="M94" s="994">
        <f t="shared" si="81"/>
        <v>0.40100000000000002</v>
      </c>
      <c r="N94" s="1196">
        <f t="shared" si="82"/>
        <v>0.40100000000000002</v>
      </c>
      <c r="O94" s="645">
        <f t="shared" si="85"/>
        <v>0.40100000000000002</v>
      </c>
      <c r="P94" s="727">
        <v>90</v>
      </c>
      <c r="Q94" s="1476">
        <v>93.68</v>
      </c>
      <c r="R94" s="706">
        <v>4466.25</v>
      </c>
      <c r="S94" s="765">
        <f>IF((_xlfn.XLOOKUP(D94,RUC!$B$3:$B$119,RUC!$E$3:$E$119)+ROUNDDOWN(O94,1)*100)&lt;95,95,((_xlfn.XLOOKUP(D94,RUC!$B$3:$B$119,RUC!$E$3:$E$119)+ROUNDDOWN(O94,1)*100)))</f>
        <v>125</v>
      </c>
      <c r="U94" s="1146">
        <f>_xlfn.XLOOKUP(D94,RUC!$B$3:$B$123,RUC!$F$3:$F$123)</f>
        <v>120</v>
      </c>
      <c r="V94" s="715">
        <v>1.1023000000000001</v>
      </c>
      <c r="Y94">
        <f>_xlfn.XLOOKUP(D94,RUC!$B$3:$B$123,RUC!$G$3:$G$123)</f>
        <v>20</v>
      </c>
      <c r="Z94" s="1454">
        <v>35</v>
      </c>
      <c r="AA94" s="144">
        <f t="shared" si="63"/>
        <v>55</v>
      </c>
      <c r="AB94" s="145">
        <f t="shared" si="80"/>
        <v>1530.6114792375001</v>
      </c>
      <c r="AC94" s="145">
        <f>+(S94-T94)*V94-'data 1'!$F$4</f>
        <v>57.787499999999994</v>
      </c>
      <c r="AD94" s="145">
        <f t="shared" si="68"/>
        <v>75.281836438200145</v>
      </c>
      <c r="AE94" s="145">
        <f t="shared" si="69"/>
        <v>-9.3734999999999999</v>
      </c>
      <c r="AF94" s="145">
        <f t="shared" si="70"/>
        <v>116.69029590659986</v>
      </c>
      <c r="AG94" s="772">
        <f t="shared" si="84"/>
        <v>257.38613234479999</v>
      </c>
      <c r="AH94" s="1253">
        <f t="shared" si="71"/>
        <v>21.71</v>
      </c>
      <c r="AI94" s="1253">
        <f t="shared" si="72"/>
        <v>23.175000000000001</v>
      </c>
      <c r="AJ94" s="156">
        <f t="shared" si="65"/>
        <v>244.16775142130001</v>
      </c>
      <c r="AK94" s="156">
        <f t="shared" si="73"/>
        <v>19.587403334288837</v>
      </c>
      <c r="AM94" s="716">
        <f t="shared" si="74"/>
        <v>2422.9579716329627</v>
      </c>
      <c r="AN94" s="148" t="str">
        <f>_xlfn.XLOOKUP(D94,RUC!$B$3:$B$578,RUC!$M$3:$M$578)</f>
        <v>Ronald Miranda</v>
      </c>
      <c r="AO94" s="1167" t="s">
        <v>2279</v>
      </c>
      <c r="AP94" t="s">
        <v>3491</v>
      </c>
      <c r="AQ94" t="s">
        <v>5113</v>
      </c>
    </row>
    <row r="95" spans="1:43" ht="15" customHeight="1">
      <c r="A95" s="747" t="s">
        <v>5088</v>
      </c>
      <c r="B95" s="1447">
        <v>46110</v>
      </c>
      <c r="C95" s="1447">
        <v>46103</v>
      </c>
      <c r="D95" t="s">
        <v>4722</v>
      </c>
      <c r="E95" s="762" t="str">
        <f>_xlfn.XLOOKUP(D95,RUC!$B$3:$B$123,RUC!$D$3:$D$123)</f>
        <v>20610807004*</v>
      </c>
      <c r="G95" s="1082">
        <v>25</v>
      </c>
      <c r="H95" s="762" t="s">
        <v>2005</v>
      </c>
      <c r="I95" s="703">
        <v>1.75</v>
      </c>
      <c r="J95" s="596">
        <v>13.75</v>
      </c>
      <c r="K95" s="703">
        <f t="shared" si="86"/>
        <v>1.5089999999999999</v>
      </c>
      <c r="L95" s="1745">
        <v>0.34100000000000003</v>
      </c>
      <c r="M95" s="994">
        <f t="shared" si="81"/>
        <v>0.32100000000000001</v>
      </c>
      <c r="N95" s="1196">
        <f t="shared" si="82"/>
        <v>0.32100000000000001</v>
      </c>
      <c r="O95" s="645">
        <f t="shared" si="85"/>
        <v>0.32100000000000001</v>
      </c>
      <c r="P95" s="727">
        <v>88</v>
      </c>
      <c r="Q95" s="1476">
        <v>88.27</v>
      </c>
      <c r="R95" s="706">
        <v>4466.25</v>
      </c>
      <c r="S95" s="765">
        <f>IF((_xlfn.XLOOKUP(D95,RUC!$B$3:$B$119,RUC!$E$3:$E$119)+ROUNDDOWN(O95,1)*100)&lt;95,95,((_xlfn.XLOOKUP(D95,RUC!$B$3:$B$119,RUC!$E$3:$E$119)+ROUNDDOWN(O95,1)*100)))</f>
        <v>115</v>
      </c>
      <c r="U95" s="1146">
        <f>_xlfn.XLOOKUP(D95,RUC!$B$3:$B$123,RUC!$F$3:$F$123)</f>
        <v>120</v>
      </c>
      <c r="V95" s="715">
        <v>1.1023000000000001</v>
      </c>
      <c r="Y95">
        <f>_xlfn.XLOOKUP(D95,RUC!$B$3:$B$123,RUC!$G$3:$G$123)</f>
        <v>20</v>
      </c>
      <c r="Z95" s="1454">
        <v>35</v>
      </c>
      <c r="AA95" s="144">
        <f t="shared" si="63"/>
        <v>55</v>
      </c>
      <c r="AB95" s="145">
        <f t="shared" si="80"/>
        <v>1165.9343460100001</v>
      </c>
      <c r="AC95" s="145">
        <f>+(S95-T95)*V95-'data 1'!$F$4</f>
        <v>46.764500000000012</v>
      </c>
      <c r="AD95" s="145">
        <f t="shared" si="68"/>
        <v>4.4109552749624354</v>
      </c>
      <c r="AE95" s="145">
        <f t="shared" si="69"/>
        <v>-9.3734999999999999</v>
      </c>
      <c r="AF95" s="145">
        <f t="shared" si="70"/>
        <v>84.578043254250076</v>
      </c>
      <c r="AG95" s="772">
        <f t="shared" si="84"/>
        <v>143.37999852921251</v>
      </c>
      <c r="AH95" s="1253">
        <f t="shared" si="71"/>
        <v>15.573</v>
      </c>
      <c r="AI95" s="1253">
        <f t="shared" si="72"/>
        <v>17.641999999999999</v>
      </c>
      <c r="AJ95" s="156">
        <f t="shared" si="65"/>
        <v>183.73041340403751</v>
      </c>
      <c r="AK95" s="156">
        <f t="shared" si="73"/>
        <v>14.614569052293277</v>
      </c>
      <c r="AM95" s="716">
        <f t="shared" si="74"/>
        <v>1759.39492812909</v>
      </c>
      <c r="AN95" s="148" t="str">
        <f>_xlfn.XLOOKUP(D95,RUC!$B$3:$B$578,RUC!$M$3:$M$578)</f>
        <v>Ronald Miranda</v>
      </c>
      <c r="AO95" s="1167" t="s">
        <v>2279</v>
      </c>
      <c r="AP95" t="s">
        <v>3491</v>
      </c>
      <c r="AQ95" t="s">
        <v>5113</v>
      </c>
    </row>
    <row r="96" spans="1:43" ht="15" customHeight="1">
      <c r="A96" s="747" t="s">
        <v>5089</v>
      </c>
      <c r="B96" s="1447">
        <v>46110</v>
      </c>
      <c r="C96" s="1447">
        <v>46103</v>
      </c>
      <c r="D96" t="s">
        <v>4722</v>
      </c>
      <c r="E96" s="762" t="str">
        <f>_xlfn.XLOOKUP(D96,RUC!$B$3:$B$123,RUC!$D$3:$D$123)</f>
        <v>20610807004*</v>
      </c>
      <c r="G96" s="1082">
        <v>25</v>
      </c>
      <c r="H96" s="762" t="s">
        <v>2005</v>
      </c>
      <c r="I96" s="703">
        <v>1.68</v>
      </c>
      <c r="J96" s="596">
        <v>13.33</v>
      </c>
      <c r="K96" s="703">
        <f t="shared" si="86"/>
        <v>1.456</v>
      </c>
      <c r="L96" s="1745">
        <v>0.40200000000000002</v>
      </c>
      <c r="M96" s="994">
        <f t="shared" si="81"/>
        <v>0.378</v>
      </c>
      <c r="N96" s="1196">
        <f t="shared" si="82"/>
        <v>0.378</v>
      </c>
      <c r="O96" s="645">
        <f t="shared" si="85"/>
        <v>0.378</v>
      </c>
      <c r="P96" s="727">
        <v>89</v>
      </c>
      <c r="Q96" s="1476">
        <v>89.8</v>
      </c>
      <c r="R96" s="706">
        <v>4466.25</v>
      </c>
      <c r="S96" s="765">
        <f>IF((_xlfn.XLOOKUP(D96,RUC!$B$3:$B$119,RUC!$E$3:$E$119)+ROUNDDOWN(O96,1)*100)&lt;95,95,((_xlfn.XLOOKUP(D96,RUC!$B$3:$B$119,RUC!$E$3:$E$119)+ROUNDDOWN(O96,1)*100)))</f>
        <v>115</v>
      </c>
      <c r="U96" s="1146">
        <f>_xlfn.XLOOKUP(D96,RUC!$B$3:$B$123,RUC!$F$3:$F$123)</f>
        <v>120</v>
      </c>
      <c r="V96" s="715">
        <v>1.1023000000000001</v>
      </c>
      <c r="Y96">
        <f>_xlfn.XLOOKUP(D96,RUC!$B$3:$B$123,RUC!$G$3:$G$123)</f>
        <v>20</v>
      </c>
      <c r="Z96" s="1454">
        <v>35</v>
      </c>
      <c r="AA96" s="144">
        <f t="shared" si="63"/>
        <v>55</v>
      </c>
      <c r="AB96" s="145">
        <f t="shared" si="80"/>
        <v>1424.3539479775002</v>
      </c>
      <c r="AC96" s="145">
        <f>+(S96-T96)*V96-'data 1'!$F$4</f>
        <v>46.764500000000012</v>
      </c>
      <c r="AD96" s="145">
        <f t="shared" si="68"/>
        <v>15.407442341999946</v>
      </c>
      <c r="AE96" s="145">
        <f t="shared" si="69"/>
        <v>-9.3734999999999999</v>
      </c>
      <c r="AF96" s="145">
        <f t="shared" si="70"/>
        <v>103.25285987400009</v>
      </c>
      <c r="AG96" s="772">
        <f t="shared" si="84"/>
        <v>173.05130221600007</v>
      </c>
      <c r="AH96" s="1253">
        <f t="shared" si="71"/>
        <v>18.021000000000001</v>
      </c>
      <c r="AI96" s="1253">
        <f t="shared" si="72"/>
        <v>20.068000000000001</v>
      </c>
      <c r="AJ96" s="156">
        <f t="shared" si="65"/>
        <v>220.35146203050002</v>
      </c>
      <c r="AK96" s="156">
        <f t="shared" si="73"/>
        <v>16.793926600769137</v>
      </c>
      <c r="AM96" s="716">
        <f t="shared" si="74"/>
        <v>2073.8593482552401</v>
      </c>
      <c r="AN96" s="148" t="str">
        <f>_xlfn.XLOOKUP(D96,RUC!$B$3:$B$578,RUC!$M$3:$M$578)</f>
        <v>Ronald Miranda</v>
      </c>
      <c r="AO96" s="1167" t="s">
        <v>2279</v>
      </c>
      <c r="AP96" t="s">
        <v>3491</v>
      </c>
      <c r="AQ96" t="s">
        <v>5113</v>
      </c>
    </row>
    <row r="97" spans="1:44" ht="15" customHeight="1">
      <c r="A97" s="747" t="s">
        <v>5090</v>
      </c>
      <c r="B97" s="1447">
        <v>46110</v>
      </c>
      <c r="C97" s="1447">
        <v>46103</v>
      </c>
      <c r="D97" t="s">
        <v>4722</v>
      </c>
      <c r="E97" s="762" t="str">
        <f>_xlfn.XLOOKUP(D97,RUC!$B$3:$B$123,RUC!$D$3:$D$123)</f>
        <v>20610807004*</v>
      </c>
      <c r="G97" s="1082">
        <v>25</v>
      </c>
      <c r="H97" s="762" t="s">
        <v>2005</v>
      </c>
      <c r="I97" s="703">
        <v>1.75</v>
      </c>
      <c r="J97" s="596">
        <v>13.75</v>
      </c>
      <c r="K97" s="703">
        <f t="shared" si="86"/>
        <v>1.5089999999999999</v>
      </c>
      <c r="L97" s="1745">
        <v>0.36199999999999999</v>
      </c>
      <c r="M97" s="994">
        <f t="shared" si="81"/>
        <v>0.34</v>
      </c>
      <c r="N97" s="1196">
        <f t="shared" si="82"/>
        <v>0.34</v>
      </c>
      <c r="O97" s="645">
        <f t="shared" si="85"/>
        <v>0.34</v>
      </c>
      <c r="P97" s="727">
        <v>90</v>
      </c>
      <c r="Q97" s="1476">
        <v>92.82</v>
      </c>
      <c r="R97" s="706">
        <v>4466.25</v>
      </c>
      <c r="S97" s="765">
        <f>IF((_xlfn.XLOOKUP(D97,RUC!$B$3:$B$119,RUC!$E$3:$E$119)+ROUNDDOWN(O97,1)*100)&lt;95,95,((_xlfn.XLOOKUP(D97,RUC!$B$3:$B$119,RUC!$E$3:$E$119)+ROUNDDOWN(O97,1)*100)))</f>
        <v>115</v>
      </c>
      <c r="U97" s="1146">
        <f>_xlfn.XLOOKUP(D97,RUC!$B$3:$B$123,RUC!$F$3:$F$123)</f>
        <v>120</v>
      </c>
      <c r="V97" s="715">
        <v>1.1023000000000001</v>
      </c>
      <c r="Y97">
        <f>_xlfn.XLOOKUP(D97,RUC!$B$3:$B$123,RUC!$G$3:$G$123)</f>
        <v>20</v>
      </c>
      <c r="Z97" s="1454">
        <v>35</v>
      </c>
      <c r="AA97" s="144">
        <f t="shared" si="63"/>
        <v>55</v>
      </c>
      <c r="AB97" s="145">
        <f t="shared" si="80"/>
        <v>1278.6156407500002</v>
      </c>
      <c r="AC97" s="145">
        <f>+(S97-T97)*V97-'data 1'!$F$4</f>
        <v>46.764500000000012</v>
      </c>
      <c r="AD97" s="145">
        <f t="shared" si="68"/>
        <v>48.907131344549882</v>
      </c>
      <c r="AE97" s="145">
        <f t="shared" si="69"/>
        <v>-9.3734999999999999</v>
      </c>
      <c r="AF97" s="145">
        <f t="shared" si="70"/>
        <v>97.831509826049853</v>
      </c>
      <c r="AG97" s="772">
        <f t="shared" si="84"/>
        <v>201.12964117059974</v>
      </c>
      <c r="AH97" s="1253">
        <f t="shared" si="71"/>
        <v>17.384</v>
      </c>
      <c r="AI97" s="1253">
        <f t="shared" si="72"/>
        <v>18.728999999999999</v>
      </c>
      <c r="AJ97" s="156">
        <f t="shared" si="65"/>
        <v>205.09906534844998</v>
      </c>
      <c r="AK97" s="156">
        <f t="shared" si="73"/>
        <v>15.831415073639702</v>
      </c>
      <c r="AM97" s="716">
        <f t="shared" si="74"/>
        <v>1929.4310018917502</v>
      </c>
      <c r="AN97" s="148" t="str">
        <f>_xlfn.XLOOKUP(D97,RUC!$B$3:$B$578,RUC!$M$3:$M$578)</f>
        <v>Ronald Miranda</v>
      </c>
      <c r="AO97" s="1167" t="s">
        <v>2279</v>
      </c>
      <c r="AP97" t="s">
        <v>3491</v>
      </c>
      <c r="AQ97" t="s">
        <v>5113</v>
      </c>
    </row>
    <row r="98" spans="1:44" ht="15" customHeight="1">
      <c r="A98" s="747" t="s">
        <v>5091</v>
      </c>
      <c r="B98" s="1447">
        <v>46110</v>
      </c>
      <c r="C98" s="1447">
        <v>46103</v>
      </c>
      <c r="D98" t="s">
        <v>4722</v>
      </c>
      <c r="E98" s="762" t="str">
        <f>_xlfn.XLOOKUP(D98,RUC!$B$3:$B$123,RUC!$D$3:$D$123)</f>
        <v>20610807004*</v>
      </c>
      <c r="G98" s="1082">
        <v>25</v>
      </c>
      <c r="H98" s="762" t="s">
        <v>2005</v>
      </c>
      <c r="I98" s="703">
        <v>1.7</v>
      </c>
      <c r="J98" s="596">
        <v>15.03</v>
      </c>
      <c r="K98" s="703">
        <f t="shared" si="86"/>
        <v>1.444</v>
      </c>
      <c r="L98" s="1745">
        <v>0.36599999999999999</v>
      </c>
      <c r="M98" s="994">
        <f t="shared" si="81"/>
        <v>0.34399999999999997</v>
      </c>
      <c r="N98" s="1196">
        <f t="shared" si="82"/>
        <v>0.34399999999999997</v>
      </c>
      <c r="O98" s="645">
        <f t="shared" si="85"/>
        <v>0.34399999999999997</v>
      </c>
      <c r="P98" s="727">
        <v>90</v>
      </c>
      <c r="Q98" s="1476">
        <v>91.26</v>
      </c>
      <c r="R98" s="706">
        <v>4466.25</v>
      </c>
      <c r="S98" s="765">
        <f>IF((_xlfn.XLOOKUP(D98,RUC!$B$3:$B$119,RUC!$E$3:$E$119)+ROUNDDOWN(O98,1)*100)&lt;95,95,((_xlfn.XLOOKUP(D98,RUC!$B$3:$B$119,RUC!$E$3:$E$119)+ROUNDDOWN(O98,1)*100)))</f>
        <v>115</v>
      </c>
      <c r="U98" s="1146">
        <f>_xlfn.XLOOKUP(D98,RUC!$B$3:$B$123,RUC!$F$3:$F$123)</f>
        <v>120</v>
      </c>
      <c r="V98" s="715">
        <v>1.1023000000000001</v>
      </c>
      <c r="Y98">
        <f>_xlfn.XLOOKUP(D98,RUC!$B$3:$B$123,RUC!$G$3:$G$123)</f>
        <v>20</v>
      </c>
      <c r="Z98" s="1454">
        <v>35</v>
      </c>
      <c r="AA98" s="144">
        <f t="shared" si="63"/>
        <v>55</v>
      </c>
      <c r="AB98" s="145">
        <f t="shared" si="80"/>
        <v>1295.8627776999999</v>
      </c>
      <c r="AC98" s="145">
        <f>+(S98-T98)*V98-'data 1'!$F$4</f>
        <v>46.764500000000012</v>
      </c>
      <c r="AD98" s="145">
        <f t="shared" si="68"/>
        <v>22.093582432950093</v>
      </c>
      <c r="AE98" s="145">
        <f t="shared" si="69"/>
        <v>-9.3734999999999999</v>
      </c>
      <c r="AF98" s="145">
        <f t="shared" si="70"/>
        <v>96.187282770150091</v>
      </c>
      <c r="AG98" s="772">
        <f t="shared" si="84"/>
        <v>172.6718652031002</v>
      </c>
      <c r="AH98" s="1253">
        <f t="shared" si="71"/>
        <v>16.536000000000001</v>
      </c>
      <c r="AI98" s="1253">
        <f t="shared" si="72"/>
        <v>18.12</v>
      </c>
      <c r="AJ98" s="156">
        <f t="shared" si="65"/>
        <v>203.88022137404997</v>
      </c>
      <c r="AK98" s="156">
        <f t="shared" si="73"/>
        <v>15.327707866564319</v>
      </c>
      <c r="AM98" s="716">
        <f t="shared" si="74"/>
        <v>1871.2258509987998</v>
      </c>
      <c r="AN98" s="148" t="str">
        <f>_xlfn.XLOOKUP(D98,RUC!$B$3:$B$578,RUC!$M$3:$M$578)</f>
        <v>Ronald Miranda</v>
      </c>
      <c r="AO98" s="1167" t="s">
        <v>2279</v>
      </c>
      <c r="AP98" t="s">
        <v>3491</v>
      </c>
      <c r="AQ98" t="s">
        <v>5113</v>
      </c>
    </row>
    <row r="99" spans="1:44" ht="15" customHeight="1">
      <c r="A99" s="747" t="s">
        <v>5092</v>
      </c>
      <c r="B99" s="1447">
        <v>46110</v>
      </c>
      <c r="C99" s="1447">
        <v>46103</v>
      </c>
      <c r="D99" t="s">
        <v>4722</v>
      </c>
      <c r="E99" s="762" t="str">
        <f>_xlfn.XLOOKUP(D99,RUC!$B$3:$B$123,RUC!$D$3:$D$123)</f>
        <v>20610807004*</v>
      </c>
      <c r="G99" s="1082">
        <v>27</v>
      </c>
      <c r="H99" s="762" t="s">
        <v>2005</v>
      </c>
      <c r="I99" s="703">
        <v>1.74</v>
      </c>
      <c r="J99" s="596">
        <v>20.399999999999999</v>
      </c>
      <c r="K99" s="703">
        <f t="shared" si="86"/>
        <v>1.385</v>
      </c>
      <c r="L99" s="1745">
        <v>0.22500000000000001</v>
      </c>
      <c r="M99" s="994">
        <f t="shared" si="81"/>
        <v>0.20599999999999999</v>
      </c>
      <c r="N99" s="1196">
        <f t="shared" si="82"/>
        <v>0.20599999999999999</v>
      </c>
      <c r="O99" s="645">
        <f t="shared" si="85"/>
        <v>0.20599999999999999</v>
      </c>
      <c r="P99" s="727">
        <v>90</v>
      </c>
      <c r="Q99" s="1476">
        <v>90.22</v>
      </c>
      <c r="R99" s="706">
        <v>4466.25</v>
      </c>
      <c r="S99" s="765">
        <f>IF((_xlfn.XLOOKUP(D99,RUC!$B$3:$B$119,RUC!$E$3:$E$119)+ROUNDDOWN(O99,1)*100)&lt;95,95,((_xlfn.XLOOKUP(D99,RUC!$B$3:$B$119,RUC!$E$3:$E$119)+ROUNDDOWN(O99,1)*100)))</f>
        <v>105</v>
      </c>
      <c r="U99" s="1146">
        <f>_xlfn.XLOOKUP(D99,RUC!$B$3:$B$123,RUC!$F$3:$F$123)</f>
        <v>120</v>
      </c>
      <c r="V99" s="715">
        <v>1.1023000000000001</v>
      </c>
      <c r="Y99">
        <f>_xlfn.XLOOKUP(D99,RUC!$B$3:$B$123,RUC!$G$3:$G$123)</f>
        <v>20</v>
      </c>
      <c r="Z99" s="1454">
        <v>35</v>
      </c>
      <c r="AA99" s="144">
        <f t="shared" si="63"/>
        <v>55</v>
      </c>
      <c r="AB99" s="145">
        <f t="shared" si="80"/>
        <v>711.85955292499989</v>
      </c>
      <c r="AC99" s="145">
        <f>+(S99-T99)*V99-'data 1'!$F$4</f>
        <v>35.741500000000002</v>
      </c>
      <c r="AD99" s="145">
        <f t="shared" si="68"/>
        <v>2.371481330624988</v>
      </c>
      <c r="AE99" s="145">
        <f t="shared" si="69"/>
        <v>-9.3734999999999999</v>
      </c>
      <c r="AF99" s="145">
        <f t="shared" si="70"/>
        <v>82.124158935975089</v>
      </c>
      <c r="AG99" s="772">
        <f t="shared" si="84"/>
        <v>127.86364026660007</v>
      </c>
      <c r="AH99" s="1253">
        <f t="shared" si="71"/>
        <v>9.6389999999999993</v>
      </c>
      <c r="AI99" s="1253">
        <f t="shared" si="72"/>
        <v>10.683999999999999</v>
      </c>
      <c r="AJ99" s="156">
        <f t="shared" si="65"/>
        <v>123.90786888187502</v>
      </c>
      <c r="AK99" s="156">
        <f t="shared" si="73"/>
        <v>8.8037676580909494</v>
      </c>
      <c r="AM99" s="716">
        <f t="shared" si="74"/>
        <v>985.92548080112488</v>
      </c>
      <c r="AN99" s="148" t="str">
        <f>_xlfn.XLOOKUP(D99,RUC!$B$3:$B$578,RUC!$M$3:$M$578)</f>
        <v>Ronald Miranda</v>
      </c>
      <c r="AO99" s="1167" t="s">
        <v>2279</v>
      </c>
      <c r="AP99" t="s">
        <v>3491</v>
      </c>
      <c r="AQ99" t="s">
        <v>5113</v>
      </c>
    </row>
    <row r="100" spans="1:44" ht="15" customHeight="1">
      <c r="A100" s="747" t="s">
        <v>5097</v>
      </c>
      <c r="B100" s="1447">
        <v>46110</v>
      </c>
      <c r="C100" s="1447">
        <v>46104</v>
      </c>
      <c r="D100" t="s">
        <v>1484</v>
      </c>
      <c r="E100" s="762">
        <f>_xlfn.XLOOKUP(D100,RUC!$B$3:$B$123,RUC!$D$3:$D$123)</f>
        <v>10761932735</v>
      </c>
      <c r="G100" s="1082">
        <v>95</v>
      </c>
      <c r="H100" s="762" t="s">
        <v>69</v>
      </c>
      <c r="I100" s="703">
        <v>8.51</v>
      </c>
      <c r="J100" s="596">
        <v>12.25</v>
      </c>
      <c r="K100" s="703">
        <f t="shared" si="86"/>
        <v>7.468</v>
      </c>
      <c r="L100" s="1745">
        <v>0.45200000000000001</v>
      </c>
      <c r="M100" s="994">
        <f>+L100-0.035</f>
        <v>0.41700000000000004</v>
      </c>
      <c r="N100" s="1444">
        <v>0.46400000000000002</v>
      </c>
      <c r="O100" s="645">
        <f t="shared" si="85"/>
        <v>0.441</v>
      </c>
      <c r="P100" s="727">
        <v>90</v>
      </c>
      <c r="Q100" s="1476">
        <v>99.56</v>
      </c>
      <c r="R100" s="706">
        <v>4466.25</v>
      </c>
      <c r="S100" s="765">
        <f>IF((_xlfn.XLOOKUP(D100,RUC!$B$3:$B$119,RUC!$E$3:$E$119)+ROUNDDOWN(O100,1)*100)&lt;95,95,((_xlfn.XLOOKUP(D100,RUC!$B$3:$B$119,RUC!$E$3:$E$119)+ROUNDDOWN(O100,1)*100)))</f>
        <v>130</v>
      </c>
      <c r="U100" s="1146">
        <f>_xlfn.XLOOKUP(D100,RUC!$B$3:$B$123,RUC!$F$3:$F$123)</f>
        <v>120</v>
      </c>
      <c r="V100" s="715">
        <v>1.1023000000000001</v>
      </c>
      <c r="Y100">
        <f>_xlfn.XLOOKUP(D100,RUC!$B$3:$B$123,RUC!$G$3:$G$123)</f>
        <v>20</v>
      </c>
      <c r="Z100" s="143">
        <f>_xlfn.XLOOKUP(D100,RUC!$B$3:$B$123,RUC!$H$3:$H$123)</f>
        <v>30</v>
      </c>
      <c r="AA100" s="144">
        <f t="shared" si="63"/>
        <v>50</v>
      </c>
      <c r="AB100" s="145">
        <f t="shared" si="80"/>
        <v>1703.0828487374997</v>
      </c>
      <c r="AC100" s="145">
        <f>+(S100-T100)*V100-'data 1'!$F$4</f>
        <v>63.299000000000007</v>
      </c>
      <c r="AD100" s="145">
        <f t="shared" si="68"/>
        <v>207.01930115940004</v>
      </c>
      <c r="AE100" s="145">
        <f t="shared" si="69"/>
        <v>-14.884999999999998</v>
      </c>
      <c r="AF100" s="145">
        <f t="shared" si="70"/>
        <v>52.467706950450044</v>
      </c>
      <c r="AG100" s="772">
        <f t="shared" si="84"/>
        <v>324.90100810985012</v>
      </c>
      <c r="AH100" s="1253">
        <f t="shared" si="71"/>
        <v>115.22199999999999</v>
      </c>
      <c r="AI100" s="1253">
        <f t="shared" si="72"/>
        <v>115.732</v>
      </c>
      <c r="AJ100" s="156">
        <f t="shared" si="65"/>
        <v>274.68621771460005</v>
      </c>
      <c r="AK100" s="156">
        <f t="shared" si="73"/>
        <v>101.62357702129206</v>
      </c>
      <c r="AM100" s="716">
        <f t="shared" si="74"/>
        <v>12718.622714371648</v>
      </c>
      <c r="AN100" s="148" t="str">
        <f>_xlfn.XLOOKUP(D100,RUC!$B$3:$B$578,RUC!$M$3:$M$578)</f>
        <v>Richard Sapacayo</v>
      </c>
      <c r="AO100" s="1167" t="s">
        <v>2279</v>
      </c>
      <c r="AP100" t="s">
        <v>3783</v>
      </c>
      <c r="AQ100" t="s">
        <v>3332</v>
      </c>
    </row>
    <row r="101" spans="1:44" ht="15" customHeight="1">
      <c r="A101" s="747" t="s">
        <v>5098</v>
      </c>
      <c r="B101" s="1447">
        <v>46110</v>
      </c>
      <c r="C101" s="1447">
        <v>46104</v>
      </c>
      <c r="D101" t="s">
        <v>1484</v>
      </c>
      <c r="E101" s="762">
        <f>_xlfn.XLOOKUP(D101,RUC!$B$3:$B$123,RUC!$D$3:$D$123)</f>
        <v>10761932735</v>
      </c>
      <c r="G101" s="1082">
        <v>150</v>
      </c>
      <c r="H101" s="762" t="s">
        <v>69</v>
      </c>
      <c r="I101" s="703">
        <v>13.44</v>
      </c>
      <c r="J101" s="596">
        <v>15.55</v>
      </c>
      <c r="K101" s="703">
        <f t="shared" si="86"/>
        <v>11.35</v>
      </c>
      <c r="L101" s="1745">
        <v>0.35099999999999998</v>
      </c>
      <c r="M101" s="994">
        <f>+L101-0.035</f>
        <v>0.31599999999999995</v>
      </c>
      <c r="N101" s="1444">
        <v>0.38700000000000001</v>
      </c>
      <c r="O101" s="645">
        <f t="shared" si="85"/>
        <v>0.35199999999999998</v>
      </c>
      <c r="P101" s="727">
        <v>90</v>
      </c>
      <c r="Q101" s="1476">
        <v>98.86</v>
      </c>
      <c r="R101" s="706">
        <v>4466.25</v>
      </c>
      <c r="S101" s="765">
        <f>IF((_xlfn.XLOOKUP(D101,RUC!$B$3:$B$119,RUC!$E$3:$E$119)+ROUNDDOWN(O101,1)*100)&lt;95,95,((_xlfn.XLOOKUP(D101,RUC!$B$3:$B$119,RUC!$E$3:$E$119)+ROUNDDOWN(O101,1)*100)))</f>
        <v>120</v>
      </c>
      <c r="U101" s="1146">
        <f>_xlfn.XLOOKUP(D101,RUC!$B$3:$B$123,RUC!$F$3:$F$123)</f>
        <v>120</v>
      </c>
      <c r="V101" s="715">
        <v>1.1023000000000001</v>
      </c>
      <c r="Y101">
        <f>_xlfn.XLOOKUP(D101,RUC!$B$3:$B$123,RUC!$G$3:$G$123)</f>
        <v>20</v>
      </c>
      <c r="Z101" s="143">
        <f>_xlfn.XLOOKUP(D101,RUC!$B$3:$B$123,RUC!$H$3:$H$123)</f>
        <v>30</v>
      </c>
      <c r="AA101" s="144">
        <f t="shared" si="63"/>
        <v>50</v>
      </c>
      <c r="AB101" s="145">
        <f t="shared" si="80"/>
        <v>1330.3570516000002</v>
      </c>
      <c r="AC101" s="145">
        <f>+(S101-T101)*V101-'data 1'!$F$4</f>
        <v>52.27600000000001</v>
      </c>
      <c r="AD101" s="145">
        <f t="shared" si="68"/>
        <v>148.98939254257496</v>
      </c>
      <c r="AE101" s="145">
        <f t="shared" si="69"/>
        <v>-14.884999999999998</v>
      </c>
      <c r="AF101" s="145">
        <f t="shared" si="70"/>
        <v>-4.7362554413250049</v>
      </c>
      <c r="AG101" s="772">
        <f t="shared" si="84"/>
        <v>198.64413710124998</v>
      </c>
      <c r="AH101" s="1253">
        <f t="shared" si="71"/>
        <v>135.03100000000001</v>
      </c>
      <c r="AI101" s="1253">
        <f t="shared" si="72"/>
        <v>136.58799999999999</v>
      </c>
      <c r="AJ101" s="156">
        <f t="shared" si="65"/>
        <v>211.807468316925</v>
      </c>
      <c r="AK101" s="156">
        <f t="shared" si="73"/>
        <v>123.27928410362399</v>
      </c>
      <c r="AM101" s="716">
        <f t="shared" si="74"/>
        <v>15099.552535660001</v>
      </c>
      <c r="AN101" s="716" t="str">
        <f>_xlfn.XLOOKUP(D101,RUC!$B$3:$B$578,RUC!$M$3:$M$578)</f>
        <v>Richard Sapacayo</v>
      </c>
      <c r="AO101" s="1167" t="s">
        <v>2279</v>
      </c>
      <c r="AP101" t="s">
        <v>3783</v>
      </c>
      <c r="AQ101" t="s">
        <v>3332</v>
      </c>
    </row>
    <row r="102" spans="1:44" ht="15" customHeight="1">
      <c r="A102" s="747" t="s">
        <v>5131</v>
      </c>
      <c r="B102" s="1447">
        <v>46110</v>
      </c>
      <c r="C102" s="1447">
        <v>46105</v>
      </c>
      <c r="D102" t="s">
        <v>4171</v>
      </c>
      <c r="E102" s="762">
        <f>_xlfn.XLOOKUP(D102,RUC!$B$3:$B$123,RUC!$D$3:$D$123)</f>
        <v>20614284740</v>
      </c>
      <c r="G102" s="1082">
        <v>95</v>
      </c>
      <c r="H102" s="762" t="s">
        <v>69</v>
      </c>
      <c r="I102" s="703">
        <v>9.1300000000000008</v>
      </c>
      <c r="J102" s="596">
        <v>4.5</v>
      </c>
      <c r="K102" s="703">
        <f t="shared" si="86"/>
        <v>8.7189999999999994</v>
      </c>
      <c r="L102" s="1745">
        <v>0.34599999999999997</v>
      </c>
      <c r="M102" s="994">
        <f t="shared" ref="M102" si="87">ROUND(+IF(AN102="Melchor Vera",IF(L102&gt;0.467,L102*0.985,(L102-0.007)),IF(L102&gt;0.3,L102*0.94,(L102-0.019))),3)</f>
        <v>0.32500000000000001</v>
      </c>
      <c r="N102" s="1444">
        <v>0.41799999999999998</v>
      </c>
      <c r="O102" s="1669">
        <v>0.35</v>
      </c>
      <c r="P102" s="727">
        <v>90</v>
      </c>
      <c r="Q102" s="1476">
        <v>90.46</v>
      </c>
      <c r="R102" s="706">
        <v>4413.55</v>
      </c>
      <c r="S102" s="765">
        <f>IF((_xlfn.XLOOKUP(D102,RUC!$B$3:$B$119,RUC!$E$3:$E$119)+ROUNDDOWN(O102,1)*100)&lt;95,95,((_xlfn.XLOOKUP(D102,RUC!$B$3:$B$119,RUC!$E$3:$E$119)+ROUNDDOWN(O102,1)*100)))</f>
        <v>120</v>
      </c>
      <c r="U102" s="1146">
        <f>_xlfn.XLOOKUP(D102,RUC!$B$3:$B$123,RUC!$F$3:$F$123)</f>
        <v>120</v>
      </c>
      <c r="V102" s="715">
        <v>1.1023000000000001</v>
      </c>
      <c r="Y102">
        <f>_xlfn.XLOOKUP(D102,RUC!$B$3:$B$123,RUC!$G$3:$G$123)</f>
        <v>20</v>
      </c>
      <c r="Z102" s="143">
        <f>_xlfn.XLOOKUP(D102,RUC!$B$3:$B$123,RUC!$H$3:$H$123)</f>
        <v>30</v>
      </c>
      <c r="AA102" s="144">
        <f t="shared" si="63"/>
        <v>50</v>
      </c>
      <c r="AB102" s="145">
        <f t="shared" si="80"/>
        <v>1303.4347519749999</v>
      </c>
      <c r="AC102" s="145">
        <f>+(S102-T102)*V102-'data 1'!$F$4</f>
        <v>52.27600000000001</v>
      </c>
      <c r="AD102" s="145">
        <f t="shared" si="68"/>
        <v>7.532692910613898</v>
      </c>
      <c r="AE102" s="145">
        <f t="shared" si="69"/>
        <v>-14.884999999999998</v>
      </c>
      <c r="AF102" s="145">
        <f t="shared" si="70"/>
        <v>-17.125091749036017</v>
      </c>
      <c r="AG102" s="772">
        <f t="shared" si="84"/>
        <v>44.798601161577892</v>
      </c>
      <c r="AH102" s="1253">
        <f t="shared" si="71"/>
        <v>93.563999999999993</v>
      </c>
      <c r="AI102" s="1253">
        <f t="shared" si="72"/>
        <v>103.431</v>
      </c>
      <c r="AJ102" s="156">
        <f t="shared" si="65"/>
        <v>209.23170304038595</v>
      </c>
      <c r="AK102" s="156">
        <f t="shared" si="73"/>
        <v>94.164303998504252</v>
      </c>
      <c r="AM102" s="716">
        <f t="shared" si="74"/>
        <v>11364.647602470024</v>
      </c>
      <c r="AN102" s="716" t="str">
        <f>_xlfn.XLOOKUP(D102,RUC!$B$3:$B$578,RUC!$M$3:$M$578)</f>
        <v xml:space="preserve">Dante </v>
      </c>
      <c r="AO102" s="1167" t="s">
        <v>2279</v>
      </c>
      <c r="AP102" t="s">
        <v>4519</v>
      </c>
      <c r="AQ102" t="s">
        <v>3854</v>
      </c>
      <c r="AR102" s="1803" t="s">
        <v>5237</v>
      </c>
    </row>
    <row r="103" spans="1:44" ht="15" customHeight="1">
      <c r="I103" s="703"/>
    </row>
    <row r="104" spans="1:44" ht="15" customHeight="1">
      <c r="O104" s="1212"/>
    </row>
  </sheetData>
  <protectedRanges>
    <protectedRange algorithmName="SHA-512" hashValue="49IjRlHNRZRgWakeMPs+fI+vP0Ygzo4QHeb+/jgFgTLcwN+ISdoLh5ETr28H1Cf0oOQ8Zwil9bS3eLl2kKidEA==" saltValue="VZ5Q4H0ydYPC3E7da6CKtA==" spinCount="100000" sqref="C39:C49 C51" name="FECHA"/>
  </protectedRanges>
  <autoFilter ref="A3:AO102" xr:uid="{00000000-0009-0000-0000-00000C000000}"/>
  <mergeCells count="2">
    <mergeCell ref="AV5:BD5"/>
    <mergeCell ref="AV26:BA26"/>
  </mergeCells>
  <pageMargins left="0.7" right="0.7" top="0.75" bottom="0.75" header="0" footer="0"/>
  <pageSetup paperSize="9" scale="10" fitToHeight="0" orientation="portrait" horizontalDpi="360" verticalDpi="360" r:id="rId1"/>
  <ignoredErrors>
    <ignoredError sqref="O81" formula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1FEA0-31F5-49C9-9BBE-29CA15A7F40F}">
  <sheetPr>
    <tabColor rgb="FF00B050"/>
    <pageSetUpPr fitToPage="1"/>
  </sheetPr>
  <dimension ref="A1:BE117"/>
  <sheetViews>
    <sheetView showGridLines="0" zoomScale="80" zoomScaleNormal="80" workbookViewId="0">
      <pane xSplit="4" ySplit="3" topLeftCell="K4" activePane="bottomRight" state="frozen"/>
      <selection pane="topRight" activeCell="E1" sqref="E1"/>
      <selection pane="bottomLeft" activeCell="A4" sqref="A4"/>
      <selection pane="bottomRight" activeCell="R2" sqref="R2"/>
    </sheetView>
  </sheetViews>
  <sheetFormatPr baseColWidth="10" defaultColWidth="14.44140625" defaultRowHeight="15" customHeight="1"/>
  <cols>
    <col min="1" max="1" width="14.5546875" customWidth="1"/>
    <col min="2" max="2" width="12.33203125" style="1447" customWidth="1"/>
    <col min="3" max="3" width="11.6640625" style="762" customWidth="1"/>
    <col min="4" max="4" width="42.5546875" customWidth="1"/>
    <col min="5" max="5" width="15.88671875" style="762" customWidth="1"/>
    <col min="6" max="6" width="15.33203125" customWidth="1"/>
    <col min="7" max="7" width="12.109375" customWidth="1"/>
    <col min="8" max="8" width="11.44140625" style="762" customWidth="1"/>
    <col min="9" max="10" width="10.332031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7.66406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0.88671875" customWidth="1"/>
    <col min="43" max="43" width="12.6640625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5108.7779999999984</v>
      </c>
      <c r="F1" s="1075" t="s">
        <v>1906</v>
      </c>
      <c r="G1" s="1076">
        <f>+$AM3</f>
        <v>497664.99428944918</v>
      </c>
      <c r="H1" s="1448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D2" s="1075" t="s">
        <v>1907</v>
      </c>
      <c r="E2" s="1076">
        <f>+AH3</f>
        <v>4725.8590000000004</v>
      </c>
      <c r="F2" s="1079" t="s">
        <v>1908</v>
      </c>
      <c r="G2" s="1080">
        <f>+Q2</f>
        <v>92.945633389612325</v>
      </c>
      <c r="H2" s="90"/>
      <c r="I2" s="1251">
        <f>SUBTOTAL(9,I4:I309)</f>
        <v>671.57999999999993</v>
      </c>
      <c r="J2" s="81"/>
      <c r="K2" s="91">
        <f>SUBTOTAL(9,K4:K309)</f>
        <v>626.41099999999949</v>
      </c>
      <c r="L2" s="1202">
        <f>+SUMPRODUCT(L5:L309,K5:K309)/K2</f>
        <v>0.23787490800768207</v>
      </c>
      <c r="M2" s="6"/>
      <c r="O2" s="703"/>
      <c r="P2" s="94">
        <f>+SUMPRODUCT(P4:P309,AH4:AH309)/SUM(AH4:AH309)</f>
        <v>86.382553097754254</v>
      </c>
      <c r="Q2" s="1201">
        <f>+SUMPRODUCT(Q4:Q309,AH4:AH309)/SUM(AH4:AH309)</f>
        <v>92.945633389612325</v>
      </c>
      <c r="R2" s="1151">
        <f>+SUMPRODUCT(R4:R309,AH4:AH309)/SUM(AH4:AH309)</f>
        <v>4634.6077044935082</v>
      </c>
      <c r="S2" s="6"/>
      <c r="AB2" s="83"/>
      <c r="AC2" s="83"/>
      <c r="AD2" s="83"/>
      <c r="AE2" s="83"/>
      <c r="AF2" s="83"/>
      <c r="AG2" s="1209">
        <f>SUMPRODUCT($AG4:$AG309,$K4:$K309)/SUM($K4:$K309)</f>
        <v>178.831916732401</v>
      </c>
      <c r="AH2" s="702"/>
      <c r="AI2" s="631"/>
      <c r="AJ2" s="252">
        <v>4900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1692" t="s">
        <v>39</v>
      </c>
      <c r="C3" s="679" t="s">
        <v>40</v>
      </c>
      <c r="D3" s="1077" t="s">
        <v>41</v>
      </c>
      <c r="E3" s="1078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SUBTOTAL(9,AH4:AH309)</f>
        <v>4725.8590000000004</v>
      </c>
      <c r="AI3" s="1252">
        <f>SUBTOTAL(9,AI4:AI309)</f>
        <v>5108.7779999999984</v>
      </c>
      <c r="AJ3" s="1388">
        <f>SUMPRODUCT(K4:K309,AJ4:AJ309)/K2</f>
        <v>92.032470990725585</v>
      </c>
      <c r="AK3" s="118">
        <f>SUBTOTAL(9,AK4:AK309)</f>
        <v>4212.2435128440484</v>
      </c>
      <c r="AL3" s="88"/>
      <c r="AM3" s="118">
        <f>SUBTOTAL(9,AM4:AM309)</f>
        <v>497664.99428944918</v>
      </c>
      <c r="AN3" s="1182" t="s">
        <v>2247</v>
      </c>
      <c r="AO3" s="1806" t="s">
        <v>2283</v>
      </c>
      <c r="AP3" s="1167" t="s">
        <v>2351</v>
      </c>
      <c r="AQ3" s="1167" t="s">
        <v>2352</v>
      </c>
      <c r="AS3" s="1216"/>
    </row>
    <row r="4" spans="1:56" s="677" customFormat="1" ht="15.75" customHeight="1" thickBot="1">
      <c r="A4" s="720"/>
      <c r="B4" s="1693"/>
      <c r="C4" s="1694"/>
      <c r="D4" s="721"/>
      <c r="E4" s="1764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</row>
    <row r="5" spans="1:56" ht="15" customHeight="1" thickBot="1">
      <c r="A5" s="1491" t="s">
        <v>4310</v>
      </c>
      <c r="C5" s="1447">
        <v>46032</v>
      </c>
      <c r="D5" t="s">
        <v>4315</v>
      </c>
      <c r="E5" s="762">
        <f>_xlfn.XLOOKUP(D5,RUC!$B$3:$B$123,RUC!$D$3:$D$123)</f>
        <v>20614031698</v>
      </c>
      <c r="G5" s="1082">
        <v>18</v>
      </c>
      <c r="H5" s="762" t="s">
        <v>69</v>
      </c>
      <c r="I5" s="703">
        <v>2.0099999999999998</v>
      </c>
      <c r="J5" s="596">
        <v>2.9</v>
      </c>
      <c r="K5" s="703">
        <f t="shared" ref="K5:K55" si="0">ROUND(+I5-(I5*(J5/100)),3)</f>
        <v>1.952</v>
      </c>
      <c r="L5" s="1192">
        <v>8.3000000000000004E-2</v>
      </c>
      <c r="M5" s="994">
        <f t="shared" ref="M5:M18" si="1">ROUND(+IF(AN5="Melchor Vera",IF(L5&gt;0.467,L5*0.985,(L5-0.007)),IF(L5&gt;0.3,L5*0.94,(L5-0.019))),3)</f>
        <v>6.4000000000000001E-2</v>
      </c>
      <c r="N5" s="1196">
        <f t="shared" ref="N5:N10" si="2">+M5</f>
        <v>6.4000000000000001E-2</v>
      </c>
      <c r="O5" s="645">
        <f t="shared" ref="O5:O18" si="3">+ROUND((M5+N5)/2,3)</f>
        <v>6.4000000000000001E-2</v>
      </c>
      <c r="P5" s="727">
        <v>90</v>
      </c>
      <c r="Q5" s="1476">
        <v>96.39</v>
      </c>
      <c r="R5" s="706">
        <v>4493.8500000000004</v>
      </c>
      <c r="S5" s="765">
        <f>IF((_xlfn.XLOOKUP(D5,RUC!$B$3:$B$119,RUC!$E$3:$E$119)+ROUNDDOWN(O5,1)*100)&lt;95,95,((_xlfn.XLOOKUP(D5,RUC!$B$3:$B$119,RUC!$E$3:$E$119)+ROUNDDOWN(O5,1)*100)))</f>
        <v>95</v>
      </c>
      <c r="U5" s="1146">
        <f>_xlfn.XLOOKUP(D5,RUC!$B$3:$B$123,RUC!$F$3:$F$123)</f>
        <v>110</v>
      </c>
      <c r="V5" s="715">
        <v>1.1023000000000001</v>
      </c>
      <c r="Y5">
        <f>_xlfn.XLOOKUP(D5,RUC!$B$3:$B$123,RUC!$G$3:$G$123)</f>
        <v>0</v>
      </c>
      <c r="Z5" s="143">
        <f>_xlfn.XLOOKUP(D5,RUC!$B$3:$B$123,RUC!$H$3:$H$123)</f>
        <v>35</v>
      </c>
      <c r="AA5" s="144">
        <f t="shared" ref="AA5:AA55" si="4">+Y5+Z5</f>
        <v>35</v>
      </c>
      <c r="AB5" s="145">
        <f>+((O5*P5*(R5-U5)/100)-S5-AA5+T5)*V5</f>
        <v>135.04250844800004</v>
      </c>
      <c r="AC5" s="145">
        <f>+(S5-T5)*V5-'data 1'!$F$4</f>
        <v>24.718500000000006</v>
      </c>
      <c r="AD5" s="145">
        <f t="shared" ref="AD5:AD13" si="5">+(Q5-P5)*(R5-U5)*L5*V5/100</f>
        <v>25.629164207563509</v>
      </c>
      <c r="AE5" s="145">
        <f t="shared" ref="AE5:AE13" si="6">+(Y5*V5-70)+V5*(Z5-IF(D5="UNTUCA",IF(+((W5-3)*2.5+(X5-3)*3.1)&gt;0,+((W5-3)*1.5+(X5-3)*3.1),0),IF(+((W5-3)*1.5+(X5-3)*3.1)&gt;0,+((W5-3)*1.5+(X5-3)*3.1),0)))</f>
        <v>-31.419499999999999</v>
      </c>
      <c r="AF5" s="145">
        <f t="shared" ref="AF5:AF13" si="7">(L5-O5)*(R5-U5)*Q5*V5/100</f>
        <v>88.499552428255527</v>
      </c>
      <c r="AG5" s="772">
        <f t="shared" ref="AG5:AG6" si="8">AC5+AD5+AE5+AF5+70</f>
        <v>177.42771663581902</v>
      </c>
      <c r="AH5" s="1253">
        <f t="shared" ref="AH5:AH13" si="9">ROUND((31.1035*L5*Q5*1.1023*K5/100),3)</f>
        <v>5.3540000000000001</v>
      </c>
      <c r="AI5" s="1253">
        <f t="shared" ref="AI5:AI13" si="10">ROUND((31.1035*L5*1.1023*K5),3)</f>
        <v>5.5549999999999997</v>
      </c>
      <c r="AJ5" s="156">
        <f t="shared" ref="AJ5:AJ13" si="11">+((+$AJ$2-R5+U5)*L5*Q5*V5)/100</f>
        <v>45.51827672293647</v>
      </c>
      <c r="AK5" s="156">
        <f t="shared" ref="AK5:AK13" si="12">31.1035*1.1023*K5*P5*O5/100</f>
        <v>3.8548844624793599</v>
      </c>
      <c r="AM5" s="716">
        <f t="shared" ref="AM5:AM13" si="13">+IF(AB5*K5&gt;0,AB5*K5,0)</f>
        <v>263.60297649049608</v>
      </c>
      <c r="AN5" s="716" t="str">
        <f>_xlfn.XLOOKUP(D5,RUC!$B$3:$B$578,RUC!$M$3:$M$578)</f>
        <v>Robinson Tuya</v>
      </c>
      <c r="AO5" s="1167" t="s">
        <v>2279</v>
      </c>
      <c r="AP5" t="s">
        <v>4327</v>
      </c>
      <c r="AQ5" t="s">
        <v>4328</v>
      </c>
      <c r="AU5" s="703"/>
      <c r="AV5" s="1982" t="s">
        <v>5258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1491" t="s">
        <v>4311</v>
      </c>
      <c r="C6" s="1447">
        <v>46032</v>
      </c>
      <c r="D6" t="s">
        <v>4315</v>
      </c>
      <c r="E6" s="762">
        <f>_xlfn.XLOOKUP(D6,RUC!$B$3:$B$123,RUC!$D$3:$D$123)</f>
        <v>20614031698</v>
      </c>
      <c r="G6" s="1082">
        <v>20</v>
      </c>
      <c r="H6" s="762" t="s">
        <v>69</v>
      </c>
      <c r="I6" s="703">
        <v>2.3199999999999998</v>
      </c>
      <c r="J6" s="596">
        <v>2</v>
      </c>
      <c r="K6" s="703">
        <f t="shared" si="0"/>
        <v>2.274</v>
      </c>
      <c r="L6" s="1192">
        <v>7.8E-2</v>
      </c>
      <c r="M6" s="994">
        <f t="shared" si="1"/>
        <v>5.8999999999999997E-2</v>
      </c>
      <c r="N6" s="1196">
        <f t="shared" si="2"/>
        <v>5.8999999999999997E-2</v>
      </c>
      <c r="O6" s="645">
        <f t="shared" si="3"/>
        <v>5.8999999999999997E-2</v>
      </c>
      <c r="P6" s="727">
        <v>90</v>
      </c>
      <c r="Q6" s="1476">
        <v>92.31</v>
      </c>
      <c r="R6" s="706">
        <v>4493.8500000000004</v>
      </c>
      <c r="S6" s="765">
        <f>IF((_xlfn.XLOOKUP(D6,RUC!$B$3:$B$119,RUC!$E$3:$E$119)+ROUNDDOWN(O6,1)*100)&lt;95,95,((_xlfn.XLOOKUP(D6,RUC!$B$3:$B$119,RUC!$E$3:$E$119)+ROUNDDOWN(O6,1)*100)))</f>
        <v>95</v>
      </c>
      <c r="U6" s="1146">
        <f>_xlfn.XLOOKUP(D6,RUC!$B$3:$B$123,RUC!$F$3:$F$123)</f>
        <v>110</v>
      </c>
      <c r="V6" s="715">
        <v>1.1023000000000001</v>
      </c>
      <c r="Y6">
        <f>_xlfn.XLOOKUP(D6,RUC!$B$3:$B$123,RUC!$G$3:$G$123)</f>
        <v>0</v>
      </c>
      <c r="Z6" s="143">
        <f>_xlfn.XLOOKUP(D6,RUC!$B$3:$B$123,RUC!$H$3:$H$123)</f>
        <v>35</v>
      </c>
      <c r="AA6" s="144">
        <f t="shared" si="4"/>
        <v>35</v>
      </c>
      <c r="AB6" s="145">
        <f>+((O6*P6*(R6-U6)/100)-S6-AA6+T6)*V6</f>
        <v>113.2970781005</v>
      </c>
      <c r="AC6" s="145">
        <f>+(S6-T6)*V6-'data 1'!$F$4</f>
        <v>24.718500000000006</v>
      </c>
      <c r="AD6" s="145">
        <f t="shared" si="5"/>
        <v>8.70687031113901</v>
      </c>
      <c r="AE6" s="145">
        <f t="shared" si="6"/>
        <v>-31.419499999999999</v>
      </c>
      <c r="AF6" s="145">
        <f t="shared" si="7"/>
        <v>84.753539627059524</v>
      </c>
      <c r="AG6" s="772">
        <f t="shared" si="8"/>
        <v>156.75940993819853</v>
      </c>
      <c r="AH6" s="1253">
        <f t="shared" si="9"/>
        <v>5.6139999999999999</v>
      </c>
      <c r="AI6" s="1253">
        <f t="shared" si="10"/>
        <v>6.0810000000000004</v>
      </c>
      <c r="AJ6" s="156">
        <f t="shared" si="11"/>
        <v>40.965578553860979</v>
      </c>
      <c r="AK6" s="156">
        <f t="shared" si="12"/>
        <v>4.1399400358046705</v>
      </c>
      <c r="AM6" s="716">
        <f t="shared" si="13"/>
        <v>257.63755560053698</v>
      </c>
      <c r="AN6" s="716" t="str">
        <f>_xlfn.XLOOKUP(D6,RUC!$B$3:$B$578,RUC!$M$3:$M$578)</f>
        <v>Robinson Tuya</v>
      </c>
      <c r="AO6" s="1167" t="s">
        <v>2279</v>
      </c>
      <c r="AP6" t="s">
        <v>4327</v>
      </c>
      <c r="AQ6" t="s">
        <v>4328</v>
      </c>
      <c r="AV6" s="1636"/>
      <c r="AW6" s="1636"/>
      <c r="AX6" s="1636"/>
      <c r="AY6" s="1636"/>
      <c r="AZ6" s="1636"/>
      <c r="BA6" s="1636"/>
      <c r="BB6" s="1636"/>
      <c r="BC6" s="1636"/>
      <c r="BD6" s="1636"/>
    </row>
    <row r="7" spans="1:56" ht="15" customHeight="1">
      <c r="A7" s="1491" t="s">
        <v>4581</v>
      </c>
      <c r="B7" s="1447">
        <v>46057</v>
      </c>
      <c r="C7" s="1447">
        <v>46052</v>
      </c>
      <c r="D7" t="s">
        <v>4499</v>
      </c>
      <c r="E7" s="762">
        <f>_xlfn.XLOOKUP(D7,RUC!$B$3:$B$123,RUC!$D$3:$D$123)</f>
        <v>20606480840</v>
      </c>
      <c r="G7" s="762">
        <v>8</v>
      </c>
      <c r="H7" s="762" t="s">
        <v>69</v>
      </c>
      <c r="I7" s="703">
        <v>0.59</v>
      </c>
      <c r="J7" s="596">
        <v>1.1000000000000001</v>
      </c>
      <c r="K7" s="703">
        <f t="shared" si="0"/>
        <v>0.58399999999999996</v>
      </c>
      <c r="L7" s="1192">
        <v>8.4000000000000005E-2</v>
      </c>
      <c r="M7" s="994">
        <f t="shared" si="1"/>
        <v>6.5000000000000002E-2</v>
      </c>
      <c r="N7" s="1196">
        <f t="shared" si="2"/>
        <v>6.5000000000000002E-2</v>
      </c>
      <c r="O7" s="645">
        <f t="shared" si="3"/>
        <v>6.5000000000000002E-2</v>
      </c>
      <c r="P7" s="727">
        <v>80</v>
      </c>
      <c r="Q7" s="1476">
        <v>96.43</v>
      </c>
      <c r="R7" s="706">
        <v>4981.8500000000004</v>
      </c>
      <c r="S7" s="765">
        <f>IF((_xlfn.XLOOKUP(D7,RUC!$B$3:$B$119,RUC!$E$3:$E$119)+ROUNDDOWN(O7,1)*100)&lt;95,95,((_xlfn.XLOOKUP(D7,RUC!$B$3:$B$119,RUC!$E$3:$E$119)+ROUNDDOWN(O7,1)*100)))</f>
        <v>95</v>
      </c>
      <c r="U7" s="1146">
        <f>_xlfn.XLOOKUP(D7,RUC!$B$3:$B$123,RUC!$F$3:$F$123)</f>
        <v>110</v>
      </c>
      <c r="V7" s="715">
        <v>1.1023000000000001</v>
      </c>
      <c r="Y7">
        <f>_xlfn.XLOOKUP(D7,RUC!$B$3:$B$123,RUC!$G$3:$G$123)</f>
        <v>0</v>
      </c>
      <c r="Z7" s="143">
        <f>_xlfn.XLOOKUP(D7,RUC!$B$3:$B$123,RUC!$H$3:$H$123)</f>
        <v>35</v>
      </c>
      <c r="AA7" s="144">
        <f t="shared" si="4"/>
        <v>35</v>
      </c>
      <c r="AB7" s="145">
        <v>1E-3</v>
      </c>
      <c r="AC7" s="145">
        <f>+(S7-T7)*V7-'data 1'!$F$4</f>
        <v>24.718500000000006</v>
      </c>
      <c r="AD7" s="145">
        <f t="shared" si="5"/>
        <v>74.115759807306034</v>
      </c>
      <c r="AE7" s="145">
        <f t="shared" si="6"/>
        <v>-31.419499999999999</v>
      </c>
      <c r="AF7" s="145">
        <f t="shared" si="7"/>
        <v>98.391930880033541</v>
      </c>
      <c r="AG7" s="772">
        <f>AC7+AD7+AE7+AF7+70-53+135.95</f>
        <v>318.75669068733959</v>
      </c>
      <c r="AH7" s="1253">
        <f t="shared" si="9"/>
        <v>1.6220000000000001</v>
      </c>
      <c r="AI7" s="1253">
        <f t="shared" si="10"/>
        <v>1.6819999999999999</v>
      </c>
      <c r="AJ7" s="156">
        <f t="shared" si="11"/>
        <v>2.5134465806939676</v>
      </c>
      <c r="AK7" s="156">
        <f t="shared" si="12"/>
        <v>1.0411786643023999</v>
      </c>
      <c r="AM7" s="716">
        <f t="shared" si="13"/>
        <v>5.8399999999999999E-4</v>
      </c>
      <c r="AN7" s="716" t="str">
        <f>_xlfn.XLOOKUP(D7,RUC!$B$3:$B$578,RUC!$M$3:$M$578)</f>
        <v>Robinson Tuya</v>
      </c>
      <c r="AO7" s="1167" t="s">
        <v>2278</v>
      </c>
      <c r="AP7" t="s">
        <v>2745</v>
      </c>
      <c r="AQ7" t="s">
        <v>3406</v>
      </c>
      <c r="AW7" s="1469">
        <f>SUM(AW9:AW18)</f>
        <v>626.41100000000006</v>
      </c>
      <c r="AX7" s="1470">
        <f>SUMPRODUCT(AW9:AW18,AX9:AX18)/SUM(AW9:AW18)</f>
        <v>0.2378749080076818</v>
      </c>
      <c r="AY7" s="704"/>
      <c r="AZ7" s="1471">
        <f ca="1">SUMPRODUCT(AZ9:AZ18,$BB9:$BB18)/SUM($BB9:$BB18)/100</f>
        <v>0.92945633389612337</v>
      </c>
      <c r="BA7" s="707">
        <f>SUM(BA9:BA18)</f>
        <v>5108.7785541594658</v>
      </c>
      <c r="BB7" s="707">
        <f ca="1">SUM(BB9:BB18)</f>
        <v>4725.8590000000004</v>
      </c>
    </row>
    <row r="8" spans="1:56" ht="15" customHeight="1" thickBot="1">
      <c r="A8" s="1491" t="s">
        <v>4658</v>
      </c>
      <c r="C8" s="1447">
        <v>46058</v>
      </c>
      <c r="D8" t="s">
        <v>4499</v>
      </c>
      <c r="E8" s="762">
        <f>_xlfn.XLOOKUP(D8,RUC!$B$3:$B$123,RUC!$D$3:$D$123)</f>
        <v>20606480840</v>
      </c>
      <c r="G8" s="762">
        <v>160</v>
      </c>
      <c r="H8" s="762" t="s">
        <v>69</v>
      </c>
      <c r="I8" s="703">
        <v>13.69</v>
      </c>
      <c r="J8" s="596">
        <v>2.0499999999999998</v>
      </c>
      <c r="K8" s="703">
        <f t="shared" si="0"/>
        <v>13.409000000000001</v>
      </c>
      <c r="L8" s="1192">
        <v>9.0999999999999998E-2</v>
      </c>
      <c r="M8" s="994">
        <f t="shared" si="1"/>
        <v>7.1999999999999995E-2</v>
      </c>
      <c r="N8" s="1196">
        <f t="shared" si="2"/>
        <v>7.1999999999999995E-2</v>
      </c>
      <c r="O8" s="645">
        <f t="shared" si="3"/>
        <v>7.1999999999999995E-2</v>
      </c>
      <c r="P8" s="727">
        <v>90</v>
      </c>
      <c r="Q8" s="1476">
        <v>96.7</v>
      </c>
      <c r="R8" s="706">
        <v>4847.25</v>
      </c>
      <c r="S8" s="765">
        <f>IF((_xlfn.XLOOKUP(D8,RUC!$B$3:$B$119,RUC!$E$3:$E$119)+ROUNDDOWN(O8,1)*100)&lt;95,95,((_xlfn.XLOOKUP(D8,RUC!$B$3:$B$119,RUC!$E$3:$E$119)+ROUNDDOWN(O8,1)*100)))</f>
        <v>95</v>
      </c>
      <c r="U8" s="1146">
        <f>_xlfn.XLOOKUP(D8,RUC!$B$3:$B$123,RUC!$F$3:$F$123)</f>
        <v>110</v>
      </c>
      <c r="V8" s="715">
        <v>1.1023000000000001</v>
      </c>
      <c r="Y8">
        <f>_xlfn.XLOOKUP(D8,RUC!$B$3:$B$123,RUC!$G$3:$G$123)</f>
        <v>0</v>
      </c>
      <c r="Z8" s="143">
        <f>_xlfn.XLOOKUP(D8,RUC!$B$3:$B$123,RUC!$H$3:$H$123)</f>
        <v>35</v>
      </c>
      <c r="AA8" s="144">
        <f t="shared" si="4"/>
        <v>35</v>
      </c>
      <c r="AB8" s="145">
        <f>+((O8*P8*(R8-U8)/100)-S8-AA8+T8)*V8</f>
        <v>195.07821973999998</v>
      </c>
      <c r="AC8" s="145">
        <f>+(S8-T8)*V8-'data 1'!$F$4</f>
        <v>24.718500000000006</v>
      </c>
      <c r="AD8" s="145">
        <f t="shared" si="5"/>
        <v>31.837745505475013</v>
      </c>
      <c r="AE8" s="145">
        <f t="shared" si="6"/>
        <v>-31.419499999999999</v>
      </c>
      <c r="AF8" s="145">
        <f t="shared" si="7"/>
        <v>95.941429911775032</v>
      </c>
      <c r="AG8" s="772">
        <f t="shared" ref="AG8:AG9" si="14">AC8+AD8+AE8+AF8+70-10</f>
        <v>181.07817541725007</v>
      </c>
      <c r="AH8" s="1253">
        <f t="shared" si="9"/>
        <v>40.454999999999998</v>
      </c>
      <c r="AI8" s="1253">
        <f t="shared" si="10"/>
        <v>41.835999999999999</v>
      </c>
      <c r="AJ8" s="156">
        <f t="shared" si="11"/>
        <v>15.786602402025</v>
      </c>
      <c r="AK8" s="156">
        <f t="shared" si="12"/>
        <v>29.790683389886759</v>
      </c>
      <c r="AM8" s="716">
        <f t="shared" si="13"/>
        <v>2615.8038484936596</v>
      </c>
      <c r="AN8" s="716" t="str">
        <f>_xlfn.XLOOKUP(D8,RUC!$B$3:$B$578,RUC!$M$3:$M$578)</f>
        <v>Robinson Tuya</v>
      </c>
      <c r="AO8" s="1167" t="s">
        <v>2280</v>
      </c>
      <c r="AP8" t="s">
        <v>4687</v>
      </c>
      <c r="AQ8" t="s">
        <v>4688</v>
      </c>
      <c r="AV8" s="762"/>
      <c r="AW8" s="762" t="s">
        <v>15</v>
      </c>
      <c r="AX8" s="762" t="s">
        <v>2522</v>
      </c>
      <c r="AY8" s="1214" t="s">
        <v>2522</v>
      </c>
      <c r="AZ8" s="762" t="s">
        <v>2523</v>
      </c>
      <c r="BA8" s="762" t="s">
        <v>2558</v>
      </c>
      <c r="BB8" s="762" t="s">
        <v>2559</v>
      </c>
      <c r="BC8" s="1555" t="s">
        <v>2565</v>
      </c>
      <c r="BD8" s="729" t="s">
        <v>2579</v>
      </c>
    </row>
    <row r="9" spans="1:56" ht="15" customHeight="1">
      <c r="A9" s="1491" t="s">
        <v>4659</v>
      </c>
      <c r="C9" s="1447">
        <v>46058</v>
      </c>
      <c r="D9" t="s">
        <v>4499</v>
      </c>
      <c r="E9" s="762">
        <f>_xlfn.XLOOKUP(D9,RUC!$B$3:$B$123,RUC!$D$3:$D$123)</f>
        <v>20606480840</v>
      </c>
      <c r="G9" s="762">
        <v>150</v>
      </c>
      <c r="H9" s="762" t="s">
        <v>69</v>
      </c>
      <c r="I9" s="703">
        <v>13.63</v>
      </c>
      <c r="J9" s="596">
        <v>2</v>
      </c>
      <c r="K9" s="703">
        <f t="shared" si="0"/>
        <v>13.356999999999999</v>
      </c>
      <c r="L9" s="1192">
        <v>8.5999999999999993E-2</v>
      </c>
      <c r="M9" s="994">
        <f t="shared" si="1"/>
        <v>6.7000000000000004E-2</v>
      </c>
      <c r="N9" s="1196">
        <f t="shared" si="2"/>
        <v>6.7000000000000004E-2</v>
      </c>
      <c r="O9" s="645">
        <f t="shared" si="3"/>
        <v>6.7000000000000004E-2</v>
      </c>
      <c r="P9" s="727">
        <v>90</v>
      </c>
      <c r="Q9" s="1476">
        <v>93.02</v>
      </c>
      <c r="R9" s="706">
        <v>4847.25</v>
      </c>
      <c r="S9" s="765">
        <f>IF((_xlfn.XLOOKUP(D9,RUC!$B$3:$B$119,RUC!$E$3:$E$119)+ROUNDDOWN(O9,1)*100)&lt;95,95,((_xlfn.XLOOKUP(D9,RUC!$B$3:$B$119,RUC!$E$3:$E$119)+ROUNDDOWN(O9,1)*100)))</f>
        <v>95</v>
      </c>
      <c r="U9" s="1146">
        <f>_xlfn.XLOOKUP(D9,RUC!$B$3:$B$123,RUC!$F$3:$F$123)</f>
        <v>110</v>
      </c>
      <c r="V9" s="715">
        <v>1.1023000000000001</v>
      </c>
      <c r="Y9">
        <f>_xlfn.XLOOKUP(D9,RUC!$B$3:$B$123,RUC!$G$3:$G$123)</f>
        <v>0</v>
      </c>
      <c r="Z9" s="143">
        <f>_xlfn.XLOOKUP(D9,RUC!$B$3:$B$123,RUC!$H$3:$H$123)</f>
        <v>35</v>
      </c>
      <c r="AA9" s="144">
        <f t="shared" si="4"/>
        <v>35</v>
      </c>
      <c r="AB9" s="145">
        <f>+((O9*P9*(R9-U9)/100)-S9-AA9+T9)*V9</f>
        <v>171.57980170250002</v>
      </c>
      <c r="AC9" s="145">
        <f>+(S9-T9)*V9-'data 1'!$F$4</f>
        <v>24.718500000000006</v>
      </c>
      <c r="AD9" s="145">
        <f t="shared" si="5"/>
        <v>13.562242517109983</v>
      </c>
      <c r="AE9" s="145">
        <f t="shared" si="6"/>
        <v>-31.419499999999999</v>
      </c>
      <c r="AF9" s="145">
        <f t="shared" si="7"/>
        <v>92.290297935814948</v>
      </c>
      <c r="AG9" s="772">
        <f t="shared" si="14"/>
        <v>159.15154045292493</v>
      </c>
      <c r="AH9" s="1253">
        <f t="shared" si="9"/>
        <v>36.634999999999998</v>
      </c>
      <c r="AI9" s="1253">
        <f t="shared" si="10"/>
        <v>39.384</v>
      </c>
      <c r="AJ9" s="156">
        <f t="shared" si="11"/>
        <v>14.351443681889998</v>
      </c>
      <c r="AK9" s="156">
        <f t="shared" si="12"/>
        <v>27.614380669486152</v>
      </c>
      <c r="AM9" s="716">
        <f t="shared" si="13"/>
        <v>2291.7914113402926</v>
      </c>
      <c r="AN9" s="716" t="str">
        <f>_xlfn.XLOOKUP(D9,RUC!$B$3:$B$578,RUC!$M$3:$M$578)</f>
        <v>Robinson Tuya</v>
      </c>
      <c r="AO9" s="1167" t="s">
        <v>2280</v>
      </c>
      <c r="AP9" t="s">
        <v>4687</v>
      </c>
      <c r="AQ9" t="s">
        <v>4688</v>
      </c>
      <c r="AV9" s="1556" t="s">
        <v>2277</v>
      </c>
      <c r="AW9" s="1227">
        <f t="shared" ref="AW9:AW18" si="15">SUMIF($AO$4:$AO$417,AV9,$K$4:$K$417)</f>
        <v>164.97000000000003</v>
      </c>
      <c r="AX9" s="1227" cm="1">
        <f t="array" ref="AX9">+SUMPRODUCT(IF($AO$4:$AO$417=AV9,$L$4:$L$417*$K$4:$K$417/AW9))</f>
        <v>0.23288403346062914</v>
      </c>
      <c r="AY9" s="1228">
        <f t="shared" ref="AY9:AY18" si="16">31.1035*1.1023*AX9*(100-AZ9)/100</f>
        <v>0.44891922092223768</v>
      </c>
      <c r="AZ9" s="1229" cm="1">
        <f t="array" ref="AZ9">+SUMPRODUCT(IF($AO$4:$AO$417=AV9,($Q$4:$Q$417*$AH$4:$AH$417)/SUMIF($AO$4:$AO$417,$AV9,$AH$4:$AH$417)))</f>
        <v>94.377630071637455</v>
      </c>
      <c r="BA9" s="1441">
        <f t="shared" ref="BA9:BA18" si="17">+AX9*31.1035*1.1023*AW9</f>
        <v>1317.2061749609959</v>
      </c>
      <c r="BB9" s="1230">
        <f t="shared" ref="BB9:BB17" ca="1" si="18">SUMIF($AO$4:$AO$407,$AV9,$AH$4:$AH$6)</f>
        <v>1240.9700000000005</v>
      </c>
      <c r="BC9" s="1229">
        <f ca="1">+BA9-BB9</f>
        <v>76.236174960995413</v>
      </c>
      <c r="BD9" s="1231">
        <f>+AW9</f>
        <v>164.97000000000003</v>
      </c>
    </row>
    <row r="10" spans="1:56" ht="15" customHeight="1">
      <c r="A10" s="1491" t="s">
        <v>4660</v>
      </c>
      <c r="B10" s="1542">
        <v>46066</v>
      </c>
      <c r="C10" s="1447">
        <v>46058</v>
      </c>
      <c r="D10" t="s">
        <v>93</v>
      </c>
      <c r="E10" s="762">
        <f>_xlfn.XLOOKUP(D10,RUC!$B$3:$B$123,RUC!$D$3:$D$123)</f>
        <v>20169040231</v>
      </c>
      <c r="G10" s="762">
        <v>54</v>
      </c>
      <c r="H10" s="762" t="s">
        <v>69</v>
      </c>
      <c r="I10" s="703">
        <v>4.87</v>
      </c>
      <c r="J10" s="596">
        <v>2.04</v>
      </c>
      <c r="K10" s="703">
        <f t="shared" si="0"/>
        <v>4.7709999999999999</v>
      </c>
      <c r="L10" s="1192">
        <v>0.104</v>
      </c>
      <c r="M10" s="994">
        <f t="shared" si="1"/>
        <v>8.5000000000000006E-2</v>
      </c>
      <c r="N10" s="1196">
        <f t="shared" si="2"/>
        <v>8.5000000000000006E-2</v>
      </c>
      <c r="O10" s="645">
        <f t="shared" si="3"/>
        <v>8.5000000000000006E-2</v>
      </c>
      <c r="P10" s="727">
        <v>80</v>
      </c>
      <c r="Q10" s="1476">
        <v>85.58</v>
      </c>
      <c r="R10" s="706">
        <v>4847.25</v>
      </c>
      <c r="S10" s="765">
        <f>IF((_xlfn.XLOOKUP(D10,RUC!$B$3:$B$119,RUC!$E$3:$E$119)+ROUNDDOWN(O10,1)*100)&lt;95,95,((_xlfn.XLOOKUP(D10,RUC!$B$3:$B$119,RUC!$E$3:$E$119)+ROUNDDOWN(O10,1)*100)))</f>
        <v>95</v>
      </c>
      <c r="U10" s="1146">
        <f>_xlfn.XLOOKUP(D10,RUC!$B$3:$B$123,RUC!$F$3:$F$123)</f>
        <v>120</v>
      </c>
      <c r="V10" s="715">
        <v>1.1023000000000001</v>
      </c>
      <c r="Y10" s="1445">
        <v>25</v>
      </c>
      <c r="Z10" s="1454">
        <v>35</v>
      </c>
      <c r="AA10" s="144">
        <f t="shared" si="4"/>
        <v>60</v>
      </c>
      <c r="AB10" s="145">
        <v>1E-3</v>
      </c>
      <c r="AC10" s="145">
        <f>+(S10-T10)*V10-'data 1'!$F$4</f>
        <v>24.718500000000006</v>
      </c>
      <c r="AD10" s="145">
        <f t="shared" si="5"/>
        <v>30.239591227559991</v>
      </c>
      <c r="AE10" s="145">
        <f t="shared" si="6"/>
        <v>-3.8619999999999948</v>
      </c>
      <c r="AF10" s="145">
        <f t="shared" si="7"/>
        <v>84.729425365034956</v>
      </c>
      <c r="AG10" s="772">
        <f>AC10+AD10+AE10+AF10+70-53+183.48</f>
        <v>336.30551659259493</v>
      </c>
      <c r="AH10" s="1253">
        <f t="shared" si="9"/>
        <v>14.558999999999999</v>
      </c>
      <c r="AI10" s="1253">
        <f t="shared" si="10"/>
        <v>17.012</v>
      </c>
      <c r="AJ10" s="156">
        <f t="shared" si="11"/>
        <v>16.948196276439997</v>
      </c>
      <c r="AK10" s="156">
        <f t="shared" si="12"/>
        <v>11.1231398742854</v>
      </c>
      <c r="AM10" s="716">
        <f t="shared" si="13"/>
        <v>4.7710000000000001E-3</v>
      </c>
      <c r="AN10" s="716" t="str">
        <f>_xlfn.XLOOKUP(D10,RUC!$B$3:$B$578,RUC!$M$3:$M$578)</f>
        <v>Ronald Miranda</v>
      </c>
      <c r="AO10" s="1167" t="s">
        <v>2279</v>
      </c>
      <c r="AP10" t="s">
        <v>4689</v>
      </c>
      <c r="AQ10" t="s">
        <v>4690</v>
      </c>
      <c r="AV10" s="1557" t="s">
        <v>2278</v>
      </c>
      <c r="AW10" s="703">
        <f t="shared" si="15"/>
        <v>166.70199999999997</v>
      </c>
      <c r="AX10" s="703" cm="1">
        <f t="array" ref="AX10">+SUMPRODUCT(IF($AO$4:$AO$417=AV10,$L$4:$L$417*$K$4:$K$417/AW10))</f>
        <v>0.23331760866696261</v>
      </c>
      <c r="AY10" s="1215">
        <f t="shared" si="16"/>
        <v>0.62639664784840088</v>
      </c>
      <c r="AZ10" s="596" cm="1">
        <f t="array" ref="AZ10">+SUMPRODUCT(IF($AO$4:$AO$417=AV10,($Q$4:$Q$417*$AH$4:$AH$417)/SUMIF($AO$4:$AO$417,$AV10,$AH$4:$AH$417)))</f>
        <v>92.169439684867299</v>
      </c>
      <c r="BA10" s="1481">
        <f t="shared" si="17"/>
        <v>1333.5134369353814</v>
      </c>
      <c r="BB10" s="1237">
        <f t="shared" ca="1" si="18"/>
        <v>1219.2960000000005</v>
      </c>
      <c r="BC10" s="596">
        <f t="shared" ref="BC10:BC18" ca="1" si="19">+BC9+BA10-BB10</f>
        <v>190.45361189637629</v>
      </c>
      <c r="BD10" s="1238">
        <f t="shared" ref="BD10:BD18" si="20">+BD9+AW10</f>
        <v>331.67200000000003</v>
      </c>
    </row>
    <row r="11" spans="1:56" ht="15" customHeight="1">
      <c r="A11" s="747" t="s">
        <v>4667</v>
      </c>
      <c r="B11" s="1447">
        <v>46071</v>
      </c>
      <c r="C11" s="1447">
        <v>46058</v>
      </c>
      <c r="D11" t="s">
        <v>1484</v>
      </c>
      <c r="E11" s="762">
        <f>_xlfn.XLOOKUP(D11,RUC!$B$3:$B$123,RUC!$D$3:$D$123)</f>
        <v>10761932735</v>
      </c>
      <c r="G11" s="762" t="s">
        <v>2985</v>
      </c>
      <c r="H11" s="762" t="s">
        <v>69</v>
      </c>
      <c r="I11" s="703">
        <v>36</v>
      </c>
      <c r="J11" s="596">
        <v>7.45</v>
      </c>
      <c r="K11" s="703">
        <f t="shared" si="0"/>
        <v>33.317999999999998</v>
      </c>
      <c r="L11" s="1192">
        <v>0.13100000000000001</v>
      </c>
      <c r="M11" s="994">
        <f t="shared" si="1"/>
        <v>0.112</v>
      </c>
      <c r="N11" s="1480">
        <v>0.16600000000000001</v>
      </c>
      <c r="O11" s="645">
        <f t="shared" si="3"/>
        <v>0.13900000000000001</v>
      </c>
      <c r="P11" s="727">
        <v>80</v>
      </c>
      <c r="Q11" s="1476">
        <v>99.24</v>
      </c>
      <c r="R11" s="706">
        <v>4847.25</v>
      </c>
      <c r="S11" s="765">
        <f>IF((_xlfn.XLOOKUP(D11,RUC!$B$3:$B$119,RUC!$E$3:$E$119)+ROUNDDOWN(O11,1)*100)&lt;95,95,((_xlfn.XLOOKUP(D11,RUC!$B$3:$B$119,RUC!$E$3:$E$119)+ROUNDDOWN(O11,1)*100)))</f>
        <v>100</v>
      </c>
      <c r="U11" s="1146">
        <f>_xlfn.XLOOKUP(D11,RUC!$B$3:$B$123,RUC!$F$3:$F$123)</f>
        <v>120</v>
      </c>
      <c r="V11" s="715">
        <v>1.1023000000000001</v>
      </c>
      <c r="Y11" s="1445">
        <v>40</v>
      </c>
      <c r="Z11" s="143">
        <f>_xlfn.XLOOKUP(D11,RUC!$B$3:$B$123,RUC!$H$3:$H$123)</f>
        <v>30</v>
      </c>
      <c r="AA11" s="144">
        <f t="shared" si="4"/>
        <v>70</v>
      </c>
      <c r="AB11" s="145">
        <f t="shared" ref="AB11:AB12" si="21">+((O11*P11*(R11-U11)/100)-S11-AA11+T11)*V11</f>
        <v>392.05526146000005</v>
      </c>
      <c r="AC11" s="145">
        <f>+(S11-T11)*V11-'data 1'!$F$4</f>
        <v>30.230000000000004</v>
      </c>
      <c r="AD11" s="145">
        <f t="shared" si="5"/>
        <v>131.33628913977</v>
      </c>
      <c r="AE11" s="145">
        <f t="shared" si="6"/>
        <v>7.1610000000000014</v>
      </c>
      <c r="AF11" s="145">
        <f t="shared" si="7"/>
        <v>-41.369961861360032</v>
      </c>
      <c r="AG11" s="772">
        <f t="shared" ref="AG11:AG12" si="22">AC11+AD11+AE11+AF11+70-53</f>
        <v>144.35732727840997</v>
      </c>
      <c r="AH11" s="1253">
        <f t="shared" si="9"/>
        <v>148.50700000000001</v>
      </c>
      <c r="AI11" s="1253">
        <f t="shared" si="10"/>
        <v>149.64400000000001</v>
      </c>
      <c r="AJ11" s="156">
        <f t="shared" si="11"/>
        <v>24.755740108229997</v>
      </c>
      <c r="AK11" s="156">
        <f t="shared" si="12"/>
        <v>127.02604616634888</v>
      </c>
      <c r="AM11" s="716">
        <f t="shared" si="13"/>
        <v>13062.49720132428</v>
      </c>
      <c r="AN11" s="716" t="str">
        <f>_xlfn.XLOOKUP(D11,RUC!$B$3:$B$578,RUC!$M$3:$M$578)</f>
        <v>Richard Sapacayo</v>
      </c>
      <c r="AO11" s="1167" t="s">
        <v>2277</v>
      </c>
      <c r="AP11" t="s">
        <v>4691</v>
      </c>
      <c r="AQ11" t="s">
        <v>4692</v>
      </c>
      <c r="AV11" s="1557" t="s">
        <v>2280</v>
      </c>
      <c r="AW11" s="703">
        <f t="shared" si="15"/>
        <v>153.84299999999999</v>
      </c>
      <c r="AX11" s="703" cm="1">
        <f t="array" ref="AX11">+SUMPRODUCT(IF($AO$4:$AO$417=AV11,$L$4:$L$417*$K$4:$K$417/AW11))</f>
        <v>0.2426759488569516</v>
      </c>
      <c r="AY11" s="1215">
        <f t="shared" si="16"/>
        <v>0.51273592255122691</v>
      </c>
      <c r="AZ11" s="596" cm="1">
        <f t="array" ref="AZ11">+SUMPRODUCT(IF($AO$4:$AO$417=AV11,($Q$4:$Q$417*$AH$4:$AH$417)/SUMIF($AO$4:$AO$417,$AV11,$AH$4:$AH$417)))</f>
        <v>93.837485704336146</v>
      </c>
      <c r="BA11" s="1237">
        <f t="shared" si="17"/>
        <v>1280.0105403171481</v>
      </c>
      <c r="BB11" s="1237">
        <f t="shared" ca="1" si="18"/>
        <v>1194.5929999999998</v>
      </c>
      <c r="BC11" s="596">
        <f t="shared" ca="1" si="19"/>
        <v>275.87115221352451</v>
      </c>
      <c r="BD11" s="1238">
        <f t="shared" si="20"/>
        <v>485.51499999999999</v>
      </c>
    </row>
    <row r="12" spans="1:56" ht="15" customHeight="1">
      <c r="A12" s="747" t="s">
        <v>4670</v>
      </c>
      <c r="B12" s="1447">
        <v>46066</v>
      </c>
      <c r="C12" s="1447">
        <v>46058</v>
      </c>
      <c r="D12" t="s">
        <v>1484</v>
      </c>
      <c r="E12" s="762">
        <f>_xlfn.XLOOKUP(D12,RUC!$B$3:$B$123,RUC!$D$3:$D$123)</f>
        <v>10761932735</v>
      </c>
      <c r="G12" s="762">
        <v>150</v>
      </c>
      <c r="H12" s="762" t="s">
        <v>69</v>
      </c>
      <c r="I12" s="703">
        <v>10.29</v>
      </c>
      <c r="J12" s="596">
        <v>5</v>
      </c>
      <c r="K12" s="703">
        <f t="shared" si="0"/>
        <v>9.7759999999999998</v>
      </c>
      <c r="L12" s="1192">
        <v>0.10299999999999999</v>
      </c>
      <c r="M12" s="994">
        <f t="shared" si="1"/>
        <v>8.4000000000000005E-2</v>
      </c>
      <c r="N12" s="1444">
        <v>0.14199999999999999</v>
      </c>
      <c r="O12" s="645">
        <f t="shared" si="3"/>
        <v>0.113</v>
      </c>
      <c r="P12" s="727">
        <v>80</v>
      </c>
      <c r="Q12" s="1476">
        <v>96.12</v>
      </c>
      <c r="R12" s="706">
        <v>4847.25</v>
      </c>
      <c r="S12" s="765">
        <f>IF((_xlfn.XLOOKUP(D12,RUC!$B$3:$B$119,RUC!$E$3:$E$119)+ROUNDDOWN(O12,1)*100)&lt;95,95,((_xlfn.XLOOKUP(D12,RUC!$B$3:$B$119,RUC!$E$3:$E$119)+ROUNDDOWN(O12,1)*100)))</f>
        <v>100</v>
      </c>
      <c r="U12" s="1146">
        <f>_xlfn.XLOOKUP(D12,RUC!$B$3:$B$123,RUC!$F$3:$F$123)</f>
        <v>120</v>
      </c>
      <c r="V12" s="715">
        <v>1.1023000000000001</v>
      </c>
      <c r="Y12" s="1445">
        <v>40</v>
      </c>
      <c r="Z12" s="143">
        <f>_xlfn.XLOOKUP(D12,RUC!$B$3:$B$123,RUC!$H$3:$H$123)</f>
        <v>30</v>
      </c>
      <c r="AA12" s="144">
        <f t="shared" si="4"/>
        <v>70</v>
      </c>
      <c r="AB12" s="145">
        <f t="shared" si="21"/>
        <v>283.66962982000007</v>
      </c>
      <c r="AC12" s="145">
        <f>+(S12-T12)*V12-'data 1'!$F$4</f>
        <v>30.230000000000004</v>
      </c>
      <c r="AD12" s="145">
        <f t="shared" si="5"/>
        <v>86.518830456630027</v>
      </c>
      <c r="AE12" s="145">
        <f t="shared" si="6"/>
        <v>7.1610000000000014</v>
      </c>
      <c r="AF12" s="145">
        <f t="shared" si="7"/>
        <v>-50.086667852100057</v>
      </c>
      <c r="AG12" s="772">
        <f t="shared" si="22"/>
        <v>90.823162604529983</v>
      </c>
      <c r="AH12" s="1253">
        <f t="shared" si="9"/>
        <v>33.183</v>
      </c>
      <c r="AI12" s="1253">
        <f t="shared" si="10"/>
        <v>34.523000000000003</v>
      </c>
      <c r="AJ12" s="156">
        <f t="shared" si="11"/>
        <v>18.852495695370003</v>
      </c>
      <c r="AK12" s="156">
        <f t="shared" si="12"/>
        <v>30.29972540334272</v>
      </c>
      <c r="AM12" s="716">
        <f t="shared" si="13"/>
        <v>2773.1543011203207</v>
      </c>
      <c r="AN12" s="716" t="str">
        <f>_xlfn.XLOOKUP(D12,RUC!$B$3:$B$578,RUC!$M$3:$M$578)</f>
        <v>Richard Sapacayo</v>
      </c>
      <c r="AO12" s="1167" t="s">
        <v>2280</v>
      </c>
      <c r="AP12" t="s">
        <v>3326</v>
      </c>
      <c r="AQ12" t="s">
        <v>4694</v>
      </c>
      <c r="AV12" s="1557" t="s">
        <v>2279</v>
      </c>
      <c r="AW12" s="703">
        <f t="shared" si="15"/>
        <v>140.89600000000002</v>
      </c>
      <c r="AX12" s="703" cm="1">
        <f t="array" ref="AX12">+SUMPRODUCT(IF($AO$4:$AO$417=AV12,$L$4:$L$417*$K$4:$K$417/AW12))</f>
        <v>0.24386832841244602</v>
      </c>
      <c r="AY12" s="1215">
        <f t="shared" si="16"/>
        <v>0.73784600682620838</v>
      </c>
      <c r="AZ12" s="596" cm="1">
        <f t="array" ref="AZ12">+SUMPRODUCT(IF($AO$4:$AO$417=AV12,($Q$4:$Q$417*$AH$4:$AH$417)/SUMIF($AO$4:$AO$417,$AV12,$AH$4:$AH$417)))</f>
        <v>91.175273375350145</v>
      </c>
      <c r="BA12" s="1237">
        <f t="shared" si="17"/>
        <v>1178.0484019459398</v>
      </c>
      <c r="BB12" s="1237">
        <f t="shared" ca="1" si="18"/>
        <v>1071</v>
      </c>
      <c r="BC12" s="596">
        <f t="shared" ca="1" si="19"/>
        <v>382.91955415946427</v>
      </c>
      <c r="BD12" s="1238">
        <f t="shared" si="20"/>
        <v>626.41100000000006</v>
      </c>
    </row>
    <row r="13" spans="1:56" ht="15" customHeight="1">
      <c r="A13" s="1491" t="s">
        <v>4714</v>
      </c>
      <c r="C13" s="1447">
        <v>46061</v>
      </c>
      <c r="D13" t="s">
        <v>1484</v>
      </c>
      <c r="E13" s="762">
        <f>_xlfn.XLOOKUP(D13,RUC!$B$3:$B$123,RUC!$D$3:$D$123)</f>
        <v>10761932735</v>
      </c>
      <c r="G13" s="762">
        <v>57</v>
      </c>
      <c r="H13" s="762" t="s">
        <v>2005</v>
      </c>
      <c r="I13" s="703">
        <v>5.1100000000000003</v>
      </c>
      <c r="J13" s="596">
        <v>19.45</v>
      </c>
      <c r="K13" s="703">
        <f t="shared" si="0"/>
        <v>4.1159999999999997</v>
      </c>
      <c r="L13" s="1192">
        <v>0.104</v>
      </c>
      <c r="M13" s="994">
        <f t="shared" si="1"/>
        <v>8.5000000000000006E-2</v>
      </c>
      <c r="N13" s="1196">
        <f t="shared" ref="N13" si="23">+M13</f>
        <v>8.5000000000000006E-2</v>
      </c>
      <c r="O13" s="645">
        <f t="shared" si="3"/>
        <v>8.5000000000000006E-2</v>
      </c>
      <c r="P13" s="727">
        <v>90</v>
      </c>
      <c r="Q13" s="1476">
        <v>98.06</v>
      </c>
      <c r="R13" s="706">
        <v>5039.55</v>
      </c>
      <c r="S13" s="765">
        <f>IF((_xlfn.XLOOKUP(D13,RUC!$B$3:$B$119,RUC!$E$3:$E$119)+ROUNDDOWN(O13,1)*100)&lt;95,95,((_xlfn.XLOOKUP(D13,RUC!$B$3:$B$119,RUC!$E$3:$E$119)+ROUNDDOWN(O13,1)*100)))</f>
        <v>95</v>
      </c>
      <c r="U13" s="1146">
        <f>_xlfn.XLOOKUP(D13,RUC!$B$3:$B$123,RUC!$F$3:$F$123)</f>
        <v>120</v>
      </c>
      <c r="V13" s="715">
        <v>1.1023000000000001</v>
      </c>
      <c r="Y13">
        <f>_xlfn.XLOOKUP(D13,RUC!$B$3:$B$123,RUC!$G$3:$G$123)</f>
        <v>20</v>
      </c>
      <c r="Z13" s="143">
        <f>_xlfn.XLOOKUP(D13,RUC!$B$3:$B$123,RUC!$H$3:$H$123)</f>
        <v>30</v>
      </c>
      <c r="AA13" s="144">
        <f t="shared" si="4"/>
        <v>50</v>
      </c>
      <c r="AB13" s="145">
        <f>+((O13*P13*(R13-U13)/100)-S13-AA13+T13)*V13</f>
        <v>255.01222732250008</v>
      </c>
      <c r="AC13" s="145">
        <f>+(S13-T13)*V13-'data 1'!$F$4</f>
        <v>24.718500000000006</v>
      </c>
      <c r="AD13" s="145">
        <f t="shared" si="5"/>
        <v>45.456246074616018</v>
      </c>
      <c r="AE13" s="145">
        <f t="shared" si="6"/>
        <v>-14.884999999999998</v>
      </c>
      <c r="AF13" s="145">
        <f t="shared" si="7"/>
        <v>101.03472789590096</v>
      </c>
      <c r="AG13" s="772">
        <f t="shared" ref="AG13:AG15" si="24">AC13+AD13+AE13+AF13+70-53</f>
        <v>173.32447397051698</v>
      </c>
      <c r="AH13" s="1253">
        <f t="shared" si="9"/>
        <v>14.391999999999999</v>
      </c>
      <c r="AI13" s="1253">
        <f t="shared" si="10"/>
        <v>14.676</v>
      </c>
      <c r="AJ13" s="156">
        <f t="shared" si="11"/>
        <v>-2.1977171506160205</v>
      </c>
      <c r="AK13" s="156">
        <f t="shared" si="12"/>
        <v>10.795577276855703</v>
      </c>
      <c r="AM13" s="716">
        <f t="shared" si="13"/>
        <v>1049.6303276594103</v>
      </c>
      <c r="AN13" s="716" t="str">
        <f>_xlfn.XLOOKUP(D13,RUC!$B$3:$B$578,RUC!$M$3:$M$578)</f>
        <v>Richard Sapacayo</v>
      </c>
      <c r="AO13" s="1167" t="s">
        <v>2279</v>
      </c>
      <c r="AP13" t="s">
        <v>3407</v>
      </c>
      <c r="AQ13" t="s">
        <v>3744</v>
      </c>
      <c r="AV13" s="1557" t="s">
        <v>2281</v>
      </c>
      <c r="AW13" s="703">
        <f t="shared" si="15"/>
        <v>0</v>
      </c>
      <c r="AX13" s="703" cm="1">
        <f t="array" ref="AX13">+SUMPRODUCT(IF($AO$4:$AO$417=AV13,$L$4:$L$417*$K$4:$K$417/AW13))</f>
        <v>0</v>
      </c>
      <c r="AY13" s="1215">
        <f t="shared" si="16"/>
        <v>0</v>
      </c>
      <c r="AZ13" s="596" cm="1">
        <f t="array" ref="AZ13">+SUMPRODUCT(IF($AO$4:$AO$417=AV13,($Q$4:$Q$417*$AH$4:$AH$417)/SUMIF($AO$4:$AO$417,$AV13,$AH$4:$AH$417)))</f>
        <v>0</v>
      </c>
      <c r="BA13" s="1237">
        <f t="shared" si="17"/>
        <v>0</v>
      </c>
      <c r="BB13" s="1237">
        <f t="shared" ca="1" si="18"/>
        <v>0</v>
      </c>
      <c r="BC13" s="596">
        <f t="shared" ca="1" si="19"/>
        <v>382.91955415946427</v>
      </c>
      <c r="BD13" s="1238">
        <f t="shared" si="20"/>
        <v>626.41100000000006</v>
      </c>
    </row>
    <row r="14" spans="1:56" ht="15" customHeight="1">
      <c r="A14" s="747" t="s">
        <v>4776</v>
      </c>
      <c r="B14" s="1447">
        <v>46080</v>
      </c>
      <c r="C14" s="1447">
        <v>46064</v>
      </c>
      <c r="D14" t="s">
        <v>1484</v>
      </c>
      <c r="E14" s="762">
        <f>_xlfn.XLOOKUP(D14,RUC!$B$3:$B$123,RUC!$D$3:$D$123)</f>
        <v>10761932735</v>
      </c>
      <c r="G14" s="762" t="s">
        <v>2985</v>
      </c>
      <c r="H14" s="762" t="s">
        <v>69</v>
      </c>
      <c r="I14" s="703">
        <v>44.48</v>
      </c>
      <c r="J14" s="596">
        <v>11.33</v>
      </c>
      <c r="K14" s="703">
        <f t="shared" si="0"/>
        <v>39.44</v>
      </c>
      <c r="L14" s="1192">
        <v>0.104</v>
      </c>
      <c r="M14" s="994">
        <f t="shared" si="1"/>
        <v>8.5000000000000006E-2</v>
      </c>
      <c r="N14" s="1444">
        <v>0.17699999999999999</v>
      </c>
      <c r="O14" s="645">
        <f t="shared" si="3"/>
        <v>0.13100000000000001</v>
      </c>
      <c r="P14" s="727">
        <v>80</v>
      </c>
      <c r="Q14" s="1476">
        <v>96.35499999999999</v>
      </c>
      <c r="R14" s="706">
        <v>5077.8500000000004</v>
      </c>
      <c r="S14" s="765">
        <f>IF((_xlfn.XLOOKUP(D14,RUC!$B$3:$B$119,RUC!$E$3:$E$119)+ROUNDDOWN(O14,1)*100)&lt;95,95,((_xlfn.XLOOKUP(D14,RUC!$B$3:$B$119,RUC!$E$3:$E$119)+ROUNDDOWN(O14,1)*100)))</f>
        <v>100</v>
      </c>
      <c r="U14" s="1146">
        <f>_xlfn.XLOOKUP(D14,RUC!$B$3:$B$123,RUC!$F$3:$F$123)</f>
        <v>120</v>
      </c>
      <c r="V14" s="715">
        <v>1.1023000000000001</v>
      </c>
      <c r="Y14" s="1445">
        <v>40</v>
      </c>
      <c r="Z14" s="143">
        <f>_xlfn.XLOOKUP(D14,RUC!$B$3:$B$123,RUC!$H$3:$H$123)</f>
        <v>30</v>
      </c>
      <c r="AA14" s="144">
        <f t="shared" si="4"/>
        <v>70</v>
      </c>
      <c r="AB14" s="145">
        <f>+((O14*P14*(R14-U14)/100)-S14-AA14+T14)*V14</f>
        <v>385.34498816400003</v>
      </c>
      <c r="AC14" s="145">
        <f>+(S14-T14)*V14-'data 1'!$F$4</f>
        <v>30.230000000000004</v>
      </c>
      <c r="AD14" s="145">
        <f>+(Q14-P14)*(R14-U14)*L14*V14/100</f>
        <v>92.955925285105963</v>
      </c>
      <c r="AE14" s="145">
        <f>+(Y14*V14-70)+V14*(Z14-IF(D14="UNTUCA",IF(+((W14-3)*2.5+(X14-3)*3.1)&gt;0,+((W14-3)*1.5+(X14-3)*3.1),0),IF(+((W14-3)*1.5+(X14-3)*3.1)&gt;0,+((W14-3)*1.5+(X14-3)*3.1),0)))</f>
        <v>7.1610000000000014</v>
      </c>
      <c r="AF14" s="145">
        <f>(L14-O14)*(R14-U14)*Q14*V14/100</f>
        <v>-142.17761028317182</v>
      </c>
      <c r="AG14" s="772">
        <f t="shared" si="24"/>
        <v>5.1693150019341374</v>
      </c>
      <c r="AH14" s="1253">
        <f>ROUND((31.1035*L14*Q14*1.1023*K14/100),3)</f>
        <v>135.50399999999999</v>
      </c>
      <c r="AI14" s="1253">
        <f>ROUND((31.1035*L14*1.1023*K14),3)</f>
        <v>140.63</v>
      </c>
      <c r="AJ14" s="156">
        <f>+((+$AJ$2-R14+U14)*L14*Q14*V14)/100</f>
        <v>-6.3901457771060395</v>
      </c>
      <c r="AK14" s="156">
        <f>31.1035*1.1023*K14*P14*O14/100</f>
        <v>141.71220585172162</v>
      </c>
      <c r="AM14" s="716">
        <f>+IF(AB14*K14&gt;0,AB14*K14,0)</f>
        <v>15198.006333188161</v>
      </c>
      <c r="AN14" s="716" t="str">
        <f>_xlfn.XLOOKUP(D14,RUC!$B$3:$B$578,RUC!$M$3:$M$578)</f>
        <v>Richard Sapacayo</v>
      </c>
      <c r="AO14" s="1167" t="s">
        <v>2277</v>
      </c>
      <c r="AP14" t="s">
        <v>3409</v>
      </c>
      <c r="AQ14" t="s">
        <v>3255</v>
      </c>
      <c r="AV14" s="1557" t="s">
        <v>2297</v>
      </c>
      <c r="AW14" s="703">
        <f t="shared" si="15"/>
        <v>0</v>
      </c>
      <c r="AX14" s="703" cm="1">
        <f t="array" ref="AX14">+SUMPRODUCT(IF($AO$4:$AO$417=AV14,$L$4:$L$417*$K$4:$K$417/AW14))</f>
        <v>0</v>
      </c>
      <c r="AY14" s="1215">
        <f t="shared" si="16"/>
        <v>0</v>
      </c>
      <c r="AZ14" s="596" cm="1">
        <f t="array" ref="AZ14">+SUMPRODUCT(IF('42'!$AO$4:$AO$309=AV14,('42'!$Q$4:$Q$309*'42'!$AH$4:$AH$309)/SUMIF('42'!$AO$4:$AO$309,#REF!,'42'!$AH$4:$AH$309)))</f>
        <v>0</v>
      </c>
      <c r="BA14" s="1237">
        <f t="shared" si="17"/>
        <v>0</v>
      </c>
      <c r="BB14" s="1237">
        <f t="shared" ca="1" si="18"/>
        <v>0</v>
      </c>
      <c r="BC14" s="596">
        <f t="shared" ca="1" si="19"/>
        <v>382.91955415946427</v>
      </c>
      <c r="BD14" s="1238">
        <f t="shared" si="20"/>
        <v>626.41100000000006</v>
      </c>
    </row>
    <row r="15" spans="1:56" ht="15" customHeight="1">
      <c r="A15" s="1491" t="s">
        <v>4799</v>
      </c>
      <c r="C15" s="1447">
        <v>46067</v>
      </c>
      <c r="D15" s="1676" t="s">
        <v>4198</v>
      </c>
      <c r="E15" s="762" t="str">
        <f>_xlfn.XLOOKUP(D15,RUC!$B$3:$B$123,RUC!$D$3:$D$123)</f>
        <v>20614284740*</v>
      </c>
      <c r="G15" s="1082">
        <v>83</v>
      </c>
      <c r="H15" s="762" t="s">
        <v>69</v>
      </c>
      <c r="I15" s="703">
        <v>6.91</v>
      </c>
      <c r="J15" s="596">
        <v>2.2000000000000002</v>
      </c>
      <c r="K15" s="703">
        <f t="shared" si="0"/>
        <v>6.758</v>
      </c>
      <c r="L15" s="1192">
        <v>7.9000000000000001E-2</v>
      </c>
      <c r="M15" s="994">
        <f t="shared" si="1"/>
        <v>0.06</v>
      </c>
      <c r="N15" s="1196">
        <f t="shared" ref="N15:N17" si="25">+M15</f>
        <v>0.06</v>
      </c>
      <c r="O15" s="645">
        <f t="shared" si="3"/>
        <v>0.06</v>
      </c>
      <c r="P15" s="727">
        <v>90</v>
      </c>
      <c r="Q15" s="1476">
        <v>96.835000000000008</v>
      </c>
      <c r="R15" s="706">
        <v>4994.95</v>
      </c>
      <c r="S15" s="765">
        <f>IF((_xlfn.XLOOKUP(D15,RUC!$B$3:$B$119,RUC!$E$3:$E$119)+ROUNDDOWN(O15,1)*100)&lt;95,95,((_xlfn.XLOOKUP(D15,RUC!$B$3:$B$119,RUC!$E$3:$E$119)+ROUNDDOWN(O15,1)*100)))</f>
        <v>95</v>
      </c>
      <c r="U15" s="1146">
        <f>_xlfn.XLOOKUP(D15,RUC!$B$3:$B$123,RUC!$F$3:$F$123)</f>
        <v>110</v>
      </c>
      <c r="V15" s="715">
        <v>1.1023000000000001</v>
      </c>
      <c r="Y15">
        <f>_xlfn.XLOOKUP(D15,RUC!$B$3:$B$123,RUC!$G$3:$G$123)</f>
        <v>0</v>
      </c>
      <c r="Z15" s="143">
        <f>_xlfn.XLOOKUP(D15,RUC!$B$3:$B$123,RUC!$H$3:$H$123)</f>
        <v>35</v>
      </c>
      <c r="AA15" s="144">
        <f t="shared" si="4"/>
        <v>35</v>
      </c>
      <c r="AB15" s="145">
        <f>+((O15*P15*(R15-U15)/100)-S15-AA15+T15)*V15</f>
        <v>147.47374078999997</v>
      </c>
      <c r="AC15" s="145">
        <f>+(S15-T15)*V15-'data 1'!$F$4</f>
        <v>24.718500000000006</v>
      </c>
      <c r="AD15" s="145">
        <f>+(Q15-P15)*(R15-U15)*L15*V15/100</f>
        <v>29.075389440865283</v>
      </c>
      <c r="AE15" s="145">
        <f>+(Y15*V15-70)+V15*(Z15-IF(D15="UNTUCA",IF(+((W15-3)*2.5+(X15-3)*3.1)&gt;0,+((W15-3)*1.5+(X15-3)*3.1),0),IF(+((W15-3)*1.5+(X15-3)*3.1)&gt;0,+((W15-3)*1.5+(X15-3)*3.1),0)))</f>
        <v>-31.419499999999999</v>
      </c>
      <c r="AF15" s="145">
        <f>(L15-O15)*(R15-U15)*Q15*V15/100</f>
        <v>99.070849765480276</v>
      </c>
      <c r="AG15" s="772">
        <f t="shared" si="24"/>
        <v>138.44523920634555</v>
      </c>
      <c r="AH15" s="1253">
        <f>ROUND((31.1035*L15*Q15*1.1023*K15/100),3)</f>
        <v>17.725000000000001</v>
      </c>
      <c r="AI15" s="1253">
        <f>ROUND((31.1035*L15*1.1023*K15),3)</f>
        <v>18.303999999999998</v>
      </c>
      <c r="AJ15" s="156">
        <f>+((+$AJ$2-R15+U15)*L15*Q15*V15)/100</f>
        <v>1.2690997411347658</v>
      </c>
      <c r="AK15" s="156">
        <f>31.1035*1.1023*K15*P15*O15/100</f>
        <v>12.511835231862602</v>
      </c>
      <c r="AM15" s="716">
        <f>+IF(AB15*K15&gt;0,AB15*K15,0)</f>
        <v>996.62754025881975</v>
      </c>
      <c r="AN15" s="148" t="str">
        <f>_xlfn.XLOOKUP(D15,RUC!$B$3:$B$578,RUC!$M$3:$M$578)</f>
        <v>Robinson Tuya</v>
      </c>
      <c r="AO15" s="1167" t="s">
        <v>2279</v>
      </c>
      <c r="AP15" t="s">
        <v>3739</v>
      </c>
      <c r="AQ15" t="s">
        <v>3748</v>
      </c>
      <c r="AV15" s="1557" t="s">
        <v>2518</v>
      </c>
      <c r="AW15" s="703">
        <f t="shared" si="15"/>
        <v>0</v>
      </c>
      <c r="AX15" s="703" cm="1">
        <f t="array" ref="AX15">+SUMPRODUCT(IF($AO$4:$AO$417=AV15,$L$4:$L$417*$K$4:$K$417/AW15))</f>
        <v>0</v>
      </c>
      <c r="AY15" s="1215">
        <f t="shared" si="16"/>
        <v>0</v>
      </c>
      <c r="AZ15" s="596" cm="1">
        <f t="array" ref="AZ15">+SUMPRODUCT(IF('42'!$AO$4:$AO$309=AV15,('42'!$Q$4:$Q$309*'42'!$AH$4:$AH$309)/SUMIF('42'!$AO$4:$AO$309,#REF!,'42'!$AH$4:$AH$309)))</f>
        <v>0</v>
      </c>
      <c r="BA15" s="1237">
        <f t="shared" si="17"/>
        <v>0</v>
      </c>
      <c r="BB15" s="1237">
        <f t="shared" ca="1" si="18"/>
        <v>0</v>
      </c>
      <c r="BC15" s="596">
        <f t="shared" ca="1" si="19"/>
        <v>382.91955415946427</v>
      </c>
      <c r="BD15" s="1238">
        <f t="shared" si="20"/>
        <v>626.41100000000006</v>
      </c>
    </row>
    <row r="16" spans="1:56" ht="15" customHeight="1">
      <c r="A16" s="1491" t="s">
        <v>4855</v>
      </c>
      <c r="B16" s="1447">
        <v>46077</v>
      </c>
      <c r="C16" s="1447">
        <v>46073</v>
      </c>
      <c r="D16" t="s">
        <v>119</v>
      </c>
      <c r="E16" s="762">
        <f>_xlfn.XLOOKUP(D16,RUC!$B$3:$B$123,RUC!$D$3:$D$123)</f>
        <v>10082235774</v>
      </c>
      <c r="G16" s="1082">
        <v>74</v>
      </c>
      <c r="H16" s="762" t="s">
        <v>69</v>
      </c>
      <c r="I16" s="703">
        <v>6.3</v>
      </c>
      <c r="J16" s="596">
        <v>2.0499999999999998</v>
      </c>
      <c r="K16" s="703">
        <f t="shared" si="0"/>
        <v>6.1710000000000003</v>
      </c>
      <c r="L16" s="1192">
        <v>9.1999999999999998E-2</v>
      </c>
      <c r="M16" s="994">
        <f t="shared" si="1"/>
        <v>8.5000000000000006E-2</v>
      </c>
      <c r="N16" s="1196">
        <f t="shared" si="25"/>
        <v>8.5000000000000006E-2</v>
      </c>
      <c r="O16" s="645">
        <f t="shared" si="3"/>
        <v>8.5000000000000006E-2</v>
      </c>
      <c r="P16" s="727">
        <v>85</v>
      </c>
      <c r="Q16" s="1476">
        <v>94.57</v>
      </c>
      <c r="R16" s="706">
        <v>5053.2</v>
      </c>
      <c r="S16" s="1164">
        <f>IF((_xlfn.XLOOKUP(D16,RUC!$B$3:$B$119,RUC!$E$3:$E$119)+ROUNDDOWN(O16,1)*100)&lt;95,95,((_xlfn.XLOOKUP(D16,RUC!$B$3:$B$119,RUC!$E$3:$E$119)+ROUNDDOWN(O16,1)*100)))</f>
        <v>95</v>
      </c>
      <c r="U16" s="1146">
        <f>_xlfn.XLOOKUP(D16,RUC!$B$3:$B$123,RUC!$F$3:$F$123)</f>
        <v>80</v>
      </c>
      <c r="V16" s="715">
        <v>1.1023000000000001</v>
      </c>
      <c r="Y16">
        <f>_xlfn.XLOOKUP(D16,RUC!$B$3:$B$123,RUC!$G$3:$G$123)</f>
        <v>0</v>
      </c>
      <c r="Z16" s="143">
        <f>_xlfn.XLOOKUP(D16,RUC!$B$3:$B$123,RUC!$H$3:$H$123)</f>
        <v>10</v>
      </c>
      <c r="AA16" s="144">
        <f t="shared" si="4"/>
        <v>10</v>
      </c>
      <c r="AB16" s="145">
        <v>1E-3</v>
      </c>
      <c r="AC16" s="145">
        <f>+(S16-T16)*V16-'data 1'!$F$4</f>
        <v>24.718500000000006</v>
      </c>
      <c r="AD16" s="145">
        <f t="shared" ref="AD16:AD76" si="26">+(Q16-P16)*(R16-U16)*L16*V16/100</f>
        <v>48.265354184783952</v>
      </c>
      <c r="AE16" s="145">
        <f t="shared" ref="AE16:AE76" si="27">+(Y16*V16-70)+V16*(Z16-IF(D16="UNTUCA",IF(+((W16-3)*2.5+(X16-3)*3.1)&gt;0,+((W16-3)*1.5+(X16-3)*3.1),0),IF(+((W16-3)*1.5+(X16-3)*3.1)&gt;0,+((W16-3)*1.5+(X16-3)*3.1),0)))</f>
        <v>-58.977000000000004</v>
      </c>
      <c r="AF16" s="145">
        <f t="shared" ref="AF16:AF76" si="28">(L16-O16)*(R16-U16)*Q16*V16/100</f>
        <v>36.290016147363957</v>
      </c>
      <c r="AG16" s="772">
        <f>AC16+AD16+AE16+AF16+70+280.33</f>
        <v>400.62687033214786</v>
      </c>
      <c r="AH16" s="1253">
        <f t="shared" ref="AH16:AH18" si="29">ROUND((31.1035*L16*Q16*1.1023*K16/100),3)</f>
        <v>18.408000000000001</v>
      </c>
      <c r="AI16" s="1253">
        <f t="shared" ref="AI16:AI18" si="30">ROUND((31.1035*L16*1.1023*K16),3)</f>
        <v>19.465</v>
      </c>
      <c r="AJ16" s="156">
        <f t="shared" ref="AJ16:AJ17" si="31">+((+$AJ$2-R16+U16)*L16*Q16*V16)/100</f>
        <v>-7.0202423487839827</v>
      </c>
      <c r="AK16" s="156">
        <f t="shared" ref="AK16:AK18" si="32">31.1035*1.1023*K16*P16*O16/100</f>
        <v>15.28630311768574</v>
      </c>
      <c r="AM16" s="716">
        <f t="shared" ref="AM16:AM76" si="33">+IF(AB16*K16&gt;0,AB16*K16,0)</f>
        <v>6.1710000000000003E-3</v>
      </c>
      <c r="AN16" s="716" t="str">
        <f>_xlfn.XLOOKUP(D16,RUC!$B$3:$B$578,RUC!$M$3:$M$578)</f>
        <v>Melchor Vera</v>
      </c>
      <c r="AO16" s="1167" t="s">
        <v>2279</v>
      </c>
      <c r="AP16" s="1682" t="s">
        <v>4860</v>
      </c>
      <c r="AQ16" s="1682" t="s">
        <v>4861</v>
      </c>
      <c r="AV16" s="1557" t="s">
        <v>2519</v>
      </c>
      <c r="AW16" s="703">
        <f t="shared" si="15"/>
        <v>0</v>
      </c>
      <c r="AX16" s="703" cm="1">
        <f t="array" ref="AX16">+SUMPRODUCT(IF($AO$4:$AO$417=AV16,$L$4:$L$417*$K$4:$K$417/AW16))</f>
        <v>0</v>
      </c>
      <c r="AY16" s="1215">
        <f t="shared" si="16"/>
        <v>0</v>
      </c>
      <c r="AZ16" s="596" cm="1">
        <f t="array" ref="AZ16">+SUMPRODUCT(IF('42'!$AO$4:$AO$309=AV16,('42'!$Q$4:$Q$309*'42'!$AH$4:$AH$309)/SUMIF('42'!$AO$4:$AO$309,#REF!,'42'!$AH$4:$AH$309)))</f>
        <v>0</v>
      </c>
      <c r="BA16" s="1237">
        <f t="shared" si="17"/>
        <v>0</v>
      </c>
      <c r="BB16" s="1237">
        <f t="shared" ca="1" si="18"/>
        <v>0</v>
      </c>
      <c r="BC16" s="596">
        <f t="shared" ca="1" si="19"/>
        <v>382.91955415946427</v>
      </c>
      <c r="BD16" s="1238">
        <f t="shared" si="20"/>
        <v>626.41100000000006</v>
      </c>
    </row>
    <row r="17" spans="1:56" ht="15" customHeight="1">
      <c r="A17" s="747" t="s">
        <v>5009</v>
      </c>
      <c r="B17" s="1447">
        <v>46099</v>
      </c>
      <c r="C17" s="1447">
        <v>46095</v>
      </c>
      <c r="D17" t="s">
        <v>2004</v>
      </c>
      <c r="E17" s="762">
        <f>_xlfn.XLOOKUP(D17,RUC!$B$3:$B$123,RUC!$D$3:$D$123)</f>
        <v>20612921866</v>
      </c>
      <c r="G17" s="1082">
        <v>28</v>
      </c>
      <c r="H17" s="762" t="s">
        <v>69</v>
      </c>
      <c r="I17" s="703">
        <v>2.4300000000000002</v>
      </c>
      <c r="J17" s="596">
        <v>2</v>
      </c>
      <c r="K17" s="703">
        <f t="shared" si="0"/>
        <v>2.3809999999999998</v>
      </c>
      <c r="L17" s="1082">
        <v>0.151</v>
      </c>
      <c r="M17" s="994">
        <f t="shared" si="1"/>
        <v>0.13200000000000001</v>
      </c>
      <c r="N17" s="1196">
        <f t="shared" si="25"/>
        <v>0.13200000000000001</v>
      </c>
      <c r="O17" s="645">
        <f t="shared" si="3"/>
        <v>0.13200000000000001</v>
      </c>
      <c r="P17" s="727">
        <v>90</v>
      </c>
      <c r="Q17" s="1476">
        <v>96</v>
      </c>
      <c r="R17" s="706">
        <v>5044.6000000000004</v>
      </c>
      <c r="S17" s="765">
        <f>IF((_xlfn.XLOOKUP(D17,RUC!$B$3:$B$119,RUC!$E$3:$E$119)+ROUNDDOWN(O17,1)*100)&lt;95,95,((_xlfn.XLOOKUP(D17,RUC!$B$3:$B$119,RUC!$E$3:$E$119)+ROUNDDOWN(O17,1)*100)))</f>
        <v>95</v>
      </c>
      <c r="U17" s="1146">
        <f>_xlfn.XLOOKUP(D17,RUC!$B$3:$B$123,RUC!$F$3:$F$123)</f>
        <v>100</v>
      </c>
      <c r="V17" s="715">
        <v>1.1023000000000001</v>
      </c>
      <c r="Y17">
        <f>_xlfn.XLOOKUP(D17,RUC!$B$3:$B$123,RUC!$G$3:$G$123)</f>
        <v>0</v>
      </c>
      <c r="Z17" s="143">
        <f>_xlfn.XLOOKUP(D17,RUC!$B$3:$B$123,RUC!$H$3:$H$123)</f>
        <v>30</v>
      </c>
      <c r="AA17" s="144">
        <f t="shared" si="4"/>
        <v>30</v>
      </c>
      <c r="AB17" s="145">
        <f t="shared" ref="AB17:AB77" si="34">+((O17*P17*(R17-U17)/100)-S17-AA17+T17)*V17</f>
        <v>509.72389050400005</v>
      </c>
      <c r="AC17" s="145">
        <f>+(S17-T17)*V17-'data 1'!$F$4</f>
        <v>24.718500000000006</v>
      </c>
      <c r="AD17" s="145">
        <f t="shared" si="26"/>
        <v>49.380919174799999</v>
      </c>
      <c r="AE17" s="145">
        <f t="shared" si="27"/>
        <v>-36.930999999999997</v>
      </c>
      <c r="AF17" s="145">
        <f t="shared" si="28"/>
        <v>99.415890259199969</v>
      </c>
      <c r="AG17" s="772">
        <f>AC17+AD17+AE17+AF17+70-10</f>
        <v>196.58430943399998</v>
      </c>
      <c r="AH17" s="1253">
        <f t="shared" si="29"/>
        <v>11.834</v>
      </c>
      <c r="AI17" s="1253">
        <f t="shared" si="30"/>
        <v>12.327</v>
      </c>
      <c r="AJ17" s="156">
        <f t="shared" si="31"/>
        <v>-7.1266075968000591</v>
      </c>
      <c r="AK17" s="156">
        <f t="shared" si="32"/>
        <v>9.6980608629095393</v>
      </c>
      <c r="AM17" s="716">
        <f t="shared" si="33"/>
        <v>1213.652583290024</v>
      </c>
      <c r="AN17" s="716" t="str">
        <f>_xlfn.XLOOKUP(D17,RUC!$B$3:$B$578,RUC!$M$3:$M$578)</f>
        <v>Ronald Garibay</v>
      </c>
      <c r="AO17" s="1167" t="s">
        <v>2277</v>
      </c>
      <c r="AP17" t="s">
        <v>5023</v>
      </c>
      <c r="AQ17" t="s">
        <v>3483</v>
      </c>
      <c r="AV17" s="1557" t="s">
        <v>2520</v>
      </c>
      <c r="AW17" s="703">
        <f t="shared" si="15"/>
        <v>0</v>
      </c>
      <c r="AX17" s="703" cm="1">
        <f t="array" ref="AX17">+SUMPRODUCT(IF($AO$4:$AO$417=AV17,$L$4:$L$417*$K$4:$K$417/AW17))</f>
        <v>0</v>
      </c>
      <c r="AY17" s="1215">
        <f t="shared" si="16"/>
        <v>0</v>
      </c>
      <c r="AZ17" s="596" cm="1">
        <f t="array" ref="AZ17">+SUMPRODUCT(IF('42'!$AO$4:$AO$309=AV17,('42'!$Q$4:$Q$309*'42'!$AH$4:$AH$309)/SUMIF('42'!$AO$4:$AO$309,#REF!,'42'!$AH$4:$AH$309)))</f>
        <v>0</v>
      </c>
      <c r="BA17" s="1237">
        <f t="shared" si="17"/>
        <v>0</v>
      </c>
      <c r="BB17" s="1237">
        <f t="shared" ca="1" si="18"/>
        <v>0</v>
      </c>
      <c r="BC17" s="596">
        <f t="shared" ca="1" si="19"/>
        <v>382.91955415946427</v>
      </c>
      <c r="BD17" s="1238">
        <f t="shared" si="20"/>
        <v>626.41100000000006</v>
      </c>
    </row>
    <row r="18" spans="1:56" ht="15" customHeight="1" thickBot="1">
      <c r="A18" s="747" t="s">
        <v>5018</v>
      </c>
      <c r="B18" s="1447">
        <v>46102</v>
      </c>
      <c r="C18" s="1447">
        <v>46098</v>
      </c>
      <c r="D18" t="s">
        <v>3358</v>
      </c>
      <c r="E18" s="762">
        <f>_xlfn.XLOOKUP(D18,RUC!$B$3:$B$123,RUC!$D$3:$D$123)</f>
        <v>20535021563</v>
      </c>
      <c r="G18" s="1082" t="s">
        <v>2985</v>
      </c>
      <c r="H18" s="762" t="s">
        <v>2005</v>
      </c>
      <c r="I18" s="703">
        <v>29.99</v>
      </c>
      <c r="J18" s="596">
        <v>5.15</v>
      </c>
      <c r="K18" s="703">
        <f t="shared" si="0"/>
        <v>28.446000000000002</v>
      </c>
      <c r="L18" s="1193">
        <v>0.1</v>
      </c>
      <c r="M18" s="994">
        <f t="shared" si="1"/>
        <v>8.1000000000000003E-2</v>
      </c>
      <c r="N18" s="1444">
        <v>0.11899999999999999</v>
      </c>
      <c r="O18" s="645">
        <f t="shared" si="3"/>
        <v>0.1</v>
      </c>
      <c r="P18" s="727">
        <v>70</v>
      </c>
      <c r="Q18" s="1476">
        <v>92</v>
      </c>
      <c r="R18" s="706">
        <v>5016.8</v>
      </c>
      <c r="S18" s="1164">
        <v>110</v>
      </c>
      <c r="U18" s="1146">
        <f>_xlfn.XLOOKUP(D18,RUC!$B$3:$B$123,RUC!$F$3:$F$123)</f>
        <v>100</v>
      </c>
      <c r="V18" s="715">
        <v>1.1023000000000001</v>
      </c>
      <c r="Y18">
        <f>_xlfn.XLOOKUP(D18,RUC!$B$3:$B$123,RUC!$G$3:$G$123)</f>
        <v>0</v>
      </c>
      <c r="Z18" s="1454">
        <v>100</v>
      </c>
      <c r="AA18" s="144">
        <f t="shared" si="4"/>
        <v>100</v>
      </c>
      <c r="AB18" s="145">
        <f t="shared" si="34"/>
        <v>147.90220479999999</v>
      </c>
      <c r="AC18" s="145">
        <f>+(S18-T18)*V18-'data 1'!$F$4</f>
        <v>41.253</v>
      </c>
      <c r="AD18" s="145">
        <f t="shared" si="26"/>
        <v>119.23535008000003</v>
      </c>
      <c r="AE18" s="145">
        <f t="shared" si="27"/>
        <v>40.230000000000004</v>
      </c>
      <c r="AF18" s="145">
        <f t="shared" si="28"/>
        <v>0</v>
      </c>
      <c r="AG18" s="772">
        <f t="shared" ref="AG18:AG29" si="35">AC18+AD18+AE18+AF18+70-53</f>
        <v>217.71835008000005</v>
      </c>
      <c r="AH18" s="1253">
        <f t="shared" si="29"/>
        <v>89.725999999999999</v>
      </c>
      <c r="AI18" s="1253">
        <f t="shared" si="30"/>
        <v>97.528000000000006</v>
      </c>
      <c r="AJ18" s="156">
        <f>+((+$AJ$2-R18+U18)*L18*Q18*V18)/100</f>
        <v>-1.7037148800000184</v>
      </c>
      <c r="AK18" s="156">
        <f t="shared" si="32"/>
        <v>68.269750392921011</v>
      </c>
      <c r="AM18" s="716">
        <f t="shared" si="33"/>
        <v>4207.2261177408</v>
      </c>
      <c r="AN18" s="716" t="str">
        <f>_xlfn.XLOOKUP(D18,RUC!$B$3:$B$578,RUC!$M$3:$M$578)</f>
        <v>Alfred Torres  *</v>
      </c>
      <c r="AO18" s="1167" t="s">
        <v>2279</v>
      </c>
      <c r="AP18" t="s">
        <v>5065</v>
      </c>
      <c r="AQ18" t="s">
        <v>5066</v>
      </c>
      <c r="AV18" s="1558" t="s">
        <v>2521</v>
      </c>
      <c r="AW18" s="1254">
        <f t="shared" si="15"/>
        <v>0</v>
      </c>
      <c r="AX18" s="1254" cm="1">
        <f t="array" ref="AX18">+SUMPRODUCT(IF('42'!$AO$4:$AO$309=AV18,'42'!$L$4:$L$309*'42'!$K$4:$K$309/AW18))</f>
        <v>0</v>
      </c>
      <c r="AY18" s="1241">
        <f t="shared" si="16"/>
        <v>0</v>
      </c>
      <c r="AZ18" s="1242" cm="1">
        <f t="array" ref="AZ18">+SUMPRODUCT(IF('42'!$AO$4:$AO$309=AV18,('42'!$Q$4:$Q$309*'42'!$AH$4:$AH$309)/SUMIF('42'!$AO$4:$AO$309,#REF!,'42'!$AH$4:$AH$309)))</f>
        <v>0</v>
      </c>
      <c r="BA18" s="1243">
        <f t="shared" si="17"/>
        <v>0</v>
      </c>
      <c r="BB18" s="1243">
        <f>SUMIF($AO$4:$AO$6,$AV18,$AH$4:$AH$6)</f>
        <v>0</v>
      </c>
      <c r="BC18" s="1242">
        <f t="shared" ca="1" si="19"/>
        <v>382.91955415946427</v>
      </c>
      <c r="BD18" s="1436">
        <f t="shared" si="20"/>
        <v>626.41100000000006</v>
      </c>
    </row>
    <row r="19" spans="1:56" ht="15" customHeight="1">
      <c r="A19" s="747" t="s">
        <v>5020</v>
      </c>
      <c r="B19" s="1447">
        <v>46104</v>
      </c>
      <c r="C19" s="1447">
        <v>46099</v>
      </c>
      <c r="D19" t="s">
        <v>5012</v>
      </c>
      <c r="E19" s="762">
        <f>_xlfn.XLOOKUP(D19,RUC!$B$3:$B$123,RUC!$D$3:$D$123)</f>
        <v>20603162812</v>
      </c>
      <c r="G19" s="1082" t="s">
        <v>2985</v>
      </c>
      <c r="H19" s="762" t="s">
        <v>69</v>
      </c>
      <c r="I19" s="703">
        <v>10.31</v>
      </c>
      <c r="J19" s="596">
        <v>3.85</v>
      </c>
      <c r="K19" s="703">
        <f>ROUND(+I19-(I19*(J19/100)),3)</f>
        <v>9.9130000000000003</v>
      </c>
      <c r="L19" s="1193">
        <v>0.105</v>
      </c>
      <c r="M19" s="994">
        <f>ROUND(+IF(AN19="Melchor Vera",IF(L19&gt;0.467,L19*0.985,(L19-0.007)),IF(L19&gt;0.3,L19*0.94,(L19-0.019))),3)</f>
        <v>8.5999999999999993E-2</v>
      </c>
      <c r="N19" s="1444">
        <v>0.153</v>
      </c>
      <c r="O19" s="645">
        <f>+ROUND((M19+N19)/2,3)</f>
        <v>0.12</v>
      </c>
      <c r="P19" s="727">
        <v>80</v>
      </c>
      <c r="Q19" s="1476">
        <v>98.1</v>
      </c>
      <c r="R19" s="706">
        <v>4869.95</v>
      </c>
      <c r="S19" s="765">
        <f>IF((_xlfn.XLOOKUP(D19,RUC!$B$3:$B$119,RUC!$E$3:$E$119)+ROUNDDOWN(O19,1)*100)&lt;95,95,((_xlfn.XLOOKUP(D19,RUC!$B$3:$B$119,RUC!$E$3:$E$119)+ROUNDDOWN(O19,1)*100)))</f>
        <v>95</v>
      </c>
      <c r="U19" s="1146">
        <f>_xlfn.XLOOKUP(D19,RUC!$B$3:$B$123,RUC!$F$3:$F$123)</f>
        <v>110</v>
      </c>
      <c r="V19" s="715">
        <v>1.1023000000000001</v>
      </c>
      <c r="Y19" s="1445">
        <v>20</v>
      </c>
      <c r="Z19" s="143">
        <f>_xlfn.XLOOKUP(D19,RUC!$B$3:$B$123,RUC!$H$3:$H$123)</f>
        <v>35</v>
      </c>
      <c r="AA19" s="144">
        <f t="shared" si="4"/>
        <v>55</v>
      </c>
      <c r="AB19" s="145">
        <f t="shared" si="34"/>
        <v>338.35671696000003</v>
      </c>
      <c r="AC19" s="145">
        <f>+(S19-T19)*V19-'data 1'!$F$4</f>
        <v>24.718500000000006</v>
      </c>
      <c r="AD19" s="145">
        <f t="shared" si="26"/>
        <v>99.71719927942496</v>
      </c>
      <c r="AE19" s="145">
        <f t="shared" si="27"/>
        <v>-9.3734999999999999</v>
      </c>
      <c r="AF19" s="145">
        <f t="shared" si="28"/>
        <v>-77.20802880277499</v>
      </c>
      <c r="AG19" s="772">
        <f t="shared" si="35"/>
        <v>54.854170476649969</v>
      </c>
      <c r="AH19" s="1253">
        <f>ROUND((31.1035*L19*Q19*1.1023*K19/100),3)</f>
        <v>35.008000000000003</v>
      </c>
      <c r="AI19" s="1253">
        <f>ROUND((31.1035*L19*1.1023*K19),3)</f>
        <v>35.686</v>
      </c>
      <c r="AJ19" s="156">
        <f>+((+$AJ$2-R19+U19)*L19*Q19*V19)/100</f>
        <v>15.90161473057502</v>
      </c>
      <c r="AK19" s="156">
        <f>31.1035*1.1023*K19*P19*O19/100</f>
        <v>32.627620967006401</v>
      </c>
      <c r="AM19" s="716">
        <f>+IF(AB19*K19&gt;0,AB19*K19,0)</f>
        <v>3354.1301352244805</v>
      </c>
      <c r="AN19" s="716" t="str">
        <f>_xlfn.XLOOKUP(D19,RUC!$B$3:$B$578,RUC!$M$3:$M$578)</f>
        <v>Robinson Tuya</v>
      </c>
      <c r="AO19" s="1167" t="s">
        <v>2278</v>
      </c>
      <c r="AP19" t="s">
        <v>4085</v>
      </c>
      <c r="AQ19" t="s">
        <v>2388</v>
      </c>
      <c r="AV19" s="1637"/>
      <c r="AW19" s="1234"/>
      <c r="AX19" s="1234"/>
      <c r="AY19" s="1235"/>
      <c r="AZ19" s="1236"/>
      <c r="BA19" s="1237"/>
      <c r="BB19" s="1237"/>
      <c r="BC19" s="1236"/>
      <c r="BD19" s="729"/>
    </row>
    <row r="20" spans="1:56" ht="15" customHeight="1">
      <c r="A20" s="747" t="s">
        <v>5059</v>
      </c>
      <c r="B20" s="1447">
        <v>46107</v>
      </c>
      <c r="C20" s="1447">
        <v>46100</v>
      </c>
      <c r="D20" t="s">
        <v>4171</v>
      </c>
      <c r="E20" s="762">
        <f>_xlfn.XLOOKUP(D20,RUC!$B$3:$B$123,RUC!$D$3:$D$123)</f>
        <v>20614284740</v>
      </c>
      <c r="G20" s="1082" t="s">
        <v>2985</v>
      </c>
      <c r="H20" s="762" t="s">
        <v>69</v>
      </c>
      <c r="I20" s="703">
        <v>1.71</v>
      </c>
      <c r="J20" s="596">
        <v>3.4</v>
      </c>
      <c r="K20" s="703">
        <f t="shared" si="0"/>
        <v>1.6519999999999999</v>
      </c>
      <c r="L20" s="1745">
        <v>0.14199999999999999</v>
      </c>
      <c r="M20" s="994">
        <f t="shared" ref="M20:M23" si="36">ROUND(+IF(AN20="Melchor Vera",IF(L20&gt;0.467,L20*0.985,(L20-0.007)),IF(L20&gt;0.3,L20*0.94,(L20-0.019))),3)</f>
        <v>0.123</v>
      </c>
      <c r="N20" s="1196">
        <f t="shared" ref="N20:N23" si="37">+M20</f>
        <v>0.123</v>
      </c>
      <c r="O20" s="645">
        <f t="shared" ref="O20:O78" si="38">+ROUND((M20+N20)/2,3)</f>
        <v>0.123</v>
      </c>
      <c r="P20" s="727">
        <v>80</v>
      </c>
      <c r="Q20" s="1476">
        <v>95.07</v>
      </c>
      <c r="R20" s="706">
        <v>4600.3500000000004</v>
      </c>
      <c r="S20" s="765">
        <f>IF((_xlfn.XLOOKUP(D20,RUC!$B$3:$B$119,RUC!$E$3:$E$119)+ROUNDDOWN(O20,1)*100)&lt;95,95,((_xlfn.XLOOKUP(D20,RUC!$B$3:$B$119,RUC!$E$3:$E$119)+ROUNDDOWN(O20,1)*100)))</f>
        <v>100</v>
      </c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3">
        <f>_xlfn.XLOOKUP(D20,RUC!$B$3:$B$123,RUC!$H$3:$H$123)</f>
        <v>30</v>
      </c>
      <c r="AA20" s="144">
        <f t="shared" si="4"/>
        <v>50</v>
      </c>
      <c r="AB20" s="145">
        <f t="shared" si="34"/>
        <v>320.62207681200005</v>
      </c>
      <c r="AC20" s="145">
        <f>+(S20-T20)*V20-'data 1'!$F$4</f>
        <v>30.230000000000004</v>
      </c>
      <c r="AD20" s="145">
        <f t="shared" si="26"/>
        <v>105.68499861311695</v>
      </c>
      <c r="AE20" s="145">
        <f t="shared" si="27"/>
        <v>-14.884999999999998</v>
      </c>
      <c r="AF20" s="145">
        <f t="shared" si="28"/>
        <v>89.209035554656452</v>
      </c>
      <c r="AG20" s="772">
        <f t="shared" si="35"/>
        <v>227.23903416777341</v>
      </c>
      <c r="AH20" s="1253">
        <f t="shared" ref="AH20:AH78" si="39">ROUND((31.1035*L20*Q20*1.1023*K20/100),3)</f>
        <v>7.6459999999999999</v>
      </c>
      <c r="AI20" s="1253">
        <f t="shared" ref="AI20:AI78" si="40">ROUND((31.1035*L20*1.1023*K20),3)</f>
        <v>8.0429999999999993</v>
      </c>
      <c r="AJ20" s="156">
        <f t="shared" ref="AJ20:AJ78" si="41">+((+$AJ$2-R20+U20)*L20*Q20*V20)/100</f>
        <v>62.448048776882935</v>
      </c>
      <c r="AK20" s="156">
        <f t="shared" ref="AK20:AK78" si="42">31.1035*1.1023*K20*P20*O20/100</f>
        <v>5.5733229681662397</v>
      </c>
      <c r="AM20" s="716">
        <f t="shared" si="33"/>
        <v>529.66767089342409</v>
      </c>
      <c r="AN20" s="716" t="str">
        <f>_xlfn.XLOOKUP(D20,RUC!$B$3:$B$578,RUC!$M$3:$M$578)</f>
        <v xml:space="preserve">Dante </v>
      </c>
      <c r="AO20" s="1167" t="s">
        <v>2280</v>
      </c>
      <c r="AP20" t="s">
        <v>5102</v>
      </c>
      <c r="AQ20" t="s">
        <v>5103</v>
      </c>
    </row>
    <row r="21" spans="1:56" ht="15" customHeight="1">
      <c r="A21" s="747" t="s">
        <v>5060</v>
      </c>
      <c r="B21" s="1447">
        <v>46110</v>
      </c>
      <c r="C21" s="1447">
        <v>46100</v>
      </c>
      <c r="D21" t="s">
        <v>1967</v>
      </c>
      <c r="E21" s="762">
        <f>_xlfn.XLOOKUP(D21,RUC!$B$3:$B$123,RUC!$D$3:$D$123)</f>
        <v>20601769396</v>
      </c>
      <c r="G21" s="1082">
        <v>46</v>
      </c>
      <c r="H21" s="762" t="s">
        <v>2005</v>
      </c>
      <c r="I21" s="703">
        <v>3.67</v>
      </c>
      <c r="J21" s="596">
        <v>14.65</v>
      </c>
      <c r="K21" s="703">
        <f t="shared" si="0"/>
        <v>3.1320000000000001</v>
      </c>
      <c r="L21" s="1745">
        <v>0.14499999999999999</v>
      </c>
      <c r="M21" s="994">
        <f t="shared" si="36"/>
        <v>0.126</v>
      </c>
      <c r="N21" s="1196">
        <f t="shared" si="37"/>
        <v>0.126</v>
      </c>
      <c r="O21" s="645">
        <f t="shared" si="38"/>
        <v>0.126</v>
      </c>
      <c r="P21" s="727">
        <v>80</v>
      </c>
      <c r="Q21" s="1476">
        <v>95</v>
      </c>
      <c r="R21" s="706">
        <v>4600.3500000000004</v>
      </c>
      <c r="S21" s="765">
        <f>IF((_xlfn.XLOOKUP(D21,RUC!$B$3:$B$119,RUC!$E$3:$E$119)+ROUNDDOWN(O21,1)*100)&lt;95,95,((_xlfn.XLOOKUP(D21,RUC!$B$3:$B$119,RUC!$E$3:$E$119)+ROUNDDOWN(O21,1)*100)))</f>
        <v>100</v>
      </c>
      <c r="U21" s="1146">
        <f>_xlfn.XLOOKUP(D21,RUC!$B$3:$B$123,RUC!$F$3:$F$123)</f>
        <v>120</v>
      </c>
      <c r="V21" s="715">
        <v>1.1023000000000001</v>
      </c>
      <c r="Y21">
        <f>_xlfn.XLOOKUP(D21,RUC!$B$3:$B$123,RUC!$G$3:$G$123)</f>
        <v>20</v>
      </c>
      <c r="Z21" s="143">
        <f>_xlfn.XLOOKUP(D21,RUC!$B$3:$B$123,RUC!$H$3:$H$123)</f>
        <v>30</v>
      </c>
      <c r="AA21" s="144">
        <f t="shared" si="4"/>
        <v>50</v>
      </c>
      <c r="AB21" s="145">
        <f t="shared" si="34"/>
        <v>332.47493234400008</v>
      </c>
      <c r="AC21" s="145">
        <f>+(S21-T21)*V21-'data 1'!$F$4</f>
        <v>30.230000000000004</v>
      </c>
      <c r="AD21" s="145">
        <f t="shared" si="26"/>
        <v>107.41650325875</v>
      </c>
      <c r="AE21" s="145">
        <f t="shared" si="27"/>
        <v>-14.884999999999998</v>
      </c>
      <c r="AF21" s="145">
        <f t="shared" si="28"/>
        <v>89.143350980249963</v>
      </c>
      <c r="AG21" s="772">
        <f t="shared" si="35"/>
        <v>228.90485423899997</v>
      </c>
      <c r="AH21" s="1253">
        <f t="shared" si="39"/>
        <v>14.792</v>
      </c>
      <c r="AI21" s="1253">
        <f t="shared" si="40"/>
        <v>15.57</v>
      </c>
      <c r="AJ21" s="156">
        <f t="shared" si="41"/>
        <v>63.720421861249946</v>
      </c>
      <c r="AK21" s="156">
        <f t="shared" si="42"/>
        <v>10.824089005558083</v>
      </c>
      <c r="AM21" s="716">
        <f t="shared" si="33"/>
        <v>1041.3114881014083</v>
      </c>
      <c r="AN21" s="716" t="str">
        <f>_xlfn.XLOOKUP(D21,RUC!$B$3:$B$578,RUC!$M$3:$M$578)</f>
        <v>Evelyn</v>
      </c>
      <c r="AO21" s="1167" t="s">
        <v>2280</v>
      </c>
      <c r="AP21" t="s">
        <v>5104</v>
      </c>
      <c r="AQ21" t="s">
        <v>3332</v>
      </c>
    </row>
    <row r="22" spans="1:56" ht="15" customHeight="1">
      <c r="A22" s="747" t="s">
        <v>5061</v>
      </c>
      <c r="B22" s="1447">
        <v>46110</v>
      </c>
      <c r="C22" s="1447">
        <v>46100</v>
      </c>
      <c r="D22" t="s">
        <v>1967</v>
      </c>
      <c r="E22" s="762">
        <f>_xlfn.XLOOKUP(D22,RUC!$B$3:$B$123,RUC!$D$3:$D$123)</f>
        <v>20601769396</v>
      </c>
      <c r="G22" s="1082">
        <v>38</v>
      </c>
      <c r="H22" s="762" t="s">
        <v>2005</v>
      </c>
      <c r="I22" s="703">
        <v>3.15</v>
      </c>
      <c r="J22" s="596">
        <v>14.73</v>
      </c>
      <c r="K22" s="703">
        <f t="shared" si="0"/>
        <v>2.6859999999999999</v>
      </c>
      <c r="L22" s="1745">
        <v>0.16500000000000001</v>
      </c>
      <c r="M22" s="994">
        <f t="shared" si="36"/>
        <v>0.14599999999999999</v>
      </c>
      <c r="N22" s="1196">
        <f t="shared" si="37"/>
        <v>0.14599999999999999</v>
      </c>
      <c r="O22" s="645">
        <f t="shared" si="38"/>
        <v>0.14599999999999999</v>
      </c>
      <c r="P22" s="727">
        <v>80</v>
      </c>
      <c r="Q22" s="1476">
        <v>92.95</v>
      </c>
      <c r="R22" s="706">
        <v>4600.3500000000004</v>
      </c>
      <c r="S22" s="765">
        <f>IF((_xlfn.XLOOKUP(D22,RUC!$B$3:$B$119,RUC!$E$3:$E$119)+ROUNDDOWN(O22,1)*100)&lt;95,95,((_xlfn.XLOOKUP(D22,RUC!$B$3:$B$119,RUC!$E$3:$E$119)+ROUNDDOWN(O22,1)*100)))</f>
        <v>100</v>
      </c>
      <c r="U22" s="1146">
        <f>_xlfn.XLOOKUP(D22,RUC!$B$3:$B$123,RUC!$F$3:$F$123)</f>
        <v>120</v>
      </c>
      <c r="V22" s="715">
        <v>1.1023000000000001</v>
      </c>
      <c r="Y22">
        <f>_xlfn.XLOOKUP(D22,RUC!$B$3:$B$123,RUC!$G$3:$G$123)</f>
        <v>20</v>
      </c>
      <c r="Z22" s="143">
        <f>_xlfn.XLOOKUP(D22,RUC!$B$3:$B$123,RUC!$H$3:$H$123)</f>
        <v>30</v>
      </c>
      <c r="AA22" s="144">
        <f t="shared" si="4"/>
        <v>50</v>
      </c>
      <c r="AB22" s="145">
        <f t="shared" si="34"/>
        <v>411.49396922400007</v>
      </c>
      <c r="AC22" s="145">
        <f>+(S22-T22)*V22-'data 1'!$F$4</f>
        <v>30.230000000000004</v>
      </c>
      <c r="AD22" s="145">
        <f t="shared" si="26"/>
        <v>105.52745440833755</v>
      </c>
      <c r="AE22" s="145">
        <f t="shared" si="27"/>
        <v>-14.884999999999998</v>
      </c>
      <c r="AF22" s="145">
        <f t="shared" si="28"/>
        <v>87.219731301202586</v>
      </c>
      <c r="AG22" s="772">
        <f t="shared" si="35"/>
        <v>225.0921857095401</v>
      </c>
      <c r="AH22" s="1253">
        <f t="shared" si="39"/>
        <v>14.124000000000001</v>
      </c>
      <c r="AI22" s="1253">
        <f t="shared" si="40"/>
        <v>15.195</v>
      </c>
      <c r="AJ22" s="156">
        <f t="shared" si="41"/>
        <v>70.94476805666244</v>
      </c>
      <c r="AK22" s="156">
        <f t="shared" si="42"/>
        <v>10.756176508908638</v>
      </c>
      <c r="AM22" s="716">
        <f t="shared" si="33"/>
        <v>1105.2728013356641</v>
      </c>
      <c r="AN22" s="716" t="str">
        <f>_xlfn.XLOOKUP(D22,RUC!$B$3:$B$578,RUC!$M$3:$M$578)</f>
        <v>Evelyn</v>
      </c>
      <c r="AO22" s="1167" t="s">
        <v>2280</v>
      </c>
      <c r="AP22" t="s">
        <v>5104</v>
      </c>
      <c r="AQ22" t="s">
        <v>3332</v>
      </c>
    </row>
    <row r="23" spans="1:56" ht="15" customHeight="1">
      <c r="A23" s="747" t="s">
        <v>5069</v>
      </c>
      <c r="B23" s="1447">
        <v>46110</v>
      </c>
      <c r="C23" s="1447">
        <v>46101</v>
      </c>
      <c r="D23" t="s">
        <v>4171</v>
      </c>
      <c r="E23" s="762">
        <f>_xlfn.XLOOKUP(D23,RUC!$B$3:$B$123,RUC!$D$3:$D$123)</f>
        <v>20614284740</v>
      </c>
      <c r="G23" s="1082">
        <v>102</v>
      </c>
      <c r="H23" s="762" t="s">
        <v>69</v>
      </c>
      <c r="I23" s="703">
        <v>10.16</v>
      </c>
      <c r="J23" s="596">
        <v>2</v>
      </c>
      <c r="K23" s="703">
        <f t="shared" si="0"/>
        <v>9.9570000000000007</v>
      </c>
      <c r="L23" s="1745">
        <v>0.188</v>
      </c>
      <c r="M23" s="994">
        <f t="shared" si="36"/>
        <v>0.16900000000000001</v>
      </c>
      <c r="N23" s="1196">
        <f t="shared" si="37"/>
        <v>0.16900000000000001</v>
      </c>
      <c r="O23" s="645">
        <f t="shared" si="38"/>
        <v>0.16900000000000001</v>
      </c>
      <c r="P23" s="727">
        <v>72</v>
      </c>
      <c r="Q23" s="1476">
        <v>72.34</v>
      </c>
      <c r="R23" s="706">
        <v>4562.55</v>
      </c>
      <c r="S23" s="765">
        <f>IF((_xlfn.XLOOKUP(D23,RUC!$B$3:$B$119,RUC!$E$3:$E$119)+ROUNDDOWN(O23,1)*100)&lt;95,95,((_xlfn.XLOOKUP(D23,RUC!$B$3:$B$119,RUC!$E$3:$E$119)+ROUNDDOWN(O23,1)*100)))</f>
        <v>100</v>
      </c>
      <c r="U23" s="1146">
        <f>_xlfn.XLOOKUP(D23,RUC!$B$3:$B$123,RUC!$F$3:$F$123)</f>
        <v>120</v>
      </c>
      <c r="V23" s="715">
        <v>1.1023000000000001</v>
      </c>
      <c r="Y23">
        <f>_xlfn.XLOOKUP(D23,RUC!$B$3:$B$123,RUC!$G$3:$G$123)</f>
        <v>20</v>
      </c>
      <c r="Z23" s="143">
        <f>_xlfn.XLOOKUP(D23,RUC!$B$3:$B$123,RUC!$H$3:$H$123)</f>
        <v>30</v>
      </c>
      <c r="AA23" s="144">
        <f t="shared" si="4"/>
        <v>50</v>
      </c>
      <c r="AB23" s="145">
        <f t="shared" si="34"/>
        <v>430.52474221320011</v>
      </c>
      <c r="AC23" s="145">
        <f>+(S23-T23)*V23-'data 1'!$F$4</f>
        <v>30.230000000000004</v>
      </c>
      <c r="AD23" s="145">
        <f t="shared" si="26"/>
        <v>3.1301770153080315</v>
      </c>
      <c r="AE23" s="145">
        <f t="shared" si="27"/>
        <v>-14.884999999999998</v>
      </c>
      <c r="AF23" s="145">
        <f t="shared" si="28"/>
        <v>67.307620470278977</v>
      </c>
      <c r="AG23" s="772">
        <f t="shared" si="35"/>
        <v>102.78279748558703</v>
      </c>
      <c r="AH23" s="1253">
        <f t="shared" si="39"/>
        <v>46.427</v>
      </c>
      <c r="AI23" s="1253">
        <f t="shared" si="40"/>
        <v>64.179000000000002</v>
      </c>
      <c r="AJ23" s="156">
        <f t="shared" si="41"/>
        <v>68.577206962291982</v>
      </c>
      <c r="AK23" s="156">
        <f t="shared" si="42"/>
        <v>41.539070800469283</v>
      </c>
      <c r="AM23" s="716">
        <f t="shared" si="33"/>
        <v>4286.7348582168343</v>
      </c>
      <c r="AN23" s="716" t="str">
        <f>_xlfn.XLOOKUP(D23,RUC!$B$3:$B$578,RUC!$M$3:$M$578)</f>
        <v xml:space="preserve">Dante </v>
      </c>
      <c r="AO23" s="1167" t="s">
        <v>2280</v>
      </c>
      <c r="AP23" t="s">
        <v>5105</v>
      </c>
      <c r="AQ23" t="s">
        <v>5106</v>
      </c>
    </row>
    <row r="24" spans="1:56" ht="14.25" customHeight="1">
      <c r="A24" s="747" t="s">
        <v>5070</v>
      </c>
      <c r="B24" s="1447">
        <v>46106</v>
      </c>
      <c r="C24" s="1447">
        <v>46101</v>
      </c>
      <c r="D24" t="s">
        <v>3510</v>
      </c>
      <c r="E24" s="762">
        <f>_xlfn.XLOOKUP(D24,RUC!$B$3:$B$123,RUC!$D$3:$D$123)</f>
        <v>10408856049</v>
      </c>
      <c r="G24" s="762" t="s">
        <v>2985</v>
      </c>
      <c r="H24" s="762" t="s">
        <v>69</v>
      </c>
      <c r="I24" s="703">
        <v>34.729999999999997</v>
      </c>
      <c r="J24" s="596">
        <v>11.1</v>
      </c>
      <c r="K24" s="703">
        <f t="shared" si="0"/>
        <v>30.875</v>
      </c>
      <c r="L24" s="1745">
        <v>0.17599999999999999</v>
      </c>
      <c r="M24" s="994">
        <f>+L24-0.035</f>
        <v>0.14099999999999999</v>
      </c>
      <c r="N24" s="1444">
        <v>0.18099999999999999</v>
      </c>
      <c r="O24" s="645">
        <f t="shared" si="38"/>
        <v>0.161</v>
      </c>
      <c r="P24" s="727">
        <v>85</v>
      </c>
      <c r="Q24" s="1476">
        <v>85.8</v>
      </c>
      <c r="R24" s="706">
        <v>4562.55</v>
      </c>
      <c r="S24" s="765">
        <f>IF((_xlfn.XLOOKUP(D24,RUC!$B$3:$B$119,RUC!$E$3:$E$119)+ROUNDDOWN(O24,1)*100)&lt;95,95,((_xlfn.XLOOKUP(D24,RUC!$B$3:$B$119,RUC!$E$3:$E$119)+ROUNDDOWN(O24,1)*100)))</f>
        <v>100</v>
      </c>
      <c r="U24" s="1146">
        <f>_xlfn.XLOOKUP(D24,RUC!$B$3:$B$123,RUC!$F$3:$F$123)</f>
        <v>120</v>
      </c>
      <c r="V24" s="715">
        <v>1.1023000000000001</v>
      </c>
      <c r="Y24" s="1027">
        <v>15.5</v>
      </c>
      <c r="Z24" s="143">
        <f>_xlfn.XLOOKUP(D24,RUC!$B$3:$B$123,RUC!$H$3:$H$123)</f>
        <v>30</v>
      </c>
      <c r="AA24" s="144">
        <f t="shared" si="4"/>
        <v>45.5</v>
      </c>
      <c r="AB24" s="145">
        <f t="shared" si="34"/>
        <v>509.77292907525003</v>
      </c>
      <c r="AC24" s="145">
        <f>+(S24-T24)*V24-'data 1'!$F$4</f>
        <v>30.230000000000004</v>
      </c>
      <c r="AD24" s="145">
        <f t="shared" si="26"/>
        <v>6.8950081939199768</v>
      </c>
      <c r="AE24" s="145">
        <f t="shared" si="27"/>
        <v>-19.845349999999996</v>
      </c>
      <c r="AF24" s="145">
        <f t="shared" si="28"/>
        <v>63.024684272549948</v>
      </c>
      <c r="AG24" s="772">
        <f t="shared" si="35"/>
        <v>97.304342466469933</v>
      </c>
      <c r="AH24" s="1253">
        <f t="shared" si="39"/>
        <v>159.851</v>
      </c>
      <c r="AI24" s="1253">
        <f t="shared" si="40"/>
        <v>186.30699999999999</v>
      </c>
      <c r="AJ24" s="156">
        <f t="shared" si="41"/>
        <v>76.145351362079964</v>
      </c>
      <c r="AK24" s="156">
        <f t="shared" si="42"/>
        <v>144.86412157458719</v>
      </c>
      <c r="AM24" s="716">
        <f t="shared" si="33"/>
        <v>15739.239185198345</v>
      </c>
      <c r="AN24" s="716" t="str">
        <f>_xlfn.XLOOKUP(D24,RUC!$B$3:$B$578,RUC!$M$3:$M$578)</f>
        <v>Richard Sapacayo</v>
      </c>
      <c r="AO24" s="1167" t="s">
        <v>2280</v>
      </c>
      <c r="AP24" t="s">
        <v>5107</v>
      </c>
      <c r="AQ24" t="s">
        <v>2376</v>
      </c>
      <c r="BA24" s="1482"/>
    </row>
    <row r="25" spans="1:56" ht="15" customHeight="1" thickBot="1">
      <c r="A25" s="747" t="s">
        <v>5072</v>
      </c>
      <c r="B25" s="1447">
        <v>46108</v>
      </c>
      <c r="C25" s="1447">
        <v>46103</v>
      </c>
      <c r="D25" t="s">
        <v>5094</v>
      </c>
      <c r="E25" s="762">
        <f>_xlfn.XLOOKUP(D25,RUC!$B$3:$B$123,RUC!$D$3:$D$123)</f>
        <v>20613105621</v>
      </c>
      <c r="G25" s="1082" t="s">
        <v>2985</v>
      </c>
      <c r="H25" s="762" t="s">
        <v>69</v>
      </c>
      <c r="I25" s="703">
        <v>18.13</v>
      </c>
      <c r="J25" s="596">
        <v>14.68</v>
      </c>
      <c r="K25" s="703">
        <f t="shared" si="0"/>
        <v>15.468999999999999</v>
      </c>
      <c r="L25" s="1745">
        <v>0.11899999999999999</v>
      </c>
      <c r="M25" s="994">
        <f t="shared" ref="M25:M29" si="43">ROUND(+IF(AN25="Melchor Vera",IF(L25&gt;0.467,L25*0.985,(L25-0.007)),IF(L25&gt;0.3,L25*0.94,(L25-0.019))),3)</f>
        <v>0.1</v>
      </c>
      <c r="N25" s="1444">
        <v>0.17499999999999999</v>
      </c>
      <c r="O25" s="645">
        <f t="shared" si="38"/>
        <v>0.13800000000000001</v>
      </c>
      <c r="P25" s="727">
        <v>80</v>
      </c>
      <c r="Q25" s="1476">
        <v>96.64</v>
      </c>
      <c r="R25" s="706">
        <v>4466.25</v>
      </c>
      <c r="S25" s="765">
        <f>IF((_xlfn.XLOOKUP(D25,RUC!$B$3:$B$119,RUC!$E$3:$E$119)+ROUNDDOWN(O25,1)*100)&lt;95,95,((_xlfn.XLOOKUP(D25,RUC!$B$3:$B$119,RUC!$E$3:$E$119)+ROUNDDOWN(O25,1)*100)))</f>
        <v>100</v>
      </c>
      <c r="U25" s="1146">
        <f>_xlfn.XLOOKUP(D25,RUC!$B$3:$B$123,RUC!$F$3:$F$123)</f>
        <v>120</v>
      </c>
      <c r="V25" s="715">
        <v>1.1023000000000001</v>
      </c>
      <c r="Y25">
        <f>_xlfn.XLOOKUP(D25,RUC!$B$3:$B$123,RUC!$G$3:$G$123)</f>
        <v>20</v>
      </c>
      <c r="Z25" s="143">
        <f>_xlfn.XLOOKUP(D25,RUC!$B$3:$B$123,RUC!$H$3:$H$123)</f>
        <v>30</v>
      </c>
      <c r="AA25" s="144">
        <f t="shared" si="4"/>
        <v>50</v>
      </c>
      <c r="AB25" s="145">
        <f t="shared" si="34"/>
        <v>363.56719980000008</v>
      </c>
      <c r="AC25" s="145">
        <f>+(S25-T25)*V25-'data 1'!$F$4</f>
        <v>30.230000000000004</v>
      </c>
      <c r="AD25" s="145">
        <f t="shared" si="26"/>
        <v>94.866918619200007</v>
      </c>
      <c r="AE25" s="145">
        <f t="shared" si="27"/>
        <v>-14.884999999999998</v>
      </c>
      <c r="AF25" s="145">
        <f t="shared" si="28"/>
        <v>-87.96806383920007</v>
      </c>
      <c r="AG25" s="772">
        <f t="shared" si="35"/>
        <v>39.24385477999995</v>
      </c>
      <c r="AH25" s="1253">
        <f t="shared" si="39"/>
        <v>60.991999999999997</v>
      </c>
      <c r="AI25" s="1253">
        <f t="shared" si="40"/>
        <v>63.113</v>
      </c>
      <c r="AJ25" s="156">
        <f t="shared" si="41"/>
        <v>70.196818512799993</v>
      </c>
      <c r="AK25" s="156">
        <f t="shared" si="42"/>
        <v>58.551817719097677</v>
      </c>
      <c r="AM25" s="716">
        <f t="shared" si="33"/>
        <v>5624.0210137062013</v>
      </c>
      <c r="AN25" s="716" t="str">
        <f>_xlfn.XLOOKUP(D25,RUC!$B$3:$B$578,RUC!$M$3:$M$578)</f>
        <v>Richard Sapacayo</v>
      </c>
      <c r="AO25" s="1167" t="s">
        <v>2277</v>
      </c>
      <c r="AP25" t="s">
        <v>3517</v>
      </c>
      <c r="AQ25" t="s">
        <v>3744</v>
      </c>
      <c r="BA25" s="1482"/>
    </row>
    <row r="26" spans="1:56" ht="15" customHeight="1" thickBot="1">
      <c r="A26" s="747" t="s">
        <v>5073</v>
      </c>
      <c r="B26" s="1447">
        <v>46108</v>
      </c>
      <c r="C26" s="1447">
        <v>46103</v>
      </c>
      <c r="D26" t="s">
        <v>5094</v>
      </c>
      <c r="E26" s="762">
        <f>_xlfn.XLOOKUP(D26,RUC!$B$3:$B$123,RUC!$D$3:$D$123)</f>
        <v>20613105621</v>
      </c>
      <c r="G26" s="1082">
        <v>108</v>
      </c>
      <c r="H26" s="762" t="s">
        <v>69</v>
      </c>
      <c r="I26" s="703">
        <v>4.2300000000000004</v>
      </c>
      <c r="J26" s="596">
        <v>10.63</v>
      </c>
      <c r="K26" s="703">
        <f t="shared" si="0"/>
        <v>3.78</v>
      </c>
      <c r="L26" s="1745">
        <v>0.14599999999999999</v>
      </c>
      <c r="M26" s="994">
        <f t="shared" si="43"/>
        <v>0.127</v>
      </c>
      <c r="N26" s="1196">
        <f t="shared" ref="N26:N75" si="44">+M26</f>
        <v>0.127</v>
      </c>
      <c r="O26" s="645">
        <f t="shared" si="38"/>
        <v>0.127</v>
      </c>
      <c r="P26" s="727">
        <v>80</v>
      </c>
      <c r="Q26" s="1476">
        <v>96.58</v>
      </c>
      <c r="R26" s="706">
        <v>4466.25</v>
      </c>
      <c r="S26" s="765">
        <f>IF((_xlfn.XLOOKUP(D26,RUC!$B$3:$B$119,RUC!$E$3:$E$119)+ROUNDDOWN(O26,1)*100)&lt;95,95,((_xlfn.XLOOKUP(D26,RUC!$B$3:$B$119,RUC!$E$3:$E$119)+ROUNDDOWN(O26,1)*100)))</f>
        <v>100</v>
      </c>
      <c r="U26" s="1146">
        <f>_xlfn.XLOOKUP(D26,RUC!$B$3:$B$123,RUC!$F$3:$F$123)</f>
        <v>120</v>
      </c>
      <c r="V26" s="715">
        <v>1.1023000000000001</v>
      </c>
      <c r="Y26">
        <f>_xlfn.XLOOKUP(D26,RUC!$B$3:$B$123,RUC!$G$3:$G$123)</f>
        <v>20</v>
      </c>
      <c r="Z26" s="143">
        <f>_xlfn.XLOOKUP(D26,RUC!$B$3:$B$123,RUC!$H$3:$H$123)</f>
        <v>30</v>
      </c>
      <c r="AA26" s="144">
        <f t="shared" si="4"/>
        <v>50</v>
      </c>
      <c r="AB26" s="145">
        <f t="shared" si="34"/>
        <v>321.40753170000005</v>
      </c>
      <c r="AC26" s="145">
        <f>+(S26-T26)*V26-'data 1'!$F$4</f>
        <v>30.230000000000004</v>
      </c>
      <c r="AD26" s="145">
        <f t="shared" si="26"/>
        <v>115.97166520035</v>
      </c>
      <c r="AE26" s="145">
        <f t="shared" si="27"/>
        <v>-14.884999999999998</v>
      </c>
      <c r="AF26" s="145">
        <f t="shared" si="28"/>
        <v>87.913447905524947</v>
      </c>
      <c r="AG26" s="772">
        <f t="shared" si="35"/>
        <v>236.23011310587498</v>
      </c>
      <c r="AH26" s="1253">
        <f t="shared" si="39"/>
        <v>18.274000000000001</v>
      </c>
      <c r="AI26" s="1253">
        <f t="shared" si="40"/>
        <v>18.920999999999999</v>
      </c>
      <c r="AJ26" s="156">
        <f t="shared" si="41"/>
        <v>86.070356835650003</v>
      </c>
      <c r="AK26" s="156">
        <f t="shared" si="42"/>
        <v>13.167234709826397</v>
      </c>
      <c r="AM26" s="716">
        <f t="shared" si="33"/>
        <v>1214.920469826</v>
      </c>
      <c r="AN26" s="716" t="str">
        <f>_xlfn.XLOOKUP(D26,RUC!$B$3:$B$578,RUC!$M$3:$M$578)</f>
        <v>Richard Sapacayo</v>
      </c>
      <c r="AO26" s="1167" t="s">
        <v>2277</v>
      </c>
      <c r="AP26" t="s">
        <v>4988</v>
      </c>
      <c r="AQ26" t="s">
        <v>5108</v>
      </c>
      <c r="AV26" s="1982" t="s">
        <v>5259</v>
      </c>
      <c r="AW26" s="1983"/>
      <c r="AX26" s="1983"/>
      <c r="AY26" s="1983"/>
      <c r="AZ26" s="1983"/>
      <c r="BA26" s="1984"/>
    </row>
    <row r="27" spans="1:56" ht="15" customHeight="1">
      <c r="A27" s="747" t="s">
        <v>5074</v>
      </c>
      <c r="B27" s="1447">
        <v>46108</v>
      </c>
      <c r="C27" s="1447">
        <v>46103</v>
      </c>
      <c r="D27" s="1800" t="s">
        <v>5094</v>
      </c>
      <c r="E27" s="762">
        <f>_xlfn.XLOOKUP(D27,RUC!$B$3:$B$123,RUC!$D$3:$D$123)</f>
        <v>20613105621</v>
      </c>
      <c r="G27" s="1082">
        <v>135</v>
      </c>
      <c r="H27" s="762" t="s">
        <v>69</v>
      </c>
      <c r="I27" s="703">
        <v>11.22</v>
      </c>
      <c r="J27" s="596">
        <v>5.4</v>
      </c>
      <c r="K27" s="703">
        <f t="shared" si="0"/>
        <v>10.614000000000001</v>
      </c>
      <c r="L27" s="1745">
        <v>0.13700000000000001</v>
      </c>
      <c r="M27" s="994">
        <f t="shared" si="43"/>
        <v>0.11799999999999999</v>
      </c>
      <c r="N27" s="1444">
        <v>0.20699999999999999</v>
      </c>
      <c r="O27" s="645">
        <f t="shared" si="38"/>
        <v>0.16300000000000001</v>
      </c>
      <c r="P27" s="727">
        <v>85</v>
      </c>
      <c r="Q27" s="1476">
        <v>97.81</v>
      </c>
      <c r="R27" s="706">
        <v>4466.25</v>
      </c>
      <c r="S27" s="765">
        <f>IF((_xlfn.XLOOKUP(D27,RUC!$B$3:$B$119,RUC!$E$3:$E$119)+ROUNDDOWN(O27,1)*100)&lt;95,95,((_xlfn.XLOOKUP(D27,RUC!$B$3:$B$119,RUC!$E$3:$E$119)+ROUNDDOWN(O27,1)*100)))</f>
        <v>100</v>
      </c>
      <c r="U27" s="1146">
        <f>_xlfn.XLOOKUP(D27,RUC!$B$3:$B$123,RUC!$F$3:$F$123)</f>
        <v>120</v>
      </c>
      <c r="V27" s="715">
        <v>1.1023000000000001</v>
      </c>
      <c r="Y27">
        <f>_xlfn.XLOOKUP(D27,RUC!$B$3:$B$123,RUC!$G$3:$G$123)</f>
        <v>20</v>
      </c>
      <c r="Z27" s="143">
        <f>_xlfn.XLOOKUP(D27,RUC!$B$3:$B$123,RUC!$H$3:$H$123)</f>
        <v>30</v>
      </c>
      <c r="AA27" s="144">
        <f t="shared" si="4"/>
        <v>50</v>
      </c>
      <c r="AB27" s="145">
        <f t="shared" si="34"/>
        <v>498.43022900624999</v>
      </c>
      <c r="AC27" s="145">
        <f>+(S27-T27)*V27-'data 1'!$F$4</f>
        <v>30.230000000000004</v>
      </c>
      <c r="AD27" s="145">
        <f t="shared" si="26"/>
        <v>84.078355369837539</v>
      </c>
      <c r="AE27" s="145">
        <f t="shared" si="27"/>
        <v>-14.884999999999998</v>
      </c>
      <c r="AF27" s="145">
        <f t="shared" si="28"/>
        <v>-121.83473358907499</v>
      </c>
      <c r="AG27" s="772">
        <f t="shared" si="35"/>
        <v>-5.4113782192374487</v>
      </c>
      <c r="AH27" s="1253">
        <f t="shared" si="39"/>
        <v>48.762999999999998</v>
      </c>
      <c r="AI27" s="1253">
        <f t="shared" si="40"/>
        <v>49.854999999999997</v>
      </c>
      <c r="AJ27" s="156">
        <f t="shared" si="41"/>
        <v>81.793232630412518</v>
      </c>
      <c r="AK27" s="156">
        <f t="shared" si="42"/>
        <v>50.419052819072093</v>
      </c>
      <c r="AM27" s="716">
        <f t="shared" si="33"/>
        <v>5290.3384506723378</v>
      </c>
      <c r="AN27" s="716" t="str">
        <f>_xlfn.XLOOKUP(D27,RUC!$B$3:$B$578,RUC!$M$3:$M$578)</f>
        <v>Richard Sapacayo</v>
      </c>
      <c r="AO27" s="1167" t="s">
        <v>2277</v>
      </c>
      <c r="AP27" t="s">
        <v>4988</v>
      </c>
      <c r="AQ27" t="s">
        <v>5108</v>
      </c>
      <c r="BA27" s="1482">
        <f>SUM(BA29:BA38)</f>
        <v>0</v>
      </c>
    </row>
    <row r="28" spans="1:56" ht="15" customHeight="1" thickBot="1">
      <c r="A28" s="747" t="s">
        <v>5075</v>
      </c>
      <c r="B28" s="1447">
        <v>46108</v>
      </c>
      <c r="C28" s="1447">
        <v>46103</v>
      </c>
      <c r="D28" t="s">
        <v>5094</v>
      </c>
      <c r="E28" s="762">
        <f>_xlfn.XLOOKUP(D28,RUC!$B$3:$B$123,RUC!$D$3:$D$123)</f>
        <v>20613105621</v>
      </c>
      <c r="G28" s="1082">
        <v>134</v>
      </c>
      <c r="H28" s="762" t="s">
        <v>69</v>
      </c>
      <c r="I28" s="703">
        <v>11.72</v>
      </c>
      <c r="J28" s="596">
        <v>5.7</v>
      </c>
      <c r="K28" s="703">
        <f t="shared" si="0"/>
        <v>11.052</v>
      </c>
      <c r="L28" s="1745">
        <v>0.152</v>
      </c>
      <c r="M28" s="994">
        <f t="shared" si="43"/>
        <v>0.13300000000000001</v>
      </c>
      <c r="N28" s="1196">
        <f t="shared" si="44"/>
        <v>0.13300000000000001</v>
      </c>
      <c r="O28" s="645">
        <f t="shared" si="38"/>
        <v>0.13300000000000001</v>
      </c>
      <c r="P28" s="727">
        <v>80</v>
      </c>
      <c r="Q28" s="1476">
        <v>96.71</v>
      </c>
      <c r="R28" s="706">
        <v>4466.25</v>
      </c>
      <c r="S28" s="765">
        <f>IF((_xlfn.XLOOKUP(D28,RUC!$B$3:$B$119,RUC!$E$3:$E$119)+ROUNDDOWN(O28,1)*100)&lt;95,95,((_xlfn.XLOOKUP(D28,RUC!$B$3:$B$119,RUC!$E$3:$E$119)+ROUNDDOWN(O28,1)*100)))</f>
        <v>100</v>
      </c>
      <c r="U28" s="1146">
        <f>_xlfn.XLOOKUP(D28,RUC!$B$3:$B$123,RUC!$F$3:$F$123)</f>
        <v>120</v>
      </c>
      <c r="V28" s="715">
        <v>1.1023000000000001</v>
      </c>
      <c r="Y28">
        <f>_xlfn.XLOOKUP(D28,RUC!$B$3:$B$123,RUC!$G$3:$G$123)</f>
        <v>20</v>
      </c>
      <c r="Z28" s="143">
        <f>_xlfn.XLOOKUP(D28,RUC!$B$3:$B$123,RUC!$H$3:$H$123)</f>
        <v>30</v>
      </c>
      <c r="AA28" s="144">
        <f t="shared" si="4"/>
        <v>50</v>
      </c>
      <c r="AB28" s="145">
        <f t="shared" si="34"/>
        <v>344.40371430000005</v>
      </c>
      <c r="AC28" s="145">
        <f>+(S28-T28)*V28-'data 1'!$F$4</f>
        <v>30.230000000000004</v>
      </c>
      <c r="AD28" s="145">
        <f t="shared" si="26"/>
        <v>121.68430022789997</v>
      </c>
      <c r="AE28" s="145">
        <f t="shared" si="27"/>
        <v>-14.884999999999998</v>
      </c>
      <c r="AF28" s="145">
        <f t="shared" si="28"/>
        <v>88.03178242848746</v>
      </c>
      <c r="AG28" s="772">
        <f t="shared" si="35"/>
        <v>242.06108265638744</v>
      </c>
      <c r="AH28" s="1253">
        <f t="shared" si="39"/>
        <v>55.701000000000001</v>
      </c>
      <c r="AI28" s="1253">
        <f t="shared" si="40"/>
        <v>57.595999999999997</v>
      </c>
      <c r="AJ28" s="156">
        <f t="shared" si="41"/>
        <v>89.728109556100009</v>
      </c>
      <c r="AK28" s="156">
        <f t="shared" si="42"/>
        <v>40.317312368723044</v>
      </c>
      <c r="AM28" s="716">
        <f t="shared" si="33"/>
        <v>3806.3498504436002</v>
      </c>
      <c r="AN28" s="716" t="str">
        <f>_xlfn.XLOOKUP(D28,RUC!$B$3:$B$578,RUC!$M$3:$M$578)</f>
        <v>Richard Sapacayo</v>
      </c>
      <c r="AO28" s="1167" t="s">
        <v>2277</v>
      </c>
      <c r="AP28" t="s">
        <v>4988</v>
      </c>
      <c r="AQ28" t="s">
        <v>5108</v>
      </c>
      <c r="AV28" s="762"/>
      <c r="AW28" s="762" t="s">
        <v>15</v>
      </c>
      <c r="AX28" s="762" t="s">
        <v>2522</v>
      </c>
      <c r="AY28" s="762" t="s">
        <v>2558</v>
      </c>
      <c r="AZ28" s="1483" t="s">
        <v>2598</v>
      </c>
      <c r="BA28" s="762" t="s">
        <v>2559</v>
      </c>
    </row>
    <row r="29" spans="1:56" ht="15" customHeight="1">
      <c r="A29" s="747" t="s">
        <v>5076</v>
      </c>
      <c r="B29" s="1447">
        <v>46109</v>
      </c>
      <c r="C29" s="1549">
        <v>46103</v>
      </c>
      <c r="D29" t="s">
        <v>5095</v>
      </c>
      <c r="E29" s="762">
        <f>_xlfn.XLOOKUP(D29,RUC!$B$3:$B$123,RUC!$D$3:$D$123)</f>
        <v>10770876970</v>
      </c>
      <c r="G29" s="1082" t="s">
        <v>2985</v>
      </c>
      <c r="H29" s="762" t="s">
        <v>69</v>
      </c>
      <c r="I29" s="703">
        <v>16.440000000000001</v>
      </c>
      <c r="J29" s="596">
        <v>6.78</v>
      </c>
      <c r="K29" s="703">
        <f t="shared" si="0"/>
        <v>15.324999999999999</v>
      </c>
      <c r="L29" s="1745">
        <v>0.16500000000000001</v>
      </c>
      <c r="M29" s="994">
        <f t="shared" si="43"/>
        <v>0.14599999999999999</v>
      </c>
      <c r="N29" s="1196">
        <f t="shared" si="44"/>
        <v>0.14599999999999999</v>
      </c>
      <c r="O29" s="645">
        <f t="shared" si="38"/>
        <v>0.14599999999999999</v>
      </c>
      <c r="P29" s="727">
        <v>80</v>
      </c>
      <c r="Q29" s="1476">
        <v>96.97</v>
      </c>
      <c r="R29" s="706">
        <v>4466.25</v>
      </c>
      <c r="S29" s="1164">
        <v>110</v>
      </c>
      <c r="U29" s="1146">
        <f>_xlfn.XLOOKUP(D29,RUC!$B$3:$B$123,RUC!$F$3:$F$123)</f>
        <v>100</v>
      </c>
      <c r="V29" s="715">
        <v>1.1023000000000001</v>
      </c>
      <c r="Y29">
        <f>_xlfn.XLOOKUP(D29,RUC!$B$3:$B$123,RUC!$G$3:$G$123)</f>
        <v>0</v>
      </c>
      <c r="Z29" s="1454">
        <v>100</v>
      </c>
      <c r="AA29" s="144">
        <f t="shared" si="4"/>
        <v>100</v>
      </c>
      <c r="AB29" s="145">
        <f t="shared" si="34"/>
        <v>330.66574939999998</v>
      </c>
      <c r="AC29" s="145">
        <f>+(S29-T29)*V29-'data 1'!$F$4</f>
        <v>41.253</v>
      </c>
      <c r="AD29" s="145">
        <f t="shared" si="26"/>
        <v>134.76409295868751</v>
      </c>
      <c r="AE29" s="145">
        <f t="shared" si="27"/>
        <v>40.230000000000004</v>
      </c>
      <c r="AF29" s="145">
        <f t="shared" si="28"/>
        <v>88.674633592212601</v>
      </c>
      <c r="AG29" s="772">
        <f t="shared" si="35"/>
        <v>321.92172655090013</v>
      </c>
      <c r="AH29" s="1253">
        <f t="shared" si="39"/>
        <v>84.067999999999998</v>
      </c>
      <c r="AI29" s="1253">
        <f t="shared" si="40"/>
        <v>86.694999999999993</v>
      </c>
      <c r="AJ29" s="156">
        <f t="shared" si="41"/>
        <v>94.136714176312523</v>
      </c>
      <c r="AK29" s="156">
        <f t="shared" si="42"/>
        <v>61.369473193977996</v>
      </c>
      <c r="AM29" s="716">
        <f t="shared" si="33"/>
        <v>5067.4526095549991</v>
      </c>
      <c r="AN29" s="716" t="str">
        <f>_xlfn.XLOOKUP(D29,RUC!$B$3:$B$578,RUC!$M$3:$M$578)</f>
        <v>Alfred Torres  *</v>
      </c>
      <c r="AO29" s="1167" t="s">
        <v>2278</v>
      </c>
      <c r="AP29" t="s">
        <v>5109</v>
      </c>
      <c r="AQ29" t="s">
        <v>5110</v>
      </c>
      <c r="AV29" s="1556" t="s">
        <v>2277</v>
      </c>
      <c r="AW29" s="1227">
        <f t="shared" ref="AW29:AW38" si="45">SUMIF($AO$4:$AO$417,AV29,$K$4:$K$417)</f>
        <v>164.97000000000003</v>
      </c>
      <c r="AX29" s="1227"/>
      <c r="AY29" s="1229">
        <f t="shared" ref="AY29:AY38" si="46">AW29*AX29*31.1035*1.1023</f>
        <v>0</v>
      </c>
      <c r="AZ29" s="596"/>
      <c r="BA29" s="1255">
        <f t="shared" ref="BA29:BA38" si="47">AY29*AZ29/100</f>
        <v>0</v>
      </c>
      <c r="BB29" s="1840" t="s">
        <v>5383</v>
      </c>
      <c r="BC29" s="1574">
        <f ca="1">+BB7</f>
        <v>4725.8590000000004</v>
      </c>
    </row>
    <row r="30" spans="1:56" ht="15" customHeight="1">
      <c r="A30" s="747" t="s">
        <v>5093</v>
      </c>
      <c r="B30" s="1447">
        <v>46109</v>
      </c>
      <c r="C30" s="1447">
        <v>46104</v>
      </c>
      <c r="D30" t="s">
        <v>2004</v>
      </c>
      <c r="E30" s="762">
        <f>_xlfn.XLOOKUP(D30,RUC!$B$3:$B$123,RUC!$D$3:$D$123)</f>
        <v>20612921866</v>
      </c>
      <c r="G30" s="1082">
        <v>130</v>
      </c>
      <c r="H30" s="762" t="s">
        <v>2005</v>
      </c>
      <c r="I30" s="703">
        <v>9.9700000000000006</v>
      </c>
      <c r="J30" s="596">
        <v>2</v>
      </c>
      <c r="K30" s="703">
        <f t="shared" si="0"/>
        <v>9.7710000000000008</v>
      </c>
      <c r="L30" s="1745">
        <v>0.188</v>
      </c>
      <c r="M30" s="994">
        <f t="shared" ref="M30:M74" si="48">ROUND(+IF(AN30="Melchor Vera",IF(L30&gt;0.467,L30*0.985,(L30-0.007)),IF(L30&gt;0.3,L30*0.94,(L30-0.019))),3)</f>
        <v>0.16900000000000001</v>
      </c>
      <c r="N30" s="1196">
        <f t="shared" si="44"/>
        <v>0.16900000000000001</v>
      </c>
      <c r="O30" s="645">
        <f t="shared" si="38"/>
        <v>0.16900000000000001</v>
      </c>
      <c r="P30" s="727">
        <v>90</v>
      </c>
      <c r="Q30" s="1476">
        <v>98.94</v>
      </c>
      <c r="R30" s="706">
        <v>4466.25</v>
      </c>
      <c r="S30" s="765">
        <f>IF((_xlfn.XLOOKUP(D30,RUC!$B$3:$B$119,RUC!$E$3:$E$119)+ROUNDDOWN(O30,1)*100)&lt;95,95,((_xlfn.XLOOKUP(D30,RUC!$B$3:$B$119,RUC!$E$3:$E$119)+ROUNDDOWN(O30,1)*100)))</f>
        <v>95</v>
      </c>
      <c r="U30" s="1146">
        <f>_xlfn.XLOOKUP(D30,RUC!$B$3:$B$123,RUC!$F$3:$F$123)</f>
        <v>100</v>
      </c>
      <c r="V30" s="715">
        <v>1.1023000000000001</v>
      </c>
      <c r="Y30">
        <f>_xlfn.XLOOKUP(D30,RUC!$B$3:$B$123,RUC!$G$3:$G$123)</f>
        <v>0</v>
      </c>
      <c r="Z30" s="143">
        <f>_xlfn.XLOOKUP(D30,RUC!$B$3:$B$123,RUC!$H$3:$H$123)</f>
        <v>30</v>
      </c>
      <c r="AA30" s="144">
        <f t="shared" si="4"/>
        <v>30</v>
      </c>
      <c r="AB30" s="145">
        <f t="shared" si="34"/>
        <v>594.25723273750009</v>
      </c>
      <c r="AC30" s="145">
        <f>+(S30-T30)*V30-'data 1'!$F$4</f>
        <v>24.718500000000006</v>
      </c>
      <c r="AD30" s="145">
        <f t="shared" si="26"/>
        <v>80.891664905099972</v>
      </c>
      <c r="AE30" s="145">
        <f t="shared" si="27"/>
        <v>-36.930999999999997</v>
      </c>
      <c r="AF30" s="145">
        <f t="shared" si="28"/>
        <v>90.476108565674949</v>
      </c>
      <c r="AG30" s="772">
        <f>AC30+AD30+AE30+AF30+70-10</f>
        <v>219.15527347077494</v>
      </c>
      <c r="AH30" s="1253">
        <f t="shared" si="39"/>
        <v>62.313000000000002</v>
      </c>
      <c r="AI30" s="1253">
        <f t="shared" si="40"/>
        <v>62.98</v>
      </c>
      <c r="AJ30" s="156">
        <f t="shared" si="41"/>
        <v>109.43782438890001</v>
      </c>
      <c r="AK30" s="156">
        <f t="shared" si="42"/>
        <v>50.953884301419265</v>
      </c>
      <c r="AM30" s="716">
        <f t="shared" si="33"/>
        <v>5806.4874210781136</v>
      </c>
      <c r="AN30" s="148" t="str">
        <f>_xlfn.XLOOKUP(D30,RUC!$B$3:$B$578,RUC!$M$3:$M$578)</f>
        <v>Ronald Garibay</v>
      </c>
      <c r="AO30" s="1167" t="s">
        <v>2277</v>
      </c>
      <c r="AP30" t="s">
        <v>5114</v>
      </c>
      <c r="AQ30" t="s">
        <v>5115</v>
      </c>
      <c r="AV30" s="1557" t="s">
        <v>2278</v>
      </c>
      <c r="AW30" s="703">
        <f t="shared" si="45"/>
        <v>166.70199999999997</v>
      </c>
      <c r="AX30" s="703"/>
      <c r="AY30" s="596">
        <f t="shared" si="46"/>
        <v>0</v>
      </c>
      <c r="AZ30" s="596"/>
      <c r="BA30" s="1256">
        <f t="shared" si="47"/>
        <v>0</v>
      </c>
      <c r="BB30" s="1841" t="s">
        <v>5384</v>
      </c>
      <c r="BC30" s="1576">
        <v>1234.5999999999999</v>
      </c>
      <c r="BD30" t="s">
        <v>5405</v>
      </c>
    </row>
    <row r="31" spans="1:56" ht="15" customHeight="1">
      <c r="A31" s="747" t="s">
        <v>5099</v>
      </c>
      <c r="B31" s="1447">
        <v>46109</v>
      </c>
      <c r="C31" s="1447">
        <v>46104</v>
      </c>
      <c r="D31" t="s">
        <v>5095</v>
      </c>
      <c r="E31" s="762">
        <f>_xlfn.XLOOKUP(D31,RUC!$B$3:$B$123,RUC!$D$3:$D$123)</f>
        <v>10770876970</v>
      </c>
      <c r="G31" s="1082">
        <v>34</v>
      </c>
      <c r="H31" s="762" t="s">
        <v>69</v>
      </c>
      <c r="I31" s="703">
        <v>2.91</v>
      </c>
      <c r="J31" s="596">
        <v>6.33</v>
      </c>
      <c r="K31" s="703">
        <f t="shared" si="0"/>
        <v>2.726</v>
      </c>
      <c r="L31" s="1745">
        <v>0.36699999999999999</v>
      </c>
      <c r="M31" s="994">
        <f t="shared" si="48"/>
        <v>0.34499999999999997</v>
      </c>
      <c r="N31" s="1196">
        <f t="shared" si="44"/>
        <v>0.34499999999999997</v>
      </c>
      <c r="O31" s="645">
        <f t="shared" si="38"/>
        <v>0.34499999999999997</v>
      </c>
      <c r="P31" s="727">
        <v>90</v>
      </c>
      <c r="Q31" s="1476">
        <v>95.91</v>
      </c>
      <c r="R31" s="706">
        <v>4413.55</v>
      </c>
      <c r="S31" s="1164">
        <f>IF((_xlfn.XLOOKUP(D31,RUC!$B$3:$B$119,RUC!$E$3:$E$119)+ROUNDDOWN(O31,1)*100)&lt;95,95,((_xlfn.XLOOKUP(D31,RUC!$B$3:$B$119,RUC!$E$3:$E$119)+ROUNDDOWN(O31,1)*100)))</f>
        <v>115</v>
      </c>
      <c r="U31" s="1146">
        <f>_xlfn.XLOOKUP(D31,RUC!$B$3:$B$123,RUC!$F$3:$F$123)</f>
        <v>100</v>
      </c>
      <c r="V31" s="715">
        <v>1.1023000000000001</v>
      </c>
      <c r="Y31">
        <f>_xlfn.XLOOKUP(D31,RUC!$B$3:$B$123,RUC!$G$3:$G$123)</f>
        <v>0</v>
      </c>
      <c r="Z31" s="1454">
        <v>100</v>
      </c>
      <c r="AA31" s="144">
        <f t="shared" si="4"/>
        <v>100</v>
      </c>
      <c r="AB31" s="145">
        <f t="shared" si="34"/>
        <v>1239.3790242324999</v>
      </c>
      <c r="AC31" s="145">
        <f>+(S31-T31)*V31-'data 1'!$F$4</f>
        <v>46.764500000000012</v>
      </c>
      <c r="AD31" s="145">
        <f t="shared" si="26"/>
        <v>103.13075307100044</v>
      </c>
      <c r="AE31" s="145">
        <f t="shared" si="27"/>
        <v>40.230000000000004</v>
      </c>
      <c r="AF31" s="145">
        <f t="shared" si="28"/>
        <v>100.32778304673309</v>
      </c>
      <c r="AG31" s="772">
        <f t="shared" ref="AG31:AG59" si="49">AC31+AD31+AE31+AF31+70-53</f>
        <v>307.45303611773357</v>
      </c>
      <c r="AH31" s="1253">
        <f t="shared" si="39"/>
        <v>32.898000000000003</v>
      </c>
      <c r="AI31" s="1253">
        <f t="shared" si="40"/>
        <v>34.301000000000002</v>
      </c>
      <c r="AJ31" s="156">
        <f t="shared" si="41"/>
        <v>227.54157154849946</v>
      </c>
      <c r="AK31" s="156">
        <f t="shared" si="42"/>
        <v>29.019941009445152</v>
      </c>
      <c r="AM31" s="716">
        <f t="shared" si="33"/>
        <v>3378.5472200577947</v>
      </c>
      <c r="AN31" s="716" t="str">
        <f>_xlfn.XLOOKUP(D31,RUC!$B$3:$B$578,RUC!$M$3:$M$578)</f>
        <v>Alfred Torres  *</v>
      </c>
      <c r="AO31" s="1167" t="s">
        <v>2278</v>
      </c>
      <c r="AP31" t="s">
        <v>3603</v>
      </c>
      <c r="AQ31" t="s">
        <v>2966</v>
      </c>
      <c r="AV31" s="1557" t="s">
        <v>2280</v>
      </c>
      <c r="AW31" s="703">
        <f t="shared" si="45"/>
        <v>153.84299999999999</v>
      </c>
      <c r="AX31" s="703"/>
      <c r="AY31" s="596">
        <f t="shared" si="46"/>
        <v>0</v>
      </c>
      <c r="AZ31" s="596"/>
      <c r="BA31" s="1256">
        <f t="shared" si="47"/>
        <v>0</v>
      </c>
      <c r="BB31" s="1842" t="s">
        <v>5385</v>
      </c>
      <c r="BC31" s="1675">
        <v>4596.7</v>
      </c>
    </row>
    <row r="32" spans="1:56" ht="15" customHeight="1">
      <c r="A32" s="747" t="s">
        <v>5100</v>
      </c>
      <c r="B32" s="1447">
        <v>46109</v>
      </c>
      <c r="C32" s="1447">
        <v>46104</v>
      </c>
      <c r="D32" t="s">
        <v>5095</v>
      </c>
      <c r="E32" s="762">
        <f>_xlfn.XLOOKUP(D32,RUC!$B$3:$B$123,RUC!$D$3:$D$123)</f>
        <v>10770876970</v>
      </c>
      <c r="G32" s="1082" t="s">
        <v>2985</v>
      </c>
      <c r="H32" s="762" t="s">
        <v>69</v>
      </c>
      <c r="I32" s="703">
        <v>18.52</v>
      </c>
      <c r="J32" s="596">
        <v>5.88</v>
      </c>
      <c r="K32" s="703">
        <f t="shared" si="0"/>
        <v>17.431000000000001</v>
      </c>
      <c r="L32" s="1745">
        <v>0.16500000000000001</v>
      </c>
      <c r="M32" s="994">
        <f t="shared" si="48"/>
        <v>0.14599999999999999</v>
      </c>
      <c r="N32" s="1196">
        <f t="shared" si="44"/>
        <v>0.14599999999999999</v>
      </c>
      <c r="O32" s="645">
        <f t="shared" si="38"/>
        <v>0.14599999999999999</v>
      </c>
      <c r="P32" s="727">
        <v>80</v>
      </c>
      <c r="Q32" s="1476">
        <v>96.97</v>
      </c>
      <c r="R32" s="706">
        <v>4413.55</v>
      </c>
      <c r="S32" s="1164">
        <v>110</v>
      </c>
      <c r="U32" s="1146">
        <f>_xlfn.XLOOKUP(D32,RUC!$B$3:$B$123,RUC!$F$3:$F$123)</f>
        <v>100</v>
      </c>
      <c r="V32" s="715">
        <v>1.1023000000000001</v>
      </c>
      <c r="Y32">
        <f>_xlfn.XLOOKUP(D32,RUC!$B$3:$B$123,RUC!$G$3:$G$123)</f>
        <v>0</v>
      </c>
      <c r="Z32" s="1454">
        <v>100</v>
      </c>
      <c r="AA32" s="144">
        <f t="shared" si="4"/>
        <v>100</v>
      </c>
      <c r="AB32" s="145">
        <f t="shared" si="34"/>
        <v>323.88069607200003</v>
      </c>
      <c r="AC32" s="145">
        <f>+(S32-T32)*V32-'data 1'!$F$4</f>
        <v>41.253</v>
      </c>
      <c r="AD32" s="145">
        <f t="shared" si="26"/>
        <v>133.13751003308249</v>
      </c>
      <c r="AE32" s="145">
        <f t="shared" si="27"/>
        <v>40.230000000000004</v>
      </c>
      <c r="AF32" s="145">
        <f t="shared" si="28"/>
        <v>87.604343711809591</v>
      </c>
      <c r="AG32" s="772">
        <f t="shared" si="49"/>
        <v>319.22485374489207</v>
      </c>
      <c r="AH32" s="1253">
        <f t="shared" si="39"/>
        <v>95.620999999999995</v>
      </c>
      <c r="AI32" s="1253">
        <f t="shared" si="40"/>
        <v>98.608999999999995</v>
      </c>
      <c r="AJ32" s="156">
        <f t="shared" si="41"/>
        <v>103.43133682191748</v>
      </c>
      <c r="AK32" s="156">
        <f t="shared" si="42"/>
        <v>69.803020374827454</v>
      </c>
      <c r="AM32" s="716">
        <f t="shared" si="33"/>
        <v>5645.5644132310326</v>
      </c>
      <c r="AN32" s="716" t="str">
        <f>_xlfn.XLOOKUP(D32,RUC!$B$3:$B$578,RUC!$M$3:$M$578)</f>
        <v>Alfred Torres  *</v>
      </c>
      <c r="AO32" s="1167" t="s">
        <v>2278</v>
      </c>
      <c r="AP32" t="s">
        <v>3603</v>
      </c>
      <c r="AQ32" t="s">
        <v>2966</v>
      </c>
      <c r="AV32" s="1557" t="s">
        <v>2279</v>
      </c>
      <c r="AW32" s="703">
        <f t="shared" si="45"/>
        <v>140.89600000000002</v>
      </c>
      <c r="AX32" s="703"/>
      <c r="AY32" s="596">
        <f t="shared" si="46"/>
        <v>0</v>
      </c>
      <c r="AZ32" s="596"/>
      <c r="BA32" s="1256">
        <f t="shared" si="47"/>
        <v>0</v>
      </c>
      <c r="BB32" s="1842" t="s">
        <v>5386</v>
      </c>
      <c r="BC32" s="1815">
        <v>1135.5</v>
      </c>
    </row>
    <row r="33" spans="1:57" ht="15" customHeight="1">
      <c r="A33" s="747" t="s">
        <v>5120</v>
      </c>
      <c r="B33" s="1447">
        <v>46110</v>
      </c>
      <c r="C33" s="1447">
        <v>46105</v>
      </c>
      <c r="D33" t="s">
        <v>93</v>
      </c>
      <c r="E33" s="762">
        <f>_xlfn.XLOOKUP(D33,RUC!$B$3:$B$123,RUC!$D$3:$D$123)</f>
        <v>20169040231</v>
      </c>
      <c r="G33" s="1082">
        <v>30</v>
      </c>
      <c r="H33" s="762" t="s">
        <v>69</v>
      </c>
      <c r="I33" s="703">
        <v>2.25</v>
      </c>
      <c r="J33" s="596">
        <v>2.2999999999999998</v>
      </c>
      <c r="K33" s="703">
        <f t="shared" si="0"/>
        <v>2.198</v>
      </c>
      <c r="L33" s="1745">
        <v>2.1629999999999998</v>
      </c>
      <c r="M33" s="994">
        <f t="shared" si="48"/>
        <v>2.0329999999999999</v>
      </c>
      <c r="N33" s="1196">
        <f t="shared" si="44"/>
        <v>2.0329999999999999</v>
      </c>
      <c r="O33" s="645">
        <f t="shared" si="38"/>
        <v>2.0329999999999999</v>
      </c>
      <c r="P33" s="727">
        <v>90</v>
      </c>
      <c r="Q33" s="1476">
        <v>91.59</v>
      </c>
      <c r="R33" s="706">
        <v>4413.55</v>
      </c>
      <c r="S33" s="765">
        <f>IF((_xlfn.XLOOKUP(D33,RUC!$B$3:$B$119,RUC!$E$3:$E$119)+ROUNDDOWN(O33,1)*100)&lt;95,95,((_xlfn.XLOOKUP(D33,RUC!$B$3:$B$119,RUC!$E$3:$E$119)+ROUNDDOWN(O33,1)*100)))</f>
        <v>285</v>
      </c>
      <c r="U33" s="1146">
        <f>_xlfn.XLOOKUP(D33,RUC!$B$3:$B$123,RUC!$F$3:$F$123)</f>
        <v>120</v>
      </c>
      <c r="V33" s="715">
        <v>1.1023000000000001</v>
      </c>
      <c r="Y33">
        <f>_xlfn.XLOOKUP(D33,RUC!$B$3:$B$123,RUC!$G$3:$G$123)</f>
        <v>20</v>
      </c>
      <c r="Z33" s="1454">
        <v>35</v>
      </c>
      <c r="AA33" s="144">
        <f t="shared" si="4"/>
        <v>55</v>
      </c>
      <c r="AB33" s="145">
        <f t="shared" si="34"/>
        <v>8284.7858679005021</v>
      </c>
      <c r="AC33" s="145">
        <f>+(S33-T33)*V33-'data 1'!$F$4</f>
        <v>234.15550000000002</v>
      </c>
      <c r="AD33" s="145">
        <f t="shared" si="26"/>
        <v>162.76835560063085</v>
      </c>
      <c r="AE33" s="145">
        <f t="shared" si="27"/>
        <v>-9.3734999999999999</v>
      </c>
      <c r="AF33" s="145">
        <f t="shared" si="28"/>
        <v>563.51793590605462</v>
      </c>
      <c r="AG33" s="772">
        <f t="shared" si="49"/>
        <v>968.06829150668545</v>
      </c>
      <c r="AH33" s="1253">
        <f t="shared" si="39"/>
        <v>149.29400000000001</v>
      </c>
      <c r="AI33" s="1253">
        <f t="shared" si="40"/>
        <v>163.00200000000001</v>
      </c>
      <c r="AJ33" s="156">
        <f t="shared" si="41"/>
        <v>1324.3396636528691</v>
      </c>
      <c r="AK33" s="156">
        <f t="shared" si="42"/>
        <v>137.88487998415684</v>
      </c>
      <c r="AM33" s="716">
        <f t="shared" si="33"/>
        <v>18209.959337645305</v>
      </c>
      <c r="AN33" s="716" t="str">
        <f>_xlfn.XLOOKUP(D33,RUC!$B$3:$B$578,RUC!$M$3:$M$578)</f>
        <v>Ronald Miranda</v>
      </c>
      <c r="AO33" s="1167" t="s">
        <v>2277</v>
      </c>
      <c r="AP33" t="s">
        <v>5134</v>
      </c>
      <c r="AQ33" t="s">
        <v>5135</v>
      </c>
      <c r="AV33" s="1557" t="s">
        <v>2281</v>
      </c>
      <c r="AW33" s="703">
        <f t="shared" si="45"/>
        <v>0</v>
      </c>
      <c r="AX33" s="703"/>
      <c r="AY33" s="596">
        <f t="shared" si="46"/>
        <v>0</v>
      </c>
      <c r="AZ33" s="596"/>
      <c r="BA33" s="1256">
        <f t="shared" si="47"/>
        <v>0</v>
      </c>
      <c r="BB33" s="1842" t="s">
        <v>5387</v>
      </c>
      <c r="BC33" s="1581">
        <v>231.6</v>
      </c>
    </row>
    <row r="34" spans="1:57" ht="15" customHeight="1">
      <c r="A34" s="747" t="s">
        <v>5121</v>
      </c>
      <c r="B34" s="1447">
        <v>46111</v>
      </c>
      <c r="C34" s="1447">
        <v>46105</v>
      </c>
      <c r="D34" t="s">
        <v>4722</v>
      </c>
      <c r="E34" s="762" t="str">
        <f>_xlfn.XLOOKUP(D34,RUC!$B$3:$B$123,RUC!$D$3:$D$123)</f>
        <v>20610807004*</v>
      </c>
      <c r="G34" s="1082">
        <v>19</v>
      </c>
      <c r="H34" s="762" t="s">
        <v>69</v>
      </c>
      <c r="I34" s="703">
        <v>1.74</v>
      </c>
      <c r="J34" s="596">
        <v>2</v>
      </c>
      <c r="K34" s="703">
        <f t="shared" si="0"/>
        <v>1.7050000000000001</v>
      </c>
      <c r="L34" s="1745">
        <v>0.193</v>
      </c>
      <c r="M34" s="994">
        <f t="shared" si="48"/>
        <v>0.17399999999999999</v>
      </c>
      <c r="N34" s="1196">
        <f t="shared" si="44"/>
        <v>0.17399999999999999</v>
      </c>
      <c r="O34" s="645">
        <f t="shared" si="38"/>
        <v>0.17399999999999999</v>
      </c>
      <c r="P34" s="727">
        <v>80</v>
      </c>
      <c r="Q34" s="1476">
        <v>81.349999999999994</v>
      </c>
      <c r="R34" s="706">
        <v>4413.55</v>
      </c>
      <c r="S34" s="765">
        <f>IF((_xlfn.XLOOKUP(D34,RUC!$B$3:$B$119,RUC!$E$3:$E$119)+ROUNDDOWN(O34,1)*100)&lt;95,95,((_xlfn.XLOOKUP(D34,RUC!$B$3:$B$119,RUC!$E$3:$E$119)+ROUNDDOWN(O34,1)*100)))</f>
        <v>95</v>
      </c>
      <c r="U34" s="1146">
        <f>_xlfn.XLOOKUP(D34,RUC!$B$3:$B$123,RUC!$F$3:$F$123)</f>
        <v>120</v>
      </c>
      <c r="V34" s="715">
        <v>1.1023000000000001</v>
      </c>
      <c r="Y34">
        <f>_xlfn.XLOOKUP(D34,RUC!$B$3:$B$123,RUC!$G$3:$G$123)</f>
        <v>20</v>
      </c>
      <c r="Z34" s="1454">
        <v>35</v>
      </c>
      <c r="AA34" s="144">
        <f t="shared" si="4"/>
        <v>55</v>
      </c>
      <c r="AB34" s="145">
        <f t="shared" si="34"/>
        <v>493.45799896799997</v>
      </c>
      <c r="AC34" s="145">
        <f>+(S34-T34)*V34-'data 1'!$F$4</f>
        <v>24.718500000000006</v>
      </c>
      <c r="AD34" s="145">
        <f t="shared" si="26"/>
        <v>12.331258719907451</v>
      </c>
      <c r="AE34" s="145">
        <f t="shared" si="27"/>
        <v>-9.3734999999999999</v>
      </c>
      <c r="AF34" s="145">
        <f t="shared" si="28"/>
        <v>73.152216620322562</v>
      </c>
      <c r="AG34" s="772">
        <f t="shared" si="49"/>
        <v>117.82847534023003</v>
      </c>
      <c r="AH34" s="1253">
        <f t="shared" si="39"/>
        <v>9.1780000000000008</v>
      </c>
      <c r="AI34" s="1253">
        <f t="shared" si="40"/>
        <v>11.282</v>
      </c>
      <c r="AJ34" s="156">
        <f t="shared" si="41"/>
        <v>104.95658078909246</v>
      </c>
      <c r="AK34" s="156">
        <f t="shared" si="42"/>
        <v>8.1371568582347997</v>
      </c>
      <c r="AM34" s="716">
        <f t="shared" si="33"/>
        <v>841.34588824043999</v>
      </c>
      <c r="AN34" s="716" t="str">
        <f>_xlfn.XLOOKUP(D34,RUC!$B$3:$B$578,RUC!$M$3:$M$578)</f>
        <v>Ronald Miranda</v>
      </c>
      <c r="AO34" s="1167" t="s">
        <v>2278</v>
      </c>
      <c r="AP34" t="s">
        <v>3784</v>
      </c>
      <c r="AQ34" t="s">
        <v>5136</v>
      </c>
      <c r="AR34" t="s">
        <v>5164</v>
      </c>
      <c r="AV34" s="1557" t="s">
        <v>2297</v>
      </c>
      <c r="AW34" s="703">
        <f t="shared" si="45"/>
        <v>0</v>
      </c>
      <c r="AY34" s="596">
        <f t="shared" si="46"/>
        <v>0</v>
      </c>
      <c r="BA34" s="1256">
        <f t="shared" si="47"/>
        <v>0</v>
      </c>
      <c r="BB34" s="1579" t="s">
        <v>3206</v>
      </c>
      <c r="BC34" s="1580">
        <f ca="1">-BC29-BC30+BC31+BC32+BC33</f>
        <v>3.3409999999990703</v>
      </c>
    </row>
    <row r="35" spans="1:57" ht="15" customHeight="1">
      <c r="A35" s="747" t="s">
        <v>5122</v>
      </c>
      <c r="B35" s="1447">
        <v>46112</v>
      </c>
      <c r="C35" s="1447">
        <v>46105</v>
      </c>
      <c r="D35" t="s">
        <v>4722</v>
      </c>
      <c r="E35" s="762" t="str">
        <f>_xlfn.XLOOKUP(D35,RUC!$B$3:$B$123,RUC!$D$3:$D$123)</f>
        <v>20610807004*</v>
      </c>
      <c r="G35" s="1082">
        <v>13</v>
      </c>
      <c r="H35" s="762" t="s">
        <v>69</v>
      </c>
      <c r="I35" s="703">
        <v>1.23</v>
      </c>
      <c r="J35" s="596">
        <v>2.2000000000000002</v>
      </c>
      <c r="K35" s="703">
        <f t="shared" si="0"/>
        <v>1.2030000000000001</v>
      </c>
      <c r="L35" s="1745">
        <v>0.33200000000000002</v>
      </c>
      <c r="M35" s="994">
        <f t="shared" si="48"/>
        <v>0.312</v>
      </c>
      <c r="N35" s="1196">
        <f t="shared" si="44"/>
        <v>0.312</v>
      </c>
      <c r="O35" s="645">
        <f t="shared" si="38"/>
        <v>0.312</v>
      </c>
      <c r="P35" s="727">
        <v>67</v>
      </c>
      <c r="Q35" s="1572">
        <v>67.77</v>
      </c>
      <c r="R35" s="706">
        <v>4413.55</v>
      </c>
      <c r="S35" s="765">
        <f>IF((_xlfn.XLOOKUP(D35,RUC!$B$3:$B$119,RUC!$E$3:$E$119)+ROUNDDOWN(O35,1)*100)&lt;95,95,((_xlfn.XLOOKUP(D35,RUC!$B$3:$B$119,RUC!$E$3:$E$119)+ROUNDDOWN(O35,1)*100)))</f>
        <v>115</v>
      </c>
      <c r="U35" s="1146">
        <f>_xlfn.XLOOKUP(D35,RUC!$B$3:$B$123,RUC!$F$3:$F$123)</f>
        <v>120</v>
      </c>
      <c r="V35" s="715">
        <v>1.1023000000000001</v>
      </c>
      <c r="Y35">
        <f>_xlfn.XLOOKUP(D35,RUC!$B$3:$B$123,RUC!$G$3:$G$123)</f>
        <v>20</v>
      </c>
      <c r="Z35" s="1454">
        <v>35</v>
      </c>
      <c r="AA35" s="144">
        <f t="shared" si="4"/>
        <v>55</v>
      </c>
      <c r="AB35" s="145">
        <f t="shared" si="34"/>
        <v>801.94936569160006</v>
      </c>
      <c r="AC35" s="145">
        <f>+(S35-T35)*V35-'data 1'!$F$4</f>
        <v>46.764500000000012</v>
      </c>
      <c r="AD35" s="145">
        <f t="shared" si="26"/>
        <v>12.09887921380594</v>
      </c>
      <c r="AE35" s="145">
        <f t="shared" si="27"/>
        <v>-9.3734999999999999</v>
      </c>
      <c r="AF35" s="145">
        <f t="shared" si="28"/>
        <v>64.14810235641005</v>
      </c>
      <c r="AG35" s="772">
        <f t="shared" si="49"/>
        <v>130.637981570216</v>
      </c>
      <c r="AH35" s="1253">
        <f t="shared" si="39"/>
        <v>9.2799999999999994</v>
      </c>
      <c r="AI35" s="1253">
        <f t="shared" si="40"/>
        <v>13.693</v>
      </c>
      <c r="AJ35" s="156">
        <f t="shared" si="41"/>
        <v>150.40780631159396</v>
      </c>
      <c r="AK35" s="156">
        <f t="shared" si="42"/>
        <v>8.6219220741203166</v>
      </c>
      <c r="AM35" s="716">
        <f t="shared" si="33"/>
        <v>964.74508692699499</v>
      </c>
      <c r="AN35" s="716" t="str">
        <f>_xlfn.XLOOKUP(D35,RUC!$B$3:$B$578,RUC!$M$3:$M$578)</f>
        <v>Ronald Miranda</v>
      </c>
      <c r="AO35" s="1167" t="s">
        <v>2280</v>
      </c>
      <c r="AP35" t="s">
        <v>3784</v>
      </c>
      <c r="AQ35" t="s">
        <v>5136</v>
      </c>
      <c r="AR35" t="s">
        <v>5165</v>
      </c>
      <c r="AV35" s="1557" t="s">
        <v>2518</v>
      </c>
      <c r="AW35" s="703">
        <f t="shared" si="45"/>
        <v>0</v>
      </c>
      <c r="AY35" s="596">
        <f t="shared" si="46"/>
        <v>0</v>
      </c>
      <c r="BA35" s="1256">
        <f t="shared" si="47"/>
        <v>0</v>
      </c>
    </row>
    <row r="36" spans="1:57" ht="15" customHeight="1">
      <c r="A36" s="747" t="s">
        <v>5123</v>
      </c>
      <c r="B36" s="1447">
        <v>46110</v>
      </c>
      <c r="C36" s="1447">
        <v>46105</v>
      </c>
      <c r="D36" t="s">
        <v>4722</v>
      </c>
      <c r="E36" s="762" t="str">
        <f>_xlfn.XLOOKUP(D36,RUC!$B$3:$B$123,RUC!$D$3:$D$123)</f>
        <v>20610807004*</v>
      </c>
      <c r="G36" s="1082">
        <v>17</v>
      </c>
      <c r="H36" s="762" t="s">
        <v>69</v>
      </c>
      <c r="I36" s="703">
        <v>1.4</v>
      </c>
      <c r="J36" s="596">
        <v>2</v>
      </c>
      <c r="K36" s="703">
        <f t="shared" si="0"/>
        <v>1.3720000000000001</v>
      </c>
      <c r="L36" s="1745">
        <v>0.21099999999999999</v>
      </c>
      <c r="M36" s="994">
        <f t="shared" si="48"/>
        <v>0.192</v>
      </c>
      <c r="N36" s="1196">
        <f t="shared" si="44"/>
        <v>0.192</v>
      </c>
      <c r="O36" s="645">
        <f t="shared" si="38"/>
        <v>0.192</v>
      </c>
      <c r="P36" s="727">
        <v>85</v>
      </c>
      <c r="Q36" s="1476">
        <v>95.26</v>
      </c>
      <c r="R36" s="706">
        <v>4413.55</v>
      </c>
      <c r="S36" s="765">
        <f>IF((_xlfn.XLOOKUP(D36,RUC!$B$3:$B$119,RUC!$E$3:$E$119)+ROUNDDOWN(O36,1)*100)&lt;95,95,((_xlfn.XLOOKUP(D36,RUC!$B$3:$B$119,RUC!$E$3:$E$119)+ROUNDDOWN(O36,1)*100)))</f>
        <v>95</v>
      </c>
      <c r="U36" s="1146">
        <f>_xlfn.XLOOKUP(D36,RUC!$B$3:$B$123,RUC!$F$3:$F$123)</f>
        <v>120</v>
      </c>
      <c r="V36" s="715">
        <v>1.1023000000000001</v>
      </c>
      <c r="Y36">
        <f>_xlfn.XLOOKUP(D36,RUC!$B$3:$B$123,RUC!$G$3:$G$123)</f>
        <v>20</v>
      </c>
      <c r="Z36" s="1454">
        <v>35</v>
      </c>
      <c r="AA36" s="144">
        <f t="shared" si="4"/>
        <v>55</v>
      </c>
      <c r="AB36" s="145">
        <f t="shared" si="34"/>
        <v>607.04472292800006</v>
      </c>
      <c r="AC36" s="145">
        <f>+(S36-T36)*V36-'data 1'!$F$4</f>
        <v>24.718500000000006</v>
      </c>
      <c r="AD36" s="145">
        <f t="shared" si="26"/>
        <v>102.45806468001906</v>
      </c>
      <c r="AE36" s="145">
        <f t="shared" si="27"/>
        <v>-9.3734999999999999</v>
      </c>
      <c r="AF36" s="145">
        <f t="shared" si="28"/>
        <v>85.660481318400969</v>
      </c>
      <c r="AG36" s="772">
        <f t="shared" si="49"/>
        <v>220.46354599842005</v>
      </c>
      <c r="AH36" s="1253">
        <f t="shared" si="39"/>
        <v>9.4550000000000001</v>
      </c>
      <c r="AI36" s="1253">
        <f t="shared" si="40"/>
        <v>9.9250000000000007</v>
      </c>
      <c r="AJ36" s="156">
        <f t="shared" si="41"/>
        <v>134.36552094923096</v>
      </c>
      <c r="AK36" s="156">
        <f t="shared" si="42"/>
        <v>7.6768549524307215</v>
      </c>
      <c r="AM36" s="716">
        <f t="shared" si="33"/>
        <v>832.86535985721616</v>
      </c>
      <c r="AN36" s="716" t="str">
        <f>_xlfn.XLOOKUP(D36,RUC!$B$3:$B$578,RUC!$M$3:$M$578)</f>
        <v>Ronald Miranda</v>
      </c>
      <c r="AO36" s="1167" t="s">
        <v>2278</v>
      </c>
      <c r="AP36" t="s">
        <v>3784</v>
      </c>
      <c r="AQ36" t="s">
        <v>5136</v>
      </c>
      <c r="AV36" s="1557" t="s">
        <v>2519</v>
      </c>
      <c r="AW36" s="703">
        <f t="shared" si="45"/>
        <v>0</v>
      </c>
      <c r="AY36" s="596">
        <f t="shared" si="46"/>
        <v>0</v>
      </c>
      <c r="BA36" s="1256">
        <f t="shared" si="47"/>
        <v>0</v>
      </c>
    </row>
    <row r="37" spans="1:57" ht="15" customHeight="1">
      <c r="A37" s="747" t="s">
        <v>5124</v>
      </c>
      <c r="B37" s="1447">
        <v>46110</v>
      </c>
      <c r="C37" s="1447">
        <v>46105</v>
      </c>
      <c r="D37" t="s">
        <v>93</v>
      </c>
      <c r="E37" s="762">
        <f>_xlfn.XLOOKUP(D37,RUC!$B$3:$B$123,RUC!$D$3:$D$123)</f>
        <v>20169040231</v>
      </c>
      <c r="G37" s="1082">
        <v>41</v>
      </c>
      <c r="H37" s="762" t="s">
        <v>69</v>
      </c>
      <c r="I37" s="703">
        <v>4.45</v>
      </c>
      <c r="J37" s="596">
        <v>2.8</v>
      </c>
      <c r="K37" s="703">
        <f t="shared" si="0"/>
        <v>4.3250000000000002</v>
      </c>
      <c r="L37" s="1745">
        <v>0.124</v>
      </c>
      <c r="M37" s="994">
        <f t="shared" si="48"/>
        <v>0.105</v>
      </c>
      <c r="N37" s="1196">
        <f t="shared" si="44"/>
        <v>0.105</v>
      </c>
      <c r="O37" s="645">
        <f t="shared" si="38"/>
        <v>0.105</v>
      </c>
      <c r="P37" s="727">
        <v>80</v>
      </c>
      <c r="Q37" s="1476">
        <v>96.7</v>
      </c>
      <c r="R37" s="706">
        <v>4413.55</v>
      </c>
      <c r="S37" s="765">
        <f>IF((_xlfn.XLOOKUP(D37,RUC!$B$3:$B$119,RUC!$E$3:$E$119)+ROUNDDOWN(O37,1)*100)&lt;95,95,((_xlfn.XLOOKUP(D37,RUC!$B$3:$B$119,RUC!$E$3:$E$119)+ROUNDDOWN(O37,1)*100)))</f>
        <v>95</v>
      </c>
      <c r="U37" s="1146">
        <f>_xlfn.XLOOKUP(D37,RUC!$B$3:$B$123,RUC!$F$3:$F$123)</f>
        <v>120</v>
      </c>
      <c r="V37" s="715">
        <v>1.1023000000000001</v>
      </c>
      <c r="Y37">
        <f>_xlfn.XLOOKUP(D37,RUC!$B$3:$B$123,RUC!$G$3:$G$123)</f>
        <v>20</v>
      </c>
      <c r="Z37" s="1454">
        <v>35</v>
      </c>
      <c r="AA37" s="144">
        <f t="shared" si="4"/>
        <v>55</v>
      </c>
      <c r="AB37" s="145">
        <f t="shared" si="34"/>
        <v>232.20853386000005</v>
      </c>
      <c r="AC37" s="145">
        <f>+(S37-T37)*V37-'data 1'!$F$4</f>
        <v>24.718500000000006</v>
      </c>
      <c r="AD37" s="145">
        <f t="shared" si="26"/>
        <v>98.006411656820035</v>
      </c>
      <c r="AE37" s="145">
        <f t="shared" si="27"/>
        <v>-9.3734999999999999</v>
      </c>
      <c r="AF37" s="145">
        <f t="shared" si="28"/>
        <v>86.955369971545025</v>
      </c>
      <c r="AG37" s="772">
        <f t="shared" si="49"/>
        <v>217.30678162836506</v>
      </c>
      <c r="AH37" s="1253">
        <f t="shared" si="39"/>
        <v>17.78</v>
      </c>
      <c r="AI37" s="1253">
        <f t="shared" si="40"/>
        <v>18.387</v>
      </c>
      <c r="AJ37" s="156">
        <f t="shared" si="41"/>
        <v>80.157279135179991</v>
      </c>
      <c r="AK37" s="156">
        <f t="shared" si="42"/>
        <v>12.455881478564999</v>
      </c>
      <c r="AM37" s="716">
        <f t="shared" si="33"/>
        <v>1004.3019089445003</v>
      </c>
      <c r="AN37" s="716" t="str">
        <f>_xlfn.XLOOKUP(D37,RUC!$B$3:$B$578,RUC!$M$3:$M$578)</f>
        <v>Ronald Miranda</v>
      </c>
      <c r="AO37" s="1167" t="s">
        <v>2280</v>
      </c>
      <c r="AP37" t="s">
        <v>5134</v>
      </c>
      <c r="AQ37" t="s">
        <v>5135</v>
      </c>
      <c r="AV37" s="1557" t="s">
        <v>2520</v>
      </c>
      <c r="AW37" s="703">
        <f t="shared" si="45"/>
        <v>0</v>
      </c>
      <c r="AY37" s="596">
        <f t="shared" si="46"/>
        <v>0</v>
      </c>
      <c r="BA37" s="1256">
        <f t="shared" si="47"/>
        <v>0</v>
      </c>
    </row>
    <row r="38" spans="1:57" ht="15" customHeight="1" thickBot="1">
      <c r="A38" s="747" t="s">
        <v>5125</v>
      </c>
      <c r="B38" s="1447">
        <v>46110</v>
      </c>
      <c r="C38" s="1447">
        <v>46105</v>
      </c>
      <c r="D38" t="s">
        <v>93</v>
      </c>
      <c r="E38" s="762">
        <f>_xlfn.XLOOKUP(D38,RUC!$B$3:$B$123,RUC!$D$3:$D$123)</f>
        <v>20169040231</v>
      </c>
      <c r="G38" s="1082">
        <v>10</v>
      </c>
      <c r="H38" s="762" t="s">
        <v>2005</v>
      </c>
      <c r="I38" s="703">
        <v>1.03</v>
      </c>
      <c r="J38" s="596">
        <v>8.9499999999999993</v>
      </c>
      <c r="K38" s="703">
        <f t="shared" si="0"/>
        <v>0.93799999999999994</v>
      </c>
      <c r="L38" s="1745">
        <v>0.14199999999999999</v>
      </c>
      <c r="M38" s="994">
        <f t="shared" si="48"/>
        <v>0.123</v>
      </c>
      <c r="N38" s="1196">
        <f t="shared" si="44"/>
        <v>0.123</v>
      </c>
      <c r="O38" s="645">
        <f t="shared" si="38"/>
        <v>0.123</v>
      </c>
      <c r="P38" s="727">
        <v>80</v>
      </c>
      <c r="Q38" s="1476">
        <v>91.89</v>
      </c>
      <c r="R38" s="706">
        <v>4413.55</v>
      </c>
      <c r="S38" s="765">
        <f>IF((_xlfn.XLOOKUP(D38,RUC!$B$3:$B$119,RUC!$E$3:$E$119)+ROUNDDOWN(O38,1)*100)&lt;95,95,((_xlfn.XLOOKUP(D38,RUC!$B$3:$B$119,RUC!$E$3:$E$119)+ROUNDDOWN(O38,1)*100)))</f>
        <v>95</v>
      </c>
      <c r="U38" s="1146">
        <f>_xlfn.XLOOKUP(D38,RUC!$B$3:$B$123,RUC!$F$3:$F$123)</f>
        <v>120</v>
      </c>
      <c r="V38" s="715">
        <v>1.1023000000000001</v>
      </c>
      <c r="Y38">
        <f>_xlfn.XLOOKUP(D38,RUC!$B$3:$B$123,RUC!$G$3:$G$123)</f>
        <v>20</v>
      </c>
      <c r="Z38" s="1454">
        <v>35</v>
      </c>
      <c r="AA38" s="144">
        <f t="shared" si="4"/>
        <v>55</v>
      </c>
      <c r="AB38" s="145">
        <f t="shared" si="34"/>
        <v>300.36056823600001</v>
      </c>
      <c r="AC38" s="145">
        <f>+(S38-T38)*V38-'data 1'!$F$4</f>
        <v>24.718500000000006</v>
      </c>
      <c r="AD38" s="145">
        <f t="shared" si="26"/>
        <v>79.907313749826997</v>
      </c>
      <c r="AE38" s="145">
        <f t="shared" si="27"/>
        <v>-9.3734999999999999</v>
      </c>
      <c r="AF38" s="145">
        <f t="shared" si="28"/>
        <v>82.630082178751451</v>
      </c>
      <c r="AG38" s="772">
        <f t="shared" si="49"/>
        <v>194.88239592857846</v>
      </c>
      <c r="AH38" s="1253">
        <f t="shared" si="39"/>
        <v>4.1959999999999997</v>
      </c>
      <c r="AI38" s="1253">
        <f t="shared" si="40"/>
        <v>4.5670000000000002</v>
      </c>
      <c r="AJ38" s="156">
        <f t="shared" si="41"/>
        <v>87.227093932172977</v>
      </c>
      <c r="AK38" s="156">
        <f t="shared" si="42"/>
        <v>3.1645138887045601</v>
      </c>
      <c r="AM38" s="716">
        <f t="shared" si="33"/>
        <v>281.73821300536798</v>
      </c>
      <c r="AN38" s="716" t="str">
        <f>_xlfn.XLOOKUP(D38,RUC!$B$3:$B$578,RUC!$M$3:$M$578)</f>
        <v>Ronald Miranda</v>
      </c>
      <c r="AO38" s="1167" t="s">
        <v>2278</v>
      </c>
      <c r="AP38" t="s">
        <v>5134</v>
      </c>
      <c r="AQ38" t="s">
        <v>5135</v>
      </c>
      <c r="AV38" s="1558" t="s">
        <v>2521</v>
      </c>
      <c r="AW38" s="1254">
        <f t="shared" si="45"/>
        <v>0</v>
      </c>
      <c r="AX38" s="1257"/>
      <c r="AY38" s="1242">
        <f t="shared" si="46"/>
        <v>0</v>
      </c>
      <c r="AZ38" s="1257"/>
      <c r="BA38" s="1258">
        <f t="shared" si="47"/>
        <v>0</v>
      </c>
    </row>
    <row r="39" spans="1:57" ht="15" customHeight="1">
      <c r="A39" s="747" t="s">
        <v>5127</v>
      </c>
      <c r="B39" s="1447">
        <v>46082</v>
      </c>
      <c r="C39" s="1447">
        <v>46105</v>
      </c>
      <c r="D39" t="s">
        <v>93</v>
      </c>
      <c r="E39" s="762">
        <f>_xlfn.XLOOKUP(D39,RUC!$B$3:$B$123,RUC!$D$3:$D$123)</f>
        <v>20169040231</v>
      </c>
      <c r="G39" s="1082">
        <v>40</v>
      </c>
      <c r="H39" s="762" t="s">
        <v>69</v>
      </c>
      <c r="I39" s="703">
        <v>3.59</v>
      </c>
      <c r="J39" s="596">
        <v>2</v>
      </c>
      <c r="K39" s="703">
        <f t="shared" si="0"/>
        <v>3.5179999999999998</v>
      </c>
      <c r="L39" s="1745">
        <v>0.186</v>
      </c>
      <c r="M39" s="994">
        <f t="shared" si="48"/>
        <v>0.16700000000000001</v>
      </c>
      <c r="N39" s="1196">
        <f t="shared" si="44"/>
        <v>0.16700000000000001</v>
      </c>
      <c r="O39" s="645">
        <f t="shared" si="38"/>
        <v>0.16700000000000001</v>
      </c>
      <c r="P39" s="727">
        <v>80</v>
      </c>
      <c r="Q39" s="1572">
        <v>80.650000000000006</v>
      </c>
      <c r="R39" s="706">
        <v>4413.55</v>
      </c>
      <c r="S39" s="765">
        <f>IF((_xlfn.XLOOKUP(D39,RUC!$B$3:$B$119,RUC!$E$3:$E$119)+ROUNDDOWN(O39,1)*100)&lt;95,95,((_xlfn.XLOOKUP(D39,RUC!$B$3:$B$119,RUC!$E$3:$E$119)+ROUNDDOWN(O39,1)*100)))</f>
        <v>95</v>
      </c>
      <c r="U39" s="1146">
        <f>_xlfn.XLOOKUP(D39,RUC!$B$3:$B$123,RUC!$F$3:$F$123)</f>
        <v>120</v>
      </c>
      <c r="V39" s="715">
        <v>1.1023000000000001</v>
      </c>
      <c r="Y39" s="1445">
        <v>35</v>
      </c>
      <c r="Z39" s="1454">
        <v>35</v>
      </c>
      <c r="AA39" s="144">
        <f t="shared" si="4"/>
        <v>70</v>
      </c>
      <c r="AB39" s="145">
        <f t="shared" si="34"/>
        <v>450.41993004400018</v>
      </c>
      <c r="AC39" s="145">
        <f>+(S39-T39)*V39-'data 1'!$F$4</f>
        <v>24.718500000000006</v>
      </c>
      <c r="AD39" s="145">
        <f t="shared" si="26"/>
        <v>5.7219312194850502</v>
      </c>
      <c r="AE39" s="145">
        <f t="shared" si="27"/>
        <v>7.1610000000000014</v>
      </c>
      <c r="AF39" s="145">
        <f t="shared" si="28"/>
        <v>72.522756858377477</v>
      </c>
      <c r="AG39" s="772">
        <f t="shared" si="49"/>
        <v>127.12418807786253</v>
      </c>
      <c r="AH39" s="1253">
        <f t="shared" si="39"/>
        <v>18.093</v>
      </c>
      <c r="AI39" s="1253">
        <f t="shared" si="40"/>
        <v>22.434999999999999</v>
      </c>
      <c r="AJ39" s="156">
        <f t="shared" si="41"/>
        <v>100.27949165851498</v>
      </c>
      <c r="AK39" s="156">
        <f t="shared" si="42"/>
        <v>16.11429695336264</v>
      </c>
      <c r="AM39" s="716">
        <f t="shared" si="33"/>
        <v>1584.5773138947925</v>
      </c>
      <c r="AN39" s="716" t="str">
        <f>_xlfn.XLOOKUP(D39,RUC!$B$3:$B$578,RUC!$M$3:$M$578)</f>
        <v>Ronald Miranda</v>
      </c>
      <c r="AO39" s="1167" t="s">
        <v>2278</v>
      </c>
      <c r="AP39" t="s">
        <v>5134</v>
      </c>
      <c r="AQ39" t="s">
        <v>5135</v>
      </c>
    </row>
    <row r="40" spans="1:57" ht="15" customHeight="1">
      <c r="A40" s="747" t="s">
        <v>5128</v>
      </c>
      <c r="B40" s="1447">
        <v>46082</v>
      </c>
      <c r="C40" s="1447">
        <v>46105</v>
      </c>
      <c r="D40" t="s">
        <v>93</v>
      </c>
      <c r="E40" s="762">
        <f>_xlfn.XLOOKUP(D40,RUC!$B$3:$B$123,RUC!$D$3:$D$123)</f>
        <v>20169040231</v>
      </c>
      <c r="G40" s="1082">
        <v>41</v>
      </c>
      <c r="H40" s="762" t="s">
        <v>69</v>
      </c>
      <c r="I40" s="703">
        <v>3.69</v>
      </c>
      <c r="J40" s="596">
        <v>2.1</v>
      </c>
      <c r="K40" s="703">
        <f t="shared" si="0"/>
        <v>3.613</v>
      </c>
      <c r="L40" s="1745">
        <v>0.18</v>
      </c>
      <c r="M40" s="994">
        <f t="shared" si="48"/>
        <v>0.161</v>
      </c>
      <c r="N40" s="1196">
        <f t="shared" si="44"/>
        <v>0.161</v>
      </c>
      <c r="O40" s="645">
        <f t="shared" si="38"/>
        <v>0.161</v>
      </c>
      <c r="P40" s="727">
        <v>76</v>
      </c>
      <c r="Q40" s="1572">
        <v>76.67</v>
      </c>
      <c r="R40" s="706">
        <v>4413.55</v>
      </c>
      <c r="S40" s="765">
        <f>IF((_xlfn.XLOOKUP(D40,RUC!$B$3:$B$119,RUC!$E$3:$E$119)+ROUNDDOWN(O40,1)*100)&lt;95,95,((_xlfn.XLOOKUP(D40,RUC!$B$3:$B$119,RUC!$E$3:$E$119)+ROUNDDOWN(O40,1)*100)))</f>
        <v>95</v>
      </c>
      <c r="U40" s="1146">
        <f>_xlfn.XLOOKUP(D40,RUC!$B$3:$B$123,RUC!$F$3:$F$123)</f>
        <v>120</v>
      </c>
      <c r="V40" s="715">
        <v>1.1023000000000001</v>
      </c>
      <c r="Y40" s="1445">
        <v>15</v>
      </c>
      <c r="Z40" s="1454">
        <v>35</v>
      </c>
      <c r="AA40" s="144">
        <f t="shared" si="4"/>
        <v>50</v>
      </c>
      <c r="AB40" s="145">
        <f t="shared" si="34"/>
        <v>419.26948098940005</v>
      </c>
      <c r="AC40" s="145">
        <f>+(S40-T40)*V40-'data 1'!$F$4</f>
        <v>24.718500000000006</v>
      </c>
      <c r="AD40" s="145">
        <f t="shared" si="26"/>
        <v>5.7077328789900141</v>
      </c>
      <c r="AE40" s="145">
        <f t="shared" si="27"/>
        <v>-14.884999999999998</v>
      </c>
      <c r="AF40" s="145">
        <f t="shared" si="28"/>
        <v>68.943828497604471</v>
      </c>
      <c r="AG40" s="772">
        <f t="shared" si="49"/>
        <v>101.4850613765945</v>
      </c>
      <c r="AH40" s="1253">
        <f t="shared" si="39"/>
        <v>17.094999999999999</v>
      </c>
      <c r="AI40" s="1253">
        <f t="shared" si="40"/>
        <v>22.297000000000001</v>
      </c>
      <c r="AJ40" s="156">
        <f t="shared" si="41"/>
        <v>92.255608169009975</v>
      </c>
      <c r="AK40" s="156">
        <f t="shared" si="42"/>
        <v>15.157113375536177</v>
      </c>
      <c r="AM40" s="716">
        <f t="shared" si="33"/>
        <v>1514.8206348147023</v>
      </c>
      <c r="AN40" s="716" t="str">
        <f>_xlfn.XLOOKUP(D40,RUC!$B$3:$B$578,RUC!$M$3:$M$578)</f>
        <v>Ronald Miranda</v>
      </c>
      <c r="AO40" s="1167" t="s">
        <v>2278</v>
      </c>
      <c r="AP40" t="s">
        <v>5134</v>
      </c>
      <c r="AQ40" t="s">
        <v>5135</v>
      </c>
      <c r="BE40">
        <f>4717.8+1234.6-4651.8-1135.5-231.6</f>
        <v>-66.50000000000054</v>
      </c>
    </row>
    <row r="41" spans="1:57" ht="15" customHeight="1">
      <c r="A41" s="747" t="s">
        <v>5129</v>
      </c>
      <c r="B41" s="1447">
        <v>46113</v>
      </c>
      <c r="C41" s="1447">
        <v>46105</v>
      </c>
      <c r="D41" t="s">
        <v>93</v>
      </c>
      <c r="E41" s="762">
        <f>_xlfn.XLOOKUP(D41,RUC!$B$3:$B$123,RUC!$D$3:$D$123)</f>
        <v>20169040231</v>
      </c>
      <c r="G41" s="1082">
        <v>26</v>
      </c>
      <c r="H41" s="762" t="s">
        <v>69</v>
      </c>
      <c r="I41" s="703">
        <v>2.5299999999999998</v>
      </c>
      <c r="J41" s="596">
        <v>2.2000000000000002</v>
      </c>
      <c r="K41" s="703">
        <f t="shared" si="0"/>
        <v>2.4740000000000002</v>
      </c>
      <c r="L41" s="1745">
        <v>0.26500000000000001</v>
      </c>
      <c r="M41" s="994">
        <f t="shared" si="48"/>
        <v>0.246</v>
      </c>
      <c r="N41" s="1196">
        <f t="shared" si="44"/>
        <v>0.246</v>
      </c>
      <c r="O41" s="645">
        <f t="shared" si="38"/>
        <v>0.246</v>
      </c>
      <c r="P41" s="727">
        <v>90</v>
      </c>
      <c r="Q41" s="1476">
        <v>93.02</v>
      </c>
      <c r="R41" s="706">
        <v>4413.55</v>
      </c>
      <c r="S41" s="765">
        <f>IF((_xlfn.XLOOKUP(D41,RUC!$B$3:$B$119,RUC!$E$3:$E$119)+ROUNDDOWN(O41,1)*100)&lt;95,95,((_xlfn.XLOOKUP(D41,RUC!$B$3:$B$119,RUC!$E$3:$E$119)+ROUNDDOWN(O41,1)*100)))</f>
        <v>105</v>
      </c>
      <c r="U41" s="1146">
        <f>_xlfn.XLOOKUP(D41,RUC!$B$3:$B$123,RUC!$F$3:$F$123)</f>
        <v>120</v>
      </c>
      <c r="V41" s="715">
        <v>1.1023000000000001</v>
      </c>
      <c r="Y41">
        <f>_xlfn.XLOOKUP(D41,RUC!$B$3:$B$123,RUC!$G$3:$G$123)</f>
        <v>20</v>
      </c>
      <c r="Z41" s="1454">
        <v>35</v>
      </c>
      <c r="AA41" s="144">
        <f t="shared" si="4"/>
        <v>55</v>
      </c>
      <c r="AB41" s="145">
        <f t="shared" si="34"/>
        <v>871.46952853100004</v>
      </c>
      <c r="AC41" s="145">
        <f>+(S41-T41)*V41-'data 1'!$F$4</f>
        <v>35.741500000000002</v>
      </c>
      <c r="AD41" s="145">
        <f t="shared" si="26"/>
        <v>37.87643966049496</v>
      </c>
      <c r="AE41" s="145">
        <f t="shared" si="27"/>
        <v>-9.3734999999999999</v>
      </c>
      <c r="AF41" s="145">
        <f t="shared" si="28"/>
        <v>83.646210080177056</v>
      </c>
      <c r="AG41" s="772">
        <f t="shared" si="49"/>
        <v>164.89064974067202</v>
      </c>
      <c r="AH41" s="1253">
        <f t="shared" si="39"/>
        <v>20.908999999999999</v>
      </c>
      <c r="AI41" s="1253">
        <f t="shared" si="40"/>
        <v>22.478000000000002</v>
      </c>
      <c r="AJ41" s="156">
        <f t="shared" si="41"/>
        <v>164.78474979700499</v>
      </c>
      <c r="AK41" s="156">
        <f t="shared" si="42"/>
        <v>18.779601877903982</v>
      </c>
      <c r="AM41" s="716">
        <f t="shared" si="33"/>
        <v>2156.0156135856942</v>
      </c>
      <c r="AN41" s="716" t="str">
        <f>_xlfn.XLOOKUP(D41,RUC!$B$3:$B$578,RUC!$M$3:$M$578)</f>
        <v>Ronald Miranda</v>
      </c>
      <c r="AO41" s="1167" t="s">
        <v>2278</v>
      </c>
      <c r="AP41" t="s">
        <v>5134</v>
      </c>
      <c r="AQ41" t="s">
        <v>5135</v>
      </c>
    </row>
    <row r="42" spans="1:57" ht="15" customHeight="1">
      <c r="A42" s="747" t="s">
        <v>5130</v>
      </c>
      <c r="B42" s="1447">
        <v>46113</v>
      </c>
      <c r="C42" s="1447">
        <v>46105</v>
      </c>
      <c r="D42" t="s">
        <v>4722</v>
      </c>
      <c r="E42" s="762" t="str">
        <f>_xlfn.XLOOKUP(D42,RUC!$B$3:$B$123,RUC!$D$3:$D$123)</f>
        <v>20610807004*</v>
      </c>
      <c r="G42" s="1082">
        <v>27</v>
      </c>
      <c r="H42" s="762" t="s">
        <v>69</v>
      </c>
      <c r="I42" s="703">
        <v>2.71</v>
      </c>
      <c r="J42" s="596">
        <v>3.35</v>
      </c>
      <c r="K42" s="703">
        <f t="shared" si="0"/>
        <v>2.6190000000000002</v>
      </c>
      <c r="L42" s="1745">
        <v>1.47</v>
      </c>
      <c r="M42" s="994">
        <f t="shared" si="48"/>
        <v>1.3819999999999999</v>
      </c>
      <c r="N42" s="1196">
        <f t="shared" si="44"/>
        <v>1.3819999999999999</v>
      </c>
      <c r="O42" s="645">
        <f t="shared" si="38"/>
        <v>1.3819999999999999</v>
      </c>
      <c r="P42" s="727">
        <v>87</v>
      </c>
      <c r="Q42" s="1476">
        <v>87.01</v>
      </c>
      <c r="R42" s="706">
        <v>4413.55</v>
      </c>
      <c r="S42" s="765">
        <f>IF((_xlfn.XLOOKUP(D42,RUC!$B$3:$B$119,RUC!$E$3:$E$119)+ROUNDDOWN(O42,1)*100)&lt;95,95,((_xlfn.XLOOKUP(D42,RUC!$B$3:$B$119,RUC!$E$3:$E$119)+ROUNDDOWN(O42,1)*100)))</f>
        <v>215</v>
      </c>
      <c r="U42" s="1146">
        <f>_xlfn.XLOOKUP(D42,RUC!$B$3:$B$123,RUC!$F$3:$F$123)</f>
        <v>120</v>
      </c>
      <c r="V42" s="715">
        <v>1.1023000000000001</v>
      </c>
      <c r="Y42">
        <f>_xlfn.XLOOKUP(D42,RUC!$B$3:$B$123,RUC!$G$3:$G$123)</f>
        <v>20</v>
      </c>
      <c r="Z42" s="1454">
        <v>35</v>
      </c>
      <c r="AA42" s="144">
        <f t="shared" si="4"/>
        <v>55</v>
      </c>
      <c r="AB42" s="145">
        <f t="shared" si="34"/>
        <v>5392.7899035861001</v>
      </c>
      <c r="AC42" s="145">
        <f>+(S42-T42)*V42-'data 1'!$F$4</f>
        <v>156.99450000000002</v>
      </c>
      <c r="AD42" s="145">
        <f t="shared" si="26"/>
        <v>0.69571868425535599</v>
      </c>
      <c r="AE42" s="145">
        <f t="shared" si="27"/>
        <v>-9.3734999999999999</v>
      </c>
      <c r="AF42" s="145">
        <f t="shared" si="28"/>
        <v>362.3832978978524</v>
      </c>
      <c r="AG42" s="772">
        <f t="shared" si="49"/>
        <v>527.70001658210776</v>
      </c>
      <c r="AH42" s="1253">
        <f t="shared" si="39"/>
        <v>114.85</v>
      </c>
      <c r="AI42" s="1253">
        <f t="shared" si="40"/>
        <v>131.99600000000001</v>
      </c>
      <c r="AJ42" s="156">
        <f t="shared" si="41"/>
        <v>855.02991798724497</v>
      </c>
      <c r="AK42" s="156">
        <f t="shared" si="42"/>
        <v>107.96223419278891</v>
      </c>
      <c r="AM42" s="716">
        <f t="shared" si="33"/>
        <v>14123.716757491997</v>
      </c>
      <c r="AN42" s="716" t="str">
        <f>_xlfn.XLOOKUP(D42,RUC!$B$3:$B$578,RUC!$M$3:$M$578)</f>
        <v>Ronald Miranda</v>
      </c>
      <c r="AO42" s="1167" t="s">
        <v>2277</v>
      </c>
      <c r="AP42" t="s">
        <v>3784</v>
      </c>
      <c r="AQ42" t="s">
        <v>5136</v>
      </c>
    </row>
    <row r="43" spans="1:57" ht="15" customHeight="1">
      <c r="A43" s="747" t="s">
        <v>5132</v>
      </c>
      <c r="B43" s="1447">
        <v>46110</v>
      </c>
      <c r="C43" s="1447">
        <v>46106</v>
      </c>
      <c r="D43" t="s">
        <v>3316</v>
      </c>
      <c r="E43" s="762">
        <f>_xlfn.XLOOKUP(D43,RUC!$B$3:$B$123,RUC!$D$3:$D$123)</f>
        <v>20613935151</v>
      </c>
      <c r="G43" s="1082">
        <v>70</v>
      </c>
      <c r="H43" s="762" t="s">
        <v>69</v>
      </c>
      <c r="I43" s="703">
        <v>5.37</v>
      </c>
      <c r="J43" s="596">
        <v>2.2999999999999998</v>
      </c>
      <c r="K43" s="703">
        <f t="shared" si="0"/>
        <v>5.2460000000000004</v>
      </c>
      <c r="L43" s="1745">
        <v>0.30099999999999999</v>
      </c>
      <c r="M43" s="994">
        <f t="shared" si="48"/>
        <v>0.28299999999999997</v>
      </c>
      <c r="N43" s="1196">
        <f t="shared" si="44"/>
        <v>0.28299999999999997</v>
      </c>
      <c r="O43" s="645">
        <f t="shared" si="38"/>
        <v>0.28299999999999997</v>
      </c>
      <c r="P43" s="727">
        <v>90</v>
      </c>
      <c r="Q43" s="1476">
        <v>95.68</v>
      </c>
      <c r="R43" s="706">
        <v>4564.55</v>
      </c>
      <c r="S43" s="765">
        <f>IF((_xlfn.XLOOKUP(D43,RUC!$B$3:$B$119,RUC!$E$3:$E$119)+ROUNDDOWN(O43,1)*100)&lt;95,95,((_xlfn.XLOOKUP(D43,RUC!$B$3:$B$119,RUC!$E$3:$E$119)+ROUNDDOWN(O43,1)*100)))</f>
        <v>110</v>
      </c>
      <c r="U43" s="1146">
        <f>_xlfn.XLOOKUP(D43,RUC!$B$3:$B$123,RUC!$F$3:$F$123)</f>
        <v>120</v>
      </c>
      <c r="V43" s="715">
        <v>1.1023000000000001</v>
      </c>
      <c r="Y43">
        <f>_xlfn.XLOOKUP(D43,RUC!$B$3:$B$123,RUC!$G$3:$G$123)</f>
        <v>20</v>
      </c>
      <c r="Z43" s="143">
        <f>_xlfn.XLOOKUP(D43,RUC!$B$3:$B$123,RUC!$H$3:$H$123)</f>
        <v>30</v>
      </c>
      <c r="AA43" s="144">
        <f t="shared" si="4"/>
        <v>50</v>
      </c>
      <c r="AB43" s="145">
        <f t="shared" si="34"/>
        <v>1071.4652353355</v>
      </c>
      <c r="AC43" s="145">
        <f>+(S43-T43)*V43-'data 1'!$F$4</f>
        <v>41.253</v>
      </c>
      <c r="AD43" s="145">
        <f t="shared" si="26"/>
        <v>83.761112123612094</v>
      </c>
      <c r="AE43" s="145">
        <f t="shared" si="27"/>
        <v>-14.884999999999998</v>
      </c>
      <c r="AF43" s="145">
        <f t="shared" si="28"/>
        <v>84.376455093216094</v>
      </c>
      <c r="AG43" s="772">
        <f t="shared" si="49"/>
        <v>211.50556721682818</v>
      </c>
      <c r="AH43" s="1253">
        <f t="shared" si="39"/>
        <v>51.798999999999999</v>
      </c>
      <c r="AI43" s="1253">
        <f t="shared" si="40"/>
        <v>54.137999999999998</v>
      </c>
      <c r="AJ43" s="156">
        <f t="shared" si="41"/>
        <v>144.58664354388796</v>
      </c>
      <c r="AK43" s="156">
        <f t="shared" si="42"/>
        <v>45.810633812413414</v>
      </c>
      <c r="AM43" s="716">
        <f t="shared" si="33"/>
        <v>5620.9066245700333</v>
      </c>
      <c r="AN43" s="716" t="str">
        <f>_xlfn.XLOOKUP(D43,RUC!$B$3:$B$578,RUC!$M$3:$M$578)</f>
        <v xml:space="preserve">Dante </v>
      </c>
      <c r="AO43" s="1167" t="s">
        <v>2277</v>
      </c>
      <c r="AP43" t="s">
        <v>4913</v>
      </c>
      <c r="AQ43" t="s">
        <v>5145</v>
      </c>
    </row>
    <row r="44" spans="1:57" ht="15" customHeight="1">
      <c r="A44" s="747" t="s">
        <v>5133</v>
      </c>
      <c r="B44" s="1447">
        <v>46110</v>
      </c>
      <c r="C44" s="1447">
        <v>46106</v>
      </c>
      <c r="D44" t="s">
        <v>3316</v>
      </c>
      <c r="E44" s="762">
        <f>_xlfn.XLOOKUP(D44,RUC!$B$3:$B$123,RUC!$D$3:$D$123)</f>
        <v>20613935151</v>
      </c>
      <c r="G44" s="1082">
        <v>38</v>
      </c>
      <c r="H44" s="762" t="s">
        <v>69</v>
      </c>
      <c r="I44" s="703">
        <v>2.92</v>
      </c>
      <c r="J44" s="596">
        <v>2.5</v>
      </c>
      <c r="K44" s="703">
        <f t="shared" si="0"/>
        <v>2.847</v>
      </c>
      <c r="L44" s="1745">
        <v>0.41899999999999998</v>
      </c>
      <c r="M44" s="994">
        <f t="shared" si="48"/>
        <v>0.39400000000000002</v>
      </c>
      <c r="N44" s="1196">
        <f t="shared" si="44"/>
        <v>0.39400000000000002</v>
      </c>
      <c r="O44" s="645">
        <f t="shared" si="38"/>
        <v>0.39400000000000002</v>
      </c>
      <c r="P44" s="727">
        <v>90</v>
      </c>
      <c r="Q44" s="1476">
        <v>96.9</v>
      </c>
      <c r="R44" s="706">
        <v>4564.55</v>
      </c>
      <c r="S44" s="765">
        <f>IF((_xlfn.XLOOKUP(D44,RUC!$B$3:$B$119,RUC!$E$3:$E$119)+ROUNDDOWN(O44,1)*100)&lt;95,95,((_xlfn.XLOOKUP(D44,RUC!$B$3:$B$119,RUC!$E$3:$E$119)+ROUNDDOWN(O44,1)*100)))</f>
        <v>120</v>
      </c>
      <c r="U44" s="1146">
        <f>_xlfn.XLOOKUP(D44,RUC!$B$3:$B$123,RUC!$F$3:$F$123)</f>
        <v>120</v>
      </c>
      <c r="V44" s="715">
        <v>1.1023000000000001</v>
      </c>
      <c r="Y44">
        <f>_xlfn.XLOOKUP(D44,RUC!$B$3:$B$123,RUC!$G$3:$G$123)</f>
        <v>20</v>
      </c>
      <c r="Z44" s="143">
        <f>_xlfn.XLOOKUP(D44,RUC!$B$3:$B$123,RUC!$H$3:$H$123)</f>
        <v>30</v>
      </c>
      <c r="AA44" s="144">
        <f t="shared" si="4"/>
        <v>50</v>
      </c>
      <c r="AB44" s="145">
        <f t="shared" si="34"/>
        <v>1549.8750590890002</v>
      </c>
      <c r="AC44" s="145">
        <f>+(S44-T44)*V44-'data 1'!$F$4</f>
        <v>52.27600000000001</v>
      </c>
      <c r="AD44" s="145">
        <f t="shared" si="26"/>
        <v>141.64156524061511</v>
      </c>
      <c r="AE44" s="145">
        <f t="shared" si="27"/>
        <v>-14.884999999999998</v>
      </c>
      <c r="AF44" s="145">
        <f t="shared" si="28"/>
        <v>118.68378533962486</v>
      </c>
      <c r="AG44" s="772">
        <f t="shared" si="49"/>
        <v>314.71635058023998</v>
      </c>
      <c r="AH44" s="1253">
        <f t="shared" si="39"/>
        <v>39.631</v>
      </c>
      <c r="AI44" s="1253">
        <f t="shared" si="40"/>
        <v>40.899000000000001</v>
      </c>
      <c r="AJ44" s="156">
        <f t="shared" si="41"/>
        <v>203.83479167788494</v>
      </c>
      <c r="AK44" s="156">
        <f t="shared" si="42"/>
        <v>34.612683221402911</v>
      </c>
      <c r="AM44" s="716">
        <f t="shared" si="33"/>
        <v>4412.494293226383</v>
      </c>
      <c r="AN44" s="716" t="str">
        <f>_xlfn.XLOOKUP(D44,RUC!$B$3:$B$578,RUC!$M$3:$M$578)</f>
        <v xml:space="preserve">Dante </v>
      </c>
      <c r="AO44" s="1167" t="s">
        <v>2277</v>
      </c>
      <c r="AP44" t="s">
        <v>4911</v>
      </c>
      <c r="AQ44" t="s">
        <v>5146</v>
      </c>
    </row>
    <row r="45" spans="1:57" ht="15" customHeight="1">
      <c r="A45" s="747" t="s">
        <v>5137</v>
      </c>
      <c r="B45" s="1447">
        <v>46112</v>
      </c>
      <c r="C45" s="1447">
        <v>46107</v>
      </c>
      <c r="D45" t="s">
        <v>1967</v>
      </c>
      <c r="E45" s="762">
        <f>_xlfn.XLOOKUP(D45,RUC!$B$3:$B$123,RUC!$D$3:$D$123)</f>
        <v>20601769396</v>
      </c>
      <c r="G45" s="1082">
        <v>24</v>
      </c>
      <c r="H45" s="762" t="s">
        <v>2005</v>
      </c>
      <c r="I45" s="703">
        <v>2.1800000000000002</v>
      </c>
      <c r="J45" s="596">
        <v>13.4</v>
      </c>
      <c r="K45" s="703">
        <f t="shared" si="0"/>
        <v>1.8879999999999999</v>
      </c>
      <c r="L45" s="1745">
        <v>0.29299999999999998</v>
      </c>
      <c r="M45" s="994">
        <f t="shared" si="48"/>
        <v>0.27400000000000002</v>
      </c>
      <c r="N45" s="1196">
        <f t="shared" si="44"/>
        <v>0.27400000000000002</v>
      </c>
      <c r="O45" s="645">
        <f t="shared" si="38"/>
        <v>0.27400000000000002</v>
      </c>
      <c r="P45" s="727">
        <v>90</v>
      </c>
      <c r="Q45" s="1476">
        <v>91.81</v>
      </c>
      <c r="R45" s="706">
        <v>4456.45</v>
      </c>
      <c r="S45" s="765">
        <f>IF((_xlfn.XLOOKUP(D45,RUC!$B$3:$B$119,RUC!$E$3:$E$119)+ROUNDDOWN(O45,1)*100)&lt;95,95,((_xlfn.XLOOKUP(D45,RUC!$B$3:$B$119,RUC!$E$3:$E$119)+ROUNDDOWN(O45,1)*100)))</f>
        <v>110</v>
      </c>
      <c r="U45" s="1146">
        <f>_xlfn.XLOOKUP(D45,RUC!$B$3:$B$123,RUC!$F$3:$F$123)</f>
        <v>120</v>
      </c>
      <c r="V45" s="715">
        <v>1.1023000000000001</v>
      </c>
      <c r="Y45">
        <f>_xlfn.XLOOKUP(D45,RUC!$B$3:$B$123,RUC!$G$3:$G$123)</f>
        <v>20</v>
      </c>
      <c r="Z45" s="143">
        <f>_xlfn.XLOOKUP(D45,RUC!$B$3:$B$123,RUC!$H$3:$H$123)</f>
        <v>30</v>
      </c>
      <c r="AA45" s="144">
        <f t="shared" si="4"/>
        <v>50</v>
      </c>
      <c r="AB45" s="145">
        <f t="shared" si="34"/>
        <v>1002.3969747110001</v>
      </c>
      <c r="AC45" s="145">
        <f>+(S45-T45)*V45-'data 1'!$F$4</f>
        <v>41.253</v>
      </c>
      <c r="AD45" s="145">
        <f t="shared" si="26"/>
        <v>25.350139052655532</v>
      </c>
      <c r="AE45" s="145">
        <f t="shared" si="27"/>
        <v>-14.884999999999998</v>
      </c>
      <c r="AF45" s="145">
        <f t="shared" si="28"/>
        <v>83.383042750856333</v>
      </c>
      <c r="AG45" s="772">
        <f t="shared" si="49"/>
        <v>152.10118180351188</v>
      </c>
      <c r="AH45" s="1253">
        <f t="shared" si="39"/>
        <v>17.413</v>
      </c>
      <c r="AI45" s="1253">
        <f t="shared" si="40"/>
        <v>18.966000000000001</v>
      </c>
      <c r="AJ45" s="156">
        <f t="shared" si="41"/>
        <v>167.10516334884457</v>
      </c>
      <c r="AK45" s="156">
        <f t="shared" si="42"/>
        <v>15.962618396629441</v>
      </c>
      <c r="AM45" s="716">
        <f t="shared" si="33"/>
        <v>1892.5254882543682</v>
      </c>
      <c r="AN45" s="716" t="str">
        <f>_xlfn.XLOOKUP(D45,RUC!$B$3:$B$578,RUC!$M$3:$M$578)</f>
        <v>Evelyn</v>
      </c>
      <c r="AO45" s="1167" t="s">
        <v>2277</v>
      </c>
      <c r="AP45" t="s">
        <v>5147</v>
      </c>
      <c r="AQ45" t="s">
        <v>3569</v>
      </c>
    </row>
    <row r="46" spans="1:57" ht="15" customHeight="1">
      <c r="A46" s="747" t="s">
        <v>5138</v>
      </c>
      <c r="B46" s="1447">
        <v>46112</v>
      </c>
      <c r="C46" s="1447">
        <v>46107</v>
      </c>
      <c r="D46" t="s">
        <v>1967</v>
      </c>
      <c r="E46" s="762">
        <f>_xlfn.XLOOKUP(D46,RUC!$B$3:$B$123,RUC!$D$3:$D$123)</f>
        <v>20601769396</v>
      </c>
      <c r="G46" s="1082">
        <v>25</v>
      </c>
      <c r="H46" s="762" t="s">
        <v>2005</v>
      </c>
      <c r="I46" s="703">
        <v>2.2000000000000002</v>
      </c>
      <c r="J46" s="596">
        <v>12.45</v>
      </c>
      <c r="K46" s="703">
        <f t="shared" si="0"/>
        <v>1.9259999999999999</v>
      </c>
      <c r="L46" s="1745">
        <v>0.34899999999999998</v>
      </c>
      <c r="M46" s="994">
        <f t="shared" si="48"/>
        <v>0.32800000000000001</v>
      </c>
      <c r="N46" s="1196">
        <f t="shared" si="44"/>
        <v>0.32800000000000001</v>
      </c>
      <c r="O46" s="645">
        <f t="shared" si="38"/>
        <v>0.32800000000000001</v>
      </c>
      <c r="P46" s="727">
        <v>90</v>
      </c>
      <c r="Q46" s="1476">
        <v>93.7</v>
      </c>
      <c r="R46" s="706">
        <v>4456.45</v>
      </c>
      <c r="S46" s="765">
        <f>IF((_xlfn.XLOOKUP(D46,RUC!$B$3:$B$119,RUC!$E$3:$E$119)+ROUNDDOWN(O46,1)*100)&lt;95,95,((_xlfn.XLOOKUP(D46,RUC!$B$3:$B$119,RUC!$E$3:$E$119)+ROUNDDOWN(O46,1)*100)))</f>
        <v>120</v>
      </c>
      <c r="U46" s="1146">
        <f>_xlfn.XLOOKUP(D46,RUC!$B$3:$B$123,RUC!$F$3:$F$123)</f>
        <v>120</v>
      </c>
      <c r="V46" s="715">
        <v>1.1023000000000001</v>
      </c>
      <c r="Y46">
        <f>_xlfn.XLOOKUP(D46,RUC!$B$3:$B$123,RUC!$G$3:$G$123)</f>
        <v>20</v>
      </c>
      <c r="Z46" s="143">
        <f>_xlfn.XLOOKUP(D46,RUC!$B$3:$B$123,RUC!$H$3:$H$123)</f>
        <v>30</v>
      </c>
      <c r="AA46" s="144">
        <f t="shared" si="4"/>
        <v>50</v>
      </c>
      <c r="AB46" s="145">
        <f t="shared" si="34"/>
        <v>1223.6853200919998</v>
      </c>
      <c r="AC46" s="145">
        <f>+(S46-T46)*V46-'data 1'!$F$4</f>
        <v>52.27600000000001</v>
      </c>
      <c r="AD46" s="145">
        <f t="shared" si="26"/>
        <v>61.725028866355053</v>
      </c>
      <c r="AE46" s="145">
        <f t="shared" si="27"/>
        <v>-14.884999999999998</v>
      </c>
      <c r="AF46" s="145">
        <f t="shared" si="28"/>
        <v>94.057414466294844</v>
      </c>
      <c r="AG46" s="772">
        <f t="shared" si="49"/>
        <v>210.17344333264992</v>
      </c>
      <c r="AH46" s="1253">
        <f t="shared" si="39"/>
        <v>21.594000000000001</v>
      </c>
      <c r="AI46" s="1253">
        <f t="shared" si="40"/>
        <v>23.045999999999999</v>
      </c>
      <c r="AJ46" s="156">
        <f t="shared" si="41"/>
        <v>203.14085657014505</v>
      </c>
      <c r="AK46" s="156">
        <f t="shared" si="42"/>
        <v>19.493135659845361</v>
      </c>
      <c r="AM46" s="716">
        <f t="shared" si="33"/>
        <v>2356.8179264971914</v>
      </c>
      <c r="AN46" s="716" t="str">
        <f>_xlfn.XLOOKUP(D46,RUC!$B$3:$B$578,RUC!$M$3:$M$578)</f>
        <v>Evelyn</v>
      </c>
      <c r="AO46" s="1167" t="s">
        <v>2277</v>
      </c>
      <c r="AP46" t="s">
        <v>5147</v>
      </c>
      <c r="AQ46" t="s">
        <v>3569</v>
      </c>
    </row>
    <row r="47" spans="1:57" ht="15" customHeight="1">
      <c r="A47" s="747" t="s">
        <v>5139</v>
      </c>
      <c r="B47" s="1447">
        <v>46112</v>
      </c>
      <c r="C47" s="1447">
        <v>46107</v>
      </c>
      <c r="D47" t="s">
        <v>1967</v>
      </c>
      <c r="E47" s="762">
        <f>_xlfn.XLOOKUP(D47,RUC!$B$3:$B$123,RUC!$D$3:$D$123)</f>
        <v>20601769396</v>
      </c>
      <c r="G47" s="1082">
        <v>25</v>
      </c>
      <c r="H47" s="762" t="s">
        <v>2005</v>
      </c>
      <c r="I47" s="703">
        <v>2.2000000000000002</v>
      </c>
      <c r="J47" s="596">
        <v>14.33</v>
      </c>
      <c r="K47" s="703">
        <f t="shared" si="0"/>
        <v>1.885</v>
      </c>
      <c r="L47" s="1745">
        <v>0.438</v>
      </c>
      <c r="M47" s="994">
        <f t="shared" si="48"/>
        <v>0.41199999999999998</v>
      </c>
      <c r="N47" s="1196">
        <f t="shared" si="44"/>
        <v>0.41199999999999998</v>
      </c>
      <c r="O47" s="645">
        <f t="shared" si="38"/>
        <v>0.41199999999999998</v>
      </c>
      <c r="P47" s="727">
        <v>90</v>
      </c>
      <c r="Q47" s="1476">
        <v>95.21</v>
      </c>
      <c r="R47" s="706">
        <v>4456.45</v>
      </c>
      <c r="S47" s="765">
        <f>IF((_xlfn.XLOOKUP(D47,RUC!$B$3:$B$119,RUC!$E$3:$E$119)+ROUNDDOWN(O47,1)*100)&lt;95,95,((_xlfn.XLOOKUP(D47,RUC!$B$3:$B$119,RUC!$E$3:$E$119)+ROUNDDOWN(O47,1)*100)))</f>
        <v>130</v>
      </c>
      <c r="U47" s="1146">
        <f>_xlfn.XLOOKUP(D47,RUC!$B$3:$B$123,RUC!$F$3:$F$123)</f>
        <v>120</v>
      </c>
      <c r="V47" s="715">
        <v>1.1023000000000001</v>
      </c>
      <c r="Y47">
        <f>_xlfn.XLOOKUP(D47,RUC!$B$3:$B$123,RUC!$G$3:$G$123)</f>
        <v>20</v>
      </c>
      <c r="Z47" s="143">
        <f>_xlfn.XLOOKUP(D47,RUC!$B$3:$B$123,RUC!$H$3:$H$123)</f>
        <v>30</v>
      </c>
      <c r="AA47" s="144">
        <f t="shared" si="4"/>
        <v>50</v>
      </c>
      <c r="AB47" s="145">
        <f t="shared" si="34"/>
        <v>1574.0355240179999</v>
      </c>
      <c r="AC47" s="145">
        <f>+(S47-T47)*V47-'data 1'!$F$4</f>
        <v>63.299000000000007</v>
      </c>
      <c r="AD47" s="145">
        <f t="shared" si="26"/>
        <v>109.08021480093286</v>
      </c>
      <c r="AE47" s="145">
        <f t="shared" si="27"/>
        <v>-14.884999999999998</v>
      </c>
      <c r="AF47" s="145">
        <f t="shared" si="28"/>
        <v>118.3286919828911</v>
      </c>
      <c r="AG47" s="772">
        <f t="shared" si="49"/>
        <v>292.82290678382395</v>
      </c>
      <c r="AH47" s="1253">
        <f t="shared" si="39"/>
        <v>26.951000000000001</v>
      </c>
      <c r="AI47" s="1253">
        <f t="shared" si="40"/>
        <v>28.306999999999999</v>
      </c>
      <c r="AJ47" s="156">
        <f t="shared" si="41"/>
        <v>259.05318558806704</v>
      </c>
      <c r="AK47" s="156">
        <f t="shared" si="42"/>
        <v>23.964046260651898</v>
      </c>
      <c r="AM47" s="716">
        <f t="shared" si="33"/>
        <v>2967.0569627739301</v>
      </c>
      <c r="AN47" s="716" t="str">
        <f>_xlfn.XLOOKUP(D47,RUC!$B$3:$B$578,RUC!$M$3:$M$578)</f>
        <v>Evelyn</v>
      </c>
      <c r="AO47" s="1167" t="s">
        <v>2277</v>
      </c>
      <c r="AP47" t="s">
        <v>5147</v>
      </c>
      <c r="AQ47" t="s">
        <v>3569</v>
      </c>
    </row>
    <row r="48" spans="1:57" ht="15" customHeight="1">
      <c r="A48" s="747" t="s">
        <v>5140</v>
      </c>
      <c r="B48" s="1447">
        <v>46112</v>
      </c>
      <c r="C48" s="1447">
        <v>46107</v>
      </c>
      <c r="D48" t="s">
        <v>1967</v>
      </c>
      <c r="E48" s="762">
        <f>_xlfn.XLOOKUP(D48,RUC!$B$3:$B$123,RUC!$D$3:$D$123)</f>
        <v>20601769396</v>
      </c>
      <c r="G48" s="1082">
        <v>25</v>
      </c>
      <c r="H48" s="762" t="s">
        <v>2005</v>
      </c>
      <c r="I48" s="703">
        <v>2.23</v>
      </c>
      <c r="J48" s="596">
        <v>14.8</v>
      </c>
      <c r="K48" s="703">
        <f t="shared" si="0"/>
        <v>1.9</v>
      </c>
      <c r="L48" s="1745">
        <v>0.374</v>
      </c>
      <c r="M48" s="994">
        <f t="shared" si="48"/>
        <v>0.35199999999999998</v>
      </c>
      <c r="N48" s="1444">
        <f t="shared" si="44"/>
        <v>0.35199999999999998</v>
      </c>
      <c r="O48" s="645">
        <f t="shared" si="38"/>
        <v>0.35199999999999998</v>
      </c>
      <c r="P48" s="727">
        <v>90</v>
      </c>
      <c r="Q48" s="1476">
        <v>94.65</v>
      </c>
      <c r="R48" s="706">
        <v>4456.45</v>
      </c>
      <c r="S48" s="765">
        <f>IF((_xlfn.XLOOKUP(D48,RUC!$B$3:$B$119,RUC!$E$3:$E$119)+ROUNDDOWN(O48,1)*100)&lt;95,95,((_xlfn.XLOOKUP(D48,RUC!$B$3:$B$119,RUC!$E$3:$E$119)+ROUNDDOWN(O48,1)*100)))</f>
        <v>120</v>
      </c>
      <c r="U48" s="1146">
        <f>_xlfn.XLOOKUP(D48,RUC!$B$3:$B$123,RUC!$F$3:$F$123)</f>
        <v>120</v>
      </c>
      <c r="V48" s="715">
        <v>1.1023000000000001</v>
      </c>
      <c r="Y48">
        <f>_xlfn.XLOOKUP(D48,RUC!$B$3:$B$123,RUC!$G$3:$G$123)</f>
        <v>20</v>
      </c>
      <c r="Z48" s="143">
        <f>_xlfn.XLOOKUP(D48,RUC!$B$3:$B$123,RUC!$H$3:$H$123)</f>
        <v>30</v>
      </c>
      <c r="AA48" s="144">
        <f t="shared" si="4"/>
        <v>50</v>
      </c>
      <c r="AB48" s="145">
        <f t="shared" si="34"/>
        <v>1326.9348069280002</v>
      </c>
      <c r="AC48" s="145">
        <f>+(S48-T48)*V48-'data 1'!$F$4</f>
        <v>52.27600000000001</v>
      </c>
      <c r="AD48" s="145">
        <f t="shared" si="26"/>
        <v>83.130177109485103</v>
      </c>
      <c r="AE48" s="145">
        <f t="shared" si="27"/>
        <v>-14.884999999999998</v>
      </c>
      <c r="AF48" s="145">
        <f t="shared" si="28"/>
        <v>99.535373351205109</v>
      </c>
      <c r="AG48" s="772">
        <f t="shared" si="49"/>
        <v>237.05655046069023</v>
      </c>
      <c r="AH48" s="1253">
        <f t="shared" si="39"/>
        <v>23.06</v>
      </c>
      <c r="AI48" s="1253">
        <f t="shared" si="40"/>
        <v>24.363</v>
      </c>
      <c r="AJ48" s="156">
        <f t="shared" si="41"/>
        <v>219.89962159951509</v>
      </c>
      <c r="AK48" s="156">
        <f t="shared" si="42"/>
        <v>20.637060775056003</v>
      </c>
      <c r="AM48" s="716">
        <f t="shared" si="33"/>
        <v>2521.1761331632001</v>
      </c>
      <c r="AN48" s="716" t="str">
        <f>_xlfn.XLOOKUP(D48,RUC!$B$3:$B$578,RUC!$M$3:$M$578)</f>
        <v>Evelyn</v>
      </c>
      <c r="AO48" s="1167" t="s">
        <v>2277</v>
      </c>
      <c r="AP48" t="s">
        <v>5147</v>
      </c>
      <c r="AQ48" t="s">
        <v>3569</v>
      </c>
    </row>
    <row r="49" spans="1:44" ht="15" customHeight="1">
      <c r="A49" s="747" t="s">
        <v>5148</v>
      </c>
      <c r="B49" s="1447">
        <v>46112</v>
      </c>
      <c r="C49" s="1447">
        <v>46107</v>
      </c>
      <c r="D49" t="s">
        <v>4315</v>
      </c>
      <c r="E49" s="762">
        <f>_xlfn.XLOOKUP(D49,RUC!$B$3:$B$123,RUC!$D$3:$D$123)</f>
        <v>20614031698</v>
      </c>
      <c r="G49" s="1082">
        <v>33</v>
      </c>
      <c r="H49" s="762" t="s">
        <v>69</v>
      </c>
      <c r="I49" s="703">
        <v>3</v>
      </c>
      <c r="J49" s="596">
        <v>2</v>
      </c>
      <c r="K49" s="703">
        <f t="shared" si="0"/>
        <v>2.94</v>
      </c>
      <c r="L49" s="1745">
        <v>0.34699999999999998</v>
      </c>
      <c r="M49" s="994">
        <f t="shared" si="48"/>
        <v>0.32600000000000001</v>
      </c>
      <c r="N49" s="1444">
        <v>0.373</v>
      </c>
      <c r="O49" s="645">
        <f t="shared" si="38"/>
        <v>0.35</v>
      </c>
      <c r="P49" s="727">
        <v>90</v>
      </c>
      <c r="Q49" s="1476">
        <v>98.85</v>
      </c>
      <c r="R49" s="706">
        <v>4456.45</v>
      </c>
      <c r="S49" s="765">
        <f>IF((_xlfn.XLOOKUP(D49,RUC!$B$3:$B$119,RUC!$E$3:$E$119)+ROUNDDOWN(O49,1)*100)&lt;95,95,((_xlfn.XLOOKUP(D49,RUC!$B$3:$B$119,RUC!$E$3:$E$119)+ROUNDDOWN(O49,1)*100)))</f>
        <v>110</v>
      </c>
      <c r="U49" s="1146">
        <f>_xlfn.XLOOKUP(D49,RUC!$B$3:$B$123,RUC!$F$3:$F$123)</f>
        <v>110</v>
      </c>
      <c r="V49" s="715">
        <v>1.1023000000000001</v>
      </c>
      <c r="Y49">
        <f>_xlfn.XLOOKUP(D49,RUC!$B$3:$B$123,RUC!$G$3:$G$123)</f>
        <v>0</v>
      </c>
      <c r="Z49" s="143">
        <f>_xlfn.XLOOKUP(D49,RUC!$B$3:$B$123,RUC!$H$3:$H$123)</f>
        <v>35</v>
      </c>
      <c r="AA49" s="144">
        <f t="shared" si="4"/>
        <v>35</v>
      </c>
      <c r="AB49" s="145">
        <f t="shared" si="34"/>
        <v>1349.3604280249999</v>
      </c>
      <c r="AC49" s="145">
        <f>+(S49-T49)*V49-'data 1'!$F$4</f>
        <v>41.253</v>
      </c>
      <c r="AD49" s="145">
        <f t="shared" si="26"/>
        <v>147.13203470693239</v>
      </c>
      <c r="AE49" s="145">
        <f t="shared" si="27"/>
        <v>-31.419499999999999</v>
      </c>
      <c r="AF49" s="145">
        <f t="shared" si="28"/>
        <v>-14.20798283669251</v>
      </c>
      <c r="AG49" s="772">
        <f t="shared" si="49"/>
        <v>159.75755187023989</v>
      </c>
      <c r="AH49" s="1253">
        <f t="shared" si="39"/>
        <v>34.575000000000003</v>
      </c>
      <c r="AI49" s="1253">
        <f t="shared" si="40"/>
        <v>34.976999999999997</v>
      </c>
      <c r="AJ49" s="156">
        <f t="shared" si="41"/>
        <v>209.29690728756756</v>
      </c>
      <c r="AK49" s="156">
        <f t="shared" si="42"/>
        <v>31.751697873104995</v>
      </c>
      <c r="AM49" s="716">
        <f t="shared" si="33"/>
        <v>3967.1196583934998</v>
      </c>
      <c r="AN49" s="716" t="str">
        <f>_xlfn.XLOOKUP(D49,RUC!$B$3:$B$578,RUC!$M$3:$M$578)</f>
        <v>Robinson Tuya</v>
      </c>
      <c r="AO49" s="1167" t="s">
        <v>2277</v>
      </c>
      <c r="AP49" t="s">
        <v>4515</v>
      </c>
      <c r="AQ49" t="s">
        <v>2894</v>
      </c>
    </row>
    <row r="50" spans="1:44" ht="15" customHeight="1">
      <c r="A50" s="747" t="s">
        <v>5149</v>
      </c>
      <c r="B50" s="1447">
        <v>46112</v>
      </c>
      <c r="C50" s="1447">
        <v>46107</v>
      </c>
      <c r="D50" t="s">
        <v>4315</v>
      </c>
      <c r="E50" s="762">
        <f>_xlfn.XLOOKUP(D50,RUC!$B$3:$B$123,RUC!$D$3:$D$123)</f>
        <v>20614031698</v>
      </c>
      <c r="G50" s="1082">
        <v>18</v>
      </c>
      <c r="H50" s="762" t="s">
        <v>69</v>
      </c>
      <c r="I50" s="703">
        <v>1.82</v>
      </c>
      <c r="J50" s="596">
        <v>2</v>
      </c>
      <c r="K50" s="703">
        <f t="shared" si="0"/>
        <v>1.784</v>
      </c>
      <c r="L50" s="1745">
        <v>0.254</v>
      </c>
      <c r="M50" s="994">
        <f t="shared" si="48"/>
        <v>0.23499999999999999</v>
      </c>
      <c r="N50" s="1196">
        <f t="shared" si="44"/>
        <v>0.23499999999999999</v>
      </c>
      <c r="O50" s="645">
        <f t="shared" si="38"/>
        <v>0.23499999999999999</v>
      </c>
      <c r="P50" s="727">
        <v>90</v>
      </c>
      <c r="Q50" s="665">
        <v>97.64</v>
      </c>
      <c r="R50" s="706">
        <v>4456.45</v>
      </c>
      <c r="S50" s="765">
        <f>IF((_xlfn.XLOOKUP(D50,RUC!$B$3:$B$119,RUC!$E$3:$E$119)+ROUNDDOWN(O50,1)*100)&lt;95,95,((_xlfn.XLOOKUP(D50,RUC!$B$3:$B$119,RUC!$E$3:$E$119)+ROUNDDOWN(O50,1)*100)))</f>
        <v>100</v>
      </c>
      <c r="U50" s="1146">
        <f>_xlfn.XLOOKUP(D50,RUC!$B$3:$B$123,RUC!$F$3:$F$123)</f>
        <v>110</v>
      </c>
      <c r="V50" s="715">
        <v>1.1023000000000001</v>
      </c>
      <c r="Y50">
        <f>_xlfn.XLOOKUP(D50,RUC!$B$3:$B$123,RUC!$G$3:$G$123)</f>
        <v>0</v>
      </c>
      <c r="Z50" s="143">
        <f>_xlfn.XLOOKUP(D50,RUC!$B$3:$B$123,RUC!$H$3:$H$123)</f>
        <v>35</v>
      </c>
      <c r="AA50" s="144">
        <f t="shared" si="4"/>
        <v>35</v>
      </c>
      <c r="AB50" s="145">
        <f t="shared" si="34"/>
        <v>864.50542310250012</v>
      </c>
      <c r="AC50" s="145">
        <f>+(S50-T50)*V50-'data 1'!$F$4</f>
        <v>30.230000000000004</v>
      </c>
      <c r="AD50" s="145">
        <f t="shared" si="26"/>
        <v>92.974011713276013</v>
      </c>
      <c r="AE50" s="145">
        <f t="shared" si="27"/>
        <v>-31.419499999999999</v>
      </c>
      <c r="AF50" s="145">
        <f t="shared" si="28"/>
        <v>88.882419286186092</v>
      </c>
      <c r="AG50" s="772">
        <f t="shared" si="49"/>
        <v>197.66693099946212</v>
      </c>
      <c r="AH50" s="1253">
        <f t="shared" si="39"/>
        <v>15.169</v>
      </c>
      <c r="AI50" s="1253">
        <f t="shared" si="40"/>
        <v>15.536</v>
      </c>
      <c r="AJ50" s="156">
        <f t="shared" si="41"/>
        <v>151.32760191772405</v>
      </c>
      <c r="AK50" s="156">
        <f t="shared" si="42"/>
        <v>12.936425477473799</v>
      </c>
      <c r="AM50" s="716">
        <f t="shared" si="33"/>
        <v>1542.2776748148603</v>
      </c>
      <c r="AN50" s="716" t="str">
        <f>_xlfn.XLOOKUP(D50,RUC!$B$3:$B$578,RUC!$M$3:$M$578)</f>
        <v>Robinson Tuya</v>
      </c>
      <c r="AO50" s="1167" t="s">
        <v>2277</v>
      </c>
      <c r="AP50" t="s">
        <v>4515</v>
      </c>
      <c r="AQ50" t="s">
        <v>2894</v>
      </c>
    </row>
    <row r="51" spans="1:44" ht="15" customHeight="1">
      <c r="A51" s="747" t="s">
        <v>5150</v>
      </c>
      <c r="B51" s="1447">
        <v>46118</v>
      </c>
      <c r="C51" s="1447">
        <v>46108</v>
      </c>
      <c r="D51" t="s">
        <v>93</v>
      </c>
      <c r="E51" s="762">
        <f>_xlfn.XLOOKUP(D51,RUC!$B$3:$B$123,RUC!$D$3:$D$123)</f>
        <v>20169040231</v>
      </c>
      <c r="G51" s="1082">
        <v>41</v>
      </c>
      <c r="H51" s="762" t="s">
        <v>69</v>
      </c>
      <c r="I51" s="703">
        <v>3.58</v>
      </c>
      <c r="J51" s="596">
        <v>2</v>
      </c>
      <c r="K51" s="703">
        <f t="shared" si="0"/>
        <v>3.508</v>
      </c>
      <c r="L51" s="1745">
        <v>1.2749999999999999</v>
      </c>
      <c r="M51" s="994">
        <f t="shared" si="48"/>
        <v>1.1990000000000001</v>
      </c>
      <c r="N51" s="1444">
        <v>1.3009999999999999</v>
      </c>
      <c r="O51" s="645">
        <f t="shared" si="38"/>
        <v>1.25</v>
      </c>
      <c r="P51" s="1199">
        <v>71</v>
      </c>
      <c r="Q51" s="1476">
        <v>71.45</v>
      </c>
      <c r="R51" s="706">
        <v>4504.1499999999996</v>
      </c>
      <c r="S51" s="765">
        <f>IF((_xlfn.XLOOKUP(D51,RUC!$B$3:$B$119,RUC!$E$3:$E$119)+ROUNDDOWN(O51,1)*100)&lt;95,95,((_xlfn.XLOOKUP(D51,RUC!$B$3:$B$119,RUC!$E$3:$E$119)+ROUNDDOWN(O51,1)*100)))</f>
        <v>205</v>
      </c>
      <c r="U51" s="1146">
        <f>_xlfn.XLOOKUP(D51,RUC!$B$3:$B$123,RUC!$F$3:$F$123)</f>
        <v>120</v>
      </c>
      <c r="V51" s="715">
        <v>1.1023000000000001</v>
      </c>
      <c r="Y51">
        <f>_xlfn.XLOOKUP(D51,RUC!$B$3:$B$123,RUC!$G$3:$G$123)</f>
        <v>20</v>
      </c>
      <c r="Z51" s="1454">
        <v>35</v>
      </c>
      <c r="AA51" s="144">
        <f t="shared" si="4"/>
        <v>55</v>
      </c>
      <c r="AB51" s="145">
        <f t="shared" si="34"/>
        <v>4002.3775836874997</v>
      </c>
      <c r="AC51" s="145">
        <f>+(S51-T51)*V51-'data 1'!$F$4</f>
        <v>145.97150000000002</v>
      </c>
      <c r="AD51" s="145">
        <f t="shared" si="26"/>
        <v>27.727321026937673</v>
      </c>
      <c r="AE51" s="145">
        <f t="shared" si="27"/>
        <v>-9.3734999999999999</v>
      </c>
      <c r="AF51" s="145">
        <f t="shared" si="28"/>
        <v>86.323184635062205</v>
      </c>
      <c r="AG51" s="772">
        <f t="shared" si="49"/>
        <v>267.64850566199993</v>
      </c>
      <c r="AH51" s="1253">
        <f t="shared" si="39"/>
        <v>109.56699999999999</v>
      </c>
      <c r="AI51" s="1253">
        <f t="shared" si="40"/>
        <v>153.34800000000001</v>
      </c>
      <c r="AJ51" s="156">
        <f t="shared" si="41"/>
        <v>518.00703773681289</v>
      </c>
      <c r="AK51" s="156">
        <f t="shared" si="42"/>
        <v>106.74241288546749</v>
      </c>
      <c r="AM51" s="716">
        <f t="shared" si="33"/>
        <v>14040.34056357575</v>
      </c>
      <c r="AN51" s="716" t="str">
        <f>_xlfn.XLOOKUP(D51,RUC!$B$3:$B$578,RUC!$M$3:$M$578)</f>
        <v>Ronald Miranda</v>
      </c>
      <c r="AO51" s="1167" t="s">
        <v>2278</v>
      </c>
      <c r="AP51" t="s">
        <v>5159</v>
      </c>
      <c r="AQ51" t="s">
        <v>5160</v>
      </c>
      <c r="AR51" s="1805" t="s">
        <v>5238</v>
      </c>
    </row>
    <row r="52" spans="1:44" ht="15" customHeight="1">
      <c r="A52" s="747" t="s">
        <v>5151</v>
      </c>
      <c r="B52" s="1447">
        <v>46118</v>
      </c>
      <c r="C52" s="1447">
        <v>46108</v>
      </c>
      <c r="D52" t="s">
        <v>93</v>
      </c>
      <c r="E52" s="762">
        <f>_xlfn.XLOOKUP(D52,RUC!$B$3:$B$123,RUC!$D$3:$D$123)</f>
        <v>20169040231</v>
      </c>
      <c r="G52" s="1082">
        <v>100</v>
      </c>
      <c r="H52" s="762" t="s">
        <v>69</v>
      </c>
      <c r="I52" s="703">
        <v>9.9700000000000006</v>
      </c>
      <c r="J52" s="596">
        <v>2.2000000000000002</v>
      </c>
      <c r="K52" s="703">
        <f t="shared" si="0"/>
        <v>9.7509999999999994</v>
      </c>
      <c r="L52" s="1745">
        <v>0.55000000000000004</v>
      </c>
      <c r="M52" s="994">
        <f t="shared" si="48"/>
        <v>0.51700000000000002</v>
      </c>
      <c r="N52" s="1444">
        <v>0.58299999999999996</v>
      </c>
      <c r="O52" s="645">
        <f t="shared" si="38"/>
        <v>0.55000000000000004</v>
      </c>
      <c r="P52" s="727">
        <v>90</v>
      </c>
      <c r="Q52" s="1476">
        <v>92</v>
      </c>
      <c r="R52" s="706">
        <v>4504.1499999999996</v>
      </c>
      <c r="S52" s="765">
        <f>IF((_xlfn.XLOOKUP(D52,RUC!$B$3:$B$119,RUC!$E$3:$E$119)+ROUNDDOWN(O52,1)*100)&lt;95,95,((_xlfn.XLOOKUP(D52,RUC!$B$3:$B$119,RUC!$E$3:$E$119)+ROUNDDOWN(O52,1)*100)))</f>
        <v>135</v>
      </c>
      <c r="U52" s="1146">
        <f>_xlfn.XLOOKUP(D52,RUC!$B$3:$B$123,RUC!$F$3:$F$123)</f>
        <v>120</v>
      </c>
      <c r="V52" s="715">
        <v>1.1023000000000001</v>
      </c>
      <c r="Y52" s="1445">
        <v>40</v>
      </c>
      <c r="Z52" s="1454">
        <v>35</v>
      </c>
      <c r="AA52" s="144">
        <f t="shared" si="4"/>
        <v>75</v>
      </c>
      <c r="AB52" s="145">
        <f t="shared" si="34"/>
        <v>2160.6780297750001</v>
      </c>
      <c r="AC52" s="145">
        <f>+(S52-T52)*V52-'data 1'!$F$4</f>
        <v>68.810500000000019</v>
      </c>
      <c r="AD52" s="145">
        <f t="shared" si="26"/>
        <v>53.159133995000005</v>
      </c>
      <c r="AE52" s="145">
        <f t="shared" si="27"/>
        <v>12.672499999999999</v>
      </c>
      <c r="AF52" s="145">
        <f t="shared" si="28"/>
        <v>0</v>
      </c>
      <c r="AG52" s="772">
        <f t="shared" si="49"/>
        <v>151.64213399500002</v>
      </c>
      <c r="AH52" s="1253">
        <f t="shared" si="39"/>
        <v>169.16399999999999</v>
      </c>
      <c r="AI52" s="1253">
        <f t="shared" si="40"/>
        <v>183.874</v>
      </c>
      <c r="AJ52" s="156">
        <f t="shared" si="41"/>
        <v>287.7224562300002</v>
      </c>
      <c r="AK52" s="156">
        <f t="shared" si="42"/>
        <v>165.48682534339724</v>
      </c>
      <c r="AM52" s="716">
        <f t="shared" si="33"/>
        <v>21068.771468336025</v>
      </c>
      <c r="AN52" s="716" t="str">
        <f>_xlfn.XLOOKUP(D52,RUC!$B$3:$B$578,RUC!$M$3:$M$578)</f>
        <v>Ronald Miranda</v>
      </c>
      <c r="AO52" s="1167" t="s">
        <v>2278</v>
      </c>
      <c r="AP52" t="s">
        <v>5159</v>
      </c>
      <c r="AQ52" t="s">
        <v>5160</v>
      </c>
    </row>
    <row r="53" spans="1:44" ht="15" customHeight="1">
      <c r="A53" s="747" t="s">
        <v>5152</v>
      </c>
      <c r="B53" s="1447">
        <v>46118</v>
      </c>
      <c r="C53" s="1447">
        <v>46108</v>
      </c>
      <c r="D53" t="s">
        <v>93</v>
      </c>
      <c r="E53" s="762">
        <f>_xlfn.XLOOKUP(D53,RUC!$B$3:$B$123,RUC!$D$3:$D$123)</f>
        <v>20169040231</v>
      </c>
      <c r="G53" s="1082">
        <v>21</v>
      </c>
      <c r="H53" s="762" t="s">
        <v>69</v>
      </c>
      <c r="I53" s="703">
        <v>2.0099999999999998</v>
      </c>
      <c r="J53" s="596">
        <v>5.35</v>
      </c>
      <c r="K53" s="703">
        <f t="shared" si="0"/>
        <v>1.9019999999999999</v>
      </c>
      <c r="L53" s="1745">
        <v>0.50600000000000001</v>
      </c>
      <c r="M53" s="994">
        <f t="shared" si="48"/>
        <v>0.47599999999999998</v>
      </c>
      <c r="N53" s="1196">
        <f t="shared" si="44"/>
        <v>0.47599999999999998</v>
      </c>
      <c r="O53" s="645">
        <f t="shared" si="38"/>
        <v>0.47599999999999998</v>
      </c>
      <c r="P53" s="727">
        <v>89</v>
      </c>
      <c r="Q53" s="1476">
        <v>89.92</v>
      </c>
      <c r="R53" s="706">
        <v>4504.1499999999996</v>
      </c>
      <c r="S53" s="765">
        <f>IF((_xlfn.XLOOKUP(D53,RUC!$B$3:$B$119,RUC!$E$3:$E$119)+ROUNDDOWN(O53,1)*100)&lt;95,95,((_xlfn.XLOOKUP(D53,RUC!$B$3:$B$119,RUC!$E$3:$E$119)+ROUNDDOWN(O53,1)*100)))</f>
        <v>125</v>
      </c>
      <c r="U53" s="1146">
        <f>_xlfn.XLOOKUP(D53,RUC!$B$3:$B$123,RUC!$F$3:$F$123)</f>
        <v>120</v>
      </c>
      <c r="V53" s="715">
        <v>1.1023000000000001</v>
      </c>
      <c r="Y53">
        <f>_xlfn.XLOOKUP(D53,RUC!$B$3:$B$123,RUC!$G$3:$G$123)</f>
        <v>20</v>
      </c>
      <c r="Z53" s="1454">
        <v>35</v>
      </c>
      <c r="AA53" s="144">
        <f t="shared" si="4"/>
        <v>55</v>
      </c>
      <c r="AB53" s="145">
        <f t="shared" si="34"/>
        <v>1848.8892296038</v>
      </c>
      <c r="AC53" s="145">
        <f>+(S53-T53)*V53-'data 1'!$F$4</f>
        <v>57.787499999999994</v>
      </c>
      <c r="AD53" s="145">
        <f t="shared" si="26"/>
        <v>22.496945506684042</v>
      </c>
      <c r="AE53" s="145">
        <f t="shared" si="27"/>
        <v>-9.3734999999999999</v>
      </c>
      <c r="AF53" s="145">
        <f t="shared" si="28"/>
        <v>130.3655271499201</v>
      </c>
      <c r="AG53" s="772">
        <f t="shared" si="49"/>
        <v>218.27647265660414</v>
      </c>
      <c r="AH53" s="1253">
        <f t="shared" si="39"/>
        <v>29.670999999999999</v>
      </c>
      <c r="AI53" s="1253">
        <f t="shared" si="40"/>
        <v>32.997</v>
      </c>
      <c r="AJ53" s="156">
        <f t="shared" si="41"/>
        <v>258.72003264201618</v>
      </c>
      <c r="AK53" s="156">
        <f t="shared" si="42"/>
        <v>27.625906731240804</v>
      </c>
      <c r="AM53" s="716">
        <f t="shared" si="33"/>
        <v>3516.5873147064276</v>
      </c>
      <c r="AN53" s="716" t="str">
        <f>_xlfn.XLOOKUP(D53,RUC!$B$3:$B$578,RUC!$M$3:$M$578)</f>
        <v>Ronald Miranda</v>
      </c>
      <c r="AO53" s="1167" t="s">
        <v>2278</v>
      </c>
      <c r="AP53" t="s">
        <v>5159</v>
      </c>
      <c r="AQ53" t="s">
        <v>5160</v>
      </c>
    </row>
    <row r="54" spans="1:44" ht="15" customHeight="1">
      <c r="A54" s="747" t="s">
        <v>5153</v>
      </c>
      <c r="B54" s="1447">
        <v>46112</v>
      </c>
      <c r="C54" s="1447">
        <v>46108</v>
      </c>
      <c r="D54" t="s">
        <v>93</v>
      </c>
      <c r="E54" s="762">
        <f>_xlfn.XLOOKUP(D54,RUC!$B$3:$B$123,RUC!$D$3:$D$123)</f>
        <v>20169040231</v>
      </c>
      <c r="G54" s="1082">
        <v>60</v>
      </c>
      <c r="H54" s="762" t="s">
        <v>69</v>
      </c>
      <c r="I54" s="703">
        <v>5.59</v>
      </c>
      <c r="J54" s="596">
        <v>2.1</v>
      </c>
      <c r="K54" s="703">
        <f t="shared" si="0"/>
        <v>5.4729999999999999</v>
      </c>
      <c r="L54" s="1745">
        <v>0.191</v>
      </c>
      <c r="M54" s="994">
        <f t="shared" si="48"/>
        <v>0.17199999999999999</v>
      </c>
      <c r="N54" s="1444">
        <v>0.251</v>
      </c>
      <c r="O54" s="645">
        <f t="shared" si="38"/>
        <v>0.21199999999999999</v>
      </c>
      <c r="P54" s="727">
        <v>90</v>
      </c>
      <c r="Q54" s="1476">
        <v>94.76</v>
      </c>
      <c r="R54" s="706">
        <v>4504.1499999999996</v>
      </c>
      <c r="S54" s="765">
        <f>IF((_xlfn.XLOOKUP(D54,RUC!$B$3:$B$119,RUC!$E$3:$E$119)+ROUNDDOWN(O54,1)*100)&lt;95,95,((_xlfn.XLOOKUP(D54,RUC!$B$3:$B$119,RUC!$E$3:$E$119)+ROUNDDOWN(O54,1)*100)))</f>
        <v>105</v>
      </c>
      <c r="U54" s="1146">
        <f>_xlfn.XLOOKUP(D54,RUC!$B$3:$B$123,RUC!$F$3:$F$123)</f>
        <v>120</v>
      </c>
      <c r="V54" s="715">
        <v>1.1023000000000001</v>
      </c>
      <c r="Y54" s="1445">
        <v>50</v>
      </c>
      <c r="Z54" s="1454">
        <v>35</v>
      </c>
      <c r="AA54" s="144">
        <f t="shared" si="4"/>
        <v>85</v>
      </c>
      <c r="AB54" s="145">
        <f t="shared" si="34"/>
        <v>712.63234238599978</v>
      </c>
      <c r="AC54" s="145">
        <f>+(S54-T54)*V54-'data 1'!$F$4</f>
        <v>35.741500000000002</v>
      </c>
      <c r="AD54" s="145">
        <f t="shared" si="26"/>
        <v>43.936507511722048</v>
      </c>
      <c r="AE54" s="145">
        <f t="shared" si="27"/>
        <v>23.695500000000003</v>
      </c>
      <c r="AF54" s="145">
        <f t="shared" si="28"/>
        <v>-96.167772986081957</v>
      </c>
      <c r="AG54" s="772">
        <f t="shared" si="49"/>
        <v>24.205734525640111</v>
      </c>
      <c r="AH54" s="1253">
        <f t="shared" si="39"/>
        <v>33.962000000000003</v>
      </c>
      <c r="AI54" s="1253">
        <f t="shared" si="40"/>
        <v>35.840000000000003</v>
      </c>
      <c r="AJ54" s="156">
        <f t="shared" si="41"/>
        <v>102.91570693477809</v>
      </c>
      <c r="AK54" s="156">
        <f t="shared" si="42"/>
        <v>35.802461614591621</v>
      </c>
      <c r="AM54" s="716">
        <f t="shared" si="33"/>
        <v>3900.2368098785769</v>
      </c>
      <c r="AN54" s="716" t="str">
        <f>_xlfn.XLOOKUP(D54,RUC!$B$3:$B$578,RUC!$M$3:$M$578)</f>
        <v>Ronald Miranda</v>
      </c>
      <c r="AO54" s="1167" t="s">
        <v>2278</v>
      </c>
      <c r="AP54" t="s">
        <v>5159</v>
      </c>
      <c r="AQ54" t="s">
        <v>5160</v>
      </c>
    </row>
    <row r="55" spans="1:44" ht="15" customHeight="1">
      <c r="A55" s="747" t="s">
        <v>5154</v>
      </c>
      <c r="B55" s="1447">
        <v>46112</v>
      </c>
      <c r="C55" s="1447">
        <v>46108</v>
      </c>
      <c r="D55" t="s">
        <v>93</v>
      </c>
      <c r="E55" s="762">
        <f>_xlfn.XLOOKUP(D55,RUC!$B$3:$B$123,RUC!$D$3:$D$123)</f>
        <v>20169040231</v>
      </c>
      <c r="G55" s="1082">
        <v>53</v>
      </c>
      <c r="H55" s="762" t="s">
        <v>69</v>
      </c>
      <c r="I55" s="703">
        <v>5.4</v>
      </c>
      <c r="J55" s="596">
        <v>3.15</v>
      </c>
      <c r="K55" s="703">
        <f t="shared" si="0"/>
        <v>5.23</v>
      </c>
      <c r="L55" s="1745">
        <v>0.20899999999999999</v>
      </c>
      <c r="M55" s="994">
        <f t="shared" si="48"/>
        <v>0.19</v>
      </c>
      <c r="N55" s="1196">
        <f t="shared" si="44"/>
        <v>0.19</v>
      </c>
      <c r="O55" s="645">
        <f t="shared" si="38"/>
        <v>0.19</v>
      </c>
      <c r="P55" s="727">
        <v>85</v>
      </c>
      <c r="Q55" s="1476">
        <v>91.39</v>
      </c>
      <c r="R55" s="706">
        <v>4504.1499999999996</v>
      </c>
      <c r="S55" s="765">
        <f>IF((_xlfn.XLOOKUP(D55,RUC!$B$3:$B$119,RUC!$E$3:$E$119)+ROUNDDOWN(O55,1)*100)&lt;95,95,((_xlfn.XLOOKUP(D55,RUC!$B$3:$B$119,RUC!$E$3:$E$119)+ROUNDDOWN(O55,1)*100)))</f>
        <v>95</v>
      </c>
      <c r="U55" s="1146">
        <f>_xlfn.XLOOKUP(D55,RUC!$B$3:$B$123,RUC!$F$3:$F$123)</f>
        <v>120</v>
      </c>
      <c r="V55" s="715">
        <v>1.1023000000000001</v>
      </c>
      <c r="Y55">
        <v>30</v>
      </c>
      <c r="Z55" s="1454">
        <v>35</v>
      </c>
      <c r="AA55" s="144">
        <f t="shared" si="4"/>
        <v>65</v>
      </c>
      <c r="AB55" s="145">
        <f t="shared" si="34"/>
        <v>604.10474001750003</v>
      </c>
      <c r="AC55" s="145">
        <f>+(S55-T55)*V55-'data 1'!$F$4</f>
        <v>24.718500000000006</v>
      </c>
      <c r="AD55" s="145">
        <f t="shared" si="26"/>
        <v>64.540504583329508</v>
      </c>
      <c r="AE55" s="145">
        <f t="shared" si="27"/>
        <v>1.6495000000000033</v>
      </c>
      <c r="AF55" s="145">
        <f t="shared" si="28"/>
        <v>83.914592600234442</v>
      </c>
      <c r="AG55" s="772">
        <f t="shared" si="49"/>
        <v>191.82309718356396</v>
      </c>
      <c r="AH55" s="1253">
        <f t="shared" si="39"/>
        <v>34.25</v>
      </c>
      <c r="AI55" s="1253">
        <f t="shared" si="40"/>
        <v>37.475999999999999</v>
      </c>
      <c r="AJ55" s="156">
        <f t="shared" si="41"/>
        <v>108.6095978744206</v>
      </c>
      <c r="AK55" s="156">
        <f t="shared" si="42"/>
        <v>28.958981589492254</v>
      </c>
      <c r="AM55" s="716">
        <f t="shared" si="33"/>
        <v>3159.4677902915255</v>
      </c>
      <c r="AN55" s="716" t="str">
        <f>_xlfn.XLOOKUP(D55,RUC!$B$3:$B$578,RUC!$M$3:$M$578)</f>
        <v>Ronald Miranda</v>
      </c>
      <c r="AO55" s="1167" t="s">
        <v>2278</v>
      </c>
      <c r="AP55" t="s">
        <v>5159</v>
      </c>
      <c r="AQ55" t="s">
        <v>5160</v>
      </c>
    </row>
    <row r="56" spans="1:44" ht="15" customHeight="1">
      <c r="A56" s="747" t="s">
        <v>5155</v>
      </c>
      <c r="B56" s="1447">
        <v>46112</v>
      </c>
      <c r="C56" s="1447">
        <v>46108</v>
      </c>
      <c r="D56" t="s">
        <v>93</v>
      </c>
      <c r="E56" s="762">
        <f>_xlfn.XLOOKUP(D56,RUC!$B$3:$B$123,RUC!$D$3:$D$123)</f>
        <v>20169040231</v>
      </c>
      <c r="G56" s="1082">
        <v>60</v>
      </c>
      <c r="H56" s="762" t="s">
        <v>69</v>
      </c>
      <c r="I56" s="703">
        <v>5.49</v>
      </c>
      <c r="J56" s="596">
        <v>2.1</v>
      </c>
      <c r="K56" s="703">
        <f t="shared" ref="K56:K105" si="50">ROUND(+I56-(I56*(J56/100)),3)</f>
        <v>5.375</v>
      </c>
      <c r="L56" s="1745">
        <v>0.26300000000000001</v>
      </c>
      <c r="M56" s="994">
        <f t="shared" si="48"/>
        <v>0.24399999999999999</v>
      </c>
      <c r="N56" s="1444">
        <v>0.29399999999999998</v>
      </c>
      <c r="O56" s="645">
        <f t="shared" si="38"/>
        <v>0.26900000000000002</v>
      </c>
      <c r="P56" s="727">
        <v>90</v>
      </c>
      <c r="Q56" s="1476">
        <v>98.1</v>
      </c>
      <c r="R56" s="706">
        <v>4504.1499999999996</v>
      </c>
      <c r="S56" s="765">
        <f>IF((_xlfn.XLOOKUP(D56,RUC!$B$3:$B$119,RUC!$E$3:$E$119)+ROUNDDOWN(O56,1)*100)&lt;95,95,((_xlfn.XLOOKUP(D56,RUC!$B$3:$B$119,RUC!$E$3:$E$119)+ROUNDDOWN(O56,1)*100)))</f>
        <v>105</v>
      </c>
      <c r="U56" s="1146">
        <f>_xlfn.XLOOKUP(D56,RUC!$B$3:$B$123,RUC!$F$3:$F$123)</f>
        <v>120</v>
      </c>
      <c r="V56" s="715">
        <v>1.1023000000000001</v>
      </c>
      <c r="Y56">
        <v>30</v>
      </c>
      <c r="Z56" s="1454">
        <v>35</v>
      </c>
      <c r="AA56" s="144">
        <f t="shared" ref="AA56:AA105" si="51">+Y56+Z56</f>
        <v>65</v>
      </c>
      <c r="AB56" s="145">
        <f t="shared" si="34"/>
        <v>982.59321274449997</v>
      </c>
      <c r="AC56" s="145">
        <f>+(S56-T56)*V56-'data 1'!$F$4</f>
        <v>35.741500000000002</v>
      </c>
      <c r="AD56" s="145">
        <f t="shared" si="26"/>
        <v>102.94991195413492</v>
      </c>
      <c r="AE56" s="145">
        <f t="shared" si="27"/>
        <v>1.6495000000000033</v>
      </c>
      <c r="AF56" s="145">
        <f t="shared" si="28"/>
        <v>-28.444969335870024</v>
      </c>
      <c r="AG56" s="772">
        <f t="shared" si="49"/>
        <v>128.89594261826488</v>
      </c>
      <c r="AH56" s="1253">
        <f t="shared" si="39"/>
        <v>47.545999999999999</v>
      </c>
      <c r="AI56" s="1253">
        <f t="shared" si="40"/>
        <v>48.466999999999999</v>
      </c>
      <c r="AJ56" s="156">
        <f t="shared" si="41"/>
        <v>146.70604125436509</v>
      </c>
      <c r="AK56" s="156">
        <f t="shared" si="42"/>
        <v>44.615146902114382</v>
      </c>
      <c r="AM56" s="716">
        <f t="shared" si="33"/>
        <v>5281.4385185016872</v>
      </c>
      <c r="AN56" s="716" t="str">
        <f>_xlfn.XLOOKUP(D56,RUC!$B$3:$B$578,RUC!$M$3:$M$578)</f>
        <v>Ronald Miranda</v>
      </c>
      <c r="AO56" s="1167" t="s">
        <v>2278</v>
      </c>
      <c r="AP56" t="s">
        <v>5159</v>
      </c>
      <c r="AQ56" t="s">
        <v>5160</v>
      </c>
    </row>
    <row r="57" spans="1:44" ht="15" customHeight="1">
      <c r="A57" s="747" t="s">
        <v>5156</v>
      </c>
      <c r="B57" s="1447">
        <v>46118</v>
      </c>
      <c r="C57" s="1447">
        <v>46108</v>
      </c>
      <c r="D57" t="s">
        <v>2444</v>
      </c>
      <c r="E57" s="762">
        <f>_xlfn.XLOOKUP(D57,RUC!$B$3:$B$123,RUC!$D$3:$D$123)</f>
        <v>20608774000</v>
      </c>
      <c r="G57" s="1082">
        <v>23</v>
      </c>
      <c r="H57" s="762" t="s">
        <v>69</v>
      </c>
      <c r="I57" s="703">
        <v>2.14</v>
      </c>
      <c r="J57" s="596">
        <v>2</v>
      </c>
      <c r="K57" s="703">
        <f t="shared" si="50"/>
        <v>2.097</v>
      </c>
      <c r="L57" s="1745">
        <v>0.34100000000000003</v>
      </c>
      <c r="M57" s="994">
        <f t="shared" si="48"/>
        <v>0.32100000000000001</v>
      </c>
      <c r="N57" s="1196">
        <f t="shared" si="44"/>
        <v>0.32100000000000001</v>
      </c>
      <c r="O57" s="645">
        <f t="shared" si="38"/>
        <v>0.32100000000000001</v>
      </c>
      <c r="P57" s="727">
        <v>90</v>
      </c>
      <c r="Q57" s="1476">
        <v>95.6</v>
      </c>
      <c r="R57" s="706">
        <v>4504.1499999999996</v>
      </c>
      <c r="S57" s="765">
        <f>IF((_xlfn.XLOOKUP(D57,RUC!$B$3:$B$119,RUC!$E$3:$E$119)+ROUNDDOWN(O57,1)*100)&lt;95,95,((_xlfn.XLOOKUP(D57,RUC!$B$3:$B$119,RUC!$E$3:$E$119)+ROUNDDOWN(O57,1)*100)))</f>
        <v>115</v>
      </c>
      <c r="U57" s="1146">
        <f>_xlfn.XLOOKUP(D57,RUC!$B$3:$B$123,RUC!$F$3:$F$123)</f>
        <v>120</v>
      </c>
      <c r="V57" s="715">
        <v>1.1023000000000001</v>
      </c>
      <c r="Y57">
        <f>_xlfn.XLOOKUP(D57,RUC!$B$3:$B$123,RUC!$G$3:$G$123)</f>
        <v>20</v>
      </c>
      <c r="Z57" s="1454">
        <v>35</v>
      </c>
      <c r="AA57" s="144">
        <f t="shared" si="51"/>
        <v>55</v>
      </c>
      <c r="AB57" s="145">
        <f t="shared" si="34"/>
        <v>1208.7611646504999</v>
      </c>
      <c r="AC57" s="145">
        <f>+(S57-T57)*V57-'data 1'!$F$4</f>
        <v>46.764500000000012</v>
      </c>
      <c r="AD57" s="145">
        <f t="shared" si="26"/>
        <v>92.284256615319904</v>
      </c>
      <c r="AE57" s="145">
        <f t="shared" si="27"/>
        <v>-9.3734999999999999</v>
      </c>
      <c r="AF57" s="145">
        <f t="shared" si="28"/>
        <v>92.400240180400075</v>
      </c>
      <c r="AG57" s="772">
        <f t="shared" si="49"/>
        <v>239.07549679571997</v>
      </c>
      <c r="AH57" s="1253">
        <f t="shared" si="39"/>
        <v>23.437999999999999</v>
      </c>
      <c r="AI57" s="1253">
        <f t="shared" si="40"/>
        <v>24.516999999999999</v>
      </c>
      <c r="AJ57" s="156">
        <f t="shared" si="41"/>
        <v>185.36831984418012</v>
      </c>
      <c r="AK57" s="156">
        <f t="shared" si="42"/>
        <v>20.770886930231569</v>
      </c>
      <c r="AM57" s="716">
        <f t="shared" si="33"/>
        <v>2534.7721622720983</v>
      </c>
      <c r="AN57" s="716" t="str">
        <f>_xlfn.XLOOKUP(D57,RUC!$B$3:$B$578,RUC!$M$3:$M$578)</f>
        <v>Ronald Miranda</v>
      </c>
      <c r="AO57" s="1167" t="s">
        <v>2280</v>
      </c>
      <c r="AP57" t="s">
        <v>5161</v>
      </c>
      <c r="AQ57" t="s">
        <v>3330</v>
      </c>
    </row>
    <row r="58" spans="1:44" ht="15" customHeight="1">
      <c r="A58" s="747" t="s">
        <v>5157</v>
      </c>
      <c r="B58" s="1447">
        <v>46113</v>
      </c>
      <c r="C58" s="1447">
        <v>46108</v>
      </c>
      <c r="D58" t="s">
        <v>2004</v>
      </c>
      <c r="E58" s="762">
        <f>_xlfn.XLOOKUP(D58,RUC!$B$3:$B$123,RUC!$D$3:$D$123)</f>
        <v>20612921866</v>
      </c>
      <c r="G58" s="1082" t="s">
        <v>2985</v>
      </c>
      <c r="H58" s="762" t="s">
        <v>69</v>
      </c>
      <c r="I58" s="703">
        <v>6.88</v>
      </c>
      <c r="J58" s="596">
        <v>2</v>
      </c>
      <c r="K58" s="703">
        <f t="shared" si="50"/>
        <v>6.742</v>
      </c>
      <c r="L58" s="1745">
        <v>0.13700000000000001</v>
      </c>
      <c r="M58" s="994">
        <f t="shared" si="48"/>
        <v>0.11799999999999999</v>
      </c>
      <c r="N58" s="1444">
        <v>0.18</v>
      </c>
      <c r="O58" s="645">
        <f t="shared" si="38"/>
        <v>0.14899999999999999</v>
      </c>
      <c r="P58" s="727">
        <v>90</v>
      </c>
      <c r="Q58" s="880">
        <v>97.81</v>
      </c>
      <c r="R58" s="706">
        <v>4504.1499999999996</v>
      </c>
      <c r="S58" s="765">
        <f>IF((_xlfn.XLOOKUP(D58,RUC!$B$3:$B$119,RUC!$E$3:$E$119)+ROUNDDOWN(O58,1)*100)&lt;95,95,((_xlfn.XLOOKUP(D58,RUC!$B$3:$B$119,RUC!$E$3:$E$119)+ROUNDDOWN(O58,1)*100)))</f>
        <v>95</v>
      </c>
      <c r="U58" s="1146">
        <f>_xlfn.XLOOKUP(D58,RUC!$B$3:$B$123,RUC!$F$3:$F$123)</f>
        <v>100</v>
      </c>
      <c r="V58" s="715">
        <v>1.1023000000000001</v>
      </c>
      <c r="Y58">
        <f>_xlfn.XLOOKUP(D58,RUC!$B$3:$B$123,RUC!$G$3:$G$123)</f>
        <v>0</v>
      </c>
      <c r="Z58" s="143">
        <f>_xlfn.XLOOKUP(D58,RUC!$B$3:$B$123,RUC!$H$3:$H$123)</f>
        <v>30</v>
      </c>
      <c r="AA58" s="144">
        <f t="shared" si="51"/>
        <v>30</v>
      </c>
      <c r="AB58" s="145">
        <f t="shared" si="34"/>
        <v>513.22703848449999</v>
      </c>
      <c r="AC58" s="145">
        <f>+(S58-T58)*V58-'data 1'!$F$4</f>
        <v>24.718500000000006</v>
      </c>
      <c r="AD58" s="145">
        <f t="shared" si="26"/>
        <v>51.94377522313652</v>
      </c>
      <c r="AE58" s="145">
        <f t="shared" si="27"/>
        <v>-36.930999999999997</v>
      </c>
      <c r="AF58" s="145">
        <f t="shared" si="28"/>
        <v>-56.980520813573918</v>
      </c>
      <c r="AG58" s="772">
        <f>AC58+AD58+AE58+AF58+70-10</f>
        <v>42.750754409562617</v>
      </c>
      <c r="AH58" s="1253">
        <f t="shared" si="39"/>
        <v>30.974</v>
      </c>
      <c r="AI58" s="1253">
        <f t="shared" si="40"/>
        <v>31.667999999999999</v>
      </c>
      <c r="AJ58" s="156">
        <f t="shared" si="41"/>
        <v>73.240946997363565</v>
      </c>
      <c r="AK58" s="156">
        <f t="shared" si="42"/>
        <v>30.997494763858711</v>
      </c>
      <c r="AM58" s="716">
        <f t="shared" si="33"/>
        <v>3460.1766934624989</v>
      </c>
      <c r="AN58" s="716" t="str">
        <f>_xlfn.XLOOKUP(D58,RUC!$B$3:$B$578,RUC!$M$3:$M$578)</f>
        <v>Ronald Garibay</v>
      </c>
      <c r="AO58" s="1167" t="s">
        <v>2278</v>
      </c>
      <c r="AP58" t="s">
        <v>5162</v>
      </c>
      <c r="AQ58" t="s">
        <v>5136</v>
      </c>
    </row>
    <row r="59" spans="1:44" ht="15" customHeight="1">
      <c r="A59" s="747" t="s">
        <v>5158</v>
      </c>
      <c r="B59" s="1447">
        <v>46116</v>
      </c>
      <c r="C59" s="1447">
        <v>46110</v>
      </c>
      <c r="D59" t="s">
        <v>5176</v>
      </c>
      <c r="E59" s="762">
        <f>_xlfn.XLOOKUP(D59,RUC!$B$3:$B$123,RUC!$D$3:$D$123)</f>
        <v>20614284740</v>
      </c>
      <c r="G59" s="1082">
        <v>60</v>
      </c>
      <c r="H59" s="762" t="s">
        <v>69</v>
      </c>
      <c r="I59" s="703">
        <v>4.71</v>
      </c>
      <c r="J59" s="596">
        <v>2.5499999999999998</v>
      </c>
      <c r="K59" s="703">
        <f t="shared" si="50"/>
        <v>4.59</v>
      </c>
      <c r="L59" s="1745">
        <v>0.27800000000000002</v>
      </c>
      <c r="M59" s="994">
        <f t="shared" si="48"/>
        <v>0.25900000000000001</v>
      </c>
      <c r="N59" s="1196">
        <f t="shared" si="44"/>
        <v>0.25900000000000001</v>
      </c>
      <c r="O59" s="645">
        <f t="shared" si="38"/>
        <v>0.25900000000000001</v>
      </c>
      <c r="P59" s="727">
        <v>90</v>
      </c>
      <c r="Q59" s="1476">
        <v>96.4</v>
      </c>
      <c r="R59" s="706">
        <v>4529.1499999999996</v>
      </c>
      <c r="S59" s="765">
        <f>IF((_xlfn.XLOOKUP(D59,RUC!$B$3:$B$119,RUC!$E$3:$E$119)+ROUNDDOWN(O59,1)*100)&lt;95,95,((_xlfn.XLOOKUP(D59,RUC!$B$3:$B$119,RUC!$E$3:$E$119)+ROUNDDOWN(O59,1)*100)))</f>
        <v>110</v>
      </c>
      <c r="U59" s="1146">
        <f>_xlfn.XLOOKUP(D59,RUC!$B$3:$B$123,RUC!$F$3:$F$123)</f>
        <v>120</v>
      </c>
      <c r="V59" s="715">
        <v>1.1023000000000001</v>
      </c>
      <c r="Y59">
        <f>_xlfn.XLOOKUP(D59,RUC!$B$3:$B$123,RUC!$G$3:$G$123)</f>
        <v>20</v>
      </c>
      <c r="Z59" s="143">
        <f>_xlfn.XLOOKUP(D59,RUC!$B$3:$B$123,RUC!$H$3:$H$123)</f>
        <v>30</v>
      </c>
      <c r="AA59" s="144">
        <f t="shared" si="51"/>
        <v>50</v>
      </c>
      <c r="AB59" s="145">
        <f t="shared" si="34"/>
        <v>956.54602908949994</v>
      </c>
      <c r="AC59" s="145">
        <f>+(S59-T59)*V59-'data 1'!$F$4</f>
        <v>41.253</v>
      </c>
      <c r="AD59" s="145">
        <f t="shared" si="26"/>
        <v>86.472785952640081</v>
      </c>
      <c r="AE59" s="145">
        <f t="shared" si="27"/>
        <v>-14.884999999999998</v>
      </c>
      <c r="AF59" s="145">
        <f t="shared" si="28"/>
        <v>89.019533920220098</v>
      </c>
      <c r="AG59" s="772">
        <f t="shared" si="49"/>
        <v>218.8603198728602</v>
      </c>
      <c r="AH59" s="1253">
        <f t="shared" si="39"/>
        <v>42.173999999999999</v>
      </c>
      <c r="AI59" s="1253">
        <f t="shared" si="40"/>
        <v>43.749000000000002</v>
      </c>
      <c r="AJ59" s="156">
        <f t="shared" si="41"/>
        <v>145.00081142836012</v>
      </c>
      <c r="AK59" s="156">
        <f t="shared" si="42"/>
        <v>36.682930950948446</v>
      </c>
      <c r="AM59" s="716">
        <f t="shared" si="33"/>
        <v>4390.5462735208048</v>
      </c>
      <c r="AN59" s="716" t="str">
        <f>_xlfn.XLOOKUP(D59,RUC!$B$3:$B$578,RUC!$M$3:$M$578)</f>
        <v xml:space="preserve">Dante </v>
      </c>
      <c r="AO59" s="1167" t="s">
        <v>2278</v>
      </c>
      <c r="AP59" t="s">
        <v>4909</v>
      </c>
      <c r="AQ59" t="s">
        <v>5163</v>
      </c>
    </row>
    <row r="60" spans="1:44" ht="15" customHeight="1">
      <c r="A60" s="747" t="s">
        <v>5166</v>
      </c>
      <c r="B60" s="1447">
        <v>46116</v>
      </c>
      <c r="C60" s="1447">
        <v>46111</v>
      </c>
      <c r="D60" t="s">
        <v>2004</v>
      </c>
      <c r="E60" s="762">
        <f>_xlfn.XLOOKUP(D60,RUC!$B$3:$B$123,RUC!$D$3:$D$123)</f>
        <v>20612921866</v>
      </c>
      <c r="G60" s="1082">
        <v>120</v>
      </c>
      <c r="H60" s="762" t="s">
        <v>69</v>
      </c>
      <c r="I60" s="703">
        <v>11.63</v>
      </c>
      <c r="J60" s="596">
        <v>2.15</v>
      </c>
      <c r="K60" s="703">
        <f t="shared" si="50"/>
        <v>11.38</v>
      </c>
      <c r="L60" s="1745">
        <v>0.152</v>
      </c>
      <c r="M60" s="994">
        <f t="shared" si="48"/>
        <v>0.13300000000000001</v>
      </c>
      <c r="N60" s="1196">
        <f t="shared" si="44"/>
        <v>0.13300000000000001</v>
      </c>
      <c r="O60" s="645">
        <f t="shared" si="38"/>
        <v>0.13300000000000001</v>
      </c>
      <c r="P60" s="727">
        <v>90</v>
      </c>
      <c r="Q60" s="1476">
        <v>94.74</v>
      </c>
      <c r="R60" s="706">
        <v>4529.1499999999996</v>
      </c>
      <c r="S60" s="765">
        <f>IF((_xlfn.XLOOKUP(D60,RUC!$B$3:$B$119,RUC!$E$3:$E$119)+ROUNDDOWN(O60,1)*100)&lt;95,95,((_xlfn.XLOOKUP(D60,RUC!$B$3:$B$119,RUC!$E$3:$E$119)+ROUNDDOWN(O60,1)*100)))</f>
        <v>95</v>
      </c>
      <c r="U60" s="1146">
        <f>_xlfn.XLOOKUP(D60,RUC!$B$3:$B$123,RUC!$F$3:$F$123)</f>
        <v>100</v>
      </c>
      <c r="V60" s="715">
        <v>1.1023000000000001</v>
      </c>
      <c r="Y60">
        <f>_xlfn.XLOOKUP(D60,RUC!$B$3:$B$123,RUC!$G$3:$G$123)</f>
        <v>0</v>
      </c>
      <c r="Z60" s="143">
        <f>_xlfn.XLOOKUP(D60,RUC!$B$3:$B$123,RUC!$H$3:$H$123)</f>
        <v>30</v>
      </c>
      <c r="AA60" s="144">
        <f t="shared" si="51"/>
        <v>30</v>
      </c>
      <c r="AB60" s="145">
        <f t="shared" si="34"/>
        <v>446.61806978650003</v>
      </c>
      <c r="AC60" s="145">
        <f>+(S60-T60)*V60-'data 1'!$F$4</f>
        <v>24.718500000000006</v>
      </c>
      <c r="AD60" s="145">
        <f t="shared" si="26"/>
        <v>35.175649533815964</v>
      </c>
      <c r="AE60" s="145">
        <f t="shared" si="27"/>
        <v>-36.930999999999997</v>
      </c>
      <c r="AF60" s="145">
        <f t="shared" si="28"/>
        <v>87.883466161226949</v>
      </c>
      <c r="AG60" s="772">
        <f t="shared" ref="AG60:AG61" si="52">AC60+AD60+AE60+AF60+70-10</f>
        <v>170.84661569504291</v>
      </c>
      <c r="AH60" s="1253">
        <f t="shared" si="39"/>
        <v>56.186</v>
      </c>
      <c r="AI60" s="1253">
        <f t="shared" si="40"/>
        <v>59.305</v>
      </c>
      <c r="AJ60" s="156">
        <f t="shared" si="41"/>
        <v>74.741076806184054</v>
      </c>
      <c r="AK60" s="156">
        <f t="shared" si="42"/>
        <v>46.703075606277309</v>
      </c>
      <c r="AM60" s="716">
        <f t="shared" si="33"/>
        <v>5082.513634170371</v>
      </c>
      <c r="AN60" s="716" t="str">
        <f>_xlfn.XLOOKUP(D60,RUC!$B$3:$B$578,RUC!$M$3:$M$578)</f>
        <v>Ronald Garibay</v>
      </c>
      <c r="AO60" s="1167" t="s">
        <v>2278</v>
      </c>
      <c r="AP60" t="s">
        <v>5177</v>
      </c>
      <c r="AQ60" t="s">
        <v>5178</v>
      </c>
    </row>
    <row r="61" spans="1:44" ht="14.25" customHeight="1">
      <c r="A61" s="747" t="s">
        <v>5167</v>
      </c>
      <c r="B61" s="1447">
        <v>46116</v>
      </c>
      <c r="C61" s="1447">
        <v>46112</v>
      </c>
      <c r="D61" t="s">
        <v>2004</v>
      </c>
      <c r="E61" s="762">
        <f>_xlfn.XLOOKUP(D61,RUC!$B$3:$B$123,RUC!$D$3:$D$123)</f>
        <v>20612921866</v>
      </c>
      <c r="G61" s="1082">
        <v>75</v>
      </c>
      <c r="H61" s="762" t="s">
        <v>69</v>
      </c>
      <c r="I61" s="703">
        <v>8.8699999999999992</v>
      </c>
      <c r="J61" s="596">
        <v>2</v>
      </c>
      <c r="K61" s="703">
        <f t="shared" si="50"/>
        <v>8.6929999999999996</v>
      </c>
      <c r="L61" s="1745">
        <v>0.129</v>
      </c>
      <c r="M61" s="994">
        <f t="shared" si="48"/>
        <v>0.11</v>
      </c>
      <c r="N61" s="1196">
        <f t="shared" si="44"/>
        <v>0.11</v>
      </c>
      <c r="O61" s="645">
        <f t="shared" si="38"/>
        <v>0.11</v>
      </c>
      <c r="P61" s="727">
        <v>90</v>
      </c>
      <c r="Q61" s="1476">
        <v>95.35</v>
      </c>
      <c r="R61" s="706">
        <v>4608.3500000000004</v>
      </c>
      <c r="S61" s="765">
        <f>IF((_xlfn.XLOOKUP(D61,RUC!$B$3:$B$119,RUC!$E$3:$E$119)+ROUNDDOWN(O61,1)*100)&lt;95,95,((_xlfn.XLOOKUP(D61,RUC!$B$3:$B$119,RUC!$E$3:$E$119)+ROUNDDOWN(O61,1)*100)))</f>
        <v>95</v>
      </c>
      <c r="U61" s="1146">
        <f>_xlfn.XLOOKUP(D61,RUC!$B$3:$B$123,RUC!$F$3:$F$123)</f>
        <v>100</v>
      </c>
      <c r="V61" s="715">
        <v>1.1023000000000001</v>
      </c>
      <c r="Y61">
        <f>_xlfn.XLOOKUP(D61,RUC!$B$3:$B$123,RUC!$G$3:$G$123)</f>
        <v>0</v>
      </c>
      <c r="Z61" s="143">
        <f>_xlfn.XLOOKUP(D61,RUC!$B$3:$B$123,RUC!$H$3:$H$123)</f>
        <v>30</v>
      </c>
      <c r="AA61" s="144">
        <f t="shared" si="51"/>
        <v>30</v>
      </c>
      <c r="AB61" s="145">
        <f t="shared" si="34"/>
        <v>354.19836629500014</v>
      </c>
      <c r="AC61" s="145">
        <f>+(S61-T61)*V61-'data 1'!$F$4</f>
        <v>24.718500000000006</v>
      </c>
      <c r="AD61" s="145">
        <f t="shared" si="26"/>
        <v>34.297378345807466</v>
      </c>
      <c r="AE61" s="145">
        <f t="shared" si="27"/>
        <v>-36.930999999999997</v>
      </c>
      <c r="AF61" s="145">
        <f t="shared" si="28"/>
        <v>90.03092875488251</v>
      </c>
      <c r="AG61" s="772">
        <f t="shared" si="52"/>
        <v>172.11580710068998</v>
      </c>
      <c r="AH61" s="1253">
        <f t="shared" si="39"/>
        <v>36.659999999999997</v>
      </c>
      <c r="AI61" s="1253">
        <f t="shared" si="40"/>
        <v>38.448</v>
      </c>
      <c r="AJ61" s="156">
        <f t="shared" si="41"/>
        <v>53.101690358692458</v>
      </c>
      <c r="AK61" s="156">
        <f t="shared" si="42"/>
        <v>29.506244953546354</v>
      </c>
      <c r="AM61" s="716">
        <f t="shared" si="33"/>
        <v>3079.0463982024362</v>
      </c>
      <c r="AN61" s="716" t="str">
        <f>_xlfn.XLOOKUP(D61,RUC!$B$3:$B$578,RUC!$M$3:$M$578)</f>
        <v>Ronald Garibay</v>
      </c>
      <c r="AO61" s="1167" t="s">
        <v>2278</v>
      </c>
      <c r="AP61" t="s">
        <v>5179</v>
      </c>
      <c r="AQ61" t="s">
        <v>2475</v>
      </c>
    </row>
    <row r="62" spans="1:44" ht="15" customHeight="1">
      <c r="A62" s="747" t="s">
        <v>5168</v>
      </c>
      <c r="B62" s="1447">
        <v>46118</v>
      </c>
      <c r="C62" s="1447">
        <v>46112</v>
      </c>
      <c r="D62" t="s">
        <v>93</v>
      </c>
      <c r="E62" s="762">
        <f>_xlfn.XLOOKUP(D62,RUC!$B$3:$B$123,RUC!$D$3:$D$123)</f>
        <v>20169040231</v>
      </c>
      <c r="G62" s="1082">
        <v>23</v>
      </c>
      <c r="H62" s="762" t="s">
        <v>69</v>
      </c>
      <c r="I62" s="703">
        <v>2.34</v>
      </c>
      <c r="J62" s="596">
        <v>4.3</v>
      </c>
      <c r="K62" s="703">
        <f t="shared" si="50"/>
        <v>2.2389999999999999</v>
      </c>
      <c r="L62" s="1745">
        <v>0.57799999999999996</v>
      </c>
      <c r="M62" s="994">
        <f t="shared" si="48"/>
        <v>0.54300000000000004</v>
      </c>
      <c r="N62" s="1196">
        <f t="shared" si="44"/>
        <v>0.54300000000000004</v>
      </c>
      <c r="O62" s="645">
        <f t="shared" si="38"/>
        <v>0.54300000000000004</v>
      </c>
      <c r="P62" s="727">
        <v>90</v>
      </c>
      <c r="Q62" s="1476">
        <v>96.89</v>
      </c>
      <c r="R62" s="706">
        <v>4608.3500000000004</v>
      </c>
      <c r="S62" s="765">
        <f>IF((_xlfn.XLOOKUP(D62,RUC!$B$3:$B$119,RUC!$E$3:$E$119)+ROUNDDOWN(O62,1)*100)&lt;95,95,((_xlfn.XLOOKUP(D62,RUC!$B$3:$B$119,RUC!$E$3:$E$119)+ROUNDDOWN(O62,1)*100)))</f>
        <v>135</v>
      </c>
      <c r="U62" s="1146">
        <f>_xlfn.XLOOKUP(D62,RUC!$B$3:$B$123,RUC!$F$3:$F$123)</f>
        <v>120</v>
      </c>
      <c r="V62" s="715">
        <v>1.1023000000000001</v>
      </c>
      <c r="Y62">
        <f>_xlfn.XLOOKUP(D62,RUC!$B$3:$B$123,RUC!$G$3:$G$123)</f>
        <v>20</v>
      </c>
      <c r="Z62" s="1454">
        <v>35</v>
      </c>
      <c r="AA62" s="144">
        <f t="shared" si="51"/>
        <v>55</v>
      </c>
      <c r="AB62" s="145">
        <f t="shared" si="34"/>
        <v>2208.4102597835004</v>
      </c>
      <c r="AC62" s="145">
        <f>+(S62-T62)*V62-'data 1'!$F$4</f>
        <v>68.810500000000019</v>
      </c>
      <c r="AD62" s="145">
        <f t="shared" si="26"/>
        <v>197.03055625756105</v>
      </c>
      <c r="AE62" s="145">
        <f t="shared" si="27"/>
        <v>-9.3734999999999999</v>
      </c>
      <c r="AF62" s="145">
        <f t="shared" si="28"/>
        <v>167.77742449385715</v>
      </c>
      <c r="AG62" s="772">
        <f t="shared" ref="AG62:AG92" si="53">AC62+AD62+AE62+AF62+70-53</f>
        <v>441.24498075141821</v>
      </c>
      <c r="AH62" s="1253">
        <f t="shared" si="39"/>
        <v>42.99</v>
      </c>
      <c r="AI62" s="1253">
        <f t="shared" si="40"/>
        <v>44.37</v>
      </c>
      <c r="AJ62" s="156">
        <f t="shared" si="41"/>
        <v>254.11758623543881</v>
      </c>
      <c r="AK62" s="156">
        <f t="shared" si="42"/>
        <v>37.515047604538374</v>
      </c>
      <c r="AM62" s="716">
        <f t="shared" si="33"/>
        <v>4944.630571655257</v>
      </c>
      <c r="AN62" s="716" t="str">
        <f>_xlfn.XLOOKUP(D62,RUC!$B$3:$B$578,RUC!$M$3:$M$578)</f>
        <v>Ronald Miranda</v>
      </c>
      <c r="AO62" s="1167" t="s">
        <v>2278</v>
      </c>
      <c r="AP62" t="s">
        <v>5180</v>
      </c>
      <c r="AQ62" t="s">
        <v>5181</v>
      </c>
    </row>
    <row r="63" spans="1:44" ht="15" customHeight="1">
      <c r="A63" s="747" t="s">
        <v>5169</v>
      </c>
      <c r="B63" s="1447">
        <v>46118</v>
      </c>
      <c r="C63" s="1447">
        <v>46112</v>
      </c>
      <c r="D63" t="s">
        <v>93</v>
      </c>
      <c r="E63" s="762">
        <f>_xlfn.XLOOKUP(D63,RUC!$B$3:$B$123,RUC!$D$3:$D$123)</f>
        <v>20169040231</v>
      </c>
      <c r="G63" s="1082">
        <v>50</v>
      </c>
      <c r="H63" s="762" t="s">
        <v>69</v>
      </c>
      <c r="I63" s="703">
        <v>5.14</v>
      </c>
      <c r="J63" s="596">
        <v>5.25</v>
      </c>
      <c r="K63" s="703">
        <f t="shared" si="50"/>
        <v>4.87</v>
      </c>
      <c r="L63" s="1745">
        <v>0.19900000000000001</v>
      </c>
      <c r="M63" s="994">
        <f t="shared" si="48"/>
        <v>0.18</v>
      </c>
      <c r="N63" s="1196">
        <f t="shared" si="44"/>
        <v>0.18</v>
      </c>
      <c r="O63" s="645">
        <f t="shared" si="38"/>
        <v>0.18</v>
      </c>
      <c r="P63" s="727">
        <v>85</v>
      </c>
      <c r="Q63" s="1476">
        <v>96.48</v>
      </c>
      <c r="R63" s="706">
        <v>4608.3500000000004</v>
      </c>
      <c r="S63" s="765">
        <f>IF((_xlfn.XLOOKUP(D63,RUC!$B$3:$B$119,RUC!$E$3:$E$119)+ROUNDDOWN(O63,1)*100)&lt;95,95,((_xlfn.XLOOKUP(D63,RUC!$B$3:$B$119,RUC!$E$3:$E$119)+ROUNDDOWN(O63,1)*100)))</f>
        <v>95</v>
      </c>
      <c r="U63" s="1146">
        <f>_xlfn.XLOOKUP(D63,RUC!$B$3:$B$123,RUC!$F$3:$F$123)</f>
        <v>120</v>
      </c>
      <c r="V63" s="715">
        <v>1.1023000000000001</v>
      </c>
      <c r="Y63">
        <f>_xlfn.XLOOKUP(D63,RUC!$B$3:$B$123,RUC!$G$3:$G$123)</f>
        <v>20</v>
      </c>
      <c r="Z63" s="1454">
        <v>35</v>
      </c>
      <c r="AA63" s="144">
        <f t="shared" si="51"/>
        <v>55</v>
      </c>
      <c r="AB63" s="145">
        <f t="shared" si="34"/>
        <v>591.62375536500008</v>
      </c>
      <c r="AC63" s="145">
        <f>+(S63-T63)*V63-'data 1'!$F$4</f>
        <v>24.718500000000006</v>
      </c>
      <c r="AD63" s="145">
        <f t="shared" si="26"/>
        <v>113.02681444486606</v>
      </c>
      <c r="AE63" s="145">
        <f t="shared" si="27"/>
        <v>-9.3734999999999999</v>
      </c>
      <c r="AF63" s="145">
        <f t="shared" si="28"/>
        <v>90.693762407496109</v>
      </c>
      <c r="AG63" s="772">
        <f t="shared" si="53"/>
        <v>236.06557685236214</v>
      </c>
      <c r="AH63" s="1253">
        <f t="shared" si="39"/>
        <v>32.057000000000002</v>
      </c>
      <c r="AI63" s="1253">
        <f t="shared" si="40"/>
        <v>33.226999999999997</v>
      </c>
      <c r="AJ63" s="156">
        <f t="shared" si="41"/>
        <v>87.120086583383923</v>
      </c>
      <c r="AK63" s="156">
        <f t="shared" si="42"/>
        <v>25.546385489935503</v>
      </c>
      <c r="AM63" s="716">
        <f t="shared" si="33"/>
        <v>2881.2076886275504</v>
      </c>
      <c r="AN63" s="716" t="str">
        <f>_xlfn.XLOOKUP(D63,RUC!$B$3:$B$578,RUC!$M$3:$M$578)</f>
        <v>Ronald Miranda</v>
      </c>
      <c r="AO63" s="1167" t="s">
        <v>2278</v>
      </c>
      <c r="AP63" t="s">
        <v>5180</v>
      </c>
      <c r="AQ63" t="s">
        <v>5181</v>
      </c>
    </row>
    <row r="64" spans="1:44" ht="15" customHeight="1">
      <c r="A64" s="747" t="s">
        <v>5170</v>
      </c>
      <c r="B64" s="1447">
        <v>46118</v>
      </c>
      <c r="C64" s="1447">
        <v>46112</v>
      </c>
      <c r="D64" t="s">
        <v>93</v>
      </c>
      <c r="E64" s="762">
        <f>_xlfn.XLOOKUP(D64,RUC!$B$3:$B$123,RUC!$D$3:$D$123)</f>
        <v>20169040231</v>
      </c>
      <c r="G64" s="1082">
        <v>50</v>
      </c>
      <c r="H64" s="762" t="s">
        <v>69</v>
      </c>
      <c r="I64" s="703">
        <v>5.21</v>
      </c>
      <c r="J64" s="596">
        <v>4.75</v>
      </c>
      <c r="K64" s="703">
        <f t="shared" si="50"/>
        <v>4.9630000000000001</v>
      </c>
      <c r="L64" s="1745">
        <v>0.317</v>
      </c>
      <c r="M64" s="994">
        <f t="shared" si="48"/>
        <v>0.29799999999999999</v>
      </c>
      <c r="N64" s="1196">
        <f t="shared" si="44"/>
        <v>0.29799999999999999</v>
      </c>
      <c r="O64" s="645">
        <f t="shared" si="38"/>
        <v>0.29799999999999999</v>
      </c>
      <c r="P64" s="727">
        <v>90</v>
      </c>
      <c r="Q64" s="1476">
        <v>98.42</v>
      </c>
      <c r="R64" s="706">
        <v>4608.3500000000004</v>
      </c>
      <c r="S64" s="765">
        <f>IF((_xlfn.XLOOKUP(D64,RUC!$B$3:$B$119,RUC!$E$3:$E$119)+ROUNDDOWN(O64,1)*100)&lt;95,95,((_xlfn.XLOOKUP(D64,RUC!$B$3:$B$119,RUC!$E$3:$E$119)+ROUNDDOWN(O64,1)*100)))</f>
        <v>105</v>
      </c>
      <c r="U64" s="1146">
        <f>_xlfn.XLOOKUP(D64,RUC!$B$3:$B$123,RUC!$F$3:$F$123)</f>
        <v>120</v>
      </c>
      <c r="V64" s="715">
        <v>1.1023000000000001</v>
      </c>
      <c r="Y64">
        <f>_xlfn.XLOOKUP(D64,RUC!$B$3:$B$123,RUC!$G$3:$G$123)</f>
        <v>20</v>
      </c>
      <c r="Z64" s="1454">
        <v>35</v>
      </c>
      <c r="AA64" s="144">
        <f t="shared" si="51"/>
        <v>55</v>
      </c>
      <c r="AB64" s="145">
        <f t="shared" si="34"/>
        <v>1150.5537005810002</v>
      </c>
      <c r="AC64" s="145">
        <f>+(S64-T64)*V64-'data 1'!$F$4</f>
        <v>35.741500000000002</v>
      </c>
      <c r="AD64" s="145">
        <f t="shared" si="26"/>
        <v>132.05592050293706</v>
      </c>
      <c r="AE64" s="145">
        <f t="shared" si="27"/>
        <v>-9.3734999999999999</v>
      </c>
      <c r="AF64" s="145">
        <f t="shared" si="28"/>
        <v>92.517413931859082</v>
      </c>
      <c r="AG64" s="772">
        <f t="shared" si="53"/>
        <v>267.94133443479615</v>
      </c>
      <c r="AH64" s="1253">
        <f t="shared" si="39"/>
        <v>53.088000000000001</v>
      </c>
      <c r="AI64" s="1253">
        <f t="shared" si="40"/>
        <v>53.94</v>
      </c>
      <c r="AJ64" s="156">
        <f t="shared" si="41"/>
        <v>141.56977768856291</v>
      </c>
      <c r="AK64" s="156">
        <f t="shared" si="42"/>
        <v>45.636477755274626</v>
      </c>
      <c r="AM64" s="716">
        <f t="shared" si="33"/>
        <v>5710.1980159835039</v>
      </c>
      <c r="AN64" s="716" t="str">
        <f>_xlfn.XLOOKUP(D64,RUC!$B$3:$B$578,RUC!$M$3:$M$578)</f>
        <v>Ronald Miranda</v>
      </c>
      <c r="AO64" s="1167" t="s">
        <v>2280</v>
      </c>
      <c r="AP64" t="s">
        <v>5180</v>
      </c>
      <c r="AQ64" t="s">
        <v>5181</v>
      </c>
    </row>
    <row r="65" spans="1:44" ht="15" customHeight="1">
      <c r="A65" s="747" t="s">
        <v>5171</v>
      </c>
      <c r="B65" s="1447">
        <v>46118</v>
      </c>
      <c r="C65" s="1447">
        <v>46112</v>
      </c>
      <c r="D65" t="s">
        <v>93</v>
      </c>
      <c r="E65" s="762">
        <f>_xlfn.XLOOKUP(D65,RUC!$B$3:$B$123,RUC!$D$3:$D$123)</f>
        <v>20169040231</v>
      </c>
      <c r="G65" s="1082">
        <v>18</v>
      </c>
      <c r="H65" s="762" t="s">
        <v>69</v>
      </c>
      <c r="I65" s="703">
        <v>1.59</v>
      </c>
      <c r="J65" s="596">
        <v>2</v>
      </c>
      <c r="K65" s="703">
        <f t="shared" si="50"/>
        <v>1.5580000000000001</v>
      </c>
      <c r="L65" s="1745">
        <v>0.17199999999999999</v>
      </c>
      <c r="M65" s="994">
        <f t="shared" si="48"/>
        <v>0.153</v>
      </c>
      <c r="N65" s="1196">
        <f t="shared" si="44"/>
        <v>0.153</v>
      </c>
      <c r="O65" s="645">
        <f t="shared" si="38"/>
        <v>0.153</v>
      </c>
      <c r="P65" s="727">
        <v>80</v>
      </c>
      <c r="Q65" s="880">
        <v>86.05</v>
      </c>
      <c r="R65" s="706">
        <v>4608.3500000000004</v>
      </c>
      <c r="S65" s="765">
        <f>IF((_xlfn.XLOOKUP(D65,RUC!$B$3:$B$119,RUC!$E$3:$E$119)+ROUNDDOWN(O65,1)*100)&lt;95,95,((_xlfn.XLOOKUP(D65,RUC!$B$3:$B$119,RUC!$E$3:$E$119)+ROUNDDOWN(O65,1)*100)))</f>
        <v>95</v>
      </c>
      <c r="U65" s="1146">
        <f>_xlfn.XLOOKUP(D65,RUC!$B$3:$B$123,RUC!$F$3:$F$123)</f>
        <v>120</v>
      </c>
      <c r="V65" s="715">
        <v>1.1023000000000001</v>
      </c>
      <c r="Y65">
        <f>_xlfn.XLOOKUP(D65,RUC!$B$3:$B$123,RUC!$G$3:$G$123)</f>
        <v>20</v>
      </c>
      <c r="Z65" s="1454">
        <v>35</v>
      </c>
      <c r="AA65" s="144">
        <f t="shared" si="51"/>
        <v>55</v>
      </c>
      <c r="AB65" s="145">
        <f t="shared" si="34"/>
        <v>440.23000429200005</v>
      </c>
      <c r="AC65" s="145">
        <f>+(S65-T65)*V65-'data 1'!$F$4</f>
        <v>24.718500000000006</v>
      </c>
      <c r="AD65" s="145">
        <f t="shared" si="26"/>
        <v>51.483770381229981</v>
      </c>
      <c r="AE65" s="145">
        <f t="shared" si="27"/>
        <v>-9.3734999999999999</v>
      </c>
      <c r="AF65" s="145">
        <f t="shared" si="28"/>
        <v>80.88928539764747</v>
      </c>
      <c r="AG65" s="772">
        <f t="shared" si="53"/>
        <v>164.71805577887744</v>
      </c>
      <c r="AH65" s="1253">
        <f t="shared" si="39"/>
        <v>7.9059999999999997</v>
      </c>
      <c r="AI65" s="1253">
        <f t="shared" si="40"/>
        <v>9.1880000000000006</v>
      </c>
      <c r="AJ65" s="156">
        <f t="shared" si="41"/>
        <v>67.159468230769946</v>
      </c>
      <c r="AK65" s="156">
        <f t="shared" si="42"/>
        <v>6.5381960728245607</v>
      </c>
      <c r="AM65" s="716">
        <f t="shared" si="33"/>
        <v>685.87834668693608</v>
      </c>
      <c r="AN65" s="716" t="str">
        <f>_xlfn.XLOOKUP(D65,RUC!$B$3:$B$578,RUC!$M$3:$M$578)</f>
        <v>Ronald Miranda</v>
      </c>
      <c r="AO65" s="1167" t="s">
        <v>2278</v>
      </c>
      <c r="AP65" t="s">
        <v>5180</v>
      </c>
      <c r="AQ65" t="s">
        <v>5181</v>
      </c>
    </row>
    <row r="66" spans="1:44" ht="15" customHeight="1">
      <c r="A66" s="747" t="s">
        <v>5172</v>
      </c>
      <c r="B66" s="1447">
        <v>46122</v>
      </c>
      <c r="C66" s="1447">
        <v>46112</v>
      </c>
      <c r="D66" t="s">
        <v>93</v>
      </c>
      <c r="E66" s="762">
        <f>_xlfn.XLOOKUP(D66,RUC!$B$3:$B$123,RUC!$D$3:$D$123)</f>
        <v>20169040231</v>
      </c>
      <c r="G66" s="1082">
        <v>52</v>
      </c>
      <c r="H66" s="762" t="s">
        <v>69</v>
      </c>
      <c r="I66" s="703">
        <v>4.58</v>
      </c>
      <c r="J66" s="596">
        <v>2.2000000000000002</v>
      </c>
      <c r="K66" s="703">
        <f t="shared" si="50"/>
        <v>4.4790000000000001</v>
      </c>
      <c r="L66" s="1745">
        <v>0.60599999999999998</v>
      </c>
      <c r="M66" s="994">
        <f t="shared" si="48"/>
        <v>0.56999999999999995</v>
      </c>
      <c r="N66" s="1196">
        <f t="shared" si="44"/>
        <v>0.56999999999999995</v>
      </c>
      <c r="O66" s="645">
        <f t="shared" si="38"/>
        <v>0.56999999999999995</v>
      </c>
      <c r="P66" s="727">
        <v>90</v>
      </c>
      <c r="Q66" s="880">
        <v>90.26</v>
      </c>
      <c r="R66" s="706">
        <v>4608.3500000000004</v>
      </c>
      <c r="S66" s="765">
        <f>IF((_xlfn.XLOOKUP(D66,RUC!$B$3:$B$119,RUC!$E$3:$E$119)+ROUNDDOWN(O66,1)*100)&lt;95,95,((_xlfn.XLOOKUP(D66,RUC!$B$3:$B$119,RUC!$E$3:$E$119)+ROUNDDOWN(O66,1)*100)))</f>
        <v>135</v>
      </c>
      <c r="U66" s="1146">
        <f>_xlfn.XLOOKUP(D66,RUC!$B$3:$B$123,RUC!$F$3:$F$123)</f>
        <v>120</v>
      </c>
      <c r="V66" s="715">
        <v>1.1023000000000001</v>
      </c>
      <c r="Y66">
        <f>_xlfn.XLOOKUP(D66,RUC!$B$3:$B$123,RUC!$G$3:$G$123)</f>
        <v>20</v>
      </c>
      <c r="Z66" s="1454">
        <v>35</v>
      </c>
      <c r="AA66" s="144">
        <f t="shared" si="51"/>
        <v>55</v>
      </c>
      <c r="AB66" s="145">
        <f t="shared" si="34"/>
        <v>2328.634709165</v>
      </c>
      <c r="AC66" s="145">
        <f>+(S66-T66)*V66-'data 1'!$F$4</f>
        <v>68.810500000000019</v>
      </c>
      <c r="AD66" s="145">
        <f t="shared" si="26"/>
        <v>7.795293927798153</v>
      </c>
      <c r="AE66" s="145">
        <f t="shared" si="27"/>
        <v>-9.3734999999999999</v>
      </c>
      <c r="AF66" s="145">
        <f t="shared" si="28"/>
        <v>160.76235260998817</v>
      </c>
      <c r="AG66" s="772">
        <f t="shared" si="53"/>
        <v>244.99464653778637</v>
      </c>
      <c r="AH66" s="1253">
        <f t="shared" si="39"/>
        <v>83.995999999999995</v>
      </c>
      <c r="AI66" s="1253">
        <f t="shared" si="40"/>
        <v>93.06</v>
      </c>
      <c r="AJ66" s="156">
        <f t="shared" si="41"/>
        <v>248.19663007720177</v>
      </c>
      <c r="AK66" s="156">
        <f t="shared" si="42"/>
        <v>78.778461827962346</v>
      </c>
      <c r="AM66" s="716">
        <f t="shared" si="33"/>
        <v>10429.954862350036</v>
      </c>
      <c r="AN66" s="716" t="str">
        <f>_xlfn.XLOOKUP(D66,RUC!$B$3:$B$578,RUC!$M$3:$M$578)</f>
        <v>Ronald Miranda</v>
      </c>
      <c r="AO66" s="1167" t="s">
        <v>2277</v>
      </c>
      <c r="AP66" t="s">
        <v>5180</v>
      </c>
      <c r="AQ66" t="s">
        <v>5181</v>
      </c>
    </row>
    <row r="67" spans="1:44" ht="15" customHeight="1">
      <c r="A67" s="747" t="s">
        <v>5173</v>
      </c>
      <c r="B67" s="1447">
        <v>46122</v>
      </c>
      <c r="C67" s="1447">
        <v>46112</v>
      </c>
      <c r="D67" t="s">
        <v>93</v>
      </c>
      <c r="E67" s="762">
        <f>_xlfn.XLOOKUP(D67,RUC!$B$3:$B$123,RUC!$D$3:$D$123)</f>
        <v>20169040231</v>
      </c>
      <c r="G67" s="1082">
        <v>41</v>
      </c>
      <c r="H67" s="762" t="s">
        <v>69</v>
      </c>
      <c r="I67" s="703">
        <v>3.47</v>
      </c>
      <c r="J67" s="596">
        <v>2.15</v>
      </c>
      <c r="K67" s="703">
        <f t="shared" si="50"/>
        <v>3.395</v>
      </c>
      <c r="L67" s="1745">
        <v>0.47199999999999998</v>
      </c>
      <c r="M67" s="994">
        <f t="shared" si="48"/>
        <v>0.44400000000000001</v>
      </c>
      <c r="N67" s="1196">
        <f t="shared" si="44"/>
        <v>0.44400000000000001</v>
      </c>
      <c r="O67" s="645">
        <f t="shared" si="38"/>
        <v>0.44400000000000001</v>
      </c>
      <c r="P67" s="727">
        <v>90</v>
      </c>
      <c r="Q67" s="880">
        <v>90.25</v>
      </c>
      <c r="R67" s="706">
        <v>4608.3500000000004</v>
      </c>
      <c r="S67" s="765">
        <f>IF((_xlfn.XLOOKUP(D67,RUC!$B$3:$B$119,RUC!$E$3:$E$119)+ROUNDDOWN(O67,1)*100)&lt;95,95,((_xlfn.XLOOKUP(D67,RUC!$B$3:$B$119,RUC!$E$3:$E$119)+ROUNDDOWN(O67,1)*100)))</f>
        <v>125</v>
      </c>
      <c r="U67" s="1146">
        <f>_xlfn.XLOOKUP(D67,RUC!$B$3:$B$123,RUC!$F$3:$F$123)</f>
        <v>120</v>
      </c>
      <c r="V67" s="715">
        <v>1.1023000000000001</v>
      </c>
      <c r="Y67">
        <f>_xlfn.XLOOKUP(D67,RUC!$B$3:$B$123,RUC!$G$3:$G$123)</f>
        <v>20</v>
      </c>
      <c r="Z67" s="1454">
        <v>35</v>
      </c>
      <c r="AA67" s="144">
        <f t="shared" si="51"/>
        <v>55</v>
      </c>
      <c r="AB67" s="145">
        <f t="shared" si="34"/>
        <v>1778.6102787180005</v>
      </c>
      <c r="AC67" s="145">
        <f>+(S67-T67)*V67-'data 1'!$F$4</f>
        <v>57.787499999999994</v>
      </c>
      <c r="AD67" s="145">
        <f t="shared" si="26"/>
        <v>5.8380596819000008</v>
      </c>
      <c r="AE67" s="145">
        <f t="shared" si="27"/>
        <v>-9.3734999999999999</v>
      </c>
      <c r="AF67" s="145">
        <f t="shared" si="28"/>
        <v>125.02353234034989</v>
      </c>
      <c r="AG67" s="772">
        <f t="shared" si="53"/>
        <v>196.2755920222499</v>
      </c>
      <c r="AH67" s="1253">
        <f t="shared" si="39"/>
        <v>49.584000000000003</v>
      </c>
      <c r="AI67" s="1253">
        <f t="shared" si="40"/>
        <v>54.94</v>
      </c>
      <c r="AJ67" s="156">
        <f t="shared" si="41"/>
        <v>193.29344943409987</v>
      </c>
      <c r="AK67" s="156">
        <f t="shared" si="42"/>
        <v>46.512997414928101</v>
      </c>
      <c r="AM67" s="716">
        <f t="shared" si="33"/>
        <v>6038.3818962476116</v>
      </c>
      <c r="AN67" s="716" t="str">
        <f>_xlfn.XLOOKUP(D67,RUC!$B$3:$B$578,RUC!$M$3:$M$578)</f>
        <v>Ronald Miranda</v>
      </c>
      <c r="AO67" s="1167" t="s">
        <v>2277</v>
      </c>
      <c r="AP67" t="s">
        <v>5180</v>
      </c>
      <c r="AQ67" t="s">
        <v>5181</v>
      </c>
    </row>
    <row r="68" spans="1:44" ht="15" customHeight="1">
      <c r="A68" s="747" t="s">
        <v>5174</v>
      </c>
      <c r="B68" s="1447">
        <v>46122</v>
      </c>
      <c r="C68" s="1447">
        <v>46112</v>
      </c>
      <c r="D68" t="s">
        <v>93</v>
      </c>
      <c r="E68" s="762">
        <f>_xlfn.XLOOKUP(D68,RUC!$B$3:$B$123,RUC!$D$3:$D$123)</f>
        <v>20169040231</v>
      </c>
      <c r="G68" s="1082">
        <v>48</v>
      </c>
      <c r="H68" s="762" t="s">
        <v>69</v>
      </c>
      <c r="I68" s="703">
        <v>4.17</v>
      </c>
      <c r="J68" s="596">
        <v>2.2000000000000002</v>
      </c>
      <c r="K68" s="703">
        <f t="shared" si="50"/>
        <v>4.0780000000000003</v>
      </c>
      <c r="L68" s="1745">
        <v>0.66400000000000003</v>
      </c>
      <c r="M68" s="994">
        <f t="shared" si="48"/>
        <v>0.624</v>
      </c>
      <c r="N68" s="1196">
        <f t="shared" si="44"/>
        <v>0.624</v>
      </c>
      <c r="O68" s="645">
        <f t="shared" si="38"/>
        <v>0.624</v>
      </c>
      <c r="P68" s="727">
        <v>90</v>
      </c>
      <c r="Q68" s="880">
        <v>90.21</v>
      </c>
      <c r="R68" s="706">
        <v>4608.3500000000004</v>
      </c>
      <c r="S68" s="765">
        <f>IF((_xlfn.XLOOKUP(D68,RUC!$B$3:$B$119,RUC!$E$3:$E$119)+ROUNDDOWN(O68,1)*100)&lt;95,95,((_xlfn.XLOOKUP(D68,RUC!$B$3:$B$119,RUC!$E$3:$E$119)+ROUNDDOWN(O68,1)*100)))</f>
        <v>145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54">
        <v>35</v>
      </c>
      <c r="AA68" s="144">
        <f t="shared" si="51"/>
        <v>55</v>
      </c>
      <c r="AB68" s="145">
        <f t="shared" si="34"/>
        <v>2558.0606079280001</v>
      </c>
      <c r="AC68" s="145">
        <f>+(S68-T68)*V68-'data 1'!$F$4</f>
        <v>79.833500000000015</v>
      </c>
      <c r="AD68" s="145">
        <f t="shared" si="26"/>
        <v>6.8988054410517954</v>
      </c>
      <c r="AE68" s="145">
        <f t="shared" si="27"/>
        <v>-9.3734999999999999</v>
      </c>
      <c r="AF68" s="145">
        <f t="shared" si="28"/>
        <v>178.52588606922015</v>
      </c>
      <c r="AG68" s="772">
        <f t="shared" si="53"/>
        <v>272.88469151027198</v>
      </c>
      <c r="AH68" s="1253">
        <f t="shared" si="39"/>
        <v>83.748999999999995</v>
      </c>
      <c r="AI68" s="1253">
        <f t="shared" si="40"/>
        <v>92.837999999999994</v>
      </c>
      <c r="AJ68" s="156">
        <f t="shared" si="41"/>
        <v>271.80077413894776</v>
      </c>
      <c r="AK68" s="156">
        <f t="shared" si="42"/>
        <v>78.520560281972664</v>
      </c>
      <c r="AM68" s="716">
        <f t="shared" si="33"/>
        <v>10431.771159130385</v>
      </c>
      <c r="AN68" s="716" t="str">
        <f>_xlfn.XLOOKUP(D68,RUC!$B$3:$B$578,RUC!$M$3:$M$578)</f>
        <v>Ronald Miranda</v>
      </c>
      <c r="AO68" s="1167" t="s">
        <v>2279</v>
      </c>
      <c r="AP68" t="s">
        <v>5180</v>
      </c>
      <c r="AQ68" t="s">
        <v>5181</v>
      </c>
    </row>
    <row r="69" spans="1:44" ht="15" customHeight="1">
      <c r="A69" s="747" t="s">
        <v>5175</v>
      </c>
      <c r="B69" s="1447">
        <v>46122</v>
      </c>
      <c r="C69" s="1447">
        <v>46112</v>
      </c>
      <c r="D69" t="s">
        <v>93</v>
      </c>
      <c r="E69" s="762">
        <f>_xlfn.XLOOKUP(D69,RUC!$B$3:$B$123,RUC!$D$3:$D$123)</f>
        <v>20169040231</v>
      </c>
      <c r="G69" s="1082">
        <v>55</v>
      </c>
      <c r="H69" s="762" t="s">
        <v>69</v>
      </c>
      <c r="I69" s="703">
        <v>5.35</v>
      </c>
      <c r="J69" s="596">
        <v>3.2</v>
      </c>
      <c r="K69" s="703">
        <f t="shared" si="50"/>
        <v>5.1790000000000003</v>
      </c>
      <c r="L69" s="1745">
        <v>0.126</v>
      </c>
      <c r="M69" s="994">
        <f t="shared" si="48"/>
        <v>0.107</v>
      </c>
      <c r="N69" s="1196">
        <f t="shared" si="44"/>
        <v>0.107</v>
      </c>
      <c r="O69" s="645">
        <f t="shared" si="38"/>
        <v>0.107</v>
      </c>
      <c r="P69" s="727">
        <v>80</v>
      </c>
      <c r="Q69" s="880">
        <v>88.89</v>
      </c>
      <c r="R69" s="706">
        <v>4608.3500000000004</v>
      </c>
      <c r="S69" s="765">
        <f>IF((_xlfn.XLOOKUP(D69,RUC!$B$3:$B$119,RUC!$E$3:$E$119)+ROUNDDOWN(O69,1)*100)&lt;95,95,((_xlfn.XLOOKUP(D69,RUC!$B$3:$B$119,RUC!$E$3:$E$119)+ROUNDDOWN(O69,1)*100)))</f>
        <v>95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54">
        <v>35</v>
      </c>
      <c r="AA69" s="144">
        <f t="shared" si="51"/>
        <v>55</v>
      </c>
      <c r="AB69" s="145">
        <f t="shared" si="34"/>
        <v>258.16170234800006</v>
      </c>
      <c r="AC69" s="145">
        <f>+(S69-T69)*V69-'data 1'!$F$4</f>
        <v>24.718500000000006</v>
      </c>
      <c r="AD69" s="145">
        <f t="shared" si="26"/>
        <v>55.419018407487016</v>
      </c>
      <c r="AE69" s="145">
        <f t="shared" si="27"/>
        <v>-9.3734999999999999</v>
      </c>
      <c r="AF69" s="145">
        <f t="shared" si="28"/>
        <v>83.558960825065526</v>
      </c>
      <c r="AG69" s="772">
        <f t="shared" si="53"/>
        <v>171.32297923255254</v>
      </c>
      <c r="AH69" s="1253">
        <f t="shared" si="39"/>
        <v>19.887</v>
      </c>
      <c r="AI69" s="1253">
        <f t="shared" si="40"/>
        <v>22.373000000000001</v>
      </c>
      <c r="AJ69" s="156">
        <f t="shared" si="41"/>
        <v>50.821956306512966</v>
      </c>
      <c r="AK69" s="156">
        <f t="shared" si="42"/>
        <v>15.199480515257319</v>
      </c>
      <c r="AM69" s="716">
        <f t="shared" si="33"/>
        <v>1337.0194564602923</v>
      </c>
      <c r="AN69" s="716" t="str">
        <f>_xlfn.XLOOKUP(D69,RUC!$B$3:$B$578,RUC!$M$3:$M$578)</f>
        <v>Ronald Miranda</v>
      </c>
      <c r="AO69" s="1167" t="s">
        <v>2279</v>
      </c>
      <c r="AP69" t="s">
        <v>5180</v>
      </c>
      <c r="AQ69" t="s">
        <v>5181</v>
      </c>
    </row>
    <row r="70" spans="1:44" ht="15" customHeight="1">
      <c r="A70" s="747" t="s">
        <v>5182</v>
      </c>
      <c r="B70" s="1447">
        <v>46125</v>
      </c>
      <c r="C70" s="1447">
        <v>46113</v>
      </c>
      <c r="D70" t="s">
        <v>93</v>
      </c>
      <c r="E70" s="762">
        <f>_xlfn.XLOOKUP(D70,RUC!$B$3:$B$123,RUC!$D$3:$D$123)</f>
        <v>20169040231</v>
      </c>
      <c r="G70" s="1082">
        <v>58</v>
      </c>
      <c r="H70" s="762" t="s">
        <v>69</v>
      </c>
      <c r="I70" s="703">
        <v>4.84</v>
      </c>
      <c r="J70" s="596">
        <v>2</v>
      </c>
      <c r="K70" s="703">
        <f t="shared" si="50"/>
        <v>4.7430000000000003</v>
      </c>
      <c r="L70" s="1745">
        <v>0.42799999999999999</v>
      </c>
      <c r="M70" s="994">
        <f t="shared" si="48"/>
        <v>0.40200000000000002</v>
      </c>
      <c r="N70" s="1196">
        <f t="shared" si="44"/>
        <v>0.40200000000000002</v>
      </c>
      <c r="O70" s="645">
        <f t="shared" si="38"/>
        <v>0.40200000000000002</v>
      </c>
      <c r="P70" s="727">
        <v>90</v>
      </c>
      <c r="Q70" s="880">
        <v>90.65</v>
      </c>
      <c r="R70" s="706">
        <v>4739</v>
      </c>
      <c r="S70" s="765">
        <f>IF((_xlfn.XLOOKUP(D70,RUC!$B$3:$B$119,RUC!$E$3:$E$119)+ROUNDDOWN(O70,1)*100)&lt;95,95,((_xlfn.XLOOKUP(D70,RUC!$B$3:$B$119,RUC!$E$3:$E$119)+ROUNDDOWN(O70,1)*100)))</f>
        <v>125</v>
      </c>
      <c r="U70" s="1146">
        <f>_xlfn.XLOOKUP(D70,RUC!$B$3:$B$123,RUC!$F$3:$F$123)</f>
        <v>120</v>
      </c>
      <c r="V70" s="715">
        <v>1.1023000000000001</v>
      </c>
      <c r="Y70">
        <f>_xlfn.XLOOKUP(D70,RUC!$B$3:$B$123,RUC!$G$3:$G$123)</f>
        <v>20</v>
      </c>
      <c r="Z70" s="1454">
        <v>35</v>
      </c>
      <c r="AA70" s="144">
        <f t="shared" si="51"/>
        <v>55</v>
      </c>
      <c r="AB70" s="145">
        <f t="shared" si="34"/>
        <v>1643.6992746600004</v>
      </c>
      <c r="AC70" s="145">
        <f>+(S70-T70)*V70-'data 1'!$F$4</f>
        <v>57.787499999999994</v>
      </c>
      <c r="AD70" s="145">
        <f t="shared" si="26"/>
        <v>14.164618933400124</v>
      </c>
      <c r="AE70" s="145">
        <f t="shared" si="27"/>
        <v>-9.3734999999999999</v>
      </c>
      <c r="AF70" s="145">
        <f t="shared" si="28"/>
        <v>120.00212208529987</v>
      </c>
      <c r="AG70" s="772">
        <f t="shared" si="53"/>
        <v>199.5807410187</v>
      </c>
      <c r="AH70" s="1253">
        <f t="shared" si="39"/>
        <v>63.091999999999999</v>
      </c>
      <c r="AI70" s="1253">
        <f t="shared" si="40"/>
        <v>69.599000000000004</v>
      </c>
      <c r="AJ70" s="156">
        <f t="shared" si="41"/>
        <v>120.17598896660002</v>
      </c>
      <c r="AK70" s="156">
        <f t="shared" si="42"/>
        <v>58.834322459552084</v>
      </c>
      <c r="AM70" s="716">
        <f t="shared" si="33"/>
        <v>7796.0656597123825</v>
      </c>
      <c r="AN70" s="716" t="str">
        <f>_xlfn.XLOOKUP(D70,RUC!$B$3:$B$578,RUC!$M$3:$M$578)</f>
        <v>Ronald Miranda</v>
      </c>
      <c r="AO70" s="1167" t="s">
        <v>2279</v>
      </c>
      <c r="AP70" t="s">
        <v>5226</v>
      </c>
      <c r="AQ70" t="s">
        <v>5227</v>
      </c>
    </row>
    <row r="71" spans="1:44" ht="15" customHeight="1">
      <c r="A71" s="747" t="s">
        <v>5183</v>
      </c>
      <c r="B71" s="1447">
        <v>46125</v>
      </c>
      <c r="C71" s="1447">
        <v>46113</v>
      </c>
      <c r="D71" t="s">
        <v>93</v>
      </c>
      <c r="E71" s="762">
        <f>_xlfn.XLOOKUP(D71,RUC!$B$3:$B$123,RUC!$D$3:$D$123)</f>
        <v>20169040231</v>
      </c>
      <c r="G71" s="1082">
        <v>58</v>
      </c>
      <c r="H71" s="762" t="s">
        <v>69</v>
      </c>
      <c r="I71" s="703">
        <v>4.72</v>
      </c>
      <c r="J71" s="596">
        <v>2.0499999999999998</v>
      </c>
      <c r="K71" s="703">
        <f t="shared" si="50"/>
        <v>4.6230000000000002</v>
      </c>
      <c r="L71" s="1745">
        <v>0.307</v>
      </c>
      <c r="M71" s="994">
        <f t="shared" si="48"/>
        <v>0.28899999999999998</v>
      </c>
      <c r="N71" s="1196">
        <f t="shared" si="44"/>
        <v>0.28899999999999998</v>
      </c>
      <c r="O71" s="645">
        <f t="shared" si="38"/>
        <v>0.28899999999999998</v>
      </c>
      <c r="P71" s="727">
        <v>90</v>
      </c>
      <c r="Q71" s="880">
        <v>91.86</v>
      </c>
      <c r="R71" s="706">
        <v>4739</v>
      </c>
      <c r="S71" s="765">
        <f>IF((_xlfn.XLOOKUP(D71,RUC!$B$3:$B$119,RUC!$E$3:$E$119)+ROUNDDOWN(O71,1)*100)&lt;95,95,((_xlfn.XLOOKUP(D71,RUC!$B$3:$B$119,RUC!$E$3:$E$119)+ROUNDDOWN(O71,1)*100)))</f>
        <v>105</v>
      </c>
      <c r="U71" s="1146">
        <f>_xlfn.XLOOKUP(D71,RUC!$B$3:$B$123,RUC!$F$3:$F$123)</f>
        <v>120</v>
      </c>
      <c r="V71" s="715">
        <v>1.1023000000000001</v>
      </c>
      <c r="Y71">
        <f>_xlfn.XLOOKUP(D71,RUC!$B$3:$B$123,RUC!$G$3:$G$123)</f>
        <v>20</v>
      </c>
      <c r="Z71" s="1454">
        <v>35</v>
      </c>
      <c r="AA71" s="144">
        <f t="shared" si="51"/>
        <v>55</v>
      </c>
      <c r="AB71" s="145">
        <f>+((O71*P71*(R71-U71)/100)-S71-AA71+T71)*V71</f>
        <v>1147.93731437</v>
      </c>
      <c r="AC71" s="145">
        <f>+(S71-T71)*V71-'data 1'!$F$4</f>
        <v>35.741500000000002</v>
      </c>
      <c r="AD71" s="145">
        <f t="shared" si="26"/>
        <v>29.073618631739986</v>
      </c>
      <c r="AE71" s="145">
        <f t="shared" si="27"/>
        <v>-9.3734999999999999</v>
      </c>
      <c r="AF71" s="145">
        <f>(L71-O71)*(R71-U71)*Q71*V71/100</f>
        <v>84.18732607476008</v>
      </c>
      <c r="AG71" s="772">
        <f t="shared" si="53"/>
        <v>156.62894470650008</v>
      </c>
      <c r="AH71" s="1253">
        <f t="shared" si="39"/>
        <v>44.698999999999998</v>
      </c>
      <c r="AI71" s="1253">
        <f t="shared" si="40"/>
        <v>48.66</v>
      </c>
      <c r="AJ71" s="156">
        <f t="shared" si="41"/>
        <v>87.351616012259996</v>
      </c>
      <c r="AK71" s="156">
        <f>31.1035*1.1023*K71*P71*O71/100</f>
        <v>41.226200863234517</v>
      </c>
      <c r="AM71" s="716">
        <f t="shared" si="33"/>
        <v>5306.9142043325101</v>
      </c>
      <c r="AN71" s="716" t="str">
        <f>_xlfn.XLOOKUP(D71,RUC!$B$3:$B$578,RUC!$M$3:$M$578)</f>
        <v>Ronald Miranda</v>
      </c>
      <c r="AO71" s="1167" t="s">
        <v>2279</v>
      </c>
      <c r="AP71" t="s">
        <v>5226</v>
      </c>
      <c r="AQ71" t="s">
        <v>5227</v>
      </c>
    </row>
    <row r="72" spans="1:44" ht="15" customHeight="1">
      <c r="A72" s="747" t="s">
        <v>5184</v>
      </c>
      <c r="B72" s="1447">
        <v>46125</v>
      </c>
      <c r="C72" s="1447">
        <v>46113</v>
      </c>
      <c r="D72" t="s">
        <v>93</v>
      </c>
      <c r="E72" s="762">
        <f>_xlfn.XLOOKUP(D72,RUC!$B$3:$B$123,RUC!$D$3:$D$123)</f>
        <v>20169040231</v>
      </c>
      <c r="G72" s="1082">
        <v>22</v>
      </c>
      <c r="H72" s="762" t="s">
        <v>69</v>
      </c>
      <c r="I72" s="703">
        <v>2.14</v>
      </c>
      <c r="J72" s="596">
        <v>5.35</v>
      </c>
      <c r="K72" s="703">
        <f t="shared" si="50"/>
        <v>2.0259999999999998</v>
      </c>
      <c r="L72" s="1745">
        <v>0.13800000000000001</v>
      </c>
      <c r="M72" s="994">
        <f t="shared" si="48"/>
        <v>0.11899999999999999</v>
      </c>
      <c r="N72" s="1196">
        <f t="shared" si="44"/>
        <v>0.11899999999999999</v>
      </c>
      <c r="O72" s="645">
        <f t="shared" si="38"/>
        <v>0.11899999999999999</v>
      </c>
      <c r="P72" s="727">
        <v>80</v>
      </c>
      <c r="Q72" s="880">
        <v>94.93</v>
      </c>
      <c r="R72" s="706">
        <v>4739</v>
      </c>
      <c r="S72" s="765">
        <f>IF((_xlfn.XLOOKUP(D72,RUC!$B$3:$B$119,RUC!$E$3:$E$119)+ROUNDDOWN(O72,1)*100)&lt;95,95,((_xlfn.XLOOKUP(D72,RUC!$B$3:$B$119,RUC!$E$3:$E$119)+ROUNDDOWN(O72,1)*100)))</f>
        <v>95</v>
      </c>
      <c r="U72" s="1146">
        <f>_xlfn.XLOOKUP(D72,RUC!$B$3:$B$123,RUC!$F$3:$F$123)</f>
        <v>120</v>
      </c>
      <c r="V72" s="715">
        <v>1.1023000000000001</v>
      </c>
      <c r="Y72">
        <f>_xlfn.XLOOKUP(D72,RUC!$B$3:$B$123,RUC!$G$3:$G$123)</f>
        <v>20</v>
      </c>
      <c r="Z72" s="1454">
        <v>35</v>
      </c>
      <c r="AA72" s="144">
        <f t="shared" si="51"/>
        <v>55</v>
      </c>
      <c r="AB72" s="145">
        <f>+((O72*P72*(R72-U72)/100)-S72-AA72+T72)*V72</f>
        <v>319.36805623999999</v>
      </c>
      <c r="AC72" s="145">
        <f>+(S72-T72)*V72-'data 1'!$F$4</f>
        <v>24.718500000000006</v>
      </c>
      <c r="AD72" s="145">
        <f t="shared" si="26"/>
        <v>104.90269940058005</v>
      </c>
      <c r="AE72" s="145">
        <f t="shared" si="27"/>
        <v>-9.3734999999999999</v>
      </c>
      <c r="AF72" s="145">
        <f>(L72-O72)*(R72-U72)*Q72*V72/100</f>
        <v>91.8342855197901</v>
      </c>
      <c r="AG72" s="772">
        <f t="shared" si="53"/>
        <v>229.08198492037013</v>
      </c>
      <c r="AH72" s="1253">
        <f t="shared" si="39"/>
        <v>9.1</v>
      </c>
      <c r="AI72" s="1253">
        <f t="shared" si="40"/>
        <v>9.5860000000000003</v>
      </c>
      <c r="AJ72" s="156">
        <f t="shared" si="41"/>
        <v>40.577818437420007</v>
      </c>
      <c r="AK72" s="156">
        <f>31.1035*1.1023*K72*P72*O72/100</f>
        <v>6.6128010772213601</v>
      </c>
      <c r="AM72" s="716">
        <f t="shared" si="33"/>
        <v>647.03968194223989</v>
      </c>
      <c r="AN72" s="716" t="str">
        <f>_xlfn.XLOOKUP(D72,RUC!$B$3:$B$578,RUC!$M$3:$M$578)</f>
        <v>Ronald Miranda</v>
      </c>
      <c r="AO72" s="1167" t="s">
        <v>2279</v>
      </c>
      <c r="AP72" t="s">
        <v>5226</v>
      </c>
      <c r="AQ72" t="s">
        <v>5227</v>
      </c>
    </row>
    <row r="73" spans="1:44" ht="15" customHeight="1">
      <c r="A73" s="747" t="s">
        <v>5186</v>
      </c>
      <c r="B73" s="1447">
        <v>46123</v>
      </c>
      <c r="C73" s="1447">
        <v>46113</v>
      </c>
      <c r="D73" t="s">
        <v>93</v>
      </c>
      <c r="E73" s="762">
        <f>_xlfn.XLOOKUP(D73,RUC!$B$3:$B$123,RUC!$D$3:$D$123)</f>
        <v>20169040231</v>
      </c>
      <c r="G73" s="1082">
        <v>57</v>
      </c>
      <c r="H73" s="762" t="s">
        <v>69</v>
      </c>
      <c r="I73" s="703">
        <v>5.12</v>
      </c>
      <c r="J73" s="596">
        <v>2.15</v>
      </c>
      <c r="K73" s="703">
        <f t="shared" si="50"/>
        <v>5.01</v>
      </c>
      <c r="L73" s="1759">
        <v>0.28399999999999997</v>
      </c>
      <c r="M73" s="994">
        <f t="shared" si="48"/>
        <v>0.26500000000000001</v>
      </c>
      <c r="N73" s="1196">
        <f t="shared" si="44"/>
        <v>0.26500000000000001</v>
      </c>
      <c r="O73" s="645">
        <f t="shared" si="38"/>
        <v>0.26500000000000001</v>
      </c>
      <c r="P73" s="727">
        <v>90</v>
      </c>
      <c r="Q73" s="880">
        <v>95.07</v>
      </c>
      <c r="R73" s="706">
        <v>4739</v>
      </c>
      <c r="S73" s="765">
        <f>IF((_xlfn.XLOOKUP(D73,RUC!$B$3:$B$119,RUC!$E$3:$E$119)+ROUNDDOWN(O73,1)*100)&lt;95,95,((_xlfn.XLOOKUP(D73,RUC!$B$3:$B$119,RUC!$E$3:$E$119)+ROUNDDOWN(O73,1)*100)))</f>
        <v>105</v>
      </c>
      <c r="U73" s="1146">
        <f>_xlfn.XLOOKUP(D73,RUC!$B$3:$B$123,RUC!$F$3:$F$123)</f>
        <v>120</v>
      </c>
      <c r="V73" s="715">
        <v>1.1023000000000001</v>
      </c>
      <c r="Y73">
        <f>_xlfn.XLOOKUP(D73,RUC!$B$3:$B$123,RUC!$G$3:$G$123)</f>
        <v>20</v>
      </c>
      <c r="Z73" s="1454">
        <v>35</v>
      </c>
      <c r="AA73" s="144">
        <f t="shared" si="51"/>
        <v>55</v>
      </c>
      <c r="AB73" s="145">
        <f t="shared" si="34"/>
        <v>1037.9604024500002</v>
      </c>
      <c r="AC73" s="145">
        <f>+(S73-T73)*V73-'data 1'!$F$4</f>
        <v>35.741500000000002</v>
      </c>
      <c r="AD73" s="145">
        <f t="shared" si="26"/>
        <v>73.311831451559897</v>
      </c>
      <c r="AE73" s="145">
        <f t="shared" si="27"/>
        <v>-9.3734999999999999</v>
      </c>
      <c r="AF73" s="145">
        <f t="shared" si="28"/>
        <v>91.969720050209816</v>
      </c>
      <c r="AG73" s="772">
        <f t="shared" si="53"/>
        <v>208.64955150176968</v>
      </c>
      <c r="AH73" s="1253">
        <f t="shared" si="39"/>
        <v>46.378</v>
      </c>
      <c r="AI73" s="1253">
        <f t="shared" si="40"/>
        <v>48.783000000000001</v>
      </c>
      <c r="AJ73" s="156">
        <f t="shared" si="41"/>
        <v>83.63112930443998</v>
      </c>
      <c r="AK73" s="156">
        <f t="shared" si="42"/>
        <v>40.967095900124249</v>
      </c>
      <c r="AM73" s="716">
        <f t="shared" si="33"/>
        <v>5200.1816162745008</v>
      </c>
      <c r="AN73" s="716" t="str">
        <f>_xlfn.XLOOKUP(D73,RUC!$B$3:$B$578,RUC!$M$3:$M$578)</f>
        <v>Ronald Miranda</v>
      </c>
      <c r="AO73" s="1167" t="s">
        <v>2279</v>
      </c>
      <c r="AP73" t="s">
        <v>5226</v>
      </c>
      <c r="AQ73" t="s">
        <v>5227</v>
      </c>
    </row>
    <row r="74" spans="1:44" ht="15" customHeight="1">
      <c r="A74" s="747" t="s">
        <v>5187</v>
      </c>
      <c r="B74" s="1447">
        <v>46125</v>
      </c>
      <c r="C74" s="1447">
        <v>46113</v>
      </c>
      <c r="D74" t="s">
        <v>93</v>
      </c>
      <c r="E74" s="762">
        <f>_xlfn.XLOOKUP(D74,RUC!$B$3:$B$123,RUC!$D$3:$D$123)</f>
        <v>20169040231</v>
      </c>
      <c r="G74" s="1082">
        <v>80</v>
      </c>
      <c r="H74" s="762" t="s">
        <v>69</v>
      </c>
      <c r="I74" s="703">
        <v>7.17</v>
      </c>
      <c r="J74" s="596">
        <v>2.25</v>
      </c>
      <c r="K74" s="703">
        <f t="shared" si="50"/>
        <v>7.0090000000000003</v>
      </c>
      <c r="L74" s="1745">
        <v>0.48299999999999998</v>
      </c>
      <c r="M74" s="994">
        <f t="shared" si="48"/>
        <v>0.45400000000000001</v>
      </c>
      <c r="N74" s="1196">
        <f t="shared" si="44"/>
        <v>0.45400000000000001</v>
      </c>
      <c r="O74" s="645">
        <f t="shared" si="38"/>
        <v>0.45400000000000001</v>
      </c>
      <c r="P74" s="727">
        <v>79</v>
      </c>
      <c r="Q74" s="1199">
        <v>79.92</v>
      </c>
      <c r="R74" s="706">
        <v>4739</v>
      </c>
      <c r="S74" s="765">
        <f>IF((_xlfn.XLOOKUP(D74,RUC!$B$3:$B$119,RUC!$E$3:$E$119)+ROUNDDOWN(O74,1)*100)&lt;95,95,((_xlfn.XLOOKUP(D74,RUC!$B$3:$B$119,RUC!$E$3:$E$119)+ROUNDDOWN(O74,1)*100)))</f>
        <v>125</v>
      </c>
      <c r="U74" s="1146">
        <f>_xlfn.XLOOKUP(D74,RUC!$B$3:$B$123,RUC!$F$3:$F$123)</f>
        <v>120</v>
      </c>
      <c r="V74" s="715">
        <v>1.1023000000000001</v>
      </c>
      <c r="Y74">
        <f>_xlfn.XLOOKUP(D74,RUC!$B$3:$B$123,RUC!$G$3:$G$123)</f>
        <v>20</v>
      </c>
      <c r="Z74" s="1454">
        <v>35</v>
      </c>
      <c r="AA74" s="144">
        <f t="shared" si="51"/>
        <v>55</v>
      </c>
      <c r="AB74" s="145">
        <f t="shared" si="34"/>
        <v>1627.7118902420002</v>
      </c>
      <c r="AC74" s="145">
        <f>+(S74-T74)*V74-'data 1'!$F$4</f>
        <v>57.787499999999994</v>
      </c>
      <c r="AD74" s="145">
        <f t="shared" si="26"/>
        <v>22.624694713320046</v>
      </c>
      <c r="AE74" s="145">
        <f t="shared" si="27"/>
        <v>-9.3734999999999999</v>
      </c>
      <c r="AF74" s="145">
        <f t="shared" si="28"/>
        <v>118.00522649015987</v>
      </c>
      <c r="AG74" s="772">
        <f t="shared" si="53"/>
        <v>206.0439212034799</v>
      </c>
      <c r="AH74" s="1253">
        <f t="shared" si="39"/>
        <v>92.760999999999996</v>
      </c>
      <c r="AI74" s="1253">
        <f t="shared" si="40"/>
        <v>116.068</v>
      </c>
      <c r="AJ74" s="156">
        <f t="shared" si="41"/>
        <v>119.56628434968</v>
      </c>
      <c r="AK74" s="156">
        <f t="shared" si="42"/>
        <v>86.188252121593138</v>
      </c>
      <c r="AM74" s="716">
        <f t="shared" si="33"/>
        <v>11408.63263870618</v>
      </c>
      <c r="AN74" s="716" t="str">
        <f>_xlfn.XLOOKUP(D74,RUC!$B$3:$B$578,RUC!$M$3:$M$578)</f>
        <v>Ronald Miranda</v>
      </c>
      <c r="AO74" s="1167" t="s">
        <v>2279</v>
      </c>
      <c r="AP74" t="s">
        <v>5226</v>
      </c>
      <c r="AQ74" t="s">
        <v>5227</v>
      </c>
      <c r="AR74" t="s">
        <v>5305</v>
      </c>
    </row>
    <row r="75" spans="1:44" ht="15" customHeight="1">
      <c r="A75" s="747" t="s">
        <v>5188</v>
      </c>
      <c r="B75" s="1447">
        <v>46125</v>
      </c>
      <c r="C75" s="1447">
        <v>46113</v>
      </c>
      <c r="D75" t="s">
        <v>93</v>
      </c>
      <c r="E75" s="762">
        <f>_xlfn.XLOOKUP(D75,RUC!$B$3:$B$123,RUC!$D$3:$D$123)</f>
        <v>20169040231</v>
      </c>
      <c r="G75" s="1082">
        <v>79</v>
      </c>
      <c r="H75" s="762" t="s">
        <v>69</v>
      </c>
      <c r="I75" s="703">
        <v>7.16</v>
      </c>
      <c r="J75" s="596">
        <v>2.2000000000000002</v>
      </c>
      <c r="K75" s="703">
        <f t="shared" si="50"/>
        <v>7.0019999999999998</v>
      </c>
      <c r="L75" s="1745">
        <v>0.30399999999999999</v>
      </c>
      <c r="M75" s="994">
        <v>0.28899999999999998</v>
      </c>
      <c r="N75" s="1196">
        <f t="shared" si="44"/>
        <v>0.28899999999999998</v>
      </c>
      <c r="O75" s="645">
        <f t="shared" si="38"/>
        <v>0.28899999999999998</v>
      </c>
      <c r="P75" s="727">
        <v>85</v>
      </c>
      <c r="Q75" s="1199">
        <v>85.67</v>
      </c>
      <c r="R75" s="706">
        <v>4739</v>
      </c>
      <c r="S75" s="765">
        <f>IF((_xlfn.XLOOKUP(D75,RUC!$B$3:$B$119,RUC!$E$3:$E$119)+ROUNDDOWN(O75,1)*100)&lt;95,95,((_xlfn.XLOOKUP(D75,RUC!$B$3:$B$119,RUC!$E$3:$E$119)+ROUNDDOWN(O75,1)*100)))</f>
        <v>105</v>
      </c>
      <c r="U75" s="1146">
        <f>_xlfn.XLOOKUP(D75,RUC!$B$3:$B$123,RUC!$F$3:$F$123)</f>
        <v>120</v>
      </c>
      <c r="V75" s="715">
        <v>1.1023000000000001</v>
      </c>
      <c r="Y75">
        <f>_xlfn.XLOOKUP(D75,RUC!$B$3:$B$123,RUC!$G$3:$G$123)</f>
        <v>20</v>
      </c>
      <c r="Z75" s="1454">
        <v>35</v>
      </c>
      <c r="AA75" s="144">
        <f t="shared" si="51"/>
        <v>55</v>
      </c>
      <c r="AB75" s="145">
        <f t="shared" si="34"/>
        <v>1074.364796905</v>
      </c>
      <c r="AC75" s="145">
        <f>+(S75-T75)*V75-'data 1'!$F$4</f>
        <v>35.741500000000002</v>
      </c>
      <c r="AD75" s="145">
        <f t="shared" si="26"/>
        <v>10.370415472160028</v>
      </c>
      <c r="AE75" s="145">
        <f t="shared" si="27"/>
        <v>-9.3734999999999999</v>
      </c>
      <c r="AF75" s="145">
        <f t="shared" si="28"/>
        <v>65.428625306850066</v>
      </c>
      <c r="AG75" s="772">
        <f t="shared" si="53"/>
        <v>119.16704077901011</v>
      </c>
      <c r="AH75" s="1253">
        <f t="shared" si="39"/>
        <v>62.521999999999998</v>
      </c>
      <c r="AI75" s="1253">
        <f t="shared" si="40"/>
        <v>72.98</v>
      </c>
      <c r="AJ75" s="156">
        <f t="shared" si="41"/>
        <v>80.669335183839991</v>
      </c>
      <c r="AK75" s="156">
        <f t="shared" si="42"/>
        <v>58.972283432526467</v>
      </c>
      <c r="AM75" s="716">
        <f t="shared" si="33"/>
        <v>7522.7023079288101</v>
      </c>
      <c r="AN75" s="716" t="str">
        <f>_xlfn.XLOOKUP(D75,RUC!$B$3:$B$578,RUC!$M$3:$M$578)</f>
        <v>Ronald Miranda</v>
      </c>
      <c r="AO75" s="1167" t="s">
        <v>2279</v>
      </c>
      <c r="AP75" t="s">
        <v>5226</v>
      </c>
      <c r="AQ75" t="s">
        <v>5227</v>
      </c>
      <c r="AR75" t="s">
        <v>5304</v>
      </c>
    </row>
    <row r="76" spans="1:44" ht="15" customHeight="1">
      <c r="A76" s="747" t="s">
        <v>5189</v>
      </c>
      <c r="B76" s="1447">
        <v>46123</v>
      </c>
      <c r="C76" s="1447">
        <v>46113</v>
      </c>
      <c r="D76" t="s">
        <v>93</v>
      </c>
      <c r="E76" s="762">
        <f>_xlfn.XLOOKUP(D76,RUC!$B$3:$B$123,RUC!$D$3:$D$123)</f>
        <v>20169040231</v>
      </c>
      <c r="G76" s="1082">
        <v>55</v>
      </c>
      <c r="H76" s="762" t="s">
        <v>69</v>
      </c>
      <c r="I76" s="703">
        <v>5.08</v>
      </c>
      <c r="J76" s="596">
        <v>2</v>
      </c>
      <c r="K76" s="703">
        <f t="shared" si="50"/>
        <v>4.9779999999999998</v>
      </c>
      <c r="L76" s="1745">
        <v>0.72599999999999998</v>
      </c>
      <c r="M76" s="994">
        <f t="shared" ref="M76:M111" si="54">ROUND(+IF(AN76="Melchor Vera",IF(L76&gt;0.467,L76*0.985,(L76-0.007)),IF(L76&gt;0.3,L76*0.94,(L76-0.019))),3)</f>
        <v>0.68200000000000005</v>
      </c>
      <c r="N76" s="1444">
        <v>0.73399999999999999</v>
      </c>
      <c r="O76" s="645">
        <f t="shared" si="38"/>
        <v>0.70799999999999996</v>
      </c>
      <c r="P76" s="727">
        <v>90</v>
      </c>
      <c r="Q76" s="880">
        <v>94.35</v>
      </c>
      <c r="R76" s="706">
        <v>4739</v>
      </c>
      <c r="S76" s="765">
        <f>IF((_xlfn.XLOOKUP(D76,RUC!$B$3:$B$119,RUC!$E$3:$E$119)+ROUNDDOWN(O76,1)*100)&lt;95,95,((_xlfn.XLOOKUP(D76,RUC!$B$3:$B$119,RUC!$E$3:$E$119)+ROUNDDOWN(O76,1)*100)))</f>
        <v>155</v>
      </c>
      <c r="U76" s="1146">
        <f>_xlfn.XLOOKUP(D76,RUC!$B$3:$B$123,RUC!$F$3:$F$123)</f>
        <v>120</v>
      </c>
      <c r="V76" s="715">
        <v>1.1023000000000001</v>
      </c>
      <c r="Y76">
        <f>_xlfn.XLOOKUP(D76,RUC!$B$3:$B$123,RUC!$G$3:$G$123)</f>
        <v>20</v>
      </c>
      <c r="Z76" s="1454">
        <v>35</v>
      </c>
      <c r="AA76" s="144">
        <f t="shared" si="51"/>
        <v>55</v>
      </c>
      <c r="AB76" s="145">
        <f t="shared" si="34"/>
        <v>3012.83590164</v>
      </c>
      <c r="AC76" s="145">
        <f>+(S76-T76)*V76-'data 1'!$F$4</f>
        <v>90.856500000000011</v>
      </c>
      <c r="AD76" s="145">
        <f t="shared" si="26"/>
        <v>160.79540996969979</v>
      </c>
      <c r="AE76" s="145">
        <f t="shared" si="27"/>
        <v>-9.3734999999999999</v>
      </c>
      <c r="AF76" s="145">
        <f t="shared" si="28"/>
        <v>86.469346997100075</v>
      </c>
      <c r="AG76" s="772">
        <f t="shared" si="53"/>
        <v>345.7477569667999</v>
      </c>
      <c r="AH76" s="1253">
        <f t="shared" si="39"/>
        <v>116.908</v>
      </c>
      <c r="AI76" s="1253">
        <f t="shared" si="40"/>
        <v>123.908</v>
      </c>
      <c r="AJ76" s="156">
        <f t="shared" si="41"/>
        <v>212.17033032029997</v>
      </c>
      <c r="AK76" s="156">
        <f t="shared" si="42"/>
        <v>108.75262004345988</v>
      </c>
      <c r="AM76" s="716">
        <f t="shared" si="33"/>
        <v>14997.897118363919</v>
      </c>
      <c r="AN76" s="716" t="str">
        <f>_xlfn.XLOOKUP(D76,RUC!$B$3:$B$578,RUC!$M$3:$M$578)</f>
        <v>Ronald Miranda</v>
      </c>
      <c r="AO76" s="1167" t="s">
        <v>2280</v>
      </c>
      <c r="AP76" t="s">
        <v>5228</v>
      </c>
      <c r="AQ76" t="s">
        <v>5229</v>
      </c>
    </row>
    <row r="77" spans="1:44" ht="15" customHeight="1">
      <c r="A77" s="747" t="s">
        <v>5190</v>
      </c>
      <c r="B77" s="1447">
        <v>46123</v>
      </c>
      <c r="C77" s="1447">
        <v>46113</v>
      </c>
      <c r="D77" t="s">
        <v>93</v>
      </c>
      <c r="E77" s="762">
        <f>_xlfn.XLOOKUP(D77,RUC!$B$3:$B$123,RUC!$D$3:$D$123)</f>
        <v>20169040231</v>
      </c>
      <c r="G77" s="1082">
        <v>54</v>
      </c>
      <c r="H77" s="762" t="s">
        <v>69</v>
      </c>
      <c r="I77" s="703">
        <v>5.0999999999999996</v>
      </c>
      <c r="J77" s="596">
        <v>2.1</v>
      </c>
      <c r="K77" s="703">
        <f t="shared" si="50"/>
        <v>4.9930000000000003</v>
      </c>
      <c r="L77" s="1745">
        <v>0.69299999999999995</v>
      </c>
      <c r="M77" s="994">
        <f t="shared" si="54"/>
        <v>0.65100000000000002</v>
      </c>
      <c r="N77" s="1196">
        <f t="shared" ref="N77" si="55">+M77</f>
        <v>0.65100000000000002</v>
      </c>
      <c r="O77" s="645">
        <f t="shared" si="38"/>
        <v>0.65100000000000002</v>
      </c>
      <c r="P77" s="727">
        <v>90</v>
      </c>
      <c r="Q77" s="880">
        <v>95.67</v>
      </c>
      <c r="R77" s="706">
        <v>4739</v>
      </c>
      <c r="S77" s="765">
        <f>IF((_xlfn.XLOOKUP(D77,RUC!$B$3:$B$119,RUC!$E$3:$E$119)+ROUNDDOWN(O77,1)*100)&lt;95,95,((_xlfn.XLOOKUP(D77,RUC!$B$3:$B$119,RUC!$E$3:$E$119)+ROUNDDOWN(O77,1)*100)))</f>
        <v>145</v>
      </c>
      <c r="U77" s="1146">
        <f>_xlfn.XLOOKUP(D77,RUC!$B$3:$B$123,RUC!$F$3:$F$123)</f>
        <v>120</v>
      </c>
      <c r="V77" s="715">
        <v>1.1023000000000001</v>
      </c>
      <c r="Y77">
        <f>_xlfn.XLOOKUP(D77,RUC!$B$3:$B$123,RUC!$G$3:$G$123)</f>
        <v>20</v>
      </c>
      <c r="Z77" s="1454">
        <v>35</v>
      </c>
      <c r="AA77" s="144">
        <f t="shared" si="51"/>
        <v>55</v>
      </c>
      <c r="AB77" s="145">
        <f t="shared" si="34"/>
        <v>2762.6637358300004</v>
      </c>
      <c r="AC77" s="145">
        <f>+(S77-T77)*V77-'data 1'!$F$4</f>
        <v>79.833500000000015</v>
      </c>
      <c r="AD77" s="145">
        <f t="shared" ref="AD77:AD111" si="56">+(Q77-P77)*(R77-U77)*L77*V77/100</f>
        <v>200.06174989647002</v>
      </c>
      <c r="AE77" s="145">
        <f t="shared" ref="AE77:AE111" si="57">+(Y77*V77-70)+V77*(Z77-IF(D77="UNTUCA",IF(+((W77-3)*2.5+(X77-3)*3.1)&gt;0,+((W77-3)*1.5+(X77-3)*3.1),0),IF(+((W77-3)*1.5+(X77-3)*3.1)&gt;0,+((W77-3)*1.5+(X77-3)*3.1),0)))</f>
        <v>-9.3734999999999999</v>
      </c>
      <c r="AF77" s="145">
        <f t="shared" ref="AF77:AF111" si="58">(L77-O77)*(R77-U77)*Q77*V77/100</f>
        <v>204.58455039917965</v>
      </c>
      <c r="AG77" s="772">
        <f t="shared" si="53"/>
        <v>492.1063002956497</v>
      </c>
      <c r="AH77" s="1253">
        <f t="shared" si="39"/>
        <v>113.496</v>
      </c>
      <c r="AI77" s="1253">
        <f t="shared" si="40"/>
        <v>118.633</v>
      </c>
      <c r="AJ77" s="156">
        <f t="shared" si="41"/>
        <v>205.35965965052998</v>
      </c>
      <c r="AK77" s="156">
        <f t="shared" si="42"/>
        <v>100.29842963046555</v>
      </c>
      <c r="AM77" s="716">
        <f t="shared" ref="AM77:AM111" si="59">+IF(AB77*K77&gt;0,AB77*K77,0)</f>
        <v>13793.980032999192</v>
      </c>
      <c r="AN77" s="716" t="str">
        <f>_xlfn.XLOOKUP(D77,RUC!$B$3:$B$578,RUC!$M$3:$M$578)</f>
        <v>Ronald Miranda</v>
      </c>
      <c r="AO77" s="1167" t="s">
        <v>2280</v>
      </c>
      <c r="AP77" t="s">
        <v>5228</v>
      </c>
      <c r="AQ77" t="s">
        <v>5229</v>
      </c>
    </row>
    <row r="78" spans="1:44" ht="15" customHeight="1">
      <c r="A78" s="747" t="s">
        <v>5191</v>
      </c>
      <c r="B78" s="1447">
        <v>46123</v>
      </c>
      <c r="C78" s="1447">
        <v>46113</v>
      </c>
      <c r="D78" t="s">
        <v>93</v>
      </c>
      <c r="E78" s="762">
        <f>_xlfn.XLOOKUP(D78,RUC!$B$3:$B$123,RUC!$D$3:$D$123)</f>
        <v>20169040231</v>
      </c>
      <c r="G78" s="1082">
        <v>44</v>
      </c>
      <c r="H78" s="762" t="s">
        <v>69</v>
      </c>
      <c r="I78" s="703">
        <v>3.7</v>
      </c>
      <c r="J78" s="596">
        <v>2.2000000000000002</v>
      </c>
      <c r="K78" s="703">
        <f t="shared" si="50"/>
        <v>3.6190000000000002</v>
      </c>
      <c r="L78" s="1745">
        <v>0.26400000000000001</v>
      </c>
      <c r="M78" s="994">
        <f t="shared" si="54"/>
        <v>0.245</v>
      </c>
      <c r="N78" s="1672">
        <v>0.30299999999999999</v>
      </c>
      <c r="O78" s="645">
        <f t="shared" si="38"/>
        <v>0.27400000000000002</v>
      </c>
      <c r="P78" s="727">
        <v>90</v>
      </c>
      <c r="Q78" s="880">
        <v>93.18</v>
      </c>
      <c r="R78" s="706">
        <v>4739</v>
      </c>
      <c r="S78" s="765">
        <f>IF((_xlfn.XLOOKUP(D78,RUC!$B$3:$B$119,RUC!$E$3:$E$119)+ROUNDDOWN(O78,1)*100)&lt;95,95,((_xlfn.XLOOKUP(D78,RUC!$B$3:$B$119,RUC!$E$3:$E$119)+ROUNDDOWN(O78,1)*100)))</f>
        <v>105</v>
      </c>
      <c r="U78" s="1146">
        <f>_xlfn.XLOOKUP(D78,RUC!$B$3:$B$123,RUC!$F$3:$F$123)</f>
        <v>120</v>
      </c>
      <c r="V78" s="715">
        <v>1.1023000000000001</v>
      </c>
      <c r="Y78">
        <f>_xlfn.XLOOKUP(D78,RUC!$B$3:$B$123,RUC!$G$3:$G$123)</f>
        <v>20</v>
      </c>
      <c r="Z78" s="1454">
        <v>35</v>
      </c>
      <c r="AA78" s="144">
        <f t="shared" si="51"/>
        <v>55</v>
      </c>
      <c r="AB78" s="145">
        <f t="shared" ref="AB78:AB111" si="60">+((O78*P78*(R78-U78)/100)-S78-AA78+T78)*V78</f>
        <v>1079.2017444200003</v>
      </c>
      <c r="AC78" s="145">
        <f>+(S78-T78)*V78-'data 1'!$F$4</f>
        <v>35.741500000000002</v>
      </c>
      <c r="AD78" s="145">
        <f t="shared" si="56"/>
        <v>42.744359766240095</v>
      </c>
      <c r="AE78" s="145">
        <f t="shared" si="57"/>
        <v>-9.3734999999999999</v>
      </c>
      <c r="AF78" s="145">
        <f t="shared" si="58"/>
        <v>-47.442817836600049</v>
      </c>
      <c r="AG78" s="772">
        <f t="shared" si="53"/>
        <v>38.669541929640047</v>
      </c>
      <c r="AH78" s="1253">
        <f t="shared" si="39"/>
        <v>30.523</v>
      </c>
      <c r="AI78" s="1253">
        <f t="shared" si="40"/>
        <v>32.756999999999998</v>
      </c>
      <c r="AJ78" s="156">
        <f t="shared" si="41"/>
        <v>76.196103017760009</v>
      </c>
      <c r="AK78" s="156">
        <f t="shared" si="42"/>
        <v>30.597836852437478</v>
      </c>
      <c r="AM78" s="716">
        <f t="shared" si="59"/>
        <v>3905.6311130559811</v>
      </c>
      <c r="AN78" s="716" t="str">
        <f>_xlfn.XLOOKUP(D78,RUC!$B$3:$B$578,RUC!$M$3:$M$578)</f>
        <v>Ronald Miranda</v>
      </c>
      <c r="AO78" s="1167" t="s">
        <v>2280</v>
      </c>
      <c r="AP78" t="s">
        <v>5228</v>
      </c>
      <c r="AQ78" t="s">
        <v>5229</v>
      </c>
    </row>
    <row r="79" spans="1:44" ht="15" customHeight="1">
      <c r="A79" s="747" t="s">
        <v>5194</v>
      </c>
      <c r="B79" s="1447">
        <v>46123</v>
      </c>
      <c r="C79" s="1447">
        <v>46114</v>
      </c>
      <c r="D79" s="1800" t="s">
        <v>4722</v>
      </c>
      <c r="E79" s="762" t="str">
        <f>_xlfn.XLOOKUP(D79,RUC!$B$3:$B$123,RUC!$D$3:$D$123)</f>
        <v>20610807004*</v>
      </c>
      <c r="G79" s="1082">
        <v>49</v>
      </c>
      <c r="H79" s="762" t="s">
        <v>69</v>
      </c>
      <c r="I79" s="703">
        <v>4.4800000000000004</v>
      </c>
      <c r="J79" s="596">
        <v>5.0999999999999996</v>
      </c>
      <c r="K79" s="703">
        <f t="shared" si="50"/>
        <v>4.2519999999999998</v>
      </c>
      <c r="L79" s="1745">
        <v>0.44400000000000001</v>
      </c>
      <c r="M79" s="994">
        <f t="shared" si="54"/>
        <v>0.41699999999999998</v>
      </c>
      <c r="N79" s="1196">
        <f t="shared" ref="N79:N111" si="61">+M79</f>
        <v>0.41699999999999998</v>
      </c>
      <c r="O79" s="645">
        <f t="shared" ref="O79:O111" si="62">+ROUND((M79+N79)/2,3)</f>
        <v>0.41699999999999998</v>
      </c>
      <c r="P79" s="727">
        <v>90</v>
      </c>
      <c r="Q79" s="1476">
        <v>98.42</v>
      </c>
      <c r="R79" s="706">
        <v>4639.3500000000004</v>
      </c>
      <c r="S79" s="765">
        <f>IF((_xlfn.XLOOKUP(D79,RUC!$B$3:$B$119,RUC!$E$3:$E$119)+ROUNDDOWN(O79,1)*100)&lt;95,95,((_xlfn.XLOOKUP(D79,RUC!$B$3:$B$119,RUC!$E$3:$E$119)+ROUNDDOWN(O79,1)*100)))</f>
        <v>125</v>
      </c>
      <c r="U79" s="1146">
        <f>_xlfn.XLOOKUP(D79,RUC!$B$3:$B$123,RUC!$F$3:$F$123)</f>
        <v>120</v>
      </c>
      <c r="V79" s="715">
        <v>1.1023000000000001</v>
      </c>
      <c r="Y79">
        <f>_xlfn.XLOOKUP(D79,RUC!$B$3:$B$123,RUC!$G$3:$G$123)</f>
        <v>20</v>
      </c>
      <c r="Z79" s="1454">
        <v>35</v>
      </c>
      <c r="AA79" s="144">
        <f t="shared" si="51"/>
        <v>55</v>
      </c>
      <c r="AB79" s="145">
        <f t="shared" si="60"/>
        <v>1671.2103182265002</v>
      </c>
      <c r="AC79" s="145">
        <f>+(S79-T79)*V79-'data 1'!$F$4</f>
        <v>57.787499999999994</v>
      </c>
      <c r="AD79" s="145">
        <f t="shared" si="56"/>
        <v>186.23909195852409</v>
      </c>
      <c r="AE79" s="145">
        <f t="shared" si="57"/>
        <v>-9.3734999999999999</v>
      </c>
      <c r="AF79" s="145">
        <f t="shared" si="58"/>
        <v>132.38016215816714</v>
      </c>
      <c r="AG79" s="772">
        <f t="shared" si="53"/>
        <v>384.03325411669118</v>
      </c>
      <c r="AH79" s="1253">
        <f t="shared" ref="AH79:AH111" si="63">ROUND((31.1035*L79*Q79*1.1023*K79/100),3)</f>
        <v>63.704000000000001</v>
      </c>
      <c r="AI79" s="1253">
        <f t="shared" ref="AI79:AI111" si="64">ROUND((31.1035*L79*1.1023*K79),3)</f>
        <v>64.727000000000004</v>
      </c>
      <c r="AJ79" s="156">
        <f t="shared" ref="AJ79:AJ111" si="65">+((+$AJ$2-R79+U79)*L79*Q79*V79)/100</f>
        <v>183.35466853947582</v>
      </c>
      <c r="AK79" s="156">
        <f t="shared" ref="AK79:AK111" si="66">31.1035*1.1023*K79*P79*O79/100</f>
        <v>54.711785686721576</v>
      </c>
      <c r="AM79" s="716">
        <f t="shared" si="59"/>
        <v>7105.986273099079</v>
      </c>
      <c r="AN79" s="716" t="str">
        <f>_xlfn.XLOOKUP(D79,RUC!$B$3:$B$578,RUC!$M$3:$M$578)</f>
        <v>Ronald Miranda</v>
      </c>
      <c r="AO79" s="1167" t="s">
        <v>2279</v>
      </c>
      <c r="AP79" t="s">
        <v>3570</v>
      </c>
      <c r="AQ79" t="s">
        <v>5230</v>
      </c>
    </row>
    <row r="80" spans="1:44" ht="15" customHeight="1">
      <c r="A80" s="747" t="s">
        <v>5195</v>
      </c>
      <c r="B80" s="1447">
        <v>46118</v>
      </c>
      <c r="C80" s="1447">
        <v>46114</v>
      </c>
      <c r="D80" t="s">
        <v>1967</v>
      </c>
      <c r="E80" s="762">
        <f>_xlfn.XLOOKUP(D80,RUC!$B$3:$B$123,RUC!$D$3:$D$123)</f>
        <v>20601769396</v>
      </c>
      <c r="G80" s="1082">
        <v>35</v>
      </c>
      <c r="H80" s="762" t="s">
        <v>2005</v>
      </c>
      <c r="I80" s="703">
        <v>2.5099999999999998</v>
      </c>
      <c r="J80" s="596">
        <v>10.9</v>
      </c>
      <c r="K80" s="703">
        <f t="shared" si="50"/>
        <v>2.2360000000000002</v>
      </c>
      <c r="L80" s="1745">
        <v>0.25800000000000001</v>
      </c>
      <c r="M80" s="994">
        <f t="shared" si="54"/>
        <v>0.23899999999999999</v>
      </c>
      <c r="N80" s="1196">
        <f t="shared" si="61"/>
        <v>0.23899999999999999</v>
      </c>
      <c r="O80" s="645">
        <f t="shared" si="62"/>
        <v>0.23899999999999999</v>
      </c>
      <c r="P80" s="727">
        <v>90</v>
      </c>
      <c r="Q80" s="1476">
        <v>97.29</v>
      </c>
      <c r="R80" s="706">
        <v>4639.3500000000004</v>
      </c>
      <c r="S80" s="765">
        <f>IF((_xlfn.XLOOKUP(D80,RUC!$B$3:$B$119,RUC!$E$3:$E$119)+ROUNDDOWN(O80,1)*100)&lt;95,95,((_xlfn.XLOOKUP(D80,RUC!$B$3:$B$119,RUC!$E$3:$E$119)+ROUNDDOWN(O80,1)*100)))</f>
        <v>110</v>
      </c>
      <c r="U80" s="1146">
        <f>_xlfn.XLOOKUP(D80,RUC!$B$3:$B$123,RUC!$F$3:$F$123)</f>
        <v>120</v>
      </c>
      <c r="V80" s="715">
        <v>1.1023000000000001</v>
      </c>
      <c r="Y80">
        <f>_xlfn.XLOOKUP(D80,RUC!$B$3:$B$123,RUC!$G$3:$G$123)</f>
        <v>20</v>
      </c>
      <c r="Z80" s="143">
        <f>_xlfn.XLOOKUP(D80,RUC!$B$3:$B$123,RUC!$H$3:$H$123)</f>
        <v>30</v>
      </c>
      <c r="AA80" s="144">
        <f t="shared" si="51"/>
        <v>50</v>
      </c>
      <c r="AB80" s="145">
        <f t="shared" si="60"/>
        <v>895.19126152550007</v>
      </c>
      <c r="AC80" s="145">
        <f>+(S80-T80)*V80-'data 1'!$F$4</f>
        <v>41.253</v>
      </c>
      <c r="AD80" s="145">
        <f t="shared" si="56"/>
        <v>93.696424465941092</v>
      </c>
      <c r="AE80" s="145">
        <f t="shared" si="57"/>
        <v>-14.884999999999998</v>
      </c>
      <c r="AF80" s="145">
        <f t="shared" si="58"/>
        <v>92.086843817875604</v>
      </c>
      <c r="AG80" s="772">
        <f t="shared" si="53"/>
        <v>229.15126828381671</v>
      </c>
      <c r="AH80" s="1253">
        <f t="shared" si="63"/>
        <v>19.242999999999999</v>
      </c>
      <c r="AI80" s="1253">
        <f t="shared" si="64"/>
        <v>19.779</v>
      </c>
      <c r="AJ80" s="156">
        <f t="shared" si="65"/>
        <v>105.32065488705889</v>
      </c>
      <c r="AK80" s="156">
        <f t="shared" si="66"/>
        <v>16.49002366392498</v>
      </c>
      <c r="AM80" s="716">
        <f t="shared" si="59"/>
        <v>2001.6476607710183</v>
      </c>
      <c r="AN80" s="716" t="str">
        <f>_xlfn.XLOOKUP(D80,RUC!$B$3:$B$578,RUC!$M$3:$M$578)</f>
        <v>Evelyn</v>
      </c>
      <c r="AO80" s="1167" t="s">
        <v>2278</v>
      </c>
      <c r="AP80" t="s">
        <v>5231</v>
      </c>
      <c r="AQ80" t="s">
        <v>3404</v>
      </c>
    </row>
    <row r="81" spans="1:43" ht="15" customHeight="1">
      <c r="A81" s="747" t="s">
        <v>5196</v>
      </c>
      <c r="B81" s="1447">
        <v>46118</v>
      </c>
      <c r="C81" s="1447">
        <v>46114</v>
      </c>
      <c r="D81" t="s">
        <v>1967</v>
      </c>
      <c r="E81" s="762">
        <f>_xlfn.XLOOKUP(D81,RUC!$B$3:$B$123,RUC!$D$3:$D$123)</f>
        <v>20601769396</v>
      </c>
      <c r="G81" s="1082">
        <v>33</v>
      </c>
      <c r="H81" s="762" t="s">
        <v>2005</v>
      </c>
      <c r="I81" s="703">
        <v>2.3199999999999998</v>
      </c>
      <c r="J81" s="596">
        <v>10.9</v>
      </c>
      <c r="K81" s="703">
        <f t="shared" si="50"/>
        <v>2.0670000000000002</v>
      </c>
      <c r="L81" s="1745">
        <v>0.23400000000000001</v>
      </c>
      <c r="M81" s="994">
        <f t="shared" si="54"/>
        <v>0.215</v>
      </c>
      <c r="N81" s="1196">
        <f t="shared" si="61"/>
        <v>0.215</v>
      </c>
      <c r="O81" s="645">
        <f t="shared" si="62"/>
        <v>0.215</v>
      </c>
      <c r="P81" s="727">
        <v>90</v>
      </c>
      <c r="Q81" s="1476">
        <v>95.73</v>
      </c>
      <c r="R81" s="706">
        <v>4639.3500000000004</v>
      </c>
      <c r="S81" s="765">
        <f>IF((_xlfn.XLOOKUP(D81,RUC!$B$3:$B$119,RUC!$E$3:$E$119)+ROUNDDOWN(O81,1)*100)&lt;95,95,((_xlfn.XLOOKUP(D81,RUC!$B$3:$B$119,RUC!$E$3:$E$119)+ROUNDDOWN(O81,1)*100)))</f>
        <v>110</v>
      </c>
      <c r="U81" s="1146">
        <f>_xlfn.XLOOKUP(D81,RUC!$B$3:$B$123,RUC!$F$3:$F$123)</f>
        <v>120</v>
      </c>
      <c r="V81" s="715">
        <v>1.1023000000000001</v>
      </c>
      <c r="Y81">
        <f>_xlfn.XLOOKUP(D81,RUC!$B$3:$B$123,RUC!$G$3:$G$123)</f>
        <v>20</v>
      </c>
      <c r="Z81" s="143">
        <f>_xlfn.XLOOKUP(D81,RUC!$B$3:$B$123,RUC!$H$3:$H$123)</f>
        <v>30</v>
      </c>
      <c r="AA81" s="144">
        <f t="shared" si="51"/>
        <v>50</v>
      </c>
      <c r="AB81" s="145">
        <f t="shared" si="60"/>
        <v>787.58698421750023</v>
      </c>
      <c r="AC81" s="145">
        <f>+(S81-T81)*V81-'data 1'!$F$4</f>
        <v>41.253</v>
      </c>
      <c r="AD81" s="145">
        <f t="shared" si="56"/>
        <v>66.795355138941062</v>
      </c>
      <c r="AE81" s="145">
        <f t="shared" si="57"/>
        <v>-14.884999999999998</v>
      </c>
      <c r="AF81" s="145">
        <f t="shared" si="58"/>
        <v>90.610274012593607</v>
      </c>
      <c r="AG81" s="772">
        <f t="shared" si="53"/>
        <v>200.77362915153466</v>
      </c>
      <c r="AH81" s="1253">
        <f t="shared" si="63"/>
        <v>15.875</v>
      </c>
      <c r="AI81" s="1253">
        <f t="shared" si="64"/>
        <v>16.582999999999998</v>
      </c>
      <c r="AJ81" s="156">
        <f t="shared" si="65"/>
        <v>93.991711522058935</v>
      </c>
      <c r="AK81" s="156">
        <f t="shared" si="66"/>
        <v>13.712938088724224</v>
      </c>
      <c r="AM81" s="716">
        <f t="shared" si="59"/>
        <v>1627.942296377573</v>
      </c>
      <c r="AN81" s="716" t="str">
        <f>_xlfn.XLOOKUP(D81,RUC!$B$3:$B$578,RUC!$M$3:$M$578)</f>
        <v>Evelyn</v>
      </c>
      <c r="AO81" s="1167" t="s">
        <v>2278</v>
      </c>
      <c r="AP81" t="s">
        <v>5231</v>
      </c>
      <c r="AQ81" t="s">
        <v>3404</v>
      </c>
    </row>
    <row r="82" spans="1:43" ht="15" customHeight="1">
      <c r="A82" s="747" t="s">
        <v>5197</v>
      </c>
      <c r="B82" s="1447">
        <v>46118</v>
      </c>
      <c r="C82" s="1447">
        <v>46114</v>
      </c>
      <c r="D82" t="s">
        <v>1967</v>
      </c>
      <c r="E82" s="762">
        <f>_xlfn.XLOOKUP(D82,RUC!$B$3:$B$123,RUC!$D$3:$D$123)</f>
        <v>20601769396</v>
      </c>
      <c r="G82" s="1082">
        <v>33</v>
      </c>
      <c r="H82" s="762" t="s">
        <v>2005</v>
      </c>
      <c r="I82" s="703">
        <v>2.31</v>
      </c>
      <c r="J82" s="596">
        <v>11.93</v>
      </c>
      <c r="K82" s="703">
        <f t="shared" si="50"/>
        <v>2.0339999999999998</v>
      </c>
      <c r="L82" s="1745">
        <v>0.249</v>
      </c>
      <c r="M82" s="994">
        <f t="shared" si="54"/>
        <v>0.23</v>
      </c>
      <c r="N82" s="1196">
        <f t="shared" si="61"/>
        <v>0.23</v>
      </c>
      <c r="O82" s="645">
        <f t="shared" si="62"/>
        <v>0.23</v>
      </c>
      <c r="P82" s="727">
        <v>90</v>
      </c>
      <c r="Q82" s="1476">
        <v>96.39</v>
      </c>
      <c r="R82" s="706">
        <v>4639.3500000000004</v>
      </c>
      <c r="S82" s="765">
        <f>IF((_xlfn.XLOOKUP(D82,RUC!$B$3:$B$119,RUC!$E$3:$E$119)+ROUNDDOWN(O82,1)*100)&lt;95,95,((_xlfn.XLOOKUP(D82,RUC!$B$3:$B$119,RUC!$E$3:$E$119)+ROUNDDOWN(O82,1)*100)))</f>
        <v>110</v>
      </c>
      <c r="U82" s="1146">
        <f>_xlfn.XLOOKUP(D82,RUC!$B$3:$B$123,RUC!$F$3:$F$123)</f>
        <v>120</v>
      </c>
      <c r="V82" s="715">
        <v>1.1023000000000001</v>
      </c>
      <c r="Y82">
        <f>_xlfn.XLOOKUP(D82,RUC!$B$3:$B$123,RUC!$G$3:$G$123)</f>
        <v>20</v>
      </c>
      <c r="Z82" s="143">
        <f>_xlfn.XLOOKUP(D82,RUC!$B$3:$B$123,RUC!$H$3:$H$123)</f>
        <v>30</v>
      </c>
      <c r="AA82" s="144">
        <f t="shared" si="51"/>
        <v>50</v>
      </c>
      <c r="AB82" s="145">
        <f t="shared" si="60"/>
        <v>854.83965753500001</v>
      </c>
      <c r="AC82" s="145">
        <f>+(S82-T82)*V82-'data 1'!$F$4</f>
        <v>41.253</v>
      </c>
      <c r="AD82" s="145">
        <f t="shared" si="56"/>
        <v>79.264000772005517</v>
      </c>
      <c r="AE82" s="145">
        <f t="shared" si="57"/>
        <v>-14.884999999999998</v>
      </c>
      <c r="AF82" s="145">
        <f t="shared" si="58"/>
        <v>91.234976622520449</v>
      </c>
      <c r="AG82" s="772">
        <f t="shared" si="53"/>
        <v>213.86697739452597</v>
      </c>
      <c r="AH82" s="1253">
        <f t="shared" si="63"/>
        <v>16.738</v>
      </c>
      <c r="AI82" s="1253">
        <f t="shared" si="64"/>
        <v>17.364000000000001</v>
      </c>
      <c r="AJ82" s="156">
        <f t="shared" si="65"/>
        <v>100.7063762544944</v>
      </c>
      <c r="AK82" s="156">
        <f t="shared" si="66"/>
        <v>14.435451213795902</v>
      </c>
      <c r="AM82" s="716">
        <f t="shared" si="59"/>
        <v>1738.7438634261898</v>
      </c>
      <c r="AN82" s="716" t="str">
        <f>_xlfn.XLOOKUP(D82,RUC!$B$3:$B$578,RUC!$M$3:$M$578)</f>
        <v>Evelyn</v>
      </c>
      <c r="AO82" s="1167" t="s">
        <v>2278</v>
      </c>
      <c r="AP82" t="s">
        <v>5231</v>
      </c>
      <c r="AQ82" t="s">
        <v>3404</v>
      </c>
    </row>
    <row r="83" spans="1:43" ht="15" customHeight="1">
      <c r="A83" s="747" t="s">
        <v>5198</v>
      </c>
      <c r="B83" s="1447">
        <v>46118</v>
      </c>
      <c r="C83" s="1447">
        <v>46114</v>
      </c>
      <c r="D83" t="s">
        <v>1967</v>
      </c>
      <c r="E83" s="762">
        <f>_xlfn.XLOOKUP(D83,RUC!$B$3:$B$123,RUC!$D$3:$D$123)</f>
        <v>20601769396</v>
      </c>
      <c r="G83" s="1082">
        <v>33</v>
      </c>
      <c r="H83" s="762" t="s">
        <v>2005</v>
      </c>
      <c r="I83" s="703">
        <v>2.35</v>
      </c>
      <c r="J83" s="596">
        <v>12.55</v>
      </c>
      <c r="K83" s="703">
        <f t="shared" si="50"/>
        <v>2.0550000000000002</v>
      </c>
      <c r="L83" s="1745">
        <v>0.224</v>
      </c>
      <c r="M83" s="994">
        <f t="shared" si="54"/>
        <v>0.20499999999999999</v>
      </c>
      <c r="N83" s="1196">
        <f t="shared" si="61"/>
        <v>0.20499999999999999</v>
      </c>
      <c r="O83" s="645">
        <f t="shared" si="62"/>
        <v>0.20499999999999999</v>
      </c>
      <c r="P83" s="727">
        <v>90</v>
      </c>
      <c r="Q83" s="1476">
        <v>95.09</v>
      </c>
      <c r="R83" s="706">
        <v>4639.3500000000004</v>
      </c>
      <c r="S83" s="765">
        <f>IF((_xlfn.XLOOKUP(D83,RUC!$B$3:$B$119,RUC!$E$3:$E$119)+ROUNDDOWN(O83,1)*100)&lt;95,95,((_xlfn.XLOOKUP(D83,RUC!$B$3:$B$119,RUC!$E$3:$E$119)+ROUNDDOWN(O83,1)*100)))</f>
        <v>110</v>
      </c>
      <c r="U83" s="1146">
        <f>_xlfn.XLOOKUP(D83,RUC!$B$3:$B$123,RUC!$F$3:$F$123)</f>
        <v>120</v>
      </c>
      <c r="V83" s="715">
        <v>1.1023000000000001</v>
      </c>
      <c r="Y83">
        <f>_xlfn.XLOOKUP(D83,RUC!$B$3:$B$123,RUC!$G$3:$G$123)</f>
        <v>20</v>
      </c>
      <c r="Z83" s="143">
        <f>_xlfn.XLOOKUP(D83,RUC!$B$3:$B$123,RUC!$H$3:$H$123)</f>
        <v>30</v>
      </c>
      <c r="AA83" s="144">
        <f t="shared" si="51"/>
        <v>50</v>
      </c>
      <c r="AB83" s="145">
        <f t="shared" si="60"/>
        <v>742.75186867250011</v>
      </c>
      <c r="AC83" s="145">
        <f>+(S83-T83)*V83-'data 1'!$F$4</f>
        <v>41.253</v>
      </c>
      <c r="AD83" s="145">
        <f t="shared" si="56"/>
        <v>56.799117044208053</v>
      </c>
      <c r="AE83" s="145">
        <f t="shared" si="57"/>
        <v>-14.884999999999998</v>
      </c>
      <c r="AF83" s="145">
        <f t="shared" si="58"/>
        <v>90.004501784785589</v>
      </c>
      <c r="AG83" s="772">
        <f t="shared" si="53"/>
        <v>190.17161882899364</v>
      </c>
      <c r="AH83" s="1253">
        <f t="shared" si="63"/>
        <v>15.007</v>
      </c>
      <c r="AI83" s="1253">
        <f t="shared" si="64"/>
        <v>15.782</v>
      </c>
      <c r="AJ83" s="156">
        <f t="shared" si="65"/>
        <v>89.373446779791919</v>
      </c>
      <c r="AK83" s="156">
        <f t="shared" si="66"/>
        <v>12.999219165687377</v>
      </c>
      <c r="AM83" s="716">
        <f t="shared" si="59"/>
        <v>1526.3550901219878</v>
      </c>
      <c r="AN83" s="716" t="str">
        <f>_xlfn.XLOOKUP(D83,RUC!$B$3:$B$578,RUC!$M$3:$M$578)</f>
        <v>Evelyn</v>
      </c>
      <c r="AO83" s="1167" t="s">
        <v>2278</v>
      </c>
      <c r="AP83" t="s">
        <v>5231</v>
      </c>
      <c r="AQ83" t="s">
        <v>3404</v>
      </c>
    </row>
    <row r="84" spans="1:43" ht="15" customHeight="1">
      <c r="A84" s="747" t="s">
        <v>5199</v>
      </c>
      <c r="B84" s="1447">
        <v>46118</v>
      </c>
      <c r="C84" s="1447">
        <v>46114</v>
      </c>
      <c r="D84" t="s">
        <v>1967</v>
      </c>
      <c r="E84" s="762">
        <f>_xlfn.XLOOKUP(D84,RUC!$B$3:$B$123,RUC!$D$3:$D$123)</f>
        <v>20601769396</v>
      </c>
      <c r="G84" s="1082">
        <v>33</v>
      </c>
      <c r="H84" s="762" t="s">
        <v>2005</v>
      </c>
      <c r="I84" s="703">
        <v>2.31</v>
      </c>
      <c r="J84" s="596">
        <v>10.48</v>
      </c>
      <c r="K84" s="703">
        <f t="shared" si="50"/>
        <v>2.0680000000000001</v>
      </c>
      <c r="L84" s="1745">
        <v>0.29499999999999998</v>
      </c>
      <c r="M84" s="994">
        <f t="shared" si="54"/>
        <v>0.27600000000000002</v>
      </c>
      <c r="N84" s="1196">
        <f t="shared" si="61"/>
        <v>0.27600000000000002</v>
      </c>
      <c r="O84" s="645">
        <f t="shared" si="62"/>
        <v>0.27600000000000002</v>
      </c>
      <c r="P84" s="727">
        <v>90</v>
      </c>
      <c r="Q84" s="1476">
        <v>95.59</v>
      </c>
      <c r="R84" s="706">
        <v>4639.3500000000004</v>
      </c>
      <c r="S84" s="765">
        <f>IF((_xlfn.XLOOKUP(D84,RUC!$B$3:$B$119,RUC!$E$3:$E$119)+ROUNDDOWN(O84,1)*100)&lt;95,95,((_xlfn.XLOOKUP(D84,RUC!$B$3:$B$119,RUC!$E$3:$E$119)+ROUNDDOWN(O84,1)*100)))</f>
        <v>110</v>
      </c>
      <c r="U84" s="1146">
        <f>_xlfn.XLOOKUP(D84,RUC!$B$3:$B$123,RUC!$F$3:$F$123)</f>
        <v>120</v>
      </c>
      <c r="V84" s="715">
        <v>1.1023000000000001</v>
      </c>
      <c r="Y84">
        <f>_xlfn.XLOOKUP(D84,RUC!$B$3:$B$123,RUC!$G$3:$G$123)</f>
        <v>20</v>
      </c>
      <c r="Z84" s="143">
        <f>_xlfn.XLOOKUP(D84,RUC!$B$3:$B$123,RUC!$H$3:$H$123)</f>
        <v>30</v>
      </c>
      <c r="AA84" s="144">
        <f t="shared" si="51"/>
        <v>50</v>
      </c>
      <c r="AB84" s="145">
        <f t="shared" si="60"/>
        <v>1061.0811890420002</v>
      </c>
      <c r="AC84" s="145">
        <f>+(S84-T84)*V84-'data 1'!$F$4</f>
        <v>41.253</v>
      </c>
      <c r="AD84" s="145">
        <f t="shared" si="56"/>
        <v>82.150385877202567</v>
      </c>
      <c r="AE84" s="145">
        <f t="shared" si="57"/>
        <v>-14.884999999999998</v>
      </c>
      <c r="AF84" s="145">
        <f t="shared" si="58"/>
        <v>90.477761337760327</v>
      </c>
      <c r="AG84" s="772">
        <f t="shared" si="53"/>
        <v>215.99614721496289</v>
      </c>
      <c r="AH84" s="1253">
        <f t="shared" si="63"/>
        <v>19.994</v>
      </c>
      <c r="AI84" s="1253">
        <f t="shared" si="64"/>
        <v>20.916</v>
      </c>
      <c r="AJ84" s="156">
        <f t="shared" si="65"/>
        <v>118.3205334802974</v>
      </c>
      <c r="AK84" s="156">
        <f t="shared" si="66"/>
        <v>17.612102129870166</v>
      </c>
      <c r="AM84" s="716">
        <f t="shared" si="59"/>
        <v>2194.3158989388567</v>
      </c>
      <c r="AN84" s="716" t="str">
        <f>_xlfn.XLOOKUP(D84,RUC!$B$3:$B$578,RUC!$M$3:$M$578)</f>
        <v>Evelyn</v>
      </c>
      <c r="AO84" s="1167" t="s">
        <v>2280</v>
      </c>
      <c r="AP84" t="s">
        <v>5231</v>
      </c>
      <c r="AQ84" t="s">
        <v>3404</v>
      </c>
    </row>
    <row r="85" spans="1:43" ht="15" customHeight="1">
      <c r="A85" s="747" t="s">
        <v>5200</v>
      </c>
      <c r="B85" s="1447">
        <v>46118</v>
      </c>
      <c r="C85" s="1447">
        <v>46114</v>
      </c>
      <c r="D85" t="s">
        <v>1967</v>
      </c>
      <c r="E85" s="762">
        <f>_xlfn.XLOOKUP(D85,RUC!$B$3:$B$123,RUC!$D$3:$D$123)</f>
        <v>20601769396</v>
      </c>
      <c r="G85" s="1082">
        <v>33</v>
      </c>
      <c r="H85" s="762" t="s">
        <v>2005</v>
      </c>
      <c r="I85" s="703">
        <v>2.2400000000000002</v>
      </c>
      <c r="J85" s="596">
        <v>10.33</v>
      </c>
      <c r="K85" s="703">
        <f t="shared" si="50"/>
        <v>2.0089999999999999</v>
      </c>
      <c r="L85" s="1745">
        <v>0.21199999999999999</v>
      </c>
      <c r="M85" s="994">
        <f t="shared" si="54"/>
        <v>0.193</v>
      </c>
      <c r="N85" s="1196">
        <f t="shared" si="61"/>
        <v>0.193</v>
      </c>
      <c r="O85" s="645">
        <f t="shared" si="62"/>
        <v>0.193</v>
      </c>
      <c r="P85" s="727">
        <v>90</v>
      </c>
      <c r="Q85" s="1476">
        <v>94.81</v>
      </c>
      <c r="R85" s="706">
        <v>4639.3500000000004</v>
      </c>
      <c r="S85" s="765">
        <f>IF((_xlfn.XLOOKUP(D85,RUC!$B$3:$B$119,RUC!$E$3:$E$119)+ROUNDDOWN(O85,1)*100)&lt;95,95,((_xlfn.XLOOKUP(D85,RUC!$B$3:$B$119,RUC!$E$3:$E$119)+ROUNDDOWN(O85,1)*100)))</f>
        <v>100</v>
      </c>
      <c r="U85" s="1146">
        <f>_xlfn.XLOOKUP(D85,RUC!$B$3:$B$123,RUC!$F$3:$F$123)</f>
        <v>120</v>
      </c>
      <c r="V85" s="715">
        <v>1.1023000000000001</v>
      </c>
      <c r="Y85">
        <f>_xlfn.XLOOKUP(D85,RUC!$B$3:$B$123,RUC!$G$3:$G$123)</f>
        <v>20</v>
      </c>
      <c r="Z85" s="143">
        <f>_xlfn.XLOOKUP(D85,RUC!$B$3:$B$123,RUC!$H$3:$H$123)</f>
        <v>30</v>
      </c>
      <c r="AA85" s="144">
        <f t="shared" si="51"/>
        <v>50</v>
      </c>
      <c r="AB85" s="145">
        <f t="shared" si="60"/>
        <v>699.9727300185001</v>
      </c>
      <c r="AC85" s="145">
        <f>+(S85-T85)*V85-'data 1'!$F$4</f>
        <v>30.230000000000004</v>
      </c>
      <c r="AD85" s="145">
        <f t="shared" si="56"/>
        <v>50.799182248386032</v>
      </c>
      <c r="AE85" s="145">
        <f t="shared" si="57"/>
        <v>-14.884999999999998</v>
      </c>
      <c r="AF85" s="145">
        <f t="shared" si="58"/>
        <v>89.739476435119471</v>
      </c>
      <c r="AG85" s="772">
        <f t="shared" si="53"/>
        <v>172.88365868350553</v>
      </c>
      <c r="AH85" s="1253">
        <f t="shared" si="63"/>
        <v>13.845000000000001</v>
      </c>
      <c r="AI85" s="1253">
        <f t="shared" si="64"/>
        <v>14.602</v>
      </c>
      <c r="AJ85" s="156">
        <f t="shared" si="65"/>
        <v>84.336514641613917</v>
      </c>
      <c r="AK85" s="156">
        <f t="shared" si="66"/>
        <v>11.964342155708566</v>
      </c>
      <c r="AM85" s="716">
        <f t="shared" si="59"/>
        <v>1406.2452146071666</v>
      </c>
      <c r="AN85" s="716" t="str">
        <f>_xlfn.XLOOKUP(D85,RUC!$B$3:$B$578,RUC!$M$3:$M$578)</f>
        <v>Evelyn</v>
      </c>
      <c r="AO85" s="1167" t="s">
        <v>2278</v>
      </c>
      <c r="AP85" t="s">
        <v>5231</v>
      </c>
      <c r="AQ85" t="s">
        <v>3404</v>
      </c>
    </row>
    <row r="86" spans="1:43" ht="15" customHeight="1">
      <c r="A86" s="747" t="s">
        <v>5201</v>
      </c>
      <c r="B86" s="1447">
        <v>46118</v>
      </c>
      <c r="C86" s="1447">
        <v>46114</v>
      </c>
      <c r="D86" t="s">
        <v>1967</v>
      </c>
      <c r="E86" s="762">
        <f>_xlfn.XLOOKUP(D86,RUC!$B$3:$B$123,RUC!$D$3:$D$123)</f>
        <v>20601769396</v>
      </c>
      <c r="G86" s="1082">
        <v>27</v>
      </c>
      <c r="H86" s="762" t="s">
        <v>2005</v>
      </c>
      <c r="I86" s="703">
        <v>2.1</v>
      </c>
      <c r="J86" s="596">
        <v>13.53</v>
      </c>
      <c r="K86" s="703">
        <f t="shared" si="50"/>
        <v>1.8160000000000001</v>
      </c>
      <c r="L86" s="1745">
        <v>0.188</v>
      </c>
      <c r="M86" s="994">
        <f t="shared" si="54"/>
        <v>0.16900000000000001</v>
      </c>
      <c r="N86" s="1196">
        <f t="shared" si="61"/>
        <v>0.16900000000000001</v>
      </c>
      <c r="O86" s="645">
        <f t="shared" si="62"/>
        <v>0.16900000000000001</v>
      </c>
      <c r="P86" s="727">
        <v>85</v>
      </c>
      <c r="Q86" s="1476">
        <v>90.37</v>
      </c>
      <c r="R86" s="706">
        <v>4639.3500000000004</v>
      </c>
      <c r="S86" s="765">
        <f>IF((_xlfn.XLOOKUP(D86,RUC!$B$3:$B$119,RUC!$E$3:$E$119)+ROUNDDOWN(O86,1)*100)&lt;95,95,((_xlfn.XLOOKUP(D86,RUC!$B$3:$B$119,RUC!$E$3:$E$119)+ROUNDDOWN(O86,1)*100)))</f>
        <v>100</v>
      </c>
      <c r="U86" s="1146">
        <f>_xlfn.XLOOKUP(D86,RUC!$B$3:$B$123,RUC!$F$3:$F$123)</f>
        <v>120</v>
      </c>
      <c r="V86" s="715">
        <v>1.1023000000000001</v>
      </c>
      <c r="Y86">
        <f>_xlfn.XLOOKUP(D86,RUC!$B$3:$B$123,RUC!$G$3:$G$123)</f>
        <v>20</v>
      </c>
      <c r="Z86" s="143">
        <f>_xlfn.XLOOKUP(D86,RUC!$B$3:$B$123,RUC!$H$3:$H$123)</f>
        <v>30</v>
      </c>
      <c r="AA86" s="144">
        <f t="shared" si="51"/>
        <v>50</v>
      </c>
      <c r="AB86" s="145">
        <f t="shared" si="60"/>
        <v>550.27326089325004</v>
      </c>
      <c r="AC86" s="145">
        <f>+(S86-T86)*V86-'data 1'!$F$4</f>
        <v>30.230000000000004</v>
      </c>
      <c r="AD86" s="145">
        <f t="shared" si="56"/>
        <v>50.293043610678048</v>
      </c>
      <c r="AE86" s="145">
        <f t="shared" si="57"/>
        <v>-14.884999999999998</v>
      </c>
      <c r="AF86" s="145">
        <f t="shared" si="58"/>
        <v>85.536931604701465</v>
      </c>
      <c r="AG86" s="772">
        <f t="shared" si="53"/>
        <v>168.17497521537953</v>
      </c>
      <c r="AH86" s="1253">
        <f t="shared" si="63"/>
        <v>10.577999999999999</v>
      </c>
      <c r="AI86" s="1253">
        <f t="shared" si="64"/>
        <v>11.705</v>
      </c>
      <c r="AJ86" s="156">
        <f t="shared" si="65"/>
        <v>71.286578902321935</v>
      </c>
      <c r="AK86" s="156">
        <f t="shared" si="66"/>
        <v>8.943974323982621</v>
      </c>
      <c r="AM86" s="716">
        <f t="shared" si="59"/>
        <v>999.29624178214215</v>
      </c>
      <c r="AN86" s="716" t="str">
        <f>_xlfn.XLOOKUP(D86,RUC!$B$3:$B$578,RUC!$M$3:$M$578)</f>
        <v>Evelyn</v>
      </c>
      <c r="AO86" s="1167" t="s">
        <v>2278</v>
      </c>
      <c r="AP86" t="s">
        <v>5231</v>
      </c>
      <c r="AQ86" t="s">
        <v>3404</v>
      </c>
    </row>
    <row r="87" spans="1:43" ht="15" customHeight="1">
      <c r="A87" s="747" t="s">
        <v>5202</v>
      </c>
      <c r="B87" s="1447">
        <v>46118</v>
      </c>
      <c r="C87" s="1447">
        <v>46114</v>
      </c>
      <c r="D87" t="s">
        <v>1967</v>
      </c>
      <c r="E87" s="762">
        <f>_xlfn.XLOOKUP(D87,RUC!$B$3:$B$123,RUC!$D$3:$D$123)</f>
        <v>20601769396</v>
      </c>
      <c r="G87" s="1082">
        <v>23</v>
      </c>
      <c r="H87" s="762" t="s">
        <v>2005</v>
      </c>
      <c r="I87" s="703">
        <v>1.85</v>
      </c>
      <c r="J87" s="596">
        <v>14.4</v>
      </c>
      <c r="K87" s="703">
        <f t="shared" si="50"/>
        <v>1.5840000000000001</v>
      </c>
      <c r="L87" s="1745">
        <v>0.187</v>
      </c>
      <c r="M87" s="994">
        <f t="shared" si="54"/>
        <v>0.16800000000000001</v>
      </c>
      <c r="N87" s="1196">
        <f t="shared" si="61"/>
        <v>0.16800000000000001</v>
      </c>
      <c r="O87" s="645">
        <f t="shared" si="62"/>
        <v>0.16800000000000001</v>
      </c>
      <c r="P87" s="727">
        <v>85</v>
      </c>
      <c r="Q87" s="1476">
        <v>90.96</v>
      </c>
      <c r="R87" s="706">
        <v>4639.3500000000004</v>
      </c>
      <c r="S87" s="765">
        <f>IF((_xlfn.XLOOKUP(D87,RUC!$B$3:$B$119,RUC!$E$3:$E$119)+ROUNDDOWN(O87,1)*100)&lt;95,95,((_xlfn.XLOOKUP(D87,RUC!$B$3:$B$119,RUC!$E$3:$E$119)+ROUNDDOWN(O87,1)*100)))</f>
        <v>100</v>
      </c>
      <c r="U87" s="1146">
        <f>_xlfn.XLOOKUP(D87,RUC!$B$3:$B$123,RUC!$F$3:$F$123)</f>
        <v>120</v>
      </c>
      <c r="V87" s="715">
        <v>1.1023000000000001</v>
      </c>
      <c r="Y87">
        <f>_xlfn.XLOOKUP(D87,RUC!$B$3:$B$123,RUC!$G$3:$G$123)</f>
        <v>20</v>
      </c>
      <c r="Z87" s="143">
        <f>_xlfn.XLOOKUP(D87,RUC!$B$3:$B$123,RUC!$H$3:$H$123)</f>
        <v>30</v>
      </c>
      <c r="AA87" s="144">
        <f t="shared" si="51"/>
        <v>50</v>
      </c>
      <c r="AB87" s="145">
        <f t="shared" si="60"/>
        <v>546.03883331400027</v>
      </c>
      <c r="AC87" s="145">
        <f>+(S87-T87)*V87-'data 1'!$F$4</f>
        <v>30.230000000000004</v>
      </c>
      <c r="AD87" s="145">
        <f t="shared" si="56"/>
        <v>55.521814419125946</v>
      </c>
      <c r="AE87" s="145">
        <f t="shared" si="57"/>
        <v>-14.884999999999998</v>
      </c>
      <c r="AF87" s="145">
        <f t="shared" si="58"/>
        <v>86.095377877211959</v>
      </c>
      <c r="AG87" s="772">
        <f t="shared" si="53"/>
        <v>173.96219229633789</v>
      </c>
      <c r="AH87" s="1253">
        <f t="shared" si="63"/>
        <v>9.2379999999999995</v>
      </c>
      <c r="AI87" s="1253">
        <f t="shared" si="64"/>
        <v>10.156000000000001</v>
      </c>
      <c r="AJ87" s="156">
        <f t="shared" si="65"/>
        <v>71.37032916512392</v>
      </c>
      <c r="AK87" s="156">
        <f t="shared" si="66"/>
        <v>7.7551902070473613</v>
      </c>
      <c r="AM87" s="716">
        <f t="shared" si="59"/>
        <v>864.92551196937643</v>
      </c>
      <c r="AN87" s="716" t="str">
        <f>_xlfn.XLOOKUP(D87,RUC!$B$3:$B$578,RUC!$M$3:$M$578)</f>
        <v>Evelyn</v>
      </c>
      <c r="AO87" s="1167" t="s">
        <v>2278</v>
      </c>
      <c r="AP87" t="s">
        <v>5231</v>
      </c>
      <c r="AQ87" t="s">
        <v>3404</v>
      </c>
    </row>
    <row r="88" spans="1:43" ht="15" customHeight="1">
      <c r="A88" s="747" t="s">
        <v>5203</v>
      </c>
      <c r="B88" s="1447">
        <v>46118</v>
      </c>
      <c r="C88" s="1447">
        <v>46114</v>
      </c>
      <c r="D88" t="s">
        <v>1967</v>
      </c>
      <c r="E88" s="762">
        <f>_xlfn.XLOOKUP(D88,RUC!$B$3:$B$123,RUC!$D$3:$D$123)</f>
        <v>20601769396</v>
      </c>
      <c r="G88" s="1082">
        <v>20</v>
      </c>
      <c r="H88" s="762" t="s">
        <v>2005</v>
      </c>
      <c r="I88" s="703">
        <v>1.53</v>
      </c>
      <c r="J88" s="596">
        <v>11.63</v>
      </c>
      <c r="K88" s="703">
        <f t="shared" si="50"/>
        <v>1.3520000000000001</v>
      </c>
      <c r="L88" s="1745">
        <v>0.27900000000000003</v>
      </c>
      <c r="M88" s="994">
        <f t="shared" si="54"/>
        <v>0.26</v>
      </c>
      <c r="N88" s="1196">
        <f t="shared" si="61"/>
        <v>0.26</v>
      </c>
      <c r="O88" s="645">
        <f t="shared" si="62"/>
        <v>0.26</v>
      </c>
      <c r="P88" s="727">
        <v>90</v>
      </c>
      <c r="Q88" s="1476">
        <v>90.32</v>
      </c>
      <c r="R88" s="706">
        <v>4639.3500000000004</v>
      </c>
      <c r="S88" s="765">
        <f>IF((_xlfn.XLOOKUP(D88,RUC!$B$3:$B$119,RUC!$E$3:$E$119)+ROUNDDOWN(O88,1)*100)&lt;95,95,((_xlfn.XLOOKUP(D88,RUC!$B$3:$B$119,RUC!$E$3:$E$119)+ROUNDDOWN(O88,1)*100)))</f>
        <v>110</v>
      </c>
      <c r="U88" s="1146">
        <f>_xlfn.XLOOKUP(D88,RUC!$B$3:$B$123,RUC!$F$3:$F$123)</f>
        <v>120</v>
      </c>
      <c r="V88" s="715">
        <v>1.1023000000000001</v>
      </c>
      <c r="Y88">
        <f>_xlfn.XLOOKUP(D88,RUC!$B$3:$B$123,RUC!$G$3:$G$123)</f>
        <v>20</v>
      </c>
      <c r="Z88" s="143">
        <f>_xlfn.XLOOKUP(D88,RUC!$B$3:$B$123,RUC!$H$3:$H$123)</f>
        <v>30</v>
      </c>
      <c r="AA88" s="144">
        <f t="shared" si="51"/>
        <v>50</v>
      </c>
      <c r="AB88" s="145">
        <f t="shared" si="60"/>
        <v>989.34500417000038</v>
      </c>
      <c r="AC88" s="145">
        <f>+(S88-T88)*V88-'data 1'!$F$4</f>
        <v>41.253</v>
      </c>
      <c r="AD88" s="145">
        <f t="shared" si="56"/>
        <v>4.4476434620639065</v>
      </c>
      <c r="AE88" s="145">
        <f t="shared" si="57"/>
        <v>-14.884999999999998</v>
      </c>
      <c r="AF88" s="145">
        <f t="shared" si="58"/>
        <v>85.489605649404069</v>
      </c>
      <c r="AG88" s="772">
        <f t="shared" si="53"/>
        <v>133.30524911146799</v>
      </c>
      <c r="AH88" s="1253">
        <f t="shared" si="63"/>
        <v>11.680999999999999</v>
      </c>
      <c r="AI88" s="1253">
        <f t="shared" si="64"/>
        <v>12.933</v>
      </c>
      <c r="AJ88" s="156">
        <f t="shared" si="65"/>
        <v>105.73378368843591</v>
      </c>
      <c r="AK88" s="156">
        <f t="shared" si="66"/>
        <v>10.846799646602401</v>
      </c>
      <c r="AM88" s="716">
        <f t="shared" si="59"/>
        <v>1337.5944456378406</v>
      </c>
      <c r="AN88" s="716" t="str">
        <f>_xlfn.XLOOKUP(D88,RUC!$B$3:$B$578,RUC!$M$3:$M$578)</f>
        <v>Evelyn</v>
      </c>
      <c r="AO88" s="1167" t="s">
        <v>2280</v>
      </c>
      <c r="AP88" t="s">
        <v>5231</v>
      </c>
      <c r="AQ88" t="s">
        <v>3404</v>
      </c>
    </row>
    <row r="89" spans="1:43" ht="15" customHeight="1">
      <c r="A89" s="747" t="s">
        <v>5204</v>
      </c>
      <c r="B89" s="1447">
        <v>46118</v>
      </c>
      <c r="C89" s="1447">
        <v>46114</v>
      </c>
      <c r="D89" t="s">
        <v>1967</v>
      </c>
      <c r="E89" s="762">
        <f>_xlfn.XLOOKUP(D89,RUC!$B$3:$B$123,RUC!$D$3:$D$123)</f>
        <v>20601769396</v>
      </c>
      <c r="G89" s="1082">
        <v>62</v>
      </c>
      <c r="H89" s="762" t="s">
        <v>108</v>
      </c>
      <c r="I89" s="703">
        <v>2.02</v>
      </c>
      <c r="J89" s="596">
        <v>18.399999999999999</v>
      </c>
      <c r="K89" s="703">
        <f t="shared" si="50"/>
        <v>1.6479999999999999</v>
      </c>
      <c r="L89" s="1745">
        <v>0.35</v>
      </c>
      <c r="M89" s="994">
        <f t="shared" si="54"/>
        <v>0.32900000000000001</v>
      </c>
      <c r="N89" s="1444">
        <v>0.40799999999999997</v>
      </c>
      <c r="O89" s="645">
        <f t="shared" si="62"/>
        <v>0.36899999999999999</v>
      </c>
      <c r="P89" s="727">
        <v>90</v>
      </c>
      <c r="Q89" s="1476">
        <v>90.86</v>
      </c>
      <c r="R89" s="706">
        <v>4639.3500000000004</v>
      </c>
      <c r="S89" s="765">
        <f>IF((_xlfn.XLOOKUP(D89,RUC!$B$3:$B$119,RUC!$E$3:$E$119)+ROUNDDOWN(O89,1)*100)&lt;95,95,((_xlfn.XLOOKUP(D89,RUC!$B$3:$B$119,RUC!$E$3:$E$119)+ROUNDDOWN(O89,1)*100)))</f>
        <v>120</v>
      </c>
      <c r="U89" s="1146">
        <f>_xlfn.XLOOKUP(D89,RUC!$B$3:$B$123,RUC!$F$3:$F$123)</f>
        <v>120</v>
      </c>
      <c r="V89" s="715">
        <v>1.1023000000000001</v>
      </c>
      <c r="Y89" s="1445">
        <v>30</v>
      </c>
      <c r="Z89" s="1454">
        <v>70</v>
      </c>
      <c r="AA89" s="144">
        <f t="shared" si="51"/>
        <v>100</v>
      </c>
      <c r="AB89" s="145">
        <f t="shared" si="60"/>
        <v>1411.9097636105</v>
      </c>
      <c r="AC89" s="145">
        <f>+(S89-T89)*V89-'data 1'!$F$4</f>
        <v>52.27600000000001</v>
      </c>
      <c r="AD89" s="145">
        <f t="shared" si="56"/>
        <v>14.99485531004999</v>
      </c>
      <c r="AE89" s="145">
        <f t="shared" si="57"/>
        <v>40.230000000000004</v>
      </c>
      <c r="AF89" s="145">
        <f t="shared" si="58"/>
        <v>-86.000725966617082</v>
      </c>
      <c r="AG89" s="772">
        <f t="shared" si="53"/>
        <v>38.500129343432917</v>
      </c>
      <c r="AH89" s="1253">
        <f t="shared" si="63"/>
        <v>17.968</v>
      </c>
      <c r="AI89" s="1253">
        <f t="shared" si="64"/>
        <v>19.776</v>
      </c>
      <c r="AJ89" s="156">
        <f t="shared" si="65"/>
        <v>133.43397331494987</v>
      </c>
      <c r="AK89" s="156">
        <f t="shared" si="66"/>
        <v>18.76442030807544</v>
      </c>
      <c r="AM89" s="716">
        <f t="shared" si="59"/>
        <v>2326.8272904301039</v>
      </c>
      <c r="AN89" s="716" t="str">
        <f>_xlfn.XLOOKUP(D89,RUC!$B$3:$B$578,RUC!$M$3:$M$578)</f>
        <v>Evelyn</v>
      </c>
      <c r="AO89" s="1167" t="s">
        <v>2277</v>
      </c>
      <c r="AP89" t="s">
        <v>5231</v>
      </c>
      <c r="AQ89" t="s">
        <v>3404</v>
      </c>
    </row>
    <row r="90" spans="1:43" ht="15" customHeight="1">
      <c r="A90" s="747" t="s">
        <v>5205</v>
      </c>
      <c r="B90" s="1447">
        <v>46118</v>
      </c>
      <c r="C90" s="1447">
        <v>46114</v>
      </c>
      <c r="D90" t="s">
        <v>1967</v>
      </c>
      <c r="E90" s="762">
        <f>_xlfn.XLOOKUP(D90,RUC!$B$3:$B$123,RUC!$D$3:$D$123)</f>
        <v>20601769396</v>
      </c>
      <c r="G90" s="1082">
        <v>62</v>
      </c>
      <c r="H90" s="762" t="s">
        <v>108</v>
      </c>
      <c r="I90" s="703">
        <v>2.02</v>
      </c>
      <c r="J90" s="596">
        <v>17.8</v>
      </c>
      <c r="K90" s="703">
        <f t="shared" si="50"/>
        <v>1.66</v>
      </c>
      <c r="L90" s="1745">
        <v>0.34699999999999998</v>
      </c>
      <c r="M90" s="994">
        <f t="shared" si="54"/>
        <v>0.32600000000000001</v>
      </c>
      <c r="N90" s="1196">
        <f t="shared" si="61"/>
        <v>0.32600000000000001</v>
      </c>
      <c r="O90" s="645">
        <f t="shared" si="62"/>
        <v>0.32600000000000001</v>
      </c>
      <c r="P90" s="727">
        <v>89</v>
      </c>
      <c r="Q90" s="1476">
        <v>89.91</v>
      </c>
      <c r="R90" s="706">
        <v>4639.3500000000004</v>
      </c>
      <c r="S90" s="765">
        <f>IF((_xlfn.XLOOKUP(D90,RUC!$B$3:$B$119,RUC!$E$3:$E$119)+ROUNDDOWN(O90,1)*100)&lt;95,95,((_xlfn.XLOOKUP(D90,RUC!$B$3:$B$119,RUC!$E$3:$E$119)+ROUNDDOWN(O90,1)*100)))</f>
        <v>120</v>
      </c>
      <c r="U90" s="1146">
        <f>_xlfn.XLOOKUP(D90,RUC!$B$3:$B$123,RUC!$F$3:$F$123)</f>
        <v>120</v>
      </c>
      <c r="V90" s="715">
        <v>1.1023000000000001</v>
      </c>
      <c r="Y90" s="1445">
        <v>30</v>
      </c>
      <c r="Z90" s="1454">
        <v>70</v>
      </c>
      <c r="AA90" s="144">
        <f t="shared" si="51"/>
        <v>100</v>
      </c>
      <c r="AB90" s="145">
        <f t="shared" si="60"/>
        <v>1202.8784915807</v>
      </c>
      <c r="AC90" s="145">
        <f>+(S90-T90)*V90-'data 1'!$F$4</f>
        <v>52.27600000000001</v>
      </c>
      <c r="AD90" s="145">
        <f t="shared" si="56"/>
        <v>15.730649372938442</v>
      </c>
      <c r="AE90" s="145">
        <f t="shared" si="57"/>
        <v>40.230000000000004</v>
      </c>
      <c r="AF90" s="145">
        <f t="shared" si="58"/>
        <v>94.059588901855349</v>
      </c>
      <c r="AG90" s="772">
        <f t="shared" si="53"/>
        <v>219.29623827479384</v>
      </c>
      <c r="AH90" s="1253">
        <f t="shared" si="63"/>
        <v>17.756</v>
      </c>
      <c r="AI90" s="1253">
        <f t="shared" si="64"/>
        <v>19.748999999999999</v>
      </c>
      <c r="AJ90" s="156">
        <f t="shared" si="65"/>
        <v>130.90707347691139</v>
      </c>
      <c r="AK90" s="156">
        <f t="shared" si="66"/>
        <v>16.512953731452818</v>
      </c>
      <c r="AM90" s="716">
        <f t="shared" si="59"/>
        <v>1996.778296023962</v>
      </c>
      <c r="AN90" s="716" t="str">
        <f>_xlfn.XLOOKUP(D90,RUC!$B$3:$B$578,RUC!$M$3:$M$578)</f>
        <v>Evelyn</v>
      </c>
      <c r="AO90" s="1167" t="s">
        <v>2277</v>
      </c>
      <c r="AP90" t="s">
        <v>5231</v>
      </c>
      <c r="AQ90" t="s">
        <v>3404</v>
      </c>
    </row>
    <row r="91" spans="1:43" ht="15" customHeight="1">
      <c r="A91" s="747" t="s">
        <v>5206</v>
      </c>
      <c r="B91" s="1447">
        <v>46118</v>
      </c>
      <c r="C91" s="1447">
        <v>46114</v>
      </c>
      <c r="D91" t="s">
        <v>1967</v>
      </c>
      <c r="E91" s="762">
        <f>_xlfn.XLOOKUP(D91,RUC!$B$3:$B$123,RUC!$D$3:$D$123)</f>
        <v>20601769396</v>
      </c>
      <c r="G91" s="1082">
        <v>62</v>
      </c>
      <c r="H91" s="762" t="s">
        <v>108</v>
      </c>
      <c r="I91" s="703">
        <v>2</v>
      </c>
      <c r="J91" s="596">
        <v>16.3</v>
      </c>
      <c r="K91" s="703">
        <f t="shared" si="50"/>
        <v>1.6739999999999999</v>
      </c>
      <c r="L91" s="1745">
        <v>0.40799999999999997</v>
      </c>
      <c r="M91" s="994">
        <f t="shared" si="54"/>
        <v>0.38400000000000001</v>
      </c>
      <c r="N91" s="1196">
        <f t="shared" si="61"/>
        <v>0.38400000000000001</v>
      </c>
      <c r="O91" s="645">
        <f t="shared" si="62"/>
        <v>0.38400000000000001</v>
      </c>
      <c r="P91" s="727">
        <v>88</v>
      </c>
      <c r="Q91" s="1476">
        <v>88.73</v>
      </c>
      <c r="R91" s="706">
        <v>4639.3500000000004</v>
      </c>
      <c r="S91" s="765">
        <f>IF((_xlfn.XLOOKUP(D91,RUC!$B$3:$B$119,RUC!$E$3:$E$119)+ROUNDDOWN(O91,1)*100)&lt;95,95,((_xlfn.XLOOKUP(D91,RUC!$B$3:$B$119,RUC!$E$3:$E$119)+ROUNDDOWN(O91,1)*100)))</f>
        <v>120</v>
      </c>
      <c r="U91" s="1146">
        <f>_xlfn.XLOOKUP(D91,RUC!$B$3:$B$123,RUC!$F$3:$F$123)</f>
        <v>120</v>
      </c>
      <c r="V91" s="715">
        <v>1.1023000000000001</v>
      </c>
      <c r="Y91" s="1445">
        <v>30</v>
      </c>
      <c r="Z91" s="1454">
        <v>70</v>
      </c>
      <c r="AA91" s="144">
        <f t="shared" si="51"/>
        <v>100</v>
      </c>
      <c r="AB91" s="145">
        <f t="shared" si="60"/>
        <v>1440.9031383296001</v>
      </c>
      <c r="AC91" s="145">
        <f>+(S91-T91)*V91-'data 1'!$F$4</f>
        <v>52.27600000000001</v>
      </c>
      <c r="AD91" s="145">
        <f t="shared" si="56"/>
        <v>14.837434237692083</v>
      </c>
      <c r="AE91" s="145">
        <f t="shared" si="57"/>
        <v>40.230000000000004</v>
      </c>
      <c r="AF91" s="145">
        <f t="shared" si="58"/>
        <v>106.08586139487588</v>
      </c>
      <c r="AG91" s="772">
        <f t="shared" si="53"/>
        <v>230.42929563256797</v>
      </c>
      <c r="AH91" s="1253">
        <f t="shared" si="63"/>
        <v>20.777999999999999</v>
      </c>
      <c r="AI91" s="1253">
        <f t="shared" si="64"/>
        <v>23.417000000000002</v>
      </c>
      <c r="AJ91" s="156">
        <f t="shared" si="65"/>
        <v>151.89947965510785</v>
      </c>
      <c r="AK91" s="156">
        <f t="shared" si="66"/>
        <v>19.394492484178944</v>
      </c>
      <c r="AM91" s="716">
        <f t="shared" si="59"/>
        <v>2412.0718535637507</v>
      </c>
      <c r="AN91" s="716" t="str">
        <f>_xlfn.XLOOKUP(D91,RUC!$B$3:$B$578,RUC!$M$3:$M$578)</f>
        <v>Evelyn</v>
      </c>
      <c r="AO91" s="1167" t="s">
        <v>2277</v>
      </c>
      <c r="AP91" t="s">
        <v>5231</v>
      </c>
      <c r="AQ91" t="s">
        <v>3404</v>
      </c>
    </row>
    <row r="92" spans="1:43" ht="15" customHeight="1">
      <c r="A92" s="747" t="s">
        <v>5207</v>
      </c>
      <c r="B92" s="1447">
        <v>46118</v>
      </c>
      <c r="C92" s="1447">
        <v>46114</v>
      </c>
      <c r="D92" t="s">
        <v>1967</v>
      </c>
      <c r="E92" s="762">
        <f>_xlfn.XLOOKUP(D92,RUC!$B$3:$B$123,RUC!$D$3:$D$123)</f>
        <v>20601769396</v>
      </c>
      <c r="G92" s="1082">
        <v>38</v>
      </c>
      <c r="H92" s="762" t="s">
        <v>108</v>
      </c>
      <c r="I92" s="703">
        <v>1.26</v>
      </c>
      <c r="J92" s="596">
        <v>16.23</v>
      </c>
      <c r="K92" s="703">
        <f t="shared" si="50"/>
        <v>1.056</v>
      </c>
      <c r="L92" s="1745">
        <v>0.441</v>
      </c>
      <c r="M92" s="994">
        <f t="shared" si="54"/>
        <v>0.41499999999999998</v>
      </c>
      <c r="N92" s="1196">
        <f t="shared" si="61"/>
        <v>0.41499999999999998</v>
      </c>
      <c r="O92" s="645">
        <f t="shared" si="62"/>
        <v>0.41499999999999998</v>
      </c>
      <c r="P92" s="727">
        <v>90</v>
      </c>
      <c r="Q92" s="1476">
        <v>91.84</v>
      </c>
      <c r="R92" s="706">
        <v>4639.3500000000004</v>
      </c>
      <c r="S92" s="765">
        <f>IF((_xlfn.XLOOKUP(D92,RUC!$B$3:$B$119,RUC!$E$3:$E$119)+ROUNDDOWN(O92,1)*100)&lt;95,95,((_xlfn.XLOOKUP(D92,RUC!$B$3:$B$119,RUC!$E$3:$E$119)+ROUNDDOWN(O92,1)*100)))</f>
        <v>130</v>
      </c>
      <c r="U92" s="1146">
        <f>_xlfn.XLOOKUP(D92,RUC!$B$3:$B$123,RUC!$F$3:$F$123)</f>
        <v>120</v>
      </c>
      <c r="V92" s="715">
        <v>1.1023000000000001</v>
      </c>
      <c r="Y92" s="1445">
        <v>30</v>
      </c>
      <c r="Z92" s="1454">
        <v>70</v>
      </c>
      <c r="AA92" s="144">
        <f t="shared" si="51"/>
        <v>100</v>
      </c>
      <c r="AB92" s="145">
        <f t="shared" si="60"/>
        <v>1607.1282951175003</v>
      </c>
      <c r="AC92" s="145">
        <f>+(S92-T92)*V92-'data 1'!$F$4</f>
        <v>63.299000000000007</v>
      </c>
      <c r="AD92" s="145">
        <f t="shared" si="56"/>
        <v>40.423340175372076</v>
      </c>
      <c r="AE92" s="145">
        <f t="shared" si="57"/>
        <v>40.230000000000004</v>
      </c>
      <c r="AF92" s="145">
        <f t="shared" si="58"/>
        <v>118.95453589219213</v>
      </c>
      <c r="AG92" s="772">
        <f t="shared" si="53"/>
        <v>279.90687606756421</v>
      </c>
      <c r="AH92" s="1253">
        <f t="shared" si="63"/>
        <v>14.664</v>
      </c>
      <c r="AI92" s="1253">
        <f t="shared" si="64"/>
        <v>15.967000000000001</v>
      </c>
      <c r="AJ92" s="156">
        <f t="shared" si="65"/>
        <v>169.94019257812786</v>
      </c>
      <c r="AK92" s="156">
        <f t="shared" si="66"/>
        <v>13.522705613128803</v>
      </c>
      <c r="AM92" s="716">
        <f t="shared" si="59"/>
        <v>1697.1274796440805</v>
      </c>
      <c r="AN92" s="716" t="str">
        <f>_xlfn.XLOOKUP(D92,RUC!$B$3:$B$578,RUC!$M$3:$M$578)</f>
        <v>Evelyn</v>
      </c>
      <c r="AO92" s="1167" t="s">
        <v>2277</v>
      </c>
      <c r="AP92" t="s">
        <v>5231</v>
      </c>
      <c r="AQ92" t="s">
        <v>3404</v>
      </c>
    </row>
    <row r="93" spans="1:43" ht="15" customHeight="1">
      <c r="A93" s="747" t="s">
        <v>5208</v>
      </c>
      <c r="B93" s="1447">
        <v>46125</v>
      </c>
      <c r="C93" s="1447">
        <v>46116</v>
      </c>
      <c r="D93" s="1802" t="s">
        <v>119</v>
      </c>
      <c r="E93" s="762">
        <f>_xlfn.XLOOKUP(D93,RUC!$B$3:$B$123,RUC!$D$3:$D$123)</f>
        <v>10082235774</v>
      </c>
      <c r="G93" s="1082">
        <v>58</v>
      </c>
      <c r="H93" s="762" t="s">
        <v>69</v>
      </c>
      <c r="I93" s="703">
        <v>5.74</v>
      </c>
      <c r="J93" s="596">
        <v>5</v>
      </c>
      <c r="K93" s="703">
        <f t="shared" si="50"/>
        <v>5.4530000000000003</v>
      </c>
      <c r="L93" s="1745">
        <v>0.36099999999999999</v>
      </c>
      <c r="M93" s="994">
        <f t="shared" si="54"/>
        <v>0.35399999999999998</v>
      </c>
      <c r="N93" s="1196">
        <f t="shared" si="61"/>
        <v>0.35399999999999998</v>
      </c>
      <c r="O93" s="645">
        <f t="shared" si="62"/>
        <v>0.35399999999999998</v>
      </c>
      <c r="P93" s="1199">
        <v>88</v>
      </c>
      <c r="Q93" s="1572">
        <v>89.2</v>
      </c>
      <c r="R93" s="706">
        <v>4639.3500000000004</v>
      </c>
      <c r="S93" s="1164">
        <v>110</v>
      </c>
      <c r="U93" s="1146">
        <f>_xlfn.XLOOKUP(D93,RUC!$B$3:$B$123,RUC!$F$3:$F$123)</f>
        <v>80</v>
      </c>
      <c r="V93" s="715">
        <v>1.1023000000000001</v>
      </c>
      <c r="Y93">
        <f>_xlfn.XLOOKUP(D93,RUC!$B$3:$B$123,RUC!$G$3:$G$123)</f>
        <v>0</v>
      </c>
      <c r="Z93" s="143">
        <f>_xlfn.XLOOKUP(D93,RUC!$B$3:$B$123,RUC!$H$3:$H$123)</f>
        <v>10</v>
      </c>
      <c r="AA93" s="144">
        <f t="shared" si="51"/>
        <v>10</v>
      </c>
      <c r="AB93" s="145">
        <f t="shared" si="60"/>
        <v>1433.3523392376001</v>
      </c>
      <c r="AC93" s="145">
        <f>+(S93-T93)*V93-'data 1'!$F$4</f>
        <v>41.253</v>
      </c>
      <c r="AD93" s="145">
        <f t="shared" si="56"/>
        <v>21.77164215966005</v>
      </c>
      <c r="AE93" s="145">
        <f t="shared" si="57"/>
        <v>-58.977000000000004</v>
      </c>
      <c r="AF93" s="145">
        <f t="shared" si="58"/>
        <v>31.380917277220032</v>
      </c>
      <c r="AG93" s="772">
        <f t="shared" ref="AG93:AG100" si="67">AC93+AD93+AE93+AF93+70</f>
        <v>105.42855943688008</v>
      </c>
      <c r="AH93" s="1253">
        <f t="shared" si="63"/>
        <v>60.203000000000003</v>
      </c>
      <c r="AI93" s="1253">
        <f t="shared" si="64"/>
        <v>67.492000000000004</v>
      </c>
      <c r="AJ93" s="156">
        <f t="shared" si="65"/>
        <v>120.91502137193989</v>
      </c>
      <c r="AK93" s="156">
        <f t="shared" si="66"/>
        <v>58.241225017337207</v>
      </c>
      <c r="AM93" s="716">
        <f t="shared" si="59"/>
        <v>7816.0703058626332</v>
      </c>
      <c r="AN93" s="716" t="str">
        <f>_xlfn.XLOOKUP(D93,RUC!$B$3:$B$578,RUC!$M$3:$M$578)</f>
        <v>Melchor Vera</v>
      </c>
      <c r="AO93" s="1167" t="s">
        <v>2279</v>
      </c>
      <c r="AP93" t="s">
        <v>5232</v>
      </c>
      <c r="AQ93" t="s">
        <v>5233</v>
      </c>
    </row>
    <row r="94" spans="1:43" ht="15" customHeight="1">
      <c r="A94" s="747" t="s">
        <v>5209</v>
      </c>
      <c r="B94" s="1447">
        <v>46125</v>
      </c>
      <c r="C94" s="1447">
        <v>46116</v>
      </c>
      <c r="D94" s="1802" t="s">
        <v>119</v>
      </c>
      <c r="E94" s="762">
        <f>_xlfn.XLOOKUP(D94,RUC!$B$3:$B$123,RUC!$D$3:$D$123)</f>
        <v>10082235774</v>
      </c>
      <c r="G94" s="1082">
        <v>47</v>
      </c>
      <c r="H94" s="762" t="s">
        <v>69</v>
      </c>
      <c r="I94" s="703">
        <v>4.53</v>
      </c>
      <c r="J94" s="596">
        <v>5</v>
      </c>
      <c r="K94" s="703">
        <f t="shared" si="50"/>
        <v>4.3040000000000003</v>
      </c>
      <c r="L94" s="1745">
        <v>0.30399999999999999</v>
      </c>
      <c r="M94" s="994">
        <f t="shared" si="54"/>
        <v>0.29699999999999999</v>
      </c>
      <c r="N94" s="1196">
        <f t="shared" si="61"/>
        <v>0.29699999999999999</v>
      </c>
      <c r="O94" s="645">
        <f t="shared" si="62"/>
        <v>0.29699999999999999</v>
      </c>
      <c r="P94" s="1199">
        <v>90</v>
      </c>
      <c r="Q94" s="1572">
        <v>89.8</v>
      </c>
      <c r="R94" s="706">
        <v>4639.3500000000004</v>
      </c>
      <c r="S94" s="1164">
        <v>105</v>
      </c>
      <c r="U94" s="1146">
        <f>_xlfn.XLOOKUP(D94,RUC!$B$3:$B$123,RUC!$F$3:$F$123)</f>
        <v>80</v>
      </c>
      <c r="V94" s="715">
        <v>1.1023000000000001</v>
      </c>
      <c r="Y94">
        <f>_xlfn.XLOOKUP(D94,RUC!$B$3:$B$123,RUC!$G$3:$G$123)</f>
        <v>0</v>
      </c>
      <c r="Z94" s="143">
        <f>_xlfn.XLOOKUP(D94,RUC!$B$3:$B$123,RUC!$H$3:$H$123)</f>
        <v>10</v>
      </c>
      <c r="AA94" s="144">
        <f t="shared" si="51"/>
        <v>10</v>
      </c>
      <c r="AB94" s="145">
        <f t="shared" si="60"/>
        <v>1216.6242232865002</v>
      </c>
      <c r="AC94" s="145">
        <f>+(S94-T94)*V94-'data 1'!$F$4</f>
        <v>35.741500000000002</v>
      </c>
      <c r="AD94" s="145">
        <f t="shared" si="56"/>
        <v>-3.0556690750400439</v>
      </c>
      <c r="AE94" s="145">
        <f t="shared" si="57"/>
        <v>-58.977000000000004</v>
      </c>
      <c r="AF94" s="145">
        <f t="shared" si="58"/>
        <v>31.591999680430035</v>
      </c>
      <c r="AG94" s="772">
        <f t="shared" si="67"/>
        <v>75.30083060538999</v>
      </c>
      <c r="AH94" s="1253">
        <f t="shared" si="63"/>
        <v>40.283999999999999</v>
      </c>
      <c r="AI94" s="1253">
        <f t="shared" si="64"/>
        <v>44.86</v>
      </c>
      <c r="AJ94" s="156">
        <f t="shared" si="65"/>
        <v>102.50808514703989</v>
      </c>
      <c r="AK94" s="156">
        <f t="shared" si="66"/>
        <v>39.443940107692562</v>
      </c>
      <c r="AM94" s="716">
        <f t="shared" si="59"/>
        <v>5236.3506570250975</v>
      </c>
      <c r="AN94" s="716" t="str">
        <f>_xlfn.XLOOKUP(D94,RUC!$B$3:$B$578,RUC!$M$3:$M$578)</f>
        <v>Melchor Vera</v>
      </c>
      <c r="AO94" s="1167" t="s">
        <v>2279</v>
      </c>
      <c r="AP94" t="s">
        <v>5232</v>
      </c>
      <c r="AQ94" t="s">
        <v>5233</v>
      </c>
    </row>
    <row r="95" spans="1:43" ht="15" customHeight="1">
      <c r="A95" s="747" t="s">
        <v>5210</v>
      </c>
      <c r="B95" s="1447">
        <v>46125</v>
      </c>
      <c r="C95" s="1447">
        <v>46116</v>
      </c>
      <c r="D95" s="1802" t="s">
        <v>119</v>
      </c>
      <c r="E95" s="762">
        <f>_xlfn.XLOOKUP(D95,RUC!$B$3:$B$123,RUC!$D$3:$D$123)</f>
        <v>10082235774</v>
      </c>
      <c r="G95" s="1082">
        <v>33</v>
      </c>
      <c r="H95" s="762" t="s">
        <v>69</v>
      </c>
      <c r="I95" s="703">
        <v>3.27</v>
      </c>
      <c r="J95" s="596">
        <v>3.5</v>
      </c>
      <c r="K95" s="703">
        <f t="shared" si="50"/>
        <v>3.1560000000000001</v>
      </c>
      <c r="L95" s="1745">
        <v>0.317</v>
      </c>
      <c r="M95" s="994">
        <f t="shared" si="54"/>
        <v>0.31</v>
      </c>
      <c r="N95" s="1196">
        <f t="shared" si="61"/>
        <v>0.31</v>
      </c>
      <c r="O95" s="645">
        <f t="shared" si="62"/>
        <v>0.31</v>
      </c>
      <c r="P95" s="727">
        <v>90</v>
      </c>
      <c r="Q95" s="1476">
        <v>91.48</v>
      </c>
      <c r="R95" s="706">
        <v>4639.3500000000004</v>
      </c>
      <c r="S95" s="1164">
        <v>110</v>
      </c>
      <c r="U95" s="1146">
        <f>_xlfn.XLOOKUP(D95,RUC!$B$3:$B$123,RUC!$F$3:$F$123)</f>
        <v>80</v>
      </c>
      <c r="V95" s="715">
        <v>1.1023000000000001</v>
      </c>
      <c r="Y95">
        <f>_xlfn.XLOOKUP(D95,RUC!$B$3:$B$123,RUC!$G$3:$G$123)</f>
        <v>0</v>
      </c>
      <c r="Z95" s="143">
        <f>_xlfn.XLOOKUP(D95,RUC!$B$3:$B$123,RUC!$H$3:$H$123)</f>
        <v>10</v>
      </c>
      <c r="AA95" s="144">
        <f t="shared" si="51"/>
        <v>10</v>
      </c>
      <c r="AB95" s="145">
        <f t="shared" si="60"/>
        <v>1269.914249895</v>
      </c>
      <c r="AC95" s="145">
        <f>+(S95-T95)*V95-'data 1'!$F$4</f>
        <v>41.253</v>
      </c>
      <c r="AD95" s="145">
        <f t="shared" si="56"/>
        <v>23.578909592858068</v>
      </c>
      <c r="AE95" s="145">
        <f t="shared" si="57"/>
        <v>-58.977000000000004</v>
      </c>
      <c r="AF95" s="145">
        <f t="shared" si="58"/>
        <v>32.183030409418031</v>
      </c>
      <c r="AG95" s="772">
        <f t="shared" si="67"/>
        <v>108.03794000227609</v>
      </c>
      <c r="AH95" s="1253">
        <f t="shared" si="63"/>
        <v>31.378</v>
      </c>
      <c r="AI95" s="1253">
        <f t="shared" si="64"/>
        <v>34.301000000000002</v>
      </c>
      <c r="AJ95" s="156">
        <f t="shared" si="65"/>
        <v>108.89140936264189</v>
      </c>
      <c r="AK95" s="156">
        <f t="shared" si="66"/>
        <v>30.189107027338199</v>
      </c>
      <c r="AM95" s="716">
        <f t="shared" si="59"/>
        <v>4007.8493726686202</v>
      </c>
      <c r="AN95" s="716" t="str">
        <f>_xlfn.XLOOKUP(D95,RUC!$B$3:$B$578,RUC!$M$3:$M$578)</f>
        <v>Melchor Vera</v>
      </c>
      <c r="AO95" s="1167" t="s">
        <v>2279</v>
      </c>
      <c r="AP95" t="s">
        <v>5232</v>
      </c>
      <c r="AQ95" t="s">
        <v>5233</v>
      </c>
    </row>
    <row r="96" spans="1:43" ht="15" customHeight="1">
      <c r="A96" s="747" t="s">
        <v>5211</v>
      </c>
      <c r="B96" s="1447">
        <v>46125</v>
      </c>
      <c r="C96" s="1447">
        <v>46116</v>
      </c>
      <c r="D96" s="1802" t="s">
        <v>119</v>
      </c>
      <c r="E96" s="762">
        <f>_xlfn.XLOOKUP(D96,RUC!$B$3:$B$123,RUC!$D$3:$D$123)</f>
        <v>10082235774</v>
      </c>
      <c r="G96" s="1082">
        <v>29</v>
      </c>
      <c r="H96" s="762" t="s">
        <v>69</v>
      </c>
      <c r="I96" s="703">
        <v>2.79</v>
      </c>
      <c r="J96" s="596">
        <v>4.3</v>
      </c>
      <c r="K96" s="703">
        <f t="shared" si="50"/>
        <v>2.67</v>
      </c>
      <c r="L96" s="1745">
        <v>0.29099999999999998</v>
      </c>
      <c r="M96" s="994">
        <f t="shared" si="54"/>
        <v>0.28399999999999997</v>
      </c>
      <c r="N96" s="1196">
        <f t="shared" si="61"/>
        <v>0.28399999999999997</v>
      </c>
      <c r="O96" s="645">
        <f t="shared" si="62"/>
        <v>0.28399999999999997</v>
      </c>
      <c r="P96" s="727">
        <v>90</v>
      </c>
      <c r="Q96" s="1476">
        <v>90.38</v>
      </c>
      <c r="R96" s="706">
        <v>4639.3500000000004</v>
      </c>
      <c r="S96" s="1164">
        <v>105</v>
      </c>
      <c r="U96" s="1146">
        <f>_xlfn.XLOOKUP(D96,RUC!$B$3:$B$123,RUC!$F$3:$F$123)</f>
        <v>80</v>
      </c>
      <c r="V96" s="715">
        <v>1.1023000000000001</v>
      </c>
      <c r="Y96">
        <f>_xlfn.XLOOKUP(D96,RUC!$B$3:$B$123,RUC!$G$3:$G$123)</f>
        <v>0</v>
      </c>
      <c r="Z96" s="143">
        <f>_xlfn.XLOOKUP(D96,RUC!$B$3:$B$123,RUC!$H$3:$H$123)</f>
        <v>10</v>
      </c>
      <c r="AA96" s="144">
        <f t="shared" si="51"/>
        <v>10</v>
      </c>
      <c r="AB96" s="145">
        <f t="shared" si="60"/>
        <v>1157.8226966780001</v>
      </c>
      <c r="AC96" s="145">
        <f>+(S96-T96)*V96-'data 1'!$F$4</f>
        <v>35.741500000000002</v>
      </c>
      <c r="AD96" s="145">
        <f t="shared" si="56"/>
        <v>5.5574981302289332</v>
      </c>
      <c r="AE96" s="145">
        <f t="shared" si="57"/>
        <v>-58.977000000000004</v>
      </c>
      <c r="AF96" s="145">
        <f t="shared" si="58"/>
        <v>31.796046003533032</v>
      </c>
      <c r="AG96" s="772">
        <f t="shared" si="67"/>
        <v>84.11804413376197</v>
      </c>
      <c r="AH96" s="1253">
        <f t="shared" si="63"/>
        <v>24.076000000000001</v>
      </c>
      <c r="AI96" s="1253">
        <f t="shared" si="64"/>
        <v>26.638999999999999</v>
      </c>
      <c r="AJ96" s="156">
        <f t="shared" si="65"/>
        <v>98.758282076270874</v>
      </c>
      <c r="AK96" s="156">
        <f t="shared" si="66"/>
        <v>23.398131645498598</v>
      </c>
      <c r="AM96" s="716">
        <f t="shared" si="59"/>
        <v>3091.3866001302599</v>
      </c>
      <c r="AN96" s="716" t="str">
        <f>_xlfn.XLOOKUP(D96,RUC!$B$3:$B$578,RUC!$M$3:$M$578)</f>
        <v>Melchor Vera</v>
      </c>
      <c r="AO96" s="1167" t="s">
        <v>2279</v>
      </c>
      <c r="AP96" t="s">
        <v>5232</v>
      </c>
      <c r="AQ96" t="s">
        <v>5233</v>
      </c>
    </row>
    <row r="97" spans="1:43" ht="15" customHeight="1">
      <c r="A97" s="747" t="s">
        <v>5212</v>
      </c>
      <c r="B97" s="1447">
        <v>46125</v>
      </c>
      <c r="C97" s="1447">
        <v>46116</v>
      </c>
      <c r="D97" s="1802" t="s">
        <v>119</v>
      </c>
      <c r="E97" s="762">
        <f>_xlfn.XLOOKUP(D97,RUC!$B$3:$B$123,RUC!$D$3:$D$123)</f>
        <v>10082235774</v>
      </c>
      <c r="G97" s="1082">
        <v>53</v>
      </c>
      <c r="H97" s="762" t="s">
        <v>69</v>
      </c>
      <c r="I97" s="703">
        <v>5.35</v>
      </c>
      <c r="J97" s="596">
        <v>3.7</v>
      </c>
      <c r="K97" s="703">
        <f t="shared" si="50"/>
        <v>5.1520000000000001</v>
      </c>
      <c r="L97" s="1745">
        <v>0.31</v>
      </c>
      <c r="M97" s="994">
        <f t="shared" si="54"/>
        <v>0.30299999999999999</v>
      </c>
      <c r="N97" s="1196">
        <f t="shared" si="61"/>
        <v>0.30299999999999999</v>
      </c>
      <c r="O97" s="645">
        <f t="shared" si="62"/>
        <v>0.30299999999999999</v>
      </c>
      <c r="P97" s="1199">
        <v>90</v>
      </c>
      <c r="Q97" s="1572">
        <v>90.65</v>
      </c>
      <c r="R97" s="706">
        <v>4639.3500000000004</v>
      </c>
      <c r="S97" s="1164">
        <v>110</v>
      </c>
      <c r="U97" s="1146">
        <f>_xlfn.XLOOKUP(D97,RUC!$B$3:$B$123,RUC!$F$3:$F$123)</f>
        <v>80</v>
      </c>
      <c r="V97" s="715">
        <v>1.1023000000000001</v>
      </c>
      <c r="Y97">
        <f>_xlfn.XLOOKUP(D97,RUC!$B$3:$B$123,RUC!$G$3:$G$123)</f>
        <v>0</v>
      </c>
      <c r="Z97" s="143">
        <f>_xlfn.XLOOKUP(D97,RUC!$B$3:$B$123,RUC!$H$3:$H$123)</f>
        <v>10</v>
      </c>
      <c r="AA97" s="144">
        <f t="shared" si="51"/>
        <v>10</v>
      </c>
      <c r="AB97" s="145">
        <f t="shared" si="60"/>
        <v>1238.2518894135003</v>
      </c>
      <c r="AC97" s="145">
        <f>+(S97-T97)*V97-'data 1'!$F$4</f>
        <v>41.253</v>
      </c>
      <c r="AD97" s="145">
        <f t="shared" si="56"/>
        <v>10.126929582575091</v>
      </c>
      <c r="AE97" s="145">
        <f t="shared" si="57"/>
        <v>-58.977000000000004</v>
      </c>
      <c r="AF97" s="145">
        <f t="shared" si="58"/>
        <v>31.891033084977536</v>
      </c>
      <c r="AG97" s="772">
        <f t="shared" si="67"/>
        <v>94.29396266755262</v>
      </c>
      <c r="AH97" s="1253">
        <f t="shared" si="63"/>
        <v>49.637999999999998</v>
      </c>
      <c r="AI97" s="1253">
        <f t="shared" si="64"/>
        <v>54.758000000000003</v>
      </c>
      <c r="AJ97" s="156">
        <f t="shared" si="65"/>
        <v>105.52070957242489</v>
      </c>
      <c r="AK97" s="156">
        <f t="shared" si="66"/>
        <v>48.169269655002729</v>
      </c>
      <c r="AM97" s="716">
        <f t="shared" si="59"/>
        <v>6379.4737342583539</v>
      </c>
      <c r="AN97" s="716" t="str">
        <f>_xlfn.XLOOKUP(D97,RUC!$B$3:$B$578,RUC!$M$3:$M$578)</f>
        <v>Melchor Vera</v>
      </c>
      <c r="AO97" s="1167" t="s">
        <v>2279</v>
      </c>
      <c r="AP97" t="s">
        <v>5232</v>
      </c>
      <c r="AQ97" t="s">
        <v>5233</v>
      </c>
    </row>
    <row r="98" spans="1:43" ht="15" customHeight="1">
      <c r="A98" s="747" t="s">
        <v>5213</v>
      </c>
      <c r="B98" s="1447">
        <v>46125</v>
      </c>
      <c r="C98" s="1447">
        <v>46116</v>
      </c>
      <c r="D98" s="1802" t="s">
        <v>119</v>
      </c>
      <c r="E98" s="762">
        <f>_xlfn.XLOOKUP(D98,RUC!$B$3:$B$123,RUC!$D$3:$D$123)</f>
        <v>10082235774</v>
      </c>
      <c r="G98" s="1082">
        <v>54</v>
      </c>
      <c r="H98" s="762" t="s">
        <v>69</v>
      </c>
      <c r="I98" s="703">
        <v>4.9800000000000004</v>
      </c>
      <c r="J98" s="596">
        <v>4.0999999999999996</v>
      </c>
      <c r="K98" s="703">
        <f t="shared" si="50"/>
        <v>4.7759999999999998</v>
      </c>
      <c r="L98" s="1745">
        <v>0.25800000000000001</v>
      </c>
      <c r="M98" s="994">
        <f t="shared" si="54"/>
        <v>0.251</v>
      </c>
      <c r="N98" s="1196">
        <f t="shared" si="61"/>
        <v>0.251</v>
      </c>
      <c r="O98" s="645">
        <f t="shared" si="62"/>
        <v>0.251</v>
      </c>
      <c r="P98" s="1199">
        <v>90</v>
      </c>
      <c r="Q98" s="1572">
        <v>89.92</v>
      </c>
      <c r="R98" s="706">
        <v>4639.3500000000004</v>
      </c>
      <c r="S98" s="1164">
        <v>105</v>
      </c>
      <c r="U98" s="1146">
        <f>_xlfn.XLOOKUP(D98,RUC!$B$3:$B$123,RUC!$F$3:$F$123)</f>
        <v>80</v>
      </c>
      <c r="V98" s="715">
        <v>1.1023000000000001</v>
      </c>
      <c r="Y98">
        <f>_xlfn.XLOOKUP(D98,RUC!$B$3:$B$123,RUC!$G$3:$G$123)</f>
        <v>0</v>
      </c>
      <c r="Z98" s="143">
        <f>_xlfn.XLOOKUP(D98,RUC!$B$3:$B$123,RUC!$H$3:$H$123)</f>
        <v>10</v>
      </c>
      <c r="AA98" s="144">
        <f t="shared" si="51"/>
        <v>10</v>
      </c>
      <c r="AB98" s="145">
        <f t="shared" si="60"/>
        <v>1008.5572829795001</v>
      </c>
      <c r="AC98" s="145">
        <f>+(S98-T98)*V98-'data 1'!$F$4</f>
        <v>35.741500000000002</v>
      </c>
      <c r="AD98" s="145">
        <f t="shared" si="56"/>
        <v>-1.0373192386319783</v>
      </c>
      <c r="AE98" s="145">
        <f t="shared" si="57"/>
        <v>-58.977000000000004</v>
      </c>
      <c r="AF98" s="145">
        <f t="shared" si="58"/>
        <v>31.634216161072036</v>
      </c>
      <c r="AG98" s="772">
        <f t="shared" si="67"/>
        <v>77.361396922440051</v>
      </c>
      <c r="AH98" s="1253">
        <f t="shared" si="63"/>
        <v>37.988</v>
      </c>
      <c r="AI98" s="1253">
        <f t="shared" si="64"/>
        <v>42.247</v>
      </c>
      <c r="AJ98" s="156">
        <f t="shared" si="65"/>
        <v>87.113247649631916</v>
      </c>
      <c r="AK98" s="156">
        <f t="shared" si="66"/>
        <v>36.990450310524118</v>
      </c>
      <c r="AM98" s="716">
        <f t="shared" si="59"/>
        <v>4816.8695835100925</v>
      </c>
      <c r="AN98" s="716" t="str">
        <f>_xlfn.XLOOKUP(D98,RUC!$B$3:$B$578,RUC!$M$3:$M$578)</f>
        <v>Melchor Vera</v>
      </c>
      <c r="AO98" s="1167" t="s">
        <v>2279</v>
      </c>
      <c r="AP98" t="s">
        <v>5232</v>
      </c>
      <c r="AQ98" t="s">
        <v>5233</v>
      </c>
    </row>
    <row r="99" spans="1:43" ht="15" customHeight="1">
      <c r="A99" s="747" t="s">
        <v>5214</v>
      </c>
      <c r="B99" s="1447">
        <v>46125</v>
      </c>
      <c r="C99" s="1447">
        <v>46116</v>
      </c>
      <c r="D99" s="1802" t="s">
        <v>119</v>
      </c>
      <c r="E99" s="762">
        <f>_xlfn.XLOOKUP(D99,RUC!$B$3:$B$123,RUC!$D$3:$D$123)</f>
        <v>10082235774</v>
      </c>
      <c r="G99" s="1082">
        <v>13</v>
      </c>
      <c r="H99" s="762" t="s">
        <v>69</v>
      </c>
      <c r="I99" s="703">
        <v>1.1399999999999999</v>
      </c>
      <c r="J99" s="596">
        <v>2</v>
      </c>
      <c r="K99" s="703">
        <f t="shared" si="50"/>
        <v>1.117</v>
      </c>
      <c r="L99" s="1745">
        <v>0.33500000000000002</v>
      </c>
      <c r="M99" s="994">
        <f t="shared" si="54"/>
        <v>0.32800000000000001</v>
      </c>
      <c r="N99" s="1196">
        <f t="shared" si="61"/>
        <v>0.32800000000000001</v>
      </c>
      <c r="O99" s="645">
        <f t="shared" si="62"/>
        <v>0.32800000000000001</v>
      </c>
      <c r="P99" s="727">
        <v>90</v>
      </c>
      <c r="Q99" s="1476">
        <v>95.82</v>
      </c>
      <c r="R99" s="706">
        <v>4639.3500000000004</v>
      </c>
      <c r="S99" s="1164">
        <v>110</v>
      </c>
      <c r="U99" s="1146">
        <f>_xlfn.XLOOKUP(D99,RUC!$B$3:$B$123,RUC!$F$3:$F$123)</f>
        <v>80</v>
      </c>
      <c r="V99" s="715">
        <v>1.1023000000000001</v>
      </c>
      <c r="Y99">
        <f>_xlfn.XLOOKUP(D99,RUC!$B$3:$B$123,RUC!$G$3:$G$123)</f>
        <v>0</v>
      </c>
      <c r="Z99" s="143">
        <f>_xlfn.XLOOKUP(D99,RUC!$B$3:$B$123,RUC!$H$3:$H$123)</f>
        <v>10</v>
      </c>
      <c r="AA99" s="144">
        <f t="shared" si="51"/>
        <v>10</v>
      </c>
      <c r="AB99" s="145">
        <f t="shared" si="60"/>
        <v>1351.3317482760003</v>
      </c>
      <c r="AC99" s="145">
        <f>+(S99-T99)*V99-'data 1'!$F$4</f>
        <v>41.253</v>
      </c>
      <c r="AD99" s="145">
        <f t="shared" si="56"/>
        <v>97.98746703298491</v>
      </c>
      <c r="AE99" s="145">
        <f t="shared" si="57"/>
        <v>-58.977000000000004</v>
      </c>
      <c r="AF99" s="145">
        <f t="shared" si="58"/>
        <v>33.709859792637033</v>
      </c>
      <c r="AG99" s="772">
        <f t="shared" si="67"/>
        <v>183.97332682562194</v>
      </c>
      <c r="AH99" s="1253">
        <f t="shared" si="63"/>
        <v>12.292999999999999</v>
      </c>
      <c r="AI99" s="1253">
        <f t="shared" si="64"/>
        <v>12.829000000000001</v>
      </c>
      <c r="AJ99" s="156">
        <f t="shared" si="65"/>
        <v>120.53389039951487</v>
      </c>
      <c r="AK99" s="156">
        <f t="shared" si="66"/>
        <v>11.305208998986123</v>
      </c>
      <c r="AM99" s="716">
        <f t="shared" si="59"/>
        <v>1509.4375628242924</v>
      </c>
      <c r="AN99" s="716" t="str">
        <f>_xlfn.XLOOKUP(D99,RUC!$B$3:$B$578,RUC!$M$3:$M$578)</f>
        <v>Melchor Vera</v>
      </c>
      <c r="AO99" s="1167" t="s">
        <v>2279</v>
      </c>
      <c r="AP99" t="s">
        <v>5232</v>
      </c>
      <c r="AQ99" t="s">
        <v>5233</v>
      </c>
    </row>
    <row r="100" spans="1:43" ht="15" customHeight="1">
      <c r="A100" s="747" t="s">
        <v>5216</v>
      </c>
      <c r="B100" s="1447">
        <v>46125</v>
      </c>
      <c r="C100" s="1447">
        <v>46116</v>
      </c>
      <c r="D100" s="1802" t="s">
        <v>119</v>
      </c>
      <c r="E100" s="762">
        <f>_xlfn.XLOOKUP(D100,RUC!$B$3:$B$123,RUC!$D$3:$D$123)</f>
        <v>10082235774</v>
      </c>
      <c r="G100" s="1082">
        <v>36</v>
      </c>
      <c r="H100" s="762" t="s">
        <v>69</v>
      </c>
      <c r="I100" s="703">
        <v>3</v>
      </c>
      <c r="J100" s="596">
        <v>2</v>
      </c>
      <c r="K100" s="703">
        <f t="shared" si="50"/>
        <v>2.94</v>
      </c>
      <c r="L100" s="1745">
        <v>0.11700000000000001</v>
      </c>
      <c r="M100" s="994">
        <f t="shared" si="54"/>
        <v>0.11</v>
      </c>
      <c r="N100" s="1196">
        <f t="shared" si="61"/>
        <v>0.11</v>
      </c>
      <c r="O100" s="645">
        <f t="shared" si="62"/>
        <v>0.11</v>
      </c>
      <c r="P100" s="727">
        <v>85</v>
      </c>
      <c r="Q100" s="1476">
        <v>94.87</v>
      </c>
      <c r="R100" s="706">
        <v>4639.3500000000004</v>
      </c>
      <c r="S100" s="1164">
        <v>95</v>
      </c>
      <c r="U100" s="1146">
        <f>_xlfn.XLOOKUP(D100,RUC!$B$3:$B$123,RUC!$F$3:$F$123)</f>
        <v>80</v>
      </c>
      <c r="V100" s="715">
        <v>1.1023000000000001</v>
      </c>
      <c r="Y100">
        <f>_xlfn.XLOOKUP(D100,RUC!$B$3:$B$123,RUC!$G$3:$G$123)</f>
        <v>0</v>
      </c>
      <c r="Z100" s="143">
        <f>_xlfn.XLOOKUP(D100,RUC!$B$3:$B$123,RUC!$H$3:$H$123)</f>
        <v>10</v>
      </c>
      <c r="AA100" s="144">
        <f t="shared" si="51"/>
        <v>10</v>
      </c>
      <c r="AB100" s="145">
        <f t="shared" si="60"/>
        <v>354.16813571749998</v>
      </c>
      <c r="AC100" s="145">
        <f>+(S100-T100)*V100-'data 1'!$F$4</f>
        <v>24.718500000000006</v>
      </c>
      <c r="AD100" s="145">
        <f t="shared" si="56"/>
        <v>58.037106762589538</v>
      </c>
      <c r="AE100" s="145">
        <f t="shared" si="57"/>
        <v>-58.977000000000004</v>
      </c>
      <c r="AF100" s="145">
        <f t="shared" si="58"/>
        <v>33.375645987554535</v>
      </c>
      <c r="AG100" s="772">
        <f t="shared" si="67"/>
        <v>127.15425275014407</v>
      </c>
      <c r="AH100" s="1253">
        <f t="shared" si="63"/>
        <v>11.188000000000001</v>
      </c>
      <c r="AI100" s="1253">
        <f t="shared" si="64"/>
        <v>11.792999999999999</v>
      </c>
      <c r="AJ100" s="156">
        <f t="shared" si="65"/>
        <v>41.679544398160459</v>
      </c>
      <c r="AK100" s="156">
        <f t="shared" si="66"/>
        <v>9.4247103210645022</v>
      </c>
      <c r="AM100" s="716">
        <f t="shared" si="59"/>
        <v>1041.25431900945</v>
      </c>
      <c r="AN100" s="716" t="str">
        <f>_xlfn.XLOOKUP(D100,RUC!$B$3:$B$578,RUC!$M$3:$M$578)</f>
        <v>Melchor Vera</v>
      </c>
      <c r="AO100" s="1167" t="s">
        <v>2279</v>
      </c>
      <c r="AP100" t="s">
        <v>5232</v>
      </c>
      <c r="AQ100" t="s">
        <v>5233</v>
      </c>
    </row>
    <row r="101" spans="1:43" ht="15" customHeight="1">
      <c r="A101" s="747" t="s">
        <v>5218</v>
      </c>
      <c r="B101" s="1447">
        <v>46125</v>
      </c>
      <c r="C101" s="1447">
        <v>46116</v>
      </c>
      <c r="D101" t="s">
        <v>93</v>
      </c>
      <c r="E101" s="762">
        <f>_xlfn.XLOOKUP(D101,RUC!$B$3:$B$123,RUC!$D$3:$D$123)</f>
        <v>20169040231</v>
      </c>
      <c r="G101" s="1082">
        <v>35</v>
      </c>
      <c r="H101" s="762" t="s">
        <v>69</v>
      </c>
      <c r="I101" s="703">
        <v>3.21</v>
      </c>
      <c r="J101" s="596">
        <v>6</v>
      </c>
      <c r="K101" s="703">
        <f t="shared" si="50"/>
        <v>3.0169999999999999</v>
      </c>
      <c r="L101" s="1745">
        <v>0.20699999999999999</v>
      </c>
      <c r="M101" s="994">
        <f t="shared" si="54"/>
        <v>0.188</v>
      </c>
      <c r="N101" s="1196">
        <f t="shared" si="61"/>
        <v>0.188</v>
      </c>
      <c r="O101" s="645">
        <f t="shared" si="62"/>
        <v>0.188</v>
      </c>
      <c r="P101" s="727">
        <v>85</v>
      </c>
      <c r="Q101" s="1476">
        <v>97.1</v>
      </c>
      <c r="R101" s="706">
        <v>4639.3500000000004</v>
      </c>
      <c r="S101" s="765">
        <f>IF((_xlfn.XLOOKUP(D101,RUC!$B$3:$B$119,RUC!$E$3:$E$119)+ROUNDDOWN(O101,1)*100)&lt;95,95,((_xlfn.XLOOKUP(D101,RUC!$B$3:$B$119,RUC!$E$3:$E$119)+ROUNDDOWN(O101,1)*100)))</f>
        <v>95</v>
      </c>
      <c r="U101" s="1146">
        <f>_xlfn.XLOOKUP(D101,RUC!$B$3:$B$123,RUC!$F$3:$F$123)</f>
        <v>120</v>
      </c>
      <c r="V101" s="715">
        <v>1.1023000000000001</v>
      </c>
      <c r="Y101">
        <f>_xlfn.XLOOKUP(D101,RUC!$B$3:$B$123,RUC!$G$3:$G$123)</f>
        <v>20</v>
      </c>
      <c r="Z101" s="1454">
        <v>35</v>
      </c>
      <c r="AA101" s="144">
        <f t="shared" si="51"/>
        <v>55</v>
      </c>
      <c r="AB101" s="145">
        <f t="shared" si="60"/>
        <v>630.72738489900007</v>
      </c>
      <c r="AC101" s="145">
        <f>+(S101-T101)*V101-'data 1'!$F$4</f>
        <v>24.718500000000006</v>
      </c>
      <c r="AD101" s="145">
        <f t="shared" si="56"/>
        <v>124.77612656173497</v>
      </c>
      <c r="AE101" s="145">
        <f t="shared" si="57"/>
        <v>-9.3734999999999999</v>
      </c>
      <c r="AF101" s="145">
        <f t="shared" si="58"/>
        <v>91.907005187744957</v>
      </c>
      <c r="AG101" s="772">
        <f t="shared" ref="AG101:AG102" si="68">AC101+AD101+AE101+AF101+70-53</f>
        <v>249.02813174947994</v>
      </c>
      <c r="AH101" s="1253">
        <f t="shared" si="63"/>
        <v>20.791</v>
      </c>
      <c r="AI101" s="1253">
        <f t="shared" si="64"/>
        <v>21.411999999999999</v>
      </c>
      <c r="AJ101" s="156">
        <f t="shared" si="65"/>
        <v>84.336430723514908</v>
      </c>
      <c r="AK101" s="156">
        <f t="shared" si="66"/>
        <v>16.529554716346631</v>
      </c>
      <c r="AM101" s="716">
        <f t="shared" si="59"/>
        <v>1902.9045202402831</v>
      </c>
      <c r="AN101" s="716" t="str">
        <f>_xlfn.XLOOKUP(D101,RUC!$B$3:$B$578,RUC!$M$3:$M$578)</f>
        <v>Ronald Miranda</v>
      </c>
      <c r="AO101" s="1167" t="s">
        <v>2279</v>
      </c>
      <c r="AP101" t="s">
        <v>5236</v>
      </c>
      <c r="AQ101" t="s">
        <v>4242</v>
      </c>
    </row>
    <row r="102" spans="1:43" ht="15" customHeight="1">
      <c r="A102" s="747" t="s">
        <v>5222</v>
      </c>
      <c r="B102" s="1447">
        <v>46124</v>
      </c>
      <c r="C102" s="1447">
        <v>46117</v>
      </c>
      <c r="D102" t="s">
        <v>93</v>
      </c>
      <c r="E102" s="762">
        <f>_xlfn.XLOOKUP(D102,RUC!$B$3:$B$123,RUC!$D$3:$D$123)</f>
        <v>20169040231</v>
      </c>
      <c r="G102" s="1082">
        <v>15</v>
      </c>
      <c r="H102" s="762" t="s">
        <v>69</v>
      </c>
      <c r="I102" s="703">
        <v>1.36</v>
      </c>
      <c r="J102" s="596">
        <v>3.5</v>
      </c>
      <c r="K102" s="703">
        <f t="shared" si="50"/>
        <v>1.3120000000000001</v>
      </c>
      <c r="L102" s="1745">
        <v>1.258</v>
      </c>
      <c r="M102" s="994">
        <f t="shared" si="54"/>
        <v>1.1830000000000001</v>
      </c>
      <c r="N102" s="1196">
        <f t="shared" si="61"/>
        <v>1.1830000000000001</v>
      </c>
      <c r="O102" s="645">
        <f t="shared" si="62"/>
        <v>1.1830000000000001</v>
      </c>
      <c r="P102" s="727">
        <v>90</v>
      </c>
      <c r="Q102" s="1476">
        <v>95.55</v>
      </c>
      <c r="R102" s="706">
        <v>4639.3500000000004</v>
      </c>
      <c r="S102" s="765">
        <f>IF((_xlfn.XLOOKUP(D102,RUC!$B$3:$B$119,RUC!$E$3:$E$119)+ROUNDDOWN(O102,1)*100)&lt;95,95,((_xlfn.XLOOKUP(D102,RUC!$B$3:$B$119,RUC!$E$3:$E$119)+ROUNDDOWN(O102,1)*100)))</f>
        <v>195</v>
      </c>
      <c r="U102" s="1146">
        <f>_xlfn.XLOOKUP(D102,RUC!$B$3:$B$123,RUC!$F$3:$F$123)</f>
        <v>120</v>
      </c>
      <c r="V102" s="715">
        <v>1.1023000000000001</v>
      </c>
      <c r="Y102">
        <f>_xlfn.XLOOKUP(D102,RUC!$B$3:$B$123,RUC!$G$3:$G$123)</f>
        <v>20</v>
      </c>
      <c r="Z102" s="1454">
        <v>35</v>
      </c>
      <c r="AA102" s="144">
        <f t="shared" si="51"/>
        <v>55</v>
      </c>
      <c r="AB102" s="145">
        <f t="shared" si="60"/>
        <v>5028.4191689734998</v>
      </c>
      <c r="AC102" s="145">
        <f>+(S102-T102)*V102-'data 1'!$F$4</f>
        <v>134.94850000000002</v>
      </c>
      <c r="AD102" s="145">
        <f t="shared" si="56"/>
        <v>347.81588135959487</v>
      </c>
      <c r="AE102" s="145">
        <f t="shared" si="57"/>
        <v>-9.3734999999999999</v>
      </c>
      <c r="AF102" s="145">
        <f t="shared" si="58"/>
        <v>356.99960752706232</v>
      </c>
      <c r="AG102" s="772">
        <f t="shared" si="68"/>
        <v>847.39048888665729</v>
      </c>
      <c r="AH102" s="1253">
        <f t="shared" si="63"/>
        <v>54.07</v>
      </c>
      <c r="AI102" s="1253">
        <f t="shared" si="64"/>
        <v>56.588000000000001</v>
      </c>
      <c r="AJ102" s="156">
        <f t="shared" si="65"/>
        <v>504.35574720940457</v>
      </c>
      <c r="AK102" s="156">
        <f t="shared" si="66"/>
        <v>47.892792285767527</v>
      </c>
      <c r="AM102" s="716">
        <f t="shared" si="59"/>
        <v>6597.2859496932324</v>
      </c>
      <c r="AN102" s="716" t="str">
        <f>_xlfn.XLOOKUP(D102,RUC!$B$3:$B$578,RUC!$M$3:$M$578)</f>
        <v>Ronald Miranda</v>
      </c>
      <c r="AO102" s="1167" t="s">
        <v>2280</v>
      </c>
      <c r="AP102" t="s">
        <v>5236</v>
      </c>
      <c r="AQ102" t="s">
        <v>4242</v>
      </c>
    </row>
    <row r="103" spans="1:43" ht="15" customHeight="1">
      <c r="A103" s="747" t="s">
        <v>5240</v>
      </c>
      <c r="B103" s="1447">
        <v>46121</v>
      </c>
      <c r="C103" s="1447">
        <v>46118</v>
      </c>
      <c r="D103" t="s">
        <v>2004</v>
      </c>
      <c r="E103" s="762">
        <f>_xlfn.XLOOKUP(D103,RUC!$B$3:$B$123,RUC!$D$3:$D$123)</f>
        <v>20612921866</v>
      </c>
      <c r="G103" s="1082">
        <v>13</v>
      </c>
      <c r="H103" s="762" t="s">
        <v>108</v>
      </c>
      <c r="I103" s="703">
        <v>1.01</v>
      </c>
      <c r="J103" s="596">
        <v>2.85</v>
      </c>
      <c r="K103" s="703">
        <f t="shared" si="50"/>
        <v>0.98099999999999998</v>
      </c>
      <c r="L103" s="1745">
        <v>0.22900000000000001</v>
      </c>
      <c r="M103" s="994">
        <f t="shared" si="54"/>
        <v>0.21</v>
      </c>
      <c r="N103" s="1196">
        <f t="shared" si="61"/>
        <v>0.21</v>
      </c>
      <c r="O103" s="645">
        <f t="shared" si="62"/>
        <v>0.21</v>
      </c>
      <c r="P103" s="727">
        <v>90</v>
      </c>
      <c r="Q103" s="1476">
        <v>96.51</v>
      </c>
      <c r="R103" s="706">
        <v>4611.7</v>
      </c>
      <c r="S103" s="765">
        <f>IF((_xlfn.XLOOKUP(D103,RUC!$B$3:$B$119,RUC!$E$3:$E$119)+ROUNDDOWN(O103,1)*100)&lt;95,95,((_xlfn.XLOOKUP(D103,RUC!$B$3:$B$119,RUC!$E$3:$E$119)+ROUNDDOWN(O103,1)*100)))</f>
        <v>100</v>
      </c>
      <c r="U103" s="1146">
        <f>_xlfn.XLOOKUP(D103,RUC!$B$3:$B$123,RUC!$F$3:$F$123)</f>
        <v>100</v>
      </c>
      <c r="V103" s="715">
        <v>1.1023000000000001</v>
      </c>
      <c r="Y103">
        <f>_xlfn.XLOOKUP(D103,RUC!$B$3:$B$123,RUC!$G$3:$G$123)</f>
        <v>0</v>
      </c>
      <c r="Z103" s="143">
        <f>_xlfn.XLOOKUP(D103,RUC!$B$3:$B$123,RUC!$H$3:$H$123)</f>
        <v>30</v>
      </c>
      <c r="AA103" s="144">
        <f t="shared" si="51"/>
        <v>30</v>
      </c>
      <c r="AB103" s="145">
        <f t="shared" si="60"/>
        <v>796.64466599000002</v>
      </c>
      <c r="AC103" s="145">
        <f>+(S103-T103)*V103-'data 1'!$F$4</f>
        <v>30.230000000000004</v>
      </c>
      <c r="AD103" s="145">
        <f t="shared" si="56"/>
        <v>74.140667609589059</v>
      </c>
      <c r="AE103" s="145">
        <f t="shared" si="57"/>
        <v>-36.930999999999997</v>
      </c>
      <c r="AF103" s="145">
        <f t="shared" si="58"/>
        <v>91.193931263979081</v>
      </c>
      <c r="AG103" s="772">
        <f t="shared" ref="AG103:AG105" si="69">AC103+AD103+AE103+AF103+70-10</f>
        <v>218.63359887356813</v>
      </c>
      <c r="AH103" s="1253">
        <f t="shared" si="63"/>
        <v>7.4329999999999998</v>
      </c>
      <c r="AI103" s="1253">
        <f t="shared" si="64"/>
        <v>7.702</v>
      </c>
      <c r="AJ103" s="156">
        <f t="shared" si="65"/>
        <v>94.596484272411047</v>
      </c>
      <c r="AK103" s="156">
        <f t="shared" si="66"/>
        <v>6.3568195129624492</v>
      </c>
      <c r="AM103" s="716">
        <f t="shared" si="59"/>
        <v>781.50841733619006</v>
      </c>
      <c r="AN103" s="716" t="str">
        <f>_xlfn.XLOOKUP(D103,RUC!$B$3:$B$578,RUC!$M$3:$M$578)</f>
        <v>Ronald Garibay</v>
      </c>
      <c r="AO103" s="1167" t="s">
        <v>2278</v>
      </c>
      <c r="AP103" t="s">
        <v>5244</v>
      </c>
      <c r="AQ103" t="s">
        <v>5245</v>
      </c>
    </row>
    <row r="104" spans="1:43" ht="15" customHeight="1">
      <c r="A104" s="747" t="s">
        <v>5241</v>
      </c>
      <c r="B104" s="1447">
        <v>46121</v>
      </c>
      <c r="C104" s="1447">
        <v>46118</v>
      </c>
      <c r="D104" t="s">
        <v>2004</v>
      </c>
      <c r="E104" s="762">
        <f>_xlfn.XLOOKUP(D104,RUC!$B$3:$B$123,RUC!$D$3:$D$123)</f>
        <v>20612921866</v>
      </c>
      <c r="G104" s="1082">
        <v>13</v>
      </c>
      <c r="H104" s="762" t="s">
        <v>108</v>
      </c>
      <c r="I104" s="703">
        <v>1.06</v>
      </c>
      <c r="J104" s="596">
        <v>2</v>
      </c>
      <c r="K104" s="703">
        <f t="shared" si="50"/>
        <v>1.0389999999999999</v>
      </c>
      <c r="L104" s="1745">
        <v>0.29099999999999998</v>
      </c>
      <c r="M104" s="994">
        <f t="shared" si="54"/>
        <v>0.27200000000000002</v>
      </c>
      <c r="N104" s="1196">
        <f t="shared" si="61"/>
        <v>0.27200000000000002</v>
      </c>
      <c r="O104" s="645">
        <f t="shared" si="62"/>
        <v>0.27200000000000002</v>
      </c>
      <c r="P104" s="727">
        <v>90</v>
      </c>
      <c r="Q104" s="1476">
        <v>91.07</v>
      </c>
      <c r="R104" s="706">
        <v>4611.7</v>
      </c>
      <c r="S104" s="765">
        <f>IF((_xlfn.XLOOKUP(D104,RUC!$B$3:$B$119,RUC!$E$3:$E$119)+ROUNDDOWN(O104,1)*100)&lt;95,95,((_xlfn.XLOOKUP(D104,RUC!$B$3:$B$119,RUC!$E$3:$E$119)+ROUNDDOWN(O104,1)*100)))</f>
        <v>100</v>
      </c>
      <c r="U104" s="1146">
        <f>_xlfn.XLOOKUP(D104,RUC!$B$3:$B$123,RUC!$F$3:$F$123)</f>
        <v>100</v>
      </c>
      <c r="V104" s="715">
        <v>1.1023000000000001</v>
      </c>
      <c r="Y104">
        <f>_xlfn.XLOOKUP(D104,RUC!$B$3:$B$123,RUC!$G$3:$G$123)</f>
        <v>0</v>
      </c>
      <c r="Z104" s="143">
        <f>_xlfn.XLOOKUP(D104,RUC!$B$3:$B$123,RUC!$H$3:$H$123)</f>
        <v>30</v>
      </c>
      <c r="AA104" s="144">
        <f t="shared" si="51"/>
        <v>30</v>
      </c>
      <c r="AB104" s="145">
        <f t="shared" si="60"/>
        <v>1074.151843568</v>
      </c>
      <c r="AC104" s="145">
        <f>+(S104-T104)*V104-'data 1'!$F$4</f>
        <v>30.230000000000004</v>
      </c>
      <c r="AD104" s="145">
        <f t="shared" si="56"/>
        <v>15.485198903666902</v>
      </c>
      <c r="AE104" s="145">
        <f t="shared" si="57"/>
        <v>-36.930999999999997</v>
      </c>
      <c r="AF104" s="145">
        <f t="shared" si="58"/>
        <v>86.053583257802813</v>
      </c>
      <c r="AG104" s="772">
        <f t="shared" si="69"/>
        <v>154.8377821614697</v>
      </c>
      <c r="AH104" s="1253">
        <f t="shared" si="63"/>
        <v>9.44</v>
      </c>
      <c r="AI104" s="1253">
        <f t="shared" si="64"/>
        <v>10.366</v>
      </c>
      <c r="AJ104" s="156">
        <f t="shared" si="65"/>
        <v>113.43198276633304</v>
      </c>
      <c r="AK104" s="156">
        <f t="shared" si="66"/>
        <v>8.7203924514309605</v>
      </c>
      <c r="AM104" s="716">
        <f t="shared" si="59"/>
        <v>1116.0437654671518</v>
      </c>
      <c r="AN104" s="716" t="str">
        <f>_xlfn.XLOOKUP(D104,RUC!$B$3:$B$578,RUC!$M$3:$M$578)</f>
        <v>Ronald Garibay</v>
      </c>
      <c r="AO104" s="1167" t="s">
        <v>2278</v>
      </c>
      <c r="AP104" t="s">
        <v>5244</v>
      </c>
      <c r="AQ104" t="s">
        <v>5245</v>
      </c>
    </row>
    <row r="105" spans="1:43" ht="15" customHeight="1">
      <c r="A105" s="747" t="s">
        <v>5242</v>
      </c>
      <c r="B105" s="1447">
        <v>46122</v>
      </c>
      <c r="C105" s="1447">
        <v>46118</v>
      </c>
      <c r="D105" t="s">
        <v>2004</v>
      </c>
      <c r="E105" s="762">
        <f>_xlfn.XLOOKUP(D105,RUC!$B$3:$B$123,RUC!$D$3:$D$123)</f>
        <v>20612921866</v>
      </c>
      <c r="G105" s="1082">
        <v>123</v>
      </c>
      <c r="H105" s="762" t="s">
        <v>108</v>
      </c>
      <c r="I105" s="703">
        <v>10.17</v>
      </c>
      <c r="J105" s="596">
        <v>2</v>
      </c>
      <c r="K105" s="703">
        <f t="shared" si="50"/>
        <v>9.9670000000000005</v>
      </c>
      <c r="L105" s="1745">
        <v>0.217</v>
      </c>
      <c r="M105" s="994">
        <f t="shared" si="54"/>
        <v>0.19800000000000001</v>
      </c>
      <c r="N105" s="1196">
        <f t="shared" si="61"/>
        <v>0.19800000000000001</v>
      </c>
      <c r="O105" s="645">
        <f t="shared" si="62"/>
        <v>0.19800000000000001</v>
      </c>
      <c r="P105" s="727">
        <v>90</v>
      </c>
      <c r="Q105" s="1476">
        <v>94.47</v>
      </c>
      <c r="R105" s="706">
        <v>4611.7</v>
      </c>
      <c r="S105" s="765">
        <f>IF((_xlfn.XLOOKUP(D105,RUC!$B$3:$B$119,RUC!$E$3:$E$119)+ROUNDDOWN(O105,1)*100)&lt;95,95,((_xlfn.XLOOKUP(D105,RUC!$B$3:$B$119,RUC!$E$3:$E$119)+ROUNDDOWN(O105,1)*100)))</f>
        <v>95</v>
      </c>
      <c r="U105" s="1146">
        <f>_xlfn.XLOOKUP(D105,RUC!$B$3:$B$123,RUC!$F$3:$F$123)</f>
        <v>100</v>
      </c>
      <c r="V105" s="715">
        <v>1.1023000000000001</v>
      </c>
      <c r="Y105">
        <f>_xlfn.XLOOKUP(D105,RUC!$B$3:$B$123,RUC!$G$3:$G$123)</f>
        <v>0</v>
      </c>
      <c r="Z105" s="143">
        <f>_xlfn.XLOOKUP(D105,RUC!$B$3:$B$123,RUC!$H$3:$H$123)</f>
        <v>30</v>
      </c>
      <c r="AA105" s="144">
        <f t="shared" si="51"/>
        <v>30</v>
      </c>
      <c r="AB105" s="145">
        <f t="shared" si="60"/>
        <v>748.44509936199995</v>
      </c>
      <c r="AC105" s="145">
        <f>+(S105-T105)*V105-'data 1'!$F$4</f>
        <v>24.718500000000006</v>
      </c>
      <c r="AD105" s="145">
        <f t="shared" si="56"/>
        <v>48.23999770230899</v>
      </c>
      <c r="AE105" s="145">
        <f t="shared" si="57"/>
        <v>-36.930999999999997</v>
      </c>
      <c r="AF105" s="145">
        <f t="shared" si="58"/>
        <v>89.266300761662947</v>
      </c>
      <c r="AG105" s="772">
        <f t="shared" si="69"/>
        <v>185.29379846397194</v>
      </c>
      <c r="AH105" s="1253">
        <f t="shared" si="63"/>
        <v>70.052999999999997</v>
      </c>
      <c r="AI105" s="1253">
        <f t="shared" si="64"/>
        <v>74.153999999999996</v>
      </c>
      <c r="AJ105" s="156">
        <f t="shared" si="65"/>
        <v>87.744690647691044</v>
      </c>
      <c r="AK105" s="156">
        <f t="shared" si="66"/>
        <v>60.894942852133184</v>
      </c>
      <c r="AM105" s="716">
        <f t="shared" si="59"/>
        <v>7459.7523053410541</v>
      </c>
      <c r="AN105" s="716" t="str">
        <f>_xlfn.XLOOKUP(D105,RUC!$B$3:$B$578,RUC!$M$3:$M$578)</f>
        <v>Ronald Garibay</v>
      </c>
      <c r="AO105" s="1167" t="s">
        <v>2278</v>
      </c>
      <c r="AP105" t="s">
        <v>5244</v>
      </c>
      <c r="AQ105" t="s">
        <v>5245</v>
      </c>
    </row>
    <row r="106" spans="1:43" ht="15" customHeight="1">
      <c r="A106" s="747" t="s">
        <v>5249</v>
      </c>
      <c r="B106" s="1447">
        <v>46128</v>
      </c>
      <c r="C106" s="1447">
        <v>46119</v>
      </c>
      <c r="D106" t="s">
        <v>1967</v>
      </c>
      <c r="E106" s="762">
        <f>_xlfn.XLOOKUP(D106,RUC!$B$3:$B$123,RUC!$D$3:$D$123)</f>
        <v>20601769396</v>
      </c>
      <c r="G106" s="1082">
        <v>15</v>
      </c>
      <c r="H106" s="762" t="s">
        <v>108</v>
      </c>
      <c r="I106" s="703">
        <v>1.19</v>
      </c>
      <c r="J106" s="596">
        <v>16.170000000000002</v>
      </c>
      <c r="K106" s="703">
        <f t="shared" ref="K106:K117" si="70">ROUND(+I106-(I106*(J106/100)),3)</f>
        <v>0.998</v>
      </c>
      <c r="L106" s="1759">
        <v>0.28899999999999998</v>
      </c>
      <c r="M106" s="994">
        <f t="shared" si="54"/>
        <v>0.27</v>
      </c>
      <c r="N106" s="1196">
        <f t="shared" si="61"/>
        <v>0.27</v>
      </c>
      <c r="O106" s="645">
        <f t="shared" si="62"/>
        <v>0.27</v>
      </c>
      <c r="P106" s="727">
        <v>90</v>
      </c>
      <c r="Q106" s="1476">
        <v>93.43</v>
      </c>
      <c r="R106" s="706">
        <v>4611.7</v>
      </c>
      <c r="S106" s="765">
        <f>IF((_xlfn.XLOOKUP(D106,RUC!$B$3:$B$119,RUC!$E$3:$E$119)+ROUNDDOWN(O106,1)*100)&lt;95,95,((_xlfn.XLOOKUP(D106,RUC!$B$3:$B$119,RUC!$E$3:$E$119)+ROUNDDOWN(O106,1)*100)))</f>
        <v>110</v>
      </c>
      <c r="U106" s="1146">
        <f>_xlfn.XLOOKUP(D106,RUC!$B$3:$B$123,RUC!$F$3:$F$123)</f>
        <v>120</v>
      </c>
      <c r="V106" s="715">
        <v>1.1023000000000001</v>
      </c>
      <c r="Y106">
        <f>_xlfn.XLOOKUP(D106,RUC!$B$3:$B$123,RUC!$G$3:$G$123)</f>
        <v>20</v>
      </c>
      <c r="Z106" s="143">
        <f>_xlfn.XLOOKUP(D106,RUC!$B$3:$B$123,RUC!$H$3:$H$123)</f>
        <v>30</v>
      </c>
      <c r="AA106" s="144">
        <f t="shared" ref="AA106:AA117" si="71">+Y106+Z106</f>
        <v>50</v>
      </c>
      <c r="AB106" s="145">
        <f t="shared" si="60"/>
        <v>1026.77382113</v>
      </c>
      <c r="AC106" s="145">
        <f>+(S106-T106)*V106-'data 1'!$F$4</f>
        <v>41.253</v>
      </c>
      <c r="AD106" s="145">
        <f t="shared" si="56"/>
        <v>49.079769260557093</v>
      </c>
      <c r="AE106" s="145">
        <f t="shared" si="57"/>
        <v>-14.884999999999998</v>
      </c>
      <c r="AF106" s="145">
        <f t="shared" si="58"/>
        <v>87.892233194046824</v>
      </c>
      <c r="AG106" s="772">
        <f t="shared" ref="AG106:AG117" si="72">AC106+AD106+AE106+AF106+70-53</f>
        <v>180.3400024546039</v>
      </c>
      <c r="AH106" s="1253">
        <f t="shared" si="63"/>
        <v>9.2390000000000008</v>
      </c>
      <c r="AI106" s="1253">
        <f t="shared" si="64"/>
        <v>9.8889999999999993</v>
      </c>
      <c r="AJ106" s="156">
        <f t="shared" si="65"/>
        <v>121.52437017744307</v>
      </c>
      <c r="AK106" s="156">
        <f t="shared" si="66"/>
        <v>8.3146865975577011</v>
      </c>
      <c r="AM106" s="716">
        <f t="shared" si="59"/>
        <v>1024.7202734877401</v>
      </c>
      <c r="AN106" s="716" t="str">
        <f>_xlfn.XLOOKUP(D106,RUC!$B$3:$B$578,RUC!$M$3:$M$578)</f>
        <v>Evelyn</v>
      </c>
      <c r="AO106" s="1167" t="s">
        <v>2278</v>
      </c>
      <c r="AP106" t="s">
        <v>5257</v>
      </c>
      <c r="AQ106" t="s">
        <v>3787</v>
      </c>
    </row>
    <row r="107" spans="1:43" ht="15" customHeight="1">
      <c r="A107" s="1491" t="s">
        <v>5250</v>
      </c>
      <c r="B107" s="1447">
        <v>46128</v>
      </c>
      <c r="C107" s="1447">
        <v>46119</v>
      </c>
      <c r="D107" t="s">
        <v>1967</v>
      </c>
      <c r="E107" s="762">
        <f>_xlfn.XLOOKUP(D107,RUC!$B$3:$B$123,RUC!$D$3:$D$123)</f>
        <v>20601769396</v>
      </c>
      <c r="G107" s="1082">
        <v>79</v>
      </c>
      <c r="H107" s="762" t="s">
        <v>108</v>
      </c>
      <c r="I107" s="703">
        <v>5.2</v>
      </c>
      <c r="J107" s="596">
        <v>14.6</v>
      </c>
      <c r="K107" s="703">
        <f t="shared" si="70"/>
        <v>4.4409999999999998</v>
      </c>
      <c r="L107" s="1759">
        <v>6.4000000000000001E-2</v>
      </c>
      <c r="M107" s="994">
        <f t="shared" si="54"/>
        <v>4.4999999999999998E-2</v>
      </c>
      <c r="N107" s="1196">
        <f t="shared" si="61"/>
        <v>4.4999999999999998E-2</v>
      </c>
      <c r="O107" s="645">
        <f t="shared" si="62"/>
        <v>4.4999999999999998E-2</v>
      </c>
      <c r="P107" s="727">
        <v>80</v>
      </c>
      <c r="Q107" s="1476">
        <v>89.06</v>
      </c>
      <c r="R107" s="706">
        <v>4611.7</v>
      </c>
      <c r="S107" s="765">
        <f>IF((_xlfn.XLOOKUP(D107,RUC!$B$3:$B$119,RUC!$E$3:$E$119)+ROUNDDOWN(O107,1)*100)&lt;95,95,((_xlfn.XLOOKUP(D107,RUC!$B$3:$B$119,RUC!$E$3:$E$119)+ROUNDDOWN(O107,1)*100)))</f>
        <v>95</v>
      </c>
      <c r="U107" s="1146">
        <f>_xlfn.XLOOKUP(D107,RUC!$B$3:$B$123,RUC!$F$3:$F$123)</f>
        <v>120</v>
      </c>
      <c r="V107" s="715">
        <v>1.1023000000000001</v>
      </c>
      <c r="Y107">
        <f>_xlfn.XLOOKUP(D107,RUC!$B$3:$B$123,RUC!$G$3:$G$123)</f>
        <v>20</v>
      </c>
      <c r="Z107" s="143">
        <f>_xlfn.XLOOKUP(D107,RUC!$B$3:$B$123,RUC!$H$3:$H$123)</f>
        <v>30</v>
      </c>
      <c r="AA107" s="144">
        <f t="shared" si="71"/>
        <v>50</v>
      </c>
      <c r="AB107" s="145">
        <v>1E-3</v>
      </c>
      <c r="AC107" s="145">
        <f>+(S107-T107)*V107-'data 1'!$F$4</f>
        <v>24.718500000000006</v>
      </c>
      <c r="AD107" s="145">
        <f t="shared" si="56"/>
        <v>28.709043356544008</v>
      </c>
      <c r="AE107" s="145">
        <f t="shared" si="57"/>
        <v>-14.884999999999998</v>
      </c>
      <c r="AF107" s="145">
        <f t="shared" si="58"/>
        <v>83.781251078474014</v>
      </c>
      <c r="AG107" s="772">
        <f>AC107+AD107+AE107+AF107+70-53+18.41</f>
        <v>157.73379443501804</v>
      </c>
      <c r="AH107" s="1253">
        <f t="shared" si="63"/>
        <v>8.6790000000000003</v>
      </c>
      <c r="AI107" s="1253">
        <f t="shared" si="64"/>
        <v>9.7449999999999992</v>
      </c>
      <c r="AJ107" s="156">
        <f t="shared" si="65"/>
        <v>25.653218019456013</v>
      </c>
      <c r="AK107" s="156">
        <f t="shared" si="66"/>
        <v>5.4814106998818</v>
      </c>
      <c r="AM107" s="716">
        <f t="shared" si="59"/>
        <v>4.4409999999999996E-3</v>
      </c>
      <c r="AN107" s="716" t="str">
        <f>_xlfn.XLOOKUP(D107,RUC!$B$3:$B$578,RUC!$M$3:$M$578)</f>
        <v>Evelyn</v>
      </c>
      <c r="AO107" s="1167" t="s">
        <v>2278</v>
      </c>
      <c r="AP107" t="s">
        <v>5257</v>
      </c>
      <c r="AQ107" t="s">
        <v>3787</v>
      </c>
    </row>
    <row r="108" spans="1:43" ht="15" customHeight="1">
      <c r="A108" s="1491" t="s">
        <v>5251</v>
      </c>
      <c r="B108" s="1447">
        <v>46128</v>
      </c>
      <c r="C108" s="1447">
        <v>46119</v>
      </c>
      <c r="D108" t="s">
        <v>1967</v>
      </c>
      <c r="E108" s="762">
        <f>_xlfn.XLOOKUP(D108,RUC!$B$3:$B$123,RUC!$D$3:$D$123)</f>
        <v>20601769396</v>
      </c>
      <c r="G108" s="1082">
        <v>79</v>
      </c>
      <c r="H108" s="762" t="s">
        <v>108</v>
      </c>
      <c r="I108" s="703">
        <v>5.37</v>
      </c>
      <c r="J108" s="596">
        <v>15</v>
      </c>
      <c r="K108" s="703">
        <f t="shared" si="70"/>
        <v>4.5650000000000004</v>
      </c>
      <c r="L108" s="1759">
        <v>8.7999999999999995E-2</v>
      </c>
      <c r="M108" s="994">
        <f t="shared" si="54"/>
        <v>6.9000000000000006E-2</v>
      </c>
      <c r="N108" s="1196">
        <f t="shared" si="61"/>
        <v>6.9000000000000006E-2</v>
      </c>
      <c r="O108" s="645">
        <f t="shared" si="62"/>
        <v>6.9000000000000006E-2</v>
      </c>
      <c r="P108" s="727">
        <v>80</v>
      </c>
      <c r="Q108" s="1476">
        <v>92.05</v>
      </c>
      <c r="R108" s="706">
        <v>4611.7</v>
      </c>
      <c r="S108" s="765">
        <f>IF((_xlfn.XLOOKUP(D108,RUC!$B$3:$B$119,RUC!$E$3:$E$119)+ROUNDDOWN(O108,1)*100)&lt;95,95,((_xlfn.XLOOKUP(D108,RUC!$B$3:$B$119,RUC!$E$3:$E$119)+ROUNDDOWN(O108,1)*100)))</f>
        <v>95</v>
      </c>
      <c r="U108" s="1146">
        <f>_xlfn.XLOOKUP(D108,RUC!$B$3:$B$123,RUC!$F$3:$F$123)</f>
        <v>120</v>
      </c>
      <c r="V108" s="715">
        <v>1.1023000000000001</v>
      </c>
      <c r="Y108">
        <f>_xlfn.XLOOKUP(D108,RUC!$B$3:$B$123,RUC!$G$3:$G$123)</f>
        <v>20</v>
      </c>
      <c r="Z108" s="143">
        <f>_xlfn.XLOOKUP(D108,RUC!$B$3:$B$123,RUC!$H$3:$H$123)</f>
        <v>30</v>
      </c>
      <c r="AA108" s="144">
        <f t="shared" si="71"/>
        <v>50</v>
      </c>
      <c r="AB108" s="145">
        <v>1E-3</v>
      </c>
      <c r="AC108" s="145">
        <f>+(S108-T108)*V108-'data 1'!$F$4</f>
        <v>24.718500000000006</v>
      </c>
      <c r="AD108" s="145">
        <f t="shared" si="56"/>
        <v>52.502534449639988</v>
      </c>
      <c r="AE108" s="145">
        <f t="shared" si="57"/>
        <v>-14.884999999999998</v>
      </c>
      <c r="AF108" s="145">
        <f t="shared" si="58"/>
        <v>86.594028315444959</v>
      </c>
      <c r="AG108" s="772">
        <f>AC108+AD108+AE108+AF108+70-53+113.47</f>
        <v>279.40006276508495</v>
      </c>
      <c r="AH108" s="1253">
        <f t="shared" si="63"/>
        <v>12.678000000000001</v>
      </c>
      <c r="AI108" s="1253">
        <f t="shared" si="64"/>
        <v>13.773</v>
      </c>
      <c r="AJ108" s="156">
        <f t="shared" si="65"/>
        <v>36.457396566360011</v>
      </c>
      <c r="AK108" s="156">
        <f t="shared" si="66"/>
        <v>8.6395063639434007</v>
      </c>
      <c r="AM108" s="716">
        <f t="shared" si="59"/>
        <v>4.5650000000000005E-3</v>
      </c>
      <c r="AN108" s="716" t="str">
        <f>_xlfn.XLOOKUP(D108,RUC!$B$3:$B$578,RUC!$M$3:$M$578)</f>
        <v>Evelyn</v>
      </c>
      <c r="AO108" s="1167" t="s">
        <v>2278</v>
      </c>
      <c r="AP108" t="s">
        <v>5257</v>
      </c>
      <c r="AQ108" t="s">
        <v>3787</v>
      </c>
    </row>
    <row r="109" spans="1:43" ht="15" customHeight="1">
      <c r="A109" s="747" t="s">
        <v>5254</v>
      </c>
      <c r="B109" s="1447">
        <v>46124</v>
      </c>
      <c r="C109" s="1447">
        <v>46119</v>
      </c>
      <c r="D109" t="s">
        <v>2368</v>
      </c>
      <c r="E109" s="762">
        <f>_xlfn.XLOOKUP(D109,RUC!$B$3:$B$123,RUC!$D$3:$D$123)</f>
        <v>20612719757</v>
      </c>
      <c r="G109" s="1082">
        <v>50</v>
      </c>
      <c r="H109" s="762" t="s">
        <v>2005</v>
      </c>
      <c r="I109" s="703">
        <v>4.29</v>
      </c>
      <c r="J109" s="596">
        <v>17.600000000000001</v>
      </c>
      <c r="K109" s="703">
        <f t="shared" si="70"/>
        <v>3.5350000000000001</v>
      </c>
      <c r="L109" s="1759">
        <v>0.28899999999999998</v>
      </c>
      <c r="M109" s="994">
        <f t="shared" si="54"/>
        <v>0.27</v>
      </c>
      <c r="N109" s="1196">
        <f t="shared" si="61"/>
        <v>0.27</v>
      </c>
      <c r="O109" s="645">
        <f t="shared" si="62"/>
        <v>0.27</v>
      </c>
      <c r="P109" s="727">
        <v>90</v>
      </c>
      <c r="Q109" s="1476">
        <v>95.85</v>
      </c>
      <c r="R109" s="706">
        <v>4611.7</v>
      </c>
      <c r="S109" s="765">
        <f>IF((_xlfn.XLOOKUP(D109,RUC!$B$3:$B$119,RUC!$E$3:$E$119)+ROUNDDOWN(O109,1)*100)&lt;95,95,((_xlfn.XLOOKUP(D109,RUC!$B$3:$B$119,RUC!$E$3:$E$119)+ROUNDDOWN(O109,1)*100)))</f>
        <v>110</v>
      </c>
      <c r="U109" s="1146">
        <f>_xlfn.XLOOKUP(D109,RUC!$B$3:$B$123,RUC!$F$3:$F$123)</f>
        <v>120</v>
      </c>
      <c r="V109" s="715">
        <v>1.1023000000000001</v>
      </c>
      <c r="Y109">
        <f>_xlfn.XLOOKUP(D109,RUC!$B$3:$B$123,RUC!$G$3:$G$123)</f>
        <v>20</v>
      </c>
      <c r="Z109" s="143">
        <f>_xlfn.XLOOKUP(D109,RUC!$B$3:$B$123,RUC!$H$3:$H$123)</f>
        <v>30</v>
      </c>
      <c r="AA109" s="144">
        <f t="shared" si="71"/>
        <v>50</v>
      </c>
      <c r="AB109" s="145">
        <f t="shared" si="60"/>
        <v>1026.77382113</v>
      </c>
      <c r="AC109" s="145">
        <f>+(S109-T109)*V109-'data 1'!$F$4</f>
        <v>41.253</v>
      </c>
      <c r="AD109" s="145">
        <f t="shared" si="56"/>
        <v>83.707478184914905</v>
      </c>
      <c r="AE109" s="145">
        <f t="shared" si="57"/>
        <v>-14.884999999999998</v>
      </c>
      <c r="AF109" s="145">
        <f t="shared" si="58"/>
        <v>90.168795372464814</v>
      </c>
      <c r="AG109" s="772">
        <f t="shared" si="72"/>
        <v>217.24427355737976</v>
      </c>
      <c r="AH109" s="1253">
        <f t="shared" si="63"/>
        <v>33.573</v>
      </c>
      <c r="AI109" s="1253">
        <f t="shared" si="64"/>
        <v>35.026000000000003</v>
      </c>
      <c r="AJ109" s="156">
        <f t="shared" si="65"/>
        <v>124.67206337908505</v>
      </c>
      <c r="AK109" s="156">
        <f t="shared" si="66"/>
        <v>29.451319761890254</v>
      </c>
      <c r="AM109" s="716">
        <f t="shared" si="59"/>
        <v>3629.6454576945503</v>
      </c>
      <c r="AN109" s="716" t="str">
        <f>_xlfn.XLOOKUP(D109,RUC!$B$3:$B$578,RUC!$M$3:$M$578)</f>
        <v>SIN ACOPIADOR</v>
      </c>
      <c r="AO109" s="1167" t="s">
        <v>2279</v>
      </c>
      <c r="AP109" t="s">
        <v>4842</v>
      </c>
      <c r="AQ109" t="s">
        <v>3795</v>
      </c>
    </row>
    <row r="110" spans="1:43" ht="15" customHeight="1">
      <c r="A110" s="747" t="s">
        <v>5255</v>
      </c>
      <c r="B110" s="1447">
        <v>46124</v>
      </c>
      <c r="C110" s="1447">
        <v>46119</v>
      </c>
      <c r="D110" t="s">
        <v>2368</v>
      </c>
      <c r="E110" s="762">
        <f>_xlfn.XLOOKUP(D110,RUC!$B$3:$B$123,RUC!$D$3:$D$123)</f>
        <v>20612719757</v>
      </c>
      <c r="G110" s="1082">
        <v>40</v>
      </c>
      <c r="H110" s="762" t="s">
        <v>2005</v>
      </c>
      <c r="I110" s="703">
        <v>3.48</v>
      </c>
      <c r="J110" s="596">
        <v>17.7</v>
      </c>
      <c r="K110" s="703">
        <f t="shared" si="70"/>
        <v>2.8639999999999999</v>
      </c>
      <c r="L110" s="1745">
        <v>0.36599999999999999</v>
      </c>
      <c r="M110" s="994">
        <f t="shared" si="54"/>
        <v>0.34399999999999997</v>
      </c>
      <c r="N110" s="1196">
        <f t="shared" si="61"/>
        <v>0.34399999999999997</v>
      </c>
      <c r="O110" s="645">
        <f t="shared" si="62"/>
        <v>0.34399999999999997</v>
      </c>
      <c r="P110" s="727">
        <v>90</v>
      </c>
      <c r="Q110" s="1476">
        <v>96.72</v>
      </c>
      <c r="R110" s="706">
        <v>4611.7</v>
      </c>
      <c r="S110" s="765">
        <f>IF((_xlfn.XLOOKUP(D110,RUC!$B$3:$B$119,RUC!$E$3:$E$119)+ROUNDDOWN(O110,1)*100)&lt;95,95,((_xlfn.XLOOKUP(D110,RUC!$B$3:$B$119,RUC!$E$3:$E$119)+ROUNDDOWN(O110,1)*100)))</f>
        <v>120</v>
      </c>
      <c r="U110" s="1146">
        <f>_xlfn.XLOOKUP(D110,RUC!$B$3:$B$123,RUC!$F$3:$F$123)</f>
        <v>120</v>
      </c>
      <c r="V110" s="715">
        <v>1.1023000000000001</v>
      </c>
      <c r="Y110">
        <f>_xlfn.XLOOKUP(D110,RUC!$B$3:$B$123,RUC!$G$3:$G$123)</f>
        <v>20</v>
      </c>
      <c r="Z110" s="143">
        <f>_xlfn.XLOOKUP(D110,RUC!$B$3:$B$123,RUC!$H$3:$H$123)</f>
        <v>30</v>
      </c>
      <c r="AA110" s="144">
        <f t="shared" si="71"/>
        <v>50</v>
      </c>
      <c r="AB110" s="145">
        <f t="shared" si="60"/>
        <v>1345.5008017359999</v>
      </c>
      <c r="AC110" s="145">
        <f>+(S110-T110)*V110-'data 1'!$F$4</f>
        <v>52.27600000000001</v>
      </c>
      <c r="AD110" s="145">
        <f t="shared" si="56"/>
        <v>121.77577662163198</v>
      </c>
      <c r="AE110" s="145">
        <f t="shared" si="57"/>
        <v>-14.884999999999998</v>
      </c>
      <c r="AF110" s="145">
        <f t="shared" si="58"/>
        <v>105.35363344334408</v>
      </c>
      <c r="AG110" s="772">
        <f t="shared" si="72"/>
        <v>281.52041006497609</v>
      </c>
      <c r="AH110" s="1253">
        <f t="shared" si="63"/>
        <v>34.76</v>
      </c>
      <c r="AI110" s="1253">
        <f t="shared" si="64"/>
        <v>35.939</v>
      </c>
      <c r="AJ110" s="156">
        <f t="shared" si="65"/>
        <v>159.3222975283681</v>
      </c>
      <c r="AK110" s="156">
        <f t="shared" si="66"/>
        <v>30.400661585761913</v>
      </c>
      <c r="AM110" s="716">
        <f t="shared" si="59"/>
        <v>3853.5142961719034</v>
      </c>
      <c r="AN110" s="716" t="str">
        <f>_xlfn.XLOOKUP(D110,RUC!$B$3:$B$578,RUC!$M$3:$M$578)</f>
        <v>SIN ACOPIADOR</v>
      </c>
      <c r="AO110" s="1167" t="s">
        <v>2279</v>
      </c>
      <c r="AP110" t="s">
        <v>4842</v>
      </c>
      <c r="AQ110" t="s">
        <v>3795</v>
      </c>
    </row>
    <row r="111" spans="1:43" ht="15" customHeight="1">
      <c r="A111" s="747" t="s">
        <v>5256</v>
      </c>
      <c r="B111" s="1447">
        <v>46124</v>
      </c>
      <c r="C111" s="1447">
        <v>46119</v>
      </c>
      <c r="D111" t="s">
        <v>2368</v>
      </c>
      <c r="E111" s="762">
        <f>_xlfn.XLOOKUP(D111,RUC!$B$3:$B$123,RUC!$D$3:$D$123)</f>
        <v>20612719757</v>
      </c>
      <c r="G111" s="1082">
        <v>48</v>
      </c>
      <c r="H111" s="762" t="s">
        <v>2005</v>
      </c>
      <c r="I111" s="703">
        <v>4.24</v>
      </c>
      <c r="J111" s="596">
        <v>17.399999999999999</v>
      </c>
      <c r="K111" s="703">
        <f t="shared" si="70"/>
        <v>3.5019999999999998</v>
      </c>
      <c r="L111" s="1745">
        <v>0.55400000000000005</v>
      </c>
      <c r="M111" s="994">
        <f t="shared" si="54"/>
        <v>0.52100000000000002</v>
      </c>
      <c r="N111" s="1196">
        <f t="shared" si="61"/>
        <v>0.52100000000000002</v>
      </c>
      <c r="O111" s="645">
        <f t="shared" si="62"/>
        <v>0.52100000000000002</v>
      </c>
      <c r="P111" s="727">
        <v>90</v>
      </c>
      <c r="Q111" s="1476">
        <v>94.95</v>
      </c>
      <c r="R111" s="706">
        <v>4611.7</v>
      </c>
      <c r="S111" s="765">
        <f>IF((_xlfn.XLOOKUP(D111,RUC!$B$3:$B$119,RUC!$E$3:$E$119)+ROUNDDOWN(O111,1)*100)&lt;95,95,((_xlfn.XLOOKUP(D111,RUC!$B$3:$B$119,RUC!$E$3:$E$119)+ROUNDDOWN(O111,1)*100)))</f>
        <v>140</v>
      </c>
      <c r="U111" s="1146">
        <f>_xlfn.XLOOKUP(D111,RUC!$B$3:$B$123,RUC!$F$3:$F$123)</f>
        <v>120</v>
      </c>
      <c r="V111" s="715">
        <v>1.1023000000000001</v>
      </c>
      <c r="Y111">
        <f>_xlfn.XLOOKUP(D111,RUC!$B$3:$B$123,RUC!$G$3:$G$123)</f>
        <v>20</v>
      </c>
      <c r="Z111" s="143">
        <f>_xlfn.XLOOKUP(D111,RUC!$B$3:$B$123,RUC!$H$3:$H$123)</f>
        <v>30</v>
      </c>
      <c r="AA111" s="144">
        <f t="shared" si="71"/>
        <v>50</v>
      </c>
      <c r="AB111" s="145">
        <f t="shared" si="60"/>
        <v>2112.1811066989999</v>
      </c>
      <c r="AC111" s="145">
        <f>+(S111-T111)*V111-'data 1'!$F$4</f>
        <v>74.322000000000003</v>
      </c>
      <c r="AD111" s="145">
        <f t="shared" si="56"/>
        <v>135.77678255493009</v>
      </c>
      <c r="AE111" s="145">
        <f t="shared" si="57"/>
        <v>-14.884999999999998</v>
      </c>
      <c r="AF111" s="145">
        <f t="shared" si="58"/>
        <v>155.13845371348512</v>
      </c>
      <c r="AG111" s="772">
        <f t="shared" si="72"/>
        <v>367.35223626841525</v>
      </c>
      <c r="AH111" s="1253">
        <f t="shared" si="63"/>
        <v>63.158000000000001</v>
      </c>
      <c r="AI111" s="1253">
        <f t="shared" si="64"/>
        <v>66.516999999999996</v>
      </c>
      <c r="AJ111" s="156">
        <f t="shared" si="65"/>
        <v>236.74669292907015</v>
      </c>
      <c r="AK111" s="156">
        <f t="shared" si="66"/>
        <v>56.299617435170788</v>
      </c>
      <c r="AM111" s="716">
        <f t="shared" si="59"/>
        <v>7396.8582356598972</v>
      </c>
      <c r="AN111" s="716" t="str">
        <f>_xlfn.XLOOKUP(D111,RUC!$B$3:$B$578,RUC!$M$3:$M$578)</f>
        <v>SIN ACOPIADOR</v>
      </c>
      <c r="AO111" s="1167" t="s">
        <v>2279</v>
      </c>
      <c r="AP111" t="s">
        <v>4842</v>
      </c>
      <c r="AQ111" t="s">
        <v>3795</v>
      </c>
    </row>
    <row r="112" spans="1:43" ht="15" customHeight="1">
      <c r="A112" s="747" t="s">
        <v>5287</v>
      </c>
      <c r="B112" s="1447">
        <v>46128</v>
      </c>
      <c r="C112" s="1447">
        <v>46122</v>
      </c>
      <c r="D112" t="s">
        <v>4917</v>
      </c>
      <c r="E112" s="762" t="str">
        <f>_xlfn.XLOOKUP(D112,RUC!$B$3:$B$123,RUC!$D$3:$D$123)</f>
        <v>20611329556*</v>
      </c>
      <c r="G112" s="1082" t="s">
        <v>2985</v>
      </c>
      <c r="H112" s="762" t="s">
        <v>108</v>
      </c>
      <c r="I112" s="703">
        <v>6.98</v>
      </c>
      <c r="J112" s="596">
        <v>16.7</v>
      </c>
      <c r="K112" s="703">
        <f t="shared" si="70"/>
        <v>5.8140000000000001</v>
      </c>
      <c r="L112" s="1745">
        <v>0.27700000000000002</v>
      </c>
      <c r="M112" s="994">
        <f t="shared" ref="M112:M117" si="73">ROUND(+IF(AN112="Melchor Vera",IF(L112&gt;0.467,L112*0.985,(L112-0.007)),IF(L112&gt;0.3,L112*0.94,(L112-0.019))),3)</f>
        <v>0.25800000000000001</v>
      </c>
      <c r="N112" s="1196">
        <f t="shared" ref="N112:N116" si="74">+M112</f>
        <v>0.25800000000000001</v>
      </c>
      <c r="O112" s="645">
        <f t="shared" ref="O112:O117" si="75">+ROUND((M112+N112)/2,3)</f>
        <v>0.25800000000000001</v>
      </c>
      <c r="P112" s="727">
        <v>90</v>
      </c>
      <c r="Q112" s="1476">
        <v>98.92</v>
      </c>
      <c r="R112" s="706">
        <v>4773.75</v>
      </c>
      <c r="S112" s="765">
        <f>IF((_xlfn.XLOOKUP(D112,RUC!$B$3:$B$119,RUC!$E$3:$E$119)+ROUNDDOWN(O112,1)*100)&lt;95,95,((_xlfn.XLOOKUP(D112,RUC!$B$3:$B$119,RUC!$E$3:$E$119)+ROUNDDOWN(O112,1)*100)))</f>
        <v>100</v>
      </c>
      <c r="U112" s="1146">
        <f>_xlfn.XLOOKUP(D112,RUC!$B$3:$B$123,RUC!$F$3:$F$123)</f>
        <v>110</v>
      </c>
      <c r="V112" s="715">
        <v>1.1023000000000001</v>
      </c>
      <c r="Y112">
        <f>_xlfn.XLOOKUP(D112,RUC!$B$3:$B$123,RUC!$G$3:$G$123)</f>
        <v>0</v>
      </c>
      <c r="Z112" s="143">
        <f>_xlfn.XLOOKUP(D112,RUC!$B$3:$B$123,RUC!$H$3:$H$123)</f>
        <v>35</v>
      </c>
      <c r="AA112" s="144">
        <f t="shared" si="71"/>
        <v>35</v>
      </c>
      <c r="AB112" s="145">
        <f t="shared" ref="AB112:AB117" si="76">+((O112*P112*(R112-U112)/100)-S112-AA112+T112)*V112</f>
        <v>1044.8952473249999</v>
      </c>
      <c r="AC112" s="145">
        <f>+(S112-T112)*V112-'data 1'!$F$4</f>
        <v>30.230000000000004</v>
      </c>
      <c r="AD112" s="145">
        <f t="shared" ref="AD112:AD117" si="77">+(Q112-P112)*(R112-U112)*L112*V112/100</f>
        <v>127.02221829115004</v>
      </c>
      <c r="AE112" s="145">
        <f t="shared" ref="AE112:AE117" si="78">+(Y112*V112-70)+V112*(Z112-IF(D112="UNTUCA",IF(+((W112-3)*2.5+(X112-3)*3.1)&gt;0,+((W112-3)*1.5+(X112-3)*3.1),0),IF(+((W112-3)*1.5+(X112-3)*3.1)&gt;0,+((W112-3)*1.5+(X112-3)*3.1),0)))</f>
        <v>-31.419499999999999</v>
      </c>
      <c r="AF112" s="145">
        <f t="shared" ref="AF112:AF117" si="79">(L112-O112)*(R112-U112)*Q112*V112/100</f>
        <v>96.621278121550091</v>
      </c>
      <c r="AG112" s="772">
        <f t="shared" si="72"/>
        <v>239.45399641270012</v>
      </c>
      <c r="AH112" s="1253">
        <f t="shared" ref="AH112:AH117" si="80">ROUND((31.1035*L112*Q112*1.1023*K112/100),3)</f>
        <v>54.62</v>
      </c>
      <c r="AI112" s="1253">
        <f t="shared" ref="AI112:AI117" si="81">ROUND((31.1035*L112*1.1023*K112),3)</f>
        <v>55.216000000000001</v>
      </c>
      <c r="AJ112" s="156">
        <f t="shared" ref="AJ112:AJ117" si="82">+((+$AJ$2-R112+U112)*L112*Q112*V112)/100</f>
        <v>71.356822264350015</v>
      </c>
      <c r="AK112" s="156">
        <f t="shared" ref="AK112:AK117" si="83">31.1035*1.1023*K112*P112*O112/100</f>
        <v>46.285644149690945</v>
      </c>
      <c r="AM112" s="716">
        <f t="shared" ref="AM112:AM117" si="84">+IF(AB112*K112&gt;0,AB112*K112,0)</f>
        <v>6075.0209679475493</v>
      </c>
      <c r="AN112" s="716" t="str">
        <f>_xlfn.XLOOKUP(D112,RUC!$B$3:$B$578,RUC!$M$3:$M$578)</f>
        <v>Robinson Tuya</v>
      </c>
      <c r="AO112" s="1167" t="s">
        <v>2280</v>
      </c>
      <c r="AP112" t="s">
        <v>3067</v>
      </c>
      <c r="AQ112" t="s">
        <v>5328</v>
      </c>
    </row>
    <row r="113" spans="1:43" ht="15" customHeight="1">
      <c r="A113" s="747" t="s">
        <v>5288</v>
      </c>
      <c r="B113" s="1447">
        <v>46128</v>
      </c>
      <c r="C113" s="1447">
        <v>46122</v>
      </c>
      <c r="D113" t="s">
        <v>4917</v>
      </c>
      <c r="E113" s="762" t="str">
        <f>_xlfn.XLOOKUP(D113,RUC!$B$3:$B$123,RUC!$D$3:$D$123)</f>
        <v>20611329556*</v>
      </c>
      <c r="G113" s="1082" t="s">
        <v>2985</v>
      </c>
      <c r="H113" s="762" t="s">
        <v>108</v>
      </c>
      <c r="I113" s="703">
        <v>9.5399999999999991</v>
      </c>
      <c r="J113" s="596">
        <v>12.5</v>
      </c>
      <c r="K113" s="703">
        <f t="shared" si="70"/>
        <v>8.3480000000000008</v>
      </c>
      <c r="L113" s="1745">
        <v>0.26800000000000002</v>
      </c>
      <c r="M113" s="994">
        <f t="shared" si="73"/>
        <v>0.249</v>
      </c>
      <c r="N113" s="1196">
        <f t="shared" si="74"/>
        <v>0.249</v>
      </c>
      <c r="O113" s="645">
        <f t="shared" si="75"/>
        <v>0.249</v>
      </c>
      <c r="P113" s="727">
        <v>90</v>
      </c>
      <c r="Q113" s="1476">
        <v>97.39</v>
      </c>
      <c r="R113" s="706">
        <v>4773.75</v>
      </c>
      <c r="S113" s="765">
        <f>IF((_xlfn.XLOOKUP(D113,RUC!$B$3:$B$119,RUC!$E$3:$E$119)+ROUNDDOWN(O113,1)*100)&lt;95,95,((_xlfn.XLOOKUP(D113,RUC!$B$3:$B$119,RUC!$E$3:$E$119)+ROUNDDOWN(O113,1)*100)))</f>
        <v>100</v>
      </c>
      <c r="U113" s="1146">
        <f>_xlfn.XLOOKUP(D113,RUC!$B$3:$B$123,RUC!$F$3:$F$123)</f>
        <v>110</v>
      </c>
      <c r="V113" s="715">
        <v>1.1023000000000001</v>
      </c>
      <c r="Y113">
        <f>_xlfn.XLOOKUP(D113,RUC!$B$3:$B$123,RUC!$G$3:$G$123)</f>
        <v>0</v>
      </c>
      <c r="Z113" s="143">
        <f>_xlfn.XLOOKUP(D113,RUC!$B$3:$B$123,RUC!$H$3:$H$123)</f>
        <v>35</v>
      </c>
      <c r="AA113" s="144">
        <f t="shared" si="71"/>
        <v>35</v>
      </c>
      <c r="AB113" s="145">
        <f t="shared" si="76"/>
        <v>1003.2543491625</v>
      </c>
      <c r="AC113" s="145">
        <f>+(S113-T113)*V113-'data 1'!$F$4</f>
        <v>30.230000000000004</v>
      </c>
      <c r="AD113" s="145">
        <f t="shared" si="77"/>
        <v>101.81559460345002</v>
      </c>
      <c r="AE113" s="145">
        <f t="shared" si="78"/>
        <v>-31.419499999999999</v>
      </c>
      <c r="AF113" s="145">
        <f t="shared" si="79"/>
        <v>95.12683255416259</v>
      </c>
      <c r="AG113" s="772">
        <f t="shared" si="72"/>
        <v>212.75292715761259</v>
      </c>
      <c r="AH113" s="1253">
        <f t="shared" si="80"/>
        <v>74.703000000000003</v>
      </c>
      <c r="AI113" s="1253">
        <f t="shared" si="81"/>
        <v>76.704999999999998</v>
      </c>
      <c r="AJ113" s="156">
        <f t="shared" si="82"/>
        <v>67.970550050550003</v>
      </c>
      <c r="AK113" s="156">
        <f t="shared" si="83"/>
        <v>64.140651396817745</v>
      </c>
      <c r="AM113" s="716">
        <f t="shared" si="84"/>
        <v>8375.1673068085511</v>
      </c>
      <c r="AN113" s="716" t="str">
        <f>_xlfn.XLOOKUP(D113,RUC!$B$3:$B$578,RUC!$M$3:$M$578)</f>
        <v>Robinson Tuya</v>
      </c>
      <c r="AO113" s="1167" t="s">
        <v>2280</v>
      </c>
      <c r="AP113" t="s">
        <v>2563</v>
      </c>
      <c r="AQ113" t="s">
        <v>2378</v>
      </c>
    </row>
    <row r="114" spans="1:43" ht="15" customHeight="1">
      <c r="A114" s="747" t="s">
        <v>5289</v>
      </c>
      <c r="B114" s="1447">
        <v>46128</v>
      </c>
      <c r="C114" s="1447">
        <v>46122</v>
      </c>
      <c r="D114" t="s">
        <v>4917</v>
      </c>
      <c r="E114" s="762" t="str">
        <f>_xlfn.XLOOKUP(D114,RUC!$B$3:$B$123,RUC!$D$3:$D$123)</f>
        <v>20611329556*</v>
      </c>
      <c r="G114" s="1082" t="s">
        <v>2985</v>
      </c>
      <c r="H114" s="762" t="s">
        <v>108</v>
      </c>
      <c r="I114" s="703">
        <v>10.66</v>
      </c>
      <c r="J114" s="596">
        <v>16.7</v>
      </c>
      <c r="K114" s="703">
        <f t="shared" si="70"/>
        <v>8.8800000000000008</v>
      </c>
      <c r="L114" s="1745">
        <v>0.27700000000000002</v>
      </c>
      <c r="M114" s="994">
        <f t="shared" si="73"/>
        <v>0.25800000000000001</v>
      </c>
      <c r="N114" s="1196">
        <f t="shared" si="74"/>
        <v>0.25800000000000001</v>
      </c>
      <c r="O114" s="645">
        <f t="shared" si="75"/>
        <v>0.25800000000000001</v>
      </c>
      <c r="P114" s="727">
        <v>90</v>
      </c>
      <c r="Q114" s="1476">
        <v>98.92</v>
      </c>
      <c r="R114" s="706">
        <v>4773.75</v>
      </c>
      <c r="S114" s="765">
        <f>IF((_xlfn.XLOOKUP(D114,RUC!$B$3:$B$119,RUC!$E$3:$E$119)+ROUNDDOWN(O114,1)*100)&lt;95,95,((_xlfn.XLOOKUP(D114,RUC!$B$3:$B$119,RUC!$E$3:$E$119)+ROUNDDOWN(O114,1)*100)))</f>
        <v>100</v>
      </c>
      <c r="U114" s="1146">
        <f>_xlfn.XLOOKUP(D114,RUC!$B$3:$B$123,RUC!$F$3:$F$123)</f>
        <v>110</v>
      </c>
      <c r="V114" s="715">
        <v>1.1023000000000001</v>
      </c>
      <c r="Y114">
        <f>_xlfn.XLOOKUP(D114,RUC!$B$3:$B$123,RUC!$G$3:$G$123)</f>
        <v>0</v>
      </c>
      <c r="Z114" s="143">
        <f>_xlfn.XLOOKUP(D114,RUC!$B$3:$B$123,RUC!$H$3:$H$123)</f>
        <v>35</v>
      </c>
      <c r="AA114" s="144">
        <f t="shared" si="71"/>
        <v>35</v>
      </c>
      <c r="AB114" s="145">
        <f t="shared" si="76"/>
        <v>1044.8952473249999</v>
      </c>
      <c r="AC114" s="145">
        <f>+(S114-T114)*V114-'data 1'!$F$4</f>
        <v>30.230000000000004</v>
      </c>
      <c r="AD114" s="145">
        <f t="shared" si="77"/>
        <v>127.02221829115004</v>
      </c>
      <c r="AE114" s="145">
        <f t="shared" si="78"/>
        <v>-31.419499999999999</v>
      </c>
      <c r="AF114" s="145">
        <f t="shared" si="79"/>
        <v>96.621278121550091</v>
      </c>
      <c r="AG114" s="772">
        <f t="shared" si="72"/>
        <v>239.45399641270012</v>
      </c>
      <c r="AH114" s="1253">
        <f t="shared" si="80"/>
        <v>83.423000000000002</v>
      </c>
      <c r="AI114" s="1253">
        <f t="shared" si="81"/>
        <v>84.334000000000003</v>
      </c>
      <c r="AJ114" s="156">
        <f t="shared" si="82"/>
        <v>71.356822264350015</v>
      </c>
      <c r="AK114" s="156">
        <f t="shared" si="83"/>
        <v>70.694275894264806</v>
      </c>
      <c r="AM114" s="716">
        <f t="shared" si="84"/>
        <v>9278.6697962460003</v>
      </c>
      <c r="AN114" s="716" t="str">
        <f>_xlfn.XLOOKUP(D114,RUC!$B$3:$B$578,RUC!$M$3:$M$578)</f>
        <v>Robinson Tuya</v>
      </c>
      <c r="AO114" s="1167" t="s">
        <v>2280</v>
      </c>
      <c r="AP114" t="s">
        <v>5329</v>
      </c>
      <c r="AQ114" t="s">
        <v>3761</v>
      </c>
    </row>
    <row r="115" spans="1:43" ht="15" customHeight="1">
      <c r="A115" s="747" t="s">
        <v>5290</v>
      </c>
      <c r="B115" s="1447">
        <v>46128</v>
      </c>
      <c r="C115" s="1447">
        <v>46122</v>
      </c>
      <c r="D115" t="s">
        <v>4917</v>
      </c>
      <c r="E115" s="762" t="str">
        <f>_xlfn.XLOOKUP(D115,RUC!$B$3:$B$123,RUC!$D$3:$D$123)</f>
        <v>20611329556*</v>
      </c>
      <c r="G115" s="1082" t="s">
        <v>2985</v>
      </c>
      <c r="H115" s="762" t="s">
        <v>108</v>
      </c>
      <c r="I115" s="703">
        <v>12.92</v>
      </c>
      <c r="J115" s="596">
        <v>11</v>
      </c>
      <c r="K115" s="703">
        <f t="shared" si="70"/>
        <v>11.499000000000001</v>
      </c>
      <c r="L115" s="1745">
        <v>0.255</v>
      </c>
      <c r="M115" s="994">
        <f t="shared" si="73"/>
        <v>0.23599999999999999</v>
      </c>
      <c r="N115" s="1444">
        <v>0.27600000000000002</v>
      </c>
      <c r="O115" s="645">
        <f t="shared" si="75"/>
        <v>0.25600000000000001</v>
      </c>
      <c r="P115" s="727">
        <v>90</v>
      </c>
      <c r="Q115" s="1476">
        <v>97.25</v>
      </c>
      <c r="R115" s="706">
        <v>4773.75</v>
      </c>
      <c r="S115" s="765">
        <f>IF((_xlfn.XLOOKUP(D115,RUC!$B$3:$B$119,RUC!$E$3:$E$119)+ROUNDDOWN(O115,1)*100)&lt;95,95,((_xlfn.XLOOKUP(D115,RUC!$B$3:$B$119,RUC!$E$3:$E$119)+ROUNDDOWN(O115,1)*100)))</f>
        <v>100</v>
      </c>
      <c r="U115" s="1146">
        <f>_xlfn.XLOOKUP(D115,RUC!$B$3:$B$123,RUC!$F$3:$F$123)</f>
        <v>110</v>
      </c>
      <c r="V115" s="715">
        <v>1.1023000000000001</v>
      </c>
      <c r="Y115">
        <f>_xlfn.XLOOKUP(D115,RUC!$B$3:$B$123,RUC!$G$3:$G$123)</f>
        <v>0</v>
      </c>
      <c r="Z115" s="143">
        <f>_xlfn.XLOOKUP(D115,RUC!$B$3:$B$123,RUC!$H$3:$H$123)</f>
        <v>35</v>
      </c>
      <c r="AA115" s="144">
        <f t="shared" si="71"/>
        <v>35</v>
      </c>
      <c r="AB115" s="145">
        <f t="shared" si="76"/>
        <v>1035.6417144000002</v>
      </c>
      <c r="AC115" s="145">
        <f>+(S115-T115)*V115-'data 1'!$F$4</f>
        <v>30.230000000000004</v>
      </c>
      <c r="AD115" s="145">
        <f t="shared" si="77"/>
        <v>95.041494417187508</v>
      </c>
      <c r="AE115" s="145">
        <f t="shared" si="78"/>
        <v>-31.419499999999999</v>
      </c>
      <c r="AF115" s="145">
        <f t="shared" si="79"/>
        <v>-4.9994782053125038</v>
      </c>
      <c r="AG115" s="772">
        <f t="shared" si="72"/>
        <v>105.85251621187501</v>
      </c>
      <c r="AH115" s="1253">
        <f t="shared" si="80"/>
        <v>97.768000000000001</v>
      </c>
      <c r="AI115" s="1253">
        <f t="shared" si="81"/>
        <v>100.533</v>
      </c>
      <c r="AJ115" s="156">
        <f t="shared" si="82"/>
        <v>64.580501770312509</v>
      </c>
      <c r="AK115" s="156">
        <f t="shared" si="83"/>
        <v>90.834664823873283</v>
      </c>
      <c r="AM115" s="716">
        <f t="shared" si="84"/>
        <v>11908.844073885602</v>
      </c>
      <c r="AN115" s="716" t="str">
        <f>_xlfn.XLOOKUP(D115,RUC!$B$3:$B$578,RUC!$M$3:$M$578)</f>
        <v>Robinson Tuya</v>
      </c>
      <c r="AO115" s="1167" t="s">
        <v>2280</v>
      </c>
      <c r="AP115" t="s">
        <v>5330</v>
      </c>
      <c r="AQ115" t="s">
        <v>5331</v>
      </c>
    </row>
    <row r="116" spans="1:43" ht="15" customHeight="1">
      <c r="A116" s="747" t="s">
        <v>5291</v>
      </c>
      <c r="B116" s="1447">
        <v>46128</v>
      </c>
      <c r="C116" s="1447">
        <v>46123</v>
      </c>
      <c r="D116" t="s">
        <v>4171</v>
      </c>
      <c r="E116" s="762">
        <f>_xlfn.XLOOKUP(D116,RUC!$B$3:$B$123,RUC!$D$3:$D$123)</f>
        <v>20614284740</v>
      </c>
      <c r="G116" s="1082">
        <v>10</v>
      </c>
      <c r="H116" s="762" t="s">
        <v>108</v>
      </c>
      <c r="I116" s="703">
        <v>0.75</v>
      </c>
      <c r="J116" s="596">
        <v>2</v>
      </c>
      <c r="K116" s="703">
        <f t="shared" si="70"/>
        <v>0.73499999999999999</v>
      </c>
      <c r="L116" s="1745">
        <v>0.27300000000000002</v>
      </c>
      <c r="M116" s="994">
        <f t="shared" si="73"/>
        <v>0.254</v>
      </c>
      <c r="N116" s="1196">
        <f t="shared" si="74"/>
        <v>0.254</v>
      </c>
      <c r="O116" s="645">
        <f t="shared" si="75"/>
        <v>0.254</v>
      </c>
      <c r="P116" s="727">
        <v>90</v>
      </c>
      <c r="Q116" s="1476">
        <v>99.27</v>
      </c>
      <c r="R116" s="706">
        <v>4773.75</v>
      </c>
      <c r="S116" s="765">
        <f>IF((_xlfn.XLOOKUP(D116,RUC!$B$3:$B$119,RUC!$E$3:$E$119)+ROUNDDOWN(O116,1)*100)&lt;95,95,((_xlfn.XLOOKUP(D116,RUC!$B$3:$B$119,RUC!$E$3:$E$119)+ROUNDDOWN(O116,1)*100)))</f>
        <v>110</v>
      </c>
      <c r="U116" s="1146">
        <f>_xlfn.XLOOKUP(D116,RUC!$B$3:$B$123,RUC!$F$3:$F$123)</f>
        <v>120</v>
      </c>
      <c r="V116" s="715">
        <v>1.1023000000000001</v>
      </c>
      <c r="Y116">
        <f>_xlfn.XLOOKUP(D116,RUC!$B$3:$B$123,RUC!$G$3:$G$123)</f>
        <v>20</v>
      </c>
      <c r="Z116" s="143">
        <f>_xlfn.XLOOKUP(D116,RUC!$B$3:$B$123,RUC!$H$3:$H$123)</f>
        <v>30</v>
      </c>
      <c r="AA116" s="144">
        <f t="shared" si="71"/>
        <v>50</v>
      </c>
      <c r="AB116" s="145">
        <f t="shared" si="76"/>
        <v>996.31082367499982</v>
      </c>
      <c r="AC116" s="145">
        <f>+(S116-T116)*V116-'data 1'!$F$4</f>
        <v>41.253</v>
      </c>
      <c r="AD116" s="145">
        <f t="shared" si="77"/>
        <v>129.82108599573746</v>
      </c>
      <c r="AE116" s="145">
        <f t="shared" si="78"/>
        <v>-14.884999999999998</v>
      </c>
      <c r="AF116" s="145">
        <f t="shared" si="79"/>
        <v>96.755236644712568</v>
      </c>
      <c r="AG116" s="772">
        <f t="shared" si="72"/>
        <v>269.94432264045003</v>
      </c>
      <c r="AH116" s="1253">
        <f t="shared" si="80"/>
        <v>6.8289999999999997</v>
      </c>
      <c r="AI116" s="1253">
        <f t="shared" si="81"/>
        <v>6.88</v>
      </c>
      <c r="AJ116" s="156">
        <f t="shared" si="82"/>
        <v>73.562539858762506</v>
      </c>
      <c r="AK116" s="156">
        <f t="shared" si="83"/>
        <v>5.7606651855490494</v>
      </c>
      <c r="AM116" s="716">
        <f t="shared" si="84"/>
        <v>732.28845540112491</v>
      </c>
      <c r="AN116" s="716" t="str">
        <f>_xlfn.XLOOKUP(D116,RUC!$B$3:$B$578,RUC!$M$3:$M$578)</f>
        <v xml:space="preserve">Dante </v>
      </c>
      <c r="AO116" s="1167" t="s">
        <v>2280</v>
      </c>
      <c r="AP116" t="s">
        <v>5332</v>
      </c>
      <c r="AQ116" t="s">
        <v>2376</v>
      </c>
    </row>
    <row r="117" spans="1:43" ht="15" customHeight="1">
      <c r="A117" s="747" t="s">
        <v>5292</v>
      </c>
      <c r="B117" s="1447">
        <v>46128</v>
      </c>
      <c r="C117" s="1447">
        <v>46123</v>
      </c>
      <c r="D117" t="s">
        <v>4171</v>
      </c>
      <c r="E117" s="762">
        <f>_xlfn.XLOOKUP(D117,RUC!$B$3:$B$123,RUC!$D$3:$D$123)</f>
        <v>20614284740</v>
      </c>
      <c r="G117" s="1082">
        <v>38</v>
      </c>
      <c r="H117" s="762" t="s">
        <v>108</v>
      </c>
      <c r="I117" s="703">
        <v>2.87</v>
      </c>
      <c r="J117" s="596">
        <v>2</v>
      </c>
      <c r="K117" s="703">
        <f t="shared" si="70"/>
        <v>2.8130000000000002</v>
      </c>
      <c r="L117" s="1745">
        <v>0.77800000000000002</v>
      </c>
      <c r="M117" s="994">
        <f t="shared" si="73"/>
        <v>0.73099999999999998</v>
      </c>
      <c r="N117" s="1444">
        <v>0.79100000000000004</v>
      </c>
      <c r="O117" s="645">
        <f t="shared" si="75"/>
        <v>0.76100000000000001</v>
      </c>
      <c r="P117" s="727">
        <v>90</v>
      </c>
      <c r="Q117" s="1476">
        <v>98.46</v>
      </c>
      <c r="R117" s="706">
        <v>4773.75</v>
      </c>
      <c r="S117" s="765">
        <f>IF((_xlfn.XLOOKUP(D117,RUC!$B$3:$B$119,RUC!$E$3:$E$119)+ROUNDDOWN(O117,1)*100)&lt;95,95,((_xlfn.XLOOKUP(D117,RUC!$B$3:$B$119,RUC!$E$3:$E$119)+ROUNDDOWN(O117,1)*100)))</f>
        <v>160</v>
      </c>
      <c r="U117" s="1146">
        <f>_xlfn.XLOOKUP(D117,RUC!$B$3:$B$123,RUC!$F$3:$F$123)</f>
        <v>120</v>
      </c>
      <c r="V117" s="715">
        <v>1.1023000000000001</v>
      </c>
      <c r="Y117">
        <f>_xlfn.XLOOKUP(D117,RUC!$B$3:$B$123,RUC!$G$3:$G$123)</f>
        <v>20</v>
      </c>
      <c r="Z117" s="143">
        <f>_xlfn.XLOOKUP(D117,RUC!$B$3:$B$123,RUC!$H$3:$H$123)</f>
        <v>30</v>
      </c>
      <c r="AA117" s="144">
        <f t="shared" si="71"/>
        <v>50</v>
      </c>
      <c r="AB117" s="145">
        <f t="shared" si="76"/>
        <v>3281.9366252625</v>
      </c>
      <c r="AC117" s="145">
        <f>+(S117-T117)*V117-'data 1'!$F$4</f>
        <v>96.367999999999995</v>
      </c>
      <c r="AD117" s="145">
        <f t="shared" si="77"/>
        <v>337.63916430314976</v>
      </c>
      <c r="AE117" s="145">
        <f t="shared" si="78"/>
        <v>-14.884999999999998</v>
      </c>
      <c r="AF117" s="145">
        <f t="shared" si="79"/>
        <v>85.86409749097507</v>
      </c>
      <c r="AG117" s="772">
        <f t="shared" si="72"/>
        <v>521.98626179412486</v>
      </c>
      <c r="AH117" s="1253">
        <f t="shared" si="80"/>
        <v>73.879000000000005</v>
      </c>
      <c r="AI117" s="1253">
        <f t="shared" si="81"/>
        <v>75.034000000000006</v>
      </c>
      <c r="AJ117" s="156">
        <f t="shared" si="82"/>
        <v>207.92919634785002</v>
      </c>
      <c r="AK117" s="156">
        <f t="shared" si="83"/>
        <v>66.055041180826791</v>
      </c>
      <c r="AM117" s="716">
        <f t="shared" si="84"/>
        <v>9232.0877268634122</v>
      </c>
      <c r="AN117" s="716" t="str">
        <f>_xlfn.XLOOKUP(D117,RUC!$B$3:$B$578,RUC!$M$3:$M$578)</f>
        <v xml:space="preserve">Dante </v>
      </c>
      <c r="AO117" s="1167" t="s">
        <v>2280</v>
      </c>
      <c r="AP117" t="s">
        <v>5332</v>
      </c>
      <c r="AQ117" t="s">
        <v>2376</v>
      </c>
    </row>
  </sheetData>
  <autoFilter ref="A3:AO117" xr:uid="{00000000-0009-0000-0000-00000C000000}"/>
  <mergeCells count="2">
    <mergeCell ref="AV5:BD5"/>
    <mergeCell ref="AV26:BA26"/>
  </mergeCells>
  <pageMargins left="0.7" right="0.7" top="0.75" bottom="0.75" header="0" footer="0"/>
  <pageSetup paperSize="9" scale="10" fitToHeight="0" orientation="portrait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4C117-0D34-41FC-A08F-446863524F29}">
  <sheetPr>
    <tabColor rgb="FF00B050"/>
    <pageSetUpPr fitToPage="1"/>
  </sheetPr>
  <dimension ref="A1:BD124"/>
  <sheetViews>
    <sheetView showGridLines="0" zoomScale="80" zoomScaleNormal="85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Z22" sqref="Z22"/>
    </sheetView>
  </sheetViews>
  <sheetFormatPr baseColWidth="10" defaultColWidth="14.44140625" defaultRowHeight="15" customHeight="1"/>
  <cols>
    <col min="1" max="1" width="14.5546875" customWidth="1"/>
    <col min="2" max="2" width="12.33203125" style="1447" customWidth="1"/>
    <col min="3" max="3" width="11.6640625" style="762" customWidth="1"/>
    <col min="4" max="4" width="42.5546875" customWidth="1"/>
    <col min="5" max="5" width="15.88671875" style="762" customWidth="1"/>
    <col min="6" max="6" width="15.33203125" customWidth="1"/>
    <col min="7" max="7" width="12.109375" customWidth="1"/>
    <col min="8" max="8" width="11.44140625" style="762" customWidth="1"/>
    <col min="9" max="10" width="10.332031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7.66406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0.88671875" style="1082" customWidth="1"/>
    <col min="43" max="43" width="12.6640625" style="1082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4962.9950000000008</v>
      </c>
      <c r="F1" s="1075" t="s">
        <v>1906</v>
      </c>
      <c r="G1" s="1076">
        <f>+$AM3</f>
        <v>524610.49611033977</v>
      </c>
      <c r="H1" s="1448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D2" s="1075" t="s">
        <v>1907</v>
      </c>
      <c r="E2" s="1076">
        <f>+AH3</f>
        <v>4698.2279999999992</v>
      </c>
      <c r="F2" s="1079" t="s">
        <v>1908</v>
      </c>
      <c r="G2" s="1080">
        <f>+Q2</f>
        <v>94.810355697935492</v>
      </c>
      <c r="H2" s="90"/>
      <c r="I2" s="1251">
        <f>SUBTOTAL(9,I4:I243)</f>
        <v>601.02999999999975</v>
      </c>
      <c r="J2" s="81"/>
      <c r="K2" s="91">
        <f>SUBTOTAL(9,K4:K243)</f>
        <v>559.69400000000007</v>
      </c>
      <c r="L2" s="1202">
        <f>+SUMPRODUCT(L5:L243,K5:K243)/K2</f>
        <v>0.25863311916868859</v>
      </c>
      <c r="M2" s="6"/>
      <c r="O2" s="703"/>
      <c r="P2" s="94">
        <f>+SUMPRODUCT(P4:P243,AH4:AH243)/SUM(AH4:AH243)</f>
        <v>87.879566508905086</v>
      </c>
      <c r="Q2" s="1201">
        <f>+SUMPRODUCT(Q4:Q243,AH4:AH243)/SUM(AH4:AH243)</f>
        <v>94.810355697935492</v>
      </c>
      <c r="R2" s="1151">
        <f>+SUMPRODUCT(R4:R243,AH4:AH243)/SUM(AH4:AH243)</f>
        <v>4763.9232004598325</v>
      </c>
      <c r="S2" s="6"/>
      <c r="AB2" s="83"/>
      <c r="AC2" s="83"/>
      <c r="AD2" s="83"/>
      <c r="AE2" s="83"/>
      <c r="AF2" s="83"/>
      <c r="AG2" s="1209">
        <f>SUMPRODUCT($AG4:$AG243,$K4:$K243)/SUM($K4:$K243)</f>
        <v>197.28669826594407</v>
      </c>
      <c r="AH2" s="702"/>
      <c r="AI2" s="631"/>
      <c r="AJ2" s="252">
        <v>4900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1692" t="s">
        <v>39</v>
      </c>
      <c r="C3" s="679" t="s">
        <v>40</v>
      </c>
      <c r="D3" s="1077" t="s">
        <v>41</v>
      </c>
      <c r="E3" s="1078" t="s">
        <v>1025</v>
      </c>
      <c r="F3" s="1077" t="s">
        <v>43</v>
      </c>
      <c r="G3" s="1078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SUBTOTAL(9,AH4:AH243)</f>
        <v>4698.2279999999992</v>
      </c>
      <c r="AI3" s="1252">
        <f>SUBTOTAL(9,AI4:AI243)</f>
        <v>4962.9950000000008</v>
      </c>
      <c r="AJ3" s="1388">
        <f>SUMPRODUCT(K4:K243,AJ4:AJ243)/K2</f>
        <v>67.49963930160628</v>
      </c>
      <c r="AK3" s="118">
        <f>SUBTOTAL(9,AK4:AK243)</f>
        <v>4165.6199841380012</v>
      </c>
      <c r="AL3" s="88"/>
      <c r="AM3" s="118">
        <f>SUBTOTAL(9,AM4:AM243)</f>
        <v>524610.49611033977</v>
      </c>
      <c r="AN3" s="1182" t="s">
        <v>2247</v>
      </c>
      <c r="AO3" s="1806" t="s">
        <v>2283</v>
      </c>
      <c r="AP3" s="1844" t="s">
        <v>2351</v>
      </c>
      <c r="AQ3" s="1844" t="s">
        <v>2352</v>
      </c>
      <c r="AS3" s="1216"/>
    </row>
    <row r="4" spans="1:56" s="677" customFormat="1" ht="15.75" customHeight="1" thickBot="1">
      <c r="A4" s="720"/>
      <c r="B4" s="1693"/>
      <c r="C4" s="1694"/>
      <c r="D4" s="721"/>
      <c r="E4" s="1764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  <c r="AP4" s="1845"/>
      <c r="AQ4" s="1845"/>
    </row>
    <row r="5" spans="1:56" ht="15" customHeight="1" thickBot="1">
      <c r="A5" s="1491" t="s">
        <v>4308</v>
      </c>
      <c r="C5" s="1447">
        <v>46032</v>
      </c>
      <c r="D5" s="1633" t="s">
        <v>4315</v>
      </c>
      <c r="E5" s="762">
        <f>_xlfn.XLOOKUP(D5,RUC!$B$3:$B$123,RUC!$D$3:$D$123)</f>
        <v>20614031698</v>
      </c>
      <c r="G5" s="1082">
        <v>18</v>
      </c>
      <c r="H5" s="762" t="s">
        <v>69</v>
      </c>
      <c r="I5" s="703">
        <v>1.65</v>
      </c>
      <c r="J5" s="596">
        <v>2.8</v>
      </c>
      <c r="K5" s="703">
        <f t="shared" ref="K5:K11" si="0">ROUND(+I5-(I5*(J5/100)),3)</f>
        <v>1.6040000000000001</v>
      </c>
      <c r="L5" s="1192">
        <v>0.10199999999999999</v>
      </c>
      <c r="M5" s="994">
        <f t="shared" ref="M5:M11" si="1">ROUND(+IF(AN5="Melchor Vera",IF(L5&gt;0.467,L5*0.985,(L5-0.007)),IF(L5&gt;0.3,L5*0.94,(L5-0.019))),3)</f>
        <v>8.3000000000000004E-2</v>
      </c>
      <c r="N5" s="1196">
        <f t="shared" ref="N5:N10" si="2">+M5</f>
        <v>8.3000000000000004E-2</v>
      </c>
      <c r="O5" s="645">
        <f t="shared" ref="O5:O11" si="3">+ROUND((M5+N5)/2,3)</f>
        <v>8.3000000000000004E-2</v>
      </c>
      <c r="P5" s="727">
        <v>90</v>
      </c>
      <c r="Q5" s="1476">
        <v>90.2</v>
      </c>
      <c r="R5" s="706">
        <v>4493.8500000000004</v>
      </c>
      <c r="S5" s="765">
        <f>IF((_xlfn.XLOOKUP(D5,RUC!$B$3:$B$119,RUC!$E$3:$E$119)+ROUNDDOWN(O5,1)*100)&lt;95,95,((_xlfn.XLOOKUP(D5,RUC!$B$3:$B$119,RUC!$E$3:$E$119)+ROUNDDOWN(O5,1)*100)))</f>
        <v>95</v>
      </c>
      <c r="U5" s="1146">
        <f>_xlfn.XLOOKUP(D5,RUC!$B$3:$B$123,RUC!$F$3:$F$123)</f>
        <v>110</v>
      </c>
      <c r="V5" s="715">
        <v>1.1023000000000001</v>
      </c>
      <c r="Y5">
        <f>_xlfn.XLOOKUP(D5,RUC!$B$3:$B$123,RUC!$G$3:$G$123)</f>
        <v>0</v>
      </c>
      <c r="Z5" s="143">
        <f>_xlfn.XLOOKUP(D5,RUC!$B$3:$B$123,RUC!$H$3:$H$123)</f>
        <v>35</v>
      </c>
      <c r="AA5" s="144">
        <f t="shared" ref="AA5:AA11" si="4">+Y5+Z5</f>
        <v>35</v>
      </c>
      <c r="AB5" s="145">
        <f>+((O5*P5*(R5-U5)/100)-S5-AA5+T5)*V5</f>
        <v>217.67514376850005</v>
      </c>
      <c r="AC5" s="145">
        <f>+(S5-T5)*V5-'data 1'!$F$4</f>
        <v>24.718500000000006</v>
      </c>
      <c r="AD5" s="145">
        <f t="shared" ref="AD5:AD11" si="5">+(Q5-P5)*(R5-U5)*L5*V5/100</f>
        <v>0.98579284242001408</v>
      </c>
      <c r="AE5" s="145">
        <f t="shared" ref="AE5:AE11" si="6">+(Y5*V5-70)+V5*(Z5-IF(D5="UNTUCA",IF(+((W5-3)*2.5+(X5-3)*3.1)&gt;0,+((W5-3)*1.5+(X5-3)*3.1),0),IF(+((W5-3)*1.5+(X5-3)*3.1)&gt;0,+((W5-3)*1.5+(X5-3)*3.1),0)))</f>
        <v>-31.419499999999999</v>
      </c>
      <c r="AF5" s="145">
        <f t="shared" ref="AF5:AF11" si="7">(L5-O5)*(R5-U5)*Q5*V5/100</f>
        <v>82.81626339898996</v>
      </c>
      <c r="AG5" s="772">
        <f t="shared" ref="AG5" si="8">AC5+AD5+AE5+AF5+70</f>
        <v>147.10105624140999</v>
      </c>
      <c r="AH5" s="1253">
        <f t="shared" ref="AH5:AH11" si="9">ROUND((31.1035*L5*Q5*1.1023*K5/100),3)</f>
        <v>5.0599999999999996</v>
      </c>
      <c r="AI5" s="1253">
        <f t="shared" ref="AI5:AI11" si="10">ROUND((31.1035*L5*1.1023*K5),3)</f>
        <v>5.609</v>
      </c>
      <c r="AJ5" s="156">
        <f t="shared" ref="AJ5:AJ11" si="11">+((+$AJ$2-R5+U5)*L5*Q5*V5)/100</f>
        <v>52.345873148579969</v>
      </c>
      <c r="AK5" s="156">
        <f t="shared" ref="AK5:AK11" si="12">31.1035*1.1023*K5*P5*O5/100</f>
        <v>4.1080340536853406</v>
      </c>
      <c r="AM5" s="716">
        <f t="shared" ref="AM5:AM11" si="13">+IF(AB5*K5&gt;0,AB5*K5,0)</f>
        <v>349.1509306046741</v>
      </c>
      <c r="AN5" s="716" t="str">
        <f>_xlfn.XLOOKUP(D5,RUC!$B$3:$B$578,RUC!$M$3:$M$578)</f>
        <v>Robinson Tuya</v>
      </c>
      <c r="AO5" s="1167" t="s">
        <v>2277</v>
      </c>
      <c r="AP5" s="1082" t="s">
        <v>4327</v>
      </c>
      <c r="AQ5" s="1082" t="s">
        <v>4328</v>
      </c>
      <c r="AV5" s="1982" t="s">
        <v>5371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1491" t="s">
        <v>4354</v>
      </c>
      <c r="B6" s="1542">
        <v>46051</v>
      </c>
      <c r="C6" s="1447">
        <v>46034</v>
      </c>
      <c r="D6" t="s">
        <v>1967</v>
      </c>
      <c r="E6" s="762">
        <f>_xlfn.XLOOKUP(D6,RUC!$B$3:$B$123,RUC!$D$3:$D$123)</f>
        <v>20601769396</v>
      </c>
      <c r="G6" s="1082">
        <v>38</v>
      </c>
      <c r="H6" s="1635" t="s">
        <v>2005</v>
      </c>
      <c r="I6" s="703">
        <v>2.75</v>
      </c>
      <c r="J6" s="596">
        <v>8.1</v>
      </c>
      <c r="K6" s="703">
        <f t="shared" si="0"/>
        <v>2.5270000000000001</v>
      </c>
      <c r="L6" s="1192">
        <v>0.10199999999999999</v>
      </c>
      <c r="M6" s="994">
        <f t="shared" si="1"/>
        <v>8.3000000000000004E-2</v>
      </c>
      <c r="N6" s="1196">
        <f t="shared" si="2"/>
        <v>8.3000000000000004E-2</v>
      </c>
      <c r="O6" s="645">
        <f t="shared" si="3"/>
        <v>8.3000000000000004E-2</v>
      </c>
      <c r="P6" s="727">
        <v>80</v>
      </c>
      <c r="Q6" s="1583">
        <v>99.02</v>
      </c>
      <c r="R6" s="706">
        <v>4612.95</v>
      </c>
      <c r="S6" s="765">
        <f>IF((_xlfn.XLOOKUP(D6,RUC!$B$3:$B$119,RUC!$E$3:$E$119)+ROUNDDOWN(O6,1)*100)&lt;95,95,((_xlfn.XLOOKUP(D6,RUC!$B$3:$B$119,RUC!$E$3:$E$119)+ROUNDDOWN(O6,1)*100)))</f>
        <v>95</v>
      </c>
      <c r="U6" s="1146">
        <f>_xlfn.XLOOKUP(D6,RUC!$B$3:$B$123,RUC!$F$3:$F$123)</f>
        <v>120</v>
      </c>
      <c r="V6" s="715">
        <v>1.1023000000000001</v>
      </c>
      <c r="Y6">
        <f>_xlfn.XLOOKUP(D6,RUC!$B$3:$B$123,RUC!$G$3:$G$123)</f>
        <v>20</v>
      </c>
      <c r="Z6" s="143">
        <f>_xlfn.XLOOKUP(D6,RUC!$B$3:$B$123,RUC!$H$3:$H$123)</f>
        <v>30</v>
      </c>
      <c r="AA6" s="144">
        <f t="shared" si="4"/>
        <v>50</v>
      </c>
      <c r="AB6" s="145">
        <v>1E-3</v>
      </c>
      <c r="AC6" s="145">
        <f>+(S6-T6)*V6-'data 1'!$F$4</f>
        <v>24.718500000000006</v>
      </c>
      <c r="AD6" s="145">
        <f t="shared" si="5"/>
        <v>96.082009460513987</v>
      </c>
      <c r="AE6" s="145">
        <f t="shared" si="6"/>
        <v>-14.884999999999998</v>
      </c>
      <c r="AF6" s="145">
        <f t="shared" si="7"/>
        <v>93.176826745232944</v>
      </c>
      <c r="AG6" s="772">
        <f>AC6+AD6+AE6+AF6+70-53+169.02</f>
        <v>385.11233620574694</v>
      </c>
      <c r="AH6" s="1253">
        <f t="shared" si="9"/>
        <v>8.7509999999999994</v>
      </c>
      <c r="AI6" s="1253">
        <f t="shared" si="10"/>
        <v>8.8369999999999997</v>
      </c>
      <c r="AJ6" s="156">
        <f t="shared" si="11"/>
        <v>45.31799219148602</v>
      </c>
      <c r="AK6" s="156">
        <f t="shared" si="12"/>
        <v>5.7528412599960408</v>
      </c>
      <c r="AM6" s="716">
        <f t="shared" si="13"/>
        <v>2.5270000000000002E-3</v>
      </c>
      <c r="AN6" s="716" t="str">
        <f>_xlfn.XLOOKUP(D6,RUC!$B$3:$B$578,RUC!$M$3:$M$578)</f>
        <v>Evelyn</v>
      </c>
      <c r="AO6" s="1167" t="s">
        <v>2277</v>
      </c>
      <c r="AP6" s="1082" t="s">
        <v>3661</v>
      </c>
      <c r="AQ6" s="1082" t="s">
        <v>4363</v>
      </c>
      <c r="AV6" s="1636"/>
      <c r="AW6" s="1636"/>
      <c r="AX6" s="1636"/>
      <c r="AY6" s="1636"/>
      <c r="AZ6" s="1636"/>
      <c r="BA6" s="1636"/>
      <c r="BB6" s="1636"/>
      <c r="BC6" s="1636"/>
      <c r="BD6" s="1636"/>
    </row>
    <row r="7" spans="1:56" ht="15" customHeight="1">
      <c r="A7" s="1491" t="s">
        <v>4526</v>
      </c>
      <c r="B7" s="1542">
        <v>46052</v>
      </c>
      <c r="C7" s="1447">
        <v>46048</v>
      </c>
      <c r="D7" t="s">
        <v>2004</v>
      </c>
      <c r="E7" s="762">
        <f>_xlfn.XLOOKUP(D7,RUC!$B$3:$B$123,RUC!$D$3:$D$123)</f>
        <v>20612921866</v>
      </c>
      <c r="G7" s="762">
        <v>10</v>
      </c>
      <c r="H7" s="762" t="s">
        <v>69</v>
      </c>
      <c r="I7" s="703">
        <v>1.08</v>
      </c>
      <c r="J7" s="596">
        <v>1.25</v>
      </c>
      <c r="K7" s="703">
        <f t="shared" si="0"/>
        <v>1.0669999999999999</v>
      </c>
      <c r="L7" s="1192">
        <v>4.2000000000000003E-2</v>
      </c>
      <c r="M7" s="994">
        <f t="shared" si="1"/>
        <v>2.3E-2</v>
      </c>
      <c r="N7" s="1196">
        <f t="shared" si="2"/>
        <v>2.3E-2</v>
      </c>
      <c r="O7" s="645">
        <f t="shared" si="3"/>
        <v>2.3E-2</v>
      </c>
      <c r="P7" s="727">
        <v>80</v>
      </c>
      <c r="Q7" s="1476">
        <v>92.86</v>
      </c>
      <c r="R7" s="706">
        <v>5090.8</v>
      </c>
      <c r="S7" s="765">
        <f>IF((_xlfn.XLOOKUP(D7,RUC!$B$3:$B$119,RUC!$E$3:$E$119)+ROUNDDOWN(O7,1)*100)&lt;95,95,((_xlfn.XLOOKUP(D7,RUC!$B$3:$B$119,RUC!$E$3:$E$119)+ROUNDDOWN(O7,1)*100)))</f>
        <v>95</v>
      </c>
      <c r="U7" s="1146">
        <f>_xlfn.XLOOKUP(D7,RUC!$B$3:$B$123,RUC!$F$3:$F$123)</f>
        <v>100</v>
      </c>
      <c r="V7" s="715">
        <v>1.1023000000000001</v>
      </c>
      <c r="Y7">
        <f>_xlfn.XLOOKUP(D7,RUC!$B$3:$B$123,RUC!$G$3:$G$123)</f>
        <v>0</v>
      </c>
      <c r="Z7" s="143">
        <f>_xlfn.XLOOKUP(D7,RUC!$B$3:$B$123,RUC!$H$3:$H$123)</f>
        <v>30</v>
      </c>
      <c r="AA7" s="144">
        <f t="shared" si="4"/>
        <v>30</v>
      </c>
      <c r="AB7" s="145">
        <v>1E-3</v>
      </c>
      <c r="AC7" s="145">
        <f>+(S7-T7)*V7-'data 1'!$F$4</f>
        <v>24.718500000000006</v>
      </c>
      <c r="AD7" s="145">
        <f t="shared" si="5"/>
        <v>29.713939366608003</v>
      </c>
      <c r="AE7" s="145">
        <f t="shared" si="6"/>
        <v>-36.930999999999997</v>
      </c>
      <c r="AF7" s="145">
        <f t="shared" si="7"/>
        <v>97.062674557656024</v>
      </c>
      <c r="AG7" s="772">
        <f>AC7+AD7+AE7+AF7+70-10-23.91</f>
        <v>150.65411392426404</v>
      </c>
      <c r="AH7" s="1253">
        <f t="shared" si="9"/>
        <v>1.427</v>
      </c>
      <c r="AI7" s="1253">
        <f t="shared" si="10"/>
        <v>1.536</v>
      </c>
      <c r="AJ7" s="156">
        <f t="shared" si="11"/>
        <v>-3.9035848666080084</v>
      </c>
      <c r="AK7" s="156">
        <f t="shared" si="12"/>
        <v>0.67311816650804002</v>
      </c>
      <c r="AM7" s="716">
        <f t="shared" si="13"/>
        <v>1.067E-3</v>
      </c>
      <c r="AN7" s="716" t="str">
        <f>_xlfn.XLOOKUP(D7,RUC!$B$3:$B$578,RUC!$M$3:$M$578)</f>
        <v>Ronald Garibay</v>
      </c>
      <c r="AO7" s="1167" t="s">
        <v>2279</v>
      </c>
      <c r="AP7" s="1082" t="s">
        <v>4560</v>
      </c>
      <c r="AQ7" s="1082" t="s">
        <v>4561</v>
      </c>
      <c r="AW7" s="1469">
        <f>SUM(AW9:AW18)</f>
        <v>559.69399999999996</v>
      </c>
      <c r="AX7" s="1470">
        <f>SUMPRODUCT(AW9:AW18,AX9:AX18)/SUM(AW9:AW18)</f>
        <v>0.25863311916868859</v>
      </c>
      <c r="AY7" s="704"/>
      <c r="AZ7" s="1471">
        <f ca="1">SUMPRODUCT(AZ9:AZ18,$BB9:$BB18)/SUM($BB9:$BB18)/100</f>
        <v>0.94810355697935478</v>
      </c>
      <c r="BA7" s="707">
        <f>SUM(BA9:BA18)</f>
        <v>4962.9952327599103</v>
      </c>
      <c r="BB7" s="707">
        <f ca="1">SUM(BB9:BB18)</f>
        <v>4698.2280000000001</v>
      </c>
    </row>
    <row r="8" spans="1:56" ht="15" customHeight="1" thickBot="1">
      <c r="A8" s="1491" t="s">
        <v>4545</v>
      </c>
      <c r="C8" s="1447">
        <v>46049</v>
      </c>
      <c r="D8" t="s">
        <v>1967</v>
      </c>
      <c r="E8" s="762">
        <f>_xlfn.XLOOKUP(D8,RUC!$B$3:$B$123,RUC!$D$3:$D$123)</f>
        <v>20601769396</v>
      </c>
      <c r="G8" s="762">
        <v>24</v>
      </c>
      <c r="H8" s="762" t="s">
        <v>108</v>
      </c>
      <c r="I8" s="703">
        <v>1.84</v>
      </c>
      <c r="J8" s="596">
        <v>8.3000000000000007</v>
      </c>
      <c r="K8" s="703">
        <f t="shared" si="0"/>
        <v>1.6870000000000001</v>
      </c>
      <c r="L8" s="1192">
        <v>7.0000000000000007E-2</v>
      </c>
      <c r="M8" s="994">
        <f t="shared" si="1"/>
        <v>5.0999999999999997E-2</v>
      </c>
      <c r="N8" s="1196">
        <f t="shared" si="2"/>
        <v>5.0999999999999997E-2</v>
      </c>
      <c r="O8" s="645">
        <f t="shared" si="3"/>
        <v>5.0999999999999997E-2</v>
      </c>
      <c r="P8" s="727">
        <v>63</v>
      </c>
      <c r="Q8" s="1476">
        <v>63.77</v>
      </c>
      <c r="R8" s="706">
        <v>5064.25</v>
      </c>
      <c r="S8" s="765">
        <f>IF((_xlfn.XLOOKUP(D8,RUC!$B$3:$B$119,RUC!$E$3:$E$119)+ROUNDDOWN(O8,1)*100)&lt;95,95,((_xlfn.XLOOKUP(D8,RUC!$B$3:$B$119,RUC!$E$3:$E$119)+ROUNDDOWN(O8,1)*100)))</f>
        <v>95</v>
      </c>
      <c r="U8" s="1146">
        <f>_xlfn.XLOOKUP(D8,RUC!$B$3:$B$123,RUC!$F$3:$F$123)</f>
        <v>120</v>
      </c>
      <c r="V8" s="715">
        <v>1.1023000000000001</v>
      </c>
      <c r="Y8" s="1445">
        <v>30</v>
      </c>
      <c r="Z8" s="1454">
        <v>40</v>
      </c>
      <c r="AA8" s="144">
        <f t="shared" si="4"/>
        <v>70</v>
      </c>
      <c r="AB8" s="145">
        <v>0</v>
      </c>
      <c r="AC8" s="145">
        <f>+(S8-T8)*V8-'data 1'!$F$4</f>
        <v>24.718500000000006</v>
      </c>
      <c r="AD8" s="145">
        <f t="shared" si="5"/>
        <v>2.9375752117250125</v>
      </c>
      <c r="AE8" s="145">
        <f t="shared" si="6"/>
        <v>7.1610000000000014</v>
      </c>
      <c r="AF8" s="145">
        <f t="shared" si="7"/>
        <v>66.034401739932548</v>
      </c>
      <c r="AG8" s="772">
        <f>AC8+AD8+AE8+AF8+70-53+63.37</f>
        <v>181.22147695165756</v>
      </c>
      <c r="AH8" s="1253">
        <f t="shared" si="9"/>
        <v>2.5819999999999999</v>
      </c>
      <c r="AI8" s="1253">
        <f t="shared" si="10"/>
        <v>4.0490000000000004</v>
      </c>
      <c r="AJ8" s="156">
        <f t="shared" si="11"/>
        <v>-2.1773464592250003</v>
      </c>
      <c r="AK8" s="156">
        <f t="shared" si="12"/>
        <v>1.8583815169444455</v>
      </c>
      <c r="AM8" s="716">
        <f t="shared" si="13"/>
        <v>0</v>
      </c>
      <c r="AN8" s="716" t="str">
        <f>_xlfn.XLOOKUP(D8,RUC!$B$3:$B$578,RUC!$M$3:$M$578)</f>
        <v>Evelyn</v>
      </c>
      <c r="AO8" s="1167" t="s">
        <v>2280</v>
      </c>
      <c r="AP8" s="1082" t="s">
        <v>4567</v>
      </c>
      <c r="AQ8" s="1082" t="s">
        <v>3479</v>
      </c>
      <c r="AV8" s="762"/>
      <c r="AW8" s="762" t="s">
        <v>15</v>
      </c>
      <c r="AX8" s="762" t="s">
        <v>2522</v>
      </c>
      <c r="AY8" s="1214" t="s">
        <v>2522</v>
      </c>
      <c r="AZ8" s="762" t="s">
        <v>2523</v>
      </c>
      <c r="BA8" s="762" t="s">
        <v>2558</v>
      </c>
      <c r="BB8" s="762" t="s">
        <v>2559</v>
      </c>
      <c r="BC8" s="1555" t="s">
        <v>2565</v>
      </c>
      <c r="BD8" s="729" t="s">
        <v>2579</v>
      </c>
    </row>
    <row r="9" spans="1:56" ht="15" customHeight="1">
      <c r="A9" s="1491" t="s">
        <v>4553</v>
      </c>
      <c r="C9" s="1447">
        <v>46049</v>
      </c>
      <c r="D9" t="s">
        <v>1967</v>
      </c>
      <c r="E9" s="762">
        <f>_xlfn.XLOOKUP(D9,RUC!$B$3:$B$123,RUC!$D$3:$D$123)</f>
        <v>20601769396</v>
      </c>
      <c r="G9" s="762">
        <v>32</v>
      </c>
      <c r="H9" s="762" t="s">
        <v>2005</v>
      </c>
      <c r="I9" s="703">
        <v>3.2</v>
      </c>
      <c r="J9" s="596">
        <v>8.9</v>
      </c>
      <c r="K9" s="703">
        <f t="shared" si="0"/>
        <v>2.915</v>
      </c>
      <c r="L9" s="1192">
        <v>6.4000000000000001E-2</v>
      </c>
      <c r="M9" s="994">
        <f t="shared" si="1"/>
        <v>4.4999999999999998E-2</v>
      </c>
      <c r="N9" s="1196">
        <f t="shared" si="2"/>
        <v>4.4999999999999998E-2</v>
      </c>
      <c r="O9" s="645">
        <f t="shared" si="3"/>
        <v>4.4999999999999998E-2</v>
      </c>
      <c r="P9" s="727">
        <v>80</v>
      </c>
      <c r="Q9" s="1476">
        <v>80</v>
      </c>
      <c r="R9" s="706">
        <v>5064.25</v>
      </c>
      <c r="S9" s="765">
        <f>IF((_xlfn.XLOOKUP(D9,RUC!$B$3:$B$119,RUC!$E$3:$E$119)+ROUNDDOWN(O9,1)*100)&lt;95,95,((_xlfn.XLOOKUP(D9,RUC!$B$3:$B$119,RUC!$E$3:$E$119)+ROUNDDOWN(O9,1)*100)))</f>
        <v>95</v>
      </c>
      <c r="U9" s="1146">
        <f>_xlfn.XLOOKUP(D9,RUC!$B$3:$B$123,RUC!$F$3:$F$123)</f>
        <v>120</v>
      </c>
      <c r="V9" s="715">
        <v>1.1023000000000001</v>
      </c>
      <c r="Y9">
        <f>_xlfn.XLOOKUP(D9,RUC!$B$3:$B$123,RUC!$G$3:$G$123)</f>
        <v>20</v>
      </c>
      <c r="Z9" s="143">
        <f>_xlfn.XLOOKUP(D9,RUC!$B$3:$B$123,RUC!$H$3:$H$123)</f>
        <v>30</v>
      </c>
      <c r="AA9" s="144">
        <f t="shared" si="4"/>
        <v>50</v>
      </c>
      <c r="AB9" s="145">
        <v>0</v>
      </c>
      <c r="AC9" s="145">
        <f>+(S9-T9)*V9-'data 1'!$F$4</f>
        <v>24.718500000000006</v>
      </c>
      <c r="AD9" s="145">
        <f t="shared" si="5"/>
        <v>0</v>
      </c>
      <c r="AE9" s="145">
        <f t="shared" si="6"/>
        <v>-14.884999999999998</v>
      </c>
      <c r="AF9" s="145">
        <f t="shared" si="7"/>
        <v>82.840710979999997</v>
      </c>
      <c r="AG9" s="772">
        <f>AC9+AD9+AE9+AF9+70-53+36.37</f>
        <v>146.04421098</v>
      </c>
      <c r="AH9" s="1253">
        <f t="shared" si="9"/>
        <v>5.117</v>
      </c>
      <c r="AI9" s="1253">
        <f t="shared" si="10"/>
        <v>6.3959999999999999</v>
      </c>
      <c r="AJ9" s="156">
        <f t="shared" si="11"/>
        <v>-2.4973708800000001</v>
      </c>
      <c r="AK9" s="156">
        <f t="shared" si="12"/>
        <v>3.5979086219670005</v>
      </c>
      <c r="AM9" s="716">
        <f t="shared" si="13"/>
        <v>0</v>
      </c>
      <c r="AN9" s="716" t="str">
        <f>_xlfn.XLOOKUP(D9,RUC!$B$3:$B$578,RUC!$M$3:$M$578)</f>
        <v>Evelyn</v>
      </c>
      <c r="AO9" s="1167" t="s">
        <v>2277</v>
      </c>
      <c r="AP9" s="1082" t="s">
        <v>3737</v>
      </c>
      <c r="AQ9" s="1082" t="s">
        <v>4568</v>
      </c>
      <c r="AV9" s="1556" t="s">
        <v>2277</v>
      </c>
      <c r="AW9" s="1227">
        <f t="shared" ref="AW9:AW18" si="14">SUMIF($AO$4:$AO$351,AV9,$K$4:$K$351)</f>
        <v>155.75400000000005</v>
      </c>
      <c r="AX9" s="1227" cm="1">
        <f t="array" ref="AX9">+SUMPRODUCT(IF($AO$4:$AO$351=AV9,$L$4:$L$351*$K$4:$K$351/AW9))</f>
        <v>0.23661181735300524</v>
      </c>
      <c r="AY9" s="1228">
        <f t="shared" ref="AY9:AY18" si="15">31.1035*1.1023*AX9*(100-AZ9)/100</f>
        <v>0.34337919653831256</v>
      </c>
      <c r="AZ9" s="1229" cm="1">
        <f t="array" ref="AZ9">+SUMPRODUCT(IF($AO$4:$AO$351=AV9,($Q$4:$Q$351*$AH$4:$AH$351)/SUMIF($AO$4:$AO$351,$AV9,$AH$4:$AH$351)))</f>
        <v>95.767192874972594</v>
      </c>
      <c r="BA9" s="1441">
        <f t="shared" ref="BA9:BA18" si="16">+AX9*31.1035*1.1023*AW9</f>
        <v>1263.5275314436174</v>
      </c>
      <c r="BB9" s="1230">
        <f t="shared" ref="BB9:BB17" ca="1" si="17">SUMIF($AO$4:$AO$341,$AV9,$AH$4:$AH$6)</f>
        <v>1207.8549999999998</v>
      </c>
      <c r="BC9" s="1229">
        <f ca="1">+BA9-BB9</f>
        <v>55.672531443617572</v>
      </c>
      <c r="BD9" s="1231">
        <f>+AW9</f>
        <v>155.75400000000005</v>
      </c>
    </row>
    <row r="10" spans="1:56" ht="15" customHeight="1">
      <c r="A10" s="1491" t="s">
        <v>4657</v>
      </c>
      <c r="C10" s="1447">
        <v>46058</v>
      </c>
      <c r="D10" t="s">
        <v>4499</v>
      </c>
      <c r="E10" s="762">
        <f>_xlfn.XLOOKUP(D10,RUC!$B$3:$B$123,RUC!$D$3:$D$123)</f>
        <v>20606480840</v>
      </c>
      <c r="G10" s="762">
        <v>158</v>
      </c>
      <c r="H10" s="762" t="s">
        <v>69</v>
      </c>
      <c r="I10" s="703">
        <v>14.21</v>
      </c>
      <c r="J10" s="596">
        <v>2.0499999999999998</v>
      </c>
      <c r="K10" s="703">
        <f t="shared" si="0"/>
        <v>13.919</v>
      </c>
      <c r="L10" s="1192">
        <v>7.1999999999999995E-2</v>
      </c>
      <c r="M10" s="994">
        <f t="shared" si="1"/>
        <v>5.2999999999999999E-2</v>
      </c>
      <c r="N10" s="1196">
        <f t="shared" si="2"/>
        <v>5.2999999999999999E-2</v>
      </c>
      <c r="O10" s="645">
        <f t="shared" si="3"/>
        <v>5.2999999999999999E-2</v>
      </c>
      <c r="P10" s="727">
        <v>90</v>
      </c>
      <c r="Q10" s="1476">
        <v>94.44</v>
      </c>
      <c r="R10" s="706">
        <v>4847.25</v>
      </c>
      <c r="S10" s="765">
        <f>IF((_xlfn.XLOOKUP(D10,RUC!$B$3:$B$119,RUC!$E$3:$E$119)+ROUNDDOWN(O10,1)*100)&lt;95,95,((_xlfn.XLOOKUP(D10,RUC!$B$3:$B$119,RUC!$E$3:$E$119)+ROUNDDOWN(O10,1)*100)))</f>
        <v>95</v>
      </c>
      <c r="U10" s="1146">
        <f>_xlfn.XLOOKUP(D10,RUC!$B$3:$B$123,RUC!$F$3:$F$123)</f>
        <v>110</v>
      </c>
      <c r="V10" s="715">
        <v>1.1023000000000001</v>
      </c>
      <c r="Y10">
        <f>_xlfn.XLOOKUP(D10,RUC!$B$3:$B$123,RUC!$G$3:$G$123)</f>
        <v>0</v>
      </c>
      <c r="Z10" s="143">
        <f>_xlfn.XLOOKUP(D10,RUC!$B$3:$B$123,RUC!$H$3:$H$123)</f>
        <v>35</v>
      </c>
      <c r="AA10" s="144">
        <f t="shared" si="4"/>
        <v>35</v>
      </c>
      <c r="AB10" s="145">
        <f>+((O10*P10*(R10-U10)/100)-S10-AA10+T10)*V10</f>
        <v>105.78423119750001</v>
      </c>
      <c r="AC10" s="145">
        <f>+(S10-T10)*V10-'data 1'!$F$4</f>
        <v>24.718500000000006</v>
      </c>
      <c r="AD10" s="145">
        <f t="shared" si="5"/>
        <v>16.69327617383999</v>
      </c>
      <c r="AE10" s="145">
        <f t="shared" si="6"/>
        <v>-31.419499999999999</v>
      </c>
      <c r="AF10" s="145">
        <f t="shared" si="7"/>
        <v>93.699158643929991</v>
      </c>
      <c r="AG10" s="772">
        <f t="shared" ref="AG10" si="18">AC10+AD10+AE10+AF10+70-10</f>
        <v>163.69143481776999</v>
      </c>
      <c r="AH10" s="1253">
        <f t="shared" si="9"/>
        <v>32.448999999999998</v>
      </c>
      <c r="AI10" s="1253">
        <f t="shared" si="10"/>
        <v>34.36</v>
      </c>
      <c r="AJ10" s="156">
        <f t="shared" si="11"/>
        <v>12.19858002216</v>
      </c>
      <c r="AK10" s="156">
        <f t="shared" si="12"/>
        <v>22.763313685981217</v>
      </c>
      <c r="AM10" s="716">
        <f t="shared" si="13"/>
        <v>1472.4107140380027</v>
      </c>
      <c r="AN10" s="716" t="str">
        <f>_xlfn.XLOOKUP(D10,RUC!$B$3:$B$578,RUC!$M$3:$M$578)</f>
        <v>Robinson Tuya</v>
      </c>
      <c r="AO10" s="1167" t="s">
        <v>2278</v>
      </c>
      <c r="AP10" s="1082" t="s">
        <v>4687</v>
      </c>
      <c r="AQ10" s="1082" t="s">
        <v>4688</v>
      </c>
      <c r="AV10" s="1557" t="s">
        <v>2278</v>
      </c>
      <c r="AW10" s="703">
        <f t="shared" si="14"/>
        <v>160.09700000000001</v>
      </c>
      <c r="AX10" s="703" cm="1">
        <f t="array" ref="AX10">+SUMPRODUCT(IF($AO$4:$AO$351=AV10,$L$4:$L$351*$K$4:$K$351/AW10))</f>
        <v>0.2488548942203789</v>
      </c>
      <c r="AY10" s="1215">
        <f t="shared" si="15"/>
        <v>0.52599178212917652</v>
      </c>
      <c r="AZ10" s="596" cm="1">
        <f t="array" ref="AZ10">+SUMPRODUCT(IF($AO$4:$AO$351=AV10,($Q$4:$Q$351*$AH$4:$AH$351)/SUMIF($AO$4:$AO$351,$AV10,$AH$4:$AH$351)))</f>
        <v>93.835133118400947</v>
      </c>
      <c r="BA10" s="1481">
        <f t="shared" si="16"/>
        <v>1365.9614710397825</v>
      </c>
      <c r="BB10" s="1237">
        <f t="shared" ca="1" si="17"/>
        <v>1279.162</v>
      </c>
      <c r="BC10" s="596">
        <f t="shared" ref="BC10:BC18" ca="1" si="19">+BC9+BA10-BB10</f>
        <v>142.47200248340005</v>
      </c>
      <c r="BD10" s="1238">
        <f t="shared" ref="BD10:BD18" si="20">+BD9+AW10</f>
        <v>315.85100000000006</v>
      </c>
    </row>
    <row r="11" spans="1:56" ht="15" customHeight="1">
      <c r="A11" s="747" t="s">
        <v>4669</v>
      </c>
      <c r="B11" s="1447">
        <v>46066</v>
      </c>
      <c r="C11" s="1447">
        <v>46058</v>
      </c>
      <c r="D11" t="s">
        <v>1484</v>
      </c>
      <c r="E11" s="762">
        <f>_xlfn.XLOOKUP(D11,RUC!$B$3:$B$123,RUC!$D$3:$D$123)</f>
        <v>10761932735</v>
      </c>
      <c r="G11" s="762">
        <v>210</v>
      </c>
      <c r="H11" s="762" t="s">
        <v>69</v>
      </c>
      <c r="I11" s="703">
        <v>19.489999999999998</v>
      </c>
      <c r="J11" s="596">
        <v>5.9</v>
      </c>
      <c r="K11" s="703">
        <f t="shared" si="0"/>
        <v>18.34</v>
      </c>
      <c r="L11" s="1192">
        <v>0.10199999999999999</v>
      </c>
      <c r="M11" s="994">
        <f t="shared" si="1"/>
        <v>8.3000000000000004E-2</v>
      </c>
      <c r="N11" s="1444">
        <v>0.157</v>
      </c>
      <c r="O11" s="645">
        <f t="shared" si="3"/>
        <v>0.12</v>
      </c>
      <c r="P11" s="727">
        <v>80</v>
      </c>
      <c r="Q11" s="1476">
        <v>97.06</v>
      </c>
      <c r="R11" s="706">
        <v>4847.25</v>
      </c>
      <c r="S11" s="765">
        <f>IF((_xlfn.XLOOKUP(D11,RUC!$B$3:$B$119,RUC!$E$3:$E$119)+ROUNDDOWN(O11,1)*100)&lt;95,95,((_xlfn.XLOOKUP(D11,RUC!$B$3:$B$119,RUC!$E$3:$E$119)+ROUNDDOWN(O11,1)*100)))</f>
        <v>100</v>
      </c>
      <c r="U11" s="1146">
        <f>_xlfn.XLOOKUP(D11,RUC!$B$3:$B$123,RUC!$F$3:$F$123)</f>
        <v>120</v>
      </c>
      <c r="V11" s="715">
        <v>1.1023000000000001</v>
      </c>
      <c r="Y11" s="1445">
        <v>40</v>
      </c>
      <c r="Z11" s="143">
        <f>_xlfn.XLOOKUP(D11,RUC!$B$3:$B$123,RUC!$H$3:$H$123)</f>
        <v>30</v>
      </c>
      <c r="AA11" s="144">
        <f t="shared" si="4"/>
        <v>70</v>
      </c>
      <c r="AB11" s="145">
        <f t="shared" ref="AB11" si="21">+((O11*P11*(R11-U11)/100)-S11-AA11+T11)*V11</f>
        <v>312.85037679999999</v>
      </c>
      <c r="AC11" s="145">
        <f>+(S11-T11)*V11-'data 1'!$F$4</f>
        <v>30.230000000000004</v>
      </c>
      <c r="AD11" s="145">
        <f t="shared" si="5"/>
        <v>90.675002562210011</v>
      </c>
      <c r="AE11" s="145">
        <f t="shared" si="6"/>
        <v>7.1610000000000014</v>
      </c>
      <c r="AF11" s="145">
        <f t="shared" si="7"/>
        <v>-91.037677560390009</v>
      </c>
      <c r="AG11" s="772">
        <f t="shared" ref="AG11" si="22">AC11+AD11+AE11+AF11+70-53</f>
        <v>54.028325001820022</v>
      </c>
      <c r="AH11" s="1253">
        <f t="shared" si="9"/>
        <v>62.250999999999998</v>
      </c>
      <c r="AI11" s="1253">
        <f t="shared" si="10"/>
        <v>64.137</v>
      </c>
      <c r="AJ11" s="156">
        <f t="shared" si="11"/>
        <v>18.852038681790003</v>
      </c>
      <c r="AK11" s="156">
        <f t="shared" si="12"/>
        <v>60.364225616352002</v>
      </c>
      <c r="AM11" s="716">
        <f t="shared" si="13"/>
        <v>5737.675910512</v>
      </c>
      <c r="AN11" s="716" t="str">
        <f>_xlfn.XLOOKUP(D11,RUC!$B$3:$B$578,RUC!$M$3:$M$578)</f>
        <v>Richard Sapacayo</v>
      </c>
      <c r="AO11" s="1167" t="s">
        <v>2277</v>
      </c>
      <c r="AP11" s="1082" t="s">
        <v>3326</v>
      </c>
      <c r="AQ11" s="1082" t="s">
        <v>4694</v>
      </c>
      <c r="AV11" s="1557" t="s">
        <v>2280</v>
      </c>
      <c r="AW11" s="703">
        <f t="shared" si="14"/>
        <v>167.00999999999991</v>
      </c>
      <c r="AX11" s="703" cm="1">
        <f t="array" ref="AX11">+SUMPRODUCT(IF($AO$4:$AO$351=AV11,$L$4:$L$351*$K$4:$K$351/AW11))</f>
        <v>0.29010110173043546</v>
      </c>
      <c r="AY11" s="1215">
        <f t="shared" si="15"/>
        <v>0.48978814897124978</v>
      </c>
      <c r="AZ11" s="596" cm="1">
        <f t="array" ref="AZ11">+SUMPRODUCT(IF($AO$4:$AO$351=AV11,($Q$4:$Q$351*$AH$4:$AH$351)/SUMIF($AO$4:$AO$351,$AV11,$AH$4:$AH$351)))</f>
        <v>95.075639656726551</v>
      </c>
      <c r="BA11" s="1237">
        <f t="shared" si="16"/>
        <v>1661.1196796640693</v>
      </c>
      <c r="BB11" s="1237">
        <f t="shared" ca="1" si="17"/>
        <v>1577.5180000000003</v>
      </c>
      <c r="BC11" s="596">
        <f t="shared" ca="1" si="19"/>
        <v>226.07368214746907</v>
      </c>
      <c r="BD11" s="1238">
        <f t="shared" si="20"/>
        <v>482.86099999999999</v>
      </c>
    </row>
    <row r="12" spans="1:56" ht="15" customHeight="1">
      <c r="A12" s="877" t="s">
        <v>4683</v>
      </c>
      <c r="B12" s="1447">
        <v>46068</v>
      </c>
      <c r="C12" s="1447">
        <v>46060</v>
      </c>
      <c r="D12" t="s">
        <v>3316</v>
      </c>
      <c r="E12" s="762">
        <f>_xlfn.XLOOKUP(D12,RUC!$B$3:$B$123,RUC!$D$3:$D$123)</f>
        <v>20613935151</v>
      </c>
      <c r="G12" s="762">
        <v>108</v>
      </c>
      <c r="H12" s="762" t="s">
        <v>69</v>
      </c>
      <c r="I12" s="703"/>
      <c r="J12" s="596"/>
      <c r="K12" s="703"/>
      <c r="L12" s="1192"/>
      <c r="M12" s="994"/>
      <c r="N12" s="1196"/>
      <c r="O12" s="645"/>
      <c r="P12" s="727"/>
      <c r="Q12" s="1476"/>
      <c r="R12" s="706"/>
      <c r="S12" s="765"/>
      <c r="U12" s="1146"/>
      <c r="V12" s="715"/>
      <c r="Z12" s="143"/>
      <c r="AA12" s="144"/>
      <c r="AB12" s="145"/>
      <c r="AC12" s="145"/>
      <c r="AD12" s="145"/>
      <c r="AE12" s="145"/>
      <c r="AF12" s="145"/>
      <c r="AG12" s="772"/>
      <c r="AH12" s="1253"/>
      <c r="AI12" s="1253"/>
      <c r="AJ12" s="156"/>
      <c r="AK12" s="156"/>
      <c r="AM12" s="716"/>
      <c r="AN12" s="716"/>
      <c r="AO12" s="1167" t="s">
        <v>2282</v>
      </c>
      <c r="AP12" s="1082" t="s">
        <v>3905</v>
      </c>
      <c r="AQ12" s="1082" t="s">
        <v>3521</v>
      </c>
      <c r="AV12" s="1557" t="s">
        <v>2279</v>
      </c>
      <c r="AW12" s="703">
        <f t="shared" si="14"/>
        <v>76.832999999999998</v>
      </c>
      <c r="AX12" s="703" cm="1">
        <f t="array" ref="AX12">+SUMPRODUCT(IF($AO$4:$AO$351=AV12,$L$4:$L$351*$K$4:$K$351/AW12))</f>
        <v>0.25524788827717254</v>
      </c>
      <c r="AY12" s="1215">
        <f t="shared" si="15"/>
        <v>0.49928301922161927</v>
      </c>
      <c r="AZ12" s="596" cm="1">
        <f t="array" ref="AZ12">+SUMPRODUCT(IF($AO$4:$AO$351=AV12,($Q$4:$Q$351*$AH$4:$AH$351)/SUMIF($AO$4:$AO$351,$AV12,$AH$4:$AH$351)))</f>
        <v>94.29473831965953</v>
      </c>
      <c r="BA12" s="1237">
        <f t="shared" si="16"/>
        <v>672.38655061244094</v>
      </c>
      <c r="BB12" s="1237">
        <f t="shared" ca="1" si="17"/>
        <v>633.69299999999998</v>
      </c>
      <c r="BC12" s="596">
        <f t="shared" ca="1" si="19"/>
        <v>264.76723275991003</v>
      </c>
      <c r="BD12" s="1238">
        <f t="shared" si="20"/>
        <v>559.69399999999996</v>
      </c>
    </row>
    <row r="13" spans="1:56" ht="15" customHeight="1">
      <c r="A13" s="747" t="s">
        <v>4715</v>
      </c>
      <c r="B13" s="1447">
        <v>46074</v>
      </c>
      <c r="C13" s="1447">
        <v>46061</v>
      </c>
      <c r="D13" t="s">
        <v>1484</v>
      </c>
      <c r="E13" s="762">
        <f>_xlfn.XLOOKUP(D13,RUC!$B$3:$B$123,RUC!$D$3:$D$123)</f>
        <v>10761932735</v>
      </c>
      <c r="G13" s="762" t="s">
        <v>2985</v>
      </c>
      <c r="H13" s="762" t="s">
        <v>69</v>
      </c>
      <c r="I13" s="703">
        <v>32.03</v>
      </c>
      <c r="J13" s="596">
        <v>11.13</v>
      </c>
      <c r="K13" s="703">
        <f t="shared" ref="K13:K69" si="23">ROUND(+I13-(I13*(J13/100)),3)</f>
        <v>28.465</v>
      </c>
      <c r="L13" s="1192">
        <v>0.10199999999999999</v>
      </c>
      <c r="M13" s="994">
        <f t="shared" ref="M13:M14" si="24">ROUND(+IF(AN13="Melchor Vera",IF(L13&gt;0.467,L13*0.985,(L13-0.007)),IF(L13&gt;0.3,L13*0.94,(L13-0.019))),3)</f>
        <v>8.3000000000000004E-2</v>
      </c>
      <c r="N13" s="1444">
        <v>0.155</v>
      </c>
      <c r="O13" s="645">
        <f t="shared" ref="O13:O69" si="25">+ROUND((M13+N13)/2,3)</f>
        <v>0.11899999999999999</v>
      </c>
      <c r="P13" s="727">
        <v>80</v>
      </c>
      <c r="Q13" s="1476">
        <v>98.53</v>
      </c>
      <c r="R13" s="706">
        <v>5039.55</v>
      </c>
      <c r="S13" s="765">
        <f>IF((_xlfn.XLOOKUP(D13,RUC!$B$3:$B$119,RUC!$E$3:$E$119)+ROUNDDOWN(O13,1)*100)&lt;95,95,((_xlfn.XLOOKUP(D13,RUC!$B$3:$B$119,RUC!$E$3:$E$119)+ROUNDDOWN(O13,1)*100)))</f>
        <v>100</v>
      </c>
      <c r="U13" s="1146">
        <f>_xlfn.XLOOKUP(D13,RUC!$B$3:$B$123,RUC!$F$3:$F$123)</f>
        <v>120</v>
      </c>
      <c r="V13" s="715">
        <v>1.1023000000000001</v>
      </c>
      <c r="Y13">
        <f>_xlfn.XLOOKUP(D13,RUC!$B$3:$B$123,RUC!$G$3:$G$123)</f>
        <v>20</v>
      </c>
      <c r="Z13" s="143">
        <f>_xlfn.XLOOKUP(D13,RUC!$B$3:$B$123,RUC!$H$3:$H$123)</f>
        <v>30</v>
      </c>
      <c r="AA13" s="144">
        <f t="shared" ref="AA13:AA55" si="26">+Y13+Z13</f>
        <v>50</v>
      </c>
      <c r="AB13" s="145">
        <f>+((O13*P13*(R13-U13)/100)-S13-AA13+T13)*V13</f>
        <v>350.907460668</v>
      </c>
      <c r="AC13" s="145">
        <f>+(S13-T13)*V13-'data 1'!$F$4</f>
        <v>30.230000000000004</v>
      </c>
      <c r="AD13" s="145">
        <f t="shared" ref="AD13" si="27">+(Q13-P13)*(R13-U13)*L13*V13/100</f>
        <v>102.49455103047902</v>
      </c>
      <c r="AE13" s="145">
        <f t="shared" ref="AE13" si="28">+(Y13*V13-70)+V13*(Z13-IF(D13="UNTUCA",IF(+((W13-3)*2.5+(X13-3)*3.1)&gt;0,+((W13-3)*1.5+(X13-3)*3.1),0),IF(+((W13-3)*1.5+(X13-3)*3.1)&gt;0,+((W13-3)*1.5+(X13-3)*3.1),0)))</f>
        <v>-14.884999999999998</v>
      </c>
      <c r="AF13" s="145">
        <f t="shared" ref="AF13" si="29">(L13-O13)*(R13-U13)*Q13*V13/100</f>
        <v>-90.832776695746503</v>
      </c>
      <c r="AG13" s="772">
        <f t="shared" ref="AG13:AG14" si="30">AC13+AD13+AE13+AF13+70-53</f>
        <v>44.006774334732512</v>
      </c>
      <c r="AH13" s="1253">
        <f t="shared" ref="AH13" si="31">ROUND((31.1035*L13*Q13*1.1023*K13/100),3)</f>
        <v>98.081999999999994</v>
      </c>
      <c r="AI13" s="1253">
        <f t="shared" ref="AI13" si="32">ROUND((31.1035*L13*1.1023*K13),3)</f>
        <v>99.545000000000002</v>
      </c>
      <c r="AJ13" s="156">
        <f t="shared" ref="AJ13" si="33">+((+$AJ$2-R13+U13)*L13*Q13*V13)/100</f>
        <v>-2.1657844124790198</v>
      </c>
      <c r="AK13" s="156">
        <f t="shared" ref="AK13" si="34">31.1035*1.1023*K13*P13*O13/100</f>
        <v>92.908875944277412</v>
      </c>
      <c r="AM13" s="716">
        <f t="shared" ref="AM13" si="35">+IF(AB13*K13&gt;0,AB13*K13,0)</f>
        <v>9988.5808679146194</v>
      </c>
      <c r="AN13" s="716" t="str">
        <f>_xlfn.XLOOKUP(D13,RUC!$B$3:$B$578,RUC!$M$3:$M$578)</f>
        <v>Richard Sapacayo</v>
      </c>
      <c r="AO13" s="1167" t="s">
        <v>2277</v>
      </c>
      <c r="AP13" s="1082" t="s">
        <v>3407</v>
      </c>
      <c r="AQ13" s="1082" t="s">
        <v>3744</v>
      </c>
      <c r="AV13" s="1557" t="s">
        <v>2281</v>
      </c>
      <c r="AW13" s="703">
        <f t="shared" si="14"/>
        <v>0</v>
      </c>
      <c r="AX13" s="703" cm="1">
        <f t="array" ref="AX13">+SUMPRODUCT(IF($AO$4:$AO$351=AV13,$L$4:$L$351*$K$4:$K$351/AW13))</f>
        <v>0</v>
      </c>
      <c r="AY13" s="1215">
        <f t="shared" si="15"/>
        <v>0</v>
      </c>
      <c r="AZ13" s="596" cm="1">
        <f t="array" ref="AZ13">+SUMPRODUCT(IF($AO$4:$AO$351=AV13,($Q$4:$Q$351*$AH$4:$AH$351)/SUMIF($AO$4:$AO$351,$AV13,$AH$4:$AH$351)))</f>
        <v>0</v>
      </c>
      <c r="BA13" s="1237">
        <f t="shared" si="16"/>
        <v>0</v>
      </c>
      <c r="BB13" s="1237">
        <f t="shared" ca="1" si="17"/>
        <v>0</v>
      </c>
      <c r="BC13" s="596">
        <f t="shared" ca="1" si="19"/>
        <v>264.76723275991003</v>
      </c>
      <c r="BD13" s="1238">
        <f t="shared" si="20"/>
        <v>559.69399999999996</v>
      </c>
    </row>
    <row r="14" spans="1:56" ht="15" customHeight="1">
      <c r="A14" s="747" t="s">
        <v>4778</v>
      </c>
      <c r="B14" s="1447">
        <v>46080</v>
      </c>
      <c r="C14" s="1447">
        <v>46064</v>
      </c>
      <c r="D14" t="s">
        <v>1484</v>
      </c>
      <c r="E14" s="762">
        <f>_xlfn.XLOOKUP(D14,RUC!$B$3:$B$123,RUC!$D$3:$D$123)</f>
        <v>10761932735</v>
      </c>
      <c r="G14" s="762" t="s">
        <v>2985</v>
      </c>
      <c r="H14" s="762" t="s">
        <v>69</v>
      </c>
      <c r="I14" s="703">
        <v>38.67</v>
      </c>
      <c r="J14" s="596">
        <v>5.5</v>
      </c>
      <c r="K14" s="703">
        <f t="shared" si="23"/>
        <v>36.542999999999999</v>
      </c>
      <c r="L14" s="1192">
        <v>9.6000000000000002E-2</v>
      </c>
      <c r="M14" s="994">
        <f t="shared" si="24"/>
        <v>7.6999999999999999E-2</v>
      </c>
      <c r="N14" s="1444">
        <v>0.14899999999999999</v>
      </c>
      <c r="O14" s="645">
        <f t="shared" si="25"/>
        <v>0.113</v>
      </c>
      <c r="P14" s="727">
        <v>80</v>
      </c>
      <c r="Q14" s="1476">
        <v>96.91</v>
      </c>
      <c r="R14" s="706">
        <v>5077.8500000000004</v>
      </c>
      <c r="S14" s="765">
        <f>IF((_xlfn.XLOOKUP(D14,RUC!$B$3:$B$119,RUC!$E$3:$E$119)+ROUNDDOWN(O14,1)*100)&lt;95,95,((_xlfn.XLOOKUP(D14,RUC!$B$3:$B$119,RUC!$E$3:$E$119)+ROUNDDOWN(O14,1)*100)))</f>
        <v>100</v>
      </c>
      <c r="U14" s="1146">
        <f>_xlfn.XLOOKUP(D14,RUC!$B$3:$B$123,RUC!$F$3:$F$123)</f>
        <v>120</v>
      </c>
      <c r="V14" s="715">
        <v>1.1023000000000001</v>
      </c>
      <c r="Y14" s="1445">
        <v>40</v>
      </c>
      <c r="Z14" s="143">
        <f>_xlfn.XLOOKUP(D14,RUC!$B$3:$B$123,RUC!$H$3:$H$123)</f>
        <v>30</v>
      </c>
      <c r="AA14" s="144">
        <f t="shared" si="26"/>
        <v>70</v>
      </c>
      <c r="AB14" s="145">
        <f>+((O14*P14*(R14-U14)/100)-S14-AA14+T14)*V14</f>
        <v>306.64844017200005</v>
      </c>
      <c r="AC14" s="145">
        <f>+(S14-T14)*V14-'data 1'!$F$4</f>
        <v>30.230000000000004</v>
      </c>
      <c r="AD14" s="145">
        <f>+(Q14-P14)*(R14-U14)*L14*V14/100</f>
        <v>88.717241769647984</v>
      </c>
      <c r="AE14" s="145">
        <f>+(Y14*V14-70)+V14*(Z14-IF(D14="UNTUCA",IF(+((W14-3)*2.5+(X14-3)*3.1)&gt;0,+((W14-3)*1.5+(X14-3)*3.1),0),IF(+((W14-3)*1.5+(X14-3)*3.1)&gt;0,+((W14-3)*1.5+(X14-3)*3.1),0)))</f>
        <v>7.1610000000000014</v>
      </c>
      <c r="AF14" s="145">
        <f>(L14-O14)*(R14-U14)*Q14*V14/100</f>
        <v>-90.034862444708523</v>
      </c>
      <c r="AG14" s="772">
        <f t="shared" si="30"/>
        <v>53.073379324939467</v>
      </c>
      <c r="AH14" s="1253">
        <f>ROUND((31.1035*L14*Q14*1.1023*K14/100),3)</f>
        <v>116.56100000000001</v>
      </c>
      <c r="AI14" s="1253">
        <f>ROUND((31.1035*L14*1.1023*K14),3)</f>
        <v>120.27800000000001</v>
      </c>
      <c r="AJ14" s="156">
        <f>+((+$AJ$2-R14+U14)*L14*Q14*V14)/100</f>
        <v>-5.9325717216480367</v>
      </c>
      <c r="AK14" s="156">
        <f>31.1035*1.1023*K14*P14*O14/100</f>
        <v>113.26134057020796</v>
      </c>
      <c r="AM14" s="716">
        <f>+IF(AB14*K14&gt;0,AB14*K14,0)</f>
        <v>11205.853949205397</v>
      </c>
      <c r="AN14" s="716" t="str">
        <f>_xlfn.XLOOKUP(D14,RUC!$B$3:$B$578,RUC!$M$3:$M$578)</f>
        <v>Richard Sapacayo</v>
      </c>
      <c r="AO14" s="1167" t="s">
        <v>2277</v>
      </c>
      <c r="AP14" s="1082" t="s">
        <v>3415</v>
      </c>
      <c r="AQ14" s="1082" t="s">
        <v>4803</v>
      </c>
      <c r="AV14" s="1557" t="s">
        <v>2297</v>
      </c>
      <c r="AW14" s="703">
        <f t="shared" si="14"/>
        <v>0</v>
      </c>
      <c r="AX14" s="703" cm="1">
        <f t="array" ref="AX14">+SUMPRODUCT(IF($AO$4:$AO$351=AV14,$L$4:$L$351*$K$4:$K$351/AW14))</f>
        <v>0</v>
      </c>
      <c r="AY14" s="1215">
        <f t="shared" si="15"/>
        <v>0</v>
      </c>
      <c r="AZ14" s="596" cm="1">
        <f t="array" ref="AZ14">+SUMPRODUCT(IF('43'!$AO$4:$AO$243=AV14,('43'!$Q$4:$Q$243*'43'!$AH$4:$AH$243)/SUMIF('43'!$AO$4:$AO$243,#REF!,'43'!$AH$4:$AH$243)))</f>
        <v>0</v>
      </c>
      <c r="BA14" s="1237">
        <f t="shared" si="16"/>
        <v>0</v>
      </c>
      <c r="BB14" s="1237">
        <f t="shared" ca="1" si="17"/>
        <v>0</v>
      </c>
      <c r="BC14" s="596">
        <f t="shared" ca="1" si="19"/>
        <v>264.76723275991003</v>
      </c>
      <c r="BD14" s="1238">
        <f t="shared" si="20"/>
        <v>559.69399999999996</v>
      </c>
    </row>
    <row r="15" spans="1:56" ht="15" customHeight="1">
      <c r="A15" s="747" t="s">
        <v>5081</v>
      </c>
      <c r="B15" s="1447">
        <v>46126</v>
      </c>
      <c r="C15" s="1447">
        <v>46103</v>
      </c>
      <c r="D15" t="s">
        <v>119</v>
      </c>
      <c r="E15" s="762">
        <f>_xlfn.XLOOKUP(D15,RUC!$B$3:$B$123,RUC!$D$3:$D$123)</f>
        <v>10082235774</v>
      </c>
      <c r="G15" s="1082">
        <v>41</v>
      </c>
      <c r="H15" s="762" t="s">
        <v>69</v>
      </c>
      <c r="I15" s="703">
        <v>3.83</v>
      </c>
      <c r="J15" s="596">
        <v>2.85</v>
      </c>
      <c r="K15" s="703">
        <f t="shared" si="23"/>
        <v>3.7210000000000001</v>
      </c>
      <c r="L15" s="1745">
        <v>0.222</v>
      </c>
      <c r="M15" s="1443">
        <v>0.19700000000000001</v>
      </c>
      <c r="N15" s="1196">
        <f t="shared" ref="N15:N61" si="36">+M15</f>
        <v>0.19700000000000001</v>
      </c>
      <c r="O15" s="645">
        <f t="shared" si="25"/>
        <v>0.19700000000000001</v>
      </c>
      <c r="P15" s="727">
        <v>85</v>
      </c>
      <c r="Q15" s="1644">
        <v>93.81</v>
      </c>
      <c r="R15" s="706">
        <v>4466.25</v>
      </c>
      <c r="S15" s="1164">
        <f>IF((_xlfn.XLOOKUP(D15,RUC!$B$3:$B$119,RUC!$E$3:$E$119)+ROUNDDOWN(O15,1)*100)&lt;95,95,((_xlfn.XLOOKUP(D15,RUC!$B$3:$B$119,RUC!$E$3:$E$119)+ROUNDDOWN(O15,1)*100)))</f>
        <v>95</v>
      </c>
      <c r="U15" s="1146">
        <f>_xlfn.XLOOKUP(D15,RUC!$B$3:$B$123,RUC!$F$3:$F$123)</f>
        <v>80</v>
      </c>
      <c r="V15" s="715">
        <v>1.1023000000000001</v>
      </c>
      <c r="Y15">
        <f>_xlfn.XLOOKUP(D15,RUC!$B$3:$B$123,RUC!$G$3:$G$123)</f>
        <v>0</v>
      </c>
      <c r="Z15" s="143">
        <f>_xlfn.XLOOKUP(D15,RUC!$B$3:$B$123,RUC!$H$3:$H$123)</f>
        <v>10</v>
      </c>
      <c r="AA15" s="144">
        <f t="shared" si="26"/>
        <v>10</v>
      </c>
      <c r="AB15" s="145">
        <f t="shared" ref="AB15:AB55" si="37">+((O15*P15*(R15-U15)/100)-S15-AA15+T15)*V15</f>
        <v>693.87311714375016</v>
      </c>
      <c r="AC15" s="145">
        <f>+(S15-T15)*V15-'data 1'!$F$4</f>
        <v>24.718500000000006</v>
      </c>
      <c r="AD15" s="145">
        <f t="shared" ref="AD15:AD55" si="38">+(Q15-P15)*(R15-U15)*L15*V15/100</f>
        <v>94.563180680925029</v>
      </c>
      <c r="AE15" s="145">
        <f t="shared" ref="AE15:AE55" si="39">+(Y15*V15-70)+V15*(Z15-IF(D15="UNTUCA",IF(+((W15-3)*2.5+(X15-3)*3.1)&gt;0,+((W15-3)*1.5+(X15-3)*3.1),0),IF(+((W15-3)*1.5+(X15-3)*3.1)&gt;0,+((W15-3)*1.5+(X15-3)*3.1),0)))</f>
        <v>-58.977000000000004</v>
      </c>
      <c r="AF15" s="145">
        <f t="shared" ref="AF15:AF55" si="40">(L15-O15)*(R15-U15)*Q15*V15/100</f>
        <v>113.39197855218748</v>
      </c>
      <c r="AG15" s="772">
        <f>AC15+AD15+AE15+AF15+70</f>
        <v>243.69665923311251</v>
      </c>
      <c r="AH15" s="1253">
        <f t="shared" ref="AH15:AH71" si="41">ROUND((31.1035*L15*Q15*1.1023*K15/100),3)</f>
        <v>26.568999999999999</v>
      </c>
      <c r="AI15" s="1253">
        <f t="shared" ref="AI15:AI71" si="42">ROUND((31.1035*L15*1.1023*K15),3)</f>
        <v>28.321999999999999</v>
      </c>
      <c r="AJ15" s="156">
        <f t="shared" ref="AJ15:AJ71" si="43">+((+$AJ$2-R15+U15)*L15*Q15*V15)/100</f>
        <v>117.937998370575</v>
      </c>
      <c r="AK15" s="156">
        <f t="shared" ref="AK15:AK71" si="44">31.1035*1.1023*K15*P15*O15/100</f>
        <v>21.362589300006675</v>
      </c>
      <c r="AM15" s="716">
        <f t="shared" ref="AM15:AM55" si="45">+IF(AB15*K15&gt;0,AB15*K15,0)</f>
        <v>2581.9018688918945</v>
      </c>
      <c r="AN15" s="716" t="str">
        <f>_xlfn.XLOOKUP(D15,RUC!$B$3:$B$578,RUC!$M$3:$M$578)</f>
        <v>Melchor Vera</v>
      </c>
      <c r="AO15" s="1167" t="s">
        <v>2277</v>
      </c>
      <c r="AP15" s="1082" t="s">
        <v>5111</v>
      </c>
      <c r="AQ15" s="1082" t="s">
        <v>5112</v>
      </c>
      <c r="AR15" s="1831" t="s">
        <v>5313</v>
      </c>
      <c r="AV15" s="1557" t="s">
        <v>2518</v>
      </c>
      <c r="AW15" s="703">
        <f t="shared" si="14"/>
        <v>0</v>
      </c>
      <c r="AX15" s="703" cm="1">
        <f t="array" ref="AX15">+SUMPRODUCT(IF($AO$4:$AO$351=AV15,$L$4:$L$351*$K$4:$K$351/AW15))</f>
        <v>0</v>
      </c>
      <c r="AY15" s="1215">
        <f t="shared" si="15"/>
        <v>0</v>
      </c>
      <c r="AZ15" s="596" cm="1">
        <f t="array" ref="AZ15">+SUMPRODUCT(IF('43'!$AO$4:$AO$243=AV15,('43'!$Q$4:$Q$243*'43'!$AH$4:$AH$243)/SUMIF('43'!$AO$4:$AO$243,#REF!,'43'!$AH$4:$AH$243)))</f>
        <v>0</v>
      </c>
      <c r="BA15" s="1237">
        <f t="shared" si="16"/>
        <v>0</v>
      </c>
      <c r="BB15" s="1237">
        <f t="shared" ca="1" si="17"/>
        <v>0</v>
      </c>
      <c r="BC15" s="596">
        <f t="shared" ca="1" si="19"/>
        <v>264.76723275991003</v>
      </c>
      <c r="BD15" s="1238">
        <f t="shared" si="20"/>
        <v>559.69399999999996</v>
      </c>
    </row>
    <row r="16" spans="1:56" ht="15" customHeight="1">
      <c r="A16" s="747" t="s">
        <v>5185</v>
      </c>
      <c r="B16" s="1447">
        <v>46125</v>
      </c>
      <c r="C16" s="1447">
        <v>46113</v>
      </c>
      <c r="D16" t="s">
        <v>93</v>
      </c>
      <c r="E16" s="762">
        <f>_xlfn.XLOOKUP(D16,RUC!$B$3:$B$123,RUC!$D$3:$D$123)</f>
        <v>20169040231</v>
      </c>
      <c r="G16" s="1082">
        <v>16</v>
      </c>
      <c r="H16" s="762" t="s">
        <v>69</v>
      </c>
      <c r="I16" s="703">
        <v>1.4</v>
      </c>
      <c r="J16" s="596">
        <v>2.1</v>
      </c>
      <c r="K16" s="703">
        <f t="shared" si="23"/>
        <v>1.371</v>
      </c>
      <c r="L16" s="1745">
        <v>0.93</v>
      </c>
      <c r="M16" s="994">
        <f t="shared" ref="M16:M18" si="46">ROUND(+IF(AN16="Melchor Vera",IF(L16&gt;0.467,L16*0.985,(L16-0.007)),IF(L16&gt;0.3,L16*0.94,(L16-0.019))),3)</f>
        <v>0.874</v>
      </c>
      <c r="N16" s="1196">
        <f t="shared" si="36"/>
        <v>0.874</v>
      </c>
      <c r="O16" s="645">
        <f t="shared" si="25"/>
        <v>0.874</v>
      </c>
      <c r="P16" s="727">
        <v>80</v>
      </c>
      <c r="Q16" s="1199">
        <v>80.11</v>
      </c>
      <c r="R16" s="706">
        <v>4739</v>
      </c>
      <c r="S16" s="765">
        <f>IF((_xlfn.XLOOKUP(D16,RUC!$B$3:$B$119,RUC!$E$3:$E$119)+ROUNDDOWN(O16,1)*100)&lt;95,95,((_xlfn.XLOOKUP(D16,RUC!$B$3:$B$119,RUC!$E$3:$E$119)+ROUNDDOWN(O16,1)*100)))</f>
        <v>165</v>
      </c>
      <c r="U16" s="1146">
        <f>_xlfn.XLOOKUP(D16,RUC!$B$3:$B$123,RUC!$F$3:$F$123)</f>
        <v>120</v>
      </c>
      <c r="V16" s="715">
        <v>1.1023000000000001</v>
      </c>
      <c r="Y16">
        <f>_xlfn.XLOOKUP(D16,RUC!$B$3:$B$123,RUC!$G$3:$G$123)</f>
        <v>20</v>
      </c>
      <c r="Z16" s="1454">
        <v>35</v>
      </c>
      <c r="AA16" s="144">
        <f t="shared" si="26"/>
        <v>55</v>
      </c>
      <c r="AB16" s="145">
        <f t="shared" si="37"/>
        <v>3317.4873710399997</v>
      </c>
      <c r="AC16" s="145">
        <f>+(S16-T16)*V16-'data 1'!$F$4</f>
        <v>101.87950000000001</v>
      </c>
      <c r="AD16" s="145">
        <f t="shared" si="38"/>
        <v>5.2086287450999738</v>
      </c>
      <c r="AE16" s="145">
        <f t="shared" si="39"/>
        <v>-9.3734999999999999</v>
      </c>
      <c r="AF16" s="145">
        <f t="shared" si="40"/>
        <v>228.41389961992019</v>
      </c>
      <c r="AG16" s="772">
        <f t="shared" ref="AG16:AG18" si="47">AC16+AD16+AE16+AF16+70-53</f>
        <v>343.1285283650202</v>
      </c>
      <c r="AH16" s="1253">
        <f t="shared" si="41"/>
        <v>35.020000000000003</v>
      </c>
      <c r="AI16" s="1253">
        <f t="shared" si="42"/>
        <v>43.715000000000003</v>
      </c>
      <c r="AJ16" s="156">
        <f t="shared" si="43"/>
        <v>230.76811766490005</v>
      </c>
      <c r="AK16" s="156">
        <f t="shared" si="44"/>
        <v>32.866082697971763</v>
      </c>
      <c r="AM16" s="716">
        <f t="shared" si="45"/>
        <v>4548.2751856958394</v>
      </c>
      <c r="AN16" s="716" t="str">
        <f>_xlfn.XLOOKUP(D16,RUC!$B$3:$B$578,RUC!$M$3:$M$578)</f>
        <v>Ronald Miranda</v>
      </c>
      <c r="AO16" s="1167" t="s">
        <v>2277</v>
      </c>
      <c r="AP16" s="1082" t="s">
        <v>5226</v>
      </c>
      <c r="AQ16" s="1082" t="s">
        <v>5227</v>
      </c>
      <c r="AR16" t="s">
        <v>5305</v>
      </c>
      <c r="AV16" s="1557" t="s">
        <v>2519</v>
      </c>
      <c r="AW16" s="703">
        <f t="shared" si="14"/>
        <v>0</v>
      </c>
      <c r="AX16" s="703" cm="1">
        <f t="array" ref="AX16">+SUMPRODUCT(IF($AO$4:$AO$351=AV16,$L$4:$L$351*$K$4:$K$351/AW16))</f>
        <v>0</v>
      </c>
      <c r="AY16" s="1215">
        <f t="shared" si="15"/>
        <v>0</v>
      </c>
      <c r="AZ16" s="596" cm="1">
        <f t="array" ref="AZ16">+SUMPRODUCT(IF('43'!$AO$4:$AO$243=AV16,('43'!$Q$4:$Q$243*'43'!$AH$4:$AH$243)/SUMIF('43'!$AO$4:$AO$243,#REF!,'43'!$AH$4:$AH$243)))</f>
        <v>0</v>
      </c>
      <c r="BA16" s="1237">
        <f t="shared" si="16"/>
        <v>0</v>
      </c>
      <c r="BB16" s="1237">
        <f t="shared" ca="1" si="17"/>
        <v>0</v>
      </c>
      <c r="BC16" s="596">
        <f t="shared" ca="1" si="19"/>
        <v>264.76723275991003</v>
      </c>
      <c r="BD16" s="1238">
        <f t="shared" si="20"/>
        <v>559.69399999999996</v>
      </c>
    </row>
    <row r="17" spans="1:56" ht="15" customHeight="1">
      <c r="A17" s="747" t="s">
        <v>5192</v>
      </c>
      <c r="B17" s="1447">
        <v>46123</v>
      </c>
      <c r="C17" s="1447">
        <v>46113</v>
      </c>
      <c r="D17" t="s">
        <v>93</v>
      </c>
      <c r="E17" s="762">
        <f>_xlfn.XLOOKUP(D17,RUC!$B$3:$B$123,RUC!$D$3:$D$123)</f>
        <v>20169040231</v>
      </c>
      <c r="G17" s="1082">
        <v>60</v>
      </c>
      <c r="H17" s="762" t="s">
        <v>69</v>
      </c>
      <c r="I17" s="703">
        <v>5.61</v>
      </c>
      <c r="J17" s="596">
        <v>2.15</v>
      </c>
      <c r="K17" s="703">
        <f t="shared" si="23"/>
        <v>5.4889999999999999</v>
      </c>
      <c r="L17" s="1745">
        <v>0.95899999999999996</v>
      </c>
      <c r="M17" s="994">
        <f t="shared" si="46"/>
        <v>0.90100000000000002</v>
      </c>
      <c r="N17" s="1196">
        <f t="shared" si="36"/>
        <v>0.90100000000000002</v>
      </c>
      <c r="O17" s="645">
        <f t="shared" si="25"/>
        <v>0.90100000000000002</v>
      </c>
      <c r="P17" s="727">
        <v>90</v>
      </c>
      <c r="Q17" s="1476">
        <v>95.2</v>
      </c>
      <c r="R17" s="706">
        <v>4739</v>
      </c>
      <c r="S17" s="765">
        <f>IF((_xlfn.XLOOKUP(D17,RUC!$B$3:$B$119,RUC!$E$3:$E$119)+ROUNDDOWN(O17,1)*100)&lt;95,95,((_xlfn.XLOOKUP(D17,RUC!$B$3:$B$119,RUC!$E$3:$E$119)+ROUNDDOWN(O17,1)*100)))</f>
        <v>175</v>
      </c>
      <c r="U17" s="1146">
        <f>_xlfn.XLOOKUP(D17,RUC!$B$3:$B$123,RUC!$F$3:$F$123)</f>
        <v>120</v>
      </c>
      <c r="V17" s="715">
        <v>1.1023000000000001</v>
      </c>
      <c r="Y17">
        <f>_xlfn.XLOOKUP(D17,RUC!$B$3:$B$123,RUC!$G$3:$G$123)</f>
        <v>20</v>
      </c>
      <c r="Z17" s="1454">
        <v>35</v>
      </c>
      <c r="AA17" s="144">
        <f t="shared" si="26"/>
        <v>55</v>
      </c>
      <c r="AB17" s="145">
        <f t="shared" si="37"/>
        <v>3875.1875683300004</v>
      </c>
      <c r="AC17" s="145">
        <f>+(S17-T17)*V17-'data 1'!$F$4</f>
        <v>112.9025</v>
      </c>
      <c r="AD17" s="145">
        <f t="shared" si="38"/>
        <v>253.90410387160011</v>
      </c>
      <c r="AE17" s="145">
        <f t="shared" si="39"/>
        <v>-9.3734999999999999</v>
      </c>
      <c r="AF17" s="145">
        <f t="shared" si="40"/>
        <v>281.1335726191997</v>
      </c>
      <c r="AG17" s="772">
        <f t="shared" si="47"/>
        <v>655.56667649079986</v>
      </c>
      <c r="AH17" s="1253">
        <f t="shared" si="41"/>
        <v>171.81399999999999</v>
      </c>
      <c r="AI17" s="1253">
        <f t="shared" si="42"/>
        <v>180.477</v>
      </c>
      <c r="AJ17" s="156">
        <f t="shared" si="43"/>
        <v>282.78846001839997</v>
      </c>
      <c r="AK17" s="156">
        <f t="shared" si="44"/>
        <v>152.6052942007303</v>
      </c>
      <c r="AM17" s="716">
        <f t="shared" si="45"/>
        <v>21270.904562563373</v>
      </c>
      <c r="AN17" s="716" t="str">
        <f>_xlfn.XLOOKUP(D17,RUC!$B$3:$B$578,RUC!$M$3:$M$578)</f>
        <v>Ronald Miranda</v>
      </c>
      <c r="AO17" s="1167" t="s">
        <v>2277</v>
      </c>
      <c r="AP17" s="1082" t="s">
        <v>5228</v>
      </c>
      <c r="AQ17" s="1082" t="s">
        <v>5229</v>
      </c>
      <c r="AV17" s="1557" t="s">
        <v>2520</v>
      </c>
      <c r="AW17" s="703">
        <f t="shared" si="14"/>
        <v>0</v>
      </c>
      <c r="AX17" s="703" cm="1">
        <f t="array" ref="AX17">+SUMPRODUCT(IF($AO$4:$AO$351=AV17,$L$4:$L$351*$K$4:$K$351/AW17))</f>
        <v>0</v>
      </c>
      <c r="AY17" s="1215">
        <f t="shared" si="15"/>
        <v>0</v>
      </c>
      <c r="AZ17" s="596" cm="1">
        <f t="array" ref="AZ17">+SUMPRODUCT(IF('43'!$AO$4:$AO$243=AV17,('43'!$Q$4:$Q$243*'43'!$AH$4:$AH$243)/SUMIF('43'!$AO$4:$AO$243,#REF!,'43'!$AH$4:$AH$243)))</f>
        <v>0</v>
      </c>
      <c r="BA17" s="1237">
        <f t="shared" si="16"/>
        <v>0</v>
      </c>
      <c r="BB17" s="1237">
        <f t="shared" ca="1" si="17"/>
        <v>0</v>
      </c>
      <c r="BC17" s="596">
        <f t="shared" ca="1" si="19"/>
        <v>264.76723275991003</v>
      </c>
      <c r="BD17" s="1238">
        <f t="shared" si="20"/>
        <v>559.69399999999996</v>
      </c>
    </row>
    <row r="18" spans="1:56" ht="15" customHeight="1" thickBot="1">
      <c r="A18" s="747" t="s">
        <v>5193</v>
      </c>
      <c r="B18" s="1447">
        <v>46123</v>
      </c>
      <c r="C18" s="1447">
        <v>46114</v>
      </c>
      <c r="D18" s="1800" t="s">
        <v>4722</v>
      </c>
      <c r="E18" s="762" t="str">
        <f>_xlfn.XLOOKUP(D18,RUC!$B$3:$B$123,RUC!$D$3:$D$123)</f>
        <v>20610807004*</v>
      </c>
      <c r="G18" s="1082">
        <v>90</v>
      </c>
      <c r="H18" s="762" t="s">
        <v>69</v>
      </c>
      <c r="I18" s="703">
        <v>8.44</v>
      </c>
      <c r="J18" s="596">
        <v>2.95</v>
      </c>
      <c r="K18" s="703">
        <f t="shared" si="23"/>
        <v>8.1910000000000007</v>
      </c>
      <c r="L18" s="1745">
        <v>1.079</v>
      </c>
      <c r="M18" s="994">
        <f t="shared" si="46"/>
        <v>1.014</v>
      </c>
      <c r="N18" s="1196">
        <f t="shared" si="36"/>
        <v>1.014</v>
      </c>
      <c r="O18" s="645">
        <f t="shared" si="25"/>
        <v>1.014</v>
      </c>
      <c r="P18" s="727">
        <v>90</v>
      </c>
      <c r="Q18" s="1476">
        <v>98.98</v>
      </c>
      <c r="R18" s="706">
        <v>4639.3500000000004</v>
      </c>
      <c r="S18" s="765">
        <f>IF((_xlfn.XLOOKUP(D18,RUC!$B$3:$B$119,RUC!$E$3:$E$119)+ROUNDDOWN(O18,1)*100)&lt;95,95,((_xlfn.XLOOKUP(D18,RUC!$B$3:$B$119,RUC!$E$3:$E$119)+ROUNDDOWN(O18,1)*100)))</f>
        <v>185</v>
      </c>
      <c r="U18" s="1146">
        <f>_xlfn.XLOOKUP(D18,RUC!$B$3:$B$123,RUC!$F$3:$F$123)</f>
        <v>120</v>
      </c>
      <c r="V18" s="715">
        <v>1.1023000000000001</v>
      </c>
      <c r="Y18">
        <f>_xlfn.XLOOKUP(D18,RUC!$B$3:$B$123,RUC!$G$3:$G$123)</f>
        <v>20</v>
      </c>
      <c r="Z18" s="1454">
        <v>35</v>
      </c>
      <c r="AA18" s="144">
        <f t="shared" si="26"/>
        <v>55</v>
      </c>
      <c r="AB18" s="145">
        <f t="shared" si="37"/>
        <v>4281.7287162630009</v>
      </c>
      <c r="AC18" s="145">
        <f>+(S18-T18)*V18-'data 1'!$F$4</f>
        <v>123.9255</v>
      </c>
      <c r="AD18" s="145">
        <f t="shared" si="38"/>
        <v>482.69585029337128</v>
      </c>
      <c r="AE18" s="145">
        <f t="shared" si="39"/>
        <v>-9.3734999999999999</v>
      </c>
      <c r="AF18" s="145">
        <f t="shared" si="40"/>
        <v>320.50631431318476</v>
      </c>
      <c r="AG18" s="772">
        <f t="shared" si="47"/>
        <v>934.75416460655606</v>
      </c>
      <c r="AH18" s="1253">
        <f t="shared" si="41"/>
        <v>299.92700000000002</v>
      </c>
      <c r="AI18" s="1253">
        <f t="shared" si="42"/>
        <v>303.017</v>
      </c>
      <c r="AJ18" s="156">
        <f t="shared" si="43"/>
        <v>448.12021503512858</v>
      </c>
      <c r="AK18" s="156">
        <f t="shared" si="44"/>
        <v>256.28693049611616</v>
      </c>
      <c r="AM18" s="716">
        <f t="shared" si="45"/>
        <v>35071.639914910244</v>
      </c>
      <c r="AN18" s="716" t="str">
        <f>_xlfn.XLOOKUP(D18,RUC!$B$3:$B$578,RUC!$M$3:$M$578)</f>
        <v>Ronald Miranda</v>
      </c>
      <c r="AO18" s="1167" t="s">
        <v>2277</v>
      </c>
      <c r="AP18" s="1082" t="s">
        <v>3570</v>
      </c>
      <c r="AQ18" s="1082" t="s">
        <v>5230</v>
      </c>
      <c r="AV18" s="1558" t="s">
        <v>2521</v>
      </c>
      <c r="AW18" s="1254">
        <f t="shared" si="14"/>
        <v>0</v>
      </c>
      <c r="AX18" s="1254" cm="1">
        <f t="array" ref="AX18">+SUMPRODUCT(IF('43'!$AO$4:$AO$243=AV18,'43'!$L$4:$L$243*'43'!$K$4:$K$243/AW18))</f>
        <v>0</v>
      </c>
      <c r="AY18" s="1241">
        <f t="shared" si="15"/>
        <v>0</v>
      </c>
      <c r="AZ18" s="1242" cm="1">
        <f t="array" ref="AZ18">+SUMPRODUCT(IF('43'!$AO$4:$AO$243=AV18,('43'!$Q$4:$Q$243*'43'!$AH$4:$AH$243)/SUMIF('43'!$AO$4:$AO$243,#REF!,'43'!$AH$4:$AH$243)))</f>
        <v>0</v>
      </c>
      <c r="BA18" s="1243">
        <f t="shared" si="16"/>
        <v>0</v>
      </c>
      <c r="BB18" s="1243">
        <f>SUMIF($AO$4:$AO$6,$AV18,$AH$4:$AH$6)</f>
        <v>0</v>
      </c>
      <c r="BC18" s="1242">
        <f t="shared" ca="1" si="19"/>
        <v>264.76723275991003</v>
      </c>
      <c r="BD18" s="1436">
        <f t="shared" si="20"/>
        <v>559.69399999999996</v>
      </c>
    </row>
    <row r="19" spans="1:56" ht="15" customHeight="1">
      <c r="A19" s="747" t="s">
        <v>5215</v>
      </c>
      <c r="B19" s="1447">
        <v>46126</v>
      </c>
      <c r="C19" s="1447">
        <v>46116</v>
      </c>
      <c r="D19" s="1820" t="s">
        <v>119</v>
      </c>
      <c r="E19" s="762">
        <f>_xlfn.XLOOKUP(D19,RUC!$B$3:$B$123,RUC!$D$3:$D$123)</f>
        <v>10082235774</v>
      </c>
      <c r="G19" s="1082">
        <v>41</v>
      </c>
      <c r="H19" s="762" t="s">
        <v>69</v>
      </c>
      <c r="I19" s="703">
        <v>4.03</v>
      </c>
      <c r="J19" s="596">
        <v>4.8499999999999996</v>
      </c>
      <c r="K19" s="703">
        <f t="shared" si="23"/>
        <v>3.835</v>
      </c>
      <c r="L19" s="1745">
        <v>0.222</v>
      </c>
      <c r="M19" s="1443">
        <v>0.19700000000000001</v>
      </c>
      <c r="N19" s="1196">
        <f t="shared" si="36"/>
        <v>0.19700000000000001</v>
      </c>
      <c r="O19" s="645">
        <f t="shared" si="25"/>
        <v>0.19700000000000001</v>
      </c>
      <c r="P19" s="727">
        <v>85</v>
      </c>
      <c r="Q19" s="1644">
        <v>89.14</v>
      </c>
      <c r="R19" s="706">
        <v>4639.3500000000004</v>
      </c>
      <c r="S19" s="1164">
        <v>95</v>
      </c>
      <c r="U19" s="1146">
        <f>_xlfn.XLOOKUP(D19,RUC!$B$3:$B$123,RUC!$F$3:$F$123)</f>
        <v>80</v>
      </c>
      <c r="V19" s="715">
        <v>1.1023000000000001</v>
      </c>
      <c r="Y19">
        <f>_xlfn.XLOOKUP(D19,RUC!$B$3:$B$123,RUC!$G$3:$G$123)</f>
        <v>0</v>
      </c>
      <c r="Z19" s="143">
        <f>_xlfn.XLOOKUP(D19,RUC!$B$3:$B$123,RUC!$H$3:$H$123)</f>
        <v>10</v>
      </c>
      <c r="AA19" s="144">
        <f t="shared" si="26"/>
        <v>10</v>
      </c>
      <c r="AB19" s="145">
        <f t="shared" si="37"/>
        <v>725.82393851225015</v>
      </c>
      <c r="AC19" s="145">
        <f>+(S19-T19)*V19-'data 1'!$F$4</f>
        <v>24.718500000000006</v>
      </c>
      <c r="AD19" s="145">
        <f t="shared" si="38"/>
        <v>46.190860748154009</v>
      </c>
      <c r="AE19" s="145">
        <f t="shared" si="39"/>
        <v>-58.977000000000004</v>
      </c>
      <c r="AF19" s="145">
        <f t="shared" si="40"/>
        <v>111.999317988925</v>
      </c>
      <c r="AG19" s="772">
        <f t="shared" ref="AG19" si="48">AC19+AD19+AE19+AF19+70</f>
        <v>193.93167873707901</v>
      </c>
      <c r="AH19" s="1253">
        <f t="shared" si="41"/>
        <v>26.02</v>
      </c>
      <c r="AI19" s="1253">
        <f t="shared" si="42"/>
        <v>29.19</v>
      </c>
      <c r="AJ19" s="156">
        <f t="shared" si="43"/>
        <v>74.307697574345923</v>
      </c>
      <c r="AK19" s="156">
        <f t="shared" si="44"/>
        <v>22.017073358109542</v>
      </c>
      <c r="AM19" s="716">
        <f t="shared" si="45"/>
        <v>2783.5348041944794</v>
      </c>
      <c r="AN19" s="716" t="str">
        <f>_xlfn.XLOOKUP(D19,RUC!$B$3:$B$578,RUC!$M$3:$M$578)</f>
        <v>Melchor Vera</v>
      </c>
      <c r="AO19" s="1167" t="s">
        <v>2277</v>
      </c>
      <c r="AP19" s="1082" t="s">
        <v>5232</v>
      </c>
      <c r="AQ19" s="1082" t="s">
        <v>5233</v>
      </c>
      <c r="AR19" s="1831" t="s">
        <v>5314</v>
      </c>
      <c r="AV19" s="1637"/>
      <c r="AW19" s="1234"/>
      <c r="AX19" s="1234"/>
      <c r="AY19" s="1235"/>
      <c r="AZ19" s="1236"/>
      <c r="BA19" s="1237"/>
      <c r="BB19" s="1237"/>
      <c r="BC19" s="1236"/>
      <c r="BD19" s="729"/>
    </row>
    <row r="20" spans="1:56" ht="15" customHeight="1">
      <c r="A20" s="747" t="s">
        <v>5217</v>
      </c>
      <c r="B20" s="1447">
        <v>46126</v>
      </c>
      <c r="C20" s="1447">
        <v>46116</v>
      </c>
      <c r="D20" t="s">
        <v>2444</v>
      </c>
      <c r="E20" s="762">
        <f>_xlfn.XLOOKUP(D20,RUC!$B$3:$B$123,RUC!$D$3:$D$123)</f>
        <v>20608774000</v>
      </c>
      <c r="G20" s="1082">
        <v>12</v>
      </c>
      <c r="H20" s="762" t="s">
        <v>69</v>
      </c>
      <c r="I20" s="703">
        <v>1.1499999999999999</v>
      </c>
      <c r="J20" s="596">
        <v>2</v>
      </c>
      <c r="K20" s="703">
        <f t="shared" si="23"/>
        <v>1.127</v>
      </c>
      <c r="L20" s="1745">
        <v>0.92600000000000005</v>
      </c>
      <c r="M20" s="994">
        <f t="shared" ref="M20:M56" si="49">ROUND(+IF(AN20="Melchor Vera",IF(L20&gt;0.467,L20*0.985,(L20-0.007)),IF(L20&gt;0.3,L20*0.94,(L20-0.019))),3)</f>
        <v>0.87</v>
      </c>
      <c r="N20" s="1196">
        <f t="shared" si="36"/>
        <v>0.87</v>
      </c>
      <c r="O20" s="645">
        <f t="shared" si="25"/>
        <v>0.87</v>
      </c>
      <c r="P20" s="727">
        <v>90</v>
      </c>
      <c r="Q20" s="1476">
        <v>90.550000000000011</v>
      </c>
      <c r="R20" s="706">
        <v>4639.3500000000004</v>
      </c>
      <c r="S20" s="765">
        <f>IF((_xlfn.XLOOKUP(D20,RUC!$B$3:$B$119,RUC!$E$3:$E$119)+ROUNDDOWN(O20,1)*100)&lt;95,95,((_xlfn.XLOOKUP(D20,RUC!$B$3:$B$119,RUC!$E$3:$E$119)+ROUNDDOWN(O20,1)*100)))</f>
        <v>165</v>
      </c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54">
        <v>35</v>
      </c>
      <c r="AA20" s="144">
        <f t="shared" si="26"/>
        <v>55</v>
      </c>
      <c r="AB20" s="145">
        <f t="shared" si="37"/>
        <v>3658.1490524150008</v>
      </c>
      <c r="AC20" s="145">
        <f>+(S20-T20)*V20-'data 1'!$F$4</f>
        <v>101.87950000000001</v>
      </c>
      <c r="AD20" s="145">
        <f t="shared" si="38"/>
        <v>25.371693718965531</v>
      </c>
      <c r="AE20" s="145">
        <f t="shared" si="39"/>
        <v>-9.3734999999999999</v>
      </c>
      <c r="AF20" s="145">
        <f t="shared" si="40"/>
        <v>252.61100433954027</v>
      </c>
      <c r="AG20" s="772">
        <f t="shared" ref="AG20:AG55" si="50">AC20+AD20+AE20+AF20+70-53</f>
        <v>387.4886980585058</v>
      </c>
      <c r="AH20" s="1253">
        <f t="shared" si="41"/>
        <v>32.399000000000001</v>
      </c>
      <c r="AI20" s="1253">
        <f t="shared" si="42"/>
        <v>35.78</v>
      </c>
      <c r="AJ20" s="156">
        <f t="shared" si="43"/>
        <v>351.82369292403467</v>
      </c>
      <c r="AK20" s="156">
        <f t="shared" si="44"/>
        <v>30.254832116230048</v>
      </c>
      <c r="AM20" s="716">
        <f t="shared" si="45"/>
        <v>4122.7339820717061</v>
      </c>
      <c r="AN20" s="716" t="str">
        <f>_xlfn.XLOOKUP(D20,RUC!$B$3:$B$578,RUC!$M$3:$M$578)</f>
        <v>Ronald Miranda</v>
      </c>
      <c r="AO20" s="1167" t="s">
        <v>2277</v>
      </c>
      <c r="AP20" s="1082" t="s">
        <v>5234</v>
      </c>
      <c r="AQ20" s="1082" t="s">
        <v>5235</v>
      </c>
    </row>
    <row r="21" spans="1:56" ht="15" customHeight="1">
      <c r="A21" s="747" t="s">
        <v>5219</v>
      </c>
      <c r="B21" s="1447">
        <v>46125</v>
      </c>
      <c r="C21" s="1447">
        <v>46116</v>
      </c>
      <c r="D21" t="s">
        <v>93</v>
      </c>
      <c r="E21" s="762">
        <f>_xlfn.XLOOKUP(D21,RUC!$B$3:$B$123,RUC!$D$3:$D$123)</f>
        <v>20169040231</v>
      </c>
      <c r="G21" s="1082">
        <v>45</v>
      </c>
      <c r="H21" s="762" t="s">
        <v>69</v>
      </c>
      <c r="I21" s="703">
        <v>2.59</v>
      </c>
      <c r="J21" s="596">
        <v>2.6</v>
      </c>
      <c r="K21" s="703">
        <f t="shared" si="23"/>
        <v>2.5230000000000001</v>
      </c>
      <c r="L21" s="1745">
        <v>0.217</v>
      </c>
      <c r="M21" s="994">
        <f t="shared" si="49"/>
        <v>0.19800000000000001</v>
      </c>
      <c r="N21" s="1196">
        <f t="shared" si="36"/>
        <v>0.19800000000000001</v>
      </c>
      <c r="O21" s="645">
        <f t="shared" si="25"/>
        <v>0.19800000000000001</v>
      </c>
      <c r="P21" s="727">
        <v>85</v>
      </c>
      <c r="Q21" s="1476">
        <v>90.78</v>
      </c>
      <c r="R21" s="706">
        <v>4639.3500000000004</v>
      </c>
      <c r="S21" s="765">
        <f>IF((_xlfn.XLOOKUP(D21,RUC!$B$3:$B$119,RUC!$E$3:$E$119)+ROUNDDOWN(O21,1)*100)&lt;95,95,((_xlfn.XLOOKUP(D21,RUC!$B$3:$B$119,RUC!$E$3:$E$119)+ROUNDDOWN(O21,1)*100)))</f>
        <v>95</v>
      </c>
      <c r="U21" s="1146">
        <f>_xlfn.XLOOKUP(D21,RUC!$B$3:$B$123,RUC!$F$3:$F$123)</f>
        <v>120</v>
      </c>
      <c r="V21" s="715">
        <v>1.1023000000000001</v>
      </c>
      <c r="Y21">
        <f>_xlfn.XLOOKUP(D21,RUC!$B$3:$B$123,RUC!$G$3:$G$123)</f>
        <v>20</v>
      </c>
      <c r="Z21" s="1454">
        <v>35</v>
      </c>
      <c r="AA21" s="144">
        <f t="shared" si="26"/>
        <v>55</v>
      </c>
      <c r="AB21" s="145">
        <f t="shared" si="37"/>
        <v>673.07166069150026</v>
      </c>
      <c r="AC21" s="145">
        <f>+(S21-T21)*V21-'data 1'!$F$4</f>
        <v>24.718500000000006</v>
      </c>
      <c r="AD21" s="145">
        <f t="shared" si="38"/>
        <v>62.483213359413021</v>
      </c>
      <c r="AE21" s="145">
        <f t="shared" si="39"/>
        <v>-9.3734999999999999</v>
      </c>
      <c r="AF21" s="145">
        <f t="shared" si="40"/>
        <v>85.925004438140974</v>
      </c>
      <c r="AG21" s="772">
        <f t="shared" si="50"/>
        <v>180.75321779755399</v>
      </c>
      <c r="AH21" s="1253">
        <f t="shared" si="41"/>
        <v>17.04</v>
      </c>
      <c r="AI21" s="1253">
        <f t="shared" si="42"/>
        <v>18.771000000000001</v>
      </c>
      <c r="AJ21" s="156">
        <f t="shared" si="43"/>
        <v>82.656222545336931</v>
      </c>
      <c r="AK21" s="156">
        <f t="shared" si="44"/>
        <v>14.558292330640249</v>
      </c>
      <c r="AM21" s="716">
        <f t="shared" si="45"/>
        <v>1698.1597999246553</v>
      </c>
      <c r="AN21" s="716" t="str">
        <f>_xlfn.XLOOKUP(D21,RUC!$B$3:$B$578,RUC!$M$3:$M$578)</f>
        <v>Ronald Miranda</v>
      </c>
      <c r="AO21" s="1167" t="s">
        <v>2280</v>
      </c>
      <c r="AP21" s="1082" t="s">
        <v>5236</v>
      </c>
      <c r="AQ21" s="1082" t="s">
        <v>4242</v>
      </c>
    </row>
    <row r="22" spans="1:56" ht="15" customHeight="1">
      <c r="A22" s="747" t="s">
        <v>5220</v>
      </c>
      <c r="B22" s="1447">
        <v>46125</v>
      </c>
      <c r="C22" s="1447">
        <v>46116</v>
      </c>
      <c r="D22" t="s">
        <v>93</v>
      </c>
      <c r="E22" s="762">
        <f>_xlfn.XLOOKUP(D22,RUC!$B$3:$B$123,RUC!$D$3:$D$123)</f>
        <v>20169040231</v>
      </c>
      <c r="G22" s="1082">
        <v>30</v>
      </c>
      <c r="H22" s="762" t="s">
        <v>69</v>
      </c>
      <c r="I22" s="703">
        <v>2.52</v>
      </c>
      <c r="J22" s="596">
        <v>3.95</v>
      </c>
      <c r="K22" s="703">
        <f t="shared" si="23"/>
        <v>2.42</v>
      </c>
      <c r="L22" s="1745">
        <v>0.13500000000000001</v>
      </c>
      <c r="M22" s="994">
        <f t="shared" si="49"/>
        <v>0.11600000000000001</v>
      </c>
      <c r="N22" s="1196">
        <f t="shared" si="36"/>
        <v>0.11600000000000001</v>
      </c>
      <c r="O22" s="645">
        <f t="shared" si="25"/>
        <v>0.11600000000000001</v>
      </c>
      <c r="P22" s="727">
        <v>80</v>
      </c>
      <c r="Q22" s="1476">
        <v>96.3</v>
      </c>
      <c r="R22" s="706">
        <v>4639.3500000000004</v>
      </c>
      <c r="S22" s="765">
        <f>IF((_xlfn.XLOOKUP(D22,RUC!$B$3:$B$119,RUC!$E$3:$E$119)+ROUNDDOWN(O22,1)*100)&lt;95,95,((_xlfn.XLOOKUP(D22,RUC!$B$3:$B$119,RUC!$E$3:$E$119)+ROUNDDOWN(O22,1)*100)))</f>
        <v>95</v>
      </c>
      <c r="U22" s="1146">
        <f>_xlfn.XLOOKUP(D22,RUC!$B$3:$B$123,RUC!$F$3:$F$123)</f>
        <v>120</v>
      </c>
      <c r="V22" s="715">
        <v>1.1023000000000001</v>
      </c>
      <c r="Y22">
        <f>_xlfn.XLOOKUP(D22,RUC!$B$3:$B$123,RUC!$G$3:$G$123)</f>
        <v>20</v>
      </c>
      <c r="Z22" s="1454">
        <v>35</v>
      </c>
      <c r="AA22" s="144">
        <f t="shared" si="26"/>
        <v>55</v>
      </c>
      <c r="AB22" s="145">
        <f t="shared" si="37"/>
        <v>296.95485806400012</v>
      </c>
      <c r="AC22" s="145">
        <f>+(S22-T22)*V22-'data 1'!$F$4</f>
        <v>24.718500000000006</v>
      </c>
      <c r="AD22" s="145">
        <f t="shared" si="38"/>
        <v>109.62185750752502</v>
      </c>
      <c r="AE22" s="145">
        <f t="shared" si="39"/>
        <v>-9.3734999999999999</v>
      </c>
      <c r="AF22" s="145">
        <f t="shared" si="40"/>
        <v>91.149789902985034</v>
      </c>
      <c r="AG22" s="772">
        <f t="shared" si="50"/>
        <v>233.11664741051004</v>
      </c>
      <c r="AH22" s="1253">
        <f t="shared" si="41"/>
        <v>10.787000000000001</v>
      </c>
      <c r="AI22" s="1253">
        <f t="shared" si="42"/>
        <v>11.201000000000001</v>
      </c>
      <c r="AJ22" s="156">
        <f t="shared" si="43"/>
        <v>54.548862302474951</v>
      </c>
      <c r="AK22" s="156">
        <f t="shared" si="44"/>
        <v>7.6996753067168004</v>
      </c>
      <c r="AM22" s="716">
        <f t="shared" si="45"/>
        <v>718.63075651488032</v>
      </c>
      <c r="AN22" s="716" t="str">
        <f>_xlfn.XLOOKUP(D22,RUC!$B$3:$B$578,RUC!$M$3:$M$578)</f>
        <v>Ronald Miranda</v>
      </c>
      <c r="AO22" s="1167" t="s">
        <v>2277</v>
      </c>
      <c r="AP22" s="1082" t="s">
        <v>5236</v>
      </c>
      <c r="AQ22" s="1082" t="s">
        <v>4242</v>
      </c>
    </row>
    <row r="23" spans="1:56" ht="17.399999999999999" customHeight="1">
      <c r="A23" s="747" t="s">
        <v>5221</v>
      </c>
      <c r="B23" s="1447">
        <v>46126</v>
      </c>
      <c r="C23" s="1447">
        <v>46116</v>
      </c>
      <c r="D23" t="s">
        <v>2444</v>
      </c>
      <c r="E23" s="762">
        <f>_xlfn.XLOOKUP(D23,RUC!$B$3:$B$123,RUC!$D$3:$D$123)</f>
        <v>20608774000</v>
      </c>
      <c r="G23" s="1082">
        <v>30</v>
      </c>
      <c r="H23" s="762" t="s">
        <v>69</v>
      </c>
      <c r="I23" s="703">
        <v>2.9</v>
      </c>
      <c r="J23" s="596">
        <v>3.3</v>
      </c>
      <c r="K23" s="703">
        <f t="shared" si="23"/>
        <v>2.8039999999999998</v>
      </c>
      <c r="L23" s="1823">
        <v>0.26</v>
      </c>
      <c r="M23" s="994">
        <f t="shared" si="49"/>
        <v>0.24099999999999999</v>
      </c>
      <c r="N23" s="1196">
        <f t="shared" si="36"/>
        <v>0.24099999999999999</v>
      </c>
      <c r="O23" s="645">
        <f>+ROUND((M23+N23)/2,3)</f>
        <v>0.24099999999999999</v>
      </c>
      <c r="P23" s="727">
        <v>90</v>
      </c>
      <c r="Q23" s="1476">
        <v>94.49</v>
      </c>
      <c r="R23" s="706">
        <v>4639.3500000000004</v>
      </c>
      <c r="S23" s="765">
        <f>IF((_xlfn.XLOOKUP(D23,RUC!$B$3:$B$119,RUC!$E$3:$E$119)+ROUNDDOWN(O23,1)*100)&lt;95,95,((_xlfn.XLOOKUP(D23,RUC!$B$3:$B$119,RUC!$E$3:$E$119)+ROUNDDOWN(O23,1)*100)))</f>
        <v>105</v>
      </c>
      <c r="U23" s="1146">
        <f>_xlfn.XLOOKUP(D23,RUC!$B$3:$B$123,RUC!$F$3:$F$123)</f>
        <v>120</v>
      </c>
      <c r="V23" s="715">
        <v>1.1023000000000001</v>
      </c>
      <c r="Y23">
        <f>_xlfn.XLOOKUP(D23,RUC!$B$3:$B$123,RUC!$G$3:$G$123)</f>
        <v>20</v>
      </c>
      <c r="Z23" s="1454">
        <v>35</v>
      </c>
      <c r="AA23" s="144">
        <f t="shared" si="26"/>
        <v>55</v>
      </c>
      <c r="AB23" s="145">
        <f t="shared" si="37"/>
        <v>904.15828463449998</v>
      </c>
      <c r="AC23" s="145">
        <f>+(S23-T23)*V23-'data 1'!$F$4</f>
        <v>35.741500000000002</v>
      </c>
      <c r="AD23" s="145">
        <f t="shared" si="38"/>
        <v>58.156126541369943</v>
      </c>
      <c r="AE23" s="145">
        <f t="shared" si="39"/>
        <v>-9.3734999999999999</v>
      </c>
      <c r="AF23" s="145">
        <f t="shared" si="40"/>
        <v>89.43659032121559</v>
      </c>
      <c r="AG23" s="772">
        <f t="shared" si="50"/>
        <v>190.96071686258554</v>
      </c>
      <c r="AH23" s="1253">
        <f t="shared" si="41"/>
        <v>23.617999999999999</v>
      </c>
      <c r="AI23" s="1253">
        <f t="shared" si="42"/>
        <v>24.995000000000001</v>
      </c>
      <c r="AJ23" s="156">
        <f t="shared" si="43"/>
        <v>103.08247526862989</v>
      </c>
      <c r="AK23" s="156">
        <f t="shared" si="44"/>
        <v>20.851947873198178</v>
      </c>
      <c r="AM23" s="716">
        <f t="shared" si="45"/>
        <v>2535.2598301151379</v>
      </c>
      <c r="AN23" s="716" t="str">
        <f>_xlfn.XLOOKUP(D23,RUC!$B$3:$B$578,RUC!$M$3:$M$578)</f>
        <v>Ronald Miranda</v>
      </c>
      <c r="AO23" s="1167" t="s">
        <v>2278</v>
      </c>
      <c r="AP23" s="1082" t="s">
        <v>5234</v>
      </c>
      <c r="AQ23" s="1082" t="s">
        <v>5235</v>
      </c>
    </row>
    <row r="24" spans="1:56" ht="15" customHeight="1">
      <c r="A24" s="747" t="s">
        <v>5223</v>
      </c>
      <c r="B24" s="1447">
        <v>46125</v>
      </c>
      <c r="C24" s="1447">
        <v>46117</v>
      </c>
      <c r="D24" t="s">
        <v>93</v>
      </c>
      <c r="E24" s="762">
        <f>_xlfn.XLOOKUP(D24,RUC!$B$3:$B$123,RUC!$D$3:$D$123)</f>
        <v>20169040231</v>
      </c>
      <c r="G24" s="1082">
        <v>31</v>
      </c>
      <c r="H24" s="762" t="s">
        <v>69</v>
      </c>
      <c r="I24" s="703">
        <v>3.94</v>
      </c>
      <c r="J24" s="596">
        <v>3.4</v>
      </c>
      <c r="K24" s="703">
        <f t="shared" si="23"/>
        <v>3.806</v>
      </c>
      <c r="L24" s="1745">
        <v>0.36699999999999999</v>
      </c>
      <c r="M24" s="994">
        <f t="shared" si="49"/>
        <v>0.34499999999999997</v>
      </c>
      <c r="N24" s="1196">
        <f t="shared" si="36"/>
        <v>0.34499999999999997</v>
      </c>
      <c r="O24" s="645">
        <f t="shared" si="25"/>
        <v>0.34499999999999997</v>
      </c>
      <c r="P24" s="727">
        <v>90</v>
      </c>
      <c r="Q24" s="1476">
        <v>95.64</v>
      </c>
      <c r="R24" s="706">
        <v>4639.3500000000004</v>
      </c>
      <c r="S24" s="765">
        <f>IF((_xlfn.XLOOKUP(D24,RUC!$B$3:$B$119,RUC!$E$3:$E$119)+ROUNDDOWN(O24,1)*100)&lt;95,95,((_xlfn.XLOOKUP(D24,RUC!$B$3:$B$119,RUC!$E$3:$E$119)+ROUNDDOWN(O24,1)*100)))</f>
        <v>115</v>
      </c>
      <c r="U24" s="1146">
        <f>_xlfn.XLOOKUP(D24,RUC!$B$3:$B$123,RUC!$F$3:$F$123)</f>
        <v>120</v>
      </c>
      <c r="V24" s="715">
        <v>1.1023000000000001</v>
      </c>
      <c r="Y24">
        <f>_xlfn.XLOOKUP(D24,RUC!$B$3:$B$123,RUC!$G$3:$G$123)</f>
        <v>20</v>
      </c>
      <c r="Z24" s="1454">
        <v>35</v>
      </c>
      <c r="AA24" s="144">
        <f t="shared" si="26"/>
        <v>55</v>
      </c>
      <c r="AB24" s="145">
        <f t="shared" si="37"/>
        <v>1359.4204863025</v>
      </c>
      <c r="AC24" s="145">
        <f>+(S24-T24)*V24-'data 1'!$F$4</f>
        <v>46.764500000000012</v>
      </c>
      <c r="AD24" s="145">
        <f t="shared" si="38"/>
        <v>103.11478773809404</v>
      </c>
      <c r="AE24" s="145">
        <f t="shared" si="39"/>
        <v>-9.3734999999999999</v>
      </c>
      <c r="AF24" s="145">
        <f t="shared" si="40"/>
        <v>104.8185221288041</v>
      </c>
      <c r="AG24" s="772">
        <f t="shared" si="50"/>
        <v>262.32430986689815</v>
      </c>
      <c r="AH24" s="1253">
        <f t="shared" si="41"/>
        <v>45.802</v>
      </c>
      <c r="AI24" s="1253">
        <f t="shared" si="42"/>
        <v>47.89</v>
      </c>
      <c r="AJ24" s="156">
        <f t="shared" si="43"/>
        <v>147.27576023640589</v>
      </c>
      <c r="AK24" s="156">
        <f t="shared" si="44"/>
        <v>40.517203038132145</v>
      </c>
      <c r="AM24" s="716">
        <f t="shared" si="45"/>
        <v>5173.9543708673145</v>
      </c>
      <c r="AN24" s="716" t="str">
        <f>_xlfn.XLOOKUP(D24,RUC!$B$3:$B$578,RUC!$M$3:$M$578)</f>
        <v>Ronald Miranda</v>
      </c>
      <c r="AO24" s="1167" t="s">
        <v>2277</v>
      </c>
      <c r="AP24" s="1082" t="s">
        <v>5236</v>
      </c>
      <c r="AQ24" s="1082" t="s">
        <v>4242</v>
      </c>
      <c r="BA24" s="1482"/>
    </row>
    <row r="25" spans="1:56" ht="15" customHeight="1" thickBot="1">
      <c r="A25" s="747" t="s">
        <v>5224</v>
      </c>
      <c r="B25" s="1447">
        <v>46125</v>
      </c>
      <c r="C25" s="1447">
        <v>46117</v>
      </c>
      <c r="D25" t="s">
        <v>2444</v>
      </c>
      <c r="E25" s="762">
        <f>_xlfn.XLOOKUP(D25,RUC!$B$3:$B$123,RUC!$D$3:$D$123)</f>
        <v>20608774000</v>
      </c>
      <c r="G25" s="1082">
        <v>10</v>
      </c>
      <c r="H25" s="762" t="s">
        <v>69</v>
      </c>
      <c r="I25" s="703">
        <v>0.98</v>
      </c>
      <c r="J25" s="596">
        <v>2</v>
      </c>
      <c r="K25" s="703">
        <f t="shared" si="23"/>
        <v>0.96</v>
      </c>
      <c r="L25" s="1745">
        <v>0.183</v>
      </c>
      <c r="M25" s="994">
        <f t="shared" si="49"/>
        <v>0.16400000000000001</v>
      </c>
      <c r="N25" s="1196">
        <f t="shared" si="36"/>
        <v>0.16400000000000001</v>
      </c>
      <c r="O25" s="645">
        <f t="shared" si="25"/>
        <v>0.16400000000000001</v>
      </c>
      <c r="P25" s="727">
        <v>85</v>
      </c>
      <c r="Q25" s="1476">
        <v>93.99</v>
      </c>
      <c r="R25" s="706">
        <v>4639.3500000000004</v>
      </c>
      <c r="S25" s="765">
        <f>IF((_xlfn.XLOOKUP(D25,RUC!$B$3:$B$119,RUC!$E$3:$E$119)+ROUNDDOWN(O25,1)*100)&lt;95,95,((_xlfn.XLOOKUP(D25,RUC!$B$3:$B$119,RUC!$E$3:$E$119)+ROUNDDOWN(O25,1)*100)))</f>
        <v>95</v>
      </c>
      <c r="U25" s="1146">
        <f>_xlfn.XLOOKUP(D25,RUC!$B$3:$B$123,RUC!$F$3:$F$123)</f>
        <v>120</v>
      </c>
      <c r="V25" s="715">
        <v>1.1023000000000001</v>
      </c>
      <c r="Y25">
        <f>_xlfn.XLOOKUP(D25,RUC!$B$3:$B$123,RUC!$G$3:$G$123)</f>
        <v>20</v>
      </c>
      <c r="Z25" s="1454">
        <v>35</v>
      </c>
      <c r="AA25" s="144">
        <f t="shared" si="26"/>
        <v>55</v>
      </c>
      <c r="AB25" s="145">
        <f t="shared" si="37"/>
        <v>529.10112299700018</v>
      </c>
      <c r="AC25" s="145">
        <f>+(S25-T25)*V25-'data 1'!$F$4</f>
        <v>24.718500000000006</v>
      </c>
      <c r="AD25" s="145">
        <f t="shared" si="38"/>
        <v>81.957096712408458</v>
      </c>
      <c r="AE25" s="145">
        <f t="shared" si="39"/>
        <v>-9.3734999999999999</v>
      </c>
      <c r="AF25" s="145">
        <f t="shared" si="40"/>
        <v>88.963330768240453</v>
      </c>
      <c r="AG25" s="772">
        <f t="shared" si="50"/>
        <v>203.2654274806489</v>
      </c>
      <c r="AH25" s="1253">
        <f t="shared" si="41"/>
        <v>5.6609999999999996</v>
      </c>
      <c r="AI25" s="1253">
        <f t="shared" si="42"/>
        <v>6.0229999999999997</v>
      </c>
      <c r="AJ25" s="156">
        <f t="shared" si="43"/>
        <v>72.17027844384144</v>
      </c>
      <c r="AK25" s="156">
        <f t="shared" si="44"/>
        <v>4.5882077704032005</v>
      </c>
      <c r="AM25" s="716">
        <f t="shared" si="45"/>
        <v>507.93707807712013</v>
      </c>
      <c r="AN25" s="716" t="str">
        <f>_xlfn.XLOOKUP(D25,RUC!$B$3:$B$578,RUC!$M$3:$M$578)</f>
        <v>Ronald Miranda</v>
      </c>
      <c r="AO25" s="1167" t="s">
        <v>2277</v>
      </c>
      <c r="AP25" s="1082" t="s">
        <v>5234</v>
      </c>
      <c r="AQ25" s="1082" t="s">
        <v>5235</v>
      </c>
      <c r="BA25" s="1482"/>
    </row>
    <row r="26" spans="1:56" ht="15" customHeight="1" thickBot="1">
      <c r="A26" s="747" t="s">
        <v>5225</v>
      </c>
      <c r="B26" s="1447">
        <v>46125</v>
      </c>
      <c r="C26" s="1447">
        <v>46116</v>
      </c>
      <c r="D26" t="s">
        <v>3316</v>
      </c>
      <c r="E26" s="762">
        <f>_xlfn.XLOOKUP(D26,RUC!$B$3:$B$123,RUC!$D$3:$D$123)</f>
        <v>20613935151</v>
      </c>
      <c r="G26" s="1082">
        <v>90</v>
      </c>
      <c r="H26" s="762" t="s">
        <v>69</v>
      </c>
      <c r="I26" s="703">
        <v>7.01</v>
      </c>
      <c r="J26" s="596">
        <v>2.15</v>
      </c>
      <c r="K26" s="703">
        <f t="shared" si="23"/>
        <v>6.859</v>
      </c>
      <c r="L26" s="1745">
        <v>0.184</v>
      </c>
      <c r="M26" s="994">
        <f t="shared" si="49"/>
        <v>0.16500000000000001</v>
      </c>
      <c r="N26" s="1196">
        <f t="shared" si="36"/>
        <v>0.16500000000000001</v>
      </c>
      <c r="O26" s="645">
        <f t="shared" si="25"/>
        <v>0.16500000000000001</v>
      </c>
      <c r="P26" s="727">
        <v>85</v>
      </c>
      <c r="Q26" s="1476">
        <v>94.02</v>
      </c>
      <c r="R26" s="706">
        <v>4639.3500000000004</v>
      </c>
      <c r="S26" s="765">
        <f>IF((_xlfn.XLOOKUP(D26,RUC!$B$3:$B$119,RUC!$E$3:$E$119)+ROUNDDOWN(O26,1)*100)&lt;95,95,((_xlfn.XLOOKUP(D26,RUC!$B$3:$B$119,RUC!$E$3:$E$119)+ROUNDDOWN(O26,1)*100)))</f>
        <v>100</v>
      </c>
      <c r="U26" s="1146">
        <f>_xlfn.XLOOKUP(D26,RUC!$B$3:$B$123,RUC!$F$3:$F$123)</f>
        <v>120</v>
      </c>
      <c r="V26" s="715">
        <v>1.1023000000000001</v>
      </c>
      <c r="Y26">
        <f>_xlfn.XLOOKUP(D26,RUC!$B$3:$B$123,RUC!$G$3:$G$123)</f>
        <v>20</v>
      </c>
      <c r="Z26" s="143">
        <f>_xlfn.XLOOKUP(D26,RUC!$B$3:$B$123,RUC!$H$3:$H$123)</f>
        <v>30</v>
      </c>
      <c r="AA26" s="144">
        <f t="shared" si="26"/>
        <v>50</v>
      </c>
      <c r="AB26" s="145">
        <f t="shared" si="37"/>
        <v>533.33555057625006</v>
      </c>
      <c r="AC26" s="145">
        <f>+(S26-T26)*V26-'data 1'!$F$4</f>
        <v>30.230000000000004</v>
      </c>
      <c r="AD26" s="145">
        <f t="shared" si="38"/>
        <v>82.679938408583965</v>
      </c>
      <c r="AE26" s="145">
        <f t="shared" si="39"/>
        <v>-14.884999999999998</v>
      </c>
      <c r="AF26" s="145">
        <f t="shared" si="40"/>
        <v>88.991726341418968</v>
      </c>
      <c r="AG26" s="772">
        <f t="shared" si="50"/>
        <v>204.01666475000297</v>
      </c>
      <c r="AH26" s="1253">
        <f t="shared" si="41"/>
        <v>40.683</v>
      </c>
      <c r="AI26" s="1253">
        <f t="shared" si="42"/>
        <v>43.27</v>
      </c>
      <c r="AJ26" s="156">
        <f t="shared" si="43"/>
        <v>72.587812945415934</v>
      </c>
      <c r="AK26" s="156">
        <f t="shared" si="44"/>
        <v>32.981677598051739</v>
      </c>
      <c r="AM26" s="716">
        <f t="shared" si="45"/>
        <v>3658.1485414024992</v>
      </c>
      <c r="AN26" s="716" t="str">
        <f>_xlfn.XLOOKUP(D26,RUC!$B$3:$B$578,RUC!$M$3:$M$578)</f>
        <v xml:space="preserve">Dante </v>
      </c>
      <c r="AO26" s="1167" t="s">
        <v>2277</v>
      </c>
      <c r="AP26" s="1082" t="s">
        <v>4441</v>
      </c>
      <c r="AQ26" s="1082" t="s">
        <v>4906</v>
      </c>
      <c r="AV26" s="1982" t="s">
        <v>5372</v>
      </c>
      <c r="AW26" s="1983"/>
      <c r="AX26" s="1983"/>
      <c r="AY26" s="1983"/>
      <c r="AZ26" s="1983"/>
      <c r="BA26" s="1984"/>
    </row>
    <row r="27" spans="1:56" ht="15" customHeight="1">
      <c r="A27" s="747" t="s">
        <v>5243</v>
      </c>
      <c r="B27" s="1447">
        <v>45760</v>
      </c>
      <c r="C27" s="1447">
        <v>46118</v>
      </c>
      <c r="D27" t="s">
        <v>3316</v>
      </c>
      <c r="E27" s="762">
        <f>_xlfn.XLOOKUP(D27,RUC!$B$3:$B$123,RUC!$D$3:$D$123)</f>
        <v>20613935151</v>
      </c>
      <c r="G27" s="1082">
        <v>76</v>
      </c>
      <c r="H27" s="762" t="s">
        <v>69</v>
      </c>
      <c r="I27" s="703">
        <v>5.99</v>
      </c>
      <c r="J27" s="596">
        <v>2</v>
      </c>
      <c r="K27" s="703">
        <f t="shared" si="23"/>
        <v>5.87</v>
      </c>
      <c r="L27" s="1759">
        <v>0.24</v>
      </c>
      <c r="M27" s="994">
        <f t="shared" si="49"/>
        <v>0.221</v>
      </c>
      <c r="N27" s="1196">
        <f t="shared" si="36"/>
        <v>0.221</v>
      </c>
      <c r="O27" s="645">
        <f t="shared" si="25"/>
        <v>0.221</v>
      </c>
      <c r="P27" s="727">
        <v>90</v>
      </c>
      <c r="Q27" s="1476">
        <v>92.92</v>
      </c>
      <c r="R27" s="706">
        <v>4611.7</v>
      </c>
      <c r="S27" s="765">
        <f>IF((_xlfn.XLOOKUP(D27,RUC!$B$3:$B$119,RUC!$E$3:$E$119)+ROUNDDOWN(O27,1)*100)&lt;95,95,((_xlfn.XLOOKUP(D27,RUC!$B$3:$B$119,RUC!$E$3:$E$119)+ROUNDDOWN(O27,1)*100)))</f>
        <v>110</v>
      </c>
      <c r="U27" s="1146">
        <f>_xlfn.XLOOKUP(D27,RUC!$B$3:$B$123,RUC!$F$3:$F$123)</f>
        <v>120</v>
      </c>
      <c r="V27" s="715">
        <v>1.1023000000000001</v>
      </c>
      <c r="Y27">
        <f>_xlfn.XLOOKUP(D27,RUC!$B$3:$B$123,RUC!$G$3:$G$123)</f>
        <v>20</v>
      </c>
      <c r="Z27" s="143">
        <f>_xlfn.XLOOKUP(D27,RUC!$B$3:$B$123,RUC!$H$3:$H$123)</f>
        <v>30</v>
      </c>
      <c r="AA27" s="144">
        <f t="shared" si="26"/>
        <v>50</v>
      </c>
      <c r="AB27" s="145">
        <f t="shared" si="37"/>
        <v>808.42586099900007</v>
      </c>
      <c r="AC27" s="145">
        <f>+(S27-T27)*V27-'data 1'!$F$4</f>
        <v>41.253</v>
      </c>
      <c r="AD27" s="145">
        <f t="shared" si="38"/>
        <v>34.698015977280015</v>
      </c>
      <c r="AE27" s="145">
        <f t="shared" si="39"/>
        <v>-14.884999999999998</v>
      </c>
      <c r="AF27" s="145">
        <f t="shared" si="40"/>
        <v>87.412461825867965</v>
      </c>
      <c r="AG27" s="772">
        <f t="shared" si="50"/>
        <v>165.47847780314797</v>
      </c>
      <c r="AH27" s="1253">
        <f t="shared" si="41"/>
        <v>44.881999999999998</v>
      </c>
      <c r="AI27" s="1253">
        <f t="shared" si="42"/>
        <v>48.301000000000002</v>
      </c>
      <c r="AJ27" s="156">
        <f t="shared" si="43"/>
        <v>100.36900762272006</v>
      </c>
      <c r="AK27" s="156">
        <f t="shared" si="44"/>
        <v>40.02966482006115</v>
      </c>
      <c r="AM27" s="716">
        <f t="shared" si="45"/>
        <v>4745.4598040641304</v>
      </c>
      <c r="AN27" s="716" t="str">
        <f>_xlfn.XLOOKUP(D27,RUC!$B$3:$B$578,RUC!$M$3:$M$578)</f>
        <v xml:space="preserve">Dante </v>
      </c>
      <c r="AO27" s="1167" t="s">
        <v>2277</v>
      </c>
      <c r="AP27" s="1082" t="s">
        <v>4081</v>
      </c>
      <c r="AQ27" s="1082" t="s">
        <v>5246</v>
      </c>
      <c r="BA27" s="1482">
        <f>SUM(BA29:BA38)</f>
        <v>0</v>
      </c>
    </row>
    <row r="28" spans="1:56" ht="15" customHeight="1" thickBot="1">
      <c r="A28" s="747" t="s">
        <v>5247</v>
      </c>
      <c r="B28" s="1447">
        <v>46127</v>
      </c>
      <c r="C28" s="1447">
        <v>46119</v>
      </c>
      <c r="D28" t="s">
        <v>1967</v>
      </c>
      <c r="E28" s="762">
        <f>_xlfn.XLOOKUP(D28,RUC!$B$3:$B$123,RUC!$D$3:$D$123)</f>
        <v>20601769396</v>
      </c>
      <c r="G28" s="1082">
        <v>28</v>
      </c>
      <c r="H28" s="762" t="s">
        <v>2005</v>
      </c>
      <c r="I28" s="703">
        <v>1.92</v>
      </c>
      <c r="J28" s="596">
        <v>9.8000000000000007</v>
      </c>
      <c r="K28" s="703">
        <f t="shared" si="23"/>
        <v>1.732</v>
      </c>
      <c r="L28" s="1759">
        <v>0.18099999999999999</v>
      </c>
      <c r="M28" s="994">
        <f t="shared" si="49"/>
        <v>0.16200000000000001</v>
      </c>
      <c r="N28" s="1196">
        <f t="shared" si="36"/>
        <v>0.16200000000000001</v>
      </c>
      <c r="O28" s="645">
        <f t="shared" si="25"/>
        <v>0.16200000000000001</v>
      </c>
      <c r="P28" s="727">
        <v>85</v>
      </c>
      <c r="Q28" s="1476">
        <v>94.67</v>
      </c>
      <c r="R28" s="706">
        <v>4611.7</v>
      </c>
      <c r="S28" s="765">
        <f>IF((_xlfn.XLOOKUP(D28,RUC!$B$3:$B$119,RUC!$E$3:$E$119)+ROUNDDOWN(O28,1)*100)&lt;95,95,((_xlfn.XLOOKUP(D28,RUC!$B$3:$B$119,RUC!$E$3:$E$119)+ROUNDDOWN(O28,1)*100)))</f>
        <v>100</v>
      </c>
      <c r="U28" s="1146">
        <f>_xlfn.XLOOKUP(D28,RUC!$B$3:$B$123,RUC!$F$3:$F$123)</f>
        <v>120</v>
      </c>
      <c r="V28" s="715">
        <v>1.1023000000000001</v>
      </c>
      <c r="Y28">
        <f>_xlfn.XLOOKUP(D28,RUC!$B$3:$B$123,RUC!$G$3:$G$123)</f>
        <v>20</v>
      </c>
      <c r="Z28" s="143">
        <f>_xlfn.XLOOKUP(D28,RUC!$B$3:$B$123,RUC!$H$3:$H$123)</f>
        <v>30</v>
      </c>
      <c r="AA28" s="144">
        <f t="shared" si="26"/>
        <v>50</v>
      </c>
      <c r="AB28" s="145">
        <f t="shared" si="37"/>
        <v>516.43536530699998</v>
      </c>
      <c r="AC28" s="145">
        <f>+(S28-T28)*V28-'data 1'!$F$4</f>
        <v>30.230000000000004</v>
      </c>
      <c r="AD28" s="145">
        <f t="shared" si="38"/>
        <v>86.659384167457006</v>
      </c>
      <c r="AE28" s="145">
        <f t="shared" si="39"/>
        <v>-14.884999999999998</v>
      </c>
      <c r="AF28" s="145">
        <f t="shared" si="40"/>
        <v>89.058736128442959</v>
      </c>
      <c r="AG28" s="772">
        <f t="shared" si="50"/>
        <v>208.06312029589998</v>
      </c>
      <c r="AH28" s="1253">
        <f t="shared" si="41"/>
        <v>10.175000000000001</v>
      </c>
      <c r="AI28" s="1253">
        <f t="shared" si="42"/>
        <v>10.747999999999999</v>
      </c>
      <c r="AJ28" s="156">
        <f t="shared" si="43"/>
        <v>77.12055375804303</v>
      </c>
      <c r="AK28" s="156">
        <f t="shared" si="44"/>
        <v>8.1769416225280196</v>
      </c>
      <c r="AM28" s="716">
        <f t="shared" si="45"/>
        <v>894.46605271172393</v>
      </c>
      <c r="AN28" s="716" t="str">
        <f>_xlfn.XLOOKUP(D28,RUC!$B$3:$B$578,RUC!$M$3:$M$578)</f>
        <v>Evelyn</v>
      </c>
      <c r="AO28" s="1167" t="s">
        <v>2278</v>
      </c>
      <c r="AP28" s="1082" t="s">
        <v>5257</v>
      </c>
      <c r="AQ28" s="1082" t="s">
        <v>3787</v>
      </c>
      <c r="AV28" s="762"/>
      <c r="AW28" s="762" t="s">
        <v>15</v>
      </c>
      <c r="AX28" s="762" t="s">
        <v>2522</v>
      </c>
      <c r="AY28" s="762" t="s">
        <v>2558</v>
      </c>
      <c r="AZ28" s="1483" t="s">
        <v>2598</v>
      </c>
      <c r="BA28" s="762" t="s">
        <v>2559</v>
      </c>
      <c r="BD28" s="762" t="s">
        <v>5809</v>
      </c>
    </row>
    <row r="29" spans="1:56" ht="15" customHeight="1">
      <c r="A29" s="747" t="s">
        <v>5248</v>
      </c>
      <c r="B29" s="1447">
        <v>46127</v>
      </c>
      <c r="C29" s="1447">
        <v>46119</v>
      </c>
      <c r="D29" t="s">
        <v>1967</v>
      </c>
      <c r="E29" s="762">
        <f>_xlfn.XLOOKUP(D29,RUC!$B$3:$B$123,RUC!$D$3:$D$123)</f>
        <v>20601769396</v>
      </c>
      <c r="G29" s="1082">
        <v>15</v>
      </c>
      <c r="H29" s="762" t="s">
        <v>2005</v>
      </c>
      <c r="I29" s="703">
        <v>1.01</v>
      </c>
      <c r="J29" s="596">
        <v>10.8</v>
      </c>
      <c r="K29" s="703">
        <f t="shared" si="23"/>
        <v>0.90100000000000002</v>
      </c>
      <c r="L29" s="1759">
        <v>0.36599999999999999</v>
      </c>
      <c r="M29" s="994">
        <f t="shared" si="49"/>
        <v>0.34399999999999997</v>
      </c>
      <c r="N29" s="1196">
        <f t="shared" si="36"/>
        <v>0.34399999999999997</v>
      </c>
      <c r="O29" s="645">
        <f t="shared" si="25"/>
        <v>0.34399999999999997</v>
      </c>
      <c r="P29" s="727">
        <v>90</v>
      </c>
      <c r="Q29" s="1476">
        <v>95.9</v>
      </c>
      <c r="R29" s="706">
        <v>4611.7</v>
      </c>
      <c r="S29" s="765">
        <f>IF((_xlfn.XLOOKUP(D29,RUC!$B$3:$B$119,RUC!$E$3:$E$119)+ROUNDDOWN(O29,1)*100)&lt;95,95,((_xlfn.XLOOKUP(D29,RUC!$B$3:$B$119,RUC!$E$3:$E$119)+ROUNDDOWN(O29,1)*100)))</f>
        <v>120</v>
      </c>
      <c r="U29" s="1146">
        <f>_xlfn.XLOOKUP(D29,RUC!$B$3:$B$123,RUC!$F$3:$F$123)</f>
        <v>120</v>
      </c>
      <c r="V29" s="715">
        <v>1.1023000000000001</v>
      </c>
      <c r="Y29">
        <f>_xlfn.XLOOKUP(D29,RUC!$B$3:$B$123,RUC!$G$3:$G$123)</f>
        <v>20</v>
      </c>
      <c r="Z29" s="143">
        <f>_xlfn.XLOOKUP(D29,RUC!$B$3:$B$123,RUC!$H$3:$H$123)</f>
        <v>30</v>
      </c>
      <c r="AA29" s="144">
        <f t="shared" si="26"/>
        <v>50</v>
      </c>
      <c r="AB29" s="145">
        <f t="shared" si="37"/>
        <v>1345.5008017359999</v>
      </c>
      <c r="AC29" s="145">
        <f>+(S29-T29)*V29-'data 1'!$F$4</f>
        <v>52.27600000000001</v>
      </c>
      <c r="AD29" s="145">
        <f t="shared" si="38"/>
        <v>106.91623245054011</v>
      </c>
      <c r="AE29" s="145">
        <f t="shared" si="39"/>
        <v>-14.884999999999998</v>
      </c>
      <c r="AF29" s="145">
        <f t="shared" si="40"/>
        <v>104.4604367991801</v>
      </c>
      <c r="AG29" s="772">
        <f t="shared" si="50"/>
        <v>265.76766924972026</v>
      </c>
      <c r="AH29" s="1253">
        <f t="shared" si="41"/>
        <v>10.843</v>
      </c>
      <c r="AI29" s="1253">
        <f t="shared" si="42"/>
        <v>11.305999999999999</v>
      </c>
      <c r="AJ29" s="156">
        <f t="shared" si="43"/>
        <v>157.9715501754601</v>
      </c>
      <c r="AK29" s="156">
        <f t="shared" si="44"/>
        <v>9.5638952823922807</v>
      </c>
      <c r="AM29" s="716">
        <f t="shared" si="45"/>
        <v>1212.2962223641359</v>
      </c>
      <c r="AN29" s="716" t="str">
        <f>_xlfn.XLOOKUP(D29,RUC!$B$3:$B$578,RUC!$M$3:$M$578)</f>
        <v>Evelyn</v>
      </c>
      <c r="AO29" s="1167" t="s">
        <v>2280</v>
      </c>
      <c r="AP29" s="1082" t="s">
        <v>5257</v>
      </c>
      <c r="AQ29" s="1082" t="s">
        <v>3787</v>
      </c>
      <c r="AV29" s="1556" t="s">
        <v>2277</v>
      </c>
      <c r="AW29" s="1227">
        <f t="shared" ref="AW29:AW38" si="51">SUMIF($AO$4:$AO$351,AV29,$K$4:$K$351)</f>
        <v>155.75400000000005</v>
      </c>
      <c r="AX29" s="1227"/>
      <c r="AY29" s="1229">
        <f t="shared" ref="AY29:AY38" si="52">AW29*AX29*31.1035*1.1023</f>
        <v>0</v>
      </c>
      <c r="AZ29" s="596"/>
      <c r="BA29" s="1255">
        <f t="shared" ref="BA29:BA38" si="53">AY29*AZ29/100</f>
        <v>0</v>
      </c>
      <c r="BB29" s="1877" t="s">
        <v>5581</v>
      </c>
      <c r="BC29" s="1574">
        <f ca="1">+BB7</f>
        <v>4698.2280000000001</v>
      </c>
      <c r="BD29" s="1574">
        <f ca="1">+BC29</f>
        <v>4698.2280000000001</v>
      </c>
    </row>
    <row r="30" spans="1:56" ht="15" customHeight="1">
      <c r="A30" s="1491" t="s">
        <v>5252</v>
      </c>
      <c r="B30" s="1447">
        <v>46127</v>
      </c>
      <c r="C30" s="1447">
        <v>46119</v>
      </c>
      <c r="D30" t="s">
        <v>1967</v>
      </c>
      <c r="E30" s="762">
        <f>_xlfn.XLOOKUP(D30,RUC!$B$3:$B$123,RUC!$D$3:$D$123)</f>
        <v>20601769396</v>
      </c>
      <c r="G30" s="1082">
        <v>29</v>
      </c>
      <c r="H30" s="762" t="s">
        <v>2005</v>
      </c>
      <c r="I30" s="703">
        <v>2.0299999999999998</v>
      </c>
      <c r="J30" s="596">
        <v>7.35</v>
      </c>
      <c r="K30" s="703">
        <f t="shared" si="23"/>
        <v>1.881</v>
      </c>
      <c r="L30" s="1759">
        <v>0.11600000000000001</v>
      </c>
      <c r="M30" s="994">
        <f t="shared" si="49"/>
        <v>9.7000000000000003E-2</v>
      </c>
      <c r="N30" s="1196">
        <f t="shared" si="36"/>
        <v>9.7000000000000003E-2</v>
      </c>
      <c r="O30" s="645">
        <f t="shared" si="25"/>
        <v>9.7000000000000003E-2</v>
      </c>
      <c r="P30" s="727">
        <v>80</v>
      </c>
      <c r="Q30" s="1476">
        <v>94.44</v>
      </c>
      <c r="R30" s="706">
        <v>4611.7</v>
      </c>
      <c r="S30" s="765">
        <f>IF((_xlfn.XLOOKUP(D30,RUC!$B$3:$B$119,RUC!$E$3:$E$119)+ROUNDDOWN(O30,1)*100)&lt;95,95,((_xlfn.XLOOKUP(D30,RUC!$B$3:$B$119,RUC!$E$3:$E$119)+ROUNDDOWN(O30,1)*100)))</f>
        <v>95</v>
      </c>
      <c r="U30" s="1146">
        <f>_xlfn.XLOOKUP(D30,RUC!$B$3:$B$123,RUC!$F$3:$F$123)</f>
        <v>120</v>
      </c>
      <c r="V30" s="715">
        <v>1.1023000000000001</v>
      </c>
      <c r="Y30">
        <f>_xlfn.XLOOKUP(D30,RUC!$B$3:$B$123,RUC!$G$3:$G$123)</f>
        <v>20</v>
      </c>
      <c r="Z30" s="143">
        <f>_xlfn.XLOOKUP(D30,RUC!$B$3:$B$123,RUC!$H$3:$H$123)</f>
        <v>30</v>
      </c>
      <c r="AA30" s="144">
        <f t="shared" si="26"/>
        <v>50</v>
      </c>
      <c r="AB30" s="145">
        <v>1E-3</v>
      </c>
      <c r="AC30" s="145">
        <f>+(S30-T30)*V30-'data 1'!$F$4</f>
        <v>24.718500000000006</v>
      </c>
      <c r="AD30" s="145">
        <f t="shared" si="38"/>
        <v>82.934595722864003</v>
      </c>
      <c r="AE30" s="145">
        <f t="shared" si="39"/>
        <v>-14.884999999999998</v>
      </c>
      <c r="AF30" s="145">
        <f t="shared" si="40"/>
        <v>88.842368648676015</v>
      </c>
      <c r="AG30" s="772">
        <f>AC30+AD30+AE30+AF30+70-53+224.38</f>
        <v>422.99046437154004</v>
      </c>
      <c r="AH30" s="1253">
        <f t="shared" si="41"/>
        <v>7.0650000000000004</v>
      </c>
      <c r="AI30" s="1253">
        <f t="shared" si="42"/>
        <v>7.4809999999999999</v>
      </c>
      <c r="AJ30" s="156">
        <f t="shared" si="43"/>
        <v>49.30524883713602</v>
      </c>
      <c r="AK30" s="156">
        <f t="shared" si="44"/>
        <v>5.0044872379510803</v>
      </c>
      <c r="AM30" s="716">
        <f t="shared" si="45"/>
        <v>1.8810000000000001E-3</v>
      </c>
      <c r="AN30" s="716" t="str">
        <f>_xlfn.XLOOKUP(D30,RUC!$B$3:$B$578,RUC!$M$3:$M$578)</f>
        <v>Evelyn</v>
      </c>
      <c r="AO30" s="1167" t="s">
        <v>2280</v>
      </c>
      <c r="AP30" s="1082" t="s">
        <v>5257</v>
      </c>
      <c r="AQ30" s="1082" t="s">
        <v>3787</v>
      </c>
      <c r="AV30" s="1557" t="s">
        <v>2278</v>
      </c>
      <c r="AW30" s="703">
        <f t="shared" si="51"/>
        <v>160.09700000000001</v>
      </c>
      <c r="AX30" s="703"/>
      <c r="AY30" s="596">
        <f t="shared" si="52"/>
        <v>0</v>
      </c>
      <c r="AZ30" s="596"/>
      <c r="BA30" s="1256">
        <f t="shared" si="53"/>
        <v>0</v>
      </c>
      <c r="BB30" s="1878" t="s">
        <v>5582</v>
      </c>
      <c r="BC30" s="1576">
        <f>+'42'!BC32+'42'!BC33</f>
        <v>1367.1</v>
      </c>
      <c r="BD30" s="1895">
        <v>1498</v>
      </c>
    </row>
    <row r="31" spans="1:56" ht="15" customHeight="1">
      <c r="A31" s="747" t="s">
        <v>5253</v>
      </c>
      <c r="B31" s="1447">
        <v>46127</v>
      </c>
      <c r="C31" s="1447">
        <v>46119</v>
      </c>
      <c r="D31" t="s">
        <v>1967</v>
      </c>
      <c r="E31" s="762">
        <f>_xlfn.XLOOKUP(D31,RUC!$B$3:$B$123,RUC!$D$3:$D$123)</f>
        <v>20601769396</v>
      </c>
      <c r="G31" s="1082">
        <v>49</v>
      </c>
      <c r="H31" s="762" t="s">
        <v>69</v>
      </c>
      <c r="I31" s="703">
        <v>3.32</v>
      </c>
      <c r="J31" s="596">
        <v>4.4000000000000004</v>
      </c>
      <c r="K31" s="703">
        <f t="shared" si="23"/>
        <v>3.1739999999999999</v>
      </c>
      <c r="L31" s="1759">
        <v>0.122</v>
      </c>
      <c r="M31" s="994">
        <f t="shared" si="49"/>
        <v>0.10299999999999999</v>
      </c>
      <c r="N31" s="1196">
        <f t="shared" si="36"/>
        <v>0.10299999999999999</v>
      </c>
      <c r="O31" s="645">
        <f t="shared" si="25"/>
        <v>0.10299999999999999</v>
      </c>
      <c r="P31" s="727">
        <v>80</v>
      </c>
      <c r="Q31" s="1476">
        <v>94.03</v>
      </c>
      <c r="R31" s="706">
        <v>4611.7</v>
      </c>
      <c r="S31" s="765">
        <f>IF((_xlfn.XLOOKUP(D31,RUC!$B$3:$B$119,RUC!$E$3:$E$119)+ROUNDDOWN(O31,1)*100)&lt;95,95,((_xlfn.XLOOKUP(D31,RUC!$B$3:$B$119,RUC!$E$3:$E$119)+ROUNDDOWN(O31,1)*100)))</f>
        <v>100</v>
      </c>
      <c r="U31" s="1146">
        <f>_xlfn.XLOOKUP(D31,RUC!$B$3:$B$123,RUC!$F$3:$F$123)</f>
        <v>120</v>
      </c>
      <c r="V31" s="715">
        <v>1.1023000000000001</v>
      </c>
      <c r="Y31">
        <f>_xlfn.XLOOKUP(D31,RUC!$B$3:$B$123,RUC!$G$3:$G$123)</f>
        <v>20</v>
      </c>
      <c r="Z31" s="143">
        <f>_xlfn.XLOOKUP(D31,RUC!$B$3:$B$123,RUC!$H$3:$H$123)</f>
        <v>30</v>
      </c>
      <c r="AA31" s="144">
        <f t="shared" si="26"/>
        <v>50</v>
      </c>
      <c r="AB31" s="145">
        <f t="shared" si="37"/>
        <v>242.63395498400001</v>
      </c>
      <c r="AC31" s="145">
        <f>+(S31-T31)*V31-'data 1'!$F$4</f>
        <v>30.230000000000004</v>
      </c>
      <c r="AD31" s="145">
        <f t="shared" si="38"/>
        <v>84.747725496106</v>
      </c>
      <c r="AE31" s="145">
        <f t="shared" si="39"/>
        <v>-14.884999999999998</v>
      </c>
      <c r="AF31" s="145">
        <f t="shared" si="40"/>
        <v>88.456670097787025</v>
      </c>
      <c r="AG31" s="772">
        <f t="shared" si="50"/>
        <v>205.549395593893</v>
      </c>
      <c r="AH31" s="1253">
        <f t="shared" si="41"/>
        <v>12.484</v>
      </c>
      <c r="AI31" s="1253">
        <f t="shared" si="42"/>
        <v>13.276</v>
      </c>
      <c r="AJ31" s="156">
        <f t="shared" si="43"/>
        <v>51.630395769894022</v>
      </c>
      <c r="AK31" s="156">
        <f t="shared" si="44"/>
        <v>8.9669181056656786</v>
      </c>
      <c r="AM31" s="716">
        <f t="shared" si="45"/>
        <v>770.12017311921602</v>
      </c>
      <c r="AN31" s="716" t="str">
        <f>_xlfn.XLOOKUP(D31,RUC!$B$3:$B$578,RUC!$M$3:$M$578)</f>
        <v>Evelyn</v>
      </c>
      <c r="AO31" s="1167" t="s">
        <v>2278</v>
      </c>
      <c r="AP31" s="1082" t="s">
        <v>5257</v>
      </c>
      <c r="AQ31" s="1082" t="s">
        <v>3787</v>
      </c>
      <c r="AV31" s="1557" t="s">
        <v>2280</v>
      </c>
      <c r="AW31" s="703">
        <f t="shared" si="51"/>
        <v>167.00999999999991</v>
      </c>
      <c r="AX31" s="703"/>
      <c r="AY31" s="596">
        <f t="shared" si="52"/>
        <v>0</v>
      </c>
      <c r="AZ31" s="596"/>
      <c r="BA31" s="1256">
        <f t="shared" si="53"/>
        <v>0</v>
      </c>
      <c r="BB31" s="1879" t="s">
        <v>5583</v>
      </c>
      <c r="BC31" s="1815">
        <v>4732.9840000000004</v>
      </c>
      <c r="BD31" s="1815">
        <f>+BC31</f>
        <v>4732.9840000000004</v>
      </c>
    </row>
    <row r="32" spans="1:56" ht="15" customHeight="1">
      <c r="A32" s="747" t="s">
        <v>5260</v>
      </c>
      <c r="B32" s="1447">
        <v>46125</v>
      </c>
      <c r="C32" s="1447">
        <v>46121</v>
      </c>
      <c r="D32" t="s">
        <v>5265</v>
      </c>
      <c r="E32" s="762">
        <f>_xlfn.XLOOKUP(D32,RUC!$B$3:$B$123,RUC!$D$3:$D$123)</f>
        <v>20609653036</v>
      </c>
      <c r="G32" s="1822" t="s">
        <v>2985</v>
      </c>
      <c r="H32" s="1810" t="s">
        <v>69</v>
      </c>
      <c r="I32" s="703">
        <v>13.97</v>
      </c>
      <c r="J32" s="596">
        <v>2.2000000000000002</v>
      </c>
      <c r="K32" s="703">
        <f t="shared" si="23"/>
        <v>13.663</v>
      </c>
      <c r="L32" s="1745">
        <v>0.17499999999999999</v>
      </c>
      <c r="M32" s="994">
        <f t="shared" si="49"/>
        <v>0.156</v>
      </c>
      <c r="N32" s="1196">
        <f t="shared" si="36"/>
        <v>0.156</v>
      </c>
      <c r="O32" s="645">
        <f t="shared" si="25"/>
        <v>0.156</v>
      </c>
      <c r="P32" s="727">
        <v>85</v>
      </c>
      <c r="Q32" s="1476">
        <v>93.71</v>
      </c>
      <c r="R32" s="706">
        <v>4762.6000000000004</v>
      </c>
      <c r="S32" s="765">
        <f>IF((_xlfn.XLOOKUP(D32,RUC!$B$3:$B$119,RUC!$E$3:$E$119)+ROUNDDOWN(O32,1)*100)&lt;95,95,((_xlfn.XLOOKUP(D32,RUC!$B$3:$B$119,RUC!$E$3:$E$119)+ROUNDDOWN(O32,1)*100)))</f>
        <v>95</v>
      </c>
      <c r="U32" s="1146">
        <f>_xlfn.XLOOKUP(D32,RUC!$B$3:$B$123,RUC!$F$3:$F$123)</f>
        <v>110</v>
      </c>
      <c r="V32" s="715">
        <v>1.1023000000000001</v>
      </c>
      <c r="Y32" s="1445">
        <f>_xlfn.XLOOKUP(D32,RUC!$B$3:$B$123,RUC!$G$3:$G$123)</f>
        <v>0</v>
      </c>
      <c r="Z32" s="143">
        <f>_xlfn.XLOOKUP(D32,RUC!$B$3:$B$123,RUC!$H$3:$H$123)</f>
        <v>35</v>
      </c>
      <c r="AA32" s="144">
        <f t="shared" si="26"/>
        <v>35</v>
      </c>
      <c r="AB32" s="145">
        <f t="shared" si="37"/>
        <v>536.74818594800001</v>
      </c>
      <c r="AC32" s="145">
        <f>+(S32-T32)*V32-'data 1'!$F$4</f>
        <v>24.718500000000006</v>
      </c>
      <c r="AD32" s="145">
        <f t="shared" si="38"/>
        <v>78.172090737649938</v>
      </c>
      <c r="AE32" s="145">
        <f t="shared" si="39"/>
        <v>-31.419499999999999</v>
      </c>
      <c r="AF32" s="145">
        <f t="shared" si="40"/>
        <v>91.313515392801961</v>
      </c>
      <c r="AG32" s="772">
        <f t="shared" si="50"/>
        <v>179.78460613045189</v>
      </c>
      <c r="AH32" s="1253">
        <f t="shared" si="41"/>
        <v>76.820999999999998</v>
      </c>
      <c r="AI32" s="1253">
        <f t="shared" si="42"/>
        <v>81.977000000000004</v>
      </c>
      <c r="AJ32" s="156">
        <f t="shared" si="43"/>
        <v>44.722233962349925</v>
      </c>
      <c r="AK32" s="156">
        <f t="shared" si="44"/>
        <v>62.115310668540097</v>
      </c>
      <c r="AM32" s="716">
        <f t="shared" si="45"/>
        <v>7333.5904646075242</v>
      </c>
      <c r="AN32" s="716" t="str">
        <f>_xlfn.XLOOKUP(D32,RUC!$B$3:$B$578,RUC!$M$3:$M$578)</f>
        <v>Robinson Tuya</v>
      </c>
      <c r="AO32" s="1167" t="s">
        <v>2277</v>
      </c>
      <c r="AP32" s="1846" t="s">
        <v>4439</v>
      </c>
      <c r="AQ32" s="1846" t="s">
        <v>4973</v>
      </c>
      <c r="AV32" s="1557" t="s">
        <v>2279</v>
      </c>
      <c r="AW32" s="703">
        <f t="shared" si="51"/>
        <v>76.832999999999998</v>
      </c>
      <c r="AX32" s="703"/>
      <c r="AY32" s="596">
        <f t="shared" si="52"/>
        <v>0</v>
      </c>
      <c r="AZ32" s="596"/>
      <c r="BA32" s="1256">
        <f t="shared" si="53"/>
        <v>0</v>
      </c>
      <c r="BB32" s="1879" t="s">
        <v>5584</v>
      </c>
      <c r="BC32" s="1815">
        <v>1131.1500000000001</v>
      </c>
      <c r="BD32" s="1815">
        <f>+BC32</f>
        <v>1131.1500000000001</v>
      </c>
    </row>
    <row r="33" spans="1:56" ht="15" customHeight="1">
      <c r="A33" s="747" t="s">
        <v>5261</v>
      </c>
      <c r="B33" s="1447">
        <v>46132</v>
      </c>
      <c r="C33" s="1544">
        <v>46121</v>
      </c>
      <c r="D33" t="s">
        <v>1967</v>
      </c>
      <c r="E33" s="762">
        <f>_xlfn.XLOOKUP(D33,RUC!$B$3:$B$123,RUC!$D$3:$D$123)</f>
        <v>20601769396</v>
      </c>
      <c r="F33" s="629" t="s">
        <v>5397</v>
      </c>
      <c r="G33" s="1082">
        <v>24</v>
      </c>
      <c r="H33" s="762" t="s">
        <v>69</v>
      </c>
      <c r="I33" s="703">
        <v>2.33</v>
      </c>
      <c r="J33" s="596">
        <v>10</v>
      </c>
      <c r="K33" s="703">
        <f t="shared" si="23"/>
        <v>2.097</v>
      </c>
      <c r="L33" s="1745">
        <v>0.19600000000000001</v>
      </c>
      <c r="M33" s="994">
        <f t="shared" si="49"/>
        <v>0.17699999999999999</v>
      </c>
      <c r="N33" s="1196">
        <f t="shared" si="36"/>
        <v>0.17699999999999999</v>
      </c>
      <c r="O33" s="645">
        <f t="shared" si="25"/>
        <v>0.17699999999999999</v>
      </c>
      <c r="P33" s="727">
        <v>85</v>
      </c>
      <c r="Q33" s="1476">
        <v>93.37</v>
      </c>
      <c r="R33" s="706">
        <v>4762.6000000000004</v>
      </c>
      <c r="S33" s="765">
        <f>IF((_xlfn.XLOOKUP(D33,RUC!$B$3:$B$119,RUC!$E$3:$E$119)+ROUNDDOWN(O33,1)*100)&lt;95,95,((_xlfn.XLOOKUP(D33,RUC!$B$3:$B$119,RUC!$E$3:$E$119)+ROUNDDOWN(O33,1)*100)))</f>
        <v>100</v>
      </c>
      <c r="U33" s="1146">
        <f>_xlfn.XLOOKUP(D33,RUC!$B$3:$B$123,RUC!$F$3:$F$123)</f>
        <v>120</v>
      </c>
      <c r="V33" s="715">
        <v>1.1023000000000001</v>
      </c>
      <c r="Y33" s="1445">
        <v>0</v>
      </c>
      <c r="Z33" s="143">
        <f>_xlfn.XLOOKUP(D33,RUC!$B$3:$B$123,RUC!$H$3:$H$123)</f>
        <v>30</v>
      </c>
      <c r="AA33" s="144">
        <f t="shared" si="26"/>
        <v>30</v>
      </c>
      <c r="AB33" s="145">
        <f t="shared" si="37"/>
        <v>626.63458909100007</v>
      </c>
      <c r="AC33" s="145">
        <f>+(S33-T33)*V33-'data 1'!$F$4</f>
        <v>30.230000000000004</v>
      </c>
      <c r="AD33" s="145">
        <f t="shared" si="38"/>
        <v>83.954234069496067</v>
      </c>
      <c r="AE33" s="145">
        <f t="shared" si="39"/>
        <v>-36.930999999999997</v>
      </c>
      <c r="AF33" s="145">
        <f t="shared" si="40"/>
        <v>90.786659026594094</v>
      </c>
      <c r="AG33" s="772">
        <f t="shared" si="50"/>
        <v>185.03989309609017</v>
      </c>
      <c r="AH33" s="1253">
        <f t="shared" si="41"/>
        <v>13.157</v>
      </c>
      <c r="AI33" s="1253">
        <f t="shared" si="42"/>
        <v>14.092000000000001</v>
      </c>
      <c r="AJ33" s="156">
        <f t="shared" si="43"/>
        <v>51.924435066503939</v>
      </c>
      <c r="AK33" s="156">
        <f t="shared" si="44"/>
        <v>10.816822217560881</v>
      </c>
      <c r="AM33" s="716">
        <f t="shared" si="45"/>
        <v>1314.0527333238272</v>
      </c>
      <c r="AN33" s="716" t="str">
        <f>_xlfn.XLOOKUP(D33,RUC!$B$3:$B$578,RUC!$M$3:$M$578)</f>
        <v>Evelyn</v>
      </c>
      <c r="AO33" s="1167" t="s">
        <v>2278</v>
      </c>
      <c r="AP33" s="1082" t="s">
        <v>4560</v>
      </c>
      <c r="AQ33" s="1082" t="s">
        <v>5325</v>
      </c>
      <c r="AV33" s="1557" t="s">
        <v>2281</v>
      </c>
      <c r="AW33" s="703">
        <f t="shared" si="51"/>
        <v>0</v>
      </c>
      <c r="AX33" s="703"/>
      <c r="AY33" s="596">
        <f t="shared" si="52"/>
        <v>0</v>
      </c>
      <c r="AZ33" s="596"/>
      <c r="BA33" s="1256">
        <f t="shared" si="53"/>
        <v>0</v>
      </c>
      <c r="BB33" s="1879" t="s">
        <v>5585</v>
      </c>
      <c r="BC33" s="1581">
        <v>215.4</v>
      </c>
      <c r="BD33" s="1581">
        <f>+BC33</f>
        <v>215.4</v>
      </c>
    </row>
    <row r="34" spans="1:56" ht="15" customHeight="1">
      <c r="A34" s="747" t="s">
        <v>5262</v>
      </c>
      <c r="B34" s="1447">
        <v>46132</v>
      </c>
      <c r="C34" s="1544">
        <v>46121</v>
      </c>
      <c r="D34" t="s">
        <v>1967</v>
      </c>
      <c r="E34" s="762">
        <f>_xlfn.XLOOKUP(D34,RUC!$B$3:$B$123,RUC!$D$3:$D$123)</f>
        <v>20601769396</v>
      </c>
      <c r="F34" s="629" t="s">
        <v>5397</v>
      </c>
      <c r="G34" s="1082">
        <v>52</v>
      </c>
      <c r="H34" s="762" t="s">
        <v>2005</v>
      </c>
      <c r="I34" s="703">
        <v>4.92</v>
      </c>
      <c r="J34" s="596">
        <v>10.17</v>
      </c>
      <c r="K34" s="703">
        <f t="shared" si="23"/>
        <v>4.42</v>
      </c>
      <c r="L34" s="1745">
        <v>0.29199999999999998</v>
      </c>
      <c r="M34" s="994">
        <f t="shared" si="49"/>
        <v>0.27300000000000002</v>
      </c>
      <c r="N34" s="1196">
        <f t="shared" si="36"/>
        <v>0.27300000000000002</v>
      </c>
      <c r="O34" s="645">
        <f t="shared" si="25"/>
        <v>0.27300000000000002</v>
      </c>
      <c r="P34" s="727">
        <v>90</v>
      </c>
      <c r="Q34" s="1476">
        <v>90.75</v>
      </c>
      <c r="R34" s="706">
        <v>4762.6000000000004</v>
      </c>
      <c r="S34" s="765">
        <f>IF((_xlfn.XLOOKUP(D34,RUC!$B$3:$B$119,RUC!$E$3:$E$119)+ROUNDDOWN(O34,1)*100)&lt;95,95,((_xlfn.XLOOKUP(D34,RUC!$B$3:$B$119,RUC!$E$3:$E$119)+ROUNDDOWN(O34,1)*100)))</f>
        <v>110</v>
      </c>
      <c r="U34" s="1146">
        <f>_xlfn.XLOOKUP(D34,RUC!$B$3:$B$123,RUC!$F$3:$F$123)</f>
        <v>120</v>
      </c>
      <c r="V34" s="715">
        <v>1.1023000000000001</v>
      </c>
      <c r="Y34" s="1445">
        <v>0</v>
      </c>
      <c r="Z34" s="143">
        <f>_xlfn.XLOOKUP(D34,RUC!$B$3:$B$123,RUC!$H$3:$H$123)</f>
        <v>30</v>
      </c>
      <c r="AA34" s="144">
        <f t="shared" si="26"/>
        <v>30</v>
      </c>
      <c r="AB34" s="145">
        <f t="shared" si="37"/>
        <v>1103.0570816860002</v>
      </c>
      <c r="AC34" s="145">
        <f>+(S34-T34)*V34-'data 1'!$F$4</f>
        <v>41.253</v>
      </c>
      <c r="AD34" s="145">
        <f t="shared" si="38"/>
        <v>11.207408176200001</v>
      </c>
      <c r="AE34" s="145">
        <f t="shared" si="39"/>
        <v>-36.930999999999997</v>
      </c>
      <c r="AF34" s="145">
        <f t="shared" si="40"/>
        <v>88.239148620149848</v>
      </c>
      <c r="AG34" s="772">
        <f t="shared" si="50"/>
        <v>120.76855679634986</v>
      </c>
      <c r="AH34" s="1253">
        <f t="shared" si="41"/>
        <v>40.156999999999996</v>
      </c>
      <c r="AI34" s="1253">
        <f t="shared" si="42"/>
        <v>44.25</v>
      </c>
      <c r="AJ34" s="156">
        <f t="shared" si="43"/>
        <v>75.186147979799912</v>
      </c>
      <c r="AK34" s="156">
        <f t="shared" si="44"/>
        <v>37.233725709971701</v>
      </c>
      <c r="AM34" s="716">
        <f t="shared" si="45"/>
        <v>4875.5123010521211</v>
      </c>
      <c r="AN34" s="716" t="str">
        <f>_xlfn.XLOOKUP(D34,RUC!$B$3:$B$578,RUC!$M$3:$M$578)</f>
        <v>Evelyn</v>
      </c>
      <c r="AO34" s="1167" t="s">
        <v>2278</v>
      </c>
      <c r="AP34" s="1082" t="s">
        <v>4560</v>
      </c>
      <c r="AQ34" s="1082" t="s">
        <v>5325</v>
      </c>
      <c r="AV34" s="1557" t="s">
        <v>2297</v>
      </c>
      <c r="AW34" s="703">
        <f t="shared" si="51"/>
        <v>0</v>
      </c>
      <c r="AY34" s="596">
        <f t="shared" si="52"/>
        <v>0</v>
      </c>
      <c r="BA34" s="1256">
        <f t="shared" si="53"/>
        <v>0</v>
      </c>
      <c r="BB34" s="1579" t="s">
        <v>3206</v>
      </c>
      <c r="BC34" s="1580">
        <f ca="1">-BC29-BC30+BC31+BC32+BC33</f>
        <v>14.206000000000955</v>
      </c>
      <c r="BD34" s="1580">
        <f ca="1">-BD29-BD30+BD31+BD32+BD33</f>
        <v>-116.69399999999959</v>
      </c>
    </row>
    <row r="35" spans="1:56" ht="15" customHeight="1">
      <c r="A35" s="747" t="s">
        <v>5263</v>
      </c>
      <c r="B35" s="1447">
        <v>46132</v>
      </c>
      <c r="C35" s="1544">
        <v>46121</v>
      </c>
      <c r="D35" t="s">
        <v>1967</v>
      </c>
      <c r="E35" s="762">
        <f>_xlfn.XLOOKUP(D35,RUC!$B$3:$B$123,RUC!$D$3:$D$123)</f>
        <v>20601769396</v>
      </c>
      <c r="F35" s="629" t="s">
        <v>5397</v>
      </c>
      <c r="G35" s="1082">
        <v>60</v>
      </c>
      <c r="H35" s="762" t="s">
        <v>2005</v>
      </c>
      <c r="I35" s="703">
        <v>5.46</v>
      </c>
      <c r="J35" s="596">
        <v>12.1</v>
      </c>
      <c r="K35" s="703">
        <f t="shared" si="23"/>
        <v>4.7990000000000004</v>
      </c>
      <c r="L35" s="1745">
        <v>0.377</v>
      </c>
      <c r="M35" s="994">
        <v>0.30099999999999999</v>
      </c>
      <c r="N35" s="1196">
        <f t="shared" si="36"/>
        <v>0.30099999999999999</v>
      </c>
      <c r="O35" s="645">
        <f t="shared" si="25"/>
        <v>0.30099999999999999</v>
      </c>
      <c r="P35" s="727">
        <v>88</v>
      </c>
      <c r="Q35" s="1572">
        <v>90.98</v>
      </c>
      <c r="R35" s="706">
        <v>4762.6000000000004</v>
      </c>
      <c r="S35" s="765">
        <f>IF((_xlfn.XLOOKUP(D35,RUC!$B$3:$B$119,RUC!$E$3:$E$119)+ROUNDDOWN(O35,1)*100)&lt;95,95,((_xlfn.XLOOKUP(D35,RUC!$B$3:$B$119,RUC!$E$3:$E$119)+ROUNDDOWN(O35,1)*100)))</f>
        <v>120</v>
      </c>
      <c r="U35" s="1146">
        <f>_xlfn.XLOOKUP(D35,RUC!$B$3:$B$123,RUC!$F$3:$F$123)</f>
        <v>120</v>
      </c>
      <c r="V35" s="715">
        <v>1.1023000000000001</v>
      </c>
      <c r="Y35">
        <f>_xlfn.XLOOKUP(D35,RUC!$B$3:$B$123,RUC!$G$3:$G$123)</f>
        <v>20</v>
      </c>
      <c r="Z35" s="143">
        <f>_xlfn.XLOOKUP(D35,RUC!$B$3:$B$123,RUC!$H$3:$H$123)</f>
        <v>30</v>
      </c>
      <c r="AA35" s="144">
        <f t="shared" si="26"/>
        <v>50</v>
      </c>
      <c r="AB35" s="145">
        <f t="shared" si="37"/>
        <v>1168.1424601424001</v>
      </c>
      <c r="AC35" s="145">
        <f>+(S35-T35)*V35-'data 1'!$F$4</f>
        <v>52.27600000000001</v>
      </c>
      <c r="AD35" s="145">
        <f t="shared" si="38"/>
        <v>57.493492190108078</v>
      </c>
      <c r="AE35" s="145">
        <f t="shared" si="39"/>
        <v>-14.884999999999998</v>
      </c>
      <c r="AF35" s="145">
        <f t="shared" si="40"/>
        <v>353.85114011950412</v>
      </c>
      <c r="AG35" s="772">
        <f t="shared" si="50"/>
        <v>465.73563230961224</v>
      </c>
      <c r="AH35" s="1253">
        <f t="shared" si="41"/>
        <v>56.435000000000002</v>
      </c>
      <c r="AI35" s="1253">
        <f t="shared" si="42"/>
        <v>62.03</v>
      </c>
      <c r="AJ35" s="156">
        <f t="shared" si="43"/>
        <v>97.318550707091873</v>
      </c>
      <c r="AK35" s="156">
        <f t="shared" si="44"/>
        <v>43.582183702496522</v>
      </c>
      <c r="AM35" s="716">
        <f t="shared" si="45"/>
        <v>5605.9156662233781</v>
      </c>
      <c r="AN35" s="716" t="str">
        <f>_xlfn.XLOOKUP(D35,RUC!$B$3:$B$578,RUC!$M$3:$M$578)</f>
        <v>Evelyn</v>
      </c>
      <c r="AO35" s="1167" t="s">
        <v>2278</v>
      </c>
      <c r="AP35" s="1082" t="s">
        <v>4560</v>
      </c>
      <c r="AQ35" s="1082" t="s">
        <v>5325</v>
      </c>
      <c r="AV35" s="1557" t="s">
        <v>2518</v>
      </c>
      <c r="AW35" s="703">
        <f t="shared" si="51"/>
        <v>0</v>
      </c>
      <c r="AY35" s="596">
        <f t="shared" si="52"/>
        <v>0</v>
      </c>
      <c r="BA35" s="1256">
        <f t="shared" si="53"/>
        <v>0</v>
      </c>
    </row>
    <row r="36" spans="1:56" ht="15" customHeight="1">
      <c r="A36" s="747" t="s">
        <v>5264</v>
      </c>
      <c r="B36" s="1447">
        <v>46132</v>
      </c>
      <c r="C36" s="1544">
        <v>46121</v>
      </c>
      <c r="D36" t="s">
        <v>1967</v>
      </c>
      <c r="E36" s="762">
        <f>_xlfn.XLOOKUP(D36,RUC!$B$3:$B$123,RUC!$D$3:$D$123)</f>
        <v>20601769396</v>
      </c>
      <c r="G36" s="1082">
        <v>20</v>
      </c>
      <c r="H36" s="762" t="s">
        <v>69</v>
      </c>
      <c r="I36" s="703">
        <v>1.58</v>
      </c>
      <c r="J36" s="596">
        <v>2.7</v>
      </c>
      <c r="K36" s="703">
        <f t="shared" si="23"/>
        <v>1.5369999999999999</v>
      </c>
      <c r="L36" s="1745">
        <v>0.20300000000000001</v>
      </c>
      <c r="M36" s="994">
        <v>0.16</v>
      </c>
      <c r="N36" s="1196">
        <f t="shared" si="36"/>
        <v>0.16</v>
      </c>
      <c r="O36" s="645">
        <f t="shared" si="25"/>
        <v>0.16</v>
      </c>
      <c r="P36" s="727">
        <v>83</v>
      </c>
      <c r="Q36" s="1572">
        <v>88.06</v>
      </c>
      <c r="R36" s="706">
        <v>4762.6000000000004</v>
      </c>
      <c r="S36" s="765">
        <f>IF((_xlfn.XLOOKUP(D36,RUC!$B$3:$B$119,RUC!$E$3:$E$119)+ROUNDDOWN(O36,1)*100)&lt;95,95,((_xlfn.XLOOKUP(D36,RUC!$B$3:$B$119,RUC!$E$3:$E$119)+ROUNDDOWN(O36,1)*100)))</f>
        <v>100</v>
      </c>
      <c r="U36" s="1146">
        <f>_xlfn.XLOOKUP(D36,RUC!$B$3:$B$123,RUC!$F$3:$F$123)</f>
        <v>120</v>
      </c>
      <c r="V36" s="715">
        <v>1.1023000000000001</v>
      </c>
      <c r="Y36">
        <f>_xlfn.XLOOKUP(D36,RUC!$B$3:$B$123,RUC!$G$3:$G$123)</f>
        <v>20</v>
      </c>
      <c r="Z36" s="143">
        <f>_xlfn.XLOOKUP(D36,RUC!$B$3:$B$123,RUC!$H$3:$H$123)</f>
        <v>30</v>
      </c>
      <c r="AA36" s="144">
        <f t="shared" si="26"/>
        <v>50</v>
      </c>
      <c r="AB36" s="145">
        <f t="shared" si="37"/>
        <v>514.26404374400022</v>
      </c>
      <c r="AC36" s="145">
        <f>+(S36-T36)*V36-'data 1'!$F$4</f>
        <v>30.230000000000004</v>
      </c>
      <c r="AD36" s="145">
        <f t="shared" si="38"/>
        <v>52.566326622964034</v>
      </c>
      <c r="AE36" s="145">
        <f t="shared" si="39"/>
        <v>-14.884999999999998</v>
      </c>
      <c r="AF36" s="145">
        <f t="shared" si="40"/>
        <v>193.77966964308408</v>
      </c>
      <c r="AG36" s="772">
        <f t="shared" si="50"/>
        <v>278.69099626604816</v>
      </c>
      <c r="AH36" s="1253">
        <f t="shared" si="41"/>
        <v>9.42</v>
      </c>
      <c r="AI36" s="1253">
        <f t="shared" si="42"/>
        <v>10.696999999999999</v>
      </c>
      <c r="AJ36" s="156">
        <f t="shared" si="43"/>
        <v>50.720446612835943</v>
      </c>
      <c r="AK36" s="156">
        <f t="shared" si="44"/>
        <v>6.9981139822824794</v>
      </c>
      <c r="AM36" s="716">
        <f t="shared" si="45"/>
        <v>790.42383523452827</v>
      </c>
      <c r="AN36" s="716" t="str">
        <f>_xlfn.XLOOKUP(D36,RUC!$B$3:$B$578,RUC!$M$3:$M$578)</f>
        <v>Evelyn</v>
      </c>
      <c r="AO36" s="1167" t="s">
        <v>2278</v>
      </c>
      <c r="AP36" s="1082" t="s">
        <v>4560</v>
      </c>
      <c r="AQ36" s="1082" t="s">
        <v>5325</v>
      </c>
      <c r="AV36" s="1557" t="s">
        <v>2519</v>
      </c>
      <c r="AW36" s="703">
        <f t="shared" si="51"/>
        <v>0</v>
      </c>
      <c r="AY36" s="596">
        <f t="shared" si="52"/>
        <v>0</v>
      </c>
      <c r="BA36" s="1256">
        <f t="shared" si="53"/>
        <v>0</v>
      </c>
    </row>
    <row r="37" spans="1:56" ht="15" customHeight="1">
      <c r="A37" s="747" t="s">
        <v>5274</v>
      </c>
      <c r="B37" s="1447">
        <v>46132</v>
      </c>
      <c r="C37" s="1544">
        <v>46121</v>
      </c>
      <c r="D37" t="s">
        <v>1967</v>
      </c>
      <c r="E37" s="762">
        <f>_xlfn.XLOOKUP(D37,RUC!$B$3:$B$123,RUC!$D$3:$D$123)</f>
        <v>20601769396</v>
      </c>
      <c r="G37" s="1082">
        <v>20</v>
      </c>
      <c r="H37" s="762" t="s">
        <v>2005</v>
      </c>
      <c r="I37" s="703">
        <v>1.66</v>
      </c>
      <c r="J37" s="596">
        <v>9.1999999999999993</v>
      </c>
      <c r="K37" s="703">
        <f t="shared" si="23"/>
        <v>1.5069999999999999</v>
      </c>
      <c r="L37" s="1745">
        <v>0.36899999999999999</v>
      </c>
      <c r="M37" s="994">
        <f t="shared" si="49"/>
        <v>0.34699999999999998</v>
      </c>
      <c r="N37" s="1196">
        <f t="shared" si="36"/>
        <v>0.34699999999999998</v>
      </c>
      <c r="O37" s="645">
        <f t="shared" si="25"/>
        <v>0.34699999999999998</v>
      </c>
      <c r="P37" s="727">
        <v>90</v>
      </c>
      <c r="Q37" s="1476">
        <v>95.39</v>
      </c>
      <c r="R37" s="706">
        <v>4762.6000000000004</v>
      </c>
      <c r="S37" s="765">
        <f>IF((_xlfn.XLOOKUP(D37,RUC!$B$3:$B$119,RUC!$E$3:$E$119)+ROUNDDOWN(O37,1)*100)&lt;95,95,((_xlfn.XLOOKUP(D37,RUC!$B$3:$B$119,RUC!$E$3:$E$119)+ROUNDDOWN(O37,1)*100)))</f>
        <v>120</v>
      </c>
      <c r="U37" s="1146">
        <f>_xlfn.XLOOKUP(D37,RUC!$B$3:$B$123,RUC!$F$3:$F$123)</f>
        <v>120</v>
      </c>
      <c r="V37" s="715">
        <v>1.1023000000000001</v>
      </c>
      <c r="Y37">
        <f>_xlfn.XLOOKUP(D37,RUC!$B$3:$B$123,RUC!$G$3:$G$123)</f>
        <v>20</v>
      </c>
      <c r="Z37" s="143">
        <f>_xlfn.XLOOKUP(D37,RUC!$B$3:$B$123,RUC!$H$3:$H$123)</f>
        <v>30</v>
      </c>
      <c r="AA37" s="144">
        <f t="shared" si="26"/>
        <v>50</v>
      </c>
      <c r="AB37" s="145">
        <f t="shared" si="37"/>
        <v>1410.8161111539998</v>
      </c>
      <c r="AC37" s="145">
        <f>+(S37-T37)*V37-'data 1'!$F$4</f>
        <v>52.27600000000001</v>
      </c>
      <c r="AD37" s="145">
        <f t="shared" si="38"/>
        <v>101.78322463801804</v>
      </c>
      <c r="AE37" s="145">
        <f t="shared" si="39"/>
        <v>-14.884999999999998</v>
      </c>
      <c r="AF37" s="145">
        <f t="shared" si="40"/>
        <v>107.3956285406841</v>
      </c>
      <c r="AG37" s="772">
        <f t="shared" si="50"/>
        <v>263.56985317870215</v>
      </c>
      <c r="AH37" s="1253">
        <f t="shared" si="41"/>
        <v>18.187000000000001</v>
      </c>
      <c r="AI37" s="1253">
        <f t="shared" si="42"/>
        <v>19.065999999999999</v>
      </c>
      <c r="AJ37" s="156">
        <f t="shared" si="43"/>
        <v>99.870578360981867</v>
      </c>
      <c r="AK37" s="156">
        <f t="shared" si="44"/>
        <v>16.135941318838604</v>
      </c>
      <c r="AM37" s="716">
        <f t="shared" si="45"/>
        <v>2126.0998795090777</v>
      </c>
      <c r="AN37" s="716" t="str">
        <f>_xlfn.XLOOKUP(D37,RUC!$B$3:$B$578,RUC!$M$3:$M$578)</f>
        <v>Evelyn</v>
      </c>
      <c r="AO37" s="1167" t="s">
        <v>2280</v>
      </c>
      <c r="AP37" s="1082" t="s">
        <v>4560</v>
      </c>
      <c r="AQ37" s="1082" t="s">
        <v>5325</v>
      </c>
      <c r="AV37" s="1557" t="s">
        <v>2520</v>
      </c>
      <c r="AW37" s="703">
        <f t="shared" si="51"/>
        <v>0</v>
      </c>
      <c r="AY37" s="596">
        <f t="shared" si="52"/>
        <v>0</v>
      </c>
      <c r="BA37" s="1256">
        <f t="shared" si="53"/>
        <v>0</v>
      </c>
    </row>
    <row r="38" spans="1:56" ht="15" customHeight="1" thickBot="1">
      <c r="A38" s="747" t="s">
        <v>5275</v>
      </c>
      <c r="B38" s="1447">
        <v>46132</v>
      </c>
      <c r="C38" s="1544">
        <v>46121</v>
      </c>
      <c r="D38" t="s">
        <v>1967</v>
      </c>
      <c r="E38" s="762">
        <f>_xlfn.XLOOKUP(D38,RUC!$B$3:$B$123,RUC!$D$3:$D$123)</f>
        <v>20601769396</v>
      </c>
      <c r="G38" s="1082">
        <v>20</v>
      </c>
      <c r="H38" s="762" t="s">
        <v>2005</v>
      </c>
      <c r="I38" s="703">
        <v>1.64</v>
      </c>
      <c r="J38" s="596">
        <v>10</v>
      </c>
      <c r="K38" s="703">
        <f t="shared" si="23"/>
        <v>1.476</v>
      </c>
      <c r="L38" s="1745">
        <v>0.27700000000000002</v>
      </c>
      <c r="M38" s="994">
        <v>0.22</v>
      </c>
      <c r="N38" s="1196">
        <f t="shared" si="36"/>
        <v>0.22</v>
      </c>
      <c r="O38" s="645">
        <f t="shared" si="25"/>
        <v>0.22</v>
      </c>
      <c r="P38" s="727">
        <v>90</v>
      </c>
      <c r="Q38" s="1476">
        <v>97.11</v>
      </c>
      <c r="R38" s="706">
        <v>4762.6000000000004</v>
      </c>
      <c r="S38" s="765">
        <f>IF((_xlfn.XLOOKUP(D38,RUC!$B$3:$B$119,RUC!$E$3:$E$119)+ROUNDDOWN(O38,1)*100)&lt;95,95,((_xlfn.XLOOKUP(D38,RUC!$B$3:$B$119,RUC!$E$3:$E$119)+ROUNDDOWN(O38,1)*100)))</f>
        <v>110</v>
      </c>
      <c r="U38" s="1146">
        <f>_xlfn.XLOOKUP(D38,RUC!$B$3:$B$123,RUC!$F$3:$F$123)</f>
        <v>120</v>
      </c>
      <c r="V38" s="715">
        <v>1.1023000000000001</v>
      </c>
      <c r="Y38">
        <f>_xlfn.XLOOKUP(D38,RUC!$B$3:$B$123,RUC!$G$3:$G$123)</f>
        <v>20</v>
      </c>
      <c r="Z38" s="143">
        <f>_xlfn.XLOOKUP(D38,RUC!$B$3:$B$123,RUC!$H$3:$H$123)</f>
        <v>30</v>
      </c>
      <c r="AA38" s="144">
        <f t="shared" si="26"/>
        <v>50</v>
      </c>
      <c r="AB38" s="145">
        <f t="shared" si="37"/>
        <v>836.90452004000008</v>
      </c>
      <c r="AC38" s="145">
        <f>+(S38-T38)*V38-'data 1'!$F$4</f>
        <v>41.253</v>
      </c>
      <c r="AD38" s="145">
        <f t="shared" si="38"/>
        <v>100.78837525470601</v>
      </c>
      <c r="AE38" s="145">
        <f t="shared" si="39"/>
        <v>-14.884999999999998</v>
      </c>
      <c r="AF38" s="145">
        <f t="shared" si="40"/>
        <v>283.26954454554618</v>
      </c>
      <c r="AG38" s="772">
        <f t="shared" si="50"/>
        <v>427.42591980025219</v>
      </c>
      <c r="AH38" s="1253">
        <f t="shared" si="41"/>
        <v>13.613</v>
      </c>
      <c r="AI38" s="1253">
        <f t="shared" si="42"/>
        <v>14.018000000000001</v>
      </c>
      <c r="AJ38" s="156">
        <f t="shared" si="43"/>
        <v>76.322409600293909</v>
      </c>
      <c r="AK38" s="156">
        <f t="shared" si="44"/>
        <v>10.019836086836401</v>
      </c>
      <c r="AM38" s="716">
        <f t="shared" si="45"/>
        <v>1235.2710715790402</v>
      </c>
      <c r="AN38" s="716" t="str">
        <f>_xlfn.XLOOKUP(D38,RUC!$B$3:$B$578,RUC!$M$3:$M$578)</f>
        <v>Evelyn</v>
      </c>
      <c r="AO38" s="1167" t="s">
        <v>2278</v>
      </c>
      <c r="AP38" s="1082" t="s">
        <v>4560</v>
      </c>
      <c r="AQ38" s="1082" t="s">
        <v>5325</v>
      </c>
      <c r="AV38" s="1558" t="s">
        <v>2521</v>
      </c>
      <c r="AW38" s="1254">
        <f t="shared" si="51"/>
        <v>0</v>
      </c>
      <c r="AX38" s="1257"/>
      <c r="AY38" s="1242">
        <f t="shared" si="52"/>
        <v>0</v>
      </c>
      <c r="AZ38" s="1257"/>
      <c r="BA38" s="1258">
        <f t="shared" si="53"/>
        <v>0</v>
      </c>
    </row>
    <row r="39" spans="1:56" ht="15" customHeight="1">
      <c r="A39" s="747" t="s">
        <v>5276</v>
      </c>
      <c r="B39" s="1447">
        <v>46132</v>
      </c>
      <c r="C39" s="1544">
        <v>46122</v>
      </c>
      <c r="D39" t="s">
        <v>1967</v>
      </c>
      <c r="E39" s="762">
        <f>_xlfn.XLOOKUP(D39,RUC!$B$3:$B$123,RUC!$D$3:$D$123)</f>
        <v>20601769396</v>
      </c>
      <c r="G39" s="1082">
        <v>41</v>
      </c>
      <c r="H39" s="762" t="s">
        <v>108</v>
      </c>
      <c r="I39" s="703">
        <v>1.31</v>
      </c>
      <c r="J39" s="596">
        <v>15.75</v>
      </c>
      <c r="K39" s="703">
        <f t="shared" si="23"/>
        <v>1.1040000000000001</v>
      </c>
      <c r="L39" s="1745">
        <v>0.12</v>
      </c>
      <c r="M39" s="994">
        <f t="shared" si="49"/>
        <v>0.10100000000000001</v>
      </c>
      <c r="N39" s="1196">
        <f t="shared" si="36"/>
        <v>0.10100000000000001</v>
      </c>
      <c r="O39" s="645">
        <f t="shared" si="25"/>
        <v>0.10100000000000001</v>
      </c>
      <c r="P39" s="727">
        <v>80</v>
      </c>
      <c r="Q39" s="1476">
        <v>90.83</v>
      </c>
      <c r="R39" s="706">
        <v>4762.6000000000004</v>
      </c>
      <c r="S39" s="765">
        <f>IF((_xlfn.XLOOKUP(D39,RUC!$B$3:$B$119,RUC!$E$3:$E$119)+ROUNDDOWN(O39,1)*100)&lt;95,95,((_xlfn.XLOOKUP(D39,RUC!$B$3:$B$119,RUC!$E$3:$E$119)+ROUNDDOWN(O39,1)*100)))</f>
        <v>100</v>
      </c>
      <c r="U39" s="1146">
        <f>_xlfn.XLOOKUP(D39,RUC!$B$3:$B$123,RUC!$F$3:$F$123)</f>
        <v>120</v>
      </c>
      <c r="V39" s="715">
        <v>1.1023000000000001</v>
      </c>
      <c r="Y39">
        <f>_xlfn.XLOOKUP(D39,RUC!$B$3:$B$123,RUC!$G$3:$G$123)</f>
        <v>20</v>
      </c>
      <c r="Z39" s="143">
        <f>_xlfn.XLOOKUP(D39,RUC!$B$3:$B$123,RUC!$H$3:$H$123)</f>
        <v>30</v>
      </c>
      <c r="AA39" s="144">
        <f t="shared" si="26"/>
        <v>50</v>
      </c>
      <c r="AB39" s="145">
        <f t="shared" si="37"/>
        <v>248.15206878400005</v>
      </c>
      <c r="AC39" s="145">
        <f>+(S39-T39)*V39-'data 1'!$F$4</f>
        <v>30.230000000000004</v>
      </c>
      <c r="AD39" s="145">
        <f t="shared" si="38"/>
        <v>66.507523588079991</v>
      </c>
      <c r="AE39" s="145">
        <f t="shared" si="39"/>
        <v>-14.884999999999998</v>
      </c>
      <c r="AF39" s="145">
        <f t="shared" si="40"/>
        <v>88.316935197445957</v>
      </c>
      <c r="AG39" s="772">
        <f t="shared" si="50"/>
        <v>187.16945878552596</v>
      </c>
      <c r="AH39" s="1253">
        <f t="shared" si="41"/>
        <v>4.1260000000000003</v>
      </c>
      <c r="AI39" s="1253">
        <f t="shared" si="42"/>
        <v>4.5419999999999998</v>
      </c>
      <c r="AJ39" s="156">
        <f t="shared" si="43"/>
        <v>30.925655251919956</v>
      </c>
      <c r="AK39" s="156">
        <f t="shared" si="44"/>
        <v>3.0583663273017603</v>
      </c>
      <c r="AM39" s="716">
        <f t="shared" si="45"/>
        <v>273.95988393753606</v>
      </c>
      <c r="AN39" s="716" t="str">
        <f>_xlfn.XLOOKUP(D39,RUC!$B$3:$B$578,RUC!$M$3:$M$578)</f>
        <v>Evelyn</v>
      </c>
      <c r="AO39" s="1167" t="s">
        <v>2278</v>
      </c>
      <c r="AP39" s="1082" t="s">
        <v>4560</v>
      </c>
      <c r="AQ39" s="1082" t="s">
        <v>5325</v>
      </c>
    </row>
    <row r="40" spans="1:56" ht="15" customHeight="1">
      <c r="A40" s="747" t="s">
        <v>5277</v>
      </c>
      <c r="B40" s="1447">
        <v>46132</v>
      </c>
      <c r="C40" s="1544">
        <v>46122</v>
      </c>
      <c r="D40" t="s">
        <v>1967</v>
      </c>
      <c r="E40" s="762">
        <f>_xlfn.XLOOKUP(D40,RUC!$B$3:$B$123,RUC!$D$3:$D$123)</f>
        <v>20601769396</v>
      </c>
      <c r="G40" s="1082">
        <v>34</v>
      </c>
      <c r="H40" s="762" t="s">
        <v>2005</v>
      </c>
      <c r="I40" s="703">
        <v>2.87</v>
      </c>
      <c r="J40" s="596">
        <v>8.57</v>
      </c>
      <c r="K40" s="703">
        <f t="shared" si="23"/>
        <v>2.6240000000000001</v>
      </c>
      <c r="L40" s="1745">
        <v>0.22</v>
      </c>
      <c r="M40" s="994">
        <f t="shared" si="49"/>
        <v>0.20100000000000001</v>
      </c>
      <c r="N40" s="1196">
        <f t="shared" si="36"/>
        <v>0.20100000000000001</v>
      </c>
      <c r="O40" s="645">
        <f t="shared" si="25"/>
        <v>0.20100000000000001</v>
      </c>
      <c r="P40" s="727">
        <v>85</v>
      </c>
      <c r="Q40" s="1572">
        <v>85</v>
      </c>
      <c r="R40" s="706">
        <v>4762.6000000000004</v>
      </c>
      <c r="S40" s="765">
        <f>IF((_xlfn.XLOOKUP(D40,RUC!$B$3:$B$119,RUC!$E$3:$E$119)+ROUNDDOWN(O40,1)*100)&lt;95,95,((_xlfn.XLOOKUP(D40,RUC!$B$3:$B$119,RUC!$E$3:$E$119)+ROUNDDOWN(O40,1)*100)))</f>
        <v>110</v>
      </c>
      <c r="U40" s="1146">
        <f>_xlfn.XLOOKUP(D40,RUC!$B$3:$B$123,RUC!$F$3:$F$123)</f>
        <v>120</v>
      </c>
      <c r="V40" s="715">
        <v>1.1023000000000001</v>
      </c>
      <c r="Y40">
        <f>_xlfn.XLOOKUP(D40,RUC!$B$3:$B$123,RUC!$G$3:$G$123)</f>
        <v>20</v>
      </c>
      <c r="Z40" s="143">
        <f>_xlfn.XLOOKUP(D40,RUC!$B$3:$B$123,RUC!$H$3:$H$123)</f>
        <v>30</v>
      </c>
      <c r="AA40" s="144">
        <f t="shared" si="26"/>
        <v>50</v>
      </c>
      <c r="AB40" s="145">
        <f t="shared" si="37"/>
        <v>697.96336388300017</v>
      </c>
      <c r="AC40" s="145">
        <f>+(S40-T40)*V40-'data 1'!$F$4</f>
        <v>41.253</v>
      </c>
      <c r="AD40" s="145">
        <f t="shared" si="38"/>
        <v>0</v>
      </c>
      <c r="AE40" s="145">
        <f t="shared" si="39"/>
        <v>-14.884999999999998</v>
      </c>
      <c r="AF40" s="145">
        <f t="shared" si="40"/>
        <v>82.648238376999956</v>
      </c>
      <c r="AG40" s="772">
        <f t="shared" si="50"/>
        <v>126.01623837699995</v>
      </c>
      <c r="AH40" s="1253">
        <f t="shared" si="41"/>
        <v>16.823</v>
      </c>
      <c r="AI40" s="1253">
        <f t="shared" si="42"/>
        <v>19.792000000000002</v>
      </c>
      <c r="AJ40" s="156">
        <f t="shared" si="43"/>
        <v>53.057887739999934</v>
      </c>
      <c r="AK40" s="156">
        <f t="shared" si="44"/>
        <v>15.370496030850724</v>
      </c>
      <c r="AM40" s="716">
        <f t="shared" si="45"/>
        <v>1831.4558668289926</v>
      </c>
      <c r="AN40" s="716" t="str">
        <f>_xlfn.XLOOKUP(D40,RUC!$B$3:$B$578,RUC!$M$3:$M$578)</f>
        <v>Evelyn</v>
      </c>
      <c r="AO40" s="1167" t="s">
        <v>2278</v>
      </c>
      <c r="AP40" s="1082" t="s">
        <v>4560</v>
      </c>
      <c r="AQ40" s="1082" t="s">
        <v>5325</v>
      </c>
    </row>
    <row r="41" spans="1:56" ht="15" customHeight="1">
      <c r="A41" s="747" t="s">
        <v>5278</v>
      </c>
      <c r="B41" s="1447">
        <v>46132</v>
      </c>
      <c r="C41" s="1544">
        <v>46122</v>
      </c>
      <c r="D41" t="s">
        <v>1967</v>
      </c>
      <c r="E41" s="762">
        <f>_xlfn.XLOOKUP(D41,RUC!$B$3:$B$123,RUC!$D$3:$D$123)</f>
        <v>20601769396</v>
      </c>
      <c r="G41" s="1082">
        <v>36</v>
      </c>
      <c r="H41" s="762" t="s">
        <v>2005</v>
      </c>
      <c r="I41" s="703">
        <v>3.02</v>
      </c>
      <c r="J41" s="596">
        <v>9.6999999999999993</v>
      </c>
      <c r="K41" s="703">
        <f t="shared" si="23"/>
        <v>2.7269999999999999</v>
      </c>
      <c r="L41" s="1745">
        <v>0.20300000000000001</v>
      </c>
      <c r="M41" s="994">
        <v>0.187</v>
      </c>
      <c r="N41" s="1196">
        <f t="shared" si="36"/>
        <v>0.187</v>
      </c>
      <c r="O41" s="645">
        <f t="shared" si="25"/>
        <v>0.187</v>
      </c>
      <c r="P41" s="727">
        <v>85</v>
      </c>
      <c r="Q41" s="1572">
        <v>85.44</v>
      </c>
      <c r="R41" s="706">
        <v>4762.6000000000004</v>
      </c>
      <c r="S41" s="765">
        <f>IF((_xlfn.XLOOKUP(D41,RUC!$B$3:$B$119,RUC!$E$3:$E$119)+ROUNDDOWN(O41,1)*100)&lt;95,95,((_xlfn.XLOOKUP(D41,RUC!$B$3:$B$119,RUC!$E$3:$E$119)+ROUNDDOWN(O41,1)*100)))</f>
        <v>100</v>
      </c>
      <c r="U41" s="1146">
        <f>_xlfn.XLOOKUP(D41,RUC!$B$3:$B$123,RUC!$F$3:$F$123)</f>
        <v>120</v>
      </c>
      <c r="V41" s="715">
        <v>1.1023000000000001</v>
      </c>
      <c r="Y41">
        <f>_xlfn.XLOOKUP(D41,RUC!$B$3:$B$123,RUC!$G$3:$G$123)</f>
        <v>20</v>
      </c>
      <c r="Z41" s="143">
        <f>_xlfn.XLOOKUP(D41,RUC!$B$3:$B$123,RUC!$H$3:$H$123)</f>
        <v>30</v>
      </c>
      <c r="AA41" s="144">
        <f t="shared" si="26"/>
        <v>50</v>
      </c>
      <c r="AB41" s="145">
        <f t="shared" si="37"/>
        <v>648.08766192100006</v>
      </c>
      <c r="AC41" s="145">
        <f>+(S41-T41)*V41-'data 1'!$F$4</f>
        <v>30.230000000000004</v>
      </c>
      <c r="AD41" s="145">
        <f t="shared" si="38"/>
        <v>4.5709849237359776</v>
      </c>
      <c r="AE41" s="145">
        <f t="shared" si="39"/>
        <v>-14.884999999999998</v>
      </c>
      <c r="AF41" s="145">
        <f t="shared" si="40"/>
        <v>69.958791201792067</v>
      </c>
      <c r="AG41" s="772">
        <f t="shared" si="50"/>
        <v>106.87477612552806</v>
      </c>
      <c r="AH41" s="1253">
        <f t="shared" si="41"/>
        <v>16.216000000000001</v>
      </c>
      <c r="AI41" s="1253">
        <f t="shared" si="42"/>
        <v>18.98</v>
      </c>
      <c r="AJ41" s="156">
        <f t="shared" si="43"/>
        <v>49.211389491263937</v>
      </c>
      <c r="AK41" s="156">
        <f t="shared" si="44"/>
        <v>14.861229448103032</v>
      </c>
      <c r="AM41" s="716">
        <f t="shared" si="45"/>
        <v>1767.335054058567</v>
      </c>
      <c r="AN41" s="716" t="str">
        <f>_xlfn.XLOOKUP(D41,RUC!$B$3:$B$578,RUC!$M$3:$M$578)</f>
        <v>Evelyn</v>
      </c>
      <c r="AO41" s="1167" t="s">
        <v>2278</v>
      </c>
      <c r="AP41" s="1082" t="s">
        <v>4560</v>
      </c>
      <c r="AQ41" s="1082" t="s">
        <v>5325</v>
      </c>
    </row>
    <row r="42" spans="1:56" ht="15" customHeight="1">
      <c r="A42" s="747" t="s">
        <v>5279</v>
      </c>
      <c r="B42" s="1447">
        <v>46132</v>
      </c>
      <c r="C42" s="1544">
        <v>46122</v>
      </c>
      <c r="D42" t="s">
        <v>1967</v>
      </c>
      <c r="E42" s="762">
        <f>_xlfn.XLOOKUP(D42,RUC!$B$3:$B$123,RUC!$D$3:$D$123)</f>
        <v>20601769396</v>
      </c>
      <c r="G42" s="1082">
        <v>39</v>
      </c>
      <c r="H42" s="762" t="s">
        <v>2005</v>
      </c>
      <c r="I42" s="703">
        <v>3.34</v>
      </c>
      <c r="J42" s="596">
        <v>10.45</v>
      </c>
      <c r="K42" s="703">
        <f t="shared" si="23"/>
        <v>2.9910000000000001</v>
      </c>
      <c r="L42" s="1745">
        <v>0.22</v>
      </c>
      <c r="M42" s="994">
        <f t="shared" si="49"/>
        <v>0.20100000000000001</v>
      </c>
      <c r="N42" s="1196">
        <f t="shared" si="36"/>
        <v>0.20100000000000001</v>
      </c>
      <c r="O42" s="645">
        <f t="shared" si="25"/>
        <v>0.20100000000000001</v>
      </c>
      <c r="P42" s="727">
        <v>88</v>
      </c>
      <c r="Q42" s="1572">
        <v>89.55</v>
      </c>
      <c r="R42" s="706">
        <v>4762.6000000000004</v>
      </c>
      <c r="S42" s="765">
        <f>IF((_xlfn.XLOOKUP(D42,RUC!$B$3:$B$119,RUC!$E$3:$E$119)+ROUNDDOWN(O42,1)*100)&lt;95,95,((_xlfn.XLOOKUP(D42,RUC!$B$3:$B$119,RUC!$E$3:$E$119)+ROUNDDOWN(O42,1)*100)))</f>
        <v>110</v>
      </c>
      <c r="U42" s="1146">
        <f>_xlfn.XLOOKUP(D42,RUC!$B$3:$B$123,RUC!$F$3:$F$123)</f>
        <v>120</v>
      </c>
      <c r="V42" s="715">
        <v>1.1023000000000001</v>
      </c>
      <c r="Y42">
        <f>_xlfn.XLOOKUP(D42,RUC!$B$3:$B$123,RUC!$G$3:$G$123)</f>
        <v>20</v>
      </c>
      <c r="Z42" s="143">
        <f>_xlfn.XLOOKUP(D42,RUC!$B$3:$B$123,RUC!$H$3:$H$123)</f>
        <v>30</v>
      </c>
      <c r="AA42" s="144">
        <f t="shared" si="26"/>
        <v>50</v>
      </c>
      <c r="AB42" s="145">
        <f t="shared" si="37"/>
        <v>728.82211790240012</v>
      </c>
      <c r="AC42" s="145">
        <f>+(S42-T42)*V42-'data 1'!$F$4</f>
        <v>41.253</v>
      </c>
      <c r="AD42" s="145">
        <f t="shared" si="38"/>
        <v>17.450804511799969</v>
      </c>
      <c r="AE42" s="145">
        <f t="shared" si="39"/>
        <v>-14.884999999999998</v>
      </c>
      <c r="AF42" s="145">
        <f t="shared" si="40"/>
        <v>87.072349960709957</v>
      </c>
      <c r="AG42" s="772">
        <f t="shared" si="50"/>
        <v>147.89115447250992</v>
      </c>
      <c r="AH42" s="1253">
        <f t="shared" si="41"/>
        <v>20.202999999999999</v>
      </c>
      <c r="AI42" s="1253">
        <f t="shared" si="42"/>
        <v>22.56</v>
      </c>
      <c r="AJ42" s="156">
        <f t="shared" si="43"/>
        <v>55.898045260199922</v>
      </c>
      <c r="AK42" s="156">
        <f t="shared" si="44"/>
        <v>18.138618719907445</v>
      </c>
      <c r="AM42" s="716">
        <f t="shared" si="45"/>
        <v>2179.9069546460787</v>
      </c>
      <c r="AN42" s="716" t="str">
        <f>_xlfn.XLOOKUP(D42,RUC!$B$3:$B$578,RUC!$M$3:$M$578)</f>
        <v>Evelyn</v>
      </c>
      <c r="AO42" s="1167" t="s">
        <v>2278</v>
      </c>
      <c r="AP42" s="1082" t="s">
        <v>4560</v>
      </c>
      <c r="AQ42" s="1082" t="s">
        <v>5325</v>
      </c>
    </row>
    <row r="43" spans="1:56" ht="15" customHeight="1">
      <c r="A43" s="747" t="s">
        <v>5280</v>
      </c>
      <c r="B43" s="1447">
        <v>46132</v>
      </c>
      <c r="C43" s="1544">
        <v>46122</v>
      </c>
      <c r="D43" t="s">
        <v>1967</v>
      </c>
      <c r="E43" s="762">
        <f>_xlfn.XLOOKUP(D43,RUC!$B$3:$B$123,RUC!$D$3:$D$123)</f>
        <v>20601769396</v>
      </c>
      <c r="G43" s="1082">
        <v>41</v>
      </c>
      <c r="H43" s="762" t="s">
        <v>2005</v>
      </c>
      <c r="I43" s="703">
        <v>3.5</v>
      </c>
      <c r="J43" s="596">
        <v>7</v>
      </c>
      <c r="K43" s="703">
        <f t="shared" si="23"/>
        <v>3.2549999999999999</v>
      </c>
      <c r="L43" s="1745">
        <v>0.54600000000000004</v>
      </c>
      <c r="M43" s="994">
        <f t="shared" si="49"/>
        <v>0.51300000000000001</v>
      </c>
      <c r="N43" s="1196">
        <f t="shared" si="36"/>
        <v>0.51300000000000001</v>
      </c>
      <c r="O43" s="645">
        <f t="shared" si="25"/>
        <v>0.51300000000000001</v>
      </c>
      <c r="P43" s="727">
        <v>90</v>
      </c>
      <c r="Q43" s="1476">
        <v>93.41</v>
      </c>
      <c r="R43" s="706">
        <v>4762.6000000000004</v>
      </c>
      <c r="S43" s="765">
        <f>IF((_xlfn.XLOOKUP(D43,RUC!$B$3:$B$119,RUC!$E$3:$E$119)+ROUNDDOWN(O43,1)*100)&lt;95,95,((_xlfn.XLOOKUP(D43,RUC!$B$3:$B$119,RUC!$E$3:$E$119)+ROUNDDOWN(O43,1)*100)))</f>
        <v>140</v>
      </c>
      <c r="U43" s="1146">
        <f>_xlfn.XLOOKUP(D43,RUC!$B$3:$B$123,RUC!$F$3:$F$123)</f>
        <v>120</v>
      </c>
      <c r="V43" s="715">
        <v>1.1023000000000001</v>
      </c>
      <c r="Y43">
        <f>_xlfn.XLOOKUP(D43,RUC!$B$3:$B$123,RUC!$G$3:$G$123)</f>
        <v>20</v>
      </c>
      <c r="Z43" s="143">
        <f>_xlfn.XLOOKUP(D43,RUC!$B$3:$B$123,RUC!$H$3:$H$123)</f>
        <v>30</v>
      </c>
      <c r="AA43" s="144">
        <f t="shared" si="26"/>
        <v>50</v>
      </c>
      <c r="AB43" s="145">
        <f t="shared" si="37"/>
        <v>2153.3302853660002</v>
      </c>
      <c r="AC43" s="145">
        <f>+(S43-T43)*V43-'data 1'!$F$4</f>
        <v>74.322000000000003</v>
      </c>
      <c r="AD43" s="145">
        <f t="shared" si="38"/>
        <v>95.281392634427917</v>
      </c>
      <c r="AE43" s="145">
        <f t="shared" si="39"/>
        <v>-14.884999999999998</v>
      </c>
      <c r="AF43" s="145">
        <f t="shared" si="40"/>
        <v>157.74964349489414</v>
      </c>
      <c r="AG43" s="772">
        <f t="shared" si="50"/>
        <v>329.46803612932206</v>
      </c>
      <c r="AH43" s="1253">
        <f t="shared" si="41"/>
        <v>56.917999999999999</v>
      </c>
      <c r="AI43" s="1253">
        <f t="shared" si="42"/>
        <v>60.933</v>
      </c>
      <c r="AJ43" s="156">
        <f t="shared" si="43"/>
        <v>144.70860761557179</v>
      </c>
      <c r="AK43" s="156">
        <f t="shared" si="44"/>
        <v>51.525229722039676</v>
      </c>
      <c r="AM43" s="716">
        <f t="shared" si="45"/>
        <v>7009.0900788663303</v>
      </c>
      <c r="AN43" s="716" t="str">
        <f>_xlfn.XLOOKUP(D43,RUC!$B$3:$B$578,RUC!$M$3:$M$578)</f>
        <v>Evelyn</v>
      </c>
      <c r="AO43" s="1167" t="s">
        <v>2278</v>
      </c>
      <c r="AP43" s="1082" t="s">
        <v>4560</v>
      </c>
      <c r="AQ43" s="1082" t="s">
        <v>5325</v>
      </c>
    </row>
    <row r="44" spans="1:56" ht="15" customHeight="1">
      <c r="A44" s="747" t="s">
        <v>5281</v>
      </c>
      <c r="B44" s="1447">
        <v>46132</v>
      </c>
      <c r="C44" s="1544">
        <v>46122</v>
      </c>
      <c r="D44" t="s">
        <v>1967</v>
      </c>
      <c r="E44" s="762">
        <f>_xlfn.XLOOKUP(D44,RUC!$B$3:$B$123,RUC!$D$3:$D$123)</f>
        <v>20601769396</v>
      </c>
      <c r="G44" s="1082">
        <v>25</v>
      </c>
      <c r="H44" s="762" t="s">
        <v>2005</v>
      </c>
      <c r="I44" s="703">
        <v>2.17</v>
      </c>
      <c r="J44" s="596">
        <v>15.5</v>
      </c>
      <c r="K44" s="703">
        <f t="shared" si="23"/>
        <v>1.8340000000000001</v>
      </c>
      <c r="L44" s="1745">
        <v>0.38500000000000001</v>
      </c>
      <c r="M44" s="994">
        <f t="shared" si="49"/>
        <v>0.36199999999999999</v>
      </c>
      <c r="N44" s="1196">
        <f t="shared" si="36"/>
        <v>0.36199999999999999</v>
      </c>
      <c r="O44" s="645">
        <f t="shared" si="25"/>
        <v>0.36199999999999999</v>
      </c>
      <c r="P44" s="727">
        <v>83</v>
      </c>
      <c r="Q44" s="1572">
        <v>84.42</v>
      </c>
      <c r="R44" s="706">
        <v>4762.6000000000004</v>
      </c>
      <c r="S44" s="765">
        <f>IF((_xlfn.XLOOKUP(D44,RUC!$B$3:$B$119,RUC!$E$3:$E$119)+ROUNDDOWN(O44,1)*100)&lt;95,95,((_xlfn.XLOOKUP(D44,RUC!$B$3:$B$119,RUC!$E$3:$E$119)+ROUNDDOWN(O44,1)*100)))</f>
        <v>120</v>
      </c>
      <c r="U44" s="1146">
        <f>_xlfn.XLOOKUP(D44,RUC!$B$3:$B$123,RUC!$F$3:$F$123)</f>
        <v>120</v>
      </c>
      <c r="V44" s="715">
        <v>1.1023000000000001</v>
      </c>
      <c r="Y44">
        <f>_xlfn.XLOOKUP(D44,RUC!$B$3:$B$123,RUC!$G$3:$G$123)</f>
        <v>20</v>
      </c>
      <c r="Z44" s="143">
        <f>_xlfn.XLOOKUP(D44,RUC!$B$3:$B$123,RUC!$H$3:$H$123)</f>
        <v>30</v>
      </c>
      <c r="AA44" s="144">
        <f t="shared" si="26"/>
        <v>50</v>
      </c>
      <c r="AB44" s="145">
        <f t="shared" si="37"/>
        <v>1350.2244614708002</v>
      </c>
      <c r="AC44" s="145">
        <f>+(S44-T44)*V44-'data 1'!$F$4</f>
        <v>52.27600000000001</v>
      </c>
      <c r="AD44" s="145">
        <f t="shared" si="38"/>
        <v>27.977580136660041</v>
      </c>
      <c r="AE44" s="145">
        <f t="shared" si="39"/>
        <v>-14.884999999999998</v>
      </c>
      <c r="AF44" s="145">
        <f t="shared" si="40"/>
        <v>99.365187942468111</v>
      </c>
      <c r="AG44" s="772">
        <f t="shared" si="50"/>
        <v>181.73376807912817</v>
      </c>
      <c r="AH44" s="1253">
        <f t="shared" si="41"/>
        <v>20.437000000000001</v>
      </c>
      <c r="AI44" s="1253">
        <f t="shared" si="42"/>
        <v>24.209</v>
      </c>
      <c r="AJ44" s="156">
        <f t="shared" si="43"/>
        <v>92.217729944339879</v>
      </c>
      <c r="AK44" s="156">
        <f t="shared" si="44"/>
        <v>18.892745029884498</v>
      </c>
      <c r="AM44" s="716">
        <f t="shared" si="45"/>
        <v>2476.3116623374476</v>
      </c>
      <c r="AN44" s="716" t="str">
        <f>_xlfn.XLOOKUP(D44,RUC!$B$3:$B$578,RUC!$M$3:$M$578)</f>
        <v>Evelyn</v>
      </c>
      <c r="AO44" s="1167" t="s">
        <v>2278</v>
      </c>
      <c r="AP44" s="1082" t="s">
        <v>4560</v>
      </c>
      <c r="AQ44" s="1082" t="s">
        <v>5325</v>
      </c>
    </row>
    <row r="45" spans="1:56" ht="15" customHeight="1">
      <c r="A45" s="747" t="s">
        <v>5282</v>
      </c>
      <c r="B45" s="1447">
        <v>46132</v>
      </c>
      <c r="C45" s="1544">
        <v>46122</v>
      </c>
      <c r="D45" t="s">
        <v>1967</v>
      </c>
      <c r="E45" s="762">
        <f>_xlfn.XLOOKUP(D45,RUC!$B$3:$B$123,RUC!$D$3:$D$123)</f>
        <v>20601769396</v>
      </c>
      <c r="G45" s="1082">
        <v>23</v>
      </c>
      <c r="H45" s="762" t="s">
        <v>2005</v>
      </c>
      <c r="I45" s="703">
        <v>2</v>
      </c>
      <c r="J45" s="596">
        <v>11</v>
      </c>
      <c r="K45" s="703">
        <f t="shared" si="23"/>
        <v>1.78</v>
      </c>
      <c r="L45" s="1745">
        <v>0.26200000000000001</v>
      </c>
      <c r="M45" s="994">
        <f t="shared" si="49"/>
        <v>0.24299999999999999</v>
      </c>
      <c r="N45" s="1196">
        <f t="shared" si="36"/>
        <v>0.24299999999999999</v>
      </c>
      <c r="O45" s="645">
        <f t="shared" si="25"/>
        <v>0.24299999999999999</v>
      </c>
      <c r="P45" s="727">
        <v>76</v>
      </c>
      <c r="Q45" s="1572">
        <v>77.48</v>
      </c>
      <c r="R45" s="706">
        <v>4762.6000000000004</v>
      </c>
      <c r="S45" s="765">
        <f>IF((_xlfn.XLOOKUP(D45,RUC!$B$3:$B$119,RUC!$E$3:$E$119)+ROUNDDOWN(O45,1)*100)&lt;95,95,((_xlfn.XLOOKUP(D45,RUC!$B$3:$B$119,RUC!$E$3:$E$119)+ROUNDDOWN(O45,1)*100)))</f>
        <v>110</v>
      </c>
      <c r="U45" s="1146">
        <f>_xlfn.XLOOKUP(D45,RUC!$B$3:$B$123,RUC!$F$3:$F$123)</f>
        <v>120</v>
      </c>
      <c r="V45" s="715">
        <v>1.1023000000000001</v>
      </c>
      <c r="Y45">
        <f>_xlfn.XLOOKUP(D45,RUC!$B$3:$B$123,RUC!$G$3:$G$123)</f>
        <v>20</v>
      </c>
      <c r="Z45" s="143">
        <f>_xlfn.XLOOKUP(D45,RUC!$B$3:$B$123,RUC!$H$3:$H$123)</f>
        <v>30</v>
      </c>
      <c r="AA45" s="144">
        <f t="shared" si="26"/>
        <v>50</v>
      </c>
      <c r="AB45" s="145">
        <f t="shared" si="37"/>
        <v>768.73891414640002</v>
      </c>
      <c r="AC45" s="145">
        <f>+(S45-T45)*V45-'data 1'!$F$4</f>
        <v>41.253</v>
      </c>
      <c r="AD45" s="145">
        <f t="shared" si="38"/>
        <v>19.843765271248056</v>
      </c>
      <c r="AE45" s="145">
        <f t="shared" si="39"/>
        <v>-14.884999999999998</v>
      </c>
      <c r="AF45" s="145">
        <f t="shared" si="40"/>
        <v>75.336300111176087</v>
      </c>
      <c r="AG45" s="772">
        <f t="shared" si="50"/>
        <v>138.54806538242414</v>
      </c>
      <c r="AH45" s="1253">
        <f t="shared" si="41"/>
        <v>12.388999999999999</v>
      </c>
      <c r="AI45" s="1253">
        <f t="shared" si="42"/>
        <v>15.989000000000001</v>
      </c>
      <c r="AJ45" s="156">
        <f t="shared" si="43"/>
        <v>57.596919103151919</v>
      </c>
      <c r="AK45" s="156">
        <f t="shared" si="44"/>
        <v>11.27064932783172</v>
      </c>
      <c r="AM45" s="716">
        <f t="shared" si="45"/>
        <v>1368.3552671805921</v>
      </c>
      <c r="AN45" s="716" t="str">
        <f>_xlfn.XLOOKUP(D45,RUC!$B$3:$B$578,RUC!$M$3:$M$578)</f>
        <v>Evelyn</v>
      </c>
      <c r="AO45" s="1167" t="s">
        <v>2278</v>
      </c>
      <c r="AP45" s="1082" t="s">
        <v>4560</v>
      </c>
      <c r="AQ45" s="1082" t="s">
        <v>5325</v>
      </c>
    </row>
    <row r="46" spans="1:56" ht="15" customHeight="1">
      <c r="A46" s="747" t="s">
        <v>5283</v>
      </c>
      <c r="B46" s="1447">
        <v>46128</v>
      </c>
      <c r="C46" s="1447">
        <v>46122</v>
      </c>
      <c r="D46" t="s">
        <v>4171</v>
      </c>
      <c r="E46" s="762">
        <f>_xlfn.XLOOKUP(D46,RUC!$B$3:$B$123,RUC!$D$3:$D$123)</f>
        <v>20614284740</v>
      </c>
      <c r="G46" s="1082">
        <v>110</v>
      </c>
      <c r="H46" s="762" t="s">
        <v>69</v>
      </c>
      <c r="I46" s="703">
        <v>8.81</v>
      </c>
      <c r="J46" s="596">
        <v>2</v>
      </c>
      <c r="K46" s="703">
        <f t="shared" si="23"/>
        <v>8.6340000000000003</v>
      </c>
      <c r="L46" s="1745">
        <v>0.27900000000000003</v>
      </c>
      <c r="M46" s="994">
        <f t="shared" si="49"/>
        <v>0.26</v>
      </c>
      <c r="N46" s="1196">
        <f t="shared" si="36"/>
        <v>0.26</v>
      </c>
      <c r="O46" s="645">
        <f t="shared" si="25"/>
        <v>0.26</v>
      </c>
      <c r="P46" s="727">
        <v>90</v>
      </c>
      <c r="Q46" s="1476">
        <v>98.57</v>
      </c>
      <c r="R46" s="706">
        <v>4773.75</v>
      </c>
      <c r="S46" s="765">
        <f>IF((_xlfn.XLOOKUP(D46,RUC!$B$3:$B$119,RUC!$E$3:$E$119)+ROUNDDOWN(O46,1)*100)&lt;95,95,((_xlfn.XLOOKUP(D46,RUC!$B$3:$B$119,RUC!$E$3:$E$119)+ROUNDDOWN(O46,1)*100)))</f>
        <v>110</v>
      </c>
      <c r="U46" s="1146">
        <f>_xlfn.XLOOKUP(D46,RUC!$B$3:$B$123,RUC!$F$3:$F$123)</f>
        <v>120</v>
      </c>
      <c r="V46" s="715">
        <v>1.1023000000000001</v>
      </c>
      <c r="Y46">
        <f>_xlfn.XLOOKUP(D46,RUC!$B$3:$B$123,RUC!$G$3:$G$123)</f>
        <v>20</v>
      </c>
      <c r="Z46" s="143">
        <f>_xlfn.XLOOKUP(D46,RUC!$B$3:$B$123,RUC!$H$3:$H$123)</f>
        <v>30</v>
      </c>
      <c r="AA46" s="144">
        <f t="shared" si="26"/>
        <v>50</v>
      </c>
      <c r="AB46" s="145">
        <f t="shared" si="37"/>
        <v>1024.0118982500003</v>
      </c>
      <c r="AC46" s="145">
        <f>+(S46-T46)*V46-'data 1'!$F$4</f>
        <v>41.253</v>
      </c>
      <c r="AD46" s="145">
        <f t="shared" si="38"/>
        <v>122.65574137233743</v>
      </c>
      <c r="AE46" s="145">
        <f t="shared" si="39"/>
        <v>-14.884999999999998</v>
      </c>
      <c r="AF46" s="145">
        <f t="shared" si="40"/>
        <v>96.072969437587574</v>
      </c>
      <c r="AG46" s="772">
        <f t="shared" si="50"/>
        <v>262.09671080992501</v>
      </c>
      <c r="AH46" s="1253">
        <f t="shared" si="41"/>
        <v>81.409000000000006</v>
      </c>
      <c r="AI46" s="1253">
        <f t="shared" si="42"/>
        <v>82.59</v>
      </c>
      <c r="AJ46" s="156">
        <f t="shared" si="43"/>
        <v>74.649173971162497</v>
      </c>
      <c r="AK46" s="156">
        <f t="shared" si="44"/>
        <v>69.268689459145804</v>
      </c>
      <c r="AM46" s="716">
        <f t="shared" si="45"/>
        <v>8841.3187294905019</v>
      </c>
      <c r="AN46" s="716" t="str">
        <f>_xlfn.XLOOKUP(D46,RUC!$B$3:$B$578,RUC!$M$3:$M$578)</f>
        <v xml:space="preserve">Dante </v>
      </c>
      <c r="AO46" s="1167" t="s">
        <v>2278</v>
      </c>
      <c r="AP46" s="1082" t="s">
        <v>5326</v>
      </c>
      <c r="AQ46" s="1082" t="s">
        <v>3902</v>
      </c>
    </row>
    <row r="47" spans="1:56" ht="15" customHeight="1">
      <c r="A47" s="747" t="s">
        <v>5284</v>
      </c>
      <c r="B47" s="1447">
        <v>46126</v>
      </c>
      <c r="C47" s="1447">
        <v>46122</v>
      </c>
      <c r="D47" t="s">
        <v>4171</v>
      </c>
      <c r="E47" s="762">
        <f>_xlfn.XLOOKUP(D47,RUC!$B$3:$B$123,RUC!$D$3:$D$123)</f>
        <v>20614284740</v>
      </c>
      <c r="G47" s="1082">
        <v>50</v>
      </c>
      <c r="H47" s="762" t="s">
        <v>69</v>
      </c>
      <c r="I47" s="703">
        <v>5.27</v>
      </c>
      <c r="J47" s="596">
        <v>2.15</v>
      </c>
      <c r="K47" s="703">
        <f t="shared" si="23"/>
        <v>5.157</v>
      </c>
      <c r="L47" s="1745">
        <v>0.154</v>
      </c>
      <c r="M47" s="994">
        <f t="shared" si="49"/>
        <v>0.13500000000000001</v>
      </c>
      <c r="N47" s="1196">
        <f t="shared" si="36"/>
        <v>0.13500000000000001</v>
      </c>
      <c r="O47" s="645">
        <f t="shared" si="25"/>
        <v>0.13500000000000001</v>
      </c>
      <c r="P47" s="727">
        <v>80</v>
      </c>
      <c r="Q47" s="1476">
        <v>96.75</v>
      </c>
      <c r="R47" s="706">
        <v>4773.75</v>
      </c>
      <c r="S47" s="765">
        <f>IF((_xlfn.XLOOKUP(D47,RUC!$B$3:$B$119,RUC!$E$3:$E$119)+ROUNDDOWN(O47,1)*100)&lt;95,95,((_xlfn.XLOOKUP(D47,RUC!$B$3:$B$119,RUC!$E$3:$E$119)+ROUNDDOWN(O47,1)*100)))</f>
        <v>100</v>
      </c>
      <c r="U47" s="1146">
        <f>_xlfn.XLOOKUP(D47,RUC!$B$3:$B$123,RUC!$F$3:$F$123)</f>
        <v>120</v>
      </c>
      <c r="V47" s="715">
        <v>1.1023000000000001</v>
      </c>
      <c r="Y47">
        <f>_xlfn.XLOOKUP(D47,RUC!$B$3:$B$123,RUC!$G$3:$G$123)</f>
        <v>20</v>
      </c>
      <c r="Z47" s="143">
        <f>_xlfn.XLOOKUP(D47,RUC!$B$3:$B$123,RUC!$H$3:$H$123)</f>
        <v>30</v>
      </c>
      <c r="AA47" s="144">
        <f t="shared" si="26"/>
        <v>50</v>
      </c>
      <c r="AB47" s="145">
        <f t="shared" si="37"/>
        <v>388.67649150000005</v>
      </c>
      <c r="AC47" s="145">
        <f>+(S47-T47)*V47-'data 1'!$F$4</f>
        <v>30.230000000000004</v>
      </c>
      <c r="AD47" s="145">
        <f t="shared" si="38"/>
        <v>132.32392938187502</v>
      </c>
      <c r="AE47" s="145">
        <f t="shared" si="39"/>
        <v>-14.884999999999998</v>
      </c>
      <c r="AF47" s="145">
        <f t="shared" si="40"/>
        <v>94.299074699062444</v>
      </c>
      <c r="AG47" s="772">
        <f t="shared" si="50"/>
        <v>258.96800408093748</v>
      </c>
      <c r="AH47" s="1253">
        <f t="shared" si="41"/>
        <v>26.344000000000001</v>
      </c>
      <c r="AI47" s="1253">
        <f t="shared" si="42"/>
        <v>27.228999999999999</v>
      </c>
      <c r="AJ47" s="156">
        <f t="shared" si="43"/>
        <v>40.443407668124998</v>
      </c>
      <c r="AK47" s="156">
        <f t="shared" si="44"/>
        <v>19.095452586775803</v>
      </c>
      <c r="AM47" s="716">
        <f t="shared" si="45"/>
        <v>2004.4046666655004</v>
      </c>
      <c r="AN47" s="716" t="str">
        <f>_xlfn.XLOOKUP(D47,RUC!$B$3:$B$578,RUC!$M$3:$M$578)</f>
        <v xml:space="preserve">Dante </v>
      </c>
      <c r="AO47" s="1167" t="s">
        <v>2277</v>
      </c>
      <c r="AP47" s="1082" t="s">
        <v>4699</v>
      </c>
      <c r="AQ47" s="1082" t="s">
        <v>5327</v>
      </c>
    </row>
    <row r="48" spans="1:56" ht="15" customHeight="1">
      <c r="A48" s="747" t="s">
        <v>5294</v>
      </c>
      <c r="B48" s="1447">
        <v>46132</v>
      </c>
      <c r="C48" s="1447">
        <v>46123</v>
      </c>
      <c r="D48" s="1824" t="s">
        <v>4722</v>
      </c>
      <c r="E48" s="762" t="str">
        <f>_xlfn.XLOOKUP(D48,RUC!$B$3:$B$123,RUC!$D$3:$D$123)</f>
        <v>20610807004*</v>
      </c>
      <c r="G48" s="1082">
        <v>30</v>
      </c>
      <c r="H48" s="762" t="s">
        <v>2005</v>
      </c>
      <c r="I48" s="703">
        <v>2.2599999999999998</v>
      </c>
      <c r="J48" s="596">
        <v>6.8</v>
      </c>
      <c r="K48" s="703">
        <f t="shared" si="23"/>
        <v>2.1059999999999999</v>
      </c>
      <c r="L48" s="1745">
        <v>0.19900000000000001</v>
      </c>
      <c r="M48" s="994">
        <f t="shared" si="49"/>
        <v>0.18</v>
      </c>
      <c r="N48" s="1196">
        <f t="shared" si="36"/>
        <v>0.18</v>
      </c>
      <c r="O48" s="645">
        <f t="shared" si="25"/>
        <v>0.18</v>
      </c>
      <c r="P48" s="727">
        <v>84</v>
      </c>
      <c r="Q48" s="1572">
        <v>84.92</v>
      </c>
      <c r="R48" s="706">
        <v>4773.75</v>
      </c>
      <c r="S48" s="765">
        <f>IF((_xlfn.XLOOKUP(D48,RUC!$B$3:$B$119,RUC!$E$3:$E$119)+ROUNDDOWN(O48,1)*100)&lt;95,95,((_xlfn.XLOOKUP(D48,RUC!$B$3:$B$119,RUC!$E$3:$E$119)+ROUNDDOWN(O48,1)*100)))</f>
        <v>95</v>
      </c>
      <c r="U48" s="1146">
        <f>_xlfn.XLOOKUP(D48,RUC!$B$3:$B$123,RUC!$F$3:$F$123)</f>
        <v>120</v>
      </c>
      <c r="V48" s="715">
        <v>1.1023000000000001</v>
      </c>
      <c r="Y48">
        <f>_xlfn.XLOOKUP(D48,RUC!$B$3:$B$123,RUC!$G$3:$G$123)</f>
        <v>20</v>
      </c>
      <c r="Z48" s="1454">
        <v>35</v>
      </c>
      <c r="AA48" s="144">
        <f t="shared" si="26"/>
        <v>55</v>
      </c>
      <c r="AB48" s="145">
        <f t="shared" si="37"/>
        <v>610.28508809999994</v>
      </c>
      <c r="AC48" s="145">
        <f>+(S48-T48)*V48-'data 1'!$F$4</f>
        <v>24.718500000000006</v>
      </c>
      <c r="AD48" s="145">
        <f t="shared" si="38"/>
        <v>9.3916902466500183</v>
      </c>
      <c r="AE48" s="145">
        <f t="shared" si="39"/>
        <v>-9.3734999999999999</v>
      </c>
      <c r="AF48" s="145">
        <f t="shared" si="40"/>
        <v>82.768758898650063</v>
      </c>
      <c r="AG48" s="772">
        <f t="shared" si="50"/>
        <v>124.50544914530008</v>
      </c>
      <c r="AH48" s="1253">
        <f t="shared" si="41"/>
        <v>12.202</v>
      </c>
      <c r="AI48" s="1253">
        <f t="shared" si="42"/>
        <v>14.369</v>
      </c>
      <c r="AJ48" s="156">
        <f t="shared" si="43"/>
        <v>45.871095114350013</v>
      </c>
      <c r="AK48" s="156">
        <f t="shared" si="44"/>
        <v>10.91740011767496</v>
      </c>
      <c r="AM48" s="716">
        <f t="shared" si="45"/>
        <v>1285.2603955385998</v>
      </c>
      <c r="AN48" s="716" t="str">
        <f>_xlfn.XLOOKUP(D48,RUC!$B$3:$B$578,RUC!$M$3:$M$578)</f>
        <v>Ronald Miranda</v>
      </c>
      <c r="AO48" s="1167" t="s">
        <v>2278</v>
      </c>
      <c r="AP48" s="1082" t="s">
        <v>2461</v>
      </c>
      <c r="AQ48" s="1082" t="s">
        <v>5333</v>
      </c>
    </row>
    <row r="49" spans="1:44" ht="15" customHeight="1">
      <c r="A49" s="747" t="s">
        <v>5295</v>
      </c>
      <c r="B49" s="1447">
        <v>46132</v>
      </c>
      <c r="C49" s="1447">
        <v>46123</v>
      </c>
      <c r="D49" s="1824" t="s">
        <v>4722</v>
      </c>
      <c r="E49" s="762" t="str">
        <f>_xlfn.XLOOKUP(D49,RUC!$B$3:$B$123,RUC!$D$3:$D$123)</f>
        <v>20610807004*</v>
      </c>
      <c r="G49" s="1082">
        <v>30</v>
      </c>
      <c r="H49" s="762" t="s">
        <v>2005</v>
      </c>
      <c r="I49" s="703">
        <v>2.31</v>
      </c>
      <c r="J49" s="596">
        <v>7.25</v>
      </c>
      <c r="K49" s="703">
        <f t="shared" si="23"/>
        <v>2.1429999999999998</v>
      </c>
      <c r="L49" s="1745">
        <v>0.21199999999999999</v>
      </c>
      <c r="M49" s="994">
        <f t="shared" si="49"/>
        <v>0.193</v>
      </c>
      <c r="N49" s="1196">
        <f t="shared" si="36"/>
        <v>0.193</v>
      </c>
      <c r="O49" s="645">
        <f t="shared" si="25"/>
        <v>0.193</v>
      </c>
      <c r="P49" s="727">
        <v>85</v>
      </c>
      <c r="Q49" s="1572">
        <v>89.15</v>
      </c>
      <c r="R49" s="706">
        <v>4773.75</v>
      </c>
      <c r="S49" s="765">
        <f>IF((_xlfn.XLOOKUP(D49,RUC!$B$3:$B$119,RUC!$E$3:$E$119)+ROUNDDOWN(O49,1)*100)&lt;95,95,((_xlfn.XLOOKUP(D49,RUC!$B$3:$B$119,RUC!$E$3:$E$119)+ROUNDDOWN(O49,1)*100)))</f>
        <v>95</v>
      </c>
      <c r="U49" s="1146">
        <f>_xlfn.XLOOKUP(D49,RUC!$B$3:$B$123,RUC!$F$3:$F$123)</f>
        <v>120</v>
      </c>
      <c r="V49" s="715">
        <v>1.1023000000000001</v>
      </c>
      <c r="Y49">
        <f>_xlfn.XLOOKUP(D49,RUC!$B$3:$B$123,RUC!$G$3:$G$123)</f>
        <v>20</v>
      </c>
      <c r="Z49" s="1454">
        <v>35</v>
      </c>
      <c r="AA49" s="144">
        <f t="shared" si="26"/>
        <v>55</v>
      </c>
      <c r="AB49" s="145">
        <f t="shared" si="37"/>
        <v>676.20338593125007</v>
      </c>
      <c r="AC49" s="145">
        <f>+(S49-T49)*V49-'data 1'!$F$4</f>
        <v>24.718500000000006</v>
      </c>
      <c r="AD49" s="145">
        <f t="shared" si="38"/>
        <v>45.132232242750064</v>
      </c>
      <c r="AE49" s="145">
        <f t="shared" si="39"/>
        <v>-9.3734999999999999</v>
      </c>
      <c r="AF49" s="145">
        <f t="shared" si="40"/>
        <v>86.891602164562443</v>
      </c>
      <c r="AG49" s="772">
        <f t="shared" si="50"/>
        <v>164.36883440731251</v>
      </c>
      <c r="AH49" s="1253">
        <f t="shared" si="41"/>
        <v>13.885999999999999</v>
      </c>
      <c r="AI49" s="1253">
        <f t="shared" si="42"/>
        <v>15.576000000000001</v>
      </c>
      <c r="AJ49" s="156">
        <f t="shared" si="43"/>
        <v>51.301876992250001</v>
      </c>
      <c r="AK49" s="156">
        <f t="shared" si="44"/>
        <v>12.053341880278158</v>
      </c>
      <c r="AM49" s="716">
        <f t="shared" si="45"/>
        <v>1449.1038560506688</v>
      </c>
      <c r="AN49" s="716" t="str">
        <f>_xlfn.XLOOKUP(D49,RUC!$B$3:$B$578,RUC!$M$3:$M$578)</f>
        <v>Ronald Miranda</v>
      </c>
      <c r="AO49" s="1167" t="s">
        <v>2278</v>
      </c>
      <c r="AP49" s="1082" t="s">
        <v>2461</v>
      </c>
      <c r="AQ49" s="1082" t="s">
        <v>5333</v>
      </c>
    </row>
    <row r="50" spans="1:44" ht="15" customHeight="1">
      <c r="A50" s="747" t="s">
        <v>5296</v>
      </c>
      <c r="B50" s="1447">
        <v>46132</v>
      </c>
      <c r="C50" s="1447">
        <v>46123</v>
      </c>
      <c r="D50" s="1824" t="s">
        <v>4722</v>
      </c>
      <c r="E50" s="762" t="str">
        <f>_xlfn.XLOOKUP(D50,RUC!$B$3:$B$123,RUC!$D$3:$D$123)</f>
        <v>20610807004*</v>
      </c>
      <c r="G50" s="1082">
        <v>30</v>
      </c>
      <c r="H50" s="762" t="s">
        <v>2005</v>
      </c>
      <c r="I50" s="703">
        <v>2.37</v>
      </c>
      <c r="J50" s="596">
        <v>6.65</v>
      </c>
      <c r="K50" s="703">
        <f t="shared" si="23"/>
        <v>2.2120000000000002</v>
      </c>
      <c r="L50" s="1745">
        <v>0.20599999999999999</v>
      </c>
      <c r="M50" s="994">
        <f t="shared" si="49"/>
        <v>0.187</v>
      </c>
      <c r="N50" s="1196">
        <f t="shared" si="36"/>
        <v>0.187</v>
      </c>
      <c r="O50" s="645">
        <f t="shared" si="25"/>
        <v>0.187</v>
      </c>
      <c r="P50" s="727">
        <v>84</v>
      </c>
      <c r="Q50" s="1572">
        <v>85.44</v>
      </c>
      <c r="R50" s="706">
        <v>4773.75</v>
      </c>
      <c r="S50" s="765">
        <f>IF((_xlfn.XLOOKUP(D50,RUC!$B$3:$B$119,RUC!$E$3:$E$119)+ROUNDDOWN(O50,1)*100)&lt;95,95,((_xlfn.XLOOKUP(D50,RUC!$B$3:$B$119,RUC!$E$3:$E$119)+ROUNDDOWN(O50,1)*100)))</f>
        <v>95</v>
      </c>
      <c r="U50" s="1146">
        <f>_xlfn.XLOOKUP(D50,RUC!$B$3:$B$123,RUC!$F$3:$F$123)</f>
        <v>120</v>
      </c>
      <c r="V50" s="715">
        <v>1.1023000000000001</v>
      </c>
      <c r="Y50">
        <f>_xlfn.XLOOKUP(D50,RUC!$B$3:$B$123,RUC!$G$3:$G$123)</f>
        <v>20</v>
      </c>
      <c r="Z50" s="1454">
        <v>35</v>
      </c>
      <c r="AA50" s="144">
        <f t="shared" si="26"/>
        <v>55</v>
      </c>
      <c r="AB50" s="145">
        <f t="shared" si="37"/>
        <v>640.44848041499995</v>
      </c>
      <c r="AC50" s="145">
        <f>+(S50-T50)*V50-'data 1'!$F$4</f>
        <v>24.718500000000006</v>
      </c>
      <c r="AD50" s="145">
        <f t="shared" si="38"/>
        <v>15.217123633199977</v>
      </c>
      <c r="AE50" s="145">
        <f t="shared" si="39"/>
        <v>-9.3734999999999999</v>
      </c>
      <c r="AF50" s="145">
        <f t="shared" si="40"/>
        <v>83.275585966799952</v>
      </c>
      <c r="AG50" s="772">
        <f t="shared" si="50"/>
        <v>130.83770959999993</v>
      </c>
      <c r="AH50" s="1253">
        <f t="shared" si="41"/>
        <v>13.348000000000001</v>
      </c>
      <c r="AI50" s="1253">
        <f t="shared" si="42"/>
        <v>15.622999999999999</v>
      </c>
      <c r="AJ50" s="156">
        <f t="shared" si="43"/>
        <v>47.775419224799997</v>
      </c>
      <c r="AK50" s="156">
        <f t="shared" si="44"/>
        <v>11.91283384582553</v>
      </c>
      <c r="AM50" s="716">
        <f t="shared" si="45"/>
        <v>1416.67203867798</v>
      </c>
      <c r="AN50" s="716" t="str">
        <f>_xlfn.XLOOKUP(D50,RUC!$B$3:$B$578,RUC!$M$3:$M$578)</f>
        <v>Ronald Miranda</v>
      </c>
      <c r="AO50" s="1167" t="s">
        <v>2278</v>
      </c>
      <c r="AP50" s="1082" t="s">
        <v>2461</v>
      </c>
      <c r="AQ50" s="1082" t="s">
        <v>5333</v>
      </c>
    </row>
    <row r="51" spans="1:44" ht="15" customHeight="1">
      <c r="A51" s="747" t="s">
        <v>5297</v>
      </c>
      <c r="B51" s="1447">
        <v>46130</v>
      </c>
      <c r="C51" s="1447">
        <v>46123</v>
      </c>
      <c r="D51" s="1824" t="s">
        <v>4722</v>
      </c>
      <c r="E51" s="762" t="str">
        <f>_xlfn.XLOOKUP(D51,RUC!$B$3:$B$123,RUC!$D$3:$D$123)</f>
        <v>20610807004*</v>
      </c>
      <c r="G51" s="1082">
        <v>27</v>
      </c>
      <c r="H51" s="762" t="s">
        <v>2005</v>
      </c>
      <c r="I51" s="703">
        <v>2.38</v>
      </c>
      <c r="J51" s="596">
        <v>13.2</v>
      </c>
      <c r="K51" s="703">
        <f t="shared" si="23"/>
        <v>2.0659999999999998</v>
      </c>
      <c r="L51" s="1745">
        <v>0.32700000000000001</v>
      </c>
      <c r="M51" s="994">
        <f t="shared" si="49"/>
        <v>0.307</v>
      </c>
      <c r="N51" s="1196">
        <f t="shared" si="36"/>
        <v>0.307</v>
      </c>
      <c r="O51" s="645">
        <f t="shared" si="25"/>
        <v>0.307</v>
      </c>
      <c r="P51" s="727">
        <v>90</v>
      </c>
      <c r="Q51" s="1476">
        <v>92.66</v>
      </c>
      <c r="R51" s="706">
        <v>4773.75</v>
      </c>
      <c r="S51" s="765">
        <f>IF((_xlfn.XLOOKUP(D51,RUC!$B$3:$B$119,RUC!$E$3:$E$119)+ROUNDDOWN(O51,1)*100)&lt;95,95,((_xlfn.XLOOKUP(D51,RUC!$B$3:$B$119,RUC!$E$3:$E$119)+ROUNDDOWN(O51,1)*100)))</f>
        <v>115</v>
      </c>
      <c r="U51" s="1146">
        <f>_xlfn.XLOOKUP(D51,RUC!$B$3:$B$123,RUC!$F$3:$F$123)</f>
        <v>120</v>
      </c>
      <c r="V51" s="715">
        <v>1.1023000000000001</v>
      </c>
      <c r="Y51">
        <f>_xlfn.XLOOKUP(D51,RUC!$B$3:$B$123,RUC!$G$3:$G$123)</f>
        <v>20</v>
      </c>
      <c r="Z51" s="1454">
        <v>35</v>
      </c>
      <c r="AA51" s="144">
        <f t="shared" si="26"/>
        <v>55</v>
      </c>
      <c r="AB51" s="145">
        <f t="shared" si="37"/>
        <v>1229.9806490875001</v>
      </c>
      <c r="AC51" s="145">
        <f>+(S51-T51)*V51-'data 1'!$F$4</f>
        <v>46.764500000000012</v>
      </c>
      <c r="AD51" s="145">
        <f t="shared" si="38"/>
        <v>44.620275345974953</v>
      </c>
      <c r="AE51" s="145">
        <f t="shared" si="39"/>
        <v>-9.3734999999999999</v>
      </c>
      <c r="AF51" s="145">
        <f t="shared" si="40"/>
        <v>95.06598407850008</v>
      </c>
      <c r="AG51" s="772">
        <f t="shared" si="50"/>
        <v>194.07725942447502</v>
      </c>
      <c r="AH51" s="1253">
        <f t="shared" si="41"/>
        <v>21.462</v>
      </c>
      <c r="AI51" s="1253">
        <f t="shared" si="42"/>
        <v>23.163</v>
      </c>
      <c r="AJ51" s="156">
        <f t="shared" si="43"/>
        <v>82.24624803052501</v>
      </c>
      <c r="AK51" s="156">
        <f t="shared" si="44"/>
        <v>19.571326915832188</v>
      </c>
      <c r="AM51" s="716">
        <f t="shared" si="45"/>
        <v>2541.1400210147749</v>
      </c>
      <c r="AN51" s="716" t="str">
        <f>_xlfn.XLOOKUP(D51,RUC!$B$3:$B$578,RUC!$M$3:$M$578)</f>
        <v>Ronald Miranda</v>
      </c>
      <c r="AO51" s="1167" t="s">
        <v>2280</v>
      </c>
      <c r="AP51" s="1082" t="s">
        <v>2461</v>
      </c>
      <c r="AQ51" s="1082" t="s">
        <v>5333</v>
      </c>
    </row>
    <row r="52" spans="1:44" ht="15" customHeight="1">
      <c r="A52" s="747" t="s">
        <v>5298</v>
      </c>
      <c r="B52" s="1447">
        <v>46130</v>
      </c>
      <c r="C52" s="1447">
        <v>46123</v>
      </c>
      <c r="D52" s="1824" t="s">
        <v>4722</v>
      </c>
      <c r="E52" s="762" t="str">
        <f>_xlfn.XLOOKUP(D52,RUC!$B$3:$B$123,RUC!$D$3:$D$123)</f>
        <v>20610807004*</v>
      </c>
      <c r="G52" s="1082">
        <v>25</v>
      </c>
      <c r="H52" s="762" t="s">
        <v>2005</v>
      </c>
      <c r="I52" s="703">
        <v>2.4500000000000002</v>
      </c>
      <c r="J52" s="596">
        <v>9.5</v>
      </c>
      <c r="K52" s="703">
        <f t="shared" si="23"/>
        <v>2.2170000000000001</v>
      </c>
      <c r="L52" s="1745">
        <v>0.35299999999999998</v>
      </c>
      <c r="M52" s="994">
        <f t="shared" si="49"/>
        <v>0.33200000000000002</v>
      </c>
      <c r="N52" s="1196">
        <f t="shared" si="36"/>
        <v>0.33200000000000002</v>
      </c>
      <c r="O52" s="645">
        <f t="shared" si="25"/>
        <v>0.33200000000000002</v>
      </c>
      <c r="P52" s="727">
        <v>90</v>
      </c>
      <c r="Q52" s="1476">
        <v>93.2</v>
      </c>
      <c r="R52" s="706">
        <v>4773.75</v>
      </c>
      <c r="S52" s="765">
        <f>IF((_xlfn.XLOOKUP(D52,RUC!$B$3:$B$119,RUC!$E$3:$E$119)+ROUNDDOWN(O52,1)*100)&lt;95,95,((_xlfn.XLOOKUP(D52,RUC!$B$3:$B$119,RUC!$E$3:$E$119)+ROUNDDOWN(O52,1)*100)))</f>
        <v>115</v>
      </c>
      <c r="U52" s="1146">
        <f>_xlfn.XLOOKUP(D52,RUC!$B$3:$B$123,RUC!$F$3:$F$123)</f>
        <v>120</v>
      </c>
      <c r="V52" s="715">
        <v>1.1023000000000001</v>
      </c>
      <c r="Y52">
        <f>_xlfn.XLOOKUP(D52,RUC!$B$3:$B$123,RUC!$G$3:$G$123)</f>
        <v>20</v>
      </c>
      <c r="Z52" s="1454">
        <v>35</v>
      </c>
      <c r="AA52" s="144">
        <f t="shared" si="26"/>
        <v>55</v>
      </c>
      <c r="AB52" s="145">
        <f t="shared" si="37"/>
        <v>1345.4017931500002</v>
      </c>
      <c r="AC52" s="145">
        <f>+(S52-T52)*V52-'data 1'!$F$4</f>
        <v>46.764500000000012</v>
      </c>
      <c r="AD52" s="145">
        <f t="shared" si="38"/>
        <v>57.946544148000051</v>
      </c>
      <c r="AE52" s="145">
        <f t="shared" si="39"/>
        <v>-9.3734999999999999</v>
      </c>
      <c r="AF52" s="145">
        <f t="shared" si="40"/>
        <v>100.40100584849985</v>
      </c>
      <c r="AG52" s="772">
        <f t="shared" si="50"/>
        <v>212.7385499964999</v>
      </c>
      <c r="AH52" s="1253">
        <f t="shared" si="41"/>
        <v>25.007000000000001</v>
      </c>
      <c r="AI52" s="1253">
        <f t="shared" si="42"/>
        <v>26.832000000000001</v>
      </c>
      <c r="AJ52" s="156">
        <f t="shared" si="43"/>
        <v>89.303126609499998</v>
      </c>
      <c r="AK52" s="156">
        <f t="shared" si="44"/>
        <v>22.711998745686788</v>
      </c>
      <c r="AM52" s="716">
        <f t="shared" si="45"/>
        <v>2982.7557754135505</v>
      </c>
      <c r="AN52" s="716" t="str">
        <f>_xlfn.XLOOKUP(D52,RUC!$B$3:$B$578,RUC!$M$3:$M$578)</f>
        <v>Ronald Miranda</v>
      </c>
      <c r="AO52" s="1167" t="s">
        <v>2278</v>
      </c>
      <c r="AP52" s="1082" t="s">
        <v>2461</v>
      </c>
      <c r="AQ52" s="1082" t="s">
        <v>5333</v>
      </c>
    </row>
    <row r="53" spans="1:44" ht="15" customHeight="1">
      <c r="A53" s="747" t="s">
        <v>5299</v>
      </c>
      <c r="B53" s="1447">
        <v>46132</v>
      </c>
      <c r="C53" s="1447">
        <v>46123</v>
      </c>
      <c r="D53" s="1824" t="s">
        <v>4722</v>
      </c>
      <c r="E53" s="762" t="str">
        <f>_xlfn.XLOOKUP(D53,RUC!$B$3:$B$123,RUC!$D$3:$D$123)</f>
        <v>20610807004*</v>
      </c>
      <c r="G53" s="1082">
        <v>25</v>
      </c>
      <c r="H53" s="762" t="s">
        <v>2005</v>
      </c>
      <c r="I53" s="703">
        <v>1.89</v>
      </c>
      <c r="J53" s="596">
        <v>5.95</v>
      </c>
      <c r="K53" s="703">
        <f t="shared" si="23"/>
        <v>1.778</v>
      </c>
      <c r="L53" s="1745">
        <v>0.22700000000000001</v>
      </c>
      <c r="M53" s="994">
        <f t="shared" si="49"/>
        <v>0.20799999999999999</v>
      </c>
      <c r="N53" s="1196">
        <f t="shared" si="36"/>
        <v>0.20799999999999999</v>
      </c>
      <c r="O53" s="645">
        <f t="shared" si="25"/>
        <v>0.20799999999999999</v>
      </c>
      <c r="P53" s="727">
        <v>80</v>
      </c>
      <c r="Q53" s="1572">
        <v>81.94</v>
      </c>
      <c r="R53" s="706">
        <v>4773.75</v>
      </c>
      <c r="S53" s="765">
        <f>IF((_xlfn.XLOOKUP(D53,RUC!$B$3:$B$119,RUC!$E$3:$E$119)+ROUNDDOWN(O53,1)*100)&lt;95,95,((_xlfn.XLOOKUP(D53,RUC!$B$3:$B$119,RUC!$E$3:$E$119)+ROUNDDOWN(O53,1)*100)))</f>
        <v>105</v>
      </c>
      <c r="U53" s="1146">
        <f>_xlfn.XLOOKUP(D53,RUC!$B$3:$B$123,RUC!$F$3:$F$123)</f>
        <v>120</v>
      </c>
      <c r="V53" s="715">
        <v>1.1023000000000001</v>
      </c>
      <c r="Y53">
        <f>_xlfn.XLOOKUP(D53,RUC!$B$3:$B$123,RUC!$G$3:$G$123)</f>
        <v>20</v>
      </c>
      <c r="Z53" s="1454">
        <v>35</v>
      </c>
      <c r="AA53" s="144">
        <f t="shared" si="26"/>
        <v>55</v>
      </c>
      <c r="AB53" s="145">
        <f t="shared" si="37"/>
        <v>677.2354832000002</v>
      </c>
      <c r="AC53" s="145">
        <f>+(S53-T53)*V53-'data 1'!$F$4</f>
        <v>35.741500000000002</v>
      </c>
      <c r="AD53" s="145">
        <f t="shared" si="38"/>
        <v>22.590739298774974</v>
      </c>
      <c r="AE53" s="145">
        <f t="shared" si="39"/>
        <v>-9.3734999999999999</v>
      </c>
      <c r="AF53" s="145">
        <f t="shared" si="40"/>
        <v>79.864249931175067</v>
      </c>
      <c r="AG53" s="772">
        <f t="shared" si="50"/>
        <v>145.82298922995005</v>
      </c>
      <c r="AH53" s="1253">
        <f t="shared" si="41"/>
        <v>11.339</v>
      </c>
      <c r="AI53" s="1253">
        <f t="shared" si="42"/>
        <v>13.837999999999999</v>
      </c>
      <c r="AJ53" s="156">
        <f t="shared" si="43"/>
        <v>50.489127227224998</v>
      </c>
      <c r="AK53" s="156">
        <f t="shared" si="44"/>
        <v>10.143647480162562</v>
      </c>
      <c r="AM53" s="716">
        <f t="shared" si="45"/>
        <v>1204.1246891296005</v>
      </c>
      <c r="AN53" s="716" t="str">
        <f>_xlfn.XLOOKUP(D53,RUC!$B$3:$B$578,RUC!$M$3:$M$578)</f>
        <v>Ronald Miranda</v>
      </c>
      <c r="AO53" s="1167" t="s">
        <v>2278</v>
      </c>
      <c r="AP53" s="1082" t="s">
        <v>2461</v>
      </c>
      <c r="AQ53" s="1082" t="s">
        <v>5333</v>
      </c>
      <c r="AR53" t="s">
        <v>5380</v>
      </c>
    </row>
    <row r="54" spans="1:44" ht="15" customHeight="1">
      <c r="A54" s="747" t="s">
        <v>5300</v>
      </c>
      <c r="B54" s="1447">
        <v>46132</v>
      </c>
      <c r="C54" s="1447">
        <v>46123</v>
      </c>
      <c r="D54" s="1824" t="s">
        <v>4722</v>
      </c>
      <c r="E54" s="762" t="str">
        <f>_xlfn.XLOOKUP(D54,RUC!$B$3:$B$123,RUC!$D$3:$D$123)</f>
        <v>20610807004*</v>
      </c>
      <c r="G54" s="1082">
        <v>25</v>
      </c>
      <c r="H54" s="762" t="s">
        <v>2005</v>
      </c>
      <c r="I54" s="703">
        <v>1.9</v>
      </c>
      <c r="J54" s="596">
        <v>2.7</v>
      </c>
      <c r="K54" s="703">
        <f t="shared" si="23"/>
        <v>1.849</v>
      </c>
      <c r="L54" s="1745">
        <v>0.27400000000000002</v>
      </c>
      <c r="M54" s="994">
        <f t="shared" si="49"/>
        <v>0.255</v>
      </c>
      <c r="N54" s="1196">
        <f t="shared" si="36"/>
        <v>0.255</v>
      </c>
      <c r="O54" s="645">
        <f t="shared" si="25"/>
        <v>0.255</v>
      </c>
      <c r="P54" s="727">
        <v>85</v>
      </c>
      <c r="Q54" s="1572">
        <v>86.5</v>
      </c>
      <c r="R54" s="706">
        <v>4773.75</v>
      </c>
      <c r="S54" s="765">
        <f>IF((_xlfn.XLOOKUP(D54,RUC!$B$3:$B$119,RUC!$E$3:$E$119)+ROUNDDOWN(O54,1)*100)&lt;95,95,((_xlfn.XLOOKUP(D54,RUC!$B$3:$B$119,RUC!$E$3:$E$119)+ROUNDDOWN(O54,1)*100)))</f>
        <v>105</v>
      </c>
      <c r="U54" s="1146">
        <f>_xlfn.XLOOKUP(D54,RUC!$B$3:$B$123,RUC!$F$3:$F$123)</f>
        <v>120</v>
      </c>
      <c r="V54" s="715">
        <v>1.1023000000000001</v>
      </c>
      <c r="Y54">
        <f>_xlfn.XLOOKUP(D54,RUC!$B$3:$B$123,RUC!$G$3:$G$123)</f>
        <v>20</v>
      </c>
      <c r="Z54" s="1454">
        <v>35</v>
      </c>
      <c r="AA54" s="144">
        <f t="shared" si="26"/>
        <v>55</v>
      </c>
      <c r="AB54" s="145">
        <f t="shared" si="37"/>
        <v>935.52235446875</v>
      </c>
      <c r="AC54" s="145">
        <f>+(S54-T54)*V54-'data 1'!$F$4</f>
        <v>35.741500000000002</v>
      </c>
      <c r="AD54" s="145">
        <f t="shared" si="38"/>
        <v>21.083595648750002</v>
      </c>
      <c r="AE54" s="145">
        <f t="shared" si="39"/>
        <v>-9.3734999999999999</v>
      </c>
      <c r="AF54" s="145">
        <f t="shared" si="40"/>
        <v>84.308733451875071</v>
      </c>
      <c r="AG54" s="772">
        <f t="shared" si="50"/>
        <v>148.76032910062509</v>
      </c>
      <c r="AH54" s="1253">
        <f t="shared" si="41"/>
        <v>15.025</v>
      </c>
      <c r="AI54" s="1253">
        <f t="shared" si="42"/>
        <v>17.37</v>
      </c>
      <c r="AJ54" s="156">
        <f t="shared" si="43"/>
        <v>64.334320288750007</v>
      </c>
      <c r="AK54" s="156">
        <f t="shared" si="44"/>
        <v>13.740580682839539</v>
      </c>
      <c r="AM54" s="716">
        <f t="shared" si="45"/>
        <v>1729.7808334127187</v>
      </c>
      <c r="AN54" s="716" t="str">
        <f>_xlfn.XLOOKUP(D54,RUC!$B$3:$B$578,RUC!$M$3:$M$578)</f>
        <v>Ronald Miranda</v>
      </c>
      <c r="AO54" s="1167" t="s">
        <v>2278</v>
      </c>
      <c r="AP54" s="1082" t="s">
        <v>2461</v>
      </c>
      <c r="AQ54" s="1082" t="s">
        <v>5333</v>
      </c>
      <c r="AR54" t="s">
        <v>5381</v>
      </c>
    </row>
    <row r="55" spans="1:44" ht="15" customHeight="1">
      <c r="A55" s="747" t="s">
        <v>5301</v>
      </c>
      <c r="B55" s="1447">
        <v>46132</v>
      </c>
      <c r="C55" s="1447">
        <v>46123</v>
      </c>
      <c r="D55" s="1824" t="s">
        <v>4722</v>
      </c>
      <c r="E55" s="762" t="str">
        <f>_xlfn.XLOOKUP(D55,RUC!$B$3:$B$123,RUC!$D$3:$D$123)</f>
        <v>20610807004*</v>
      </c>
      <c r="G55" s="1082">
        <v>25</v>
      </c>
      <c r="H55" s="762" t="s">
        <v>2005</v>
      </c>
      <c r="I55" s="703">
        <v>1.88</v>
      </c>
      <c r="J55" s="596">
        <v>4.9000000000000004</v>
      </c>
      <c r="K55" s="703">
        <f t="shared" si="23"/>
        <v>1.788</v>
      </c>
      <c r="L55" s="1745">
        <v>0.192</v>
      </c>
      <c r="M55" s="994">
        <f t="shared" si="49"/>
        <v>0.17299999999999999</v>
      </c>
      <c r="N55" s="1196">
        <f t="shared" si="36"/>
        <v>0.17299999999999999</v>
      </c>
      <c r="O55" s="645">
        <f t="shared" si="25"/>
        <v>0.17299999999999999</v>
      </c>
      <c r="P55" s="727">
        <v>83</v>
      </c>
      <c r="Q55" s="1572">
        <v>84.9</v>
      </c>
      <c r="R55" s="706">
        <v>4773.75</v>
      </c>
      <c r="S55" s="765">
        <f>IF((_xlfn.XLOOKUP(D55,RUC!$B$3:$B$119,RUC!$E$3:$E$119)+ROUNDDOWN(O55,1)*100)&lt;95,95,((_xlfn.XLOOKUP(D55,RUC!$B$3:$B$119,RUC!$E$3:$E$119)+ROUNDDOWN(O55,1)*100)))</f>
        <v>95</v>
      </c>
      <c r="U55" s="1146">
        <f>_xlfn.XLOOKUP(D55,RUC!$B$3:$B$123,RUC!$F$3:$F$123)</f>
        <v>120</v>
      </c>
      <c r="V55" s="715">
        <v>1.1023000000000001</v>
      </c>
      <c r="Y55">
        <f>_xlfn.XLOOKUP(D55,RUC!$B$3:$B$123,RUC!$G$3:$G$123)</f>
        <v>20</v>
      </c>
      <c r="Z55" s="1454">
        <v>35</v>
      </c>
      <c r="AA55" s="144">
        <f t="shared" si="26"/>
        <v>55</v>
      </c>
      <c r="AB55" s="145">
        <f t="shared" si="37"/>
        <v>571.24709226374989</v>
      </c>
      <c r="AC55" s="145">
        <f>+(S55-T55)*V55-'data 1'!$F$4</f>
        <v>24.718500000000006</v>
      </c>
      <c r="AD55" s="145">
        <f t="shared" si="38"/>
        <v>18.713614824000061</v>
      </c>
      <c r="AE55" s="145">
        <f t="shared" si="39"/>
        <v>-9.3734999999999999</v>
      </c>
      <c r="AF55" s="145">
        <f t="shared" si="40"/>
        <v>82.749265549875076</v>
      </c>
      <c r="AG55" s="772">
        <f t="shared" si="50"/>
        <v>133.80788037387515</v>
      </c>
      <c r="AH55" s="1253">
        <f t="shared" si="41"/>
        <v>9.9930000000000003</v>
      </c>
      <c r="AI55" s="1253">
        <f t="shared" si="42"/>
        <v>11.77</v>
      </c>
      <c r="AJ55" s="156">
        <f t="shared" si="43"/>
        <v>44.247115656000005</v>
      </c>
      <c r="AK55" s="156">
        <f t="shared" si="44"/>
        <v>8.8023934997379047</v>
      </c>
      <c r="AM55" s="716">
        <f t="shared" si="45"/>
        <v>1021.3898009675848</v>
      </c>
      <c r="AN55" s="716" t="str">
        <f>_xlfn.XLOOKUP(D55,RUC!$B$3:$B$578,RUC!$M$3:$M$578)</f>
        <v>Ronald Miranda</v>
      </c>
      <c r="AO55" s="1167" t="s">
        <v>2278</v>
      </c>
      <c r="AP55" s="1082" t="s">
        <v>2461</v>
      </c>
      <c r="AQ55" s="1082" t="s">
        <v>5333</v>
      </c>
      <c r="AR55" t="s">
        <v>5380</v>
      </c>
    </row>
    <row r="56" spans="1:44" ht="15" customHeight="1">
      <c r="A56" s="747" t="s">
        <v>5302</v>
      </c>
      <c r="B56" s="1447">
        <v>46132</v>
      </c>
      <c r="C56" s="1447">
        <v>46123</v>
      </c>
      <c r="D56" s="1824" t="s">
        <v>4722</v>
      </c>
      <c r="E56" s="762" t="str">
        <f>_xlfn.XLOOKUP(D56,RUC!$B$3:$B$123,RUC!$D$3:$D$123)</f>
        <v>20610807004*</v>
      </c>
      <c r="G56" s="1082">
        <v>25</v>
      </c>
      <c r="H56" s="762" t="s">
        <v>2005</v>
      </c>
      <c r="I56" s="703">
        <v>1.89</v>
      </c>
      <c r="J56" s="596">
        <v>4.0999999999999996</v>
      </c>
      <c r="K56" s="703">
        <f t="shared" si="23"/>
        <v>1.8129999999999999</v>
      </c>
      <c r="L56" s="1745">
        <v>0.29699999999999999</v>
      </c>
      <c r="M56" s="994">
        <f t="shared" si="49"/>
        <v>0.27800000000000002</v>
      </c>
      <c r="N56" s="1196">
        <f t="shared" si="36"/>
        <v>0.27800000000000002</v>
      </c>
      <c r="O56" s="645">
        <f t="shared" si="25"/>
        <v>0.27800000000000002</v>
      </c>
      <c r="P56" s="727">
        <v>85</v>
      </c>
      <c r="Q56" s="1572">
        <v>86.2</v>
      </c>
      <c r="R56" s="706">
        <v>4773.75</v>
      </c>
      <c r="S56" s="765">
        <f>IF((_xlfn.XLOOKUP(D56,RUC!$B$3:$B$119,RUC!$E$3:$E$119)+ROUNDDOWN(O56,1)*100)&lt;95,95,((_xlfn.XLOOKUP(D56,RUC!$B$3:$B$119,RUC!$E$3:$E$119)+ROUNDDOWN(O56,1)*100)))</f>
        <v>105</v>
      </c>
      <c r="U56" s="1146">
        <f>_xlfn.XLOOKUP(D56,RUC!$B$3:$B$123,RUC!$F$3:$F$123)</f>
        <v>120</v>
      </c>
      <c r="V56" s="715">
        <v>1.1023000000000001</v>
      </c>
      <c r="Y56">
        <f>_xlfn.XLOOKUP(D56,RUC!$B$3:$B$123,RUC!$G$3:$G$123)</f>
        <v>20</v>
      </c>
      <c r="Z56" s="1454">
        <v>35</v>
      </c>
      <c r="AA56" s="144">
        <f>+Y56+Z56</f>
        <v>55</v>
      </c>
      <c r="AB56" s="145">
        <f>+((O56*P56*(R56-U56)/100)-S56-AA56+T56)*V56</f>
        <v>1035.8105040875</v>
      </c>
      <c r="AC56" s="145">
        <f>+(S56-T56)*V56-'data 1'!$F$4</f>
        <v>35.741500000000002</v>
      </c>
      <c r="AD56" s="145">
        <f>+(Q56-P56)*(R56-U56)*L56*V56/100</f>
        <v>18.282709219500045</v>
      </c>
      <c r="AE56" s="145">
        <f>+(Y56*V56-70)+V56*(Z56-IF(D56="UNTUCA",IF(+((W56-3)*2.5+(X56-3)*3.1)&gt;0,+((W56-3)*1.5+(X56-3)*3.1),0),IF(+((W56-3)*1.5+(X56-3)*3.1)&gt;0,+((W56-3)*1.5+(X56-3)*3.1),0)))</f>
        <v>-9.3734999999999999</v>
      </c>
      <c r="AF56" s="145">
        <f>(L56-O56)*(R56-U56)*Q56*V56/100</f>
        <v>84.016333220249834</v>
      </c>
      <c r="AG56" s="772">
        <f>AC56+AD56+AE56+AF56+70-53</f>
        <v>145.66704243974988</v>
      </c>
      <c r="AH56" s="1253">
        <f t="shared" si="41"/>
        <v>15.914</v>
      </c>
      <c r="AI56" s="1253">
        <f t="shared" si="42"/>
        <v>18.460999999999999</v>
      </c>
      <c r="AJ56" s="156">
        <f t="shared" si="43"/>
        <v>69.492792179250003</v>
      </c>
      <c r="AK56" s="156">
        <f t="shared" si="44"/>
        <v>14.688268236737796</v>
      </c>
      <c r="AM56" s="716">
        <f>+IF(AB56*K56&gt;0,AB56*K56,0)</f>
        <v>1877.9244439106376</v>
      </c>
      <c r="AN56" s="716" t="str">
        <f>_xlfn.XLOOKUP(D56,RUC!$B$3:$B$578,RUC!$M$3:$M$578)</f>
        <v>Ronald Miranda</v>
      </c>
      <c r="AO56" s="1167" t="s">
        <v>2278</v>
      </c>
      <c r="AP56" s="1082" t="s">
        <v>2461</v>
      </c>
      <c r="AQ56" s="1082" t="s">
        <v>5333</v>
      </c>
      <c r="AR56" t="s">
        <v>5381</v>
      </c>
    </row>
    <row r="57" spans="1:44" ht="15" customHeight="1">
      <c r="A57" s="747" t="s">
        <v>5303</v>
      </c>
      <c r="B57" s="1447">
        <v>46132</v>
      </c>
      <c r="C57" s="1447">
        <v>46123</v>
      </c>
      <c r="D57" s="1824" t="s">
        <v>4722</v>
      </c>
      <c r="E57" s="762" t="str">
        <f>_xlfn.XLOOKUP(D57,RUC!$B$3:$B$123,RUC!$D$3:$D$123)</f>
        <v>20610807004*</v>
      </c>
      <c r="G57" s="1082">
        <v>25</v>
      </c>
      <c r="H57" s="762" t="s">
        <v>2005</v>
      </c>
      <c r="I57" s="703">
        <v>2.23</v>
      </c>
      <c r="J57" s="596">
        <v>13.8</v>
      </c>
      <c r="K57" s="703">
        <f t="shared" si="23"/>
        <v>1.9219999999999999</v>
      </c>
      <c r="L57" s="1745">
        <v>0.255</v>
      </c>
      <c r="M57" s="994">
        <v>0.253</v>
      </c>
      <c r="N57" s="1196">
        <f t="shared" si="36"/>
        <v>0.253</v>
      </c>
      <c r="O57" s="645">
        <f t="shared" si="25"/>
        <v>0.253</v>
      </c>
      <c r="P57" s="727">
        <v>90</v>
      </c>
      <c r="Q57" s="1476">
        <v>95.22</v>
      </c>
      <c r="R57" s="706">
        <v>4773.75</v>
      </c>
      <c r="S57" s="765">
        <f>IF((_xlfn.XLOOKUP(D57,RUC!$B$3:$B$119,RUC!$E$3:$E$119)+ROUNDDOWN(O57,1)*100)&lt;95,95,((_xlfn.XLOOKUP(D57,RUC!$B$3:$B$119,RUC!$E$3:$E$119)+ROUNDDOWN(O57,1)*100)))</f>
        <v>105</v>
      </c>
      <c r="U57" s="1146">
        <f>_xlfn.XLOOKUP(D57,RUC!$B$3:$B$123,RUC!$F$3:$F$123)</f>
        <v>120</v>
      </c>
      <c r="V57" s="715">
        <v>1.1023000000000001</v>
      </c>
      <c r="Y57">
        <f>_xlfn.XLOOKUP(D57,RUC!$B$3:$B$123,RUC!$G$3:$G$123)</f>
        <v>20</v>
      </c>
      <c r="Z57" s="1454">
        <v>35</v>
      </c>
      <c r="AA57" s="144">
        <f t="shared" ref="AA57:AA61" si="54">+Y57+Z57</f>
        <v>55</v>
      </c>
      <c r="AB57" s="145">
        <f t="shared" ref="AB57:AB61" si="55">+((O57*P57*(R57-U57)/100)-S57-AA57+T57)*V57</f>
        <v>991.69397791250015</v>
      </c>
      <c r="AC57" s="145">
        <f>+(S57-T57)*V57-'data 1'!$F$4</f>
        <v>35.741500000000002</v>
      </c>
      <c r="AD57" s="145">
        <f t="shared" ref="AD57:AD61" si="56">+(Q57-P57)*(R57-U57)*L57*V57/100</f>
        <v>68.283148827374987</v>
      </c>
      <c r="AE57" s="145">
        <f t="shared" ref="AE57:AE61" si="57">+(Y57*V57-70)+V57*(Z57-IF(D57="UNTUCA",IF(+((W57-3)*2.5+(X57-3)*3.1)&gt;0,+((W57-3)*1.5+(X57-3)*3.1),0),IF(+((W57-3)*1.5+(X57-3)*3.1)&gt;0,+((W57-3)*1.5+(X57-3)*3.1),0)))</f>
        <v>-9.3734999999999999</v>
      </c>
      <c r="AF57" s="145">
        <f t="shared" ref="AF57:AF61" si="58">(L57-O57)*(R57-U57)*Q57*V57/100</f>
        <v>9.7692456334500086</v>
      </c>
      <c r="AG57" s="772">
        <f t="shared" ref="AG57:AG61" si="59">AC57+AD57+AE57+AF57+70-53</f>
        <v>121.42039446082498</v>
      </c>
      <c r="AH57" s="1253">
        <f t="shared" si="41"/>
        <v>16</v>
      </c>
      <c r="AI57" s="1253">
        <f t="shared" si="42"/>
        <v>16.803999999999998</v>
      </c>
      <c r="AJ57" s="156">
        <f t="shared" si="43"/>
        <v>65.908951705125006</v>
      </c>
      <c r="AK57" s="156">
        <f t="shared" si="44"/>
        <v>15.004636654969172</v>
      </c>
      <c r="AM57" s="716">
        <f>+IF(AB57*K57&gt;0,AB57*K57,0)</f>
        <v>1906.0358255478252</v>
      </c>
      <c r="AN57" s="716" t="str">
        <f>_xlfn.XLOOKUP(D57,RUC!$B$3:$B$578,RUC!$M$3:$M$578)</f>
        <v>Ronald Miranda</v>
      </c>
      <c r="AO57" s="1167" t="s">
        <v>2278</v>
      </c>
      <c r="AP57" s="1082" t="s">
        <v>2461</v>
      </c>
      <c r="AQ57" s="1082" t="s">
        <v>5333</v>
      </c>
    </row>
    <row r="58" spans="1:44" ht="15" customHeight="1">
      <c r="A58" s="747" t="s">
        <v>5315</v>
      </c>
      <c r="B58" s="1447">
        <v>46132</v>
      </c>
      <c r="C58" s="1447">
        <v>46123</v>
      </c>
      <c r="D58" s="1824" t="s">
        <v>4722</v>
      </c>
      <c r="E58" s="762" t="str">
        <f>_xlfn.XLOOKUP(D58,RUC!$B$3:$B$123,RUC!$D$3:$D$123)</f>
        <v>20610807004*</v>
      </c>
      <c r="G58" s="1082">
        <v>25</v>
      </c>
      <c r="H58" s="762" t="s">
        <v>69</v>
      </c>
      <c r="I58" s="703">
        <v>2.15</v>
      </c>
      <c r="J58" s="596">
        <v>15.2</v>
      </c>
      <c r="K58" s="703">
        <f t="shared" si="23"/>
        <v>1.823</v>
      </c>
      <c r="L58" s="1745">
        <v>0.35399999999999998</v>
      </c>
      <c r="M58" s="994">
        <f t="shared" ref="M58" si="60">ROUND(+IF(AN58="Melchor Vera",IF(L58&gt;0.467,L58*0.985,(L58-0.007)),IF(L58&gt;0.3,L58*0.94,(L58-0.019))),3)</f>
        <v>0.33300000000000002</v>
      </c>
      <c r="N58" s="1196">
        <f t="shared" si="36"/>
        <v>0.33300000000000002</v>
      </c>
      <c r="O58" s="645">
        <f t="shared" si="25"/>
        <v>0.33300000000000002</v>
      </c>
      <c r="P58" s="727">
        <v>90</v>
      </c>
      <c r="Q58" s="1476">
        <v>95.2</v>
      </c>
      <c r="R58" s="706">
        <v>4773.75</v>
      </c>
      <c r="S58" s="765">
        <f>IF((_xlfn.XLOOKUP(D58,RUC!$B$3:$B$119,RUC!$E$3:$E$119)+ROUNDDOWN(O58,1)*100)&lt;95,95,((_xlfn.XLOOKUP(D58,RUC!$B$3:$B$119,RUC!$E$3:$E$119)+ROUNDDOWN(O58,1)*100)))</f>
        <v>115</v>
      </c>
      <c r="U58" s="1146">
        <f>_xlfn.XLOOKUP(D58,RUC!$B$3:$B$123,RUC!$F$3:$F$123)</f>
        <v>120</v>
      </c>
      <c r="V58" s="715">
        <v>1.1023000000000001</v>
      </c>
      <c r="Y58">
        <f>_xlfn.XLOOKUP(D58,RUC!$B$3:$B$123,RUC!$G$3:$G$123)</f>
        <v>20</v>
      </c>
      <c r="Z58" s="1454">
        <v>35</v>
      </c>
      <c r="AA58" s="144">
        <f t="shared" si="54"/>
        <v>55</v>
      </c>
      <c r="AB58" s="145">
        <f t="shared" si="55"/>
        <v>1350.0186389125001</v>
      </c>
      <c r="AC58" s="145">
        <f>+(S58-T58)*V58-'data 1'!$F$4</f>
        <v>46.764500000000012</v>
      </c>
      <c r="AD58" s="145">
        <f t="shared" si="56"/>
        <v>94.429885329000058</v>
      </c>
      <c r="AE58" s="145">
        <f t="shared" si="57"/>
        <v>-9.3734999999999999</v>
      </c>
      <c r="AF58" s="145">
        <f t="shared" si="58"/>
        <v>102.55553387099982</v>
      </c>
      <c r="AG58" s="772">
        <f t="shared" si="59"/>
        <v>251.37641919999987</v>
      </c>
      <c r="AH58" s="1253">
        <f t="shared" si="41"/>
        <v>21.064</v>
      </c>
      <c r="AI58" s="1253">
        <f t="shared" si="42"/>
        <v>22.126000000000001</v>
      </c>
      <c r="AJ58" s="156">
        <f t="shared" si="43"/>
        <v>91.477914906000009</v>
      </c>
      <c r="AK58" s="156">
        <f t="shared" si="44"/>
        <v>18.731928045820453</v>
      </c>
      <c r="AM58" s="716">
        <f t="shared" ref="AM58:AM115" si="61">+IF(AB58*K58&gt;0,AB58*K58,0)</f>
        <v>2461.0839787374875</v>
      </c>
      <c r="AN58" s="716" t="str">
        <f>_xlfn.XLOOKUP(D58,RUC!$B$3:$B$578,RUC!$M$3:$M$578)</f>
        <v>Ronald Miranda</v>
      </c>
      <c r="AO58" s="1167" t="s">
        <v>2278</v>
      </c>
      <c r="AP58" s="1082" t="s">
        <v>2461</v>
      </c>
      <c r="AQ58" s="1082" t="s">
        <v>5333</v>
      </c>
    </row>
    <row r="59" spans="1:44" ht="15" customHeight="1">
      <c r="A59" s="747" t="s">
        <v>5316</v>
      </c>
      <c r="B59" s="1447">
        <v>46132</v>
      </c>
      <c r="C59" s="1447">
        <v>46123</v>
      </c>
      <c r="D59" s="1824" t="s">
        <v>4722</v>
      </c>
      <c r="E59" s="762" t="str">
        <f>_xlfn.XLOOKUP(D59,RUC!$B$3:$B$123,RUC!$D$3:$D$123)</f>
        <v>20610807004*</v>
      </c>
      <c r="G59" s="1082">
        <v>27</v>
      </c>
      <c r="H59" s="762" t="s">
        <v>69</v>
      </c>
      <c r="I59" s="703">
        <v>2.31</v>
      </c>
      <c r="J59" s="596">
        <v>11.87</v>
      </c>
      <c r="K59" s="703">
        <f t="shared" si="23"/>
        <v>2.036</v>
      </c>
      <c r="L59" s="1745">
        <v>0.312</v>
      </c>
      <c r="M59" s="994">
        <f>ROUND(+IF(AN59="Melchor Vera",IF(L59&gt;0.467,L59*0.985,(L59-0.007)),IF(L59&gt;0.3,L59*0.94,(L59-0.019))),3)-0.02</f>
        <v>0.27299999999999996</v>
      </c>
      <c r="N59" s="1196">
        <f t="shared" si="36"/>
        <v>0.27299999999999996</v>
      </c>
      <c r="O59" s="645">
        <f t="shared" si="25"/>
        <v>0.27300000000000002</v>
      </c>
      <c r="P59" s="727">
        <v>90</v>
      </c>
      <c r="Q59" s="1476">
        <v>95</v>
      </c>
      <c r="R59" s="706">
        <v>4773.75</v>
      </c>
      <c r="S59" s="765">
        <f>IF((_xlfn.XLOOKUP(D59,RUC!$B$3:$B$119,RUC!$E$3:$E$119)+ROUNDDOWN(O59,1)*100)&lt;95,95,((_xlfn.XLOOKUP(D59,RUC!$B$3:$B$119,RUC!$E$3:$E$119)+ROUNDDOWN(O59,1)*100)))</f>
        <v>105</v>
      </c>
      <c r="U59" s="1146">
        <f>_xlfn.XLOOKUP(D59,RUC!$B$3:$B$123,RUC!$F$3:$F$123)</f>
        <v>120</v>
      </c>
      <c r="V59" s="715">
        <v>1.1023000000000001</v>
      </c>
      <c r="Y59">
        <f>_xlfn.XLOOKUP(D59,RUC!$B$3:$B$123,RUC!$G$3:$G$123)</f>
        <v>20</v>
      </c>
      <c r="Z59" s="1454">
        <v>35</v>
      </c>
      <c r="AA59" s="144">
        <f t="shared" si="54"/>
        <v>55</v>
      </c>
      <c r="AB59" s="145">
        <f t="shared" si="55"/>
        <v>1084.0308931625</v>
      </c>
      <c r="AC59" s="145">
        <f>+(S59-T59)*V59-'data 1'!$F$4</f>
        <v>35.741500000000002</v>
      </c>
      <c r="AD59" s="145">
        <f t="shared" si="56"/>
        <v>80.025326550000003</v>
      </c>
      <c r="AE59" s="145">
        <f t="shared" si="57"/>
        <v>-9.3734999999999999</v>
      </c>
      <c r="AF59" s="145">
        <f t="shared" si="58"/>
        <v>190.06015055624985</v>
      </c>
      <c r="AG59" s="772">
        <f t="shared" si="59"/>
        <v>313.45347710624986</v>
      </c>
      <c r="AH59" s="1253">
        <f t="shared" si="41"/>
        <v>20.69</v>
      </c>
      <c r="AI59" s="1253">
        <f t="shared" si="42"/>
        <v>21.779</v>
      </c>
      <c r="AJ59" s="156">
        <f t="shared" si="43"/>
        <v>80.455223549999999</v>
      </c>
      <c r="AK59" s="156">
        <f t="shared" si="44"/>
        <v>17.151100802149863</v>
      </c>
      <c r="AM59" s="716">
        <f t="shared" si="61"/>
        <v>2207.0868984788499</v>
      </c>
      <c r="AN59" s="716" t="str">
        <f>_xlfn.XLOOKUP(D59,RUC!$B$3:$B$578,RUC!$M$3:$M$578)</f>
        <v>Ronald Miranda</v>
      </c>
      <c r="AO59" s="1167" t="s">
        <v>2278</v>
      </c>
      <c r="AP59" s="1082" t="s">
        <v>2461</v>
      </c>
      <c r="AQ59" s="1082" t="s">
        <v>5333</v>
      </c>
    </row>
    <row r="60" spans="1:44" ht="15" customHeight="1">
      <c r="A60" s="747" t="s">
        <v>5317</v>
      </c>
      <c r="B60" s="1447">
        <v>46132</v>
      </c>
      <c r="C60" s="1447">
        <v>46123</v>
      </c>
      <c r="D60" s="1824" t="s">
        <v>4722</v>
      </c>
      <c r="E60" s="762" t="str">
        <f>_xlfn.XLOOKUP(D60,RUC!$B$3:$B$123,RUC!$D$3:$D$123)</f>
        <v>20610807004*</v>
      </c>
      <c r="G60" s="1082">
        <v>25</v>
      </c>
      <c r="H60" s="762" t="s">
        <v>69</v>
      </c>
      <c r="I60" s="703">
        <v>2.2000000000000002</v>
      </c>
      <c r="J60" s="596">
        <v>14.35</v>
      </c>
      <c r="K60" s="703">
        <f t="shared" si="23"/>
        <v>1.8839999999999999</v>
      </c>
      <c r="L60" s="1745">
        <v>0.34100000000000003</v>
      </c>
      <c r="M60" s="994">
        <f t="shared" ref="M60:M74" si="62">ROUND(+IF(AN60="Melchor Vera",IF(L60&gt;0.467,L60*0.985,(L60-0.007)),IF(L60&gt;0.3,L60*0.94,(L60-0.019))),3)</f>
        <v>0.32100000000000001</v>
      </c>
      <c r="N60" s="1196">
        <f t="shared" si="36"/>
        <v>0.32100000000000001</v>
      </c>
      <c r="O60" s="645">
        <f t="shared" si="25"/>
        <v>0.32100000000000001</v>
      </c>
      <c r="P60" s="727">
        <v>90</v>
      </c>
      <c r="Q60" s="1476">
        <v>96.48</v>
      </c>
      <c r="R60" s="706">
        <v>4773.75</v>
      </c>
      <c r="S60" s="765">
        <f>IF((_xlfn.XLOOKUP(D60,RUC!$B$3:$B$119,RUC!$E$3:$E$119)+ROUNDDOWN(O60,1)*100)&lt;95,95,((_xlfn.XLOOKUP(D60,RUC!$B$3:$B$119,RUC!$E$3:$E$119)+ROUNDDOWN(O60,1)*100)))</f>
        <v>115</v>
      </c>
      <c r="U60" s="1146">
        <f>_xlfn.XLOOKUP(D60,RUC!$B$3:$B$123,RUC!$F$3:$F$123)</f>
        <v>120</v>
      </c>
      <c r="V60" s="715">
        <v>1.1023000000000001</v>
      </c>
      <c r="Y60">
        <f>_xlfn.XLOOKUP(D60,RUC!$B$3:$B$123,RUC!$G$3:$G$123)</f>
        <v>20</v>
      </c>
      <c r="Z60" s="1454">
        <v>35</v>
      </c>
      <c r="AA60" s="144">
        <f t="shared" si="54"/>
        <v>55</v>
      </c>
      <c r="AB60" s="145">
        <f t="shared" si="55"/>
        <v>1294.6164897624999</v>
      </c>
      <c r="AC60" s="145">
        <f>+(S60-T60)*V60-'data 1'!$F$4</f>
        <v>46.764500000000012</v>
      </c>
      <c r="AD60" s="145">
        <f t="shared" si="56"/>
        <v>113.35279716090007</v>
      </c>
      <c r="AE60" s="145">
        <f t="shared" si="57"/>
        <v>-9.3734999999999999</v>
      </c>
      <c r="AF60" s="145">
        <f t="shared" si="58"/>
        <v>98.985173148000101</v>
      </c>
      <c r="AG60" s="772">
        <f t="shared" si="59"/>
        <v>266.72897030890016</v>
      </c>
      <c r="AH60" s="1253">
        <f t="shared" si="41"/>
        <v>21.251000000000001</v>
      </c>
      <c r="AI60" s="1253">
        <f t="shared" si="42"/>
        <v>22.026</v>
      </c>
      <c r="AJ60" s="156">
        <f t="shared" si="43"/>
        <v>89.303343762600022</v>
      </c>
      <c r="AK60" s="156">
        <f t="shared" si="44"/>
        <v>18.661111576803183</v>
      </c>
      <c r="AM60" s="716">
        <f t="shared" si="61"/>
        <v>2439.0574667125497</v>
      </c>
      <c r="AN60" s="716" t="str">
        <f>_xlfn.XLOOKUP(D60,RUC!$B$3:$B$578,RUC!$M$3:$M$578)</f>
        <v>Ronald Miranda</v>
      </c>
      <c r="AO60" s="1167" t="s">
        <v>2280</v>
      </c>
      <c r="AP60" s="1082" t="s">
        <v>2461</v>
      </c>
      <c r="AQ60" s="1082" t="s">
        <v>5333</v>
      </c>
    </row>
    <row r="61" spans="1:44" ht="15" customHeight="1">
      <c r="A61" s="747" t="s">
        <v>5318</v>
      </c>
      <c r="B61" s="1447">
        <v>46132</v>
      </c>
      <c r="C61" s="1447">
        <v>46123</v>
      </c>
      <c r="D61" s="1824" t="s">
        <v>4722</v>
      </c>
      <c r="E61" s="762" t="str">
        <f>_xlfn.XLOOKUP(D61,RUC!$B$3:$B$123,RUC!$D$3:$D$123)</f>
        <v>20610807004*</v>
      </c>
      <c r="G61" s="1082">
        <v>25</v>
      </c>
      <c r="H61" s="762" t="s">
        <v>69</v>
      </c>
      <c r="I61" s="703">
        <v>2.12</v>
      </c>
      <c r="J61" s="596">
        <v>11</v>
      </c>
      <c r="K61" s="703">
        <f t="shared" si="23"/>
        <v>1.887</v>
      </c>
      <c r="L61" s="1745">
        <v>0.32500000000000001</v>
      </c>
      <c r="M61" s="994">
        <f t="shared" si="62"/>
        <v>0.30599999999999999</v>
      </c>
      <c r="N61" s="1196">
        <f t="shared" si="36"/>
        <v>0.30599999999999999</v>
      </c>
      <c r="O61" s="645">
        <f t="shared" si="25"/>
        <v>0.30599999999999999</v>
      </c>
      <c r="P61" s="727">
        <v>90</v>
      </c>
      <c r="Q61" s="1476">
        <v>95.08</v>
      </c>
      <c r="R61" s="706">
        <v>4773.75</v>
      </c>
      <c r="S61" s="765">
        <f>IF((_xlfn.XLOOKUP(D61,RUC!$B$3:$B$119,RUC!$E$3:$E$119)+ROUNDDOWN(O61,1)*100)&lt;95,95,((_xlfn.XLOOKUP(D61,RUC!$B$3:$B$119,RUC!$E$3:$E$119)+ROUNDDOWN(O61,1)*100)))</f>
        <v>115</v>
      </c>
      <c r="U61" s="1146">
        <f>_xlfn.XLOOKUP(D61,RUC!$B$3:$B$123,RUC!$F$3:$F$123)</f>
        <v>120</v>
      </c>
      <c r="V61" s="715">
        <v>1.1023000000000001</v>
      </c>
      <c r="Y61">
        <f>_xlfn.XLOOKUP(D61,RUC!$B$3:$B$123,RUC!$G$3:$G$123)</f>
        <v>20</v>
      </c>
      <c r="Z61" s="1454">
        <v>35</v>
      </c>
      <c r="AA61" s="144">
        <f t="shared" si="54"/>
        <v>55</v>
      </c>
      <c r="AB61" s="145">
        <f t="shared" si="55"/>
        <v>1225.3638033249999</v>
      </c>
      <c r="AC61" s="145">
        <f>+(S61-T61)*V61-'data 1'!$F$4</f>
        <v>46.764500000000012</v>
      </c>
      <c r="AD61" s="145">
        <f t="shared" si="56"/>
        <v>84.693470598749968</v>
      </c>
      <c r="AE61" s="145">
        <f t="shared" si="57"/>
        <v>-9.3734999999999999</v>
      </c>
      <c r="AF61" s="145">
        <f t="shared" si="58"/>
        <v>92.67138007635009</v>
      </c>
      <c r="AG61" s="772">
        <f t="shared" si="59"/>
        <v>231.75585067510008</v>
      </c>
      <c r="AH61" s="1253">
        <f t="shared" si="41"/>
        <v>19.992000000000001</v>
      </c>
      <c r="AI61" s="1253">
        <f t="shared" si="42"/>
        <v>21.026</v>
      </c>
      <c r="AJ61" s="156">
        <f t="shared" si="43"/>
        <v>83.878099288749993</v>
      </c>
      <c r="AK61" s="156">
        <f t="shared" si="44"/>
        <v>17.817423604746388</v>
      </c>
      <c r="AM61" s="716">
        <f t="shared" si="61"/>
        <v>2312.2614968742751</v>
      </c>
      <c r="AN61" s="716" t="str">
        <f>_xlfn.XLOOKUP(D61,RUC!$B$3:$B$578,RUC!$M$3:$M$578)</f>
        <v>Ronald Miranda</v>
      </c>
      <c r="AO61" s="1167" t="s">
        <v>2280</v>
      </c>
      <c r="AP61" s="1082" t="s">
        <v>2461</v>
      </c>
      <c r="AQ61" s="1082" t="s">
        <v>5333</v>
      </c>
    </row>
    <row r="62" spans="1:44" ht="15" customHeight="1">
      <c r="A62" s="877" t="s">
        <v>5320</v>
      </c>
      <c r="C62" s="1447">
        <v>46124</v>
      </c>
      <c r="D62" s="1824" t="s">
        <v>1484</v>
      </c>
      <c r="E62" s="762">
        <f>_xlfn.XLOOKUP(D62,RUC!$B$3:$B$123,RUC!$D$3:$D$123)</f>
        <v>10761932735</v>
      </c>
      <c r="G62" s="1082">
        <v>150</v>
      </c>
      <c r="H62" s="762" t="s">
        <v>69</v>
      </c>
      <c r="I62" s="703"/>
      <c r="J62" s="596"/>
      <c r="K62" s="703"/>
      <c r="L62" s="1745"/>
      <c r="M62" s="994"/>
      <c r="N62" s="1196"/>
      <c r="O62" s="645"/>
      <c r="P62" s="727"/>
      <c r="Q62" s="1476"/>
      <c r="R62" s="706"/>
      <c r="S62" s="765"/>
      <c r="U62" s="1146"/>
      <c r="V62" s="715"/>
      <c r="Z62" s="143"/>
      <c r="AA62" s="144"/>
      <c r="AB62" s="145"/>
      <c r="AC62" s="145"/>
      <c r="AD62" s="145"/>
      <c r="AE62" s="145"/>
      <c r="AF62" s="145"/>
      <c r="AG62" s="772"/>
      <c r="AH62" s="1253"/>
      <c r="AI62" s="1253"/>
      <c r="AJ62" s="156"/>
      <c r="AK62" s="156"/>
      <c r="AM62" s="716"/>
      <c r="AN62" s="716" t="str">
        <f>_xlfn.XLOOKUP(D62,RUC!$B$3:$B$578,RUC!$M$3:$M$578)</f>
        <v>Richard Sapacayo</v>
      </c>
      <c r="AO62" s="1167" t="s">
        <v>2282</v>
      </c>
      <c r="AP62" s="1082" t="s">
        <v>4439</v>
      </c>
      <c r="AQ62" s="1082" t="s">
        <v>3562</v>
      </c>
    </row>
    <row r="63" spans="1:44" ht="15" customHeight="1">
      <c r="A63" s="747" t="s">
        <v>5322</v>
      </c>
      <c r="B63" s="1447">
        <v>46131</v>
      </c>
      <c r="C63" s="1447">
        <v>46124</v>
      </c>
      <c r="D63" s="1824" t="s">
        <v>1484</v>
      </c>
      <c r="E63" s="762">
        <f>_xlfn.XLOOKUP(D63,RUC!$B$3:$B$123,RUC!$D$3:$D$123)</f>
        <v>10761932735</v>
      </c>
      <c r="G63" s="1082">
        <v>123</v>
      </c>
      <c r="H63" s="762" t="s">
        <v>69</v>
      </c>
      <c r="I63" s="703">
        <v>9.73</v>
      </c>
      <c r="J63" s="596">
        <v>16.350000000000001</v>
      </c>
      <c r="K63" s="703">
        <f t="shared" si="23"/>
        <v>8.1389999999999993</v>
      </c>
      <c r="L63" s="1745">
        <v>0.38400000000000001</v>
      </c>
      <c r="M63" s="994">
        <f>ROUND(+IF(AN63="Melchor Vera",IF(L63&gt;0.467,L63*0.985,(L63-0.007)),IF(L63&gt;0.3,L63*0.94,(L63-0.019))),3)</f>
        <v>0.36099999999999999</v>
      </c>
      <c r="N63" s="1444">
        <v>0.44400000000000001</v>
      </c>
      <c r="O63" s="645">
        <f t="shared" si="25"/>
        <v>0.40300000000000002</v>
      </c>
      <c r="P63" s="727">
        <v>90</v>
      </c>
      <c r="Q63" s="1476">
        <v>95.83</v>
      </c>
      <c r="R63" s="706">
        <v>4722.6499999999996</v>
      </c>
      <c r="S63" s="765">
        <f>IF((_xlfn.XLOOKUP(D63,RUC!$B$3:$B$119,RUC!$E$3:$E$119)+ROUNDDOWN(O63,1)*100)&lt;95,95,((_xlfn.XLOOKUP(D63,RUC!$B$3:$B$119,RUC!$E$3:$E$119)+ROUNDDOWN(O63,1)*100)))</f>
        <v>130</v>
      </c>
      <c r="U63" s="1146">
        <f>_xlfn.XLOOKUP(D63,RUC!$B$3:$B$123,RUC!$F$3:$F$123)</f>
        <v>120</v>
      </c>
      <c r="V63" s="715">
        <v>1.1023000000000001</v>
      </c>
      <c r="Y63">
        <f>_xlfn.XLOOKUP(D63,RUC!$B$3:$B$123,RUC!$G$3:$G$123)</f>
        <v>20</v>
      </c>
      <c r="Z63" s="143">
        <f>_xlfn.XLOOKUP(D63,RUC!$B$3:$B$123,RUC!$H$3:$H$123)</f>
        <v>30</v>
      </c>
      <c r="AA63" s="144">
        <f t="shared" ref="AA63:AA74" si="63">+Y63+Z63</f>
        <v>50</v>
      </c>
      <c r="AB63" s="145">
        <f t="shared" ref="AB63:AB74" si="64">+((O63*P63*(R63-U63)/100)-S63-AA63+T63)*V63</f>
        <v>1641.7448471565001</v>
      </c>
      <c r="AC63" s="145">
        <f>+(S63-T63)*V63-'data 1'!$F$4</f>
        <v>63.299000000000007</v>
      </c>
      <c r="AD63" s="145">
        <f t="shared" ref="AD63:AD74" si="65">+(Q63-P63)*(R63-U63)*L63*V63/100</f>
        <v>113.58148371398396</v>
      </c>
      <c r="AE63" s="145">
        <f t="shared" ref="AE63:AE74" si="66">+(Y63*V63-70)+V63*(Z63-IF(D63="UNTUCA",IF(+((W63-3)*2.5+(X63-3)*3.1)&gt;0,+((W63-3)*1.5+(X63-3)*3.1),0),IF(+((W63-3)*1.5+(X63-3)*3.1)&gt;0,+((W63-3)*1.5+(X63-3)*3.1),0)))</f>
        <v>-14.884999999999998</v>
      </c>
      <c r="AF63" s="145">
        <f t="shared" ref="AF63:AF74" si="67">(L63-O63)*(R63-U63)*Q63*V63/100</f>
        <v>-92.376785887431581</v>
      </c>
      <c r="AG63" s="772">
        <f t="shared" ref="AG63" si="68">AC63+AD63+AE63+AF63+70-53</f>
        <v>86.618697826552363</v>
      </c>
      <c r="AH63" s="1253">
        <f t="shared" si="41"/>
        <v>102.68600000000001</v>
      </c>
      <c r="AI63" s="1253">
        <f t="shared" si="42"/>
        <v>107.155</v>
      </c>
      <c r="AJ63" s="156">
        <f t="shared" si="43"/>
        <v>120.61476159801614</v>
      </c>
      <c r="AK63" s="156">
        <f t="shared" si="44"/>
        <v>101.21099009003717</v>
      </c>
      <c r="AM63" s="716">
        <f t="shared" si="61"/>
        <v>13362.161311006754</v>
      </c>
      <c r="AN63" s="716" t="str">
        <f>_xlfn.XLOOKUP(D63,RUC!$B$3:$B$578,RUC!$M$3:$M$578)</f>
        <v>Richard Sapacayo</v>
      </c>
      <c r="AO63" s="1167" t="s">
        <v>2278</v>
      </c>
      <c r="AP63" s="1082" t="s">
        <v>4439</v>
      </c>
      <c r="AQ63" s="1082" t="s">
        <v>3562</v>
      </c>
    </row>
    <row r="64" spans="1:44" ht="15" customHeight="1">
      <c r="A64" s="747" t="s">
        <v>5323</v>
      </c>
      <c r="B64" s="1447">
        <v>46130</v>
      </c>
      <c r="C64" s="1447">
        <v>46125</v>
      </c>
      <c r="D64" s="1831" t="s">
        <v>2004</v>
      </c>
      <c r="E64" s="762">
        <f>_xlfn.XLOOKUP(D64,RUC!$B$3:$B$123,RUC!$D$3:$D$123)</f>
        <v>20612921866</v>
      </c>
      <c r="G64" s="1082" t="s">
        <v>2985</v>
      </c>
      <c r="H64" s="762" t="s">
        <v>69</v>
      </c>
      <c r="I64" s="703">
        <v>10.15</v>
      </c>
      <c r="J64" s="596">
        <v>2</v>
      </c>
      <c r="K64" s="703">
        <f t="shared" si="23"/>
        <v>9.9469999999999992</v>
      </c>
      <c r="L64" s="1745">
        <v>0.29099999999999998</v>
      </c>
      <c r="M64" s="994">
        <f t="shared" si="62"/>
        <v>0.27200000000000002</v>
      </c>
      <c r="N64" s="1196">
        <f t="shared" ref="N64:N74" si="69">+M64</f>
        <v>0.27200000000000002</v>
      </c>
      <c r="O64" s="645">
        <f t="shared" si="25"/>
        <v>0.27200000000000002</v>
      </c>
      <c r="P64" s="727">
        <v>90</v>
      </c>
      <c r="Q64" s="1476">
        <v>97.25</v>
      </c>
      <c r="R64" s="706">
        <v>4722.6499999999996</v>
      </c>
      <c r="S64" s="765">
        <f>IF((_xlfn.XLOOKUP(D64,RUC!$B$3:$B$119,RUC!$E$3:$E$119)+ROUNDDOWN(O64,1)*100)&lt;95,95,((_xlfn.XLOOKUP(D64,RUC!$B$3:$B$119,RUC!$E$3:$E$119)+ROUNDDOWN(O64,1)*100)))</f>
        <v>100</v>
      </c>
      <c r="U64" s="1146">
        <f>_xlfn.XLOOKUP(D64,RUC!$B$3:$B$123,RUC!$F$3:$F$123)</f>
        <v>100</v>
      </c>
      <c r="V64" s="715">
        <v>1.1023000000000001</v>
      </c>
      <c r="Y64">
        <f>_xlfn.XLOOKUP(D64,RUC!$B$3:$B$123,RUC!$G$3:$G$123)</f>
        <v>0</v>
      </c>
      <c r="Z64" s="143">
        <f>_xlfn.XLOOKUP(D64,RUC!$B$3:$B$123,RUC!$H$3:$H$123)</f>
        <v>30</v>
      </c>
      <c r="AA64" s="144">
        <f t="shared" si="63"/>
        <v>30</v>
      </c>
      <c r="AB64" s="145">
        <f t="shared" si="64"/>
        <v>1104.0909288560001</v>
      </c>
      <c r="AC64" s="145">
        <f>+(S64-T64)*V64-'data 1'!$F$4</f>
        <v>30.230000000000004</v>
      </c>
      <c r="AD64" s="145">
        <f t="shared" si="65"/>
        <v>107.5033048367625</v>
      </c>
      <c r="AE64" s="145">
        <f t="shared" si="66"/>
        <v>-36.930999999999997</v>
      </c>
      <c r="AF64" s="145">
        <f t="shared" si="67"/>
        <v>94.152971447862313</v>
      </c>
      <c r="AG64" s="772">
        <f>AC64+AD64+AE64+AF64+70-10</f>
        <v>254.9552762846248</v>
      </c>
      <c r="AH64" s="1253">
        <f t="shared" si="41"/>
        <v>96.513000000000005</v>
      </c>
      <c r="AI64" s="1253">
        <f t="shared" si="42"/>
        <v>99.242000000000004</v>
      </c>
      <c r="AJ64" s="156">
        <f t="shared" si="43"/>
        <v>86.518817807737619</v>
      </c>
      <c r="AK64" s="156">
        <f t="shared" si="44"/>
        <v>83.485797607684091</v>
      </c>
      <c r="AM64" s="716">
        <f t="shared" si="61"/>
        <v>10982.392469330633</v>
      </c>
      <c r="AN64" s="716" t="str">
        <f>_xlfn.XLOOKUP(D64,RUC!$B$3:$B$578,RUC!$M$3:$M$578)</f>
        <v>Ronald Garibay</v>
      </c>
      <c r="AO64" s="1167" t="s">
        <v>2278</v>
      </c>
      <c r="AP64" s="1082" t="s">
        <v>5334</v>
      </c>
      <c r="AQ64" s="1082" t="s">
        <v>3562</v>
      </c>
    </row>
    <row r="65" spans="1:44" ht="15" customHeight="1">
      <c r="A65" s="747" t="s">
        <v>5324</v>
      </c>
      <c r="B65" s="1447">
        <v>46130</v>
      </c>
      <c r="C65" s="1447">
        <v>46125</v>
      </c>
      <c r="D65" s="1831" t="s">
        <v>2004</v>
      </c>
      <c r="E65" s="762">
        <f>_xlfn.XLOOKUP(D65,RUC!$B$3:$B$123,RUC!$D$3:$D$123)</f>
        <v>20612921866</v>
      </c>
      <c r="G65" s="1082" t="s">
        <v>2985</v>
      </c>
      <c r="H65" s="762" t="s">
        <v>69</v>
      </c>
      <c r="I65" s="703">
        <v>10.88</v>
      </c>
      <c r="J65" s="596">
        <v>2</v>
      </c>
      <c r="K65" s="703">
        <f t="shared" si="23"/>
        <v>10.662000000000001</v>
      </c>
      <c r="L65" s="1745">
        <v>0.29099999999999998</v>
      </c>
      <c r="M65" s="994">
        <f t="shared" si="62"/>
        <v>0.27200000000000002</v>
      </c>
      <c r="N65" s="1196">
        <f t="shared" si="69"/>
        <v>0.27200000000000002</v>
      </c>
      <c r="O65" s="645">
        <f t="shared" si="25"/>
        <v>0.27200000000000002</v>
      </c>
      <c r="P65" s="727">
        <v>90</v>
      </c>
      <c r="Q65" s="1476">
        <v>97.25</v>
      </c>
      <c r="R65" s="706">
        <v>4722.6499999999996</v>
      </c>
      <c r="S65" s="765">
        <f>IF((_xlfn.XLOOKUP(D65,RUC!$B$3:$B$119,RUC!$E$3:$E$119)+ROUNDDOWN(O65,1)*100)&lt;95,95,((_xlfn.XLOOKUP(D65,RUC!$B$3:$B$119,RUC!$E$3:$E$119)+ROUNDDOWN(O65,1)*100)))</f>
        <v>100</v>
      </c>
      <c r="U65" s="1146">
        <f>_xlfn.XLOOKUP(D65,RUC!$B$3:$B$123,RUC!$F$3:$F$123)</f>
        <v>100</v>
      </c>
      <c r="V65" s="715">
        <v>1.1023000000000001</v>
      </c>
      <c r="Y65">
        <f>_xlfn.XLOOKUP(D65,RUC!$B$3:$B$123,RUC!$G$3:$G$123)</f>
        <v>0</v>
      </c>
      <c r="Z65" s="143">
        <f>_xlfn.XLOOKUP(D65,RUC!$B$3:$B$123,RUC!$H$3:$H$123)</f>
        <v>30</v>
      </c>
      <c r="AA65" s="144">
        <f t="shared" si="63"/>
        <v>30</v>
      </c>
      <c r="AB65" s="145">
        <f t="shared" si="64"/>
        <v>1104.0909288560001</v>
      </c>
      <c r="AC65" s="145">
        <f>+(S65-T65)*V65-'data 1'!$F$4</f>
        <v>30.230000000000004</v>
      </c>
      <c r="AD65" s="145">
        <f t="shared" si="65"/>
        <v>107.5033048367625</v>
      </c>
      <c r="AE65" s="145">
        <f t="shared" si="66"/>
        <v>-36.930999999999997</v>
      </c>
      <c r="AF65" s="145">
        <f t="shared" si="67"/>
        <v>94.152971447862313</v>
      </c>
      <c r="AG65" s="772">
        <f>AC65+AD65+AE65+AF65+70-10</f>
        <v>254.9552762846248</v>
      </c>
      <c r="AH65" s="1253">
        <f t="shared" si="41"/>
        <v>103.45</v>
      </c>
      <c r="AI65" s="1253">
        <f t="shared" si="42"/>
        <v>106.375</v>
      </c>
      <c r="AJ65" s="156">
        <f t="shared" si="43"/>
        <v>86.518817807737619</v>
      </c>
      <c r="AK65" s="156">
        <f t="shared" si="44"/>
        <v>89.486837648851704</v>
      </c>
      <c r="AM65" s="716">
        <f t="shared" si="61"/>
        <v>11771.817483462673</v>
      </c>
      <c r="AN65" s="716" t="str">
        <f>_xlfn.XLOOKUP(D65,RUC!$B$3:$B$578,RUC!$M$3:$M$578)</f>
        <v>Ronald Garibay</v>
      </c>
      <c r="AO65" s="1167" t="s">
        <v>2278</v>
      </c>
      <c r="AP65" s="1082" t="s">
        <v>4687</v>
      </c>
      <c r="AQ65" s="1082" t="s">
        <v>3567</v>
      </c>
    </row>
    <row r="66" spans="1:44" ht="15" customHeight="1">
      <c r="A66" s="747" t="s">
        <v>5335</v>
      </c>
      <c r="B66" s="1447">
        <v>46130</v>
      </c>
      <c r="C66" s="1447">
        <v>46126</v>
      </c>
      <c r="D66" s="1831" t="s">
        <v>2004</v>
      </c>
      <c r="E66" s="762">
        <f>_xlfn.XLOOKUP(D66,RUC!$B$3:$B$123,RUC!$D$3:$D$123)</f>
        <v>20612921866</v>
      </c>
      <c r="G66" s="1082" t="s">
        <v>2985</v>
      </c>
      <c r="H66" s="762" t="s">
        <v>69</v>
      </c>
      <c r="I66" s="703">
        <v>10.039999999999999</v>
      </c>
      <c r="J66" s="596">
        <v>2</v>
      </c>
      <c r="K66" s="703">
        <f t="shared" si="23"/>
        <v>9.8390000000000004</v>
      </c>
      <c r="L66" s="1745">
        <v>0.253</v>
      </c>
      <c r="M66" s="994">
        <f t="shared" si="62"/>
        <v>0.23400000000000001</v>
      </c>
      <c r="N66" s="1196">
        <f t="shared" si="69"/>
        <v>0.23400000000000001</v>
      </c>
      <c r="O66" s="645">
        <f t="shared" si="25"/>
        <v>0.23400000000000001</v>
      </c>
      <c r="P66" s="727">
        <v>90</v>
      </c>
      <c r="Q66" s="1476">
        <v>94.47</v>
      </c>
      <c r="R66" s="706">
        <v>4794.75</v>
      </c>
      <c r="S66" s="765">
        <f>IF((_xlfn.XLOOKUP(D66,RUC!$B$3:$B$119,RUC!$E$3:$E$119)+ROUNDDOWN(O66,1)*100)&lt;95,95,((_xlfn.XLOOKUP(D66,RUC!$B$3:$B$119,RUC!$E$3:$E$119)+ROUNDDOWN(O66,1)*100)))</f>
        <v>100</v>
      </c>
      <c r="U66" s="1146">
        <f>_xlfn.XLOOKUP(D66,RUC!$B$3:$B$123,RUC!$F$3:$F$123)</f>
        <v>100</v>
      </c>
      <c r="V66" s="715">
        <v>1.1023000000000001</v>
      </c>
      <c r="Y66">
        <f>_xlfn.XLOOKUP(D66,RUC!$B$3:$B$123,RUC!$G$3:$G$123)</f>
        <v>0</v>
      </c>
      <c r="Z66" s="143">
        <f>_xlfn.XLOOKUP(D66,RUC!$B$3:$B$123,RUC!$H$3:$H$123)</f>
        <v>30</v>
      </c>
      <c r="AA66" s="144">
        <f t="shared" si="63"/>
        <v>30</v>
      </c>
      <c r="AB66" s="145">
        <f t="shared" si="64"/>
        <v>946.56082800500019</v>
      </c>
      <c r="AC66" s="145">
        <f>+(S66-T66)*V66-'data 1'!$F$4</f>
        <v>30.230000000000004</v>
      </c>
      <c r="AD66" s="145">
        <f t="shared" si="65"/>
        <v>58.524851761117482</v>
      </c>
      <c r="AE66" s="145">
        <f t="shared" si="66"/>
        <v>-36.930999999999997</v>
      </c>
      <c r="AF66" s="145">
        <f t="shared" si="67"/>
        <v>92.888038987702458</v>
      </c>
      <c r="AG66" s="772">
        <f t="shared" ref="AG66:AG67" si="70">AC66+AD66+AE66+AF66+70-10</f>
        <v>204.71189074881994</v>
      </c>
      <c r="AH66" s="1253">
        <f t="shared" si="41"/>
        <v>80.626000000000005</v>
      </c>
      <c r="AI66" s="1253">
        <f t="shared" si="42"/>
        <v>85.344999999999999</v>
      </c>
      <c r="AJ66" s="156">
        <f t="shared" si="43"/>
        <v>54.075109773382501</v>
      </c>
      <c r="AK66" s="156">
        <f t="shared" si="44"/>
        <v>71.042526294843867</v>
      </c>
      <c r="AM66" s="716">
        <f t="shared" si="61"/>
        <v>9313.2119867411966</v>
      </c>
      <c r="AN66" s="716" t="str">
        <f>_xlfn.XLOOKUP(D66,RUC!$B$3:$B$578,RUC!$M$3:$M$578)</f>
        <v>Ronald Garibay</v>
      </c>
      <c r="AO66" s="1167" t="s">
        <v>2278</v>
      </c>
      <c r="AP66" s="1082" t="s">
        <v>5355</v>
      </c>
      <c r="AQ66" s="1082" t="s">
        <v>3373</v>
      </c>
    </row>
    <row r="67" spans="1:44" ht="15" customHeight="1">
      <c r="A67" s="747" t="s">
        <v>5336</v>
      </c>
      <c r="B67" s="1447">
        <v>46130</v>
      </c>
      <c r="C67" s="1447">
        <v>46126</v>
      </c>
      <c r="D67" s="1831" t="s">
        <v>2004</v>
      </c>
      <c r="E67" s="762">
        <f>_xlfn.XLOOKUP(D67,RUC!$B$3:$B$123,RUC!$D$3:$D$123)</f>
        <v>20612921866</v>
      </c>
      <c r="G67" s="1082" t="s">
        <v>2985</v>
      </c>
      <c r="H67" s="762" t="s">
        <v>69</v>
      </c>
      <c r="I67" s="703">
        <v>10.77</v>
      </c>
      <c r="J67" s="596">
        <v>2</v>
      </c>
      <c r="K67" s="703">
        <f t="shared" si="23"/>
        <v>10.555</v>
      </c>
      <c r="L67" s="1745">
        <v>0.253</v>
      </c>
      <c r="M67" s="994">
        <f t="shared" si="62"/>
        <v>0.23400000000000001</v>
      </c>
      <c r="N67" s="1196">
        <f t="shared" si="69"/>
        <v>0.23400000000000001</v>
      </c>
      <c r="O67" s="645">
        <f t="shared" si="25"/>
        <v>0.23400000000000001</v>
      </c>
      <c r="P67" s="727">
        <v>90</v>
      </c>
      <c r="Q67" s="1476">
        <v>94.47</v>
      </c>
      <c r="R67" s="706">
        <v>4794.75</v>
      </c>
      <c r="S67" s="765">
        <f>IF((_xlfn.XLOOKUP(D67,RUC!$B$3:$B$119,RUC!$E$3:$E$119)+ROUNDDOWN(O67,1)*100)&lt;95,95,((_xlfn.XLOOKUP(D67,RUC!$B$3:$B$119,RUC!$E$3:$E$119)+ROUNDDOWN(O67,1)*100)))</f>
        <v>100</v>
      </c>
      <c r="U67" s="1146">
        <f>_xlfn.XLOOKUP(D67,RUC!$B$3:$B$123,RUC!$F$3:$F$123)</f>
        <v>100</v>
      </c>
      <c r="V67" s="715">
        <v>1.1023000000000001</v>
      </c>
      <c r="Y67">
        <f>_xlfn.XLOOKUP(D67,RUC!$B$3:$B$123,RUC!$G$3:$G$123)</f>
        <v>0</v>
      </c>
      <c r="Z67" s="143">
        <f>_xlfn.XLOOKUP(D67,RUC!$B$3:$B$123,RUC!$H$3:$H$123)</f>
        <v>30</v>
      </c>
      <c r="AA67" s="144">
        <f t="shared" si="63"/>
        <v>30</v>
      </c>
      <c r="AB67" s="145">
        <f t="shared" si="64"/>
        <v>946.56082800500019</v>
      </c>
      <c r="AC67" s="145">
        <f>+(S67-T67)*V67-'data 1'!$F$4</f>
        <v>30.230000000000004</v>
      </c>
      <c r="AD67" s="145">
        <f t="shared" si="65"/>
        <v>58.524851761117482</v>
      </c>
      <c r="AE67" s="145">
        <f t="shared" si="66"/>
        <v>-36.930999999999997</v>
      </c>
      <c r="AF67" s="145">
        <f t="shared" si="67"/>
        <v>92.888038987702458</v>
      </c>
      <c r="AG67" s="772">
        <f t="shared" si="70"/>
        <v>204.71189074881994</v>
      </c>
      <c r="AH67" s="1253">
        <f t="shared" si="41"/>
        <v>86.492999999999995</v>
      </c>
      <c r="AI67" s="1253">
        <f t="shared" si="42"/>
        <v>91.555999999999997</v>
      </c>
      <c r="AJ67" s="156">
        <f t="shared" si="43"/>
        <v>54.075109773382501</v>
      </c>
      <c r="AK67" s="156">
        <f t="shared" si="44"/>
        <v>76.212406244748138</v>
      </c>
      <c r="AM67" s="716">
        <f t="shared" si="61"/>
        <v>9990.949539592777</v>
      </c>
      <c r="AN67" s="716" t="str">
        <f>_xlfn.XLOOKUP(D67,RUC!$B$3:$B$578,RUC!$M$3:$M$578)</f>
        <v>Ronald Garibay</v>
      </c>
      <c r="AO67" s="1167" t="s">
        <v>2278</v>
      </c>
      <c r="AP67" s="1082" t="s">
        <v>5356</v>
      </c>
      <c r="AQ67" s="1082" t="s">
        <v>3193</v>
      </c>
    </row>
    <row r="68" spans="1:44" ht="15" customHeight="1">
      <c r="A68" s="747" t="s">
        <v>5337</v>
      </c>
      <c r="B68" s="1447">
        <v>46135</v>
      </c>
      <c r="C68" s="1447">
        <v>46126</v>
      </c>
      <c r="D68" s="1833" t="s">
        <v>3062</v>
      </c>
      <c r="E68" s="762">
        <f>_xlfn.XLOOKUP(D68,RUC!$B$3:$B$123,RUC!$D$3:$D$123)</f>
        <v>20610807004</v>
      </c>
      <c r="G68" s="1082">
        <v>29</v>
      </c>
      <c r="H68" s="762" t="s">
        <v>2005</v>
      </c>
      <c r="I68" s="703">
        <v>2.27</v>
      </c>
      <c r="J68" s="596">
        <v>9.6</v>
      </c>
      <c r="K68" s="703">
        <f t="shared" si="23"/>
        <v>2.052</v>
      </c>
      <c r="L68" s="1745">
        <v>0.127</v>
      </c>
      <c r="M68" s="994">
        <f t="shared" si="62"/>
        <v>0.108</v>
      </c>
      <c r="N68" s="1196">
        <f t="shared" si="69"/>
        <v>0.108</v>
      </c>
      <c r="O68" s="645">
        <f t="shared" si="25"/>
        <v>0.108</v>
      </c>
      <c r="P68" s="727">
        <v>80</v>
      </c>
      <c r="Q68" s="1572">
        <v>85.19</v>
      </c>
      <c r="R68" s="706">
        <v>4794.75</v>
      </c>
      <c r="S68" s="765">
        <f>IF((_xlfn.XLOOKUP(D68,RUC!$B$3:$B$119,RUC!$E$3:$E$119)+ROUNDDOWN(O68,1)*100)&lt;95,95,((_xlfn.XLOOKUP(D68,RUC!$B$3:$B$119,RUC!$E$3:$E$119)+ROUNDDOWN(O68,1)*100)))</f>
        <v>95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3">
        <f>_xlfn.XLOOKUP(D68,RUC!$B$3:$B$123,RUC!$H$3:$H$123)</f>
        <v>30</v>
      </c>
      <c r="AA68" s="144">
        <f t="shared" si="63"/>
        <v>50</v>
      </c>
      <c r="AB68" s="145">
        <f t="shared" si="64"/>
        <v>285.38370632000004</v>
      </c>
      <c r="AC68" s="145">
        <f>+(S68-T68)*V68-'data 1'!$F$4</f>
        <v>24.718500000000006</v>
      </c>
      <c r="AD68" s="145">
        <f t="shared" si="65"/>
        <v>33.964816805752484</v>
      </c>
      <c r="AE68" s="145">
        <f t="shared" si="66"/>
        <v>-14.884999999999998</v>
      </c>
      <c r="AF68" s="145">
        <f t="shared" si="67"/>
        <v>83.406599805742516</v>
      </c>
      <c r="AG68" s="772">
        <f t="shared" ref="AG68:AG74" si="71">AC68+AD68+AE68+AF68+70-53</f>
        <v>144.20491661149501</v>
      </c>
      <c r="AH68" s="1253">
        <f t="shared" si="41"/>
        <v>7.6120000000000001</v>
      </c>
      <c r="AI68" s="1253">
        <f t="shared" si="42"/>
        <v>8.9350000000000005</v>
      </c>
      <c r="AJ68" s="156">
        <f t="shared" si="43"/>
        <v>26.863150565247501</v>
      </c>
      <c r="AK68" s="156">
        <f t="shared" si="44"/>
        <v>6.0785524464710399</v>
      </c>
      <c r="AM68" s="716">
        <f t="shared" si="61"/>
        <v>585.6073653686401</v>
      </c>
      <c r="AN68" s="716" t="str">
        <f>_xlfn.XLOOKUP(D68,RUC!$B$3:$B$578,RUC!$M$3:$M$578)</f>
        <v>Renzo</v>
      </c>
      <c r="AO68" s="1167" t="s">
        <v>2280</v>
      </c>
      <c r="AP68" s="1082" t="s">
        <v>5357</v>
      </c>
      <c r="AQ68" s="1082" t="s">
        <v>5358</v>
      </c>
    </row>
    <row r="69" spans="1:44" ht="15" customHeight="1">
      <c r="A69" s="747" t="s">
        <v>5340</v>
      </c>
      <c r="B69" s="1447">
        <v>46135</v>
      </c>
      <c r="C69" s="1447">
        <v>46126</v>
      </c>
      <c r="D69" s="1833" t="s">
        <v>3062</v>
      </c>
      <c r="E69" s="762">
        <f>_xlfn.XLOOKUP(D69,RUC!$B$3:$B$123,RUC!$D$3:$D$123)</f>
        <v>20610807004</v>
      </c>
      <c r="G69" s="1082">
        <v>28</v>
      </c>
      <c r="H69" s="762" t="s">
        <v>69</v>
      </c>
      <c r="I69" s="703">
        <v>2.17</v>
      </c>
      <c r="J69" s="596">
        <v>15.4</v>
      </c>
      <c r="K69" s="703">
        <f t="shared" si="23"/>
        <v>1.8360000000000001</v>
      </c>
      <c r="L69" s="1745">
        <v>0.311</v>
      </c>
      <c r="M69" s="994">
        <f>ROUND(+IF(L69*_xlfn.XLOOKUP(AN69,RUC!$M$3:$M$91,RUC!$I$3:$I$91)&gt;_xlfn.XLOOKUP(AN69,RUC!$M$3:$M$91,RUC!$J$3:$J$91),L69-_xlfn.XLOOKUP(AN69,RUC!$M$3:$M$91,RUC!$J$3:$J$91),L69*_xlfn.XLOOKUP(AN69,RUC!$M$3:$M$91,RUC!$I$3:$I$91)),3)-0.005</f>
        <v>0.28699999999999998</v>
      </c>
      <c r="N69" s="1196">
        <f t="shared" si="69"/>
        <v>0.28699999999999998</v>
      </c>
      <c r="O69" s="645">
        <f t="shared" si="25"/>
        <v>0.28699999999999998</v>
      </c>
      <c r="P69" s="727">
        <v>82</v>
      </c>
      <c r="Q69" s="1572">
        <v>82.32</v>
      </c>
      <c r="R69" s="706">
        <v>4794.75</v>
      </c>
      <c r="S69" s="765">
        <f>IF((_xlfn.XLOOKUP(D69,RUC!$B$3:$B$119,RUC!$E$3:$E$119)+ROUNDDOWN(O69,1)*100)&lt;95,95,((_xlfn.XLOOKUP(D69,RUC!$B$3:$B$119,RUC!$E$3:$E$119)+ROUNDDOWN(O69,1)*100)))</f>
        <v>105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3">
        <f>_xlfn.XLOOKUP(D69,RUC!$B$3:$B$123,RUC!$H$3:$H$123)</f>
        <v>30</v>
      </c>
      <c r="AA69" s="144">
        <f t="shared" si="63"/>
        <v>50</v>
      </c>
      <c r="AB69" s="145">
        <f t="shared" si="64"/>
        <v>1041.8450895295</v>
      </c>
      <c r="AC69" s="145">
        <f>+(S69-T69)*V69-'data 1'!$F$4</f>
        <v>35.741500000000002</v>
      </c>
      <c r="AD69" s="145">
        <f t="shared" si="65"/>
        <v>5.1282426357598903</v>
      </c>
      <c r="AE69" s="145">
        <f t="shared" si="66"/>
        <v>-14.884999999999998</v>
      </c>
      <c r="AF69" s="145">
        <f t="shared" si="67"/>
        <v>101.80633451184011</v>
      </c>
      <c r="AG69" s="772">
        <f t="shared" si="71"/>
        <v>144.79107714759999</v>
      </c>
      <c r="AH69" s="1253">
        <f t="shared" si="41"/>
        <v>16.116</v>
      </c>
      <c r="AI69" s="1253">
        <f t="shared" si="42"/>
        <v>19.577000000000002</v>
      </c>
      <c r="AJ69" s="156">
        <f t="shared" si="43"/>
        <v>63.56680125474</v>
      </c>
      <c r="AK69" s="156">
        <f t="shared" si="44"/>
        <v>14.814175838689332</v>
      </c>
      <c r="AM69" s="716">
        <f t="shared" si="61"/>
        <v>1912.8275843761621</v>
      </c>
      <c r="AN69" s="716" t="str">
        <f>_xlfn.XLOOKUP(D69,RUC!$B$3:$B$578,RUC!$M$3:$M$578)</f>
        <v>Renzo</v>
      </c>
      <c r="AO69" s="1167" t="s">
        <v>2280</v>
      </c>
      <c r="AP69" s="1082" t="s">
        <v>5357</v>
      </c>
      <c r="AQ69" s="1082" t="s">
        <v>5358</v>
      </c>
      <c r="AR69" t="s">
        <v>5404</v>
      </c>
    </row>
    <row r="70" spans="1:44" ht="15" customHeight="1">
      <c r="A70" s="747" t="s">
        <v>5341</v>
      </c>
      <c r="B70" s="1447">
        <v>46132</v>
      </c>
      <c r="C70" s="1447">
        <v>46126</v>
      </c>
      <c r="D70" s="1831" t="s">
        <v>1967</v>
      </c>
      <c r="E70" s="762">
        <f>_xlfn.XLOOKUP(D70,RUC!$B$3:$B$123,RUC!$D$3:$D$123)</f>
        <v>20601769396</v>
      </c>
      <c r="G70" s="1082">
        <v>27</v>
      </c>
      <c r="H70" s="762" t="s">
        <v>2005</v>
      </c>
      <c r="I70" s="703">
        <v>2.2999999999999998</v>
      </c>
      <c r="J70" s="596">
        <v>5.88</v>
      </c>
      <c r="K70" s="703">
        <f t="shared" ref="K70:K121" si="72">ROUND(+I70-(I70*(J70/100)),3)</f>
        <v>2.165</v>
      </c>
      <c r="L70" s="1745">
        <v>0.63400000000000001</v>
      </c>
      <c r="M70" s="994">
        <f t="shared" si="62"/>
        <v>0.59599999999999997</v>
      </c>
      <c r="N70" s="1196">
        <f t="shared" si="69"/>
        <v>0.59599999999999997</v>
      </c>
      <c r="O70" s="645">
        <f t="shared" ref="O70:O74" si="73">+ROUND((M70+N70)/2,3)</f>
        <v>0.59599999999999997</v>
      </c>
      <c r="P70" s="727">
        <v>90</v>
      </c>
      <c r="Q70" s="1476">
        <v>93.06</v>
      </c>
      <c r="R70" s="706">
        <v>4794.75</v>
      </c>
      <c r="S70" s="765">
        <f>IF((_xlfn.XLOOKUP(D70,RUC!$B$3:$B$119,RUC!$E$3:$E$119)+ROUNDDOWN(O70,1)*100)&lt;95,95,((_xlfn.XLOOKUP(D70,RUC!$B$3:$B$119,RUC!$E$3:$E$119)+ROUNDDOWN(O70,1)*100)))</f>
        <v>140</v>
      </c>
      <c r="U70" s="1146">
        <f>_xlfn.XLOOKUP(D70,RUC!$B$3:$B$123,RUC!$F$3:$F$123)</f>
        <v>120</v>
      </c>
      <c r="V70" s="715">
        <v>1.1023000000000001</v>
      </c>
      <c r="Y70">
        <f>_xlfn.XLOOKUP(D70,RUC!$B$3:$B$123,RUC!$G$3:$G$123)</f>
        <v>20</v>
      </c>
      <c r="Z70" s="143">
        <f>_xlfn.XLOOKUP(D70,RUC!$B$3:$B$123,RUC!$H$3:$H$123)</f>
        <v>30</v>
      </c>
      <c r="AA70" s="144">
        <f t="shared" si="63"/>
        <v>50</v>
      </c>
      <c r="AB70" s="145">
        <f t="shared" si="64"/>
        <v>2554.61982257</v>
      </c>
      <c r="AC70" s="145">
        <f>+(S70-T70)*V70-'data 1'!$F$4</f>
        <v>74.322000000000003</v>
      </c>
      <c r="AD70" s="145">
        <f t="shared" si="65"/>
        <v>99.969813535770086</v>
      </c>
      <c r="AE70" s="145">
        <f t="shared" si="66"/>
        <v>-14.884999999999998</v>
      </c>
      <c r="AF70" s="145">
        <f t="shared" si="67"/>
        <v>182.22369240339015</v>
      </c>
      <c r="AG70" s="772">
        <f t="shared" si="71"/>
        <v>358.63050593916023</v>
      </c>
      <c r="AH70" s="1253">
        <f t="shared" si="41"/>
        <v>43.793999999999997</v>
      </c>
      <c r="AI70" s="1253">
        <f t="shared" si="42"/>
        <v>47.06</v>
      </c>
      <c r="AJ70" s="156">
        <f t="shared" si="43"/>
        <v>146.49301356723004</v>
      </c>
      <c r="AK70" s="156">
        <f t="shared" si="44"/>
        <v>39.815826854793301</v>
      </c>
      <c r="AM70" s="716">
        <f t="shared" si="61"/>
        <v>5530.7519158640498</v>
      </c>
      <c r="AN70" s="716" t="str">
        <f>_xlfn.XLOOKUP(D70,RUC!$B$3:$B$578,RUC!$M$3:$M$578)</f>
        <v>Evelyn</v>
      </c>
      <c r="AO70" s="1167" t="s">
        <v>2280</v>
      </c>
      <c r="AP70" s="1082" t="s">
        <v>5359</v>
      </c>
      <c r="AQ70" s="1082" t="s">
        <v>5360</v>
      </c>
    </row>
    <row r="71" spans="1:44" ht="15" customHeight="1">
      <c r="A71" s="747" t="s">
        <v>5342</v>
      </c>
      <c r="B71" s="1447">
        <v>46132</v>
      </c>
      <c r="C71" s="1447">
        <v>46126</v>
      </c>
      <c r="D71" s="1831" t="s">
        <v>1967</v>
      </c>
      <c r="E71" s="762">
        <f>_xlfn.XLOOKUP(D71,RUC!$B$3:$B$123,RUC!$D$3:$D$123)</f>
        <v>20601769396</v>
      </c>
      <c r="G71" s="1082">
        <v>33</v>
      </c>
      <c r="H71" s="762" t="s">
        <v>2005</v>
      </c>
      <c r="I71" s="703">
        <v>3.01</v>
      </c>
      <c r="J71" s="596">
        <v>12.18</v>
      </c>
      <c r="K71" s="703">
        <f t="shared" si="72"/>
        <v>2.6429999999999998</v>
      </c>
      <c r="L71" s="1745">
        <v>0.47399999999999998</v>
      </c>
      <c r="M71" s="994">
        <f t="shared" si="62"/>
        <v>0.44600000000000001</v>
      </c>
      <c r="N71" s="1196">
        <f t="shared" si="69"/>
        <v>0.44600000000000001</v>
      </c>
      <c r="O71" s="645">
        <f t="shared" si="73"/>
        <v>0.44600000000000001</v>
      </c>
      <c r="P71" s="727">
        <v>90</v>
      </c>
      <c r="Q71" s="1476">
        <v>97.05</v>
      </c>
      <c r="R71" s="706">
        <v>4794.75</v>
      </c>
      <c r="S71" s="765">
        <f>IF((_xlfn.XLOOKUP(D71,RUC!$B$3:$B$119,RUC!$E$3:$E$119)+ROUNDDOWN(O71,1)*100)&lt;95,95,((_xlfn.XLOOKUP(D71,RUC!$B$3:$B$119,RUC!$E$3:$E$119)+ROUNDDOWN(O71,1)*100)))</f>
        <v>130</v>
      </c>
      <c r="U71" s="1146">
        <f>_xlfn.XLOOKUP(D71,RUC!$B$3:$B$123,RUC!$F$3:$F$123)</f>
        <v>120</v>
      </c>
      <c r="V71" s="715">
        <v>1.1023000000000001</v>
      </c>
      <c r="Y71">
        <f>_xlfn.XLOOKUP(D71,RUC!$B$3:$B$123,RUC!$G$3:$G$123)</f>
        <v>20</v>
      </c>
      <c r="Z71" s="143">
        <f>_xlfn.XLOOKUP(D71,RUC!$B$3:$B$123,RUC!$H$3:$H$123)</f>
        <v>30</v>
      </c>
      <c r="AA71" s="144">
        <f t="shared" si="63"/>
        <v>50</v>
      </c>
      <c r="AB71" s="145">
        <f t="shared" si="64"/>
        <v>1869.990937695</v>
      </c>
      <c r="AC71" s="145">
        <f>+(S71-T71)*V71-'data 1'!$F$4</f>
        <v>63.299000000000007</v>
      </c>
      <c r="AD71" s="145">
        <f t="shared" si="65"/>
        <v>172.19702990272492</v>
      </c>
      <c r="AE71" s="145">
        <f t="shared" si="66"/>
        <v>-14.884999999999998</v>
      </c>
      <c r="AF71" s="145">
        <f t="shared" si="67"/>
        <v>140.02699495994986</v>
      </c>
      <c r="AG71" s="772">
        <f t="shared" si="71"/>
        <v>377.6380248626748</v>
      </c>
      <c r="AH71" s="1253">
        <f t="shared" si="41"/>
        <v>41.685000000000002</v>
      </c>
      <c r="AI71" s="1253">
        <f t="shared" si="42"/>
        <v>42.951999999999998</v>
      </c>
      <c r="AJ71" s="156">
        <f t="shared" si="43"/>
        <v>114.21903548227498</v>
      </c>
      <c r="AK71" s="156">
        <f t="shared" si="44"/>
        <v>36.37337503932261</v>
      </c>
      <c r="AM71" s="716">
        <f t="shared" si="61"/>
        <v>4942.3860483278841</v>
      </c>
      <c r="AN71" s="716" t="str">
        <f>_xlfn.XLOOKUP(D71,RUC!$B$3:$B$578,RUC!$M$3:$M$578)</f>
        <v>Evelyn</v>
      </c>
      <c r="AO71" s="1167" t="s">
        <v>2280</v>
      </c>
      <c r="AP71" s="1082" t="s">
        <v>5359</v>
      </c>
      <c r="AQ71" s="1082" t="s">
        <v>5360</v>
      </c>
    </row>
    <row r="72" spans="1:44" ht="15" customHeight="1">
      <c r="A72" s="747" t="s">
        <v>5343</v>
      </c>
      <c r="B72" s="1447">
        <v>46132</v>
      </c>
      <c r="C72" s="1447">
        <v>46126</v>
      </c>
      <c r="D72" s="1831" t="s">
        <v>1967</v>
      </c>
      <c r="E72" s="762">
        <f>_xlfn.XLOOKUP(D72,RUC!$B$3:$B$123,RUC!$D$3:$D$123)</f>
        <v>20601769396</v>
      </c>
      <c r="G72" s="1082">
        <v>44</v>
      </c>
      <c r="H72" s="762" t="s">
        <v>2005</v>
      </c>
      <c r="I72" s="703">
        <v>3.95</v>
      </c>
      <c r="J72" s="596">
        <v>15.75</v>
      </c>
      <c r="K72" s="703">
        <f t="shared" si="72"/>
        <v>3.3279999999999998</v>
      </c>
      <c r="L72" s="1745">
        <v>0.46400000000000002</v>
      </c>
      <c r="M72" s="994">
        <f t="shared" si="62"/>
        <v>0.436</v>
      </c>
      <c r="N72" s="1196">
        <f t="shared" si="69"/>
        <v>0.436</v>
      </c>
      <c r="O72" s="645">
        <f t="shared" si="73"/>
        <v>0.436</v>
      </c>
      <c r="P72" s="727">
        <v>90</v>
      </c>
      <c r="Q72" s="1476">
        <v>96.12</v>
      </c>
      <c r="R72" s="706">
        <v>4794.75</v>
      </c>
      <c r="S72" s="765">
        <f>IF((_xlfn.XLOOKUP(D72,RUC!$B$3:$B$119,RUC!$E$3:$E$119)+ROUNDDOWN(O72,1)*100)&lt;95,95,((_xlfn.XLOOKUP(D72,RUC!$B$3:$B$119,RUC!$E$3:$E$119)+ROUNDDOWN(O72,1)*100)))</f>
        <v>130</v>
      </c>
      <c r="U72" s="1146">
        <f>_xlfn.XLOOKUP(D72,RUC!$B$3:$B$123,RUC!$F$3:$F$123)</f>
        <v>120</v>
      </c>
      <c r="V72" s="715">
        <v>1.1023000000000001</v>
      </c>
      <c r="Y72">
        <f>_xlfn.XLOOKUP(D72,RUC!$B$3:$B$123,RUC!$G$3:$G$123)</f>
        <v>20</v>
      </c>
      <c r="Z72" s="143">
        <f>_xlfn.XLOOKUP(D72,RUC!$B$3:$B$123,RUC!$H$3:$H$123)</f>
        <v>30</v>
      </c>
      <c r="AA72" s="144">
        <f t="shared" si="63"/>
        <v>50</v>
      </c>
      <c r="AB72" s="145">
        <f t="shared" si="64"/>
        <v>1823.6141453700002</v>
      </c>
      <c r="AC72" s="145">
        <f>+(S72-T72)*V72-'data 1'!$F$4</f>
        <v>63.299000000000007</v>
      </c>
      <c r="AD72" s="145">
        <f t="shared" si="65"/>
        <v>146.32805514384012</v>
      </c>
      <c r="AE72" s="145">
        <f t="shared" si="66"/>
        <v>-14.884999999999998</v>
      </c>
      <c r="AF72" s="145">
        <f t="shared" si="67"/>
        <v>138.68515976868014</v>
      </c>
      <c r="AG72" s="772">
        <f t="shared" si="71"/>
        <v>350.4272149125203</v>
      </c>
      <c r="AH72" s="1253">
        <f t="shared" ref="AH72:AH121" si="74">ROUND((31.1035*L72*Q72*1.1023*K72/100),3)</f>
        <v>50.889000000000003</v>
      </c>
      <c r="AI72" s="1253">
        <f t="shared" ref="AI72:AI121" si="75">ROUND((31.1035*L72*1.1023*K72),3)</f>
        <v>52.942999999999998</v>
      </c>
      <c r="AJ72" s="156">
        <f t="shared" ref="AJ72:AJ121" si="76">+((+$AJ$2-R72+U72)*L72*Q72*V72)/100</f>
        <v>110.73791691216002</v>
      </c>
      <c r="AK72" s="156">
        <f t="shared" ref="AK72:AK121" si="77">31.1035*1.1023*K72*P72*O72/100</f>
        <v>44.773535109288957</v>
      </c>
      <c r="AM72" s="716">
        <f t="shared" si="61"/>
        <v>6068.9878757913602</v>
      </c>
      <c r="AN72" s="716" t="str">
        <f>_xlfn.XLOOKUP(D72,RUC!$B$3:$B$578,RUC!$M$3:$M$578)</f>
        <v>Evelyn</v>
      </c>
      <c r="AO72" s="1167" t="s">
        <v>2280</v>
      </c>
      <c r="AP72" s="1082" t="s">
        <v>5359</v>
      </c>
      <c r="AQ72" s="1082" t="s">
        <v>5360</v>
      </c>
    </row>
    <row r="73" spans="1:44" ht="15" customHeight="1">
      <c r="A73" s="747" t="s">
        <v>5344</v>
      </c>
      <c r="B73" s="1447">
        <v>46132</v>
      </c>
      <c r="C73" s="1447">
        <v>46126</v>
      </c>
      <c r="D73" s="1831" t="s">
        <v>1967</v>
      </c>
      <c r="E73" s="762">
        <f>_xlfn.XLOOKUP(D73,RUC!$B$3:$B$123,RUC!$D$3:$D$123)</f>
        <v>20601769396</v>
      </c>
      <c r="G73" s="1082">
        <v>24</v>
      </c>
      <c r="H73" s="762" t="s">
        <v>2005</v>
      </c>
      <c r="I73" s="703">
        <v>2.0699999999999998</v>
      </c>
      <c r="J73" s="596">
        <v>12.58</v>
      </c>
      <c r="K73" s="703">
        <f t="shared" si="72"/>
        <v>1.81</v>
      </c>
      <c r="L73" s="1745">
        <v>0.374</v>
      </c>
      <c r="M73" s="994">
        <f t="shared" si="62"/>
        <v>0.35199999999999998</v>
      </c>
      <c r="N73" s="1196">
        <f t="shared" si="69"/>
        <v>0.35199999999999998</v>
      </c>
      <c r="O73" s="645">
        <f t="shared" si="73"/>
        <v>0.35199999999999998</v>
      </c>
      <c r="P73" s="727">
        <v>90</v>
      </c>
      <c r="Q73" s="1476">
        <v>95.72</v>
      </c>
      <c r="R73" s="706">
        <v>4794.75</v>
      </c>
      <c r="S73" s="765">
        <f>IF((_xlfn.XLOOKUP(D73,RUC!$B$3:$B$119,RUC!$E$3:$E$119)+ROUNDDOWN(O73,1)*100)&lt;95,95,((_xlfn.XLOOKUP(D73,RUC!$B$3:$B$119,RUC!$E$3:$E$119)+ROUNDDOWN(O73,1)*100)))</f>
        <v>120</v>
      </c>
      <c r="U73" s="1146">
        <f>_xlfn.XLOOKUP(D73,RUC!$B$3:$B$123,RUC!$F$3:$F$123)</f>
        <v>120</v>
      </c>
      <c r="V73" s="715">
        <v>1.1023000000000001</v>
      </c>
      <c r="Y73">
        <f>_xlfn.XLOOKUP(D73,RUC!$B$3:$B$123,RUC!$G$3:$G$123)</f>
        <v>20</v>
      </c>
      <c r="Z73" s="143">
        <f>_xlfn.XLOOKUP(D73,RUC!$B$3:$B$123,RUC!$H$3:$H$123)</f>
        <v>30</v>
      </c>
      <c r="AA73" s="144">
        <f t="shared" si="63"/>
        <v>50</v>
      </c>
      <c r="AB73" s="145">
        <f t="shared" si="64"/>
        <v>1445.07208984</v>
      </c>
      <c r="AC73" s="145">
        <f>+(S73-T73)*V73-'data 1'!$F$4</f>
        <v>52.27600000000001</v>
      </c>
      <c r="AD73" s="145">
        <f t="shared" si="65"/>
        <v>110.23660476114</v>
      </c>
      <c r="AE73" s="145">
        <f t="shared" si="66"/>
        <v>-14.884999999999998</v>
      </c>
      <c r="AF73" s="145">
        <f t="shared" si="67"/>
        <v>108.51344927742011</v>
      </c>
      <c r="AG73" s="772">
        <f t="shared" si="71"/>
        <v>273.14105403856013</v>
      </c>
      <c r="AH73" s="1253">
        <f t="shared" si="74"/>
        <v>22.216000000000001</v>
      </c>
      <c r="AI73" s="1253">
        <f t="shared" si="75"/>
        <v>23.209</v>
      </c>
      <c r="AJ73" s="156">
        <f t="shared" si="76"/>
        <v>88.887133139859998</v>
      </c>
      <c r="AK73" s="156">
        <f t="shared" si="77"/>
        <v>19.6595157909744</v>
      </c>
      <c r="AM73" s="716">
        <f t="shared" si="61"/>
        <v>2615.5804826103999</v>
      </c>
      <c r="AN73" s="716" t="str">
        <f>_xlfn.XLOOKUP(D73,RUC!$B$3:$B$578,RUC!$M$3:$M$578)</f>
        <v>Evelyn</v>
      </c>
      <c r="AO73" s="1167" t="s">
        <v>2280</v>
      </c>
      <c r="AP73" s="1082" t="s">
        <v>5359</v>
      </c>
      <c r="AQ73" s="1082" t="s">
        <v>5360</v>
      </c>
    </row>
    <row r="74" spans="1:44" ht="15" customHeight="1">
      <c r="A74" s="747" t="s">
        <v>5345</v>
      </c>
      <c r="B74" s="1447">
        <v>46132</v>
      </c>
      <c r="C74" s="1447">
        <v>46126</v>
      </c>
      <c r="D74" s="1831" t="s">
        <v>1967</v>
      </c>
      <c r="E74" s="762">
        <f>_xlfn.XLOOKUP(D74,RUC!$B$3:$B$123,RUC!$D$3:$D$123)</f>
        <v>20601769396</v>
      </c>
      <c r="G74" s="1082">
        <v>42</v>
      </c>
      <c r="H74" s="762" t="s">
        <v>2005</v>
      </c>
      <c r="I74" s="703">
        <v>3.87</v>
      </c>
      <c r="J74" s="596">
        <v>16.829999999999998</v>
      </c>
      <c r="K74" s="703">
        <f t="shared" si="72"/>
        <v>3.2189999999999999</v>
      </c>
      <c r="L74" s="1745">
        <v>0.83799999999999997</v>
      </c>
      <c r="M74" s="994">
        <f t="shared" si="62"/>
        <v>0.78800000000000003</v>
      </c>
      <c r="N74" s="1196">
        <f t="shared" si="69"/>
        <v>0.78800000000000003</v>
      </c>
      <c r="O74" s="645">
        <f t="shared" si="73"/>
        <v>0.78800000000000003</v>
      </c>
      <c r="P74" s="727">
        <v>90</v>
      </c>
      <c r="Q74" s="1476">
        <v>97.85</v>
      </c>
      <c r="R74" s="706">
        <v>4794.75</v>
      </c>
      <c r="S74" s="765">
        <f>IF((_xlfn.XLOOKUP(D74,RUC!$B$3:$B$119,RUC!$E$3:$E$119)+ROUNDDOWN(O74,1)*100)&lt;95,95,((_xlfn.XLOOKUP(D74,RUC!$B$3:$B$119,RUC!$E$3:$E$119)+ROUNDDOWN(O74,1)*100)))</f>
        <v>160</v>
      </c>
      <c r="U74" s="1146">
        <f>_xlfn.XLOOKUP(D74,RUC!$B$3:$B$123,RUC!$F$3:$F$123)</f>
        <v>120</v>
      </c>
      <c r="V74" s="715">
        <v>1.1023000000000001</v>
      </c>
      <c r="Y74">
        <f>_xlfn.XLOOKUP(D74,RUC!$B$3:$B$123,RUC!$G$3:$G$123)</f>
        <v>20</v>
      </c>
      <c r="Z74" s="143">
        <f>_xlfn.XLOOKUP(D74,RUC!$B$3:$B$123,RUC!$H$3:$H$123)</f>
        <v>30</v>
      </c>
      <c r="AA74" s="144">
        <f t="shared" si="63"/>
        <v>50</v>
      </c>
      <c r="AB74" s="145">
        <f t="shared" si="64"/>
        <v>3423.0082352100007</v>
      </c>
      <c r="AC74" s="145">
        <f>+(S74-T74)*V74-'data 1'!$F$4</f>
        <v>96.367999999999995</v>
      </c>
      <c r="AD74" s="145">
        <f t="shared" si="65"/>
        <v>338.97828105727478</v>
      </c>
      <c r="AE74" s="145">
        <f t="shared" si="66"/>
        <v>-14.884999999999998</v>
      </c>
      <c r="AF74" s="145">
        <f t="shared" si="67"/>
        <v>252.10939605562467</v>
      </c>
      <c r="AG74" s="772">
        <f t="shared" si="71"/>
        <v>689.57067711289949</v>
      </c>
      <c r="AH74" s="1253">
        <f t="shared" si="74"/>
        <v>90.497</v>
      </c>
      <c r="AI74" s="1253">
        <f t="shared" si="75"/>
        <v>92.486000000000004</v>
      </c>
      <c r="AJ74" s="156">
        <f t="shared" si="76"/>
        <v>203.59610051772498</v>
      </c>
      <c r="AK74" s="156">
        <f t="shared" si="77"/>
        <v>78.270619803088138</v>
      </c>
      <c r="AM74" s="716">
        <f t="shared" si="61"/>
        <v>11018.663509140992</v>
      </c>
      <c r="AN74" s="716" t="str">
        <f>_xlfn.XLOOKUP(D74,RUC!$B$3:$B$578,RUC!$M$3:$M$578)</f>
        <v>Evelyn</v>
      </c>
      <c r="AO74" s="1167" t="s">
        <v>2280</v>
      </c>
      <c r="AP74" s="1082" t="s">
        <v>5359</v>
      </c>
      <c r="AQ74" s="1082" t="s">
        <v>5360</v>
      </c>
    </row>
    <row r="75" spans="1:44" ht="15" customHeight="1">
      <c r="A75" s="877" t="s">
        <v>5346</v>
      </c>
      <c r="C75" s="1447">
        <v>46126</v>
      </c>
      <c r="D75" s="1838" t="s">
        <v>3125</v>
      </c>
      <c r="E75" s="762" t="str">
        <f>_xlfn.XLOOKUP(D75,RUC!$B$3:$B$123,RUC!$D$3:$D$123)</f>
        <v>10486077447,</v>
      </c>
      <c r="G75" s="1082" t="s">
        <v>2985</v>
      </c>
      <c r="H75" s="762" t="s">
        <v>69</v>
      </c>
      <c r="I75" s="703"/>
      <c r="J75" s="596"/>
      <c r="K75" s="703"/>
      <c r="L75" s="1745"/>
      <c r="M75" s="994"/>
      <c r="N75" s="1196"/>
      <c r="O75" s="645"/>
      <c r="P75" s="727"/>
      <c r="Q75" s="1476"/>
      <c r="R75" s="706"/>
      <c r="S75" s="765"/>
      <c r="U75" s="1146"/>
      <c r="V75" s="715"/>
      <c r="Z75" s="143"/>
      <c r="AA75" s="144"/>
      <c r="AB75" s="145"/>
      <c r="AC75" s="145"/>
      <c r="AD75" s="145"/>
      <c r="AE75" s="145"/>
      <c r="AF75" s="145"/>
      <c r="AG75" s="772"/>
      <c r="AH75" s="1253"/>
      <c r="AI75" s="1253"/>
      <c r="AJ75" s="156"/>
      <c r="AK75" s="156"/>
      <c r="AM75" s="716"/>
      <c r="AN75" s="716"/>
      <c r="AO75" s="1167"/>
    </row>
    <row r="76" spans="1:44" ht="15" customHeight="1">
      <c r="A76" s="747" t="s">
        <v>5348</v>
      </c>
      <c r="B76" s="1447">
        <v>46131</v>
      </c>
      <c r="C76" s="1447">
        <v>46127</v>
      </c>
      <c r="D76" s="1831" t="s">
        <v>2004</v>
      </c>
      <c r="E76" s="762">
        <f>_xlfn.XLOOKUP(D76,RUC!$B$3:$B$123,RUC!$D$3:$D$123)</f>
        <v>20612921866</v>
      </c>
      <c r="G76" s="1082" t="s">
        <v>2985</v>
      </c>
      <c r="H76" s="762" t="s">
        <v>69</v>
      </c>
      <c r="I76" s="703">
        <v>9.4600000000000009</v>
      </c>
      <c r="J76" s="596">
        <v>2.1</v>
      </c>
      <c r="K76" s="703">
        <f t="shared" si="72"/>
        <v>9.2609999999999992</v>
      </c>
      <c r="L76" s="1745">
        <v>0.222</v>
      </c>
      <c r="M76" s="994">
        <f t="shared" ref="M76:M77" si="78">ROUND(+IF(AN76="Melchor Vera",IF(L76&gt;0.467,L76*0.985,(L76-0.007)),IF(L76&gt;0.3,L76*0.94,(L76-0.024))),3)</f>
        <v>0.19800000000000001</v>
      </c>
      <c r="N76" s="1444">
        <v>0.27</v>
      </c>
      <c r="O76" s="645">
        <f t="shared" ref="O76:O121" si="79">+ROUND((M76+N76)/2,3)</f>
        <v>0.23400000000000001</v>
      </c>
      <c r="P76" s="727">
        <v>90</v>
      </c>
      <c r="Q76" s="1476">
        <v>95.5</v>
      </c>
      <c r="R76" s="706">
        <v>4823.25</v>
      </c>
      <c r="S76" s="765">
        <f>IF((_xlfn.XLOOKUP(D76,RUC!$B$3:$B$119,RUC!$E$3:$E$119)+ROUNDDOWN(O76,1)*100)&lt;95,95,((_xlfn.XLOOKUP(D76,RUC!$B$3:$B$119,RUC!$E$3:$E$119)+ROUNDDOWN(O76,1)*100)))</f>
        <v>100</v>
      </c>
      <c r="U76" s="1146">
        <f>_xlfn.XLOOKUP(D76,RUC!$B$3:$B$123,RUC!$F$3:$F$123)</f>
        <v>100</v>
      </c>
      <c r="V76" s="715">
        <v>1.1023000000000001</v>
      </c>
      <c r="Y76">
        <f>_xlfn.XLOOKUP(D76,RUC!$B$3:$B$123,RUC!$G$3:$G$123)</f>
        <v>0</v>
      </c>
      <c r="Z76" s="143">
        <f>_xlfn.XLOOKUP(D76,RUC!$B$3:$B$123,RUC!$H$3:$H$123)</f>
        <v>30</v>
      </c>
      <c r="AA76" s="144">
        <f t="shared" ref="AA76:AA121" si="80">+Y76+Z76</f>
        <v>30</v>
      </c>
      <c r="AB76" s="145">
        <f t="shared" ref="AB76:AB121" si="81">+((O76*P76*(R76-U76)/100)-S76-AA76+T76)*V76</f>
        <v>953.17694283500009</v>
      </c>
      <c r="AC76" s="145">
        <f>+(S76-T76)*V76-'data 1'!$F$4</f>
        <v>30.230000000000004</v>
      </c>
      <c r="AD76" s="145">
        <f t="shared" ref="AD76:AD121" si="82">+(Q76-P76)*(R76-U76)*L76*V76/100</f>
        <v>63.570613779750005</v>
      </c>
      <c r="AE76" s="145">
        <f t="shared" ref="AE76:AE121" si="83">+(Y76*V76-70)+V76*(Z76-IF(D76="UNTUCA",IF(+((W76-3)*2.5+(X76-3)*3.1)&gt;0,+((W76-3)*1.5+(X76-3)*3.1),0),IF(+((W76-3)*1.5+(X76-3)*3.1)&gt;0,+((W76-3)*1.5+(X76-3)*3.1),0)))</f>
        <v>-36.930999999999997</v>
      </c>
      <c r="AF76" s="145">
        <f t="shared" ref="AF76:AF121" si="84">(L76-O76)*(R76-U76)*Q76*V76/100</f>
        <v>-59.665784923500063</v>
      </c>
      <c r="AG76" s="772">
        <f t="shared" ref="AG76:AG79" si="85">AC76+AD76+AE76+AF76+70-10</f>
        <v>57.203828856249942</v>
      </c>
      <c r="AH76" s="1253">
        <f t="shared" si="74"/>
        <v>67.316999999999993</v>
      </c>
      <c r="AI76" s="1253">
        <f t="shared" si="75"/>
        <v>70.489000000000004</v>
      </c>
      <c r="AJ76" s="156">
        <f t="shared" si="76"/>
        <v>41.306231615249999</v>
      </c>
      <c r="AK76" s="156">
        <f t="shared" si="77"/>
        <v>66.869075720759142</v>
      </c>
      <c r="AM76" s="716">
        <f t="shared" si="61"/>
        <v>8827.3716675949345</v>
      </c>
      <c r="AN76" s="716" t="str">
        <f>_xlfn.XLOOKUP(D76,RUC!$B$3:$B$578,RUC!$M$3:$M$578)</f>
        <v>Ronald Garibay</v>
      </c>
      <c r="AO76" s="1167" t="s">
        <v>2278</v>
      </c>
      <c r="AP76" s="1082" t="s">
        <v>5361</v>
      </c>
      <c r="AQ76" s="1082" t="s">
        <v>3744</v>
      </c>
    </row>
    <row r="77" spans="1:44" ht="15" customHeight="1">
      <c r="A77" s="747" t="s">
        <v>5349</v>
      </c>
      <c r="B77" s="1447">
        <v>46131</v>
      </c>
      <c r="C77" s="1447">
        <v>46127</v>
      </c>
      <c r="D77" s="1831" t="s">
        <v>2004</v>
      </c>
      <c r="E77" s="762">
        <f>_xlfn.XLOOKUP(D77,RUC!$B$3:$B$123,RUC!$D$3:$D$123)</f>
        <v>20612921866</v>
      </c>
      <c r="G77" s="1082" t="s">
        <v>2985</v>
      </c>
      <c r="H77" s="762" t="s">
        <v>69</v>
      </c>
      <c r="I77" s="703">
        <v>10.199999999999999</v>
      </c>
      <c r="J77" s="596">
        <v>2.1</v>
      </c>
      <c r="K77" s="703">
        <f t="shared" si="72"/>
        <v>9.9860000000000007</v>
      </c>
      <c r="L77" s="1745">
        <v>0.222</v>
      </c>
      <c r="M77" s="994">
        <f t="shared" si="78"/>
        <v>0.19800000000000001</v>
      </c>
      <c r="N77" s="1444">
        <v>0.27</v>
      </c>
      <c r="O77" s="645">
        <f t="shared" si="79"/>
        <v>0.23400000000000001</v>
      </c>
      <c r="P77" s="727">
        <v>90</v>
      </c>
      <c r="Q77" s="1476">
        <v>95.5</v>
      </c>
      <c r="R77" s="706">
        <v>4823.25</v>
      </c>
      <c r="S77" s="765">
        <f>IF((_xlfn.XLOOKUP(D77,RUC!$B$3:$B$119,RUC!$E$3:$E$119)+ROUNDDOWN(O77,1)*100)&lt;95,95,((_xlfn.XLOOKUP(D77,RUC!$B$3:$B$119,RUC!$E$3:$E$119)+ROUNDDOWN(O77,1)*100)))</f>
        <v>100</v>
      </c>
      <c r="U77" s="1146">
        <f>_xlfn.XLOOKUP(D77,RUC!$B$3:$B$123,RUC!$F$3:$F$123)</f>
        <v>100</v>
      </c>
      <c r="V77" s="715">
        <v>1.1023000000000001</v>
      </c>
      <c r="Y77">
        <f>_xlfn.XLOOKUP(D77,RUC!$B$3:$B$123,RUC!$G$3:$G$123)</f>
        <v>0</v>
      </c>
      <c r="Z77" s="143">
        <f>_xlfn.XLOOKUP(D77,RUC!$B$3:$B$123,RUC!$H$3:$H$123)</f>
        <v>30</v>
      </c>
      <c r="AA77" s="144">
        <f t="shared" si="80"/>
        <v>30</v>
      </c>
      <c r="AB77" s="145">
        <f t="shared" si="81"/>
        <v>953.17694283500009</v>
      </c>
      <c r="AC77" s="145">
        <f>+(S77-T77)*V77-'data 1'!$F$4</f>
        <v>30.230000000000004</v>
      </c>
      <c r="AD77" s="145">
        <f t="shared" si="82"/>
        <v>63.570613779750005</v>
      </c>
      <c r="AE77" s="145">
        <f t="shared" si="83"/>
        <v>-36.930999999999997</v>
      </c>
      <c r="AF77" s="145">
        <f t="shared" si="84"/>
        <v>-59.665784923500063</v>
      </c>
      <c r="AG77" s="772">
        <f t="shared" si="85"/>
        <v>57.203828856249942</v>
      </c>
      <c r="AH77" s="1253">
        <f t="shared" si="74"/>
        <v>72.587000000000003</v>
      </c>
      <c r="AI77" s="1253">
        <f t="shared" si="75"/>
        <v>76.007000000000005</v>
      </c>
      <c r="AJ77" s="156">
        <f t="shared" si="76"/>
        <v>41.306231615249999</v>
      </c>
      <c r="AK77" s="156">
        <f t="shared" si="77"/>
        <v>72.103940195173394</v>
      </c>
      <c r="AM77" s="716">
        <f t="shared" si="61"/>
        <v>9518.4249511503112</v>
      </c>
      <c r="AN77" s="716" t="str">
        <f>_xlfn.XLOOKUP(D77,RUC!$B$3:$B$578,RUC!$M$3:$M$578)</f>
        <v>Ronald Garibay</v>
      </c>
      <c r="AO77" s="1167" t="s">
        <v>2278</v>
      </c>
      <c r="AP77" s="1082" t="s">
        <v>5362</v>
      </c>
      <c r="AQ77" s="1082" t="s">
        <v>3787</v>
      </c>
    </row>
    <row r="78" spans="1:44" ht="15" customHeight="1">
      <c r="A78" s="747" t="s">
        <v>5350</v>
      </c>
      <c r="B78" s="1447">
        <v>46131</v>
      </c>
      <c r="C78" s="1447">
        <v>46127</v>
      </c>
      <c r="D78" s="1831" t="s">
        <v>2004</v>
      </c>
      <c r="E78" s="762">
        <f>_xlfn.XLOOKUP(D78,RUC!$B$3:$B$123,RUC!$D$3:$D$123)</f>
        <v>20612921866</v>
      </c>
      <c r="G78" s="1082">
        <v>106</v>
      </c>
      <c r="H78" s="762" t="s">
        <v>69</v>
      </c>
      <c r="I78" s="703">
        <v>9.3000000000000007</v>
      </c>
      <c r="J78" s="596">
        <v>2</v>
      </c>
      <c r="K78" s="703">
        <f t="shared" si="72"/>
        <v>9.1140000000000008</v>
      </c>
      <c r="L78" s="1745">
        <v>0.183</v>
      </c>
      <c r="M78" s="994">
        <f>ROUND(+IF(L78&gt;_xlfn.XLOOKUP(AN78,RUC!M:M,RUC!K:K),L78*_xlfn.XLOOKUP(AN78,RUC!M:M,RUC!I:I),L78-_xlfn.XLOOKUP(AN78,RUC!M:M,RUC!J:J)),3)</f>
        <v>0.16400000000000001</v>
      </c>
      <c r="N78" s="1196">
        <f t="shared" ref="N78:N121" si="86">+M78</f>
        <v>0.16400000000000001</v>
      </c>
      <c r="O78" s="645">
        <f t="shared" si="79"/>
        <v>0.16400000000000001</v>
      </c>
      <c r="P78" s="727">
        <v>90</v>
      </c>
      <c r="Q78" s="1476">
        <v>96.17</v>
      </c>
      <c r="R78" s="706">
        <v>4823.25</v>
      </c>
      <c r="S78" s="765">
        <f>IF((_xlfn.XLOOKUP(D78,RUC!$B$3:$B$119,RUC!$E$3:$E$119)+ROUNDDOWN(O78,1)*100)&lt;95,95,((_xlfn.XLOOKUP(D78,RUC!$B$3:$B$119,RUC!$E$3:$E$119)+ROUNDDOWN(O78,1)*100)))</f>
        <v>95</v>
      </c>
      <c r="U78" s="1146">
        <f>_xlfn.XLOOKUP(D78,RUC!$B$3:$B$123,RUC!$F$3:$F$123)</f>
        <v>100</v>
      </c>
      <c r="V78" s="715">
        <v>1.1023000000000001</v>
      </c>
      <c r="Y78">
        <f>_xlfn.XLOOKUP(D78,RUC!$B$3:$B$123,RUC!$G$3:$G$123)</f>
        <v>0</v>
      </c>
      <c r="Z78" s="143">
        <f>_xlfn.XLOOKUP(D78,RUC!$B$3:$B$123,RUC!$H$3:$H$123)</f>
        <v>30</v>
      </c>
      <c r="AA78" s="144">
        <f t="shared" si="80"/>
        <v>30</v>
      </c>
      <c r="AB78" s="145">
        <f t="shared" si="81"/>
        <v>630.68281891000004</v>
      </c>
      <c r="AC78" s="145">
        <f>+(S78-T78)*V78-'data 1'!$F$4</f>
        <v>24.718500000000006</v>
      </c>
      <c r="AD78" s="145">
        <f t="shared" si="82"/>
        <v>58.78641746507251</v>
      </c>
      <c r="AE78" s="145">
        <f t="shared" si="83"/>
        <v>-36.930999999999997</v>
      </c>
      <c r="AF78" s="145">
        <f t="shared" si="84"/>
        <v>95.133605746742475</v>
      </c>
      <c r="AG78" s="772">
        <f t="shared" si="85"/>
        <v>201.70752321181499</v>
      </c>
      <c r="AH78" s="1253">
        <f t="shared" si="74"/>
        <v>54.993000000000002</v>
      </c>
      <c r="AI78" s="1253">
        <f t="shared" si="75"/>
        <v>57.183</v>
      </c>
      <c r="AJ78" s="156">
        <f t="shared" si="76"/>
        <v>34.288614399427502</v>
      </c>
      <c r="AK78" s="156">
        <f t="shared" si="77"/>
        <v>46.121609139104528</v>
      </c>
      <c r="AM78" s="716">
        <f t="shared" si="61"/>
        <v>5748.0432115457406</v>
      </c>
      <c r="AN78" s="716" t="str">
        <f>_xlfn.XLOOKUP(D78,RUC!$B$3:$B$578,RUC!$M$3:$M$578)</f>
        <v>Ronald Garibay</v>
      </c>
      <c r="AO78" s="1167" t="s">
        <v>2278</v>
      </c>
      <c r="AP78" s="1082" t="s">
        <v>5366</v>
      </c>
      <c r="AQ78" s="1848" t="s">
        <v>5115</v>
      </c>
    </row>
    <row r="79" spans="1:44" ht="15" customHeight="1">
      <c r="A79" s="747" t="s">
        <v>5351</v>
      </c>
      <c r="B79" s="1447">
        <v>46132</v>
      </c>
      <c r="C79" s="1447">
        <v>46128</v>
      </c>
      <c r="D79" s="1831" t="s">
        <v>2004</v>
      </c>
      <c r="E79" s="762">
        <f>_xlfn.XLOOKUP(D79,RUC!$B$3:$B$123,RUC!$D$3:$D$123)</f>
        <v>20612921866</v>
      </c>
      <c r="G79" s="1082" t="s">
        <v>2985</v>
      </c>
      <c r="H79" s="762" t="s">
        <v>69</v>
      </c>
      <c r="I79" s="703">
        <v>2.2200000000000002</v>
      </c>
      <c r="J79" s="596">
        <v>2</v>
      </c>
      <c r="K79" s="703">
        <f t="shared" si="72"/>
        <v>2.1760000000000002</v>
      </c>
      <c r="L79" s="1745">
        <v>0.374</v>
      </c>
      <c r="M79" s="994">
        <v>0.35499999999999998</v>
      </c>
      <c r="N79" s="1196">
        <f t="shared" si="86"/>
        <v>0.35499999999999998</v>
      </c>
      <c r="O79" s="645">
        <f t="shared" si="79"/>
        <v>0.35499999999999998</v>
      </c>
      <c r="P79" s="727">
        <v>90</v>
      </c>
      <c r="Q79" s="1476">
        <v>98.93</v>
      </c>
      <c r="R79" s="706">
        <v>4793.6000000000004</v>
      </c>
      <c r="S79" s="765">
        <f>IF((_xlfn.XLOOKUP(D79,RUC!$B$3:$B$119,RUC!$E$3:$E$119)+ROUNDDOWN(O79,1)*100)&lt;95,95,((_xlfn.XLOOKUP(D79,RUC!$B$3:$B$119,RUC!$E$3:$E$119)+ROUNDDOWN(O79,1)*100)))</f>
        <v>110</v>
      </c>
      <c r="U79" s="1146">
        <f>_xlfn.XLOOKUP(D79,RUC!$B$3:$B$123,RUC!$F$3:$F$123)</f>
        <v>100</v>
      </c>
      <c r="V79" s="715">
        <v>1.1023000000000001</v>
      </c>
      <c r="Y79">
        <f>_xlfn.XLOOKUP(D79,RUC!$B$3:$B$123,RUC!$G$3:$G$123)</f>
        <v>0</v>
      </c>
      <c r="Z79" s="143">
        <f>_xlfn.XLOOKUP(D79,RUC!$B$3:$B$123,RUC!$H$3:$H$123)</f>
        <v>30</v>
      </c>
      <c r="AA79" s="144">
        <f t="shared" si="80"/>
        <v>30</v>
      </c>
      <c r="AB79" s="145">
        <f t="shared" si="81"/>
        <v>1498.6928119600002</v>
      </c>
      <c r="AC79" s="145">
        <f>+(S79-T79)*V79-'data 1'!$F$4</f>
        <v>41.253</v>
      </c>
      <c r="AD79" s="145">
        <f t="shared" si="82"/>
        <v>172.79411359249619</v>
      </c>
      <c r="AE79" s="145">
        <f t="shared" si="83"/>
        <v>-36.930999999999997</v>
      </c>
      <c r="AF79" s="145">
        <f t="shared" si="84"/>
        <v>97.249525871576097</v>
      </c>
      <c r="AG79" s="772">
        <f t="shared" si="85"/>
        <v>334.36563946407233</v>
      </c>
      <c r="AH79" s="1253">
        <f t="shared" si="74"/>
        <v>27.603999999999999</v>
      </c>
      <c r="AI79" s="1253">
        <f t="shared" si="75"/>
        <v>27.902000000000001</v>
      </c>
      <c r="AJ79" s="156">
        <f t="shared" si="76"/>
        <v>84.180036873503852</v>
      </c>
      <c r="AK79" s="156">
        <f t="shared" si="77"/>
        <v>23.836298904777603</v>
      </c>
      <c r="AM79" s="716">
        <f t="shared" si="61"/>
        <v>3261.1555588249607</v>
      </c>
      <c r="AN79" s="716" t="str">
        <f>_xlfn.XLOOKUP(D79,RUC!$B$3:$B$578,RUC!$M$3:$M$578)</f>
        <v>Ronald Garibay</v>
      </c>
      <c r="AO79" s="1167" t="s">
        <v>2280</v>
      </c>
      <c r="AP79" s="1082" t="s">
        <v>5367</v>
      </c>
      <c r="AQ79" s="1848" t="s">
        <v>3196</v>
      </c>
    </row>
    <row r="80" spans="1:44" ht="15" customHeight="1">
      <c r="A80" s="747" t="s">
        <v>5352</v>
      </c>
      <c r="B80" s="1447">
        <v>46135</v>
      </c>
      <c r="C80" s="1447">
        <v>46128</v>
      </c>
      <c r="D80" t="s">
        <v>1484</v>
      </c>
      <c r="E80" s="762">
        <f>_xlfn.XLOOKUP(D80,RUC!$B$3:$B$123,RUC!$D$3:$D$123)</f>
        <v>10761932735</v>
      </c>
      <c r="G80" s="1082">
        <v>131</v>
      </c>
      <c r="H80" s="762" t="s">
        <v>69</v>
      </c>
      <c r="I80" s="703">
        <v>12.43</v>
      </c>
      <c r="J80" s="596">
        <v>12.45</v>
      </c>
      <c r="K80" s="703">
        <f t="shared" si="72"/>
        <v>10.882</v>
      </c>
      <c r="L80" s="1745">
        <v>0.217</v>
      </c>
      <c r="M80" s="994">
        <f>ROUND(+IF(L80&gt;_xlfn.XLOOKUP(AN80,RUC!M:M,RUC!K:K),L80*_xlfn.XLOOKUP(AN80,RUC!M:M,RUC!I:I),L80-_xlfn.XLOOKUP(AN80,RUC!M:M,RUC!J:J)),3)</f>
        <v>0.182</v>
      </c>
      <c r="N80" s="1196">
        <f t="shared" si="86"/>
        <v>0.182</v>
      </c>
      <c r="O80" s="645">
        <f t="shared" si="79"/>
        <v>0.182</v>
      </c>
      <c r="P80" s="727">
        <v>90</v>
      </c>
      <c r="Q80" s="1476">
        <v>94.93</v>
      </c>
      <c r="R80" s="706">
        <v>4793.6000000000004</v>
      </c>
      <c r="S80" s="765">
        <f>IF((_xlfn.XLOOKUP(D80,RUC!$B$3:$B$119,RUC!$E$3:$E$119)+ROUNDDOWN(O80,1)*100)&lt;95,95,((_xlfn.XLOOKUP(D80,RUC!$B$3:$B$119,RUC!$E$3:$E$119)+ROUNDDOWN(O80,1)*100)))</f>
        <v>100</v>
      </c>
      <c r="U80" s="1146">
        <f>_xlfn.XLOOKUP(D80,RUC!$B$3:$B$123,RUC!$F$3:$F$123)</f>
        <v>120</v>
      </c>
      <c r="V80" s="715">
        <v>1.1023000000000001</v>
      </c>
      <c r="Y80">
        <f>_xlfn.XLOOKUP(D80,RUC!$B$3:$B$123,RUC!$G$3:$G$123)</f>
        <v>20</v>
      </c>
      <c r="Z80" s="143">
        <f>_xlfn.XLOOKUP(D80,RUC!$B$3:$B$123,RUC!$H$3:$H$123)</f>
        <v>30</v>
      </c>
      <c r="AA80" s="144">
        <f t="shared" si="80"/>
        <v>50</v>
      </c>
      <c r="AB80" s="145">
        <f t="shared" si="81"/>
        <v>678.50498006399994</v>
      </c>
      <c r="AC80" s="145">
        <f>+(S80-T80)*V80-'data 1'!$F$4</f>
        <v>30.230000000000004</v>
      </c>
      <c r="AD80" s="145">
        <f t="shared" si="82"/>
        <v>55.113501048368086</v>
      </c>
      <c r="AE80" s="145">
        <f t="shared" si="83"/>
        <v>-14.884999999999998</v>
      </c>
      <c r="AF80" s="145">
        <f t="shared" si="84"/>
        <v>171.16811668264003</v>
      </c>
      <c r="AG80" s="772">
        <f>AC80+AD80+AE80+AF80+70-53</f>
        <v>258.62661773100814</v>
      </c>
      <c r="AH80" s="1253">
        <f t="shared" si="74"/>
        <v>76.856999999999999</v>
      </c>
      <c r="AI80" s="1253">
        <f t="shared" si="75"/>
        <v>80.960999999999999</v>
      </c>
      <c r="AJ80" s="156">
        <f t="shared" si="76"/>
        <v>51.409034154631918</v>
      </c>
      <c r="AK80" s="156">
        <f t="shared" si="77"/>
        <v>61.112730494104383</v>
      </c>
      <c r="AM80" s="716">
        <f t="shared" si="61"/>
        <v>7383.4911930564467</v>
      </c>
      <c r="AN80" s="716" t="str">
        <f>_xlfn.XLOOKUP(D80,RUC!$B$3:$B$578,RUC!$M$3:$M$578)</f>
        <v>Richard Sapacayo</v>
      </c>
      <c r="AO80" s="1167" t="s">
        <v>2280</v>
      </c>
      <c r="AP80" s="1843">
        <v>162</v>
      </c>
      <c r="AQ80" s="1082" t="s">
        <v>5399</v>
      </c>
    </row>
    <row r="81" spans="1:44" ht="15" customHeight="1">
      <c r="A81" s="747" t="s">
        <v>5353</v>
      </c>
      <c r="B81" s="1447">
        <v>46135</v>
      </c>
      <c r="C81" s="1447">
        <v>46129</v>
      </c>
      <c r="D81" t="s">
        <v>1484</v>
      </c>
      <c r="E81" s="762">
        <f>_xlfn.XLOOKUP(D81,RUC!$B$3:$B$123,RUC!$D$3:$D$123)</f>
        <v>10761932735</v>
      </c>
      <c r="G81" s="1082" t="s">
        <v>2985</v>
      </c>
      <c r="H81" s="762" t="s">
        <v>69</v>
      </c>
      <c r="I81" s="703">
        <v>34.200000000000003</v>
      </c>
      <c r="J81" s="596">
        <v>10.130000000000001</v>
      </c>
      <c r="K81" s="703">
        <f t="shared" si="72"/>
        <v>30.736000000000001</v>
      </c>
      <c r="L81" s="1745">
        <v>0.105</v>
      </c>
      <c r="M81" s="994">
        <f>ROUND(+IF(L81&gt;_xlfn.XLOOKUP(AN81,RUC!M:M,RUC!K:K),L81*_xlfn.XLOOKUP(AN81,RUC!M:M,RUC!I:I),L81-_xlfn.XLOOKUP(AN81,RUC!M:M,RUC!J:J)),3)</f>
        <v>7.0000000000000007E-2</v>
      </c>
      <c r="N81" s="1444">
        <v>0.154</v>
      </c>
      <c r="O81" s="645">
        <f t="shared" si="79"/>
        <v>0.112</v>
      </c>
      <c r="P81" s="727">
        <v>80</v>
      </c>
      <c r="Q81" s="1476">
        <v>97.14</v>
      </c>
      <c r="R81" s="706">
        <v>4870.5</v>
      </c>
      <c r="S81" s="765">
        <f>IF((_xlfn.XLOOKUP(D81,RUC!$B$3:$B$119,RUC!$E$3:$E$119)+ROUNDDOWN(O81,1)*100)&lt;95,95,((_xlfn.XLOOKUP(D81,RUC!$B$3:$B$119,RUC!$E$3:$E$119)+ROUNDDOWN(O81,1)*100)))</f>
        <v>100</v>
      </c>
      <c r="U81" s="1146">
        <f>_xlfn.XLOOKUP(D81,RUC!$B$3:$B$123,RUC!$F$3:$F$123)</f>
        <v>120</v>
      </c>
      <c r="V81" s="715">
        <v>1.1023000000000001</v>
      </c>
      <c r="Y81">
        <f>_xlfn.XLOOKUP(D81,RUC!$B$3:$B$123,RUC!$G$3:$G$123)</f>
        <v>20</v>
      </c>
      <c r="Z81" s="143">
        <f>_xlfn.XLOOKUP(D81,RUC!$B$3:$B$123,RUC!$H$3:$H$123)</f>
        <v>30</v>
      </c>
      <c r="AA81" s="144">
        <f t="shared" si="80"/>
        <v>50</v>
      </c>
      <c r="AB81" s="145">
        <f t="shared" si="81"/>
        <v>303.84326304000007</v>
      </c>
      <c r="AC81" s="145">
        <f>+(S81-T81)*V81-'data 1'!$F$4</f>
        <v>30.230000000000004</v>
      </c>
      <c r="AD81" s="145">
        <f t="shared" si="82"/>
        <v>94.240861271550003</v>
      </c>
      <c r="AE81" s="145">
        <f t="shared" si="83"/>
        <v>-14.884999999999998</v>
      </c>
      <c r="AF81" s="145">
        <f t="shared" si="84"/>
        <v>-35.606990524770033</v>
      </c>
      <c r="AG81" s="772">
        <f t="shared" ref="AG81:AG109" si="87">AC81+AD81+AE81+AF81+70-53</f>
        <v>90.97887074677999</v>
      </c>
      <c r="AH81" s="1253">
        <f t="shared" si="74"/>
        <v>107.48399999999999</v>
      </c>
      <c r="AI81" s="1253">
        <f t="shared" si="75"/>
        <v>110.649</v>
      </c>
      <c r="AJ81" s="156">
        <f t="shared" si="76"/>
        <v>16.808478318450003</v>
      </c>
      <c r="AK81" s="156">
        <f t="shared" si="77"/>
        <v>94.420093564590076</v>
      </c>
      <c r="AM81" s="716">
        <f t="shared" si="61"/>
        <v>9338.9265327974426</v>
      </c>
      <c r="AN81" s="716" t="str">
        <f>_xlfn.XLOOKUP(D81,RUC!$B$3:$B$578,RUC!$M$3:$M$578)</f>
        <v>Richard Sapacayo</v>
      </c>
      <c r="AO81" s="1167" t="s">
        <v>2280</v>
      </c>
      <c r="AP81" s="1843">
        <v>162</v>
      </c>
      <c r="AQ81" s="1082" t="s">
        <v>5399</v>
      </c>
    </row>
    <row r="82" spans="1:44" ht="15" customHeight="1">
      <c r="A82" s="747" t="s">
        <v>5368</v>
      </c>
      <c r="B82" s="1447">
        <v>46133</v>
      </c>
      <c r="C82" s="1447">
        <v>46129</v>
      </c>
      <c r="D82" t="s">
        <v>4171</v>
      </c>
      <c r="E82" s="762">
        <f>_xlfn.XLOOKUP(D82,RUC!$B$3:$B$123,RUC!$D$3:$D$123)</f>
        <v>20614284740</v>
      </c>
      <c r="G82" s="1082">
        <v>101</v>
      </c>
      <c r="H82" s="762" t="s">
        <v>69</v>
      </c>
      <c r="I82" s="703">
        <v>8.23</v>
      </c>
      <c r="J82" s="596">
        <v>2</v>
      </c>
      <c r="K82" s="703">
        <f t="shared" si="72"/>
        <v>8.0649999999999995</v>
      </c>
      <c r="L82" s="1745">
        <v>0.311</v>
      </c>
      <c r="M82" s="994">
        <f>ROUND(+IF(L82&gt;_xlfn.XLOOKUP(AN82,RUC!M:M,RUC!K:K),L82*_xlfn.XLOOKUP(AN82,RUC!M:M,RUC!I:I),L82-_xlfn.XLOOKUP(AN82,RUC!M:M,RUC!J:J)),3)</f>
        <v>0.29199999999999998</v>
      </c>
      <c r="N82" s="1444">
        <v>0.32700000000000001</v>
      </c>
      <c r="O82" s="645">
        <f t="shared" si="79"/>
        <v>0.31</v>
      </c>
      <c r="P82" s="727">
        <v>90</v>
      </c>
      <c r="Q82" s="1476">
        <v>98.07</v>
      </c>
      <c r="R82" s="706">
        <v>4870.5</v>
      </c>
      <c r="S82" s="765">
        <f>IF((_xlfn.XLOOKUP(D82,RUC!$B$3:$B$119,RUC!$E$3:$E$119)+ROUNDDOWN(O82,1)*100)&lt;95,95,((_xlfn.XLOOKUP(D82,RUC!$B$3:$B$119,RUC!$E$3:$E$119)+ROUNDDOWN(O82,1)*100)))</f>
        <v>120</v>
      </c>
      <c r="U82" s="1146">
        <f>_xlfn.XLOOKUP(D82,RUC!$B$3:$B$123,RUC!$F$3:$F$123)</f>
        <v>120</v>
      </c>
      <c r="V82" s="715">
        <v>1.1023000000000001</v>
      </c>
      <c r="Y82">
        <f>_xlfn.XLOOKUP(D82,RUC!$B$3:$B$123,RUC!$G$3:$G$123)</f>
        <v>20</v>
      </c>
      <c r="Z82" s="143">
        <f>_xlfn.XLOOKUP(D82,RUC!$B$3:$B$123,RUC!$H$3:$H$123)</f>
        <v>30</v>
      </c>
      <c r="AA82" s="144">
        <f t="shared" si="80"/>
        <v>50</v>
      </c>
      <c r="AB82" s="145">
        <f t="shared" si="81"/>
        <v>1273.5858458499997</v>
      </c>
      <c r="AC82" s="145">
        <f>+(S82-T82)*V82-'data 1'!$F$4</f>
        <v>52.27600000000001</v>
      </c>
      <c r="AD82" s="145">
        <f t="shared" si="82"/>
        <v>131.42350746985491</v>
      </c>
      <c r="AE82" s="145">
        <f t="shared" si="83"/>
        <v>-14.884999999999998</v>
      </c>
      <c r="AF82" s="145">
        <f t="shared" si="84"/>
        <v>5.1354121603050045</v>
      </c>
      <c r="AG82" s="772">
        <f t="shared" si="87"/>
        <v>190.94991963015994</v>
      </c>
      <c r="AH82" s="1253">
        <f t="shared" si="74"/>
        <v>84.334999999999994</v>
      </c>
      <c r="AI82" s="1253">
        <f t="shared" si="75"/>
        <v>85.995000000000005</v>
      </c>
      <c r="AJ82" s="156">
        <f t="shared" si="76"/>
        <v>50.26174522414501</v>
      </c>
      <c r="AK82" s="156">
        <f t="shared" si="77"/>
        <v>77.146751639886759</v>
      </c>
      <c r="AM82" s="716">
        <f t="shared" si="61"/>
        <v>10271.469846780246</v>
      </c>
      <c r="AN82" s="716" t="str">
        <f>_xlfn.XLOOKUP(D82,RUC!$B$3:$B$578,RUC!$M$3:$M$578)</f>
        <v xml:space="preserve">Dante </v>
      </c>
      <c r="AO82" s="1167" t="s">
        <v>2280</v>
      </c>
      <c r="AP82" s="1843">
        <v>295</v>
      </c>
      <c r="AQ82" s="1082" t="s">
        <v>5398</v>
      </c>
    </row>
    <row r="83" spans="1:44" ht="15" customHeight="1">
      <c r="A83" s="747" t="s">
        <v>5369</v>
      </c>
      <c r="B83" s="1447">
        <v>46135</v>
      </c>
      <c r="C83" s="1447">
        <v>46130</v>
      </c>
      <c r="D83" t="s">
        <v>93</v>
      </c>
      <c r="E83" s="762">
        <f>_xlfn.XLOOKUP(D83,RUC!$B$3:$B$123,RUC!$D$3:$D$123)</f>
        <v>20169040231</v>
      </c>
      <c r="G83" s="1082">
        <v>81</v>
      </c>
      <c r="H83" s="762" t="s">
        <v>69</v>
      </c>
      <c r="I83" s="703">
        <v>7.68</v>
      </c>
      <c r="J83" s="596">
        <v>2.1</v>
      </c>
      <c r="K83" s="703">
        <f t="shared" si="72"/>
        <v>7.5190000000000001</v>
      </c>
      <c r="L83" s="1745">
        <v>0.16600000000000001</v>
      </c>
      <c r="M83" s="994">
        <f>ROUND(+IF(L83&gt;_xlfn.XLOOKUP(AN83,RUC!M:M,RUC!K:K),L83*_xlfn.XLOOKUP(AN83,RUC!M:M,RUC!I:I),L83-_xlfn.XLOOKUP(AN83,RUC!M:M,RUC!J:J)),3)</f>
        <v>0.14699999999999999</v>
      </c>
      <c r="N83" s="1196">
        <f t="shared" si="86"/>
        <v>0.14699999999999999</v>
      </c>
      <c r="O83" s="645">
        <f t="shared" si="79"/>
        <v>0.14699999999999999</v>
      </c>
      <c r="P83" s="727">
        <v>80</v>
      </c>
      <c r="Q83" s="1476">
        <v>93.37</v>
      </c>
      <c r="R83" s="706">
        <v>4870.5</v>
      </c>
      <c r="S83" s="765">
        <f>IF((_xlfn.XLOOKUP(D83,RUC!$B$3:$B$119,RUC!$E$3:$E$119)+ROUNDDOWN(O83,1)*100)&lt;95,95,((_xlfn.XLOOKUP(D83,RUC!$B$3:$B$119,RUC!$E$3:$E$119)+ROUNDDOWN(O83,1)*100)))</f>
        <v>95</v>
      </c>
      <c r="U83" s="1146">
        <f>_xlfn.XLOOKUP(D83,RUC!$B$3:$B$123,RUC!$F$3:$F$123)</f>
        <v>120</v>
      </c>
      <c r="V83" s="715">
        <v>1.1023000000000001</v>
      </c>
      <c r="Y83">
        <f>_xlfn.XLOOKUP(D83,RUC!$B$3:$B$123,RUC!$G$3:$G$123)</f>
        <v>20</v>
      </c>
      <c r="Z83" s="1454">
        <v>35</v>
      </c>
      <c r="AA83" s="144">
        <f t="shared" si="80"/>
        <v>55</v>
      </c>
      <c r="AB83" s="145">
        <f t="shared" si="81"/>
        <v>450.46459523999994</v>
      </c>
      <c r="AC83" s="145">
        <f>+(S83-T83)*V83-'data 1'!$F$4</f>
        <v>24.718500000000006</v>
      </c>
      <c r="AD83" s="145">
        <f t="shared" si="82"/>
        <v>116.21939896833004</v>
      </c>
      <c r="AE83" s="145">
        <f t="shared" si="83"/>
        <v>-9.3734999999999999</v>
      </c>
      <c r="AF83" s="145">
        <f t="shared" si="84"/>
        <v>92.896657843845091</v>
      </c>
      <c r="AG83" s="772">
        <f t="shared" si="87"/>
        <v>241.46105681217512</v>
      </c>
      <c r="AH83" s="1253">
        <f t="shared" si="74"/>
        <v>39.956000000000003</v>
      </c>
      <c r="AI83" s="1253">
        <f t="shared" si="75"/>
        <v>42.792999999999999</v>
      </c>
      <c r="AJ83" s="156">
        <f t="shared" si="76"/>
        <v>25.542090945670001</v>
      </c>
      <c r="AK83" s="156">
        <f t="shared" si="77"/>
        <v>30.316319531158925</v>
      </c>
      <c r="AM83" s="716">
        <f t="shared" si="61"/>
        <v>3387.0432916095597</v>
      </c>
      <c r="AN83" s="716" t="str">
        <f>_xlfn.XLOOKUP(D83,RUC!$B$3:$B$578,RUC!$M$3:$M$578)</f>
        <v>Ronald Miranda</v>
      </c>
      <c r="AO83" s="1167" t="s">
        <v>2280</v>
      </c>
      <c r="AP83" s="1843">
        <v>6403</v>
      </c>
      <c r="AQ83" s="1082" t="s">
        <v>5400</v>
      </c>
    </row>
    <row r="84" spans="1:44" ht="15" customHeight="1">
      <c r="A84" s="747" t="s">
        <v>5370</v>
      </c>
      <c r="B84" s="1447">
        <v>46135</v>
      </c>
      <c r="C84" s="1447">
        <v>46130</v>
      </c>
      <c r="D84" t="s">
        <v>93</v>
      </c>
      <c r="E84" s="762">
        <f>_xlfn.XLOOKUP(D84,RUC!$B$3:$B$123,RUC!$D$3:$D$123)</f>
        <v>20169040231</v>
      </c>
      <c r="G84" s="1082">
        <v>81</v>
      </c>
      <c r="H84" s="762" t="s">
        <v>69</v>
      </c>
      <c r="I84" s="703">
        <v>7.73</v>
      </c>
      <c r="J84" s="596">
        <v>2.2000000000000002</v>
      </c>
      <c r="K84" s="703">
        <f t="shared" si="72"/>
        <v>7.56</v>
      </c>
      <c r="L84" s="1745">
        <v>0.153</v>
      </c>
      <c r="M84" s="994">
        <f>ROUND(+IF(L84&gt;_xlfn.XLOOKUP(AN84,RUC!M:M,RUC!K:K),L84*_xlfn.XLOOKUP(AN84,RUC!M:M,RUC!I:I),L84-_xlfn.XLOOKUP(AN84,RUC!M:M,RUC!J:J)),3)</f>
        <v>0.13400000000000001</v>
      </c>
      <c r="N84" s="1196">
        <f t="shared" si="86"/>
        <v>0.13400000000000001</v>
      </c>
      <c r="O84" s="645">
        <f t="shared" si="79"/>
        <v>0.13400000000000001</v>
      </c>
      <c r="P84" s="727">
        <v>80</v>
      </c>
      <c r="Q84" s="1476">
        <v>94.77</v>
      </c>
      <c r="R84" s="706">
        <v>4870.5</v>
      </c>
      <c r="S84" s="765">
        <f>IF((_xlfn.XLOOKUP(D84,RUC!$B$3:$B$119,RUC!$E$3:$E$119)+ROUNDDOWN(O84,1)*100)&lt;95,95,((_xlfn.XLOOKUP(D84,RUC!$B$3:$B$119,RUC!$E$3:$E$119)+ROUNDDOWN(O84,1)*100)))</f>
        <v>95</v>
      </c>
      <c r="U84" s="1146">
        <f>_xlfn.XLOOKUP(D84,RUC!$B$3:$B$123,RUC!$F$3:$F$123)</f>
        <v>120</v>
      </c>
      <c r="V84" s="715">
        <v>1.1023000000000001</v>
      </c>
      <c r="Y84">
        <f>_xlfn.XLOOKUP(D84,RUC!$B$3:$B$123,RUC!$G$3:$G$123)</f>
        <v>20</v>
      </c>
      <c r="Z84" s="1454">
        <v>35</v>
      </c>
      <c r="AA84" s="144">
        <f t="shared" si="80"/>
        <v>55</v>
      </c>
      <c r="AB84" s="145">
        <f t="shared" si="81"/>
        <v>396.00524328</v>
      </c>
      <c r="AC84" s="145">
        <f>+(S84-T84)*V84-'data 1'!$F$4</f>
        <v>24.718500000000006</v>
      </c>
      <c r="AD84" s="145">
        <f t="shared" si="82"/>
        <v>118.33441168531495</v>
      </c>
      <c r="AE84" s="145">
        <f t="shared" si="83"/>
        <v>-9.3734999999999999</v>
      </c>
      <c r="AF84" s="145">
        <f t="shared" si="84"/>
        <v>94.289560499744937</v>
      </c>
      <c r="AG84" s="772">
        <f t="shared" si="87"/>
        <v>244.9689721850599</v>
      </c>
      <c r="AH84" s="1253">
        <f t="shared" si="74"/>
        <v>37.582999999999998</v>
      </c>
      <c r="AI84" s="1253">
        <f t="shared" si="75"/>
        <v>39.656999999999996</v>
      </c>
      <c r="AJ84" s="156">
        <f t="shared" si="76"/>
        <v>23.894795141684998</v>
      </c>
      <c r="AK84" s="156">
        <f t="shared" si="77"/>
        <v>27.785975608137601</v>
      </c>
      <c r="AM84" s="716">
        <f t="shared" si="61"/>
        <v>2993.7996391967999</v>
      </c>
      <c r="AN84" s="716" t="str">
        <f>_xlfn.XLOOKUP(D84,RUC!$B$3:$B$578,RUC!$M$3:$M$578)</f>
        <v>Ronald Miranda</v>
      </c>
      <c r="AO84" s="1167" t="s">
        <v>2280</v>
      </c>
      <c r="AP84" s="1843">
        <v>6403</v>
      </c>
      <c r="AQ84" s="1082" t="s">
        <v>5400</v>
      </c>
    </row>
    <row r="85" spans="1:44" ht="15" customHeight="1">
      <c r="A85" s="747" t="s">
        <v>5373</v>
      </c>
      <c r="B85" s="1447">
        <v>46135</v>
      </c>
      <c r="C85" s="1447">
        <v>46130</v>
      </c>
      <c r="D85" t="s">
        <v>93</v>
      </c>
      <c r="E85" s="762">
        <f>_xlfn.XLOOKUP(D85,RUC!$B$3:$B$123,RUC!$D$3:$D$123)</f>
        <v>20169040231</v>
      </c>
      <c r="G85" s="1082">
        <v>38</v>
      </c>
      <c r="H85" s="762" t="s">
        <v>69</v>
      </c>
      <c r="I85" s="703">
        <v>3.69</v>
      </c>
      <c r="J85" s="596">
        <v>4.25</v>
      </c>
      <c r="K85" s="703">
        <f t="shared" si="72"/>
        <v>3.5329999999999999</v>
      </c>
      <c r="L85" s="1745">
        <v>0.248</v>
      </c>
      <c r="M85" s="994">
        <f>ROUND(+IF(L85&gt;_xlfn.XLOOKUP(AN85,RUC!M:M,RUC!K:K),L85*_xlfn.XLOOKUP(AN85,RUC!M:M,RUC!I:I),L85-_xlfn.XLOOKUP(AN85,RUC!M:M,RUC!J:J)),3)</f>
        <v>0.22900000000000001</v>
      </c>
      <c r="N85" s="1196">
        <f t="shared" si="86"/>
        <v>0.22900000000000001</v>
      </c>
      <c r="O85" s="645">
        <f t="shared" si="79"/>
        <v>0.22900000000000001</v>
      </c>
      <c r="P85" s="727">
        <v>90</v>
      </c>
      <c r="Q85" s="1476">
        <v>98.79</v>
      </c>
      <c r="R85" s="706">
        <v>4870.5</v>
      </c>
      <c r="S85" s="765">
        <f>IF((_xlfn.XLOOKUP(D85,RUC!$B$3:$B$119,RUC!$E$3:$E$119)+ROUNDDOWN(O85,1)*100)&lt;95,95,((_xlfn.XLOOKUP(D85,RUC!$B$3:$B$119,RUC!$E$3:$E$119)+ROUNDDOWN(O85,1)*100)))</f>
        <v>105</v>
      </c>
      <c r="U85" s="1146">
        <f>_xlfn.XLOOKUP(D85,RUC!$B$3:$B$123,RUC!$F$3:$F$123)</f>
        <v>120</v>
      </c>
      <c r="V85" s="715">
        <v>1.1023000000000001</v>
      </c>
      <c r="Y85">
        <f>_xlfn.XLOOKUP(D85,RUC!$B$3:$B$123,RUC!$G$3:$G$123)</f>
        <v>20</v>
      </c>
      <c r="Z85" s="1454">
        <v>35</v>
      </c>
      <c r="AA85" s="144">
        <f t="shared" si="80"/>
        <v>55</v>
      </c>
      <c r="AB85" s="145">
        <f t="shared" si="81"/>
        <v>902.869734515</v>
      </c>
      <c r="AC85" s="145">
        <f>+(S85-T85)*V85-'data 1'!$F$4</f>
        <v>35.741500000000002</v>
      </c>
      <c r="AD85" s="145">
        <f t="shared" si="82"/>
        <v>114.15099088908009</v>
      </c>
      <c r="AE85" s="145">
        <f t="shared" si="83"/>
        <v>-9.3734999999999999</v>
      </c>
      <c r="AF85" s="145">
        <f t="shared" si="84"/>
        <v>98.289180983114946</v>
      </c>
      <c r="AG85" s="772">
        <f t="shared" si="87"/>
        <v>255.80817187219503</v>
      </c>
      <c r="AH85" s="1253">
        <f t="shared" si="74"/>
        <v>29.677</v>
      </c>
      <c r="AI85" s="1253">
        <f t="shared" si="75"/>
        <v>30.04</v>
      </c>
      <c r="AJ85" s="156">
        <f t="shared" si="76"/>
        <v>40.374361414920003</v>
      </c>
      <c r="AK85" s="156">
        <f t="shared" si="77"/>
        <v>24.964949879611968</v>
      </c>
      <c r="AM85" s="716">
        <f t="shared" si="61"/>
        <v>3189.8387720414948</v>
      </c>
      <c r="AN85" s="716" t="str">
        <f>_xlfn.XLOOKUP(D85,RUC!$B$3:$B$578,RUC!$M$3:$M$578)</f>
        <v>Ronald Miranda</v>
      </c>
      <c r="AO85" s="1167" t="s">
        <v>2280</v>
      </c>
      <c r="AP85" s="1843">
        <v>6403</v>
      </c>
      <c r="AQ85" s="1082" t="s">
        <v>5400</v>
      </c>
    </row>
    <row r="86" spans="1:44" ht="15" customHeight="1">
      <c r="A86" s="747" t="s">
        <v>5374</v>
      </c>
      <c r="B86" s="1447">
        <v>46135</v>
      </c>
      <c r="C86" s="1447">
        <v>46130</v>
      </c>
      <c r="D86" t="s">
        <v>93</v>
      </c>
      <c r="E86" s="762">
        <f>_xlfn.XLOOKUP(D86,RUC!$B$3:$B$123,RUC!$D$3:$D$123)</f>
        <v>20169040231</v>
      </c>
      <c r="G86" s="1082">
        <v>23</v>
      </c>
      <c r="H86" s="762" t="s">
        <v>108</v>
      </c>
      <c r="I86" s="703">
        <v>2.06</v>
      </c>
      <c r="J86" s="596">
        <v>25.7</v>
      </c>
      <c r="K86" s="703">
        <f t="shared" si="72"/>
        <v>1.5309999999999999</v>
      </c>
      <c r="L86" s="1745">
        <v>1.052</v>
      </c>
      <c r="M86" s="994">
        <f>ROUND(+IF(L86&gt;_xlfn.XLOOKUP(AN86,RUC!M:M,RUC!K:K),L86*_xlfn.XLOOKUP(AN86,RUC!M:M,RUC!I:I),L86-_xlfn.XLOOKUP(AN86,RUC!M:M,RUC!J:J)),3)</f>
        <v>0.98899999999999999</v>
      </c>
      <c r="N86" s="1196">
        <f t="shared" si="86"/>
        <v>0.98899999999999999</v>
      </c>
      <c r="O86" s="645">
        <f t="shared" si="79"/>
        <v>0.98899999999999999</v>
      </c>
      <c r="P86" s="727">
        <v>90</v>
      </c>
      <c r="Q86" s="1476">
        <v>97.81</v>
      </c>
      <c r="R86" s="706">
        <v>4870.5</v>
      </c>
      <c r="S86" s="765">
        <f>IF((_xlfn.XLOOKUP(D86,RUC!$B$3:$B$119,RUC!$E$3:$E$119)+ROUNDDOWN(O86,1)*100)&lt;95,95,((_xlfn.XLOOKUP(D86,RUC!$B$3:$B$119,RUC!$E$3:$E$119)+ROUNDDOWN(O86,1)*100)))</f>
        <v>175</v>
      </c>
      <c r="U86" s="1146">
        <f>_xlfn.XLOOKUP(D86,RUC!$B$3:$B$123,RUC!$F$3:$F$123)</f>
        <v>120</v>
      </c>
      <c r="V86" s="715">
        <v>1.1023000000000001</v>
      </c>
      <c r="Y86">
        <f>_xlfn.XLOOKUP(D86,RUC!$B$3:$B$123,RUC!$G$3:$G$123)</f>
        <v>20</v>
      </c>
      <c r="Z86" s="1454">
        <v>40</v>
      </c>
      <c r="AA86" s="144">
        <f t="shared" si="80"/>
        <v>60</v>
      </c>
      <c r="AB86" s="145">
        <f t="shared" si="81"/>
        <v>4401.9469211149999</v>
      </c>
      <c r="AC86" s="145">
        <f>+(S86-T86)*V86-'data 1'!$F$4</f>
        <v>112.9025</v>
      </c>
      <c r="AD86" s="145">
        <f t="shared" si="82"/>
        <v>430.23516425538014</v>
      </c>
      <c r="AE86" s="145">
        <f t="shared" si="83"/>
        <v>-3.8620000000000019</v>
      </c>
      <c r="AF86" s="145">
        <f t="shared" si="84"/>
        <v>322.67323130584532</v>
      </c>
      <c r="AG86" s="772">
        <f t="shared" si="87"/>
        <v>878.94889556122553</v>
      </c>
      <c r="AH86" s="1253">
        <f t="shared" si="74"/>
        <v>54.011000000000003</v>
      </c>
      <c r="AI86" s="1253">
        <f t="shared" si="75"/>
        <v>55.22</v>
      </c>
      <c r="AJ86" s="156">
        <f t="shared" si="76"/>
        <v>169.56647764862001</v>
      </c>
      <c r="AK86" s="156">
        <f t="shared" si="77"/>
        <v>46.722175995959951</v>
      </c>
      <c r="AM86" s="716">
        <f t="shared" si="61"/>
        <v>6739.3807362270645</v>
      </c>
      <c r="AN86" s="716" t="str">
        <f>_xlfn.XLOOKUP(D86,RUC!$B$3:$B$578,RUC!$M$3:$M$578)</f>
        <v>Ronald Miranda</v>
      </c>
      <c r="AO86" s="1167" t="s">
        <v>2277</v>
      </c>
      <c r="AP86" s="1843">
        <v>6403</v>
      </c>
      <c r="AQ86" s="1082" t="s">
        <v>5400</v>
      </c>
    </row>
    <row r="87" spans="1:44" ht="15" customHeight="1">
      <c r="A87" s="747" t="s">
        <v>5375</v>
      </c>
      <c r="B87" s="1447">
        <v>46135</v>
      </c>
      <c r="C87" s="1447">
        <v>46130</v>
      </c>
      <c r="D87" t="s">
        <v>93</v>
      </c>
      <c r="E87" s="762">
        <f>_xlfn.XLOOKUP(D87,RUC!$B$3:$B$123,RUC!$D$3:$D$123)</f>
        <v>20169040231</v>
      </c>
      <c r="G87" s="1082">
        <v>18</v>
      </c>
      <c r="H87" s="762" t="s">
        <v>108</v>
      </c>
      <c r="I87" s="703">
        <v>1.75</v>
      </c>
      <c r="J87" s="596">
        <v>22.3</v>
      </c>
      <c r="K87" s="703">
        <f t="shared" si="72"/>
        <v>1.36</v>
      </c>
      <c r="L87" s="1745">
        <v>0.36699999999999999</v>
      </c>
      <c r="M87" s="994">
        <f>ROUND(+IF(L87&gt;_xlfn.XLOOKUP(AN87,RUC!M:M,RUC!K:K),L87*_xlfn.XLOOKUP(AN87,RUC!M:M,RUC!I:I),L87-_xlfn.XLOOKUP(AN87,RUC!M:M,RUC!J:J)),3)</f>
        <v>0.34499999999999997</v>
      </c>
      <c r="N87" s="1196">
        <f t="shared" si="86"/>
        <v>0.34499999999999997</v>
      </c>
      <c r="O87" s="645">
        <f t="shared" si="79"/>
        <v>0.34499999999999997</v>
      </c>
      <c r="P87" s="727">
        <v>88</v>
      </c>
      <c r="Q87" s="1476">
        <v>89.37</v>
      </c>
      <c r="R87" s="706">
        <v>4870.5</v>
      </c>
      <c r="S87" s="765">
        <f>IF((_xlfn.XLOOKUP(D87,RUC!$B$3:$B$119,RUC!$E$3:$E$119)+ROUNDDOWN(O87,1)*100)&lt;95,95,((_xlfn.XLOOKUP(D87,RUC!$B$3:$B$119,RUC!$E$3:$E$119)+ROUNDDOWN(O87,1)*100)))</f>
        <v>115</v>
      </c>
      <c r="U87" s="1146">
        <f>_xlfn.XLOOKUP(D87,RUC!$B$3:$B$123,RUC!$F$3:$F$123)</f>
        <v>120</v>
      </c>
      <c r="V87" s="715">
        <v>1.1023000000000001</v>
      </c>
      <c r="Y87">
        <f>_xlfn.XLOOKUP(D87,RUC!$B$3:$B$123,RUC!$G$3:$G$123)</f>
        <v>20</v>
      </c>
      <c r="Z87" s="1454">
        <v>40</v>
      </c>
      <c r="AA87" s="144">
        <f t="shared" si="80"/>
        <v>60</v>
      </c>
      <c r="AB87" s="145">
        <f t="shared" si="81"/>
        <v>1396.89165914</v>
      </c>
      <c r="AC87" s="145">
        <f>+(S87-T87)*V87-'data 1'!$F$4</f>
        <v>46.764500000000012</v>
      </c>
      <c r="AD87" s="145">
        <f t="shared" si="82"/>
        <v>26.328478434585087</v>
      </c>
      <c r="AE87" s="145">
        <f t="shared" si="83"/>
        <v>-3.8620000000000019</v>
      </c>
      <c r="AF87" s="145">
        <f t="shared" si="84"/>
        <v>102.9564521756101</v>
      </c>
      <c r="AG87" s="772">
        <f t="shared" si="87"/>
        <v>189.18743061019518</v>
      </c>
      <c r="AH87" s="1253">
        <f t="shared" si="74"/>
        <v>15.292999999999999</v>
      </c>
      <c r="AI87" s="1253">
        <f t="shared" si="75"/>
        <v>17.113</v>
      </c>
      <c r="AJ87" s="156">
        <f t="shared" si="76"/>
        <v>54.050388794415014</v>
      </c>
      <c r="AK87" s="156">
        <f t="shared" si="77"/>
        <v>14.156299584292801</v>
      </c>
      <c r="AM87" s="716">
        <f t="shared" si="61"/>
        <v>1899.7726564304</v>
      </c>
      <c r="AN87" s="716" t="str">
        <f>_xlfn.XLOOKUP(D87,RUC!$B$3:$B$578,RUC!$M$3:$M$578)</f>
        <v>Ronald Miranda</v>
      </c>
      <c r="AO87" s="1167" t="s">
        <v>2277</v>
      </c>
      <c r="AP87" s="1843">
        <v>6403</v>
      </c>
      <c r="AQ87" s="1082" t="s">
        <v>5400</v>
      </c>
    </row>
    <row r="88" spans="1:44" ht="15" customHeight="1">
      <c r="A88" s="747" t="s">
        <v>5376</v>
      </c>
      <c r="B88" s="1447">
        <v>46135</v>
      </c>
      <c r="C88" s="1447">
        <v>46130</v>
      </c>
      <c r="D88" t="s">
        <v>93</v>
      </c>
      <c r="E88" s="762">
        <f>_xlfn.XLOOKUP(D88,RUC!$B$3:$B$123,RUC!$D$3:$D$123)</f>
        <v>20169040231</v>
      </c>
      <c r="G88" s="1082">
        <v>23</v>
      </c>
      <c r="H88" s="762" t="s">
        <v>69</v>
      </c>
      <c r="I88" s="703">
        <v>2.16</v>
      </c>
      <c r="J88" s="596">
        <v>2.5</v>
      </c>
      <c r="K88" s="703">
        <f t="shared" si="72"/>
        <v>2.1059999999999999</v>
      </c>
      <c r="L88" s="1745">
        <v>0.28499999999999998</v>
      </c>
      <c r="M88" s="994">
        <f>ROUND(+IF(L88&gt;_xlfn.XLOOKUP(AN88,RUC!M:M,RUC!K:K),L88*_xlfn.XLOOKUP(AN88,RUC!M:M,RUC!I:I),L88-_xlfn.XLOOKUP(AN88,RUC!M:M,RUC!J:J)),3)</f>
        <v>0.26600000000000001</v>
      </c>
      <c r="N88" s="1196">
        <f t="shared" si="86"/>
        <v>0.26600000000000001</v>
      </c>
      <c r="O88" s="645">
        <f t="shared" si="79"/>
        <v>0.26600000000000001</v>
      </c>
      <c r="P88" s="727">
        <v>90</v>
      </c>
      <c r="Q88" s="1476">
        <v>97.19</v>
      </c>
      <c r="R88" s="706">
        <v>4870.5</v>
      </c>
      <c r="S88" s="765">
        <f>IF((_xlfn.XLOOKUP(D88,RUC!$B$3:$B$119,RUC!$E$3:$E$119)+ROUNDDOWN(O88,1)*100)&lt;95,95,((_xlfn.XLOOKUP(D88,RUC!$B$3:$B$119,RUC!$E$3:$E$119)+ROUNDDOWN(O88,1)*100)))</f>
        <v>105</v>
      </c>
      <c r="U88" s="1146">
        <f>_xlfn.XLOOKUP(D88,RUC!$B$3:$B$123,RUC!$F$3:$F$123)</f>
        <v>120</v>
      </c>
      <c r="V88" s="715">
        <v>1.1023000000000001</v>
      </c>
      <c r="Y88">
        <f>_xlfn.XLOOKUP(D88,RUC!$B$3:$B$123,RUC!$G$3:$G$123)</f>
        <v>20</v>
      </c>
      <c r="Z88" s="1454">
        <v>35</v>
      </c>
      <c r="AA88" s="144">
        <f t="shared" si="80"/>
        <v>55</v>
      </c>
      <c r="AB88" s="145">
        <f t="shared" si="81"/>
        <v>1077.2443903100002</v>
      </c>
      <c r="AC88" s="145">
        <f>+(S88-T88)*V88-'data 1'!$F$4</f>
        <v>35.741500000000002</v>
      </c>
      <c r="AD88" s="145">
        <f t="shared" si="82"/>
        <v>107.30325102772497</v>
      </c>
      <c r="AE88" s="145">
        <f t="shared" si="83"/>
        <v>-9.3734999999999999</v>
      </c>
      <c r="AF88" s="145">
        <f t="shared" si="84"/>
        <v>96.697292233514816</v>
      </c>
      <c r="AG88" s="772">
        <f t="shared" si="87"/>
        <v>247.36854326123978</v>
      </c>
      <c r="AH88" s="1253">
        <f t="shared" si="74"/>
        <v>20</v>
      </c>
      <c r="AI88" s="1253">
        <f t="shared" si="75"/>
        <v>20.577999999999999</v>
      </c>
      <c r="AJ88" s="156">
        <f t="shared" si="76"/>
        <v>45.646495702274997</v>
      </c>
      <c r="AK88" s="156">
        <f t="shared" si="77"/>
        <v>17.285883519652021</v>
      </c>
      <c r="AM88" s="716">
        <f t="shared" si="61"/>
        <v>2268.6766859928603</v>
      </c>
      <c r="AN88" s="716" t="str">
        <f>_xlfn.XLOOKUP(D88,RUC!$B$3:$B$578,RUC!$M$3:$M$578)</f>
        <v>Ronald Miranda</v>
      </c>
      <c r="AO88" s="1167" t="s">
        <v>2280</v>
      </c>
      <c r="AP88" s="1843">
        <v>6403</v>
      </c>
      <c r="AQ88" s="1082" t="s">
        <v>5400</v>
      </c>
    </row>
    <row r="89" spans="1:44" ht="15" customHeight="1">
      <c r="A89" s="747" t="s">
        <v>5377</v>
      </c>
      <c r="B89" s="1447">
        <v>46135</v>
      </c>
      <c r="C89" s="1447">
        <v>46130</v>
      </c>
      <c r="D89" t="s">
        <v>93</v>
      </c>
      <c r="E89" s="762">
        <f>_xlfn.XLOOKUP(D89,RUC!$B$3:$B$123,RUC!$D$3:$D$123)</f>
        <v>20169040231</v>
      </c>
      <c r="G89" s="1082">
        <v>32</v>
      </c>
      <c r="H89" s="762" t="s">
        <v>69</v>
      </c>
      <c r="I89" s="703">
        <v>2.84</v>
      </c>
      <c r="J89" s="596">
        <v>3.65</v>
      </c>
      <c r="K89" s="703">
        <f t="shared" si="72"/>
        <v>2.7360000000000002</v>
      </c>
      <c r="L89" s="1745">
        <v>0.28699999999999998</v>
      </c>
      <c r="M89" s="994">
        <f>ROUND(+IF(L89&gt;_xlfn.XLOOKUP(AN89,RUC!M:M,RUC!K:K),L89*_xlfn.XLOOKUP(AN89,RUC!M:M,RUC!I:I),L89-_xlfn.XLOOKUP(AN89,RUC!M:M,RUC!J:J)),3)</f>
        <v>0.26800000000000002</v>
      </c>
      <c r="N89" s="1444">
        <v>0.31</v>
      </c>
      <c r="O89" s="645">
        <f t="shared" si="79"/>
        <v>0.28899999999999998</v>
      </c>
      <c r="P89" s="727">
        <v>90</v>
      </c>
      <c r="Q89" s="1476">
        <v>96.17</v>
      </c>
      <c r="R89" s="706">
        <v>4870.5</v>
      </c>
      <c r="S89" s="765">
        <f>IF((_xlfn.XLOOKUP(D89,RUC!$B$3:$B$119,RUC!$E$3:$E$119)+ROUNDDOWN(O89,1)*100)&lt;95,95,((_xlfn.XLOOKUP(D89,RUC!$B$3:$B$119,RUC!$E$3:$E$119)+ROUNDDOWN(O89,1)*100)))</f>
        <v>105</v>
      </c>
      <c r="U89" s="1146">
        <f>_xlfn.XLOOKUP(D89,RUC!$B$3:$B$123,RUC!$F$3:$F$123)</f>
        <v>120</v>
      </c>
      <c r="V89" s="715">
        <v>1.1023000000000001</v>
      </c>
      <c r="Y89">
        <f>_xlfn.XLOOKUP(D89,RUC!$B$3:$B$123,RUC!$G$3:$G$123)</f>
        <v>20</v>
      </c>
      <c r="Z89" s="1454">
        <v>35</v>
      </c>
      <c r="AA89" s="144">
        <f t="shared" si="80"/>
        <v>55</v>
      </c>
      <c r="AB89" s="145">
        <f t="shared" si="81"/>
        <v>1185.639446615</v>
      </c>
      <c r="AC89" s="145">
        <f>+(S89-T89)*V89-'data 1'!$F$4</f>
        <v>35.741500000000002</v>
      </c>
      <c r="AD89" s="145">
        <f t="shared" si="82"/>
        <v>92.726996016585019</v>
      </c>
      <c r="AE89" s="145">
        <f t="shared" si="83"/>
        <v>-9.3734999999999999</v>
      </c>
      <c r="AF89" s="145">
        <f t="shared" si="84"/>
        <v>-10.07183822691001</v>
      </c>
      <c r="AG89" s="772">
        <f t="shared" si="87"/>
        <v>126.023157789675</v>
      </c>
      <c r="AH89" s="1253">
        <f t="shared" si="74"/>
        <v>25.890999999999998</v>
      </c>
      <c r="AI89" s="1253">
        <f t="shared" si="75"/>
        <v>26.922000000000001</v>
      </c>
      <c r="AJ89" s="156">
        <f t="shared" si="76"/>
        <v>45.48440447141499</v>
      </c>
      <c r="AK89" s="156">
        <f t="shared" si="77"/>
        <v>24.398634125418479</v>
      </c>
      <c r="AM89" s="716">
        <f t="shared" si="61"/>
        <v>3243.9095259386404</v>
      </c>
      <c r="AN89" s="716" t="str">
        <f>_xlfn.XLOOKUP(D89,RUC!$B$3:$B$578,RUC!$M$3:$M$578)</f>
        <v>Ronald Miranda</v>
      </c>
      <c r="AO89" s="1167" t="s">
        <v>2280</v>
      </c>
      <c r="AP89" s="1843">
        <v>6403</v>
      </c>
      <c r="AQ89" s="1082" t="s">
        <v>5400</v>
      </c>
    </row>
    <row r="90" spans="1:44" ht="15" customHeight="1">
      <c r="A90" s="747" t="s">
        <v>5378</v>
      </c>
      <c r="B90" s="1447">
        <v>46135</v>
      </c>
      <c r="C90" s="1447">
        <v>46130</v>
      </c>
      <c r="D90" t="s">
        <v>93</v>
      </c>
      <c r="E90" s="762">
        <f>_xlfn.XLOOKUP(D90,RUC!$B$3:$B$123,RUC!$D$3:$D$123)</f>
        <v>20169040231</v>
      </c>
      <c r="G90" s="1082">
        <v>25</v>
      </c>
      <c r="H90" s="762" t="s">
        <v>69</v>
      </c>
      <c r="I90" s="703">
        <v>2.35</v>
      </c>
      <c r="J90" s="596">
        <v>2.65</v>
      </c>
      <c r="K90" s="703">
        <f t="shared" si="72"/>
        <v>2.2879999999999998</v>
      </c>
      <c r="L90" s="1745">
        <v>0.57599999999999996</v>
      </c>
      <c r="M90" s="994">
        <f>ROUND(+IF(L90&gt;_xlfn.XLOOKUP(AN90,RUC!M:M,RUC!K:K),L90*_xlfn.XLOOKUP(AN90,RUC!M:M,RUC!I:I),L90-_xlfn.XLOOKUP(AN90,RUC!M:M,RUC!J:J)),3)</f>
        <v>0.54100000000000004</v>
      </c>
      <c r="N90" s="1196">
        <f t="shared" si="86"/>
        <v>0.54100000000000004</v>
      </c>
      <c r="O90" s="1546">
        <v>0.58699999999999997</v>
      </c>
      <c r="P90" s="727">
        <v>90</v>
      </c>
      <c r="Q90" s="1476">
        <v>97.92</v>
      </c>
      <c r="R90" s="706">
        <v>4870.5</v>
      </c>
      <c r="S90" s="765">
        <f>IF((_xlfn.XLOOKUP(D90,RUC!$B$3:$B$119,RUC!$E$3:$E$119)+ROUNDDOWN(O90,1)*100)&lt;95,95,((_xlfn.XLOOKUP(D90,RUC!$B$3:$B$119,RUC!$E$3:$E$119)+ROUNDDOWN(O90,1)*100)))</f>
        <v>135</v>
      </c>
      <c r="U90" s="1146">
        <f>_xlfn.XLOOKUP(D90,RUC!$B$3:$B$123,RUC!$F$3:$F$123)</f>
        <v>120</v>
      </c>
      <c r="V90" s="715">
        <v>1.1023000000000001</v>
      </c>
      <c r="Y90">
        <f>_xlfn.XLOOKUP(D90,RUC!$B$3:$B$123,RUC!$G$3:$G$123)</f>
        <v>20</v>
      </c>
      <c r="Z90" s="1454">
        <v>35</v>
      </c>
      <c r="AA90" s="144">
        <f t="shared" si="80"/>
        <v>55</v>
      </c>
      <c r="AB90" s="145">
        <f t="shared" si="81"/>
        <v>2556.9933500449997</v>
      </c>
      <c r="AC90" s="145">
        <f>+(S90-T90)*V90-'data 1'!$F$4</f>
        <v>68.810500000000019</v>
      </c>
      <c r="AD90" s="145">
        <f t="shared" si="82"/>
        <v>238.88385278208003</v>
      </c>
      <c r="AE90" s="145">
        <f t="shared" si="83"/>
        <v>-9.3734999999999999</v>
      </c>
      <c r="AF90" s="145">
        <f t="shared" si="84"/>
        <v>-56.403131906880063</v>
      </c>
      <c r="AG90" s="772">
        <f t="shared" si="87"/>
        <v>258.91772087520002</v>
      </c>
      <c r="AH90" s="1253">
        <f t="shared" si="74"/>
        <v>44.244</v>
      </c>
      <c r="AI90" s="1253">
        <f t="shared" si="75"/>
        <v>45.183999999999997</v>
      </c>
      <c r="AJ90" s="156">
        <f t="shared" si="76"/>
        <v>92.946895441920006</v>
      </c>
      <c r="AK90" s="156">
        <f t="shared" si="77"/>
        <v>41.442476519592709</v>
      </c>
      <c r="AM90" s="716">
        <f t="shared" si="61"/>
        <v>5850.4007849029585</v>
      </c>
      <c r="AN90" s="716" t="str">
        <f>_xlfn.XLOOKUP(D90,RUC!$B$3:$B$578,RUC!$M$3:$M$578)</f>
        <v>Ronald Miranda</v>
      </c>
      <c r="AO90" s="1167" t="s">
        <v>2280</v>
      </c>
      <c r="AP90" s="1843">
        <v>6403</v>
      </c>
      <c r="AQ90" s="1082" t="s">
        <v>5400</v>
      </c>
      <c r="AR90" s="1851" t="s">
        <v>5402</v>
      </c>
    </row>
    <row r="91" spans="1:44" ht="15" customHeight="1">
      <c r="A91" s="747" t="s">
        <v>5379</v>
      </c>
      <c r="B91" s="1447">
        <v>46136</v>
      </c>
      <c r="C91" s="1447">
        <v>46130</v>
      </c>
      <c r="D91" t="s">
        <v>93</v>
      </c>
      <c r="E91" s="762">
        <f>_xlfn.XLOOKUP(D91,RUC!$B$3:$B$123,RUC!$D$3:$D$123)</f>
        <v>20169040231</v>
      </c>
      <c r="G91" s="1082">
        <v>36</v>
      </c>
      <c r="H91" s="762" t="s">
        <v>69</v>
      </c>
      <c r="I91" s="703">
        <v>3.17</v>
      </c>
      <c r="J91" s="596">
        <v>2.2000000000000002</v>
      </c>
      <c r="K91" s="703">
        <f t="shared" si="72"/>
        <v>3.1</v>
      </c>
      <c r="L91" s="1745">
        <v>0.11700000000000001</v>
      </c>
      <c r="M91" s="994">
        <v>0.1</v>
      </c>
      <c r="N91" s="1196">
        <f t="shared" si="86"/>
        <v>0.1</v>
      </c>
      <c r="O91" s="1147">
        <f t="shared" si="79"/>
        <v>0.1</v>
      </c>
      <c r="P91" s="727">
        <v>80</v>
      </c>
      <c r="Q91" s="1476">
        <v>98.25</v>
      </c>
      <c r="R91" s="706">
        <v>4870.5</v>
      </c>
      <c r="S91" s="765">
        <f>IF((_xlfn.XLOOKUP(D91,RUC!$B$3:$B$119,RUC!$E$3:$E$119)+ROUNDDOWN(O91,1)*100)&lt;95,95,((_xlfn.XLOOKUP(D91,RUC!$B$3:$B$119,RUC!$E$3:$E$119)+ROUNDDOWN(O91,1)*100)))</f>
        <v>95</v>
      </c>
      <c r="U91" s="1146">
        <f>_xlfn.XLOOKUP(D91,RUC!$B$3:$B$123,RUC!$F$3:$F$123)</f>
        <v>120</v>
      </c>
      <c r="V91" s="715">
        <v>1.1023000000000001</v>
      </c>
      <c r="Y91">
        <f>_xlfn.XLOOKUP(D91,RUC!$B$3:$B$123,RUC!$G$3:$G$123)</f>
        <v>20</v>
      </c>
      <c r="Z91" s="1454">
        <v>35</v>
      </c>
      <c r="AA91" s="144">
        <f t="shared" si="80"/>
        <v>55</v>
      </c>
      <c r="AB91" s="145">
        <f t="shared" si="81"/>
        <v>253.57309200000003</v>
      </c>
      <c r="AC91" s="145">
        <f>+(S91-T91)*V91-'data 1'!$F$4</f>
        <v>24.718500000000006</v>
      </c>
      <c r="AD91" s="145">
        <f t="shared" si="82"/>
        <v>111.81185699287499</v>
      </c>
      <c r="AE91" s="145">
        <f t="shared" si="83"/>
        <v>-9.3734999999999999</v>
      </c>
      <c r="AF91" s="145">
        <f t="shared" si="84"/>
        <v>87.462242895375027</v>
      </c>
      <c r="AG91" s="772">
        <f t="shared" si="87"/>
        <v>231.61909988825005</v>
      </c>
      <c r="AH91" s="1253">
        <f t="shared" si="74"/>
        <v>12.218</v>
      </c>
      <c r="AI91" s="1253">
        <f t="shared" si="75"/>
        <v>12.435</v>
      </c>
      <c r="AJ91" s="156">
        <f t="shared" si="76"/>
        <v>18.943465042125002</v>
      </c>
      <c r="AK91" s="156">
        <f t="shared" si="77"/>
        <v>8.5027762364000008</v>
      </c>
      <c r="AM91" s="716">
        <f t="shared" si="61"/>
        <v>786.07658520000007</v>
      </c>
      <c r="AN91" s="716" t="str">
        <f>_xlfn.XLOOKUP(D91,RUC!$B$3:$B$578,RUC!$M$3:$M$578)</f>
        <v>Ronald Miranda</v>
      </c>
      <c r="AO91" s="1167" t="s">
        <v>2280</v>
      </c>
      <c r="AP91" s="1843">
        <v>6403</v>
      </c>
      <c r="AQ91" s="1082" t="s">
        <v>5400</v>
      </c>
      <c r="AR91" t="s">
        <v>5403</v>
      </c>
    </row>
    <row r="92" spans="1:44" ht="15" customHeight="1">
      <c r="A92" s="747" t="s">
        <v>5388</v>
      </c>
      <c r="B92" s="1447">
        <v>46137</v>
      </c>
      <c r="C92" s="1447">
        <v>46132</v>
      </c>
      <c r="D92" t="s">
        <v>3316</v>
      </c>
      <c r="E92" s="762">
        <f>_xlfn.XLOOKUP(D92,RUC!$B$3:$B$123,RUC!$D$3:$D$123)</f>
        <v>20613935151</v>
      </c>
      <c r="G92" s="1082">
        <v>20</v>
      </c>
      <c r="H92" s="762" t="s">
        <v>69</v>
      </c>
      <c r="I92" s="703">
        <v>1.54</v>
      </c>
      <c r="J92" s="596">
        <v>2.4</v>
      </c>
      <c r="K92" s="703">
        <f t="shared" si="72"/>
        <v>1.5029999999999999</v>
      </c>
      <c r="L92" s="1745">
        <v>0.26500000000000001</v>
      </c>
      <c r="M92" s="994">
        <f>ROUND(+IF(L92&gt;_xlfn.XLOOKUP(AN92,RUC!M:M,RUC!K:K),L92*_xlfn.XLOOKUP(AN92,RUC!M:M,RUC!I:I),L92-_xlfn.XLOOKUP(AN92,RUC!M:M,RUC!J:J)),3)</f>
        <v>0.246</v>
      </c>
      <c r="N92" s="1196">
        <f t="shared" si="86"/>
        <v>0.246</v>
      </c>
      <c r="O92" s="645">
        <f t="shared" si="79"/>
        <v>0.246</v>
      </c>
      <c r="P92" s="727">
        <v>90</v>
      </c>
      <c r="Q92" s="1476">
        <v>97.36</v>
      </c>
      <c r="R92" s="706">
        <v>4813.55</v>
      </c>
      <c r="S92" s="765">
        <f>IF((_xlfn.XLOOKUP(D92,RUC!$B$3:$B$119,RUC!$E$3:$E$119)+ROUNDDOWN(O92,1)*100)&lt;95,95,((_xlfn.XLOOKUP(D92,RUC!$B$3:$B$119,RUC!$E$3:$E$119)+ROUNDDOWN(O92,1)*100)))</f>
        <v>110</v>
      </c>
      <c r="U92" s="1146">
        <f>_xlfn.XLOOKUP(D92,RUC!$B$3:$B$123,RUC!$F$3:$F$123)</f>
        <v>120</v>
      </c>
      <c r="V92" s="715">
        <v>1.1023000000000001</v>
      </c>
      <c r="Y92">
        <f>_xlfn.XLOOKUP(D92,RUC!$B$3:$B$123,RUC!$G$3:$G$123)</f>
        <v>20</v>
      </c>
      <c r="Z92" s="143">
        <f>_xlfn.XLOOKUP(D92,RUC!$B$3:$B$123,RUC!$H$3:$H$123)</f>
        <v>30</v>
      </c>
      <c r="AA92" s="144">
        <f t="shared" si="80"/>
        <v>50</v>
      </c>
      <c r="AB92" s="145">
        <f t="shared" si="81"/>
        <v>969.08921653099992</v>
      </c>
      <c r="AC92" s="145">
        <f>+(S92-T92)*V92-'data 1'!$F$4</f>
        <v>41.253</v>
      </c>
      <c r="AD92" s="145">
        <f t="shared" si="82"/>
        <v>100.90784801816</v>
      </c>
      <c r="AE92" s="145">
        <f t="shared" si="83"/>
        <v>-14.884999999999998</v>
      </c>
      <c r="AF92" s="145">
        <f t="shared" si="84"/>
        <v>95.705175132236093</v>
      </c>
      <c r="AG92" s="772">
        <f t="shared" si="87"/>
        <v>239.98102315039608</v>
      </c>
      <c r="AH92" s="1253">
        <f t="shared" si="74"/>
        <v>13.295</v>
      </c>
      <c r="AI92" s="1253">
        <f t="shared" si="75"/>
        <v>13.656000000000001</v>
      </c>
      <c r="AJ92" s="156">
        <f t="shared" si="76"/>
        <v>58.713927709339949</v>
      </c>
      <c r="AK92" s="156">
        <f t="shared" si="77"/>
        <v>11.40894972614781</v>
      </c>
      <c r="AM92" s="716">
        <f t="shared" si="61"/>
        <v>1456.5410924460928</v>
      </c>
      <c r="AN92" s="716" t="str">
        <f>_xlfn.XLOOKUP(D92,RUC!$B$3:$B$578,RUC!$M$3:$M$578)</f>
        <v xml:space="preserve">Dante </v>
      </c>
      <c r="AO92" s="1167" t="s">
        <v>2279</v>
      </c>
      <c r="AP92" s="1843">
        <v>233</v>
      </c>
      <c r="AQ92" s="1082" t="s">
        <v>2454</v>
      </c>
    </row>
    <row r="93" spans="1:44" ht="15" customHeight="1">
      <c r="A93" s="747" t="s">
        <v>5389</v>
      </c>
      <c r="B93" s="1447">
        <v>46137</v>
      </c>
      <c r="C93" s="1447">
        <v>46132</v>
      </c>
      <c r="D93" t="s">
        <v>3316</v>
      </c>
      <c r="E93" s="762">
        <f>_xlfn.XLOOKUP(D93,RUC!$B$3:$B$123,RUC!$D$3:$D$123)</f>
        <v>20613935151</v>
      </c>
      <c r="G93" s="1082">
        <v>66</v>
      </c>
      <c r="H93" s="762" t="s">
        <v>69</v>
      </c>
      <c r="I93" s="703">
        <v>5.07</v>
      </c>
      <c r="J93" s="596">
        <v>2.65</v>
      </c>
      <c r="K93" s="703">
        <f t="shared" si="72"/>
        <v>4.9359999999999999</v>
      </c>
      <c r="L93" s="1745">
        <v>0.28000000000000003</v>
      </c>
      <c r="M93" s="994">
        <f>ROUND(+IF(L93&gt;_xlfn.XLOOKUP(AN93,RUC!M:M,RUC!K:K),L93*_xlfn.XLOOKUP(AN93,RUC!M:M,RUC!I:I),L93-_xlfn.XLOOKUP(AN93,RUC!M:M,RUC!J:J)),3)</f>
        <v>0.26100000000000001</v>
      </c>
      <c r="N93" s="1196">
        <f t="shared" si="86"/>
        <v>0.26100000000000001</v>
      </c>
      <c r="O93" s="645">
        <f t="shared" si="79"/>
        <v>0.26100000000000001</v>
      </c>
      <c r="P93" s="727">
        <v>90</v>
      </c>
      <c r="Q93" s="1476">
        <v>97.14</v>
      </c>
      <c r="R93" s="706">
        <v>4813.55</v>
      </c>
      <c r="S93" s="765">
        <f>IF((_xlfn.XLOOKUP(D93,RUC!$B$3:$B$119,RUC!$E$3:$E$119)+ROUNDDOWN(O93,1)*100)&lt;95,95,((_xlfn.XLOOKUP(D93,RUC!$B$3:$B$119,RUC!$E$3:$E$119)+ROUNDDOWN(O93,1)*100)))</f>
        <v>110</v>
      </c>
      <c r="U93" s="1146">
        <f>_xlfn.XLOOKUP(D93,RUC!$B$3:$B$123,RUC!$F$3:$F$123)</f>
        <v>120</v>
      </c>
      <c r="V93" s="715">
        <v>1.1023000000000001</v>
      </c>
      <c r="Y93">
        <f>_xlfn.XLOOKUP(D93,RUC!$B$3:$B$123,RUC!$G$3:$G$123)</f>
        <v>20</v>
      </c>
      <c r="Z93" s="143">
        <f>_xlfn.XLOOKUP(D93,RUC!$B$3:$B$123,RUC!$H$3:$H$123)</f>
        <v>30</v>
      </c>
      <c r="AA93" s="144">
        <f t="shared" si="80"/>
        <v>50</v>
      </c>
      <c r="AB93" s="145">
        <f t="shared" si="81"/>
        <v>1038.9341687585002</v>
      </c>
      <c r="AC93" s="145">
        <f>+(S93-T93)*V93-'data 1'!$F$4</f>
        <v>41.253</v>
      </c>
      <c r="AD93" s="145">
        <f t="shared" si="82"/>
        <v>103.43261369868003</v>
      </c>
      <c r="AE93" s="145">
        <f t="shared" si="83"/>
        <v>-14.884999999999998</v>
      </c>
      <c r="AF93" s="145">
        <f t="shared" si="84"/>
        <v>95.488914465339079</v>
      </c>
      <c r="AG93" s="772">
        <f t="shared" si="87"/>
        <v>242.28952816401909</v>
      </c>
      <c r="AH93" s="1253">
        <f t="shared" si="74"/>
        <v>46.03</v>
      </c>
      <c r="AI93" s="1253">
        <f t="shared" si="75"/>
        <v>47.384999999999998</v>
      </c>
      <c r="AJ93" s="156">
        <f t="shared" si="76"/>
        <v>61.89717456131995</v>
      </c>
      <c r="AK93" s="156">
        <f t="shared" si="77"/>
        <v>39.752755454936526</v>
      </c>
      <c r="AM93" s="716">
        <f t="shared" si="61"/>
        <v>5128.1790569919567</v>
      </c>
      <c r="AN93" s="716" t="str">
        <f>_xlfn.XLOOKUP(D93,RUC!$B$3:$B$578,RUC!$M$3:$M$578)</f>
        <v xml:space="preserve">Dante </v>
      </c>
      <c r="AO93" s="1167" t="s">
        <v>2279</v>
      </c>
      <c r="AP93" s="1843">
        <v>234</v>
      </c>
      <c r="AQ93" s="1082" t="s">
        <v>4445</v>
      </c>
    </row>
    <row r="94" spans="1:44" ht="15" customHeight="1">
      <c r="A94" s="747" t="s">
        <v>5390</v>
      </c>
      <c r="B94" s="1447">
        <v>46137</v>
      </c>
      <c r="C94" s="1447">
        <v>46133</v>
      </c>
      <c r="D94" t="s">
        <v>1967</v>
      </c>
      <c r="E94" s="762">
        <f>_xlfn.XLOOKUP(D94,RUC!$B$3:$B$123,RUC!$D$3:$D$123)</f>
        <v>20601769396</v>
      </c>
      <c r="G94" s="1082">
        <v>27</v>
      </c>
      <c r="H94" s="762" t="s">
        <v>2005</v>
      </c>
      <c r="I94" s="703">
        <v>2.25</v>
      </c>
      <c r="J94" s="596">
        <v>10.75</v>
      </c>
      <c r="K94" s="703">
        <f t="shared" si="72"/>
        <v>2.008</v>
      </c>
      <c r="L94" s="1745">
        <v>0.33800000000000002</v>
      </c>
      <c r="M94" s="994">
        <f>ROUND(+IF(L94&gt;_xlfn.XLOOKUP(AN94,RUC!M:M,RUC!K:K),L94*_xlfn.XLOOKUP(AN94,RUC!M:M,RUC!I:I),L94-_xlfn.XLOOKUP(AN94,RUC!M:M,RUC!J:J)),3)</f>
        <v>0.318</v>
      </c>
      <c r="N94" s="1196">
        <f t="shared" si="86"/>
        <v>0.318</v>
      </c>
      <c r="O94" s="645">
        <f t="shared" si="79"/>
        <v>0.318</v>
      </c>
      <c r="P94" s="727">
        <v>90</v>
      </c>
      <c r="Q94" s="1476">
        <v>93.79</v>
      </c>
      <c r="R94" s="706">
        <v>4776.75</v>
      </c>
      <c r="S94" s="765">
        <f>IF((_xlfn.XLOOKUP(D94,RUC!$B$3:$B$119,RUC!$E$3:$E$119)+ROUNDDOWN(O94,1)*100)&lt;95,95,((_xlfn.XLOOKUP(D94,RUC!$B$3:$B$119,RUC!$E$3:$E$119)+ROUNDDOWN(O94,1)*100)))</f>
        <v>120</v>
      </c>
      <c r="U94" s="1146">
        <f>_xlfn.XLOOKUP(D94,RUC!$B$3:$B$123,RUC!$F$3:$F$123)</f>
        <v>120</v>
      </c>
      <c r="V94" s="715">
        <v>1.1023000000000001</v>
      </c>
      <c r="Y94">
        <f>_xlfn.XLOOKUP(D94,RUC!$B$3:$B$123,RUC!$G$3:$G$123)</f>
        <v>20</v>
      </c>
      <c r="Z94" s="143">
        <f>_xlfn.XLOOKUP(D94,RUC!$B$3:$B$123,RUC!$H$3:$H$123)</f>
        <v>30</v>
      </c>
      <c r="AA94" s="144">
        <f t="shared" si="80"/>
        <v>50</v>
      </c>
      <c r="AB94" s="145">
        <f t="shared" si="81"/>
        <v>1281.7123872549998</v>
      </c>
      <c r="AC94" s="145">
        <f>+(S94-T94)*V94-'data 1'!$F$4</f>
        <v>52.27600000000001</v>
      </c>
      <c r="AD94" s="145">
        <f t="shared" si="82"/>
        <v>65.756492702355118</v>
      </c>
      <c r="AE94" s="145">
        <f t="shared" si="83"/>
        <v>-14.884999999999998</v>
      </c>
      <c r="AF94" s="145">
        <f t="shared" si="84"/>
        <v>96.287356177950102</v>
      </c>
      <c r="AG94" s="772">
        <f t="shared" si="87"/>
        <v>216.43484888030525</v>
      </c>
      <c r="AH94" s="1253">
        <f t="shared" si="74"/>
        <v>21.824999999999999</v>
      </c>
      <c r="AI94" s="1253">
        <f t="shared" si="75"/>
        <v>23.27</v>
      </c>
      <c r="AJ94" s="156">
        <f t="shared" si="76"/>
        <v>85.00136354664501</v>
      </c>
      <c r="AK94" s="156">
        <f t="shared" si="77"/>
        <v>19.703455944299279</v>
      </c>
      <c r="AM94" s="716">
        <f t="shared" si="61"/>
        <v>2573.6784736080399</v>
      </c>
      <c r="AN94" s="716" t="str">
        <f>_xlfn.XLOOKUP(D94,RUC!$B$3:$B$578,RUC!$M$3:$M$578)</f>
        <v>Evelyn</v>
      </c>
      <c r="AO94" s="1167" t="s">
        <v>2280</v>
      </c>
      <c r="AP94" s="1843">
        <v>276</v>
      </c>
      <c r="AQ94" s="1082" t="s">
        <v>5401</v>
      </c>
    </row>
    <row r="95" spans="1:44" ht="15" customHeight="1">
      <c r="A95" s="747" t="s">
        <v>5391</v>
      </c>
      <c r="B95" s="1447">
        <v>46137</v>
      </c>
      <c r="C95" s="1447">
        <v>46133</v>
      </c>
      <c r="D95" t="s">
        <v>1967</v>
      </c>
      <c r="E95" s="762">
        <f>_xlfn.XLOOKUP(D95,RUC!$B$3:$B$123,RUC!$D$3:$D$123)</f>
        <v>20601769396</v>
      </c>
      <c r="G95" s="1082">
        <v>28</v>
      </c>
      <c r="H95" s="762" t="s">
        <v>2005</v>
      </c>
      <c r="I95" s="703">
        <v>2.2799999999999998</v>
      </c>
      <c r="J95" s="596">
        <v>3.8</v>
      </c>
      <c r="K95" s="703">
        <f t="shared" si="72"/>
        <v>2.1930000000000001</v>
      </c>
      <c r="L95" s="1745">
        <v>0.32900000000000001</v>
      </c>
      <c r="M95" s="994">
        <f>ROUND(+IF(L95&gt;_xlfn.XLOOKUP(AN95,RUC!M:M,RUC!K:K),L95*_xlfn.XLOOKUP(AN95,RUC!M:M,RUC!I:I),L95-_xlfn.XLOOKUP(AN95,RUC!M:M,RUC!J:J)),3)</f>
        <v>0.309</v>
      </c>
      <c r="N95" s="1196">
        <f t="shared" si="86"/>
        <v>0.309</v>
      </c>
      <c r="O95" s="645">
        <f t="shared" si="79"/>
        <v>0.309</v>
      </c>
      <c r="P95" s="727">
        <v>90</v>
      </c>
      <c r="Q95" s="1476">
        <v>93.31</v>
      </c>
      <c r="R95" s="706">
        <v>4776.75</v>
      </c>
      <c r="S95" s="765">
        <f>IF((_xlfn.XLOOKUP(D95,RUC!$B$3:$B$119,RUC!$E$3:$E$119)+ROUNDDOWN(O95,1)*100)&lt;95,95,((_xlfn.XLOOKUP(D95,RUC!$B$3:$B$119,RUC!$E$3:$E$119)+ROUNDDOWN(O95,1)*100)))</f>
        <v>120</v>
      </c>
      <c r="U95" s="1146">
        <f>_xlfn.XLOOKUP(D95,RUC!$B$3:$B$123,RUC!$F$3:$F$123)</f>
        <v>120</v>
      </c>
      <c r="V95" s="715">
        <v>1.1023000000000001</v>
      </c>
      <c r="Y95">
        <f>_xlfn.XLOOKUP(D95,RUC!$B$3:$B$123,RUC!$G$3:$G$123)</f>
        <v>20</v>
      </c>
      <c r="Z95" s="143">
        <f>_xlfn.XLOOKUP(D95,RUC!$B$3:$B$123,RUC!$H$3:$H$123)</f>
        <v>30</v>
      </c>
      <c r="AA95" s="144">
        <f t="shared" si="80"/>
        <v>50</v>
      </c>
      <c r="AB95" s="145">
        <f t="shared" si="81"/>
        <v>1240.1339895025001</v>
      </c>
      <c r="AC95" s="145">
        <f>+(S95-T95)*V95-'data 1'!$F$4</f>
        <v>52.27600000000001</v>
      </c>
      <c r="AD95" s="145">
        <f t="shared" si="82"/>
        <v>55.899332553697541</v>
      </c>
      <c r="AE95" s="145">
        <f t="shared" si="83"/>
        <v>-14.884999999999998</v>
      </c>
      <c r="AF95" s="145">
        <f t="shared" si="84"/>
        <v>95.794575167550079</v>
      </c>
      <c r="AG95" s="772">
        <f t="shared" si="87"/>
        <v>206.08490772124765</v>
      </c>
      <c r="AH95" s="1253">
        <f t="shared" si="74"/>
        <v>23.082000000000001</v>
      </c>
      <c r="AI95" s="1253">
        <f t="shared" si="75"/>
        <v>24.736999999999998</v>
      </c>
      <c r="AJ95" s="156">
        <f t="shared" si="76"/>
        <v>82.314575666802497</v>
      </c>
      <c r="AK95" s="156">
        <f t="shared" si="77"/>
        <v>20.909742751834063</v>
      </c>
      <c r="AM95" s="716">
        <f t="shared" si="61"/>
        <v>2719.6138389789826</v>
      </c>
      <c r="AN95" s="716" t="str">
        <f>_xlfn.XLOOKUP(D95,RUC!$B$3:$B$578,RUC!$M$3:$M$578)</f>
        <v>Evelyn</v>
      </c>
      <c r="AO95" s="1167" t="s">
        <v>2280</v>
      </c>
      <c r="AP95" s="1843">
        <v>276</v>
      </c>
      <c r="AQ95" s="1082" t="s">
        <v>5401</v>
      </c>
    </row>
    <row r="96" spans="1:44" ht="15" customHeight="1">
      <c r="A96" s="747" t="s">
        <v>5392</v>
      </c>
      <c r="B96" s="1447">
        <v>46137</v>
      </c>
      <c r="C96" s="1447">
        <v>46133</v>
      </c>
      <c r="D96" t="s">
        <v>1967</v>
      </c>
      <c r="E96" s="762">
        <f>_xlfn.XLOOKUP(D96,RUC!$B$3:$B$123,RUC!$D$3:$D$123)</f>
        <v>20601769396</v>
      </c>
      <c r="G96" s="1082">
        <v>28</v>
      </c>
      <c r="H96" s="762" t="s">
        <v>2005</v>
      </c>
      <c r="I96" s="703">
        <v>2.27</v>
      </c>
      <c r="J96" s="596">
        <v>8.1999999999999993</v>
      </c>
      <c r="K96" s="703">
        <f t="shared" si="72"/>
        <v>2.0840000000000001</v>
      </c>
      <c r="L96" s="1745">
        <v>0.42099999999999999</v>
      </c>
      <c r="M96" s="994">
        <f>ROUND(+IF(L96&gt;_xlfn.XLOOKUP(AN96,RUC!M:M,RUC!K:K),L96*_xlfn.XLOOKUP(AN96,RUC!M:M,RUC!I:I),L96-_xlfn.XLOOKUP(AN96,RUC!M:M,RUC!J:J)),3)</f>
        <v>0.39600000000000002</v>
      </c>
      <c r="N96" s="1196">
        <f t="shared" si="86"/>
        <v>0.39600000000000002</v>
      </c>
      <c r="O96" s="645">
        <f t="shared" si="79"/>
        <v>0.39600000000000002</v>
      </c>
      <c r="P96" s="727">
        <v>90</v>
      </c>
      <c r="Q96" s="1476">
        <v>94.06</v>
      </c>
      <c r="R96" s="706">
        <v>4776.75</v>
      </c>
      <c r="S96" s="765">
        <f>IF((_xlfn.XLOOKUP(D96,RUC!$B$3:$B$119,RUC!$E$3:$E$119)+ROUNDDOWN(O96,1)*100)&lt;95,95,((_xlfn.XLOOKUP(D96,RUC!$B$3:$B$119,RUC!$E$3:$E$119)+ROUNDDOWN(O96,1)*100)))</f>
        <v>120</v>
      </c>
      <c r="U96" s="1146">
        <f>_xlfn.XLOOKUP(D96,RUC!$B$3:$B$123,RUC!$F$3:$F$123)</f>
        <v>120</v>
      </c>
      <c r="V96" s="715">
        <v>1.1023000000000001</v>
      </c>
      <c r="Y96">
        <f>_xlfn.XLOOKUP(D96,RUC!$B$3:$B$123,RUC!$G$3:$G$123)</f>
        <v>20</v>
      </c>
      <c r="Z96" s="143">
        <f>_xlfn.XLOOKUP(D96,RUC!$B$3:$B$123,RUC!$H$3:$H$123)</f>
        <v>30</v>
      </c>
      <c r="AA96" s="144">
        <f t="shared" si="80"/>
        <v>50</v>
      </c>
      <c r="AB96" s="145">
        <f t="shared" si="81"/>
        <v>1642.0585011100002</v>
      </c>
      <c r="AC96" s="145">
        <f>+(S96-T96)*V96-'data 1'!$F$4</f>
        <v>52.27600000000001</v>
      </c>
      <c r="AD96" s="145">
        <f t="shared" si="82"/>
        <v>87.738632274615043</v>
      </c>
      <c r="AE96" s="145">
        <f t="shared" si="83"/>
        <v>-14.884999999999998</v>
      </c>
      <c r="AF96" s="145">
        <f t="shared" si="84"/>
        <v>120.70568187037485</v>
      </c>
      <c r="AG96" s="772">
        <f t="shared" si="87"/>
        <v>262.83531414498992</v>
      </c>
      <c r="AH96" s="1253">
        <f t="shared" si="74"/>
        <v>28.294</v>
      </c>
      <c r="AI96" s="1253">
        <f t="shared" si="75"/>
        <v>30.081</v>
      </c>
      <c r="AJ96" s="156">
        <f t="shared" si="76"/>
        <v>106.17926790488502</v>
      </c>
      <c r="AK96" s="156">
        <f t="shared" si="77"/>
        <v>25.465046835325683</v>
      </c>
      <c r="AM96" s="716">
        <f t="shared" si="61"/>
        <v>3422.0499163132404</v>
      </c>
      <c r="AN96" s="716" t="str">
        <f>_xlfn.XLOOKUP(D96,RUC!$B$3:$B$578,RUC!$M$3:$M$578)</f>
        <v>Evelyn</v>
      </c>
      <c r="AO96" s="1167" t="s">
        <v>2280</v>
      </c>
      <c r="AP96" s="1843">
        <v>276</v>
      </c>
      <c r="AQ96" s="1082" t="s">
        <v>5401</v>
      </c>
    </row>
    <row r="97" spans="1:43" ht="15" customHeight="1">
      <c r="A97" s="747" t="s">
        <v>5393</v>
      </c>
      <c r="B97" s="1447">
        <v>46137</v>
      </c>
      <c r="C97" s="1447">
        <v>46133</v>
      </c>
      <c r="D97" t="s">
        <v>1967</v>
      </c>
      <c r="E97" s="762">
        <f>_xlfn.XLOOKUP(D97,RUC!$B$3:$B$123,RUC!$D$3:$D$123)</f>
        <v>20601769396</v>
      </c>
      <c r="G97" s="1082">
        <v>41</v>
      </c>
      <c r="H97" s="762" t="s">
        <v>108</v>
      </c>
      <c r="I97" s="703">
        <v>3.32</v>
      </c>
      <c r="J97" s="596">
        <v>17.48</v>
      </c>
      <c r="K97" s="703">
        <f t="shared" si="72"/>
        <v>2.74</v>
      </c>
      <c r="L97" s="1745">
        <v>0.41899999999999998</v>
      </c>
      <c r="M97" s="994">
        <f>ROUND(+IF(L97&gt;_xlfn.XLOOKUP(AN97,RUC!M:M,RUC!K:K),L97*_xlfn.XLOOKUP(AN97,RUC!M:M,RUC!I:I),L97-_xlfn.XLOOKUP(AN97,RUC!M:M,RUC!J:J)),3)</f>
        <v>0.39400000000000002</v>
      </c>
      <c r="N97" s="1196">
        <f t="shared" si="86"/>
        <v>0.39400000000000002</v>
      </c>
      <c r="O97" s="645">
        <f t="shared" si="79"/>
        <v>0.39400000000000002</v>
      </c>
      <c r="P97" s="727">
        <v>90</v>
      </c>
      <c r="Q97" s="1476">
        <v>92.12</v>
      </c>
      <c r="R97" s="706">
        <v>4776.75</v>
      </c>
      <c r="S97" s="765">
        <f>IF((_xlfn.XLOOKUP(D97,RUC!$B$3:$B$119,RUC!$E$3:$E$119)+ROUNDDOWN(O97,1)*100)&lt;95,95,((_xlfn.XLOOKUP(D97,RUC!$B$3:$B$119,RUC!$E$3:$E$119)+ROUNDDOWN(O97,1)*100)))</f>
        <v>120</v>
      </c>
      <c r="U97" s="1146">
        <f>_xlfn.XLOOKUP(D97,RUC!$B$3:$B$123,RUC!$F$3:$F$123)</f>
        <v>120</v>
      </c>
      <c r="V97" s="715">
        <v>1.1023000000000001</v>
      </c>
      <c r="Y97" s="1445">
        <v>30</v>
      </c>
      <c r="Z97" s="1454">
        <v>70</v>
      </c>
      <c r="AA97" s="144">
        <f t="shared" si="80"/>
        <v>100</v>
      </c>
      <c r="AB97" s="145">
        <f t="shared" si="81"/>
        <v>1577.7038571650003</v>
      </c>
      <c r="AC97" s="145">
        <f>+(S97-T97)*V97-'data 1'!$F$4</f>
        <v>52.27600000000001</v>
      </c>
      <c r="AD97" s="145">
        <f t="shared" si="82"/>
        <v>45.596616241470102</v>
      </c>
      <c r="AE97" s="145">
        <f t="shared" si="83"/>
        <v>40.230000000000004</v>
      </c>
      <c r="AF97" s="145">
        <f t="shared" si="84"/>
        <v>118.21611114074987</v>
      </c>
      <c r="AG97" s="772">
        <f t="shared" si="87"/>
        <v>273.31872738222</v>
      </c>
      <c r="AH97" s="1253">
        <f t="shared" si="74"/>
        <v>36.26</v>
      </c>
      <c r="AI97" s="1253">
        <f t="shared" si="75"/>
        <v>39.362000000000002</v>
      </c>
      <c r="AJ97" s="156">
        <f t="shared" si="76"/>
        <v>103.49529543702999</v>
      </c>
      <c r="AK97" s="156">
        <f t="shared" si="77"/>
        <v>33.311820170932208</v>
      </c>
      <c r="AM97" s="716">
        <f t="shared" si="61"/>
        <v>4322.9085686321014</v>
      </c>
      <c r="AN97" s="716" t="str">
        <f>_xlfn.XLOOKUP(D97,RUC!$B$3:$B$578,RUC!$M$3:$M$578)</f>
        <v>Evelyn</v>
      </c>
      <c r="AO97" s="1167" t="s">
        <v>2280</v>
      </c>
      <c r="AP97" s="1843">
        <v>276</v>
      </c>
      <c r="AQ97" s="1082" t="s">
        <v>5401</v>
      </c>
    </row>
    <row r="98" spans="1:43" ht="15" customHeight="1">
      <c r="A98" s="747" t="s">
        <v>5394</v>
      </c>
      <c r="B98" s="1447">
        <v>46137</v>
      </c>
      <c r="C98" s="1447">
        <v>46133</v>
      </c>
      <c r="D98" t="s">
        <v>1967</v>
      </c>
      <c r="E98" s="762">
        <f>_xlfn.XLOOKUP(D98,RUC!$B$3:$B$123,RUC!$D$3:$D$123)</f>
        <v>20601769396</v>
      </c>
      <c r="G98" s="1082">
        <v>42</v>
      </c>
      <c r="H98" s="762" t="s">
        <v>108</v>
      </c>
      <c r="I98" s="703">
        <v>3.36</v>
      </c>
      <c r="J98" s="596">
        <v>17.899999999999999</v>
      </c>
      <c r="K98" s="703">
        <f t="shared" si="72"/>
        <v>2.7589999999999999</v>
      </c>
      <c r="L98" s="1745">
        <v>0.41699999999999998</v>
      </c>
      <c r="M98" s="994">
        <f>ROUND(+IF(L98&gt;_xlfn.XLOOKUP(AN98,RUC!M:M,RUC!K:K),L98*_xlfn.XLOOKUP(AN98,RUC!M:M,RUC!I:I),L98-_xlfn.XLOOKUP(AN98,RUC!M:M,RUC!J:J)),3)</f>
        <v>0.39200000000000002</v>
      </c>
      <c r="N98" s="1196">
        <f t="shared" si="86"/>
        <v>0.39200000000000002</v>
      </c>
      <c r="O98" s="645">
        <f t="shared" si="79"/>
        <v>0.39200000000000002</v>
      </c>
      <c r="P98" s="727">
        <v>90</v>
      </c>
      <c r="Q98" s="1476">
        <v>91.13</v>
      </c>
      <c r="R98" s="706">
        <v>4776.75</v>
      </c>
      <c r="S98" s="765">
        <f>IF((_xlfn.XLOOKUP(D98,RUC!$B$3:$B$119,RUC!$E$3:$E$119)+ROUNDDOWN(O98,1)*100)&lt;95,95,((_xlfn.XLOOKUP(D98,RUC!$B$3:$B$119,RUC!$E$3:$E$119)+ROUNDDOWN(O98,1)*100)))</f>
        <v>120</v>
      </c>
      <c r="U98" s="1146">
        <f>_xlfn.XLOOKUP(D98,RUC!$B$3:$B$123,RUC!$F$3:$F$123)</f>
        <v>120</v>
      </c>
      <c r="V98" s="715">
        <v>1.1023000000000001</v>
      </c>
      <c r="Y98" s="1445">
        <v>30</v>
      </c>
      <c r="Z98" s="1454">
        <v>70</v>
      </c>
      <c r="AA98" s="144">
        <f t="shared" si="80"/>
        <v>100</v>
      </c>
      <c r="AB98" s="145">
        <f t="shared" si="81"/>
        <v>1568.4642132200004</v>
      </c>
      <c r="AC98" s="145">
        <f>+(S98-T98)*V98-'data 1'!$F$4</f>
        <v>52.27600000000001</v>
      </c>
      <c r="AD98" s="145">
        <f t="shared" si="82"/>
        <v>24.187847907352403</v>
      </c>
      <c r="AE98" s="145">
        <f t="shared" si="83"/>
        <v>40.230000000000004</v>
      </c>
      <c r="AF98" s="145">
        <f t="shared" si="84"/>
        <v>116.94566009831235</v>
      </c>
      <c r="AG98" s="772">
        <f t="shared" si="87"/>
        <v>250.63950800566477</v>
      </c>
      <c r="AH98" s="1253">
        <f t="shared" si="74"/>
        <v>35.947000000000003</v>
      </c>
      <c r="AI98" s="1253">
        <f t="shared" si="75"/>
        <v>39.445</v>
      </c>
      <c r="AJ98" s="156">
        <f t="shared" si="76"/>
        <v>101.8943449271475</v>
      </c>
      <c r="AK98" s="156">
        <f t="shared" si="77"/>
        <v>33.372546450246361</v>
      </c>
      <c r="AM98" s="716">
        <f t="shared" si="61"/>
        <v>4327.3927642739809</v>
      </c>
      <c r="AN98" s="716" t="str">
        <f>_xlfn.XLOOKUP(D98,RUC!$B$3:$B$578,RUC!$M$3:$M$578)</f>
        <v>Evelyn</v>
      </c>
      <c r="AO98" s="1167" t="s">
        <v>2280</v>
      </c>
      <c r="AP98" s="1843">
        <v>276</v>
      </c>
      <c r="AQ98" s="1082" t="s">
        <v>5401</v>
      </c>
    </row>
    <row r="99" spans="1:43" ht="15" customHeight="1">
      <c r="A99" s="747" t="s">
        <v>5395</v>
      </c>
      <c r="B99" s="1447">
        <v>46137</v>
      </c>
      <c r="C99" s="1447">
        <v>46133</v>
      </c>
      <c r="D99" t="s">
        <v>1967</v>
      </c>
      <c r="E99" s="762">
        <f>_xlfn.XLOOKUP(D99,RUC!$B$3:$B$123,RUC!$D$3:$D$123)</f>
        <v>20601769396</v>
      </c>
      <c r="G99" s="1082">
        <v>42</v>
      </c>
      <c r="H99" s="762" t="s">
        <v>108</v>
      </c>
      <c r="I99" s="703">
        <v>3.07</v>
      </c>
      <c r="J99" s="596">
        <v>19.03</v>
      </c>
      <c r="K99" s="703">
        <f t="shared" si="72"/>
        <v>2.4860000000000002</v>
      </c>
      <c r="L99" s="1745">
        <v>0.373</v>
      </c>
      <c r="M99" s="994">
        <f>ROUND(+IF(L99&gt;_xlfn.XLOOKUP(AN99,RUC!M:M,RUC!K:K),L99*_xlfn.XLOOKUP(AN99,RUC!M:M,RUC!I:I),L99-_xlfn.XLOOKUP(AN99,RUC!M:M,RUC!J:J)),3)</f>
        <v>0.35099999999999998</v>
      </c>
      <c r="N99" s="1196">
        <f t="shared" si="86"/>
        <v>0.35099999999999998</v>
      </c>
      <c r="O99" s="645">
        <f t="shared" si="79"/>
        <v>0.35099999999999998</v>
      </c>
      <c r="P99" s="727">
        <v>90</v>
      </c>
      <c r="Q99" s="1476">
        <v>93.03</v>
      </c>
      <c r="R99" s="706">
        <v>4776.75</v>
      </c>
      <c r="S99" s="765">
        <f>IF((_xlfn.XLOOKUP(D99,RUC!$B$3:$B$119,RUC!$E$3:$E$119)+ROUNDDOWN(O99,1)*100)&lt;95,95,((_xlfn.XLOOKUP(D99,RUC!$B$3:$B$119,RUC!$E$3:$E$119)+ROUNDDOWN(O99,1)*100)))</f>
        <v>120</v>
      </c>
      <c r="U99" s="1146">
        <f>_xlfn.XLOOKUP(D99,RUC!$B$3:$B$123,RUC!$F$3:$F$123)</f>
        <v>120</v>
      </c>
      <c r="V99" s="715">
        <v>1.1023000000000001</v>
      </c>
      <c r="Y99" s="1445">
        <v>30</v>
      </c>
      <c r="Z99" s="1454">
        <v>70</v>
      </c>
      <c r="AA99" s="144">
        <f t="shared" si="80"/>
        <v>100</v>
      </c>
      <c r="AB99" s="145">
        <f t="shared" si="81"/>
        <v>1379.0515123474997</v>
      </c>
      <c r="AC99" s="145">
        <f>+(S99-T99)*V99-'data 1'!$F$4</f>
        <v>52.27600000000001</v>
      </c>
      <c r="AD99" s="145">
        <f t="shared" si="82"/>
        <v>58.014184389997517</v>
      </c>
      <c r="AE99" s="145">
        <f t="shared" si="83"/>
        <v>40.230000000000004</v>
      </c>
      <c r="AF99" s="145">
        <f t="shared" si="84"/>
        <v>105.05783153596509</v>
      </c>
      <c r="AG99" s="772">
        <f t="shared" si="87"/>
        <v>272.57801592596263</v>
      </c>
      <c r="AH99" s="1253">
        <f t="shared" si="74"/>
        <v>29.576000000000001</v>
      </c>
      <c r="AI99" s="1253">
        <f t="shared" si="75"/>
        <v>31.792000000000002</v>
      </c>
      <c r="AJ99" s="156">
        <f t="shared" si="76"/>
        <v>93.043172280502489</v>
      </c>
      <c r="AK99" s="156">
        <f t="shared" si="77"/>
        <v>26.925254655297568</v>
      </c>
      <c r="AM99" s="716">
        <f t="shared" si="61"/>
        <v>3428.3220596958845</v>
      </c>
      <c r="AN99" s="716" t="str">
        <f>_xlfn.XLOOKUP(D99,RUC!$B$3:$B$578,RUC!$M$3:$M$578)</f>
        <v>Evelyn</v>
      </c>
      <c r="AO99" s="1167" t="s">
        <v>2280</v>
      </c>
      <c r="AP99" s="1843">
        <v>276</v>
      </c>
      <c r="AQ99" s="1082" t="s">
        <v>5401</v>
      </c>
    </row>
    <row r="100" spans="1:43" ht="15" customHeight="1">
      <c r="A100" s="747" t="s">
        <v>5396</v>
      </c>
      <c r="B100" s="1447">
        <v>46137</v>
      </c>
      <c r="C100" s="1447">
        <v>46133</v>
      </c>
      <c r="D100" t="s">
        <v>1967</v>
      </c>
      <c r="E100" s="762">
        <f>_xlfn.XLOOKUP(D100,RUC!$B$3:$B$123,RUC!$D$3:$D$123)</f>
        <v>20601769396</v>
      </c>
      <c r="G100" s="1082">
        <v>33</v>
      </c>
      <c r="H100" s="762" t="s">
        <v>108</v>
      </c>
      <c r="I100" s="703">
        <v>2.37</v>
      </c>
      <c r="J100" s="596">
        <v>13.73</v>
      </c>
      <c r="K100" s="703">
        <f t="shared" si="72"/>
        <v>2.0449999999999999</v>
      </c>
      <c r="L100" s="1745">
        <v>0.57399999999999995</v>
      </c>
      <c r="M100" s="994">
        <f>ROUND(+IF(L100&gt;_xlfn.XLOOKUP(AN100,RUC!M:M,RUC!K:K),L100*_xlfn.XLOOKUP(AN100,RUC!M:M,RUC!I:I),L100-_xlfn.XLOOKUP(AN100,RUC!M:M,RUC!J:J)),3)</f>
        <v>0.54</v>
      </c>
      <c r="N100" s="1196">
        <f t="shared" si="86"/>
        <v>0.54</v>
      </c>
      <c r="O100" s="645">
        <f t="shared" si="79"/>
        <v>0.54</v>
      </c>
      <c r="P100" s="727">
        <v>90</v>
      </c>
      <c r="Q100" s="1476">
        <v>94.77</v>
      </c>
      <c r="R100" s="706">
        <v>4776.75</v>
      </c>
      <c r="S100" s="765">
        <f>IF((_xlfn.XLOOKUP(D100,RUC!$B$3:$B$119,RUC!$E$3:$E$119)+ROUNDDOWN(O100,1)*100)&lt;95,95,((_xlfn.XLOOKUP(D100,RUC!$B$3:$B$119,RUC!$E$3:$E$119)+ROUNDDOWN(O100,1)*100)))</f>
        <v>140</v>
      </c>
      <c r="U100" s="1146">
        <f>_xlfn.XLOOKUP(D100,RUC!$B$3:$B$123,RUC!$F$3:$F$123)</f>
        <v>120</v>
      </c>
      <c r="V100" s="715">
        <v>1.1023000000000001</v>
      </c>
      <c r="Y100" s="1445">
        <v>30</v>
      </c>
      <c r="Z100" s="1454">
        <v>70</v>
      </c>
      <c r="AA100" s="144">
        <f t="shared" si="80"/>
        <v>100</v>
      </c>
      <c r="AB100" s="145">
        <f t="shared" si="81"/>
        <v>2230.1518651500005</v>
      </c>
      <c r="AC100" s="145">
        <f>+(S100-T100)*V100-'data 1'!$F$4</f>
        <v>74.322000000000003</v>
      </c>
      <c r="AD100" s="145">
        <f t="shared" si="82"/>
        <v>140.54422404739486</v>
      </c>
      <c r="AE100" s="145">
        <f t="shared" si="83"/>
        <v>40.230000000000004</v>
      </c>
      <c r="AF100" s="145">
        <f t="shared" si="84"/>
        <v>165.39886625944462</v>
      </c>
      <c r="AG100" s="772">
        <f t="shared" si="87"/>
        <v>437.49509030683947</v>
      </c>
      <c r="AH100" s="1253">
        <f t="shared" si="74"/>
        <v>38.14</v>
      </c>
      <c r="AI100" s="1253">
        <f t="shared" si="75"/>
        <v>40.244999999999997</v>
      </c>
      <c r="AJ100" s="156">
        <f t="shared" si="76"/>
        <v>145.85973808360498</v>
      </c>
      <c r="AK100" s="156">
        <f t="shared" si="77"/>
        <v>34.075218621253505</v>
      </c>
      <c r="AM100" s="716">
        <f t="shared" si="61"/>
        <v>4560.6605642317509</v>
      </c>
      <c r="AN100" s="716" t="str">
        <f>_xlfn.XLOOKUP(D100,RUC!$B$3:$B$578,RUC!$M$3:$M$578)</f>
        <v>Evelyn</v>
      </c>
      <c r="AO100" s="1167" t="s">
        <v>2280</v>
      </c>
      <c r="AP100" s="1843">
        <v>276</v>
      </c>
      <c r="AQ100" s="1082" t="s">
        <v>5401</v>
      </c>
    </row>
    <row r="101" spans="1:43" ht="15" customHeight="1">
      <c r="A101" s="747" t="s">
        <v>5407</v>
      </c>
      <c r="B101" s="1447">
        <v>46140</v>
      </c>
      <c r="C101" s="1447">
        <v>46135</v>
      </c>
      <c r="D101" t="s">
        <v>3125</v>
      </c>
      <c r="E101" s="762" t="str">
        <f>_xlfn.XLOOKUP(D101,RUC!$B$3:$B$123,RUC!$D$3:$D$123)</f>
        <v>10486077447,</v>
      </c>
      <c r="G101" s="762" t="s">
        <v>2985</v>
      </c>
      <c r="H101" s="762" t="s">
        <v>2005</v>
      </c>
      <c r="I101" s="703">
        <v>29.12</v>
      </c>
      <c r="J101" s="596">
        <v>2.2999999999999998</v>
      </c>
      <c r="K101" s="703">
        <f t="shared" si="72"/>
        <v>28.45</v>
      </c>
      <c r="L101" s="1745">
        <v>0.121</v>
      </c>
      <c r="M101" s="1443">
        <f>ROUND(+IF(L101&gt;_xlfn.XLOOKUP(AN101,RUC!M:M,RUC!K:K),L101*_xlfn.XLOOKUP(AN101,RUC!M:M,RUC!I:I),L101-_xlfn.XLOOKUP(AN101,RUC!M:M,RUC!J:J)),3)-0.003</f>
        <v>9.4E-2</v>
      </c>
      <c r="N101" s="1444">
        <v>0.156</v>
      </c>
      <c r="O101" s="645">
        <f t="shared" si="79"/>
        <v>0.125</v>
      </c>
      <c r="P101" s="727">
        <v>80</v>
      </c>
      <c r="Q101" s="1476">
        <v>96.69</v>
      </c>
      <c r="R101" s="706">
        <v>4719.1499999999996</v>
      </c>
      <c r="S101" s="765">
        <f>IF((_xlfn.XLOOKUP(D101,RUC!$B$3:$B$119,RUC!$E$3:$E$119)+ROUNDDOWN(O101,1)*100)&lt;95,95,((_xlfn.XLOOKUP(D101,RUC!$B$3:$B$119,RUC!$E$3:$E$119)+ROUNDDOWN(O101,1)*100)))</f>
        <v>100</v>
      </c>
      <c r="U101" s="1773">
        <v>130</v>
      </c>
      <c r="V101" s="715">
        <v>1.1023000000000001</v>
      </c>
      <c r="Y101">
        <v>0</v>
      </c>
      <c r="Z101" s="143">
        <f>_xlfn.XLOOKUP(D101,RUC!$B$3:$B$123,RUC!$H$3:$H$123)</f>
        <v>30</v>
      </c>
      <c r="AA101" s="144">
        <f t="shared" si="80"/>
        <v>30</v>
      </c>
      <c r="AB101" s="145">
        <f t="shared" si="81"/>
        <v>362.56300450000003</v>
      </c>
      <c r="AC101" s="145">
        <f>+(S101-T101)*V101-'data 1'!$F$4</f>
        <v>30.230000000000004</v>
      </c>
      <c r="AD101" s="145">
        <f t="shared" si="82"/>
        <v>102.15832594677047</v>
      </c>
      <c r="AE101" s="145">
        <f t="shared" si="83"/>
        <v>-36.930999999999997</v>
      </c>
      <c r="AF101" s="145">
        <f t="shared" si="84"/>
        <v>-19.564718886042016</v>
      </c>
      <c r="AG101" s="772">
        <f t="shared" si="87"/>
        <v>92.892607060728437</v>
      </c>
      <c r="AH101" s="1253">
        <f t="shared" si="74"/>
        <v>114.119</v>
      </c>
      <c r="AI101" s="1253">
        <f t="shared" si="75"/>
        <v>118.026</v>
      </c>
      <c r="AJ101" s="156">
        <f t="shared" si="76"/>
        <v>40.088297220229549</v>
      </c>
      <c r="AK101" s="156">
        <f t="shared" si="77"/>
        <v>97.541929002250001</v>
      </c>
      <c r="AM101" s="716">
        <f t="shared" si="61"/>
        <v>10314.917478025001</v>
      </c>
      <c r="AN101" s="716" t="str">
        <f>_xlfn.XLOOKUP(D101,RUC!$B$3:$B$578,RUC!$M$3:$M$578)</f>
        <v>SIN ACOPIO</v>
      </c>
      <c r="AO101" s="1167" t="s">
        <v>2279</v>
      </c>
      <c r="AP101" s="1843">
        <v>207</v>
      </c>
      <c r="AQ101" s="1082" t="s">
        <v>5424</v>
      </c>
    </row>
    <row r="102" spans="1:43" ht="15" customHeight="1">
      <c r="A102" s="747" t="s">
        <v>5409</v>
      </c>
      <c r="B102" s="1447">
        <v>46140</v>
      </c>
      <c r="C102" s="1447">
        <v>46136</v>
      </c>
      <c r="D102" t="s">
        <v>1967</v>
      </c>
      <c r="E102" s="762">
        <f>_xlfn.XLOOKUP(D102,RUC!$B$3:$B$123,RUC!$D$3:$D$123)</f>
        <v>20601769396</v>
      </c>
      <c r="G102" s="762">
        <v>28</v>
      </c>
      <c r="H102" s="762" t="s">
        <v>108</v>
      </c>
      <c r="I102" s="703">
        <v>2.33</v>
      </c>
      <c r="J102" s="596">
        <v>16.95</v>
      </c>
      <c r="K102" s="703">
        <f t="shared" si="72"/>
        <v>1.9350000000000001</v>
      </c>
      <c r="L102" s="1745">
        <v>0.52200000000000002</v>
      </c>
      <c r="M102" s="994">
        <f>ROUND(+IF(L102&gt;_xlfn.XLOOKUP(AN102,RUC!M:M,RUC!K:K),L102*_xlfn.XLOOKUP(AN102,RUC!M:M,RUC!I:I),L102-_xlfn.XLOOKUP(AN102,RUC!M:M,RUC!J:J)),3)</f>
        <v>0.49099999999999999</v>
      </c>
      <c r="N102" s="1196">
        <f t="shared" si="86"/>
        <v>0.49099999999999999</v>
      </c>
      <c r="O102" s="645">
        <f t="shared" si="79"/>
        <v>0.49099999999999999</v>
      </c>
      <c r="P102" s="727">
        <v>90</v>
      </c>
      <c r="Q102" s="1476">
        <v>92.15</v>
      </c>
      <c r="R102" s="706">
        <v>4711.6499999999996</v>
      </c>
      <c r="S102" s="765">
        <f>IF((_xlfn.XLOOKUP(D102,RUC!$B$3:$B$119,RUC!$E$3:$E$119)+ROUNDDOWN(O102,1)*100)&lt;95,95,((_xlfn.XLOOKUP(D102,RUC!$B$3:$B$119,RUC!$E$3:$E$119)+ROUNDDOWN(O102,1)*100)))</f>
        <v>130</v>
      </c>
      <c r="U102" s="1146">
        <f>_xlfn.XLOOKUP(D102,RUC!$B$3:$B$123,RUC!$F$3:$F$123)</f>
        <v>120</v>
      </c>
      <c r="V102" s="715">
        <v>1.1023000000000001</v>
      </c>
      <c r="Y102" s="1445">
        <v>30</v>
      </c>
      <c r="Z102" s="1454">
        <v>70</v>
      </c>
      <c r="AA102" s="144">
        <f t="shared" si="80"/>
        <v>100</v>
      </c>
      <c r="AB102" s="145">
        <f t="shared" si="81"/>
        <v>1983.0929638104999</v>
      </c>
      <c r="AC102" s="145">
        <f>+(S102-T102)*V102-'data 1'!$F$4</f>
        <v>63.299000000000007</v>
      </c>
      <c r="AD102" s="145">
        <f t="shared" si="82"/>
        <v>56.803820547285156</v>
      </c>
      <c r="AE102" s="145">
        <f t="shared" si="83"/>
        <v>40.230000000000004</v>
      </c>
      <c r="AF102" s="145">
        <f t="shared" si="84"/>
        <v>144.58579164786764</v>
      </c>
      <c r="AG102" s="772">
        <f t="shared" si="87"/>
        <v>321.91861219515283</v>
      </c>
      <c r="AH102" s="1253">
        <f t="shared" si="74"/>
        <v>31.911999999999999</v>
      </c>
      <c r="AI102" s="1253">
        <f t="shared" si="75"/>
        <v>34.631</v>
      </c>
      <c r="AJ102" s="156">
        <f t="shared" si="76"/>
        <v>163.49693017171523</v>
      </c>
      <c r="AK102" s="156">
        <f t="shared" si="77"/>
        <v>29.316629614935827</v>
      </c>
      <c r="AM102" s="716">
        <f t="shared" si="61"/>
        <v>3837.2848849733173</v>
      </c>
      <c r="AN102" s="716" t="str">
        <f>_xlfn.XLOOKUP(D102,RUC!$B$3:$B$578,RUC!$M$3:$M$578)</f>
        <v>Evelyn</v>
      </c>
      <c r="AO102" s="1167" t="s">
        <v>2280</v>
      </c>
      <c r="AP102" s="1843">
        <v>279</v>
      </c>
      <c r="AQ102" s="1082" t="s">
        <v>5426</v>
      </c>
    </row>
    <row r="103" spans="1:43" ht="15" customHeight="1">
      <c r="A103" s="747" t="s">
        <v>5410</v>
      </c>
      <c r="B103" s="1447">
        <v>46140</v>
      </c>
      <c r="C103" s="1447">
        <v>46136</v>
      </c>
      <c r="D103" t="s">
        <v>1967</v>
      </c>
      <c r="E103" s="762">
        <f>_xlfn.XLOOKUP(D103,RUC!$B$3:$B$123,RUC!$D$3:$D$123)</f>
        <v>20601769396</v>
      </c>
      <c r="G103" s="762">
        <v>28</v>
      </c>
      <c r="H103" s="762" t="s">
        <v>108</v>
      </c>
      <c r="I103" s="703">
        <v>2.31</v>
      </c>
      <c r="J103" s="596">
        <v>15.4</v>
      </c>
      <c r="K103" s="703">
        <f t="shared" si="72"/>
        <v>1.954</v>
      </c>
      <c r="L103" s="1745">
        <v>0.48599999999999999</v>
      </c>
      <c r="M103" s="994">
        <f>ROUND(+IF(L103&gt;_xlfn.XLOOKUP(AN103,RUC!M:M,RUC!K:K),L103*_xlfn.XLOOKUP(AN103,RUC!M:M,RUC!I:I),L103-_xlfn.XLOOKUP(AN103,RUC!M:M,RUC!J:J)),3)</f>
        <v>0.45700000000000002</v>
      </c>
      <c r="N103" s="1196">
        <f t="shared" si="86"/>
        <v>0.45700000000000002</v>
      </c>
      <c r="O103" s="645">
        <f t="shared" si="79"/>
        <v>0.45700000000000002</v>
      </c>
      <c r="P103" s="727">
        <v>90</v>
      </c>
      <c r="Q103" s="1476">
        <v>92.59</v>
      </c>
      <c r="R103" s="706">
        <v>4711.6499999999996</v>
      </c>
      <c r="S103" s="765">
        <f>IF((_xlfn.XLOOKUP(D103,RUC!$B$3:$B$119,RUC!$E$3:$E$119)+ROUNDDOWN(O103,1)*100)&lt;95,95,((_xlfn.XLOOKUP(D103,RUC!$B$3:$B$119,RUC!$E$3:$E$119)+ROUNDDOWN(O103,1)*100)))</f>
        <v>130</v>
      </c>
      <c r="U103" s="1146">
        <f>_xlfn.XLOOKUP(D103,RUC!$B$3:$B$123,RUC!$F$3:$F$123)</f>
        <v>120</v>
      </c>
      <c r="V103" s="715">
        <v>1.1023000000000001</v>
      </c>
      <c r="Y103" s="1445">
        <v>30</v>
      </c>
      <c r="Z103" s="1454">
        <v>70</v>
      </c>
      <c r="AA103" s="144">
        <f t="shared" si="80"/>
        <v>100</v>
      </c>
      <c r="AB103" s="145">
        <f t="shared" si="81"/>
        <v>1828.2148644835002</v>
      </c>
      <c r="AC103" s="145">
        <f>+(S103-T103)*V103-'data 1'!$F$4</f>
        <v>63.299000000000007</v>
      </c>
      <c r="AD103" s="145">
        <f t="shared" si="82"/>
        <v>63.709561681983075</v>
      </c>
      <c r="AE103" s="145">
        <f t="shared" si="83"/>
        <v>40.230000000000004</v>
      </c>
      <c r="AF103" s="145">
        <f t="shared" si="84"/>
        <v>135.90350760912438</v>
      </c>
      <c r="AG103" s="772">
        <f t="shared" si="87"/>
        <v>320.14206929110742</v>
      </c>
      <c r="AH103" s="1253">
        <f t="shared" si="74"/>
        <v>30.146000000000001</v>
      </c>
      <c r="AI103" s="1253">
        <f t="shared" si="75"/>
        <v>32.558999999999997</v>
      </c>
      <c r="AJ103" s="156">
        <f t="shared" si="76"/>
        <v>152.94810958301719</v>
      </c>
      <c r="AK103" s="156">
        <f t="shared" si="77"/>
        <v>27.554487525101614</v>
      </c>
      <c r="AM103" s="716">
        <f t="shared" si="61"/>
        <v>3572.3318452007593</v>
      </c>
      <c r="AN103" s="716" t="str">
        <f>_xlfn.XLOOKUP(D103,RUC!$B$3:$B$578,RUC!$M$3:$M$578)</f>
        <v>Evelyn</v>
      </c>
      <c r="AO103" s="1167" t="s">
        <v>2280</v>
      </c>
      <c r="AP103" s="1843">
        <v>279</v>
      </c>
      <c r="AQ103" s="1082" t="s">
        <v>5426</v>
      </c>
    </row>
    <row r="104" spans="1:43" ht="15" customHeight="1">
      <c r="A104" s="747" t="s">
        <v>5411</v>
      </c>
      <c r="B104" s="1447">
        <v>46140</v>
      </c>
      <c r="C104" s="1447">
        <v>46136</v>
      </c>
      <c r="D104" t="s">
        <v>1967</v>
      </c>
      <c r="E104" s="762">
        <f>_xlfn.XLOOKUP(D104,RUC!$B$3:$B$123,RUC!$D$3:$D$123)</f>
        <v>20601769396</v>
      </c>
      <c r="G104" s="762">
        <v>75</v>
      </c>
      <c r="H104" s="762" t="s">
        <v>108</v>
      </c>
      <c r="I104" s="703">
        <v>5.9</v>
      </c>
      <c r="J104" s="596">
        <v>17.53</v>
      </c>
      <c r="K104" s="703">
        <f t="shared" si="72"/>
        <v>4.8659999999999997</v>
      </c>
      <c r="L104" s="1745">
        <v>0.189</v>
      </c>
      <c r="M104" s="994">
        <f>ROUND(+IF(L104&gt;_xlfn.XLOOKUP(AN104,RUC!M:M,RUC!K:K),L104*_xlfn.XLOOKUP(AN104,RUC!M:M,RUC!I:I),L104-_xlfn.XLOOKUP(AN104,RUC!M:M,RUC!J:J)),3)</f>
        <v>0.17</v>
      </c>
      <c r="N104" s="1196">
        <f t="shared" si="86"/>
        <v>0.17</v>
      </c>
      <c r="O104" s="645">
        <f t="shared" si="79"/>
        <v>0.17</v>
      </c>
      <c r="P104" s="727">
        <v>85</v>
      </c>
      <c r="Q104" s="1476">
        <v>92.06</v>
      </c>
      <c r="R104" s="706">
        <v>4711.6499999999996</v>
      </c>
      <c r="S104" s="765">
        <f>IF((_xlfn.XLOOKUP(D104,RUC!$B$3:$B$119,RUC!$E$3:$E$119)+ROUNDDOWN(O104,1)*100)&lt;95,95,((_xlfn.XLOOKUP(D104,RUC!$B$3:$B$119,RUC!$E$3:$E$119)+ROUNDDOWN(O104,1)*100)))</f>
        <v>100</v>
      </c>
      <c r="U104" s="1146">
        <f>_xlfn.XLOOKUP(D104,RUC!$B$3:$B$123,RUC!$F$3:$F$123)</f>
        <v>120</v>
      </c>
      <c r="V104" s="715">
        <v>1.1023000000000001</v>
      </c>
      <c r="Y104" s="1445">
        <v>30</v>
      </c>
      <c r="Z104" s="1454">
        <v>70</v>
      </c>
      <c r="AA104" s="144">
        <f t="shared" si="80"/>
        <v>100</v>
      </c>
      <c r="AB104" s="145">
        <f t="shared" si="81"/>
        <v>510.90880237750002</v>
      </c>
      <c r="AC104" s="145">
        <f>+(S104-T104)*V104-'data 1'!$F$4</f>
        <v>30.230000000000004</v>
      </c>
      <c r="AD104" s="145">
        <f t="shared" si="82"/>
        <v>67.535961783003017</v>
      </c>
      <c r="AE104" s="145">
        <f t="shared" si="83"/>
        <v>40.230000000000004</v>
      </c>
      <c r="AF104" s="145">
        <f t="shared" si="84"/>
        <v>88.530548580662938</v>
      </c>
      <c r="AG104" s="772">
        <f t="shared" si="87"/>
        <v>243.52651036366598</v>
      </c>
      <c r="AH104" s="1253">
        <f t="shared" si="74"/>
        <v>29.027999999999999</v>
      </c>
      <c r="AI104" s="1253">
        <f t="shared" si="75"/>
        <v>31.530999999999999</v>
      </c>
      <c r="AJ104" s="156">
        <f t="shared" si="76"/>
        <v>59.139348368247077</v>
      </c>
      <c r="AK104" s="156">
        <f t="shared" si="77"/>
        <v>24.10732489731285</v>
      </c>
      <c r="AM104" s="716">
        <f t="shared" si="61"/>
        <v>2486.0822323689149</v>
      </c>
      <c r="AN104" s="716" t="str">
        <f>_xlfn.XLOOKUP(D104,RUC!$B$3:$B$578,RUC!$M$3:$M$578)</f>
        <v>Evelyn</v>
      </c>
      <c r="AO104" s="1167" t="s">
        <v>2280</v>
      </c>
      <c r="AP104" s="1843">
        <v>279</v>
      </c>
      <c r="AQ104" s="1082" t="s">
        <v>5426</v>
      </c>
    </row>
    <row r="105" spans="1:43" ht="15" customHeight="1">
      <c r="A105" s="747" t="s">
        <v>5412</v>
      </c>
      <c r="B105" s="1447">
        <v>46140</v>
      </c>
      <c r="C105" s="1447">
        <v>46136</v>
      </c>
      <c r="D105" t="s">
        <v>1967</v>
      </c>
      <c r="E105" s="762">
        <f>_xlfn.XLOOKUP(D105,RUC!$B$3:$B$123,RUC!$D$3:$D$123)</f>
        <v>20601769396</v>
      </c>
      <c r="G105" s="762">
        <v>50</v>
      </c>
      <c r="H105" s="762" t="s">
        <v>108</v>
      </c>
      <c r="I105" s="703">
        <v>2.74</v>
      </c>
      <c r="J105" s="596">
        <v>3.2</v>
      </c>
      <c r="K105" s="703">
        <f t="shared" si="72"/>
        <v>2.6520000000000001</v>
      </c>
      <c r="L105" s="1745">
        <v>0.70399999999999996</v>
      </c>
      <c r="M105" s="994">
        <f>ROUND(+IF(L105&gt;_xlfn.XLOOKUP(AN105,RUC!M:M,RUC!K:K),L105*_xlfn.XLOOKUP(AN105,RUC!M:M,RUC!I:I),L105-_xlfn.XLOOKUP(AN105,RUC!M:M,RUC!J:J)),3)</f>
        <v>0.66200000000000003</v>
      </c>
      <c r="N105" s="1196">
        <f t="shared" si="86"/>
        <v>0.66200000000000003</v>
      </c>
      <c r="O105" s="645">
        <f t="shared" si="79"/>
        <v>0.66200000000000003</v>
      </c>
      <c r="P105" s="727">
        <v>90</v>
      </c>
      <c r="Q105" s="1476">
        <v>98.3</v>
      </c>
      <c r="R105" s="706">
        <v>4711.6499999999996</v>
      </c>
      <c r="S105" s="765">
        <f>IF((_xlfn.XLOOKUP(D105,RUC!$B$3:$B$119,RUC!$E$3:$E$119)+ROUNDDOWN(O105,1)*100)&lt;95,95,((_xlfn.XLOOKUP(D105,RUC!$B$3:$B$119,RUC!$E$3:$E$119)+ROUNDDOWN(O105,1)*100)))</f>
        <v>150</v>
      </c>
      <c r="U105" s="1146">
        <f>_xlfn.XLOOKUP(D105,RUC!$B$3:$B$123,RUC!$F$3:$F$123)</f>
        <v>120</v>
      </c>
      <c r="V105" s="715">
        <v>1.1023000000000001</v>
      </c>
      <c r="Y105" s="1445">
        <v>30</v>
      </c>
      <c r="Z105" s="1454">
        <v>70</v>
      </c>
      <c r="AA105" s="144">
        <f t="shared" si="80"/>
        <v>100</v>
      </c>
      <c r="AB105" s="145">
        <f t="shared" si="81"/>
        <v>2739.9926986610003</v>
      </c>
      <c r="AC105" s="145">
        <f>+(S105-T105)*V105-'data 1'!$F$4</f>
        <v>85.344999999999999</v>
      </c>
      <c r="AD105" s="145">
        <f t="shared" si="82"/>
        <v>295.74631045343989</v>
      </c>
      <c r="AE105" s="145">
        <f t="shared" si="83"/>
        <v>40.230000000000004</v>
      </c>
      <c r="AF105" s="145">
        <f t="shared" si="84"/>
        <v>208.96396107236964</v>
      </c>
      <c r="AG105" s="772">
        <f t="shared" si="87"/>
        <v>647.28527152580955</v>
      </c>
      <c r="AH105" s="1253">
        <f t="shared" si="74"/>
        <v>62.923000000000002</v>
      </c>
      <c r="AI105" s="1253">
        <f t="shared" si="75"/>
        <v>64.010999999999996</v>
      </c>
      <c r="AJ105" s="156">
        <f t="shared" si="76"/>
        <v>235.21766647456025</v>
      </c>
      <c r="AK105" s="156">
        <f t="shared" si="77"/>
        <v>54.173025098903892</v>
      </c>
      <c r="AM105" s="716">
        <f t="shared" si="61"/>
        <v>7266.4606368489731</v>
      </c>
      <c r="AN105" s="716" t="str">
        <f>_xlfn.XLOOKUP(D105,RUC!$B$3:$B$578,RUC!$M$3:$M$578)</f>
        <v>Evelyn</v>
      </c>
      <c r="AO105" s="1167" t="s">
        <v>2280</v>
      </c>
      <c r="AP105" s="1843">
        <v>279</v>
      </c>
      <c r="AQ105" s="1082" t="s">
        <v>5426</v>
      </c>
    </row>
    <row r="106" spans="1:43" ht="15" customHeight="1">
      <c r="A106" s="747" t="s">
        <v>5413</v>
      </c>
      <c r="B106" s="1447">
        <v>46140</v>
      </c>
      <c r="C106" s="1447">
        <v>46136</v>
      </c>
      <c r="D106" t="s">
        <v>1967</v>
      </c>
      <c r="E106" s="762">
        <f>_xlfn.XLOOKUP(D106,RUC!$B$3:$B$123,RUC!$D$3:$D$123)</f>
        <v>20601769396</v>
      </c>
      <c r="G106" s="762">
        <v>37</v>
      </c>
      <c r="H106" s="762" t="s">
        <v>108</v>
      </c>
      <c r="I106" s="703">
        <v>3.03</v>
      </c>
      <c r="J106" s="596">
        <v>17.3</v>
      </c>
      <c r="K106" s="703">
        <f t="shared" si="72"/>
        <v>2.5059999999999998</v>
      </c>
      <c r="L106" s="1745">
        <v>0.23300000000000001</v>
      </c>
      <c r="M106" s="994">
        <f>ROUND(+IF(L106&gt;_xlfn.XLOOKUP(AN106,RUC!M:M,RUC!K:K),L106*_xlfn.XLOOKUP(AN106,RUC!M:M,RUC!I:I),L106-_xlfn.XLOOKUP(AN106,RUC!M:M,RUC!J:J)),3)</f>
        <v>0.214</v>
      </c>
      <c r="N106" s="1196">
        <f t="shared" si="86"/>
        <v>0.214</v>
      </c>
      <c r="O106" s="645">
        <f t="shared" si="79"/>
        <v>0.214</v>
      </c>
      <c r="P106" s="727">
        <v>90</v>
      </c>
      <c r="Q106" s="1476">
        <v>98.28</v>
      </c>
      <c r="R106" s="706">
        <v>4711.6499999999996</v>
      </c>
      <c r="S106" s="765">
        <f>IF((_xlfn.XLOOKUP(D106,RUC!$B$3:$B$119,RUC!$E$3:$E$119)+ROUNDDOWN(O106,1)*100)&lt;95,95,((_xlfn.XLOOKUP(D106,RUC!$B$3:$B$119,RUC!$E$3:$E$119)+ROUNDDOWN(O106,1)*100)))</f>
        <v>110</v>
      </c>
      <c r="U106" s="1146">
        <f>_xlfn.XLOOKUP(D106,RUC!$B$3:$B$123,RUC!$F$3:$F$123)</f>
        <v>120</v>
      </c>
      <c r="V106" s="715">
        <v>1.1023000000000001</v>
      </c>
      <c r="Y106" s="1445">
        <v>30</v>
      </c>
      <c r="Z106" s="1454">
        <v>70</v>
      </c>
      <c r="AA106" s="144">
        <f t="shared" si="80"/>
        <v>100</v>
      </c>
      <c r="AB106" s="145">
        <f t="shared" si="81"/>
        <v>743.33797811699992</v>
      </c>
      <c r="AC106" s="145">
        <f>+(S106-T106)*V106-'data 1'!$F$4</f>
        <v>41.253</v>
      </c>
      <c r="AD106" s="145">
        <f t="shared" si="82"/>
        <v>97.646086387458013</v>
      </c>
      <c r="AE106" s="145">
        <f t="shared" si="83"/>
        <v>40.230000000000004</v>
      </c>
      <c r="AF106" s="145">
        <f t="shared" si="84"/>
        <v>94.512082495194065</v>
      </c>
      <c r="AG106" s="772">
        <f t="shared" si="87"/>
        <v>290.6411688826521</v>
      </c>
      <c r="AH106" s="1253">
        <f t="shared" si="74"/>
        <v>19.675000000000001</v>
      </c>
      <c r="AI106" s="1253">
        <f t="shared" si="75"/>
        <v>20.018999999999998</v>
      </c>
      <c r="AJ106" s="156">
        <f t="shared" si="76"/>
        <v>77.833189749042106</v>
      </c>
      <c r="AK106" s="156">
        <f t="shared" si="77"/>
        <v>16.548034540505579</v>
      </c>
      <c r="AM106" s="716">
        <f t="shared" si="61"/>
        <v>1862.8049731612016</v>
      </c>
      <c r="AN106" s="716" t="str">
        <f>_xlfn.XLOOKUP(D106,RUC!$B$3:$B$578,RUC!$M$3:$M$578)</f>
        <v>Evelyn</v>
      </c>
      <c r="AO106" s="1167" t="s">
        <v>2280</v>
      </c>
      <c r="AP106" s="1843">
        <v>279</v>
      </c>
      <c r="AQ106" s="1082" t="s">
        <v>5426</v>
      </c>
    </row>
    <row r="107" spans="1:43" ht="15" customHeight="1">
      <c r="A107" s="747" t="s">
        <v>5414</v>
      </c>
      <c r="B107" s="1447">
        <v>46140</v>
      </c>
      <c r="C107" s="1447">
        <v>46136</v>
      </c>
      <c r="D107" t="s">
        <v>1967</v>
      </c>
      <c r="E107" s="762">
        <f>_xlfn.XLOOKUP(D107,RUC!$B$3:$B$123,RUC!$D$3:$D$123)</f>
        <v>20601769396</v>
      </c>
      <c r="G107" s="762">
        <v>81</v>
      </c>
      <c r="H107" s="762" t="s">
        <v>108</v>
      </c>
      <c r="I107" s="703">
        <v>6.89</v>
      </c>
      <c r="J107" s="596">
        <v>15.98</v>
      </c>
      <c r="K107" s="703">
        <f t="shared" si="72"/>
        <v>5.7889999999999997</v>
      </c>
      <c r="L107" s="1745">
        <v>0.29499999999999998</v>
      </c>
      <c r="M107" s="994">
        <f>ROUND(+IF(L107&gt;_xlfn.XLOOKUP(AN107,RUC!M:M,RUC!K:K),L107*_xlfn.XLOOKUP(AN107,RUC!M:M,RUC!I:I),L107-_xlfn.XLOOKUP(AN107,RUC!M:M,RUC!J:J)),3)</f>
        <v>0.27600000000000002</v>
      </c>
      <c r="N107" s="1444">
        <v>0.316</v>
      </c>
      <c r="O107" s="645">
        <f t="shared" si="79"/>
        <v>0.29599999999999999</v>
      </c>
      <c r="P107" s="727">
        <v>90</v>
      </c>
      <c r="Q107" s="1476">
        <v>94.58</v>
      </c>
      <c r="R107" s="706">
        <v>4711.6499999999996</v>
      </c>
      <c r="S107" s="765">
        <f>IF((_xlfn.XLOOKUP(D107,RUC!$B$3:$B$119,RUC!$E$3:$E$119)+ROUNDDOWN(O107,1)*100)&lt;95,95,((_xlfn.XLOOKUP(D107,RUC!$B$3:$B$119,RUC!$E$3:$E$119)+ROUNDDOWN(O107,1)*100)))</f>
        <v>110</v>
      </c>
      <c r="U107" s="1146">
        <f>_xlfn.XLOOKUP(D107,RUC!$B$3:$B$123,RUC!$F$3:$F$123)</f>
        <v>120</v>
      </c>
      <c r="V107" s="715">
        <v>1.1023000000000001</v>
      </c>
      <c r="Y107" s="1445">
        <v>30</v>
      </c>
      <c r="Z107" s="1454">
        <v>70</v>
      </c>
      <c r="AA107" s="144">
        <f t="shared" si="80"/>
        <v>100</v>
      </c>
      <c r="AB107" s="145">
        <f t="shared" si="81"/>
        <v>1116.867511788</v>
      </c>
      <c r="AC107" s="145">
        <f>+(S107-T107)*V107-'data 1'!$F$4</f>
        <v>41.253</v>
      </c>
      <c r="AD107" s="145">
        <f t="shared" si="82"/>
        <v>68.384248366244961</v>
      </c>
      <c r="AE107" s="145">
        <f t="shared" si="83"/>
        <v>40.230000000000004</v>
      </c>
      <c r="AF107" s="145">
        <f t="shared" si="84"/>
        <v>-4.7870492269110052</v>
      </c>
      <c r="AG107" s="772">
        <f t="shared" si="87"/>
        <v>162.08019913933396</v>
      </c>
      <c r="AH107" s="1253">
        <f t="shared" si="74"/>
        <v>55.378</v>
      </c>
      <c r="AI107" s="1253">
        <f t="shared" si="75"/>
        <v>58.551000000000002</v>
      </c>
      <c r="AJ107" s="156">
        <f t="shared" si="76"/>
        <v>94.834222031255123</v>
      </c>
      <c r="AK107" s="156">
        <f t="shared" si="77"/>
        <v>52.874568882674282</v>
      </c>
      <c r="AM107" s="716">
        <f t="shared" si="61"/>
        <v>6465.5460257407312</v>
      </c>
      <c r="AN107" s="716" t="str">
        <f>_xlfn.XLOOKUP(D107,RUC!$B$3:$B$578,RUC!$M$3:$M$578)</f>
        <v>Evelyn</v>
      </c>
      <c r="AO107" s="1167" t="s">
        <v>2280</v>
      </c>
      <c r="AP107" s="1843">
        <v>279</v>
      </c>
      <c r="AQ107" s="1082" t="s">
        <v>5426</v>
      </c>
    </row>
    <row r="108" spans="1:43" ht="15" customHeight="1">
      <c r="A108" s="747" t="s">
        <v>5415</v>
      </c>
      <c r="B108" s="1447">
        <v>46140</v>
      </c>
      <c r="C108" s="1447">
        <v>46136</v>
      </c>
      <c r="D108" t="s">
        <v>1967</v>
      </c>
      <c r="E108" s="762">
        <f>_xlfn.XLOOKUP(D108,RUC!$B$3:$B$123,RUC!$D$3:$D$123)</f>
        <v>20601769396</v>
      </c>
      <c r="G108" s="762">
        <v>50</v>
      </c>
      <c r="H108" s="762" t="s">
        <v>108</v>
      </c>
      <c r="I108" s="703">
        <v>2.74</v>
      </c>
      <c r="J108" s="596">
        <v>3</v>
      </c>
      <c r="K108" s="703">
        <f t="shared" si="72"/>
        <v>2.6579999999999999</v>
      </c>
      <c r="L108" s="1745">
        <v>0.71199999999999997</v>
      </c>
      <c r="M108" s="994">
        <f>ROUND(+IF(L108&gt;_xlfn.XLOOKUP(AN108,RUC!M:M,RUC!K:K),L108*_xlfn.XLOOKUP(AN108,RUC!M:M,RUC!I:I),L108-_xlfn.XLOOKUP(AN108,RUC!M:M,RUC!J:J)),3)</f>
        <v>0.66900000000000004</v>
      </c>
      <c r="N108" s="1196">
        <f t="shared" si="86"/>
        <v>0.66900000000000004</v>
      </c>
      <c r="O108" s="645">
        <f t="shared" si="79"/>
        <v>0.66900000000000004</v>
      </c>
      <c r="P108" s="727">
        <v>90</v>
      </c>
      <c r="Q108" s="1476">
        <v>96.91</v>
      </c>
      <c r="R108" s="706">
        <v>4711.6499999999996</v>
      </c>
      <c r="S108" s="765">
        <f>IF((_xlfn.XLOOKUP(D108,RUC!$B$3:$B$119,RUC!$E$3:$E$119)+ROUNDDOWN(O108,1)*100)&lt;95,95,((_xlfn.XLOOKUP(D108,RUC!$B$3:$B$119,RUC!$E$3:$E$119)+ROUNDDOWN(O108,1)*100)))</f>
        <v>150</v>
      </c>
      <c r="U108" s="1146">
        <f>_xlfn.XLOOKUP(D108,RUC!$B$3:$B$123,RUC!$F$3:$F$123)</f>
        <v>120</v>
      </c>
      <c r="V108" s="715">
        <v>1.1023000000000001</v>
      </c>
      <c r="Y108" s="1445">
        <v>30</v>
      </c>
      <c r="Z108" s="1454">
        <v>70</v>
      </c>
      <c r="AA108" s="144">
        <f t="shared" si="80"/>
        <v>100</v>
      </c>
      <c r="AB108" s="145">
        <f t="shared" si="81"/>
        <v>2771.8793661695004</v>
      </c>
      <c r="AC108" s="145">
        <f>+(S108-T108)*V108-'data 1'!$F$4</f>
        <v>85.344999999999999</v>
      </c>
      <c r="AD108" s="145">
        <f t="shared" si="82"/>
        <v>249.01564001336385</v>
      </c>
      <c r="AE108" s="145">
        <f t="shared" si="83"/>
        <v>40.230000000000004</v>
      </c>
      <c r="AF108" s="145">
        <f t="shared" si="84"/>
        <v>210.91410916618312</v>
      </c>
      <c r="AG108" s="772">
        <f t="shared" si="87"/>
        <v>602.50474917954705</v>
      </c>
      <c r="AH108" s="1253">
        <f t="shared" si="74"/>
        <v>62.88</v>
      </c>
      <c r="AI108" s="1253">
        <f t="shared" si="75"/>
        <v>64.885000000000005</v>
      </c>
      <c r="AJ108" s="156">
        <f t="shared" si="76"/>
        <v>234.52672953463627</v>
      </c>
      <c r="AK108" s="156">
        <f t="shared" si="77"/>
        <v>54.869711041157487</v>
      </c>
      <c r="AM108" s="716">
        <f t="shared" si="61"/>
        <v>7367.6553552785317</v>
      </c>
      <c r="AN108" s="716" t="str">
        <f>_xlfn.XLOOKUP(D108,RUC!$B$3:$B$578,RUC!$M$3:$M$578)</f>
        <v>Evelyn</v>
      </c>
      <c r="AO108" s="1167" t="s">
        <v>2280</v>
      </c>
      <c r="AP108" s="1843">
        <v>279</v>
      </c>
      <c r="AQ108" s="1082" t="s">
        <v>5426</v>
      </c>
    </row>
    <row r="109" spans="1:43" ht="15" customHeight="1">
      <c r="A109" s="747" t="s">
        <v>5416</v>
      </c>
      <c r="B109" s="1447">
        <v>46140</v>
      </c>
      <c r="C109" s="1447">
        <v>46136</v>
      </c>
      <c r="D109" t="s">
        <v>1967</v>
      </c>
      <c r="E109" s="762">
        <f>_xlfn.XLOOKUP(D109,RUC!$B$3:$B$123,RUC!$D$3:$D$123)</f>
        <v>20601769396</v>
      </c>
      <c r="G109" s="762">
        <v>80</v>
      </c>
      <c r="H109" s="762" t="s">
        <v>108</v>
      </c>
      <c r="I109" s="703">
        <v>6.68</v>
      </c>
      <c r="J109" s="596">
        <v>15.25</v>
      </c>
      <c r="K109" s="703">
        <f t="shared" si="72"/>
        <v>5.6609999999999996</v>
      </c>
      <c r="L109" s="1745">
        <v>0.35199999999999998</v>
      </c>
      <c r="M109" s="994">
        <f>ROUND(+IF(L109&gt;_xlfn.XLOOKUP(AN109,RUC!M:M,RUC!K:K),L109*_xlfn.XLOOKUP(AN109,RUC!M:M,RUC!I:I),L109-_xlfn.XLOOKUP(AN109,RUC!M:M,RUC!J:J)),3)</f>
        <v>0.33100000000000002</v>
      </c>
      <c r="N109" s="1196">
        <f t="shared" si="86"/>
        <v>0.33100000000000002</v>
      </c>
      <c r="O109" s="645">
        <f t="shared" si="79"/>
        <v>0.33100000000000002</v>
      </c>
      <c r="P109" s="727">
        <v>90</v>
      </c>
      <c r="Q109" s="1476">
        <v>95.17</v>
      </c>
      <c r="R109" s="706">
        <v>4711.6499999999996</v>
      </c>
      <c r="S109" s="765">
        <f>IF((_xlfn.XLOOKUP(D109,RUC!$B$3:$B$119,RUC!$E$3:$E$119)+ROUNDDOWN(O109,1)*100)&lt;95,95,((_xlfn.XLOOKUP(D109,RUC!$B$3:$B$119,RUC!$E$3:$E$119)+ROUNDDOWN(O109,1)*100)))</f>
        <v>120</v>
      </c>
      <c r="U109" s="1146">
        <f>_xlfn.XLOOKUP(D109,RUC!$B$3:$B$123,RUC!$F$3:$F$123)</f>
        <v>120</v>
      </c>
      <c r="V109" s="715">
        <v>1.1023000000000001</v>
      </c>
      <c r="Y109" s="1445">
        <v>30</v>
      </c>
      <c r="Z109" s="1454">
        <v>70</v>
      </c>
      <c r="AA109" s="144">
        <f t="shared" si="80"/>
        <v>100</v>
      </c>
      <c r="AB109" s="145">
        <f t="shared" si="81"/>
        <v>1265.2778493305</v>
      </c>
      <c r="AC109" s="145">
        <f>+(S109-T109)*V109-'data 1'!$F$4</f>
        <v>52.27600000000001</v>
      </c>
      <c r="AD109" s="145">
        <f t="shared" si="82"/>
        <v>92.108941267728028</v>
      </c>
      <c r="AE109" s="145">
        <f t="shared" si="83"/>
        <v>40.230000000000004</v>
      </c>
      <c r="AF109" s="145">
        <f t="shared" si="84"/>
        <v>101.15513822613133</v>
      </c>
      <c r="AG109" s="772">
        <f t="shared" si="87"/>
        <v>302.77007949385938</v>
      </c>
      <c r="AH109" s="1253">
        <f t="shared" si="74"/>
        <v>65.02</v>
      </c>
      <c r="AI109" s="1253">
        <f t="shared" si="75"/>
        <v>68.319999999999993</v>
      </c>
      <c r="AJ109" s="156">
        <f t="shared" si="76"/>
        <v>113.86401484427213</v>
      </c>
      <c r="AK109" s="156">
        <f t="shared" si="77"/>
        <v>57.819286403637797</v>
      </c>
      <c r="AM109" s="716">
        <f t="shared" si="61"/>
        <v>7162.7379050599602</v>
      </c>
      <c r="AN109" s="716" t="str">
        <f>_xlfn.XLOOKUP(D109,RUC!$B$3:$B$578,RUC!$M$3:$M$578)</f>
        <v>Evelyn</v>
      </c>
      <c r="AO109" s="1167" t="s">
        <v>2280</v>
      </c>
      <c r="AP109" s="1843">
        <v>279</v>
      </c>
      <c r="AQ109" s="1082" t="s">
        <v>5426</v>
      </c>
    </row>
    <row r="110" spans="1:43" ht="15" customHeight="1">
      <c r="A110" s="747" t="s">
        <v>5417</v>
      </c>
      <c r="B110" s="1447">
        <v>46140</v>
      </c>
      <c r="C110" s="1447">
        <v>46136</v>
      </c>
      <c r="D110" t="s">
        <v>119</v>
      </c>
      <c r="E110" s="762">
        <f>_xlfn.XLOOKUP(D110,RUC!$B$3:$B$123,RUC!$D$3:$D$123)</f>
        <v>10082235774</v>
      </c>
      <c r="G110" s="762">
        <v>56</v>
      </c>
      <c r="H110" s="762" t="s">
        <v>69</v>
      </c>
      <c r="I110" s="703">
        <v>5.44</v>
      </c>
      <c r="J110" s="596">
        <v>2.4500000000000002</v>
      </c>
      <c r="K110" s="703">
        <f t="shared" si="72"/>
        <v>5.3070000000000004</v>
      </c>
      <c r="L110" s="1745">
        <v>0.36899999999999999</v>
      </c>
      <c r="M110" s="994">
        <f>ROUND(+IF(L110&gt;_xlfn.XLOOKUP(AN110,RUC!M:M,RUC!K:K),L110*_xlfn.XLOOKUP(AN110,RUC!M:M,RUC!I:I),L110-_xlfn.XLOOKUP(AN110,RUC!M:M,RUC!J:J)),3)</f>
        <v>0.36199999999999999</v>
      </c>
      <c r="N110" s="1196">
        <f t="shared" si="86"/>
        <v>0.36199999999999999</v>
      </c>
      <c r="O110" s="645">
        <f t="shared" si="79"/>
        <v>0.36199999999999999</v>
      </c>
      <c r="P110" s="727">
        <v>90</v>
      </c>
      <c r="Q110" s="1476">
        <v>91.87</v>
      </c>
      <c r="R110" s="706">
        <v>4711.6499999999996</v>
      </c>
      <c r="S110" s="1164">
        <v>110</v>
      </c>
      <c r="U110" s="1146">
        <f>_xlfn.XLOOKUP(D110,RUC!$B$3:$B$123,RUC!$F$3:$F$123)</f>
        <v>80</v>
      </c>
      <c r="V110" s="715">
        <v>1.1023000000000001</v>
      </c>
      <c r="Y110">
        <f>_xlfn.XLOOKUP(D110,RUC!$B$3:$B$123,RUC!$G$3:$G$123)</f>
        <v>0</v>
      </c>
      <c r="Z110" s="143">
        <f>_xlfn.XLOOKUP(D110,RUC!$B$3:$B$123,RUC!$H$3:$H$123)</f>
        <v>10</v>
      </c>
      <c r="AA110" s="144">
        <f t="shared" si="80"/>
        <v>10</v>
      </c>
      <c r="AB110" s="145">
        <f t="shared" si="81"/>
        <v>1531.0854076109997</v>
      </c>
      <c r="AC110" s="145">
        <f>+(S110-T110)*V110-'data 1'!$F$4</f>
        <v>41.253</v>
      </c>
      <c r="AD110" s="145">
        <f t="shared" si="82"/>
        <v>35.229259425838578</v>
      </c>
      <c r="AE110" s="145">
        <f t="shared" si="83"/>
        <v>-58.977000000000004</v>
      </c>
      <c r="AF110" s="145">
        <f t="shared" si="84"/>
        <v>32.832752842865531</v>
      </c>
      <c r="AG110" s="772">
        <f>AC110+AD110+AE110+AF110+70</f>
        <v>120.33801226870411</v>
      </c>
      <c r="AH110" s="1253">
        <f t="shared" si="74"/>
        <v>61.682000000000002</v>
      </c>
      <c r="AI110" s="1253">
        <f t="shared" si="75"/>
        <v>67.14</v>
      </c>
      <c r="AJ110" s="156">
        <f t="shared" si="76"/>
        <v>100.27703623566164</v>
      </c>
      <c r="AK110" s="156">
        <f t="shared" si="77"/>
        <v>59.280142217443839</v>
      </c>
      <c r="AM110" s="716">
        <f t="shared" si="61"/>
        <v>8125.4702581915762</v>
      </c>
      <c r="AN110" s="716" t="str">
        <f>_xlfn.XLOOKUP(D110,RUC!$B$3:$B$578,RUC!$M$3:$M$578)</f>
        <v>Melchor Vera</v>
      </c>
      <c r="AO110" s="1167" t="s">
        <v>2280</v>
      </c>
      <c r="AP110" s="1843">
        <v>41</v>
      </c>
      <c r="AQ110" s="1082" t="s">
        <v>2991</v>
      </c>
    </row>
    <row r="111" spans="1:43" ht="15" customHeight="1">
      <c r="A111" s="747" t="s">
        <v>5418</v>
      </c>
      <c r="B111" s="1447">
        <v>46140</v>
      </c>
      <c r="C111" s="1447">
        <v>46136</v>
      </c>
      <c r="D111" t="s">
        <v>119</v>
      </c>
      <c r="E111" s="762">
        <f>_xlfn.XLOOKUP(D111,RUC!$B$3:$B$123,RUC!$D$3:$D$123)</f>
        <v>10082235774</v>
      </c>
      <c r="G111" s="762">
        <v>55</v>
      </c>
      <c r="H111" s="762" t="s">
        <v>69</v>
      </c>
      <c r="I111" s="703">
        <v>5.39</v>
      </c>
      <c r="J111" s="596">
        <v>2.1</v>
      </c>
      <c r="K111" s="703">
        <f t="shared" si="72"/>
        <v>5.2770000000000001</v>
      </c>
      <c r="L111" s="1745">
        <v>0.29499999999999998</v>
      </c>
      <c r="M111" s="994">
        <f>ROUND(+IF(L111&gt;_xlfn.XLOOKUP(AN111,RUC!M:M,RUC!K:K),L111*_xlfn.XLOOKUP(AN111,RUC!M:M,RUC!I:I),L111-_xlfn.XLOOKUP(AN111,RUC!M:M,RUC!J:J)),3)</f>
        <v>0.28799999999999998</v>
      </c>
      <c r="N111" s="1196">
        <f t="shared" si="86"/>
        <v>0.28799999999999998</v>
      </c>
      <c r="O111" s="645">
        <f t="shared" si="79"/>
        <v>0.28799999999999998</v>
      </c>
      <c r="P111" s="727">
        <v>90</v>
      </c>
      <c r="Q111" s="1476">
        <v>91.19</v>
      </c>
      <c r="R111" s="706">
        <v>4711.6499999999996</v>
      </c>
      <c r="S111" s="1164">
        <v>105</v>
      </c>
      <c r="U111" s="1146">
        <f>_xlfn.XLOOKUP(D111,RUC!$B$3:$B$123,RUC!$F$3:$F$123)</f>
        <v>80</v>
      </c>
      <c r="V111" s="715">
        <v>1.1023000000000001</v>
      </c>
      <c r="Y111">
        <f>_xlfn.XLOOKUP(D111,RUC!$B$3:$B$123,RUC!$G$3:$G$123)</f>
        <v>0</v>
      </c>
      <c r="Z111" s="143">
        <f>_xlfn.XLOOKUP(D111,RUC!$B$3:$B$123,RUC!$H$3:$H$123)</f>
        <v>10</v>
      </c>
      <c r="AA111" s="144">
        <f t="shared" si="80"/>
        <v>10</v>
      </c>
      <c r="AB111" s="145">
        <f t="shared" si="81"/>
        <v>1196.5727524639999</v>
      </c>
      <c r="AC111" s="145">
        <f>+(S111-T111)*V111-'data 1'!$F$4</f>
        <v>35.741500000000002</v>
      </c>
      <c r="AD111" s="145">
        <f t="shared" si="82"/>
        <v>17.922744694347465</v>
      </c>
      <c r="AE111" s="145">
        <f t="shared" si="83"/>
        <v>-58.977000000000004</v>
      </c>
      <c r="AF111" s="145">
        <f t="shared" si="84"/>
        <v>32.589732575823525</v>
      </c>
      <c r="AG111" s="772">
        <f t="shared" ref="AG111:AG116" si="88">AC111+AD111+AE111+AF111+70</f>
        <v>97.276977270170988</v>
      </c>
      <c r="AH111" s="1253">
        <f t="shared" si="74"/>
        <v>48.67</v>
      </c>
      <c r="AI111" s="1253">
        <f t="shared" si="75"/>
        <v>53.372999999999998</v>
      </c>
      <c r="AJ111" s="156">
        <f t="shared" si="76"/>
        <v>79.573899068152599</v>
      </c>
      <c r="AK111" s="156">
        <f t="shared" si="77"/>
        <v>46.895498918169118</v>
      </c>
      <c r="AM111" s="716">
        <f t="shared" si="61"/>
        <v>6314.3144147525272</v>
      </c>
      <c r="AN111" s="716" t="str">
        <f>_xlfn.XLOOKUP(D111,RUC!$B$3:$B$578,RUC!$M$3:$M$578)</f>
        <v>Melchor Vera</v>
      </c>
      <c r="AO111" s="1167" t="s">
        <v>2280</v>
      </c>
      <c r="AP111" s="1843">
        <v>41</v>
      </c>
      <c r="AQ111" s="1082" t="s">
        <v>2991</v>
      </c>
    </row>
    <row r="112" spans="1:43" ht="15" customHeight="1">
      <c r="A112" s="747" t="s">
        <v>5419</v>
      </c>
      <c r="B112" s="1447">
        <v>46140</v>
      </c>
      <c r="C112" s="1447">
        <v>46136</v>
      </c>
      <c r="D112" t="s">
        <v>119</v>
      </c>
      <c r="E112" s="762">
        <f>_xlfn.XLOOKUP(D112,RUC!$B$3:$B$123,RUC!$D$3:$D$123)</f>
        <v>10082235774</v>
      </c>
      <c r="G112" s="762">
        <v>68</v>
      </c>
      <c r="H112" s="762" t="s">
        <v>69</v>
      </c>
      <c r="I112" s="703">
        <v>6.55</v>
      </c>
      <c r="J112" s="596">
        <v>3.1</v>
      </c>
      <c r="K112" s="703">
        <f t="shared" si="72"/>
        <v>6.3470000000000004</v>
      </c>
      <c r="L112" s="1745">
        <v>0.38500000000000001</v>
      </c>
      <c r="M112" s="994">
        <f>ROUND(+IF(L112&gt;_xlfn.XLOOKUP(AN112,RUC!M:M,RUC!K:K),L112*_xlfn.XLOOKUP(AN112,RUC!M:M,RUC!I:I),L112-_xlfn.XLOOKUP(AN112,RUC!M:M,RUC!J:J)),3)</f>
        <v>0.378</v>
      </c>
      <c r="N112" s="1196">
        <f t="shared" si="86"/>
        <v>0.378</v>
      </c>
      <c r="O112" s="645">
        <f t="shared" si="79"/>
        <v>0.378</v>
      </c>
      <c r="P112" s="727">
        <v>90</v>
      </c>
      <c r="Q112" s="1476">
        <v>91.17</v>
      </c>
      <c r="R112" s="706">
        <v>4711.6499999999996</v>
      </c>
      <c r="S112" s="1164">
        <v>110</v>
      </c>
      <c r="U112" s="1146">
        <f>_xlfn.XLOOKUP(D112,RUC!$B$3:$B$123,RUC!$F$3:$F$123)</f>
        <v>80</v>
      </c>
      <c r="V112" s="715">
        <v>1.1023000000000001</v>
      </c>
      <c r="Y112">
        <f>_xlfn.XLOOKUP(D112,RUC!$B$3:$B$123,RUC!$G$3:$G$123)</f>
        <v>0</v>
      </c>
      <c r="Z112" s="143">
        <f>_xlfn.XLOOKUP(D112,RUC!$B$3:$B$123,RUC!$H$3:$H$123)</f>
        <v>10</v>
      </c>
      <c r="AA112" s="144">
        <f t="shared" si="80"/>
        <v>10</v>
      </c>
      <c r="AB112" s="145">
        <f t="shared" si="81"/>
        <v>1604.604143859</v>
      </c>
      <c r="AC112" s="145">
        <f>+(S112-T112)*V112-'data 1'!$F$4</f>
        <v>41.253</v>
      </c>
      <c r="AD112" s="145">
        <f t="shared" si="82"/>
        <v>22.99757968257753</v>
      </c>
      <c r="AE112" s="145">
        <f t="shared" si="83"/>
        <v>-58.977000000000004</v>
      </c>
      <c r="AF112" s="145">
        <f t="shared" si="84"/>
        <v>32.582584920910527</v>
      </c>
      <c r="AG112" s="772">
        <f t="shared" si="88"/>
        <v>107.85616460348805</v>
      </c>
      <c r="AH112" s="1253">
        <f t="shared" si="74"/>
        <v>76.382000000000005</v>
      </c>
      <c r="AI112" s="1253">
        <f t="shared" si="75"/>
        <v>83.78</v>
      </c>
      <c r="AJ112" s="156">
        <f t="shared" si="76"/>
        <v>103.82790506492265</v>
      </c>
      <c r="AK112" s="156">
        <f t="shared" si="77"/>
        <v>74.030703575729675</v>
      </c>
      <c r="AM112" s="716">
        <f t="shared" si="61"/>
        <v>10184.422501073073</v>
      </c>
      <c r="AN112" s="716" t="str">
        <f>_xlfn.XLOOKUP(D112,RUC!$B$3:$B$578,RUC!$M$3:$M$578)</f>
        <v>Melchor Vera</v>
      </c>
      <c r="AO112" s="1167" t="s">
        <v>2279</v>
      </c>
      <c r="AP112" s="1843">
        <v>41</v>
      </c>
      <c r="AQ112" s="1082" t="s">
        <v>2991</v>
      </c>
    </row>
    <row r="113" spans="1:56" ht="15" customHeight="1">
      <c r="A113" s="747" t="s">
        <v>5420</v>
      </c>
      <c r="B113" s="1447">
        <v>46140</v>
      </c>
      <c r="C113" s="1447">
        <v>46136</v>
      </c>
      <c r="D113" t="s">
        <v>119</v>
      </c>
      <c r="E113" s="762">
        <f>_xlfn.XLOOKUP(D113,RUC!$B$3:$B$123,RUC!$D$3:$D$123)</f>
        <v>10082235774</v>
      </c>
      <c r="G113" s="762">
        <v>46</v>
      </c>
      <c r="H113" s="762" t="s">
        <v>69</v>
      </c>
      <c r="I113" s="703">
        <v>4.26</v>
      </c>
      <c r="J113" s="596">
        <v>2.15</v>
      </c>
      <c r="K113" s="703">
        <f t="shared" si="72"/>
        <v>4.1680000000000001</v>
      </c>
      <c r="L113" s="1745">
        <v>0.26900000000000002</v>
      </c>
      <c r="M113" s="994">
        <f>ROUND(+IF(L113&gt;_xlfn.XLOOKUP(AN113,RUC!M:M,RUC!K:K),L113*_xlfn.XLOOKUP(AN113,RUC!M:M,RUC!I:I),L113-_xlfn.XLOOKUP(AN113,RUC!M:M,RUC!J:J)),3)</f>
        <v>0.26200000000000001</v>
      </c>
      <c r="N113" s="1196">
        <f t="shared" si="86"/>
        <v>0.26200000000000001</v>
      </c>
      <c r="O113" s="645">
        <f t="shared" si="79"/>
        <v>0.26200000000000001</v>
      </c>
      <c r="P113" s="727">
        <v>90</v>
      </c>
      <c r="Q113" s="1476">
        <v>95.54</v>
      </c>
      <c r="R113" s="706">
        <v>4711.6499999999996</v>
      </c>
      <c r="S113" s="1164">
        <v>105</v>
      </c>
      <c r="U113" s="1146">
        <f>_xlfn.XLOOKUP(D113,RUC!$B$3:$B$123,RUC!$F$3:$F$123)</f>
        <v>80</v>
      </c>
      <c r="V113" s="715">
        <v>1.1023000000000001</v>
      </c>
      <c r="Y113">
        <f>_xlfn.XLOOKUP(D113,RUC!$B$3:$B$123,RUC!$G$3:$G$123)</f>
        <v>0</v>
      </c>
      <c r="Z113" s="143">
        <f>_xlfn.XLOOKUP(D113,RUC!$B$3:$B$123,RUC!$H$3:$H$123)</f>
        <v>10</v>
      </c>
      <c r="AA113" s="144">
        <f t="shared" si="80"/>
        <v>10</v>
      </c>
      <c r="AB113" s="145">
        <f t="shared" si="81"/>
        <v>1077.1048060610001</v>
      </c>
      <c r="AC113" s="145">
        <f>+(S113-T113)*V113-'data 1'!$F$4</f>
        <v>35.741500000000002</v>
      </c>
      <c r="AD113" s="145">
        <f t="shared" si="82"/>
        <v>76.084744361767093</v>
      </c>
      <c r="AE113" s="145">
        <f t="shared" si="83"/>
        <v>-58.977000000000004</v>
      </c>
      <c r="AF113" s="145">
        <f t="shared" si="84"/>
        <v>34.14434751940103</v>
      </c>
      <c r="AG113" s="772">
        <f t="shared" si="88"/>
        <v>156.99359188116813</v>
      </c>
      <c r="AH113" s="1253">
        <f t="shared" si="74"/>
        <v>36.725999999999999</v>
      </c>
      <c r="AI113" s="1253">
        <f t="shared" si="75"/>
        <v>38.441000000000003</v>
      </c>
      <c r="AJ113" s="156">
        <f t="shared" si="76"/>
        <v>76.021935770733108</v>
      </c>
      <c r="AK113" s="156">
        <f t="shared" si="77"/>
        <v>33.696173085127924</v>
      </c>
      <c r="AM113" s="716">
        <f t="shared" si="61"/>
        <v>4489.3728316622482</v>
      </c>
      <c r="AN113" s="716" t="str">
        <f>_xlfn.XLOOKUP(D113,RUC!$B$3:$B$578,RUC!$M$3:$M$578)</f>
        <v>Melchor Vera</v>
      </c>
      <c r="AO113" s="1167" t="s">
        <v>2279</v>
      </c>
      <c r="AP113" s="1843">
        <v>41</v>
      </c>
      <c r="AQ113" s="1082" t="s">
        <v>2991</v>
      </c>
    </row>
    <row r="114" spans="1:56" ht="15" customHeight="1">
      <c r="A114" s="747" t="s">
        <v>5421</v>
      </c>
      <c r="B114" s="1447">
        <v>46140</v>
      </c>
      <c r="C114" s="1447">
        <v>46136</v>
      </c>
      <c r="D114" t="s">
        <v>119</v>
      </c>
      <c r="E114" s="762">
        <f>_xlfn.XLOOKUP(D114,RUC!$B$3:$B$123,RUC!$D$3:$D$123)</f>
        <v>10082235774</v>
      </c>
      <c r="G114" s="762">
        <v>54</v>
      </c>
      <c r="H114" s="762" t="s">
        <v>69</v>
      </c>
      <c r="I114" s="703">
        <v>4.91</v>
      </c>
      <c r="J114" s="596">
        <v>2.2000000000000002</v>
      </c>
      <c r="K114" s="703">
        <f t="shared" si="72"/>
        <v>4.8019999999999996</v>
      </c>
      <c r="L114" s="1745">
        <v>0.26100000000000001</v>
      </c>
      <c r="M114" s="994">
        <f>ROUND(+IF(L114&gt;_xlfn.XLOOKUP(AN114,RUC!M:M,RUC!K:K),L114*_xlfn.XLOOKUP(AN114,RUC!M:M,RUC!I:I),L114-_xlfn.XLOOKUP(AN114,RUC!M:M,RUC!J:J)),3)</f>
        <v>0.254</v>
      </c>
      <c r="N114" s="1196">
        <f t="shared" si="86"/>
        <v>0.254</v>
      </c>
      <c r="O114" s="645">
        <f t="shared" si="79"/>
        <v>0.254</v>
      </c>
      <c r="P114" s="727">
        <v>90</v>
      </c>
      <c r="Q114" s="1476">
        <v>93.49</v>
      </c>
      <c r="R114" s="706">
        <v>4711.6499999999996</v>
      </c>
      <c r="S114" s="1164">
        <v>105</v>
      </c>
      <c r="U114" s="1146">
        <f>_xlfn.XLOOKUP(D114,RUC!$B$3:$B$123,RUC!$F$3:$F$123)</f>
        <v>80</v>
      </c>
      <c r="V114" s="715">
        <v>1.1023000000000001</v>
      </c>
      <c r="Y114">
        <f>_xlfn.XLOOKUP(D114,RUC!$B$3:$B$123,RUC!$G$3:$G$123)</f>
        <v>0</v>
      </c>
      <c r="Z114" s="143">
        <f>_xlfn.XLOOKUP(D114,RUC!$B$3:$B$123,RUC!$H$3:$H$123)</f>
        <v>10</v>
      </c>
      <c r="AA114" s="144">
        <f t="shared" si="80"/>
        <v>10</v>
      </c>
      <c r="AB114" s="145">
        <f t="shared" si="81"/>
        <v>1040.3454379369998</v>
      </c>
      <c r="AC114" s="145">
        <f>+(S114-T114)*V114-'data 1'!$F$4</f>
        <v>35.741500000000002</v>
      </c>
      <c r="AD114" s="145">
        <f t="shared" si="82"/>
        <v>46.505195597875428</v>
      </c>
      <c r="AE114" s="145">
        <f t="shared" si="83"/>
        <v>-58.977000000000004</v>
      </c>
      <c r="AF114" s="145">
        <f t="shared" si="84"/>
        <v>33.411712890818528</v>
      </c>
      <c r="AG114" s="772">
        <f t="shared" si="88"/>
        <v>126.68140848869396</v>
      </c>
      <c r="AH114" s="1253">
        <f t="shared" si="74"/>
        <v>40.173000000000002</v>
      </c>
      <c r="AI114" s="1253">
        <f t="shared" si="75"/>
        <v>42.970999999999997</v>
      </c>
      <c r="AJ114" s="156">
        <f t="shared" si="76"/>
        <v>72.178370659624591</v>
      </c>
      <c r="AK114" s="156">
        <f t="shared" si="77"/>
        <v>37.636345878920459</v>
      </c>
      <c r="AM114" s="716">
        <f t="shared" si="61"/>
        <v>4995.7387929734723</v>
      </c>
      <c r="AN114" s="716" t="str">
        <f>_xlfn.XLOOKUP(D114,RUC!$B$3:$B$578,RUC!$M$3:$M$578)</f>
        <v>Melchor Vera</v>
      </c>
      <c r="AO114" s="1167" t="s">
        <v>2279</v>
      </c>
      <c r="AP114" s="1843">
        <v>41</v>
      </c>
      <c r="AQ114" s="1082" t="s">
        <v>2991</v>
      </c>
    </row>
    <row r="115" spans="1:56" ht="15" customHeight="1">
      <c r="A115" s="747" t="s">
        <v>5422</v>
      </c>
      <c r="B115" s="1447">
        <v>46140</v>
      </c>
      <c r="C115" s="1447">
        <v>46137</v>
      </c>
      <c r="D115" t="s">
        <v>119</v>
      </c>
      <c r="E115" s="762">
        <f>_xlfn.XLOOKUP(D115,RUC!$B$3:$B$123,RUC!$D$3:$D$123)</f>
        <v>10082235774</v>
      </c>
      <c r="G115" s="762">
        <v>49</v>
      </c>
      <c r="H115" s="762" t="s">
        <v>69</v>
      </c>
      <c r="I115" s="703">
        <v>4.6399999999999997</v>
      </c>
      <c r="J115" s="596">
        <v>2.25</v>
      </c>
      <c r="K115" s="703">
        <f t="shared" si="72"/>
        <v>4.5359999999999996</v>
      </c>
      <c r="L115" s="1745">
        <v>0.249</v>
      </c>
      <c r="M115" s="994">
        <f>ROUND(+IF(L115&gt;_xlfn.XLOOKUP(AN115,RUC!M:M,RUC!K:K),L115*_xlfn.XLOOKUP(AN115,RUC!M:M,RUC!I:I),L115-_xlfn.XLOOKUP(AN115,RUC!M:M,RUC!J:J)),3)</f>
        <v>0.24199999999999999</v>
      </c>
      <c r="N115" s="1196">
        <f t="shared" si="86"/>
        <v>0.24199999999999999</v>
      </c>
      <c r="O115" s="645">
        <f t="shared" si="79"/>
        <v>0.24199999999999999</v>
      </c>
      <c r="P115" s="727">
        <v>85</v>
      </c>
      <c r="Q115" s="1476">
        <v>90.76</v>
      </c>
      <c r="R115" s="706">
        <v>4711.6499999999996</v>
      </c>
      <c r="S115" s="1164">
        <v>105</v>
      </c>
      <c r="U115" s="1146">
        <f>_xlfn.XLOOKUP(D115,RUC!$B$3:$B$123,RUC!$F$3:$F$123)</f>
        <v>80</v>
      </c>
      <c r="V115" s="715">
        <v>1.1023000000000001</v>
      </c>
      <c r="Y115">
        <f>_xlfn.XLOOKUP(D115,RUC!$B$3:$B$123,RUC!$G$3:$G$123)</f>
        <v>0</v>
      </c>
      <c r="Z115" s="143">
        <f>_xlfn.XLOOKUP(D115,RUC!$B$3:$B$123,RUC!$H$3:$H$123)</f>
        <v>10</v>
      </c>
      <c r="AA115" s="144">
        <f t="shared" si="80"/>
        <v>10</v>
      </c>
      <c r="AB115" s="145">
        <f t="shared" si="81"/>
        <v>923.43022543149993</v>
      </c>
      <c r="AC115" s="145">
        <f>+(S115-T115)*V115-'data 1'!$F$4</f>
        <v>35.741500000000002</v>
      </c>
      <c r="AD115" s="145">
        <f t="shared" si="82"/>
        <v>73.224661303008062</v>
      </c>
      <c r="AE115" s="145">
        <f t="shared" si="83"/>
        <v>-58.977000000000004</v>
      </c>
      <c r="AF115" s="145">
        <f t="shared" si="84"/>
        <v>32.436057995194027</v>
      </c>
      <c r="AG115" s="772">
        <f t="shared" si="88"/>
        <v>152.42521929820208</v>
      </c>
      <c r="AH115" s="1253">
        <f t="shared" si="74"/>
        <v>35.146000000000001</v>
      </c>
      <c r="AI115" s="1253">
        <f t="shared" si="75"/>
        <v>38.723999999999997</v>
      </c>
      <c r="AJ115" s="156">
        <f t="shared" si="76"/>
        <v>66.849050233242096</v>
      </c>
      <c r="AK115" s="156">
        <f t="shared" si="77"/>
        <v>31.99015960407036</v>
      </c>
      <c r="AM115" s="716">
        <f t="shared" si="61"/>
        <v>4188.6795025572837</v>
      </c>
      <c r="AN115" s="716" t="str">
        <f>_xlfn.XLOOKUP(D115,RUC!$B$3:$B$578,RUC!$M$3:$M$578)</f>
        <v>Melchor Vera</v>
      </c>
      <c r="AO115" s="1167" t="s">
        <v>2279</v>
      </c>
      <c r="AP115" s="1843">
        <v>41</v>
      </c>
      <c r="AQ115" s="1082" t="s">
        <v>2991</v>
      </c>
    </row>
    <row r="116" spans="1:56" ht="15" customHeight="1">
      <c r="A116" s="747" t="s">
        <v>5423</v>
      </c>
      <c r="B116" s="1447">
        <v>46140</v>
      </c>
      <c r="C116" s="1447">
        <v>46137</v>
      </c>
      <c r="D116" t="s">
        <v>119</v>
      </c>
      <c r="E116" s="762">
        <f>_xlfn.XLOOKUP(D116,RUC!$B$3:$B$123,RUC!$D$3:$D$123)</f>
        <v>10082235774</v>
      </c>
      <c r="G116" s="762">
        <v>67</v>
      </c>
      <c r="H116" s="762" t="s">
        <v>69</v>
      </c>
      <c r="I116" s="703">
        <v>6.06</v>
      </c>
      <c r="J116" s="596">
        <v>2.1</v>
      </c>
      <c r="K116" s="703">
        <f t="shared" si="72"/>
        <v>5.9329999999999998</v>
      </c>
      <c r="L116" s="1745">
        <v>0.28199999999999997</v>
      </c>
      <c r="M116" s="994">
        <f>ROUND(+IF(L116&gt;_xlfn.XLOOKUP(AN116,RUC!M:M,RUC!K:K),L116*_xlfn.XLOOKUP(AN116,RUC!M:M,RUC!I:I),L116-_xlfn.XLOOKUP(AN116,RUC!M:M,RUC!J:J)),3)</f>
        <v>0.27500000000000002</v>
      </c>
      <c r="N116" s="1196">
        <f t="shared" si="86"/>
        <v>0.27500000000000002</v>
      </c>
      <c r="O116" s="645">
        <f t="shared" si="79"/>
        <v>0.27500000000000002</v>
      </c>
      <c r="P116" s="727">
        <v>90</v>
      </c>
      <c r="Q116" s="1476">
        <v>94.33</v>
      </c>
      <c r="R116" s="706">
        <v>4711.6499999999996</v>
      </c>
      <c r="S116" s="1164">
        <v>105</v>
      </c>
      <c r="U116" s="1146">
        <f>_xlfn.XLOOKUP(D116,RUC!$B$3:$B$123,RUC!$F$3:$F$123)</f>
        <v>80</v>
      </c>
      <c r="V116" s="715">
        <v>1.1023000000000001</v>
      </c>
      <c r="Y116">
        <f>_xlfn.XLOOKUP(D116,RUC!$B$3:$B$123,RUC!$G$3:$G$123)</f>
        <v>0</v>
      </c>
      <c r="Z116" s="143">
        <f>_xlfn.XLOOKUP(D116,RUC!$B$3:$B$123,RUC!$H$3:$H$123)</f>
        <v>10</v>
      </c>
      <c r="AA116" s="144">
        <f t="shared" si="80"/>
        <v>10</v>
      </c>
      <c r="AB116" s="145">
        <f t="shared" si="81"/>
        <v>1136.8387792625003</v>
      </c>
      <c r="AC116" s="145">
        <f>+(S116-T116)*V116-'data 1'!$F$4</f>
        <v>35.741500000000002</v>
      </c>
      <c r="AD116" s="145">
        <f t="shared" si="82"/>
        <v>62.340825057626965</v>
      </c>
      <c r="AE116" s="145">
        <f t="shared" si="83"/>
        <v>-58.977000000000004</v>
      </c>
      <c r="AF116" s="145">
        <f t="shared" si="84"/>
        <v>33.711914397164264</v>
      </c>
      <c r="AG116" s="772">
        <f t="shared" si="88"/>
        <v>142.81723945479123</v>
      </c>
      <c r="AH116" s="1253">
        <f t="shared" si="74"/>
        <v>54.110999999999997</v>
      </c>
      <c r="AI116" s="1253">
        <f t="shared" si="75"/>
        <v>57.363</v>
      </c>
      <c r="AJ116" s="156">
        <f t="shared" si="76"/>
        <v>78.686522033373109</v>
      </c>
      <c r="AK116" s="156">
        <f t="shared" si="77"/>
        <v>50.345263806910879</v>
      </c>
      <c r="AM116" s="716">
        <f t="shared" ref="AM116:AM121" si="89">+IF(AB116*K116&gt;0,AB116*K116,0)</f>
        <v>6744.8644773644146</v>
      </c>
      <c r="AN116" s="716" t="str">
        <f>_xlfn.XLOOKUP(D116,RUC!$B$3:$B$578,RUC!$M$3:$M$578)</f>
        <v>Melchor Vera</v>
      </c>
      <c r="AO116" s="1167" t="s">
        <v>2279</v>
      </c>
      <c r="AP116" s="1843">
        <v>41</v>
      </c>
      <c r="AQ116" s="1082" t="s">
        <v>2991</v>
      </c>
    </row>
    <row r="117" spans="1:56" ht="15" customHeight="1">
      <c r="A117" s="747" t="s">
        <v>5430</v>
      </c>
      <c r="B117" s="1447">
        <v>46142</v>
      </c>
      <c r="C117" s="1447">
        <v>46137</v>
      </c>
      <c r="D117" t="s">
        <v>93</v>
      </c>
      <c r="E117" s="762">
        <f>_xlfn.XLOOKUP(D117,RUC!$B$3:$B$123,RUC!$D$3:$D$123)</f>
        <v>20169040231</v>
      </c>
      <c r="G117" s="1082">
        <v>8</v>
      </c>
      <c r="H117" s="762" t="s">
        <v>108</v>
      </c>
      <c r="I117" s="703">
        <v>0.77</v>
      </c>
      <c r="J117" s="596">
        <v>21.4</v>
      </c>
      <c r="K117" s="703">
        <f t="shared" si="72"/>
        <v>0.60499999999999998</v>
      </c>
      <c r="L117" s="1745">
        <v>0.60299999999999998</v>
      </c>
      <c r="M117" s="994">
        <f>ROUND(+IF(L117&gt;_xlfn.XLOOKUP(AN117,RUC!M:M,RUC!K:K),L117*_xlfn.XLOOKUP(AN117,RUC!M:M,RUC!I:I),L117-_xlfn.XLOOKUP(AN117,RUC!M:M,RUC!J:J)),3)</f>
        <v>0.56699999999999995</v>
      </c>
      <c r="N117" s="1196">
        <f t="shared" si="86"/>
        <v>0.56699999999999995</v>
      </c>
      <c r="O117" s="645">
        <f t="shared" si="79"/>
        <v>0.56699999999999995</v>
      </c>
      <c r="P117" s="727">
        <v>90</v>
      </c>
      <c r="Q117" s="1476">
        <v>98.84</v>
      </c>
      <c r="R117" s="706">
        <v>4711.6499999999996</v>
      </c>
      <c r="S117" s="765">
        <f>IF((_xlfn.XLOOKUP(D117,RUC!$B$3:$B$119,RUC!$E$3:$E$119)+ROUNDDOWN(O117,1)*100)&lt;95,95,((_xlfn.XLOOKUP(D117,RUC!$B$3:$B$119,RUC!$E$3:$E$119)+ROUNDDOWN(O117,1)*100)))</f>
        <v>135</v>
      </c>
      <c r="U117" s="1146">
        <f>_xlfn.XLOOKUP(D117,RUC!$B$3:$B$123,RUC!$F$3:$F$123)</f>
        <v>120</v>
      </c>
      <c r="V117" s="715">
        <v>1.1023000000000001</v>
      </c>
      <c r="Y117" s="1445">
        <v>50</v>
      </c>
      <c r="Z117" s="1855">
        <v>40</v>
      </c>
      <c r="AA117" s="144">
        <f t="shared" si="80"/>
        <v>90</v>
      </c>
      <c r="AB117" s="145">
        <f t="shared" si="81"/>
        <v>2334.8025681884992</v>
      </c>
      <c r="AC117" s="145">
        <f>+(S117-T117)*V117-'data 1'!$F$4</f>
        <v>68.810500000000019</v>
      </c>
      <c r="AD117" s="145">
        <f t="shared" si="82"/>
        <v>269.79764902763412</v>
      </c>
      <c r="AE117" s="145">
        <f t="shared" si="83"/>
        <v>29.207000000000001</v>
      </c>
      <c r="AF117" s="145">
        <f t="shared" si="84"/>
        <v>180.09589808800817</v>
      </c>
      <c r="AG117" s="772">
        <f t="shared" ref="AG117:AG121" si="90">AC117+AD117+AE117+AF117+70-53</f>
        <v>564.9110471156423</v>
      </c>
      <c r="AH117" s="1253">
        <f t="shared" si="74"/>
        <v>12.363</v>
      </c>
      <c r="AI117" s="1253">
        <f t="shared" si="75"/>
        <v>12.507999999999999</v>
      </c>
      <c r="AJ117" s="156">
        <f t="shared" si="76"/>
        <v>202.57871362986626</v>
      </c>
      <c r="AK117" s="156">
        <f t="shared" si="77"/>
        <v>10.584979280758573</v>
      </c>
      <c r="AM117" s="716">
        <f t="shared" si="89"/>
        <v>1412.555553754042</v>
      </c>
      <c r="AN117" s="716" t="str">
        <f>_xlfn.XLOOKUP(D117,RUC!$B$3:$B$578,RUC!$M$3:$M$578)</f>
        <v>Ronald Miranda</v>
      </c>
      <c r="AO117" s="1167" t="s">
        <v>2279</v>
      </c>
      <c r="AP117" s="1843">
        <v>6468</v>
      </c>
      <c r="AQ117" s="1082" t="s">
        <v>4252</v>
      </c>
    </row>
    <row r="118" spans="1:56" ht="15" customHeight="1">
      <c r="A118" s="747" t="s">
        <v>5438</v>
      </c>
      <c r="B118" s="1447">
        <v>46142</v>
      </c>
      <c r="C118" s="1447">
        <v>46138</v>
      </c>
      <c r="D118" t="s">
        <v>1967</v>
      </c>
      <c r="E118" s="762">
        <f>_xlfn.XLOOKUP(D118,RUC!$B$3:$B$123,RUC!$D$3:$D$123)</f>
        <v>20601769396</v>
      </c>
      <c r="G118" s="1082">
        <v>114</v>
      </c>
      <c r="H118" s="762" t="s">
        <v>108</v>
      </c>
      <c r="I118" s="703">
        <v>3.91</v>
      </c>
      <c r="J118" s="596">
        <v>15.78</v>
      </c>
      <c r="K118" s="703">
        <f t="shared" si="72"/>
        <v>3.2930000000000001</v>
      </c>
      <c r="L118" s="1745">
        <v>0.41</v>
      </c>
      <c r="M118" s="994">
        <f>ROUND(+IF(L118&gt;_xlfn.XLOOKUP(AN118,RUC!M:M,RUC!K:K),L118*_xlfn.XLOOKUP(AN118,RUC!M:M,RUC!I:I),L118-_xlfn.XLOOKUP(AN118,RUC!M:M,RUC!J:J)),3)</f>
        <v>0.38500000000000001</v>
      </c>
      <c r="N118" s="1196">
        <f t="shared" si="86"/>
        <v>0.38500000000000001</v>
      </c>
      <c r="O118" s="645">
        <f t="shared" si="79"/>
        <v>0.38500000000000001</v>
      </c>
      <c r="P118" s="727">
        <v>90</v>
      </c>
      <c r="Q118" s="1476">
        <v>92.93</v>
      </c>
      <c r="R118" s="706">
        <v>4692.25</v>
      </c>
      <c r="S118" s="765">
        <f>IF((_xlfn.XLOOKUP(D118,RUC!$B$3:$B$119,RUC!$E$3:$E$119)+ROUNDDOWN(O118,1)*100)&lt;95,95,((_xlfn.XLOOKUP(D118,RUC!$B$3:$B$119,RUC!$E$3:$E$119)+ROUNDDOWN(O118,1)*100)))</f>
        <v>120</v>
      </c>
      <c r="U118" s="1146">
        <f>_xlfn.XLOOKUP(D118,RUC!$B$3:$B$123,RUC!$F$3:$F$123)</f>
        <v>120</v>
      </c>
      <c r="V118" s="715">
        <v>1.1023000000000001</v>
      </c>
      <c r="Y118" s="1445">
        <v>30</v>
      </c>
      <c r="Z118" s="1454">
        <v>70</v>
      </c>
      <c r="AA118" s="144">
        <f t="shared" si="80"/>
        <v>100</v>
      </c>
      <c r="AB118" s="145">
        <f t="shared" si="81"/>
        <v>1503.8509421375002</v>
      </c>
      <c r="AC118" s="145">
        <f>+(S118-T118)*V118-'data 1'!$F$4</f>
        <v>52.27600000000001</v>
      </c>
      <c r="AD118" s="145">
        <f t="shared" si="82"/>
        <v>60.545413985275147</v>
      </c>
      <c r="AE118" s="145">
        <f t="shared" si="83"/>
        <v>40.230000000000004</v>
      </c>
      <c r="AF118" s="145">
        <f t="shared" si="84"/>
        <v>117.09159497318737</v>
      </c>
      <c r="AG118" s="772">
        <f t="shared" si="90"/>
        <v>287.14300895846253</v>
      </c>
      <c r="AH118" s="1253">
        <f t="shared" si="74"/>
        <v>43.017000000000003</v>
      </c>
      <c r="AI118" s="1253">
        <f t="shared" si="75"/>
        <v>46.29</v>
      </c>
      <c r="AJ118" s="156">
        <f t="shared" si="76"/>
        <v>137.65192894972503</v>
      </c>
      <c r="AK118" s="156">
        <f t="shared" si="77"/>
        <v>39.120467757057234</v>
      </c>
      <c r="AM118" s="716">
        <f t="shared" si="89"/>
        <v>4952.1811524587883</v>
      </c>
      <c r="AN118" s="716" t="str">
        <f>_xlfn.XLOOKUP(D118,RUC!$B$3:$B$578,RUC!$M$3:$M$578)</f>
        <v>Evelyn</v>
      </c>
      <c r="AO118" s="1167" t="s">
        <v>2279</v>
      </c>
      <c r="AP118" s="1843">
        <v>284</v>
      </c>
      <c r="AQ118" s="1859" t="s">
        <v>5445</v>
      </c>
    </row>
    <row r="119" spans="1:56" ht="15" customHeight="1">
      <c r="A119" s="747" t="s">
        <v>5439</v>
      </c>
      <c r="B119" s="1447">
        <v>46142</v>
      </c>
      <c r="C119" s="1447">
        <v>46138</v>
      </c>
      <c r="D119" t="s">
        <v>1967</v>
      </c>
      <c r="E119" s="762">
        <f>_xlfn.XLOOKUP(D119,RUC!$B$3:$B$123,RUC!$D$3:$D$123)</f>
        <v>20601769396</v>
      </c>
      <c r="G119" s="1082">
        <v>140</v>
      </c>
      <c r="H119" s="762" t="s">
        <v>108</v>
      </c>
      <c r="I119" s="703">
        <v>4.99</v>
      </c>
      <c r="J119" s="596">
        <v>16.48</v>
      </c>
      <c r="K119" s="703">
        <f t="shared" si="72"/>
        <v>4.1680000000000001</v>
      </c>
      <c r="L119" s="1745">
        <v>0.43099999999999999</v>
      </c>
      <c r="M119" s="994">
        <f>ROUND(+IF(L119&gt;_xlfn.XLOOKUP(AN119,RUC!M:M,RUC!K:K),L119*_xlfn.XLOOKUP(AN119,RUC!M:M,RUC!I:I),L119-_xlfn.XLOOKUP(AN119,RUC!M:M,RUC!J:J)),3)</f>
        <v>0.40500000000000003</v>
      </c>
      <c r="N119" s="1444">
        <v>0.47799999999999998</v>
      </c>
      <c r="O119" s="645">
        <f>+ROUND((M119+N119)/2,3)</f>
        <v>0.442</v>
      </c>
      <c r="P119" s="727">
        <v>90</v>
      </c>
      <c r="Q119" s="1476">
        <v>93.97</v>
      </c>
      <c r="R119" s="706">
        <v>4692.25</v>
      </c>
      <c r="S119" s="765">
        <f>IF((_xlfn.XLOOKUP(D119,RUC!$B$3:$B$119,RUC!$E$3:$E$119)+ROUNDDOWN(O119,1)*100)&lt;95,95,((_xlfn.XLOOKUP(D119,RUC!$B$3:$B$119,RUC!$E$3:$E$119)+ROUNDDOWN(O119,1)*100)))</f>
        <v>130</v>
      </c>
      <c r="U119" s="1146">
        <f>_xlfn.XLOOKUP(D119,RUC!$B$3:$B$123,RUC!$F$3:$F$123)</f>
        <v>120</v>
      </c>
      <c r="V119" s="715">
        <v>1.1023000000000001</v>
      </c>
      <c r="Y119" s="1445">
        <v>30</v>
      </c>
      <c r="Z119" s="1454">
        <v>70</v>
      </c>
      <c r="AA119" s="144">
        <f t="shared" si="80"/>
        <v>100</v>
      </c>
      <c r="AB119" s="145">
        <f t="shared" si="81"/>
        <v>1751.3794894150001</v>
      </c>
      <c r="AC119" s="145">
        <f>+(S119-T119)*V119-'data 1'!$F$4</f>
        <v>63.299000000000007</v>
      </c>
      <c r="AD119" s="145">
        <f t="shared" si="82"/>
        <v>86.237776998072476</v>
      </c>
      <c r="AE119" s="145">
        <f t="shared" si="83"/>
        <v>40.230000000000004</v>
      </c>
      <c r="AF119" s="145">
        <f t="shared" si="84"/>
        <v>-52.096876778622551</v>
      </c>
      <c r="AG119" s="772">
        <f t="shared" si="90"/>
        <v>154.66990021944994</v>
      </c>
      <c r="AH119" s="1253">
        <f t="shared" si="74"/>
        <v>57.877000000000002</v>
      </c>
      <c r="AI119" s="1253">
        <f t="shared" si="75"/>
        <v>61.591000000000001</v>
      </c>
      <c r="AJ119" s="156">
        <f t="shared" si="76"/>
        <v>146.3217898084275</v>
      </c>
      <c r="AK119" s="156">
        <f t="shared" si="77"/>
        <v>56.846215662696721</v>
      </c>
      <c r="AM119" s="716">
        <f t="shared" si="89"/>
        <v>7299.7497118817209</v>
      </c>
      <c r="AN119" s="716" t="str">
        <f>_xlfn.XLOOKUP(D119,RUC!$B$3:$B$578,RUC!$M$3:$M$578)</f>
        <v>Evelyn</v>
      </c>
      <c r="AO119" s="1167" t="s">
        <v>2279</v>
      </c>
      <c r="AP119" s="1843">
        <v>284</v>
      </c>
      <c r="AQ119" s="1859" t="s">
        <v>4442</v>
      </c>
    </row>
    <row r="120" spans="1:56" ht="15" customHeight="1">
      <c r="A120" s="747" t="s">
        <v>5440</v>
      </c>
      <c r="B120" s="1447">
        <v>46142</v>
      </c>
      <c r="C120" s="1447">
        <v>46138</v>
      </c>
      <c r="D120" t="s">
        <v>1967</v>
      </c>
      <c r="E120" s="762">
        <f>_xlfn.XLOOKUP(D120,RUC!$B$3:$B$123,RUC!$D$3:$D$123)</f>
        <v>20601769396</v>
      </c>
      <c r="G120" s="1082">
        <v>120</v>
      </c>
      <c r="H120" s="762" t="s">
        <v>108</v>
      </c>
      <c r="I120" s="703">
        <v>4.0999999999999996</v>
      </c>
      <c r="J120" s="596">
        <v>15.6</v>
      </c>
      <c r="K120" s="703">
        <f t="shared" si="72"/>
        <v>3.46</v>
      </c>
      <c r="L120" s="1745">
        <v>0.44400000000000001</v>
      </c>
      <c r="M120" s="994">
        <f>ROUND(+IF(L120&gt;_xlfn.XLOOKUP(AN120,RUC!M:M,RUC!K:K),L120*_xlfn.XLOOKUP(AN120,RUC!M:M,RUC!I:I),L120-_xlfn.XLOOKUP(AN120,RUC!M:M,RUC!J:J)),3)</f>
        <v>0.41699999999999998</v>
      </c>
      <c r="N120" s="1196">
        <f t="shared" si="86"/>
        <v>0.41699999999999998</v>
      </c>
      <c r="O120" s="645">
        <f t="shared" si="79"/>
        <v>0.41699999999999998</v>
      </c>
      <c r="P120" s="727">
        <v>90</v>
      </c>
      <c r="Q120" s="1476">
        <v>92.34</v>
      </c>
      <c r="R120" s="706">
        <v>4692.25</v>
      </c>
      <c r="S120" s="765">
        <f>IF((_xlfn.XLOOKUP(D120,RUC!$B$3:$B$119,RUC!$E$3:$E$119)+ROUNDDOWN(O120,1)*100)&lt;95,95,((_xlfn.XLOOKUP(D120,RUC!$B$3:$B$119,RUC!$E$3:$E$119)+ROUNDDOWN(O120,1)*100)))</f>
        <v>130</v>
      </c>
      <c r="U120" s="1146">
        <f>_xlfn.XLOOKUP(D120,RUC!$B$3:$B$123,RUC!$F$3:$F$123)</f>
        <v>120</v>
      </c>
      <c r="V120" s="715">
        <v>1.1023000000000001</v>
      </c>
      <c r="Y120" s="1445">
        <v>30</v>
      </c>
      <c r="Z120" s="1454">
        <v>70</v>
      </c>
      <c r="AA120" s="144">
        <f t="shared" si="80"/>
        <v>100</v>
      </c>
      <c r="AB120" s="145">
        <f t="shared" si="81"/>
        <v>1637.9796879775001</v>
      </c>
      <c r="AC120" s="145">
        <f>+(S120-T120)*V120-'data 1'!$F$4</f>
        <v>63.299000000000007</v>
      </c>
      <c r="AD120" s="145">
        <f t="shared" si="82"/>
        <v>52.363492311780071</v>
      </c>
      <c r="AE120" s="145">
        <f t="shared" si="83"/>
        <v>40.230000000000004</v>
      </c>
      <c r="AF120" s="145">
        <f t="shared" si="84"/>
        <v>125.65605197686513</v>
      </c>
      <c r="AG120" s="772">
        <f t="shared" si="90"/>
        <v>298.54854428864519</v>
      </c>
      <c r="AH120" s="1253">
        <f t="shared" si="74"/>
        <v>48.636000000000003</v>
      </c>
      <c r="AI120" s="1253">
        <f t="shared" si="75"/>
        <v>52.670999999999999</v>
      </c>
      <c r="AJ120" s="156">
        <f t="shared" si="76"/>
        <v>148.12056095022001</v>
      </c>
      <c r="AK120" s="156">
        <f t="shared" si="77"/>
        <v>44.520879227670903</v>
      </c>
      <c r="AM120" s="716">
        <f t="shared" si="89"/>
        <v>5667.40972040215</v>
      </c>
      <c r="AN120" s="716" t="str">
        <f>_xlfn.XLOOKUP(D120,RUC!$B$3:$B$578,RUC!$M$3:$M$578)</f>
        <v>Evelyn</v>
      </c>
      <c r="AO120" s="1167" t="s">
        <v>2279</v>
      </c>
      <c r="AP120" s="1843">
        <v>284</v>
      </c>
      <c r="AQ120" s="1859" t="s">
        <v>3218</v>
      </c>
    </row>
    <row r="121" spans="1:56" ht="15" customHeight="1">
      <c r="A121" s="747" t="s">
        <v>5441</v>
      </c>
      <c r="B121" s="1447">
        <v>46142</v>
      </c>
      <c r="C121" s="1447">
        <v>46138</v>
      </c>
      <c r="D121" t="s">
        <v>1967</v>
      </c>
      <c r="E121" s="762">
        <f>_xlfn.XLOOKUP(D121,RUC!$B$3:$B$123,RUC!$D$3:$D$123)</f>
        <v>20601769396</v>
      </c>
      <c r="G121" s="1082">
        <v>130</v>
      </c>
      <c r="H121" s="762" t="s">
        <v>108</v>
      </c>
      <c r="I121" s="703">
        <v>4.28</v>
      </c>
      <c r="J121" s="596">
        <v>16.7</v>
      </c>
      <c r="K121" s="703">
        <f t="shared" si="72"/>
        <v>3.5649999999999999</v>
      </c>
      <c r="L121" s="1745">
        <v>0.47</v>
      </c>
      <c r="M121" s="994">
        <f>ROUND(+IF(L121&gt;_xlfn.XLOOKUP(AN121,RUC!M:M,RUC!K:K),L121*_xlfn.XLOOKUP(AN121,RUC!M:M,RUC!I:I),L121-_xlfn.XLOOKUP(AN121,RUC!M:M,RUC!J:J)),3)</f>
        <v>0.442</v>
      </c>
      <c r="N121" s="1196">
        <f t="shared" si="86"/>
        <v>0.442</v>
      </c>
      <c r="O121" s="645">
        <f t="shared" si="79"/>
        <v>0.442</v>
      </c>
      <c r="P121" s="727">
        <v>90</v>
      </c>
      <c r="Q121" s="1476">
        <v>94.68</v>
      </c>
      <c r="R121" s="706">
        <v>4692.25</v>
      </c>
      <c r="S121" s="765">
        <f>IF((_xlfn.XLOOKUP(D121,RUC!$B$3:$B$119,RUC!$E$3:$E$119)+ROUNDDOWN(O121,1)*100)&lt;95,95,((_xlfn.XLOOKUP(D121,RUC!$B$3:$B$119,RUC!$E$3:$E$119)+ROUNDDOWN(O121,1)*100)))</f>
        <v>130</v>
      </c>
      <c r="U121" s="1146">
        <f>_xlfn.XLOOKUP(D121,RUC!$B$3:$B$123,RUC!$F$3:$F$123)</f>
        <v>120</v>
      </c>
      <c r="V121" s="715">
        <v>1.1023000000000001</v>
      </c>
      <c r="Y121" s="1445">
        <v>30</v>
      </c>
      <c r="Z121" s="1454">
        <v>70</v>
      </c>
      <c r="AA121" s="144">
        <f t="shared" si="80"/>
        <v>100</v>
      </c>
      <c r="AB121" s="145">
        <f t="shared" si="81"/>
        <v>1751.3794894150001</v>
      </c>
      <c r="AC121" s="145">
        <f>+(S121-T121)*V121-'data 1'!$F$4</f>
        <v>63.299000000000007</v>
      </c>
      <c r="AD121" s="145">
        <f t="shared" si="82"/>
        <v>110.85964588530014</v>
      </c>
      <c r="AE121" s="145">
        <f t="shared" si="83"/>
        <v>40.230000000000004</v>
      </c>
      <c r="AF121" s="145">
        <f t="shared" si="84"/>
        <v>133.61218204571986</v>
      </c>
      <c r="AG121" s="772">
        <f t="shared" si="90"/>
        <v>365.00082793102001</v>
      </c>
      <c r="AH121" s="1253">
        <f t="shared" si="74"/>
        <v>54.390999999999998</v>
      </c>
      <c r="AI121" s="1253">
        <f t="shared" si="75"/>
        <v>57.447000000000003</v>
      </c>
      <c r="AJ121" s="156">
        <f t="shared" si="76"/>
        <v>160.76763200970001</v>
      </c>
      <c r="AK121" s="156">
        <f t="shared" si="77"/>
        <v>48.622063060823855</v>
      </c>
      <c r="AM121" s="716">
        <f t="shared" si="89"/>
        <v>6243.6678797644754</v>
      </c>
      <c r="AN121" s="716" t="str">
        <f>_xlfn.XLOOKUP(D121,RUC!$B$3:$B$578,RUC!$M$3:$M$578)</f>
        <v>Evelyn</v>
      </c>
      <c r="AO121" s="1167" t="s">
        <v>2279</v>
      </c>
      <c r="AP121" s="1843">
        <v>284</v>
      </c>
      <c r="AQ121" s="1859" t="s">
        <v>4328</v>
      </c>
    </row>
    <row r="124" spans="1:56" ht="15" customHeight="1">
      <c r="AV124" s="677"/>
      <c r="AW124" s="677"/>
      <c r="AX124" s="677"/>
      <c r="AY124" s="677"/>
      <c r="AZ124" s="677"/>
      <c r="BA124" s="677"/>
      <c r="BB124" s="677"/>
      <c r="BC124" s="677"/>
      <c r="BD124" s="677"/>
    </row>
  </sheetData>
  <autoFilter ref="A3:AO121" xr:uid="{00000000-0009-0000-0000-00000C000000}"/>
  <mergeCells count="2">
    <mergeCell ref="AV5:BD5"/>
    <mergeCell ref="AV26:BA26"/>
  </mergeCells>
  <phoneticPr fontId="341" type="noConversion"/>
  <pageMargins left="0.7" right="0.7" top="0.75" bottom="0.75" header="0" footer="0"/>
  <pageSetup paperSize="9" scale="10" fitToHeight="0" orientation="portrait" horizontalDpi="360" verticalDpi="360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D7B-4180-4B04-9E49-F6E8473009C8}">
  <sheetPr>
    <tabColor rgb="FF00B050"/>
    <pageSetUpPr fitToPage="1"/>
  </sheetPr>
  <dimension ref="A1:BD108"/>
  <sheetViews>
    <sheetView showGridLines="0" zoomScale="70" zoomScaleNormal="70" workbookViewId="0">
      <pane xSplit="4" ySplit="3" topLeftCell="E99" activePane="bottomRight" state="frozen"/>
      <selection pane="topRight" activeCell="E1" sqref="E1"/>
      <selection pane="bottomLeft" activeCell="A4" sqref="A4"/>
      <selection pane="bottomRight" activeCell="R3" sqref="R3"/>
    </sheetView>
  </sheetViews>
  <sheetFormatPr baseColWidth="10" defaultColWidth="14.44140625" defaultRowHeight="15" customHeight="1"/>
  <cols>
    <col min="1" max="1" width="14.5546875" customWidth="1"/>
    <col min="2" max="2" width="12.33203125" style="1447" customWidth="1"/>
    <col min="3" max="3" width="11.6640625" style="762" customWidth="1"/>
    <col min="4" max="4" width="42.5546875" customWidth="1"/>
    <col min="5" max="5" width="15.88671875" style="762" customWidth="1"/>
    <col min="6" max="6" width="16.6640625" customWidth="1"/>
    <col min="7" max="7" width="12.109375" style="762" customWidth="1"/>
    <col min="8" max="8" width="11.44140625" style="1082" customWidth="1"/>
    <col min="9" max="10" width="10.332031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7.66406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1.33203125" style="1082" customWidth="1"/>
    <col min="43" max="43" width="12.6640625" style="1082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6188.8410000000003</v>
      </c>
      <c r="F1" s="1075" t="s">
        <v>1906</v>
      </c>
      <c r="G1" s="1861">
        <f>+$AM3</f>
        <v>644295.93960446434</v>
      </c>
      <c r="H1" s="1862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D2" s="1075" t="s">
        <v>1907</v>
      </c>
      <c r="E2" s="1076">
        <f>+AH3</f>
        <v>5812.3580000000002</v>
      </c>
      <c r="F2" s="1079" t="s">
        <v>1908</v>
      </c>
      <c r="G2" s="1080">
        <f>+Q2</f>
        <v>94.022130696354196</v>
      </c>
      <c r="H2" s="1863"/>
      <c r="I2" s="1251">
        <f>SUBTOTAL(9,I4:I145)</f>
        <v>584.86999999999989</v>
      </c>
      <c r="J2" s="81"/>
      <c r="K2" s="91">
        <f>SUBTOTAL(9,K4:K145)</f>
        <v>536.72400000000016</v>
      </c>
      <c r="L2" s="1202">
        <f>+SUMPRODUCT(L5:L145,K5:K145)/K2</f>
        <v>0.33631716301115644</v>
      </c>
      <c r="M2" s="6"/>
      <c r="O2" s="703"/>
      <c r="P2" s="94">
        <f>+SUMPRODUCT(P4:P145,AH4:AH145)/SUM(AH4:AH145)</f>
        <v>88.916855775229266</v>
      </c>
      <c r="Q2" s="1201">
        <f>+SUMPRODUCT(Q4:Q145,AH4:AH145)/SUM(AH4:AH145)</f>
        <v>94.022130696354196</v>
      </c>
      <c r="R2" s="1151">
        <f>+SUMPRODUCT(R4:R145,AH4:AH145)/SUM(AH4:AH145)</f>
        <v>4632.8055813062419</v>
      </c>
      <c r="S2" s="6"/>
      <c r="AB2" s="83"/>
      <c r="AC2" s="83"/>
      <c r="AD2" s="83"/>
      <c r="AE2" s="83"/>
      <c r="AF2" s="83"/>
      <c r="AG2" s="1209">
        <f>SUMPRODUCT($AG4:$AG145,$K4:$K145)/SUM($K4:$K145)</f>
        <v>236.87490956319417</v>
      </c>
      <c r="AH2" s="702"/>
      <c r="AI2" s="631"/>
      <c r="AJ2" s="252">
        <v>4900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1692" t="s">
        <v>39</v>
      </c>
      <c r="C3" s="679" t="s">
        <v>40</v>
      </c>
      <c r="D3" s="1077" t="s">
        <v>41</v>
      </c>
      <c r="E3" s="1078" t="s">
        <v>1025</v>
      </c>
      <c r="F3" s="1077" t="s">
        <v>43</v>
      </c>
      <c r="G3" s="1078" t="s">
        <v>16</v>
      </c>
      <c r="H3" s="1864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SUBTOTAL(9,AH4:AH145)</f>
        <v>5812.3580000000002</v>
      </c>
      <c r="AI3" s="1252">
        <f>SUBTOTAL(9,AI4:AI145)</f>
        <v>6188.8410000000003</v>
      </c>
      <c r="AJ3" s="1388">
        <f>SUMPRODUCT(K4:K145,AJ4:AJ145)/K2</f>
        <v>99.982256233315738</v>
      </c>
      <c r="AK3" s="118">
        <f>SUBTOTAL(9,AK4:AK145)</f>
        <v>5192.2939883994331</v>
      </c>
      <c r="AL3" s="88"/>
      <c r="AM3" s="118">
        <f>SUBTOTAL(9,AM4:AM145)</f>
        <v>644295.93960446434</v>
      </c>
      <c r="AN3" s="1182" t="s">
        <v>2247</v>
      </c>
      <c r="AO3" s="1806" t="s">
        <v>2283</v>
      </c>
      <c r="AP3" s="1844" t="s">
        <v>2351</v>
      </c>
      <c r="AQ3" s="1844" t="s">
        <v>2352</v>
      </c>
      <c r="AS3" s="1216"/>
    </row>
    <row r="4" spans="1:56" s="677" customFormat="1" ht="15.75" customHeight="1" thickBot="1">
      <c r="A4" s="720"/>
      <c r="B4" s="1693"/>
      <c r="C4" s="1694"/>
      <c r="D4" s="721"/>
      <c r="E4" s="1764"/>
      <c r="F4" s="721"/>
      <c r="G4" s="723"/>
      <c r="H4" s="1865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  <c r="AP4" s="1845"/>
      <c r="AQ4" s="1845"/>
    </row>
    <row r="5" spans="1:56" ht="15" customHeight="1" thickBot="1">
      <c r="A5" s="1491" t="s">
        <v>4554</v>
      </c>
      <c r="C5" s="1447">
        <v>46049</v>
      </c>
      <c r="D5" t="s">
        <v>1967</v>
      </c>
      <c r="E5" s="762">
        <f>_xlfn.XLOOKUP(D5,RUC!$B$3:$B$123,RUC!$D$3:$D$123)</f>
        <v>20601769396</v>
      </c>
      <c r="G5" s="762">
        <v>32</v>
      </c>
      <c r="H5" s="1082" t="s">
        <v>2005</v>
      </c>
      <c r="I5" s="703">
        <v>3</v>
      </c>
      <c r="J5" s="596">
        <v>18.149999999999999</v>
      </c>
      <c r="K5" s="703">
        <f>ROUND(+I5-(I5*(J5/100)),3)</f>
        <v>2.456</v>
      </c>
      <c r="L5" s="1192">
        <v>5.2999999999999999E-2</v>
      </c>
      <c r="M5" s="994">
        <f>ROUND(+IF(AN5="Melchor Vera",IF(L5&gt;0.467,L5*0.985,(L5-0.007)),IF(L5&gt;0.3,L5*0.94,(L5-0.019))),3)</f>
        <v>3.4000000000000002E-2</v>
      </c>
      <c r="N5" s="1196">
        <f>+M5</f>
        <v>3.4000000000000002E-2</v>
      </c>
      <c r="O5" s="645">
        <f>+ROUND((M5+N5)/2,3)</f>
        <v>3.4000000000000002E-2</v>
      </c>
      <c r="P5" s="727">
        <v>80</v>
      </c>
      <c r="Q5" s="1476">
        <v>81.819999999999993</v>
      </c>
      <c r="R5" s="706">
        <v>5064.25</v>
      </c>
      <c r="S5" s="765">
        <f>IF((_xlfn.XLOOKUP(D5,RUC!$B$3:$B$119,RUC!$E$3:$E$119)+ROUNDDOWN(O5,1)*100)&lt;95,95,((_xlfn.XLOOKUP(D5,RUC!$B$3:$B$119,RUC!$E$3:$E$119)+ROUNDDOWN(O5,1)*100)))</f>
        <v>95</v>
      </c>
      <c r="U5" s="1146">
        <f>_xlfn.XLOOKUP(D5,RUC!$B$3:$B$123,RUC!$F$3:$F$123)</f>
        <v>120</v>
      </c>
      <c r="V5" s="715">
        <v>1.1023000000000001</v>
      </c>
      <c r="Y5">
        <f>_xlfn.XLOOKUP(D5,RUC!$B$3:$B$123,RUC!$G$3:$G$123)</f>
        <v>20</v>
      </c>
      <c r="Z5" s="143">
        <f>_xlfn.XLOOKUP(D5,RUC!$B$3:$B$123,RUC!$H$3:$H$123)</f>
        <v>30</v>
      </c>
      <c r="AA5" s="144">
        <f>+Y5+Z5</f>
        <v>50</v>
      </c>
      <c r="AB5" s="145">
        <v>0</v>
      </c>
      <c r="AC5" s="145">
        <f>+(S5-T5)*V5-'data 1'!$F$4</f>
        <v>24.718500000000006</v>
      </c>
      <c r="AD5" s="145">
        <f>+(Q5-P5)*(R5-U5)*L5*V5/100</f>
        <v>5.2571151191649799</v>
      </c>
      <c r="AE5" s="145">
        <f>+(Y5*V5-70)+V5*(Z5-IF(D5="UNTUCA",IF(+((W5-3)*2.5+(X5-3)*3.1)&gt;0,+((W5-3)*1.5+(X5-3)*3.1),0),IF(+((W5-3)*1.5+(X5-3)*3.1)&gt;0,+((W5-3)*1.5+(X5-3)*3.1),0)))</f>
        <v>-14.884999999999998</v>
      </c>
      <c r="AF5" s="145">
        <f>(L5-O5)*(R5-U5)*Q5*V5/100</f>
        <v>84.725337154794985</v>
      </c>
      <c r="AG5" s="772">
        <f>AC5+AD5+AE5+AF5+70-53-11.59</f>
        <v>105.22595227395996</v>
      </c>
      <c r="AH5" s="1253">
        <f>ROUND((31.1035*L5*Q5*1.1023*K5/100),3)</f>
        <v>3.6520000000000001</v>
      </c>
      <c r="AI5" s="1253">
        <f>ROUND((31.1035*L5*1.1023*K5),3)</f>
        <v>4.4630000000000001</v>
      </c>
      <c r="AJ5" s="156">
        <f>+((+$AJ$2-R5+U5)*L5*Q5*V5)/100</f>
        <v>-2.1151853371650002</v>
      </c>
      <c r="AK5" s="156">
        <f>31.1035*1.1023*K5*P5*O5/100</f>
        <v>2.2903736349817603</v>
      </c>
      <c r="AM5" s="716">
        <f>+IF(AB5*K5&gt;0,AB5*K5,0)</f>
        <v>0</v>
      </c>
      <c r="AN5" s="716" t="str">
        <f>_xlfn.XLOOKUP(D5,RUC!$B$3:$B$578,RUC!$M$3:$M$578)</f>
        <v>Evelyn</v>
      </c>
      <c r="AO5" s="1167" t="s">
        <v>2277</v>
      </c>
      <c r="AP5" s="1082" t="s">
        <v>3737</v>
      </c>
      <c r="AQ5" s="1082" t="s">
        <v>4568</v>
      </c>
      <c r="AV5" s="1982" t="s">
        <v>5472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1491" t="s">
        <v>5126</v>
      </c>
      <c r="C6" s="1447">
        <v>46105</v>
      </c>
      <c r="D6" t="s">
        <v>93</v>
      </c>
      <c r="E6" s="762">
        <f>_xlfn.XLOOKUP(D6,RUC!$B$3:$B$123,RUC!$D$3:$D$123)</f>
        <v>20169040231</v>
      </c>
      <c r="G6" s="1082">
        <v>75</v>
      </c>
      <c r="H6" s="1082" t="s">
        <v>69</v>
      </c>
      <c r="I6" s="703">
        <v>6.97</v>
      </c>
      <c r="J6" s="596">
        <v>2</v>
      </c>
      <c r="K6" s="703">
        <f>ROUND(+I6-(I6*(J6/100)),3)</f>
        <v>6.8310000000000004</v>
      </c>
      <c r="L6" s="1745">
        <v>4.8000000000000001E-2</v>
      </c>
      <c r="M6" s="994">
        <f>ROUND(+IF(AN6="Melchor Vera",IF(L6&gt;0.467,L6*0.985,(L6-0.007)),IF(L6&gt;0.3,L6*0.94,(L6-0.019))),3)</f>
        <v>2.9000000000000001E-2</v>
      </c>
      <c r="N6" s="1196">
        <f>+M6</f>
        <v>2.9000000000000001E-2</v>
      </c>
      <c r="O6" s="645">
        <f>+ROUND((M6+N6)/2,3)</f>
        <v>2.9000000000000001E-2</v>
      </c>
      <c r="P6" s="727">
        <v>90</v>
      </c>
      <c r="Q6" s="1476">
        <v>90.7</v>
      </c>
      <c r="R6" s="706">
        <v>4413.55</v>
      </c>
      <c r="S6" s="765">
        <f>IF((_xlfn.XLOOKUP(D6,RUC!$B$3:$B$119,RUC!$E$3:$E$119)+ROUNDDOWN(O6,1)*100)&lt;95,95,((_xlfn.XLOOKUP(D6,RUC!$B$3:$B$119,RUC!$E$3:$E$119)+ROUNDDOWN(O6,1)*100)))</f>
        <v>95</v>
      </c>
      <c r="U6" s="1146">
        <f>_xlfn.XLOOKUP(D6,RUC!$B$3:$B$123,RUC!$F$3:$F$123)</f>
        <v>120</v>
      </c>
      <c r="V6" s="715">
        <v>1.1023000000000001</v>
      </c>
      <c r="Y6">
        <f>_xlfn.XLOOKUP(D6,RUC!$B$3:$B$123,RUC!$G$3:$G$123)</f>
        <v>20</v>
      </c>
      <c r="Z6" s="1454">
        <v>35</v>
      </c>
      <c r="AA6" s="144">
        <f>+Y6+Z6</f>
        <v>55</v>
      </c>
      <c r="AB6" s="145">
        <f>+((O6*P6*(R6-U6)/100)-S6-AA6+T6)*V6</f>
        <v>-41.819437693499985</v>
      </c>
      <c r="AC6" s="145">
        <f>+(S6-T6)*V6-'data 1'!$F$4</f>
        <v>24.718500000000006</v>
      </c>
      <c r="AD6" s="145">
        <f>+(Q6-P6)*(R6-U6)*L6*V6/100</f>
        <v>1.5902141354400066</v>
      </c>
      <c r="AE6" s="145">
        <f>+(Y6*V6-70)+V6*(Z6-IF(D6="UNTUCA",IF(+((W6-3)*2.5+(X6-3)*3.1)&gt;0,+((W6-3)*1.5+(X6-3)*3.1),0),IF(+((W6-3)*1.5+(X6-3)*3.1)&gt;0,+((W6-3)*1.5+(X6-3)*3.1),0)))</f>
        <v>-9.3734999999999999</v>
      </c>
      <c r="AF6" s="145">
        <f>(L6-O6)*(R6-U6)*Q6*V6/100</f>
        <v>81.560000583445003</v>
      </c>
      <c r="AG6" s="772">
        <f>AC6+AD6+AE6+AF6+70-53</f>
        <v>115.49521471888502</v>
      </c>
      <c r="AH6" s="1253">
        <f>ROUND((31.1035*L6*Q6*1.1023*K6/100),3)</f>
        <v>10.196</v>
      </c>
      <c r="AI6" s="1253">
        <f>ROUND((31.1035*L6*1.1023*K6),3)</f>
        <v>11.242000000000001</v>
      </c>
      <c r="AJ6" s="156">
        <f>+((+$AJ$2-R6+U6)*L6*Q6*V6)/100</f>
        <v>29.103373456559993</v>
      </c>
      <c r="AK6" s="156">
        <f>31.1035*1.1023*K6*P6*O6/100</f>
        <v>6.1127109785852562</v>
      </c>
      <c r="AM6" s="716">
        <f>+IF(AB6*K6&gt;0,AB6*K6,0)</f>
        <v>0</v>
      </c>
      <c r="AN6" s="716" t="str">
        <f>_xlfn.XLOOKUP(D6,RUC!$B$3:$B$578,RUC!$M$3:$M$578)</f>
        <v>Ronald Miranda</v>
      </c>
      <c r="AO6" s="1167" t="s">
        <v>2277</v>
      </c>
      <c r="AP6" s="1082" t="s">
        <v>5134</v>
      </c>
      <c r="AQ6" s="1082" t="s">
        <v>5135</v>
      </c>
      <c r="AV6" s="1636"/>
      <c r="AW6" s="1636"/>
      <c r="AX6" s="1636"/>
      <c r="AY6" s="1636"/>
      <c r="AZ6" s="1636"/>
      <c r="BA6" s="1636"/>
      <c r="BB6" s="1636"/>
      <c r="BC6" s="1636"/>
      <c r="BD6" s="1636"/>
    </row>
    <row r="7" spans="1:56" ht="15" customHeight="1">
      <c r="A7" s="1491" t="s">
        <v>5285</v>
      </c>
      <c r="C7" s="1447">
        <v>46122</v>
      </c>
      <c r="D7" t="s">
        <v>4171</v>
      </c>
      <c r="E7" s="762">
        <f>_xlfn.XLOOKUP(D7,RUC!$B$3:$B$123,RUC!$D$3:$D$123)</f>
        <v>20614284740</v>
      </c>
      <c r="G7" s="1082">
        <v>28</v>
      </c>
      <c r="H7" s="1082" t="s">
        <v>69</v>
      </c>
      <c r="I7" s="703">
        <v>2.97</v>
      </c>
      <c r="J7" s="596">
        <v>2</v>
      </c>
      <c r="K7" s="703">
        <f>ROUND(+I7-(I7*(J7/100)),3)</f>
        <v>2.911</v>
      </c>
      <c r="L7" s="1745">
        <v>0.06</v>
      </c>
      <c r="M7" s="994">
        <f>ROUND(+IF(AN7="Melchor Vera",IF(L7&gt;0.467,L7*0.985,(L7-0.007)),IF(L7&gt;0.3,L7*0.94,(L7-0.019))),3)</f>
        <v>4.1000000000000002E-2</v>
      </c>
      <c r="N7" s="1196">
        <f>+M7</f>
        <v>4.1000000000000002E-2</v>
      </c>
      <c r="O7" s="645">
        <f>+ROUND((M7+N7)/2,3)</f>
        <v>4.1000000000000002E-2</v>
      </c>
      <c r="P7" s="727">
        <v>90</v>
      </c>
      <c r="Q7" s="1476">
        <v>96.67</v>
      </c>
      <c r="R7" s="706">
        <v>4773.75</v>
      </c>
      <c r="S7" s="765">
        <f>IF((_xlfn.XLOOKUP(D7,RUC!$B$3:$B$119,RUC!$E$3:$E$119)+ROUNDDOWN(O7,1)*100)&lt;95,95,((_xlfn.XLOOKUP(D7,RUC!$B$3:$B$119,RUC!$E$3:$E$119)+ROUNDDOWN(O7,1)*100)))</f>
        <v>95</v>
      </c>
      <c r="U7" s="1146">
        <f>_xlfn.XLOOKUP(D7,RUC!$B$3:$B$123,RUC!$F$3:$F$123)</f>
        <v>120</v>
      </c>
      <c r="V7" s="715">
        <v>1.1023000000000001</v>
      </c>
      <c r="Y7">
        <f>_xlfn.XLOOKUP(D7,RUC!$B$3:$B$123,RUC!$G$3:$G$123)</f>
        <v>20</v>
      </c>
      <c r="Z7" s="143">
        <f>_xlfn.XLOOKUP(D7,RUC!$B$3:$B$123,RUC!$H$3:$H$123)</f>
        <v>30</v>
      </c>
      <c r="AA7" s="144">
        <f>+Y7+Z7</f>
        <v>50</v>
      </c>
      <c r="AB7" s="145">
        <f>+((O7*P7*(R7-U7)/100)-S7-AA7+T7)*V7</f>
        <v>29.457176262500006</v>
      </c>
      <c r="AC7" s="145">
        <f>+(S7-T7)*V7-'data 1'!$F$4</f>
        <v>24.718500000000006</v>
      </c>
      <c r="AD7" s="145">
        <f>+(Q7-P7)*(R7-U7)*L7*V7/100</f>
        <v>20.529574157250003</v>
      </c>
      <c r="AE7" s="145">
        <f>+(Y7*V7-70)+V7*(Z7-IF(D7="UNTUCA",IF(+((W7-3)*2.5+(X7-3)*3.1)&gt;0,+((W7-3)*1.5+(X7-3)*3.1),0),IF(+((W7-3)*1.5+(X7-3)*3.1)&gt;0,+((W7-3)*1.5+(X7-3)*3.1),0)))</f>
        <v>-14.884999999999998</v>
      </c>
      <c r="AF7" s="145">
        <f>(L7-O7)*(R7-U7)*Q7*V7/100</f>
        <v>94.221101303962499</v>
      </c>
      <c r="AG7" s="772">
        <f>AC7+AD7+AE7+AF7+70-53</f>
        <v>141.58417546121251</v>
      </c>
      <c r="AH7" s="1253">
        <f>ROUND((31.1035*L7*Q7*1.1023*K7/100),3)</f>
        <v>5.7889999999999997</v>
      </c>
      <c r="AI7" s="1253">
        <f>ROUND((31.1035*L7*1.1023*K7),3)</f>
        <v>5.9880000000000004</v>
      </c>
      <c r="AJ7" s="156">
        <f>+((+$AJ$2-R7+U7)*L7*Q7*V7)/100</f>
        <v>15.74414263275</v>
      </c>
      <c r="AK7" s="156">
        <f>31.1035*1.1023*K7*P7*O7/100</f>
        <v>3.6827958142399955</v>
      </c>
      <c r="AM7" s="716">
        <f>+IF(AB7*K7&gt;0,AB7*K7,0)</f>
        <v>85.749840100137519</v>
      </c>
      <c r="AN7" s="716" t="str">
        <f>_xlfn.XLOOKUP(D7,RUC!$B$3:$B$578,RUC!$M$3:$M$578)</f>
        <v xml:space="preserve">Dante </v>
      </c>
      <c r="AO7" s="1167" t="s">
        <v>2278</v>
      </c>
      <c r="AP7" s="1082" t="s">
        <v>4699</v>
      </c>
      <c r="AQ7" s="1082" t="s">
        <v>5327</v>
      </c>
      <c r="AW7" s="1469">
        <f>SUM(AW9:AW18)</f>
        <v>536.72400000000005</v>
      </c>
      <c r="AX7" s="1470">
        <f>SUMPRODUCT(AW9:AW18,AX9:AX18)/SUM(AW9:AW18)</f>
        <v>0.33631716301115661</v>
      </c>
      <c r="AY7" s="704"/>
      <c r="AZ7" s="1471">
        <f ca="1">SUMPRODUCT(AZ9:AZ18,$BB9:$BB18)/SUM($BB9:$BB18)/100</f>
        <v>0.94022130696354256</v>
      </c>
      <c r="BA7" s="707">
        <f>SUM(BA9:BA18)</f>
        <v>6188.8380142137594</v>
      </c>
      <c r="BB7" s="707">
        <f ca="1">SUM(BB9:BB18)</f>
        <v>5812.3579999999993</v>
      </c>
    </row>
    <row r="8" spans="1:56" ht="15" customHeight="1" thickBot="1">
      <c r="A8" s="877" t="s">
        <v>5286</v>
      </c>
      <c r="C8" s="1447">
        <v>46122</v>
      </c>
      <c r="D8" t="s">
        <v>2004</v>
      </c>
      <c r="E8" s="762">
        <f>_xlfn.XLOOKUP(D8,RUC!$B$3:$B$123,RUC!$D$3:$D$123)</f>
        <v>20612921866</v>
      </c>
      <c r="G8" s="1082" t="s">
        <v>2985</v>
      </c>
      <c r="H8" s="1082" t="s">
        <v>69</v>
      </c>
      <c r="I8" s="703"/>
      <c r="J8" s="596"/>
      <c r="K8" s="703"/>
      <c r="L8" s="1745"/>
      <c r="M8" s="994"/>
      <c r="N8" s="1196"/>
      <c r="O8" s="645"/>
      <c r="P8" s="727"/>
      <c r="Q8" s="1476"/>
      <c r="R8" s="706"/>
      <c r="S8" s="765"/>
      <c r="U8" s="1146"/>
      <c r="V8" s="715"/>
      <c r="Z8" s="143"/>
      <c r="AA8" s="144"/>
      <c r="AB8" s="145"/>
      <c r="AC8" s="145"/>
      <c r="AD8" s="145"/>
      <c r="AE8" s="145"/>
      <c r="AF8" s="145"/>
      <c r="AG8" s="772"/>
      <c r="AH8" s="1253"/>
      <c r="AI8" s="1253"/>
      <c r="AJ8" s="156"/>
      <c r="AK8" s="156"/>
      <c r="AM8" s="716"/>
      <c r="AN8" s="716" t="str">
        <f>_xlfn.XLOOKUP(D8,RUC!$B$3:$B$578,RUC!$M$3:$M$578)</f>
        <v>Ronald Garibay</v>
      </c>
      <c r="AO8" s="1167" t="s">
        <v>2282</v>
      </c>
      <c r="AP8" s="1082" t="s">
        <v>5354</v>
      </c>
      <c r="AQ8" s="1082" t="s">
        <v>4317</v>
      </c>
      <c r="AV8" s="762"/>
      <c r="AW8" s="762" t="s">
        <v>15</v>
      </c>
      <c r="AX8" s="762" t="s">
        <v>2522</v>
      </c>
      <c r="AY8" s="1214" t="s">
        <v>2522</v>
      </c>
      <c r="AZ8" s="762" t="s">
        <v>2523</v>
      </c>
      <c r="BA8" s="762" t="s">
        <v>2558</v>
      </c>
      <c r="BB8" s="762" t="s">
        <v>2559</v>
      </c>
      <c r="BC8" s="1555" t="s">
        <v>2565</v>
      </c>
      <c r="BD8" s="729" t="s">
        <v>2579</v>
      </c>
    </row>
    <row r="9" spans="1:56" ht="15" customHeight="1">
      <c r="A9" s="747" t="s">
        <v>5319</v>
      </c>
      <c r="B9" s="1447">
        <v>46130</v>
      </c>
      <c r="C9" s="1447">
        <v>46123</v>
      </c>
      <c r="D9" s="1839" t="s">
        <v>3125</v>
      </c>
      <c r="E9" s="762" t="str">
        <f>_xlfn.XLOOKUP(D9,RUC!$B$3:$B$123,RUC!$D$3:$D$123)</f>
        <v>10486077447,</v>
      </c>
      <c r="G9" s="1082">
        <v>19</v>
      </c>
      <c r="H9" s="1082" t="s">
        <v>69</v>
      </c>
      <c r="I9" s="703">
        <v>1.85</v>
      </c>
      <c r="J9" s="596">
        <v>2</v>
      </c>
      <c r="K9" s="703">
        <f t="shared" ref="K9:K40" si="0">ROUND(+I9-(I9*(J9/100)),3)</f>
        <v>1.8129999999999999</v>
      </c>
      <c r="L9" s="1745">
        <v>0.19500000000000001</v>
      </c>
      <c r="M9" s="994">
        <f>ROUND(+IF(AN9="Melchor Vera",IF(L9&gt;0.467,L9*0.985,(L9-0.007)),IF(L9&gt;0.3,L9*0.94,(L9-0.019))),3)</f>
        <v>0.17599999999999999</v>
      </c>
      <c r="N9" s="1444">
        <v>0.214</v>
      </c>
      <c r="O9" s="645">
        <f t="shared" ref="O9:O40" si="1">+ROUND((M9+N9)/2,3)</f>
        <v>0.19500000000000001</v>
      </c>
      <c r="P9" s="727">
        <v>85</v>
      </c>
      <c r="Q9" s="1476">
        <v>98.97</v>
      </c>
      <c r="R9" s="706">
        <v>4773.75</v>
      </c>
      <c r="S9" s="765">
        <f>IF((_xlfn.XLOOKUP(D9,RUC!$B$3:$B$119,RUC!$E$3:$E$119)+ROUNDDOWN(O9,1)*100)&lt;95,95,((_xlfn.XLOOKUP(D9,RUC!$B$3:$B$119,RUC!$E$3:$E$119)+ROUNDDOWN(O9,1)*100)))</f>
        <v>100</v>
      </c>
      <c r="U9" s="1146">
        <f>_xlfn.XLOOKUP(D9,RUC!$B$3:$B$123,RUC!$F$3:$F$123)</f>
        <v>120</v>
      </c>
      <c r="V9" s="715">
        <v>1.1023000000000001</v>
      </c>
      <c r="Y9">
        <f>_xlfn.XLOOKUP(D9,RUC!$B$3:$B$123,RUC!$G$3:$G$123)</f>
        <v>20</v>
      </c>
      <c r="Z9" s="143">
        <f>_xlfn.XLOOKUP(D9,RUC!$B$3:$B$123,RUC!$H$3:$H$123)</f>
        <v>30</v>
      </c>
      <c r="AA9" s="144">
        <f t="shared" ref="AA9:AA40" si="2">+Y9+Z9</f>
        <v>50</v>
      </c>
      <c r="AB9" s="145">
        <f>+((O9*P9*(R9-U9)/100)-S9-AA9+T9)*V9</f>
        <v>684.92409459375006</v>
      </c>
      <c r="AC9" s="145">
        <f>+(S9-T9)*V9-'data 1'!$F$4</f>
        <v>30.230000000000004</v>
      </c>
      <c r="AD9" s="145">
        <f t="shared" ref="AD9:AD40" si="3">+(Q9-P9)*(R9-U9)*L9*V9/100</f>
        <v>139.74422648793751</v>
      </c>
      <c r="AE9" s="145">
        <f t="shared" ref="AE9:AE40" si="4">+(Y9*V9-70)+V9*(Z9-IF(D9="UNTUCA",IF(+((W9-3)*2.5+(X9-3)*3.1)&gt;0,+((W9-3)*1.5+(X9-3)*3.1),0),IF(+((W9-3)*1.5+(X9-3)*3.1)&gt;0,+((W9-3)*1.5+(X9-3)*3.1),0)))</f>
        <v>-14.884999999999998</v>
      </c>
      <c r="AF9" s="145">
        <f t="shared" ref="AF9:AF40" si="5">(L9-O9)*(R9-U9)*Q9*V9/100</f>
        <v>0</v>
      </c>
      <c r="AG9" s="772">
        <f>AC9+AD9+AE9+AF9+70-53</f>
        <v>172.08922648793754</v>
      </c>
      <c r="AH9" s="1253">
        <f t="shared" ref="AH9:AH40" si="6">ROUND((31.1035*L9*Q9*1.1023*K9/100),3)</f>
        <v>11.996</v>
      </c>
      <c r="AI9" s="1253">
        <f t="shared" ref="AI9:AI40" si="7">ROUND((31.1035*L9*1.1023*K9),3)</f>
        <v>12.121</v>
      </c>
      <c r="AJ9" s="156">
        <f t="shared" ref="AJ9:AJ40" si="8">+((+$AJ$2-R9+U9)*L9*Q9*V9)/100</f>
        <v>52.385878123312516</v>
      </c>
      <c r="AK9" s="156">
        <f t="shared" ref="AK9:AK40" si="9">31.1035*1.1023*K9*P9*O9/100</f>
        <v>10.302921964618237</v>
      </c>
      <c r="AM9" s="716">
        <f t="shared" ref="AM9:AM40" si="10">+IF(AB9*K9&gt;0,AB9*K9,0)</f>
        <v>1241.7673834984689</v>
      </c>
      <c r="AN9" s="716" t="str">
        <f>_xlfn.XLOOKUP(D9,RUC!$B$3:$B$578,RUC!$M$3:$M$578)</f>
        <v>SIN ACOPIO</v>
      </c>
      <c r="AO9" s="1167" t="s">
        <v>2277</v>
      </c>
      <c r="AP9" s="1847" t="s">
        <v>4567</v>
      </c>
      <c r="AQ9" s="1847" t="s">
        <v>5365</v>
      </c>
      <c r="AV9" s="1556" t="s">
        <v>2277</v>
      </c>
      <c r="AW9" s="1227">
        <f t="shared" ref="AW9:AW18" si="11">SUMIF($AO$4:$AO$253,AV9,$K$4:$K$253)</f>
        <v>154.41499999999999</v>
      </c>
      <c r="AX9" s="1227" cm="1">
        <f t="array" ref="AX9">+SUMPRODUCT(IF($AO$4:$AO$253=AV9,$L$4:$L$253*$K$4:$K$253/AW9))</f>
        <v>0.32180364601884531</v>
      </c>
      <c r="AY9" s="1228">
        <f t="shared" ref="AY9:AY18" si="12">31.1035*1.1023*AX9*(100-AZ9)/100</f>
        <v>0.73993191416559312</v>
      </c>
      <c r="AZ9" s="1229" cm="1">
        <f t="array" ref="AZ9">+SUMPRODUCT(IF($AO$4:$AO$253=AV9,($Q$4:$Q$253*$AH$4:$AH$253)/SUMIF($AO$4:$AO$253,$AV9,$AH$4:$AH$253)))</f>
        <v>93.293564844133513</v>
      </c>
      <c r="BA9" s="1441">
        <f t="shared" ref="BA9:BA18" si="13">+AX9*31.1035*1.1023*AW9</f>
        <v>1703.6858460628455</v>
      </c>
      <c r="BB9" s="1230">
        <f t="shared" ref="BB9:BB17" ca="1" si="14">SUMIF($AO$4:$AO$243,$AV9,$AH$4:$AH$4)</f>
        <v>1586.9669999999999</v>
      </c>
      <c r="BC9" s="1229">
        <f ca="1">+BA9-BB9</f>
        <v>116.71884606284561</v>
      </c>
      <c r="BD9" s="1231">
        <f>+AW9</f>
        <v>154.41499999999999</v>
      </c>
    </row>
    <row r="10" spans="1:56" ht="15" customHeight="1">
      <c r="A10" s="1491" t="s">
        <v>5338</v>
      </c>
      <c r="B10" s="1447">
        <v>46135</v>
      </c>
      <c r="C10" s="1447">
        <v>46126</v>
      </c>
      <c r="D10" s="1833" t="s">
        <v>3062</v>
      </c>
      <c r="E10" s="762">
        <f>_xlfn.XLOOKUP(D10,RUC!$B$3:$B$123,RUC!$D$3:$D$123)</f>
        <v>20610807004</v>
      </c>
      <c r="G10" s="1082">
        <v>27</v>
      </c>
      <c r="H10" s="1082" t="s">
        <v>2005</v>
      </c>
      <c r="I10" s="703">
        <v>2</v>
      </c>
      <c r="J10" s="596">
        <v>13.38</v>
      </c>
      <c r="K10" s="703">
        <f t="shared" si="0"/>
        <v>1.732</v>
      </c>
      <c r="L10" s="1745">
        <v>0.11899999999999999</v>
      </c>
      <c r="M10" s="994">
        <f>ROUND(+IF(AN10="Melchor Vera",IF(L10&gt;0.467,L10*0.985,(L10-0.007)),IF(L10&gt;0.3,L10*0.94,(L10-0.019))),3)-0.001</f>
        <v>9.9000000000000005E-2</v>
      </c>
      <c r="N10" s="1196">
        <f>+M10</f>
        <v>9.9000000000000005E-2</v>
      </c>
      <c r="O10" s="645">
        <f t="shared" si="1"/>
        <v>9.9000000000000005E-2</v>
      </c>
      <c r="P10" s="727">
        <v>80</v>
      </c>
      <c r="Q10" s="1476">
        <v>90.6</v>
      </c>
      <c r="R10" s="706">
        <v>4794.75</v>
      </c>
      <c r="S10" s="765">
        <f>IF((_xlfn.XLOOKUP(D10,RUC!$B$3:$B$119,RUC!$E$3:$E$119)+ROUNDDOWN(O10,1)*100)&lt;95,95,((_xlfn.XLOOKUP(D10,RUC!$B$3:$B$119,RUC!$E$3:$E$119)+ROUNDDOWN(O10,1)*100)))</f>
        <v>95</v>
      </c>
      <c r="U10" s="1146">
        <f>_xlfn.XLOOKUP(D10,RUC!$B$3:$B$123,RUC!$F$3:$F$123)</f>
        <v>120</v>
      </c>
      <c r="V10" s="715">
        <v>1.1023000000000001</v>
      </c>
      <c r="Y10">
        <f>_xlfn.XLOOKUP(D10,RUC!$B$3:$B$123,RUC!$G$3:$G$123)</f>
        <v>20</v>
      </c>
      <c r="Z10" s="143">
        <f>_xlfn.XLOOKUP(D10,RUC!$B$3:$B$123,RUC!$H$3:$H$123)</f>
        <v>30</v>
      </c>
      <c r="AA10" s="144">
        <f t="shared" si="2"/>
        <v>50</v>
      </c>
      <c r="AB10" s="145">
        <v>1E-3</v>
      </c>
      <c r="AC10" s="145">
        <f>+(S10-T10)*V10-'data 1'!$F$4</f>
        <v>24.718500000000006</v>
      </c>
      <c r="AD10" s="145">
        <f t="shared" si="3"/>
        <v>64.999650931949958</v>
      </c>
      <c r="AE10" s="145">
        <f t="shared" si="4"/>
        <v>-14.884999999999998</v>
      </c>
      <c r="AF10" s="145">
        <f t="shared" si="5"/>
        <v>93.371941880999941</v>
      </c>
      <c r="AG10" s="772">
        <f>AC10+AD10+AE10+AF10+70-53+248.28</f>
        <v>433.48509281294992</v>
      </c>
      <c r="AH10" s="1253">
        <f t="shared" si="6"/>
        <v>6.4020000000000001</v>
      </c>
      <c r="AI10" s="1253">
        <f t="shared" si="7"/>
        <v>7.0659999999999998</v>
      </c>
      <c r="AJ10" s="156">
        <f t="shared" si="8"/>
        <v>26.769469588049997</v>
      </c>
      <c r="AK10" s="156">
        <f t="shared" si="9"/>
        <v>4.7030775345259199</v>
      </c>
      <c r="AM10" s="716">
        <f t="shared" si="10"/>
        <v>1.732E-3</v>
      </c>
      <c r="AN10" s="716" t="str">
        <f>_xlfn.XLOOKUP(D10,RUC!$B$3:$B$578,RUC!$M$3:$M$578)</f>
        <v>Renzo</v>
      </c>
      <c r="AO10" s="1167" t="s">
        <v>2278</v>
      </c>
      <c r="AP10" s="1082" t="s">
        <v>5357</v>
      </c>
      <c r="AQ10" s="1082" t="s">
        <v>5358</v>
      </c>
      <c r="AV10" s="1557" t="s">
        <v>2278</v>
      </c>
      <c r="AW10" s="703">
        <f t="shared" si="11"/>
        <v>156.11500000000001</v>
      </c>
      <c r="AX10" s="703" cm="1">
        <f t="array" ref="AX10">+SUMPRODUCT(IF($AO$4:$AO$253=AV10,$L$4:$L$253*$K$4:$K$253/AW10))</f>
        <v>0.33637489671075804</v>
      </c>
      <c r="AY10" s="1215">
        <f t="shared" si="12"/>
        <v>0.75074332630660123</v>
      </c>
      <c r="AZ10" s="596" cm="1">
        <f t="array" ref="AZ10">+SUMPRODUCT(IF($AO$4:$AO$253=AV10,($Q$4:$Q$253*$AH$4:$AH$253)/SUMIF($AO$4:$AO$253,$AV10,$AH$4:$AH$253)))</f>
        <v>93.490332091310677</v>
      </c>
      <c r="BA10" s="1481">
        <f t="shared" si="13"/>
        <v>1800.4343083294541</v>
      </c>
      <c r="BB10" s="1237">
        <f t="shared" ca="1" si="14"/>
        <v>1680.5919999999999</v>
      </c>
      <c r="BC10" s="596">
        <f t="shared" ref="BC10:BC18" ca="1" si="15">+BC9+BA10-BB10</f>
        <v>236.56115439229984</v>
      </c>
      <c r="BD10" s="1238">
        <f t="shared" ref="BD10:BD18" si="16">+BD9+AW10</f>
        <v>310.52999999999997</v>
      </c>
    </row>
    <row r="11" spans="1:56" ht="15" customHeight="1">
      <c r="A11" s="1491" t="s">
        <v>5339</v>
      </c>
      <c r="B11" s="1447">
        <v>46135</v>
      </c>
      <c r="C11" s="1447">
        <v>46126</v>
      </c>
      <c r="D11" s="1833" t="s">
        <v>3062</v>
      </c>
      <c r="E11" s="762">
        <f>_xlfn.XLOOKUP(D11,RUC!$B$3:$B$123,RUC!$D$3:$D$123)</f>
        <v>20610807004</v>
      </c>
      <c r="G11" s="1082">
        <v>29</v>
      </c>
      <c r="H11" s="1082" t="s">
        <v>2005</v>
      </c>
      <c r="I11" s="703">
        <v>2.41</v>
      </c>
      <c r="J11" s="596">
        <v>6.6</v>
      </c>
      <c r="K11" s="703">
        <f t="shared" si="0"/>
        <v>2.2509999999999999</v>
      </c>
      <c r="L11" s="1745">
        <v>6.6000000000000003E-2</v>
      </c>
      <c r="M11" s="994">
        <f>ROUND(+IF(AN11="Melchor Vera",IF(L11&gt;0.467,L11*0.985,(L11-0.007)),IF(L11&gt;0.3,L11*0.94,(L11-0.019))),3)</f>
        <v>4.7E-2</v>
      </c>
      <c r="N11" s="1196">
        <f>+M11</f>
        <v>4.7E-2</v>
      </c>
      <c r="O11" s="645">
        <f t="shared" si="1"/>
        <v>4.7E-2</v>
      </c>
      <c r="P11" s="727">
        <v>60</v>
      </c>
      <c r="Q11" s="1572">
        <v>65.150000000000006</v>
      </c>
      <c r="R11" s="706">
        <v>4794.75</v>
      </c>
      <c r="S11" s="765">
        <f>IF((_xlfn.XLOOKUP(D11,RUC!$B$3:$B$119,RUC!$E$3:$E$119)+ROUNDDOWN(O11,1)*100)&lt;95,95,((_xlfn.XLOOKUP(D11,RUC!$B$3:$B$119,RUC!$E$3:$E$119)+ROUNDDOWN(O11,1)*100)))</f>
        <v>95</v>
      </c>
      <c r="U11" s="1146">
        <f>_xlfn.XLOOKUP(D11,RUC!$B$3:$B$123,RUC!$F$3:$F$123)</f>
        <v>120</v>
      </c>
      <c r="V11" s="715">
        <v>1.1023000000000001</v>
      </c>
      <c r="Y11">
        <f>_xlfn.XLOOKUP(D11,RUC!$B$3:$B$123,RUC!$G$3:$G$123)</f>
        <v>20</v>
      </c>
      <c r="Z11" s="143">
        <f>_xlfn.XLOOKUP(D11,RUC!$B$3:$B$123,RUC!$H$3:$H$123)</f>
        <v>30</v>
      </c>
      <c r="AA11" s="144">
        <f t="shared" si="2"/>
        <v>50</v>
      </c>
      <c r="AB11" s="145">
        <v>1E-3</v>
      </c>
      <c r="AC11" s="145">
        <f>+(S11-T11)*V11-'data 1'!$F$4</f>
        <v>24.718500000000006</v>
      </c>
      <c r="AD11" s="145">
        <f t="shared" si="3"/>
        <v>17.51496856807502</v>
      </c>
      <c r="AE11" s="145">
        <f t="shared" si="4"/>
        <v>-14.884999999999998</v>
      </c>
      <c r="AF11" s="145">
        <f t="shared" si="5"/>
        <v>63.786124866112523</v>
      </c>
      <c r="AG11" s="772">
        <f>AC11+AD11+AE11+AF11+70-53-14.52</f>
        <v>93.61459343418754</v>
      </c>
      <c r="AH11" s="1253">
        <f t="shared" si="6"/>
        <v>3.319</v>
      </c>
      <c r="AI11" s="1253">
        <f t="shared" si="7"/>
        <v>5.0940000000000003</v>
      </c>
      <c r="AJ11" s="156">
        <f t="shared" si="8"/>
        <v>10.676353931925</v>
      </c>
      <c r="AK11" s="156">
        <f t="shared" si="9"/>
        <v>2.1763747197155099</v>
      </c>
      <c r="AM11" s="716">
        <f t="shared" si="10"/>
        <v>2.251E-3</v>
      </c>
      <c r="AN11" s="716" t="str">
        <f>_xlfn.XLOOKUP(D11,RUC!$B$3:$B$578,RUC!$M$3:$M$578)</f>
        <v>Renzo</v>
      </c>
      <c r="AO11" s="1167" t="s">
        <v>2278</v>
      </c>
      <c r="AP11" s="1082" t="s">
        <v>5357</v>
      </c>
      <c r="AQ11" s="1082" t="s">
        <v>5358</v>
      </c>
      <c r="AV11" s="1557" t="s">
        <v>2280</v>
      </c>
      <c r="AW11" s="703">
        <f t="shared" si="11"/>
        <v>142.17100000000002</v>
      </c>
      <c r="AX11" s="703" cm="1">
        <f t="array" ref="AX11">+SUMPRODUCT(IF($AO$4:$AO$253=AV11,$L$4:$L$253*$K$4:$K$253/AW11))</f>
        <v>0.34846616398562286</v>
      </c>
      <c r="AY11" s="1215">
        <f t="shared" si="12"/>
        <v>0.61654922701134252</v>
      </c>
      <c r="AZ11" s="596" cm="1">
        <f t="array" ref="AZ11">+SUMPRODUCT(IF($AO$4:$AO$253=AV11,($Q$4:$Q$253*$AH$4:$AH$253)/SUMIF($AO$4:$AO$253,$AV11,$AH$4:$AH$253)))</f>
        <v>94.8394252421011</v>
      </c>
      <c r="BA11" s="1237">
        <f t="shared" si="13"/>
        <v>1698.5592548438933</v>
      </c>
      <c r="BB11" s="1237">
        <f t="shared" ca="1" si="14"/>
        <v>1610.278</v>
      </c>
      <c r="BC11" s="596">
        <f t="shared" ca="1" si="15"/>
        <v>324.84240923619313</v>
      </c>
      <c r="BD11" s="1238">
        <f t="shared" si="16"/>
        <v>452.70100000000002</v>
      </c>
    </row>
    <row r="12" spans="1:56" ht="15" customHeight="1">
      <c r="A12" s="747" t="s">
        <v>5406</v>
      </c>
      <c r="B12" s="1447">
        <v>46138</v>
      </c>
      <c r="C12" s="1447">
        <v>46134</v>
      </c>
      <c r="D12" t="s">
        <v>4171</v>
      </c>
      <c r="E12" s="762">
        <f>_xlfn.XLOOKUP(D12,RUC!$B$3:$B$123,RUC!$D$3:$D$123)</f>
        <v>20614284740</v>
      </c>
      <c r="G12" s="762">
        <v>29</v>
      </c>
      <c r="H12" s="1082" t="s">
        <v>69</v>
      </c>
      <c r="I12" s="703">
        <v>2.2200000000000002</v>
      </c>
      <c r="J12" s="596">
        <v>2</v>
      </c>
      <c r="K12" s="703">
        <f t="shared" si="0"/>
        <v>2.1760000000000002</v>
      </c>
      <c r="L12" s="1745">
        <v>0.309</v>
      </c>
      <c r="M12" s="994">
        <f>ROUND(+IF(L12&gt;_xlfn.XLOOKUP(AN12,RUC!M:M,RUC!K:K),L12*_xlfn.XLOOKUP(AN12,RUC!M:M,RUC!I:I),L12-_xlfn.XLOOKUP(AN12,RUC!M:M,RUC!J:J)),3)</f>
        <v>0.28999999999999998</v>
      </c>
      <c r="N12" s="1196">
        <f>+M12</f>
        <v>0.28999999999999998</v>
      </c>
      <c r="O12" s="645">
        <f t="shared" si="1"/>
        <v>0.28999999999999998</v>
      </c>
      <c r="P12" s="727">
        <v>90</v>
      </c>
      <c r="Q12">
        <v>90.61</v>
      </c>
      <c r="R12" s="706">
        <v>4742.1000000000004</v>
      </c>
      <c r="S12" s="765">
        <f>IF((_xlfn.XLOOKUP(D12,RUC!$B$3:$B$119,RUC!$E$3:$E$119)+ROUNDDOWN(O12,1)*100)&lt;95,95,((_xlfn.XLOOKUP(D12,RUC!$B$3:$B$119,RUC!$E$3:$E$119)+ROUNDDOWN(O12,1)*100)))</f>
        <v>110</v>
      </c>
      <c r="U12" s="1146">
        <f>_xlfn.XLOOKUP(D12,RUC!$B$3:$B$123,RUC!$F$3:$F$123)</f>
        <v>120</v>
      </c>
      <c r="V12" s="715">
        <v>1.1023000000000001</v>
      </c>
      <c r="Y12">
        <f>_xlfn.XLOOKUP(D12,RUC!$B$3:$B$123,RUC!$G$3:$G$123)</f>
        <v>20</v>
      </c>
      <c r="Z12" s="143">
        <f>_xlfn.XLOOKUP(D12,RUC!$B$3:$B$123,RUC!$H$3:$H$123)</f>
        <v>30</v>
      </c>
      <c r="AA12" s="144">
        <f t="shared" si="2"/>
        <v>50</v>
      </c>
      <c r="AB12" s="145">
        <f t="shared" ref="AB12:AB30" si="17">+((O12*P12*(R12-U12)/100)-S12-AA12+T12)*V12</f>
        <v>1153.41155663</v>
      </c>
      <c r="AC12" s="145">
        <f>+(S12-T12)*V12-'data 1'!$F$4</f>
        <v>41.253</v>
      </c>
      <c r="AD12" s="145">
        <f t="shared" si="3"/>
        <v>9.6034539704669921</v>
      </c>
      <c r="AE12" s="145">
        <f t="shared" si="4"/>
        <v>-14.884999999999998</v>
      </c>
      <c r="AF12" s="145">
        <f t="shared" si="5"/>
        <v>87.713991835197078</v>
      </c>
      <c r="AG12" s="772">
        <f t="shared" ref="AG12:AG30" si="18">AC12+AD12+AE12+AF12+70-53</f>
        <v>140.68544580566407</v>
      </c>
      <c r="AH12" s="1253">
        <f t="shared" si="6"/>
        <v>20.888000000000002</v>
      </c>
      <c r="AI12" s="1253">
        <f t="shared" si="7"/>
        <v>23.053000000000001</v>
      </c>
      <c r="AJ12" s="156">
        <f t="shared" si="8"/>
        <v>85.767542029532891</v>
      </c>
      <c r="AK12" s="156">
        <f t="shared" si="9"/>
        <v>19.471906147564802</v>
      </c>
      <c r="AM12" s="716">
        <f t="shared" si="10"/>
        <v>2509.8235472268802</v>
      </c>
      <c r="AN12" s="716" t="str">
        <f>_xlfn.XLOOKUP(D12,RUC!$B$3:$B$578,RUC!$M$3:$M$578)</f>
        <v xml:space="preserve">Dante </v>
      </c>
      <c r="AO12" s="1167" t="s">
        <v>2277</v>
      </c>
      <c r="AP12" s="1843">
        <v>307</v>
      </c>
      <c r="AQ12" s="1082" t="s">
        <v>5135</v>
      </c>
      <c r="AV12" s="1557" t="s">
        <v>2279</v>
      </c>
      <c r="AW12" s="703">
        <f t="shared" si="11"/>
        <v>84.022999999999996</v>
      </c>
      <c r="AX12" s="703" cm="1">
        <f t="array" ref="AX12">+SUMPRODUCT(IF($AO$4:$AO$253=AV12,$L$4:$L$253*$K$4:$K$253/AW12))</f>
        <v>0.34232570843697563</v>
      </c>
      <c r="AY12" s="1215">
        <f t="shared" si="12"/>
        <v>0.60944044622587168</v>
      </c>
      <c r="AZ12" s="596" cm="1">
        <f t="array" ref="AZ12">+SUMPRODUCT(IF($AO$4:$AO$253=AV12,($Q$4:$Q$253*$AH$4:$AH$253)/SUMIF($AO$4:$AO$253,$AV12,$AH$4:$AH$253)))</f>
        <v>94.807426071752289</v>
      </c>
      <c r="BA12" s="1237">
        <f t="shared" si="13"/>
        <v>986.15860497756591</v>
      </c>
      <c r="BB12" s="1237">
        <f t="shared" ca="1" si="14"/>
        <v>934.52099999999996</v>
      </c>
      <c r="BC12" s="596">
        <f t="shared" ca="1" si="15"/>
        <v>376.48001421375898</v>
      </c>
      <c r="BD12" s="1238">
        <f t="shared" si="16"/>
        <v>536.72400000000005</v>
      </c>
    </row>
    <row r="13" spans="1:56" ht="15" customHeight="1">
      <c r="A13" s="747" t="s">
        <v>5408</v>
      </c>
      <c r="B13" s="1447">
        <v>46140</v>
      </c>
      <c r="C13" s="1447">
        <v>46135</v>
      </c>
      <c r="D13" t="s">
        <v>3125</v>
      </c>
      <c r="E13" s="762" t="str">
        <f>_xlfn.XLOOKUP(D13,RUC!$B$3:$B$123,RUC!$D$3:$D$123)</f>
        <v>10486077447,</v>
      </c>
      <c r="G13" s="762" t="s">
        <v>2985</v>
      </c>
      <c r="H13" s="1082" t="s">
        <v>2005</v>
      </c>
      <c r="I13" s="703">
        <v>32.85</v>
      </c>
      <c r="J13" s="596">
        <v>2</v>
      </c>
      <c r="K13" s="703">
        <f t="shared" si="0"/>
        <v>32.192999999999998</v>
      </c>
      <c r="L13" s="1745">
        <v>0.12</v>
      </c>
      <c r="M13" s="1443">
        <f>ROUND(+IF(L13&gt;_xlfn.XLOOKUP(AN13,RUC!M:M,RUC!K:K),L13*_xlfn.XLOOKUP(AN13,RUC!M:M,RUC!I:I),L13-_xlfn.XLOOKUP(AN13,RUC!M:M,RUC!J:J)),3)-0.003</f>
        <v>9.2999999999999999E-2</v>
      </c>
      <c r="N13" s="1444">
        <v>0.14699999999999999</v>
      </c>
      <c r="O13" s="645">
        <f t="shared" si="1"/>
        <v>0.12</v>
      </c>
      <c r="P13" s="727">
        <v>80</v>
      </c>
      <c r="Q13" s="1476">
        <v>97.5</v>
      </c>
      <c r="R13" s="706">
        <v>4719.1499999999996</v>
      </c>
      <c r="S13" s="765">
        <f>IF((_xlfn.XLOOKUP(D13,RUC!$B$3:$B$119,RUC!$E$3:$E$119)+ROUNDDOWN(O13,1)*100)&lt;95,95,((_xlfn.XLOOKUP(D13,RUC!$B$3:$B$119,RUC!$E$3:$E$119)+ROUNDDOWN(O13,1)*100)))</f>
        <v>100</v>
      </c>
      <c r="U13" s="1458">
        <v>130</v>
      </c>
      <c r="V13" s="715">
        <v>1.1023000000000001</v>
      </c>
      <c r="Y13">
        <v>0</v>
      </c>
      <c r="Z13" s="143">
        <f>_xlfn.XLOOKUP(D13,RUC!$B$3:$B$123,RUC!$H$3:$H$123)</f>
        <v>30</v>
      </c>
      <c r="AA13" s="144">
        <f t="shared" si="2"/>
        <v>30</v>
      </c>
      <c r="AB13" s="145">
        <f t="shared" si="17"/>
        <v>342.32852431999999</v>
      </c>
      <c r="AC13" s="145">
        <f>+(S13-T13)*V13-'data 1'!$F$4</f>
        <v>30.230000000000004</v>
      </c>
      <c r="AD13" s="145">
        <f t="shared" si="3"/>
        <v>106.231020945</v>
      </c>
      <c r="AE13" s="145">
        <f t="shared" si="4"/>
        <v>-36.930999999999997</v>
      </c>
      <c r="AF13" s="145">
        <f t="shared" si="5"/>
        <v>0</v>
      </c>
      <c r="AG13" s="772">
        <f t="shared" si="18"/>
        <v>116.53002094499999</v>
      </c>
      <c r="AH13" s="1253">
        <f t="shared" si="6"/>
        <v>129.13900000000001</v>
      </c>
      <c r="AI13" s="1253">
        <f t="shared" si="7"/>
        <v>132.44999999999999</v>
      </c>
      <c r="AJ13" s="156">
        <f t="shared" si="8"/>
        <v>40.090044735000049</v>
      </c>
      <c r="AK13" s="156">
        <f t="shared" si="9"/>
        <v>105.95995175939039</v>
      </c>
      <c r="AM13" s="716">
        <f t="shared" si="10"/>
        <v>11020.582183433758</v>
      </c>
      <c r="AN13" s="716" t="str">
        <f>_xlfn.XLOOKUP(D13,RUC!$B$3:$B$578,RUC!$M$3:$M$578)</f>
        <v>SIN ACOPIO</v>
      </c>
      <c r="AO13" s="1167" t="s">
        <v>2277</v>
      </c>
      <c r="AP13" s="1843">
        <v>208</v>
      </c>
      <c r="AQ13" s="1082" t="s">
        <v>5425</v>
      </c>
      <c r="AV13" s="1557" t="s">
        <v>2281</v>
      </c>
      <c r="AW13" s="703">
        <f t="shared" si="11"/>
        <v>0</v>
      </c>
      <c r="AX13" s="703" cm="1">
        <f t="array" ref="AX13">+SUMPRODUCT(IF($AO$4:$AO$253=AV13,$L$4:$L$253*$K$4:$K$253/AW13))</f>
        <v>0</v>
      </c>
      <c r="AY13" s="1215">
        <f t="shared" si="12"/>
        <v>0</v>
      </c>
      <c r="AZ13" s="596" cm="1">
        <f t="array" ref="AZ13">+SUMPRODUCT(IF($AO$4:$AO$253=AV13,($Q$4:$Q$253*$AH$4:$AH$253)/SUMIF($AO$4:$AO$253,$AV13,$AH$4:$AH$253)))</f>
        <v>0</v>
      </c>
      <c r="BA13" s="1237">
        <f t="shared" si="13"/>
        <v>0</v>
      </c>
      <c r="BB13" s="1237">
        <f t="shared" ca="1" si="14"/>
        <v>0</v>
      </c>
      <c r="BC13" s="596">
        <f t="shared" ca="1" si="15"/>
        <v>376.48001421375898</v>
      </c>
      <c r="BD13" s="1238">
        <f t="shared" si="16"/>
        <v>536.72400000000005</v>
      </c>
    </row>
    <row r="14" spans="1:56" ht="15" customHeight="1">
      <c r="A14" s="747" t="s">
        <v>5427</v>
      </c>
      <c r="B14" s="1447">
        <v>46142</v>
      </c>
      <c r="C14" s="1447">
        <v>46137</v>
      </c>
      <c r="D14" t="s">
        <v>93</v>
      </c>
      <c r="E14" s="762">
        <f>_xlfn.XLOOKUP(D14,RUC!$B$3:$B$123,RUC!$D$3:$D$123)</f>
        <v>20169040231</v>
      </c>
      <c r="G14" s="1082">
        <v>73</v>
      </c>
      <c r="H14" s="1082" t="s">
        <v>69</v>
      </c>
      <c r="I14" s="703">
        <v>7.02</v>
      </c>
      <c r="J14" s="596">
        <v>2.1</v>
      </c>
      <c r="K14" s="703">
        <f t="shared" si="0"/>
        <v>6.8730000000000002</v>
      </c>
      <c r="L14" s="1745">
        <v>0.251</v>
      </c>
      <c r="M14" s="994">
        <f>ROUND(+IF(L14&gt;_xlfn.XLOOKUP(AN14,RUC!M:M,RUC!K:K),L14*_xlfn.XLOOKUP(AN14,RUC!M:M,RUC!I:I),L14-_xlfn.XLOOKUP(AN14,RUC!M:M,RUC!J:J)),3)</f>
        <v>0.23200000000000001</v>
      </c>
      <c r="N14" s="1196">
        <f t="shared" ref="N14:N27" si="19">+M14</f>
        <v>0.23200000000000001</v>
      </c>
      <c r="O14" s="645">
        <f t="shared" si="1"/>
        <v>0.23200000000000001</v>
      </c>
      <c r="P14" s="727">
        <v>90</v>
      </c>
      <c r="Q14" s="1476">
        <v>92.83</v>
      </c>
      <c r="R14" s="706">
        <v>4711.6499999999996</v>
      </c>
      <c r="S14" s="765">
        <f>IF((_xlfn.XLOOKUP(D14,RUC!$B$3:$B$119,RUC!$E$3:$E$119)+ROUNDDOWN(O14,1)*100)&lt;95,95,((_xlfn.XLOOKUP(D14,RUC!$B$3:$B$119,RUC!$E$3:$E$119)+ROUNDDOWN(O14,1)*100)))</f>
        <v>105</v>
      </c>
      <c r="U14" s="1146">
        <f>_xlfn.XLOOKUP(D14,RUC!$B$3:$B$123,RUC!$F$3:$F$123)</f>
        <v>120</v>
      </c>
      <c r="V14" s="715">
        <v>1.1023000000000001</v>
      </c>
      <c r="Y14">
        <f>_xlfn.XLOOKUP(D14,RUC!$B$3:$B$123,RUC!$G$3:$G$123)</f>
        <v>20</v>
      </c>
      <c r="Z14" s="1454">
        <v>35</v>
      </c>
      <c r="AA14" s="144">
        <f t="shared" si="2"/>
        <v>55</v>
      </c>
      <c r="AB14" s="145">
        <f t="shared" si="17"/>
        <v>880.44726599600006</v>
      </c>
      <c r="AC14" s="145">
        <f>+(S14-T14)*V14-'data 1'!$F$4</f>
        <v>35.741500000000002</v>
      </c>
      <c r="AD14" s="145">
        <f t="shared" si="3"/>
        <v>35.952470684623478</v>
      </c>
      <c r="AE14" s="145">
        <f t="shared" si="4"/>
        <v>-9.3734999999999999</v>
      </c>
      <c r="AF14" s="145">
        <f t="shared" si="5"/>
        <v>89.271027859471431</v>
      </c>
      <c r="AG14" s="772">
        <f t="shared" si="18"/>
        <v>168.59149854409492</v>
      </c>
      <c r="AH14" s="1253">
        <f t="shared" si="6"/>
        <v>54.905999999999999</v>
      </c>
      <c r="AI14" s="1253">
        <f t="shared" si="7"/>
        <v>59.146999999999998</v>
      </c>
      <c r="AJ14" s="156">
        <f t="shared" si="8"/>
        <v>79.196471415876601</v>
      </c>
      <c r="AK14" s="156">
        <f t="shared" si="9"/>
        <v>49.202356967725329</v>
      </c>
      <c r="AM14" s="716">
        <f t="shared" si="10"/>
        <v>6051.3140591905085</v>
      </c>
      <c r="AN14" s="716" t="str">
        <f>_xlfn.XLOOKUP(D14,RUC!$B$3:$B$578,RUC!$M$3:$M$578)</f>
        <v>Ronald Miranda</v>
      </c>
      <c r="AO14" s="1167" t="s">
        <v>2277</v>
      </c>
      <c r="AP14" s="1843">
        <v>6468</v>
      </c>
      <c r="AQ14" s="1082" t="s">
        <v>4252</v>
      </c>
      <c r="AV14" s="1557" t="s">
        <v>2297</v>
      </c>
      <c r="AW14" s="703">
        <f t="shared" si="11"/>
        <v>0</v>
      </c>
      <c r="AX14" s="703" cm="1">
        <f t="array" ref="AX14">+SUMPRODUCT(IF($AO$4:$AO$253=AV14,$L$4:$L$253*$K$4:$K$253/AW14))</f>
        <v>0</v>
      </c>
      <c r="AY14" s="1215">
        <f t="shared" si="12"/>
        <v>0</v>
      </c>
      <c r="AZ14" s="596" cm="1">
        <f t="array" ref="AZ14">+SUMPRODUCT(IF('44'!$AO$4:$AO$145=AV14,('44'!$Q$4:$Q$145*'44'!$AH$4:$AH$145)/SUMIF('44'!$AO$4:$AO$145,#REF!,'44'!$AH$4:$AH$145)))</f>
        <v>0</v>
      </c>
      <c r="BA14" s="1237">
        <f t="shared" si="13"/>
        <v>0</v>
      </c>
      <c r="BB14" s="1237">
        <f t="shared" ca="1" si="14"/>
        <v>0</v>
      </c>
      <c r="BC14" s="596">
        <f t="shared" ca="1" si="15"/>
        <v>376.48001421375898</v>
      </c>
      <c r="BD14" s="1238">
        <f t="shared" si="16"/>
        <v>536.72400000000005</v>
      </c>
    </row>
    <row r="15" spans="1:56" ht="15" customHeight="1">
      <c r="A15" s="747" t="s">
        <v>5428</v>
      </c>
      <c r="B15" s="1447">
        <v>46142</v>
      </c>
      <c r="C15" s="1447">
        <v>46137</v>
      </c>
      <c r="D15" t="s">
        <v>93</v>
      </c>
      <c r="E15" s="762">
        <f>_xlfn.XLOOKUP(D15,RUC!$B$3:$B$123,RUC!$D$3:$D$123)</f>
        <v>20169040231</v>
      </c>
      <c r="G15" s="1082">
        <v>73</v>
      </c>
      <c r="H15" s="1082" t="s">
        <v>69</v>
      </c>
      <c r="I15" s="703">
        <v>7.14</v>
      </c>
      <c r="J15" s="596">
        <v>2.2000000000000002</v>
      </c>
      <c r="K15" s="703">
        <f t="shared" si="0"/>
        <v>6.9829999999999997</v>
      </c>
      <c r="L15" s="1745">
        <v>0.23400000000000001</v>
      </c>
      <c r="M15" s="994">
        <f>ROUND(+IF(L15&gt;_xlfn.XLOOKUP(AN15,RUC!M:M,RUC!K:K),L15*_xlfn.XLOOKUP(AN15,RUC!M:M,RUC!I:I),L15-_xlfn.XLOOKUP(AN15,RUC!M:M,RUC!J:J)),3)</f>
        <v>0.215</v>
      </c>
      <c r="N15" s="1196">
        <f t="shared" si="19"/>
        <v>0.215</v>
      </c>
      <c r="O15" s="645">
        <f t="shared" si="1"/>
        <v>0.215</v>
      </c>
      <c r="P15" s="727">
        <v>90</v>
      </c>
      <c r="Q15" s="1476">
        <v>91.45</v>
      </c>
      <c r="R15" s="706">
        <v>4711.6499999999996</v>
      </c>
      <c r="S15" s="765">
        <f>IF((_xlfn.XLOOKUP(D15,RUC!$B$3:$B$119,RUC!$E$3:$E$119)+ROUNDDOWN(O15,1)*100)&lt;95,95,((_xlfn.XLOOKUP(D15,RUC!$B$3:$B$119,RUC!$E$3:$E$119)+ROUNDDOWN(O15,1)*100)))</f>
        <v>105</v>
      </c>
      <c r="U15" s="1146">
        <f>_xlfn.XLOOKUP(D15,RUC!$B$3:$B$123,RUC!$F$3:$F$123)</f>
        <v>120</v>
      </c>
      <c r="V15" s="715">
        <v>1.1023000000000001</v>
      </c>
      <c r="Y15">
        <f>_xlfn.XLOOKUP(D15,RUC!$B$3:$B$123,RUC!$G$3:$G$123)</f>
        <v>20</v>
      </c>
      <c r="Z15" s="1454">
        <v>35</v>
      </c>
      <c r="AA15" s="144">
        <f t="shared" si="2"/>
        <v>55</v>
      </c>
      <c r="AB15" s="145">
        <f t="shared" si="17"/>
        <v>803.00821633250007</v>
      </c>
      <c r="AC15" s="145">
        <f>+(S15-T15)*V15-'data 1'!$F$4</f>
        <v>35.741500000000002</v>
      </c>
      <c r="AD15" s="145">
        <f t="shared" si="3"/>
        <v>17.173248072435037</v>
      </c>
      <c r="AE15" s="145">
        <f t="shared" si="4"/>
        <v>-9.3734999999999999</v>
      </c>
      <c r="AF15" s="145">
        <f t="shared" si="5"/>
        <v>87.943935126022566</v>
      </c>
      <c r="AG15" s="772">
        <f t="shared" si="18"/>
        <v>148.48518319845761</v>
      </c>
      <c r="AH15" s="1253">
        <f t="shared" si="6"/>
        <v>51.232999999999997</v>
      </c>
      <c r="AI15" s="1253">
        <f t="shared" si="7"/>
        <v>56.023000000000003</v>
      </c>
      <c r="AJ15" s="156">
        <f t="shared" si="8"/>
        <v>72.734980610565103</v>
      </c>
      <c r="AK15" s="156">
        <f t="shared" si="9"/>
        <v>46.326776329734521</v>
      </c>
      <c r="AM15" s="716">
        <f t="shared" si="10"/>
        <v>5607.4063746498477</v>
      </c>
      <c r="AN15" s="716" t="str">
        <f>_xlfn.XLOOKUP(D15,RUC!$B$3:$B$578,RUC!$M$3:$M$578)</f>
        <v>Ronald Miranda</v>
      </c>
      <c r="AO15" s="1167" t="s">
        <v>2277</v>
      </c>
      <c r="AP15" s="1843">
        <v>6468</v>
      </c>
      <c r="AQ15" s="1082" t="s">
        <v>4252</v>
      </c>
      <c r="AV15" s="1557" t="s">
        <v>2518</v>
      </c>
      <c r="AW15" s="703">
        <f t="shared" si="11"/>
        <v>0</v>
      </c>
      <c r="AX15" s="703" cm="1">
        <f t="array" ref="AX15">+SUMPRODUCT(IF($AO$4:$AO$253=AV15,$L$4:$L$253*$K$4:$K$253/AW15))</f>
        <v>0</v>
      </c>
      <c r="AY15" s="1215">
        <f t="shared" si="12"/>
        <v>0</v>
      </c>
      <c r="AZ15" s="596" cm="1">
        <f t="array" ref="AZ15">+SUMPRODUCT(IF('44'!$AO$4:$AO$145=AV15,('44'!$Q$4:$Q$145*'44'!$AH$4:$AH$145)/SUMIF('44'!$AO$4:$AO$145,#REF!,'44'!$AH$4:$AH$145)))</f>
        <v>0</v>
      </c>
      <c r="BA15" s="1237">
        <f t="shared" si="13"/>
        <v>0</v>
      </c>
      <c r="BB15" s="1237">
        <f t="shared" ca="1" si="14"/>
        <v>0</v>
      </c>
      <c r="BC15" s="596">
        <f t="shared" ca="1" si="15"/>
        <v>376.48001421375898</v>
      </c>
      <c r="BD15" s="1238">
        <f t="shared" si="16"/>
        <v>536.72400000000005</v>
      </c>
    </row>
    <row r="16" spans="1:56" ht="15" customHeight="1">
      <c r="A16" s="747" t="s">
        <v>5429</v>
      </c>
      <c r="B16" s="1447">
        <v>46142</v>
      </c>
      <c r="C16" s="1447">
        <v>46137</v>
      </c>
      <c r="D16" s="1852" t="s">
        <v>5442</v>
      </c>
      <c r="E16" s="762">
        <f>_xlfn.XLOOKUP(D16,RUC!$B$3:$B$123,RUC!$D$3:$D$123)</f>
        <v>20606562480</v>
      </c>
      <c r="G16" s="1082">
        <v>33</v>
      </c>
      <c r="H16" s="1082" t="s">
        <v>69</v>
      </c>
      <c r="I16" s="703">
        <v>2.98</v>
      </c>
      <c r="J16" s="596">
        <v>2</v>
      </c>
      <c r="K16" s="703">
        <f t="shared" si="0"/>
        <v>2.92</v>
      </c>
      <c r="L16" s="1745">
        <v>0.35899999999999999</v>
      </c>
      <c r="M16" s="994">
        <f>ROUND(+IF(L16&gt;_xlfn.XLOOKUP(AN16,RUC!M:M,RUC!K:K),L16*_xlfn.XLOOKUP(AN16,RUC!M:M,RUC!I:I),L16-_xlfn.XLOOKUP(AN16,RUC!M:M,RUC!J:J)),3)</f>
        <v>0.33700000000000002</v>
      </c>
      <c r="N16" s="1196">
        <f t="shared" si="19"/>
        <v>0.33700000000000002</v>
      </c>
      <c r="O16" s="645">
        <f t="shared" si="1"/>
        <v>0.33700000000000002</v>
      </c>
      <c r="P16" s="727">
        <v>90</v>
      </c>
      <c r="Q16" s="1476">
        <v>93.04</v>
      </c>
      <c r="R16" s="706">
        <v>4711.6499999999996</v>
      </c>
      <c r="S16" s="765">
        <f>IF((_xlfn.XLOOKUP(D16,RUC!$B$3:$B$119,RUC!$E$3:$E$119)+ROUNDDOWN(O16,1)*100)&lt;95,95,((_xlfn.XLOOKUP(D16,RUC!$B$3:$B$119,RUC!$E$3:$E$119)+ROUNDDOWN(O16,1)*100)))</f>
        <v>115</v>
      </c>
      <c r="U16" s="1146">
        <f>_xlfn.XLOOKUP(D16,RUC!$B$3:$B$123,RUC!$F$3:$F$123)</f>
        <v>120</v>
      </c>
      <c r="V16" s="715">
        <v>1.1023000000000001</v>
      </c>
      <c r="Y16">
        <f>_xlfn.XLOOKUP(D16,RUC!$B$3:$B$123,RUC!$G$3:$G$123)</f>
        <v>20</v>
      </c>
      <c r="Z16" s="1454">
        <v>35</v>
      </c>
      <c r="AA16" s="144">
        <f t="shared" si="2"/>
        <v>55</v>
      </c>
      <c r="AB16" s="145">
        <f t="shared" si="17"/>
        <v>1347.7242786235001</v>
      </c>
      <c r="AC16" s="145">
        <f>+(S16-T16)*V16-'data 1'!$F$4</f>
        <v>46.764500000000012</v>
      </c>
      <c r="AD16" s="145">
        <f t="shared" si="3"/>
        <v>55.23783087631211</v>
      </c>
      <c r="AE16" s="145">
        <f t="shared" si="4"/>
        <v>-9.3734999999999999</v>
      </c>
      <c r="AF16" s="145">
        <f t="shared" si="5"/>
        <v>103.60028887269584</v>
      </c>
      <c r="AG16" s="772">
        <f t="shared" si="18"/>
        <v>213.22911974900796</v>
      </c>
      <c r="AH16" s="1253">
        <f t="shared" si="6"/>
        <v>33.439</v>
      </c>
      <c r="AI16" s="1253">
        <f t="shared" si="7"/>
        <v>35.941000000000003</v>
      </c>
      <c r="AJ16" s="156">
        <f t="shared" si="8"/>
        <v>113.52928703118815</v>
      </c>
      <c r="AK16" s="156">
        <f t="shared" si="9"/>
        <v>30.364373931049805</v>
      </c>
      <c r="AM16" s="716">
        <f t="shared" si="10"/>
        <v>3935.3548935806202</v>
      </c>
      <c r="AN16" s="716" t="str">
        <f>_xlfn.XLOOKUP(D16,RUC!$B$3:$B$578,RUC!$M$3:$M$578)</f>
        <v>Ronald Miranda</v>
      </c>
      <c r="AO16" s="1167" t="s">
        <v>2277</v>
      </c>
      <c r="AP16" s="1843">
        <v>231</v>
      </c>
      <c r="AQ16" s="1082" t="s">
        <v>5444</v>
      </c>
      <c r="AV16" s="1557" t="s">
        <v>2519</v>
      </c>
      <c r="AW16" s="703">
        <f t="shared" si="11"/>
        <v>0</v>
      </c>
      <c r="AX16" s="703" cm="1">
        <f t="array" ref="AX16">+SUMPRODUCT(IF($AO$4:$AO$253=AV16,$L$4:$L$253*$K$4:$K$253/AW16))</f>
        <v>0</v>
      </c>
      <c r="AY16" s="1215">
        <f t="shared" si="12"/>
        <v>0</v>
      </c>
      <c r="AZ16" s="596" cm="1">
        <f t="array" ref="AZ16">+SUMPRODUCT(IF('44'!$AO$4:$AO$145=AV16,('44'!$Q$4:$Q$145*'44'!$AH$4:$AH$145)/SUMIF('44'!$AO$4:$AO$145,#REF!,'44'!$AH$4:$AH$145)))</f>
        <v>0</v>
      </c>
      <c r="BA16" s="1237">
        <f t="shared" si="13"/>
        <v>0</v>
      </c>
      <c r="BB16" s="1237">
        <f t="shared" ca="1" si="14"/>
        <v>0</v>
      </c>
      <c r="BC16" s="596">
        <f t="shared" ca="1" si="15"/>
        <v>376.48001421375898</v>
      </c>
      <c r="BD16" s="1238">
        <f t="shared" si="16"/>
        <v>536.72400000000005</v>
      </c>
    </row>
    <row r="17" spans="1:56" ht="15" customHeight="1">
      <c r="A17" s="747" t="s">
        <v>5431</v>
      </c>
      <c r="B17" s="1447">
        <v>46142</v>
      </c>
      <c r="C17" s="1447">
        <v>46137</v>
      </c>
      <c r="D17" t="s">
        <v>93</v>
      </c>
      <c r="E17" s="762">
        <f>_xlfn.XLOOKUP(D17,RUC!$B$3:$B$123,RUC!$D$3:$D$123)</f>
        <v>20169040231</v>
      </c>
      <c r="G17" s="1082">
        <v>16</v>
      </c>
      <c r="H17" s="1082" t="s">
        <v>108</v>
      </c>
      <c r="I17" s="703">
        <v>1.47</v>
      </c>
      <c r="J17" s="596">
        <v>19.03</v>
      </c>
      <c r="K17" s="703">
        <f t="shared" si="0"/>
        <v>1.19</v>
      </c>
      <c r="L17" s="1745">
        <v>0.312</v>
      </c>
      <c r="M17" s="994">
        <f>ROUND(+IF(L17&gt;_xlfn.XLOOKUP(AN17,RUC!M:M,RUC!K:K),L17*_xlfn.XLOOKUP(AN17,RUC!M:M,RUC!I:I),L17-_xlfn.XLOOKUP(AN17,RUC!M:M,RUC!J:J)),3)</f>
        <v>0.29299999999999998</v>
      </c>
      <c r="N17" s="1196">
        <f t="shared" si="19"/>
        <v>0.29299999999999998</v>
      </c>
      <c r="O17" s="645">
        <f t="shared" si="1"/>
        <v>0.29299999999999998</v>
      </c>
      <c r="P17" s="727">
        <v>89</v>
      </c>
      <c r="Q17" s="1476">
        <v>90.06</v>
      </c>
      <c r="R17" s="706">
        <v>4711.6499999999996</v>
      </c>
      <c r="S17" s="765">
        <f>IF((_xlfn.XLOOKUP(D17,RUC!$B$3:$B$119,RUC!$E$3:$E$119)+ROUNDDOWN(O17,1)*100)&lt;95,95,((_xlfn.XLOOKUP(D17,RUC!$B$3:$B$119,RUC!$E$3:$E$119)+ROUNDDOWN(O17,1)*100)))</f>
        <v>105</v>
      </c>
      <c r="U17" s="1146">
        <f>_xlfn.XLOOKUP(D17,RUC!$B$3:$B$123,RUC!$F$3:$F$123)</f>
        <v>120</v>
      </c>
      <c r="V17" s="715">
        <v>1.1023000000000001</v>
      </c>
      <c r="Y17" s="1445">
        <v>50</v>
      </c>
      <c r="Z17" s="1855">
        <v>40</v>
      </c>
      <c r="AA17" s="144">
        <f t="shared" si="2"/>
        <v>90</v>
      </c>
      <c r="AB17" s="145">
        <f t="shared" si="17"/>
        <v>1104.90646606215</v>
      </c>
      <c r="AC17" s="145">
        <f>+(S17-T17)*V17-'data 1'!$F$4</f>
        <v>35.741500000000002</v>
      </c>
      <c r="AD17" s="145">
        <f t="shared" si="3"/>
        <v>16.738982029224037</v>
      </c>
      <c r="AE17" s="145">
        <f t="shared" si="4"/>
        <v>29.207000000000001</v>
      </c>
      <c r="AF17" s="145">
        <f t="shared" si="5"/>
        <v>86.607225778563077</v>
      </c>
      <c r="AG17" s="772">
        <f t="shared" si="18"/>
        <v>185.29470780778712</v>
      </c>
      <c r="AH17" s="1253">
        <f t="shared" si="6"/>
        <v>11.464</v>
      </c>
      <c r="AI17" s="1253">
        <f t="shared" si="7"/>
        <v>12.728999999999999</v>
      </c>
      <c r="AJ17" s="156">
        <f t="shared" si="8"/>
        <v>95.505920959176123</v>
      </c>
      <c r="AK17" s="156">
        <f t="shared" si="9"/>
        <v>10.639314763740213</v>
      </c>
      <c r="AM17" s="716">
        <f t="shared" si="10"/>
        <v>1314.8386946139585</v>
      </c>
      <c r="AN17" s="716" t="str">
        <f>_xlfn.XLOOKUP(D17,RUC!$B$3:$B$578,RUC!$M$3:$M$578)</f>
        <v>Ronald Miranda</v>
      </c>
      <c r="AO17" s="1167" t="s">
        <v>2277</v>
      </c>
      <c r="AP17" s="1843">
        <v>6468</v>
      </c>
      <c r="AQ17" s="1082" t="s">
        <v>4252</v>
      </c>
      <c r="AR17" t="s">
        <v>5469</v>
      </c>
      <c r="AV17" s="1557" t="s">
        <v>2520</v>
      </c>
      <c r="AW17" s="703">
        <f t="shared" si="11"/>
        <v>0</v>
      </c>
      <c r="AX17" s="703" cm="1">
        <f t="array" ref="AX17">+SUMPRODUCT(IF($AO$4:$AO$253=AV17,$L$4:$L$253*$K$4:$K$253/AW17))</f>
        <v>0</v>
      </c>
      <c r="AY17" s="1215">
        <f t="shared" si="12"/>
        <v>0</v>
      </c>
      <c r="AZ17" s="596" cm="1">
        <f t="array" ref="AZ17">+SUMPRODUCT(IF('44'!$AO$4:$AO$145=AV17,('44'!$Q$4:$Q$145*'44'!$AH$4:$AH$145)/SUMIF('44'!$AO$4:$AO$145,#REF!,'44'!$AH$4:$AH$145)))</f>
        <v>0</v>
      </c>
      <c r="BA17" s="1237">
        <f t="shared" si="13"/>
        <v>0</v>
      </c>
      <c r="BB17" s="1237">
        <f t="shared" ca="1" si="14"/>
        <v>0</v>
      </c>
      <c r="BC17" s="596">
        <f t="shared" ca="1" si="15"/>
        <v>376.48001421375898</v>
      </c>
      <c r="BD17" s="1238">
        <f t="shared" si="16"/>
        <v>536.72400000000005</v>
      </c>
    </row>
    <row r="18" spans="1:56" ht="15" customHeight="1" thickBot="1">
      <c r="A18" s="747" t="s">
        <v>5432</v>
      </c>
      <c r="B18" s="1447">
        <v>46142</v>
      </c>
      <c r="C18" s="1447">
        <v>46137</v>
      </c>
      <c r="D18" s="1852" t="s">
        <v>5442</v>
      </c>
      <c r="E18" s="762">
        <f>_xlfn.XLOOKUP(D18,RUC!$B$3:$B$123,RUC!$D$3:$D$123)</f>
        <v>20606562480</v>
      </c>
      <c r="G18" s="1082">
        <v>25</v>
      </c>
      <c r="H18" s="1082" t="s">
        <v>2005</v>
      </c>
      <c r="I18" s="703">
        <v>1.81</v>
      </c>
      <c r="J18" s="596">
        <v>12.35</v>
      </c>
      <c r="K18" s="703">
        <f t="shared" si="0"/>
        <v>1.5860000000000001</v>
      </c>
      <c r="L18" s="1745">
        <v>0.318</v>
      </c>
      <c r="M18" s="994">
        <f>ROUND(+IF(L18&gt;_xlfn.XLOOKUP(AN18,RUC!M:M,RUC!K:K),L18*_xlfn.XLOOKUP(AN18,RUC!M:M,RUC!I:I),L18-_xlfn.XLOOKUP(AN18,RUC!M:M,RUC!J:J)),3)</f>
        <v>0.29899999999999999</v>
      </c>
      <c r="N18" s="1196">
        <f t="shared" si="19"/>
        <v>0.29899999999999999</v>
      </c>
      <c r="O18" s="645">
        <f t="shared" si="1"/>
        <v>0.29899999999999999</v>
      </c>
      <c r="P18" s="727">
        <v>90</v>
      </c>
      <c r="Q18" s="1476">
        <v>91.19</v>
      </c>
      <c r="R18" s="706">
        <v>4711.6499999999996</v>
      </c>
      <c r="S18" s="765">
        <f>IF((_xlfn.XLOOKUP(D18,RUC!$B$3:$B$119,RUC!$E$3:$E$119)+ROUNDDOWN(O18,1)*100)&lt;95,95,((_xlfn.XLOOKUP(D18,RUC!$B$3:$B$119,RUC!$E$3:$E$119)+ROUNDDOWN(O18,1)*100)))</f>
        <v>105</v>
      </c>
      <c r="U18" s="1146">
        <f>_xlfn.XLOOKUP(D18,RUC!$B$3:$B$123,RUC!$F$3:$F$123)</f>
        <v>120</v>
      </c>
      <c r="V18" s="715">
        <v>1.1023000000000001</v>
      </c>
      <c r="Y18">
        <f>_xlfn.XLOOKUP(D18,RUC!$B$3:$B$123,RUC!$G$3:$G$123)</f>
        <v>20</v>
      </c>
      <c r="Z18" s="1454">
        <v>35</v>
      </c>
      <c r="AA18" s="144">
        <f t="shared" si="2"/>
        <v>55</v>
      </c>
      <c r="AB18" s="145">
        <f t="shared" si="17"/>
        <v>1185.6482264345</v>
      </c>
      <c r="AC18" s="145">
        <f>+(S18-T18)*V18-'data 1'!$F$4</f>
        <v>35.741500000000002</v>
      </c>
      <c r="AD18" s="145">
        <f t="shared" si="3"/>
        <v>19.153258283438962</v>
      </c>
      <c r="AE18" s="145">
        <f t="shared" si="4"/>
        <v>-9.3734999999999999</v>
      </c>
      <c r="AF18" s="145">
        <f t="shared" si="5"/>
        <v>87.693903161749574</v>
      </c>
      <c r="AG18" s="772">
        <f t="shared" si="18"/>
        <v>150.21516144518853</v>
      </c>
      <c r="AH18" s="1253">
        <f t="shared" si="6"/>
        <v>15.768000000000001</v>
      </c>
      <c r="AI18" s="1253">
        <f t="shared" si="7"/>
        <v>17.292000000000002</v>
      </c>
      <c r="AJ18" s="156">
        <f t="shared" si="8"/>
        <v>98.563949121561109</v>
      </c>
      <c r="AK18" s="156">
        <f t="shared" si="9"/>
        <v>14.632749907868433</v>
      </c>
      <c r="AM18" s="716">
        <f t="shared" si="10"/>
        <v>1880.4380871251171</v>
      </c>
      <c r="AN18" s="716" t="str">
        <f>_xlfn.XLOOKUP(D18,RUC!$B$3:$B$578,RUC!$M$3:$M$578)</f>
        <v>Ronald Miranda</v>
      </c>
      <c r="AO18" s="1167" t="s">
        <v>2278</v>
      </c>
      <c r="AP18" s="1843">
        <v>231</v>
      </c>
      <c r="AQ18" s="1082" t="s">
        <v>5444</v>
      </c>
      <c r="AV18" s="1558" t="s">
        <v>2521</v>
      </c>
      <c r="AW18" s="1254">
        <f t="shared" si="11"/>
        <v>0</v>
      </c>
      <c r="AX18" s="1254" cm="1">
        <f t="array" ref="AX18">+SUMPRODUCT(IF('44'!$AO$4:$AO$145=AV18,'44'!$L$4:$L$145*'44'!$K$4:$K$145/AW18))</f>
        <v>0</v>
      </c>
      <c r="AY18" s="1241">
        <f t="shared" si="12"/>
        <v>0</v>
      </c>
      <c r="AZ18" s="1242" cm="1">
        <f t="array" ref="AZ18">+SUMPRODUCT(IF('44'!$AO$4:$AO$145=AV18,('44'!$Q$4:$Q$145*'44'!$AH$4:$AH$145)/SUMIF('44'!$AO$4:$AO$145,#REF!,'44'!$AH$4:$AH$145)))</f>
        <v>0</v>
      </c>
      <c r="BA18" s="1243">
        <f t="shared" si="13"/>
        <v>0</v>
      </c>
      <c r="BB18" s="1243">
        <f>SUMIF($AO$4:$AO$4,$AV18,$AH$4:$AH$4)</f>
        <v>0</v>
      </c>
      <c r="BC18" s="1242">
        <f t="shared" ca="1" si="15"/>
        <v>376.48001421375898</v>
      </c>
      <c r="BD18" s="1436">
        <f t="shared" si="16"/>
        <v>536.72400000000005</v>
      </c>
    </row>
    <row r="19" spans="1:56" ht="15" customHeight="1">
      <c r="A19" s="747" t="s">
        <v>5433</v>
      </c>
      <c r="B19" s="1447">
        <v>46142</v>
      </c>
      <c r="C19" s="1447">
        <v>46137</v>
      </c>
      <c r="D19" s="1852" t="s">
        <v>5442</v>
      </c>
      <c r="E19" s="762">
        <f>_xlfn.XLOOKUP(D19,RUC!$B$3:$B$123,RUC!$D$3:$D$123)</f>
        <v>20606562480</v>
      </c>
      <c r="G19" s="1082">
        <v>25</v>
      </c>
      <c r="H19" s="1082" t="s">
        <v>2005</v>
      </c>
      <c r="I19" s="703">
        <v>1.91</v>
      </c>
      <c r="J19" s="596">
        <v>13.18</v>
      </c>
      <c r="K19" s="703">
        <f t="shared" si="0"/>
        <v>1.6579999999999999</v>
      </c>
      <c r="L19" s="1745">
        <v>0.315</v>
      </c>
      <c r="M19" s="994">
        <f>ROUND(+IF(L19&gt;_xlfn.XLOOKUP(AN19,RUC!M:M,RUC!K:K),L19*_xlfn.XLOOKUP(AN19,RUC!M:M,RUC!I:I),L19-_xlfn.XLOOKUP(AN19,RUC!M:M,RUC!J:J)),3)</f>
        <v>0.29599999999999999</v>
      </c>
      <c r="N19" s="1196">
        <f t="shared" si="19"/>
        <v>0.29599999999999999</v>
      </c>
      <c r="O19" s="645">
        <f t="shared" si="1"/>
        <v>0.29599999999999999</v>
      </c>
      <c r="P19" s="727">
        <v>90</v>
      </c>
      <c r="Q19" s="1476">
        <v>91.43</v>
      </c>
      <c r="R19" s="706">
        <v>4711.6499999999996</v>
      </c>
      <c r="S19" s="765">
        <f>IF((_xlfn.XLOOKUP(D19,RUC!$B$3:$B$119,RUC!$E$3:$E$119)+ROUNDDOWN(O19,1)*100)&lt;95,95,((_xlfn.XLOOKUP(D19,RUC!$B$3:$B$119,RUC!$E$3:$E$119)+ROUNDDOWN(O19,1)*100)))</f>
        <v>105</v>
      </c>
      <c r="U19" s="1146">
        <f>_xlfn.XLOOKUP(D19,RUC!$B$3:$B$123,RUC!$F$3:$F$123)</f>
        <v>120</v>
      </c>
      <c r="V19" s="715">
        <v>1.1023000000000001</v>
      </c>
      <c r="Y19">
        <f>_xlfn.XLOOKUP(D19,RUC!$B$3:$B$123,RUC!$G$3:$G$123)</f>
        <v>20</v>
      </c>
      <c r="Z19" s="1454">
        <v>35</v>
      </c>
      <c r="AA19" s="144">
        <f t="shared" si="2"/>
        <v>55</v>
      </c>
      <c r="AB19" s="145">
        <f t="shared" si="17"/>
        <v>1171.982511788</v>
      </c>
      <c r="AC19" s="145">
        <f>+(S19-T19)*V19-'data 1'!$F$4</f>
        <v>35.741500000000002</v>
      </c>
      <c r="AD19" s="145">
        <f t="shared" si="3"/>
        <v>22.798967268577613</v>
      </c>
      <c r="AE19" s="145">
        <f t="shared" si="4"/>
        <v>-9.3734999999999999</v>
      </c>
      <c r="AF19" s="145">
        <f t="shared" si="5"/>
        <v>87.924701898001587</v>
      </c>
      <c r="AG19" s="772">
        <f t="shared" si="18"/>
        <v>154.09166916657921</v>
      </c>
      <c r="AH19" s="1253">
        <f t="shared" si="6"/>
        <v>16.372</v>
      </c>
      <c r="AI19" s="1253">
        <f t="shared" si="7"/>
        <v>17.905999999999999</v>
      </c>
      <c r="AJ19" s="156">
        <f t="shared" si="8"/>
        <v>97.891060563922636</v>
      </c>
      <c r="AK19" s="156">
        <f t="shared" si="9"/>
        <v>15.14355419027016</v>
      </c>
      <c r="AM19" s="716">
        <f t="shared" si="10"/>
        <v>1943.1470045445039</v>
      </c>
      <c r="AN19" s="716" t="str">
        <f>_xlfn.XLOOKUP(D19,RUC!$B$3:$B$578,RUC!$M$3:$M$578)</f>
        <v>Ronald Miranda</v>
      </c>
      <c r="AO19" s="1167" t="s">
        <v>2277</v>
      </c>
      <c r="AP19" s="1843">
        <v>231</v>
      </c>
      <c r="AQ19" s="1082" t="s">
        <v>5444</v>
      </c>
      <c r="AV19" s="1637"/>
      <c r="AW19" s="1234"/>
      <c r="AX19" s="1234"/>
      <c r="AY19" s="1235"/>
      <c r="AZ19" s="1236"/>
      <c r="BA19" s="1237"/>
      <c r="BB19" s="1237"/>
      <c r="BC19" s="1236"/>
      <c r="BD19" s="729"/>
    </row>
    <row r="20" spans="1:56" ht="15" customHeight="1">
      <c r="A20" s="747" t="s">
        <v>5434</v>
      </c>
      <c r="B20" s="1447">
        <v>46142</v>
      </c>
      <c r="C20" s="1447">
        <v>46137</v>
      </c>
      <c r="D20" s="1852" t="s">
        <v>5442</v>
      </c>
      <c r="E20" s="762">
        <f>_xlfn.XLOOKUP(D20,RUC!$B$3:$B$123,RUC!$D$3:$D$123)</f>
        <v>20606562480</v>
      </c>
      <c r="G20" s="1082">
        <v>27</v>
      </c>
      <c r="H20" s="1082" t="s">
        <v>2005</v>
      </c>
      <c r="I20" s="703">
        <v>1.94</v>
      </c>
      <c r="J20" s="596">
        <v>11.18</v>
      </c>
      <c r="K20" s="703">
        <f t="shared" si="0"/>
        <v>1.7230000000000001</v>
      </c>
      <c r="L20" s="1745">
        <v>0.246</v>
      </c>
      <c r="M20" s="994">
        <f>ROUND(+IF(L20&gt;_xlfn.XLOOKUP(AN20,RUC!M:M,RUC!K:K),L20*_xlfn.XLOOKUP(AN20,RUC!M:M,RUC!I:I),L20-_xlfn.XLOOKUP(AN20,RUC!M:M,RUC!J:J)),3)</f>
        <v>0.22700000000000001</v>
      </c>
      <c r="N20" s="1196">
        <f t="shared" si="19"/>
        <v>0.22700000000000001</v>
      </c>
      <c r="O20" s="645">
        <f t="shared" si="1"/>
        <v>0.22700000000000001</v>
      </c>
      <c r="P20" s="727">
        <v>90</v>
      </c>
      <c r="Q20" s="1476">
        <v>92.68</v>
      </c>
      <c r="R20" s="706">
        <v>4711.6499999999996</v>
      </c>
      <c r="S20" s="765">
        <f>IF((_xlfn.XLOOKUP(D20,RUC!$B$3:$B$119,RUC!$E$3:$E$119)+ROUNDDOWN(O20,1)*100)&lt;95,95,((_xlfn.XLOOKUP(D20,RUC!$B$3:$B$119,RUC!$E$3:$E$119)+ROUNDDOWN(O20,1)*100)))</f>
        <v>105</v>
      </c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54">
        <v>35</v>
      </c>
      <c r="AA20" s="144">
        <f t="shared" si="2"/>
        <v>55</v>
      </c>
      <c r="AB20" s="145">
        <f t="shared" si="17"/>
        <v>857.67107491849993</v>
      </c>
      <c r="AC20" s="145">
        <f>+(S20-T20)*V20-'data 1'!$F$4</f>
        <v>35.741500000000002</v>
      </c>
      <c r="AD20" s="145">
        <f t="shared" si="3"/>
        <v>33.368638341276082</v>
      </c>
      <c r="AE20" s="145">
        <f t="shared" si="4"/>
        <v>-9.3734999999999999</v>
      </c>
      <c r="AF20" s="145">
        <f t="shared" si="5"/>
        <v>89.126778649313948</v>
      </c>
      <c r="AG20" s="772">
        <f t="shared" si="18"/>
        <v>165.86341699059003</v>
      </c>
      <c r="AH20" s="1253">
        <f t="shared" si="6"/>
        <v>13.468</v>
      </c>
      <c r="AI20" s="1253">
        <f t="shared" si="7"/>
        <v>14.532</v>
      </c>
      <c r="AJ20" s="156">
        <f t="shared" si="8"/>
        <v>77.493431501724103</v>
      </c>
      <c r="AK20" s="156">
        <f t="shared" si="9"/>
        <v>12.068761733553647</v>
      </c>
      <c r="AM20" s="716">
        <f t="shared" si="10"/>
        <v>1477.7672620845753</v>
      </c>
      <c r="AN20" s="716" t="str">
        <f>_xlfn.XLOOKUP(D20,RUC!$B$3:$B$578,RUC!$M$3:$M$578)</f>
        <v>Ronald Miranda</v>
      </c>
      <c r="AO20" s="1167" t="s">
        <v>2277</v>
      </c>
      <c r="AP20" s="1843">
        <v>231</v>
      </c>
      <c r="AQ20" s="1082" t="s">
        <v>5444</v>
      </c>
    </row>
    <row r="21" spans="1:56" ht="15" customHeight="1">
      <c r="A21" s="747" t="s">
        <v>5435</v>
      </c>
      <c r="B21" s="1447">
        <v>46142</v>
      </c>
      <c r="C21" s="1447">
        <v>46137</v>
      </c>
      <c r="D21" s="1852" t="s">
        <v>5442</v>
      </c>
      <c r="E21" s="762">
        <f>_xlfn.XLOOKUP(D21,RUC!$B$3:$B$123,RUC!$D$3:$D$123)</f>
        <v>20606562480</v>
      </c>
      <c r="G21" s="1082">
        <v>25</v>
      </c>
      <c r="H21" s="1082" t="s">
        <v>2005</v>
      </c>
      <c r="I21" s="703">
        <v>1.82</v>
      </c>
      <c r="J21" s="596">
        <v>12.78</v>
      </c>
      <c r="K21" s="703">
        <f t="shared" si="0"/>
        <v>1.587</v>
      </c>
      <c r="L21" s="1745">
        <v>0.28699999999999998</v>
      </c>
      <c r="M21" s="994">
        <f>ROUND(+IF(L21&gt;_xlfn.XLOOKUP(AN21,RUC!M:M,RUC!K:K),L21*_xlfn.XLOOKUP(AN21,RUC!M:M,RUC!I:I),L21-_xlfn.XLOOKUP(AN21,RUC!M:M,RUC!J:J)),3)</f>
        <v>0.26800000000000002</v>
      </c>
      <c r="N21" s="1196">
        <f t="shared" si="19"/>
        <v>0.26800000000000002</v>
      </c>
      <c r="O21" s="645">
        <f t="shared" si="1"/>
        <v>0.26800000000000002</v>
      </c>
      <c r="P21" s="727">
        <v>85</v>
      </c>
      <c r="Q21" s="1476">
        <v>86.41</v>
      </c>
      <c r="R21" s="706">
        <v>4711.6499999999996</v>
      </c>
      <c r="S21" s="765">
        <f>IF((_xlfn.XLOOKUP(D21,RUC!$B$3:$B$119,RUC!$E$3:$E$119)+ROUNDDOWN(O21,1)*100)&lt;95,95,((_xlfn.XLOOKUP(D21,RUC!$B$3:$B$119,RUC!$E$3:$E$119)+ROUNDDOWN(O21,1)*100)))</f>
        <v>105</v>
      </c>
      <c r="U21" s="1146">
        <f>_xlfn.XLOOKUP(D21,RUC!$B$3:$B$123,RUC!$F$3:$F$123)</f>
        <v>120</v>
      </c>
      <c r="V21" s="715">
        <v>1.1023000000000001</v>
      </c>
      <c r="Y21">
        <f>_xlfn.XLOOKUP(D21,RUC!$B$3:$B$123,RUC!$G$3:$G$123)</f>
        <v>20</v>
      </c>
      <c r="Z21" s="1454">
        <v>35</v>
      </c>
      <c r="AA21" s="144">
        <f t="shared" si="2"/>
        <v>55</v>
      </c>
      <c r="AB21" s="145">
        <f t="shared" si="17"/>
        <v>976.61340610100001</v>
      </c>
      <c r="AC21" s="145">
        <f>+(S21-T21)*V21-'data 1'!$F$4</f>
        <v>35.741500000000002</v>
      </c>
      <c r="AD21" s="145">
        <f t="shared" si="3"/>
        <v>20.48186942962645</v>
      </c>
      <c r="AE21" s="145">
        <f t="shared" si="4"/>
        <v>-9.3734999999999999</v>
      </c>
      <c r="AF21" s="145">
        <f t="shared" si="5"/>
        <v>83.097161664730322</v>
      </c>
      <c r="AG21" s="772">
        <f t="shared" si="18"/>
        <v>146.94703109435676</v>
      </c>
      <c r="AH21" s="1253">
        <f t="shared" si="6"/>
        <v>13.494</v>
      </c>
      <c r="AI21" s="1253">
        <f t="shared" si="7"/>
        <v>15.616</v>
      </c>
      <c r="AJ21" s="156">
        <f t="shared" si="8"/>
        <v>84.292641189123586</v>
      </c>
      <c r="AK21" s="156">
        <f t="shared" si="9"/>
        <v>12.394805488292732</v>
      </c>
      <c r="AM21" s="716">
        <f t="shared" si="10"/>
        <v>1549.8854754822869</v>
      </c>
      <c r="AN21" s="716" t="str">
        <f>_xlfn.XLOOKUP(D21,RUC!$B$3:$B$578,RUC!$M$3:$M$578)</f>
        <v>Ronald Miranda</v>
      </c>
      <c r="AO21" s="1167" t="s">
        <v>2277</v>
      </c>
      <c r="AP21" s="1843">
        <v>231</v>
      </c>
      <c r="AQ21" s="1082" t="s">
        <v>5444</v>
      </c>
    </row>
    <row r="22" spans="1:56" ht="15" customHeight="1">
      <c r="A22" s="747" t="s">
        <v>5436</v>
      </c>
      <c r="B22" s="1447">
        <v>46142</v>
      </c>
      <c r="C22" s="1447">
        <v>46137</v>
      </c>
      <c r="D22" s="1852" t="s">
        <v>5442</v>
      </c>
      <c r="E22" s="762">
        <f>_xlfn.XLOOKUP(D22,RUC!$B$3:$B$123,RUC!$D$3:$D$123)</f>
        <v>20606562480</v>
      </c>
      <c r="G22" s="1082">
        <v>25</v>
      </c>
      <c r="H22" s="1082" t="s">
        <v>2005</v>
      </c>
      <c r="I22" s="703">
        <v>1.79</v>
      </c>
      <c r="J22" s="596">
        <v>12.6</v>
      </c>
      <c r="K22" s="703">
        <f t="shared" si="0"/>
        <v>1.5640000000000001</v>
      </c>
      <c r="L22" s="1745">
        <v>0.308</v>
      </c>
      <c r="M22" s="994">
        <f>ROUND(+IF(L22&gt;_xlfn.XLOOKUP(AN22,RUC!M:M,RUC!K:K),L22*_xlfn.XLOOKUP(AN22,RUC!M:M,RUC!I:I),L22-_xlfn.XLOOKUP(AN22,RUC!M:M,RUC!J:J)),3)</f>
        <v>0.28899999999999998</v>
      </c>
      <c r="N22" s="1196">
        <f t="shared" si="19"/>
        <v>0.28899999999999998</v>
      </c>
      <c r="O22" s="645">
        <f t="shared" si="1"/>
        <v>0.28899999999999998</v>
      </c>
      <c r="P22" s="727">
        <v>87</v>
      </c>
      <c r="Q22" s="1476">
        <v>88.31</v>
      </c>
      <c r="R22" s="706">
        <v>4711.6499999999996</v>
      </c>
      <c r="S22" s="765">
        <f>IF((_xlfn.XLOOKUP(D22,RUC!$B$3:$B$119,RUC!$E$3:$E$119)+ROUNDDOWN(O22,1)*100)&lt;95,95,((_xlfn.XLOOKUP(D22,RUC!$B$3:$B$119,RUC!$E$3:$E$119)+ROUNDDOWN(O22,1)*100)))</f>
        <v>105</v>
      </c>
      <c r="U22" s="1146">
        <f>_xlfn.XLOOKUP(D22,RUC!$B$3:$B$123,RUC!$F$3:$F$123)</f>
        <v>120</v>
      </c>
      <c r="V22" s="715">
        <v>1.1023000000000001</v>
      </c>
      <c r="Y22">
        <f>_xlfn.XLOOKUP(D22,RUC!$B$3:$B$123,RUC!$G$3:$G$123)</f>
        <v>20</v>
      </c>
      <c r="Z22" s="1454">
        <v>35</v>
      </c>
      <c r="AA22" s="144">
        <f t="shared" si="2"/>
        <v>55</v>
      </c>
      <c r="AB22" s="145">
        <f t="shared" si="17"/>
        <v>1096.2137161368498</v>
      </c>
      <c r="AC22" s="145">
        <f>+(S22-T22)*V22-'data 1'!$F$4</f>
        <v>35.741500000000002</v>
      </c>
      <c r="AD22" s="145">
        <f t="shared" si="3"/>
        <v>20.421639057666034</v>
      </c>
      <c r="AE22" s="145">
        <f t="shared" si="4"/>
        <v>-9.3734999999999999</v>
      </c>
      <c r="AF22" s="145">
        <f t="shared" si="5"/>
        <v>84.924318326725569</v>
      </c>
      <c r="AG22" s="772">
        <f t="shared" si="18"/>
        <v>148.71395738439162</v>
      </c>
      <c r="AH22" s="1253">
        <f t="shared" si="6"/>
        <v>14.585000000000001</v>
      </c>
      <c r="AI22" s="1253">
        <f t="shared" si="7"/>
        <v>16.515999999999998</v>
      </c>
      <c r="AJ22" s="156">
        <f t="shared" si="8"/>
        <v>92.449456310134124</v>
      </c>
      <c r="AK22" s="156">
        <f t="shared" si="9"/>
        <v>13.482266683631588</v>
      </c>
      <c r="AM22" s="716">
        <f t="shared" si="10"/>
        <v>1714.4782520380331</v>
      </c>
      <c r="AN22" s="716" t="str">
        <f>_xlfn.XLOOKUP(D22,RUC!$B$3:$B$578,RUC!$M$3:$M$578)</f>
        <v>Ronald Miranda</v>
      </c>
      <c r="AO22" s="1167" t="s">
        <v>2277</v>
      </c>
      <c r="AP22" s="1843">
        <v>231</v>
      </c>
      <c r="AQ22" s="1082" t="s">
        <v>5444</v>
      </c>
      <c r="AR22" t="s">
        <v>5469</v>
      </c>
    </row>
    <row r="23" spans="1:56" ht="15" customHeight="1">
      <c r="A23" s="747" t="s">
        <v>5437</v>
      </c>
      <c r="B23" s="1447">
        <v>46142</v>
      </c>
      <c r="C23" s="1447">
        <v>46137</v>
      </c>
      <c r="D23" s="1852" t="s">
        <v>5442</v>
      </c>
      <c r="E23" s="762">
        <f>_xlfn.XLOOKUP(D23,RUC!$B$3:$B$123,RUC!$D$3:$D$123)</f>
        <v>20606562480</v>
      </c>
      <c r="G23" s="1082">
        <v>25</v>
      </c>
      <c r="H23" s="1082" t="s">
        <v>2005</v>
      </c>
      <c r="I23" s="703">
        <v>1.83</v>
      </c>
      <c r="J23" s="596">
        <v>13.33</v>
      </c>
      <c r="K23" s="703">
        <f t="shared" si="0"/>
        <v>1.5860000000000001</v>
      </c>
      <c r="L23" s="1745">
        <v>0.25600000000000001</v>
      </c>
      <c r="M23" s="994">
        <f>ROUND(+IF(L23&gt;_xlfn.XLOOKUP(AN23,RUC!M:M,RUC!K:K),L23*_xlfn.XLOOKUP(AN23,RUC!M:M,RUC!I:I),L23-_xlfn.XLOOKUP(AN23,RUC!M:M,RUC!J:J)),3)</f>
        <v>0.23699999999999999</v>
      </c>
      <c r="N23" s="1196">
        <f t="shared" si="19"/>
        <v>0.23699999999999999</v>
      </c>
      <c r="O23" s="645">
        <f t="shared" si="1"/>
        <v>0.23699999999999999</v>
      </c>
      <c r="P23" s="727">
        <v>90</v>
      </c>
      <c r="Q23" s="1476">
        <v>90.23</v>
      </c>
      <c r="R23" s="706">
        <v>4711.6499999999996</v>
      </c>
      <c r="S23" s="765">
        <f>IF((_xlfn.XLOOKUP(D23,RUC!$B$3:$B$119,RUC!$E$3:$E$119)+ROUNDDOWN(O23,1)*100)&lt;95,95,((_xlfn.XLOOKUP(D23,RUC!$B$3:$B$119,RUC!$E$3:$E$119)+ROUNDDOWN(O23,1)*100)))</f>
        <v>105</v>
      </c>
      <c r="U23" s="1146">
        <f>_xlfn.XLOOKUP(D23,RUC!$B$3:$B$123,RUC!$F$3:$F$123)</f>
        <v>120</v>
      </c>
      <c r="V23" s="715">
        <v>1.1023000000000001</v>
      </c>
      <c r="Y23">
        <f>_xlfn.XLOOKUP(D23,RUC!$B$3:$B$123,RUC!$G$3:$G$123)</f>
        <v>20</v>
      </c>
      <c r="Z23" s="1454">
        <v>35</v>
      </c>
      <c r="AA23" s="144">
        <f t="shared" si="2"/>
        <v>55</v>
      </c>
      <c r="AB23" s="145">
        <f t="shared" si="17"/>
        <v>903.22345707349984</v>
      </c>
      <c r="AC23" s="145">
        <f>+(S23-T23)*V23-'data 1'!$F$4</f>
        <v>35.741500000000002</v>
      </c>
      <c r="AD23" s="145">
        <f t="shared" si="3"/>
        <v>2.9801380680960516</v>
      </c>
      <c r="AE23" s="145">
        <f t="shared" si="4"/>
        <v>-9.3734999999999999</v>
      </c>
      <c r="AF23" s="145">
        <f t="shared" si="5"/>
        <v>86.770708216741568</v>
      </c>
      <c r="AG23" s="772">
        <f t="shared" si="18"/>
        <v>133.11884628483762</v>
      </c>
      <c r="AH23" s="1253">
        <f t="shared" si="6"/>
        <v>12.56</v>
      </c>
      <c r="AI23" s="1253">
        <f t="shared" si="7"/>
        <v>13.92</v>
      </c>
      <c r="AJ23" s="156">
        <f t="shared" si="8"/>
        <v>78.511754539904089</v>
      </c>
      <c r="AK23" s="156">
        <f t="shared" si="9"/>
        <v>11.598534207909092</v>
      </c>
      <c r="AM23" s="716">
        <f t="shared" si="10"/>
        <v>1432.5124029185708</v>
      </c>
      <c r="AN23" s="716" t="str">
        <f>_xlfn.XLOOKUP(D23,RUC!$B$3:$B$578,RUC!$M$3:$M$578)</f>
        <v>Ronald Miranda</v>
      </c>
      <c r="AO23" s="1167" t="s">
        <v>2277</v>
      </c>
      <c r="AP23" s="1843">
        <v>231</v>
      </c>
      <c r="AQ23" s="1082" t="s">
        <v>5444</v>
      </c>
      <c r="AR23" t="s">
        <v>5469</v>
      </c>
    </row>
    <row r="24" spans="1:56" ht="15" customHeight="1">
      <c r="A24" s="747" t="s">
        <v>5446</v>
      </c>
      <c r="B24" s="1447">
        <v>46142</v>
      </c>
      <c r="C24" s="1447">
        <v>46138</v>
      </c>
      <c r="D24" t="s">
        <v>1967</v>
      </c>
      <c r="E24" s="762">
        <f>_xlfn.XLOOKUP(D24,RUC!$B$3:$B$123,RUC!$D$3:$D$123)</f>
        <v>20601769396</v>
      </c>
      <c r="G24" s="1082">
        <v>501</v>
      </c>
      <c r="H24" s="1082" t="s">
        <v>108</v>
      </c>
      <c r="I24" s="703">
        <v>13.78</v>
      </c>
      <c r="J24" s="596">
        <v>17.7</v>
      </c>
      <c r="K24" s="703">
        <f t="shared" si="0"/>
        <v>11.340999999999999</v>
      </c>
      <c r="L24" s="1745">
        <v>0.44900000000000001</v>
      </c>
      <c r="M24" s="994">
        <f>ROUND(+IF(L24&gt;_xlfn.XLOOKUP(AN24,RUC!M:M,RUC!K:K),L24*_xlfn.XLOOKUP(AN24,RUC!M:M,RUC!I:I),L24-_xlfn.XLOOKUP(AN24,RUC!M:M,RUC!J:J)),3)</f>
        <v>0.42199999999999999</v>
      </c>
      <c r="N24" s="1196">
        <f t="shared" si="19"/>
        <v>0.42199999999999999</v>
      </c>
      <c r="O24" s="645">
        <f t="shared" si="1"/>
        <v>0.42199999999999999</v>
      </c>
      <c r="P24" s="727">
        <v>90</v>
      </c>
      <c r="Q24" s="1476">
        <v>91.54</v>
      </c>
      <c r="R24" s="706">
        <v>4692.25</v>
      </c>
      <c r="S24" s="765">
        <f>IF((_xlfn.XLOOKUP(D24,RUC!$B$3:$B$119,RUC!$E$3:$E$119)+ROUNDDOWN(O24,1)*100)&lt;95,95,((_xlfn.XLOOKUP(D24,RUC!$B$3:$B$119,RUC!$E$3:$E$119)+ROUNDDOWN(O24,1)*100)))</f>
        <v>130</v>
      </c>
      <c r="U24" s="1146">
        <f>_xlfn.XLOOKUP(D24,RUC!$B$3:$B$123,RUC!$F$3:$F$123)</f>
        <v>120</v>
      </c>
      <c r="V24" s="715">
        <v>1.1023000000000001</v>
      </c>
      <c r="Y24" s="1445">
        <v>30</v>
      </c>
      <c r="Z24" s="1454">
        <v>70</v>
      </c>
      <c r="AA24" s="144">
        <f t="shared" si="2"/>
        <v>100</v>
      </c>
      <c r="AB24" s="145">
        <f t="shared" si="17"/>
        <v>1660.659648265</v>
      </c>
      <c r="AC24" s="145">
        <f>+(S24-T24)*V24-'data 1'!$F$4</f>
        <v>63.299000000000007</v>
      </c>
      <c r="AD24" s="145">
        <f t="shared" si="3"/>
        <v>34.849522978655145</v>
      </c>
      <c r="AE24" s="145">
        <f t="shared" si="4"/>
        <v>40.230000000000004</v>
      </c>
      <c r="AF24" s="145">
        <f t="shared" si="5"/>
        <v>124.56741388306513</v>
      </c>
      <c r="AG24" s="772">
        <f t="shared" si="18"/>
        <v>279.94593686172027</v>
      </c>
      <c r="AH24" s="1253">
        <f t="shared" si="6"/>
        <v>159.815</v>
      </c>
      <c r="AI24" s="1253">
        <f t="shared" si="7"/>
        <v>174.58500000000001</v>
      </c>
      <c r="AJ24" s="156">
        <f t="shared" si="8"/>
        <v>148.49087174584503</v>
      </c>
      <c r="AK24" s="156">
        <f t="shared" si="9"/>
        <v>147.67785651534399</v>
      </c>
      <c r="AM24" s="716">
        <f t="shared" si="10"/>
        <v>18833.541070973362</v>
      </c>
      <c r="AN24" s="716" t="str">
        <f>_xlfn.XLOOKUP(D24,RUC!$B$3:$B$578,RUC!$M$3:$M$578)</f>
        <v>Evelyn</v>
      </c>
      <c r="AO24" s="1167" t="s">
        <v>2278</v>
      </c>
      <c r="AP24" s="1857">
        <v>287</v>
      </c>
      <c r="AQ24" s="1858" t="s">
        <v>5507</v>
      </c>
      <c r="BA24" s="1482"/>
    </row>
    <row r="25" spans="1:56" ht="15" customHeight="1" thickBot="1">
      <c r="A25" s="747" t="s">
        <v>5447</v>
      </c>
      <c r="B25" s="1447">
        <v>46142</v>
      </c>
      <c r="C25" s="1447">
        <v>46138</v>
      </c>
      <c r="D25" t="s">
        <v>93</v>
      </c>
      <c r="E25" s="762">
        <f>_xlfn.XLOOKUP(D25,RUC!$B$3:$B$123,RUC!$D$3:$D$123)</f>
        <v>20169040231</v>
      </c>
      <c r="G25" s="1082">
        <v>88</v>
      </c>
      <c r="H25" s="1082" t="s">
        <v>69</v>
      </c>
      <c r="I25" s="703">
        <v>8.94</v>
      </c>
      <c r="J25" s="596">
        <v>2.2000000000000002</v>
      </c>
      <c r="K25" s="703">
        <f t="shared" si="0"/>
        <v>8.7430000000000003</v>
      </c>
      <c r="L25" s="1745">
        <v>0.27400000000000002</v>
      </c>
      <c r="M25" s="994">
        <f>ROUND(+IF(L25&gt;_xlfn.XLOOKUP(AN25,RUC!M:M,RUC!K:K),L25*_xlfn.XLOOKUP(AN25,RUC!M:M,RUC!I:I),L25-_xlfn.XLOOKUP(AN25,RUC!M:M,RUC!J:J)),3)</f>
        <v>0.255</v>
      </c>
      <c r="N25" s="1196">
        <f t="shared" si="19"/>
        <v>0.255</v>
      </c>
      <c r="O25" s="645">
        <f t="shared" si="1"/>
        <v>0.255</v>
      </c>
      <c r="P25" s="727">
        <v>87</v>
      </c>
      <c r="Q25" s="1476">
        <v>87.96</v>
      </c>
      <c r="R25" s="706">
        <v>4692.25</v>
      </c>
      <c r="S25" s="765">
        <f>IF((_xlfn.XLOOKUP(D25,RUC!$B$3:$B$119,RUC!$E$3:$E$119)+ROUNDDOWN(O25,1)*100)&lt;95,95,((_xlfn.XLOOKUP(D25,RUC!$B$3:$B$119,RUC!$E$3:$E$119)+ROUNDDOWN(O25,1)*100)))</f>
        <v>105</v>
      </c>
      <c r="U25" s="1146">
        <f>_xlfn.XLOOKUP(D25,RUC!$B$3:$B$123,RUC!$F$3:$F$123)</f>
        <v>120</v>
      </c>
      <c r="V25" s="715">
        <v>1.1023000000000001</v>
      </c>
      <c r="Y25">
        <f>_xlfn.XLOOKUP(D25,RUC!$B$3:$B$123,RUC!$G$3:$G$123)</f>
        <v>20</v>
      </c>
      <c r="Z25" s="1454">
        <v>35</v>
      </c>
      <c r="AA25" s="144">
        <f t="shared" si="2"/>
        <v>55</v>
      </c>
      <c r="AB25" s="145">
        <f t="shared" si="17"/>
        <v>941.75404217375001</v>
      </c>
      <c r="AC25" s="145">
        <f>+(S25-T25)*V25-'data 1'!$F$4</f>
        <v>35.741500000000002</v>
      </c>
      <c r="AD25" s="145">
        <f t="shared" si="3"/>
        <v>13.257192786719916</v>
      </c>
      <c r="AE25" s="145">
        <f t="shared" si="4"/>
        <v>-9.3734999999999999</v>
      </c>
      <c r="AF25" s="145">
        <f t="shared" si="5"/>
        <v>84.230348513070069</v>
      </c>
      <c r="AG25" s="772">
        <f t="shared" si="18"/>
        <v>140.85554129978999</v>
      </c>
      <c r="AH25" s="1253">
        <f t="shared" si="6"/>
        <v>72.245000000000005</v>
      </c>
      <c r="AI25" s="1253">
        <f t="shared" si="7"/>
        <v>82.132999999999996</v>
      </c>
      <c r="AJ25" s="156">
        <f t="shared" si="8"/>
        <v>87.071954124780007</v>
      </c>
      <c r="AK25" s="156">
        <f t="shared" si="9"/>
        <v>66.501123221937135</v>
      </c>
      <c r="AM25" s="716">
        <f t="shared" si="10"/>
        <v>8233.7555907250971</v>
      </c>
      <c r="AN25" s="716" t="str">
        <f>_xlfn.XLOOKUP(D25,RUC!$B$3:$B$578,RUC!$M$3:$M$578)</f>
        <v>Ronald Miranda</v>
      </c>
      <c r="AO25" s="1167" t="s">
        <v>2277</v>
      </c>
      <c r="AP25" s="1843">
        <v>6495</v>
      </c>
      <c r="AQ25" s="1082" t="s">
        <v>2384</v>
      </c>
      <c r="AR25" t="s">
        <v>5469</v>
      </c>
      <c r="BA25" s="1482"/>
    </row>
    <row r="26" spans="1:56" ht="15" customHeight="1" thickBot="1">
      <c r="A26" s="747" t="s">
        <v>5448</v>
      </c>
      <c r="B26" s="1447">
        <v>46142</v>
      </c>
      <c r="C26" s="1447">
        <v>46138</v>
      </c>
      <c r="D26" t="s">
        <v>93</v>
      </c>
      <c r="E26" s="762">
        <f>_xlfn.XLOOKUP(D26,RUC!$B$3:$B$123,RUC!$D$3:$D$123)</f>
        <v>20169040231</v>
      </c>
      <c r="G26" s="1082">
        <v>80</v>
      </c>
      <c r="H26" s="1082" t="s">
        <v>69</v>
      </c>
      <c r="I26" s="703">
        <v>8.02</v>
      </c>
      <c r="J26" s="596">
        <v>2.1</v>
      </c>
      <c r="K26" s="703">
        <f t="shared" si="0"/>
        <v>7.8520000000000003</v>
      </c>
      <c r="L26" s="1745">
        <v>0.23899999999999999</v>
      </c>
      <c r="M26" s="994">
        <f>ROUND(+IF(L26&gt;_xlfn.XLOOKUP(AN26,RUC!M:M,RUC!K:K),L26*_xlfn.XLOOKUP(AN26,RUC!M:M,RUC!I:I),L26-_xlfn.XLOOKUP(AN26,RUC!M:M,RUC!J:J)),3)</f>
        <v>0.22</v>
      </c>
      <c r="N26" s="1196">
        <f t="shared" si="19"/>
        <v>0.22</v>
      </c>
      <c r="O26" s="645">
        <f t="shared" si="1"/>
        <v>0.22</v>
      </c>
      <c r="P26" s="727">
        <v>90</v>
      </c>
      <c r="Q26" s="1476">
        <v>90.38</v>
      </c>
      <c r="R26" s="706">
        <v>4692.25</v>
      </c>
      <c r="S26" s="765">
        <f>IF((_xlfn.XLOOKUP(D26,RUC!$B$3:$B$119,RUC!$E$3:$E$119)+ROUNDDOWN(O26,1)*100)&lt;95,95,((_xlfn.XLOOKUP(D26,RUC!$B$3:$B$119,RUC!$E$3:$E$119)+ROUNDDOWN(O26,1)*100)))</f>
        <v>105</v>
      </c>
      <c r="U26" s="1146">
        <f>_xlfn.XLOOKUP(D26,RUC!$B$3:$B$123,RUC!$F$3:$F$123)</f>
        <v>120</v>
      </c>
      <c r="V26" s="715">
        <v>1.1023000000000001</v>
      </c>
      <c r="Y26">
        <f>_xlfn.XLOOKUP(D26,RUC!$B$3:$B$123,RUC!$G$3:$G$123)</f>
        <v>20</v>
      </c>
      <c r="Z26" s="1454">
        <v>35</v>
      </c>
      <c r="AA26" s="144">
        <f t="shared" si="2"/>
        <v>55</v>
      </c>
      <c r="AB26" s="145">
        <f t="shared" si="17"/>
        <v>821.55025265000006</v>
      </c>
      <c r="AC26" s="145">
        <f>+(S26-T26)*V26-'data 1'!$F$4</f>
        <v>35.741500000000002</v>
      </c>
      <c r="AD26" s="145">
        <f t="shared" si="3"/>
        <v>4.5773199851349453</v>
      </c>
      <c r="AE26" s="145">
        <f t="shared" si="4"/>
        <v>-9.3734999999999999</v>
      </c>
      <c r="AF26" s="145">
        <f t="shared" si="5"/>
        <v>86.547736455334956</v>
      </c>
      <c r="AG26" s="772">
        <f t="shared" si="18"/>
        <v>134.4930564404699</v>
      </c>
      <c r="AH26" s="1253">
        <f t="shared" si="6"/>
        <v>58.151000000000003</v>
      </c>
      <c r="AI26" s="1253">
        <f t="shared" si="7"/>
        <v>64.340999999999994</v>
      </c>
      <c r="AJ26" s="156">
        <f t="shared" si="8"/>
        <v>78.039188686365009</v>
      </c>
      <c r="AK26" s="156">
        <f t="shared" si="9"/>
        <v>53.303355659782802</v>
      </c>
      <c r="AM26" s="716">
        <f t="shared" si="10"/>
        <v>6450.8125838078004</v>
      </c>
      <c r="AN26" s="716" t="str">
        <f>_xlfn.XLOOKUP(D26,RUC!$B$3:$B$578,RUC!$M$3:$M$578)</f>
        <v>Ronald Miranda</v>
      </c>
      <c r="AO26" s="1167" t="s">
        <v>2277</v>
      </c>
      <c r="AP26" s="1843">
        <v>6495</v>
      </c>
      <c r="AQ26" s="1082" t="s">
        <v>2384</v>
      </c>
      <c r="AV26" s="1982" t="s">
        <v>5473</v>
      </c>
      <c r="AW26" s="1983"/>
      <c r="AX26" s="1983"/>
      <c r="AY26" s="1983"/>
      <c r="AZ26" s="1983"/>
      <c r="BA26" s="1984"/>
    </row>
    <row r="27" spans="1:56" ht="15" customHeight="1">
      <c r="A27" s="747" t="s">
        <v>5449</v>
      </c>
      <c r="B27" s="1447">
        <v>46142</v>
      </c>
      <c r="C27" s="1447">
        <v>46139</v>
      </c>
      <c r="D27" t="s">
        <v>93</v>
      </c>
      <c r="E27" s="762">
        <f>_xlfn.XLOOKUP(D27,RUC!$B$3:$B$123,RUC!$D$3:$D$123)</f>
        <v>20169040231</v>
      </c>
      <c r="G27" s="1082">
        <v>80</v>
      </c>
      <c r="H27" s="1082" t="s">
        <v>69</v>
      </c>
      <c r="I27" s="703">
        <v>8.15</v>
      </c>
      <c r="J27" s="596">
        <v>2.25</v>
      </c>
      <c r="K27" s="703">
        <f t="shared" si="0"/>
        <v>7.9669999999999996</v>
      </c>
      <c r="L27" s="1745">
        <v>0.32300000000000001</v>
      </c>
      <c r="M27" s="994">
        <f>ROUND(+IF(L27&gt;_xlfn.XLOOKUP(AN27,RUC!M:M,RUC!K:K),L27*_xlfn.XLOOKUP(AN27,RUC!M:M,RUC!I:I),L27-_xlfn.XLOOKUP(AN27,RUC!M:M,RUC!J:J)),3)</f>
        <v>0.30399999999999999</v>
      </c>
      <c r="N27" s="1196">
        <f t="shared" si="19"/>
        <v>0.30399999999999999</v>
      </c>
      <c r="O27" s="645">
        <f t="shared" si="1"/>
        <v>0.30399999999999999</v>
      </c>
      <c r="P27" s="727">
        <v>89</v>
      </c>
      <c r="Q27" s="1476">
        <v>89.78</v>
      </c>
      <c r="R27" s="706">
        <v>4692.25</v>
      </c>
      <c r="S27" s="765">
        <f>IF((_xlfn.XLOOKUP(D27,RUC!$B$3:$B$119,RUC!$E$3:$E$119)+ROUNDDOWN(O27,1)*100)&lt;95,95,((_xlfn.XLOOKUP(D27,RUC!$B$3:$B$119,RUC!$E$3:$E$119)+ROUNDDOWN(O27,1)*100)))</f>
        <v>115</v>
      </c>
      <c r="U27" s="1146">
        <f>_xlfn.XLOOKUP(D27,RUC!$B$3:$B$123,RUC!$F$3:$F$123)</f>
        <v>120</v>
      </c>
      <c r="V27" s="715">
        <v>1.1023000000000001</v>
      </c>
      <c r="Y27">
        <f>_xlfn.XLOOKUP(D27,RUC!$B$3:$B$123,RUC!$G$3:$G$123)</f>
        <v>20</v>
      </c>
      <c r="Z27" s="1454">
        <v>35</v>
      </c>
      <c r="AA27" s="144">
        <f t="shared" si="2"/>
        <v>55</v>
      </c>
      <c r="AB27" s="145">
        <f t="shared" si="17"/>
        <v>1176.2290123080002</v>
      </c>
      <c r="AC27" s="145">
        <f>+(S27-T27)*V27-'data 1'!$F$4</f>
        <v>46.764500000000012</v>
      </c>
      <c r="AD27" s="145">
        <f t="shared" si="3"/>
        <v>12.697753766295017</v>
      </c>
      <c r="AE27" s="145">
        <f t="shared" si="4"/>
        <v>-9.3734999999999999</v>
      </c>
      <c r="AF27" s="145">
        <f t="shared" si="5"/>
        <v>85.973177461385077</v>
      </c>
      <c r="AG27" s="772">
        <f t="shared" si="18"/>
        <v>153.06193122768011</v>
      </c>
      <c r="AH27" s="1253">
        <f t="shared" si="6"/>
        <v>79.210999999999999</v>
      </c>
      <c r="AI27" s="1253">
        <f t="shared" si="7"/>
        <v>88.227999999999994</v>
      </c>
      <c r="AJ27" s="156">
        <f t="shared" si="8"/>
        <v>104.76702969445503</v>
      </c>
      <c r="AK27" s="156">
        <f t="shared" si="9"/>
        <v>73.903920324967345</v>
      </c>
      <c r="AM27" s="716">
        <f t="shared" si="10"/>
        <v>9371.0165410578375</v>
      </c>
      <c r="AN27" s="716" t="str">
        <f>_xlfn.XLOOKUP(D27,RUC!$B$3:$B$578,RUC!$M$3:$M$578)</f>
        <v>Ronald Miranda</v>
      </c>
      <c r="AO27" s="1167" t="s">
        <v>2278</v>
      </c>
      <c r="AP27" s="1843">
        <v>6495</v>
      </c>
      <c r="AQ27" s="1082" t="s">
        <v>2384</v>
      </c>
      <c r="AR27" t="s">
        <v>5469</v>
      </c>
      <c r="BA27" s="1482">
        <f>SUM(BA29:BA38)</f>
        <v>0</v>
      </c>
    </row>
    <row r="28" spans="1:56" ht="15" customHeight="1" thickBot="1">
      <c r="A28" s="747" t="s">
        <v>5450</v>
      </c>
      <c r="B28" s="1447">
        <v>46142</v>
      </c>
      <c r="C28" s="1447">
        <v>46139</v>
      </c>
      <c r="D28" t="s">
        <v>2444</v>
      </c>
      <c r="E28" s="762">
        <f>_xlfn.XLOOKUP(D28,RUC!$B$3:$B$123,RUC!$D$3:$D$123)</f>
        <v>20608774000</v>
      </c>
      <c r="G28" s="1082">
        <v>25</v>
      </c>
      <c r="H28" s="1082" t="s">
        <v>108</v>
      </c>
      <c r="I28" s="703">
        <v>2.46</v>
      </c>
      <c r="J28" s="596">
        <v>18.55</v>
      </c>
      <c r="K28" s="703">
        <f t="shared" si="0"/>
        <v>2.004</v>
      </c>
      <c r="L28" s="1745">
        <v>10.742000000000001</v>
      </c>
      <c r="M28" s="994">
        <f>ROUND(+IF(L28&gt;_xlfn.XLOOKUP(AN28,RUC!M:M,RUC!K:K),L28*_xlfn.XLOOKUP(AN28,RUC!M:M,RUC!I:I),L28-_xlfn.XLOOKUP(AN28,RUC!M:M,RUC!J:J)),3)</f>
        <v>10.097</v>
      </c>
      <c r="N28" s="1444">
        <v>10.773999999999999</v>
      </c>
      <c r="O28" s="645">
        <f t="shared" si="1"/>
        <v>10.436</v>
      </c>
      <c r="P28" s="727">
        <v>90</v>
      </c>
      <c r="Q28" s="1476">
        <v>96.04</v>
      </c>
      <c r="R28" s="706">
        <v>4692.25</v>
      </c>
      <c r="S28" s="765">
        <f>IF((_xlfn.XLOOKUP(D28,RUC!$B$3:$B$119,RUC!$E$3:$E$119)+ROUNDDOWN(O28,1)*100)&lt;95,95,((_xlfn.XLOOKUP(D28,RUC!$B$3:$B$119,RUC!$E$3:$E$119)+ROUNDDOWN(O28,1)*100)))</f>
        <v>1125</v>
      </c>
      <c r="U28" s="1146">
        <f>_xlfn.XLOOKUP(D28,RUC!$B$3:$B$123,RUC!$F$3:$F$123)</f>
        <v>120</v>
      </c>
      <c r="V28" s="715">
        <v>1.1023000000000001</v>
      </c>
      <c r="Y28" s="1445">
        <v>80</v>
      </c>
      <c r="Z28" s="1454">
        <v>70</v>
      </c>
      <c r="AA28" s="144">
        <f t="shared" si="2"/>
        <v>150</v>
      </c>
      <c r="AB28" s="145">
        <f t="shared" si="17"/>
        <v>45932.180612070006</v>
      </c>
      <c r="AC28" s="145">
        <f>+(S28-T28)*V28-'data 1'!$F$4</f>
        <v>1160.0875000000001</v>
      </c>
      <c r="AD28" s="145">
        <f t="shared" si="3"/>
        <v>3270.0309461917436</v>
      </c>
      <c r="AE28" s="145">
        <f t="shared" si="4"/>
        <v>95.344999999999999</v>
      </c>
      <c r="AF28" s="145">
        <f t="shared" si="5"/>
        <v>1481.1647024878248</v>
      </c>
      <c r="AG28" s="772">
        <f t="shared" si="18"/>
        <v>6023.6281486795688</v>
      </c>
      <c r="AH28" s="1253">
        <f t="shared" si="6"/>
        <v>708.83299999999997</v>
      </c>
      <c r="AI28" s="1253">
        <f t="shared" si="7"/>
        <v>738.06</v>
      </c>
      <c r="AJ28" s="156">
        <f t="shared" si="8"/>
        <v>3727.1751954792608</v>
      </c>
      <c r="AK28" s="156">
        <f t="shared" si="9"/>
        <v>645.33224575652343</v>
      </c>
      <c r="AM28" s="716">
        <f t="shared" si="10"/>
        <v>92048.089946588298</v>
      </c>
      <c r="AN28" s="716" t="str">
        <f>_xlfn.XLOOKUP(D28,RUC!$B$3:$B$578,RUC!$M$3:$M$578)</f>
        <v>Ronald Miranda</v>
      </c>
      <c r="AO28" s="1167" t="s">
        <v>2280</v>
      </c>
      <c r="AP28" s="1843">
        <v>530</v>
      </c>
      <c r="AQ28" s="1082" t="s">
        <v>2388</v>
      </c>
      <c r="AV28" s="762"/>
      <c r="AW28" s="762" t="s">
        <v>15</v>
      </c>
      <c r="AX28" s="762" t="s">
        <v>2522</v>
      </c>
      <c r="AY28" s="762" t="s">
        <v>2558</v>
      </c>
      <c r="AZ28" s="1483" t="s">
        <v>2598</v>
      </c>
      <c r="BA28" s="762" t="s">
        <v>2559</v>
      </c>
      <c r="BD28" s="762" t="s">
        <v>5810</v>
      </c>
    </row>
    <row r="29" spans="1:56" ht="15" customHeight="1">
      <c r="A29" s="747" t="s">
        <v>5451</v>
      </c>
      <c r="B29" s="1447">
        <v>46142</v>
      </c>
      <c r="C29" s="1447">
        <v>46139</v>
      </c>
      <c r="D29" t="s">
        <v>2444</v>
      </c>
      <c r="E29" s="762">
        <f>_xlfn.XLOOKUP(D29,RUC!$B$3:$B$123,RUC!$D$3:$D$123)</f>
        <v>20608774000</v>
      </c>
      <c r="G29" s="1082">
        <v>104</v>
      </c>
      <c r="H29" s="1082" t="s">
        <v>108</v>
      </c>
      <c r="I29" s="703">
        <v>4.72</v>
      </c>
      <c r="J29" s="596">
        <v>17</v>
      </c>
      <c r="K29" s="703">
        <f t="shared" si="0"/>
        <v>3.9180000000000001</v>
      </c>
      <c r="L29" s="1745">
        <v>0.33800000000000002</v>
      </c>
      <c r="M29" s="994">
        <f>ROUND(+IF(L29&gt;_xlfn.XLOOKUP(AN29,RUC!M:M,RUC!K:K),L29*_xlfn.XLOOKUP(AN29,RUC!M:M,RUC!I:I),L29-_xlfn.XLOOKUP(AN29,RUC!M:M,RUC!J:J)),3)</f>
        <v>0.318</v>
      </c>
      <c r="N29" s="1196">
        <f t="shared" ref="N29:N36" si="20">+M29</f>
        <v>0.318</v>
      </c>
      <c r="O29" s="645">
        <f t="shared" si="1"/>
        <v>0.318</v>
      </c>
      <c r="P29" s="727">
        <v>90</v>
      </c>
      <c r="Q29" s="1476">
        <v>91.42</v>
      </c>
      <c r="R29" s="706">
        <v>4692.25</v>
      </c>
      <c r="S29" s="765">
        <f>IF((_xlfn.XLOOKUP(D29,RUC!$B$3:$B$119,RUC!$E$3:$E$119)+ROUNDDOWN(O29,1)*100)&lt;95,95,((_xlfn.XLOOKUP(D29,RUC!$B$3:$B$119,RUC!$E$3:$E$119)+ROUNDDOWN(O29,1)*100)))</f>
        <v>115</v>
      </c>
      <c r="U29" s="1146">
        <f>_xlfn.XLOOKUP(D29,RUC!$B$3:$B$123,RUC!$F$3:$F$123)</f>
        <v>120</v>
      </c>
      <c r="V29" s="715">
        <v>1.1023000000000001</v>
      </c>
      <c r="Y29" s="891">
        <v>50</v>
      </c>
      <c r="Z29" s="1855">
        <v>40</v>
      </c>
      <c r="AA29" s="144">
        <f t="shared" si="2"/>
        <v>90</v>
      </c>
      <c r="AB29" s="145">
        <f t="shared" si="17"/>
        <v>1216.4739742849999</v>
      </c>
      <c r="AC29" s="145">
        <f>+(S29-T29)*V29-'data 1'!$F$4</f>
        <v>46.764500000000012</v>
      </c>
      <c r="AD29" s="145">
        <f t="shared" si="3"/>
        <v>24.189941643530027</v>
      </c>
      <c r="AE29" s="145">
        <f t="shared" si="4"/>
        <v>29.207000000000001</v>
      </c>
      <c r="AF29" s="145">
        <f t="shared" si="5"/>
        <v>92.151198643700099</v>
      </c>
      <c r="AG29" s="772">
        <f t="shared" si="18"/>
        <v>209.31264028723012</v>
      </c>
      <c r="AH29" s="1253">
        <f t="shared" si="6"/>
        <v>41.508000000000003</v>
      </c>
      <c r="AI29" s="1253">
        <f t="shared" si="7"/>
        <v>45.404000000000003</v>
      </c>
      <c r="AJ29" s="156">
        <f t="shared" si="8"/>
        <v>111.63501241347001</v>
      </c>
      <c r="AK29" s="156">
        <f t="shared" si="9"/>
        <v>38.445289038727381</v>
      </c>
      <c r="AM29" s="716">
        <f t="shared" si="10"/>
        <v>4766.1450312486295</v>
      </c>
      <c r="AN29" s="716" t="str">
        <f>_xlfn.XLOOKUP(D29,RUC!$B$3:$B$578,RUC!$M$3:$M$578)</f>
        <v>Ronald Miranda</v>
      </c>
      <c r="AO29" s="1167" t="s">
        <v>2278</v>
      </c>
      <c r="AP29" s="1843">
        <v>530</v>
      </c>
      <c r="AQ29" s="1082" t="s">
        <v>2388</v>
      </c>
      <c r="AV29" s="1556" t="s">
        <v>2277</v>
      </c>
      <c r="AW29" s="1227">
        <f t="shared" ref="AW29:AW38" si="21">SUMIF($AO$4:$AO$253,AV29,$K$4:$K$253)</f>
        <v>154.41499999999999</v>
      </c>
      <c r="AX29" s="1227"/>
      <c r="AY29" s="1229">
        <f t="shared" ref="AY29:AY38" si="22">AW29*AX29*31.1035*1.1023</f>
        <v>0</v>
      </c>
      <c r="AZ29" s="596"/>
      <c r="BA29" s="1255">
        <f t="shared" ref="BA29:BA38" si="23">AY29*AZ29/100</f>
        <v>0</v>
      </c>
      <c r="BB29" s="1891" t="s">
        <v>5773</v>
      </c>
      <c r="BC29" s="1574">
        <f ca="1">+BB7</f>
        <v>5812.3579999999993</v>
      </c>
      <c r="BD29" s="1574">
        <f ca="1">+BC29</f>
        <v>5812.3579999999993</v>
      </c>
    </row>
    <row r="30" spans="1:56" ht="15" customHeight="1">
      <c r="A30" s="747" t="s">
        <v>5452</v>
      </c>
      <c r="B30" s="1447">
        <v>46142</v>
      </c>
      <c r="C30" s="1447">
        <v>46139</v>
      </c>
      <c r="D30" t="s">
        <v>2444</v>
      </c>
      <c r="E30" s="762">
        <f>_xlfn.XLOOKUP(D30,RUC!$B$3:$B$123,RUC!$D$3:$D$123)</f>
        <v>20608774000</v>
      </c>
      <c r="G30" s="1082">
        <v>92</v>
      </c>
      <c r="H30" s="1082" t="s">
        <v>108</v>
      </c>
      <c r="I30" s="703">
        <v>2.89</v>
      </c>
      <c r="J30" s="596">
        <v>18.93</v>
      </c>
      <c r="K30" s="703">
        <f t="shared" si="0"/>
        <v>2.343</v>
      </c>
      <c r="L30" s="1745">
        <v>0.36299999999999999</v>
      </c>
      <c r="M30" s="994">
        <f>ROUND(+IF(L30&gt;_xlfn.XLOOKUP(AN30,RUC!M:M,RUC!K:K),L30*_xlfn.XLOOKUP(AN30,RUC!M:M,RUC!I:I),L30-_xlfn.XLOOKUP(AN30,RUC!M:M,RUC!J:J)),3)</f>
        <v>0.34100000000000003</v>
      </c>
      <c r="N30" s="1196">
        <f t="shared" si="20"/>
        <v>0.34100000000000003</v>
      </c>
      <c r="O30" s="645">
        <f t="shared" si="1"/>
        <v>0.34100000000000003</v>
      </c>
      <c r="P30" s="727">
        <v>90</v>
      </c>
      <c r="Q30" s="1476">
        <v>93.66</v>
      </c>
      <c r="R30" s="706">
        <v>4692.25</v>
      </c>
      <c r="S30" s="765">
        <f>IF((_xlfn.XLOOKUP(D30,RUC!$B$3:$B$119,RUC!$E$3:$E$119)+ROUNDDOWN(O30,1)*100)&lt;95,95,((_xlfn.XLOOKUP(D30,RUC!$B$3:$B$119,RUC!$E$3:$E$119)+ROUNDDOWN(O30,1)*100)))</f>
        <v>115</v>
      </c>
      <c r="U30" s="1146">
        <f>_xlfn.XLOOKUP(D30,RUC!$B$3:$B$123,RUC!$F$3:$F$123)</f>
        <v>120</v>
      </c>
      <c r="V30" s="715">
        <v>1.1023000000000001</v>
      </c>
      <c r="Y30" s="891">
        <v>50</v>
      </c>
      <c r="Z30" s="1855">
        <v>40</v>
      </c>
      <c r="AA30" s="144">
        <f t="shared" si="2"/>
        <v>90</v>
      </c>
      <c r="AB30" s="145">
        <f t="shared" si="17"/>
        <v>1320.8017916075003</v>
      </c>
      <c r="AC30" s="145">
        <f>+(S30-T30)*V30-'data 1'!$F$4</f>
        <v>46.764500000000012</v>
      </c>
      <c r="AD30" s="145">
        <f t="shared" si="3"/>
        <v>66.960314752814924</v>
      </c>
      <c r="AE30" s="145">
        <f t="shared" si="4"/>
        <v>29.207000000000001</v>
      </c>
      <c r="AF30" s="145">
        <f t="shared" si="5"/>
        <v>103.85002615910982</v>
      </c>
      <c r="AG30" s="772">
        <f t="shared" si="18"/>
        <v>263.78184091192475</v>
      </c>
      <c r="AH30" s="1253">
        <f t="shared" si="6"/>
        <v>27.311</v>
      </c>
      <c r="AI30" s="1253">
        <f t="shared" si="7"/>
        <v>29.16</v>
      </c>
      <c r="AJ30" s="156">
        <f t="shared" si="8"/>
        <v>122.82967034068498</v>
      </c>
      <c r="AK30" s="156">
        <f t="shared" si="9"/>
        <v>24.653480843332936</v>
      </c>
      <c r="AM30" s="716">
        <f t="shared" si="10"/>
        <v>3094.638597736373</v>
      </c>
      <c r="AN30" s="716" t="str">
        <f>_xlfn.XLOOKUP(D30,RUC!$B$3:$B$578,RUC!$M$3:$M$578)</f>
        <v>Ronald Miranda</v>
      </c>
      <c r="AO30" s="1167" t="s">
        <v>2278</v>
      </c>
      <c r="AP30" s="1843">
        <v>530</v>
      </c>
      <c r="AQ30" s="1082" t="s">
        <v>2388</v>
      </c>
      <c r="AV30" s="1557" t="s">
        <v>2278</v>
      </c>
      <c r="AW30" s="703">
        <f t="shared" si="21"/>
        <v>156.11500000000001</v>
      </c>
      <c r="AX30" s="703"/>
      <c r="AY30" s="596">
        <f t="shared" si="22"/>
        <v>0</v>
      </c>
      <c r="AZ30" s="596"/>
      <c r="BA30" s="1256">
        <f t="shared" si="23"/>
        <v>0</v>
      </c>
      <c r="BB30" s="1892" t="s">
        <v>5774</v>
      </c>
      <c r="BC30" s="1576">
        <f>+'43'!BC33</f>
        <v>215.4</v>
      </c>
      <c r="BD30" s="1576">
        <v>245</v>
      </c>
    </row>
    <row r="31" spans="1:56" ht="15" customHeight="1">
      <c r="A31" s="1491" t="s">
        <v>5453</v>
      </c>
      <c r="B31" s="1541">
        <v>46142</v>
      </c>
      <c r="C31" s="1447">
        <v>46139</v>
      </c>
      <c r="D31" t="s">
        <v>2444</v>
      </c>
      <c r="E31" s="762">
        <f>_xlfn.XLOOKUP(D31,RUC!$B$3:$B$123,RUC!$D$3:$D$123)</f>
        <v>20608774000</v>
      </c>
      <c r="G31" s="1082">
        <v>178</v>
      </c>
      <c r="H31" s="1082" t="s">
        <v>108</v>
      </c>
      <c r="I31" s="703">
        <v>6.21</v>
      </c>
      <c r="J31" s="596">
        <v>23.98</v>
      </c>
      <c r="K31" s="703">
        <f t="shared" si="0"/>
        <v>4.7210000000000001</v>
      </c>
      <c r="L31" s="1745">
        <v>8.4000000000000005E-2</v>
      </c>
      <c r="M31" s="994">
        <f>ROUND(+IF(L31&gt;_xlfn.XLOOKUP(AN31,RUC!M:M,RUC!K:K),L31*_xlfn.XLOOKUP(AN31,RUC!M:M,RUC!I:I),L31-_xlfn.XLOOKUP(AN31,RUC!M:M,RUC!J:J)),3)</f>
        <v>6.5000000000000002E-2</v>
      </c>
      <c r="N31" s="1196">
        <f t="shared" si="20"/>
        <v>6.5000000000000002E-2</v>
      </c>
      <c r="O31" s="645">
        <f t="shared" si="1"/>
        <v>6.5000000000000002E-2</v>
      </c>
      <c r="P31" s="727">
        <v>80</v>
      </c>
      <c r="Q31" s="1476">
        <v>82.14</v>
      </c>
      <c r="R31" s="706">
        <v>4692.25</v>
      </c>
      <c r="S31" s="765">
        <f>IF((_xlfn.XLOOKUP(D31,RUC!$B$3:$B$119,RUC!$E$3:$E$119)+ROUNDDOWN(O31,1)*100)&lt;95,95,((_xlfn.XLOOKUP(D31,RUC!$B$3:$B$119,RUC!$E$3:$E$119)+ROUNDDOWN(O31,1)*100)))</f>
        <v>95</v>
      </c>
      <c r="U31" s="1146">
        <f>_xlfn.XLOOKUP(D31,RUC!$B$3:$B$123,RUC!$F$3:$F$123)</f>
        <v>120</v>
      </c>
      <c r="V31" s="715">
        <v>1.1023000000000001</v>
      </c>
      <c r="Y31" s="891">
        <v>50</v>
      </c>
      <c r="Z31" s="1855">
        <v>40</v>
      </c>
      <c r="AA31" s="144">
        <f t="shared" si="2"/>
        <v>90</v>
      </c>
      <c r="AB31" s="145">
        <v>1E-3</v>
      </c>
      <c r="AC31" s="145">
        <f>+(S31-T31)*V31-'data 1'!$F$4</f>
        <v>24.718500000000006</v>
      </c>
      <c r="AD31" s="145">
        <f t="shared" si="3"/>
        <v>9.0598881361800032</v>
      </c>
      <c r="AE31" s="145">
        <f t="shared" si="4"/>
        <v>29.207000000000001</v>
      </c>
      <c r="AF31" s="145">
        <f t="shared" si="5"/>
        <v>78.657126271755018</v>
      </c>
      <c r="AG31" s="772">
        <f>AC31+AD31+AE31+AF31+70-53+58.15</f>
        <v>216.79251440793504</v>
      </c>
      <c r="AH31" s="1253">
        <f t="shared" si="6"/>
        <v>11.167999999999999</v>
      </c>
      <c r="AI31" s="1253">
        <f t="shared" si="7"/>
        <v>13.596</v>
      </c>
      <c r="AJ31" s="156">
        <f t="shared" si="8"/>
        <v>24.927371855820002</v>
      </c>
      <c r="AK31" s="156">
        <f t="shared" si="9"/>
        <v>8.4167884831706008</v>
      </c>
      <c r="AM31" s="716">
        <f t="shared" si="10"/>
        <v>4.7210000000000004E-3</v>
      </c>
      <c r="AN31" s="716" t="str">
        <f>_xlfn.XLOOKUP(D31,RUC!$B$3:$B$578,RUC!$M$3:$M$578)</f>
        <v>Ronald Miranda</v>
      </c>
      <c r="AO31" s="1167" t="s">
        <v>2277</v>
      </c>
      <c r="AP31" s="1843">
        <v>530</v>
      </c>
      <c r="AQ31" s="1082" t="s">
        <v>2388</v>
      </c>
      <c r="AV31" s="1557" t="s">
        <v>2280</v>
      </c>
      <c r="AW31" s="703">
        <f t="shared" si="21"/>
        <v>142.17100000000002</v>
      </c>
      <c r="AX31" s="703"/>
      <c r="AY31" s="596">
        <f t="shared" si="22"/>
        <v>0</v>
      </c>
      <c r="AZ31" s="596"/>
      <c r="BA31" s="1256">
        <f t="shared" si="23"/>
        <v>0</v>
      </c>
      <c r="BB31" s="1893" t="s">
        <v>5775</v>
      </c>
      <c r="BC31" s="1815">
        <v>4376.21</v>
      </c>
      <c r="BD31" s="1815">
        <f>+BC31</f>
        <v>4376.21</v>
      </c>
    </row>
    <row r="32" spans="1:56" ht="15" customHeight="1">
      <c r="A32" s="747" t="s">
        <v>5454</v>
      </c>
      <c r="B32" s="1447">
        <v>46142</v>
      </c>
      <c r="C32" s="1447">
        <v>46139</v>
      </c>
      <c r="D32" t="s">
        <v>2444</v>
      </c>
      <c r="E32" s="762">
        <f>_xlfn.XLOOKUP(D32,RUC!$B$3:$B$123,RUC!$D$3:$D$123)</f>
        <v>20608774000</v>
      </c>
      <c r="G32" s="1082">
        <v>76</v>
      </c>
      <c r="H32" s="1082" t="s">
        <v>108</v>
      </c>
      <c r="I32" s="703">
        <v>2.11</v>
      </c>
      <c r="J32" s="596">
        <v>16.850000000000001</v>
      </c>
      <c r="K32" s="703">
        <f t="shared" si="0"/>
        <v>1.754</v>
      </c>
      <c r="L32" s="1745">
        <v>0.374</v>
      </c>
      <c r="M32" s="994">
        <f>ROUND(+IF(L32&gt;_xlfn.XLOOKUP(AN32,RUC!M:M,RUC!K:K),L32*_xlfn.XLOOKUP(AN32,RUC!M:M,RUC!I:I),L32-_xlfn.XLOOKUP(AN32,RUC!M:M,RUC!J:J)),3)</f>
        <v>0.35199999999999998</v>
      </c>
      <c r="N32" s="1196">
        <f t="shared" si="20"/>
        <v>0.35199999999999998</v>
      </c>
      <c r="O32" s="645">
        <f t="shared" si="1"/>
        <v>0.35199999999999998</v>
      </c>
      <c r="P32" s="727">
        <v>90</v>
      </c>
      <c r="Q32" s="1476">
        <v>92.25</v>
      </c>
      <c r="R32" s="706">
        <v>4692.25</v>
      </c>
      <c r="S32" s="765">
        <f>IF((_xlfn.XLOOKUP(D32,RUC!$B$3:$B$119,RUC!$E$3:$E$119)+ROUNDDOWN(O32,1)*100)&lt;95,95,((_xlfn.XLOOKUP(D32,RUC!$B$3:$B$119,RUC!$E$3:$E$119)+ROUNDDOWN(O32,1)*100)))</f>
        <v>115</v>
      </c>
      <c r="U32" s="1146">
        <f>_xlfn.XLOOKUP(D32,RUC!$B$3:$B$123,RUC!$F$3:$F$123)</f>
        <v>120</v>
      </c>
      <c r="V32" s="715">
        <v>1.1023000000000001</v>
      </c>
      <c r="Y32" s="891">
        <v>50</v>
      </c>
      <c r="Z32" s="1855">
        <v>40</v>
      </c>
      <c r="AA32" s="144">
        <f t="shared" si="2"/>
        <v>90</v>
      </c>
      <c r="AB32" s="145">
        <f>+((O32*P32*(R32-U32)/100)-S32-AA32+T32)*V32</f>
        <v>1370.6977042400001</v>
      </c>
      <c r="AC32" s="145">
        <f>+(S32-T32)*V32-'data 1'!$F$4</f>
        <v>46.764500000000012</v>
      </c>
      <c r="AD32" s="145">
        <f t="shared" si="3"/>
        <v>42.411525737624999</v>
      </c>
      <c r="AE32" s="145">
        <f t="shared" si="4"/>
        <v>29.207000000000001</v>
      </c>
      <c r="AF32" s="145">
        <f t="shared" si="5"/>
        <v>102.2866208966251</v>
      </c>
      <c r="AG32" s="772">
        <f>AC32+AD32+AE32+AF32+70-53</f>
        <v>237.66964663425011</v>
      </c>
      <c r="AH32" s="1253">
        <f t="shared" si="6"/>
        <v>20.748000000000001</v>
      </c>
      <c r="AI32" s="1253">
        <f t="shared" si="7"/>
        <v>22.491</v>
      </c>
      <c r="AJ32" s="156">
        <f t="shared" si="8"/>
        <v>124.64661380737502</v>
      </c>
      <c r="AK32" s="156">
        <f t="shared" si="9"/>
        <v>19.051265578656956</v>
      </c>
      <c r="AM32" s="716">
        <f t="shared" si="10"/>
        <v>2404.2037732369604</v>
      </c>
      <c r="AN32" s="716" t="str">
        <f>_xlfn.XLOOKUP(D32,RUC!$B$3:$B$578,RUC!$M$3:$M$578)</f>
        <v>Ronald Miranda</v>
      </c>
      <c r="AO32" s="1167" t="s">
        <v>2277</v>
      </c>
      <c r="AP32" s="1843">
        <v>530</v>
      </c>
      <c r="AQ32" s="1082" t="s">
        <v>2388</v>
      </c>
      <c r="AV32" s="1557" t="s">
        <v>2279</v>
      </c>
      <c r="AW32" s="703">
        <f t="shared" si="21"/>
        <v>84.022999999999996</v>
      </c>
      <c r="AX32" s="703"/>
      <c r="AY32" s="596">
        <f t="shared" si="22"/>
        <v>0</v>
      </c>
      <c r="AZ32" s="596"/>
      <c r="BA32" s="1256">
        <f t="shared" si="23"/>
        <v>0</v>
      </c>
      <c r="BB32" s="1893" t="s">
        <v>5776</v>
      </c>
      <c r="BC32" s="1815">
        <v>1307.1600000000001</v>
      </c>
      <c r="BD32" s="1815">
        <f>+BC32</f>
        <v>1307.1600000000001</v>
      </c>
    </row>
    <row r="33" spans="1:56" ht="15" customHeight="1">
      <c r="A33" s="1491" t="s">
        <v>5455</v>
      </c>
      <c r="B33" s="1541">
        <v>46142</v>
      </c>
      <c r="C33" s="1447">
        <v>46139</v>
      </c>
      <c r="D33" t="s">
        <v>2444</v>
      </c>
      <c r="E33" s="762">
        <f>_xlfn.XLOOKUP(D33,RUC!$B$3:$B$123,RUC!$D$3:$D$123)</f>
        <v>20608774000</v>
      </c>
      <c r="G33" s="1082">
        <v>70</v>
      </c>
      <c r="H33" s="1082" t="s">
        <v>108</v>
      </c>
      <c r="I33" s="703">
        <v>2.3199999999999998</v>
      </c>
      <c r="J33" s="596">
        <v>22.73</v>
      </c>
      <c r="K33" s="703">
        <f t="shared" si="0"/>
        <v>1.7929999999999999</v>
      </c>
      <c r="L33" s="1745">
        <v>2.5000000000000001E-2</v>
      </c>
      <c r="M33" s="1443">
        <v>2.3E-2</v>
      </c>
      <c r="N33" s="1196">
        <f t="shared" si="20"/>
        <v>2.3E-2</v>
      </c>
      <c r="O33" s="645">
        <f t="shared" si="1"/>
        <v>2.3E-2</v>
      </c>
      <c r="P33" s="727">
        <v>40</v>
      </c>
      <c r="Q33" s="1476">
        <v>40</v>
      </c>
      <c r="R33" s="706">
        <v>4692.25</v>
      </c>
      <c r="S33" s="765">
        <f>IF((_xlfn.XLOOKUP(D33,RUC!$B$3:$B$119,RUC!$E$3:$E$119)+ROUNDDOWN(O33,1)*100)&lt;95,95,((_xlfn.XLOOKUP(D33,RUC!$B$3:$B$119,RUC!$E$3:$E$119)+ROUNDDOWN(O33,1)*100)))</f>
        <v>95</v>
      </c>
      <c r="U33" s="1146">
        <f>_xlfn.XLOOKUP(D33,RUC!$B$3:$B$123,RUC!$F$3:$F$123)</f>
        <v>120</v>
      </c>
      <c r="V33" s="715">
        <v>1.1023000000000001</v>
      </c>
      <c r="Y33" s="891">
        <v>50</v>
      </c>
      <c r="Z33" s="1855">
        <v>40</v>
      </c>
      <c r="AA33" s="144">
        <f t="shared" si="2"/>
        <v>90</v>
      </c>
      <c r="AB33" s="145">
        <v>1E-3</v>
      </c>
      <c r="AC33" s="145">
        <f>+(S33-T33)*V33-'data 1'!$F$4</f>
        <v>24.718500000000006</v>
      </c>
      <c r="AD33" s="145">
        <f t="shared" si="3"/>
        <v>0</v>
      </c>
      <c r="AE33" s="145">
        <f t="shared" si="4"/>
        <v>29.207000000000001</v>
      </c>
      <c r="AF33" s="145">
        <f t="shared" si="5"/>
        <v>4.0319929400000039</v>
      </c>
      <c r="AG33" s="772">
        <f>AC33+AD33+AE33+AF33+70-53-157.56</f>
        <v>-82.602507059999994</v>
      </c>
      <c r="AH33" s="1253">
        <f t="shared" si="6"/>
        <v>0.61499999999999999</v>
      </c>
      <c r="AI33" s="1253">
        <f t="shared" si="7"/>
        <v>1.5369999999999999</v>
      </c>
      <c r="AJ33" s="156">
        <f t="shared" si="8"/>
        <v>3.6127882500000004</v>
      </c>
      <c r="AK33" s="156">
        <f t="shared" si="9"/>
        <v>0.56555804711757995</v>
      </c>
      <c r="AM33" s="716">
        <f t="shared" si="10"/>
        <v>1.7929999999999999E-3</v>
      </c>
      <c r="AN33" s="716" t="str">
        <f>_xlfn.XLOOKUP(D33,RUC!$B$3:$B$578,RUC!$M$3:$M$578)</f>
        <v>Ronald Miranda</v>
      </c>
      <c r="AO33" s="1167" t="s">
        <v>2278</v>
      </c>
      <c r="AP33" s="1843">
        <v>530</v>
      </c>
      <c r="AQ33" s="1082" t="s">
        <v>2388</v>
      </c>
      <c r="AV33" s="1557" t="s">
        <v>2281</v>
      </c>
      <c r="AW33" s="703">
        <f t="shared" si="21"/>
        <v>0</v>
      </c>
      <c r="AX33" s="703"/>
      <c r="AY33" s="596">
        <f t="shared" si="22"/>
        <v>0</v>
      </c>
      <c r="AZ33" s="596"/>
      <c r="BA33" s="1256">
        <f t="shared" si="23"/>
        <v>0</v>
      </c>
      <c r="BB33" s="1893" t="s">
        <v>5777</v>
      </c>
      <c r="BC33" s="1581">
        <v>272</v>
      </c>
      <c r="BD33" s="1581">
        <f>+BC33</f>
        <v>272</v>
      </c>
    </row>
    <row r="34" spans="1:56" ht="15" customHeight="1">
      <c r="A34" s="747" t="s">
        <v>5456</v>
      </c>
      <c r="B34" s="1447">
        <v>46145</v>
      </c>
      <c r="C34" s="1447">
        <v>46139</v>
      </c>
      <c r="D34" s="1831" t="s">
        <v>2004</v>
      </c>
      <c r="E34" s="762">
        <f>_xlfn.XLOOKUP(D34,RUC!$B$3:$B$123,RUC!$D$3:$D$123)</f>
        <v>20612921866</v>
      </c>
      <c r="G34" s="762" t="s">
        <v>2985</v>
      </c>
      <c r="H34" s="1082" t="s">
        <v>69</v>
      </c>
      <c r="I34" s="703">
        <v>3</v>
      </c>
      <c r="J34" s="596">
        <v>2</v>
      </c>
      <c r="K34" s="703">
        <f t="shared" si="0"/>
        <v>2.94</v>
      </c>
      <c r="L34" s="1745">
        <v>0.16500000000000001</v>
      </c>
      <c r="M34" s="994">
        <f>ROUND(+IF(L34&gt;_xlfn.XLOOKUP(AN34,RUC!M:M,RUC!K:K),L34*_xlfn.XLOOKUP(AN34,RUC!M:M,RUC!I:I),L34-_xlfn.XLOOKUP(AN34,RUC!M:M,RUC!J:J)),3)</f>
        <v>0.14599999999999999</v>
      </c>
      <c r="N34" s="1196">
        <f t="shared" si="20"/>
        <v>0.14599999999999999</v>
      </c>
      <c r="O34" s="645">
        <f t="shared" si="1"/>
        <v>0.14599999999999999</v>
      </c>
      <c r="P34" s="727">
        <v>90</v>
      </c>
      <c r="Q34" s="1476">
        <v>96.36</v>
      </c>
      <c r="R34" s="706">
        <v>4692.25</v>
      </c>
      <c r="S34" s="765">
        <f>IF((_xlfn.XLOOKUP(D34,RUC!$B$3:$B$119,RUC!$E$3:$E$119)+ROUNDDOWN(O34,1)*100)&lt;95,95,((_xlfn.XLOOKUP(D34,RUC!$B$3:$B$119,RUC!$E$3:$E$119)+ROUNDDOWN(O34,1)*100)))</f>
        <v>95</v>
      </c>
      <c r="U34" s="1146">
        <f>_xlfn.XLOOKUP(D34,RUC!$B$3:$B$123,RUC!$F$3:$F$123)</f>
        <v>100</v>
      </c>
      <c r="V34" s="715">
        <v>1.1023000000000001</v>
      </c>
      <c r="Y34">
        <f>_xlfn.XLOOKUP(D34,RUC!$B$3:$B$123,RUC!$G$3:$G$123)</f>
        <v>0</v>
      </c>
      <c r="Z34" s="1454">
        <v>35</v>
      </c>
      <c r="AA34" s="144">
        <f t="shared" si="2"/>
        <v>35</v>
      </c>
      <c r="AB34" s="145">
        <f t="shared" ref="AB34:AB65" si="24">+((O34*P34*(R34-U34)/100)-S34-AA34+T34)*V34</f>
        <v>521.85268479499985</v>
      </c>
      <c r="AC34" s="145">
        <f>+(S34-T34)*V34-'data 1'!$F$4</f>
        <v>24.718500000000006</v>
      </c>
      <c r="AD34" s="145">
        <f t="shared" si="3"/>
        <v>53.121018114449996</v>
      </c>
      <c r="AE34" s="145">
        <f t="shared" si="4"/>
        <v>-31.419499999999999</v>
      </c>
      <c r="AF34" s="145">
        <f t="shared" si="5"/>
        <v>92.677801414770073</v>
      </c>
      <c r="AG34" s="772">
        <f t="shared" ref="AG34:AG43" si="25">AC34+AD34+AE34+AF34+70-53</f>
        <v>156.09781952922009</v>
      </c>
      <c r="AH34" s="1253">
        <f t="shared" si="6"/>
        <v>16.026</v>
      </c>
      <c r="AI34" s="1253">
        <f t="shared" si="7"/>
        <v>16.632000000000001</v>
      </c>
      <c r="AJ34" s="156">
        <f t="shared" si="8"/>
        <v>53.935983778050002</v>
      </c>
      <c r="AK34" s="156">
        <f t="shared" si="9"/>
        <v>13.244993969923799</v>
      </c>
      <c r="AM34" s="716">
        <f t="shared" si="10"/>
        <v>1534.2468932972995</v>
      </c>
      <c r="AN34" s="716" t="str">
        <f>_xlfn.XLOOKUP(D34,RUC!$B$3:$B$578,RUC!$M$3:$M$578)</f>
        <v>Ronald Garibay</v>
      </c>
      <c r="AO34" s="1167" t="s">
        <v>2277</v>
      </c>
      <c r="AP34" s="1843">
        <v>422</v>
      </c>
      <c r="AQ34" s="1082" t="s">
        <v>5445</v>
      </c>
      <c r="AV34" s="1557" t="s">
        <v>2297</v>
      </c>
      <c r="AW34" s="703">
        <f t="shared" si="21"/>
        <v>0</v>
      </c>
      <c r="AY34" s="596">
        <f t="shared" si="22"/>
        <v>0</v>
      </c>
      <c r="BA34" s="1256">
        <f t="shared" si="23"/>
        <v>0</v>
      </c>
      <c r="BB34" s="1579" t="s">
        <v>3206</v>
      </c>
      <c r="BC34" s="1580">
        <f ca="1">-BC29-BC30+BC31+BC32+BC33</f>
        <v>-72.387999999998783</v>
      </c>
      <c r="BD34" s="1580">
        <f ca="1">-BD29-BD30+BD31+BD32+BD33</f>
        <v>-101.98799999999915</v>
      </c>
    </row>
    <row r="35" spans="1:56" ht="15" customHeight="1">
      <c r="A35" s="747" t="s">
        <v>5457</v>
      </c>
      <c r="B35" s="1447">
        <v>46146</v>
      </c>
      <c r="C35" s="1447">
        <v>46141</v>
      </c>
      <c r="D35" t="s">
        <v>93</v>
      </c>
      <c r="E35" s="762">
        <f>_xlfn.XLOOKUP(D35,RUC!$B$3:$B$123,RUC!$D$3:$D$123)</f>
        <v>20169040231</v>
      </c>
      <c r="G35" s="762">
        <v>54</v>
      </c>
      <c r="H35" s="1082" t="s">
        <v>69</v>
      </c>
      <c r="I35" s="703">
        <v>5.15</v>
      </c>
      <c r="J35" s="596">
        <v>2</v>
      </c>
      <c r="K35" s="703">
        <f t="shared" si="0"/>
        <v>5.0469999999999997</v>
      </c>
      <c r="L35" s="1745">
        <v>0.28899999999999998</v>
      </c>
      <c r="M35" s="994">
        <f>ROUND(+IF(L35&gt;_xlfn.XLOOKUP(AN35,RUC!M:M,RUC!K:K),L35*_xlfn.XLOOKUP(AN35,RUC!M:M,RUC!I:I),L35-_xlfn.XLOOKUP(AN35,RUC!M:M,RUC!J:J)),3)</f>
        <v>0.27</v>
      </c>
      <c r="N35" s="1196">
        <f t="shared" si="20"/>
        <v>0.27</v>
      </c>
      <c r="O35" s="645">
        <f t="shared" si="1"/>
        <v>0.27</v>
      </c>
      <c r="P35" s="727">
        <v>90</v>
      </c>
      <c r="Q35" s="1476">
        <v>94.12</v>
      </c>
      <c r="R35" s="706">
        <v>4522.1000000000004</v>
      </c>
      <c r="S35" s="765">
        <f>IF((_xlfn.XLOOKUP(D35,RUC!$B$3:$B$119,RUC!$E$3:$E$119)+ROUNDDOWN(O35,1)*100)&lt;95,95,((_xlfn.XLOOKUP(D35,RUC!$B$3:$B$119,RUC!$E$3:$E$119)+ROUNDDOWN(O35,1)*100)))</f>
        <v>105</v>
      </c>
      <c r="U35" s="1146">
        <f>_xlfn.XLOOKUP(D35,RUC!$B$3:$B$123,RUC!$F$3:$F$123)</f>
        <v>120</v>
      </c>
      <c r="V35" s="715">
        <v>1.1023000000000001</v>
      </c>
      <c r="Y35">
        <f>_xlfn.XLOOKUP(D35,RUC!$B$3:$B$123,RUC!$G$3:$G$123)</f>
        <v>20</v>
      </c>
      <c r="Z35" s="1454">
        <v>35</v>
      </c>
      <c r="AA35" s="144">
        <f t="shared" si="2"/>
        <v>55</v>
      </c>
      <c r="AB35" s="145">
        <f t="shared" si="24"/>
        <v>1002.7736636900003</v>
      </c>
      <c r="AC35" s="145">
        <f>+(S35-T35)*V35-'data 1'!$F$4</f>
        <v>35.741500000000002</v>
      </c>
      <c r="AD35" s="145">
        <f t="shared" si="3"/>
        <v>57.776971033844056</v>
      </c>
      <c r="AE35" s="145">
        <f t="shared" si="4"/>
        <v>-9.3734999999999999</v>
      </c>
      <c r="AF35" s="145">
        <f t="shared" si="5"/>
        <v>86.775121577923855</v>
      </c>
      <c r="AG35" s="772">
        <f t="shared" si="25"/>
        <v>187.92009261176793</v>
      </c>
      <c r="AH35" s="1253">
        <f t="shared" si="6"/>
        <v>47.067999999999998</v>
      </c>
      <c r="AI35" s="1253">
        <f t="shared" si="7"/>
        <v>50.008000000000003</v>
      </c>
      <c r="AJ35" s="156">
        <f t="shared" si="8"/>
        <v>149.28689831915591</v>
      </c>
      <c r="AK35" s="156">
        <f t="shared" si="9"/>
        <v>42.048319897669053</v>
      </c>
      <c r="AM35" s="716">
        <f t="shared" si="10"/>
        <v>5060.9986806434308</v>
      </c>
      <c r="AN35" s="716" t="str">
        <f>_xlfn.XLOOKUP(D35,RUC!$B$3:$B$578,RUC!$M$3:$M$578)</f>
        <v>Ronald Miranda</v>
      </c>
      <c r="AO35" s="1167" t="s">
        <v>2278</v>
      </c>
      <c r="AP35" s="1843">
        <v>6519</v>
      </c>
      <c r="AQ35" s="1082" t="s">
        <v>5466</v>
      </c>
      <c r="AV35" s="1557" t="s">
        <v>2518</v>
      </c>
      <c r="AW35" s="703">
        <f t="shared" si="21"/>
        <v>0</v>
      </c>
      <c r="AY35" s="596">
        <f t="shared" si="22"/>
        <v>0</v>
      </c>
      <c r="BA35" s="1256">
        <f t="shared" si="23"/>
        <v>0</v>
      </c>
    </row>
    <row r="36" spans="1:56" ht="15" customHeight="1">
      <c r="A36" s="747" t="s">
        <v>5458</v>
      </c>
      <c r="B36" s="1447">
        <v>46146</v>
      </c>
      <c r="C36" s="1447">
        <v>46141</v>
      </c>
      <c r="D36" t="s">
        <v>93</v>
      </c>
      <c r="E36" s="762">
        <f>_xlfn.XLOOKUP(D36,RUC!$B$3:$B$123,RUC!$D$3:$D$123)</f>
        <v>20169040231</v>
      </c>
      <c r="G36" s="762">
        <v>48</v>
      </c>
      <c r="H36" s="1082" t="s">
        <v>69</v>
      </c>
      <c r="I36" s="703">
        <v>4.58</v>
      </c>
      <c r="J36" s="596">
        <v>2.1</v>
      </c>
      <c r="K36" s="703">
        <f t="shared" si="0"/>
        <v>4.484</v>
      </c>
      <c r="L36" s="1745">
        <v>0.16900000000000001</v>
      </c>
      <c r="M36" s="994">
        <f>ROUND(+IF(L36&gt;_xlfn.XLOOKUP(AN36,RUC!M:M,RUC!K:K),L36*_xlfn.XLOOKUP(AN36,RUC!M:M,RUC!I:I),L36-_xlfn.XLOOKUP(AN36,RUC!M:M,RUC!J:J)),3)</f>
        <v>0.15</v>
      </c>
      <c r="N36" s="1196">
        <f t="shared" si="20"/>
        <v>0.15</v>
      </c>
      <c r="O36" s="645">
        <f t="shared" si="1"/>
        <v>0.15</v>
      </c>
      <c r="P36" s="727">
        <v>85</v>
      </c>
      <c r="Q36" s="1476">
        <v>95.27</v>
      </c>
      <c r="R36" s="706">
        <v>4522.1000000000004</v>
      </c>
      <c r="S36" s="765">
        <f>IF((_xlfn.XLOOKUP(D36,RUC!$B$3:$B$119,RUC!$E$3:$E$119)+ROUNDDOWN(O36,1)*100)&lt;95,95,((_xlfn.XLOOKUP(D36,RUC!$B$3:$B$119,RUC!$E$3:$E$119)+ROUNDDOWN(O36,1)*100)))</f>
        <v>95</v>
      </c>
      <c r="U36" s="1146">
        <f>_xlfn.XLOOKUP(D36,RUC!$B$3:$B$123,RUC!$F$3:$F$123)</f>
        <v>120</v>
      </c>
      <c r="V36" s="715">
        <v>1.1023000000000001</v>
      </c>
      <c r="Y36">
        <f>_xlfn.XLOOKUP(D36,RUC!$B$3:$B$123,RUC!$G$3:$G$123)</f>
        <v>20</v>
      </c>
      <c r="Z36" s="1454">
        <v>35</v>
      </c>
      <c r="AA36" s="144">
        <f t="shared" si="2"/>
        <v>55</v>
      </c>
      <c r="AB36" s="145">
        <f t="shared" si="24"/>
        <v>453.34044082499997</v>
      </c>
      <c r="AC36" s="145">
        <f>+(S36-T36)*V36-'data 1'!$F$4</f>
        <v>24.718500000000006</v>
      </c>
      <c r="AD36" s="145">
        <f t="shared" si="3"/>
        <v>84.220314639928986</v>
      </c>
      <c r="AE36" s="145">
        <f t="shared" si="4"/>
        <v>-9.3734999999999999</v>
      </c>
      <c r="AF36" s="145">
        <f t="shared" si="5"/>
        <v>87.835378588279085</v>
      </c>
      <c r="AG36" s="772">
        <f t="shared" si="25"/>
        <v>204.40069322820807</v>
      </c>
      <c r="AH36" s="1253">
        <f t="shared" si="6"/>
        <v>24.751999999999999</v>
      </c>
      <c r="AI36" s="1253">
        <f t="shared" si="7"/>
        <v>25.981000000000002</v>
      </c>
      <c r="AJ36" s="156">
        <f t="shared" si="8"/>
        <v>88.365920031570951</v>
      </c>
      <c r="AK36" s="156">
        <f t="shared" si="9"/>
        <v>19.601299202065501</v>
      </c>
      <c r="AM36" s="716">
        <f t="shared" si="10"/>
        <v>2032.7785366592998</v>
      </c>
      <c r="AN36" s="716" t="str">
        <f>_xlfn.XLOOKUP(D36,RUC!$B$3:$B$578,RUC!$M$3:$M$578)</f>
        <v>Ronald Miranda</v>
      </c>
      <c r="AO36" s="1167" t="s">
        <v>2278</v>
      </c>
      <c r="AP36" s="1843">
        <v>6519</v>
      </c>
      <c r="AQ36" s="1082" t="s">
        <v>5466</v>
      </c>
      <c r="AV36" s="1557" t="s">
        <v>2519</v>
      </c>
      <c r="AW36" s="703">
        <f t="shared" si="21"/>
        <v>0</v>
      </c>
      <c r="AY36" s="596">
        <f t="shared" si="22"/>
        <v>0</v>
      </c>
      <c r="BA36" s="1256">
        <f t="shared" si="23"/>
        <v>0</v>
      </c>
    </row>
    <row r="37" spans="1:56" ht="15" customHeight="1">
      <c r="A37" s="747" t="s">
        <v>5459</v>
      </c>
      <c r="B37" s="1447">
        <v>46146</v>
      </c>
      <c r="C37" s="1447">
        <v>46141</v>
      </c>
      <c r="D37" s="1852" t="s">
        <v>5442</v>
      </c>
      <c r="E37" s="762">
        <f>_xlfn.XLOOKUP(D37,RUC!$B$3:$B$123,RUC!$D$3:$D$123)</f>
        <v>20606562480</v>
      </c>
      <c r="G37" s="762">
        <v>50</v>
      </c>
      <c r="H37" s="1082" t="s">
        <v>108</v>
      </c>
      <c r="I37" s="703">
        <v>3.88</v>
      </c>
      <c r="J37" s="596">
        <v>5.45</v>
      </c>
      <c r="K37" s="703">
        <f t="shared" si="0"/>
        <v>3.669</v>
      </c>
      <c r="L37" s="1745">
        <v>3.1309999999999998</v>
      </c>
      <c r="M37" s="994">
        <f>ROUND(+IF(L37&gt;_xlfn.XLOOKUP(AN37,RUC!M:M,RUC!K:K),L37*_xlfn.XLOOKUP(AN37,RUC!M:M,RUC!I:I),L37-_xlfn.XLOOKUP(AN37,RUC!M:M,RUC!J:J)),3)</f>
        <v>2.9430000000000001</v>
      </c>
      <c r="N37" s="1444">
        <v>3.1779999999999999</v>
      </c>
      <c r="O37" s="645">
        <f t="shared" si="1"/>
        <v>3.0609999999999999</v>
      </c>
      <c r="P37" s="727">
        <v>88</v>
      </c>
      <c r="Q37" s="1572">
        <v>89.4</v>
      </c>
      <c r="R37" s="706">
        <v>4522.1000000000004</v>
      </c>
      <c r="S37" s="765">
        <f>IF((_xlfn.XLOOKUP(D37,RUC!$B$3:$B$119,RUC!$E$3:$E$119)+ROUNDDOWN(O37,1)*100)&lt;95,95,((_xlfn.XLOOKUP(D37,RUC!$B$3:$B$119,RUC!$E$3:$E$119)+ROUNDDOWN(O37,1)*100)))</f>
        <v>385</v>
      </c>
      <c r="U37" s="1146">
        <f>_xlfn.XLOOKUP(D37,RUC!$B$3:$B$123,RUC!$F$3:$F$123)</f>
        <v>120</v>
      </c>
      <c r="V37" s="715">
        <v>1.1023000000000001</v>
      </c>
      <c r="Y37" s="891">
        <v>50</v>
      </c>
      <c r="Z37" s="1454">
        <v>60</v>
      </c>
      <c r="AA37" s="144">
        <f t="shared" si="2"/>
        <v>110</v>
      </c>
      <c r="AB37" s="145">
        <f t="shared" si="24"/>
        <v>12525.268152874401</v>
      </c>
      <c r="AC37" s="145">
        <f>+(S37-T37)*V37-'data 1'!$F$4</f>
        <v>344.38550000000004</v>
      </c>
      <c r="AD37" s="145">
        <f t="shared" si="3"/>
        <v>212.7016283382209</v>
      </c>
      <c r="AE37" s="145">
        <f t="shared" si="4"/>
        <v>51.253000000000007</v>
      </c>
      <c r="AF37" s="145">
        <f t="shared" si="5"/>
        <v>303.66537166139938</v>
      </c>
      <c r="AG37" s="772">
        <f t="shared" si="25"/>
        <v>929.00549999962038</v>
      </c>
      <c r="AH37" s="1253">
        <f t="shared" si="6"/>
        <v>352.10899999999998</v>
      </c>
      <c r="AI37" s="1253">
        <f t="shared" si="7"/>
        <v>393.858</v>
      </c>
      <c r="AJ37" s="156">
        <f t="shared" si="8"/>
        <v>1536.252208039379</v>
      </c>
      <c r="AK37" s="156">
        <f t="shared" si="9"/>
        <v>338.8463273187806</v>
      </c>
      <c r="AM37" s="716">
        <f t="shared" si="10"/>
        <v>45955.208852896183</v>
      </c>
      <c r="AN37" s="716" t="str">
        <f>_xlfn.XLOOKUP(D37,RUC!$B$3:$B$578,RUC!$M$3:$M$578)</f>
        <v>Ronald Miranda</v>
      </c>
      <c r="AO37" s="1167" t="s">
        <v>2277</v>
      </c>
      <c r="AP37" s="1843">
        <v>233</v>
      </c>
      <c r="AQ37" s="1082" t="s">
        <v>5467</v>
      </c>
      <c r="AR37" t="s">
        <v>5469</v>
      </c>
      <c r="AV37" s="1557" t="s">
        <v>2520</v>
      </c>
      <c r="AW37" s="703">
        <f t="shared" si="21"/>
        <v>0</v>
      </c>
      <c r="AY37" s="596">
        <f t="shared" si="22"/>
        <v>0</v>
      </c>
      <c r="BA37" s="1256">
        <f t="shared" si="23"/>
        <v>0</v>
      </c>
    </row>
    <row r="38" spans="1:56" ht="15" customHeight="1" thickBot="1">
      <c r="A38" s="747" t="s">
        <v>5460</v>
      </c>
      <c r="B38" s="1447">
        <v>46146</v>
      </c>
      <c r="C38" s="1447">
        <v>46141</v>
      </c>
      <c r="D38" t="s">
        <v>93</v>
      </c>
      <c r="E38" s="762">
        <f>_xlfn.XLOOKUP(D38,RUC!$B$3:$B$123,RUC!$D$3:$D$123)</f>
        <v>20169040231</v>
      </c>
      <c r="G38" s="762">
        <v>35</v>
      </c>
      <c r="H38" s="1082" t="s">
        <v>69</v>
      </c>
      <c r="I38" s="703">
        <v>3.44</v>
      </c>
      <c r="J38" s="596">
        <v>2</v>
      </c>
      <c r="K38" s="703">
        <f t="shared" si="0"/>
        <v>3.371</v>
      </c>
      <c r="L38" s="1745">
        <v>0.14899999999999999</v>
      </c>
      <c r="M38" s="994">
        <f>ROUND(+IF(L38&gt;_xlfn.XLOOKUP(AN38,RUC!M:M,RUC!K:K),L38*_xlfn.XLOOKUP(AN38,RUC!M:M,RUC!I:I),L38-_xlfn.XLOOKUP(AN38,RUC!M:M,RUC!J:J)),3)</f>
        <v>0.13</v>
      </c>
      <c r="N38" s="1196">
        <f>+M38</f>
        <v>0.13</v>
      </c>
      <c r="O38" s="645">
        <f t="shared" si="1"/>
        <v>0.13</v>
      </c>
      <c r="P38" s="727">
        <v>80</v>
      </c>
      <c r="Q38" s="1476">
        <v>96.64</v>
      </c>
      <c r="R38" s="706">
        <v>4522.1000000000004</v>
      </c>
      <c r="S38" s="765">
        <f>IF((_xlfn.XLOOKUP(D38,RUC!$B$3:$B$119,RUC!$E$3:$E$119)+ROUNDDOWN(O38,1)*100)&lt;95,95,((_xlfn.XLOOKUP(D38,RUC!$B$3:$B$119,RUC!$E$3:$E$119)+ROUNDDOWN(O38,1)*100)))</f>
        <v>95</v>
      </c>
      <c r="U38" s="1146">
        <f>_xlfn.XLOOKUP(D38,RUC!$B$3:$B$123,RUC!$F$3:$F$123)</f>
        <v>120</v>
      </c>
      <c r="V38" s="715">
        <v>1.1023000000000001</v>
      </c>
      <c r="Y38">
        <f>_xlfn.XLOOKUP(D38,RUC!$B$3:$B$123,RUC!$G$3:$G$123)</f>
        <v>20</v>
      </c>
      <c r="Z38" s="1454">
        <v>35</v>
      </c>
      <c r="AA38" s="144">
        <f t="shared" si="2"/>
        <v>55</v>
      </c>
      <c r="AB38" s="145">
        <f t="shared" si="24"/>
        <v>339.30822232000008</v>
      </c>
      <c r="AC38" s="145">
        <f>+(S38-T38)*V38-'data 1'!$F$4</f>
        <v>24.718500000000006</v>
      </c>
      <c r="AD38" s="145">
        <f t="shared" si="3"/>
        <v>120.30932820108801</v>
      </c>
      <c r="AE38" s="145">
        <f t="shared" si="4"/>
        <v>-9.3734999999999999</v>
      </c>
      <c r="AF38" s="145">
        <f t="shared" si="5"/>
        <v>89.098467374527957</v>
      </c>
      <c r="AG38" s="772">
        <f t="shared" si="25"/>
        <v>241.75279557561601</v>
      </c>
      <c r="AH38" s="1253">
        <f t="shared" si="6"/>
        <v>16.641999999999999</v>
      </c>
      <c r="AI38" s="1253">
        <f t="shared" si="7"/>
        <v>17.221</v>
      </c>
      <c r="AJ38" s="156">
        <f t="shared" si="8"/>
        <v>79.028751934911938</v>
      </c>
      <c r="AK38" s="156">
        <f t="shared" si="9"/>
        <v>12.019908484121199</v>
      </c>
      <c r="AM38" s="716">
        <f t="shared" si="10"/>
        <v>1143.8080174407203</v>
      </c>
      <c r="AN38" s="716" t="str">
        <f>_xlfn.XLOOKUP(D38,RUC!$B$3:$B$578,RUC!$M$3:$M$578)</f>
        <v>Ronald Miranda</v>
      </c>
      <c r="AO38" s="1167" t="s">
        <v>2278</v>
      </c>
      <c r="AP38" s="1843">
        <v>6519</v>
      </c>
      <c r="AQ38" s="1082" t="s">
        <v>5466</v>
      </c>
      <c r="AV38" s="1558" t="s">
        <v>2521</v>
      </c>
      <c r="AW38" s="1254">
        <f t="shared" si="21"/>
        <v>0</v>
      </c>
      <c r="AX38" s="1257"/>
      <c r="AY38" s="1242">
        <f t="shared" si="22"/>
        <v>0</v>
      </c>
      <c r="AZ38" s="1257"/>
      <c r="BA38" s="1258">
        <f t="shared" si="23"/>
        <v>0</v>
      </c>
    </row>
    <row r="39" spans="1:56" ht="15" customHeight="1">
      <c r="A39" s="747" t="s">
        <v>5461</v>
      </c>
      <c r="B39" s="1447">
        <v>46146</v>
      </c>
      <c r="C39" s="1447">
        <v>46141</v>
      </c>
      <c r="D39" t="s">
        <v>93</v>
      </c>
      <c r="E39" s="762">
        <f>_xlfn.XLOOKUP(D39,RUC!$B$3:$B$123,RUC!$D$3:$D$123)</f>
        <v>20169040231</v>
      </c>
      <c r="G39" s="762">
        <v>55</v>
      </c>
      <c r="H39" s="1082" t="s">
        <v>108</v>
      </c>
      <c r="I39" s="703">
        <v>4.55</v>
      </c>
      <c r="J39" s="596">
        <v>29.7</v>
      </c>
      <c r="K39" s="703">
        <f t="shared" si="0"/>
        <v>3.1989999999999998</v>
      </c>
      <c r="L39" s="1745">
        <v>0.66</v>
      </c>
      <c r="M39" s="994">
        <f>ROUND(+IF(L39&gt;_xlfn.XLOOKUP(AN39,RUC!M:M,RUC!K:K),L39*_xlfn.XLOOKUP(AN39,RUC!M:M,RUC!I:I),L39-_xlfn.XLOOKUP(AN39,RUC!M:M,RUC!J:J)),3)</f>
        <v>0.62</v>
      </c>
      <c r="N39" s="1444">
        <v>0.65900000000000003</v>
      </c>
      <c r="O39" s="645">
        <f t="shared" si="1"/>
        <v>0.64</v>
      </c>
      <c r="P39" s="727">
        <v>87</v>
      </c>
      <c r="Q39" s="1572">
        <v>88.33</v>
      </c>
      <c r="R39" s="706">
        <v>4522.1000000000004</v>
      </c>
      <c r="S39" s="765">
        <f>IF((_xlfn.XLOOKUP(D39,RUC!$B$3:$B$119,RUC!$E$3:$E$119)+ROUNDDOWN(O39,1)*100)&lt;95,95,((_xlfn.XLOOKUP(D39,RUC!$B$3:$B$119,RUC!$E$3:$E$119)+ROUNDDOWN(O39,1)*100)))</f>
        <v>145</v>
      </c>
      <c r="U39" s="1146">
        <f>_xlfn.XLOOKUP(D39,RUC!$B$3:$B$123,RUC!$F$3:$F$123)</f>
        <v>120</v>
      </c>
      <c r="V39" s="715">
        <v>1.1023000000000001</v>
      </c>
      <c r="Y39" s="891">
        <v>50</v>
      </c>
      <c r="Z39" s="1855">
        <v>40</v>
      </c>
      <c r="AA39" s="144">
        <f t="shared" si="2"/>
        <v>90</v>
      </c>
      <c r="AB39" s="145">
        <f t="shared" si="24"/>
        <v>2442.7952133440003</v>
      </c>
      <c r="AC39" s="145">
        <f>+(S39-T39)*V39-'data 1'!$F$4</f>
        <v>79.833500000000015</v>
      </c>
      <c r="AD39" s="145">
        <f t="shared" si="3"/>
        <v>42.594672937739958</v>
      </c>
      <c r="AE39" s="145">
        <f t="shared" si="4"/>
        <v>29.207000000000001</v>
      </c>
      <c r="AF39" s="145">
        <f t="shared" si="5"/>
        <v>85.723113706780083</v>
      </c>
      <c r="AG39" s="772">
        <f t="shared" si="25"/>
        <v>254.35828664452004</v>
      </c>
      <c r="AH39" s="1253">
        <f t="shared" si="6"/>
        <v>63.94</v>
      </c>
      <c r="AI39" s="1253">
        <f t="shared" si="7"/>
        <v>72.388000000000005</v>
      </c>
      <c r="AJ39" s="156">
        <f t="shared" si="8"/>
        <v>319.95882973625982</v>
      </c>
      <c r="AK39" s="156">
        <f t="shared" si="9"/>
        <v>61.06924290790176</v>
      </c>
      <c r="AM39" s="716">
        <f t="shared" si="10"/>
        <v>7814.5018874874568</v>
      </c>
      <c r="AN39" s="716" t="str">
        <f>_xlfn.XLOOKUP(D39,RUC!$B$3:$B$578,RUC!$M$3:$M$578)</f>
        <v>Ronald Miranda</v>
      </c>
      <c r="AO39" s="1167" t="s">
        <v>2278</v>
      </c>
      <c r="AP39" s="1843">
        <v>6519</v>
      </c>
      <c r="AQ39" s="1082" t="s">
        <v>5466</v>
      </c>
      <c r="AR39" t="s">
        <v>5469</v>
      </c>
    </row>
    <row r="40" spans="1:56" ht="15" customHeight="1">
      <c r="A40" s="747" t="s">
        <v>5462</v>
      </c>
      <c r="B40" s="1447">
        <v>46146</v>
      </c>
      <c r="C40" s="1447">
        <v>46141</v>
      </c>
      <c r="D40" t="s">
        <v>93</v>
      </c>
      <c r="E40" s="762">
        <f>_xlfn.XLOOKUP(D40,RUC!$B$3:$B$123,RUC!$D$3:$D$123)</f>
        <v>20169040231</v>
      </c>
      <c r="G40" s="762">
        <v>65</v>
      </c>
      <c r="H40" s="1082" t="s">
        <v>69</v>
      </c>
      <c r="I40" s="703">
        <v>5.98</v>
      </c>
      <c r="J40" s="596">
        <v>2.1</v>
      </c>
      <c r="K40" s="703">
        <f t="shared" si="0"/>
        <v>5.8540000000000001</v>
      </c>
      <c r="L40" s="1745">
        <v>0.19600000000000001</v>
      </c>
      <c r="M40" s="994">
        <f>ROUND(+IF(L40&gt;_xlfn.XLOOKUP(AN40,RUC!M:M,RUC!K:K),L40*_xlfn.XLOOKUP(AN40,RUC!M:M,RUC!I:I),L40-_xlfn.XLOOKUP(AN40,RUC!M:M,RUC!J:J)),3)</f>
        <v>0.17699999999999999</v>
      </c>
      <c r="N40" s="1196">
        <f>+M40</f>
        <v>0.17699999999999999</v>
      </c>
      <c r="O40" s="645">
        <f t="shared" si="1"/>
        <v>0.17699999999999999</v>
      </c>
      <c r="P40" s="727">
        <v>85</v>
      </c>
      <c r="Q40" s="1476">
        <v>93.88</v>
      </c>
      <c r="R40" s="706">
        <v>4522.1000000000004</v>
      </c>
      <c r="S40" s="765">
        <f>IF((_xlfn.XLOOKUP(D40,RUC!$B$3:$B$119,RUC!$E$3:$E$119)+ROUNDDOWN(O40,1)*100)&lt;95,95,((_xlfn.XLOOKUP(D40,RUC!$B$3:$B$119,RUC!$E$3:$E$119)+ROUNDDOWN(O40,1)*100)))</f>
        <v>95</v>
      </c>
      <c r="U40" s="1146">
        <f>_xlfn.XLOOKUP(D40,RUC!$B$3:$B$123,RUC!$F$3:$F$123)</f>
        <v>120</v>
      </c>
      <c r="V40" s="715">
        <v>1.1023000000000001</v>
      </c>
      <c r="Y40">
        <f>_xlfn.XLOOKUP(D40,RUC!$B$3:$B$123,RUC!$G$3:$G$123)</f>
        <v>20</v>
      </c>
      <c r="Z40" s="1454">
        <v>35</v>
      </c>
      <c r="AA40" s="144">
        <f t="shared" si="2"/>
        <v>55</v>
      </c>
      <c r="AB40" s="145">
        <f t="shared" si="24"/>
        <v>564.70382017350016</v>
      </c>
      <c r="AC40" s="145">
        <f>+(S40-T40)*V40-'data 1'!$F$4</f>
        <v>24.718500000000006</v>
      </c>
      <c r="AD40" s="145">
        <f t="shared" si="3"/>
        <v>84.455657729183983</v>
      </c>
      <c r="AE40" s="145">
        <f t="shared" si="4"/>
        <v>-9.3734999999999999</v>
      </c>
      <c r="AF40" s="145">
        <f t="shared" si="5"/>
        <v>86.553850549676099</v>
      </c>
      <c r="AG40" s="772">
        <f t="shared" si="25"/>
        <v>203.35450827886007</v>
      </c>
      <c r="AH40" s="1253">
        <f t="shared" si="6"/>
        <v>36.930999999999997</v>
      </c>
      <c r="AI40" s="1253">
        <f t="shared" si="7"/>
        <v>39.338999999999999</v>
      </c>
      <c r="AJ40" s="156">
        <f t="shared" si="8"/>
        <v>100.98830568881594</v>
      </c>
      <c r="AK40" s="156">
        <f t="shared" si="9"/>
        <v>30.196317244445112</v>
      </c>
      <c r="AM40" s="716">
        <f t="shared" si="10"/>
        <v>3305.7761632956699</v>
      </c>
      <c r="AN40" s="716" t="str">
        <f>_xlfn.XLOOKUP(D40,RUC!$B$3:$B$578,RUC!$M$3:$M$578)</f>
        <v>Ronald Miranda</v>
      </c>
      <c r="AO40" s="1167" t="s">
        <v>2278</v>
      </c>
      <c r="AP40" s="1843">
        <v>6519</v>
      </c>
      <c r="AQ40" s="1082" t="s">
        <v>5466</v>
      </c>
    </row>
    <row r="41" spans="1:56" ht="15" customHeight="1">
      <c r="A41" s="747" t="s">
        <v>5463</v>
      </c>
      <c r="B41" s="1447">
        <v>46146</v>
      </c>
      <c r="C41" s="1447">
        <v>46141</v>
      </c>
      <c r="D41" t="s">
        <v>93</v>
      </c>
      <c r="E41" s="762">
        <f>_xlfn.XLOOKUP(D41,RUC!$B$3:$B$123,RUC!$D$3:$D$123)</f>
        <v>20169040231</v>
      </c>
      <c r="G41" s="762">
        <v>15</v>
      </c>
      <c r="H41" s="1082" t="s">
        <v>108</v>
      </c>
      <c r="I41" s="703">
        <v>1.56</v>
      </c>
      <c r="J41" s="596">
        <v>20.58</v>
      </c>
      <c r="K41" s="703">
        <f t="shared" ref="K41:K72" si="26">ROUND(+I41-(I41*(J41/100)),3)</f>
        <v>1.2390000000000001</v>
      </c>
      <c r="L41" s="1745">
        <v>9.65</v>
      </c>
      <c r="M41" s="994">
        <f>ROUND(+IF(L41&gt;_xlfn.XLOOKUP(AN41,RUC!M:M,RUC!K:K),L41*_xlfn.XLOOKUP(AN41,RUC!M:M,RUC!I:I),L41-_xlfn.XLOOKUP(AN41,RUC!M:M,RUC!J:J)),3)-0.13</f>
        <v>8.9409999999999989</v>
      </c>
      <c r="N41" s="1444">
        <v>9.5540000000000003</v>
      </c>
      <c r="O41" s="645">
        <f t="shared" ref="O41:O66" si="27">+ROUND((M41+N41)/2,3)</f>
        <v>9.2479999999999993</v>
      </c>
      <c r="P41" s="727">
        <v>90</v>
      </c>
      <c r="Q41" s="1476">
        <v>96.64</v>
      </c>
      <c r="R41" s="706">
        <v>4522.1000000000004</v>
      </c>
      <c r="S41" s="765">
        <f>IF((_xlfn.XLOOKUP(D41,RUC!$B$3:$B$119,RUC!$E$3:$E$119)+ROUNDDOWN(O41,1)*100)&lt;95,95,((_xlfn.XLOOKUP(D41,RUC!$B$3:$B$119,RUC!$E$3:$E$119)+ROUNDDOWN(O41,1)*100)))</f>
        <v>1004.9999999999999</v>
      </c>
      <c r="U41" s="1146">
        <f>_xlfn.XLOOKUP(D41,RUC!$B$3:$B$123,RUC!$F$3:$F$123)</f>
        <v>120</v>
      </c>
      <c r="V41" s="715">
        <v>1.1023000000000001</v>
      </c>
      <c r="Y41" s="891">
        <v>50</v>
      </c>
      <c r="Z41" s="1855">
        <v>40</v>
      </c>
      <c r="AA41" s="144">
        <f t="shared" ref="AA41:AA72" si="28">+Y41+Z41</f>
        <v>90</v>
      </c>
      <c r="AB41" s="145">
        <f t="shared" si="24"/>
        <v>39180.767077056</v>
      </c>
      <c r="AC41" s="145">
        <f>+(S41-T41)*V41-'data 1'!$F$4</f>
        <v>1027.8115</v>
      </c>
      <c r="AD41" s="145">
        <f t="shared" ref="AD41:AD72" si="29">+(Q41-P41)*(R41-U41)*L41*V41/100</f>
        <v>3109.2461416708011</v>
      </c>
      <c r="AE41" s="145">
        <f t="shared" ref="AE41:AE72" si="30">+(Y41*V41-70)+V41*(Z41-IF(D41="UNTUCA",IF(+((W41-3)*2.5+(X41-3)*3.1)&gt;0,+((W41-3)*1.5+(X41-3)*3.1),0),IF(+((W41-3)*1.5+(X41-3)*3.1)&gt;0,+((W41-3)*1.5+(X41-3)*3.1),0)))</f>
        <v>29.207000000000001</v>
      </c>
      <c r="AF41" s="145">
        <f t="shared" ref="AF41:AF72" si="31">(L41-O41)*(R41-U41)*Q41*V41/100</f>
        <v>1885.1359939242291</v>
      </c>
      <c r="AG41" s="772">
        <f t="shared" si="25"/>
        <v>6068.4006355950305</v>
      </c>
      <c r="AH41" s="1253">
        <f t="shared" ref="AH41:AH72" si="32">ROUND((31.1035*L41*Q41*1.1023*K41/100),3)</f>
        <v>396.15499999999997</v>
      </c>
      <c r="AI41" s="1253">
        <f t="shared" ref="AI41:AI72" si="33">ROUND((31.1035*L41*1.1023*K41),3)</f>
        <v>409.928</v>
      </c>
      <c r="AJ41" s="156">
        <f t="shared" ref="AJ41:AJ72" si="34">+((+$AJ$2-R41+U41)*L41*Q41*V41)/100</f>
        <v>5118.3050749791964</v>
      </c>
      <c r="AK41" s="156">
        <f t="shared" ref="AK41:AK72" si="35">31.1035*1.1023*K41*P41*O41/100</f>
        <v>353.56617171220466</v>
      </c>
      <c r="AM41" s="716">
        <f t="shared" ref="AM41:AM72" si="36">+IF(AB41*K41&gt;0,AB41*K41,0)</f>
        <v>48544.970408472385</v>
      </c>
      <c r="AN41" s="716" t="str">
        <f>_xlfn.XLOOKUP(D41,RUC!$B$3:$B$578,RUC!$M$3:$M$578)</f>
        <v>Ronald Miranda</v>
      </c>
      <c r="AO41" s="1167" t="s">
        <v>2277</v>
      </c>
      <c r="AP41" s="1843">
        <v>6519</v>
      </c>
      <c r="AQ41" s="1082" t="s">
        <v>5466</v>
      </c>
    </row>
    <row r="42" spans="1:56" ht="15" customHeight="1">
      <c r="A42" s="747" t="s">
        <v>5464</v>
      </c>
      <c r="B42" s="1447">
        <v>46146</v>
      </c>
      <c r="C42" s="1447">
        <v>46141</v>
      </c>
      <c r="D42" s="1852" t="s">
        <v>5442</v>
      </c>
      <c r="E42" s="762">
        <f>_xlfn.XLOOKUP(D42,RUC!$B$3:$B$123,RUC!$D$3:$D$123)</f>
        <v>20606562480</v>
      </c>
      <c r="G42" s="762">
        <v>7</v>
      </c>
      <c r="H42" s="1082" t="s">
        <v>108</v>
      </c>
      <c r="I42" s="703">
        <v>0.59</v>
      </c>
      <c r="J42" s="596">
        <v>13.33</v>
      </c>
      <c r="K42" s="703">
        <f t="shared" si="26"/>
        <v>0.51100000000000001</v>
      </c>
      <c r="L42" s="1745">
        <v>11.023</v>
      </c>
      <c r="M42" s="994">
        <f>ROUND(+IF(L42&gt;_xlfn.XLOOKUP(AN42,RUC!M:M,RUC!K:K),L42*_xlfn.XLOOKUP(AN42,RUC!M:M,RUC!I:I),L42-_xlfn.XLOOKUP(AN42,RUC!M:M,RUC!J:J)),3)</f>
        <v>10.362</v>
      </c>
      <c r="N42" s="1444">
        <v>11.593999999999999</v>
      </c>
      <c r="O42" s="645">
        <f t="shared" si="27"/>
        <v>10.978</v>
      </c>
      <c r="P42" s="727">
        <v>90</v>
      </c>
      <c r="Q42" s="1476">
        <v>94.759999999999991</v>
      </c>
      <c r="R42" s="706">
        <v>4522.1000000000004</v>
      </c>
      <c r="S42" s="765">
        <f>IF((_xlfn.XLOOKUP(D42,RUC!$B$3:$B$119,RUC!$E$3:$E$119)+ROUNDDOWN(O42,1)*100)&lt;95,95,((_xlfn.XLOOKUP(D42,RUC!$B$3:$B$119,RUC!$E$3:$E$119)+ROUNDDOWN(O42,1)*100)))</f>
        <v>1175</v>
      </c>
      <c r="U42" s="1146">
        <f>_xlfn.XLOOKUP(D42,RUC!$B$3:$B$123,RUC!$F$3:$F$123)</f>
        <v>120</v>
      </c>
      <c r="V42" s="715">
        <v>1.1023000000000001</v>
      </c>
      <c r="Y42" s="891">
        <v>50</v>
      </c>
      <c r="Z42" s="1454">
        <v>45</v>
      </c>
      <c r="AA42" s="144">
        <f t="shared" si="28"/>
        <v>95</v>
      </c>
      <c r="AB42" s="145">
        <f t="shared" si="24"/>
        <v>46543.105607366</v>
      </c>
      <c r="AC42" s="145">
        <f>+(S42-T42)*V42-'data 1'!$F$4</f>
        <v>1215.2025000000001</v>
      </c>
      <c r="AD42" s="145">
        <f t="shared" si="29"/>
        <v>2546.0473226398794</v>
      </c>
      <c r="AE42" s="145">
        <f t="shared" si="30"/>
        <v>34.718500000000006</v>
      </c>
      <c r="AF42" s="145">
        <f t="shared" si="31"/>
        <v>206.91752602085967</v>
      </c>
      <c r="AG42" s="772">
        <f t="shared" si="25"/>
        <v>4019.8858486607387</v>
      </c>
      <c r="AH42" s="1253">
        <f t="shared" si="32"/>
        <v>183.00200000000001</v>
      </c>
      <c r="AI42" s="1253">
        <f t="shared" si="33"/>
        <v>193.12100000000001</v>
      </c>
      <c r="AJ42" s="156">
        <f t="shared" si="34"/>
        <v>5732.8000307751108</v>
      </c>
      <c r="AK42" s="156">
        <f t="shared" si="35"/>
        <v>173.09945690693272</v>
      </c>
      <c r="AM42" s="716">
        <f t="shared" si="36"/>
        <v>23783.526965364028</v>
      </c>
      <c r="AN42" s="716" t="str">
        <f>_xlfn.XLOOKUP(D42,RUC!$B$3:$B$578,RUC!$M$3:$M$578)</f>
        <v>Ronald Miranda</v>
      </c>
      <c r="AO42" s="1167" t="s">
        <v>2278</v>
      </c>
      <c r="AP42" s="1843">
        <v>233</v>
      </c>
      <c r="AQ42" s="1082" t="s">
        <v>5467</v>
      </c>
    </row>
    <row r="43" spans="1:56" ht="15" customHeight="1">
      <c r="A43" s="747" t="s">
        <v>5465</v>
      </c>
      <c r="B43" s="1447">
        <v>46147</v>
      </c>
      <c r="C43" s="1447">
        <v>46141</v>
      </c>
      <c r="D43" t="s">
        <v>4171</v>
      </c>
      <c r="E43" s="762">
        <f>_xlfn.XLOOKUP(D43,RUC!$B$3:$B$123,RUC!$D$3:$D$123)</f>
        <v>20614284740</v>
      </c>
      <c r="G43" s="762">
        <v>103</v>
      </c>
      <c r="H43" s="1082" t="s">
        <v>69</v>
      </c>
      <c r="I43" s="703">
        <v>8.01</v>
      </c>
      <c r="J43" s="596">
        <v>2</v>
      </c>
      <c r="K43" s="703">
        <f t="shared" si="26"/>
        <v>7.85</v>
      </c>
      <c r="L43" s="1745">
        <v>0.41099999999999998</v>
      </c>
      <c r="M43" s="994">
        <f>ROUND(+IF(L43&gt;_xlfn.XLOOKUP(AN43,RUC!M:M,RUC!K:K),L43*_xlfn.XLOOKUP(AN43,RUC!M:M,RUC!I:I),L43-_xlfn.XLOOKUP(AN43,RUC!M:M,RUC!J:J)),3)</f>
        <v>0.38600000000000001</v>
      </c>
      <c r="N43" s="1196">
        <f t="shared" ref="N43:N57" si="37">+M43</f>
        <v>0.38600000000000001</v>
      </c>
      <c r="O43" s="645">
        <f t="shared" si="27"/>
        <v>0.38600000000000001</v>
      </c>
      <c r="P43" s="727">
        <v>90</v>
      </c>
      <c r="Q43" s="1476">
        <v>97.57</v>
      </c>
      <c r="R43" s="706">
        <v>4522.1000000000004</v>
      </c>
      <c r="S43" s="765">
        <f>IF((_xlfn.XLOOKUP(D43,RUC!$B$3:$B$119,RUC!$E$3:$E$119)+ROUNDDOWN(O43,1)*100)&lt;95,95,((_xlfn.XLOOKUP(D43,RUC!$B$3:$B$119,RUC!$E$3:$E$119)+ROUNDDOWN(O43,1)*100)))</f>
        <v>120</v>
      </c>
      <c r="U43" s="1146">
        <f>_xlfn.XLOOKUP(D43,RUC!$B$3:$B$123,RUC!$F$3:$F$123)</f>
        <v>120</v>
      </c>
      <c r="V43" s="715">
        <v>1.1023000000000001</v>
      </c>
      <c r="Y43">
        <f>_xlfn.XLOOKUP(D43,RUC!$B$3:$B$123,RUC!$G$3:$G$123)</f>
        <v>20</v>
      </c>
      <c r="Z43" s="143">
        <f>_xlfn.XLOOKUP(D43,RUC!$B$3:$B$123,RUC!$H$3:$H$123)</f>
        <v>30</v>
      </c>
      <c r="AA43" s="144">
        <f t="shared" si="28"/>
        <v>50</v>
      </c>
      <c r="AB43" s="145">
        <f t="shared" si="24"/>
        <v>1498.3448599420003</v>
      </c>
      <c r="AC43" s="145">
        <f>+(S43-T43)*V43-'data 1'!$F$4</f>
        <v>52.27600000000001</v>
      </c>
      <c r="AD43" s="145">
        <f t="shared" si="29"/>
        <v>150.97234913534089</v>
      </c>
      <c r="AE43" s="145">
        <f t="shared" si="30"/>
        <v>-14.884999999999998</v>
      </c>
      <c r="AF43" s="145">
        <f t="shared" si="31"/>
        <v>118.36301659077485</v>
      </c>
      <c r="AG43" s="772">
        <f t="shared" si="25"/>
        <v>323.72636572611577</v>
      </c>
      <c r="AH43" s="1253">
        <f t="shared" si="32"/>
        <v>107.929</v>
      </c>
      <c r="AI43" s="1253">
        <f t="shared" si="33"/>
        <v>110.617</v>
      </c>
      <c r="AJ43" s="156">
        <f t="shared" si="34"/>
        <v>220.0898733766588</v>
      </c>
      <c r="AK43" s="156">
        <f t="shared" si="35"/>
        <v>93.499338897274498</v>
      </c>
      <c r="AM43" s="716">
        <f t="shared" si="36"/>
        <v>11762.007150544701</v>
      </c>
      <c r="AN43" s="716" t="str">
        <f>_xlfn.XLOOKUP(D43,RUC!$B$3:$B$578,RUC!$M$3:$M$578)</f>
        <v xml:space="preserve">Dante </v>
      </c>
      <c r="AO43" s="1167" t="s">
        <v>2278</v>
      </c>
      <c r="AP43" s="1843">
        <v>324</v>
      </c>
      <c r="AQ43" s="1082" t="s">
        <v>5468</v>
      </c>
    </row>
    <row r="44" spans="1:56" ht="15" customHeight="1">
      <c r="A44" s="1491" t="s">
        <v>5474</v>
      </c>
      <c r="C44" s="1447">
        <v>46142</v>
      </c>
      <c r="D44" s="1831" t="s">
        <v>2004</v>
      </c>
      <c r="E44" s="762">
        <f>_xlfn.XLOOKUP(D44,RUC!$B$3:$B$123,RUC!$D$3:$D$123)</f>
        <v>20612921866</v>
      </c>
      <c r="G44" s="1082">
        <v>95</v>
      </c>
      <c r="H44" s="1082" t="s">
        <v>2005</v>
      </c>
      <c r="I44" s="703">
        <v>9.6199999999999992</v>
      </c>
      <c r="J44" s="596">
        <v>2.15</v>
      </c>
      <c r="K44" s="703">
        <f t="shared" si="26"/>
        <v>9.4130000000000003</v>
      </c>
      <c r="L44" s="1745">
        <v>7.3999999999999996E-2</v>
      </c>
      <c r="M44" s="994">
        <f>ROUND(+IF(L44&gt;_xlfn.XLOOKUP(AN44,RUC!M:M,RUC!K:K),L44*_xlfn.XLOOKUP(AN44,RUC!M:M,RUC!I:I),L44-_xlfn.XLOOKUP(AN44,RUC!M:M,RUC!J:J)),3)</f>
        <v>5.5E-2</v>
      </c>
      <c r="N44" s="1196">
        <f t="shared" si="37"/>
        <v>5.5E-2</v>
      </c>
      <c r="O44" s="645">
        <f t="shared" si="27"/>
        <v>5.5E-2</v>
      </c>
      <c r="P44" s="727">
        <v>90</v>
      </c>
      <c r="Q44" s="665">
        <v>95.95</v>
      </c>
      <c r="R44" s="706">
        <v>4522.1000000000004</v>
      </c>
      <c r="S44" s="765">
        <f>IF((_xlfn.XLOOKUP(D44,RUC!$B$3:$B$119,RUC!$E$3:$E$119)+ROUNDDOWN(O44,1)*100)&lt;95,95,((_xlfn.XLOOKUP(D44,RUC!$B$3:$B$119,RUC!$E$3:$E$119)+ROUNDDOWN(O44,1)*100)))</f>
        <v>95</v>
      </c>
      <c r="U44" s="1146">
        <f>_xlfn.XLOOKUP(D44,RUC!$B$3:$B$123,RUC!$F$3:$F$123)</f>
        <v>100</v>
      </c>
      <c r="V44" s="715">
        <v>1.1023000000000001</v>
      </c>
      <c r="Y44">
        <f>_xlfn.XLOOKUP(D44,RUC!$B$3:$B$123,RUC!$G$3:$G$123)</f>
        <v>0</v>
      </c>
      <c r="Z44" s="143">
        <f>_xlfn.XLOOKUP(D44,RUC!$B$3:$B$123,RUC!$H$3:$H$123)</f>
        <v>30</v>
      </c>
      <c r="AA44" s="144">
        <f t="shared" si="28"/>
        <v>30</v>
      </c>
      <c r="AB44" s="145">
        <f t="shared" si="24"/>
        <v>103.49930108500006</v>
      </c>
      <c r="AC44" s="145">
        <f>+(S44-T44)*V44-'data 1'!$F$4</f>
        <v>24.718500000000006</v>
      </c>
      <c r="AD44" s="145">
        <f t="shared" si="29"/>
        <v>21.462339094490012</v>
      </c>
      <c r="AE44" s="145">
        <f t="shared" si="30"/>
        <v>-36.930999999999997</v>
      </c>
      <c r="AF44" s="145">
        <f t="shared" si="31"/>
        <v>88.864222771314999</v>
      </c>
      <c r="AG44" s="772">
        <f>AC44+AD44+AE44+AF44+70-10</f>
        <v>158.11406186580501</v>
      </c>
      <c r="AH44" s="1253">
        <f t="shared" si="32"/>
        <v>22.914999999999999</v>
      </c>
      <c r="AI44" s="1253">
        <f t="shared" si="33"/>
        <v>23.882000000000001</v>
      </c>
      <c r="AJ44" s="156">
        <f t="shared" si="34"/>
        <v>37.403611437509973</v>
      </c>
      <c r="AK44" s="156">
        <f t="shared" si="35"/>
        <v>15.975053706875176</v>
      </c>
      <c r="AM44" s="716">
        <f t="shared" si="36"/>
        <v>974.23892111310556</v>
      </c>
      <c r="AN44" s="716" t="str">
        <f>_xlfn.XLOOKUP(D44,RUC!$B$3:$B$578,RUC!$M$3:$M$578)</f>
        <v>Ronald Garibay</v>
      </c>
      <c r="AO44" s="1167" t="s">
        <v>2280</v>
      </c>
      <c r="AP44" s="1843"/>
    </row>
    <row r="45" spans="1:56" ht="15" customHeight="1">
      <c r="A45" s="747" t="s">
        <v>5475</v>
      </c>
      <c r="B45" s="1447">
        <v>46148</v>
      </c>
      <c r="C45" s="1447">
        <v>46142</v>
      </c>
      <c r="D45" s="1831" t="s">
        <v>2004</v>
      </c>
      <c r="E45" s="762">
        <f>_xlfn.XLOOKUP(D45,RUC!$B$3:$B$123,RUC!$D$3:$D$123)</f>
        <v>20612921866</v>
      </c>
      <c r="G45" s="1082">
        <v>82</v>
      </c>
      <c r="H45" s="1082" t="s">
        <v>108</v>
      </c>
      <c r="I45" s="703">
        <v>6.76</v>
      </c>
      <c r="J45" s="596">
        <v>2</v>
      </c>
      <c r="K45" s="703">
        <f t="shared" si="26"/>
        <v>6.625</v>
      </c>
      <c r="L45" s="1745">
        <v>0.187</v>
      </c>
      <c r="M45" s="994">
        <f>ROUND(+IF(L45&gt;_xlfn.XLOOKUP(AN45,RUC!M:M,RUC!K:K),L45*_xlfn.XLOOKUP(AN45,RUC!M:M,RUC!I:I),L45-_xlfn.XLOOKUP(AN45,RUC!M:M,RUC!J:J)),3)</f>
        <v>0.16800000000000001</v>
      </c>
      <c r="N45" s="1196">
        <f t="shared" si="37"/>
        <v>0.16800000000000001</v>
      </c>
      <c r="O45" s="645">
        <f t="shared" si="27"/>
        <v>0.16800000000000001</v>
      </c>
      <c r="P45" s="727">
        <v>90</v>
      </c>
      <c r="Q45" s="1476">
        <v>97.65</v>
      </c>
      <c r="R45" s="706">
        <v>4522.1000000000004</v>
      </c>
      <c r="S45" s="765">
        <f>IF((_xlfn.XLOOKUP(D45,RUC!$B$3:$B$119,RUC!$E$3:$E$119)+ROUNDDOWN(O45,1)*100)&lt;95,95,((_xlfn.XLOOKUP(D45,RUC!$B$3:$B$119,RUC!$E$3:$E$119)+ROUNDDOWN(O45,1)*100)))</f>
        <v>95</v>
      </c>
      <c r="U45" s="1146">
        <f>_xlfn.XLOOKUP(D45,RUC!$B$3:$B$123,RUC!$F$3:$F$123)</f>
        <v>100</v>
      </c>
      <c r="V45" s="715">
        <v>1.1023000000000001</v>
      </c>
      <c r="Y45">
        <f>_xlfn.XLOOKUP(D45,RUC!$B$3:$B$123,RUC!$G$3:$G$123)</f>
        <v>0</v>
      </c>
      <c r="Z45" s="143">
        <f>_xlfn.XLOOKUP(D45,RUC!$B$3:$B$123,RUC!$H$3:$H$123)</f>
        <v>30</v>
      </c>
      <c r="AA45" s="144">
        <f t="shared" si="28"/>
        <v>30</v>
      </c>
      <c r="AB45" s="145">
        <f t="shared" si="24"/>
        <v>599.23400149600025</v>
      </c>
      <c r="AC45" s="145">
        <f>+(S45-T45)*V45-'data 1'!$F$4</f>
        <v>24.718500000000006</v>
      </c>
      <c r="AD45" s="145">
        <f t="shared" si="29"/>
        <v>69.731885513565061</v>
      </c>
      <c r="AE45" s="145">
        <f t="shared" si="30"/>
        <v>-36.930999999999997</v>
      </c>
      <c r="AF45" s="145">
        <f t="shared" si="31"/>
        <v>90.438680079404961</v>
      </c>
      <c r="AG45" s="772">
        <f>AC45+AD45+AE45+AF45+70-10</f>
        <v>207.95806559297003</v>
      </c>
      <c r="AH45" s="1253">
        <f t="shared" si="32"/>
        <v>41.476999999999997</v>
      </c>
      <c r="AI45" s="1253">
        <f t="shared" si="33"/>
        <v>42.475000000000001</v>
      </c>
      <c r="AJ45" s="156">
        <f t="shared" si="34"/>
        <v>96.194599782434921</v>
      </c>
      <c r="AK45" s="156">
        <f t="shared" si="35"/>
        <v>34.343673209685008</v>
      </c>
      <c r="AM45" s="716">
        <f t="shared" si="36"/>
        <v>3969.9252599110018</v>
      </c>
      <c r="AN45" s="716" t="str">
        <f>_xlfn.XLOOKUP(D45,RUC!$B$3:$B$578,RUC!$M$3:$M$578)</f>
        <v>Ronald Garibay</v>
      </c>
      <c r="AO45" s="1167" t="s">
        <v>2277</v>
      </c>
      <c r="AP45" s="1843">
        <v>436</v>
      </c>
      <c r="AQ45" s="1082" t="s">
        <v>5526</v>
      </c>
    </row>
    <row r="46" spans="1:56" ht="15" customHeight="1">
      <c r="A46" s="747" t="s">
        <v>5476</v>
      </c>
      <c r="B46" s="1447">
        <v>46148</v>
      </c>
      <c r="C46" s="1447">
        <v>46142</v>
      </c>
      <c r="D46" s="1831" t="s">
        <v>2004</v>
      </c>
      <c r="E46" s="762">
        <f>_xlfn.XLOOKUP(D46,RUC!$B$3:$B$123,RUC!$D$3:$D$123)</f>
        <v>20612921866</v>
      </c>
      <c r="G46" s="1082">
        <v>82</v>
      </c>
      <c r="H46" s="1082" t="s">
        <v>108</v>
      </c>
      <c r="I46" s="703">
        <v>6.81</v>
      </c>
      <c r="J46" s="596">
        <v>2.15</v>
      </c>
      <c r="K46" s="703">
        <f t="shared" si="26"/>
        <v>6.6639999999999997</v>
      </c>
      <c r="L46" s="1745">
        <v>0.19400000000000001</v>
      </c>
      <c r="M46" s="994">
        <f>ROUND(+IF(L46&gt;_xlfn.XLOOKUP(AN46,RUC!M:M,RUC!K:K),L46*_xlfn.XLOOKUP(AN46,RUC!M:M,RUC!I:I),L46-_xlfn.XLOOKUP(AN46,RUC!M:M,RUC!J:J)),3)</f>
        <v>0.17499999999999999</v>
      </c>
      <c r="N46" s="1196">
        <f t="shared" si="37"/>
        <v>0.17499999999999999</v>
      </c>
      <c r="O46" s="645">
        <f t="shared" si="27"/>
        <v>0.17499999999999999</v>
      </c>
      <c r="P46" s="727">
        <v>90</v>
      </c>
      <c r="Q46" s="1476">
        <v>96.91</v>
      </c>
      <c r="R46" s="706">
        <v>4522.1000000000004</v>
      </c>
      <c r="S46" s="765">
        <f>IF((_xlfn.XLOOKUP(D46,RUC!$B$3:$B$119,RUC!$E$3:$E$119)+ROUNDDOWN(O46,1)*100)&lt;95,95,((_xlfn.XLOOKUP(D46,RUC!$B$3:$B$119,RUC!$E$3:$E$119)+ROUNDDOWN(O46,1)*100)))</f>
        <v>95</v>
      </c>
      <c r="U46" s="1146">
        <f>_xlfn.XLOOKUP(D46,RUC!$B$3:$B$123,RUC!$F$3:$F$123)</f>
        <v>100</v>
      </c>
      <c r="V46" s="715">
        <v>1.1023000000000001</v>
      </c>
      <c r="Y46">
        <f>_xlfn.XLOOKUP(D46,RUC!$B$3:$B$123,RUC!$G$3:$G$123)</f>
        <v>0</v>
      </c>
      <c r="Z46" s="143">
        <f>_xlfn.XLOOKUP(D46,RUC!$B$3:$B$123,RUC!$H$3:$H$123)</f>
        <v>30</v>
      </c>
      <c r="AA46" s="144">
        <f t="shared" si="28"/>
        <v>30</v>
      </c>
      <c r="AB46" s="145">
        <f t="shared" si="24"/>
        <v>629.94323072499992</v>
      </c>
      <c r="AC46" s="145">
        <f>+(S46-T46)*V46-'data 1'!$F$4</f>
        <v>24.718500000000006</v>
      </c>
      <c r="AD46" s="145">
        <f t="shared" si="29"/>
        <v>65.344365318481977</v>
      </c>
      <c r="AE46" s="145">
        <f t="shared" si="30"/>
        <v>-36.930999999999997</v>
      </c>
      <c r="AF46" s="145">
        <f t="shared" si="31"/>
        <v>89.753328074707085</v>
      </c>
      <c r="AG46" s="772">
        <f>AC46+AD46+AE46+AF46+70-10</f>
        <v>202.88519339318907</v>
      </c>
      <c r="AH46" s="1253">
        <f t="shared" si="32"/>
        <v>42.954999999999998</v>
      </c>
      <c r="AI46" s="1253">
        <f t="shared" si="33"/>
        <v>44.325000000000003</v>
      </c>
      <c r="AJ46" s="156">
        <f t="shared" si="34"/>
        <v>99.039208621517943</v>
      </c>
      <c r="AK46" s="156">
        <f t="shared" si="35"/>
        <v>35.985257589518994</v>
      </c>
      <c r="AM46" s="716">
        <f t="shared" si="36"/>
        <v>4197.9416895513996</v>
      </c>
      <c r="AN46" s="716" t="str">
        <f>_xlfn.XLOOKUP(D46,RUC!$B$3:$B$578,RUC!$M$3:$M$578)</f>
        <v>Ronald Garibay</v>
      </c>
      <c r="AO46" s="1167" t="s">
        <v>2277</v>
      </c>
      <c r="AP46" s="1843">
        <v>437</v>
      </c>
      <c r="AQ46" s="1082" t="s">
        <v>5527</v>
      </c>
    </row>
    <row r="47" spans="1:56" ht="15" customHeight="1">
      <c r="A47" s="747" t="s">
        <v>5477</v>
      </c>
      <c r="B47" s="1447">
        <v>46148</v>
      </c>
      <c r="C47" s="1447">
        <v>46142</v>
      </c>
      <c r="D47" s="1831" t="s">
        <v>2004</v>
      </c>
      <c r="E47" s="762">
        <f>_xlfn.XLOOKUP(D47,RUC!$B$3:$B$123,RUC!$D$3:$D$123)</f>
        <v>20612921866</v>
      </c>
      <c r="G47" s="1082">
        <v>82</v>
      </c>
      <c r="H47" s="1082" t="s">
        <v>108</v>
      </c>
      <c r="I47" s="703">
        <v>6.71</v>
      </c>
      <c r="J47" s="596">
        <v>2.15</v>
      </c>
      <c r="K47" s="703">
        <f t="shared" si="26"/>
        <v>6.5659999999999998</v>
      </c>
      <c r="L47" s="1745">
        <v>0.19600000000000001</v>
      </c>
      <c r="M47" s="994">
        <f>ROUND(+IF(L47&gt;_xlfn.XLOOKUP(AN47,RUC!M:M,RUC!K:K),L47*_xlfn.XLOOKUP(AN47,RUC!M:M,RUC!I:I),L47-_xlfn.XLOOKUP(AN47,RUC!M:M,RUC!J:J)),3)</f>
        <v>0.17699999999999999</v>
      </c>
      <c r="N47" s="1196">
        <f t="shared" si="37"/>
        <v>0.17699999999999999</v>
      </c>
      <c r="O47" s="645">
        <f t="shared" si="27"/>
        <v>0.17699999999999999</v>
      </c>
      <c r="P47" s="727">
        <v>90</v>
      </c>
      <c r="Q47" s="1476">
        <v>97.96</v>
      </c>
      <c r="R47" s="706">
        <v>4522.1000000000004</v>
      </c>
      <c r="S47" s="765">
        <f>IF((_xlfn.XLOOKUP(D47,RUC!$B$3:$B$119,RUC!$E$3:$E$119)+ROUNDDOWN(O47,1)*100)&lt;95,95,((_xlfn.XLOOKUP(D47,RUC!$B$3:$B$119,RUC!$E$3:$E$119)+ROUNDDOWN(O47,1)*100)))</f>
        <v>95</v>
      </c>
      <c r="U47" s="1146">
        <f>_xlfn.XLOOKUP(D47,RUC!$B$3:$B$123,RUC!$F$3:$F$123)</f>
        <v>100</v>
      </c>
      <c r="V47" s="715">
        <v>1.1023000000000001</v>
      </c>
      <c r="Y47">
        <f>_xlfn.XLOOKUP(D47,RUC!$B$3:$B$123,RUC!$G$3:$G$123)</f>
        <v>0</v>
      </c>
      <c r="Z47" s="143">
        <f>_xlfn.XLOOKUP(D47,RUC!$B$3:$B$123,RUC!$H$3:$H$123)</f>
        <v>30</v>
      </c>
      <c r="AA47" s="144">
        <f t="shared" si="28"/>
        <v>30</v>
      </c>
      <c r="AB47" s="145">
        <f t="shared" si="24"/>
        <v>638.71729621899999</v>
      </c>
      <c r="AC47" s="145">
        <f>+(S47-T47)*V47-'data 1'!$F$4</f>
        <v>24.718500000000006</v>
      </c>
      <c r="AD47" s="145">
        <f t="shared" si="29"/>
        <v>76.049700117327959</v>
      </c>
      <c r="AE47" s="145">
        <f t="shared" si="30"/>
        <v>-36.930999999999997</v>
      </c>
      <c r="AF47" s="145">
        <f t="shared" si="31"/>
        <v>90.725787000292087</v>
      </c>
      <c r="AG47" s="772">
        <f>AC47+AD47+AE47+AF47+70-10</f>
        <v>214.56298711762005</v>
      </c>
      <c r="AH47" s="1253">
        <f t="shared" si="32"/>
        <v>43.222999999999999</v>
      </c>
      <c r="AI47" s="1253">
        <f t="shared" si="33"/>
        <v>44.122999999999998</v>
      </c>
      <c r="AJ47" s="156">
        <f t="shared" si="34"/>
        <v>101.14436350267194</v>
      </c>
      <c r="AK47" s="156">
        <f t="shared" si="35"/>
        <v>35.861274769252589</v>
      </c>
      <c r="AM47" s="716">
        <f t="shared" si="36"/>
        <v>4193.8177669739534</v>
      </c>
      <c r="AN47" s="716" t="str">
        <f>_xlfn.XLOOKUP(D47,RUC!$B$3:$B$578,RUC!$M$3:$M$578)</f>
        <v>Ronald Garibay</v>
      </c>
      <c r="AO47" s="1167" t="s">
        <v>2277</v>
      </c>
      <c r="AP47" s="1843">
        <v>438</v>
      </c>
      <c r="AQ47" s="1082" t="s">
        <v>5528</v>
      </c>
    </row>
    <row r="48" spans="1:56" ht="15" customHeight="1">
      <c r="A48" s="747" t="s">
        <v>5478</v>
      </c>
      <c r="B48" s="1447">
        <v>46150</v>
      </c>
      <c r="C48" s="1447">
        <v>46142</v>
      </c>
      <c r="D48" t="s">
        <v>4171</v>
      </c>
      <c r="E48" s="762">
        <f>_xlfn.XLOOKUP(D48,RUC!$B$3:$B$123,RUC!$D$3:$D$123)</f>
        <v>20614284740</v>
      </c>
      <c r="G48" s="1082">
        <v>36</v>
      </c>
      <c r="H48" s="1082" t="s">
        <v>2005</v>
      </c>
      <c r="I48" s="703">
        <v>4.12</v>
      </c>
      <c r="J48" s="596">
        <v>3.5</v>
      </c>
      <c r="K48" s="703">
        <f t="shared" si="26"/>
        <v>3.976</v>
      </c>
      <c r="L48" s="1745">
        <v>0.156</v>
      </c>
      <c r="M48" s="994">
        <f>ROUND(+IF(L48&gt;_xlfn.XLOOKUP(AN48,RUC!M:M,RUC!K:K),L48*_xlfn.XLOOKUP(AN48,RUC!M:M,RUC!I:I),L48-_xlfn.XLOOKUP(AN48,RUC!M:M,RUC!J:J)),3)</f>
        <v>0.13700000000000001</v>
      </c>
      <c r="N48" s="1196">
        <f t="shared" si="37"/>
        <v>0.13700000000000001</v>
      </c>
      <c r="O48" s="645">
        <f t="shared" si="27"/>
        <v>0.13700000000000001</v>
      </c>
      <c r="P48" s="727">
        <v>85</v>
      </c>
      <c r="Q48" s="1476">
        <v>96.15</v>
      </c>
      <c r="R48" s="706">
        <v>4522.1000000000004</v>
      </c>
      <c r="S48" s="765">
        <f>IF((_xlfn.XLOOKUP(D48,RUC!$B$3:$B$119,RUC!$E$3:$E$119)+ROUNDDOWN(O48,1)*100)&lt;95,95,((_xlfn.XLOOKUP(D48,RUC!$B$3:$B$119,RUC!$E$3:$E$119)+ROUNDDOWN(O48,1)*100)))</f>
        <v>100</v>
      </c>
      <c r="U48" s="1146">
        <f>_xlfn.XLOOKUP(D48,RUC!$B$3:$B$123,RUC!$F$3:$F$123)</f>
        <v>120</v>
      </c>
      <c r="V48" s="715">
        <v>1.1023000000000001</v>
      </c>
      <c r="Y48">
        <f>_xlfn.XLOOKUP(D48,RUC!$B$3:$B$123,RUC!$G$3:$G$123)</f>
        <v>20</v>
      </c>
      <c r="Z48" s="143">
        <f>_xlfn.XLOOKUP(D48,RUC!$B$3:$B$123,RUC!$H$3:$H$123)</f>
        <v>30</v>
      </c>
      <c r="AA48" s="144">
        <f t="shared" si="28"/>
        <v>50</v>
      </c>
      <c r="AB48" s="145">
        <f t="shared" si="24"/>
        <v>399.72103595350018</v>
      </c>
      <c r="AC48" s="145">
        <f>+(S48-T48)*V48-'data 1'!$F$4</f>
        <v>30.230000000000004</v>
      </c>
      <c r="AD48" s="145">
        <f t="shared" si="29"/>
        <v>84.403251433020046</v>
      </c>
      <c r="AE48" s="145">
        <f t="shared" si="30"/>
        <v>-14.884999999999998</v>
      </c>
      <c r="AF48" s="145">
        <f t="shared" si="31"/>
        <v>88.646705691854962</v>
      </c>
      <c r="AG48" s="772">
        <f>AC48+AD48+AE48+AF48+70-53</f>
        <v>205.39495712487502</v>
      </c>
      <c r="AH48" s="1253">
        <f t="shared" si="32"/>
        <v>20.446999999999999</v>
      </c>
      <c r="AI48" s="1253">
        <f t="shared" si="33"/>
        <v>21.265999999999998</v>
      </c>
      <c r="AJ48" s="156">
        <f t="shared" si="34"/>
        <v>82.321982488979941</v>
      </c>
      <c r="AK48" s="156">
        <f t="shared" si="35"/>
        <v>15.874312951167861</v>
      </c>
      <c r="AM48" s="716">
        <f t="shared" si="36"/>
        <v>1589.2908389511167</v>
      </c>
      <c r="AN48" s="716" t="str">
        <f>_xlfn.XLOOKUP(D48,RUC!$B$3:$B$578,RUC!$M$3:$M$578)</f>
        <v xml:space="preserve">Dante </v>
      </c>
      <c r="AO48" s="1167" t="s">
        <v>2280</v>
      </c>
      <c r="AP48" s="1843">
        <v>326</v>
      </c>
      <c r="AQ48" s="1082" t="s">
        <v>5445</v>
      </c>
    </row>
    <row r="49" spans="1:44" ht="15" customHeight="1">
      <c r="A49" s="747" t="s">
        <v>5479</v>
      </c>
      <c r="B49" s="1447">
        <v>46147</v>
      </c>
      <c r="C49" s="1447">
        <v>46143</v>
      </c>
      <c r="D49" t="s">
        <v>4198</v>
      </c>
      <c r="E49" s="762" t="str">
        <f>_xlfn.XLOOKUP(D49,RUC!$B$3:$B$123,RUC!$D$3:$D$123)</f>
        <v>20614284740*</v>
      </c>
      <c r="G49" s="1082">
        <v>108</v>
      </c>
      <c r="H49" s="1082" t="s">
        <v>69</v>
      </c>
      <c r="I49" s="703">
        <v>11.6</v>
      </c>
      <c r="J49" s="596">
        <v>2</v>
      </c>
      <c r="K49" s="703">
        <f t="shared" si="26"/>
        <v>11.368</v>
      </c>
      <c r="L49" s="1745">
        <v>0.155</v>
      </c>
      <c r="M49" s="994">
        <f>ROUND(+IF(L49&gt;_xlfn.XLOOKUP(AN49,RUC!M:M,RUC!K:K),L49*_xlfn.XLOOKUP(AN49,RUC!M:M,RUC!I:I),L49-_xlfn.XLOOKUP(AN49,RUC!M:M,RUC!J:J)),3)</f>
        <v>0.13600000000000001</v>
      </c>
      <c r="N49" s="1196">
        <f t="shared" si="37"/>
        <v>0.13600000000000001</v>
      </c>
      <c r="O49" s="645">
        <f t="shared" si="27"/>
        <v>0.13600000000000001</v>
      </c>
      <c r="P49" s="727">
        <v>90</v>
      </c>
      <c r="Q49" s="1476">
        <v>98.06</v>
      </c>
      <c r="R49" s="706">
        <v>4636.8999999999996</v>
      </c>
      <c r="S49" s="765">
        <f>IF((_xlfn.XLOOKUP(D49,RUC!$B$3:$B$119,RUC!$E$3:$E$119)+ROUNDDOWN(O49,1)*100)&lt;95,95,((_xlfn.XLOOKUP(D49,RUC!$B$3:$B$119,RUC!$E$3:$E$119)+ROUNDDOWN(O49,1)*100)))</f>
        <v>95</v>
      </c>
      <c r="U49" s="1146">
        <f>_xlfn.XLOOKUP(D49,RUC!$B$3:$B$123,RUC!$F$3:$F$123)</f>
        <v>110</v>
      </c>
      <c r="V49" s="715">
        <v>1.1023000000000001</v>
      </c>
      <c r="Y49">
        <f>_xlfn.XLOOKUP(D49,RUC!$B$3:$B$123,RUC!$G$3:$G$123)</f>
        <v>0</v>
      </c>
      <c r="Z49" s="143">
        <f>_xlfn.XLOOKUP(D49,RUC!$B$3:$B$123,RUC!$H$3:$H$123)</f>
        <v>35</v>
      </c>
      <c r="AA49" s="144">
        <f t="shared" si="28"/>
        <v>35</v>
      </c>
      <c r="AB49" s="145">
        <f t="shared" si="24"/>
        <v>467.47722888799996</v>
      </c>
      <c r="AC49" s="145">
        <f>+(S49-T49)*V49-'data 1'!$F$4</f>
        <v>24.718500000000006</v>
      </c>
      <c r="AD49" s="145">
        <f t="shared" si="29"/>
        <v>62.340093361910021</v>
      </c>
      <c r="AE49" s="145">
        <f t="shared" si="30"/>
        <v>-31.419499999999999</v>
      </c>
      <c r="AF49" s="145">
        <f t="shared" si="31"/>
        <v>92.970720840717931</v>
      </c>
      <c r="AG49" s="772">
        <f>AC49+AD49+AE49+AF49+70-53</f>
        <v>165.60981420262794</v>
      </c>
      <c r="AH49" s="1253">
        <f t="shared" si="32"/>
        <v>59.24</v>
      </c>
      <c r="AI49" s="1253">
        <f t="shared" si="33"/>
        <v>60.411999999999999</v>
      </c>
      <c r="AJ49" s="156">
        <f t="shared" si="34"/>
        <v>62.509876883090065</v>
      </c>
      <c r="AK49" s="156">
        <f t="shared" si="35"/>
        <v>47.706170061533754</v>
      </c>
      <c r="AM49" s="716">
        <f t="shared" si="36"/>
        <v>5314.2811379987834</v>
      </c>
      <c r="AN49" s="716" t="str">
        <f>_xlfn.XLOOKUP(D49,RUC!$B$3:$B$578,RUC!$M$3:$M$578)</f>
        <v>Robinson Tuya</v>
      </c>
      <c r="AO49" s="1167" t="s">
        <v>2278</v>
      </c>
      <c r="AP49" s="1843">
        <v>328</v>
      </c>
      <c r="AQ49" s="1860" t="s">
        <v>5511</v>
      </c>
    </row>
    <row r="50" spans="1:44" ht="15" customHeight="1">
      <c r="A50" s="747" t="s">
        <v>5480</v>
      </c>
      <c r="B50" s="1447">
        <v>46149</v>
      </c>
      <c r="C50" s="1447">
        <v>46144</v>
      </c>
      <c r="D50" t="s">
        <v>5095</v>
      </c>
      <c r="E50" s="762">
        <f>_xlfn.XLOOKUP(D50,RUC!$B$3:$B$123,RUC!$D$3:$D$123)</f>
        <v>10770876970</v>
      </c>
      <c r="G50" s="1082" t="s">
        <v>2985</v>
      </c>
      <c r="H50" s="1082" t="s">
        <v>69</v>
      </c>
      <c r="I50" s="703">
        <v>35.340000000000003</v>
      </c>
      <c r="J50" s="1143">
        <v>9.1999999999999993</v>
      </c>
      <c r="K50" s="703">
        <f t="shared" si="26"/>
        <v>32.088999999999999</v>
      </c>
      <c r="L50" s="1745">
        <v>0.13100000000000001</v>
      </c>
      <c r="M50" s="994">
        <f>ROUND(+IF(L50&gt;_xlfn.XLOOKUP(AN50,RUC!M:M,RUC!K:K),L50*_xlfn.XLOOKUP(AN50,RUC!M:M,RUC!I:I),L50-_xlfn.XLOOKUP(AN50,RUC!M:M,RUC!J:J)),3)+0.002</f>
        <v>0.114</v>
      </c>
      <c r="N50" s="1196">
        <f t="shared" si="37"/>
        <v>0.114</v>
      </c>
      <c r="O50" s="645">
        <f t="shared" si="27"/>
        <v>0.114</v>
      </c>
      <c r="P50" s="727">
        <v>80</v>
      </c>
      <c r="Q50" s="1476">
        <v>93.89</v>
      </c>
      <c r="R50" s="706">
        <v>4636.8999999999996</v>
      </c>
      <c r="S50" s="1164">
        <v>110</v>
      </c>
      <c r="U50" s="1146">
        <f>_xlfn.XLOOKUP(D50,RUC!$B$3:$B$123,RUC!$F$3:$F$123)</f>
        <v>100</v>
      </c>
      <c r="V50" s="715">
        <v>1.1023000000000001</v>
      </c>
      <c r="Y50">
        <f>_xlfn.XLOOKUP(D50,RUC!$B$3:$B$123,RUC!$G$3:$G$123)</f>
        <v>0</v>
      </c>
      <c r="Z50" s="1454">
        <v>120</v>
      </c>
      <c r="AA50" s="144">
        <f t="shared" si="28"/>
        <v>120</v>
      </c>
      <c r="AB50" s="145">
        <f t="shared" si="24"/>
        <v>202.56446814399996</v>
      </c>
      <c r="AC50" s="145">
        <f>+(S50-T50)*V50-'data 1'!$F$4</f>
        <v>41.253</v>
      </c>
      <c r="AD50" s="145">
        <f t="shared" si="29"/>
        <v>90.99814843203302</v>
      </c>
      <c r="AE50" s="145">
        <f t="shared" si="30"/>
        <v>62.27600000000001</v>
      </c>
      <c r="AF50" s="145">
        <f t="shared" si="31"/>
        <v>79.82285825753101</v>
      </c>
      <c r="AG50" s="772">
        <f>AC50+AD50+AE50+AF50+70-107.5</f>
        <v>236.850006689564</v>
      </c>
      <c r="AH50" s="1253">
        <f t="shared" si="32"/>
        <v>135.31800000000001</v>
      </c>
      <c r="AI50" s="1253">
        <f t="shared" si="33"/>
        <v>144.124</v>
      </c>
      <c r="AJ50" s="156">
        <f t="shared" si="34"/>
        <v>49.228509984967047</v>
      </c>
      <c r="AK50" s="156">
        <f t="shared" si="35"/>
        <v>100.33676412284423</v>
      </c>
      <c r="AM50" s="716">
        <f t="shared" si="36"/>
        <v>6500.0912182728143</v>
      </c>
      <c r="AN50" s="716" t="str">
        <f>_xlfn.XLOOKUP(D50,RUC!$B$3:$B$578,RUC!$M$3:$M$578)</f>
        <v>Alfred Torres  *</v>
      </c>
      <c r="AO50" s="1167" t="s">
        <v>2277</v>
      </c>
      <c r="AP50" s="1843">
        <v>15</v>
      </c>
      <c r="AQ50" s="1866" t="s">
        <v>5398</v>
      </c>
    </row>
    <row r="51" spans="1:44" ht="15" customHeight="1">
      <c r="A51" s="747" t="s">
        <v>5487</v>
      </c>
      <c r="B51" s="1447">
        <v>46150</v>
      </c>
      <c r="C51" s="1447">
        <v>46145</v>
      </c>
      <c r="D51" t="s">
        <v>5442</v>
      </c>
      <c r="E51" s="762">
        <f>_xlfn.XLOOKUP(D51,RUC!$B$3:$B$123,RUC!$D$3:$D$123)</f>
        <v>20606562480</v>
      </c>
      <c r="F51" s="629" t="s">
        <v>5542</v>
      </c>
      <c r="G51" s="762">
        <v>30</v>
      </c>
      <c r="H51" s="1082" t="s">
        <v>69</v>
      </c>
      <c r="I51" s="703">
        <v>2.4</v>
      </c>
      <c r="J51" s="596">
        <v>2.1</v>
      </c>
      <c r="K51" s="703">
        <f t="shared" si="26"/>
        <v>2.35</v>
      </c>
      <c r="L51" s="1745">
        <v>0.40799999999999997</v>
      </c>
      <c r="M51" s="994">
        <f>ROUND(+IF(L51&gt;_xlfn.XLOOKUP(AN51,RUC!M:M,RUC!K:K),L51*_xlfn.XLOOKUP(AN51,RUC!M:M,RUC!I:I),L51-_xlfn.XLOOKUP(AN51,RUC!M:M,RUC!J:J)),3)</f>
        <v>0.38400000000000001</v>
      </c>
      <c r="N51" s="1196">
        <f t="shared" si="37"/>
        <v>0.38400000000000001</v>
      </c>
      <c r="O51" s="645">
        <f t="shared" si="27"/>
        <v>0.38400000000000001</v>
      </c>
      <c r="P51" s="727">
        <v>89</v>
      </c>
      <c r="Q51" s="1476">
        <v>90.93</v>
      </c>
      <c r="R51" s="706">
        <v>4576.8</v>
      </c>
      <c r="S51" s="765">
        <f>IF((_xlfn.XLOOKUP(D51,RUC!$B$3:$B$119,RUC!$E$3:$E$119)+ROUNDDOWN(O51,1)*100)&lt;95,95,((_xlfn.XLOOKUP(D51,RUC!$B$3:$B$119,RUC!$E$3:$E$119)+ROUNDDOWN(O51,1)*100)))</f>
        <v>115</v>
      </c>
      <c r="U51" s="1146">
        <f>_xlfn.XLOOKUP(D51,RUC!$B$3:$B$123,RUC!$F$3:$F$123)</f>
        <v>120</v>
      </c>
      <c r="V51" s="715">
        <v>1.1023000000000001</v>
      </c>
      <c r="Y51">
        <f>_xlfn.XLOOKUP(D51,RUC!$B$3:$B$123,RUC!$G$3:$G$123)</f>
        <v>20</v>
      </c>
      <c r="Z51" s="1454">
        <v>35</v>
      </c>
      <c r="AA51" s="144">
        <f t="shared" si="28"/>
        <v>55</v>
      </c>
      <c r="AB51" s="145">
        <f t="shared" si="24"/>
        <v>1491.5838235264005</v>
      </c>
      <c r="AC51" s="145">
        <f>+(S51-T51)*V51-'data 1'!$F$4</f>
        <v>46.764500000000012</v>
      </c>
      <c r="AD51" s="145">
        <f t="shared" si="29"/>
        <v>38.684806151616137</v>
      </c>
      <c r="AE51" s="145">
        <f t="shared" si="30"/>
        <v>-9.3734999999999999</v>
      </c>
      <c r="AF51" s="145">
        <f t="shared" si="31"/>
        <v>107.21150330284789</v>
      </c>
      <c r="AG51" s="772">
        <f t="shared" ref="AG51:AG72" si="38">AC51+AD51+AE51+AF51+70-53</f>
        <v>200.28730945446404</v>
      </c>
      <c r="AH51" s="1253">
        <f t="shared" si="32"/>
        <v>29.890999999999998</v>
      </c>
      <c r="AI51" s="1253">
        <f t="shared" si="33"/>
        <v>32.872999999999998</v>
      </c>
      <c r="AJ51" s="156">
        <f t="shared" si="34"/>
        <v>181.24536673958394</v>
      </c>
      <c r="AK51" s="156">
        <f t="shared" si="35"/>
        <v>27.535829416924802</v>
      </c>
      <c r="AM51" s="716">
        <f t="shared" si="36"/>
        <v>3505.2219852870412</v>
      </c>
      <c r="AN51" s="716" t="str">
        <f>_xlfn.XLOOKUP(D51,RUC!$B$3:$B$578,RUC!$M$3:$M$578)</f>
        <v>Ronald Miranda</v>
      </c>
      <c r="AO51" s="1167" t="s">
        <v>2280</v>
      </c>
      <c r="AP51" s="1843">
        <v>234</v>
      </c>
      <c r="AQ51" s="1866" t="s">
        <v>3196</v>
      </c>
      <c r="AR51" t="s">
        <v>5469</v>
      </c>
    </row>
    <row r="52" spans="1:44" ht="15" customHeight="1">
      <c r="A52" s="747" t="s">
        <v>5488</v>
      </c>
      <c r="B52" s="1447">
        <v>46150</v>
      </c>
      <c r="C52" s="1447">
        <v>46145</v>
      </c>
      <c r="D52" t="s">
        <v>5442</v>
      </c>
      <c r="E52" s="762">
        <f>_xlfn.XLOOKUP(D52,RUC!$B$3:$B$123,RUC!$D$3:$D$123)</f>
        <v>20606562480</v>
      </c>
      <c r="F52" s="629" t="s">
        <v>5543</v>
      </c>
      <c r="G52" s="762">
        <v>50</v>
      </c>
      <c r="H52" s="1082" t="s">
        <v>2005</v>
      </c>
      <c r="I52" s="703">
        <v>3.43</v>
      </c>
      <c r="J52" s="596">
        <v>23.48</v>
      </c>
      <c r="K52" s="703">
        <f t="shared" si="26"/>
        <v>2.625</v>
      </c>
      <c r="L52" s="1745">
        <v>0.25</v>
      </c>
      <c r="M52" s="994">
        <f>ROUND(+IF(L52&gt;_xlfn.XLOOKUP(AN52,RUC!M:M,RUC!K:K),L52*_xlfn.XLOOKUP(AN52,RUC!M:M,RUC!I:I),L52-_xlfn.XLOOKUP(AN52,RUC!M:M,RUC!J:J)),3)</f>
        <v>0.23100000000000001</v>
      </c>
      <c r="N52" s="1196">
        <f t="shared" si="37"/>
        <v>0.23100000000000001</v>
      </c>
      <c r="O52" s="645">
        <f t="shared" si="27"/>
        <v>0.23100000000000001</v>
      </c>
      <c r="P52" s="727">
        <v>90</v>
      </c>
      <c r="Q52" s="1476">
        <v>96.8</v>
      </c>
      <c r="R52" s="706">
        <v>4576.8</v>
      </c>
      <c r="S52" s="765">
        <f>IF((_xlfn.XLOOKUP(D52,RUC!$B$3:$B$119,RUC!$E$3:$E$119)+ROUNDDOWN(O52,1)*100)&lt;95,95,((_xlfn.XLOOKUP(D52,RUC!$B$3:$B$119,RUC!$E$3:$E$119)+ROUNDDOWN(O52,1)*100)))</f>
        <v>105</v>
      </c>
      <c r="U52" s="1146">
        <f>_xlfn.XLOOKUP(D52,RUC!$B$3:$B$123,RUC!$F$3:$F$123)</f>
        <v>120</v>
      </c>
      <c r="V52" s="715">
        <v>1.1023000000000001</v>
      </c>
      <c r="Y52">
        <f>_xlfn.XLOOKUP(D52,RUC!$B$3:$B$123,RUC!$G$3:$G$123)</f>
        <v>20</v>
      </c>
      <c r="Z52" s="1454">
        <v>35</v>
      </c>
      <c r="AA52" s="144">
        <f t="shared" si="28"/>
        <v>55</v>
      </c>
      <c r="AB52" s="145">
        <f t="shared" si="24"/>
        <v>844.98870005600031</v>
      </c>
      <c r="AC52" s="145">
        <f>+(S52-T52)*V52-'data 1'!$F$4</f>
        <v>35.741500000000002</v>
      </c>
      <c r="AD52" s="145">
        <f t="shared" si="29"/>
        <v>83.51642087999997</v>
      </c>
      <c r="AE52" s="145">
        <f t="shared" si="30"/>
        <v>-9.3734999999999999</v>
      </c>
      <c r="AF52" s="145">
        <f t="shared" si="31"/>
        <v>90.354941930879946</v>
      </c>
      <c r="AG52" s="772">
        <f t="shared" si="38"/>
        <v>217.23936281087992</v>
      </c>
      <c r="AH52" s="1253">
        <f t="shared" si="32"/>
        <v>21.78</v>
      </c>
      <c r="AI52" s="1253">
        <f t="shared" si="33"/>
        <v>22.5</v>
      </c>
      <c r="AJ52" s="156">
        <f t="shared" si="34"/>
        <v>118.22652511999995</v>
      </c>
      <c r="AK52" s="156">
        <f t="shared" si="35"/>
        <v>18.71082196093688</v>
      </c>
      <c r="AM52" s="716">
        <f t="shared" si="36"/>
        <v>2218.0953376470006</v>
      </c>
      <c r="AN52" s="716" t="str">
        <f>_xlfn.XLOOKUP(D52,RUC!$B$3:$B$578,RUC!$M$3:$M$578)</f>
        <v>Ronald Miranda</v>
      </c>
      <c r="AO52" s="1167" t="s">
        <v>2280</v>
      </c>
      <c r="AP52" s="1843">
        <v>234</v>
      </c>
      <c r="AQ52" s="1866" t="s">
        <v>3196</v>
      </c>
    </row>
    <row r="53" spans="1:44" ht="15" customHeight="1">
      <c r="A53" s="747" t="s">
        <v>5489</v>
      </c>
      <c r="B53" s="1447">
        <v>46150</v>
      </c>
      <c r="C53" s="1447">
        <v>46145</v>
      </c>
      <c r="D53" t="s">
        <v>5442</v>
      </c>
      <c r="E53" s="762">
        <f>_xlfn.XLOOKUP(D53,RUC!$B$3:$B$123,RUC!$D$3:$D$123)</f>
        <v>20606562480</v>
      </c>
      <c r="F53" s="629" t="s">
        <v>5543</v>
      </c>
      <c r="G53" s="762">
        <v>50</v>
      </c>
      <c r="H53" s="1082" t="s">
        <v>2005</v>
      </c>
      <c r="I53" s="703">
        <v>3.33</v>
      </c>
      <c r="J53" s="596">
        <v>21.98</v>
      </c>
      <c r="K53" s="703">
        <f t="shared" si="26"/>
        <v>2.5979999999999999</v>
      </c>
      <c r="L53" s="1745">
        <v>0.27100000000000002</v>
      </c>
      <c r="M53" s="994">
        <f>ROUND(+IF(L53&gt;_xlfn.XLOOKUP(AN53,RUC!M:M,RUC!K:K),L53*_xlfn.XLOOKUP(AN53,RUC!M:M,RUC!I:I),L53-_xlfn.XLOOKUP(AN53,RUC!M:M,RUC!J:J)),3)</f>
        <v>0.252</v>
      </c>
      <c r="N53" s="1196">
        <f t="shared" si="37"/>
        <v>0.252</v>
      </c>
      <c r="O53" s="645">
        <f t="shared" si="27"/>
        <v>0.252</v>
      </c>
      <c r="P53" s="727">
        <v>90</v>
      </c>
      <c r="Q53" s="1476">
        <v>96.68</v>
      </c>
      <c r="R53" s="706">
        <v>4576.8</v>
      </c>
      <c r="S53" s="765">
        <f>IF((_xlfn.XLOOKUP(D53,RUC!$B$3:$B$119,RUC!$E$3:$E$119)+ROUNDDOWN(O53,1)*100)&lt;95,95,((_xlfn.XLOOKUP(D53,RUC!$B$3:$B$119,RUC!$E$3:$E$119)+ROUNDDOWN(O53,1)*100)))</f>
        <v>105</v>
      </c>
      <c r="U53" s="1146">
        <f>_xlfn.XLOOKUP(D53,RUC!$B$3:$B$123,RUC!$F$3:$F$123)</f>
        <v>120</v>
      </c>
      <c r="V53" s="715">
        <v>1.1023000000000001</v>
      </c>
      <c r="Y53">
        <f>_xlfn.XLOOKUP(D53,RUC!$B$3:$B$123,RUC!$G$3:$G$123)</f>
        <v>20</v>
      </c>
      <c r="Z53" s="1454">
        <v>35</v>
      </c>
      <c r="AA53" s="144">
        <f t="shared" si="28"/>
        <v>55</v>
      </c>
      <c r="AB53" s="145">
        <f t="shared" si="24"/>
        <v>937.83930915200006</v>
      </c>
      <c r="AC53" s="145">
        <f>+(S53-T53)*V53-'data 1'!$F$4</f>
        <v>35.741500000000002</v>
      </c>
      <c r="AD53" s="145">
        <f t="shared" si="29"/>
        <v>88.934180229792105</v>
      </c>
      <c r="AE53" s="145">
        <f t="shared" si="30"/>
        <v>-9.3734999999999999</v>
      </c>
      <c r="AF53" s="145">
        <f t="shared" si="31"/>
        <v>90.24293167228808</v>
      </c>
      <c r="AG53" s="772">
        <f t="shared" si="38"/>
        <v>222.54511190208018</v>
      </c>
      <c r="AH53" s="1253">
        <f t="shared" si="32"/>
        <v>23.337</v>
      </c>
      <c r="AI53" s="1253">
        <f t="shared" si="33"/>
        <v>24.138999999999999</v>
      </c>
      <c r="AJ53" s="156">
        <f t="shared" si="34"/>
        <v>127.998680230208</v>
      </c>
      <c r="AK53" s="156">
        <f t="shared" si="35"/>
        <v>20.201855773304523</v>
      </c>
      <c r="AM53" s="716">
        <f t="shared" si="36"/>
        <v>2436.506525176896</v>
      </c>
      <c r="AN53" s="716" t="str">
        <f>_xlfn.XLOOKUP(D53,RUC!$B$3:$B$578,RUC!$M$3:$M$578)</f>
        <v>Ronald Miranda</v>
      </c>
      <c r="AO53" s="1167" t="s">
        <v>2280</v>
      </c>
      <c r="AP53" s="1843">
        <v>234</v>
      </c>
      <c r="AQ53" s="1866" t="s">
        <v>3196</v>
      </c>
    </row>
    <row r="54" spans="1:44" ht="15" customHeight="1">
      <c r="A54" s="747" t="s">
        <v>5490</v>
      </c>
      <c r="B54" s="1447">
        <v>46150</v>
      </c>
      <c r="C54" s="1447">
        <v>46145</v>
      </c>
      <c r="D54" t="s">
        <v>5442</v>
      </c>
      <c r="E54" s="762">
        <f>_xlfn.XLOOKUP(D54,RUC!$B$3:$B$123,RUC!$D$3:$D$123)</f>
        <v>20606562480</v>
      </c>
      <c r="F54" s="629" t="s">
        <v>5543</v>
      </c>
      <c r="G54" s="762">
        <v>50</v>
      </c>
      <c r="H54" s="1082" t="s">
        <v>2005</v>
      </c>
      <c r="I54" s="703">
        <v>3.33</v>
      </c>
      <c r="J54" s="596">
        <v>24.33</v>
      </c>
      <c r="K54" s="703">
        <f t="shared" si="26"/>
        <v>2.52</v>
      </c>
      <c r="L54" s="1745">
        <v>0.29099999999999998</v>
      </c>
      <c r="M54" s="994">
        <f>ROUND(+IF(L54&gt;_xlfn.XLOOKUP(AN54,RUC!M:M,RUC!K:K),L54*_xlfn.XLOOKUP(AN54,RUC!M:M,RUC!I:I),L54-_xlfn.XLOOKUP(AN54,RUC!M:M,RUC!J:J)),3)</f>
        <v>0.27200000000000002</v>
      </c>
      <c r="N54" s="1196">
        <f t="shared" si="37"/>
        <v>0.27200000000000002</v>
      </c>
      <c r="O54" s="645">
        <f t="shared" si="27"/>
        <v>0.27200000000000002</v>
      </c>
      <c r="P54" s="727">
        <v>90</v>
      </c>
      <c r="Q54" s="1476">
        <v>96.91</v>
      </c>
      <c r="R54" s="706">
        <v>4576.8</v>
      </c>
      <c r="S54" s="765">
        <f>IF((_xlfn.XLOOKUP(D54,RUC!$B$3:$B$119,RUC!$E$3:$E$119)+ROUNDDOWN(O54,1)*100)&lt;95,95,((_xlfn.XLOOKUP(D54,RUC!$B$3:$B$119,RUC!$E$3:$E$119)+ROUNDDOWN(O54,1)*100)))</f>
        <v>105</v>
      </c>
      <c r="U54" s="1146">
        <f>_xlfn.XLOOKUP(D54,RUC!$B$3:$B$123,RUC!$F$3:$F$123)</f>
        <v>120</v>
      </c>
      <c r="V54" s="715">
        <v>1.1023000000000001</v>
      </c>
      <c r="Y54">
        <f>_xlfn.XLOOKUP(D54,RUC!$B$3:$B$123,RUC!$G$3:$G$123)</f>
        <v>20</v>
      </c>
      <c r="Z54" s="1454">
        <v>35</v>
      </c>
      <c r="AA54" s="144">
        <f t="shared" si="28"/>
        <v>55</v>
      </c>
      <c r="AB54" s="145">
        <f t="shared" si="24"/>
        <v>1026.2684606720002</v>
      </c>
      <c r="AC54" s="145">
        <f>+(S54-T54)*V54-'data 1'!$F$4</f>
        <v>35.741500000000002</v>
      </c>
      <c r="AD54" s="145">
        <f t="shared" si="29"/>
        <v>98.785678982183967</v>
      </c>
      <c r="AE54" s="145">
        <f t="shared" si="30"/>
        <v>-9.3734999999999999</v>
      </c>
      <c r="AF54" s="145">
        <f t="shared" si="31"/>
        <v>90.45761800125581</v>
      </c>
      <c r="AG54" s="772">
        <f t="shared" si="38"/>
        <v>232.61129698343973</v>
      </c>
      <c r="AH54" s="1253">
        <f t="shared" si="32"/>
        <v>24.364999999999998</v>
      </c>
      <c r="AI54" s="1253">
        <f t="shared" si="33"/>
        <v>25.141999999999999</v>
      </c>
      <c r="AJ54" s="156">
        <f t="shared" si="34"/>
        <v>137.77205668881592</v>
      </c>
      <c r="AK54" s="156">
        <f t="shared" si="35"/>
        <v>21.150518746492804</v>
      </c>
      <c r="AM54" s="716">
        <f t="shared" si="36"/>
        <v>2586.1965208934403</v>
      </c>
      <c r="AN54" s="716" t="str">
        <f>_xlfn.XLOOKUP(D54,RUC!$B$3:$B$578,RUC!$M$3:$M$578)</f>
        <v>Ronald Miranda</v>
      </c>
      <c r="AO54" s="1167" t="s">
        <v>2280</v>
      </c>
      <c r="AP54" s="1843">
        <v>234</v>
      </c>
      <c r="AQ54" s="1866" t="s">
        <v>3196</v>
      </c>
    </row>
    <row r="55" spans="1:44" ht="15" customHeight="1">
      <c r="A55" s="747" t="s">
        <v>5491</v>
      </c>
      <c r="B55" s="1447">
        <v>46149</v>
      </c>
      <c r="C55" s="1447">
        <v>46145</v>
      </c>
      <c r="D55" t="s">
        <v>2368</v>
      </c>
      <c r="E55" s="762">
        <f>_xlfn.XLOOKUP(D55,RUC!$B$3:$B$123,RUC!$D$3:$D$123)</f>
        <v>20612719757</v>
      </c>
      <c r="F55" s="629" t="s">
        <v>5540</v>
      </c>
      <c r="G55" s="762">
        <v>48</v>
      </c>
      <c r="H55" s="1082" t="s">
        <v>2005</v>
      </c>
      <c r="I55" s="703">
        <v>4.37</v>
      </c>
      <c r="J55" s="596">
        <v>13.2</v>
      </c>
      <c r="K55" s="703">
        <f t="shared" si="26"/>
        <v>3.7930000000000001</v>
      </c>
      <c r="L55" s="1745">
        <v>0.26400000000000001</v>
      </c>
      <c r="M55" s="994">
        <f>ROUND(+IF(L55&gt;_xlfn.XLOOKUP(AN55,RUC!M:M,RUC!K:K),L55*_xlfn.XLOOKUP(AN55,RUC!M:M,RUC!I:I),L55-_xlfn.XLOOKUP(AN55,RUC!M:M,RUC!J:J)),3)</f>
        <v>0.245</v>
      </c>
      <c r="N55" s="1196">
        <f t="shared" si="37"/>
        <v>0.245</v>
      </c>
      <c r="O55" s="645">
        <f t="shared" si="27"/>
        <v>0.245</v>
      </c>
      <c r="P55" s="727">
        <v>90</v>
      </c>
      <c r="Q55" s="1476">
        <v>94.7</v>
      </c>
      <c r="R55" s="706">
        <v>4576.8</v>
      </c>
      <c r="S55" s="765">
        <f>IF((_xlfn.XLOOKUP(D55,RUC!$B$3:$B$119,RUC!$E$3:$E$119)+ROUNDDOWN(O55,1)*100)&lt;95,95,((_xlfn.XLOOKUP(D55,RUC!$B$3:$B$119,RUC!$E$3:$E$119)+ROUNDDOWN(O55,1)*100)))</f>
        <v>110</v>
      </c>
      <c r="U55" s="1146">
        <f>_xlfn.XLOOKUP(D55,RUC!$B$3:$B$123,RUC!$F$3:$F$123)</f>
        <v>120</v>
      </c>
      <c r="V55" s="715">
        <v>1.1023000000000001</v>
      </c>
      <c r="Y55">
        <f>_xlfn.XLOOKUP(D55,RUC!$B$3:$B$123,RUC!$G$3:$G$123)</f>
        <v>20</v>
      </c>
      <c r="Z55" s="143">
        <f>_xlfn.XLOOKUP(D55,RUC!$B$3:$B$123,RUC!$H$3:$H$123)</f>
        <v>30</v>
      </c>
      <c r="AA55" s="144">
        <f t="shared" si="28"/>
        <v>50</v>
      </c>
      <c r="AB55" s="145">
        <f t="shared" si="24"/>
        <v>906.88910612000006</v>
      </c>
      <c r="AC55" s="145">
        <f>+(S55-T55)*V55-'data 1'!$F$4</f>
        <v>41.253</v>
      </c>
      <c r="AD55" s="145">
        <f t="shared" si="29"/>
        <v>60.95716178112005</v>
      </c>
      <c r="AE55" s="145">
        <f t="shared" si="30"/>
        <v>-14.884999999999998</v>
      </c>
      <c r="AF55" s="145">
        <f t="shared" si="31"/>
        <v>88.394762405520083</v>
      </c>
      <c r="AG55" s="772">
        <f t="shared" si="38"/>
        <v>192.71992418664013</v>
      </c>
      <c r="AH55" s="1253">
        <f t="shared" si="32"/>
        <v>32.512</v>
      </c>
      <c r="AI55" s="1253">
        <f t="shared" si="33"/>
        <v>34.332000000000001</v>
      </c>
      <c r="AJ55" s="156">
        <f t="shared" si="34"/>
        <v>122.13874831487996</v>
      </c>
      <c r="AK55" s="156">
        <f t="shared" si="35"/>
        <v>28.674807150639825</v>
      </c>
      <c r="AM55" s="716">
        <f t="shared" si="36"/>
        <v>3439.8303795131606</v>
      </c>
      <c r="AN55" s="1868" t="str">
        <f>_xlfn.XLOOKUP(D55,RUC!$B$3:$B$578,RUC!$M$3:$M$578)</f>
        <v>SIN ACOPIADOR</v>
      </c>
      <c r="AO55" s="1167" t="s">
        <v>2280</v>
      </c>
      <c r="AP55" s="1843">
        <v>343</v>
      </c>
      <c r="AQ55" s="1866" t="s">
        <v>4700</v>
      </c>
    </row>
    <row r="56" spans="1:44" ht="15" customHeight="1">
      <c r="A56" s="747" t="s">
        <v>5492</v>
      </c>
      <c r="B56" s="1447">
        <v>46149</v>
      </c>
      <c r="C56" s="1447">
        <v>46145</v>
      </c>
      <c r="D56" t="s">
        <v>2368</v>
      </c>
      <c r="E56" s="762">
        <f>_xlfn.XLOOKUP(D56,RUC!$B$3:$B$123,RUC!$D$3:$D$123)</f>
        <v>20612719757</v>
      </c>
      <c r="F56" s="629" t="s">
        <v>5540</v>
      </c>
      <c r="G56" s="762">
        <v>47</v>
      </c>
      <c r="H56" s="1082" t="s">
        <v>2005</v>
      </c>
      <c r="I56" s="703">
        <v>4.1399999999999997</v>
      </c>
      <c r="J56" s="596">
        <v>13.7</v>
      </c>
      <c r="K56" s="703">
        <f t="shared" si="26"/>
        <v>3.573</v>
      </c>
      <c r="L56" s="1745">
        <v>0.39500000000000002</v>
      </c>
      <c r="M56" s="994">
        <f>ROUND(+IF(L56&gt;_xlfn.XLOOKUP(AN56,RUC!M:M,RUC!K:K),L56*_xlfn.XLOOKUP(AN56,RUC!M:M,RUC!I:I),L56-_xlfn.XLOOKUP(AN56,RUC!M:M,RUC!J:J)),3)</f>
        <v>0.371</v>
      </c>
      <c r="N56" s="1196">
        <f t="shared" si="37"/>
        <v>0.371</v>
      </c>
      <c r="O56" s="645">
        <f t="shared" si="27"/>
        <v>0.371</v>
      </c>
      <c r="P56" s="727">
        <v>90</v>
      </c>
      <c r="Q56" s="1476">
        <v>94.43</v>
      </c>
      <c r="R56" s="706">
        <v>4576.8</v>
      </c>
      <c r="S56" s="765">
        <f>IF((_xlfn.XLOOKUP(D56,RUC!$B$3:$B$119,RUC!$E$3:$E$119)+ROUNDDOWN(O56,1)*100)&lt;95,95,((_xlfn.XLOOKUP(D56,RUC!$B$3:$B$119,RUC!$E$3:$E$119)+ROUNDDOWN(O56,1)*100)))</f>
        <v>120</v>
      </c>
      <c r="U56" s="1146">
        <f>_xlfn.XLOOKUP(D56,RUC!$B$3:$B$123,RUC!$F$3:$F$123)</f>
        <v>120</v>
      </c>
      <c r="V56" s="715">
        <v>1.1023000000000001</v>
      </c>
      <c r="Y56">
        <f>_xlfn.XLOOKUP(D56,RUC!$B$3:$B$123,RUC!$G$3:$G$123)</f>
        <v>20</v>
      </c>
      <c r="Z56" s="143">
        <f>_xlfn.XLOOKUP(D56,RUC!$B$3:$B$123,RUC!$H$3:$H$123)</f>
        <v>30</v>
      </c>
      <c r="AA56" s="144">
        <f t="shared" si="28"/>
        <v>50</v>
      </c>
      <c r="AB56" s="145">
        <f t="shared" si="24"/>
        <v>1452.9697606960001</v>
      </c>
      <c r="AC56" s="145">
        <f>+(S56-T56)*V56-'data 1'!$F$4</f>
        <v>52.27600000000001</v>
      </c>
      <c r="AD56" s="145">
        <f t="shared" si="29"/>
        <v>85.965417104040156</v>
      </c>
      <c r="AE56" s="145">
        <f t="shared" si="30"/>
        <v>-14.884999999999998</v>
      </c>
      <c r="AF56" s="145">
        <f t="shared" si="31"/>
        <v>111.33819704044812</v>
      </c>
      <c r="AG56" s="772">
        <f t="shared" si="38"/>
        <v>251.6946141444883</v>
      </c>
      <c r="AH56" s="1253">
        <f t="shared" si="32"/>
        <v>45.692999999999998</v>
      </c>
      <c r="AI56" s="1253">
        <f t="shared" si="33"/>
        <v>48.387999999999998</v>
      </c>
      <c r="AJ56" s="156">
        <f t="shared" si="34"/>
        <v>182.22444847095997</v>
      </c>
      <c r="AK56" s="156">
        <f t="shared" si="35"/>
        <v>40.90331479273484</v>
      </c>
      <c r="AM56" s="716">
        <f t="shared" si="36"/>
        <v>5191.4609549668085</v>
      </c>
      <c r="AN56" s="1868" t="str">
        <f>_xlfn.XLOOKUP(D56,RUC!$B$3:$B$578,RUC!$M$3:$M$578)</f>
        <v>SIN ACOPIADOR</v>
      </c>
      <c r="AO56" s="1167" t="s">
        <v>2280</v>
      </c>
      <c r="AP56" s="1843">
        <v>343</v>
      </c>
      <c r="AQ56" s="1866" t="s">
        <v>4700</v>
      </c>
    </row>
    <row r="57" spans="1:44" ht="15" customHeight="1">
      <c r="A57" s="747" t="s">
        <v>5493</v>
      </c>
      <c r="B57" s="1447">
        <v>46149</v>
      </c>
      <c r="C57" s="1447">
        <v>46145</v>
      </c>
      <c r="D57" t="s">
        <v>2368</v>
      </c>
      <c r="E57" s="762">
        <f>_xlfn.XLOOKUP(D57,RUC!$B$3:$B$123,RUC!$D$3:$D$123)</f>
        <v>20612719757</v>
      </c>
      <c r="F57" s="629" t="s">
        <v>5540</v>
      </c>
      <c r="G57" s="762">
        <v>50</v>
      </c>
      <c r="H57" s="1082" t="s">
        <v>2005</v>
      </c>
      <c r="I57" s="703">
        <v>4.51</v>
      </c>
      <c r="J57" s="596">
        <v>11.8</v>
      </c>
      <c r="K57" s="703">
        <f t="shared" si="26"/>
        <v>3.9780000000000002</v>
      </c>
      <c r="L57" s="1745">
        <v>0.33200000000000002</v>
      </c>
      <c r="M57" s="994">
        <f>ROUND(+IF(L57&gt;_xlfn.XLOOKUP(AN57,RUC!M:M,RUC!K:K),L57*_xlfn.XLOOKUP(AN57,RUC!M:M,RUC!I:I),L57-_xlfn.XLOOKUP(AN57,RUC!M:M,RUC!J:J)),3)</f>
        <v>0.312</v>
      </c>
      <c r="N57" s="1196">
        <f t="shared" si="37"/>
        <v>0.312</v>
      </c>
      <c r="O57" s="645">
        <f t="shared" si="27"/>
        <v>0.312</v>
      </c>
      <c r="P57" s="727">
        <v>90</v>
      </c>
      <c r="Q57" s="1476">
        <v>92.77</v>
      </c>
      <c r="R57" s="706">
        <v>4576.8</v>
      </c>
      <c r="S57" s="765">
        <f>IF((_xlfn.XLOOKUP(D57,RUC!$B$3:$B$119,RUC!$E$3:$E$119)+ROUNDDOWN(O57,1)*100)&lt;95,95,((_xlfn.XLOOKUP(D57,RUC!$B$3:$B$119,RUC!$E$3:$E$119)+ROUNDDOWN(O57,1)*100)))</f>
        <v>120</v>
      </c>
      <c r="U57" s="1146">
        <f>_xlfn.XLOOKUP(D57,RUC!$B$3:$B$123,RUC!$F$3:$F$123)</f>
        <v>120</v>
      </c>
      <c r="V57" s="715">
        <v>1.1023000000000001</v>
      </c>
      <c r="Y57">
        <f>_xlfn.XLOOKUP(D57,RUC!$B$3:$B$123,RUC!$G$3:$G$123)</f>
        <v>20</v>
      </c>
      <c r="Z57" s="143">
        <f>_xlfn.XLOOKUP(D57,RUC!$B$3:$B$123,RUC!$H$3:$H$123)</f>
        <v>30</v>
      </c>
      <c r="AA57" s="144">
        <f t="shared" si="28"/>
        <v>50</v>
      </c>
      <c r="AB57" s="145">
        <f t="shared" si="24"/>
        <v>1192.103763712</v>
      </c>
      <c r="AC57" s="145">
        <f>+(S57-T57)*V57-'data 1'!$F$4</f>
        <v>52.27600000000001</v>
      </c>
      <c r="AD57" s="145">
        <f t="shared" si="29"/>
        <v>45.179436057695945</v>
      </c>
      <c r="AE57" s="145">
        <f t="shared" si="30"/>
        <v>-14.884999999999998</v>
      </c>
      <c r="AF57" s="145">
        <f t="shared" si="31"/>
        <v>91.150804294560089</v>
      </c>
      <c r="AG57" s="772">
        <f t="shared" si="38"/>
        <v>190.72124035225605</v>
      </c>
      <c r="AH57" s="1253">
        <f t="shared" si="32"/>
        <v>42.006999999999998</v>
      </c>
      <c r="AI57" s="1253">
        <f t="shared" si="33"/>
        <v>45.280999999999999</v>
      </c>
      <c r="AJ57" s="156">
        <f t="shared" si="34"/>
        <v>150.46836413830394</v>
      </c>
      <c r="AK57" s="156">
        <f t="shared" si="35"/>
        <v>38.297546444542327</v>
      </c>
      <c r="AM57" s="716">
        <f t="shared" si="36"/>
        <v>4742.1887720463365</v>
      </c>
      <c r="AN57" s="1868" t="str">
        <f>_xlfn.XLOOKUP(D57,RUC!$B$3:$B$578,RUC!$M$3:$M$578)</f>
        <v>SIN ACOPIADOR</v>
      </c>
      <c r="AO57" s="1167" t="s">
        <v>2280</v>
      </c>
      <c r="AP57" s="1843">
        <v>343</v>
      </c>
      <c r="AQ57" s="1866" t="s">
        <v>4700</v>
      </c>
    </row>
    <row r="58" spans="1:44" ht="15" customHeight="1">
      <c r="A58" s="747" t="s">
        <v>5494</v>
      </c>
      <c r="B58" s="1447">
        <v>46153</v>
      </c>
      <c r="C58" s="1447">
        <v>46145</v>
      </c>
      <c r="D58" t="s">
        <v>1967</v>
      </c>
      <c r="E58" s="762">
        <f>_xlfn.XLOOKUP(D58,RUC!$B$3:$B$123,RUC!$D$3:$D$123)</f>
        <v>20601769396</v>
      </c>
      <c r="F58" s="629" t="s">
        <v>2614</v>
      </c>
      <c r="G58" s="762">
        <v>500</v>
      </c>
      <c r="H58" s="1082" t="s">
        <v>108</v>
      </c>
      <c r="I58" s="703">
        <v>13.54</v>
      </c>
      <c r="J58" s="596">
        <v>18.03</v>
      </c>
      <c r="K58" s="703">
        <f t="shared" si="26"/>
        <v>11.099</v>
      </c>
      <c r="L58" s="1745">
        <v>0.27300000000000002</v>
      </c>
      <c r="M58" s="994">
        <f>ROUND(+IF(L58&gt;_xlfn.XLOOKUP(AN58,RUC!M:M,RUC!K:K),L58*_xlfn.XLOOKUP(AN58,RUC!M:M,RUC!I:I),L58-_xlfn.XLOOKUP(AN58,RUC!M:M,RUC!J:J)),3)</f>
        <v>0.254</v>
      </c>
      <c r="N58" s="1196">
        <v>0.30599999999999999</v>
      </c>
      <c r="O58" s="645">
        <f t="shared" si="27"/>
        <v>0.28000000000000003</v>
      </c>
      <c r="P58" s="727">
        <v>87</v>
      </c>
      <c r="Q58" s="1572">
        <v>88.28</v>
      </c>
      <c r="R58" s="706">
        <v>4576.8</v>
      </c>
      <c r="S58" s="765">
        <f>IF((_xlfn.XLOOKUP(D58,RUC!$B$3:$B$119,RUC!$E$3:$E$119)+ROUNDDOWN(O58,1)*100)&lt;95,95,((_xlfn.XLOOKUP(D58,RUC!$B$3:$B$119,RUC!$E$3:$E$119)+ROUNDDOWN(O58,1)*100)))</f>
        <v>110</v>
      </c>
      <c r="U58" s="1146">
        <f>_xlfn.XLOOKUP(D58,RUC!$B$3:$B$123,RUC!$F$3:$F$123)</f>
        <v>120</v>
      </c>
      <c r="V58" s="715">
        <v>1.1023000000000001</v>
      </c>
      <c r="Y58" s="1445">
        <v>40</v>
      </c>
      <c r="Z58" s="1454">
        <v>70</v>
      </c>
      <c r="AA58" s="144">
        <f t="shared" si="28"/>
        <v>110</v>
      </c>
      <c r="AB58" s="145">
        <f t="shared" si="24"/>
        <v>954.23518390400011</v>
      </c>
      <c r="AC58" s="145">
        <f>+(S58-T58)*V58-'data 1'!$F$4</f>
        <v>41.253</v>
      </c>
      <c r="AD58" s="145">
        <f t="shared" si="29"/>
        <v>17.167045948416018</v>
      </c>
      <c r="AE58" s="145">
        <f t="shared" si="30"/>
        <v>51.253</v>
      </c>
      <c r="AF58" s="145">
        <f t="shared" si="31"/>
        <v>-30.358710262944033</v>
      </c>
      <c r="AG58" s="772">
        <f t="shared" si="38"/>
        <v>96.314335685471974</v>
      </c>
      <c r="AH58" s="1253">
        <f t="shared" si="32"/>
        <v>91.71</v>
      </c>
      <c r="AI58" s="1253">
        <f t="shared" si="33"/>
        <v>103.886</v>
      </c>
      <c r="AJ58" s="156">
        <f t="shared" si="34"/>
        <v>117.74013533318396</v>
      </c>
      <c r="AK58" s="156">
        <f t="shared" si="35"/>
        <v>92.697965951149058</v>
      </c>
      <c r="AM58" s="716">
        <f t="shared" si="36"/>
        <v>10591.056306150498</v>
      </c>
      <c r="AN58" s="716" t="str">
        <f>_xlfn.XLOOKUP(D58,RUC!$B$3:$B$578,RUC!$M$3:$M$578)</f>
        <v>Evelyn</v>
      </c>
      <c r="AO58" s="1167" t="s">
        <v>2278</v>
      </c>
      <c r="AP58" s="1843">
        <v>292</v>
      </c>
      <c r="AQ58" s="1866" t="s">
        <v>2376</v>
      </c>
      <c r="AR58" t="s">
        <v>5469</v>
      </c>
    </row>
    <row r="59" spans="1:44" ht="15" customHeight="1">
      <c r="A59" s="747" t="s">
        <v>5495</v>
      </c>
      <c r="B59" s="1447">
        <v>46150</v>
      </c>
      <c r="C59" s="1447">
        <v>46145</v>
      </c>
      <c r="D59" s="1831" t="s">
        <v>2004</v>
      </c>
      <c r="E59" s="762">
        <f>_xlfn.XLOOKUP(D59,RUC!$B$3:$B$123,RUC!$D$3:$D$123)</f>
        <v>20612921866</v>
      </c>
      <c r="F59" s="629" t="s">
        <v>2614</v>
      </c>
      <c r="G59" s="762">
        <v>114</v>
      </c>
      <c r="H59" s="1082" t="s">
        <v>108</v>
      </c>
      <c r="I59" s="703">
        <v>8.83</v>
      </c>
      <c r="J59" s="596">
        <v>11.32</v>
      </c>
      <c r="K59" s="703">
        <f t="shared" si="26"/>
        <v>7.83</v>
      </c>
      <c r="L59" s="1745">
        <v>0.188</v>
      </c>
      <c r="M59" s="994">
        <f>ROUND(+IF(L59&gt;_xlfn.XLOOKUP(AN59,RUC!M:M,RUC!K:K),L59*_xlfn.XLOOKUP(AN59,RUC!M:M,RUC!I:I),L59-_xlfn.XLOOKUP(AN59,RUC!M:M,RUC!J:J)),3)</f>
        <v>0.16900000000000001</v>
      </c>
      <c r="N59" s="1196">
        <f>+M59</f>
        <v>0.16900000000000001</v>
      </c>
      <c r="O59" s="645">
        <f t="shared" si="27"/>
        <v>0.16900000000000001</v>
      </c>
      <c r="P59" s="727">
        <v>90</v>
      </c>
      <c r="Q59" s="1476">
        <v>91.49</v>
      </c>
      <c r="R59" s="706">
        <v>4576.8</v>
      </c>
      <c r="S59" s="765">
        <f>IF((_xlfn.XLOOKUP(D59,RUC!$B$3:$B$119,RUC!$E$3:$E$119)+ROUNDDOWN(O59,1)*100)&lt;95,95,((_xlfn.XLOOKUP(D59,RUC!$B$3:$B$119,RUC!$E$3:$E$119)+ROUNDDOWN(O59,1)*100)))</f>
        <v>95</v>
      </c>
      <c r="U59" s="1146">
        <f>_xlfn.XLOOKUP(D59,RUC!$B$3:$B$123,RUC!$F$3:$F$123)</f>
        <v>100</v>
      </c>
      <c r="V59" s="715">
        <v>1.1023000000000001</v>
      </c>
      <c r="Y59">
        <f>_xlfn.XLOOKUP(D59,RUC!$B$3:$B$123,RUC!$G$3:$G$123)</f>
        <v>0</v>
      </c>
      <c r="Z59" s="143">
        <f>_xlfn.XLOOKUP(D59,RUC!$B$3:$B$123,RUC!$H$3:$H$123)</f>
        <v>30</v>
      </c>
      <c r="AA59" s="144">
        <f t="shared" si="28"/>
        <v>30</v>
      </c>
      <c r="AB59" s="145">
        <f t="shared" si="24"/>
        <v>612.79202694400021</v>
      </c>
      <c r="AC59" s="145">
        <f>+(S59-T59)*V59-'data 1'!$F$4</f>
        <v>24.718500000000006</v>
      </c>
      <c r="AD59" s="145">
        <f t="shared" si="29"/>
        <v>13.823296323967954</v>
      </c>
      <c r="AE59" s="145">
        <f t="shared" si="30"/>
        <v>-36.930999999999997</v>
      </c>
      <c r="AF59" s="145">
        <f t="shared" si="31"/>
        <v>85.78171581078395</v>
      </c>
      <c r="AG59" s="772">
        <f t="shared" si="38"/>
        <v>104.39251213475191</v>
      </c>
      <c r="AH59" s="1253">
        <f t="shared" si="32"/>
        <v>46.174999999999997</v>
      </c>
      <c r="AI59" s="1253">
        <f t="shared" si="33"/>
        <v>50.469000000000001</v>
      </c>
      <c r="AJ59" s="156">
        <f t="shared" si="34"/>
        <v>80.23741771203197</v>
      </c>
      <c r="AK59" s="156">
        <f t="shared" si="35"/>
        <v>40.831942900431159</v>
      </c>
      <c r="AM59" s="716">
        <f t="shared" si="36"/>
        <v>4798.1615709715215</v>
      </c>
      <c r="AN59" s="716" t="str">
        <f>_xlfn.XLOOKUP(D59,RUC!$B$3:$B$578,RUC!$M$3:$M$578)</f>
        <v>Ronald Garibay</v>
      </c>
      <c r="AO59" s="1167" t="s">
        <v>2278</v>
      </c>
      <c r="AP59" s="1843">
        <v>443</v>
      </c>
      <c r="AQ59" s="1866" t="s">
        <v>5539</v>
      </c>
    </row>
    <row r="60" spans="1:44" ht="15" customHeight="1">
      <c r="A60" s="747" t="s">
        <v>5496</v>
      </c>
      <c r="B60" s="1447">
        <v>46150</v>
      </c>
      <c r="C60" s="1447">
        <v>46145</v>
      </c>
      <c r="D60" s="1831" t="s">
        <v>2004</v>
      </c>
      <c r="E60" s="762">
        <f>_xlfn.XLOOKUP(D60,RUC!$B$3:$B$123,RUC!$D$3:$D$123)</f>
        <v>20612921866</v>
      </c>
      <c r="F60" s="629" t="s">
        <v>2614</v>
      </c>
      <c r="G60" s="762">
        <v>23</v>
      </c>
      <c r="H60" s="1082" t="s">
        <v>2005</v>
      </c>
      <c r="I60" s="703">
        <v>2.2000000000000002</v>
      </c>
      <c r="J60" s="596">
        <v>2.2999999999999998</v>
      </c>
      <c r="K60" s="703">
        <f t="shared" si="26"/>
        <v>2.149</v>
      </c>
      <c r="L60" s="1745">
        <v>0.11799999999999999</v>
      </c>
      <c r="M60" s="994">
        <f>ROUND(+IF(L60&gt;_xlfn.XLOOKUP(AN60,RUC!M:M,RUC!K:K),L60*_xlfn.XLOOKUP(AN60,RUC!M:M,RUC!I:I),L60-_xlfn.XLOOKUP(AN60,RUC!M:M,RUC!J:J)),3)-0.008</f>
        <v>9.0999999999999998E-2</v>
      </c>
      <c r="N60" s="1444">
        <v>0.14799999999999999</v>
      </c>
      <c r="O60" s="645">
        <f t="shared" si="27"/>
        <v>0.12</v>
      </c>
      <c r="P60" s="727">
        <v>90</v>
      </c>
      <c r="Q60" s="1476">
        <v>95.76</v>
      </c>
      <c r="R60" s="706">
        <v>4576.8</v>
      </c>
      <c r="S60" s="765">
        <f>IF((_xlfn.XLOOKUP(D60,RUC!$B$3:$B$119,RUC!$E$3:$E$119)+ROUNDDOWN(O60,1)*100)&lt;95,95,((_xlfn.XLOOKUP(D60,RUC!$B$3:$B$119,RUC!$E$3:$E$119)+ROUNDDOWN(O60,1)*100)))</f>
        <v>95</v>
      </c>
      <c r="U60" s="1146">
        <f>_xlfn.XLOOKUP(D60,RUC!$B$3:$B$123,RUC!$F$3:$F$123)</f>
        <v>100</v>
      </c>
      <c r="V60" s="715">
        <v>1.1023000000000001</v>
      </c>
      <c r="Y60">
        <f>_xlfn.XLOOKUP(D60,RUC!$B$3:$B$123,RUC!$G$3:$G$123)</f>
        <v>0</v>
      </c>
      <c r="Z60" s="143">
        <f>_xlfn.XLOOKUP(D60,RUC!$B$3:$B$123,RUC!$H$3:$H$123)</f>
        <v>30</v>
      </c>
      <c r="AA60" s="144">
        <f t="shared" si="28"/>
        <v>30</v>
      </c>
      <c r="AB60" s="145">
        <f t="shared" si="24"/>
        <v>395.16837711999995</v>
      </c>
      <c r="AC60" s="145">
        <f>+(S60-T60)*V60-'data 1'!$F$4</f>
        <v>24.718500000000006</v>
      </c>
      <c r="AD60" s="145">
        <f t="shared" si="29"/>
        <v>33.540689866752032</v>
      </c>
      <c r="AE60" s="145">
        <f t="shared" si="30"/>
        <v>-36.930999999999997</v>
      </c>
      <c r="AF60" s="145">
        <f t="shared" si="31"/>
        <v>-9.4510842209280099</v>
      </c>
      <c r="AG60" s="772">
        <f t="shared" si="38"/>
        <v>28.877105645824031</v>
      </c>
      <c r="AH60" s="1253">
        <f t="shared" si="32"/>
        <v>8.3260000000000005</v>
      </c>
      <c r="AI60" s="1253">
        <f t="shared" si="33"/>
        <v>8.6940000000000008</v>
      </c>
      <c r="AJ60" s="156">
        <f t="shared" si="34"/>
        <v>52.712256901247983</v>
      </c>
      <c r="AK60" s="156">
        <f t="shared" si="35"/>
        <v>7.9573642833006009</v>
      </c>
      <c r="AM60" s="716">
        <f t="shared" si="36"/>
        <v>849.21684243087986</v>
      </c>
      <c r="AN60" s="716" t="str">
        <f>_xlfn.XLOOKUP(D60,RUC!$B$3:$B$578,RUC!$M$3:$M$578)</f>
        <v>Ronald Garibay</v>
      </c>
      <c r="AO60" s="1167" t="s">
        <v>2278</v>
      </c>
      <c r="AP60" s="1843">
        <v>443</v>
      </c>
      <c r="AQ60" s="1866" t="s">
        <v>5539</v>
      </c>
    </row>
    <row r="61" spans="1:44" ht="15" customHeight="1">
      <c r="A61" s="747" t="s">
        <v>5500</v>
      </c>
      <c r="B61" s="1447">
        <v>46152</v>
      </c>
      <c r="C61" s="1447">
        <v>46146</v>
      </c>
      <c r="D61" t="s">
        <v>1967</v>
      </c>
      <c r="E61" s="762">
        <f>_xlfn.XLOOKUP(D61,RUC!$B$3:$B$123,RUC!$D$3:$D$123)</f>
        <v>20601769396</v>
      </c>
      <c r="F61" s="629" t="s">
        <v>5537</v>
      </c>
      <c r="G61" s="762">
        <v>39</v>
      </c>
      <c r="H61" s="1082" t="s">
        <v>69</v>
      </c>
      <c r="I61" s="703">
        <v>2.75</v>
      </c>
      <c r="J61" s="596">
        <v>11.98</v>
      </c>
      <c r="K61" s="703">
        <f t="shared" si="26"/>
        <v>2.4209999999999998</v>
      </c>
      <c r="L61" s="1745">
        <v>0.313</v>
      </c>
      <c r="M61" s="994">
        <f>ROUND(+IF(L61&gt;_xlfn.XLOOKUP(AN61,RUC!M:M,RUC!K:K),L61*_xlfn.XLOOKUP(AN61,RUC!M:M,RUC!I:I),L61-_xlfn.XLOOKUP(AN61,RUC!M:M,RUC!J:J)),3)</f>
        <v>0.29399999999999998</v>
      </c>
      <c r="N61" s="1196">
        <f t="shared" ref="N61:N66" si="39">+M61</f>
        <v>0.29399999999999998</v>
      </c>
      <c r="O61" s="645">
        <f t="shared" si="27"/>
        <v>0.29399999999999998</v>
      </c>
      <c r="P61" s="727">
        <v>90</v>
      </c>
      <c r="Q61" s="1476">
        <v>95.85</v>
      </c>
      <c r="R61" s="706">
        <v>4576.8</v>
      </c>
      <c r="S61" s="765">
        <f>IF((_xlfn.XLOOKUP(D61,RUC!$B$3:$B$119,RUC!$E$3:$E$119)+ROUNDDOWN(O61,1)*100)&lt;95,95,((_xlfn.XLOOKUP(D61,RUC!$B$3:$B$119,RUC!$E$3:$E$119)+ROUNDDOWN(O61,1)*100)))</f>
        <v>110</v>
      </c>
      <c r="U61" s="1146">
        <f>_xlfn.XLOOKUP(D61,RUC!$B$3:$B$123,RUC!$F$3:$F$123)</f>
        <v>120</v>
      </c>
      <c r="V61" s="715">
        <v>1.1023000000000001</v>
      </c>
      <c r="Y61">
        <f>_xlfn.XLOOKUP(D61,RUC!$B$3:$B$123,RUC!$G$3:$G$123)</f>
        <v>20</v>
      </c>
      <c r="Z61" s="143">
        <f>_xlfn.XLOOKUP(D61,RUC!$B$3:$B$123,RUC!$H$3:$H$123)</f>
        <v>30</v>
      </c>
      <c r="AA61" s="144">
        <f t="shared" si="28"/>
        <v>50</v>
      </c>
      <c r="AB61" s="145">
        <f t="shared" si="24"/>
        <v>1123.5405273440001</v>
      </c>
      <c r="AC61" s="145">
        <f>+(S61-T61)*V61-'data 1'!$F$4</f>
        <v>41.253</v>
      </c>
      <c r="AD61" s="145">
        <f t="shared" si="29"/>
        <v>89.954554383719909</v>
      </c>
      <c r="AE61" s="145">
        <f t="shared" si="30"/>
        <v>-14.884999999999998</v>
      </c>
      <c r="AF61" s="145">
        <f t="shared" si="31"/>
        <v>89.468194050360083</v>
      </c>
      <c r="AG61" s="772">
        <f t="shared" si="38"/>
        <v>222.79074843408</v>
      </c>
      <c r="AH61" s="1253">
        <f t="shared" si="32"/>
        <v>24.902000000000001</v>
      </c>
      <c r="AI61" s="1253">
        <f t="shared" si="33"/>
        <v>25.981000000000002</v>
      </c>
      <c r="AJ61" s="156">
        <f t="shared" si="34"/>
        <v>146.56693766327993</v>
      </c>
      <c r="AK61" s="156">
        <f t="shared" si="35"/>
        <v>21.963103014510626</v>
      </c>
      <c r="AM61" s="716">
        <f t="shared" si="36"/>
        <v>2720.091616699824</v>
      </c>
      <c r="AN61" s="716" t="str">
        <f>_xlfn.XLOOKUP(D61,RUC!$B$3:$B$578,RUC!$M$3:$M$578)</f>
        <v>Evelyn</v>
      </c>
      <c r="AO61" s="1167" t="s">
        <v>2280</v>
      </c>
      <c r="AP61" s="1843">
        <v>294</v>
      </c>
      <c r="AQ61" s="1866" t="s">
        <v>3218</v>
      </c>
    </row>
    <row r="62" spans="1:44" ht="15" customHeight="1">
      <c r="A62" s="747" t="s">
        <v>5501</v>
      </c>
      <c r="B62" s="1447">
        <v>46152</v>
      </c>
      <c r="C62" s="1447">
        <v>46146</v>
      </c>
      <c r="D62" t="s">
        <v>1967</v>
      </c>
      <c r="E62" s="762">
        <f>_xlfn.XLOOKUP(D62,RUC!$B$3:$B$123,RUC!$D$3:$D$123)</f>
        <v>20601769396</v>
      </c>
      <c r="F62" s="629" t="s">
        <v>5537</v>
      </c>
      <c r="G62" s="762">
        <v>40</v>
      </c>
      <c r="H62" s="1082" t="s">
        <v>69</v>
      </c>
      <c r="I62" s="703">
        <v>2.69</v>
      </c>
      <c r="J62" s="596">
        <v>10.78</v>
      </c>
      <c r="K62" s="703">
        <f t="shared" si="26"/>
        <v>2.4</v>
      </c>
      <c r="L62" s="1193">
        <v>0.19800000000000001</v>
      </c>
      <c r="M62" s="994">
        <f>ROUND(+IF(L62&gt;_xlfn.XLOOKUP(AN62,RUC!M:M,RUC!K:K),L62*_xlfn.XLOOKUP(AN62,RUC!M:M,RUC!I:I),L62-_xlfn.XLOOKUP(AN62,RUC!M:M,RUC!J:J)),3)</f>
        <v>0.17899999999999999</v>
      </c>
      <c r="N62" s="1196">
        <f t="shared" si="39"/>
        <v>0.17899999999999999</v>
      </c>
      <c r="O62" s="645">
        <f t="shared" si="27"/>
        <v>0.17899999999999999</v>
      </c>
      <c r="P62" s="727">
        <v>85</v>
      </c>
      <c r="Q62" s="1476">
        <v>94.69</v>
      </c>
      <c r="R62" s="706">
        <v>4576.8</v>
      </c>
      <c r="S62" s="765">
        <f>IF((_xlfn.XLOOKUP(D62,RUC!$B$3:$B$119,RUC!$E$3:$E$119)+ROUNDDOWN(O62,1)*100)&lt;95,95,((_xlfn.XLOOKUP(D62,RUC!$B$3:$B$119,RUC!$E$3:$E$119)+ROUNDDOWN(O62,1)*100)))</f>
        <v>100</v>
      </c>
      <c r="U62" s="1146">
        <f>_xlfn.XLOOKUP(D62,RUC!$B$3:$B$123,RUC!$F$3:$F$123)</f>
        <v>120</v>
      </c>
      <c r="V62" s="715">
        <v>1.1023000000000001</v>
      </c>
      <c r="Y62">
        <f>_xlfn.XLOOKUP(D62,RUC!$B$3:$B$123,RUC!$G$3:$G$123)</f>
        <v>20</v>
      </c>
      <c r="Z62" s="143">
        <f>_xlfn.XLOOKUP(D62,RUC!$B$3:$B$123,RUC!$H$3:$H$123)</f>
        <v>30</v>
      </c>
      <c r="AA62" s="144">
        <f t="shared" si="28"/>
        <v>50</v>
      </c>
      <c r="AB62" s="145">
        <f t="shared" si="24"/>
        <v>582.1269668760001</v>
      </c>
      <c r="AC62" s="145">
        <f>+(S62-T62)*V62-'data 1'!$F$4</f>
        <v>30.230000000000004</v>
      </c>
      <c r="AD62" s="145">
        <f t="shared" si="29"/>
        <v>94.256632605167979</v>
      </c>
      <c r="AE62" s="145">
        <f t="shared" si="30"/>
        <v>-14.884999999999998</v>
      </c>
      <c r="AF62" s="145">
        <f t="shared" si="31"/>
        <v>88.385428217304081</v>
      </c>
      <c r="AG62" s="772">
        <f t="shared" si="38"/>
        <v>214.98706082247207</v>
      </c>
      <c r="AH62" s="1253">
        <f t="shared" si="32"/>
        <v>15.427</v>
      </c>
      <c r="AI62" s="1253">
        <f t="shared" si="33"/>
        <v>16.292000000000002</v>
      </c>
      <c r="AJ62" s="156">
        <f t="shared" si="34"/>
        <v>91.594388156831954</v>
      </c>
      <c r="AK62" s="156">
        <f t="shared" si="35"/>
        <v>12.519652300338</v>
      </c>
      <c r="AM62" s="716">
        <f t="shared" si="36"/>
        <v>1397.1047205024001</v>
      </c>
      <c r="AN62" s="716" t="str">
        <f>_xlfn.XLOOKUP(D62,RUC!$B$3:$B$578,RUC!$M$3:$M$578)</f>
        <v>Evelyn</v>
      </c>
      <c r="AO62" s="1167" t="s">
        <v>2280</v>
      </c>
      <c r="AP62" s="1843">
        <v>294</v>
      </c>
      <c r="AQ62" s="1866" t="s">
        <v>3218</v>
      </c>
    </row>
    <row r="63" spans="1:44" ht="15" customHeight="1">
      <c r="A63" s="747" t="s">
        <v>5502</v>
      </c>
      <c r="B63" s="1447">
        <v>46152</v>
      </c>
      <c r="C63" s="1447">
        <v>46146</v>
      </c>
      <c r="D63" t="s">
        <v>1967</v>
      </c>
      <c r="E63" s="762">
        <f>_xlfn.XLOOKUP(D63,RUC!$B$3:$B$123,RUC!$D$3:$D$123)</f>
        <v>20601769396</v>
      </c>
      <c r="F63" s="629" t="s">
        <v>5537</v>
      </c>
      <c r="G63" s="762">
        <v>40</v>
      </c>
      <c r="H63" s="1082" t="s">
        <v>69</v>
      </c>
      <c r="I63" s="703">
        <v>2.7</v>
      </c>
      <c r="J63" s="596">
        <v>12.18</v>
      </c>
      <c r="K63" s="703">
        <f t="shared" si="26"/>
        <v>2.371</v>
      </c>
      <c r="L63" s="1193">
        <v>0.23899999999999999</v>
      </c>
      <c r="M63" s="994">
        <f>ROUND(+IF(L63&gt;_xlfn.XLOOKUP(AN63,RUC!M:M,RUC!K:K),L63*_xlfn.XLOOKUP(AN63,RUC!M:M,RUC!I:I),L63-_xlfn.XLOOKUP(AN63,RUC!M:M,RUC!J:J)),3)-0.01</f>
        <v>0.21</v>
      </c>
      <c r="N63" s="1196">
        <f t="shared" si="39"/>
        <v>0.21</v>
      </c>
      <c r="O63" s="645">
        <f t="shared" si="27"/>
        <v>0.21</v>
      </c>
      <c r="P63" s="727">
        <v>90</v>
      </c>
      <c r="Q63" s="1476">
        <v>93.64</v>
      </c>
      <c r="R63" s="706">
        <v>4576.8</v>
      </c>
      <c r="S63" s="765">
        <f>IF((_xlfn.XLOOKUP(D63,RUC!$B$3:$B$119,RUC!$E$3:$E$119)+ROUNDDOWN(O63,1)*100)&lt;95,95,((_xlfn.XLOOKUP(D63,RUC!$B$3:$B$119,RUC!$E$3:$E$119)+ROUNDDOWN(O63,1)*100)))</f>
        <v>110</v>
      </c>
      <c r="U63" s="1146">
        <f>_xlfn.XLOOKUP(D63,RUC!$B$3:$B$123,RUC!$F$3:$F$123)</f>
        <v>120</v>
      </c>
      <c r="V63" s="715">
        <v>1.1023000000000001</v>
      </c>
      <c r="Y63">
        <f>_xlfn.XLOOKUP(D63,RUC!$B$3:$B$123,RUC!$G$3:$G$123)</f>
        <v>20</v>
      </c>
      <c r="Z63" s="143">
        <f>_xlfn.XLOOKUP(D63,RUC!$B$3:$B$123,RUC!$H$3:$H$123)</f>
        <v>30</v>
      </c>
      <c r="AA63" s="144">
        <f t="shared" si="28"/>
        <v>50</v>
      </c>
      <c r="AB63" s="145">
        <f t="shared" si="24"/>
        <v>752.13809096</v>
      </c>
      <c r="AC63" s="145">
        <f>+(S63-T63)*V63-'data 1'!$F$4</f>
        <v>41.253</v>
      </c>
      <c r="AD63" s="145">
        <f t="shared" si="29"/>
        <v>42.738791475744009</v>
      </c>
      <c r="AE63" s="145">
        <f t="shared" si="30"/>
        <v>-14.884999999999998</v>
      </c>
      <c r="AF63" s="145">
        <f t="shared" si="31"/>
        <v>133.40814816758402</v>
      </c>
      <c r="AG63" s="772">
        <f t="shared" si="38"/>
        <v>219.51493964332803</v>
      </c>
      <c r="AH63" s="1253">
        <f t="shared" si="32"/>
        <v>18.193000000000001</v>
      </c>
      <c r="AI63" s="1253">
        <f t="shared" si="33"/>
        <v>19.428000000000001</v>
      </c>
      <c r="AJ63" s="156">
        <f t="shared" si="34"/>
        <v>109.33491335225595</v>
      </c>
      <c r="AK63" s="156">
        <f t="shared" si="35"/>
        <v>15.363933807577951</v>
      </c>
      <c r="AM63" s="716">
        <f t="shared" si="36"/>
        <v>1783.31941366616</v>
      </c>
      <c r="AN63" s="716" t="str">
        <f>_xlfn.XLOOKUP(D63,RUC!$B$3:$B$578,RUC!$M$3:$M$578)</f>
        <v>Evelyn</v>
      </c>
      <c r="AO63" s="1167" t="s">
        <v>2280</v>
      </c>
      <c r="AP63" s="1843">
        <v>294</v>
      </c>
      <c r="AQ63" s="1866" t="s">
        <v>3218</v>
      </c>
    </row>
    <row r="64" spans="1:44" ht="15" customHeight="1">
      <c r="A64" s="747" t="s">
        <v>5503</v>
      </c>
      <c r="B64" s="1447">
        <v>46152</v>
      </c>
      <c r="C64" s="1447">
        <v>46146</v>
      </c>
      <c r="D64" t="s">
        <v>1967</v>
      </c>
      <c r="E64" s="762">
        <f>_xlfn.XLOOKUP(D64,RUC!$B$3:$B$123,RUC!$D$3:$D$123)</f>
        <v>20601769396</v>
      </c>
      <c r="F64" s="629" t="s">
        <v>5537</v>
      </c>
      <c r="G64" s="762">
        <v>40</v>
      </c>
      <c r="H64" s="1082" t="s">
        <v>69</v>
      </c>
      <c r="I64" s="703">
        <v>2.73</v>
      </c>
      <c r="J64" s="596">
        <v>9.6</v>
      </c>
      <c r="K64" s="703">
        <f t="shared" si="26"/>
        <v>2.468</v>
      </c>
      <c r="L64" s="1193">
        <v>0.17299999999999999</v>
      </c>
      <c r="M64" s="994">
        <f>ROUND(+IF(L64&gt;_xlfn.XLOOKUP(AN64,RUC!M:M,RUC!K:K),L64*_xlfn.XLOOKUP(AN64,RUC!M:M,RUC!I:I),L64-_xlfn.XLOOKUP(AN64,RUC!M:M,RUC!J:J)),3)</f>
        <v>0.154</v>
      </c>
      <c r="N64" s="1196">
        <f t="shared" si="39"/>
        <v>0.154</v>
      </c>
      <c r="O64" s="645">
        <f t="shared" si="27"/>
        <v>0.154</v>
      </c>
      <c r="P64" s="727">
        <v>85</v>
      </c>
      <c r="Q64" s="1476">
        <v>93.71</v>
      </c>
      <c r="R64" s="706">
        <v>4576.8</v>
      </c>
      <c r="S64" s="765">
        <f>IF((_xlfn.XLOOKUP(D64,RUC!$B$3:$B$119,RUC!$E$3:$E$119)+ROUNDDOWN(O64,1)*100)&lt;95,95,((_xlfn.XLOOKUP(D64,RUC!$B$3:$B$119,RUC!$E$3:$E$119)+ROUNDDOWN(O64,1)*100)))</f>
        <v>100</v>
      </c>
      <c r="U64" s="1146">
        <f>_xlfn.XLOOKUP(D64,RUC!$B$3:$B$123,RUC!$F$3:$F$123)</f>
        <v>120</v>
      </c>
      <c r="V64" s="715">
        <v>1.1023000000000001</v>
      </c>
      <c r="Y64">
        <f>_xlfn.XLOOKUP(D64,RUC!$B$3:$B$123,RUC!$G$3:$G$123)</f>
        <v>20</v>
      </c>
      <c r="Z64" s="143">
        <f>_xlfn.XLOOKUP(D64,RUC!$B$3:$B$123,RUC!$H$3:$H$123)</f>
        <v>30</v>
      </c>
      <c r="AA64" s="144">
        <f t="shared" si="28"/>
        <v>50</v>
      </c>
      <c r="AB64" s="145">
        <f t="shared" si="24"/>
        <v>477.73144077600006</v>
      </c>
      <c r="AC64" s="145">
        <f>+(S64-T64)*V64-'data 1'!$F$4</f>
        <v>30.230000000000004</v>
      </c>
      <c r="AD64" s="145">
        <f t="shared" si="29"/>
        <v>74.026499102711952</v>
      </c>
      <c r="AE64" s="145">
        <f t="shared" si="30"/>
        <v>-14.884999999999998</v>
      </c>
      <c r="AF64" s="145">
        <f t="shared" si="31"/>
        <v>87.470677772135957</v>
      </c>
      <c r="AG64" s="772">
        <f t="shared" si="38"/>
        <v>193.84217687484792</v>
      </c>
      <c r="AH64" s="1253">
        <f t="shared" si="32"/>
        <v>13.718</v>
      </c>
      <c r="AI64" s="1253">
        <f t="shared" si="33"/>
        <v>14.638999999999999</v>
      </c>
      <c r="AJ64" s="156">
        <f t="shared" si="34"/>
        <v>79.201170526287967</v>
      </c>
      <c r="AK64" s="156">
        <f t="shared" si="35"/>
        <v>11.07627860589866</v>
      </c>
      <c r="AM64" s="716">
        <f t="shared" si="36"/>
        <v>1179.0411958351681</v>
      </c>
      <c r="AN64" s="716" t="str">
        <f>_xlfn.XLOOKUP(D64,RUC!$B$3:$B$578,RUC!$M$3:$M$578)</f>
        <v>Evelyn</v>
      </c>
      <c r="AO64" s="1167" t="s">
        <v>2280</v>
      </c>
      <c r="AP64" s="1843">
        <v>294</v>
      </c>
      <c r="AQ64" s="1866" t="s">
        <v>3218</v>
      </c>
    </row>
    <row r="65" spans="1:44" ht="15" customHeight="1">
      <c r="A65" s="747" t="s">
        <v>5504</v>
      </c>
      <c r="B65" s="1447">
        <v>46152</v>
      </c>
      <c r="C65" s="1447">
        <v>46146</v>
      </c>
      <c r="D65" t="s">
        <v>1967</v>
      </c>
      <c r="E65" s="762">
        <f>_xlfn.XLOOKUP(D65,RUC!$B$3:$B$123,RUC!$D$3:$D$123)</f>
        <v>20601769396</v>
      </c>
      <c r="F65" s="629" t="s">
        <v>5537</v>
      </c>
      <c r="G65" s="762">
        <v>40</v>
      </c>
      <c r="H65" s="1082" t="s">
        <v>69</v>
      </c>
      <c r="I65" s="703">
        <v>2.6</v>
      </c>
      <c r="J65" s="596">
        <v>12.08</v>
      </c>
      <c r="K65" s="703">
        <f t="shared" si="26"/>
        <v>2.286</v>
      </c>
      <c r="L65" s="1193">
        <v>0.28799999999999998</v>
      </c>
      <c r="M65" s="994">
        <f>ROUND(+IF(L65&gt;_xlfn.XLOOKUP(AN65,RUC!M:M,RUC!K:K),L65*_xlfn.XLOOKUP(AN65,RUC!M:M,RUC!I:I),L65-_xlfn.XLOOKUP(AN65,RUC!M:M,RUC!J:J)),3)</f>
        <v>0.26900000000000002</v>
      </c>
      <c r="N65" s="1196">
        <f t="shared" si="39"/>
        <v>0.26900000000000002</v>
      </c>
      <c r="O65" s="645">
        <f t="shared" si="27"/>
        <v>0.26900000000000002</v>
      </c>
      <c r="P65" s="727">
        <v>90</v>
      </c>
      <c r="Q65" s="1476">
        <v>94.79</v>
      </c>
      <c r="R65" s="706">
        <v>4576.8</v>
      </c>
      <c r="S65" s="765">
        <f>IF((_xlfn.XLOOKUP(D65,RUC!$B$3:$B$119,RUC!$E$3:$E$119)+ROUNDDOWN(O65,1)*100)&lt;95,95,((_xlfn.XLOOKUP(D65,RUC!$B$3:$B$119,RUC!$E$3:$E$119)+ROUNDDOWN(O65,1)*100)))</f>
        <v>110</v>
      </c>
      <c r="U65" s="1146">
        <f>_xlfn.XLOOKUP(D65,RUC!$B$3:$B$123,RUC!$F$3:$F$123)</f>
        <v>120</v>
      </c>
      <c r="V65" s="715">
        <v>1.1023000000000001</v>
      </c>
      <c r="Y65">
        <f>_xlfn.XLOOKUP(D65,RUC!$B$3:$B$123,RUC!$G$3:$G$123)</f>
        <v>20</v>
      </c>
      <c r="Z65" s="143">
        <f>_xlfn.XLOOKUP(D65,RUC!$B$3:$B$123,RUC!$H$3:$H$123)</f>
        <v>30</v>
      </c>
      <c r="AA65" s="144">
        <f t="shared" si="28"/>
        <v>50</v>
      </c>
      <c r="AB65" s="145">
        <f t="shared" si="24"/>
        <v>1013.0040879440003</v>
      </c>
      <c r="AC65" s="145">
        <f>+(S65-T65)*V65-'data 1'!$F$4</f>
        <v>41.253</v>
      </c>
      <c r="AD65" s="145">
        <f t="shared" si="29"/>
        <v>67.772101724928092</v>
      </c>
      <c r="AE65" s="145">
        <f t="shared" si="30"/>
        <v>-14.884999999999998</v>
      </c>
      <c r="AF65" s="145">
        <f t="shared" si="31"/>
        <v>88.47877009946383</v>
      </c>
      <c r="AG65" s="772">
        <f t="shared" si="38"/>
        <v>199.61887182439193</v>
      </c>
      <c r="AH65" s="1253">
        <f t="shared" si="32"/>
        <v>21.396000000000001</v>
      </c>
      <c r="AI65" s="1253">
        <f t="shared" si="33"/>
        <v>22.571999999999999</v>
      </c>
      <c r="AJ65" s="156">
        <f t="shared" si="34"/>
        <v>133.36890029107195</v>
      </c>
      <c r="AK65" s="156">
        <f t="shared" si="35"/>
        <v>18.974925733624833</v>
      </c>
      <c r="AM65" s="716">
        <f t="shared" si="36"/>
        <v>2315.7273450399848</v>
      </c>
      <c r="AN65" s="716" t="str">
        <f>_xlfn.XLOOKUP(D65,RUC!$B$3:$B$578,RUC!$M$3:$M$578)</f>
        <v>Evelyn</v>
      </c>
      <c r="AO65" s="1167" t="s">
        <v>2280</v>
      </c>
      <c r="AP65" s="1843">
        <v>294</v>
      </c>
      <c r="AQ65" s="1866" t="s">
        <v>3218</v>
      </c>
    </row>
    <row r="66" spans="1:44" ht="15" customHeight="1">
      <c r="A66" s="747" t="s">
        <v>5505</v>
      </c>
      <c r="B66" s="1447">
        <v>46153</v>
      </c>
      <c r="C66" s="1447">
        <v>46146</v>
      </c>
      <c r="D66" t="s">
        <v>1967</v>
      </c>
      <c r="E66" s="762">
        <f>_xlfn.XLOOKUP(D66,RUC!$B$3:$B$123,RUC!$D$3:$D$123)</f>
        <v>20601769396</v>
      </c>
      <c r="F66" s="629" t="s">
        <v>5538</v>
      </c>
      <c r="G66" s="762">
        <v>50</v>
      </c>
      <c r="H66" s="1082" t="s">
        <v>108</v>
      </c>
      <c r="I66" s="703">
        <v>2.5</v>
      </c>
      <c r="J66" s="596">
        <v>3.6</v>
      </c>
      <c r="K66" s="703">
        <f t="shared" si="26"/>
        <v>2.41</v>
      </c>
      <c r="L66" s="1193">
        <v>0.66600000000000004</v>
      </c>
      <c r="M66" s="994">
        <f>ROUND(+IF(L66&gt;_xlfn.XLOOKUP(AN66,RUC!M:M,RUC!K:K),L66*_xlfn.XLOOKUP(AN66,RUC!M:M,RUC!I:I),L66-_xlfn.XLOOKUP(AN66,RUC!M:M,RUC!J:J)),3)</f>
        <v>0.626</v>
      </c>
      <c r="N66" s="1196">
        <f t="shared" si="39"/>
        <v>0.626</v>
      </c>
      <c r="O66" s="645">
        <f t="shared" si="27"/>
        <v>0.626</v>
      </c>
      <c r="P66" s="727">
        <v>90</v>
      </c>
      <c r="Q66" s="1476">
        <v>98.95</v>
      </c>
      <c r="R66" s="706">
        <v>4576.8</v>
      </c>
      <c r="S66" s="765">
        <f>IF((_xlfn.XLOOKUP(D66,RUC!$B$3:$B$119,RUC!$E$3:$E$119)+ROUNDDOWN(O66,1)*100)&lt;95,95,((_xlfn.XLOOKUP(D66,RUC!$B$3:$B$119,RUC!$E$3:$E$119)+ROUNDDOWN(O66,1)*100)))</f>
        <v>150</v>
      </c>
      <c r="U66" s="1146">
        <f>_xlfn.XLOOKUP(D66,RUC!$B$3:$B$123,RUC!$F$3:$F$123)</f>
        <v>120</v>
      </c>
      <c r="V66" s="715">
        <v>1.1023000000000001</v>
      </c>
      <c r="Y66" s="1445">
        <v>30</v>
      </c>
      <c r="Z66" s="1454">
        <v>70</v>
      </c>
      <c r="AA66" s="144">
        <f t="shared" si="28"/>
        <v>100</v>
      </c>
      <c r="AB66" s="145">
        <f t="shared" ref="AB66:AB86" si="40">+((O66*P66*(R66-U66)/100)-S66-AA66+T66)*V66</f>
        <v>2492.2574425760004</v>
      </c>
      <c r="AC66" s="145">
        <f>+(S66-T66)*V66-'data 1'!$F$4</f>
        <v>85.344999999999999</v>
      </c>
      <c r="AD66" s="145">
        <f t="shared" si="29"/>
        <v>292.83313525848013</v>
      </c>
      <c r="AE66" s="145">
        <f t="shared" si="30"/>
        <v>40.230000000000004</v>
      </c>
      <c r="AF66" s="145">
        <f t="shared" si="31"/>
        <v>194.4458787312002</v>
      </c>
      <c r="AG66" s="772">
        <f t="shared" si="38"/>
        <v>629.85401398968031</v>
      </c>
      <c r="AH66" s="1253">
        <f t="shared" si="32"/>
        <v>54.451999999999998</v>
      </c>
      <c r="AI66" s="1253">
        <f t="shared" si="33"/>
        <v>55.03</v>
      </c>
      <c r="AJ66" s="156">
        <f t="shared" si="34"/>
        <v>321.95085801551988</v>
      </c>
      <c r="AK66" s="156">
        <f t="shared" si="35"/>
        <v>46.552494181961713</v>
      </c>
      <c r="AM66" s="716">
        <f t="shared" si="36"/>
        <v>6006.3404366081613</v>
      </c>
      <c r="AN66" s="716" t="str">
        <f>_xlfn.XLOOKUP(D66,RUC!$B$3:$B$578,RUC!$M$3:$M$578)</f>
        <v>Evelyn</v>
      </c>
      <c r="AO66" s="1167" t="s">
        <v>2278</v>
      </c>
      <c r="AP66" s="1843">
        <v>294</v>
      </c>
      <c r="AQ66" s="1866" t="s">
        <v>3218</v>
      </c>
    </row>
    <row r="67" spans="1:44" ht="15" customHeight="1">
      <c r="A67" s="747" t="s">
        <v>5506</v>
      </c>
      <c r="B67" s="1447">
        <v>46153</v>
      </c>
      <c r="C67" s="1447">
        <v>46146</v>
      </c>
      <c r="D67" t="s">
        <v>1967</v>
      </c>
      <c r="E67" s="762">
        <f>_xlfn.XLOOKUP(D67,RUC!$B$3:$B$123,RUC!$D$3:$D$123)</f>
        <v>20601769396</v>
      </c>
      <c r="F67" s="629" t="s">
        <v>5538</v>
      </c>
      <c r="G67" s="762">
        <v>50</v>
      </c>
      <c r="H67" s="1082" t="s">
        <v>108</v>
      </c>
      <c r="I67" s="703">
        <v>2.44</v>
      </c>
      <c r="J67" s="596">
        <v>3</v>
      </c>
      <c r="K67" s="703">
        <f t="shared" si="26"/>
        <v>2.367</v>
      </c>
      <c r="L67" s="1193">
        <v>0.68100000000000005</v>
      </c>
      <c r="M67" s="994">
        <f>ROUND(+IF(L67&gt;_xlfn.XLOOKUP(AN67,RUC!M:M,RUC!K:K),L67*_xlfn.XLOOKUP(AN67,RUC!M:M,RUC!I:I),L67-_xlfn.XLOOKUP(AN67,RUC!M:M,RUC!J:J)),3)</f>
        <v>0.64</v>
      </c>
      <c r="N67" s="1444">
        <v>0.745</v>
      </c>
      <c r="O67" s="1546">
        <v>0.745</v>
      </c>
      <c r="P67" s="727">
        <v>90</v>
      </c>
      <c r="Q67" s="1476">
        <v>97.75</v>
      </c>
      <c r="R67" s="706">
        <v>4576.8</v>
      </c>
      <c r="S67" s="765">
        <f>IF((_xlfn.XLOOKUP(D67,RUC!$B$3:$B$119,RUC!$E$3:$E$119)+ROUNDDOWN(O67,1)*100)&lt;95,95,((_xlfn.XLOOKUP(D67,RUC!$B$3:$B$119,RUC!$E$3:$E$119)+ROUNDDOWN(O67,1)*100)))</f>
        <v>160</v>
      </c>
      <c r="U67" s="1146">
        <f>_xlfn.XLOOKUP(D67,RUC!$B$3:$B$123,RUC!$F$3:$F$123)</f>
        <v>120</v>
      </c>
      <c r="V67" s="715">
        <v>1.1023000000000001</v>
      </c>
      <c r="Y67" s="1445">
        <v>40</v>
      </c>
      <c r="Z67" s="1454">
        <v>70</v>
      </c>
      <c r="AA67" s="144">
        <f t="shared" si="28"/>
        <v>110</v>
      </c>
      <c r="AB67" s="145">
        <f t="shared" si="40"/>
        <v>2996.3648941200004</v>
      </c>
      <c r="AC67" s="145">
        <f>+(S67-T67)*V67-'data 1'!$F$4</f>
        <v>96.367999999999995</v>
      </c>
      <c r="AD67" s="145">
        <f t="shared" si="29"/>
        <v>259.2816413526001</v>
      </c>
      <c r="AE67" s="145">
        <f t="shared" si="30"/>
        <v>51.253</v>
      </c>
      <c r="AF67" s="145">
        <f t="shared" si="31"/>
        <v>-307.34042883839982</v>
      </c>
      <c r="AG67" s="772">
        <f t="shared" si="38"/>
        <v>116.56221251420027</v>
      </c>
      <c r="AH67" s="1253">
        <f t="shared" si="32"/>
        <v>54.021999999999998</v>
      </c>
      <c r="AI67" s="1253">
        <f t="shared" si="33"/>
        <v>55.265999999999998</v>
      </c>
      <c r="AJ67" s="156">
        <f t="shared" si="34"/>
        <v>325.20965981639989</v>
      </c>
      <c r="AK67" s="156">
        <f t="shared" si="35"/>
        <v>54.413430811371683</v>
      </c>
      <c r="AM67" s="716">
        <f t="shared" si="36"/>
        <v>7092.395704382041</v>
      </c>
      <c r="AN67" s="716" t="str">
        <f>_xlfn.XLOOKUP(D67,RUC!$B$3:$B$578,RUC!$M$3:$M$578)</f>
        <v>Evelyn</v>
      </c>
      <c r="AO67" s="1167" t="s">
        <v>2278</v>
      </c>
      <c r="AP67" s="1843">
        <v>294</v>
      </c>
      <c r="AQ67" s="1866" t="s">
        <v>3218</v>
      </c>
      <c r="AR67" s="1880" t="s">
        <v>5588</v>
      </c>
    </row>
    <row r="68" spans="1:44" ht="15" customHeight="1">
      <c r="A68" s="747" t="s">
        <v>5509</v>
      </c>
      <c r="B68" s="1447">
        <v>46152</v>
      </c>
      <c r="C68" s="1447">
        <v>46146</v>
      </c>
      <c r="D68" t="s">
        <v>93</v>
      </c>
      <c r="E68" s="762">
        <f>_xlfn.XLOOKUP(D68,RUC!$B$3:$B$123,RUC!$D$3:$D$123)</f>
        <v>20169040231</v>
      </c>
      <c r="F68" s="629" t="s">
        <v>5533</v>
      </c>
      <c r="G68" s="762">
        <v>60</v>
      </c>
      <c r="H68" s="1082" t="s">
        <v>69</v>
      </c>
      <c r="I68" s="703">
        <v>5.58</v>
      </c>
      <c r="J68" s="596">
        <v>2</v>
      </c>
      <c r="K68" s="703">
        <f t="shared" si="26"/>
        <v>5.468</v>
      </c>
      <c r="L68" s="1193">
        <v>0.25900000000000001</v>
      </c>
      <c r="M68" s="994">
        <f>ROUND(+IF(L68&gt;_xlfn.XLOOKUP(AN68,RUC!M:M,RUC!K:K),L68*_xlfn.XLOOKUP(AN68,RUC!M:M,RUC!I:I),L68-_xlfn.XLOOKUP(AN68,RUC!M:M,RUC!J:J)),3)</f>
        <v>0.24</v>
      </c>
      <c r="N68" s="1444">
        <v>0.29299999999999998</v>
      </c>
      <c r="O68" s="645">
        <f t="shared" ref="O68:O86" si="41">+ROUND((M68+N68)/2,3)</f>
        <v>0.26700000000000002</v>
      </c>
      <c r="P68" s="727">
        <v>90</v>
      </c>
      <c r="Q68" s="1476">
        <v>96.53</v>
      </c>
      <c r="R68" s="706">
        <v>4576.8</v>
      </c>
      <c r="S68" s="765">
        <f>IF((_xlfn.XLOOKUP(D68,RUC!$B$3:$B$119,RUC!$E$3:$E$119)+ROUNDDOWN(O68,1)*100)&lt;95,95,((_xlfn.XLOOKUP(D68,RUC!$B$3:$B$119,RUC!$E$3:$E$119)+ROUNDDOWN(O68,1)*100)))</f>
        <v>105</v>
      </c>
      <c r="U68" s="1146">
        <f>_xlfn.XLOOKUP(D68,RUC!$B$3:$B$123,RUC!$F$3:$F$123)</f>
        <v>120</v>
      </c>
      <c r="V68" s="715">
        <v>1.1023000000000001</v>
      </c>
      <c r="Y68" s="891">
        <v>30</v>
      </c>
      <c r="Z68" s="1454">
        <v>35</v>
      </c>
      <c r="AA68" s="144">
        <f t="shared" si="28"/>
        <v>65</v>
      </c>
      <c r="AB68" s="145">
        <f t="shared" si="40"/>
        <v>993.1381727920002</v>
      </c>
      <c r="AC68" s="145">
        <f>+(S68-T68)*V68-'data 1'!$F$4</f>
        <v>35.741500000000002</v>
      </c>
      <c r="AD68" s="145">
        <f t="shared" si="29"/>
        <v>83.087539495128027</v>
      </c>
      <c r="AE68" s="145">
        <f t="shared" si="30"/>
        <v>1.6495000000000033</v>
      </c>
      <c r="AF68" s="145">
        <f t="shared" si="31"/>
        <v>-37.938071094336038</v>
      </c>
      <c r="AG68" s="772">
        <f t="shared" si="38"/>
        <v>99.540468400792008</v>
      </c>
      <c r="AH68" s="1253">
        <f t="shared" si="32"/>
        <v>46.871000000000002</v>
      </c>
      <c r="AI68" s="1253">
        <f t="shared" si="33"/>
        <v>48.555</v>
      </c>
      <c r="AJ68" s="156">
        <f t="shared" si="34"/>
        <v>122.14104444987197</v>
      </c>
      <c r="AK68" s="156">
        <f t="shared" si="35"/>
        <v>45.049642196333224</v>
      </c>
      <c r="AM68" s="716">
        <f t="shared" si="36"/>
        <v>5430.4795288266569</v>
      </c>
      <c r="AN68" s="716" t="str">
        <f>_xlfn.XLOOKUP(D68,RUC!$B$3:$B$578,RUC!$M$3:$M$578)</f>
        <v>Ronald Miranda</v>
      </c>
      <c r="AO68" s="1167" t="s">
        <v>2280</v>
      </c>
      <c r="AP68" s="1843">
        <v>6587</v>
      </c>
      <c r="AQ68" s="1866" t="s">
        <v>2966</v>
      </c>
    </row>
    <row r="69" spans="1:44" ht="15" customHeight="1">
      <c r="A69" s="747" t="s">
        <v>5510</v>
      </c>
      <c r="B69" s="1447">
        <v>46152</v>
      </c>
      <c r="C69" s="1447">
        <v>46146</v>
      </c>
      <c r="D69" t="s">
        <v>93</v>
      </c>
      <c r="E69" s="762">
        <f>_xlfn.XLOOKUP(D69,RUC!$B$3:$B$123,RUC!$D$3:$D$123)</f>
        <v>20169040231</v>
      </c>
      <c r="F69" s="629" t="s">
        <v>5534</v>
      </c>
      <c r="G69" s="762">
        <v>49</v>
      </c>
      <c r="H69" s="1082" t="s">
        <v>69</v>
      </c>
      <c r="I69" s="703">
        <v>4.2</v>
      </c>
      <c r="J69" s="596">
        <v>2.2000000000000002</v>
      </c>
      <c r="K69" s="703">
        <f t="shared" si="26"/>
        <v>4.1079999999999997</v>
      </c>
      <c r="L69" s="1193">
        <v>0.32900000000000001</v>
      </c>
      <c r="M69" s="994">
        <f>ROUND(+IF(L69&gt;_xlfn.XLOOKUP(AN69,RUC!M:M,RUC!K:K),L69*_xlfn.XLOOKUP(AN69,RUC!M:M,RUC!I:I),L69-_xlfn.XLOOKUP(AN69,RUC!M:M,RUC!J:J)),3)</f>
        <v>0.309</v>
      </c>
      <c r="N69" s="1196">
        <f>+M69</f>
        <v>0.309</v>
      </c>
      <c r="O69" s="645">
        <f t="shared" si="41"/>
        <v>0.309</v>
      </c>
      <c r="P69" s="727">
        <v>90</v>
      </c>
      <c r="Q69" s="1476">
        <v>97.87</v>
      </c>
      <c r="R69" s="706">
        <v>4576.8</v>
      </c>
      <c r="S69" s="765">
        <f>IF((_xlfn.XLOOKUP(D69,RUC!$B$3:$B$119,RUC!$E$3:$E$119)+ROUNDDOWN(O69,1)*100)&lt;95,95,((_xlfn.XLOOKUP(D69,RUC!$B$3:$B$119,RUC!$E$3:$E$119)+ROUNDDOWN(O69,1)*100)))</f>
        <v>115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54">
        <v>35</v>
      </c>
      <c r="AA69" s="144">
        <f t="shared" si="28"/>
        <v>55</v>
      </c>
      <c r="AB69" s="145">
        <f t="shared" si="40"/>
        <v>1178.8393909839999</v>
      </c>
      <c r="AC69" s="145">
        <f>+(S69-T69)*V69-'data 1'!$F$4</f>
        <v>46.764500000000012</v>
      </c>
      <c r="AD69" s="145">
        <f t="shared" si="29"/>
        <v>127.20189555007211</v>
      </c>
      <c r="AE69" s="145">
        <f t="shared" si="30"/>
        <v>-9.3734999999999999</v>
      </c>
      <c r="AF69" s="145">
        <f t="shared" si="31"/>
        <v>96.161789547360101</v>
      </c>
      <c r="AG69" s="772">
        <f t="shared" si="38"/>
        <v>277.75468509743223</v>
      </c>
      <c r="AH69" s="1253">
        <f t="shared" si="32"/>
        <v>45.350999999999999</v>
      </c>
      <c r="AI69" s="1253">
        <f t="shared" si="33"/>
        <v>46.338000000000001</v>
      </c>
      <c r="AJ69" s="156">
        <f t="shared" si="34"/>
        <v>157.30591216692798</v>
      </c>
      <c r="AK69" s="156">
        <f t="shared" si="35"/>
        <v>39.168820439824138</v>
      </c>
      <c r="AM69" s="716">
        <f t="shared" si="36"/>
        <v>4842.6722181622708</v>
      </c>
      <c r="AN69" s="716" t="str">
        <f>_xlfn.XLOOKUP(D69,RUC!$B$3:$B$578,RUC!$M$3:$M$578)</f>
        <v>Ronald Miranda</v>
      </c>
      <c r="AO69" s="1167" t="s">
        <v>2280</v>
      </c>
      <c r="AP69" s="1843">
        <v>6587</v>
      </c>
      <c r="AQ69" s="1866" t="s">
        <v>2966</v>
      </c>
    </row>
    <row r="70" spans="1:44" ht="15" customHeight="1">
      <c r="A70" s="747" t="s">
        <v>5523</v>
      </c>
      <c r="B70" s="1447">
        <v>46151</v>
      </c>
      <c r="C70" s="1447">
        <v>46146</v>
      </c>
      <c r="D70" t="s">
        <v>1484</v>
      </c>
      <c r="E70" s="762">
        <f>_xlfn.XLOOKUP(D70,RUC!$B$3:$B$123,RUC!$D$3:$D$123)</f>
        <v>10761932735</v>
      </c>
      <c r="F70" s="629" t="s">
        <v>5529</v>
      </c>
      <c r="G70" s="762" t="s">
        <v>2985</v>
      </c>
      <c r="H70" s="1082" t="s">
        <v>69</v>
      </c>
      <c r="I70" s="703">
        <v>7.84</v>
      </c>
      <c r="J70" s="596">
        <v>12.5</v>
      </c>
      <c r="K70" s="703">
        <f t="shared" si="26"/>
        <v>6.86</v>
      </c>
      <c r="L70" s="1193">
        <v>0.17599999999999999</v>
      </c>
      <c r="M70" s="994">
        <f>ROUND(+IF(L70&gt;_xlfn.XLOOKUP(AN70,RUC!M:M,RUC!K:K),L70*_xlfn.XLOOKUP(AN70,RUC!M:M,RUC!I:I),L70-_xlfn.XLOOKUP(AN70,RUC!M:M,RUC!J:J)),3)</f>
        <v>0.14099999999999999</v>
      </c>
      <c r="N70" s="1444">
        <v>0.214</v>
      </c>
      <c r="O70" s="645">
        <f t="shared" si="41"/>
        <v>0.17799999999999999</v>
      </c>
      <c r="P70" s="727">
        <v>90</v>
      </c>
      <c r="Q70" s="1476">
        <v>96.02</v>
      </c>
      <c r="R70" s="706">
        <v>4576.8</v>
      </c>
      <c r="S70" s="765">
        <f>IF((_xlfn.XLOOKUP(D70,RUC!$B$3:$B$119,RUC!$E$3:$E$119)+ROUNDDOWN(O70,1)*100)&lt;95,95,((_xlfn.XLOOKUP(D70,RUC!$B$3:$B$119,RUC!$E$3:$E$119)+ROUNDDOWN(O70,1)*100)))</f>
        <v>100</v>
      </c>
      <c r="U70" s="1146">
        <f>_xlfn.XLOOKUP(D70,RUC!$B$3:$B$123,RUC!$F$3:$F$123)</f>
        <v>120</v>
      </c>
      <c r="V70" s="715">
        <v>1.1023000000000001</v>
      </c>
      <c r="Y70">
        <f>_xlfn.XLOOKUP(D70,RUC!$B$3:$B$123,RUC!$G$3:$G$123)</f>
        <v>20</v>
      </c>
      <c r="Z70" s="143">
        <f>_xlfn.XLOOKUP(D70,RUC!$B$3:$B$123,RUC!$H$3:$H$123)</f>
        <v>30</v>
      </c>
      <c r="AA70" s="144">
        <f t="shared" si="28"/>
        <v>50</v>
      </c>
      <c r="AB70" s="145">
        <f t="shared" si="40"/>
        <v>621.67444852800008</v>
      </c>
      <c r="AC70" s="145">
        <f>+(S70-T70)*V70-'data 1'!$F$4</f>
        <v>30.230000000000004</v>
      </c>
      <c r="AD70" s="145">
        <f t="shared" si="29"/>
        <v>52.05136367692797</v>
      </c>
      <c r="AE70" s="145">
        <f t="shared" si="30"/>
        <v>-14.884999999999998</v>
      </c>
      <c r="AF70" s="145">
        <f t="shared" si="31"/>
        <v>-9.4344079210560086</v>
      </c>
      <c r="AG70" s="772">
        <f t="shared" si="38"/>
        <v>74.961955755871983</v>
      </c>
      <c r="AH70" s="1253">
        <f t="shared" si="32"/>
        <v>39.747</v>
      </c>
      <c r="AI70" s="1253">
        <f t="shared" si="33"/>
        <v>41.395000000000003</v>
      </c>
      <c r="AJ70" s="156">
        <f t="shared" si="34"/>
        <v>82.560806851071959</v>
      </c>
      <c r="AK70" s="156">
        <f t="shared" si="35"/>
        <v>37.678681476084606</v>
      </c>
      <c r="AM70" s="716">
        <f t="shared" si="36"/>
        <v>4264.6867169020807</v>
      </c>
      <c r="AN70" s="716" t="str">
        <f>_xlfn.XLOOKUP(D70,RUC!$B$3:$B$578,RUC!$M$3:$M$578)</f>
        <v>Richard Sapacayo</v>
      </c>
      <c r="AO70" s="1167" t="s">
        <v>2278</v>
      </c>
      <c r="AP70" s="1843">
        <v>169</v>
      </c>
      <c r="AQ70" s="1082" t="s">
        <v>5398</v>
      </c>
    </row>
    <row r="71" spans="1:44" ht="15" customHeight="1">
      <c r="A71" s="747" t="s">
        <v>5524</v>
      </c>
      <c r="B71" s="1447">
        <v>46151</v>
      </c>
      <c r="C71" s="1447">
        <v>46146</v>
      </c>
      <c r="D71" t="s">
        <v>1484</v>
      </c>
      <c r="E71" s="762">
        <f>_xlfn.XLOOKUP(D71,RUC!$B$3:$B$123,RUC!$D$3:$D$123)</f>
        <v>10761932735</v>
      </c>
      <c r="F71" s="629" t="s">
        <v>5529</v>
      </c>
      <c r="G71" s="762" t="s">
        <v>2985</v>
      </c>
      <c r="H71" s="1082" t="s">
        <v>69</v>
      </c>
      <c r="I71" s="703">
        <v>18.190000000000001</v>
      </c>
      <c r="J71" s="596">
        <v>12.67</v>
      </c>
      <c r="K71" s="703">
        <f t="shared" si="26"/>
        <v>15.885</v>
      </c>
      <c r="L71" s="1193">
        <v>0.187</v>
      </c>
      <c r="M71" s="994">
        <f>ROUND(+IF(L71&gt;_xlfn.XLOOKUP(AN71,RUC!M:M,RUC!K:K),L71*_xlfn.XLOOKUP(AN71,RUC!M:M,RUC!I:I),L71-_xlfn.XLOOKUP(AN71,RUC!M:M,RUC!J:J)),3)</f>
        <v>0.152</v>
      </c>
      <c r="N71" s="1444">
        <v>0.20699999999999999</v>
      </c>
      <c r="O71" s="645">
        <f t="shared" si="41"/>
        <v>0.18</v>
      </c>
      <c r="P71" s="727">
        <v>90</v>
      </c>
      <c r="Q71" s="1476">
        <v>96.79</v>
      </c>
      <c r="R71" s="706">
        <v>4576.8</v>
      </c>
      <c r="S71" s="765">
        <f>IF((_xlfn.XLOOKUP(D71,RUC!$B$3:$B$119,RUC!$E$3:$E$119)+ROUNDDOWN(O71,1)*100)&lt;95,95,((_xlfn.XLOOKUP(D71,RUC!$B$3:$B$119,RUC!$E$3:$E$119)+ROUNDDOWN(O71,1)*100)))</f>
        <v>100</v>
      </c>
      <c r="U71" s="1146">
        <f>_xlfn.XLOOKUP(D71,RUC!$B$3:$B$123,RUC!$F$3:$F$123)</f>
        <v>120</v>
      </c>
      <c r="V71" s="715">
        <v>1.1023000000000001</v>
      </c>
      <c r="Y71">
        <f>_xlfn.XLOOKUP(D71,RUC!$B$3:$B$123,RUC!$G$3:$G$123)</f>
        <v>20</v>
      </c>
      <c r="Z71" s="143">
        <f>_xlfn.XLOOKUP(D71,RUC!$B$3:$B$123,RUC!$H$3:$H$123)</f>
        <v>30</v>
      </c>
      <c r="AA71" s="144">
        <f t="shared" si="28"/>
        <v>50</v>
      </c>
      <c r="AB71" s="145">
        <f t="shared" si="40"/>
        <v>630.51736368000013</v>
      </c>
      <c r="AC71" s="145">
        <f>+(S71-T71)*V71-'data 1'!$F$4</f>
        <v>30.230000000000004</v>
      </c>
      <c r="AD71" s="145">
        <f t="shared" si="29"/>
        <v>62.378414755272061</v>
      </c>
      <c r="AE71" s="145">
        <f t="shared" si="30"/>
        <v>-14.884999999999998</v>
      </c>
      <c r="AF71" s="145">
        <f t="shared" si="31"/>
        <v>33.285223905192034</v>
      </c>
      <c r="AG71" s="772">
        <f t="shared" si="38"/>
        <v>128.0086386604641</v>
      </c>
      <c r="AH71" s="1253">
        <f t="shared" si="32"/>
        <v>98.575000000000003</v>
      </c>
      <c r="AI71" s="1253">
        <f t="shared" si="33"/>
        <v>101.845</v>
      </c>
      <c r="AJ71" s="156">
        <f t="shared" si="34"/>
        <v>88.424305103727988</v>
      </c>
      <c r="AK71" s="156">
        <f t="shared" si="35"/>
        <v>88.228989046228506</v>
      </c>
      <c r="AM71" s="716">
        <f t="shared" si="36"/>
        <v>10015.768322056801</v>
      </c>
      <c r="AN71" s="716" t="str">
        <f>_xlfn.XLOOKUP(D71,RUC!$B$3:$B$578,RUC!$M$3:$M$578)</f>
        <v>Richard Sapacayo</v>
      </c>
      <c r="AO71" s="1167" t="s">
        <v>2278</v>
      </c>
      <c r="AP71" s="1843">
        <v>169</v>
      </c>
      <c r="AQ71" s="1082" t="s">
        <v>5398</v>
      </c>
    </row>
    <row r="72" spans="1:44" ht="15" customHeight="1">
      <c r="A72" s="747" t="s">
        <v>5525</v>
      </c>
      <c r="B72" s="1447">
        <v>46151</v>
      </c>
      <c r="C72" s="1447">
        <v>46146</v>
      </c>
      <c r="D72" t="s">
        <v>1484</v>
      </c>
      <c r="E72" s="762">
        <f>_xlfn.XLOOKUP(D72,RUC!$B$3:$B$123,RUC!$D$3:$D$123)</f>
        <v>10761932735</v>
      </c>
      <c r="F72" s="629" t="s">
        <v>5529</v>
      </c>
      <c r="G72" s="762">
        <v>82</v>
      </c>
      <c r="H72" s="1082" t="s">
        <v>69</v>
      </c>
      <c r="I72" s="703">
        <v>6.58</v>
      </c>
      <c r="J72" s="596">
        <v>11.6</v>
      </c>
      <c r="K72" s="703">
        <f t="shared" si="26"/>
        <v>5.8170000000000002</v>
      </c>
      <c r="L72" s="1193">
        <v>0.433</v>
      </c>
      <c r="M72" s="994">
        <f>ROUND(+IF(L72&gt;_xlfn.XLOOKUP(AN72,RUC!M:M,RUC!K:K),L72*_xlfn.XLOOKUP(AN72,RUC!M:M,RUC!I:I),L72-_xlfn.XLOOKUP(AN72,RUC!M:M,RUC!J:J)),3)</f>
        <v>0.39800000000000002</v>
      </c>
      <c r="N72" s="1196">
        <f>+M72</f>
        <v>0.39800000000000002</v>
      </c>
      <c r="O72" s="645">
        <f t="shared" si="41"/>
        <v>0.39800000000000002</v>
      </c>
      <c r="P72" s="727">
        <v>90</v>
      </c>
      <c r="Q72" s="1476">
        <v>95.265000000000001</v>
      </c>
      <c r="R72" s="706">
        <v>4576.8</v>
      </c>
      <c r="S72" s="765">
        <f>IF((_xlfn.XLOOKUP(D72,RUC!$B$3:$B$119,RUC!$E$3:$E$119)+ROUNDDOWN(O72,1)*100)&lt;95,95,((_xlfn.XLOOKUP(D72,RUC!$B$3:$B$119,RUC!$E$3:$E$119)+ROUNDDOWN(O72,1)*100)))</f>
        <v>120</v>
      </c>
      <c r="U72" s="1146">
        <f>_xlfn.XLOOKUP(D72,RUC!$B$3:$B$123,RUC!$F$3:$F$123)</f>
        <v>120</v>
      </c>
      <c r="V72" s="715">
        <v>1.1023000000000001</v>
      </c>
      <c r="Y72">
        <f>_xlfn.XLOOKUP(D72,RUC!$B$3:$B$123,RUC!$G$3:$G$123)</f>
        <v>20</v>
      </c>
      <c r="Z72" s="143">
        <f>_xlfn.XLOOKUP(D72,RUC!$B$3:$B$123,RUC!$H$3:$H$123)</f>
        <v>30</v>
      </c>
      <c r="AA72" s="144">
        <f t="shared" si="28"/>
        <v>50</v>
      </c>
      <c r="AB72" s="145">
        <f t="shared" si="40"/>
        <v>1572.3491152480001</v>
      </c>
      <c r="AC72" s="145">
        <f>+(S72-T72)*V72-'data 1'!$F$4</f>
        <v>52.27600000000001</v>
      </c>
      <c r="AD72" s="145">
        <f t="shared" si="29"/>
        <v>111.99773112886804</v>
      </c>
      <c r="AE72" s="145">
        <f t="shared" si="30"/>
        <v>-14.884999999999998</v>
      </c>
      <c r="AF72" s="145">
        <f t="shared" si="31"/>
        <v>163.80394954685988</v>
      </c>
      <c r="AG72" s="772">
        <f t="shared" si="38"/>
        <v>330.19268067572796</v>
      </c>
      <c r="AH72" s="1253">
        <f t="shared" si="32"/>
        <v>82.268000000000001</v>
      </c>
      <c r="AI72" s="1253">
        <f t="shared" si="33"/>
        <v>86.356999999999999</v>
      </c>
      <c r="AJ72" s="156">
        <f t="shared" si="34"/>
        <v>201.52124022463192</v>
      </c>
      <c r="AK72" s="156">
        <f t="shared" si="35"/>
        <v>71.438728239149683</v>
      </c>
      <c r="AM72" s="716">
        <f t="shared" si="36"/>
        <v>9146.3548033976167</v>
      </c>
      <c r="AN72" s="716" t="str">
        <f>_xlfn.XLOOKUP(D72,RUC!$B$3:$B$578,RUC!$M$3:$M$578)</f>
        <v>Richard Sapacayo</v>
      </c>
      <c r="AO72" s="1167" t="s">
        <v>2278</v>
      </c>
      <c r="AP72" s="1843">
        <v>169</v>
      </c>
      <c r="AQ72" s="1082" t="s">
        <v>5398</v>
      </c>
    </row>
    <row r="73" spans="1:44" ht="15" customHeight="1">
      <c r="A73" s="747" t="s">
        <v>5550</v>
      </c>
      <c r="B73" s="1447">
        <v>46153</v>
      </c>
      <c r="C73" s="1447">
        <v>46147</v>
      </c>
      <c r="D73" s="1831" t="s">
        <v>2004</v>
      </c>
      <c r="E73" s="762">
        <f>_xlfn.XLOOKUP(D73,RUC!$B$3:$B$123,RUC!$D$3:$D$123)</f>
        <v>20612921866</v>
      </c>
      <c r="F73" s="629" t="s">
        <v>2614</v>
      </c>
      <c r="G73" s="762" t="s">
        <v>2985</v>
      </c>
      <c r="H73" s="1082" t="s">
        <v>69</v>
      </c>
      <c r="I73" s="703">
        <v>9.56</v>
      </c>
      <c r="J73" s="596">
        <v>2.5</v>
      </c>
      <c r="K73" s="703">
        <f t="shared" ref="K73:K86" si="42">ROUND(+I73-(I73*(J73/100)),3)</f>
        <v>9.3209999999999997</v>
      </c>
      <c r="L73" s="1193">
        <v>0.129</v>
      </c>
      <c r="M73" s="994">
        <f>ROUND(+IF(L73&gt;_xlfn.XLOOKUP(AN73,RUC!M:M,RUC!K:K),L73*_xlfn.XLOOKUP(AN73,RUC!M:M,RUC!I:I),L73-_xlfn.XLOOKUP(AN73,RUC!M:M,RUC!J:J)),3)</f>
        <v>0.11</v>
      </c>
      <c r="N73" s="1196">
        <f>+M73</f>
        <v>0.11</v>
      </c>
      <c r="O73" s="645">
        <f t="shared" si="41"/>
        <v>0.11</v>
      </c>
      <c r="P73" s="727">
        <v>90</v>
      </c>
      <c r="Q73" s="1476">
        <v>90.7</v>
      </c>
      <c r="R73" s="706">
        <v>4576.8</v>
      </c>
      <c r="S73" s="765">
        <f>IF((_xlfn.XLOOKUP(D73,RUC!$B$3:$B$119,RUC!$E$3:$E$119)+ROUNDDOWN(O73,1)*100)&lt;95,95,((_xlfn.XLOOKUP(D73,RUC!$B$3:$B$119,RUC!$E$3:$E$119)+ROUNDDOWN(O73,1)*100)))</f>
        <v>95</v>
      </c>
      <c r="U73" s="1146">
        <f>_xlfn.XLOOKUP(D73,RUC!$B$3:$B$123,RUC!$F$3:$F$123)</f>
        <v>100</v>
      </c>
      <c r="V73" s="715">
        <v>1.1023000000000001</v>
      </c>
      <c r="Y73">
        <f>_xlfn.XLOOKUP(D73,RUC!$B$3:$B$123,RUC!$G$3:$G$123)</f>
        <v>0</v>
      </c>
      <c r="Z73" s="143">
        <f>_xlfn.XLOOKUP(D73,RUC!$B$3:$B$123,RUC!$H$3:$H$123)</f>
        <v>30</v>
      </c>
      <c r="AA73" s="144">
        <f t="shared" ref="AA73:AA86" si="43">+Y73+Z73</f>
        <v>30</v>
      </c>
      <c r="AB73" s="145">
        <f t="shared" si="40"/>
        <v>350.7553873600001</v>
      </c>
      <c r="AC73" s="145">
        <f>+(S73-T73)*V73-'data 1'!$F$4</f>
        <v>24.718500000000006</v>
      </c>
      <c r="AD73" s="145">
        <f t="shared" ref="AD73:AD86" si="44">+(Q73-P73)*(R73-U73)*L73*V73/100</f>
        <v>4.4561033059200188</v>
      </c>
      <c r="AE73" s="145">
        <f t="shared" ref="AE73:AE86" si="45">+(Y73*V73-70)+V73*(Z73-IF(D73="UNTUCA",IF(+((W73-3)*2.5+(X73-3)*3.1)&gt;0,+((W73-3)*1.5+(X73-3)*3.1),0),IF(+((W73-3)*1.5+(X73-3)*3.1)&gt;0,+((W73-3)*1.5+(X73-3)*3.1),0)))</f>
        <v>-36.930999999999997</v>
      </c>
      <c r="AF73" s="145">
        <f t="shared" ref="AF73:AF86" si="46">(L73-O73)*(R73-U73)*Q73*V73/100</f>
        <v>85.041005837120025</v>
      </c>
      <c r="AG73" s="772">
        <f>AC73+AD73+AE73+AF73+70-10</f>
        <v>137.28460914304006</v>
      </c>
      <c r="AH73" s="1253">
        <f t="shared" ref="AH73:AH86" si="47">ROUND((31.1035*L73*Q73*1.1023*K73/100),3)</f>
        <v>37.390999999999998</v>
      </c>
      <c r="AI73" s="1253">
        <f t="shared" ref="AI73:AI86" si="48">ROUND((31.1035*L73*1.1023*K73),3)</f>
        <v>41.225000000000001</v>
      </c>
      <c r="AJ73" s="156">
        <f t="shared" ref="AJ73:AJ85" si="49">+((+$AJ$2-R73+U73)*L73*Q73*V73)/100</f>
        <v>54.581122600079979</v>
      </c>
      <c r="AK73" s="156">
        <f t="shared" ref="AK73:AK86" si="50">31.1035*1.1023*K73*P73*O73/100</f>
        <v>31.637836099390956</v>
      </c>
      <c r="AM73" s="716">
        <f t="shared" ref="AM73:AM86" si="51">+IF(AB73*K73&gt;0,AB73*K73,0)</f>
        <v>3269.390965582561</v>
      </c>
      <c r="AN73" s="716" t="str">
        <f>_xlfn.XLOOKUP(D73,RUC!$B$3:$B$578,RUC!$M$3:$M$578)</f>
        <v>Ronald Garibay</v>
      </c>
      <c r="AO73" s="1167" t="s">
        <v>2280</v>
      </c>
      <c r="AP73" s="1843">
        <v>452</v>
      </c>
      <c r="AQ73" s="1875" t="s">
        <v>3218</v>
      </c>
    </row>
    <row r="74" spans="1:44" ht="15" customHeight="1">
      <c r="A74" s="747" t="s">
        <v>5556</v>
      </c>
      <c r="B74" s="1447">
        <v>46153</v>
      </c>
      <c r="C74" s="1447">
        <v>46148</v>
      </c>
      <c r="D74" t="s">
        <v>1967</v>
      </c>
      <c r="E74" s="762">
        <f>_xlfn.XLOOKUP(D74,RUC!$B$3:$B$123,RUC!$D$3:$D$123)</f>
        <v>20601769396</v>
      </c>
      <c r="F74" s="629" t="s">
        <v>5562</v>
      </c>
      <c r="G74" s="762">
        <v>528</v>
      </c>
      <c r="H74" s="1082" t="s">
        <v>108</v>
      </c>
      <c r="I74" s="703">
        <v>13.42</v>
      </c>
      <c r="J74" s="596">
        <v>17.3</v>
      </c>
      <c r="K74" s="703">
        <f t="shared" si="42"/>
        <v>11.098000000000001</v>
      </c>
      <c r="L74" s="1193">
        <v>0.51700000000000002</v>
      </c>
      <c r="M74" s="994">
        <f>ROUND(+IF(L74&gt;_xlfn.XLOOKUP(AN74,RUC!M:M,RUC!K:K),L74*_xlfn.XLOOKUP(AN74,RUC!M:M,RUC!I:I),L74-_xlfn.XLOOKUP(AN74,RUC!M:M,RUC!J:J)),3)</f>
        <v>0.48599999999999999</v>
      </c>
      <c r="N74" s="1444">
        <v>0.54200000000000004</v>
      </c>
      <c r="O74" s="645">
        <f t="shared" si="41"/>
        <v>0.51400000000000001</v>
      </c>
      <c r="P74" s="727">
        <v>90</v>
      </c>
      <c r="Q74" s="1476">
        <v>92.84</v>
      </c>
      <c r="R74" s="706">
        <v>4706.8999999999996</v>
      </c>
      <c r="S74" s="765">
        <f>IF((_xlfn.XLOOKUP(D74,RUC!$B$3:$B$119,RUC!$E$3:$E$119)+ROUNDDOWN(O74,1)*100)&lt;95,95,((_xlfn.XLOOKUP(D74,RUC!$B$3:$B$119,RUC!$E$3:$E$119)+ROUNDDOWN(O74,1)*100)))</f>
        <v>140</v>
      </c>
      <c r="U74" s="1146">
        <f>_xlfn.XLOOKUP(D74,RUC!$B$3:$B$123,RUC!$F$3:$F$123)</f>
        <v>120</v>
      </c>
      <c r="V74" s="715">
        <v>1.1023000000000001</v>
      </c>
      <c r="Y74" s="1445">
        <v>50</v>
      </c>
      <c r="Z74" s="1454">
        <v>70</v>
      </c>
      <c r="AA74" s="144">
        <f t="shared" si="43"/>
        <v>120</v>
      </c>
      <c r="AB74" s="145">
        <f t="shared" si="40"/>
        <v>2052.3723038620001</v>
      </c>
      <c r="AC74" s="145">
        <f>+(S74-T74)*V74-'data 1'!$F$4</f>
        <v>74.322000000000003</v>
      </c>
      <c r="AD74" s="145">
        <f t="shared" si="44"/>
        <v>74.238290483236099</v>
      </c>
      <c r="AE74" s="145">
        <f t="shared" si="45"/>
        <v>62.276000000000003</v>
      </c>
      <c r="AF74" s="145">
        <f t="shared" si="46"/>
        <v>14.082360765924012</v>
      </c>
      <c r="AG74" s="772">
        <f>AC74+AD74+AE74+AF74+70-53</f>
        <v>241.91865124916012</v>
      </c>
      <c r="AH74" s="1253">
        <f t="shared" si="47"/>
        <v>182.63300000000001</v>
      </c>
      <c r="AI74" s="1253">
        <f t="shared" si="48"/>
        <v>196.71799999999999</v>
      </c>
      <c r="AJ74" s="156">
        <f t="shared" si="49"/>
        <v>165.65652616176419</v>
      </c>
      <c r="AK74" s="156">
        <f t="shared" si="50"/>
        <v>176.01894684139913</v>
      </c>
      <c r="AM74" s="716">
        <f t="shared" si="51"/>
        <v>22777.227828260478</v>
      </c>
      <c r="AN74" s="716" t="str">
        <f>_xlfn.XLOOKUP(D74,RUC!$B$3:$B$578,RUC!$M$3:$M$578)</f>
        <v>Evelyn</v>
      </c>
      <c r="AO74" s="1167" t="s">
        <v>2278</v>
      </c>
      <c r="AP74" s="1843">
        <v>299</v>
      </c>
      <c r="AQ74" s="1875" t="s">
        <v>5564</v>
      </c>
    </row>
    <row r="75" spans="1:44" ht="15" customHeight="1">
      <c r="A75" s="747" t="s">
        <v>5557</v>
      </c>
      <c r="B75" s="1447">
        <v>46153</v>
      </c>
      <c r="C75" s="1447">
        <v>46148</v>
      </c>
      <c r="D75" t="s">
        <v>1967</v>
      </c>
      <c r="E75" s="762">
        <f>_xlfn.XLOOKUP(D75,RUC!$B$3:$B$123,RUC!$D$3:$D$123)</f>
        <v>20601769396</v>
      </c>
      <c r="F75" s="629" t="s">
        <v>5563</v>
      </c>
      <c r="G75" s="762">
        <v>563</v>
      </c>
      <c r="H75" s="1082" t="s">
        <v>108</v>
      </c>
      <c r="I75" s="703">
        <v>15.49</v>
      </c>
      <c r="J75" s="596">
        <v>15.6</v>
      </c>
      <c r="K75" s="703">
        <f t="shared" si="42"/>
        <v>13.074</v>
      </c>
      <c r="L75" s="1193">
        <v>0.35099999999999998</v>
      </c>
      <c r="M75" s="994">
        <f>ROUND(+IF(L75&gt;_xlfn.XLOOKUP(AN75,RUC!M:M,RUC!K:K),L75*_xlfn.XLOOKUP(AN75,RUC!M:M,RUC!I:I),L75-_xlfn.XLOOKUP(AN75,RUC!M:M,RUC!J:J)),3)</f>
        <v>0.33</v>
      </c>
      <c r="N75" s="1196">
        <f>+M75</f>
        <v>0.33</v>
      </c>
      <c r="O75" s="645">
        <f t="shared" si="41"/>
        <v>0.33</v>
      </c>
      <c r="P75" s="727">
        <v>90</v>
      </c>
      <c r="Q75" s="1476">
        <v>91.17</v>
      </c>
      <c r="R75" s="706">
        <v>4706.8999999999996</v>
      </c>
      <c r="S75" s="765">
        <f>IF((_xlfn.XLOOKUP(D75,RUC!$B$3:$B$119,RUC!$E$3:$E$119)+ROUNDDOWN(O75,1)*100)&lt;95,95,((_xlfn.XLOOKUP(D75,RUC!$B$3:$B$119,RUC!$E$3:$E$119)+ROUNDDOWN(O75,1)*100)))</f>
        <v>120</v>
      </c>
      <c r="U75" s="1146">
        <f>_xlfn.XLOOKUP(D75,RUC!$B$3:$B$123,RUC!$F$3:$F$123)</f>
        <v>120</v>
      </c>
      <c r="V75" s="715">
        <v>1.1023000000000001</v>
      </c>
      <c r="Y75" s="1445">
        <v>50</v>
      </c>
      <c r="Z75" s="1454">
        <v>70</v>
      </c>
      <c r="AA75" s="144">
        <f t="shared" si="43"/>
        <v>120</v>
      </c>
      <c r="AB75" s="145">
        <f t="shared" si="40"/>
        <v>1237.1215413899999</v>
      </c>
      <c r="AC75" s="145">
        <f>+(S75-T75)*V75-'data 1'!$F$4</f>
        <v>52.27600000000001</v>
      </c>
      <c r="AD75" s="145">
        <f t="shared" si="44"/>
        <v>20.764049604129028</v>
      </c>
      <c r="AE75" s="145">
        <f t="shared" si="45"/>
        <v>62.276000000000003</v>
      </c>
      <c r="AF75" s="145">
        <f t="shared" si="46"/>
        <v>96.80333710905883</v>
      </c>
      <c r="AG75" s="772">
        <f>AC75+AD75+AE75+AF75+70-53</f>
        <v>249.11938671318785</v>
      </c>
      <c r="AH75" s="1253">
        <f t="shared" si="47"/>
        <v>143.44200000000001</v>
      </c>
      <c r="AI75" s="1253">
        <f t="shared" si="48"/>
        <v>157.33500000000001</v>
      </c>
      <c r="AJ75" s="156">
        <f t="shared" si="49"/>
        <v>110.44395397187114</v>
      </c>
      <c r="AK75" s="156">
        <f t="shared" si="50"/>
        <v>133.12940751961293</v>
      </c>
      <c r="AM75" s="716">
        <f t="shared" si="51"/>
        <v>16174.127032132859</v>
      </c>
      <c r="AN75" s="716" t="str">
        <f>_xlfn.XLOOKUP(D75,RUC!$B$3:$B$578,RUC!$M$3:$M$578)</f>
        <v>Evelyn</v>
      </c>
      <c r="AO75" s="1167" t="s">
        <v>2278</v>
      </c>
      <c r="AP75" s="1843">
        <v>299</v>
      </c>
      <c r="AQ75" s="1875" t="s">
        <v>5564</v>
      </c>
    </row>
    <row r="76" spans="1:44" ht="15" customHeight="1">
      <c r="A76" s="747" t="s">
        <v>5558</v>
      </c>
      <c r="B76" s="1447">
        <v>46153</v>
      </c>
      <c r="C76" s="1447">
        <v>46148</v>
      </c>
      <c r="D76" s="1831" t="s">
        <v>2004</v>
      </c>
      <c r="E76" s="762">
        <f>_xlfn.XLOOKUP(D76,RUC!$B$3:$B$123,RUC!$D$3:$D$123)</f>
        <v>20612921866</v>
      </c>
      <c r="F76" s="629" t="s">
        <v>2614</v>
      </c>
      <c r="G76" s="762" t="s">
        <v>2985</v>
      </c>
      <c r="H76" s="1082" t="s">
        <v>69</v>
      </c>
      <c r="I76" s="703">
        <v>7.52</v>
      </c>
      <c r="J76" s="596">
        <v>2.8</v>
      </c>
      <c r="K76" s="703">
        <f t="shared" si="42"/>
        <v>7.3090000000000002</v>
      </c>
      <c r="L76" s="1193">
        <v>0.14899999999999999</v>
      </c>
      <c r="M76" s="994">
        <f>ROUND(+IF(L76&gt;_xlfn.XLOOKUP(AN76,RUC!M:M,RUC!K:K),L76*_xlfn.XLOOKUP(AN76,RUC!M:M,RUC!I:I),L76-_xlfn.XLOOKUP(AN76,RUC!M:M,RUC!J:J)),3)</f>
        <v>0.13</v>
      </c>
      <c r="N76" s="1196">
        <f>+M76</f>
        <v>0.13</v>
      </c>
      <c r="O76" s="645">
        <f t="shared" si="41"/>
        <v>0.13</v>
      </c>
      <c r="P76" s="727">
        <v>90</v>
      </c>
      <c r="Q76" s="1476">
        <v>91.95</v>
      </c>
      <c r="R76" s="706">
        <v>4706.8999999999996</v>
      </c>
      <c r="S76" s="765">
        <f>IF((_xlfn.XLOOKUP(D76,RUC!$B$3:$B$119,RUC!$E$3:$E$119)+ROUNDDOWN(O76,1)*100)&lt;95,95,((_xlfn.XLOOKUP(D76,RUC!$B$3:$B$119,RUC!$E$3:$E$119)+ROUNDDOWN(O76,1)*100)))</f>
        <v>95</v>
      </c>
      <c r="U76" s="1146">
        <f>_xlfn.XLOOKUP(D76,RUC!$B$3:$B$123,RUC!$F$3:$F$123)</f>
        <v>100</v>
      </c>
      <c r="V76" s="715">
        <v>1.1023000000000001</v>
      </c>
      <c r="Y76">
        <f>_xlfn.XLOOKUP(D76,RUC!$B$3:$B$123,RUC!$G$3:$G$123)</f>
        <v>0</v>
      </c>
      <c r="Z76" s="143">
        <f>_xlfn.XLOOKUP(D76,RUC!$B$3:$B$123,RUC!$H$3:$H$123)</f>
        <v>30</v>
      </c>
      <c r="AA76" s="144">
        <f t="shared" si="43"/>
        <v>30</v>
      </c>
      <c r="AB76" s="145">
        <f t="shared" si="40"/>
        <v>456.36024679000002</v>
      </c>
      <c r="AC76" s="145">
        <f>+(S76-T76)*V76-'data 1'!$F$4</f>
        <v>24.718500000000006</v>
      </c>
      <c r="AD76" s="145">
        <f t="shared" si="44"/>
        <v>14.75466904528502</v>
      </c>
      <c r="AE76" s="145">
        <f t="shared" si="45"/>
        <v>-36.930999999999997</v>
      </c>
      <c r="AF76" s="145">
        <f t="shared" si="46"/>
        <v>88.718446241834954</v>
      </c>
      <c r="AG76" s="772">
        <f>AC76+AD76+AE76+AF76+70-53</f>
        <v>108.26061528711998</v>
      </c>
      <c r="AH76" s="1253">
        <f t="shared" si="47"/>
        <v>34.332000000000001</v>
      </c>
      <c r="AI76" s="1253">
        <f t="shared" si="48"/>
        <v>37.338000000000001</v>
      </c>
      <c r="AJ76" s="156">
        <f t="shared" si="49"/>
        <v>44.264302772715055</v>
      </c>
      <c r="AK76" s="156">
        <f t="shared" si="50"/>
        <v>29.319252447121652</v>
      </c>
      <c r="AM76" s="716">
        <f t="shared" si="51"/>
        <v>3335.5370437881102</v>
      </c>
      <c r="AN76" s="716" t="str">
        <f>_xlfn.XLOOKUP(D76,RUC!$B$3:$B$578,RUC!$M$3:$M$578)</f>
        <v>Ronald Garibay</v>
      </c>
      <c r="AO76" s="1167" t="s">
        <v>2280</v>
      </c>
      <c r="AP76" s="1843">
        <v>454</v>
      </c>
      <c r="AQ76" s="1876" t="s">
        <v>5565</v>
      </c>
    </row>
    <row r="77" spans="1:44" ht="15" customHeight="1">
      <c r="A77" s="747" t="s">
        <v>5559</v>
      </c>
      <c r="B77" s="1447">
        <v>46153</v>
      </c>
      <c r="C77" s="1447">
        <v>46148</v>
      </c>
      <c r="D77" s="1831" t="s">
        <v>2004</v>
      </c>
      <c r="E77" s="762">
        <f>_xlfn.XLOOKUP(D77,RUC!$B$3:$B$123,RUC!$D$3:$D$123)</f>
        <v>20612921866</v>
      </c>
      <c r="F77" s="629" t="s">
        <v>2614</v>
      </c>
      <c r="G77" s="762" t="s">
        <v>2985</v>
      </c>
      <c r="H77" s="1082" t="s">
        <v>69</v>
      </c>
      <c r="I77" s="703">
        <v>16.53</v>
      </c>
      <c r="J77" s="596">
        <v>2.8</v>
      </c>
      <c r="K77" s="703">
        <f t="shared" si="42"/>
        <v>16.067</v>
      </c>
      <c r="L77" s="1193">
        <v>0.14899999999999999</v>
      </c>
      <c r="M77" s="994">
        <f>ROUND(+IF(L77&gt;_xlfn.XLOOKUP(AN77,RUC!M:M,RUC!K:K),L77*_xlfn.XLOOKUP(AN77,RUC!M:M,RUC!I:I),L77-_xlfn.XLOOKUP(AN77,RUC!M:M,RUC!J:J)),3)</f>
        <v>0.13</v>
      </c>
      <c r="N77" s="1196">
        <f>+M77</f>
        <v>0.13</v>
      </c>
      <c r="O77" s="645">
        <f t="shared" si="41"/>
        <v>0.13</v>
      </c>
      <c r="P77" s="727">
        <v>90</v>
      </c>
      <c r="Q77" s="1476">
        <v>91.95</v>
      </c>
      <c r="R77" s="706">
        <v>4706.8999999999996</v>
      </c>
      <c r="S77" s="765">
        <f>IF((_xlfn.XLOOKUP(D77,RUC!$B$3:$B$119,RUC!$E$3:$E$119)+ROUNDDOWN(O77,1)*100)&lt;95,95,((_xlfn.XLOOKUP(D77,RUC!$B$3:$B$119,RUC!$E$3:$E$119)+ROUNDDOWN(O77,1)*100)))</f>
        <v>95</v>
      </c>
      <c r="U77" s="1146">
        <f>_xlfn.XLOOKUP(D77,RUC!$B$3:$B$123,RUC!$F$3:$F$123)</f>
        <v>100</v>
      </c>
      <c r="V77" s="715">
        <v>1.1023000000000001</v>
      </c>
      <c r="Y77">
        <f>_xlfn.XLOOKUP(D77,RUC!$B$3:$B$123,RUC!$G$3:$G$123)</f>
        <v>0</v>
      </c>
      <c r="Z77" s="143">
        <f>_xlfn.XLOOKUP(D77,RUC!$B$3:$B$123,RUC!$H$3:$H$123)</f>
        <v>30</v>
      </c>
      <c r="AA77" s="144">
        <f t="shared" si="43"/>
        <v>30</v>
      </c>
      <c r="AB77" s="145">
        <f t="shared" si="40"/>
        <v>456.36024679000002</v>
      </c>
      <c r="AC77" s="145">
        <f>+(S77-T77)*V77-'data 1'!$F$4</f>
        <v>24.718500000000006</v>
      </c>
      <c r="AD77" s="145">
        <f t="shared" si="44"/>
        <v>14.75466904528502</v>
      </c>
      <c r="AE77" s="145">
        <f t="shared" si="45"/>
        <v>-36.930999999999997</v>
      </c>
      <c r="AF77" s="145">
        <f t="shared" si="46"/>
        <v>88.718446241834954</v>
      </c>
      <c r="AG77" s="772">
        <f>AC77+AD77+AE77+AF77+70-53</f>
        <v>108.26061528711998</v>
      </c>
      <c r="AH77" s="1253">
        <f t="shared" si="47"/>
        <v>75.471000000000004</v>
      </c>
      <c r="AI77" s="1253">
        <f t="shared" si="48"/>
        <v>82.078999999999994</v>
      </c>
      <c r="AJ77" s="156">
        <f t="shared" si="49"/>
        <v>44.264302772715055</v>
      </c>
      <c r="AK77" s="156">
        <f t="shared" si="50"/>
        <v>64.451009586523952</v>
      </c>
      <c r="AM77" s="716">
        <f t="shared" si="51"/>
        <v>7332.3400851749302</v>
      </c>
      <c r="AN77" s="716" t="str">
        <f>_xlfn.XLOOKUP(D77,RUC!$B$3:$B$578,RUC!$M$3:$M$578)</f>
        <v>Ronald Garibay</v>
      </c>
      <c r="AO77" s="1167" t="s">
        <v>2280</v>
      </c>
      <c r="AP77" s="1843">
        <v>456</v>
      </c>
      <c r="AQ77" s="1876" t="s">
        <v>3738</v>
      </c>
    </row>
    <row r="78" spans="1:44" ht="15" customHeight="1">
      <c r="A78" s="747" t="s">
        <v>5573</v>
      </c>
      <c r="B78" s="1447">
        <v>46154</v>
      </c>
      <c r="C78" s="1447">
        <v>46150</v>
      </c>
      <c r="D78" s="1831" t="s">
        <v>2004</v>
      </c>
      <c r="E78" s="762">
        <f>_xlfn.XLOOKUP(D78,RUC!$B$3:$B$123,RUC!$D$3:$D$123)</f>
        <v>20612921866</v>
      </c>
      <c r="F78" s="629" t="s">
        <v>2614</v>
      </c>
      <c r="G78" s="762" t="s">
        <v>2985</v>
      </c>
      <c r="H78" s="1082" t="s">
        <v>69</v>
      </c>
      <c r="I78" s="703">
        <v>17.98</v>
      </c>
      <c r="J78" s="596">
        <v>2.95</v>
      </c>
      <c r="K78" s="703">
        <f t="shared" si="42"/>
        <v>17.45</v>
      </c>
      <c r="L78" s="1193">
        <v>0.13400000000000001</v>
      </c>
      <c r="M78" s="994">
        <f>ROUND(+IF(L78&gt;_xlfn.XLOOKUP(AN78,RUC!M:M,RUC!K:K),L78*_xlfn.XLOOKUP(AN78,RUC!M:M,RUC!I:I),L78-_xlfn.XLOOKUP(AN78,RUC!M:M,RUC!J:J)),3)</f>
        <v>0.115</v>
      </c>
      <c r="N78" s="1196">
        <f>+M78</f>
        <v>0.115</v>
      </c>
      <c r="O78" s="645">
        <f t="shared" si="41"/>
        <v>0.115</v>
      </c>
      <c r="P78" s="727">
        <v>90</v>
      </c>
      <c r="Q78" s="1476">
        <v>93.28</v>
      </c>
      <c r="R78" s="706">
        <v>4741.3999999999996</v>
      </c>
      <c r="S78" s="765">
        <f>IF((_xlfn.XLOOKUP(D78,RUC!$B$3:$B$119,RUC!$E$3:$E$119)+ROUNDDOWN(O78,1)*100)&lt;95,95,((_xlfn.XLOOKUP(D78,RUC!$B$3:$B$119,RUC!$E$3:$E$119)+ROUNDDOWN(O78,1)*100)))</f>
        <v>95</v>
      </c>
      <c r="U78" s="1146">
        <f>_xlfn.XLOOKUP(D78,RUC!$B$3:$B$123,RUC!$F$3:$F$123)</f>
        <v>100</v>
      </c>
      <c r="V78" s="715">
        <v>1.1023000000000001</v>
      </c>
      <c r="Y78">
        <f>_xlfn.XLOOKUP(D78,RUC!$B$3:$B$123,RUC!$G$3:$G$123)</f>
        <v>0</v>
      </c>
      <c r="Z78" s="143">
        <f>_xlfn.XLOOKUP(D78,RUC!$B$3:$B$123,RUC!$H$3:$H$123)</f>
        <v>30</v>
      </c>
      <c r="AA78" s="144">
        <f t="shared" si="43"/>
        <v>30</v>
      </c>
      <c r="AB78" s="145">
        <f t="shared" si="40"/>
        <v>391.74077526999997</v>
      </c>
      <c r="AC78" s="145">
        <f>+(S78-T78)*V78-'data 1'!$F$4</f>
        <v>24.718500000000006</v>
      </c>
      <c r="AD78" s="145">
        <f t="shared" si="44"/>
        <v>22.486789134944011</v>
      </c>
      <c r="AE78" s="145">
        <f t="shared" si="45"/>
        <v>-36.930999999999997</v>
      </c>
      <c r="AF78" s="145">
        <f t="shared" si="46"/>
        <v>90.675705587104019</v>
      </c>
      <c r="AG78" s="772">
        <f>AC78+AD78+AE78+AF78+70-10</f>
        <v>160.94999472204805</v>
      </c>
      <c r="AH78" s="1253">
        <f t="shared" si="47"/>
        <v>74.781999999999996</v>
      </c>
      <c r="AI78" s="1253">
        <f t="shared" si="48"/>
        <v>80.17</v>
      </c>
      <c r="AJ78" s="156">
        <f t="shared" si="49"/>
        <v>35.630479237056051</v>
      </c>
      <c r="AK78" s="156">
        <f t="shared" si="50"/>
        <v>61.921982222403749</v>
      </c>
      <c r="AM78" s="716">
        <f t="shared" si="51"/>
        <v>6835.8765284614992</v>
      </c>
      <c r="AN78" s="716" t="str">
        <f>_xlfn.XLOOKUP(D78,RUC!$B$3:$B$578,RUC!$M$3:$M$578)</f>
        <v>Ronald Garibay</v>
      </c>
      <c r="AO78" s="1167" t="s">
        <v>2280</v>
      </c>
      <c r="AP78" s="1843">
        <v>459</v>
      </c>
      <c r="AQ78" s="1082" t="s">
        <v>5227</v>
      </c>
    </row>
    <row r="79" spans="1:44" ht="15" customHeight="1">
      <c r="A79" s="747" t="s">
        <v>5574</v>
      </c>
      <c r="B79" s="1447">
        <v>46155</v>
      </c>
      <c r="C79" s="1447">
        <v>46150</v>
      </c>
      <c r="D79" t="s">
        <v>119</v>
      </c>
      <c r="E79" s="762">
        <f>_xlfn.XLOOKUP(D79,RUC!$B$3:$B$123,RUC!$D$3:$D$123)</f>
        <v>10082235774</v>
      </c>
      <c r="F79" s="629" t="s">
        <v>2614</v>
      </c>
      <c r="G79" s="762">
        <v>52</v>
      </c>
      <c r="H79" s="1082" t="s">
        <v>69</v>
      </c>
      <c r="I79" s="703">
        <v>5.0599999999999996</v>
      </c>
      <c r="J79" s="596">
        <v>2</v>
      </c>
      <c r="K79" s="703">
        <f t="shared" si="42"/>
        <v>4.9589999999999996</v>
      </c>
      <c r="L79" s="1193">
        <v>0.39700000000000002</v>
      </c>
      <c r="M79" s="994">
        <f>ROUND(+IF(L79&gt;_xlfn.XLOOKUP(AN79,RUC!M:M,RUC!K:K),L79*_xlfn.XLOOKUP(AN79,RUC!M:M,RUC!I:I),L79-_xlfn.XLOOKUP(AN79,RUC!M:M,RUC!J:J)),3)</f>
        <v>0.39</v>
      </c>
      <c r="N79" s="1444">
        <v>0.41</v>
      </c>
      <c r="O79" s="645">
        <f t="shared" si="41"/>
        <v>0.4</v>
      </c>
      <c r="P79" s="727">
        <v>90</v>
      </c>
      <c r="Q79" s="1476">
        <v>91.44</v>
      </c>
      <c r="R79" s="706">
        <v>4741.3999999999996</v>
      </c>
      <c r="S79" s="1164">
        <v>115</v>
      </c>
      <c r="U79" s="1146">
        <f>_xlfn.XLOOKUP(D79,RUC!$B$3:$B$123,RUC!$F$3:$F$123)</f>
        <v>80</v>
      </c>
      <c r="V79" s="715">
        <v>1.1023000000000001</v>
      </c>
      <c r="Y79">
        <f>_xlfn.XLOOKUP(D79,RUC!$B$3:$B$123,RUC!$G$3:$G$123)</f>
        <v>0</v>
      </c>
      <c r="Z79" s="143">
        <f>_xlfn.XLOOKUP(D79,RUC!$B$3:$B$123,RUC!$H$3:$H$123)</f>
        <v>10</v>
      </c>
      <c r="AA79" s="144">
        <f t="shared" si="43"/>
        <v>10</v>
      </c>
      <c r="AB79" s="145">
        <f t="shared" si="40"/>
        <v>1711.9865392000002</v>
      </c>
      <c r="AC79" s="145">
        <f>+(S79-T79)*V79-'data 1'!$F$4</f>
        <v>46.764500000000012</v>
      </c>
      <c r="AD79" s="145">
        <f t="shared" si="44"/>
        <v>29.374411742495955</v>
      </c>
      <c r="AE79" s="145">
        <f t="shared" si="45"/>
        <v>-58.977000000000004</v>
      </c>
      <c r="AF79" s="145">
        <f t="shared" si="46"/>
        <v>-14.095278178704014</v>
      </c>
      <c r="AG79" s="772">
        <f t="shared" ref="AG79:AG85" si="52">AC79+AD79+AE79+AF79+70</f>
        <v>73.066633563791953</v>
      </c>
      <c r="AH79" s="1253">
        <f t="shared" si="47"/>
        <v>61.720999999999997</v>
      </c>
      <c r="AI79" s="1253">
        <f t="shared" si="48"/>
        <v>67.498000000000005</v>
      </c>
      <c r="AJ79" s="156">
        <f t="shared" si="49"/>
        <v>95.476605687504161</v>
      </c>
      <c r="AK79" s="156">
        <f t="shared" si="50"/>
        <v>61.207646162382005</v>
      </c>
      <c r="AM79" s="716">
        <f t="shared" si="51"/>
        <v>8489.7412478927999</v>
      </c>
      <c r="AN79" s="716" t="str">
        <f>_xlfn.XLOOKUP(D79,RUC!$B$3:$B$578,RUC!$M$3:$M$578)</f>
        <v>Melchor Vera</v>
      </c>
      <c r="AO79" s="1167" t="s">
        <v>2280</v>
      </c>
      <c r="AP79" s="1843">
        <v>42</v>
      </c>
      <c r="AQ79" s="1082" t="s">
        <v>3292</v>
      </c>
    </row>
    <row r="80" spans="1:44" ht="15" customHeight="1">
      <c r="A80" s="747" t="s">
        <v>5575</v>
      </c>
      <c r="B80" s="1447">
        <v>46155</v>
      </c>
      <c r="C80" s="1447">
        <v>46150</v>
      </c>
      <c r="D80" t="s">
        <v>119</v>
      </c>
      <c r="E80" s="762">
        <f>_xlfn.XLOOKUP(D80,RUC!$B$3:$B$123,RUC!$D$3:$D$123)</f>
        <v>10082235774</v>
      </c>
      <c r="F80" s="629" t="s">
        <v>2614</v>
      </c>
      <c r="G80" s="762">
        <v>71</v>
      </c>
      <c r="H80" s="1082" t="s">
        <v>69</v>
      </c>
      <c r="I80" s="703">
        <v>6.78</v>
      </c>
      <c r="J80" s="596">
        <v>2</v>
      </c>
      <c r="K80" s="703">
        <f t="shared" si="42"/>
        <v>6.6440000000000001</v>
      </c>
      <c r="L80" s="1193">
        <v>0.17399999999999999</v>
      </c>
      <c r="M80" s="994">
        <f>ROUND(+IF(L80&gt;_xlfn.XLOOKUP(AN80,RUC!M:M,RUC!K:K),L80*_xlfn.XLOOKUP(AN80,RUC!M:M,RUC!I:I),L80-_xlfn.XLOOKUP(AN80,RUC!M:M,RUC!J:J)),3)</f>
        <v>0.16700000000000001</v>
      </c>
      <c r="N80" s="1196">
        <f t="shared" ref="N80:N86" si="53">+M80</f>
        <v>0.16700000000000001</v>
      </c>
      <c r="O80" s="645">
        <f t="shared" si="41"/>
        <v>0.16700000000000001</v>
      </c>
      <c r="P80" s="727">
        <v>85</v>
      </c>
      <c r="Q80" s="1476">
        <v>94.25</v>
      </c>
      <c r="R80" s="706">
        <v>4741.3999999999996</v>
      </c>
      <c r="S80" s="1164">
        <f>IF((_xlfn.XLOOKUP(D80,RUC!$B$3:$B$119,RUC!$E$3:$E$119)+ROUNDDOWN(O80,1)*100)&lt;95,95,((_xlfn.XLOOKUP(D80,RUC!$B$3:$B$119,RUC!$E$3:$E$119)+ROUNDDOWN(O80,1)*100)))</f>
        <v>95</v>
      </c>
      <c r="U80" s="1146">
        <f>_xlfn.XLOOKUP(D80,RUC!$B$3:$B$123,RUC!$F$3:$F$123)</f>
        <v>80</v>
      </c>
      <c r="V80" s="715">
        <v>1.1023000000000001</v>
      </c>
      <c r="Y80">
        <f>_xlfn.XLOOKUP(D80,RUC!$B$3:$B$123,RUC!$G$3:$G$123)</f>
        <v>0</v>
      </c>
      <c r="Z80" s="143">
        <f>_xlfn.XLOOKUP(D80,RUC!$B$3:$B$123,RUC!$H$3:$H$123)</f>
        <v>10</v>
      </c>
      <c r="AA80" s="144">
        <f t="shared" si="43"/>
        <v>10</v>
      </c>
      <c r="AB80" s="145">
        <f t="shared" si="40"/>
        <v>613.63468017899993</v>
      </c>
      <c r="AC80" s="145">
        <f>+(S80-T80)*V80-'data 1'!$F$4</f>
        <v>24.718500000000006</v>
      </c>
      <c r="AD80" s="145">
        <f t="shared" si="44"/>
        <v>82.700314335899989</v>
      </c>
      <c r="AE80" s="145">
        <f t="shared" si="45"/>
        <v>-58.977000000000004</v>
      </c>
      <c r="AF80" s="145">
        <f t="shared" si="46"/>
        <v>33.899678398949888</v>
      </c>
      <c r="AG80" s="772">
        <f t="shared" si="52"/>
        <v>152.34149273484988</v>
      </c>
      <c r="AH80" s="1253">
        <f t="shared" si="47"/>
        <v>37.356999999999999</v>
      </c>
      <c r="AI80" s="1253">
        <f t="shared" si="48"/>
        <v>39.636000000000003</v>
      </c>
      <c r="AJ80" s="156">
        <f t="shared" si="49"/>
        <v>43.132124876100058</v>
      </c>
      <c r="AK80" s="156">
        <f t="shared" si="50"/>
        <v>32.335091179086191</v>
      </c>
      <c r="AM80" s="716">
        <f t="shared" si="51"/>
        <v>4076.9888151092755</v>
      </c>
      <c r="AN80" s="716" t="str">
        <f>_xlfn.XLOOKUP(D80,RUC!$B$3:$B$578,RUC!$M$3:$M$578)</f>
        <v>Melchor Vera</v>
      </c>
      <c r="AO80" s="1167" t="s">
        <v>2280</v>
      </c>
      <c r="AP80" s="1843">
        <v>42</v>
      </c>
      <c r="AQ80" s="1082" t="s">
        <v>3292</v>
      </c>
    </row>
    <row r="81" spans="1:54" ht="15" customHeight="1">
      <c r="A81" s="747" t="s">
        <v>5576</v>
      </c>
      <c r="B81" s="1447">
        <v>46155</v>
      </c>
      <c r="C81" s="1447">
        <v>46150</v>
      </c>
      <c r="D81" t="s">
        <v>119</v>
      </c>
      <c r="E81" s="762">
        <f>_xlfn.XLOOKUP(D81,RUC!$B$3:$B$123,RUC!$D$3:$D$123)</f>
        <v>10082235774</v>
      </c>
      <c r="F81" s="629" t="s">
        <v>2614</v>
      </c>
      <c r="G81" s="762">
        <v>69</v>
      </c>
      <c r="H81" s="1082" t="s">
        <v>69</v>
      </c>
      <c r="I81" s="703">
        <v>6.51</v>
      </c>
      <c r="J81" s="596">
        <v>2</v>
      </c>
      <c r="K81" s="703">
        <f t="shared" si="42"/>
        <v>6.38</v>
      </c>
      <c r="L81" s="1193">
        <v>0.20200000000000001</v>
      </c>
      <c r="M81" s="994">
        <f>ROUND(+IF(L81&gt;_xlfn.XLOOKUP(AN81,RUC!M:M,RUC!K:K),L81*_xlfn.XLOOKUP(AN81,RUC!M:M,RUC!I:I),L81-_xlfn.XLOOKUP(AN81,RUC!M:M,RUC!J:J)),3)</f>
        <v>0.19500000000000001</v>
      </c>
      <c r="N81" s="1196">
        <f t="shared" si="53"/>
        <v>0.19500000000000001</v>
      </c>
      <c r="O81" s="645">
        <f t="shared" si="41"/>
        <v>0.19500000000000001</v>
      </c>
      <c r="P81" s="727">
        <v>85</v>
      </c>
      <c r="Q81" s="1476">
        <v>94.06</v>
      </c>
      <c r="R81" s="706">
        <v>4741.3999999999996</v>
      </c>
      <c r="S81" s="1164">
        <f>IF((_xlfn.XLOOKUP(D81,RUC!$B$3:$B$119,RUC!$E$3:$E$119)+ROUNDDOWN(O81,1)*100)&lt;95,95,((_xlfn.XLOOKUP(D81,RUC!$B$3:$B$119,RUC!$E$3:$E$119)+ROUNDDOWN(O81,1)*100)))</f>
        <v>95</v>
      </c>
      <c r="U81" s="1146">
        <f>_xlfn.XLOOKUP(D81,RUC!$B$3:$B$123,RUC!$F$3:$F$123)</f>
        <v>80</v>
      </c>
      <c r="V81" s="715">
        <v>1.1023000000000001</v>
      </c>
      <c r="Y81">
        <f>_xlfn.XLOOKUP(D81,RUC!$B$3:$B$123,RUC!$G$3:$G$123)</f>
        <v>0</v>
      </c>
      <c r="Z81" s="143">
        <f>_xlfn.XLOOKUP(D81,RUC!$B$3:$B$123,RUC!$H$3:$H$123)</f>
        <v>10</v>
      </c>
      <c r="AA81" s="144">
        <f t="shared" si="43"/>
        <v>10</v>
      </c>
      <c r="AB81" s="145">
        <f t="shared" si="40"/>
        <v>735.92529721499989</v>
      </c>
      <c r="AC81" s="145">
        <f>+(S81-T81)*V81-'data 1'!$F$4</f>
        <v>24.718500000000006</v>
      </c>
      <c r="AD81" s="145">
        <f t="shared" si="44"/>
        <v>94.036346239464024</v>
      </c>
      <c r="AE81" s="145">
        <f t="shared" si="45"/>
        <v>-58.977000000000004</v>
      </c>
      <c r="AF81" s="145">
        <f t="shared" si="46"/>
        <v>33.831339524724029</v>
      </c>
      <c r="AG81" s="772">
        <f t="shared" si="52"/>
        <v>163.60918576418806</v>
      </c>
      <c r="AH81" s="1253">
        <f t="shared" si="47"/>
        <v>41.561</v>
      </c>
      <c r="AI81" s="1253">
        <f t="shared" si="48"/>
        <v>44.186</v>
      </c>
      <c r="AJ81" s="156">
        <f t="shared" si="49"/>
        <v>49.971983810536088</v>
      </c>
      <c r="AK81" s="156">
        <f t="shared" si="50"/>
        <v>36.256283582054252</v>
      </c>
      <c r="AM81" s="716">
        <f t="shared" si="51"/>
        <v>4695.2033962316991</v>
      </c>
      <c r="AN81" s="716" t="str">
        <f>_xlfn.XLOOKUP(D81,RUC!$B$3:$B$578,RUC!$M$3:$M$578)</f>
        <v>Melchor Vera</v>
      </c>
      <c r="AO81" s="1167" t="s">
        <v>2280</v>
      </c>
      <c r="AP81" s="1843">
        <v>42</v>
      </c>
      <c r="AQ81" s="1082" t="s">
        <v>3292</v>
      </c>
    </row>
    <row r="82" spans="1:54" ht="15" customHeight="1">
      <c r="A82" s="747" t="s">
        <v>5577</v>
      </c>
      <c r="B82" s="1447">
        <v>46155</v>
      </c>
      <c r="C82" s="1447">
        <v>46150</v>
      </c>
      <c r="D82" t="s">
        <v>119</v>
      </c>
      <c r="E82" s="762">
        <f>_xlfn.XLOOKUP(D82,RUC!$B$3:$B$123,RUC!$D$3:$D$123)</f>
        <v>10082235774</v>
      </c>
      <c r="F82" s="629" t="s">
        <v>2614</v>
      </c>
      <c r="G82" s="762">
        <v>51</v>
      </c>
      <c r="H82" s="1082" t="s">
        <v>69</v>
      </c>
      <c r="I82" s="703">
        <v>4.8</v>
      </c>
      <c r="J82" s="596">
        <v>2</v>
      </c>
      <c r="K82" s="703">
        <f t="shared" si="42"/>
        <v>4.7039999999999997</v>
      </c>
      <c r="L82" s="1193">
        <v>0.13500000000000001</v>
      </c>
      <c r="M82" s="994">
        <f>ROUND(+IF(L82&gt;_xlfn.XLOOKUP(AN82,RUC!M:M,RUC!K:K),L82*_xlfn.XLOOKUP(AN82,RUC!M:M,RUC!I:I),L82-_xlfn.XLOOKUP(AN82,RUC!M:M,RUC!J:J)),3)</f>
        <v>0.128</v>
      </c>
      <c r="N82" s="1196">
        <f t="shared" si="53"/>
        <v>0.128</v>
      </c>
      <c r="O82" s="645">
        <f t="shared" si="41"/>
        <v>0.128</v>
      </c>
      <c r="P82" s="727">
        <v>85</v>
      </c>
      <c r="Q82" s="1476">
        <v>91.85</v>
      </c>
      <c r="R82" s="706">
        <v>4741.3999999999996</v>
      </c>
      <c r="S82" s="1164">
        <f>IF((_xlfn.XLOOKUP(D82,RUC!$B$3:$B$119,RUC!$E$3:$E$119)+ROUNDDOWN(O82,1)*100)&lt;95,95,((_xlfn.XLOOKUP(D82,RUC!$B$3:$B$119,RUC!$E$3:$E$119)+ROUNDDOWN(O82,1)*100)))</f>
        <v>95</v>
      </c>
      <c r="U82" s="1146">
        <f>_xlfn.XLOOKUP(D82,RUC!$B$3:$B$123,RUC!$F$3:$F$123)</f>
        <v>80</v>
      </c>
      <c r="V82" s="715">
        <v>1.1023000000000001</v>
      </c>
      <c r="Y82">
        <f>_xlfn.XLOOKUP(D82,RUC!$B$3:$B$123,RUC!$G$3:$G$123)</f>
        <v>0</v>
      </c>
      <c r="Z82" s="143">
        <f>_xlfn.XLOOKUP(D82,RUC!$B$3:$B$123,RUC!$H$3:$H$123)</f>
        <v>10</v>
      </c>
      <c r="AA82" s="144">
        <f t="shared" si="43"/>
        <v>10</v>
      </c>
      <c r="AB82" s="145">
        <f t="shared" si="40"/>
        <v>443.30132073600004</v>
      </c>
      <c r="AC82" s="145">
        <f>+(S82-T82)*V82-'data 1'!$F$4</f>
        <v>24.718500000000006</v>
      </c>
      <c r="AD82" s="145">
        <f t="shared" si="44"/>
        <v>47.516070631949958</v>
      </c>
      <c r="AE82" s="145">
        <f t="shared" si="45"/>
        <v>-58.977000000000004</v>
      </c>
      <c r="AF82" s="145">
        <f t="shared" si="46"/>
        <v>33.036450513990026</v>
      </c>
      <c r="AG82" s="772">
        <f t="shared" si="52"/>
        <v>116.29402114593998</v>
      </c>
      <c r="AH82" s="1253">
        <f t="shared" si="47"/>
        <v>19.998000000000001</v>
      </c>
      <c r="AI82" s="1253">
        <f t="shared" si="48"/>
        <v>21.773</v>
      </c>
      <c r="AJ82" s="156">
        <f t="shared" si="49"/>
        <v>32.612431198050047</v>
      </c>
      <c r="AK82" s="156">
        <f t="shared" si="50"/>
        <v>17.547097034127361</v>
      </c>
      <c r="AM82" s="716">
        <f t="shared" si="51"/>
        <v>2085.2894127421441</v>
      </c>
      <c r="AN82" s="716" t="str">
        <f>_xlfn.XLOOKUP(D82,RUC!$B$3:$B$578,RUC!$M$3:$M$578)</f>
        <v>Melchor Vera</v>
      </c>
      <c r="AO82" s="1167" t="s">
        <v>2280</v>
      </c>
      <c r="AP82" s="1843">
        <v>42</v>
      </c>
      <c r="AQ82" s="1082" t="s">
        <v>3292</v>
      </c>
    </row>
    <row r="83" spans="1:54" ht="15" customHeight="1">
      <c r="A83" s="747" t="s">
        <v>5578</v>
      </c>
      <c r="B83" s="1447">
        <v>46155</v>
      </c>
      <c r="C83" s="1447">
        <v>46150</v>
      </c>
      <c r="D83" t="s">
        <v>119</v>
      </c>
      <c r="E83" s="762">
        <f>_xlfn.XLOOKUP(D83,RUC!$B$3:$B$123,RUC!$D$3:$D$123)</f>
        <v>10082235774</v>
      </c>
      <c r="F83" s="629" t="s">
        <v>2614</v>
      </c>
      <c r="G83" s="762">
        <v>17</v>
      </c>
      <c r="H83" s="1082" t="s">
        <v>69</v>
      </c>
      <c r="I83" s="703">
        <v>1.44</v>
      </c>
      <c r="J83" s="596">
        <v>2</v>
      </c>
      <c r="K83" s="703">
        <f t="shared" si="42"/>
        <v>1.411</v>
      </c>
      <c r="L83" s="1193">
        <v>0.192</v>
      </c>
      <c r="M83" s="994">
        <f>ROUND(+IF(L83&gt;_xlfn.XLOOKUP(AN83,RUC!M:M,RUC!K:K),L83*_xlfn.XLOOKUP(AN83,RUC!M:M,RUC!I:I),L83-_xlfn.XLOOKUP(AN83,RUC!M:M,RUC!J:J)),3)</f>
        <v>0.185</v>
      </c>
      <c r="N83" s="1196">
        <f t="shared" si="53"/>
        <v>0.185</v>
      </c>
      <c r="O83" s="645">
        <f t="shared" si="41"/>
        <v>0.185</v>
      </c>
      <c r="P83" s="727">
        <v>85</v>
      </c>
      <c r="Q83" s="1476">
        <v>96.35</v>
      </c>
      <c r="R83" s="706">
        <v>4741.3999999999996</v>
      </c>
      <c r="S83" s="1164">
        <f>IF((_xlfn.XLOOKUP(D83,RUC!$B$3:$B$119,RUC!$E$3:$E$119)+ROUNDDOWN(O83,1)*100)&lt;95,95,((_xlfn.XLOOKUP(D83,RUC!$B$3:$B$119,RUC!$E$3:$E$119)+ROUNDDOWN(O83,1)*100)))</f>
        <v>95</v>
      </c>
      <c r="U83" s="1146">
        <f>_xlfn.XLOOKUP(D83,RUC!$B$3:$B$123,RUC!$F$3:$F$123)</f>
        <v>80</v>
      </c>
      <c r="V83" s="715">
        <v>1.1023000000000001</v>
      </c>
      <c r="Y83">
        <f>_xlfn.XLOOKUP(D83,RUC!$B$3:$B$123,RUC!$G$3:$G$123)</f>
        <v>0</v>
      </c>
      <c r="Z83" s="143">
        <f>_xlfn.XLOOKUP(D83,RUC!$B$3:$B$123,RUC!$H$3:$H$123)</f>
        <v>10</v>
      </c>
      <c r="AA83" s="144">
        <f t="shared" si="43"/>
        <v>10</v>
      </c>
      <c r="AB83" s="145">
        <f t="shared" si="40"/>
        <v>692.25007684499997</v>
      </c>
      <c r="AC83" s="145">
        <f>+(S83-T83)*V83-'data 1'!$F$4</f>
        <v>24.718500000000006</v>
      </c>
      <c r="AD83" s="145">
        <f t="shared" si="44"/>
        <v>111.97298850623996</v>
      </c>
      <c r="AE83" s="145">
        <f t="shared" si="45"/>
        <v>-58.977000000000004</v>
      </c>
      <c r="AF83" s="145">
        <f t="shared" si="46"/>
        <v>34.655002798290027</v>
      </c>
      <c r="AG83" s="772">
        <f t="shared" si="52"/>
        <v>182.36949130453002</v>
      </c>
      <c r="AH83" s="1253">
        <f t="shared" si="47"/>
        <v>8.9489999999999998</v>
      </c>
      <c r="AI83" s="1253">
        <f t="shared" si="48"/>
        <v>9.2880000000000003</v>
      </c>
      <c r="AJ83" s="156">
        <f t="shared" si="49"/>
        <v>48.654520229760074</v>
      </c>
      <c r="AK83" s="156">
        <f t="shared" si="50"/>
        <v>7.6072333291869896</v>
      </c>
      <c r="AM83" s="716">
        <f t="shared" si="51"/>
        <v>976.76485842829493</v>
      </c>
      <c r="AN83" s="716" t="str">
        <f>_xlfn.XLOOKUP(D83,RUC!$B$3:$B$578,RUC!$M$3:$M$578)</f>
        <v>Melchor Vera</v>
      </c>
      <c r="AO83" s="1167" t="s">
        <v>2280</v>
      </c>
      <c r="AP83" s="1843">
        <v>42</v>
      </c>
      <c r="AQ83" s="1082" t="s">
        <v>3292</v>
      </c>
    </row>
    <row r="84" spans="1:54" ht="15" customHeight="1">
      <c r="A84" s="747" t="s">
        <v>5579</v>
      </c>
      <c r="B84" s="1447">
        <v>46155</v>
      </c>
      <c r="C84" s="1447">
        <v>46150</v>
      </c>
      <c r="D84" t="s">
        <v>119</v>
      </c>
      <c r="E84" s="762">
        <f>_xlfn.XLOOKUP(D84,RUC!$B$3:$B$123,RUC!$D$3:$D$123)</f>
        <v>10082235774</v>
      </c>
      <c r="F84" s="629" t="s">
        <v>2614</v>
      </c>
      <c r="G84" s="762">
        <v>51</v>
      </c>
      <c r="H84" s="1082" t="s">
        <v>69</v>
      </c>
      <c r="I84" s="703">
        <v>4.68</v>
      </c>
      <c r="J84" s="596">
        <v>2</v>
      </c>
      <c r="K84" s="703">
        <f t="shared" si="42"/>
        <v>4.5860000000000003</v>
      </c>
      <c r="L84" s="1193">
        <v>0.184</v>
      </c>
      <c r="M84" s="994">
        <f>ROUND(+IF(L84&gt;_xlfn.XLOOKUP(AN84,RUC!M:M,RUC!K:K),L84*_xlfn.XLOOKUP(AN84,RUC!M:M,RUC!I:I),L84-_xlfn.XLOOKUP(AN84,RUC!M:M,RUC!J:J)),3)</f>
        <v>0.17699999999999999</v>
      </c>
      <c r="N84" s="1196">
        <f t="shared" si="53"/>
        <v>0.17699999999999999</v>
      </c>
      <c r="O84" s="645">
        <f t="shared" si="41"/>
        <v>0.17699999999999999</v>
      </c>
      <c r="P84" s="727">
        <v>85</v>
      </c>
      <c r="Q84" s="1476">
        <v>93.48</v>
      </c>
      <c r="R84" s="706">
        <v>4741.3999999999996</v>
      </c>
      <c r="S84" s="1164">
        <f>IF((_xlfn.XLOOKUP(D84,RUC!$B$3:$B$119,RUC!$E$3:$E$119)+ROUNDDOWN(O84,1)*100)&lt;95,95,((_xlfn.XLOOKUP(D84,RUC!$B$3:$B$119,RUC!$E$3:$E$119)+ROUNDDOWN(O84,1)*100)))</f>
        <v>95</v>
      </c>
      <c r="U84" s="1146">
        <f>_xlfn.XLOOKUP(D84,RUC!$B$3:$B$123,RUC!$F$3:$F$123)</f>
        <v>80</v>
      </c>
      <c r="V84" s="715">
        <v>1.1023000000000001</v>
      </c>
      <c r="Y84">
        <f>_xlfn.XLOOKUP(D84,RUC!$B$3:$B$123,RUC!$G$3:$G$123)</f>
        <v>0</v>
      </c>
      <c r="Z84" s="143">
        <f>_xlfn.XLOOKUP(D84,RUC!$B$3:$B$123,RUC!$H$3:$H$123)</f>
        <v>10</v>
      </c>
      <c r="AA84" s="144">
        <f t="shared" si="43"/>
        <v>10</v>
      </c>
      <c r="AB84" s="145">
        <f t="shared" si="40"/>
        <v>657.30990054899996</v>
      </c>
      <c r="AC84" s="145">
        <f>+(S84-T84)*V84-'data 1'!$F$4</f>
        <v>24.718500000000006</v>
      </c>
      <c r="AD84" s="145">
        <f t="shared" si="44"/>
        <v>80.173317467904042</v>
      </c>
      <c r="AE84" s="145">
        <f t="shared" si="45"/>
        <v>-58.977000000000004</v>
      </c>
      <c r="AF84" s="145">
        <f t="shared" si="46"/>
        <v>33.622726119192031</v>
      </c>
      <c r="AG84" s="772">
        <f t="shared" si="52"/>
        <v>149.53754358709608</v>
      </c>
      <c r="AH84" s="1253">
        <f t="shared" si="47"/>
        <v>27.045000000000002</v>
      </c>
      <c r="AI84" s="1253">
        <f t="shared" si="48"/>
        <v>28.931000000000001</v>
      </c>
      <c r="AJ84" s="156">
        <f t="shared" si="49"/>
        <v>45.238351788096068</v>
      </c>
      <c r="AK84" s="156">
        <f t="shared" si="50"/>
        <v>23.655673194913785</v>
      </c>
      <c r="AM84" s="716">
        <f t="shared" si="51"/>
        <v>3014.4232039177141</v>
      </c>
      <c r="AN84" s="716" t="str">
        <f>_xlfn.XLOOKUP(D84,RUC!$B$3:$B$578,RUC!$M$3:$M$578)</f>
        <v>Melchor Vera</v>
      </c>
      <c r="AO84" s="1167" t="s">
        <v>2280</v>
      </c>
      <c r="AP84" s="1843">
        <v>42</v>
      </c>
      <c r="AQ84" s="1082" t="s">
        <v>3292</v>
      </c>
    </row>
    <row r="85" spans="1:54" ht="15" customHeight="1">
      <c r="A85" s="747" t="s">
        <v>5580</v>
      </c>
      <c r="B85" s="1447">
        <v>46155</v>
      </c>
      <c r="C85" s="1447">
        <v>46150</v>
      </c>
      <c r="D85" t="s">
        <v>119</v>
      </c>
      <c r="E85" s="762">
        <f>_xlfn.XLOOKUP(D85,RUC!$B$3:$B$123,RUC!$D$3:$D$123)</f>
        <v>10082235774</v>
      </c>
      <c r="F85" s="629" t="s">
        <v>2614</v>
      </c>
      <c r="G85" s="762">
        <v>59</v>
      </c>
      <c r="H85" s="1082" t="s">
        <v>69</v>
      </c>
      <c r="I85" s="703">
        <v>5.0999999999999996</v>
      </c>
      <c r="J85" s="596">
        <v>2.2000000000000002</v>
      </c>
      <c r="K85" s="703">
        <f t="shared" si="42"/>
        <v>4.9880000000000004</v>
      </c>
      <c r="L85" s="1193">
        <v>0.215</v>
      </c>
      <c r="M85" s="994">
        <f>ROUND(+IF(L85&gt;_xlfn.XLOOKUP(AN85,RUC!M:M,RUC!K:K),L85*_xlfn.XLOOKUP(AN85,RUC!M:M,RUC!I:I),L85-_xlfn.XLOOKUP(AN85,RUC!M:M,RUC!J:J)),3)</f>
        <v>0.20799999999999999</v>
      </c>
      <c r="N85" s="1196">
        <f t="shared" si="53"/>
        <v>0.20799999999999999</v>
      </c>
      <c r="O85" s="645">
        <f t="shared" si="41"/>
        <v>0.20799999999999999</v>
      </c>
      <c r="P85" s="727">
        <v>85</v>
      </c>
      <c r="Q85" s="1476">
        <v>92.56</v>
      </c>
      <c r="R85" s="706">
        <v>4741.3999999999996</v>
      </c>
      <c r="S85" s="1164">
        <v>105</v>
      </c>
      <c r="U85" s="1146">
        <f>_xlfn.XLOOKUP(D85,RUC!$B$3:$B$123,RUC!$F$3:$F$123)</f>
        <v>80</v>
      </c>
      <c r="V85" s="715">
        <v>1.1023000000000001</v>
      </c>
      <c r="Y85">
        <f>_xlfn.XLOOKUP(D85,RUC!$B$3:$B$123,RUC!$G$3:$G$123)</f>
        <v>0</v>
      </c>
      <c r="Z85" s="143">
        <f>_xlfn.XLOOKUP(D85,RUC!$B$3:$B$123,RUC!$H$3:$H$123)</f>
        <v>10</v>
      </c>
      <c r="AA85" s="144">
        <f t="shared" si="43"/>
        <v>10</v>
      </c>
      <c r="AB85" s="145">
        <f t="shared" si="40"/>
        <v>781.680083696</v>
      </c>
      <c r="AC85" s="145">
        <f>+(S85-T85)*V85-'data 1'!$F$4</f>
        <v>35.741500000000002</v>
      </c>
      <c r="AD85" s="145">
        <f t="shared" si="44"/>
        <v>83.517297869880025</v>
      </c>
      <c r="AE85" s="145">
        <f t="shared" si="45"/>
        <v>-58.977000000000004</v>
      </c>
      <c r="AF85" s="145">
        <f t="shared" si="46"/>
        <v>33.291822096624031</v>
      </c>
      <c r="AG85" s="772">
        <f t="shared" si="52"/>
        <v>163.57361996650405</v>
      </c>
      <c r="AH85" s="1253">
        <f t="shared" si="47"/>
        <v>34.033000000000001</v>
      </c>
      <c r="AI85" s="1253">
        <f t="shared" si="48"/>
        <v>36.768000000000001</v>
      </c>
      <c r="AJ85" s="156">
        <f t="shared" si="49"/>
        <v>52.339799255120084</v>
      </c>
      <c r="AK85" s="156">
        <f t="shared" si="50"/>
        <v>30.235543156913117</v>
      </c>
      <c r="AM85" s="716">
        <f t="shared" si="51"/>
        <v>3899.0202574756481</v>
      </c>
      <c r="AN85" s="716" t="str">
        <f>_xlfn.XLOOKUP(D85,RUC!$B$3:$B$578,RUC!$M$3:$M$578)</f>
        <v>Melchor Vera</v>
      </c>
      <c r="AO85" s="1167" t="s">
        <v>2280</v>
      </c>
      <c r="AP85" s="1843">
        <v>42</v>
      </c>
      <c r="AQ85" s="1082" t="s">
        <v>3292</v>
      </c>
    </row>
    <row r="86" spans="1:54" ht="15" customHeight="1">
      <c r="A86" s="747" t="s">
        <v>5482</v>
      </c>
      <c r="B86" s="1882">
        <v>46275</v>
      </c>
      <c r="C86" s="1447">
        <v>46145</v>
      </c>
      <c r="D86" t="s">
        <v>93</v>
      </c>
      <c r="E86" s="762">
        <f>_xlfn.XLOOKUP(D86,RUC!$B$3:$B$123,RUC!$D$3:$D$123)</f>
        <v>20169040231</v>
      </c>
      <c r="F86" s="629" t="s">
        <v>5545</v>
      </c>
      <c r="G86" s="762">
        <v>14</v>
      </c>
      <c r="H86" s="1082" t="s">
        <v>69</v>
      </c>
      <c r="I86" s="703">
        <v>1.28</v>
      </c>
      <c r="J86" s="596">
        <v>2</v>
      </c>
      <c r="K86" s="703">
        <f t="shared" si="42"/>
        <v>1.254</v>
      </c>
      <c r="L86" s="1745">
        <v>0.41</v>
      </c>
      <c r="M86" s="994">
        <f>ROUND(+IF(L86&gt;_xlfn.XLOOKUP(AN86,RUC!M:M,RUC!K:K),L86*_xlfn.XLOOKUP(AN86,RUC!M:M,RUC!I:I),L86-_xlfn.XLOOKUP(AN86,RUC!M:M,RUC!J:J)),3)</f>
        <v>0.38500000000000001</v>
      </c>
      <c r="N86" s="1196">
        <f t="shared" si="53"/>
        <v>0.38500000000000001</v>
      </c>
      <c r="O86" s="645">
        <f t="shared" si="41"/>
        <v>0.38500000000000001</v>
      </c>
      <c r="P86" s="727">
        <v>88</v>
      </c>
      <c r="Q86" s="1572">
        <v>89.02</v>
      </c>
      <c r="R86" s="706">
        <v>4576.8</v>
      </c>
      <c r="S86" s="765">
        <f>IF((_xlfn.XLOOKUP(D86,RUC!$B$3:$B$119,RUC!$E$3:$E$119)+ROUNDDOWN(O86,1)*100)&lt;95,95,((_xlfn.XLOOKUP(D86,RUC!$B$3:$B$119,RUC!$E$3:$E$119)+ROUNDDOWN(O86,1)*100)))</f>
        <v>115</v>
      </c>
      <c r="U86" s="1146">
        <f>_xlfn.XLOOKUP(D86,RUC!$B$3:$B$123,RUC!$F$3:$F$123)</f>
        <v>120</v>
      </c>
      <c r="V86" s="715">
        <v>1.1023000000000001</v>
      </c>
      <c r="Y86">
        <f>_xlfn.XLOOKUP(D86,RUC!$B$3:$B$123,RUC!$G$3:$G$123)</f>
        <v>20</v>
      </c>
      <c r="Z86" s="1454">
        <v>35</v>
      </c>
      <c r="AA86" s="144">
        <f t="shared" si="43"/>
        <v>55</v>
      </c>
      <c r="AB86" s="145">
        <f t="shared" si="40"/>
        <v>1477.0421408320003</v>
      </c>
      <c r="AC86" s="145">
        <f>+(S86-T86)*V86-'data 1'!$F$4</f>
        <v>46.764500000000012</v>
      </c>
      <c r="AD86" s="145">
        <f t="shared" si="44"/>
        <v>20.545039536479923</v>
      </c>
      <c r="AE86" s="145">
        <f t="shared" si="45"/>
        <v>-9.3734999999999999</v>
      </c>
      <c r="AF86" s="145">
        <f t="shared" si="46"/>
        <v>109.33282039319985</v>
      </c>
      <c r="AG86" s="772">
        <f>AC86+AD86+AE86+AF86+70-53</f>
        <v>184.26885992967979</v>
      </c>
      <c r="AH86" s="1253">
        <f t="shared" si="47"/>
        <v>15.692</v>
      </c>
      <c r="AI86" s="1253">
        <f t="shared" si="48"/>
        <v>17.626999999999999</v>
      </c>
      <c r="AJ86" s="156">
        <f>+((+'Analisis comercial'!$AJ$2-R86+U86)*L86*Q86*V86)/100</f>
        <v>-63.083722468480062</v>
      </c>
      <c r="AK86" s="156">
        <f t="shared" si="50"/>
        <v>14.566325397060359</v>
      </c>
      <c r="AM86" s="716">
        <f t="shared" si="51"/>
        <v>1852.2108446033285</v>
      </c>
      <c r="AN86" s="716" t="str">
        <f>_xlfn.XLOOKUP(D86,RUC!$B$3:$B$578,RUC!$M$3:$M$578)</f>
        <v>Ronald Miranda</v>
      </c>
      <c r="AO86" s="1167" t="s">
        <v>2279</v>
      </c>
      <c r="AP86" s="1843">
        <v>6586</v>
      </c>
      <c r="AQ86" s="1866" t="s">
        <v>4145</v>
      </c>
      <c r="AR86" t="s">
        <v>5469</v>
      </c>
      <c r="AW86" s="1469"/>
      <c r="AX86" s="1470"/>
      <c r="AY86" s="704"/>
      <c r="AZ86" s="1471"/>
      <c r="BA86" s="707"/>
      <c r="BB86" s="707"/>
    </row>
    <row r="87" spans="1:54" ht="15" customHeight="1">
      <c r="A87" s="747" t="s">
        <v>5484</v>
      </c>
      <c r="B87" s="1882">
        <v>46150</v>
      </c>
      <c r="C87" s="1447">
        <v>46145</v>
      </c>
      <c r="D87" t="s">
        <v>93</v>
      </c>
      <c r="E87" s="762">
        <f>_xlfn.XLOOKUP(D87,RUC!$B$3:$B$123,RUC!$D$3:$D$123)</f>
        <v>20169040231</v>
      </c>
      <c r="F87" s="629" t="s">
        <v>5546</v>
      </c>
      <c r="G87" s="762">
        <v>11</v>
      </c>
      <c r="H87" s="1082" t="s">
        <v>69</v>
      </c>
      <c r="I87" s="703">
        <v>0.93</v>
      </c>
      <c r="J87" s="596">
        <v>2.15</v>
      </c>
      <c r="K87" s="703">
        <f t="shared" ref="K87:K107" si="54">ROUND(+I87-(I87*(J87/100)),3)</f>
        <v>0.91</v>
      </c>
      <c r="L87" s="1745">
        <v>0.47499999999999998</v>
      </c>
      <c r="M87" s="994">
        <f>ROUND(+IF(L87&gt;_xlfn.XLOOKUP(AN87,RUC!M:M,RUC!K:K),L87*_xlfn.XLOOKUP(AN87,RUC!M:M,RUC!I:I),L87-_xlfn.XLOOKUP(AN87,RUC!M:M,RUC!J:J)),3)</f>
        <v>0.44700000000000001</v>
      </c>
      <c r="N87" s="1196">
        <f>+M87</f>
        <v>0.44700000000000001</v>
      </c>
      <c r="O87" s="645">
        <f t="shared" ref="O87:O93" si="55">+ROUND((M87+N87)/2,3)</f>
        <v>0.44700000000000001</v>
      </c>
      <c r="P87" s="727">
        <v>89</v>
      </c>
      <c r="Q87" s="1476">
        <v>90.11</v>
      </c>
      <c r="R87" s="706">
        <v>4576.8</v>
      </c>
      <c r="S87" s="765">
        <f>IF((_xlfn.XLOOKUP(D87,RUC!$B$3:$B$119,RUC!$E$3:$E$119)+ROUNDDOWN(O87,1)*100)&lt;95,95,((_xlfn.XLOOKUP(D87,RUC!$B$3:$B$119,RUC!$E$3:$E$119)+ROUNDDOWN(O87,1)*100)))</f>
        <v>125</v>
      </c>
      <c r="U87" s="1146">
        <f>_xlfn.XLOOKUP(D87,RUC!$B$3:$B$123,RUC!$F$3:$F$123)</f>
        <v>120</v>
      </c>
      <c r="V87" s="715">
        <v>1.1023000000000001</v>
      </c>
      <c r="Y87">
        <f>_xlfn.XLOOKUP(D87,RUC!$B$3:$B$123,RUC!$G$3:$G$123)</f>
        <v>20</v>
      </c>
      <c r="Z87" s="1454">
        <v>35</v>
      </c>
      <c r="AA87" s="144">
        <f t="shared" ref="AA87:AA107" si="56">+Y87+Z87</f>
        <v>55</v>
      </c>
      <c r="AB87" s="145">
        <f t="shared" ref="AB87:AB107" si="57">+((O87*P87*(R87-U87)/100)-S87-AA87+T87)*V87</f>
        <v>1756.0176305112</v>
      </c>
      <c r="AC87" s="145">
        <f>+(S87-T87)*V87-'data 1'!$F$4</f>
        <v>57.787499999999994</v>
      </c>
      <c r="AD87" s="145">
        <f t="shared" ref="AD87:AD107" si="58">+(Q87-P87)*(R87-U87)*L87*V87/100</f>
        <v>25.902372299399989</v>
      </c>
      <c r="AE87" s="145">
        <f t="shared" ref="AE87:AE107" si="59">+(Y87*V87-70)+V87*(Z87-IF(D87="UNTUCA",IF(+((W87-3)*2.5+(X87-3)*3.1)&gt;0,+((W87-3)*1.5+(X87-3)*3.1),0),IF(+((W87-3)*1.5+(X87-3)*3.1)&gt;0,+((W87-3)*1.5+(X87-3)*3.1),0)))</f>
        <v>-9.3734999999999999</v>
      </c>
      <c r="AF87" s="145">
        <f t="shared" ref="AF87:AF107" si="60">(L87-O87)*(R87-U87)*Q87*V87/100</f>
        <v>123.95212423171188</v>
      </c>
      <c r="AG87" s="772">
        <f t="shared" ref="AG87:AG107" si="61">AC87+AD87+AE87+AF87+70-53</f>
        <v>215.26849653111185</v>
      </c>
      <c r="AH87" s="1253">
        <f t="shared" ref="AH87:AH107" si="62">ROUND((31.1035*L87*Q87*1.1023*K87/100),3)</f>
        <v>13.353999999999999</v>
      </c>
      <c r="AI87" s="1253">
        <f t="shared" ref="AI87:AI107" si="63">ROUND((31.1035*L87*1.1023*K87),3)</f>
        <v>14.82</v>
      </c>
      <c r="AJ87" s="156">
        <f>+((+'Analisis comercial'!$AJ$2-R87+U87)*L87*Q87*V87)/100</f>
        <v>-73.979682834400094</v>
      </c>
      <c r="AK87" s="156">
        <f t="shared" ref="AK87:AK107" si="64">31.1035*1.1023*K87*P87*O87/100</f>
        <v>12.412177894417667</v>
      </c>
      <c r="AM87" s="716">
        <f t="shared" ref="AM87:AM105" si="65">+IF(AB87*K87&gt;0,AB87*K87,0)</f>
        <v>1597.9760437651921</v>
      </c>
      <c r="AN87" s="716" t="str">
        <f>_xlfn.XLOOKUP(D87,RUC!$B$3:$B$578,RUC!$M$3:$M$578)</f>
        <v>Ronald Miranda</v>
      </c>
      <c r="AO87" s="1167" t="s">
        <v>2279</v>
      </c>
      <c r="AP87" s="1843">
        <v>6586</v>
      </c>
      <c r="AQ87" s="1866" t="s">
        <v>4145</v>
      </c>
      <c r="AR87" t="s">
        <v>5469</v>
      </c>
    </row>
    <row r="88" spans="1:54" ht="15" customHeight="1">
      <c r="A88" s="747" t="s">
        <v>5485</v>
      </c>
      <c r="B88" s="1882">
        <v>46150</v>
      </c>
      <c r="C88" s="1447">
        <v>46145</v>
      </c>
      <c r="D88" t="s">
        <v>93</v>
      </c>
      <c r="E88" s="762">
        <f>_xlfn.XLOOKUP(D88,RUC!$B$3:$B$123,RUC!$D$3:$D$123)</f>
        <v>20169040231</v>
      </c>
      <c r="F88" s="629" t="s">
        <v>5547</v>
      </c>
      <c r="G88" s="762">
        <v>16</v>
      </c>
      <c r="H88" s="1082" t="s">
        <v>69</v>
      </c>
      <c r="I88" s="703">
        <v>1.5</v>
      </c>
      <c r="J88" s="596">
        <v>3.65</v>
      </c>
      <c r="K88" s="703">
        <f t="shared" si="54"/>
        <v>1.4450000000000001</v>
      </c>
      <c r="L88" s="1745">
        <v>0.25</v>
      </c>
      <c r="M88" s="994">
        <f>ROUND(+IF(L88&gt;_xlfn.XLOOKUP(AN88,RUC!M:M,RUC!K:K),L88*_xlfn.XLOOKUP(AN88,RUC!M:M,RUC!I:I),L88-_xlfn.XLOOKUP(AN88,RUC!M:M,RUC!J:J)),3)</f>
        <v>0.23100000000000001</v>
      </c>
      <c r="N88" s="1196">
        <f>+M88</f>
        <v>0.23100000000000001</v>
      </c>
      <c r="O88" s="645">
        <f t="shared" si="55"/>
        <v>0.23100000000000001</v>
      </c>
      <c r="P88" s="727">
        <v>90</v>
      </c>
      <c r="Q88" s="1476">
        <v>96.8</v>
      </c>
      <c r="R88" s="706">
        <v>4576.8</v>
      </c>
      <c r="S88" s="765">
        <f>IF((_xlfn.XLOOKUP(D88,RUC!$B$3:$B$119,RUC!$E$3:$E$119)+ROUNDDOWN(O88,1)*100)&lt;95,95,((_xlfn.XLOOKUP(D88,RUC!$B$3:$B$119,RUC!$E$3:$E$119)+ROUNDDOWN(O88,1)*100)))</f>
        <v>105</v>
      </c>
      <c r="U88" s="1146">
        <f>_xlfn.XLOOKUP(D88,RUC!$B$3:$B$123,RUC!$F$3:$F$123)</f>
        <v>120</v>
      </c>
      <c r="V88" s="715">
        <v>1.1023000000000001</v>
      </c>
      <c r="Y88">
        <f>_xlfn.XLOOKUP(D88,RUC!$B$3:$B$123,RUC!$G$3:$G$123)</f>
        <v>20</v>
      </c>
      <c r="Z88" s="1454">
        <v>35</v>
      </c>
      <c r="AA88" s="144">
        <f t="shared" si="56"/>
        <v>55</v>
      </c>
      <c r="AB88" s="145">
        <f t="shared" si="57"/>
        <v>844.98870005600031</v>
      </c>
      <c r="AC88" s="145">
        <f>+(S88-T88)*V88-'data 1'!$F$4</f>
        <v>35.741500000000002</v>
      </c>
      <c r="AD88" s="145">
        <f t="shared" si="58"/>
        <v>83.51642087999997</v>
      </c>
      <c r="AE88" s="145">
        <f t="shared" si="59"/>
        <v>-9.3734999999999999</v>
      </c>
      <c r="AF88" s="145">
        <f t="shared" si="60"/>
        <v>90.354941930879946</v>
      </c>
      <c r="AG88" s="772">
        <f t="shared" si="61"/>
        <v>217.23936281087992</v>
      </c>
      <c r="AH88" s="1253">
        <f t="shared" si="62"/>
        <v>11.989000000000001</v>
      </c>
      <c r="AI88" s="1253">
        <f t="shared" si="63"/>
        <v>12.385999999999999</v>
      </c>
      <c r="AJ88" s="156">
        <f>+((+'Analisis comercial'!$AJ$2-R88+U88)*L88*Q88*V88)/100</f>
        <v>-41.827434880000055</v>
      </c>
      <c r="AK88" s="156">
        <f t="shared" si="64"/>
        <v>10.299861993734776</v>
      </c>
      <c r="AM88" s="716">
        <f t="shared" si="65"/>
        <v>1221.0086715809205</v>
      </c>
      <c r="AN88" s="716" t="str">
        <f>_xlfn.XLOOKUP(D88,RUC!$B$3:$B$578,RUC!$M$3:$M$578)</f>
        <v>Ronald Miranda</v>
      </c>
      <c r="AO88" s="1167" t="s">
        <v>2279</v>
      </c>
      <c r="AP88" s="1843">
        <v>6586</v>
      </c>
      <c r="AQ88" s="1866" t="s">
        <v>4145</v>
      </c>
    </row>
    <row r="89" spans="1:54" ht="15" customHeight="1">
      <c r="A89" s="747" t="s">
        <v>5486</v>
      </c>
      <c r="B89" s="1882">
        <v>46150</v>
      </c>
      <c r="C89" s="1447">
        <v>46145</v>
      </c>
      <c r="D89" t="s">
        <v>93</v>
      </c>
      <c r="E89" s="762">
        <f>_xlfn.XLOOKUP(D89,RUC!$B$3:$B$123,RUC!$D$3:$D$123)</f>
        <v>20169040231</v>
      </c>
      <c r="F89" s="629" t="s">
        <v>5548</v>
      </c>
      <c r="G89" s="762">
        <v>46</v>
      </c>
      <c r="H89" s="1082" t="s">
        <v>69</v>
      </c>
      <c r="I89" s="703">
        <v>4.45</v>
      </c>
      <c r="J89" s="596">
        <v>2.95</v>
      </c>
      <c r="K89" s="703">
        <f t="shared" si="54"/>
        <v>4.319</v>
      </c>
      <c r="L89" s="1745">
        <v>0.48199999999999998</v>
      </c>
      <c r="M89" s="994">
        <f>ROUND(+IF(L89&gt;_xlfn.XLOOKUP(AN89,RUC!M:M,RUC!K:K),L89*_xlfn.XLOOKUP(AN89,RUC!M:M,RUC!I:I),L89-_xlfn.XLOOKUP(AN89,RUC!M:M,RUC!J:J)),3)</f>
        <v>0.45300000000000001</v>
      </c>
      <c r="N89" s="1196">
        <f>+M89</f>
        <v>0.45300000000000001</v>
      </c>
      <c r="O89" s="645">
        <f t="shared" si="55"/>
        <v>0.45300000000000001</v>
      </c>
      <c r="P89" s="727">
        <v>90</v>
      </c>
      <c r="Q89" s="1476">
        <v>97.51</v>
      </c>
      <c r="R89" s="706">
        <v>4576.8</v>
      </c>
      <c r="S89" s="765">
        <f>IF((_xlfn.XLOOKUP(D89,RUC!$B$3:$B$119,RUC!$E$3:$E$119)+ROUNDDOWN(O89,1)*100)&lt;95,95,((_xlfn.XLOOKUP(D89,RUC!$B$3:$B$119,RUC!$E$3:$E$119)+ROUNDDOWN(O89,1)*100)))</f>
        <v>125</v>
      </c>
      <c r="U89" s="1146">
        <f>_xlfn.XLOOKUP(D89,RUC!$B$3:$B$123,RUC!$F$3:$F$123)</f>
        <v>120</v>
      </c>
      <c r="V89" s="715">
        <v>1.1023000000000001</v>
      </c>
      <c r="Y89">
        <f>_xlfn.XLOOKUP(D89,RUC!$B$3:$B$123,RUC!$G$3:$G$123)</f>
        <v>20</v>
      </c>
      <c r="Z89" s="1454">
        <v>35</v>
      </c>
      <c r="AA89" s="144">
        <f t="shared" si="56"/>
        <v>55</v>
      </c>
      <c r="AB89" s="145">
        <f t="shared" si="57"/>
        <v>1804.5062819280004</v>
      </c>
      <c r="AC89" s="145">
        <f>+(S89-T89)*V89-'data 1'!$F$4</f>
        <v>57.787499999999994</v>
      </c>
      <c r="AD89" s="145">
        <f t="shared" si="58"/>
        <v>177.83200625284812</v>
      </c>
      <c r="AE89" s="145">
        <f t="shared" si="59"/>
        <v>-9.3734999999999999</v>
      </c>
      <c r="AF89" s="145">
        <f t="shared" si="60"/>
        <v>138.92170576485589</v>
      </c>
      <c r="AG89" s="772">
        <f t="shared" si="61"/>
        <v>382.16771201770399</v>
      </c>
      <c r="AH89" s="1253">
        <f t="shared" si="62"/>
        <v>69.596999999999994</v>
      </c>
      <c r="AI89" s="1253">
        <f t="shared" si="63"/>
        <v>71.373999999999995</v>
      </c>
      <c r="AJ89" s="156">
        <f>+((+'Analisis comercial'!$AJ$2-R89+U89)*L89*Q89*V89)/100</f>
        <v>-81.234789686848103</v>
      </c>
      <c r="AK89" s="156">
        <f t="shared" si="64"/>
        <v>60.371641545787227</v>
      </c>
      <c r="AM89" s="716">
        <f t="shared" si="65"/>
        <v>7793.6626316470338</v>
      </c>
      <c r="AN89" s="716" t="str">
        <f>_xlfn.XLOOKUP(D89,RUC!$B$3:$B$578,RUC!$M$3:$M$578)</f>
        <v>Ronald Miranda</v>
      </c>
      <c r="AO89" s="1167" t="s">
        <v>2279</v>
      </c>
      <c r="AP89" s="1843">
        <v>6586</v>
      </c>
      <c r="AQ89" s="1866" t="s">
        <v>4145</v>
      </c>
    </row>
    <row r="90" spans="1:54" ht="15" customHeight="1">
      <c r="A90" s="747" t="s">
        <v>5508</v>
      </c>
      <c r="B90" s="1882">
        <v>46152</v>
      </c>
      <c r="C90" s="1447">
        <v>46146</v>
      </c>
      <c r="D90" t="s">
        <v>93</v>
      </c>
      <c r="E90" s="762">
        <f>_xlfn.XLOOKUP(D90,RUC!$B$3:$B$123,RUC!$D$3:$D$123)</f>
        <v>20169040231</v>
      </c>
      <c r="F90" s="629" t="s">
        <v>5533</v>
      </c>
      <c r="G90" s="762">
        <v>40</v>
      </c>
      <c r="H90" s="1082" t="s">
        <v>69</v>
      </c>
      <c r="I90" s="703">
        <v>3.86</v>
      </c>
      <c r="J90" s="596">
        <v>2.2999999999999998</v>
      </c>
      <c r="K90" s="703">
        <f t="shared" si="54"/>
        <v>3.7709999999999999</v>
      </c>
      <c r="L90" s="1193">
        <v>0.5</v>
      </c>
      <c r="M90" s="994">
        <f>ROUND(+IF(L90&gt;_xlfn.XLOOKUP(AN90,RUC!M:M,RUC!K:K),L90*_xlfn.XLOOKUP(AN90,RUC!M:M,RUC!I:I),L90-_xlfn.XLOOKUP(AN90,RUC!M:M,RUC!J:J)),3)</f>
        <v>0.47</v>
      </c>
      <c r="N90" s="1444">
        <v>0.52200000000000002</v>
      </c>
      <c r="O90" s="645">
        <f t="shared" si="55"/>
        <v>0.496</v>
      </c>
      <c r="P90" s="727">
        <v>90</v>
      </c>
      <c r="Q90" s="1476">
        <v>96.33</v>
      </c>
      <c r="R90" s="706">
        <v>4576.8</v>
      </c>
      <c r="S90" s="765">
        <f>IF((_xlfn.XLOOKUP(D90,RUC!$B$3:$B$119,RUC!$E$3:$E$119)+ROUNDDOWN(O90,1)*100)&lt;95,95,((_xlfn.XLOOKUP(D90,RUC!$B$3:$B$119,RUC!$E$3:$E$119)+ROUNDDOWN(O90,1)*100)))</f>
        <v>125</v>
      </c>
      <c r="U90" s="1146">
        <f>_xlfn.XLOOKUP(D90,RUC!$B$3:$B$123,RUC!$F$3:$F$123)</f>
        <v>120</v>
      </c>
      <c r="V90" s="715">
        <v>1.1023000000000001</v>
      </c>
      <c r="Y90">
        <f>_xlfn.XLOOKUP(D90,RUC!$B$3:$B$123,RUC!$G$3:$G$123)</f>
        <v>20</v>
      </c>
      <c r="Z90" s="1454">
        <v>35</v>
      </c>
      <c r="AA90" s="144">
        <f t="shared" si="56"/>
        <v>55</v>
      </c>
      <c r="AB90" s="145">
        <f t="shared" si="57"/>
        <v>1994.6289576960003</v>
      </c>
      <c r="AC90" s="145">
        <f>+(S90-T90)*V90-'data 1'!$F$4</f>
        <v>57.787499999999994</v>
      </c>
      <c r="AD90" s="145">
        <f t="shared" si="58"/>
        <v>155.48792475599998</v>
      </c>
      <c r="AE90" s="145">
        <f t="shared" si="59"/>
        <v>-9.3734999999999999</v>
      </c>
      <c r="AF90" s="145">
        <f t="shared" si="60"/>
        <v>18.929733702048019</v>
      </c>
      <c r="AG90" s="772">
        <f t="shared" si="61"/>
        <v>239.83165845804797</v>
      </c>
      <c r="AH90" s="1253">
        <f t="shared" si="62"/>
        <v>62.273000000000003</v>
      </c>
      <c r="AI90" s="1253">
        <f t="shared" si="63"/>
        <v>64.644999999999996</v>
      </c>
      <c r="AJ90" s="156">
        <f>+((+'Analisis comercial'!$AJ$2-R90+U90)*L90*Q90*V90)/100</f>
        <v>-83.248694256000107</v>
      </c>
      <c r="AK90" s="156">
        <f t="shared" si="64"/>
        <v>57.715144537435918</v>
      </c>
      <c r="AM90" s="716">
        <f t="shared" si="65"/>
        <v>7521.7457994716169</v>
      </c>
      <c r="AN90" s="716" t="str">
        <f>_xlfn.XLOOKUP(D90,RUC!$B$3:$B$578,RUC!$M$3:$M$578)</f>
        <v>Ronald Miranda</v>
      </c>
      <c r="AO90" s="1167" t="s">
        <v>2279</v>
      </c>
      <c r="AP90" s="1843">
        <v>6587</v>
      </c>
      <c r="AQ90" s="1866" t="s">
        <v>2966</v>
      </c>
    </row>
    <row r="91" spans="1:54" ht="15" customHeight="1">
      <c r="A91" s="747" t="s">
        <v>5516</v>
      </c>
      <c r="B91" s="1882">
        <v>46155</v>
      </c>
      <c r="C91" s="1447">
        <v>46146</v>
      </c>
      <c r="D91" t="s">
        <v>1967</v>
      </c>
      <c r="E91" s="762">
        <f>_xlfn.XLOOKUP(D91,RUC!$B$3:$B$123,RUC!$D$3:$D$123)</f>
        <v>20601769396</v>
      </c>
      <c r="F91" s="629" t="s">
        <v>5532</v>
      </c>
      <c r="G91" s="762">
        <v>8</v>
      </c>
      <c r="H91" s="1082" t="s">
        <v>2005</v>
      </c>
      <c r="I91" s="703">
        <v>0.68</v>
      </c>
      <c r="J91" s="596">
        <v>9.6</v>
      </c>
      <c r="K91" s="703">
        <f t="shared" si="54"/>
        <v>0.61499999999999999</v>
      </c>
      <c r="L91" s="1193">
        <v>0.17299999999999999</v>
      </c>
      <c r="M91" s="994">
        <f>ROUND(+IF(L91&gt;_xlfn.XLOOKUP(AN91,RUC!M:M,RUC!K:K),L91*_xlfn.XLOOKUP(AN91,RUC!M:M,RUC!I:I),L91-_xlfn.XLOOKUP(AN91,RUC!M:M,RUC!J:J)),3)</f>
        <v>0.154</v>
      </c>
      <c r="N91" s="1196">
        <f>+M91</f>
        <v>0.154</v>
      </c>
      <c r="O91" s="645">
        <f t="shared" si="55"/>
        <v>0.154</v>
      </c>
      <c r="P91" s="727">
        <v>85</v>
      </c>
      <c r="Q91" s="1476">
        <v>90.96</v>
      </c>
      <c r="R91" s="706">
        <v>4576.8</v>
      </c>
      <c r="S91" s="765">
        <f>IF((_xlfn.XLOOKUP(D91,RUC!$B$3:$B$119,RUC!$E$3:$E$119)+ROUNDDOWN(O91,1)*100)&lt;95,95,((_xlfn.XLOOKUP(D91,RUC!$B$3:$B$119,RUC!$E$3:$E$119)+ROUNDDOWN(O91,1)*100)))</f>
        <v>100</v>
      </c>
      <c r="U91" s="1146">
        <f>_xlfn.XLOOKUP(D91,RUC!$B$3:$B$123,RUC!$F$3:$F$123)</f>
        <v>120</v>
      </c>
      <c r="V91" s="715">
        <v>1.1023000000000001</v>
      </c>
      <c r="Y91">
        <f>_xlfn.XLOOKUP(D91,RUC!$B$3:$B$123,RUC!$G$3:$G$123)</f>
        <v>20</v>
      </c>
      <c r="Z91" s="143">
        <f>_xlfn.XLOOKUP(D91,RUC!$B$3:$B$123,RUC!$H$3:$H$123)</f>
        <v>30</v>
      </c>
      <c r="AA91" s="144">
        <f t="shared" si="56"/>
        <v>50</v>
      </c>
      <c r="AB91" s="145">
        <f t="shared" si="57"/>
        <v>477.73144077600006</v>
      </c>
      <c r="AC91" s="145">
        <f>+(S91-T91)*V91-'data 1'!$F$4</f>
        <v>30.230000000000004</v>
      </c>
      <c r="AD91" s="145">
        <f t="shared" si="58"/>
        <v>50.654183082911942</v>
      </c>
      <c r="AE91" s="145">
        <f t="shared" si="59"/>
        <v>-14.884999999999998</v>
      </c>
      <c r="AF91" s="145">
        <f t="shared" si="60"/>
        <v>84.90377601273596</v>
      </c>
      <c r="AG91" s="772">
        <f t="shared" si="61"/>
        <v>167.9029590956479</v>
      </c>
      <c r="AH91" s="1253">
        <f t="shared" si="62"/>
        <v>3.3180000000000001</v>
      </c>
      <c r="AI91" s="1253">
        <f t="shared" si="63"/>
        <v>3.6480000000000001</v>
      </c>
      <c r="AJ91" s="156">
        <f>+((+'Analisis comercial'!$AJ$2-R91+U91)*L91*Q91*V91)/100</f>
        <v>-27.198341382912027</v>
      </c>
      <c r="AK91" s="156">
        <f t="shared" si="64"/>
        <v>2.7600937368831753</v>
      </c>
      <c r="AM91" s="716">
        <f t="shared" si="65"/>
        <v>293.80483607724005</v>
      </c>
      <c r="AN91" s="716" t="str">
        <f>_xlfn.XLOOKUP(D91,RUC!$B$3:$B$578,RUC!$M$3:$M$578)</f>
        <v>Evelyn</v>
      </c>
      <c r="AO91" s="1167" t="s">
        <v>2279</v>
      </c>
      <c r="AP91" s="1843">
        <v>296</v>
      </c>
      <c r="AQ91" s="1866" t="s">
        <v>3754</v>
      </c>
    </row>
    <row r="92" spans="1:54" ht="15" customHeight="1">
      <c r="A92" s="747" t="s">
        <v>5517</v>
      </c>
      <c r="B92" s="1882">
        <v>46155</v>
      </c>
      <c r="C92" s="1447">
        <v>46146</v>
      </c>
      <c r="D92" t="s">
        <v>1967</v>
      </c>
      <c r="E92" s="762">
        <f>_xlfn.XLOOKUP(D92,RUC!$B$3:$B$123,RUC!$D$3:$D$123)</f>
        <v>20601769396</v>
      </c>
      <c r="F92" s="629" t="s">
        <v>5532</v>
      </c>
      <c r="G92" s="762">
        <v>18</v>
      </c>
      <c r="H92" s="1082" t="s">
        <v>2005</v>
      </c>
      <c r="I92" s="703">
        <v>1.47</v>
      </c>
      <c r="J92" s="596">
        <v>10.199999999999999</v>
      </c>
      <c r="K92" s="703">
        <f t="shared" si="54"/>
        <v>1.32</v>
      </c>
      <c r="L92" s="1193">
        <v>0.42299999999999999</v>
      </c>
      <c r="M92" s="994">
        <f>ROUND(+IF(L92&gt;_xlfn.XLOOKUP(AN92,RUC!M:M,RUC!K:K),L92*_xlfn.XLOOKUP(AN92,RUC!M:M,RUC!I:I),L92-_xlfn.XLOOKUP(AN92,RUC!M:M,RUC!J:J)),3)</f>
        <v>0.39800000000000002</v>
      </c>
      <c r="N92" s="1196">
        <f>+M92</f>
        <v>0.39800000000000002</v>
      </c>
      <c r="O92" s="645">
        <f t="shared" si="55"/>
        <v>0.39800000000000002</v>
      </c>
      <c r="P92" s="727">
        <v>90</v>
      </c>
      <c r="Q92" s="1476">
        <v>96.45</v>
      </c>
      <c r="R92" s="706">
        <v>4576.8</v>
      </c>
      <c r="S92" s="765">
        <f>IF((_xlfn.XLOOKUP(D92,RUC!$B$3:$B$119,RUC!$E$3:$E$119)+ROUNDDOWN(O92,1)*100)&lt;95,95,((_xlfn.XLOOKUP(D92,RUC!$B$3:$B$119,RUC!$E$3:$E$119)+ROUNDDOWN(O92,1)*100)))</f>
        <v>120</v>
      </c>
      <c r="U92" s="1146">
        <f>_xlfn.XLOOKUP(D92,RUC!$B$3:$B$123,RUC!$F$3:$F$123)</f>
        <v>120</v>
      </c>
      <c r="V92" s="715">
        <v>1.1023000000000001</v>
      </c>
      <c r="Y92">
        <f>_xlfn.XLOOKUP(D92,RUC!$B$3:$B$123,RUC!$G$3:$G$123)</f>
        <v>20</v>
      </c>
      <c r="Z92" s="143">
        <f>_xlfn.XLOOKUP(D92,RUC!$B$3:$B$123,RUC!$H$3:$H$123)</f>
        <v>30</v>
      </c>
      <c r="AA92" s="144">
        <f t="shared" si="56"/>
        <v>50</v>
      </c>
      <c r="AB92" s="145">
        <f t="shared" si="57"/>
        <v>1572.3491152480001</v>
      </c>
      <c r="AC92" s="145">
        <f>+(S92-T92)*V92-'data 1'!$F$4</f>
        <v>52.27600000000001</v>
      </c>
      <c r="AD92" s="145">
        <f t="shared" si="58"/>
        <v>134.03648641644008</v>
      </c>
      <c r="AE92" s="145">
        <f t="shared" si="59"/>
        <v>-14.884999999999998</v>
      </c>
      <c r="AF92" s="145">
        <f t="shared" si="60"/>
        <v>118.45821755699986</v>
      </c>
      <c r="AG92" s="772">
        <f t="shared" si="61"/>
        <v>306.88570397343995</v>
      </c>
      <c r="AH92" s="1253">
        <f t="shared" si="62"/>
        <v>18.463999999999999</v>
      </c>
      <c r="AI92" s="1253">
        <f t="shared" si="63"/>
        <v>19.143999999999998</v>
      </c>
      <c r="AJ92" s="156">
        <f>+((+'Analisis comercial'!$AJ$2-R92+U92)*L92*Q92*V92)/100</f>
        <v>-70.516129249440098</v>
      </c>
      <c r="AK92" s="156">
        <f t="shared" si="64"/>
        <v>16.210954319353203</v>
      </c>
      <c r="AM92" s="716">
        <f t="shared" si="65"/>
        <v>2075.5008321273604</v>
      </c>
      <c r="AN92" s="716" t="str">
        <f>_xlfn.XLOOKUP(D92,RUC!$B$3:$B$578,RUC!$M$3:$M$578)</f>
        <v>Evelyn</v>
      </c>
      <c r="AO92" s="1167" t="s">
        <v>2279</v>
      </c>
      <c r="AP92" s="1843">
        <v>296</v>
      </c>
      <c r="AQ92" s="1866" t="s">
        <v>3754</v>
      </c>
    </row>
    <row r="93" spans="1:54" ht="15" customHeight="1">
      <c r="A93" s="747" t="s">
        <v>5518</v>
      </c>
      <c r="B93" s="1882">
        <v>46155</v>
      </c>
      <c r="C93" s="1447">
        <v>46146</v>
      </c>
      <c r="D93" t="s">
        <v>1967</v>
      </c>
      <c r="E93" s="762">
        <f>_xlfn.XLOOKUP(D93,RUC!$B$3:$B$123,RUC!$D$3:$D$123)</f>
        <v>20601769396</v>
      </c>
      <c r="F93" s="629" t="s">
        <v>5532</v>
      </c>
      <c r="G93" s="762">
        <v>17</v>
      </c>
      <c r="H93" s="1082" t="s">
        <v>2005</v>
      </c>
      <c r="I93" s="703">
        <v>1.33</v>
      </c>
      <c r="J93" s="596">
        <v>9.6</v>
      </c>
      <c r="K93" s="703">
        <f t="shared" si="54"/>
        <v>1.202</v>
      </c>
      <c r="L93" s="1193">
        <v>0.45600000000000002</v>
      </c>
      <c r="M93" s="994">
        <f>ROUND(+IF(L93&gt;_xlfn.XLOOKUP(AN93,RUC!M:M,RUC!K:K),L93*_xlfn.XLOOKUP(AN93,RUC!M:M,RUC!I:I),L93-_xlfn.XLOOKUP(AN93,RUC!M:M,RUC!J:J)),3)</f>
        <v>0.42899999999999999</v>
      </c>
      <c r="N93" s="1444">
        <v>0.48299999999999998</v>
      </c>
      <c r="O93" s="645">
        <f t="shared" si="55"/>
        <v>0.45600000000000002</v>
      </c>
      <c r="P93" s="727">
        <v>90</v>
      </c>
      <c r="Q93" s="1476">
        <v>93.2</v>
      </c>
      <c r="R93" s="706">
        <v>4576.8</v>
      </c>
      <c r="S93" s="765">
        <f>IF((_xlfn.XLOOKUP(D93,RUC!$B$3:$B$119,RUC!$E$3:$E$119)+ROUNDDOWN(O93,1)*100)&lt;95,95,((_xlfn.XLOOKUP(D93,RUC!$B$3:$B$119,RUC!$E$3:$E$119)+ROUNDDOWN(O93,1)*100)))</f>
        <v>130</v>
      </c>
      <c r="U93" s="1146">
        <f>_xlfn.XLOOKUP(D93,RUC!$B$3:$B$123,RUC!$F$3:$F$123)</f>
        <v>120</v>
      </c>
      <c r="V93" s="715">
        <v>1.1023000000000001</v>
      </c>
      <c r="Y93">
        <f>_xlfn.XLOOKUP(D93,RUC!$B$3:$B$123,RUC!$G$3:$G$123)</f>
        <v>20</v>
      </c>
      <c r="Z93" s="143">
        <f>_xlfn.XLOOKUP(D93,RUC!$B$3:$B$123,RUC!$H$3:$H$123)</f>
        <v>30</v>
      </c>
      <c r="AA93" s="144">
        <f t="shared" si="56"/>
        <v>50</v>
      </c>
      <c r="AB93" s="145">
        <f t="shared" si="57"/>
        <v>1817.7706546560003</v>
      </c>
      <c r="AC93" s="145">
        <f>+(S93-T93)*V93-'data 1'!$F$4</f>
        <v>63.299000000000007</v>
      </c>
      <c r="AD93" s="145">
        <f t="shared" si="58"/>
        <v>71.686565498880071</v>
      </c>
      <c r="AE93" s="145">
        <f t="shared" si="59"/>
        <v>-14.884999999999998</v>
      </c>
      <c r="AF93" s="145">
        <f t="shared" si="60"/>
        <v>0</v>
      </c>
      <c r="AG93" s="772">
        <f t="shared" si="61"/>
        <v>137.10056549888009</v>
      </c>
      <c r="AH93" s="1253">
        <f t="shared" si="62"/>
        <v>17.513999999999999</v>
      </c>
      <c r="AI93" s="1253">
        <f t="shared" si="63"/>
        <v>18.792000000000002</v>
      </c>
      <c r="AJ93" s="156">
        <f>+((+'Analisis comercial'!$AJ$2-R93+U93)*L93*Q93*V93)/100</f>
        <v>-73.455889274880093</v>
      </c>
      <c r="AK93" s="156">
        <f t="shared" si="64"/>
        <v>16.913009353375443</v>
      </c>
      <c r="AM93" s="716">
        <f t="shared" si="65"/>
        <v>2184.960326896512</v>
      </c>
      <c r="AN93" s="716" t="str">
        <f>_xlfn.XLOOKUP(D93,RUC!$B$3:$B$578,RUC!$M$3:$M$578)</f>
        <v>Evelyn</v>
      </c>
      <c r="AO93" s="1167" t="s">
        <v>2279</v>
      </c>
      <c r="AP93" s="1843">
        <v>296</v>
      </c>
      <c r="AQ93" s="1866" t="s">
        <v>3754</v>
      </c>
    </row>
    <row r="94" spans="1:54" ht="15" customHeight="1">
      <c r="A94" s="747" t="s">
        <v>5519</v>
      </c>
      <c r="B94" s="1882">
        <v>46155</v>
      </c>
      <c r="C94" s="1447">
        <v>46146</v>
      </c>
      <c r="D94" t="s">
        <v>1967</v>
      </c>
      <c r="E94" s="762">
        <f>_xlfn.XLOOKUP(D94,RUC!$B$3:$B$123,RUC!$D$3:$D$123)</f>
        <v>20601769396</v>
      </c>
      <c r="F94" s="629" t="s">
        <v>5532</v>
      </c>
      <c r="G94" s="762">
        <v>11</v>
      </c>
      <c r="H94" s="1082" t="s">
        <v>2005</v>
      </c>
      <c r="I94" s="703">
        <v>0.85</v>
      </c>
      <c r="J94" s="596">
        <v>13.6</v>
      </c>
      <c r="K94" s="703">
        <f t="shared" si="54"/>
        <v>0.73399999999999999</v>
      </c>
      <c r="L94" s="1193">
        <v>0.307</v>
      </c>
      <c r="M94" s="994">
        <v>0.27600000000000002</v>
      </c>
      <c r="N94" s="1196">
        <f t="shared" ref="N94:N105" si="66">+M94</f>
        <v>0.27600000000000002</v>
      </c>
      <c r="O94" s="1669">
        <v>0.33100000000000002</v>
      </c>
      <c r="P94" s="727">
        <v>90</v>
      </c>
      <c r="Q94" s="1476">
        <v>91.53</v>
      </c>
      <c r="R94" s="706">
        <v>4576.8</v>
      </c>
      <c r="S94" s="765">
        <f>IF((_xlfn.XLOOKUP(D94,RUC!$B$3:$B$119,RUC!$E$3:$E$119)+ROUNDDOWN(O94,1)*100)&lt;95,95,((_xlfn.XLOOKUP(D94,RUC!$B$3:$B$119,RUC!$E$3:$E$119)+ROUNDDOWN(O94,1)*100)))</f>
        <v>120</v>
      </c>
      <c r="U94" s="1146">
        <f>_xlfn.XLOOKUP(D94,RUC!$B$3:$B$123,RUC!$F$3:$F$123)</f>
        <v>120</v>
      </c>
      <c r="V94" s="715">
        <v>1.1023000000000001</v>
      </c>
      <c r="Y94" s="1445">
        <v>50</v>
      </c>
      <c r="Z94" s="143">
        <f>_xlfn.XLOOKUP(D94,RUC!$B$3:$B$123,RUC!$H$3:$H$123)</f>
        <v>30</v>
      </c>
      <c r="AA94" s="144">
        <f t="shared" si="56"/>
        <v>80</v>
      </c>
      <c r="AB94" s="145">
        <f t="shared" si="57"/>
        <v>1243.0424576560001</v>
      </c>
      <c r="AC94" s="145">
        <f>+(S94-T94)*V94-'data 1'!$F$4</f>
        <v>52.27600000000001</v>
      </c>
      <c r="AD94" s="145">
        <f t="shared" si="58"/>
        <v>23.075587089144019</v>
      </c>
      <c r="AE94" s="145">
        <f t="shared" si="59"/>
        <v>18.184000000000005</v>
      </c>
      <c r="AF94" s="145">
        <f t="shared" si="60"/>
        <v>-107.9189365150081</v>
      </c>
      <c r="AG94" s="772">
        <f t="shared" si="61"/>
        <v>2.6166505741359316</v>
      </c>
      <c r="AH94" s="1253">
        <f t="shared" si="62"/>
        <v>7.0709999999999997</v>
      </c>
      <c r="AI94" s="1253">
        <f t="shared" si="63"/>
        <v>7.726</v>
      </c>
      <c r="AJ94" s="156">
        <f>+((+'Analisis comercial'!$AJ$2-R94+U94)*L94*Q94*V94)/100</f>
        <v>-48.567718602144069</v>
      </c>
      <c r="AK94" s="156">
        <f t="shared" si="64"/>
        <v>7.4967949514697292</v>
      </c>
      <c r="AM94" s="716">
        <f t="shared" si="65"/>
        <v>912.3931639195041</v>
      </c>
      <c r="AN94" s="716" t="str">
        <f>_xlfn.XLOOKUP(D94,RUC!$B$3:$B$578,RUC!$M$3:$M$578)</f>
        <v>Evelyn</v>
      </c>
      <c r="AO94" s="1167" t="s">
        <v>2279</v>
      </c>
      <c r="AP94" s="1843">
        <v>296</v>
      </c>
      <c r="AQ94" s="1866" t="s">
        <v>3754</v>
      </c>
    </row>
    <row r="95" spans="1:54" ht="15" customHeight="1">
      <c r="A95" s="747" t="s">
        <v>5555</v>
      </c>
      <c r="B95" s="1882">
        <v>46153</v>
      </c>
      <c r="C95" s="1447">
        <v>46148</v>
      </c>
      <c r="D95" t="s">
        <v>1967</v>
      </c>
      <c r="E95" s="762">
        <f>_xlfn.XLOOKUP(D95,RUC!$B$3:$B$123,RUC!$D$3:$D$123)</f>
        <v>20601769396</v>
      </c>
      <c r="F95" s="629" t="s">
        <v>5561</v>
      </c>
      <c r="G95" s="762">
        <v>30</v>
      </c>
      <c r="H95" s="1082" t="s">
        <v>2005</v>
      </c>
      <c r="I95" s="703">
        <v>2.27</v>
      </c>
      <c r="J95" s="596">
        <v>5.8</v>
      </c>
      <c r="K95" s="703">
        <f t="shared" si="54"/>
        <v>2.1379999999999999</v>
      </c>
      <c r="L95" s="1193">
        <v>0.33800000000000002</v>
      </c>
      <c r="M95" s="994">
        <f>ROUND(+IF(L95&gt;_xlfn.XLOOKUP(AN95,RUC!M:M,RUC!K:K),L95*_xlfn.XLOOKUP(AN95,RUC!M:M,RUC!I:I),L95-_xlfn.XLOOKUP(AN95,RUC!M:M,RUC!J:J)),3)</f>
        <v>0.318</v>
      </c>
      <c r="N95" s="1196">
        <f t="shared" si="66"/>
        <v>0.318</v>
      </c>
      <c r="O95" s="645">
        <f t="shared" ref="O95:O107" si="67">+ROUND((M95+N95)/2,3)</f>
        <v>0.318</v>
      </c>
      <c r="P95" s="727">
        <v>90</v>
      </c>
      <c r="Q95" s="1476">
        <v>98.82</v>
      </c>
      <c r="R95" s="706">
        <v>4706.8999999999996</v>
      </c>
      <c r="S95" s="765">
        <f>IF((_xlfn.XLOOKUP(D95,RUC!$B$3:$B$119,RUC!$E$3:$E$119)+ROUNDDOWN(O95,1)*100)&lt;95,95,((_xlfn.XLOOKUP(D95,RUC!$B$3:$B$119,RUC!$E$3:$E$119)+ROUNDDOWN(O95,1)*100)))</f>
        <v>120</v>
      </c>
      <c r="U95" s="1146">
        <f>_xlfn.XLOOKUP(D95,RUC!$B$3:$B$123,RUC!$F$3:$F$123)</f>
        <v>120</v>
      </c>
      <c r="V95" s="715">
        <v>1.1023000000000001</v>
      </c>
      <c r="Y95">
        <f>_xlfn.XLOOKUP(D95,RUC!$B$3:$B$123,RUC!$G$3:$G$123)</f>
        <v>20</v>
      </c>
      <c r="Z95" s="143">
        <f>_xlfn.XLOOKUP(D95,RUC!$B$3:$B$123,RUC!$H$3:$H$123)</f>
        <v>30</v>
      </c>
      <c r="AA95" s="144">
        <f t="shared" si="56"/>
        <v>50</v>
      </c>
      <c r="AB95" s="145">
        <f t="shared" si="57"/>
        <v>1259.676230794</v>
      </c>
      <c r="AC95" s="145">
        <f>+(S95-T95)*V95-'data 1'!$F$4</f>
        <v>52.27600000000001</v>
      </c>
      <c r="AD95" s="145">
        <f t="shared" si="58"/>
        <v>150.73161934849188</v>
      </c>
      <c r="AE95" s="145">
        <f t="shared" si="59"/>
        <v>-14.884999999999998</v>
      </c>
      <c r="AF95" s="145">
        <f t="shared" si="60"/>
        <v>99.929548390680068</v>
      </c>
      <c r="AG95" s="772">
        <f t="shared" si="61"/>
        <v>305.05216773917198</v>
      </c>
      <c r="AH95" s="1253">
        <f t="shared" si="62"/>
        <v>24.484000000000002</v>
      </c>
      <c r="AI95" s="1253">
        <f t="shared" si="63"/>
        <v>24.776</v>
      </c>
      <c r="AJ95" s="156">
        <f>+((+'Analisis comercial'!$AJ$2-R95+U95)*L95*Q95*V95)/100</f>
        <v>-105.63112507849188</v>
      </c>
      <c r="AK95" s="156">
        <f t="shared" si="64"/>
        <v>20.97907809208758</v>
      </c>
      <c r="AM95" s="716">
        <f t="shared" si="65"/>
        <v>2693.1877814375721</v>
      </c>
      <c r="AN95" s="716" t="str">
        <f>_xlfn.XLOOKUP(D95,RUC!$B$3:$B$578,RUC!$M$3:$M$578)</f>
        <v>Evelyn</v>
      </c>
      <c r="AO95" s="1167" t="s">
        <v>2279</v>
      </c>
      <c r="AP95" s="1843">
        <v>298</v>
      </c>
      <c r="AQ95" s="1875" t="s">
        <v>3576</v>
      </c>
    </row>
    <row r="96" spans="1:54" ht="15" customHeight="1">
      <c r="A96" s="747" t="s">
        <v>5589</v>
      </c>
      <c r="B96" s="1882">
        <v>46155</v>
      </c>
      <c r="C96" s="1447">
        <v>46151</v>
      </c>
      <c r="D96" t="s">
        <v>3510</v>
      </c>
      <c r="E96" s="762">
        <f>_xlfn.XLOOKUP(D96,RUC!$B$3:$B$123,RUC!$D$3:$D$123)</f>
        <v>10408856049</v>
      </c>
      <c r="G96" s="762" t="s">
        <v>2985</v>
      </c>
      <c r="H96" s="1082" t="s">
        <v>69</v>
      </c>
      <c r="I96" s="703">
        <v>40.17</v>
      </c>
      <c r="J96" s="596">
        <v>10</v>
      </c>
      <c r="K96" s="703">
        <f t="shared" si="54"/>
        <v>36.152999999999999</v>
      </c>
      <c r="L96" s="1193">
        <v>0.22600000000000001</v>
      </c>
      <c r="M96" s="994">
        <f>ROUND(+IF(L96&gt;_xlfn.XLOOKUP(AN96,RUC!M:M,RUC!K:K),L96*_xlfn.XLOOKUP(AN96,RUC!M:M,RUC!I:I),L96-_xlfn.XLOOKUP(AN96,RUC!M:M,RUC!J:J)),3)</f>
        <v>0.191</v>
      </c>
      <c r="N96" s="1196">
        <f t="shared" si="66"/>
        <v>0.191</v>
      </c>
      <c r="O96" s="645">
        <f t="shared" si="67"/>
        <v>0.191</v>
      </c>
      <c r="P96" s="727">
        <v>90</v>
      </c>
      <c r="Q96" s="1476">
        <v>94.69</v>
      </c>
      <c r="R96" s="706">
        <v>4720.5</v>
      </c>
      <c r="S96" s="1164">
        <v>105</v>
      </c>
      <c r="U96" s="1458">
        <v>117.73</v>
      </c>
      <c r="V96" s="715">
        <v>1.1023000000000001</v>
      </c>
      <c r="Y96" s="1445">
        <v>15</v>
      </c>
      <c r="Z96" s="143">
        <f>_xlfn.XLOOKUP(D96,RUC!$B$3:$B$123,RUC!$H$3:$H$123)</f>
        <v>30</v>
      </c>
      <c r="AA96" s="144">
        <f t="shared" si="56"/>
        <v>45</v>
      </c>
      <c r="AB96" s="145">
        <f t="shared" si="57"/>
        <v>706.81257647490008</v>
      </c>
      <c r="AC96" s="145">
        <f>+(S96-T96)*V96-'data 1'!$F$4</f>
        <v>35.741500000000002</v>
      </c>
      <c r="AD96" s="145">
        <f t="shared" si="58"/>
        <v>53.777469552577379</v>
      </c>
      <c r="AE96" s="145">
        <f t="shared" si="59"/>
        <v>-20.396499999999996</v>
      </c>
      <c r="AF96" s="145">
        <f t="shared" si="60"/>
        <v>168.14782036499651</v>
      </c>
      <c r="AG96" s="772">
        <f t="shared" si="61"/>
        <v>254.2702899175739</v>
      </c>
      <c r="AH96" s="1253">
        <f t="shared" si="62"/>
        <v>265.25599999999997</v>
      </c>
      <c r="AI96" s="1253">
        <f t="shared" si="63"/>
        <v>280.13099999999997</v>
      </c>
      <c r="AJ96" s="156">
        <f>+((+'Analisis comercial'!$AJ$2-R96+U96)*L96*Q96*V96)/100</f>
        <v>-71.420881147977383</v>
      </c>
      <c r="AK96" s="156">
        <f t="shared" si="64"/>
        <v>213.07342511410664</v>
      </c>
      <c r="AM96" s="716">
        <f t="shared" si="65"/>
        <v>25553.39507729706</v>
      </c>
      <c r="AN96" s="716" t="str">
        <f>_xlfn.XLOOKUP(D96,RUC!$B$3:$B$578,RUC!$M$3:$M$578)</f>
        <v>Richard Sapacayo</v>
      </c>
      <c r="AO96" s="1167" t="s">
        <v>2279</v>
      </c>
      <c r="AP96" s="1843">
        <v>67</v>
      </c>
      <c r="AQ96" s="1082" t="s">
        <v>5598</v>
      </c>
    </row>
    <row r="97" spans="1:43" ht="15" customHeight="1">
      <c r="A97" s="747" t="s">
        <v>5591</v>
      </c>
      <c r="B97" s="1882">
        <v>46156</v>
      </c>
      <c r="C97" s="1447">
        <v>46152</v>
      </c>
      <c r="D97" t="s">
        <v>93</v>
      </c>
      <c r="E97" s="762">
        <f>_xlfn.XLOOKUP(D97,RUC!$B$3:$B$123,RUC!$D$3:$D$123)</f>
        <v>20169040231</v>
      </c>
      <c r="F97" s="629" t="s">
        <v>5594</v>
      </c>
      <c r="G97" s="762">
        <v>49</v>
      </c>
      <c r="H97" s="1082" t="s">
        <v>69</v>
      </c>
      <c r="I97" s="703">
        <v>4.22</v>
      </c>
      <c r="J97" s="596">
        <v>2</v>
      </c>
      <c r="K97" s="703">
        <f t="shared" si="54"/>
        <v>4.1360000000000001</v>
      </c>
      <c r="L97" s="1193">
        <v>0.33600000000000002</v>
      </c>
      <c r="M97" s="994">
        <f>ROUND(+IF(L97&gt;_xlfn.XLOOKUP(AN97,RUC!M:M,RUC!K:K),L97*_xlfn.XLOOKUP(AN97,RUC!M:M,RUC!I:I),L97-_xlfn.XLOOKUP(AN97,RUC!M:M,RUC!J:J)),3)</f>
        <v>0.316</v>
      </c>
      <c r="N97" s="1196">
        <f t="shared" si="66"/>
        <v>0.316</v>
      </c>
      <c r="O97" s="645">
        <f t="shared" si="67"/>
        <v>0.316</v>
      </c>
      <c r="P97" s="727">
        <v>90</v>
      </c>
      <c r="Q97" s="1476">
        <v>94.64</v>
      </c>
      <c r="R97" s="706">
        <v>4729.1499999999996</v>
      </c>
      <c r="S97" s="765">
        <f>IF((_xlfn.XLOOKUP(D97,RUC!$B$3:$B$119,RUC!$E$3:$E$119)+ROUNDDOWN(O97,1)*100)&lt;95,95,((_xlfn.XLOOKUP(D97,RUC!$B$3:$B$119,RUC!$E$3:$E$119)+ROUNDDOWN(O97,1)*100)))</f>
        <v>115</v>
      </c>
      <c r="U97" s="1146">
        <f>_xlfn.XLOOKUP(D97,RUC!$B$3:$B$123,RUC!$F$3:$F$123)</f>
        <v>120</v>
      </c>
      <c r="V97" s="715">
        <v>1.1023000000000001</v>
      </c>
      <c r="Y97">
        <f>_xlfn.XLOOKUP(D97,RUC!$B$3:$B$123,RUC!$G$3:$G$123)</f>
        <v>20</v>
      </c>
      <c r="Z97" s="1454">
        <v>35</v>
      </c>
      <c r="AA97" s="144">
        <f t="shared" si="56"/>
        <v>55</v>
      </c>
      <c r="AB97" s="145">
        <f t="shared" si="57"/>
        <v>1257.5504231979999</v>
      </c>
      <c r="AC97" s="145">
        <f>+(S97-T97)*V97-'data 1'!$F$4</f>
        <v>46.764500000000012</v>
      </c>
      <c r="AD97" s="145">
        <f t="shared" si="58"/>
        <v>79.209615907968015</v>
      </c>
      <c r="AE97" s="145">
        <f t="shared" si="59"/>
        <v>-9.3734999999999999</v>
      </c>
      <c r="AF97" s="145">
        <f t="shared" si="60"/>
        <v>96.166846899760074</v>
      </c>
      <c r="AG97" s="772">
        <f t="shared" si="61"/>
        <v>229.76746280772812</v>
      </c>
      <c r="AH97" s="1253">
        <f t="shared" si="62"/>
        <v>45.091999999999999</v>
      </c>
      <c r="AI97" s="1253">
        <f t="shared" si="63"/>
        <v>47.646000000000001</v>
      </c>
      <c r="AJ97" s="156">
        <f>+((+'Analisis comercial'!$AJ$2-R97+U97)*L97*Q97*V97)/100</f>
        <v>-108.36351085996789</v>
      </c>
      <c r="AK97" s="156">
        <f t="shared" si="64"/>
        <v>40.329161398833122</v>
      </c>
      <c r="AM97" s="716">
        <f t="shared" si="65"/>
        <v>5201.2285503469275</v>
      </c>
      <c r="AN97" s="716" t="str">
        <f>_xlfn.XLOOKUP(D97,RUC!$B$3:$B$578,RUC!$M$3:$M$578)</f>
        <v>Ronald Miranda</v>
      </c>
      <c r="AO97" s="1167" t="s">
        <v>2279</v>
      </c>
      <c r="AP97" s="1843">
        <v>6651</v>
      </c>
      <c r="AQ97" s="1082" t="s">
        <v>5599</v>
      </c>
    </row>
    <row r="98" spans="1:43" ht="15" customHeight="1">
      <c r="A98" s="747" t="s">
        <v>5611</v>
      </c>
      <c r="B98" s="1882">
        <v>46160</v>
      </c>
      <c r="C98" s="1447">
        <v>46155</v>
      </c>
      <c r="D98" t="s">
        <v>2368</v>
      </c>
      <c r="E98" s="762">
        <f>_xlfn.XLOOKUP(D98,RUC!$B$3:$B$123,RUC!$D$3:$D$123)</f>
        <v>20612719757</v>
      </c>
      <c r="F98" s="629" t="s">
        <v>5622</v>
      </c>
      <c r="G98" s="762">
        <v>40</v>
      </c>
      <c r="H98" s="1082" t="s">
        <v>108</v>
      </c>
      <c r="I98" s="703">
        <v>3.64</v>
      </c>
      <c r="J98" s="596">
        <v>12.85</v>
      </c>
      <c r="K98" s="703">
        <f t="shared" si="54"/>
        <v>3.1720000000000002</v>
      </c>
      <c r="L98" s="1193">
        <v>0.39900000000000002</v>
      </c>
      <c r="M98" s="994">
        <f>ROUND(+IF(L98&gt;_xlfn.XLOOKUP(AN98,RUC!M:M,RUC!K:K),L98*_xlfn.XLOOKUP(AN98,RUC!M:M,RUC!I:I),L98-_xlfn.XLOOKUP(AN98,RUC!M:M,RUC!J:J)),3)</f>
        <v>0.375</v>
      </c>
      <c r="N98" s="1196">
        <f t="shared" si="66"/>
        <v>0.375</v>
      </c>
      <c r="O98" s="645">
        <f t="shared" si="67"/>
        <v>0.375</v>
      </c>
      <c r="P98" s="727">
        <v>90</v>
      </c>
      <c r="Q98" s="1476">
        <v>90.73</v>
      </c>
      <c r="R98" s="706">
        <v>4675.7</v>
      </c>
      <c r="S98" s="765">
        <f>IF((_xlfn.XLOOKUP(D98,RUC!$B$3:$B$119,RUC!$E$3:$E$119)+ROUNDDOWN(O98,1)*100)&lt;95,95,((_xlfn.XLOOKUP(D98,RUC!$B$3:$B$119,RUC!$E$3:$E$119)+ROUNDDOWN(O98,1)*100)))</f>
        <v>120</v>
      </c>
      <c r="U98" s="1146">
        <f>_xlfn.XLOOKUP(D98,RUC!$B$3:$B$123,RUC!$F$3:$F$123)</f>
        <v>120</v>
      </c>
      <c r="V98" s="715">
        <v>1.1023000000000001</v>
      </c>
      <c r="Y98" s="1445">
        <v>30</v>
      </c>
      <c r="Z98" s="1454">
        <v>70</v>
      </c>
      <c r="AA98" s="144">
        <f t="shared" si="56"/>
        <v>100</v>
      </c>
      <c r="AB98" s="145">
        <f t="shared" si="57"/>
        <v>1452.333987125</v>
      </c>
      <c r="AC98" s="145">
        <f>+(S98-T98)*V98-'data 1'!$F$4</f>
        <v>52.27600000000001</v>
      </c>
      <c r="AD98" s="145">
        <f t="shared" si="58"/>
        <v>14.62684571999708</v>
      </c>
      <c r="AE98" s="145">
        <f t="shared" si="59"/>
        <v>40.230000000000004</v>
      </c>
      <c r="AF98" s="145">
        <f t="shared" si="60"/>
        <v>109.3495694448721</v>
      </c>
      <c r="AG98" s="772">
        <f t="shared" si="61"/>
        <v>233.48241516486917</v>
      </c>
      <c r="AH98" s="1253">
        <f t="shared" si="62"/>
        <v>39.369999999999997</v>
      </c>
      <c r="AI98" s="1253">
        <f t="shared" si="63"/>
        <v>43.393000000000001</v>
      </c>
      <c r="AJ98" s="156">
        <f>+((+'Analisis comercial'!$AJ$2-R98+U98)*L98*Q98*V98)/100</f>
        <v>-102.03621541799694</v>
      </c>
      <c r="AK98" s="156">
        <f t="shared" si="64"/>
        <v>36.704222176927509</v>
      </c>
      <c r="AM98" s="716">
        <f t="shared" si="65"/>
        <v>4606.8034071605007</v>
      </c>
      <c r="AN98" s="1868" t="str">
        <f>_xlfn.XLOOKUP(D98,RUC!$B$3:$B$578,RUC!$M$3:$M$578)</f>
        <v>SIN ACOPIADOR</v>
      </c>
      <c r="AO98" s="1167" t="s">
        <v>2279</v>
      </c>
      <c r="AP98" s="1843">
        <v>358</v>
      </c>
      <c r="AQ98" s="1082" t="s">
        <v>4328</v>
      </c>
    </row>
    <row r="99" spans="1:43" ht="15" customHeight="1">
      <c r="A99" s="747" t="s">
        <v>5612</v>
      </c>
      <c r="B99" s="1882">
        <v>46160</v>
      </c>
      <c r="C99" s="1447">
        <v>46155</v>
      </c>
      <c r="D99" t="s">
        <v>2368</v>
      </c>
      <c r="E99" s="762">
        <f>_xlfn.XLOOKUP(D99,RUC!$B$3:$B$123,RUC!$D$3:$D$123)</f>
        <v>20612719757</v>
      </c>
      <c r="F99" s="629" t="s">
        <v>5622</v>
      </c>
      <c r="G99" s="762">
        <v>40</v>
      </c>
      <c r="H99" s="1082" t="s">
        <v>108</v>
      </c>
      <c r="I99" s="703">
        <v>3.65</v>
      </c>
      <c r="J99" s="596">
        <v>12</v>
      </c>
      <c r="K99" s="703">
        <f t="shared" si="54"/>
        <v>3.2120000000000002</v>
      </c>
      <c r="L99" s="1193">
        <v>0.41499999999999998</v>
      </c>
      <c r="M99" s="994">
        <f>ROUND(+IF(L99&gt;_xlfn.XLOOKUP(AN99,RUC!M:M,RUC!K:K),L99*_xlfn.XLOOKUP(AN99,RUC!M:M,RUC!I:I),L99-_xlfn.XLOOKUP(AN99,RUC!M:M,RUC!J:J)),3)</f>
        <v>0.39</v>
      </c>
      <c r="N99" s="1196">
        <f t="shared" si="66"/>
        <v>0.39</v>
      </c>
      <c r="O99" s="645">
        <f t="shared" si="67"/>
        <v>0.39</v>
      </c>
      <c r="P99" s="727">
        <v>90</v>
      </c>
      <c r="Q99" s="1476">
        <v>93.25</v>
      </c>
      <c r="R99" s="706">
        <v>4675.7</v>
      </c>
      <c r="S99" s="765">
        <f>IF((_xlfn.XLOOKUP(D99,RUC!$B$3:$B$119,RUC!$E$3:$E$119)+ROUNDDOWN(O99,1)*100)&lt;95,95,((_xlfn.XLOOKUP(D99,RUC!$B$3:$B$119,RUC!$E$3:$E$119)+ROUNDDOWN(O99,1)*100)))</f>
        <v>120</v>
      </c>
      <c r="U99" s="1146">
        <f>_xlfn.XLOOKUP(D99,RUC!$B$3:$B$123,RUC!$F$3:$F$123)</f>
        <v>120</v>
      </c>
      <c r="V99" s="715">
        <v>1.1023000000000001</v>
      </c>
      <c r="Y99" s="1445">
        <v>30</v>
      </c>
      <c r="Z99" s="1454">
        <v>70</v>
      </c>
      <c r="AA99" s="144">
        <f t="shared" si="56"/>
        <v>100</v>
      </c>
      <c r="AB99" s="145">
        <f t="shared" si="57"/>
        <v>1520.12758661</v>
      </c>
      <c r="AC99" s="145">
        <f>+(S99-T99)*V99-'data 1'!$F$4</f>
        <v>52.27600000000001</v>
      </c>
      <c r="AD99" s="145">
        <f t="shared" si="58"/>
        <v>67.730827633624997</v>
      </c>
      <c r="AE99" s="145">
        <f t="shared" si="59"/>
        <v>40.230000000000004</v>
      </c>
      <c r="AF99" s="145">
        <f t="shared" si="60"/>
        <v>117.06950281437483</v>
      </c>
      <c r="AG99" s="772">
        <f t="shared" si="61"/>
        <v>294.30633044799981</v>
      </c>
      <c r="AH99" s="1253">
        <f t="shared" si="62"/>
        <v>42.616999999999997</v>
      </c>
      <c r="AI99" s="1253">
        <f t="shared" si="63"/>
        <v>45.701999999999998</v>
      </c>
      <c r="AJ99" s="156">
        <f>+((+'Analisis comercial'!$AJ$2-R99+U99)*L99*Q99*V99)/100</f>
        <v>-109.07556534362493</v>
      </c>
      <c r="AK99" s="156">
        <f t="shared" si="64"/>
        <v>38.653757912226602</v>
      </c>
      <c r="AM99" s="716">
        <f t="shared" si="65"/>
        <v>4882.6498081913205</v>
      </c>
      <c r="AN99" s="1868" t="str">
        <f>_xlfn.XLOOKUP(D99,RUC!$B$3:$B$578,RUC!$M$3:$M$578)</f>
        <v>SIN ACOPIADOR</v>
      </c>
      <c r="AO99" s="1167" t="s">
        <v>2279</v>
      </c>
      <c r="AP99" s="1843">
        <v>358</v>
      </c>
      <c r="AQ99" s="1082" t="s">
        <v>4328</v>
      </c>
    </row>
    <row r="100" spans="1:43" ht="15" customHeight="1">
      <c r="A100" s="747" t="s">
        <v>5613</v>
      </c>
      <c r="B100" s="1882">
        <v>46160</v>
      </c>
      <c r="C100" s="1447">
        <v>46155</v>
      </c>
      <c r="D100" t="s">
        <v>2368</v>
      </c>
      <c r="E100" s="762">
        <f>_xlfn.XLOOKUP(D100,RUC!$B$3:$B$123,RUC!$D$3:$D$123)</f>
        <v>20612719757</v>
      </c>
      <c r="F100" s="629" t="s">
        <v>5622</v>
      </c>
      <c r="G100" s="762">
        <v>25</v>
      </c>
      <c r="H100" s="1082" t="s">
        <v>108</v>
      </c>
      <c r="I100" s="703">
        <v>2.2999999999999998</v>
      </c>
      <c r="J100" s="596">
        <v>11.7</v>
      </c>
      <c r="K100" s="703">
        <f t="shared" si="54"/>
        <v>2.0310000000000001</v>
      </c>
      <c r="L100" s="1193">
        <v>0.46500000000000002</v>
      </c>
      <c r="M100" s="994">
        <f>ROUND(+IF(L100&gt;_xlfn.XLOOKUP(AN100,RUC!M:M,RUC!K:K),L100*_xlfn.XLOOKUP(AN100,RUC!M:M,RUC!I:I),L100-_xlfn.XLOOKUP(AN100,RUC!M:M,RUC!J:J)),3)</f>
        <v>0.437</v>
      </c>
      <c r="N100" s="1196">
        <f t="shared" si="66"/>
        <v>0.437</v>
      </c>
      <c r="O100" s="645">
        <f t="shared" si="67"/>
        <v>0.437</v>
      </c>
      <c r="P100" s="727">
        <v>90</v>
      </c>
      <c r="Q100" s="1476">
        <v>92.69</v>
      </c>
      <c r="R100" s="706">
        <v>4675.7</v>
      </c>
      <c r="S100" s="765">
        <f>IF((_xlfn.XLOOKUP(D100,RUC!$B$3:$B$119,RUC!$E$3:$E$119)+ROUNDDOWN(O100,1)*100)&lt;95,95,((_xlfn.XLOOKUP(D100,RUC!$B$3:$B$119,RUC!$E$3:$E$119)+ROUNDDOWN(O100,1)*100)))</f>
        <v>130</v>
      </c>
      <c r="U100" s="1146">
        <f>_xlfn.XLOOKUP(D100,RUC!$B$3:$B$123,RUC!$F$3:$F$123)</f>
        <v>120</v>
      </c>
      <c r="V100" s="715">
        <v>1.1023000000000001</v>
      </c>
      <c r="Y100" s="1445">
        <v>30</v>
      </c>
      <c r="Z100" s="1454">
        <v>70</v>
      </c>
      <c r="AA100" s="144">
        <f t="shared" si="56"/>
        <v>100</v>
      </c>
      <c r="AB100" s="145">
        <f t="shared" si="57"/>
        <v>1721.5245316629998</v>
      </c>
      <c r="AC100" s="145">
        <f>+(S100-T100)*V100-'data 1'!$F$4</f>
        <v>63.299000000000007</v>
      </c>
      <c r="AD100" s="145">
        <f t="shared" si="58"/>
        <v>62.814536233934952</v>
      </c>
      <c r="AE100" s="145">
        <f t="shared" si="59"/>
        <v>40.230000000000004</v>
      </c>
      <c r="AF100" s="145">
        <f t="shared" si="60"/>
        <v>130.33043304845211</v>
      </c>
      <c r="AG100" s="772">
        <f t="shared" si="61"/>
        <v>313.67396928238708</v>
      </c>
      <c r="AH100" s="1253">
        <f t="shared" si="62"/>
        <v>30.013000000000002</v>
      </c>
      <c r="AI100" s="1253">
        <f t="shared" si="63"/>
        <v>32.380000000000003</v>
      </c>
      <c r="AJ100" s="156">
        <f>+((+'Analisis comercial'!$AJ$2-R100+U100)*L100*Q100*V100)/100</f>
        <v>-121.48324120393492</v>
      </c>
      <c r="AK100" s="156">
        <f t="shared" si="64"/>
        <v>27.386903976852015</v>
      </c>
      <c r="AM100" s="716">
        <f t="shared" si="65"/>
        <v>3496.416323807553</v>
      </c>
      <c r="AN100" s="1868" t="str">
        <f>_xlfn.XLOOKUP(D100,RUC!$B$3:$B$578,RUC!$M$3:$M$578)</f>
        <v>SIN ACOPIADOR</v>
      </c>
      <c r="AO100" s="1167" t="s">
        <v>2279</v>
      </c>
      <c r="AP100" s="1843">
        <v>358</v>
      </c>
      <c r="AQ100" s="1082" t="s">
        <v>4328</v>
      </c>
    </row>
    <row r="101" spans="1:43" ht="15" customHeight="1">
      <c r="A101" s="747" t="s">
        <v>5614</v>
      </c>
      <c r="B101" s="1882">
        <v>46162</v>
      </c>
      <c r="C101" s="1447">
        <v>46155</v>
      </c>
      <c r="D101" t="s">
        <v>1967</v>
      </c>
      <c r="E101" s="762">
        <f>_xlfn.XLOOKUP(D101,RUC!$B$3:$B$123,RUC!$D$3:$D$123)</f>
        <v>20601769396</v>
      </c>
      <c r="F101" s="629" t="s">
        <v>5623</v>
      </c>
      <c r="G101" s="762">
        <v>50</v>
      </c>
      <c r="H101" s="1082" t="s">
        <v>108</v>
      </c>
      <c r="I101" s="703">
        <v>3.44</v>
      </c>
      <c r="J101" s="596">
        <v>16.5</v>
      </c>
      <c r="K101" s="703">
        <f t="shared" si="54"/>
        <v>2.8719999999999999</v>
      </c>
      <c r="L101" s="1193">
        <v>0.54500000000000004</v>
      </c>
      <c r="M101" s="994">
        <f>ROUND(+IF(L101&gt;_xlfn.XLOOKUP(AN101,RUC!M:M,RUC!K:K),L101*_xlfn.XLOOKUP(AN101,RUC!M:M,RUC!I:I),L101-_xlfn.XLOOKUP(AN101,RUC!M:M,RUC!J:J)),3)</f>
        <v>0.51200000000000001</v>
      </c>
      <c r="N101" s="1196">
        <f t="shared" si="66"/>
        <v>0.51200000000000001</v>
      </c>
      <c r="O101" s="645">
        <f t="shared" si="67"/>
        <v>0.51200000000000001</v>
      </c>
      <c r="P101" s="727">
        <v>90</v>
      </c>
      <c r="Q101" s="1476">
        <v>97.06</v>
      </c>
      <c r="R101" s="706">
        <v>4675.7</v>
      </c>
      <c r="S101" s="765">
        <f>IF((_xlfn.XLOOKUP(D101,RUC!$B$3:$B$119,RUC!$E$3:$E$119)+ROUNDDOWN(O101,1)*100)&lt;95,95,((_xlfn.XLOOKUP(D101,RUC!$B$3:$B$119,RUC!$E$3:$E$119)+ROUNDDOWN(O101,1)*100)))</f>
        <v>140</v>
      </c>
      <c r="U101" s="1146">
        <f>_xlfn.XLOOKUP(D101,RUC!$B$3:$B$123,RUC!$F$3:$F$123)</f>
        <v>120</v>
      </c>
      <c r="V101" s="715">
        <v>1.1023000000000001</v>
      </c>
      <c r="Y101" s="1445">
        <v>30</v>
      </c>
      <c r="Z101" s="1454">
        <v>70</v>
      </c>
      <c r="AA101" s="144">
        <f t="shared" si="56"/>
        <v>100</v>
      </c>
      <c r="AB101" s="145">
        <f t="shared" si="57"/>
        <v>2049.4695290879999</v>
      </c>
      <c r="AC101" s="145">
        <f>+(S101-T101)*V101-'data 1'!$F$4</f>
        <v>74.322000000000003</v>
      </c>
      <c r="AD101" s="145">
        <f t="shared" si="58"/>
        <v>193.22180202847008</v>
      </c>
      <c r="AE101" s="145">
        <f t="shared" si="59"/>
        <v>40.230000000000004</v>
      </c>
      <c r="AF101" s="145">
        <f t="shared" si="60"/>
        <v>160.84558761367816</v>
      </c>
      <c r="AG101" s="772">
        <f t="shared" si="61"/>
        <v>485.61938964214823</v>
      </c>
      <c r="AH101" s="1253">
        <f t="shared" si="62"/>
        <v>52.087000000000003</v>
      </c>
      <c r="AI101" s="1253">
        <f t="shared" si="63"/>
        <v>53.664999999999999</v>
      </c>
      <c r="AJ101" s="156">
        <f>+((+'Analisis comercial'!$AJ$2-R101+U101)*L101*Q101*V101)/100</f>
        <v>-149.0964574534699</v>
      </c>
      <c r="AK101" s="156">
        <f t="shared" si="64"/>
        <v>45.373885968199687</v>
      </c>
      <c r="AM101" s="716">
        <f t="shared" si="65"/>
        <v>5886.0764875407358</v>
      </c>
      <c r="AN101" s="716" t="str">
        <f>_xlfn.XLOOKUP(D101,RUC!$B$3:$B$578,RUC!$M$3:$M$578)</f>
        <v>Evelyn</v>
      </c>
      <c r="AO101" s="1167" t="s">
        <v>2279</v>
      </c>
      <c r="AP101" s="1843">
        <v>313</v>
      </c>
      <c r="AQ101" s="1082" t="s">
        <v>5445</v>
      </c>
    </row>
    <row r="102" spans="1:43" ht="15" customHeight="1">
      <c r="A102" s="747" t="s">
        <v>5615</v>
      </c>
      <c r="B102" s="1882">
        <v>46162</v>
      </c>
      <c r="C102" s="1447">
        <v>46155</v>
      </c>
      <c r="D102" t="s">
        <v>1967</v>
      </c>
      <c r="E102" s="762">
        <f>_xlfn.XLOOKUP(D102,RUC!$B$3:$B$123,RUC!$D$3:$D$123)</f>
        <v>20601769396</v>
      </c>
      <c r="F102" s="629" t="s">
        <v>5623</v>
      </c>
      <c r="G102" s="762">
        <v>50</v>
      </c>
      <c r="H102" s="1082" t="s">
        <v>108</v>
      </c>
      <c r="I102" s="703">
        <v>3.62</v>
      </c>
      <c r="J102" s="596">
        <v>17.399999999999999</v>
      </c>
      <c r="K102" s="703">
        <f t="shared" si="54"/>
        <v>2.99</v>
      </c>
      <c r="L102" s="1193">
        <v>0.45700000000000002</v>
      </c>
      <c r="M102" s="994">
        <f>ROUND(+IF(L102&gt;_xlfn.XLOOKUP(AN102,RUC!M:M,RUC!K:K),L102*_xlfn.XLOOKUP(AN102,RUC!M:M,RUC!I:I),L102-_xlfn.XLOOKUP(AN102,RUC!M:M,RUC!J:J)),3)</f>
        <v>0.43</v>
      </c>
      <c r="N102" s="1196">
        <f t="shared" si="66"/>
        <v>0.43</v>
      </c>
      <c r="O102" s="645">
        <f t="shared" si="67"/>
        <v>0.43</v>
      </c>
      <c r="P102" s="727">
        <v>90</v>
      </c>
      <c r="Q102" s="1476">
        <v>95.84</v>
      </c>
      <c r="R102" s="706">
        <v>4675.7</v>
      </c>
      <c r="S102" s="765">
        <f>IF((_xlfn.XLOOKUP(D102,RUC!$B$3:$B$119,RUC!$E$3:$E$119)+ROUNDDOWN(O102,1)*100)&lt;95,95,((_xlfn.XLOOKUP(D102,RUC!$B$3:$B$119,RUC!$E$3:$E$119)+ROUNDDOWN(O102,1)*100)))</f>
        <v>130</v>
      </c>
      <c r="U102" s="1146">
        <f>_xlfn.XLOOKUP(D102,RUC!$B$3:$B$123,RUC!$F$3:$F$123)</f>
        <v>120</v>
      </c>
      <c r="V102" s="715">
        <v>1.1023000000000001</v>
      </c>
      <c r="Y102" s="1445">
        <v>30</v>
      </c>
      <c r="Z102" s="1454">
        <v>70</v>
      </c>
      <c r="AA102" s="144">
        <f t="shared" si="56"/>
        <v>100</v>
      </c>
      <c r="AB102" s="145">
        <f t="shared" si="57"/>
        <v>1689.8875185700001</v>
      </c>
      <c r="AC102" s="145">
        <f>+(S102-T102)*V102-'data 1'!$F$4</f>
        <v>63.299000000000007</v>
      </c>
      <c r="AD102" s="145">
        <f t="shared" si="58"/>
        <v>134.0244309581681</v>
      </c>
      <c r="AE102" s="145">
        <f t="shared" si="59"/>
        <v>40.230000000000004</v>
      </c>
      <c r="AF102" s="145">
        <f t="shared" si="60"/>
        <v>129.94677149284814</v>
      </c>
      <c r="AG102" s="772">
        <f t="shared" si="61"/>
        <v>384.50020245101626</v>
      </c>
      <c r="AH102" s="1253">
        <f t="shared" si="62"/>
        <v>44.9</v>
      </c>
      <c r="AI102" s="1253">
        <f t="shared" si="63"/>
        <v>46.848999999999997</v>
      </c>
      <c r="AJ102" s="156">
        <f>+((+'Analisis comercial'!$AJ$2-R102+U102)*L102*Q102*V102)/100</f>
        <v>-123.45069536916792</v>
      </c>
      <c r="AK102" s="156">
        <f t="shared" si="64"/>
        <v>39.672651074296503</v>
      </c>
      <c r="AM102" s="716">
        <f t="shared" si="65"/>
        <v>5052.763680524301</v>
      </c>
      <c r="AN102" s="716" t="str">
        <f>_xlfn.XLOOKUP(D102,RUC!$B$3:$B$578,RUC!$M$3:$M$578)</f>
        <v>Evelyn</v>
      </c>
      <c r="AO102" s="1167" t="s">
        <v>2279</v>
      </c>
      <c r="AP102" s="1843">
        <v>313</v>
      </c>
      <c r="AQ102" s="1082" t="s">
        <v>5445</v>
      </c>
    </row>
    <row r="103" spans="1:43" ht="15" customHeight="1">
      <c r="A103" s="747" t="s">
        <v>5616</v>
      </c>
      <c r="B103" s="1882">
        <v>46162</v>
      </c>
      <c r="C103" s="1447">
        <v>46155</v>
      </c>
      <c r="D103" t="s">
        <v>1967</v>
      </c>
      <c r="E103" s="762">
        <f>_xlfn.XLOOKUP(D103,RUC!$B$3:$B$123,RUC!$D$3:$D$123)</f>
        <v>20601769396</v>
      </c>
      <c r="F103" s="629" t="s">
        <v>5623</v>
      </c>
      <c r="G103" s="762">
        <v>50</v>
      </c>
      <c r="H103" s="1082" t="s">
        <v>108</v>
      </c>
      <c r="I103" s="703">
        <v>3.5</v>
      </c>
      <c r="J103" s="596">
        <v>17.97</v>
      </c>
      <c r="K103" s="703">
        <f t="shared" si="54"/>
        <v>2.871</v>
      </c>
      <c r="L103" s="1193">
        <v>0.42199999999999999</v>
      </c>
      <c r="M103" s="994">
        <f>ROUND(+IF(L103&gt;_xlfn.XLOOKUP(AN103,RUC!M:M,RUC!K:K),L103*_xlfn.XLOOKUP(AN103,RUC!M:M,RUC!I:I),L103-_xlfn.XLOOKUP(AN103,RUC!M:M,RUC!J:J)),3)</f>
        <v>0.39700000000000002</v>
      </c>
      <c r="N103" s="1196">
        <f t="shared" si="66"/>
        <v>0.39700000000000002</v>
      </c>
      <c r="O103" s="645">
        <f t="shared" si="67"/>
        <v>0.39700000000000002</v>
      </c>
      <c r="P103" s="727">
        <v>90</v>
      </c>
      <c r="Q103" s="1476">
        <v>95.26</v>
      </c>
      <c r="R103" s="706">
        <v>4675.7</v>
      </c>
      <c r="S103" s="765">
        <f>IF((_xlfn.XLOOKUP(D103,RUC!$B$3:$B$119,RUC!$E$3:$E$119)+ROUNDDOWN(O103,1)*100)&lt;95,95,((_xlfn.XLOOKUP(D103,RUC!$B$3:$B$119,RUC!$E$3:$E$119)+ROUNDDOWN(O103,1)*100)))</f>
        <v>120</v>
      </c>
      <c r="U103" s="1146">
        <f>_xlfn.XLOOKUP(D103,RUC!$B$3:$B$123,RUC!$F$3:$F$123)</f>
        <v>120</v>
      </c>
      <c r="V103" s="715">
        <v>1.1023000000000001</v>
      </c>
      <c r="Y103" s="1445">
        <v>30</v>
      </c>
      <c r="Z103" s="1454">
        <v>70</v>
      </c>
      <c r="AA103" s="144">
        <f t="shared" si="56"/>
        <v>100</v>
      </c>
      <c r="AB103" s="145">
        <f t="shared" si="57"/>
        <v>1551.7645997030004</v>
      </c>
      <c r="AC103" s="145">
        <f>+(S103-T103)*V103-'data 1'!$F$4</f>
        <v>52.27600000000001</v>
      </c>
      <c r="AD103" s="145">
        <f t="shared" si="58"/>
        <v>111.46874714729209</v>
      </c>
      <c r="AE103" s="145">
        <f t="shared" si="59"/>
        <v>40.230000000000004</v>
      </c>
      <c r="AF103" s="145">
        <f t="shared" si="60"/>
        <v>119.59293123964984</v>
      </c>
      <c r="AG103" s="772">
        <f t="shared" si="61"/>
        <v>340.56767838694196</v>
      </c>
      <c r="AH103" s="1253">
        <f t="shared" si="62"/>
        <v>39.57</v>
      </c>
      <c r="AI103" s="1253">
        <f t="shared" si="63"/>
        <v>41.539000000000001</v>
      </c>
      <c r="AJ103" s="156">
        <f>+((+'Analisis comercial'!$AJ$2-R103+U103)*L103*Q103*V103)/100</f>
        <v>-113.30617101729193</v>
      </c>
      <c r="AK103" s="156">
        <f t="shared" si="64"/>
        <v>35.170235630410822</v>
      </c>
      <c r="AM103" s="716">
        <f t="shared" si="65"/>
        <v>4455.116165747314</v>
      </c>
      <c r="AN103" s="716" t="str">
        <f>_xlfn.XLOOKUP(D103,RUC!$B$3:$B$578,RUC!$M$3:$M$578)</f>
        <v>Evelyn</v>
      </c>
      <c r="AO103" s="1167" t="s">
        <v>2279</v>
      </c>
      <c r="AP103" s="1843">
        <v>313</v>
      </c>
      <c r="AQ103" s="1082" t="s">
        <v>5445</v>
      </c>
    </row>
    <row r="104" spans="1:43" ht="15" customHeight="1">
      <c r="A104" s="747" t="s">
        <v>5617</v>
      </c>
      <c r="B104" s="1882">
        <v>46162</v>
      </c>
      <c r="C104" s="1447">
        <v>46155</v>
      </c>
      <c r="D104" t="s">
        <v>1967</v>
      </c>
      <c r="E104" s="762">
        <f>_xlfn.XLOOKUP(D104,RUC!$B$3:$B$123,RUC!$D$3:$D$123)</f>
        <v>20601769396</v>
      </c>
      <c r="F104" s="629" t="s">
        <v>5623</v>
      </c>
      <c r="G104" s="762">
        <v>50</v>
      </c>
      <c r="H104" s="1082" t="s">
        <v>108</v>
      </c>
      <c r="I104" s="703">
        <v>3.49</v>
      </c>
      <c r="J104" s="596">
        <v>17.95</v>
      </c>
      <c r="K104" s="703">
        <f t="shared" si="54"/>
        <v>2.8639999999999999</v>
      </c>
      <c r="L104" s="1193">
        <v>0.46</v>
      </c>
      <c r="M104" s="994">
        <f>ROUND(+IF(L104&gt;_xlfn.XLOOKUP(AN104,RUC!M:M,RUC!K:K),L104*_xlfn.XLOOKUP(AN104,RUC!M:M,RUC!I:I),L104-_xlfn.XLOOKUP(AN104,RUC!M:M,RUC!J:J)),3)</f>
        <v>0.432</v>
      </c>
      <c r="N104" s="1196">
        <f t="shared" si="66"/>
        <v>0.432</v>
      </c>
      <c r="O104" s="645">
        <f t="shared" si="67"/>
        <v>0.432</v>
      </c>
      <c r="P104" s="727">
        <v>90</v>
      </c>
      <c r="Q104" s="1476">
        <v>95.65</v>
      </c>
      <c r="R104" s="706">
        <v>4675.7</v>
      </c>
      <c r="S104" s="765">
        <f>IF((_xlfn.XLOOKUP(D104,RUC!$B$3:$B$119,RUC!$E$3:$E$119)+ROUNDDOWN(O104,1)*100)&lt;95,95,((_xlfn.XLOOKUP(D104,RUC!$B$3:$B$119,RUC!$E$3:$E$119)+ROUNDDOWN(O104,1)*100)))</f>
        <v>130</v>
      </c>
      <c r="U104" s="1146">
        <f>_xlfn.XLOOKUP(D104,RUC!$B$3:$B$123,RUC!$F$3:$F$123)</f>
        <v>120</v>
      </c>
      <c r="V104" s="715">
        <v>1.1023000000000001</v>
      </c>
      <c r="Y104" s="1445">
        <v>30</v>
      </c>
      <c r="Z104" s="1454">
        <v>70</v>
      </c>
      <c r="AA104" s="144">
        <f t="shared" si="56"/>
        <v>100</v>
      </c>
      <c r="AB104" s="145">
        <f t="shared" si="57"/>
        <v>1698.9266651680002</v>
      </c>
      <c r="AC104" s="145">
        <f>+(S104-T104)*V104-'data 1'!$F$4</f>
        <v>63.299000000000007</v>
      </c>
      <c r="AD104" s="145">
        <f t="shared" si="58"/>
        <v>130.51523337890015</v>
      </c>
      <c r="AE104" s="145">
        <f t="shared" si="59"/>
        <v>40.230000000000004</v>
      </c>
      <c r="AF104" s="145">
        <f t="shared" si="60"/>
        <v>134.49245788202015</v>
      </c>
      <c r="AG104" s="772">
        <f t="shared" si="61"/>
        <v>385.53669126092029</v>
      </c>
      <c r="AH104" s="1253">
        <f t="shared" si="62"/>
        <v>43.204000000000001</v>
      </c>
      <c r="AI104" s="1253">
        <f t="shared" si="63"/>
        <v>45.168999999999997</v>
      </c>
      <c r="AJ104" s="156">
        <f>+((+'Analisis comercial'!$AJ$2-R104+U104)*L104*Q104*V104)/100</f>
        <v>-124.01474981889993</v>
      </c>
      <c r="AK104" s="156">
        <f t="shared" si="64"/>
        <v>38.177575014677757</v>
      </c>
      <c r="AM104" s="716">
        <f t="shared" si="65"/>
        <v>4865.7259690411529</v>
      </c>
      <c r="AN104" s="716" t="str">
        <f>_xlfn.XLOOKUP(D104,RUC!$B$3:$B$578,RUC!$M$3:$M$578)</f>
        <v>Evelyn</v>
      </c>
      <c r="AO104" s="1167" t="s">
        <v>2279</v>
      </c>
      <c r="AP104" s="1843">
        <v>313</v>
      </c>
      <c r="AQ104" s="1082" t="s">
        <v>5445</v>
      </c>
    </row>
    <row r="105" spans="1:43" ht="15" customHeight="1">
      <c r="A105" s="747" t="s">
        <v>5618</v>
      </c>
      <c r="B105" s="1882">
        <v>46162</v>
      </c>
      <c r="C105" s="1447">
        <v>46155</v>
      </c>
      <c r="D105" t="s">
        <v>1967</v>
      </c>
      <c r="E105" s="762">
        <f>_xlfn.XLOOKUP(D105,RUC!$B$3:$B$123,RUC!$D$3:$D$123)</f>
        <v>20601769396</v>
      </c>
      <c r="F105" s="629" t="s">
        <v>5623</v>
      </c>
      <c r="G105" s="762">
        <v>40</v>
      </c>
      <c r="H105" s="1082" t="s">
        <v>108</v>
      </c>
      <c r="I105" s="703">
        <v>2.97</v>
      </c>
      <c r="J105" s="596">
        <v>16.45</v>
      </c>
      <c r="K105" s="703">
        <f t="shared" si="54"/>
        <v>2.4809999999999999</v>
      </c>
      <c r="L105" s="1193">
        <v>0.438</v>
      </c>
      <c r="M105" s="994">
        <f>ROUND(+IF(L105&gt;_xlfn.XLOOKUP(AN105,RUC!M:M,RUC!K:K),L105*_xlfn.XLOOKUP(AN105,RUC!M:M,RUC!I:I),L105-_xlfn.XLOOKUP(AN105,RUC!M:M,RUC!J:J)),3)</f>
        <v>0.41199999999999998</v>
      </c>
      <c r="N105" s="1196">
        <f t="shared" si="66"/>
        <v>0.41199999999999998</v>
      </c>
      <c r="O105" s="645">
        <f t="shared" si="67"/>
        <v>0.41199999999999998</v>
      </c>
      <c r="P105" s="727">
        <v>90</v>
      </c>
      <c r="Q105" s="1476">
        <v>95.66</v>
      </c>
      <c r="R105" s="706">
        <v>4675.7</v>
      </c>
      <c r="S105" s="765">
        <f>IF((_xlfn.XLOOKUP(D105,RUC!$B$3:$B$119,RUC!$E$3:$E$119)+ROUNDDOWN(O105,1)*100)&lt;95,95,((_xlfn.XLOOKUP(D105,RUC!$B$3:$B$119,RUC!$E$3:$E$119)+ROUNDDOWN(O105,1)*100)))</f>
        <v>130</v>
      </c>
      <c r="U105" s="1146">
        <f>_xlfn.XLOOKUP(D105,RUC!$B$3:$B$123,RUC!$F$3:$F$123)</f>
        <v>120</v>
      </c>
      <c r="V105" s="715">
        <v>1.1023000000000001</v>
      </c>
      <c r="Y105" s="1445">
        <v>30</v>
      </c>
      <c r="Z105" s="1454">
        <v>70</v>
      </c>
      <c r="AA105" s="144">
        <f t="shared" si="56"/>
        <v>100</v>
      </c>
      <c r="AB105" s="145">
        <f t="shared" si="57"/>
        <v>1608.5351991880002</v>
      </c>
      <c r="AC105" s="145">
        <f>+(S105-T105)*V105-'data 1'!$F$4</f>
        <v>63.299000000000007</v>
      </c>
      <c r="AD105" s="145">
        <f t="shared" si="58"/>
        <v>124.49315304538794</v>
      </c>
      <c r="AE105" s="145">
        <f t="shared" si="59"/>
        <v>40.230000000000004</v>
      </c>
      <c r="AF105" s="145">
        <f t="shared" si="60"/>
        <v>124.89891029267611</v>
      </c>
      <c r="AG105" s="772">
        <f t="shared" si="61"/>
        <v>369.92106333806407</v>
      </c>
      <c r="AH105" s="1253">
        <f t="shared" si="62"/>
        <v>35.64</v>
      </c>
      <c r="AI105" s="1253">
        <f t="shared" si="63"/>
        <v>37.256999999999998</v>
      </c>
      <c r="AJ105" s="156">
        <f>+((+'Analisis comercial'!$AJ$2-R105+U105)*L105*Q105*V105)/100</f>
        <v>-118.09595499538791</v>
      </c>
      <c r="AK105" s="156">
        <f t="shared" si="64"/>
        <v>31.541007306460141</v>
      </c>
      <c r="AM105" s="716">
        <f t="shared" si="65"/>
        <v>3990.7758291854284</v>
      </c>
      <c r="AN105" s="716" t="str">
        <f>_xlfn.XLOOKUP(D105,RUC!$B$3:$B$578,RUC!$M$3:$M$578)</f>
        <v>Evelyn</v>
      </c>
      <c r="AO105" s="1167" t="s">
        <v>2279</v>
      </c>
      <c r="AP105" s="1843">
        <v>313</v>
      </c>
      <c r="AQ105" s="1082" t="s">
        <v>5445</v>
      </c>
    </row>
    <row r="106" spans="1:43" ht="15" customHeight="1">
      <c r="A106" s="747" t="s">
        <v>5624</v>
      </c>
      <c r="B106" s="1882">
        <v>46160</v>
      </c>
      <c r="C106" s="1447">
        <v>46155</v>
      </c>
      <c r="D106" t="s">
        <v>1967</v>
      </c>
      <c r="E106" s="762">
        <f>_xlfn.XLOOKUP(D106,RUC!$B$3:$B$123,RUC!$D$3:$D$123)</f>
        <v>20601769396</v>
      </c>
      <c r="F106" s="629" t="s">
        <v>5638</v>
      </c>
      <c r="G106" s="762">
        <v>37</v>
      </c>
      <c r="H106" s="1082" t="s">
        <v>108</v>
      </c>
      <c r="I106" s="703">
        <v>2.7</v>
      </c>
      <c r="J106" s="596">
        <v>15.3</v>
      </c>
      <c r="K106" s="703">
        <f t="shared" si="54"/>
        <v>2.2869999999999999</v>
      </c>
      <c r="L106" s="1193">
        <v>0.59699999999999998</v>
      </c>
      <c r="M106" s="994">
        <f>ROUND(+IF(L106&gt;_xlfn.XLOOKUP(AN106,RUC!M:M,RUC!K:K),L106*_xlfn.XLOOKUP(AN106,RUC!M:M,RUC!I:I),L106-_xlfn.XLOOKUP(AN106,RUC!M:M,RUC!J:J)),3)</f>
        <v>0.56100000000000005</v>
      </c>
      <c r="N106" s="1444">
        <v>0.60599999999999998</v>
      </c>
      <c r="O106" s="645">
        <f t="shared" si="67"/>
        <v>0.58399999999999996</v>
      </c>
      <c r="P106" s="727">
        <v>90</v>
      </c>
      <c r="Q106" s="1476">
        <v>92.63</v>
      </c>
      <c r="R106" s="706">
        <v>4675.7</v>
      </c>
      <c r="S106" s="765">
        <f>IF((_xlfn.XLOOKUP(D106,RUC!$B$3:$B$119,RUC!$E$3:$E$119)+ROUNDDOWN(O106,1)*100)&lt;95,95,((_xlfn.XLOOKUP(D106,RUC!$B$3:$B$119,RUC!$E$3:$E$119)+ROUNDDOWN(O106,1)*100)))</f>
        <v>140</v>
      </c>
      <c r="U106" s="1146">
        <f>_xlfn.XLOOKUP(D106,RUC!$B$3:$B$123,RUC!$F$3:$F$123)</f>
        <v>120</v>
      </c>
      <c r="V106" s="715">
        <v>1.1023000000000001</v>
      </c>
      <c r="Y106" s="1445">
        <v>30</v>
      </c>
      <c r="Z106" s="1454">
        <v>70</v>
      </c>
      <c r="AA106" s="144">
        <f t="shared" si="56"/>
        <v>100</v>
      </c>
      <c r="AB106" s="145">
        <f t="shared" si="57"/>
        <v>2374.878806616</v>
      </c>
      <c r="AC106" s="145">
        <f>+(S106-T106)*V106-'data 1'!$F$4</f>
        <v>74.322000000000003</v>
      </c>
      <c r="AD106" s="145">
        <f t="shared" si="58"/>
        <v>78.846969249920861</v>
      </c>
      <c r="AE106" s="145">
        <f t="shared" si="59"/>
        <v>40.230000000000004</v>
      </c>
      <c r="AF106" s="145">
        <f t="shared" si="60"/>
        <v>60.47138856580905</v>
      </c>
      <c r="AG106" s="772">
        <f t="shared" si="61"/>
        <v>270.8703578157299</v>
      </c>
      <c r="AH106" s="1253">
        <f t="shared" si="62"/>
        <v>43.360999999999997</v>
      </c>
      <c r="AI106" s="1253">
        <f t="shared" si="63"/>
        <v>46.811</v>
      </c>
      <c r="AJ106" s="156">
        <f>+((+'Analisis comercial'!$AJ$2-R106+U106)*L106*Q106*V106)/100</f>
        <v>-155.86784487392089</v>
      </c>
      <c r="AK106" s="156">
        <f t="shared" si="64"/>
        <v>41.212654706415954</v>
      </c>
      <c r="AN106" s="716" t="str">
        <f>_xlfn.XLOOKUP(D106,RUC!$B$3:$B$578,RUC!$M$3:$M$578)</f>
        <v>Evelyn</v>
      </c>
      <c r="AO106" s="1167" t="s">
        <v>2279</v>
      </c>
      <c r="AP106" s="1843">
        <v>314</v>
      </c>
      <c r="AQ106" s="1082" t="s">
        <v>5640</v>
      </c>
    </row>
    <row r="107" spans="1:43" ht="15" customHeight="1">
      <c r="A107" s="747" t="s">
        <v>5625</v>
      </c>
      <c r="B107" s="1882">
        <v>46160</v>
      </c>
      <c r="C107" s="1447">
        <v>46155</v>
      </c>
      <c r="D107" t="s">
        <v>1967</v>
      </c>
      <c r="E107" s="762">
        <f>_xlfn.XLOOKUP(D107,RUC!$B$3:$B$123,RUC!$D$3:$D$123)</f>
        <v>20601769396</v>
      </c>
      <c r="F107" s="629" t="s">
        <v>5638</v>
      </c>
      <c r="G107" s="762">
        <v>23</v>
      </c>
      <c r="H107" s="1082" t="s">
        <v>108</v>
      </c>
      <c r="I107" s="703">
        <v>1.52</v>
      </c>
      <c r="J107" s="596">
        <v>18</v>
      </c>
      <c r="K107" s="703">
        <f t="shared" si="54"/>
        <v>1.246</v>
      </c>
      <c r="L107" s="1193">
        <v>0.25</v>
      </c>
      <c r="M107" s="994">
        <f>ROUND(+IF(L107&gt;_xlfn.XLOOKUP(AN107,RUC!M:M,RUC!K:K),L107*_xlfn.XLOOKUP(AN107,RUC!M:M,RUC!I:I),L107-_xlfn.XLOOKUP(AN107,RUC!M:M,RUC!J:J)),3)</f>
        <v>0.23100000000000001</v>
      </c>
      <c r="N107" s="1196">
        <f>+M107</f>
        <v>0.23100000000000001</v>
      </c>
      <c r="O107" s="645">
        <f t="shared" si="67"/>
        <v>0.23100000000000001</v>
      </c>
      <c r="P107" s="727">
        <v>90</v>
      </c>
      <c r="Q107" s="1476">
        <v>90.4</v>
      </c>
      <c r="R107" s="706">
        <v>4675.7</v>
      </c>
      <c r="S107" s="765">
        <f>IF((_xlfn.XLOOKUP(D107,RUC!$B$3:$B$119,RUC!$E$3:$E$119)+ROUNDDOWN(O107,1)*100)&lt;95,95,((_xlfn.XLOOKUP(D107,RUC!$B$3:$B$119,RUC!$E$3:$E$119)+ROUNDDOWN(O107,1)*100)))</f>
        <v>110</v>
      </c>
      <c r="U107" s="1146">
        <f>_xlfn.XLOOKUP(D107,RUC!$B$3:$B$123,RUC!$F$3:$F$123)</f>
        <v>120</v>
      </c>
      <c r="V107" s="715">
        <v>1.1023000000000001</v>
      </c>
      <c r="Y107" s="1445">
        <v>30</v>
      </c>
      <c r="Z107" s="1454">
        <v>70</v>
      </c>
      <c r="AA107" s="144">
        <f t="shared" si="56"/>
        <v>100</v>
      </c>
      <c r="AB107" s="145">
        <f t="shared" si="57"/>
        <v>812.53843206900024</v>
      </c>
      <c r="AC107" s="145">
        <f>+(S107-T107)*V107-'data 1'!$F$4</f>
        <v>41.253</v>
      </c>
      <c r="AD107" s="145">
        <f t="shared" si="58"/>
        <v>5.0217481100000718</v>
      </c>
      <c r="AE107" s="145">
        <f t="shared" si="59"/>
        <v>40.230000000000004</v>
      </c>
      <c r="AF107" s="145">
        <f t="shared" si="60"/>
        <v>86.253545537359955</v>
      </c>
      <c r="AG107" s="772">
        <f t="shared" si="61"/>
        <v>189.75829364736003</v>
      </c>
      <c r="AH107" s="1253">
        <f t="shared" si="62"/>
        <v>9.6549999999999994</v>
      </c>
      <c r="AI107" s="1253">
        <f t="shared" si="63"/>
        <v>10.68</v>
      </c>
      <c r="AJ107" s="156">
        <f>+((+'Analisis comercial'!$AJ$2-R107+U107)*L107*Q107*V107)/100</f>
        <v>-63.699932859999961</v>
      </c>
      <c r="AK107" s="156">
        <f t="shared" si="64"/>
        <v>8.8814034907913708</v>
      </c>
      <c r="AN107" s="716" t="str">
        <f>_xlfn.XLOOKUP(D107,RUC!$B$3:$B$578,RUC!$M$3:$M$578)</f>
        <v>Evelyn</v>
      </c>
      <c r="AO107" s="1167" t="s">
        <v>2279</v>
      </c>
      <c r="AP107" s="1843">
        <v>314</v>
      </c>
      <c r="AQ107" s="1082" t="s">
        <v>5640</v>
      </c>
    </row>
    <row r="108" spans="1:43" ht="15" customHeight="1">
      <c r="C108" s="1447"/>
    </row>
  </sheetData>
  <autoFilter ref="A3:AO85" xr:uid="{00000000-0009-0000-0000-00000C000000}"/>
  <mergeCells count="2">
    <mergeCell ref="AV5:BD5"/>
    <mergeCell ref="AV26:BA26"/>
  </mergeCells>
  <phoneticPr fontId="343" type="noConversion"/>
  <pageMargins left="0.7" right="0.7" top="0.75" bottom="0.75" header="0" footer="0"/>
  <pageSetup paperSize="9" scale="10" fitToHeight="0" orientation="portrait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FEE7B-AA3B-4429-AAA2-DD1E9586D105}">
  <sheetPr>
    <tabColor rgb="FF00B050"/>
    <pageSetUpPr fitToPage="1"/>
  </sheetPr>
  <dimension ref="A1:BD112"/>
  <sheetViews>
    <sheetView showGridLines="0" zoomScale="85" zoomScaleNormal="85" workbookViewId="0">
      <pane xSplit="4" ySplit="3" topLeftCell="E63" activePane="bottomRight" state="frozen"/>
      <selection pane="topRight" activeCell="E1" sqref="E1"/>
      <selection pane="bottomLeft" activeCell="A4" sqref="A4"/>
      <selection pane="bottomRight" activeCell="D50" sqref="D50"/>
    </sheetView>
  </sheetViews>
  <sheetFormatPr baseColWidth="10" defaultColWidth="14.44140625" defaultRowHeight="15" customHeight="1"/>
  <cols>
    <col min="1" max="1" width="14.5546875" customWidth="1"/>
    <col min="2" max="2" width="12.33203125" style="1447" customWidth="1"/>
    <col min="3" max="3" width="11.6640625" style="762" customWidth="1"/>
    <col min="4" max="4" width="42.5546875" customWidth="1"/>
    <col min="5" max="5" width="15.88671875" style="762" customWidth="1"/>
    <col min="6" max="6" width="16.6640625" customWidth="1"/>
    <col min="7" max="7" width="12.109375" style="762" customWidth="1"/>
    <col min="8" max="8" width="11.44140625" style="1082" customWidth="1"/>
    <col min="9" max="10" width="10.332031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7.66406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1.33203125" style="1082" customWidth="1"/>
    <col min="43" max="43" width="12.6640625" style="1082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5535.8569999999982</v>
      </c>
      <c r="F1" s="1075" t="s">
        <v>1906</v>
      </c>
      <c r="G1" s="1861">
        <f>+$AM3</f>
        <v>580927.1127198193</v>
      </c>
      <c r="H1" s="1862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D2" s="1075" t="s">
        <v>1907</v>
      </c>
      <c r="E2" s="1076">
        <f>+AH3</f>
        <v>5232.0229999999992</v>
      </c>
      <c r="F2" s="1079" t="s">
        <v>1908</v>
      </c>
      <c r="G2" s="1080">
        <f>+Q2</f>
        <v>94.649565835241972</v>
      </c>
      <c r="H2" s="1863"/>
      <c r="I2" s="1251">
        <f>SUBTOTAL(9,I4:I405)</f>
        <v>536.20000000000016</v>
      </c>
      <c r="J2" s="81"/>
      <c r="K2" s="91">
        <f>SUBTOTAL(9,K4:K405)</f>
        <v>483.36000000000007</v>
      </c>
      <c r="L2" s="1887">
        <f>+SUMPRODUCT(L5:L405,K5:K405)/K2</f>
        <v>0.33404513199271751</v>
      </c>
      <c r="M2" s="6"/>
      <c r="O2" s="703"/>
      <c r="P2" s="94">
        <f>+SUMPRODUCT(P4:P405,AH4:AH405)/SUM(AH4:AH405)</f>
        <v>89.012617108143431</v>
      </c>
      <c r="Q2" s="1201">
        <f>+SUMPRODUCT(Q4:Q405,AH4:AH405)/SUM(AH4:AH405)</f>
        <v>94.649565835241972</v>
      </c>
      <c r="R2" s="1151">
        <f>+SUMPRODUCT(R4:R405,AH4:AH405)/SUM(AH4:AH405)</f>
        <v>4609.454739266248</v>
      </c>
      <c r="S2" s="6"/>
      <c r="AB2" s="83"/>
      <c r="AC2" s="83"/>
      <c r="AD2" s="83"/>
      <c r="AE2" s="83"/>
      <c r="AF2" s="83"/>
      <c r="AG2" s="1209">
        <f>SUMPRODUCT($AG4:$AG102,$K4:$K102)/SUM($K4:$K102)</f>
        <v>235.63466672797421</v>
      </c>
      <c r="AH2" s="702"/>
      <c r="AI2" s="631"/>
      <c r="AJ2" s="252">
        <v>4500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1692" t="s">
        <v>39</v>
      </c>
      <c r="C3" s="679" t="s">
        <v>40</v>
      </c>
      <c r="D3" s="1077" t="s">
        <v>41</v>
      </c>
      <c r="E3" s="1078" t="s">
        <v>1025</v>
      </c>
      <c r="F3" s="1077" t="s">
        <v>43</v>
      </c>
      <c r="G3" s="1078" t="s">
        <v>16</v>
      </c>
      <c r="H3" s="1864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SUBTOTAL(9,AH4:AH405)</f>
        <v>5232.0229999999992</v>
      </c>
      <c r="AI3" s="1252">
        <f>SUBTOTAL(9,AI4:AI405)</f>
        <v>5535.8569999999982</v>
      </c>
      <c r="AJ3" s="1388">
        <f>SUMPRODUCT(K4:K405,AJ4:AJ405)/K2</f>
        <v>2.1573640195589383</v>
      </c>
      <c r="AK3" s="118">
        <f>SUBTOTAL(9,AK4:AK405)</f>
        <v>4690.8499471036412</v>
      </c>
      <c r="AL3" s="88"/>
      <c r="AM3" s="118">
        <f>SUBTOTAL(9,AM4:AM405)</f>
        <v>580927.1127198193</v>
      </c>
      <c r="AN3" s="1182" t="s">
        <v>2247</v>
      </c>
      <c r="AO3" s="1806" t="s">
        <v>2283</v>
      </c>
      <c r="AP3" s="1844" t="s">
        <v>2351</v>
      </c>
      <c r="AQ3" s="1844" t="s">
        <v>2352</v>
      </c>
      <c r="AS3" s="1216"/>
    </row>
    <row r="4" spans="1:56" s="677" customFormat="1" ht="15.75" customHeight="1" thickBot="1">
      <c r="A4" s="720"/>
      <c r="B4" s="1693"/>
      <c r="C4" s="1694"/>
      <c r="D4" s="721"/>
      <c r="E4" s="1764"/>
      <c r="F4" s="721"/>
      <c r="G4" s="723"/>
      <c r="H4" s="1865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  <c r="AP4" s="1845"/>
      <c r="AQ4" s="1845"/>
    </row>
    <row r="5" spans="1:56" ht="15" customHeight="1" thickBot="1">
      <c r="A5" s="747" t="s">
        <v>5481</v>
      </c>
      <c r="B5" s="1447">
        <v>46150</v>
      </c>
      <c r="C5" s="1447">
        <v>46145</v>
      </c>
      <c r="D5" t="s">
        <v>93</v>
      </c>
      <c r="E5" s="762">
        <f>_xlfn.XLOOKUP(D5,RUC!$B$3:$B$123,RUC!$D$3:$D$123)</f>
        <v>20169040231</v>
      </c>
      <c r="F5" s="629" t="s">
        <v>5544</v>
      </c>
      <c r="G5" s="762">
        <v>58</v>
      </c>
      <c r="H5" s="1082" t="s">
        <v>69</v>
      </c>
      <c r="I5" s="703">
        <v>4.8099999999999996</v>
      </c>
      <c r="J5" s="596">
        <v>2.1</v>
      </c>
      <c r="K5" s="703">
        <f t="shared" ref="K5:K22" si="0">ROUND(+I5-(I5*(J5/100)),3)</f>
        <v>4.7089999999999996</v>
      </c>
      <c r="L5" s="1745">
        <v>1.1819999999999999</v>
      </c>
      <c r="M5" s="994">
        <f>ROUND(+IF(L5&gt;_xlfn.XLOOKUP(AN5,RUC!M:M,RUC!K:K),L5*_xlfn.XLOOKUP(AN5,RUC!M:M,RUC!I:I),L5-_xlfn.XLOOKUP(AN5,RUC!M:M,RUC!J:J)),3)</f>
        <v>1.111</v>
      </c>
      <c r="N5" s="1444">
        <v>1.1870000000000001</v>
      </c>
      <c r="O5" s="645">
        <f t="shared" ref="O5:O22" si="1">+ROUND((M5+N5)/2,3)</f>
        <v>1.149</v>
      </c>
      <c r="P5" s="727">
        <v>90</v>
      </c>
      <c r="Q5" s="1476">
        <v>93.74</v>
      </c>
      <c r="R5" s="706">
        <v>4576.8</v>
      </c>
      <c r="S5" s="765">
        <f>IF((_xlfn.XLOOKUP(D5,RUC!$B$3:$B$119,RUC!$E$3:$E$119)+ROUNDDOWN(O5,1)*100)&lt;95,95,((_xlfn.XLOOKUP(D5,RUC!$B$3:$B$119,RUC!$E$3:$E$119)+ROUNDDOWN(O5,1)*100)))</f>
        <v>195</v>
      </c>
      <c r="U5" s="1146">
        <f>_xlfn.XLOOKUP(D5,RUC!$B$3:$B$123,RUC!$F$3:$F$123)</f>
        <v>120</v>
      </c>
      <c r="V5" s="715">
        <v>1.1023000000000001</v>
      </c>
      <c r="Y5">
        <f>_xlfn.XLOOKUP(D5,RUC!$B$3:$B$123,RUC!$G$3:$G$123)</f>
        <v>20</v>
      </c>
      <c r="Z5" s="1454">
        <v>35</v>
      </c>
      <c r="AA5" s="144">
        <f t="shared" ref="AA5:AA22" si="2">+Y5+Z5</f>
        <v>55</v>
      </c>
      <c r="AB5" s="145">
        <f t="shared" ref="AB5:AB14" si="3">+((O5*P5*(R5-U5)/100)-S5-AA5+T5)*V5</f>
        <v>4804.6797548240011</v>
      </c>
      <c r="AC5" s="145">
        <f>+(S5-T5)*V5-'data 1'!$F$4</f>
        <v>134.94850000000002</v>
      </c>
      <c r="AD5" s="145">
        <f t="shared" ref="AD5:AD22" si="4">+(Q5-P5)*(R5-U5)*L5*V5/100</f>
        <v>217.17610085635172</v>
      </c>
      <c r="AE5" s="145">
        <f t="shared" ref="AE5:AE22" si="5">+(Y5*V5-70)+V5*(Z5-IF(D5="UNTUCA",IF(+((W5-3)*2.5+(X5-3)*3.1)&gt;0,+((W5-3)*1.5+(X5-3)*3.1),0),IF(+((W5-3)*1.5+(X5-3)*3.1)&gt;0,+((W5-3)*1.5+(X5-3)*3.1),0)))</f>
        <v>-9.3734999999999999</v>
      </c>
      <c r="AF5" s="145">
        <f t="shared" ref="AF5:AF22" si="6">(L5-O5)*(R5-U5)*Q5*V5/100</f>
        <v>151.9713921638876</v>
      </c>
      <c r="AG5" s="772">
        <f t="shared" ref="AG5:AG14" si="7">AC5+AD5+AE5+AF5+70-53</f>
        <v>511.72249302023943</v>
      </c>
      <c r="AH5" s="1253">
        <f t="shared" ref="AH5:AH22" si="8">ROUND((31.1035*L5*Q5*1.1023*K5/100),3)</f>
        <v>178.88800000000001</v>
      </c>
      <c r="AI5" s="1253">
        <f t="shared" ref="AI5:AI22" si="9">ROUND((31.1035*L5*1.1023*K5),3)</f>
        <v>190.834</v>
      </c>
      <c r="AJ5" s="156">
        <f>+((+$AJ$2-R5+U5)*L5*Q5*V5)/100</f>
        <v>52.762574691647778</v>
      </c>
      <c r="AK5" s="156">
        <f t="shared" ref="AK5:AK22" si="10">31.1035*1.1023*K5*P5*O5/100</f>
        <v>166.95533365581602</v>
      </c>
      <c r="AM5" s="716">
        <f t="shared" ref="AM5:AM22" si="11">+IF(AB5*K5&gt;0,AB5*K5,0)</f>
        <v>22625.236965466218</v>
      </c>
      <c r="AN5" s="716" t="str">
        <f>_xlfn.XLOOKUP(D5,RUC!$B$3:$B$578,RUC!$M$3:$M$578)</f>
        <v>Ronald Miranda</v>
      </c>
      <c r="AO5" s="1167" t="s">
        <v>2277</v>
      </c>
      <c r="AP5" s="1843">
        <v>6586</v>
      </c>
      <c r="AQ5" s="1866" t="s">
        <v>4145</v>
      </c>
      <c r="AV5" s="1982" t="s">
        <v>5596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747" t="s">
        <v>5483</v>
      </c>
      <c r="B6" s="1447">
        <v>46275</v>
      </c>
      <c r="C6" s="1447">
        <v>46145</v>
      </c>
      <c r="D6" t="s">
        <v>5442</v>
      </c>
      <c r="E6" s="762">
        <f>_xlfn.XLOOKUP(D6,RUC!$B$3:$B$123,RUC!$D$3:$D$123)</f>
        <v>20606562480</v>
      </c>
      <c r="F6" s="629" t="s">
        <v>5541</v>
      </c>
      <c r="G6" s="762">
        <v>12</v>
      </c>
      <c r="H6" s="1082" t="s">
        <v>69</v>
      </c>
      <c r="I6" s="703">
        <v>0.96</v>
      </c>
      <c r="J6" s="596">
        <v>2.0499999999999998</v>
      </c>
      <c r="K6" s="703">
        <f t="shared" si="0"/>
        <v>0.94</v>
      </c>
      <c r="L6" s="1745">
        <v>0.72899999999999998</v>
      </c>
      <c r="M6" s="994">
        <f>ROUND(+IF(L6&gt;_xlfn.XLOOKUP(AN6,RUC!M:M,RUC!K:K),L6*_xlfn.XLOOKUP(AN6,RUC!M:M,RUC!I:I),L6-_xlfn.XLOOKUP(AN6,RUC!M:M,RUC!J:J)),3)</f>
        <v>0.68500000000000005</v>
      </c>
      <c r="N6" s="1196">
        <f t="shared" ref="N6:N15" si="12">+M6</f>
        <v>0.68500000000000005</v>
      </c>
      <c r="O6" s="645">
        <f t="shared" si="1"/>
        <v>0.68500000000000005</v>
      </c>
      <c r="P6" s="727">
        <v>88</v>
      </c>
      <c r="Q6" s="1572">
        <v>88.75</v>
      </c>
      <c r="R6" s="706">
        <v>4576.8</v>
      </c>
      <c r="S6" s="765">
        <f>IF((_xlfn.XLOOKUP(D6,RUC!$B$3:$B$119,RUC!$E$3:$E$119)+ROUNDDOWN(O6,1)*100)&lt;95,95,((_xlfn.XLOOKUP(D6,RUC!$B$3:$B$119,RUC!$E$3:$E$119)+ROUNDDOWN(O6,1)*100)))</f>
        <v>145</v>
      </c>
      <c r="U6" s="1146">
        <f>_xlfn.XLOOKUP(D6,RUC!$B$3:$B$123,RUC!$F$3:$F$123)</f>
        <v>120</v>
      </c>
      <c r="V6" s="715">
        <v>1.1023000000000001</v>
      </c>
      <c r="Y6">
        <f>_xlfn.XLOOKUP(D6,RUC!$B$3:$B$123,RUC!$G$3:$G$123)</f>
        <v>20</v>
      </c>
      <c r="Z6" s="1454">
        <v>35</v>
      </c>
      <c r="AA6" s="144">
        <f t="shared" si="2"/>
        <v>55</v>
      </c>
      <c r="AB6" s="145">
        <f t="shared" si="3"/>
        <v>2740.9340297920007</v>
      </c>
      <c r="AC6" s="145">
        <f>+(S6-T6)*V6-'data 1'!$F$4</f>
        <v>79.833500000000015</v>
      </c>
      <c r="AD6" s="145">
        <f t="shared" si="4"/>
        <v>26.860354774200001</v>
      </c>
      <c r="AE6" s="145">
        <f t="shared" si="5"/>
        <v>-9.3734999999999999</v>
      </c>
      <c r="AF6" s="145">
        <f t="shared" si="6"/>
        <v>191.84213149199968</v>
      </c>
      <c r="AG6" s="772">
        <f t="shared" si="7"/>
        <v>306.16248626619972</v>
      </c>
      <c r="AH6" s="1253">
        <f t="shared" si="8"/>
        <v>20.850999999999999</v>
      </c>
      <c r="AI6" s="1253">
        <f t="shared" si="9"/>
        <v>23.494</v>
      </c>
      <c r="AJ6" s="156">
        <f>+((+'45'!$AJ$2-R6+U6)*L6*Q6*V6)/100</f>
        <v>30.809130677999871</v>
      </c>
      <c r="AK6" s="156">
        <f t="shared" si="10"/>
        <v>19.427198001547602</v>
      </c>
      <c r="AM6" s="716">
        <f t="shared" si="11"/>
        <v>2576.4779880044807</v>
      </c>
      <c r="AN6" s="716" t="str">
        <f>_xlfn.XLOOKUP(D6,RUC!$B$3:$B$578,RUC!$M$3:$M$578)</f>
        <v>Ronald Miranda</v>
      </c>
      <c r="AO6" s="1167" t="s">
        <v>2277</v>
      </c>
      <c r="AP6" s="1843">
        <v>234</v>
      </c>
      <c r="AQ6" s="1866" t="s">
        <v>3196</v>
      </c>
      <c r="AR6" t="s">
        <v>5469</v>
      </c>
      <c r="AV6" s="1636"/>
      <c r="AW6" s="1636"/>
      <c r="AX6" s="1636"/>
      <c r="AY6" s="1636"/>
      <c r="AZ6" s="1636"/>
      <c r="BA6" s="1636"/>
      <c r="BB6" s="1636"/>
      <c r="BC6" s="1636"/>
      <c r="BD6" s="1636"/>
    </row>
    <row r="7" spans="1:56" ht="15" customHeight="1">
      <c r="A7" s="747" t="s">
        <v>5497</v>
      </c>
      <c r="B7" s="1447">
        <v>46151</v>
      </c>
      <c r="C7" s="1447">
        <v>46146</v>
      </c>
      <c r="D7" t="s">
        <v>1967</v>
      </c>
      <c r="E7" s="762">
        <f>_xlfn.XLOOKUP(D7,RUC!$B$3:$B$123,RUC!$D$3:$D$123)</f>
        <v>20601769396</v>
      </c>
      <c r="F7" s="629" t="s">
        <v>5536</v>
      </c>
      <c r="G7" s="762">
        <v>15</v>
      </c>
      <c r="H7" s="1082" t="s">
        <v>69</v>
      </c>
      <c r="I7" s="703">
        <v>1.1000000000000001</v>
      </c>
      <c r="J7" s="596">
        <v>13.78</v>
      </c>
      <c r="K7" s="703">
        <f t="shared" si="0"/>
        <v>0.94799999999999995</v>
      </c>
      <c r="L7" s="1745">
        <v>0.51600000000000001</v>
      </c>
      <c r="M7" s="994">
        <f>ROUND(+IF(L7&gt;_xlfn.XLOOKUP(AN7,RUC!M:M,RUC!K:K),L7*_xlfn.XLOOKUP(AN7,RUC!M:M,RUC!I:I),L7-_xlfn.XLOOKUP(AN7,RUC!M:M,RUC!J:J)),3)</f>
        <v>0.48499999999999999</v>
      </c>
      <c r="N7" s="1196">
        <f t="shared" si="12"/>
        <v>0.48499999999999999</v>
      </c>
      <c r="O7" s="645">
        <f t="shared" si="1"/>
        <v>0.48499999999999999</v>
      </c>
      <c r="P7" s="727">
        <v>90</v>
      </c>
      <c r="Q7" s="1476">
        <v>92.64</v>
      </c>
      <c r="R7" s="706">
        <v>4576.8</v>
      </c>
      <c r="S7" s="765">
        <f>IF((_xlfn.XLOOKUP(D7,RUC!$B$3:$B$119,RUC!$E$3:$E$119)+ROUNDDOWN(O7,1)*100)&lt;95,95,((_xlfn.XLOOKUP(D7,RUC!$B$3:$B$119,RUC!$E$3:$E$119)+ROUNDDOWN(O7,1)*100)))</f>
        <v>130</v>
      </c>
      <c r="U7" s="1146">
        <f>_xlfn.XLOOKUP(D7,RUC!$B$3:$B$123,RUC!$F$3:$F$123)</f>
        <v>120</v>
      </c>
      <c r="V7" s="715">
        <v>1.1023000000000001</v>
      </c>
      <c r="Y7">
        <f>_xlfn.XLOOKUP(D7,RUC!$B$3:$B$123,RUC!$G$3:$G$123)</f>
        <v>20</v>
      </c>
      <c r="Z7" s="143">
        <f>_xlfn.XLOOKUP(D7,RUC!$B$3:$B$123,RUC!$H$3:$H$123)</f>
        <v>30</v>
      </c>
      <c r="AA7" s="144">
        <f t="shared" si="2"/>
        <v>50</v>
      </c>
      <c r="AB7" s="145">
        <f t="shared" si="3"/>
        <v>1945.9929243600002</v>
      </c>
      <c r="AC7" s="145">
        <f>+(S7-T7)*V7-'data 1'!$F$4</f>
        <v>63.299000000000007</v>
      </c>
      <c r="AD7" s="145">
        <f t="shared" si="4"/>
        <v>66.923181870336023</v>
      </c>
      <c r="AE7" s="145">
        <f t="shared" si="5"/>
        <v>-14.884999999999998</v>
      </c>
      <c r="AF7" s="145">
        <f t="shared" si="6"/>
        <v>141.08576361177617</v>
      </c>
      <c r="AG7" s="772">
        <f t="shared" si="7"/>
        <v>273.42294548211225</v>
      </c>
      <c r="AH7" s="1253">
        <f t="shared" si="8"/>
        <v>15.537000000000001</v>
      </c>
      <c r="AI7" s="1253">
        <f t="shared" si="9"/>
        <v>16.771000000000001</v>
      </c>
      <c r="AJ7" s="156">
        <f t="shared" ref="AJ7:AJ22" si="13">+((+$AJ$2-R7+U7)*L7*Q7*V7)/100</f>
        <v>22.763120753663905</v>
      </c>
      <c r="AK7" s="156">
        <f t="shared" si="10"/>
        <v>14.1873621458661</v>
      </c>
      <c r="AM7" s="716">
        <f t="shared" si="11"/>
        <v>1844.8012922932801</v>
      </c>
      <c r="AN7" s="716" t="str">
        <f>_xlfn.XLOOKUP(D7,RUC!$B$3:$B$578,RUC!$M$3:$M$578)</f>
        <v>Evelyn</v>
      </c>
      <c r="AO7" s="1167" t="s">
        <v>2277</v>
      </c>
      <c r="AP7" s="1843">
        <v>294</v>
      </c>
      <c r="AQ7" s="1866" t="s">
        <v>3218</v>
      </c>
      <c r="AW7" s="1469">
        <f>SUM(AW9:AW18)</f>
        <v>483.35999999999996</v>
      </c>
      <c r="AX7" s="1470">
        <f>SUMPRODUCT(AW9:AW18,AX9:AX18)/SUM(AW9:AW18)</f>
        <v>0.33404513199271768</v>
      </c>
      <c r="AY7" s="704"/>
      <c r="AZ7" s="1471">
        <f ca="1">SUMPRODUCT(AZ9:AZ18,$BB9:$BB18)/SUM($BB9:$BB18)/100</f>
        <v>0.94649565835241944</v>
      </c>
      <c r="BA7" s="707">
        <f>SUM(BA9:BA18)</f>
        <v>5535.8577818015428</v>
      </c>
      <c r="BB7" s="707">
        <f ca="1">SUM(BB9:BB18)</f>
        <v>5232.0229999999992</v>
      </c>
    </row>
    <row r="8" spans="1:56" ht="15" customHeight="1" thickBot="1">
      <c r="A8" s="747" t="s">
        <v>5498</v>
      </c>
      <c r="B8" s="1447">
        <v>46151</v>
      </c>
      <c r="C8" s="1447">
        <v>46146</v>
      </c>
      <c r="D8" t="s">
        <v>1967</v>
      </c>
      <c r="E8" s="762">
        <f>_xlfn.XLOOKUP(D8,RUC!$B$3:$B$123,RUC!$D$3:$D$123)</f>
        <v>20601769396</v>
      </c>
      <c r="F8" s="629" t="s">
        <v>5536</v>
      </c>
      <c r="G8" s="762">
        <v>15</v>
      </c>
      <c r="H8" s="1082" t="s">
        <v>69</v>
      </c>
      <c r="I8" s="703">
        <v>1.1399999999999999</v>
      </c>
      <c r="J8" s="596">
        <v>11.42</v>
      </c>
      <c r="K8" s="703">
        <f t="shared" si="0"/>
        <v>1.01</v>
      </c>
      <c r="L8" s="1745">
        <v>0.46200000000000002</v>
      </c>
      <c r="M8" s="994">
        <f>ROUND(+IF(L8&gt;_xlfn.XLOOKUP(AN8,RUC!M:M,RUC!K:K),L8*_xlfn.XLOOKUP(AN8,RUC!M:M,RUC!I:I),L8-_xlfn.XLOOKUP(AN8,RUC!M:M,RUC!J:J)),3)</f>
        <v>0.434</v>
      </c>
      <c r="N8" s="1196">
        <f t="shared" si="12"/>
        <v>0.434</v>
      </c>
      <c r="O8" s="645">
        <f t="shared" si="1"/>
        <v>0.434</v>
      </c>
      <c r="P8" s="727">
        <v>90</v>
      </c>
      <c r="Q8" s="1476">
        <v>94.16</v>
      </c>
      <c r="R8" s="706">
        <v>4576.8</v>
      </c>
      <c r="S8" s="765">
        <f>IF((_xlfn.XLOOKUP(D8,RUC!$B$3:$B$119,RUC!$E$3:$E$119)+ROUNDDOWN(O8,1)*100)&lt;95,95,((_xlfn.XLOOKUP(D8,RUC!$B$3:$B$119,RUC!$E$3:$E$119)+ROUNDDOWN(O8,1)*100)))</f>
        <v>130</v>
      </c>
      <c r="U8" s="1146">
        <f>_xlfn.XLOOKUP(D8,RUC!$B$3:$B$123,RUC!$F$3:$F$123)</f>
        <v>120</v>
      </c>
      <c r="V8" s="715">
        <v>1.1023000000000001</v>
      </c>
      <c r="Y8">
        <f>_xlfn.XLOOKUP(D8,RUC!$B$3:$B$123,RUC!$G$3:$G$123)</f>
        <v>20</v>
      </c>
      <c r="Z8" s="143">
        <f>_xlfn.XLOOKUP(D8,RUC!$B$3:$B$123,RUC!$H$3:$H$123)</f>
        <v>30</v>
      </c>
      <c r="AA8" s="144">
        <f t="shared" si="2"/>
        <v>50</v>
      </c>
      <c r="AB8" s="145">
        <f t="shared" si="3"/>
        <v>1720.4985879840001</v>
      </c>
      <c r="AC8" s="145">
        <f>+(S8-T8)*V8-'data 1'!$F$4</f>
        <v>63.299000000000007</v>
      </c>
      <c r="AD8" s="145">
        <f t="shared" si="4"/>
        <v>94.418752716287941</v>
      </c>
      <c r="AE8" s="145">
        <f t="shared" si="5"/>
        <v>-14.884999999999998</v>
      </c>
      <c r="AF8" s="145">
        <f t="shared" si="6"/>
        <v>129.5231607774721</v>
      </c>
      <c r="AG8" s="772">
        <f t="shared" si="7"/>
        <v>289.35591349376006</v>
      </c>
      <c r="AH8" s="1253">
        <f t="shared" si="8"/>
        <v>15.064</v>
      </c>
      <c r="AI8" s="1253">
        <f t="shared" si="9"/>
        <v>15.997999999999999</v>
      </c>
      <c r="AJ8" s="156">
        <f t="shared" si="13"/>
        <v>20.715335891711916</v>
      </c>
      <c r="AK8" s="156">
        <f t="shared" si="10"/>
        <v>13.525791298053299</v>
      </c>
      <c r="AM8" s="716">
        <f t="shared" si="11"/>
        <v>1737.7035738638401</v>
      </c>
      <c r="AN8" s="716" t="str">
        <f>_xlfn.XLOOKUP(D8,RUC!$B$3:$B$578,RUC!$M$3:$M$578)</f>
        <v>Evelyn</v>
      </c>
      <c r="AO8" s="1167" t="s">
        <v>2277</v>
      </c>
      <c r="AP8" s="1843">
        <v>294</v>
      </c>
      <c r="AQ8" s="1866" t="s">
        <v>3218</v>
      </c>
      <c r="AV8" s="762"/>
      <c r="AW8" s="762" t="s">
        <v>15</v>
      </c>
      <c r="AX8" s="762" t="s">
        <v>2522</v>
      </c>
      <c r="AY8" s="1214" t="s">
        <v>2522</v>
      </c>
      <c r="AZ8" s="762" t="s">
        <v>2523</v>
      </c>
      <c r="BA8" s="762" t="s">
        <v>2558</v>
      </c>
      <c r="BB8" s="762" t="s">
        <v>2559</v>
      </c>
      <c r="BC8" s="1555" t="s">
        <v>2565</v>
      </c>
      <c r="BD8" s="729" t="s">
        <v>2579</v>
      </c>
    </row>
    <row r="9" spans="1:56" ht="15" customHeight="1">
      <c r="A9" s="747" t="s">
        <v>5499</v>
      </c>
      <c r="B9" s="1447">
        <v>46151</v>
      </c>
      <c r="C9" s="1447">
        <v>46146</v>
      </c>
      <c r="D9" t="s">
        <v>1967</v>
      </c>
      <c r="E9" s="762">
        <f>_xlfn.XLOOKUP(D9,RUC!$B$3:$B$123,RUC!$D$3:$D$123)</f>
        <v>20601769396</v>
      </c>
      <c r="F9" s="629" t="s">
        <v>5536</v>
      </c>
      <c r="G9" s="762">
        <v>15</v>
      </c>
      <c r="H9" s="1082" t="s">
        <v>69</v>
      </c>
      <c r="I9" s="703">
        <v>1.1200000000000001</v>
      </c>
      <c r="J9" s="596">
        <v>10.23</v>
      </c>
      <c r="K9" s="703">
        <f t="shared" si="0"/>
        <v>1.0049999999999999</v>
      </c>
      <c r="L9" s="1745">
        <v>0.40100000000000002</v>
      </c>
      <c r="M9" s="994">
        <f>ROUND(+IF(L9&gt;_xlfn.XLOOKUP(AN9,RUC!M:M,RUC!K:K),L9*_xlfn.XLOOKUP(AN9,RUC!M:M,RUC!I:I),L9-_xlfn.XLOOKUP(AN9,RUC!M:M,RUC!J:J)),3)</f>
        <v>0.377</v>
      </c>
      <c r="N9" s="1196">
        <f t="shared" si="12"/>
        <v>0.377</v>
      </c>
      <c r="O9" s="645">
        <f t="shared" si="1"/>
        <v>0.377</v>
      </c>
      <c r="P9" s="727">
        <v>90</v>
      </c>
      <c r="Q9" s="1476">
        <v>94.26</v>
      </c>
      <c r="R9" s="706">
        <v>4576.8</v>
      </c>
      <c r="S9" s="765">
        <f>IF((_xlfn.XLOOKUP(D9,RUC!$B$3:$B$119,RUC!$E$3:$E$119)+ROUNDDOWN(O9,1)*100)&lt;95,95,((_xlfn.XLOOKUP(D9,RUC!$B$3:$B$119,RUC!$E$3:$E$119)+ROUNDDOWN(O9,1)*100)))</f>
        <v>120</v>
      </c>
      <c r="U9" s="1146">
        <f>_xlfn.XLOOKUP(D9,RUC!$B$3:$B$123,RUC!$F$3:$F$123)</f>
        <v>120</v>
      </c>
      <c r="V9" s="715">
        <v>1.1023000000000001</v>
      </c>
      <c r="Y9">
        <f>_xlfn.XLOOKUP(D9,RUC!$B$3:$B$123,RUC!$G$3:$G$123)</f>
        <v>20</v>
      </c>
      <c r="Z9" s="143">
        <f>_xlfn.XLOOKUP(D9,RUC!$B$3:$B$123,RUC!$H$3:$H$123)</f>
        <v>30</v>
      </c>
      <c r="AA9" s="144">
        <f t="shared" si="2"/>
        <v>50</v>
      </c>
      <c r="AB9" s="145">
        <f t="shared" si="3"/>
        <v>1479.4985061520001</v>
      </c>
      <c r="AC9" s="145">
        <f>+(S9-T9)*V9-'data 1'!$F$4</f>
        <v>52.27600000000001</v>
      </c>
      <c r="AD9" s="145">
        <f t="shared" si="4"/>
        <v>83.922212430864107</v>
      </c>
      <c r="AE9" s="145">
        <f t="shared" si="5"/>
        <v>-14.884999999999998</v>
      </c>
      <c r="AF9" s="145">
        <f t="shared" si="6"/>
        <v>111.13775763033611</v>
      </c>
      <c r="AG9" s="772">
        <f t="shared" si="7"/>
        <v>249.45097006120022</v>
      </c>
      <c r="AH9" s="1253">
        <f t="shared" si="8"/>
        <v>13.023999999999999</v>
      </c>
      <c r="AI9" s="1253">
        <f t="shared" si="9"/>
        <v>13.817</v>
      </c>
      <c r="AJ9" s="156">
        <f t="shared" si="13"/>
        <v>17.999289503135927</v>
      </c>
      <c r="AK9" s="156">
        <f t="shared" si="10"/>
        <v>11.691197326191823</v>
      </c>
      <c r="AM9" s="716">
        <f t="shared" si="11"/>
        <v>1486.8959986827599</v>
      </c>
      <c r="AN9" s="716" t="str">
        <f>_xlfn.XLOOKUP(D9,RUC!$B$3:$B$578,RUC!$M$3:$M$578)</f>
        <v>Evelyn</v>
      </c>
      <c r="AO9" s="1167" t="s">
        <v>2277</v>
      </c>
      <c r="AP9" s="1843">
        <v>294</v>
      </c>
      <c r="AQ9" s="1866" t="s">
        <v>3218</v>
      </c>
      <c r="AV9" s="1556" t="s">
        <v>2277</v>
      </c>
      <c r="AW9" s="1227">
        <f t="shared" ref="AW9:AW18" si="14">SUMIF($AO$4:$AO$158,AV9,$K$4:$K$158)</f>
        <v>150.09699999999998</v>
      </c>
      <c r="AX9" s="1227" cm="1">
        <f t="array" ref="AX9">+SUMPRODUCT(IF($AO$4:$AO$158=AV9,$L$4:$L$158*$K$4:$K$158/AW9))</f>
        <v>0.34925177718408762</v>
      </c>
      <c r="AY9" s="1228">
        <f t="shared" ref="AY9:AY18" si="15">31.1035*1.1023*AX9*(100-AZ9)/100</f>
        <v>0.68299402183755675</v>
      </c>
      <c r="AZ9" s="1229" cm="1">
        <f t="array" ref="AZ9">+SUMPRODUCT(IF($AO$4:$AO$158=AV9,($Q$4:$Q$158*$AH$4:$AH$158)/SUMIF($AO$4:$AO$158,$AV9,$AH$4:$AH$158)))</f>
        <v>94.296135389230727</v>
      </c>
      <c r="BA9" s="1441">
        <f t="shared" ref="BA9:BA18" si="16">+AX9*31.1035*1.1023*AW9</f>
        <v>1797.2964067589539</v>
      </c>
      <c r="BB9" s="1230">
        <f t="shared" ref="BB9:BB17" ca="1" si="17">SUMIF($AO$4:$AO$148,$AV9,$AH$4:$AH$4)</f>
        <v>1693.3400000000004</v>
      </c>
      <c r="BC9" s="1229">
        <f ca="1">+BA9-BB9</f>
        <v>103.95640675895356</v>
      </c>
      <c r="BD9" s="1231">
        <f>+AW9</f>
        <v>150.09699999999998</v>
      </c>
    </row>
    <row r="10" spans="1:56" ht="15" customHeight="1">
      <c r="A10" s="747" t="s">
        <v>5512</v>
      </c>
      <c r="B10" s="1447">
        <v>46152</v>
      </c>
      <c r="C10" s="1447">
        <v>46146</v>
      </c>
      <c r="D10" t="s">
        <v>93</v>
      </c>
      <c r="E10" s="762">
        <f>_xlfn.XLOOKUP(D10,RUC!$B$3:$B$123,RUC!$D$3:$D$123)</f>
        <v>20169040231</v>
      </c>
      <c r="F10" s="629" t="s">
        <v>5535</v>
      </c>
      <c r="G10" s="762">
        <v>33</v>
      </c>
      <c r="H10" s="1082" t="s">
        <v>69</v>
      </c>
      <c r="I10" s="703">
        <v>2.76</v>
      </c>
      <c r="J10" s="596">
        <v>30.17</v>
      </c>
      <c r="K10" s="703">
        <f t="shared" si="0"/>
        <v>1.927</v>
      </c>
      <c r="L10" s="1193">
        <v>2.177</v>
      </c>
      <c r="M10" s="994">
        <f>ROUND(+IF(L10&gt;_xlfn.XLOOKUP(AN10,RUC!M:M,RUC!K:K),L10*_xlfn.XLOOKUP(AN10,RUC!M:M,RUC!I:I),L10-_xlfn.XLOOKUP(AN10,RUC!M:M,RUC!J:J)),3)</f>
        <v>2.0459999999999998</v>
      </c>
      <c r="N10" s="1196">
        <f t="shared" si="12"/>
        <v>2.0459999999999998</v>
      </c>
      <c r="O10" s="645">
        <f t="shared" si="1"/>
        <v>2.0459999999999998</v>
      </c>
      <c r="P10" s="727">
        <v>89</v>
      </c>
      <c r="Q10" s="1572">
        <v>89.39</v>
      </c>
      <c r="R10" s="706">
        <v>4576.8</v>
      </c>
      <c r="S10" s="765">
        <f>IF((_xlfn.XLOOKUP(D10,RUC!$B$3:$B$119,RUC!$E$3:$E$119)+ROUNDDOWN(O10,1)*100)&lt;95,95,((_xlfn.XLOOKUP(D10,RUC!$B$3:$B$119,RUC!$E$3:$E$119)+ROUNDDOWN(O10,1)*100)))</f>
        <v>285</v>
      </c>
      <c r="U10" s="1146">
        <f>_xlfn.XLOOKUP(D10,RUC!$B$3:$B$123,RUC!$F$3:$F$123)</f>
        <v>120</v>
      </c>
      <c r="V10" s="715">
        <v>1.1023000000000001</v>
      </c>
      <c r="Y10">
        <f>_xlfn.XLOOKUP(D10,RUC!$B$3:$B$123,RUC!$G$3:$G$123)</f>
        <v>20</v>
      </c>
      <c r="Z10" s="1454">
        <v>40</v>
      </c>
      <c r="AA10" s="144">
        <f t="shared" si="2"/>
        <v>60</v>
      </c>
      <c r="AB10" s="145">
        <f t="shared" si="3"/>
        <v>8565.4942316016004</v>
      </c>
      <c r="AC10" s="145">
        <f>+(S10-T10)*V10-'data 1'!$F$4</f>
        <v>234.15550000000002</v>
      </c>
      <c r="AD10" s="145">
        <f t="shared" si="4"/>
        <v>41.710556952792068</v>
      </c>
      <c r="AE10" s="145">
        <f t="shared" si="5"/>
        <v>-3.8620000000000019</v>
      </c>
      <c r="AF10" s="145">
        <f t="shared" si="6"/>
        <v>575.28517940157712</v>
      </c>
      <c r="AG10" s="772">
        <f t="shared" si="7"/>
        <v>864.28923635436922</v>
      </c>
      <c r="AH10" s="1253">
        <f t="shared" si="8"/>
        <v>128.57</v>
      </c>
      <c r="AI10" s="1253">
        <f t="shared" si="9"/>
        <v>143.83000000000001</v>
      </c>
      <c r="AJ10" s="156">
        <f t="shared" si="13"/>
        <v>92.668241233007635</v>
      </c>
      <c r="AK10" s="156">
        <f t="shared" si="10"/>
        <v>120.305759711883</v>
      </c>
      <c r="AM10" s="716">
        <f t="shared" si="11"/>
        <v>16505.707384296285</v>
      </c>
      <c r="AN10" s="716" t="str">
        <f>_xlfn.XLOOKUP(D10,RUC!$B$3:$B$578,RUC!$M$3:$M$578)</f>
        <v>Ronald Miranda</v>
      </c>
      <c r="AO10" s="1167" t="s">
        <v>2277</v>
      </c>
      <c r="AP10" s="1843">
        <v>6587</v>
      </c>
      <c r="AQ10" s="1866" t="s">
        <v>2966</v>
      </c>
      <c r="AV10" s="1557" t="s">
        <v>2278</v>
      </c>
      <c r="AW10" s="703">
        <f t="shared" si="14"/>
        <v>118.001</v>
      </c>
      <c r="AX10" s="703" cm="1">
        <f t="array" ref="AX10">+SUMPRODUCT(IF($AO$4:$AO$158=AV10,$L$4:$L$158*$K$4:$K$158/AW10))</f>
        <v>0.33230686180625585</v>
      </c>
      <c r="AY10" s="1215">
        <f t="shared" si="15"/>
        <v>0.52816683585654933</v>
      </c>
      <c r="AZ10" s="596" cm="1">
        <f t="array" ref="AZ10">+SUMPRODUCT(IF($AO$4:$AO$158=AV10,($Q$4:$Q$158*$AH$4:$AH$158)/SUMIF($AO$4:$AO$158,$AV10,$AH$4:$AH$158)))</f>
        <v>95.364220725390226</v>
      </c>
      <c r="BA10" s="1481">
        <f t="shared" si="16"/>
        <v>1344.417218896923</v>
      </c>
      <c r="BB10" s="1237">
        <f t="shared" ca="1" si="17"/>
        <v>1281.076</v>
      </c>
      <c r="BC10" s="596">
        <f t="shared" ref="BC10:BC18" ca="1" si="18">+BC9+BA10-BB10</f>
        <v>167.29762565587657</v>
      </c>
      <c r="BD10" s="1238">
        <f t="shared" ref="BD10:BD18" si="19">+BD9+AW10</f>
        <v>268.09799999999996</v>
      </c>
    </row>
    <row r="11" spans="1:56" ht="15" customHeight="1">
      <c r="A11" s="747" t="s">
        <v>5513</v>
      </c>
      <c r="B11" s="1447">
        <v>46156</v>
      </c>
      <c r="C11" s="1447">
        <v>46146</v>
      </c>
      <c r="D11" t="s">
        <v>1967</v>
      </c>
      <c r="E11" s="762">
        <f>_xlfn.XLOOKUP(D11,RUC!$B$3:$B$123,RUC!$D$3:$D$123)</f>
        <v>20601769396</v>
      </c>
      <c r="F11" s="629" t="s">
        <v>5531</v>
      </c>
      <c r="G11" s="762">
        <v>34</v>
      </c>
      <c r="H11" s="1082" t="s">
        <v>2005</v>
      </c>
      <c r="I11" s="703">
        <v>3.22</v>
      </c>
      <c r="J11" s="596">
        <v>7.65</v>
      </c>
      <c r="K11" s="703">
        <f t="shared" si="0"/>
        <v>2.9740000000000002</v>
      </c>
      <c r="L11" s="1193">
        <v>0.29399999999999998</v>
      </c>
      <c r="M11" s="1443">
        <v>0.28999999999999998</v>
      </c>
      <c r="N11" s="1196">
        <f t="shared" si="12"/>
        <v>0.28999999999999998</v>
      </c>
      <c r="O11" s="645">
        <f t="shared" si="1"/>
        <v>0.28999999999999998</v>
      </c>
      <c r="P11" s="727">
        <v>90</v>
      </c>
      <c r="Q11" s="1476">
        <v>92.88</v>
      </c>
      <c r="R11" s="706">
        <v>4576.8</v>
      </c>
      <c r="S11" s="765">
        <f>IF((_xlfn.XLOOKUP(D11,RUC!$B$3:$B$119,RUC!$E$3:$E$119)+ROUNDDOWN(O11,1)*100)&lt;95,95,((_xlfn.XLOOKUP(D11,RUC!$B$3:$B$119,RUC!$E$3:$E$119)+ROUNDDOWN(O11,1)*100)))</f>
        <v>110</v>
      </c>
      <c r="U11" s="1146">
        <f>_xlfn.XLOOKUP(D11,RUC!$B$3:$B$123,RUC!$F$3:$F$123)</f>
        <v>120</v>
      </c>
      <c r="V11" s="715">
        <v>1.1023000000000001</v>
      </c>
      <c r="Y11" s="891">
        <v>30</v>
      </c>
      <c r="Z11" s="143">
        <f>_xlfn.XLOOKUP(D11,RUC!$B$3:$B$123,RUC!$H$3:$H$123)</f>
        <v>30</v>
      </c>
      <c r="AA11" s="144">
        <f t="shared" si="2"/>
        <v>60</v>
      </c>
      <c r="AB11" s="145">
        <f t="shared" si="3"/>
        <v>1094.8316970400001</v>
      </c>
      <c r="AC11" s="145">
        <f>+(S11-T11)*V11-'data 1'!$F$4</f>
        <v>41.253</v>
      </c>
      <c r="AD11" s="145">
        <f t="shared" si="4"/>
        <v>41.597072875007932</v>
      </c>
      <c r="AE11" s="145">
        <f t="shared" si="5"/>
        <v>-3.8619999999999948</v>
      </c>
      <c r="AF11" s="145">
        <f t="shared" si="6"/>
        <v>18.251776873728016</v>
      </c>
      <c r="AG11" s="772">
        <f t="shared" si="7"/>
        <v>114.23984974873594</v>
      </c>
      <c r="AH11" s="1253">
        <f t="shared" si="8"/>
        <v>27.843</v>
      </c>
      <c r="AI11" s="1253">
        <f t="shared" si="9"/>
        <v>29.978000000000002</v>
      </c>
      <c r="AJ11" s="156">
        <f t="shared" si="13"/>
        <v>13.003285300991944</v>
      </c>
      <c r="AK11" s="156">
        <f t="shared" si="10"/>
        <v>26.612798199842704</v>
      </c>
      <c r="AM11" s="716">
        <f t="shared" si="11"/>
        <v>3256.0294669969608</v>
      </c>
      <c r="AN11" s="716" t="str">
        <f>_xlfn.XLOOKUP(D11,RUC!$B$3:$B$578,RUC!$M$3:$M$578)</f>
        <v>Evelyn</v>
      </c>
      <c r="AO11" s="1167" t="s">
        <v>2277</v>
      </c>
      <c r="AP11" s="1843">
        <v>296</v>
      </c>
      <c r="AQ11" s="1866" t="s">
        <v>3754</v>
      </c>
      <c r="AV11" s="1557" t="s">
        <v>2280</v>
      </c>
      <c r="AW11" s="703">
        <f t="shared" si="14"/>
        <v>109.29100000000001</v>
      </c>
      <c r="AX11" s="703" cm="1">
        <f t="array" ref="AX11">+SUMPRODUCT(IF($AO$4:$AO$158=AV11,$L$4:$L$158*$K$4:$K$158/AW11))</f>
        <v>0.34366387900193052</v>
      </c>
      <c r="AY11" s="1215">
        <f t="shared" si="15"/>
        <v>0.62837004702407617</v>
      </c>
      <c r="AZ11" s="596" cm="1">
        <f t="array" ref="AZ11">+SUMPRODUCT(IF($AO$4:$AO$158=AV11,($Q$4:$Q$158*$AH$4:$AH$158)/SUMIF($AO$4:$AO$158,$AV11,$AH$4:$AH$158)))</f>
        <v>94.666988526884836</v>
      </c>
      <c r="BA11" s="1237">
        <f t="shared" si="16"/>
        <v>1287.7375410781403</v>
      </c>
      <c r="BB11" s="1237">
        <f t="shared" ca="1" si="17"/>
        <v>1218.0650000000001</v>
      </c>
      <c r="BC11" s="596">
        <f t="shared" ca="1" si="18"/>
        <v>236.97016673401686</v>
      </c>
      <c r="BD11" s="1238">
        <f t="shared" si="19"/>
        <v>377.38899999999995</v>
      </c>
    </row>
    <row r="12" spans="1:56" ht="15" customHeight="1">
      <c r="A12" s="747" t="s">
        <v>5514</v>
      </c>
      <c r="B12" s="1447">
        <v>46156</v>
      </c>
      <c r="C12" s="1447">
        <v>46146</v>
      </c>
      <c r="D12" t="s">
        <v>1967</v>
      </c>
      <c r="E12" s="762">
        <f>_xlfn.XLOOKUP(D12,RUC!$B$3:$B$123,RUC!$D$3:$D$123)</f>
        <v>20601769396</v>
      </c>
      <c r="F12" s="629" t="s">
        <v>5531</v>
      </c>
      <c r="G12" s="762">
        <v>33</v>
      </c>
      <c r="H12" s="1082" t="s">
        <v>2005</v>
      </c>
      <c r="I12" s="703">
        <v>2.92</v>
      </c>
      <c r="J12" s="596">
        <v>10</v>
      </c>
      <c r="K12" s="703">
        <f t="shared" si="0"/>
        <v>2.6280000000000001</v>
      </c>
      <c r="L12" s="1193">
        <v>0.33400000000000002</v>
      </c>
      <c r="M12" s="1443">
        <v>0.33</v>
      </c>
      <c r="N12" s="1196">
        <f t="shared" si="12"/>
        <v>0.33</v>
      </c>
      <c r="O12" s="645">
        <f t="shared" si="1"/>
        <v>0.33</v>
      </c>
      <c r="P12" s="727">
        <v>90</v>
      </c>
      <c r="Q12" s="1476">
        <v>93.16</v>
      </c>
      <c r="R12" s="706">
        <v>4576.8</v>
      </c>
      <c r="S12" s="765">
        <f>IF((_xlfn.XLOOKUP(D12,RUC!$B$3:$B$119,RUC!$E$3:$E$119)+ROUNDDOWN(O12,1)*100)&lt;95,95,((_xlfn.XLOOKUP(D12,RUC!$B$3:$B$119,RUC!$E$3:$E$119)+ROUNDDOWN(O12,1)*100)))</f>
        <v>120</v>
      </c>
      <c r="U12" s="1146">
        <f>_xlfn.XLOOKUP(D12,RUC!$B$3:$B$123,RUC!$F$3:$F$123)</f>
        <v>120</v>
      </c>
      <c r="V12" s="715">
        <v>1.1023000000000001</v>
      </c>
      <c r="Y12" s="891">
        <v>30</v>
      </c>
      <c r="Z12" s="143">
        <f>_xlfn.XLOOKUP(D12,RUC!$B$3:$B$123,RUC!$H$3:$H$123)</f>
        <v>30</v>
      </c>
      <c r="AA12" s="144">
        <f t="shared" si="2"/>
        <v>60</v>
      </c>
      <c r="AB12" s="145">
        <f t="shared" si="3"/>
        <v>1260.6670000800002</v>
      </c>
      <c r="AC12" s="145">
        <f>+(S12-T12)*V12-'data 1'!$F$4</f>
        <v>52.27600000000001</v>
      </c>
      <c r="AD12" s="145">
        <f t="shared" si="4"/>
        <v>51.850924266815944</v>
      </c>
      <c r="AE12" s="145">
        <f t="shared" si="5"/>
        <v>-3.8619999999999948</v>
      </c>
      <c r="AF12" s="145">
        <f t="shared" si="6"/>
        <v>18.306799456896016</v>
      </c>
      <c r="AG12" s="772">
        <f t="shared" si="7"/>
        <v>135.57172372371198</v>
      </c>
      <c r="AH12" s="1253">
        <f t="shared" si="8"/>
        <v>28.036000000000001</v>
      </c>
      <c r="AI12" s="1253">
        <f t="shared" si="9"/>
        <v>30.094000000000001</v>
      </c>
      <c r="AJ12" s="156">
        <f t="shared" si="13"/>
        <v>14.816973389183937</v>
      </c>
      <c r="AK12" s="156">
        <f t="shared" si="10"/>
        <v>26.760293939233801</v>
      </c>
      <c r="AM12" s="716">
        <f t="shared" si="11"/>
        <v>3313.0328762102408</v>
      </c>
      <c r="AN12" s="716" t="str">
        <f>_xlfn.XLOOKUP(D12,RUC!$B$3:$B$578,RUC!$M$3:$M$578)</f>
        <v>Evelyn</v>
      </c>
      <c r="AO12" s="1167" t="s">
        <v>2277</v>
      </c>
      <c r="AP12" s="1843">
        <v>296</v>
      </c>
      <c r="AQ12" s="1866" t="s">
        <v>3754</v>
      </c>
      <c r="AV12" s="1557" t="s">
        <v>2279</v>
      </c>
      <c r="AW12" s="703">
        <f t="shared" si="14"/>
        <v>105.97099999999999</v>
      </c>
      <c r="AX12" s="703" cm="1">
        <f t="array" ref="AX12">+SUMPRODUCT(IF($AO$4:$AO$158=AV12,$L$4:$L$158*$K$4:$K$158/AW12))</f>
        <v>0.30452199186569917</v>
      </c>
      <c r="AY12" s="1215">
        <f t="shared" si="15"/>
        <v>0.59259467821633416</v>
      </c>
      <c r="AZ12" s="596" cm="1">
        <f t="array" ref="AZ12">+SUMPRODUCT(IF($AO$4:$AO$158=AV12,($Q$4:$Q$158*$AH$4:$AH$158)/SUMIF($AO$4:$AO$158,$AV12,$AH$4:$AH$158)))</f>
        <v>94.324161678893205</v>
      </c>
      <c r="BA12" s="1237">
        <f t="shared" si="16"/>
        <v>1106.4066150675253</v>
      </c>
      <c r="BB12" s="1237">
        <f t="shared" ca="1" si="17"/>
        <v>1039.5419999999999</v>
      </c>
      <c r="BC12" s="596">
        <f t="shared" ca="1" si="18"/>
        <v>303.83478180154225</v>
      </c>
      <c r="BD12" s="1238">
        <f t="shared" si="19"/>
        <v>483.35999999999996</v>
      </c>
    </row>
    <row r="13" spans="1:56" ht="15" customHeight="1">
      <c r="A13" s="747" t="s">
        <v>5515</v>
      </c>
      <c r="B13" s="1447">
        <v>46156</v>
      </c>
      <c r="C13" s="1447">
        <v>46146</v>
      </c>
      <c r="D13" t="s">
        <v>1967</v>
      </c>
      <c r="E13" s="762">
        <f>_xlfn.XLOOKUP(D13,RUC!$B$3:$B$123,RUC!$D$3:$D$123)</f>
        <v>20601769396</v>
      </c>
      <c r="F13" s="629" t="s">
        <v>5531</v>
      </c>
      <c r="G13" s="762">
        <v>33</v>
      </c>
      <c r="H13" s="1082" t="s">
        <v>2005</v>
      </c>
      <c r="I13" s="703">
        <v>3.06</v>
      </c>
      <c r="J13" s="596">
        <v>5.6</v>
      </c>
      <c r="K13" s="703">
        <f t="shared" si="0"/>
        <v>2.8889999999999998</v>
      </c>
      <c r="L13" s="1193">
        <v>0.24099999999999999</v>
      </c>
      <c r="M13" s="994">
        <f>ROUND(+IF(L13&gt;_xlfn.XLOOKUP(AN13,RUC!M:M,RUC!K:K),L13*_xlfn.XLOOKUP(AN13,RUC!M:M,RUC!I:I),L13-_xlfn.XLOOKUP(AN13,RUC!M:M,RUC!J:J)),3)-0.005</f>
        <v>0.217</v>
      </c>
      <c r="N13" s="1196">
        <f t="shared" si="12"/>
        <v>0.217</v>
      </c>
      <c r="O13" s="645">
        <f t="shared" si="1"/>
        <v>0.217</v>
      </c>
      <c r="P13" s="727">
        <v>87</v>
      </c>
      <c r="Q13" s="1572">
        <v>88.11</v>
      </c>
      <c r="R13" s="706">
        <v>4576.8</v>
      </c>
      <c r="S13" s="765">
        <f>IF((_xlfn.XLOOKUP(D13,RUC!$B$3:$B$119,RUC!$E$3:$E$119)+ROUNDDOWN(O13,1)*100)&lt;95,95,((_xlfn.XLOOKUP(D13,RUC!$B$3:$B$119,RUC!$E$3:$E$119)+ROUNDDOWN(O13,1)*100)))</f>
        <v>110</v>
      </c>
      <c r="U13" s="1146">
        <f>_xlfn.XLOOKUP(D13,RUC!$B$3:$B$123,RUC!$F$3:$F$123)</f>
        <v>120</v>
      </c>
      <c r="V13" s="715">
        <v>1.1023000000000001</v>
      </c>
      <c r="Y13">
        <f>_xlfn.XLOOKUP(D13,RUC!$B$3:$B$123,RUC!$G$3:$G$123)</f>
        <v>20</v>
      </c>
      <c r="Z13" s="143">
        <f>_xlfn.XLOOKUP(D13,RUC!$B$3:$B$123,RUC!$H$3:$H$123)</f>
        <v>30</v>
      </c>
      <c r="AA13" s="144">
        <f t="shared" si="2"/>
        <v>50</v>
      </c>
      <c r="AB13" s="145">
        <f t="shared" si="3"/>
        <v>751.10641752560014</v>
      </c>
      <c r="AC13" s="145">
        <f>+(S13-T13)*V13-'data 1'!$F$4</f>
        <v>41.253</v>
      </c>
      <c r="AD13" s="145">
        <f t="shared" si="4"/>
        <v>13.142045735063995</v>
      </c>
      <c r="AE13" s="145">
        <f t="shared" si="5"/>
        <v>-14.884999999999998</v>
      </c>
      <c r="AF13" s="145">
        <f t="shared" si="6"/>
        <v>103.88656720569597</v>
      </c>
      <c r="AG13" s="772">
        <f t="shared" si="7"/>
        <v>160.39661294075995</v>
      </c>
      <c r="AH13" s="1253">
        <f t="shared" si="8"/>
        <v>21.033000000000001</v>
      </c>
      <c r="AI13" s="1253">
        <f t="shared" si="9"/>
        <v>23.870999999999999</v>
      </c>
      <c r="AJ13" s="156">
        <f t="shared" si="13"/>
        <v>10.111737761135958</v>
      </c>
      <c r="AK13" s="156">
        <f t="shared" si="10"/>
        <v>18.699741266372996</v>
      </c>
      <c r="AM13" s="716">
        <f t="shared" si="11"/>
        <v>2169.9464402314588</v>
      </c>
      <c r="AN13" s="716" t="str">
        <f>_xlfn.XLOOKUP(D13,RUC!$B$3:$B$578,RUC!$M$3:$M$578)</f>
        <v>Evelyn</v>
      </c>
      <c r="AO13" s="1167" t="s">
        <v>2277</v>
      </c>
      <c r="AP13" s="1843">
        <v>296</v>
      </c>
      <c r="AQ13" s="1866" t="s">
        <v>3754</v>
      </c>
      <c r="AR13" t="s">
        <v>5469</v>
      </c>
      <c r="AV13" s="1557" t="s">
        <v>2281</v>
      </c>
      <c r="AW13" s="703">
        <f t="shared" si="14"/>
        <v>0</v>
      </c>
      <c r="AX13" s="703" cm="1">
        <f t="array" ref="AX13">+SUMPRODUCT(IF($AO$4:$AO$158=AV13,$L$4:$L$158*$K$4:$K$158/AW13))</f>
        <v>0</v>
      </c>
      <c r="AY13" s="1215">
        <f t="shared" si="15"/>
        <v>0</v>
      </c>
      <c r="AZ13" s="596" cm="1">
        <f t="array" ref="AZ13">+SUMPRODUCT(IF($AO$4:$AO$158=AV13,($Q$4:$Q$158*$AH$4:$AH$158)/SUMIF($AO$4:$AO$158,$AV13,$AH$4:$AH$158)))</f>
        <v>0</v>
      </c>
      <c r="BA13" s="1237">
        <f t="shared" si="16"/>
        <v>0</v>
      </c>
      <c r="BB13" s="1237">
        <f t="shared" ca="1" si="17"/>
        <v>0</v>
      </c>
      <c r="BC13" s="596">
        <f t="shared" ca="1" si="18"/>
        <v>303.83478180154225</v>
      </c>
      <c r="BD13" s="1238">
        <f t="shared" si="19"/>
        <v>483.35999999999996</v>
      </c>
    </row>
    <row r="14" spans="1:56" ht="15" customHeight="1">
      <c r="A14" s="747" t="s">
        <v>5551</v>
      </c>
      <c r="B14" s="1447">
        <v>46153</v>
      </c>
      <c r="C14" s="1447">
        <v>46147</v>
      </c>
      <c r="D14" t="s">
        <v>1967</v>
      </c>
      <c r="E14" s="762">
        <f>_xlfn.XLOOKUP(D14,RUC!$B$3:$B$123,RUC!$D$3:$D$123)</f>
        <v>20601769396</v>
      </c>
      <c r="F14" s="629" t="s">
        <v>5560</v>
      </c>
      <c r="G14" s="762">
        <v>27</v>
      </c>
      <c r="H14" s="1082" t="s">
        <v>2005</v>
      </c>
      <c r="I14" s="703">
        <v>1.98</v>
      </c>
      <c r="J14" s="596">
        <v>9.65</v>
      </c>
      <c r="K14" s="703">
        <f t="shared" si="0"/>
        <v>1.7889999999999999</v>
      </c>
      <c r="L14" s="1193">
        <v>0.20799999999999999</v>
      </c>
      <c r="M14" s="994">
        <f>ROUND(+IF(L14&gt;_xlfn.XLOOKUP(AN14,RUC!M:M,RUC!K:K),L14*_xlfn.XLOOKUP(AN14,RUC!M:M,RUC!I:I),L14-_xlfn.XLOOKUP(AN14,RUC!M:M,RUC!J:J)),3)</f>
        <v>0.189</v>
      </c>
      <c r="N14" s="1196">
        <f t="shared" si="12"/>
        <v>0.189</v>
      </c>
      <c r="O14" s="645">
        <f t="shared" si="1"/>
        <v>0.189</v>
      </c>
      <c r="P14" s="727">
        <v>85</v>
      </c>
      <c r="Q14" s="1476">
        <v>91.83</v>
      </c>
      <c r="R14" s="706">
        <v>4576.8</v>
      </c>
      <c r="S14" s="765">
        <f>IF((_xlfn.XLOOKUP(D14,RUC!$B$3:$B$119,RUC!$E$3:$E$119)+ROUNDDOWN(O14,1)*100)&lt;95,95,((_xlfn.XLOOKUP(D14,RUC!$B$3:$B$119,RUC!$E$3:$E$119)+ROUNDDOWN(O14,1)*100)))</f>
        <v>100</v>
      </c>
      <c r="U14" s="1146">
        <f>_xlfn.XLOOKUP(D14,RUC!$B$3:$B$123,RUC!$F$3:$F$123)</f>
        <v>120</v>
      </c>
      <c r="V14" s="715">
        <v>1.1023000000000001</v>
      </c>
      <c r="Y14">
        <f>_xlfn.XLOOKUP(D14,RUC!$B$3:$B$123,RUC!$G$3:$G$123)</f>
        <v>20</v>
      </c>
      <c r="Z14" s="143">
        <f>_xlfn.XLOOKUP(D14,RUC!$B$3:$B$123,RUC!$H$3:$H$123)</f>
        <v>30</v>
      </c>
      <c r="AA14" s="144">
        <f t="shared" si="2"/>
        <v>50</v>
      </c>
      <c r="AB14" s="145">
        <f t="shared" si="3"/>
        <v>623.88517731600018</v>
      </c>
      <c r="AC14" s="145">
        <f>+(S14-T14)*V14-'data 1'!$F$4</f>
        <v>30.230000000000004</v>
      </c>
      <c r="AD14" s="145">
        <f t="shared" si="4"/>
        <v>69.79221656409598</v>
      </c>
      <c r="AE14" s="145">
        <f t="shared" si="5"/>
        <v>-14.884999999999998</v>
      </c>
      <c r="AF14" s="145">
        <f t="shared" si="6"/>
        <v>85.715850387527951</v>
      </c>
      <c r="AG14" s="772">
        <f t="shared" si="7"/>
        <v>187.85306695162393</v>
      </c>
      <c r="AH14" s="1253">
        <f t="shared" si="8"/>
        <v>11.715999999999999</v>
      </c>
      <c r="AI14" s="1253">
        <f t="shared" si="9"/>
        <v>12.757999999999999</v>
      </c>
      <c r="AJ14" s="156">
        <f t="shared" si="13"/>
        <v>9.0956025239039633</v>
      </c>
      <c r="AK14" s="156">
        <f t="shared" si="10"/>
        <v>9.8537182389259428</v>
      </c>
      <c r="AM14" s="716">
        <f t="shared" si="11"/>
        <v>1116.1305822183242</v>
      </c>
      <c r="AN14" s="716" t="str">
        <f>_xlfn.XLOOKUP(D14,RUC!$B$3:$B$578,RUC!$M$3:$M$578)</f>
        <v>Evelyn</v>
      </c>
      <c r="AO14" s="1167" t="s">
        <v>2280</v>
      </c>
      <c r="AP14" s="1843">
        <v>298</v>
      </c>
      <c r="AQ14" s="1875" t="s">
        <v>3576</v>
      </c>
      <c r="AV14" s="1557" t="s">
        <v>2297</v>
      </c>
      <c r="AW14" s="703">
        <f t="shared" si="14"/>
        <v>0</v>
      </c>
      <c r="AX14" s="703" cm="1">
        <f t="array" ref="AX14">+SUMPRODUCT(IF($AO$4:$AO$158=AV14,$L$4:$L$158*$K$4:$K$158/AW14))</f>
        <v>0</v>
      </c>
      <c r="AY14" s="1215">
        <f t="shared" si="15"/>
        <v>0</v>
      </c>
      <c r="AZ14" s="596" cm="1">
        <f t="array" ref="AZ14">+SUMPRODUCT(IF('44'!$AO$4:$AO$145=AV14,('44'!$Q$4:$Q$145*'44'!$AH$4:$AH$145)/SUMIF('44'!$AO$4:$AO$145,#REF!,'44'!$AH$4:$AH$145)))</f>
        <v>0</v>
      </c>
      <c r="BA14" s="1237">
        <f t="shared" si="16"/>
        <v>0</v>
      </c>
      <c r="BB14" s="1237">
        <f t="shared" ca="1" si="17"/>
        <v>0</v>
      </c>
      <c r="BC14" s="596">
        <f t="shared" ca="1" si="18"/>
        <v>303.83478180154225</v>
      </c>
      <c r="BD14" s="1238">
        <f t="shared" si="19"/>
        <v>483.35999999999996</v>
      </c>
    </row>
    <row r="15" spans="1:56" ht="15" customHeight="1">
      <c r="A15" s="1491" t="s">
        <v>5552</v>
      </c>
      <c r="B15" s="1541">
        <v>46153</v>
      </c>
      <c r="C15" s="1447">
        <v>46147</v>
      </c>
      <c r="D15" t="s">
        <v>1967</v>
      </c>
      <c r="E15" s="762">
        <f>_xlfn.XLOOKUP(D15,RUC!$B$3:$B$123,RUC!$D$3:$D$123)</f>
        <v>20601769396</v>
      </c>
      <c r="F15" s="629" t="s">
        <v>5560</v>
      </c>
      <c r="G15" s="762">
        <v>25</v>
      </c>
      <c r="H15" s="1082" t="s">
        <v>2005</v>
      </c>
      <c r="I15" s="703">
        <v>1.94</v>
      </c>
      <c r="J15" s="596">
        <v>7.25</v>
      </c>
      <c r="K15" s="703">
        <f t="shared" si="0"/>
        <v>1.7989999999999999</v>
      </c>
      <c r="L15" s="1193">
        <v>0.112</v>
      </c>
      <c r="M15" s="994">
        <f>ROUND(+IF(L15&gt;_xlfn.XLOOKUP(AN15,RUC!M:M,RUC!K:K),L15*_xlfn.XLOOKUP(AN15,RUC!M:M,RUC!I:I),L15-_xlfn.XLOOKUP(AN15,RUC!M:M,RUC!J:J)),3)-0.004</f>
        <v>8.8999999999999996E-2</v>
      </c>
      <c r="N15" s="1196">
        <f t="shared" si="12"/>
        <v>8.8999999999999996E-2</v>
      </c>
      <c r="O15" s="645">
        <f t="shared" si="1"/>
        <v>8.8999999999999996E-2</v>
      </c>
      <c r="P15" s="727">
        <v>80</v>
      </c>
      <c r="Q15" s="1572">
        <v>89.29</v>
      </c>
      <c r="R15" s="706">
        <v>4576.8</v>
      </c>
      <c r="S15" s="765">
        <f>IF((_xlfn.XLOOKUP(D15,RUC!$B$3:$B$119,RUC!$E$3:$E$119)+ROUNDDOWN(O15,1)*100)&lt;95,95,((_xlfn.XLOOKUP(D15,RUC!$B$3:$B$119,RUC!$E$3:$E$119)+ROUNDDOWN(O15,1)*100)))</f>
        <v>95</v>
      </c>
      <c r="U15" s="1146">
        <f>_xlfn.XLOOKUP(D15,RUC!$B$3:$B$123,RUC!$F$3:$F$123)</f>
        <v>120</v>
      </c>
      <c r="V15" s="715">
        <v>1.1023000000000001</v>
      </c>
      <c r="Y15">
        <f>_xlfn.XLOOKUP(D15,RUC!$B$3:$B$123,RUC!$G$3:$G$123)</f>
        <v>20</v>
      </c>
      <c r="Z15" s="143">
        <f>_xlfn.XLOOKUP(D15,RUC!$B$3:$B$123,RUC!$H$3:$H$123)</f>
        <v>30</v>
      </c>
      <c r="AA15" s="144">
        <f t="shared" si="2"/>
        <v>50</v>
      </c>
      <c r="AB15" s="145">
        <v>1E-3</v>
      </c>
      <c r="AC15" s="145">
        <f>+(S15-T15)*V15-'data 1'!$F$4</f>
        <v>24.718500000000006</v>
      </c>
      <c r="AD15" s="145">
        <f t="shared" si="4"/>
        <v>51.115979763072033</v>
      </c>
      <c r="AE15" s="145">
        <f t="shared" si="5"/>
        <v>-14.884999999999998</v>
      </c>
      <c r="AF15" s="145">
        <f t="shared" si="6"/>
        <v>100.89127533448806</v>
      </c>
      <c r="AG15" s="772">
        <f>AC15+AD15+AE15+AF15+70-53+189.95</f>
        <v>368.79075509756012</v>
      </c>
      <c r="AH15" s="1253">
        <f t="shared" si="8"/>
        <v>6.1680000000000001</v>
      </c>
      <c r="AI15" s="1253">
        <f t="shared" si="9"/>
        <v>6.9080000000000004</v>
      </c>
      <c r="AJ15" s="156">
        <f t="shared" si="13"/>
        <v>4.7621645729279809</v>
      </c>
      <c r="AK15" s="156">
        <f t="shared" si="10"/>
        <v>4.3915742128588393</v>
      </c>
      <c r="AM15" s="716">
        <f t="shared" si="11"/>
        <v>1.799E-3</v>
      </c>
      <c r="AN15" s="716" t="str">
        <f>_xlfn.XLOOKUP(D15,RUC!$B$3:$B$578,RUC!$M$3:$M$578)</f>
        <v>Evelyn</v>
      </c>
      <c r="AO15" s="1167" t="s">
        <v>2280</v>
      </c>
      <c r="AP15" s="1843">
        <v>298</v>
      </c>
      <c r="AQ15" s="1875" t="s">
        <v>3576</v>
      </c>
      <c r="AV15" s="1557" t="s">
        <v>2518</v>
      </c>
      <c r="AW15" s="703">
        <f t="shared" si="14"/>
        <v>0</v>
      </c>
      <c r="AX15" s="703" cm="1">
        <f t="array" ref="AX15">+SUMPRODUCT(IF($AO$4:$AO$158=AV15,$L$4:$L$158*$K$4:$K$158/AW15))</f>
        <v>0</v>
      </c>
      <c r="AY15" s="1215">
        <f t="shared" si="15"/>
        <v>0</v>
      </c>
      <c r="AZ15" s="596" cm="1">
        <f t="array" ref="AZ15">+SUMPRODUCT(IF('44'!$AO$4:$AO$145=AV15,('44'!$Q$4:$Q$145*'44'!$AH$4:$AH$145)/SUMIF('44'!$AO$4:$AO$145,#REF!,'44'!$AH$4:$AH$145)))</f>
        <v>0</v>
      </c>
      <c r="BA15" s="1237">
        <f t="shared" si="16"/>
        <v>0</v>
      </c>
      <c r="BB15" s="1237">
        <f t="shared" ca="1" si="17"/>
        <v>0</v>
      </c>
      <c r="BC15" s="596">
        <f t="shared" ca="1" si="18"/>
        <v>303.83478180154225</v>
      </c>
      <c r="BD15" s="1238">
        <f t="shared" si="19"/>
        <v>483.35999999999996</v>
      </c>
    </row>
    <row r="16" spans="1:56" ht="15" customHeight="1">
      <c r="A16" s="747" t="s">
        <v>5553</v>
      </c>
      <c r="B16" s="1447">
        <v>46153</v>
      </c>
      <c r="C16" s="1447">
        <v>46147</v>
      </c>
      <c r="D16" t="s">
        <v>1967</v>
      </c>
      <c r="E16" s="762">
        <f>_xlfn.XLOOKUP(D16,RUC!$B$3:$B$123,RUC!$D$3:$D$123)</f>
        <v>20601769396</v>
      </c>
      <c r="F16" s="629" t="s">
        <v>5560</v>
      </c>
      <c r="G16" s="762">
        <v>38</v>
      </c>
      <c r="H16" s="1082" t="s">
        <v>2005</v>
      </c>
      <c r="I16" s="703">
        <v>3.1</v>
      </c>
      <c r="J16" s="596">
        <v>5.5</v>
      </c>
      <c r="K16" s="703">
        <f t="shared" si="0"/>
        <v>2.93</v>
      </c>
      <c r="L16" s="1193">
        <v>0.23499999999999999</v>
      </c>
      <c r="M16" s="994">
        <f>ROUND(+IF(L16&gt;_xlfn.XLOOKUP(AN16,RUC!M:M,RUC!K:K),L16*_xlfn.XLOOKUP(AN16,RUC!M:M,RUC!I:I),L16-_xlfn.XLOOKUP(AN16,RUC!M:M,RUC!J:J)),3)</f>
        <v>0.216</v>
      </c>
      <c r="N16" s="1444">
        <v>0.29099999999999998</v>
      </c>
      <c r="O16" s="645">
        <f t="shared" si="1"/>
        <v>0.254</v>
      </c>
      <c r="P16" s="727">
        <v>90</v>
      </c>
      <c r="Q16" s="1476">
        <v>94.47</v>
      </c>
      <c r="R16" s="706">
        <v>4576.8</v>
      </c>
      <c r="S16" s="765">
        <f>IF((_xlfn.XLOOKUP(D16,RUC!$B$3:$B$119,RUC!$E$3:$E$119)+ROUNDDOWN(O16,1)*100)&lt;95,95,((_xlfn.XLOOKUP(D16,RUC!$B$3:$B$119,RUC!$E$3:$E$119)+ROUNDDOWN(O16,1)*100)))</f>
        <v>110</v>
      </c>
      <c r="U16" s="1146">
        <f>_xlfn.XLOOKUP(D16,RUC!$B$3:$B$123,RUC!$F$3:$F$123)</f>
        <v>120</v>
      </c>
      <c r="V16" s="715">
        <v>1.1023000000000001</v>
      </c>
      <c r="Y16">
        <f>_xlfn.XLOOKUP(D16,RUC!$B$3:$B$123,RUC!$G$3:$G$123)</f>
        <v>20</v>
      </c>
      <c r="Z16" s="143">
        <f>_xlfn.XLOOKUP(D16,RUC!$B$3:$B$123,RUC!$H$3:$H$123)</f>
        <v>30</v>
      </c>
      <c r="AA16" s="144">
        <f t="shared" si="2"/>
        <v>50</v>
      </c>
      <c r="AB16" s="145">
        <f>+((O16*P16*(R16-U16)/100)-S16-AA16+T16)*V16</f>
        <v>946.68222430399999</v>
      </c>
      <c r="AC16" s="145">
        <f>+(S16-T16)*V16-'data 1'!$F$4</f>
        <v>41.253</v>
      </c>
      <c r="AD16" s="145">
        <f t="shared" si="4"/>
        <v>51.605779007879988</v>
      </c>
      <c r="AE16" s="145">
        <f t="shared" si="5"/>
        <v>-14.884999999999998</v>
      </c>
      <c r="AF16" s="145">
        <f t="shared" si="6"/>
        <v>-88.180076076552083</v>
      </c>
      <c r="AG16" s="772">
        <f>AC16+AD16+AE16+AF16+70-53</f>
        <v>6.7937029313278998</v>
      </c>
      <c r="AH16" s="1253">
        <f t="shared" si="8"/>
        <v>22.302</v>
      </c>
      <c r="AI16" s="1253">
        <f t="shared" si="9"/>
        <v>23.606999999999999</v>
      </c>
      <c r="AJ16" s="156">
        <f t="shared" si="13"/>
        <v>10.571712207119957</v>
      </c>
      <c r="AK16" s="156">
        <f t="shared" si="10"/>
        <v>22.964284345113906</v>
      </c>
      <c r="AM16" s="716">
        <f t="shared" si="11"/>
        <v>2773.77891721072</v>
      </c>
      <c r="AN16" s="716" t="str">
        <f>_xlfn.XLOOKUP(D16,RUC!$B$3:$B$578,RUC!$M$3:$M$578)</f>
        <v>Evelyn</v>
      </c>
      <c r="AO16" s="1167" t="s">
        <v>2280</v>
      </c>
      <c r="AP16" s="1843">
        <v>298</v>
      </c>
      <c r="AQ16" s="1875" t="s">
        <v>3576</v>
      </c>
      <c r="AV16" s="1557" t="s">
        <v>2519</v>
      </c>
      <c r="AW16" s="703">
        <f t="shared" si="14"/>
        <v>0</v>
      </c>
      <c r="AX16" s="703" cm="1">
        <f t="array" ref="AX16">+SUMPRODUCT(IF($AO$4:$AO$158=AV16,$L$4:$L$158*$K$4:$K$158/AW16))</f>
        <v>0</v>
      </c>
      <c r="AY16" s="1215">
        <f t="shared" si="15"/>
        <v>0</v>
      </c>
      <c r="AZ16" s="596" cm="1">
        <f t="array" ref="AZ16">+SUMPRODUCT(IF('44'!$AO$4:$AO$145=AV16,('44'!$Q$4:$Q$145*'44'!$AH$4:$AH$145)/SUMIF('44'!$AO$4:$AO$145,#REF!,'44'!$AH$4:$AH$145)))</f>
        <v>0</v>
      </c>
      <c r="BA16" s="1237">
        <f t="shared" si="16"/>
        <v>0</v>
      </c>
      <c r="BB16" s="1237">
        <f t="shared" ca="1" si="17"/>
        <v>0</v>
      </c>
      <c r="BC16" s="596">
        <f t="shared" ca="1" si="18"/>
        <v>303.83478180154225</v>
      </c>
      <c r="BD16" s="1238">
        <f t="shared" si="19"/>
        <v>483.35999999999996</v>
      </c>
    </row>
    <row r="17" spans="1:56" ht="15" customHeight="1">
      <c r="A17" s="747" t="s">
        <v>5554</v>
      </c>
      <c r="B17" s="1447">
        <v>46153</v>
      </c>
      <c r="C17" s="1447">
        <v>46147</v>
      </c>
      <c r="D17" t="s">
        <v>1967</v>
      </c>
      <c r="E17" s="762">
        <f>_xlfn.XLOOKUP(D17,RUC!$B$3:$B$123,RUC!$D$3:$D$123)</f>
        <v>20601769396</v>
      </c>
      <c r="F17" s="629" t="s">
        <v>5561</v>
      </c>
      <c r="G17" s="762">
        <v>32</v>
      </c>
      <c r="H17" s="1082" t="s">
        <v>2005</v>
      </c>
      <c r="I17" s="703">
        <v>2.35</v>
      </c>
      <c r="J17" s="596">
        <v>10.5</v>
      </c>
      <c r="K17" s="703">
        <f t="shared" si="0"/>
        <v>2.1030000000000002</v>
      </c>
      <c r="L17" s="1193">
        <v>0.33500000000000002</v>
      </c>
      <c r="M17" s="994">
        <f>ROUND(+IF(L17&gt;_xlfn.XLOOKUP(AN17,RUC!M:M,RUC!K:K),L17*_xlfn.XLOOKUP(AN17,RUC!M:M,RUC!I:I),L17-_xlfn.XLOOKUP(AN17,RUC!M:M,RUC!J:J)),3)</f>
        <v>0.315</v>
      </c>
      <c r="N17" s="1196">
        <f>+M17</f>
        <v>0.315</v>
      </c>
      <c r="O17" s="645">
        <f t="shared" si="1"/>
        <v>0.315</v>
      </c>
      <c r="P17" s="727">
        <v>90</v>
      </c>
      <c r="Q17" s="1476">
        <v>94.03</v>
      </c>
      <c r="R17" s="706">
        <v>4576.8</v>
      </c>
      <c r="S17" s="765">
        <f>IF((_xlfn.XLOOKUP(D17,RUC!$B$3:$B$119,RUC!$E$3:$E$119)+ROUNDDOWN(O17,1)*100)&lt;95,95,((_xlfn.XLOOKUP(D17,RUC!$B$3:$B$119,RUC!$E$3:$E$119)+ROUNDDOWN(O17,1)*100)))</f>
        <v>120</v>
      </c>
      <c r="U17" s="1146">
        <f>_xlfn.XLOOKUP(D17,RUC!$B$3:$B$123,RUC!$F$3:$F$123)</f>
        <v>120</v>
      </c>
      <c r="V17" s="715">
        <v>1.1023000000000001</v>
      </c>
      <c r="Y17">
        <f>_xlfn.XLOOKUP(D17,RUC!$B$3:$B$123,RUC!$G$3:$G$123)</f>
        <v>20</v>
      </c>
      <c r="Z17" s="143">
        <f>_xlfn.XLOOKUP(D17,RUC!$B$3:$B$123,RUC!$H$3:$H$123)</f>
        <v>30</v>
      </c>
      <c r="AA17" s="144">
        <f t="shared" si="2"/>
        <v>50</v>
      </c>
      <c r="AB17" s="145">
        <f>+((O17*P17*(R17-U17)/100)-S17-AA17+T17)*V17</f>
        <v>1205.3681364400004</v>
      </c>
      <c r="AC17" s="145">
        <f>+(S17-T17)*V17-'data 1'!$F$4</f>
        <v>52.27600000000001</v>
      </c>
      <c r="AD17" s="145">
        <f t="shared" si="4"/>
        <v>66.324320005320033</v>
      </c>
      <c r="AE17" s="145">
        <f t="shared" si="5"/>
        <v>-14.884999999999998</v>
      </c>
      <c r="AF17" s="145">
        <f t="shared" si="6"/>
        <v>92.388812415840093</v>
      </c>
      <c r="AG17" s="772">
        <f>AC17+AD17+AE17+AF17+70-53</f>
        <v>213.10413242116016</v>
      </c>
      <c r="AH17" s="1253">
        <f t="shared" si="8"/>
        <v>22.712</v>
      </c>
      <c r="AI17" s="1253">
        <f t="shared" si="9"/>
        <v>24.154</v>
      </c>
      <c r="AJ17" s="156">
        <f t="shared" si="13"/>
        <v>15.000122209679937</v>
      </c>
      <c r="AK17" s="156">
        <f t="shared" si="10"/>
        <v>20.440965498104031</v>
      </c>
      <c r="AM17" s="716">
        <f t="shared" si="11"/>
        <v>2534.8891909333211</v>
      </c>
      <c r="AN17" s="716" t="str">
        <f>_xlfn.XLOOKUP(D17,RUC!$B$3:$B$578,RUC!$M$3:$M$578)</f>
        <v>Evelyn</v>
      </c>
      <c r="AO17" s="1167" t="s">
        <v>2278</v>
      </c>
      <c r="AP17" s="1843">
        <v>298</v>
      </c>
      <c r="AQ17" s="1875" t="s">
        <v>3576</v>
      </c>
      <c r="AV17" s="1557" t="s">
        <v>2520</v>
      </c>
      <c r="AW17" s="703">
        <f t="shared" si="14"/>
        <v>0</v>
      </c>
      <c r="AX17" s="703" cm="1">
        <f t="array" ref="AX17">+SUMPRODUCT(IF($AO$4:$AO$158=AV17,$L$4:$L$158*$K$4:$K$158/AW17))</f>
        <v>0</v>
      </c>
      <c r="AY17" s="1215">
        <f t="shared" si="15"/>
        <v>0</v>
      </c>
      <c r="AZ17" s="596" cm="1">
        <f t="array" ref="AZ17">+SUMPRODUCT(IF('44'!$AO$4:$AO$145=AV17,('44'!$Q$4:$Q$145*'44'!$AH$4:$AH$145)/SUMIF('44'!$AO$4:$AO$145,#REF!,'44'!$AH$4:$AH$145)))</f>
        <v>0</v>
      </c>
      <c r="BA17" s="1237">
        <f t="shared" si="16"/>
        <v>0</v>
      </c>
      <c r="BB17" s="1237">
        <f t="shared" ca="1" si="17"/>
        <v>0</v>
      </c>
      <c r="BC17" s="596">
        <f t="shared" ca="1" si="18"/>
        <v>303.83478180154225</v>
      </c>
      <c r="BD17" s="1238">
        <f t="shared" si="19"/>
        <v>483.35999999999996</v>
      </c>
    </row>
    <row r="18" spans="1:56" ht="15" customHeight="1" thickBot="1">
      <c r="A18" s="747" t="s">
        <v>5567</v>
      </c>
      <c r="B18" s="1447">
        <v>46156</v>
      </c>
      <c r="C18" s="1447">
        <v>46150</v>
      </c>
      <c r="D18" t="s">
        <v>1967</v>
      </c>
      <c r="E18" s="762">
        <f>_xlfn.XLOOKUP(D18,RUC!$B$3:$B$123,RUC!$D$3:$D$123)</f>
        <v>20601769396</v>
      </c>
      <c r="F18" s="629" t="s">
        <v>5586</v>
      </c>
      <c r="G18" s="762">
        <v>17</v>
      </c>
      <c r="H18" s="1082" t="s">
        <v>2005</v>
      </c>
      <c r="I18" s="703">
        <v>1.34</v>
      </c>
      <c r="J18" s="596">
        <v>13.1</v>
      </c>
      <c r="K18" s="703">
        <f t="shared" si="0"/>
        <v>1.1639999999999999</v>
      </c>
      <c r="L18" s="1193">
        <v>0.38500000000000001</v>
      </c>
      <c r="M18" s="994">
        <f>ROUND(+IF(L18&gt;_xlfn.XLOOKUP(AN18,RUC!M:M,RUC!K:K),L18*_xlfn.XLOOKUP(AN18,RUC!M:M,RUC!I:I),L18-_xlfn.XLOOKUP(AN18,RUC!M:M,RUC!J:J)),3)</f>
        <v>0.36199999999999999</v>
      </c>
      <c r="N18" s="1196">
        <f t="shared" ref="N18:N22" si="20">+M18</f>
        <v>0.36199999999999999</v>
      </c>
      <c r="O18" s="645">
        <f t="shared" si="1"/>
        <v>0.36199999999999999</v>
      </c>
      <c r="P18" s="727">
        <v>90</v>
      </c>
      <c r="Q18" s="1476">
        <v>93.51</v>
      </c>
      <c r="R18" s="706">
        <v>4741.3999999999996</v>
      </c>
      <c r="S18" s="765">
        <f>IF((_xlfn.XLOOKUP(D18,RUC!$B$3:$B$119,RUC!$E$3:$E$119)+ROUNDDOWN(O18,1)*100)&lt;95,95,((_xlfn.XLOOKUP(D18,RUC!$B$3:$B$119,RUC!$E$3:$E$119)+ROUNDDOWN(O18,1)*100)))</f>
        <v>120</v>
      </c>
      <c r="U18" s="1146">
        <f>_xlfn.XLOOKUP(D18,RUC!$B$3:$B$123,RUC!$F$3:$F$123)</f>
        <v>120</v>
      </c>
      <c r="V18" s="715">
        <v>1.1023000000000001</v>
      </c>
      <c r="Y18">
        <f>_xlfn.XLOOKUP(D18,RUC!$B$3:$B$123,RUC!$G$3:$G$123)</f>
        <v>20</v>
      </c>
      <c r="Z18" s="143">
        <f>_xlfn.XLOOKUP(D18,RUC!$B$3:$B$123,RUC!$H$3:$H$123)</f>
        <v>30</v>
      </c>
      <c r="AA18" s="144">
        <f t="shared" si="2"/>
        <v>50</v>
      </c>
      <c r="AB18" s="145">
        <f t="shared" ref="AB18:AB22" si="21">+((O18*P18*(R18-U18)/100)-S18-AA18+T18)*V18</f>
        <v>1472.2893318759998</v>
      </c>
      <c r="AC18" s="145">
        <f>+(S18-T18)*V18-'data 1'!$F$4</f>
        <v>52.27600000000001</v>
      </c>
      <c r="AD18" s="145">
        <f t="shared" si="4"/>
        <v>68.8400557544701</v>
      </c>
      <c r="AE18" s="145">
        <f t="shared" si="5"/>
        <v>-14.884999999999998</v>
      </c>
      <c r="AF18" s="145">
        <f t="shared" si="6"/>
        <v>109.5618256653061</v>
      </c>
      <c r="AG18" s="772">
        <f t="shared" ref="AG18:AG22" si="22">AC18+AD18+AE18+AF18+70-53</f>
        <v>232.79288141977622</v>
      </c>
      <c r="AH18" s="1253">
        <f t="shared" si="8"/>
        <v>14.367000000000001</v>
      </c>
      <c r="AI18" s="1253">
        <f t="shared" si="9"/>
        <v>15.365</v>
      </c>
      <c r="AJ18" s="156">
        <f t="shared" si="13"/>
        <v>-48.176725759469861</v>
      </c>
      <c r="AK18" s="156">
        <f t="shared" si="10"/>
        <v>13.002088852667159</v>
      </c>
      <c r="AM18" s="716">
        <f t="shared" si="11"/>
        <v>1713.7447823036637</v>
      </c>
      <c r="AN18" s="716" t="str">
        <f>_xlfn.XLOOKUP(D18,RUC!$B$3:$B$578,RUC!$M$3:$M$578)</f>
        <v>Evelyn</v>
      </c>
      <c r="AO18" s="1167" t="s">
        <v>2278</v>
      </c>
      <c r="AP18" s="1843">
        <v>306</v>
      </c>
      <c r="AQ18" s="1082" t="s">
        <v>5572</v>
      </c>
      <c r="AV18" s="1558" t="s">
        <v>2521</v>
      </c>
      <c r="AW18" s="1254">
        <f t="shared" si="14"/>
        <v>0</v>
      </c>
      <c r="AX18" s="1254" cm="1">
        <f t="array" ref="AX18">+SUMPRODUCT(IF('44'!$AO$4:$AO$145=AV18,'44'!$L$4:$L$145*'44'!$K$4:$K$145/AW18))</f>
        <v>0</v>
      </c>
      <c r="AY18" s="1241">
        <f t="shared" si="15"/>
        <v>0</v>
      </c>
      <c r="AZ18" s="1242" cm="1">
        <f t="array" ref="AZ18">+SUMPRODUCT(IF('44'!$AO$4:$AO$145=AV18,('44'!$Q$4:$Q$145*'44'!$AH$4:$AH$145)/SUMIF('44'!$AO$4:$AO$145,#REF!,'44'!$AH$4:$AH$145)))</f>
        <v>0</v>
      </c>
      <c r="BA18" s="1243">
        <f t="shared" si="16"/>
        <v>0</v>
      </c>
      <c r="BB18" s="1243">
        <f>SUMIF($AO$4:$AO$4,$AV18,$AH$4:$AH$4)</f>
        <v>0</v>
      </c>
      <c r="BC18" s="1242">
        <f t="shared" ca="1" si="18"/>
        <v>303.83478180154225</v>
      </c>
      <c r="BD18" s="1436">
        <f t="shared" si="19"/>
        <v>483.35999999999996</v>
      </c>
    </row>
    <row r="19" spans="1:56" ht="15" customHeight="1">
      <c r="A19" s="747" t="s">
        <v>5568</v>
      </c>
      <c r="B19" s="1447">
        <v>46156</v>
      </c>
      <c r="C19" s="1447">
        <v>46150</v>
      </c>
      <c r="D19" t="s">
        <v>1967</v>
      </c>
      <c r="E19" s="762">
        <f>_xlfn.XLOOKUP(D19,RUC!$B$3:$B$123,RUC!$D$3:$D$123)</f>
        <v>20601769396</v>
      </c>
      <c r="F19" s="629" t="s">
        <v>5587</v>
      </c>
      <c r="G19" s="762">
        <v>25</v>
      </c>
      <c r="H19" s="1082" t="s">
        <v>2005</v>
      </c>
      <c r="I19" s="703">
        <v>2.16</v>
      </c>
      <c r="J19" s="596">
        <v>13.7</v>
      </c>
      <c r="K19" s="703">
        <f t="shared" si="0"/>
        <v>1.8640000000000001</v>
      </c>
      <c r="L19" s="1193">
        <v>0.17</v>
      </c>
      <c r="M19" s="994">
        <f>ROUND(+IF(L19&gt;_xlfn.XLOOKUP(AN19,RUC!M:M,RUC!K:K),L19*_xlfn.XLOOKUP(AN19,RUC!M:M,RUC!I:I),L19-_xlfn.XLOOKUP(AN19,RUC!M:M,RUC!J:J)),3)</f>
        <v>0.151</v>
      </c>
      <c r="N19" s="1196">
        <f t="shared" si="20"/>
        <v>0.151</v>
      </c>
      <c r="O19" s="645">
        <f t="shared" si="1"/>
        <v>0.151</v>
      </c>
      <c r="P19" s="727">
        <v>85</v>
      </c>
      <c r="Q19" s="1476">
        <v>95.81</v>
      </c>
      <c r="R19" s="706">
        <v>4741.3999999999996</v>
      </c>
      <c r="S19" s="765">
        <f>IF((_xlfn.XLOOKUP(D19,RUC!$B$3:$B$119,RUC!$E$3:$E$119)+ROUNDDOWN(O19,1)*100)&lt;95,95,((_xlfn.XLOOKUP(D19,RUC!$B$3:$B$119,RUC!$E$3:$E$119)+ROUNDDOWN(O19,1)*100)))</f>
        <v>100</v>
      </c>
      <c r="U19" s="1146">
        <f>_xlfn.XLOOKUP(D19,RUC!$B$3:$B$123,RUC!$F$3:$F$123)</f>
        <v>120</v>
      </c>
      <c r="V19" s="715">
        <v>1.1023000000000001</v>
      </c>
      <c r="Y19">
        <f>_xlfn.XLOOKUP(D19,RUC!$B$3:$B$123,RUC!$G$3:$G$123)</f>
        <v>20</v>
      </c>
      <c r="Z19" s="143">
        <f>_xlfn.XLOOKUP(D19,RUC!$B$3:$B$123,RUC!$H$3:$H$123)</f>
        <v>30</v>
      </c>
      <c r="AA19" s="144">
        <f t="shared" si="2"/>
        <v>50</v>
      </c>
      <c r="AB19" s="145">
        <f t="shared" si="21"/>
        <v>488.4916193869999</v>
      </c>
      <c r="AC19" s="145">
        <f>+(S19-T19)*V19-'data 1'!$F$4</f>
        <v>30.230000000000004</v>
      </c>
      <c r="AD19" s="145">
        <f t="shared" si="4"/>
        <v>93.615547755940042</v>
      </c>
      <c r="AE19" s="145">
        <f t="shared" si="5"/>
        <v>-14.884999999999998</v>
      </c>
      <c r="AF19" s="145">
        <f t="shared" si="6"/>
        <v>92.733747063958091</v>
      </c>
      <c r="AG19" s="772">
        <f t="shared" si="22"/>
        <v>218.69429481989812</v>
      </c>
      <c r="AH19" s="1253">
        <f t="shared" si="8"/>
        <v>10.409000000000001</v>
      </c>
      <c r="AI19" s="1253">
        <f t="shared" si="9"/>
        <v>10.864000000000001</v>
      </c>
      <c r="AJ19" s="156">
        <f t="shared" si="13"/>
        <v>-21.796073095939942</v>
      </c>
      <c r="AK19" s="156">
        <f t="shared" si="10"/>
        <v>8.20258709278942</v>
      </c>
      <c r="AM19" s="716">
        <f t="shared" si="11"/>
        <v>910.54837853736785</v>
      </c>
      <c r="AN19" s="716" t="str">
        <f>_xlfn.XLOOKUP(D19,RUC!$B$3:$B$578,RUC!$M$3:$M$578)</f>
        <v>Evelyn</v>
      </c>
      <c r="AO19" s="1167" t="s">
        <v>2278</v>
      </c>
      <c r="AP19" s="1843">
        <v>306</v>
      </c>
      <c r="AQ19" s="1082" t="s">
        <v>5572</v>
      </c>
      <c r="AV19" s="1637"/>
      <c r="AW19" s="1234"/>
      <c r="AX19" s="1234"/>
      <c r="AY19" s="1235"/>
      <c r="AZ19" s="1236"/>
      <c r="BA19" s="1237"/>
      <c r="BB19" s="1237"/>
      <c r="BC19" s="1236"/>
      <c r="BD19" s="729"/>
    </row>
    <row r="20" spans="1:56" ht="15" customHeight="1">
      <c r="A20" s="747" t="s">
        <v>5569</v>
      </c>
      <c r="B20" s="1447">
        <v>46156</v>
      </c>
      <c r="C20" s="1447">
        <v>46150</v>
      </c>
      <c r="D20" t="s">
        <v>1967</v>
      </c>
      <c r="E20" s="762">
        <f>_xlfn.XLOOKUP(D20,RUC!$B$3:$B$123,RUC!$D$3:$D$123)</f>
        <v>20601769396</v>
      </c>
      <c r="F20" s="629" t="s">
        <v>5587</v>
      </c>
      <c r="G20" s="762">
        <v>25</v>
      </c>
      <c r="H20" s="1082" t="s">
        <v>2005</v>
      </c>
      <c r="I20" s="703">
        <v>2.17</v>
      </c>
      <c r="J20" s="596">
        <v>13.2</v>
      </c>
      <c r="K20" s="703">
        <f t="shared" si="0"/>
        <v>1.8839999999999999</v>
      </c>
      <c r="L20" s="1193">
        <v>0.151</v>
      </c>
      <c r="M20" s="994">
        <f>ROUND(+IF(L20&gt;_xlfn.XLOOKUP(AN20,RUC!M:M,RUC!K:K),L20*_xlfn.XLOOKUP(AN20,RUC!M:M,RUC!I:I),L20-_xlfn.XLOOKUP(AN20,RUC!M:M,RUC!J:J)),3)</f>
        <v>0.13200000000000001</v>
      </c>
      <c r="N20" s="1196">
        <f t="shared" si="20"/>
        <v>0.13200000000000001</v>
      </c>
      <c r="O20" s="645">
        <f t="shared" si="1"/>
        <v>0.13200000000000001</v>
      </c>
      <c r="P20" s="727">
        <v>80</v>
      </c>
      <c r="Q20" s="1476">
        <v>95.36</v>
      </c>
      <c r="R20" s="706">
        <v>4741.3999999999996</v>
      </c>
      <c r="S20" s="765">
        <f>IF((_xlfn.XLOOKUP(D20,RUC!$B$3:$B$119,RUC!$E$3:$E$119)+ROUNDDOWN(O20,1)*100)&lt;95,95,((_xlfn.XLOOKUP(D20,RUC!$B$3:$B$119,RUC!$E$3:$E$119)+ROUNDDOWN(O20,1)*100)))</f>
        <v>100</v>
      </c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3">
        <f>_xlfn.XLOOKUP(D20,RUC!$B$3:$B$123,RUC!$H$3:$H$123)</f>
        <v>30</v>
      </c>
      <c r="AA20" s="144">
        <f t="shared" si="2"/>
        <v>50</v>
      </c>
      <c r="AB20" s="145">
        <f t="shared" si="21"/>
        <v>372.59926963200002</v>
      </c>
      <c r="AC20" s="145">
        <f>+(S20-T20)*V20-'data 1'!$F$4</f>
        <v>30.230000000000004</v>
      </c>
      <c r="AD20" s="145">
        <f t="shared" si="4"/>
        <v>118.152123220992</v>
      </c>
      <c r="AE20" s="145">
        <f t="shared" si="5"/>
        <v>-14.884999999999998</v>
      </c>
      <c r="AF20" s="145">
        <f t="shared" si="6"/>
        <v>92.298195595647954</v>
      </c>
      <c r="AG20" s="772">
        <f t="shared" si="22"/>
        <v>242.79531881663996</v>
      </c>
      <c r="AH20" s="1253">
        <f t="shared" si="8"/>
        <v>9.3010000000000002</v>
      </c>
      <c r="AI20" s="1253">
        <f t="shared" si="9"/>
        <v>9.7539999999999996</v>
      </c>
      <c r="AJ20" s="156">
        <f t="shared" si="13"/>
        <v>-19.269111236991943</v>
      </c>
      <c r="AK20" s="156">
        <f t="shared" si="10"/>
        <v>6.8210916667027206</v>
      </c>
      <c r="AM20" s="716">
        <f t="shared" si="11"/>
        <v>701.97702398668798</v>
      </c>
      <c r="AN20" s="716" t="str">
        <f>_xlfn.XLOOKUP(D20,RUC!$B$3:$B$578,RUC!$M$3:$M$578)</f>
        <v>Evelyn</v>
      </c>
      <c r="AO20" s="1167" t="s">
        <v>2278</v>
      </c>
      <c r="AP20" s="1843">
        <v>306</v>
      </c>
      <c r="AQ20" s="1082" t="s">
        <v>5572</v>
      </c>
    </row>
    <row r="21" spans="1:56" ht="15" customHeight="1">
      <c r="A21" s="747" t="s">
        <v>5570</v>
      </c>
      <c r="B21" s="1447">
        <v>46156</v>
      </c>
      <c r="C21" s="1447">
        <v>46150</v>
      </c>
      <c r="D21" t="s">
        <v>1967</v>
      </c>
      <c r="E21" s="762">
        <f>_xlfn.XLOOKUP(D21,RUC!$B$3:$B$123,RUC!$D$3:$D$123)</f>
        <v>20601769396</v>
      </c>
      <c r="F21" s="629" t="s">
        <v>5587</v>
      </c>
      <c r="G21" s="762">
        <v>25</v>
      </c>
      <c r="H21" s="1082" t="s">
        <v>2005</v>
      </c>
      <c r="I21" s="703">
        <v>2.11</v>
      </c>
      <c r="J21" s="596">
        <v>15.3</v>
      </c>
      <c r="K21" s="703">
        <f t="shared" si="0"/>
        <v>1.7869999999999999</v>
      </c>
      <c r="L21" s="1193">
        <v>0.23799999999999999</v>
      </c>
      <c r="M21" s="994">
        <f>ROUND(+IF(L21&gt;_xlfn.XLOOKUP(AN21,RUC!M:M,RUC!K:K),L21*_xlfn.XLOOKUP(AN21,RUC!M:M,RUC!I:I),L21-_xlfn.XLOOKUP(AN21,RUC!M:M,RUC!J:J)),3)</f>
        <v>0.219</v>
      </c>
      <c r="N21" s="1196">
        <f t="shared" si="20"/>
        <v>0.219</v>
      </c>
      <c r="O21" s="645">
        <f t="shared" si="1"/>
        <v>0.219</v>
      </c>
      <c r="P21" s="727">
        <v>90</v>
      </c>
      <c r="Q21" s="1476">
        <v>94.78</v>
      </c>
      <c r="R21" s="706">
        <v>4741.3999999999996</v>
      </c>
      <c r="S21" s="765">
        <f>IF((_xlfn.XLOOKUP(D21,RUC!$B$3:$B$119,RUC!$E$3:$E$119)+ROUNDDOWN(O21,1)*100)&lt;95,95,((_xlfn.XLOOKUP(D21,RUC!$B$3:$B$119,RUC!$E$3:$E$119)+ROUNDDOWN(O21,1)*100)))</f>
        <v>110</v>
      </c>
      <c r="U21" s="1146">
        <f>_xlfn.XLOOKUP(D21,RUC!$B$3:$B$123,RUC!$F$3:$F$123)</f>
        <v>120</v>
      </c>
      <c r="V21" s="715">
        <v>1.1023000000000001</v>
      </c>
      <c r="Y21">
        <f>_xlfn.XLOOKUP(D21,RUC!$B$3:$B$123,RUC!$G$3:$G$123)</f>
        <v>20</v>
      </c>
      <c r="Z21" s="143">
        <f>_xlfn.XLOOKUP(D21,RUC!$B$3:$B$123,RUC!$H$3:$H$123)</f>
        <v>30</v>
      </c>
      <c r="AA21" s="144">
        <f t="shared" si="2"/>
        <v>50</v>
      </c>
      <c r="AB21" s="145">
        <f t="shared" si="21"/>
        <v>827.692753262</v>
      </c>
      <c r="AC21" s="145">
        <f>+(S21-T21)*V21-'data 1'!$F$4</f>
        <v>41.253</v>
      </c>
      <c r="AD21" s="145">
        <f t="shared" si="4"/>
        <v>57.953306714408015</v>
      </c>
      <c r="AE21" s="145">
        <f t="shared" si="5"/>
        <v>-14.884999999999998</v>
      </c>
      <c r="AF21" s="145">
        <f t="shared" si="6"/>
        <v>91.736818147603955</v>
      </c>
      <c r="AG21" s="772">
        <f t="shared" si="22"/>
        <v>193.05812486201199</v>
      </c>
      <c r="AH21" s="1253">
        <f t="shared" si="8"/>
        <v>13.821</v>
      </c>
      <c r="AI21" s="1253">
        <f t="shared" si="9"/>
        <v>14.582000000000001</v>
      </c>
      <c r="AJ21" s="156">
        <f t="shared" si="13"/>
        <v>-30.186457898407912</v>
      </c>
      <c r="AK21" s="156">
        <f t="shared" si="10"/>
        <v>12.075920522578484</v>
      </c>
      <c r="AM21" s="716">
        <f t="shared" si="11"/>
        <v>1479.0869500791939</v>
      </c>
      <c r="AN21" s="716" t="str">
        <f>_xlfn.XLOOKUP(D21,RUC!$B$3:$B$578,RUC!$M$3:$M$578)</f>
        <v>Evelyn</v>
      </c>
      <c r="AO21" s="1167" t="s">
        <v>2278</v>
      </c>
      <c r="AP21" s="1843">
        <v>306</v>
      </c>
      <c r="AQ21" s="1082" t="s">
        <v>5572</v>
      </c>
    </row>
    <row r="22" spans="1:56" ht="15" customHeight="1">
      <c r="A22" s="747" t="s">
        <v>5571</v>
      </c>
      <c r="B22" s="1447">
        <v>46156</v>
      </c>
      <c r="C22" s="1447">
        <v>46150</v>
      </c>
      <c r="D22" t="s">
        <v>1967</v>
      </c>
      <c r="E22" s="762">
        <f>_xlfn.XLOOKUP(D22,RUC!$B$3:$B$123,RUC!$D$3:$D$123)</f>
        <v>20601769396</v>
      </c>
      <c r="F22" s="629" t="s">
        <v>5587</v>
      </c>
      <c r="G22" s="762">
        <v>25</v>
      </c>
      <c r="H22" s="1082" t="s">
        <v>2005</v>
      </c>
      <c r="I22" s="703">
        <v>2.11</v>
      </c>
      <c r="J22" s="596">
        <v>14.4</v>
      </c>
      <c r="K22" s="703">
        <f t="shared" si="0"/>
        <v>1.806</v>
      </c>
      <c r="L22" s="1193">
        <v>0.153</v>
      </c>
      <c r="M22" s="994">
        <f>ROUND(+IF(L22&gt;_xlfn.XLOOKUP(AN22,RUC!M:M,RUC!K:K),L22*_xlfn.XLOOKUP(AN22,RUC!M:M,RUC!I:I),L22-_xlfn.XLOOKUP(AN22,RUC!M:M,RUC!J:J)),3)</f>
        <v>0.13400000000000001</v>
      </c>
      <c r="N22" s="1196">
        <f t="shared" si="20"/>
        <v>0.13400000000000001</v>
      </c>
      <c r="O22" s="645">
        <f t="shared" si="1"/>
        <v>0.13400000000000001</v>
      </c>
      <c r="P22" s="727">
        <v>80</v>
      </c>
      <c r="Q22" s="1476">
        <v>93.79</v>
      </c>
      <c r="R22" s="706">
        <v>4741.3999999999996</v>
      </c>
      <c r="S22" s="765">
        <f>IF((_xlfn.XLOOKUP(D22,RUC!$B$3:$B$119,RUC!$E$3:$E$119)+ROUNDDOWN(O22,1)*100)&lt;95,95,((_xlfn.XLOOKUP(D22,RUC!$B$3:$B$119,RUC!$E$3:$E$119)+ROUNDDOWN(O22,1)*100)))</f>
        <v>100</v>
      </c>
      <c r="U22" s="1146">
        <f>_xlfn.XLOOKUP(D22,RUC!$B$3:$B$123,RUC!$F$3:$F$123)</f>
        <v>120</v>
      </c>
      <c r="V22" s="715">
        <v>1.1023000000000001</v>
      </c>
      <c r="Y22">
        <f>_xlfn.XLOOKUP(D22,RUC!$B$3:$B$123,RUC!$G$3:$G$123)</f>
        <v>20</v>
      </c>
      <c r="Z22" s="143">
        <f>_xlfn.XLOOKUP(D22,RUC!$B$3:$B$123,RUC!$H$3:$H$123)</f>
        <v>30</v>
      </c>
      <c r="AA22" s="144">
        <f t="shared" si="2"/>
        <v>50</v>
      </c>
      <c r="AB22" s="145">
        <f t="shared" si="21"/>
        <v>380.74994038399996</v>
      </c>
      <c r="AC22" s="145">
        <f>+(S22-T22)*V22-'data 1'!$F$4</f>
        <v>30.230000000000004</v>
      </c>
      <c r="AD22" s="145">
        <f t="shared" si="4"/>
        <v>107.48034812201404</v>
      </c>
      <c r="AE22" s="145">
        <f t="shared" si="5"/>
        <v>-14.884999999999998</v>
      </c>
      <c r="AF22" s="145">
        <f t="shared" si="6"/>
        <v>90.778604917321957</v>
      </c>
      <c r="AG22" s="772">
        <f t="shared" si="22"/>
        <v>230.60395303933603</v>
      </c>
      <c r="AH22" s="1253">
        <f t="shared" si="8"/>
        <v>8.8849999999999998</v>
      </c>
      <c r="AI22" s="1253">
        <f t="shared" si="9"/>
        <v>9.4740000000000002</v>
      </c>
      <c r="AJ22" s="156">
        <f t="shared" si="13"/>
        <v>-19.202884105013947</v>
      </c>
      <c r="AK22" s="156">
        <f t="shared" si="10"/>
        <v>6.6377608397217607</v>
      </c>
      <c r="AM22" s="716">
        <f t="shared" si="11"/>
        <v>687.63439233350391</v>
      </c>
      <c r="AN22" s="716" t="str">
        <f>_xlfn.XLOOKUP(D22,RUC!$B$3:$B$578,RUC!$M$3:$M$578)</f>
        <v>Evelyn</v>
      </c>
      <c r="AO22" s="1167" t="s">
        <v>2278</v>
      </c>
      <c r="AP22" s="1843">
        <v>306</v>
      </c>
      <c r="AQ22" s="1082" t="s">
        <v>5572</v>
      </c>
    </row>
    <row r="23" spans="1:56" ht="15" customHeight="1">
      <c r="A23" s="747" t="s">
        <v>5590</v>
      </c>
      <c r="B23" s="1447">
        <v>46156</v>
      </c>
      <c r="C23" s="1447">
        <v>46151</v>
      </c>
      <c r="D23" t="s">
        <v>3316</v>
      </c>
      <c r="E23" s="762">
        <f>_xlfn.XLOOKUP(D23,RUC!$B$3:$B$123,RUC!$D$3:$D$123)</f>
        <v>20613935151</v>
      </c>
      <c r="G23" s="762">
        <v>89</v>
      </c>
      <c r="H23" s="1082" t="s">
        <v>69</v>
      </c>
      <c r="I23" s="703">
        <v>6.54</v>
      </c>
      <c r="J23" s="596">
        <v>2.35</v>
      </c>
      <c r="K23" s="703">
        <f>ROUND(+I23-(I23*(J23/100)),3)</f>
        <v>6.3860000000000001</v>
      </c>
      <c r="L23" s="1193">
        <v>0.154</v>
      </c>
      <c r="M23" s="994">
        <f>ROUND(+IF(L23&gt;_xlfn.XLOOKUP(AN23,RUC!M:M,RUC!K:K),L23*_xlfn.XLOOKUP(AN23,RUC!M:M,RUC!I:I),L23-_xlfn.XLOOKUP(AN23,RUC!M:M,RUC!J:J)),3)</f>
        <v>0.13500000000000001</v>
      </c>
      <c r="N23" s="1196">
        <f>+M23</f>
        <v>0.13500000000000001</v>
      </c>
      <c r="O23" s="645">
        <f>+ROUND((M23+N23)/2,3)</f>
        <v>0.13500000000000001</v>
      </c>
      <c r="P23" s="727">
        <v>85</v>
      </c>
      <c r="Q23" s="1476">
        <v>94.16</v>
      </c>
      <c r="R23" s="706">
        <v>4741.3999999999996</v>
      </c>
      <c r="S23" s="765">
        <f>IF((_xlfn.XLOOKUP(D23,RUC!$B$3:$B$119,RUC!$E$3:$E$119)+ROUNDDOWN(O23,1)*100)&lt;95,95,((_xlfn.XLOOKUP(D23,RUC!$B$3:$B$119,RUC!$E$3:$E$119)+ROUNDDOWN(O23,1)*100)))</f>
        <v>100</v>
      </c>
      <c r="U23" s="1146">
        <f>_xlfn.XLOOKUP(D23,RUC!$B$3:$B$123,RUC!$F$3:$F$123)</f>
        <v>120</v>
      </c>
      <c r="V23" s="715">
        <v>1.1023000000000001</v>
      </c>
      <c r="Y23">
        <f>_xlfn.XLOOKUP(D23,RUC!$B$3:$B$123,RUC!$G$3:$G$123)</f>
        <v>20</v>
      </c>
      <c r="Z23" s="143">
        <f>_xlfn.XLOOKUP(D23,RUC!$B$3:$B$123,RUC!$H$3:$H$123)</f>
        <v>30</v>
      </c>
      <c r="AA23" s="144">
        <f>+Y23+Z23</f>
        <v>50</v>
      </c>
      <c r="AB23" s="145">
        <f>+((O23*P23*(R23-U23)/100)-S23-AA23+T23)*V23</f>
        <v>419.21091799500005</v>
      </c>
      <c r="AC23" s="145">
        <f>+(S23-T23)*V23-'data 1'!$F$4</f>
        <v>30.230000000000004</v>
      </c>
      <c r="AD23" s="145">
        <f>+(Q23-P23)*(R23-U23)*L23*V23/100</f>
        <v>71.860388685007976</v>
      </c>
      <c r="AE23" s="145">
        <f>+(Y23*V23-70)+V23*(Z23-IF(D23="UNTUCA",IF(+((W23-3)*2.5+(X23-3)*3.1)&gt;0,+((W23-3)*1.5+(X23-3)*3.1),0),IF(+((W23-3)*1.5+(X23-3)*3.1)&gt;0,+((W23-3)*1.5+(X23-3)*3.1),0)))</f>
        <v>-14.884999999999998</v>
      </c>
      <c r="AF23" s="145">
        <f>(L23-O23)*(R23-U23)*Q23*V23/100</f>
        <v>91.136725013487933</v>
      </c>
      <c r="AG23" s="772">
        <f>AC23+AD23+AE23+AF23+70-53</f>
        <v>195.34211369849592</v>
      </c>
      <c r="AH23" s="1253">
        <f>ROUND((31.1035*L23*Q23*1.1023*K23/100),3)</f>
        <v>31.748999999999999</v>
      </c>
      <c r="AI23" s="1253">
        <f>ROUND((31.1035*L23*1.1023*K23),3)</f>
        <v>33.718000000000004</v>
      </c>
      <c r="AJ23" s="156">
        <f>+((+$AJ$2-R23+U23)*L23*Q23*V23)/100</f>
        <v>-19.40464334300794</v>
      </c>
      <c r="AK23" s="156">
        <f>31.1035*1.1023*K23*P23*O23/100</f>
        <v>25.124109508017678</v>
      </c>
      <c r="AM23" s="716">
        <f>+IF(AB23*K23&gt;0,AB23*K23,0)</f>
        <v>2677.0809223160704</v>
      </c>
      <c r="AN23" s="716" t="str">
        <f>_xlfn.XLOOKUP(D23,RUC!$B$3:$B$578,RUC!$M$3:$M$578)</f>
        <v xml:space="preserve">Dante </v>
      </c>
      <c r="AO23" s="1167" t="s">
        <v>2278</v>
      </c>
      <c r="AP23" s="1843">
        <v>235</v>
      </c>
      <c r="AQ23" s="1082" t="s">
        <v>2974</v>
      </c>
    </row>
    <row r="24" spans="1:56" ht="15" customHeight="1">
      <c r="A24" s="747" t="s">
        <v>5592</v>
      </c>
      <c r="B24" s="1447">
        <v>46156</v>
      </c>
      <c r="C24" s="1447">
        <v>46152</v>
      </c>
      <c r="D24" t="s">
        <v>93</v>
      </c>
      <c r="E24" s="762">
        <f>_xlfn.XLOOKUP(D24,RUC!$B$3:$B$123,RUC!$D$3:$D$123)</f>
        <v>20169040231</v>
      </c>
      <c r="F24" s="629" t="s">
        <v>5594</v>
      </c>
      <c r="G24" s="762">
        <v>65</v>
      </c>
      <c r="H24" s="1082" t="s">
        <v>69</v>
      </c>
      <c r="I24" s="703">
        <v>5.89</v>
      </c>
      <c r="J24" s="596">
        <v>2</v>
      </c>
      <c r="K24" s="703">
        <f t="shared" ref="K24:K82" si="23">ROUND(+I24-(I24*(J24/100)),3)</f>
        <v>5.7720000000000002</v>
      </c>
      <c r="L24" s="1193">
        <v>1.339</v>
      </c>
      <c r="M24" s="994">
        <f>ROUND(+IF(L24&gt;_xlfn.XLOOKUP(AN24,RUC!M:M,RUC!K:K),L24*_xlfn.XLOOKUP(AN24,RUC!M:M,RUC!I:I),L24-_xlfn.XLOOKUP(AN24,RUC!M:M,RUC!J:J)),3)</f>
        <v>1.2589999999999999</v>
      </c>
      <c r="N24" s="1196">
        <f>+M24</f>
        <v>1.2589999999999999</v>
      </c>
      <c r="O24" s="645">
        <f t="shared" ref="O24:O82" si="24">+ROUND((M24+N24)/2,3)</f>
        <v>1.2589999999999999</v>
      </c>
      <c r="P24" s="727">
        <v>90</v>
      </c>
      <c r="Q24" s="1476">
        <v>97.01</v>
      </c>
      <c r="R24" s="706">
        <v>4729.1499999999996</v>
      </c>
      <c r="S24" s="765">
        <f>IF((_xlfn.XLOOKUP(D24,RUC!$B$3:$B$119,RUC!$E$3:$E$119)+ROUNDDOWN(O24,1)*100)&lt;95,95,((_xlfn.XLOOKUP(D24,RUC!$B$3:$B$119,RUC!$E$3:$E$119)+ROUNDDOWN(O24,1)*100)))</f>
        <v>205</v>
      </c>
      <c r="U24" s="1146">
        <f>_xlfn.XLOOKUP(D24,RUC!$B$3:$B$123,RUC!$F$3:$F$123)</f>
        <v>120</v>
      </c>
      <c r="V24" s="715">
        <v>1.1023000000000001</v>
      </c>
      <c r="Y24">
        <f>_xlfn.XLOOKUP(D24,RUC!$B$3:$B$123,RUC!$G$3:$G$123)</f>
        <v>20</v>
      </c>
      <c r="Z24" s="1454">
        <v>35</v>
      </c>
      <c r="AA24" s="144">
        <f t="shared" ref="AA24:AA82" si="25">+Y24+Z24</f>
        <v>55</v>
      </c>
      <c r="AB24" s="145">
        <f t="shared" ref="AB24:AB33" si="26">+((O24*P24*(R24-U24)/100)-S24-AA24+T24)*V24</f>
        <v>5470.3046955894997</v>
      </c>
      <c r="AC24" s="145">
        <f>+(S24-T24)*V24-'data 1'!$F$4</f>
        <v>145.97150000000002</v>
      </c>
      <c r="AD24" s="145">
        <f t="shared" ref="AD24:AD82" si="27">+(Q24-P24)*(R24-U24)*L24*V24/100</f>
        <v>476.89112958127583</v>
      </c>
      <c r="AE24" s="145">
        <f t="shared" ref="AE24:AE82" si="28">+(Y24*V24-70)+V24*(Z24-IF(D24="UNTUCA",IF(+((W24-3)*2.5+(X24-3)*3.1)&gt;0,+((W24-3)*1.5+(X24-3)*3.1),0),IF(+((W24-3)*1.5+(X24-3)*3.1)&gt;0,+((W24-3)*1.5+(X24-3)*3.1),0)))</f>
        <v>-9.3734999999999999</v>
      </c>
      <c r="AF24" s="145">
        <f t="shared" ref="AF24:AF82" si="29">(L24-O24)*(R24-U24)*Q24*V24/100</f>
        <v>394.30033042036041</v>
      </c>
      <c r="AG24" s="772">
        <f t="shared" ref="AG24:AG33" si="30">AC24+AD24+AE24+AF24+70-53</f>
        <v>1024.7894600016361</v>
      </c>
      <c r="AH24" s="1253">
        <f t="shared" ref="AH24:AH82" si="31">ROUND((31.1035*L24*Q24*1.1023*K24/100),3)</f>
        <v>257.05900000000003</v>
      </c>
      <c r="AI24" s="1253">
        <f t="shared" ref="AI24:AI82" si="32">ROUND((31.1035*L24*1.1023*K24),3)</f>
        <v>264.98200000000003</v>
      </c>
      <c r="AJ24" s="156">
        <f t="shared" ref="AJ24:AJ82" si="33">+((+$AJ$2-R24+U24)*L24*Q24*V24)/100</f>
        <v>-156.28619904577499</v>
      </c>
      <c r="AK24" s="156">
        <f t="shared" ref="AK24:AK82" si="34">31.1035*1.1023*K24*P24*O24/100</f>
        <v>224.2351189072543</v>
      </c>
      <c r="AM24" s="716">
        <f t="shared" ref="AM24:AM82" si="35">+IF(AB24*K24&gt;0,AB24*K24,0)</f>
        <v>31574.598702942592</v>
      </c>
      <c r="AN24" s="716" t="str">
        <f>_xlfn.XLOOKUP(D24,RUC!$B$3:$B$578,RUC!$M$3:$M$578)</f>
        <v>Ronald Miranda</v>
      </c>
      <c r="AO24" s="1167" t="s">
        <v>2279</v>
      </c>
      <c r="AP24" s="1843">
        <v>6651</v>
      </c>
      <c r="AQ24" s="1082" t="s">
        <v>5599</v>
      </c>
      <c r="BA24" s="1482"/>
    </row>
    <row r="25" spans="1:56" ht="15" customHeight="1" thickBot="1">
      <c r="A25" s="747" t="s">
        <v>5593</v>
      </c>
      <c r="B25" s="1447">
        <v>46156</v>
      </c>
      <c r="C25" s="1447">
        <v>46152</v>
      </c>
      <c r="D25" t="s">
        <v>93</v>
      </c>
      <c r="E25" s="762">
        <f>_xlfn.XLOOKUP(D25,RUC!$B$3:$B$123,RUC!$D$3:$D$123)</f>
        <v>20169040231</v>
      </c>
      <c r="F25" s="629" t="s">
        <v>5595</v>
      </c>
      <c r="G25" s="762">
        <v>147</v>
      </c>
      <c r="H25" s="1082" t="s">
        <v>69</v>
      </c>
      <c r="I25" s="703">
        <v>13.44</v>
      </c>
      <c r="J25" s="596">
        <v>2</v>
      </c>
      <c r="K25" s="703">
        <f t="shared" si="23"/>
        <v>13.170999999999999</v>
      </c>
      <c r="L25" s="1193">
        <v>0.54400000000000004</v>
      </c>
      <c r="M25" s="994">
        <f>ROUND(+IF(L25&gt;_xlfn.XLOOKUP(AN25,RUC!M:M,RUC!K:K),L25*_xlfn.XLOOKUP(AN25,RUC!M:M,RUC!I:I),L25-_xlfn.XLOOKUP(AN25,RUC!M:M,RUC!J:J)),3)</f>
        <v>0.51100000000000001</v>
      </c>
      <c r="N25" s="1444">
        <v>0.57099999999999995</v>
      </c>
      <c r="O25" s="645">
        <f t="shared" si="24"/>
        <v>0.54100000000000004</v>
      </c>
      <c r="P25" s="727">
        <v>90</v>
      </c>
      <c r="Q25" s="1476">
        <v>96.14</v>
      </c>
      <c r="R25" s="706">
        <v>4729.1499999999996</v>
      </c>
      <c r="S25" s="765">
        <f>IF((_xlfn.XLOOKUP(D25,RUC!$B$3:$B$119,RUC!$E$3:$E$119)+ROUNDDOWN(O25,1)*100)&lt;95,95,((_xlfn.XLOOKUP(D25,RUC!$B$3:$B$119,RUC!$E$3:$E$119)+ROUNDDOWN(O25,1)*100)))</f>
        <v>135</v>
      </c>
      <c r="U25" s="1146">
        <f>_xlfn.XLOOKUP(D25,RUC!$B$3:$B$123,RUC!$F$3:$F$123)</f>
        <v>120</v>
      </c>
      <c r="V25" s="715">
        <v>1.1023000000000001</v>
      </c>
      <c r="Y25">
        <f>_xlfn.XLOOKUP(D25,RUC!$B$3:$B$123,RUC!$G$3:$G$123)</f>
        <v>20</v>
      </c>
      <c r="Z25" s="1454">
        <v>35</v>
      </c>
      <c r="AA25" s="144">
        <f t="shared" si="25"/>
        <v>55</v>
      </c>
      <c r="AB25" s="145">
        <f t="shared" si="26"/>
        <v>2264.3392973105001</v>
      </c>
      <c r="AC25" s="145">
        <f>+(S25-T25)*V25-'data 1'!$F$4</f>
        <v>68.810500000000019</v>
      </c>
      <c r="AD25" s="145">
        <f t="shared" si="27"/>
        <v>169.70237496867202</v>
      </c>
      <c r="AE25" s="145">
        <f t="shared" si="28"/>
        <v>-9.3734999999999999</v>
      </c>
      <c r="AF25" s="145">
        <f t="shared" si="29"/>
        <v>14.653657006989013</v>
      </c>
      <c r="AG25" s="772">
        <f t="shared" si="30"/>
        <v>260.79303197566105</v>
      </c>
      <c r="AH25" s="1253">
        <f t="shared" si="31"/>
        <v>236.173</v>
      </c>
      <c r="AI25" s="1253">
        <f t="shared" si="32"/>
        <v>245.65600000000001</v>
      </c>
      <c r="AJ25" s="156">
        <f t="shared" si="33"/>
        <v>-62.925484040671797</v>
      </c>
      <c r="AK25" s="156">
        <f t="shared" si="34"/>
        <v>219.8708187205892</v>
      </c>
      <c r="AM25" s="716">
        <f t="shared" si="35"/>
        <v>29823.612884876595</v>
      </c>
      <c r="AN25" s="716" t="str">
        <f>_xlfn.XLOOKUP(D25,RUC!$B$3:$B$578,RUC!$M$3:$M$578)</f>
        <v>Ronald Miranda</v>
      </c>
      <c r="AO25" s="1167" t="s">
        <v>2277</v>
      </c>
      <c r="AP25" s="1843">
        <v>6651</v>
      </c>
      <c r="AQ25" s="1082" t="s">
        <v>5599</v>
      </c>
      <c r="BA25" s="1482"/>
    </row>
    <row r="26" spans="1:56" ht="15" customHeight="1" thickBot="1">
      <c r="A26" s="747" t="s">
        <v>5600</v>
      </c>
      <c r="B26" s="1447">
        <v>46163</v>
      </c>
      <c r="C26" s="1447">
        <v>46153</v>
      </c>
      <c r="D26" t="s">
        <v>4171</v>
      </c>
      <c r="E26" s="762">
        <f>_xlfn.XLOOKUP(D26,RUC!$B$3:$B$123,RUC!$D$3:$D$123)</f>
        <v>20614284740</v>
      </c>
      <c r="G26" s="762">
        <v>54</v>
      </c>
      <c r="H26" s="1082" t="s">
        <v>69</v>
      </c>
      <c r="I26" s="703">
        <v>4.59</v>
      </c>
      <c r="J26" s="596">
        <v>3.4</v>
      </c>
      <c r="K26" s="703">
        <f t="shared" si="23"/>
        <v>4.4340000000000002</v>
      </c>
      <c r="L26" s="1193">
        <v>0.23</v>
      </c>
      <c r="M26" s="994">
        <f>ROUND(+IF(L26&gt;_xlfn.XLOOKUP(AN26,RUC!M:M,RUC!K:K),L26*_xlfn.XLOOKUP(AN26,RUC!M:M,RUC!I:I),L26-_xlfn.XLOOKUP(AN26,RUC!M:M,RUC!J:J)),3)</f>
        <v>0.21099999999999999</v>
      </c>
      <c r="N26" s="1196">
        <f>+M26</f>
        <v>0.21099999999999999</v>
      </c>
      <c r="O26" s="645">
        <f t="shared" si="24"/>
        <v>0.21099999999999999</v>
      </c>
      <c r="P26" s="727">
        <v>90</v>
      </c>
      <c r="Q26" s="1572">
        <v>85.65</v>
      </c>
      <c r="R26" s="706">
        <v>4729.1499999999996</v>
      </c>
      <c r="S26" s="765">
        <f>IF((_xlfn.XLOOKUP(D26,RUC!$B$3:$B$119,RUC!$E$3:$E$119)+ROUNDDOWN(O26,1)*100)&lt;95,95,((_xlfn.XLOOKUP(D26,RUC!$B$3:$B$119,RUC!$E$3:$E$119)+ROUNDDOWN(O26,1)*100)))</f>
        <v>110</v>
      </c>
      <c r="U26" s="1146">
        <f>_xlfn.XLOOKUP(D26,RUC!$B$3:$B$123,RUC!$F$3:$F$123)</f>
        <v>120</v>
      </c>
      <c r="V26" s="715">
        <v>1.1023000000000001</v>
      </c>
      <c r="Y26">
        <f>_xlfn.XLOOKUP(D26,RUC!$B$3:$B$123,RUC!$G$3:$G$123)</f>
        <v>20</v>
      </c>
      <c r="Z26" s="143">
        <f>_xlfn.XLOOKUP(D26,RUC!$B$3:$B$123,RUC!$H$3:$H$123)</f>
        <v>30</v>
      </c>
      <c r="AA26" s="144">
        <f t="shared" si="25"/>
        <v>50</v>
      </c>
      <c r="AB26" s="145">
        <f t="shared" si="26"/>
        <v>788.45048194549986</v>
      </c>
      <c r="AC26" s="145">
        <f>+(S26-T26)*V26-'data 1'!$F$4</f>
        <v>41.253</v>
      </c>
      <c r="AD26" s="145">
        <f t="shared" si="27"/>
        <v>-50.832063780224942</v>
      </c>
      <c r="AE26" s="145">
        <f t="shared" si="28"/>
        <v>-14.884999999999998</v>
      </c>
      <c r="AF26" s="145">
        <f t="shared" si="29"/>
        <v>82.680218883307575</v>
      </c>
      <c r="AG26" s="772">
        <f t="shared" si="30"/>
        <v>75.216155103082627</v>
      </c>
      <c r="AH26" s="1253">
        <f t="shared" si="31"/>
        <v>29.946999999999999</v>
      </c>
      <c r="AI26" s="1253">
        <f t="shared" si="32"/>
        <v>34.965000000000003</v>
      </c>
      <c r="AJ26" s="156">
        <f t="shared" si="33"/>
        <v>-23.701659284774927</v>
      </c>
      <c r="AK26" s="156">
        <f t="shared" si="34"/>
        <v>28.868865875541633</v>
      </c>
      <c r="AM26" s="716">
        <f t="shared" si="35"/>
        <v>3495.9894369463464</v>
      </c>
      <c r="AN26" s="716" t="str">
        <f>_xlfn.XLOOKUP(D26,RUC!$B$3:$B$578,RUC!$M$3:$M$578)</f>
        <v xml:space="preserve">Dante </v>
      </c>
      <c r="AO26" s="1167" t="s">
        <v>2278</v>
      </c>
      <c r="AP26" s="1843">
        <v>333</v>
      </c>
      <c r="AQ26" s="1082" t="s">
        <v>2839</v>
      </c>
      <c r="AV26" s="1982" t="s">
        <v>5597</v>
      </c>
      <c r="AW26" s="1983"/>
      <c r="AX26" s="1983"/>
      <c r="AY26" s="1983"/>
      <c r="AZ26" s="1983"/>
      <c r="BA26" s="1984"/>
    </row>
    <row r="27" spans="1:56" ht="15" customHeight="1">
      <c r="A27" s="747" t="s">
        <v>5601</v>
      </c>
      <c r="B27" s="1447">
        <v>46160</v>
      </c>
      <c r="C27" s="1447">
        <v>46153</v>
      </c>
      <c r="D27" t="s">
        <v>1484</v>
      </c>
      <c r="E27" s="762">
        <f>_xlfn.XLOOKUP(D27,RUC!$B$3:$B$123,RUC!$D$3:$D$123)</f>
        <v>10761932735</v>
      </c>
      <c r="F27" s="629" t="s">
        <v>5619</v>
      </c>
      <c r="G27" s="762">
        <v>13</v>
      </c>
      <c r="H27" s="1082" t="s">
        <v>69</v>
      </c>
      <c r="I27" s="703">
        <v>1.17</v>
      </c>
      <c r="J27" s="596">
        <v>13.37</v>
      </c>
      <c r="K27" s="703">
        <f t="shared" si="23"/>
        <v>1.014</v>
      </c>
      <c r="L27" s="1193">
        <v>0.71899999999999997</v>
      </c>
      <c r="M27" s="994">
        <f>ROUND(+IF(L27&gt;_xlfn.XLOOKUP(AN27,RUC!M:M,RUC!K:K),L27*_xlfn.XLOOKUP(AN27,RUC!M:M,RUC!I:I),L27-_xlfn.XLOOKUP(AN27,RUC!M:M,RUC!J:J)),3)</f>
        <v>0.67600000000000005</v>
      </c>
      <c r="N27" s="1444">
        <v>0.71699999999999997</v>
      </c>
      <c r="O27" s="645">
        <f t="shared" si="24"/>
        <v>0.69699999999999995</v>
      </c>
      <c r="P27" s="727">
        <v>90</v>
      </c>
      <c r="Q27" s="1476">
        <v>96.24</v>
      </c>
      <c r="R27" s="706">
        <v>4729.1499999999996</v>
      </c>
      <c r="S27" s="765">
        <f>IF((_xlfn.XLOOKUP(D27,RUC!$B$3:$B$119,RUC!$E$3:$E$119)+ROUNDDOWN(O27,1)*100)&lt;95,95,((_xlfn.XLOOKUP(D27,RUC!$B$3:$B$119,RUC!$E$3:$E$119)+ROUNDDOWN(O27,1)*100)))</f>
        <v>150</v>
      </c>
      <c r="U27" s="1146">
        <f>_xlfn.XLOOKUP(D27,RUC!$B$3:$B$123,RUC!$F$3:$F$123)</f>
        <v>120</v>
      </c>
      <c r="V27" s="715">
        <v>1.1023000000000001</v>
      </c>
      <c r="Y27">
        <f>_xlfn.XLOOKUP(D27,RUC!$B$3:$B$123,RUC!$G$3:$G$123)</f>
        <v>20</v>
      </c>
      <c r="Z27" s="143">
        <f>_xlfn.XLOOKUP(D27,RUC!$B$3:$B$123,RUC!$H$3:$H$123)</f>
        <v>30</v>
      </c>
      <c r="AA27" s="144">
        <f t="shared" si="25"/>
        <v>50</v>
      </c>
      <c r="AB27" s="145">
        <f t="shared" si="26"/>
        <v>2966.6418100284995</v>
      </c>
      <c r="AC27" s="145">
        <f>+(S27-T27)*V27-'data 1'!$F$4</f>
        <v>85.344999999999999</v>
      </c>
      <c r="AD27" s="145">
        <f t="shared" si="27"/>
        <v>227.94713050855182</v>
      </c>
      <c r="AE27" s="145">
        <f t="shared" si="28"/>
        <v>-14.884999999999998</v>
      </c>
      <c r="AF27" s="145">
        <f t="shared" si="29"/>
        <v>107.57192603757609</v>
      </c>
      <c r="AG27" s="772">
        <f t="shared" si="30"/>
        <v>422.97905654612794</v>
      </c>
      <c r="AH27" s="1253">
        <f t="shared" si="31"/>
        <v>24.056000000000001</v>
      </c>
      <c r="AI27" s="1253">
        <f t="shared" si="32"/>
        <v>24.995999999999999</v>
      </c>
      <c r="AJ27" s="156">
        <f t="shared" si="33"/>
        <v>-83.254564268051723</v>
      </c>
      <c r="AK27" s="156">
        <f t="shared" si="34"/>
        <v>21.808325058697712</v>
      </c>
      <c r="AM27" s="716">
        <f t="shared" si="35"/>
        <v>3008.1747953688987</v>
      </c>
      <c r="AN27" s="716" t="str">
        <f>_xlfn.XLOOKUP(D27,RUC!$B$3:$B$578,RUC!$M$3:$M$578)</f>
        <v>Richard Sapacayo</v>
      </c>
      <c r="AO27" s="1167" t="s">
        <v>2277</v>
      </c>
      <c r="AP27" s="1843">
        <v>175</v>
      </c>
      <c r="AQ27" s="1082" t="s">
        <v>3744</v>
      </c>
      <c r="BA27" s="1482">
        <f>SUM(BA29:BA38)</f>
        <v>0</v>
      </c>
    </row>
    <row r="28" spans="1:56" ht="15" customHeight="1" thickBot="1">
      <c r="A28" s="747" t="s">
        <v>5602</v>
      </c>
      <c r="B28" s="1447">
        <v>46160</v>
      </c>
      <c r="C28" s="1447">
        <v>46153</v>
      </c>
      <c r="D28" t="s">
        <v>1484</v>
      </c>
      <c r="E28" s="762">
        <f>_xlfn.XLOOKUP(D28,RUC!$B$3:$B$123,RUC!$D$3:$D$123)</f>
        <v>10761932735</v>
      </c>
      <c r="F28" s="629" t="s">
        <v>5619</v>
      </c>
      <c r="G28" s="762">
        <v>99</v>
      </c>
      <c r="H28" s="1082" t="s">
        <v>69</v>
      </c>
      <c r="I28" s="703">
        <v>7.85</v>
      </c>
      <c r="J28" s="596">
        <v>10.3</v>
      </c>
      <c r="K28" s="703">
        <f t="shared" si="23"/>
        <v>7.0410000000000004</v>
      </c>
      <c r="L28" s="1193">
        <v>0.28699999999999998</v>
      </c>
      <c r="M28" s="994">
        <f>ROUND(+IF(L28&gt;_xlfn.XLOOKUP(AN28,RUC!M:M,RUC!K:K),L28*_xlfn.XLOOKUP(AN28,RUC!M:M,RUC!I:I),L28-_xlfn.XLOOKUP(AN28,RUC!M:M,RUC!J:J)),3)</f>
        <v>0.252</v>
      </c>
      <c r="N28" s="1196">
        <f>+M28</f>
        <v>0.252</v>
      </c>
      <c r="O28" s="645">
        <f t="shared" si="24"/>
        <v>0.252</v>
      </c>
      <c r="P28" s="727">
        <v>90</v>
      </c>
      <c r="Q28" s="1476">
        <v>98.95</v>
      </c>
      <c r="R28" s="706">
        <v>4729.1499999999996</v>
      </c>
      <c r="S28" s="765">
        <f>IF((_xlfn.XLOOKUP(D28,RUC!$B$3:$B$119,RUC!$E$3:$E$119)+ROUNDDOWN(O28,1)*100)&lt;95,95,((_xlfn.XLOOKUP(D28,RUC!$B$3:$B$119,RUC!$E$3:$E$119)+ROUNDDOWN(O28,1)*100)))</f>
        <v>110</v>
      </c>
      <c r="U28" s="1146">
        <f>_xlfn.XLOOKUP(D28,RUC!$B$3:$B$123,RUC!$F$3:$F$123)</f>
        <v>120</v>
      </c>
      <c r="V28" s="715">
        <v>1.1023000000000001</v>
      </c>
      <c r="Y28">
        <f>_xlfn.XLOOKUP(D28,RUC!$B$3:$B$123,RUC!$G$3:$G$123)</f>
        <v>20</v>
      </c>
      <c r="Z28" s="143">
        <f>_xlfn.XLOOKUP(D28,RUC!$B$3:$B$123,RUC!$H$3:$H$123)</f>
        <v>30</v>
      </c>
      <c r="AA28" s="144">
        <f t="shared" si="25"/>
        <v>50</v>
      </c>
      <c r="AB28" s="145">
        <f t="shared" si="26"/>
        <v>975.92705900599992</v>
      </c>
      <c r="AC28" s="145">
        <f>+(S28-T28)*V28-'data 1'!$F$4</f>
        <v>41.253</v>
      </c>
      <c r="AD28" s="145">
        <f t="shared" si="27"/>
        <v>130.50452836489254</v>
      </c>
      <c r="AE28" s="145">
        <f t="shared" si="28"/>
        <v>-14.884999999999998</v>
      </c>
      <c r="AF28" s="145">
        <f t="shared" si="29"/>
        <v>175.95616680346237</v>
      </c>
      <c r="AG28" s="772">
        <f t="shared" si="30"/>
        <v>349.8286951683549</v>
      </c>
      <c r="AH28" s="1253">
        <f t="shared" si="31"/>
        <v>68.555000000000007</v>
      </c>
      <c r="AI28" s="1253">
        <f t="shared" si="32"/>
        <v>69.283000000000001</v>
      </c>
      <c r="AJ28" s="156">
        <f t="shared" si="33"/>
        <v>-34.168132513392386</v>
      </c>
      <c r="AK28" s="156">
        <f t="shared" si="34"/>
        <v>54.750295034579352</v>
      </c>
      <c r="AM28" s="716">
        <f t="shared" si="35"/>
        <v>6871.5024224612462</v>
      </c>
      <c r="AN28" s="716" t="str">
        <f>_xlfn.XLOOKUP(D28,RUC!$B$3:$B$578,RUC!$M$3:$M$578)</f>
        <v>Richard Sapacayo</v>
      </c>
      <c r="AO28" s="1167" t="s">
        <v>2277</v>
      </c>
      <c r="AP28" s="1843">
        <v>175</v>
      </c>
      <c r="AQ28" s="1082" t="s">
        <v>3744</v>
      </c>
      <c r="AV28" s="762"/>
      <c r="AW28" s="762" t="s">
        <v>15</v>
      </c>
      <c r="AX28" s="762" t="s">
        <v>2522</v>
      </c>
      <c r="AY28" s="762" t="s">
        <v>2558</v>
      </c>
      <c r="AZ28" s="1483" t="s">
        <v>2598</v>
      </c>
      <c r="BA28" s="762" t="s">
        <v>2559</v>
      </c>
    </row>
    <row r="29" spans="1:56" ht="15" customHeight="1">
      <c r="A29" s="747" t="s">
        <v>5603</v>
      </c>
      <c r="B29" s="1447">
        <v>46160</v>
      </c>
      <c r="C29" s="1447">
        <v>46154</v>
      </c>
      <c r="D29" t="s">
        <v>1484</v>
      </c>
      <c r="E29" s="762">
        <f>_xlfn.XLOOKUP(D29,RUC!$B$3:$B$123,RUC!$D$3:$D$123)</f>
        <v>10761932735</v>
      </c>
      <c r="F29" s="629" t="s">
        <v>5619</v>
      </c>
      <c r="G29" s="762">
        <v>65</v>
      </c>
      <c r="H29" s="1082" t="s">
        <v>69</v>
      </c>
      <c r="I29" s="703">
        <v>5.16</v>
      </c>
      <c r="J29" s="596">
        <v>7.6</v>
      </c>
      <c r="K29" s="703">
        <f t="shared" si="23"/>
        <v>4.7679999999999998</v>
      </c>
      <c r="L29" s="1193">
        <v>0.55300000000000005</v>
      </c>
      <c r="M29" s="994">
        <f>ROUND(+IF(L29&gt;_xlfn.XLOOKUP(AN29,RUC!M:M,RUC!K:K),L29*_xlfn.XLOOKUP(AN29,RUC!M:M,RUC!I:I),L29-_xlfn.XLOOKUP(AN29,RUC!M:M,RUC!J:J)),3)</f>
        <v>0.52</v>
      </c>
      <c r="N29" s="1444">
        <v>0.60199999999999998</v>
      </c>
      <c r="O29" s="645">
        <f t="shared" si="24"/>
        <v>0.56100000000000005</v>
      </c>
      <c r="P29" s="727">
        <v>90</v>
      </c>
      <c r="Q29" s="1476">
        <v>99.1</v>
      </c>
      <c r="R29" s="706">
        <v>4678.3999999999996</v>
      </c>
      <c r="S29" s="765">
        <f>IF((_xlfn.XLOOKUP(D29,RUC!$B$3:$B$119,RUC!$E$3:$E$119)+ROUNDDOWN(O29,1)*100)&lt;95,95,((_xlfn.XLOOKUP(D29,RUC!$B$3:$B$119,RUC!$E$3:$E$119)+ROUNDDOWN(O29,1)*100)))</f>
        <v>140</v>
      </c>
      <c r="U29" s="1146">
        <f>_xlfn.XLOOKUP(D29,RUC!$B$3:$B$123,RUC!$F$3:$F$123)</f>
        <v>120</v>
      </c>
      <c r="V29" s="715">
        <v>1.1023000000000001</v>
      </c>
      <c r="Y29">
        <f>_xlfn.XLOOKUP(D29,RUC!$B$3:$B$123,RUC!$G$3:$G$123)</f>
        <v>20</v>
      </c>
      <c r="Z29" s="143">
        <f>_xlfn.XLOOKUP(D29,RUC!$B$3:$B$123,RUC!$H$3:$H$123)</f>
        <v>30</v>
      </c>
      <c r="AA29" s="144">
        <f t="shared" si="25"/>
        <v>50</v>
      </c>
      <c r="AB29" s="145">
        <f t="shared" si="26"/>
        <v>2327.5463091679999</v>
      </c>
      <c r="AC29" s="145">
        <f>+(S29-T29)*V29-'data 1'!$F$4</f>
        <v>74.322000000000003</v>
      </c>
      <c r="AD29" s="145">
        <f t="shared" si="27"/>
        <v>252.85920195535985</v>
      </c>
      <c r="AE29" s="145">
        <f t="shared" si="28"/>
        <v>-14.884999999999998</v>
      </c>
      <c r="AF29" s="145">
        <f t="shared" si="29"/>
        <v>-39.836014408960025</v>
      </c>
      <c r="AG29" s="772">
        <f t="shared" si="30"/>
        <v>289.46018754639982</v>
      </c>
      <c r="AH29" s="1253">
        <f t="shared" si="31"/>
        <v>89.587000000000003</v>
      </c>
      <c r="AI29" s="1253">
        <f t="shared" si="32"/>
        <v>90.4</v>
      </c>
      <c r="AJ29" s="156">
        <f t="shared" si="33"/>
        <v>-35.278607969359783</v>
      </c>
      <c r="AK29" s="156">
        <f t="shared" si="34"/>
        <v>82.537381489289771</v>
      </c>
      <c r="AM29" s="716">
        <f t="shared" si="35"/>
        <v>11097.740802113023</v>
      </c>
      <c r="AN29" s="716" t="str">
        <f>_xlfn.XLOOKUP(D29,RUC!$B$3:$B$578,RUC!$M$3:$M$578)</f>
        <v>Richard Sapacayo</v>
      </c>
      <c r="AO29" s="1167" t="s">
        <v>2278</v>
      </c>
      <c r="AP29" s="1843">
        <v>175</v>
      </c>
      <c r="AQ29" s="1082" t="s">
        <v>3744</v>
      </c>
      <c r="AV29" s="1556" t="s">
        <v>2277</v>
      </c>
      <c r="AW29" s="1227">
        <f t="shared" ref="AW29:AW38" si="36">SUMIF($AO$4:$AO$158,AV29,$K$4:$K$158)</f>
        <v>150.09699999999998</v>
      </c>
      <c r="AX29" s="1227"/>
      <c r="AY29" s="1229">
        <f t="shared" ref="AY29:AY38" si="37">AW29*AX29*31.1035*1.1023</f>
        <v>0</v>
      </c>
      <c r="AZ29" s="596"/>
      <c r="BA29" s="1255">
        <f t="shared" ref="BA29:BA38" si="38">AY29*AZ29/100</f>
        <v>0</v>
      </c>
    </row>
    <row r="30" spans="1:56" ht="15" customHeight="1">
      <c r="A30" s="747" t="s">
        <v>5604</v>
      </c>
      <c r="B30" s="1447">
        <v>46160</v>
      </c>
      <c r="C30" s="1447">
        <v>46154</v>
      </c>
      <c r="D30" t="s">
        <v>1484</v>
      </c>
      <c r="E30" s="762">
        <f>_xlfn.XLOOKUP(D30,RUC!$B$3:$B$123,RUC!$D$3:$D$123)</f>
        <v>10761932735</v>
      </c>
      <c r="F30" s="629" t="s">
        <v>5620</v>
      </c>
      <c r="G30" s="762">
        <v>10</v>
      </c>
      <c r="H30" s="1082" t="s">
        <v>69</v>
      </c>
      <c r="I30" s="703">
        <v>0.86</v>
      </c>
      <c r="J30" s="596">
        <v>9</v>
      </c>
      <c r="K30" s="703">
        <f t="shared" si="23"/>
        <v>0.78300000000000003</v>
      </c>
      <c r="L30" s="1193">
        <v>1.155</v>
      </c>
      <c r="M30" s="994">
        <f>ROUND(+IF(L30&gt;_xlfn.XLOOKUP(AN30,RUC!M:M,RUC!K:K),L30*_xlfn.XLOOKUP(AN30,RUC!M:M,RUC!I:I),L30-_xlfn.XLOOKUP(AN30,RUC!M:M,RUC!J:J)),3)</f>
        <v>1.0860000000000001</v>
      </c>
      <c r="N30" s="1196">
        <f t="shared" ref="N30:N33" si="39">+M30</f>
        <v>1.0860000000000001</v>
      </c>
      <c r="O30" s="645">
        <f t="shared" si="24"/>
        <v>1.0860000000000001</v>
      </c>
      <c r="P30" s="727">
        <v>90</v>
      </c>
      <c r="Q30" s="1572">
        <v>99.31</v>
      </c>
      <c r="R30" s="706">
        <v>4678.3999999999996</v>
      </c>
      <c r="S30" s="765">
        <f>IF((_xlfn.XLOOKUP(D30,RUC!$B$3:$B$119,RUC!$E$3:$E$119)+ROUNDDOWN(O30,1)*100)&lt;95,95,((_xlfn.XLOOKUP(D30,RUC!$B$3:$B$119,RUC!$E$3:$E$119)+ROUNDDOWN(O30,1)*100)))</f>
        <v>190</v>
      </c>
      <c r="U30" s="1146">
        <f>_xlfn.XLOOKUP(D30,RUC!$B$3:$B$123,RUC!$F$3:$F$123)</f>
        <v>120</v>
      </c>
      <c r="V30" s="715">
        <v>1.1023000000000001</v>
      </c>
      <c r="Y30">
        <f>_xlfn.XLOOKUP(D30,RUC!$B$3:$B$123,RUC!$G$3:$G$123)</f>
        <v>20</v>
      </c>
      <c r="Z30" s="143">
        <f>_xlfn.XLOOKUP(D30,RUC!$B$3:$B$123,RUC!$H$3:$H$123)</f>
        <v>30</v>
      </c>
      <c r="AA30" s="144">
        <f t="shared" si="25"/>
        <v>50</v>
      </c>
      <c r="AB30" s="145">
        <f t="shared" si="26"/>
        <v>4646.6135503679998</v>
      </c>
      <c r="AC30" s="145">
        <f>+(S30-T30)*V30-'data 1'!$F$4</f>
        <v>129.43700000000001</v>
      </c>
      <c r="AD30" s="145">
        <f t="shared" si="27"/>
        <v>540.31111849176011</v>
      </c>
      <c r="AE30" s="145">
        <f t="shared" si="28"/>
        <v>-14.884999999999998</v>
      </c>
      <c r="AF30" s="145">
        <f t="shared" si="29"/>
        <v>344.31370683124777</v>
      </c>
      <c r="AG30" s="772">
        <f t="shared" si="30"/>
        <v>1016.176825323008</v>
      </c>
      <c r="AH30" s="1253">
        <f t="shared" si="31"/>
        <v>30.792999999999999</v>
      </c>
      <c r="AI30" s="1253">
        <f t="shared" si="32"/>
        <v>31.007000000000001</v>
      </c>
      <c r="AJ30" s="156">
        <f t="shared" si="33"/>
        <v>-73.839308456759554</v>
      </c>
      <c r="AK30" s="156">
        <f t="shared" si="34"/>
        <v>26.238751473294815</v>
      </c>
      <c r="AM30" s="716">
        <f t="shared" si="35"/>
        <v>3638.2984099381438</v>
      </c>
      <c r="AN30" s="716" t="str">
        <f>_xlfn.XLOOKUP(D30,RUC!$B$3:$B$578,RUC!$M$3:$M$578)</f>
        <v>Richard Sapacayo</v>
      </c>
      <c r="AO30" s="1167" t="s">
        <v>2278</v>
      </c>
      <c r="AP30" s="1843">
        <v>175</v>
      </c>
      <c r="AQ30" s="1082" t="s">
        <v>3744</v>
      </c>
      <c r="AV30" s="1557" t="s">
        <v>2278</v>
      </c>
      <c r="AW30" s="703">
        <f t="shared" si="36"/>
        <v>118.001</v>
      </c>
      <c r="AX30" s="703"/>
      <c r="AY30" s="596">
        <f t="shared" si="37"/>
        <v>0</v>
      </c>
      <c r="AZ30" s="596"/>
      <c r="BA30" s="1256">
        <f t="shared" si="38"/>
        <v>0</v>
      </c>
    </row>
    <row r="31" spans="1:56" ht="15" customHeight="1">
      <c r="A31" s="747" t="s">
        <v>5605</v>
      </c>
      <c r="B31" s="1447">
        <v>46160</v>
      </c>
      <c r="C31" s="1447">
        <v>46154</v>
      </c>
      <c r="D31" t="s">
        <v>1484</v>
      </c>
      <c r="E31" s="762">
        <f>_xlfn.XLOOKUP(D31,RUC!$B$3:$B$123,RUC!$D$3:$D$123)</f>
        <v>10761932735</v>
      </c>
      <c r="F31" s="629" t="s">
        <v>5620</v>
      </c>
      <c r="G31" s="762">
        <v>20</v>
      </c>
      <c r="H31" s="1082" t="s">
        <v>69</v>
      </c>
      <c r="I31" s="703">
        <v>1.67</v>
      </c>
      <c r="J31" s="596">
        <v>10</v>
      </c>
      <c r="K31" s="703">
        <f t="shared" si="23"/>
        <v>1.5029999999999999</v>
      </c>
      <c r="L31" s="1193">
        <v>0.68799999999999994</v>
      </c>
      <c r="M31" s="994">
        <f>ROUND(+IF(L31&gt;_xlfn.XLOOKUP(AN31,RUC!M:M,RUC!K:K),L31*_xlfn.XLOOKUP(AN31,RUC!M:M,RUC!I:I),L31-_xlfn.XLOOKUP(AN31,RUC!M:M,RUC!J:J)),3)</f>
        <v>0.64700000000000002</v>
      </c>
      <c r="N31" s="1196">
        <f t="shared" si="39"/>
        <v>0.64700000000000002</v>
      </c>
      <c r="O31" s="645">
        <f t="shared" si="24"/>
        <v>0.64700000000000002</v>
      </c>
      <c r="P31" s="727">
        <v>90</v>
      </c>
      <c r="Q31" s="1476">
        <v>98.84</v>
      </c>
      <c r="R31" s="706">
        <v>4678.3999999999996</v>
      </c>
      <c r="S31" s="765">
        <f>IF((_xlfn.XLOOKUP(D31,RUC!$B$3:$B$119,RUC!$E$3:$E$119)+ROUNDDOWN(O31,1)*100)&lt;95,95,((_xlfn.XLOOKUP(D31,RUC!$B$3:$B$119,RUC!$E$3:$E$119)+ROUNDDOWN(O31,1)*100)))</f>
        <v>150</v>
      </c>
      <c r="U31" s="1146">
        <f>_xlfn.XLOOKUP(D31,RUC!$B$3:$B$123,RUC!$F$3:$F$123)</f>
        <v>120</v>
      </c>
      <c r="V31" s="715">
        <v>1.1023000000000001</v>
      </c>
      <c r="Y31">
        <f>_xlfn.XLOOKUP(D31,RUC!$B$3:$B$123,RUC!$G$3:$G$123)</f>
        <v>20</v>
      </c>
      <c r="Z31" s="143">
        <f>_xlfn.XLOOKUP(D31,RUC!$B$3:$B$123,RUC!$H$3:$H$123)</f>
        <v>30</v>
      </c>
      <c r="AA31" s="144">
        <f t="shared" si="25"/>
        <v>50</v>
      </c>
      <c r="AB31" s="145">
        <f t="shared" si="26"/>
        <v>2705.4369715359999</v>
      </c>
      <c r="AC31" s="145">
        <f>+(S31-T31)*V31-'data 1'!$F$4</f>
        <v>85.344999999999999</v>
      </c>
      <c r="AD31" s="145">
        <f t="shared" si="27"/>
        <v>305.5997133629441</v>
      </c>
      <c r="AE31" s="145">
        <f t="shared" si="28"/>
        <v>-14.884999999999998</v>
      </c>
      <c r="AF31" s="145">
        <f t="shared" si="29"/>
        <v>203.62393823340764</v>
      </c>
      <c r="AG31" s="772">
        <f t="shared" si="30"/>
        <v>596.68365159635175</v>
      </c>
      <c r="AH31" s="1253">
        <f t="shared" si="31"/>
        <v>35.042000000000002</v>
      </c>
      <c r="AI31" s="1253">
        <f t="shared" si="32"/>
        <v>35.453000000000003</v>
      </c>
      <c r="AJ31" s="156">
        <f t="shared" si="33"/>
        <v>-43.775773586943721</v>
      </c>
      <c r="AK31" s="156">
        <f t="shared" si="34"/>
        <v>30.006465336657044</v>
      </c>
      <c r="AM31" s="716">
        <f t="shared" si="35"/>
        <v>4066.2717682186076</v>
      </c>
      <c r="AN31" s="716" t="str">
        <f>_xlfn.XLOOKUP(D31,RUC!$B$3:$B$578,RUC!$M$3:$M$578)</f>
        <v>Richard Sapacayo</v>
      </c>
      <c r="AO31" s="1167" t="s">
        <v>2277</v>
      </c>
      <c r="AP31" s="1843">
        <v>175</v>
      </c>
      <c r="AQ31" s="1082" t="s">
        <v>3744</v>
      </c>
      <c r="AV31" s="1557" t="s">
        <v>2280</v>
      </c>
      <c r="AW31" s="703">
        <f t="shared" si="36"/>
        <v>109.29100000000001</v>
      </c>
      <c r="AX31" s="703"/>
      <c r="AY31" s="596">
        <f t="shared" si="37"/>
        <v>0</v>
      </c>
      <c r="AZ31" s="596"/>
      <c r="BA31" s="1256">
        <f t="shared" si="38"/>
        <v>0</v>
      </c>
    </row>
    <row r="32" spans="1:56" ht="15" customHeight="1">
      <c r="A32" s="747" t="s">
        <v>5606</v>
      </c>
      <c r="B32" s="1447">
        <v>46160</v>
      </c>
      <c r="C32" s="1447">
        <v>46154</v>
      </c>
      <c r="D32" t="s">
        <v>1484</v>
      </c>
      <c r="E32" s="762">
        <f>_xlfn.XLOOKUP(D32,RUC!$B$3:$B$123,RUC!$D$3:$D$123)</f>
        <v>10761932735</v>
      </c>
      <c r="F32" s="629" t="s">
        <v>5620</v>
      </c>
      <c r="G32" s="762">
        <v>4</v>
      </c>
      <c r="H32" s="1082" t="s">
        <v>69</v>
      </c>
      <c r="I32" s="703">
        <v>0.31</v>
      </c>
      <c r="J32" s="596">
        <v>9.85</v>
      </c>
      <c r="K32" s="703">
        <f t="shared" si="23"/>
        <v>0.27900000000000003</v>
      </c>
      <c r="L32" s="1193">
        <v>2.13</v>
      </c>
      <c r="M32" s="994">
        <f>ROUND(+IF(L32&gt;_xlfn.XLOOKUP(AN32,RUC!M:M,RUC!K:K),L32*_xlfn.XLOOKUP(AN32,RUC!M:M,RUC!I:I),L32-_xlfn.XLOOKUP(AN32,RUC!M:M,RUC!J:J)),3)</f>
        <v>2.0019999999999998</v>
      </c>
      <c r="N32" s="1196">
        <f t="shared" si="39"/>
        <v>2.0019999999999998</v>
      </c>
      <c r="O32" s="645">
        <f t="shared" si="24"/>
        <v>2.0019999999999998</v>
      </c>
      <c r="P32" s="727">
        <v>90</v>
      </c>
      <c r="Q32" s="1572">
        <v>99.48</v>
      </c>
      <c r="R32" s="706">
        <v>4678.3999999999996</v>
      </c>
      <c r="S32" s="765">
        <f>IF((_xlfn.XLOOKUP(D32,RUC!$B$3:$B$119,RUC!$E$3:$E$119)+ROUNDDOWN(O32,1)*100)&lt;95,95,((_xlfn.XLOOKUP(D32,RUC!$B$3:$B$119,RUC!$E$3:$E$119)+ROUNDDOWN(O32,1)*100)))</f>
        <v>290</v>
      </c>
      <c r="U32" s="1146">
        <f>_xlfn.XLOOKUP(D32,RUC!$B$3:$B$123,RUC!$F$3:$F$123)</f>
        <v>120</v>
      </c>
      <c r="V32" s="715">
        <v>1.1023000000000001</v>
      </c>
      <c r="Y32">
        <f>_xlfn.XLOOKUP(D32,RUC!$B$3:$B$123,RUC!$G$3:$G$123)</f>
        <v>20</v>
      </c>
      <c r="Z32" s="143">
        <f>_xlfn.XLOOKUP(D32,RUC!$B$3:$B$123,RUC!$H$3:$H$123)</f>
        <v>30</v>
      </c>
      <c r="AA32" s="144">
        <f t="shared" si="25"/>
        <v>50</v>
      </c>
      <c r="AB32" s="145">
        <f t="shared" si="26"/>
        <v>8678.7662797760004</v>
      </c>
      <c r="AC32" s="145">
        <f>+(S32-T32)*V32-'data 1'!$F$4</f>
        <v>239.66700000000003</v>
      </c>
      <c r="AD32" s="145">
        <f t="shared" si="27"/>
        <v>1014.6124335916803</v>
      </c>
      <c r="AE32" s="145">
        <f t="shared" si="28"/>
        <v>-14.884999999999998</v>
      </c>
      <c r="AF32" s="145">
        <f t="shared" si="29"/>
        <v>639.82025645260853</v>
      </c>
      <c r="AG32" s="772">
        <f t="shared" si="30"/>
        <v>1896.214690044289</v>
      </c>
      <c r="AH32" s="1253">
        <f t="shared" si="31"/>
        <v>20.268999999999998</v>
      </c>
      <c r="AI32" s="1253">
        <f t="shared" si="32"/>
        <v>20.375</v>
      </c>
      <c r="AJ32" s="156">
        <f t="shared" si="33"/>
        <v>-136.40429163167914</v>
      </c>
      <c r="AK32" s="156">
        <f t="shared" si="34"/>
        <v>17.235340000588714</v>
      </c>
      <c r="AM32" s="716">
        <f t="shared" si="35"/>
        <v>2421.3757920575044</v>
      </c>
      <c r="AN32" s="716" t="str">
        <f>_xlfn.XLOOKUP(D32,RUC!$B$3:$B$578,RUC!$M$3:$M$578)</f>
        <v>Richard Sapacayo</v>
      </c>
      <c r="AO32" s="1167" t="s">
        <v>2278</v>
      </c>
      <c r="AP32" s="1843">
        <v>175</v>
      </c>
      <c r="AQ32" s="1082" t="s">
        <v>3744</v>
      </c>
      <c r="AV32" s="1557" t="s">
        <v>2279</v>
      </c>
      <c r="AW32" s="703">
        <f t="shared" si="36"/>
        <v>105.97099999999999</v>
      </c>
      <c r="AX32" s="703"/>
      <c r="AY32" s="596">
        <f t="shared" si="37"/>
        <v>0</v>
      </c>
      <c r="AZ32" s="596"/>
      <c r="BA32" s="1256">
        <f t="shared" si="38"/>
        <v>0</v>
      </c>
    </row>
    <row r="33" spans="1:53" ht="15" customHeight="1">
      <c r="A33" s="747" t="s">
        <v>5607</v>
      </c>
      <c r="B33" s="1447">
        <v>46160</v>
      </c>
      <c r="C33" s="1447">
        <v>46154</v>
      </c>
      <c r="D33" t="s">
        <v>1484</v>
      </c>
      <c r="E33" s="762">
        <f>_xlfn.XLOOKUP(D33,RUC!$B$3:$B$123,RUC!$D$3:$D$123)</f>
        <v>10761932735</v>
      </c>
      <c r="F33" s="629" t="s">
        <v>5620</v>
      </c>
      <c r="G33" s="762">
        <v>69</v>
      </c>
      <c r="H33" s="1082" t="s">
        <v>69</v>
      </c>
      <c r="I33" s="703">
        <v>5.89</v>
      </c>
      <c r="J33" s="596">
        <v>8.3000000000000007</v>
      </c>
      <c r="K33" s="703">
        <f t="shared" si="23"/>
        <v>5.4009999999999998</v>
      </c>
      <c r="L33" s="1193">
        <v>0.33300000000000002</v>
      </c>
      <c r="M33" s="994">
        <f>ROUND(+IF(L33&gt;_xlfn.XLOOKUP(AN33,RUC!M:M,RUC!K:K),L33*_xlfn.XLOOKUP(AN33,RUC!M:M,RUC!I:I),L33-_xlfn.XLOOKUP(AN33,RUC!M:M,RUC!J:J)),3)</f>
        <v>0.29799999999999999</v>
      </c>
      <c r="N33" s="1196">
        <f t="shared" si="39"/>
        <v>0.29799999999999999</v>
      </c>
      <c r="O33" s="645">
        <f t="shared" si="24"/>
        <v>0.29799999999999999</v>
      </c>
      <c r="P33" s="727">
        <v>90</v>
      </c>
      <c r="Q33" s="1476">
        <v>98.5</v>
      </c>
      <c r="R33" s="706">
        <v>4678.3999999999996</v>
      </c>
      <c r="S33" s="765">
        <f>IF((_xlfn.XLOOKUP(D33,RUC!$B$3:$B$119,RUC!$E$3:$E$119)+ROUNDDOWN(O33,1)*100)&lt;95,95,((_xlfn.XLOOKUP(D33,RUC!$B$3:$B$119,RUC!$E$3:$E$119)+ROUNDDOWN(O33,1)*100)))</f>
        <v>110</v>
      </c>
      <c r="U33" s="1146">
        <f>_xlfn.XLOOKUP(D33,RUC!$B$3:$B$123,RUC!$F$3:$F$123)</f>
        <v>120</v>
      </c>
      <c r="V33" s="715">
        <v>1.1023000000000001</v>
      </c>
      <c r="Y33">
        <f>_xlfn.XLOOKUP(D33,RUC!$B$3:$B$123,RUC!$G$3:$G$123)</f>
        <v>20</v>
      </c>
      <c r="Z33" s="143">
        <f>_xlfn.XLOOKUP(D33,RUC!$B$3:$B$123,RUC!$H$3:$H$123)</f>
        <v>30</v>
      </c>
      <c r="AA33" s="144">
        <f t="shared" si="25"/>
        <v>50</v>
      </c>
      <c r="AB33" s="145">
        <f t="shared" si="26"/>
        <v>1171.263062624</v>
      </c>
      <c r="AC33" s="145">
        <f>+(S33-T33)*V33-'data 1'!$F$4</f>
        <v>41.253</v>
      </c>
      <c r="AD33" s="145">
        <f t="shared" si="27"/>
        <v>142.22482187759999</v>
      </c>
      <c r="AE33" s="145">
        <f t="shared" si="28"/>
        <v>-14.884999999999998</v>
      </c>
      <c r="AF33" s="145">
        <f t="shared" si="29"/>
        <v>173.22737093200013</v>
      </c>
      <c r="AG33" s="772">
        <f t="shared" si="30"/>
        <v>358.82019280960014</v>
      </c>
      <c r="AH33" s="1253">
        <f t="shared" si="31"/>
        <v>60.738</v>
      </c>
      <c r="AI33" s="1253">
        <f t="shared" si="32"/>
        <v>61.662999999999997</v>
      </c>
      <c r="AJ33" s="156">
        <f t="shared" si="33"/>
        <v>-21.11509883159987</v>
      </c>
      <c r="AK33" s="156">
        <f t="shared" si="34"/>
        <v>49.664037146129012</v>
      </c>
      <c r="AM33" s="716">
        <f t="shared" si="35"/>
        <v>6325.9918012322241</v>
      </c>
      <c r="AN33" s="716" t="str">
        <f>_xlfn.XLOOKUP(D33,RUC!$B$3:$B$578,RUC!$M$3:$M$578)</f>
        <v>Richard Sapacayo</v>
      </c>
      <c r="AO33" s="1167" t="s">
        <v>2277</v>
      </c>
      <c r="AP33" s="1843">
        <v>175</v>
      </c>
      <c r="AQ33" s="1082" t="s">
        <v>3744</v>
      </c>
      <c r="AV33" s="1557" t="s">
        <v>2281</v>
      </c>
      <c r="AW33" s="703">
        <f t="shared" si="36"/>
        <v>0</v>
      </c>
      <c r="AX33" s="703"/>
      <c r="AY33" s="596">
        <f t="shared" si="37"/>
        <v>0</v>
      </c>
      <c r="AZ33" s="596"/>
      <c r="BA33" s="1256">
        <f t="shared" si="38"/>
        <v>0</v>
      </c>
    </row>
    <row r="34" spans="1:53" ht="15" customHeight="1">
      <c r="A34" s="747" t="s">
        <v>5626</v>
      </c>
      <c r="B34" s="1447">
        <v>46160</v>
      </c>
      <c r="C34" s="1447">
        <v>46155</v>
      </c>
      <c r="D34" t="s">
        <v>1967</v>
      </c>
      <c r="E34" s="762">
        <f>_xlfn.XLOOKUP(D34,RUC!$B$3:$B$123,RUC!$D$3:$D$123)</f>
        <v>20601769396</v>
      </c>
      <c r="F34" s="629" t="s">
        <v>5638</v>
      </c>
      <c r="G34" s="762">
        <v>54</v>
      </c>
      <c r="H34" s="1082" t="s">
        <v>108</v>
      </c>
      <c r="I34" s="703">
        <v>3.76</v>
      </c>
      <c r="J34" s="596">
        <v>15.4</v>
      </c>
      <c r="K34" s="703">
        <f t="shared" si="23"/>
        <v>3.181</v>
      </c>
      <c r="L34" s="1193">
        <v>0.40200000000000002</v>
      </c>
      <c r="M34" s="994">
        <f>ROUND(+IF(L34&gt;_xlfn.XLOOKUP(AN34,RUC!M:M,RUC!K:K),L34*_xlfn.XLOOKUP(AN34,RUC!M:M,RUC!I:I),L34-_xlfn.XLOOKUP(AN34,RUC!M:M,RUC!J:J)),3)</f>
        <v>0.378</v>
      </c>
      <c r="N34" s="1444">
        <v>0.439</v>
      </c>
      <c r="O34" s="645">
        <f t="shared" si="24"/>
        <v>0.40899999999999997</v>
      </c>
      <c r="P34" s="727">
        <v>90</v>
      </c>
      <c r="Q34" s="1476">
        <v>91.29</v>
      </c>
      <c r="R34" s="706">
        <v>4675.7</v>
      </c>
      <c r="S34" s="765">
        <f>IF((_xlfn.XLOOKUP(D34,RUC!$B$3:$B$119,RUC!$E$3:$E$119)+ROUNDDOWN(O34,1)*100)&lt;95,95,((_xlfn.XLOOKUP(D34,RUC!$B$3:$B$119,RUC!$E$3:$E$119)+ROUNDDOWN(O34,1)*100)))</f>
        <v>130</v>
      </c>
      <c r="U34" s="1146">
        <f>_xlfn.XLOOKUP(D34,RUC!$B$3:$B$123,RUC!$F$3:$F$123)</f>
        <v>120</v>
      </c>
      <c r="V34" s="715">
        <v>1.1023000000000001</v>
      </c>
      <c r="Y34" s="1445">
        <v>30</v>
      </c>
      <c r="Z34" s="1454">
        <v>70</v>
      </c>
      <c r="AA34" s="144">
        <f t="shared" si="25"/>
        <v>100</v>
      </c>
      <c r="AB34" s="145">
        <f>+((O34*P34*(R34-U34)/100)-S34-AA34+T34)*V34</f>
        <v>1594.9764792909998</v>
      </c>
      <c r="AC34" s="145">
        <f>+(S34-T34)*V34-'data 1'!$F$4</f>
        <v>63.299000000000007</v>
      </c>
      <c r="AD34" s="145">
        <f t="shared" si="27"/>
        <v>26.041781348838132</v>
      </c>
      <c r="AE34" s="145">
        <f t="shared" si="28"/>
        <v>40.230000000000004</v>
      </c>
      <c r="AF34" s="145">
        <f t="shared" si="29"/>
        <v>-32.090476947332775</v>
      </c>
      <c r="AG34" s="772">
        <f>AC34+AD34+AE34+AF34+70-53</f>
        <v>114.48030440150535</v>
      </c>
      <c r="AH34" s="1253">
        <f t="shared" si="31"/>
        <v>40.024000000000001</v>
      </c>
      <c r="AI34" s="1253">
        <f t="shared" si="32"/>
        <v>43.843000000000004</v>
      </c>
      <c r="AJ34" s="156">
        <f t="shared" si="33"/>
        <v>-22.532234516837935</v>
      </c>
      <c r="AK34" s="156">
        <f t="shared" si="34"/>
        <v>40.145655716373106</v>
      </c>
      <c r="AM34" s="716">
        <f t="shared" si="35"/>
        <v>5073.6201806246709</v>
      </c>
      <c r="AN34" s="716" t="str">
        <f>_xlfn.XLOOKUP(D34,RUC!$B$3:$B$578,RUC!$M$3:$M$578)</f>
        <v>Evelyn</v>
      </c>
      <c r="AO34" s="1167" t="s">
        <v>2277</v>
      </c>
      <c r="AP34" s="1843">
        <v>314</v>
      </c>
      <c r="AQ34" s="1082" t="s">
        <v>5640</v>
      </c>
      <c r="AV34" s="1557" t="s">
        <v>2297</v>
      </c>
      <c r="AW34" s="703">
        <f t="shared" si="36"/>
        <v>0</v>
      </c>
      <c r="AY34" s="596">
        <f t="shared" si="37"/>
        <v>0</v>
      </c>
      <c r="BA34" s="1256">
        <f t="shared" si="38"/>
        <v>0</v>
      </c>
    </row>
    <row r="35" spans="1:53" ht="15" customHeight="1">
      <c r="A35" s="747" t="s">
        <v>5627</v>
      </c>
      <c r="B35" s="1447">
        <v>46160</v>
      </c>
      <c r="C35" s="1447">
        <v>46155</v>
      </c>
      <c r="D35" t="s">
        <v>1967</v>
      </c>
      <c r="E35" s="762">
        <f>_xlfn.XLOOKUP(D35,RUC!$B$3:$B$123,RUC!$D$3:$D$123)</f>
        <v>20601769396</v>
      </c>
      <c r="F35" s="629" t="s">
        <v>5638</v>
      </c>
      <c r="G35" s="762">
        <v>53</v>
      </c>
      <c r="H35" s="1082" t="s">
        <v>108</v>
      </c>
      <c r="I35" s="703">
        <v>3.79</v>
      </c>
      <c r="J35" s="596">
        <v>16.8</v>
      </c>
      <c r="K35" s="703">
        <f t="shared" si="23"/>
        <v>3.153</v>
      </c>
      <c r="L35" s="1193">
        <v>0.44700000000000001</v>
      </c>
      <c r="M35" s="994">
        <f>ROUND(+IF(L35&gt;_xlfn.XLOOKUP(AN35,RUC!M:M,RUC!K:K),L35*_xlfn.XLOOKUP(AN35,RUC!M:M,RUC!I:I),L35-_xlfn.XLOOKUP(AN35,RUC!M:M,RUC!J:J)),3)</f>
        <v>0.42</v>
      </c>
      <c r="N35" s="1444">
        <v>0.46700000000000003</v>
      </c>
      <c r="O35" s="645">
        <f t="shared" si="24"/>
        <v>0.44400000000000001</v>
      </c>
      <c r="P35" s="727">
        <v>90</v>
      </c>
      <c r="Q35" s="1476">
        <v>92.17</v>
      </c>
      <c r="R35" s="706">
        <v>4675.7</v>
      </c>
      <c r="S35" s="765">
        <f>IF((_xlfn.XLOOKUP(D35,RUC!$B$3:$B$119,RUC!$E$3:$E$119)+ROUNDDOWN(O35,1)*100)&lt;95,95,((_xlfn.XLOOKUP(D35,RUC!$B$3:$B$119,RUC!$E$3:$E$119)+ROUNDDOWN(O35,1)*100)))</f>
        <v>130</v>
      </c>
      <c r="U35" s="1146">
        <f>_xlfn.XLOOKUP(D35,RUC!$B$3:$B$123,RUC!$F$3:$F$123)</f>
        <v>120</v>
      </c>
      <c r="V35" s="715">
        <v>1.1023000000000001</v>
      </c>
      <c r="Y35" s="1445">
        <v>30</v>
      </c>
      <c r="Z35" s="1454">
        <v>70</v>
      </c>
      <c r="AA35" s="144">
        <f t="shared" si="25"/>
        <v>100</v>
      </c>
      <c r="AB35" s="145">
        <f>+((O35*P35*(R35-U35)/100)-S35-AA35+T35)*V35</f>
        <v>1753.161544756</v>
      </c>
      <c r="AC35" s="145">
        <f>+(S35-T35)*V35-'data 1'!$F$4</f>
        <v>63.299000000000007</v>
      </c>
      <c r="AD35" s="145">
        <f t="shared" si="27"/>
        <v>48.710454492189044</v>
      </c>
      <c r="AE35" s="145">
        <f t="shared" si="28"/>
        <v>40.230000000000004</v>
      </c>
      <c r="AF35" s="145">
        <f t="shared" si="29"/>
        <v>13.885635698961014</v>
      </c>
      <c r="AG35" s="772">
        <f>AC35+AD35+AE35+AF35+70-53</f>
        <v>183.12509019115006</v>
      </c>
      <c r="AH35" s="1253">
        <f t="shared" si="31"/>
        <v>44.537999999999997</v>
      </c>
      <c r="AI35" s="1253">
        <f t="shared" si="32"/>
        <v>48.322000000000003</v>
      </c>
      <c r="AJ35" s="156">
        <f t="shared" si="33"/>
        <v>-25.29601518018892</v>
      </c>
      <c r="AK35" s="156">
        <f t="shared" si="34"/>
        <v>43.197490677251345</v>
      </c>
      <c r="AM35" s="716">
        <f t="shared" si="35"/>
        <v>5527.718350615668</v>
      </c>
      <c r="AN35" s="716" t="str">
        <f>_xlfn.XLOOKUP(D35,RUC!$B$3:$B$578,RUC!$M$3:$M$578)</f>
        <v>Evelyn</v>
      </c>
      <c r="AO35" s="1167" t="s">
        <v>2278</v>
      </c>
      <c r="AP35" s="1843">
        <v>314</v>
      </c>
      <c r="AQ35" s="1082" t="s">
        <v>5640</v>
      </c>
      <c r="AV35" s="1557" t="s">
        <v>2518</v>
      </c>
      <c r="AW35" s="703">
        <f t="shared" si="36"/>
        <v>0</v>
      </c>
      <c r="AY35" s="596">
        <f t="shared" si="37"/>
        <v>0</v>
      </c>
      <c r="BA35" s="1256">
        <f t="shared" si="38"/>
        <v>0</v>
      </c>
    </row>
    <row r="36" spans="1:53" ht="15" customHeight="1">
      <c r="A36" s="1491" t="s">
        <v>5628</v>
      </c>
      <c r="B36" s="1447">
        <v>46160</v>
      </c>
      <c r="C36" s="1447">
        <v>46155</v>
      </c>
      <c r="D36" t="s">
        <v>1967</v>
      </c>
      <c r="E36" s="762">
        <f>_xlfn.XLOOKUP(D36,RUC!$B$3:$B$123,RUC!$D$3:$D$123)</f>
        <v>20601769396</v>
      </c>
      <c r="F36" s="629" t="s">
        <v>5638</v>
      </c>
      <c r="G36" s="762">
        <v>13</v>
      </c>
      <c r="H36" s="1082" t="s">
        <v>108</v>
      </c>
      <c r="I36" s="703">
        <v>0.99</v>
      </c>
      <c r="J36" s="596">
        <v>13.8</v>
      </c>
      <c r="K36" s="703">
        <f t="shared" si="23"/>
        <v>0.85299999999999998</v>
      </c>
      <c r="L36" s="1193">
        <v>0.11600000000000001</v>
      </c>
      <c r="M36" s="994">
        <f>ROUND(+IF(L36&gt;_xlfn.XLOOKUP(AN36,RUC!M:M,RUC!K:K),L36*_xlfn.XLOOKUP(AN36,RUC!M:M,RUC!I:I),L36-_xlfn.XLOOKUP(AN36,RUC!M:M,RUC!J:J)),3)</f>
        <v>9.7000000000000003E-2</v>
      </c>
      <c r="N36" s="1196">
        <f t="shared" ref="N36:N82" si="40">+M36</f>
        <v>9.7000000000000003E-2</v>
      </c>
      <c r="O36" s="645">
        <f t="shared" si="24"/>
        <v>9.7000000000000003E-2</v>
      </c>
      <c r="P36" s="727">
        <v>80</v>
      </c>
      <c r="Q36" s="1476">
        <v>88.79</v>
      </c>
      <c r="R36" s="706">
        <v>4675.7</v>
      </c>
      <c r="S36" s="765">
        <f>IF((_xlfn.XLOOKUP(D36,RUC!$B$3:$B$119,RUC!$E$3:$E$119)+ROUNDDOWN(O36,1)*100)&lt;95,95,((_xlfn.XLOOKUP(D36,RUC!$B$3:$B$119,RUC!$E$3:$E$119)+ROUNDDOWN(O36,1)*100)))</f>
        <v>95</v>
      </c>
      <c r="U36" s="1146">
        <f>_xlfn.XLOOKUP(D36,RUC!$B$3:$B$123,RUC!$F$3:$F$123)</f>
        <v>120</v>
      </c>
      <c r="V36" s="715">
        <v>1.1023000000000001</v>
      </c>
      <c r="Y36" s="1445">
        <v>30</v>
      </c>
      <c r="Z36" s="1454">
        <v>70</v>
      </c>
      <c r="AA36" s="144">
        <f t="shared" si="25"/>
        <v>100</v>
      </c>
      <c r="AB36" s="145">
        <v>1E-3</v>
      </c>
      <c r="AC36" s="145">
        <f>+(S36-T36)*V36-'data 1'!$F$4</f>
        <v>24.718500000000006</v>
      </c>
      <c r="AD36" s="145">
        <f t="shared" si="27"/>
        <v>51.203752428804037</v>
      </c>
      <c r="AE36" s="145">
        <f t="shared" si="28"/>
        <v>40.230000000000004</v>
      </c>
      <c r="AF36" s="145">
        <f t="shared" si="29"/>
        <v>84.717392790511028</v>
      </c>
      <c r="AG36" s="772">
        <f>AC36+AD36+AE36+AF36+70-53+174.74</f>
        <v>392.6096452193151</v>
      </c>
      <c r="AH36" s="1253">
        <f t="shared" si="31"/>
        <v>3.012</v>
      </c>
      <c r="AI36" s="1253">
        <f t="shared" si="32"/>
        <v>3.3919999999999999</v>
      </c>
      <c r="AJ36" s="156">
        <f t="shared" si="33"/>
        <v>-6.3237842968039812</v>
      </c>
      <c r="AK36" s="156">
        <f t="shared" si="34"/>
        <v>2.26944583411604</v>
      </c>
      <c r="AM36" s="716">
        <f t="shared" si="35"/>
        <v>8.5300000000000003E-4</v>
      </c>
      <c r="AN36" s="716" t="str">
        <f>_xlfn.XLOOKUP(D36,RUC!$B$3:$B$578,RUC!$M$3:$M$578)</f>
        <v>Evelyn</v>
      </c>
      <c r="AO36" s="1167" t="s">
        <v>2277</v>
      </c>
      <c r="AP36" s="1843">
        <v>314</v>
      </c>
      <c r="AQ36" s="1082" t="s">
        <v>5640</v>
      </c>
      <c r="AV36" s="1557" t="s">
        <v>2519</v>
      </c>
      <c r="AW36" s="703">
        <f t="shared" si="36"/>
        <v>0</v>
      </c>
      <c r="AY36" s="596">
        <f t="shared" si="37"/>
        <v>0</v>
      </c>
      <c r="BA36" s="1256">
        <f t="shared" si="38"/>
        <v>0</v>
      </c>
    </row>
    <row r="37" spans="1:53" ht="15" customHeight="1">
      <c r="A37" s="747" t="s">
        <v>5629</v>
      </c>
      <c r="B37" s="1447">
        <v>46160</v>
      </c>
      <c r="C37" s="1447">
        <v>46155</v>
      </c>
      <c r="D37" t="s">
        <v>1967</v>
      </c>
      <c r="E37" s="762">
        <f>_xlfn.XLOOKUP(D37,RUC!$B$3:$B$123,RUC!$D$3:$D$123)</f>
        <v>20601769396</v>
      </c>
      <c r="F37" s="629" t="s">
        <v>5639</v>
      </c>
      <c r="G37" s="762">
        <v>27</v>
      </c>
      <c r="H37" s="1082" t="s">
        <v>108</v>
      </c>
      <c r="I37" s="703">
        <v>2.1800000000000002</v>
      </c>
      <c r="J37" s="596">
        <v>15.8</v>
      </c>
      <c r="K37" s="703">
        <f t="shared" si="23"/>
        <v>1.8360000000000001</v>
      </c>
      <c r="L37" s="1193">
        <v>0.42799999999999999</v>
      </c>
      <c r="M37" s="994">
        <f>ROUND(+IF(L37&gt;_xlfn.XLOOKUP(AN37,RUC!M:M,RUC!K:K),L37*_xlfn.XLOOKUP(AN37,RUC!M:M,RUC!I:I),L37-_xlfn.XLOOKUP(AN37,RUC!M:M,RUC!J:J)),3)</f>
        <v>0.40200000000000002</v>
      </c>
      <c r="N37" s="1196">
        <f t="shared" si="40"/>
        <v>0.40200000000000002</v>
      </c>
      <c r="O37" s="645">
        <f t="shared" si="24"/>
        <v>0.40200000000000002</v>
      </c>
      <c r="P37" s="727">
        <v>90</v>
      </c>
      <c r="Q37" s="1476">
        <v>96.03</v>
      </c>
      <c r="R37" s="706">
        <v>4675.7</v>
      </c>
      <c r="S37" s="765">
        <f>IF((_xlfn.XLOOKUP(D37,RUC!$B$3:$B$119,RUC!$E$3:$E$119)+ROUNDDOWN(O37,1)*100)&lt;95,95,((_xlfn.XLOOKUP(D37,RUC!$B$3:$B$119,RUC!$E$3:$E$119)+ROUNDDOWN(O37,1)*100)))</f>
        <v>130</v>
      </c>
      <c r="U37" s="1146">
        <f>_xlfn.XLOOKUP(D37,RUC!$B$3:$B$123,RUC!$F$3:$F$123)</f>
        <v>120</v>
      </c>
      <c r="V37" s="715">
        <v>1.1023000000000001</v>
      </c>
      <c r="Y37" s="1445">
        <v>30</v>
      </c>
      <c r="Z37" s="1454">
        <v>70</v>
      </c>
      <c r="AA37" s="144">
        <f t="shared" si="25"/>
        <v>100</v>
      </c>
      <c r="AB37" s="145">
        <f t="shared" ref="AB37:AB89" si="41">+((O37*P37*(R37-U37)/100)-S37-AA37+T37)*V37</f>
        <v>1563.3394661980001</v>
      </c>
      <c r="AC37" s="145">
        <f>+(S37-T37)*V37-'data 1'!$F$4</f>
        <v>63.299000000000007</v>
      </c>
      <c r="AD37" s="145">
        <f t="shared" si="27"/>
        <v>129.60328392212401</v>
      </c>
      <c r="AE37" s="145">
        <f t="shared" si="28"/>
        <v>40.230000000000004</v>
      </c>
      <c r="AF37" s="145">
        <f t="shared" si="29"/>
        <v>125.38200246085786</v>
      </c>
      <c r="AG37" s="772">
        <f t="shared" ref="AG37:AG43" si="42">AC37+AD37+AE37+AF37+70-53</f>
        <v>375.51428638298188</v>
      </c>
      <c r="AH37" s="1253">
        <f t="shared" si="31"/>
        <v>25.872</v>
      </c>
      <c r="AI37" s="1253">
        <f t="shared" si="32"/>
        <v>26.942</v>
      </c>
      <c r="AJ37" s="156">
        <f t="shared" si="33"/>
        <v>-25.235138954123922</v>
      </c>
      <c r="AK37" s="156">
        <f t="shared" si="34"/>
        <v>22.774576435955641</v>
      </c>
      <c r="AM37" s="716">
        <f t="shared" si="35"/>
        <v>2870.2912599395281</v>
      </c>
      <c r="AN37" s="716" t="str">
        <f>_xlfn.XLOOKUP(D37,RUC!$B$3:$B$578,RUC!$M$3:$M$578)</f>
        <v>Evelyn</v>
      </c>
      <c r="AO37" s="1167" t="s">
        <v>2278</v>
      </c>
      <c r="AP37" s="1843">
        <v>314</v>
      </c>
      <c r="AQ37" s="1082" t="s">
        <v>5640</v>
      </c>
      <c r="AV37" s="1557" t="s">
        <v>2520</v>
      </c>
      <c r="AW37" s="703">
        <f t="shared" si="36"/>
        <v>0</v>
      </c>
      <c r="AY37" s="596">
        <f t="shared" si="37"/>
        <v>0</v>
      </c>
      <c r="BA37" s="1256">
        <f t="shared" si="38"/>
        <v>0</v>
      </c>
    </row>
    <row r="38" spans="1:53" ht="15" customHeight="1" thickBot="1">
      <c r="A38" s="747" t="s">
        <v>5630</v>
      </c>
      <c r="B38" s="1447">
        <v>46160</v>
      </c>
      <c r="C38" s="1447">
        <v>46155</v>
      </c>
      <c r="D38" t="s">
        <v>1967</v>
      </c>
      <c r="E38" s="762">
        <f>_xlfn.XLOOKUP(D38,RUC!$B$3:$B$123,RUC!$D$3:$D$123)</f>
        <v>20601769396</v>
      </c>
      <c r="F38" s="629" t="s">
        <v>5639</v>
      </c>
      <c r="G38" s="762">
        <v>28</v>
      </c>
      <c r="H38" s="1082" t="s">
        <v>108</v>
      </c>
      <c r="I38" s="703">
        <v>2.25</v>
      </c>
      <c r="J38" s="596">
        <v>16.899999999999999</v>
      </c>
      <c r="K38" s="703">
        <f t="shared" si="23"/>
        <v>1.87</v>
      </c>
      <c r="L38" s="1193">
        <v>0.42699999999999999</v>
      </c>
      <c r="M38" s="994">
        <f>ROUND(+IF(L38&gt;_xlfn.XLOOKUP(AN38,RUC!M:M,RUC!K:K),L38*_xlfn.XLOOKUP(AN38,RUC!M:M,RUC!I:I),L38-_xlfn.XLOOKUP(AN38,RUC!M:M,RUC!J:J)),3)</f>
        <v>0.40100000000000002</v>
      </c>
      <c r="N38" s="1196">
        <f t="shared" si="40"/>
        <v>0.40100000000000002</v>
      </c>
      <c r="O38" s="645">
        <f t="shared" si="24"/>
        <v>0.40100000000000002</v>
      </c>
      <c r="P38" s="727">
        <v>90</v>
      </c>
      <c r="Q38" s="1476">
        <v>95.32</v>
      </c>
      <c r="R38" s="706">
        <v>4675.7</v>
      </c>
      <c r="S38" s="765">
        <f>IF((_xlfn.XLOOKUP(D38,RUC!$B$3:$B$119,RUC!$E$3:$E$119)+ROUNDDOWN(O38,1)*100)&lt;95,95,((_xlfn.XLOOKUP(D38,RUC!$B$3:$B$119,RUC!$E$3:$E$119)+ROUNDDOWN(O38,1)*100)))</f>
        <v>130</v>
      </c>
      <c r="U38" s="1146">
        <f>_xlfn.XLOOKUP(D38,RUC!$B$3:$B$123,RUC!$F$3:$F$123)</f>
        <v>120</v>
      </c>
      <c r="V38" s="715">
        <v>1.1023000000000001</v>
      </c>
      <c r="Y38" s="1445">
        <v>30</v>
      </c>
      <c r="Z38" s="1454">
        <v>70</v>
      </c>
      <c r="AA38" s="144">
        <f t="shared" si="25"/>
        <v>100</v>
      </c>
      <c r="AB38" s="145">
        <f t="shared" si="41"/>
        <v>1558.8198928990003</v>
      </c>
      <c r="AC38" s="145">
        <f>+(S38-T38)*V38-'data 1'!$F$4</f>
        <v>63.299000000000007</v>
      </c>
      <c r="AD38" s="145">
        <f t="shared" si="27"/>
        <v>114.07603876600386</v>
      </c>
      <c r="AE38" s="145">
        <f t="shared" si="28"/>
        <v>40.230000000000004</v>
      </c>
      <c r="AF38" s="145">
        <f t="shared" si="29"/>
        <v>124.45498775975182</v>
      </c>
      <c r="AG38" s="772">
        <f t="shared" si="42"/>
        <v>359.06002652575569</v>
      </c>
      <c r="AH38" s="1253">
        <f t="shared" si="31"/>
        <v>26.094999999999999</v>
      </c>
      <c r="AI38" s="1253">
        <f t="shared" si="32"/>
        <v>27.376999999999999</v>
      </c>
      <c r="AJ38" s="156">
        <f t="shared" si="33"/>
        <v>-24.990037699003921</v>
      </c>
      <c r="AK38" s="156">
        <f t="shared" si="34"/>
        <v>23.138625543348159</v>
      </c>
      <c r="AM38" s="716">
        <f t="shared" si="35"/>
        <v>2914.9931997211306</v>
      </c>
      <c r="AN38" s="716" t="str">
        <f>_xlfn.XLOOKUP(D38,RUC!$B$3:$B$578,RUC!$M$3:$M$578)</f>
        <v>Evelyn</v>
      </c>
      <c r="AO38" s="1167" t="s">
        <v>2278</v>
      </c>
      <c r="AP38" s="1843">
        <v>314</v>
      </c>
      <c r="AQ38" s="1082" t="s">
        <v>5640</v>
      </c>
      <c r="AV38" s="1558" t="s">
        <v>2521</v>
      </c>
      <c r="AW38" s="1254">
        <f t="shared" si="36"/>
        <v>0</v>
      </c>
      <c r="AX38" s="1257"/>
      <c r="AY38" s="1242">
        <f t="shared" si="37"/>
        <v>0</v>
      </c>
      <c r="AZ38" s="1257"/>
      <c r="BA38" s="1258">
        <f t="shared" si="38"/>
        <v>0</v>
      </c>
    </row>
    <row r="39" spans="1:53" ht="15" customHeight="1">
      <c r="A39" s="747" t="s">
        <v>5631</v>
      </c>
      <c r="B39" s="1447">
        <v>46160</v>
      </c>
      <c r="C39" s="1447">
        <v>46155</v>
      </c>
      <c r="D39" t="s">
        <v>1967</v>
      </c>
      <c r="E39" s="762">
        <f>_xlfn.XLOOKUP(D39,RUC!$B$3:$B$123,RUC!$D$3:$D$123)</f>
        <v>20601769396</v>
      </c>
      <c r="F39" s="629" t="s">
        <v>5639</v>
      </c>
      <c r="G39" s="762">
        <v>43</v>
      </c>
      <c r="H39" s="1082" t="s">
        <v>108</v>
      </c>
      <c r="I39" s="703">
        <v>3.69</v>
      </c>
      <c r="J39" s="596">
        <v>19.600000000000001</v>
      </c>
      <c r="K39" s="703">
        <f t="shared" si="23"/>
        <v>2.9670000000000001</v>
      </c>
      <c r="L39" s="1193">
        <v>0.78800000000000003</v>
      </c>
      <c r="M39" s="994">
        <f>ROUND(+IF(L39&gt;_xlfn.XLOOKUP(AN39,RUC!M:M,RUC!K:K),L39*_xlfn.XLOOKUP(AN39,RUC!M:M,RUC!I:I),L39-_xlfn.XLOOKUP(AN39,RUC!M:M,RUC!J:J)),3)</f>
        <v>0.74099999999999999</v>
      </c>
      <c r="N39" s="1196">
        <f t="shared" si="40"/>
        <v>0.74099999999999999</v>
      </c>
      <c r="O39" s="645">
        <f t="shared" si="24"/>
        <v>0.74099999999999999</v>
      </c>
      <c r="P39" s="727">
        <v>90</v>
      </c>
      <c r="Q39" s="1476">
        <v>97.21</v>
      </c>
      <c r="R39" s="706">
        <v>4675.7</v>
      </c>
      <c r="S39" s="765">
        <f>IF((_xlfn.XLOOKUP(D39,RUC!$B$3:$B$119,RUC!$E$3:$E$119)+ROUNDDOWN(O39,1)*100)&lt;95,95,((_xlfn.XLOOKUP(D39,RUC!$B$3:$B$119,RUC!$E$3:$E$119)+ROUNDDOWN(O39,1)*100)))</f>
        <v>160</v>
      </c>
      <c r="U39" s="1146">
        <f>_xlfn.XLOOKUP(D39,RUC!$B$3:$B$123,RUC!$F$3:$F$123)</f>
        <v>120</v>
      </c>
      <c r="V39" s="715">
        <v>1.1023000000000001</v>
      </c>
      <c r="Y39" s="1445">
        <v>30</v>
      </c>
      <c r="Z39" s="1454">
        <v>70</v>
      </c>
      <c r="AA39" s="144">
        <f t="shared" si="25"/>
        <v>100</v>
      </c>
      <c r="AB39" s="145">
        <f t="shared" si="41"/>
        <v>3062.4058145589997</v>
      </c>
      <c r="AC39" s="145">
        <f>+(S39-T39)*V39-'data 1'!$F$4</f>
        <v>96.367999999999995</v>
      </c>
      <c r="AD39" s="145">
        <f t="shared" si="27"/>
        <v>285.30961452002776</v>
      </c>
      <c r="AE39" s="145">
        <f t="shared" si="28"/>
        <v>40.230000000000004</v>
      </c>
      <c r="AF39" s="145">
        <f t="shared" si="29"/>
        <v>229.43714287335723</v>
      </c>
      <c r="AG39" s="772">
        <f t="shared" si="42"/>
        <v>668.34475739338495</v>
      </c>
      <c r="AH39" s="1253">
        <f t="shared" si="31"/>
        <v>77.923000000000002</v>
      </c>
      <c r="AI39" s="1253">
        <f t="shared" si="32"/>
        <v>80.159000000000006</v>
      </c>
      <c r="AJ39" s="156">
        <f t="shared" si="33"/>
        <v>-47.031860952027849</v>
      </c>
      <c r="AK39" s="156">
        <f t="shared" si="34"/>
        <v>67.840233337047025</v>
      </c>
      <c r="AM39" s="716">
        <f t="shared" si="35"/>
        <v>9086.1580517965522</v>
      </c>
      <c r="AN39" s="716" t="str">
        <f>_xlfn.XLOOKUP(D39,RUC!$B$3:$B$578,RUC!$M$3:$M$578)</f>
        <v>Evelyn</v>
      </c>
      <c r="AO39" s="1167" t="s">
        <v>2278</v>
      </c>
      <c r="AP39" s="1843">
        <v>314</v>
      </c>
      <c r="AQ39" s="1082" t="s">
        <v>5640</v>
      </c>
    </row>
    <row r="40" spans="1:53" ht="15" customHeight="1">
      <c r="A40" s="747" t="s">
        <v>5632</v>
      </c>
      <c r="B40" s="1447">
        <v>46160</v>
      </c>
      <c r="C40" s="1447">
        <v>46155</v>
      </c>
      <c r="D40" t="s">
        <v>1967</v>
      </c>
      <c r="E40" s="762">
        <f>_xlfn.XLOOKUP(D40,RUC!$B$3:$B$123,RUC!$D$3:$D$123)</f>
        <v>20601769396</v>
      </c>
      <c r="F40" s="629" t="s">
        <v>5639</v>
      </c>
      <c r="G40" s="762">
        <v>12</v>
      </c>
      <c r="H40" s="1082" t="s">
        <v>108</v>
      </c>
      <c r="I40" s="703">
        <v>0.93</v>
      </c>
      <c r="J40" s="596">
        <v>21.02</v>
      </c>
      <c r="K40" s="703">
        <f t="shared" si="23"/>
        <v>0.73499999999999999</v>
      </c>
      <c r="L40" s="1193">
        <v>0.36199999999999999</v>
      </c>
      <c r="M40" s="994">
        <f>ROUND(+IF(L40&gt;_xlfn.XLOOKUP(AN40,RUC!M:M,RUC!K:K),L40*_xlfn.XLOOKUP(AN40,RUC!M:M,RUC!I:I),L40-_xlfn.XLOOKUP(AN40,RUC!M:M,RUC!J:J)),3)</f>
        <v>0.34</v>
      </c>
      <c r="N40" s="1196">
        <f t="shared" si="40"/>
        <v>0.34</v>
      </c>
      <c r="O40" s="645">
        <f t="shared" si="24"/>
        <v>0.34</v>
      </c>
      <c r="P40" s="727">
        <v>90</v>
      </c>
      <c r="Q40" s="1476">
        <v>97.24</v>
      </c>
      <c r="R40" s="706">
        <v>4675.7</v>
      </c>
      <c r="S40" s="765">
        <f>IF((_xlfn.XLOOKUP(D40,RUC!$B$3:$B$119,RUC!$E$3:$E$119)+ROUNDDOWN(O40,1)*100)&lt;95,95,((_xlfn.XLOOKUP(D40,RUC!$B$3:$B$119,RUC!$E$3:$E$119)+ROUNDDOWN(O40,1)*100)))</f>
        <v>120</v>
      </c>
      <c r="U40" s="1146">
        <f>_xlfn.XLOOKUP(D40,RUC!$B$3:$B$123,RUC!$F$3:$F$123)</f>
        <v>120</v>
      </c>
      <c r="V40" s="715">
        <v>1.1023000000000001</v>
      </c>
      <c r="Y40" s="1445">
        <v>30</v>
      </c>
      <c r="Z40" s="1454">
        <v>70</v>
      </c>
      <c r="AA40" s="144">
        <f t="shared" si="25"/>
        <v>100</v>
      </c>
      <c r="AB40" s="145">
        <f t="shared" si="41"/>
        <v>1294.14892166</v>
      </c>
      <c r="AC40" s="145">
        <f>+(S40-T40)*V40-'data 1'!$F$4</f>
        <v>52.27600000000001</v>
      </c>
      <c r="AD40" s="145">
        <f t="shared" si="27"/>
        <v>131.61399186536789</v>
      </c>
      <c r="AE40" s="145">
        <f t="shared" si="28"/>
        <v>40.230000000000004</v>
      </c>
      <c r="AF40" s="145">
        <f t="shared" si="29"/>
        <v>107.42925296760782</v>
      </c>
      <c r="AG40" s="772">
        <f t="shared" si="42"/>
        <v>348.54924483297577</v>
      </c>
      <c r="AH40" s="1253">
        <f t="shared" si="31"/>
        <v>8.8710000000000004</v>
      </c>
      <c r="AI40" s="1253">
        <f t="shared" si="32"/>
        <v>9.1219999999999999</v>
      </c>
      <c r="AJ40" s="156">
        <f t="shared" si="33"/>
        <v>-21.612675023367927</v>
      </c>
      <c r="AK40" s="156">
        <f t="shared" si="34"/>
        <v>7.7111266263255001</v>
      </c>
      <c r="AM40" s="716">
        <f t="shared" si="35"/>
        <v>951.19945742009998</v>
      </c>
      <c r="AN40" s="716" t="str">
        <f>_xlfn.XLOOKUP(D40,RUC!$B$3:$B$578,RUC!$M$3:$M$578)</f>
        <v>Evelyn</v>
      </c>
      <c r="AO40" s="1167" t="s">
        <v>2277</v>
      </c>
      <c r="AP40" s="1843">
        <v>314</v>
      </c>
      <c r="AQ40" s="1082" t="s">
        <v>5640</v>
      </c>
    </row>
    <row r="41" spans="1:53" ht="15" customHeight="1">
      <c r="A41" s="747" t="s">
        <v>5633</v>
      </c>
      <c r="B41" s="1447">
        <v>46160</v>
      </c>
      <c r="C41" s="1447">
        <v>46155</v>
      </c>
      <c r="D41" t="s">
        <v>1967</v>
      </c>
      <c r="E41" s="762">
        <f>_xlfn.XLOOKUP(D41,RUC!$B$3:$B$123,RUC!$D$3:$D$123)</f>
        <v>20601769396</v>
      </c>
      <c r="F41" s="629" t="s">
        <v>5639</v>
      </c>
      <c r="G41" s="762">
        <v>28</v>
      </c>
      <c r="H41" s="1082" t="s">
        <v>108</v>
      </c>
      <c r="I41" s="703">
        <v>2.5299999999999998</v>
      </c>
      <c r="J41" s="596">
        <v>11.5</v>
      </c>
      <c r="K41" s="703">
        <f t="shared" si="23"/>
        <v>2.2389999999999999</v>
      </c>
      <c r="L41" s="1193">
        <v>0.61199999999999999</v>
      </c>
      <c r="M41" s="994">
        <f>ROUND(+IF(L41&gt;_xlfn.XLOOKUP(AN41,RUC!M:M,RUC!K:K),L41*_xlfn.XLOOKUP(AN41,RUC!M:M,RUC!I:I),L41-_xlfn.XLOOKUP(AN41,RUC!M:M,RUC!J:J)),3)</f>
        <v>0.57499999999999996</v>
      </c>
      <c r="N41" s="1196">
        <f t="shared" si="40"/>
        <v>0.57499999999999996</v>
      </c>
      <c r="O41" s="645">
        <f t="shared" si="24"/>
        <v>0.57499999999999996</v>
      </c>
      <c r="P41" s="727">
        <v>90</v>
      </c>
      <c r="Q41" s="1476">
        <v>95.59</v>
      </c>
      <c r="R41" s="706">
        <v>4675.7</v>
      </c>
      <c r="S41" s="765">
        <f>IF((_xlfn.XLOOKUP(D41,RUC!$B$3:$B$119,RUC!$E$3:$E$119)+ROUNDDOWN(O41,1)*100)&lt;95,95,((_xlfn.XLOOKUP(D41,RUC!$B$3:$B$119,RUC!$E$3:$E$119)+ROUNDDOWN(O41,1)*100)))</f>
        <v>140</v>
      </c>
      <c r="U41" s="1146">
        <f>_xlfn.XLOOKUP(D41,RUC!$B$3:$B$123,RUC!$F$3:$F$123)</f>
        <v>120</v>
      </c>
      <c r="V41" s="715">
        <v>1.1023000000000001</v>
      </c>
      <c r="Y41" s="1445">
        <v>30</v>
      </c>
      <c r="Z41" s="1454">
        <v>70</v>
      </c>
      <c r="AA41" s="144">
        <f t="shared" si="25"/>
        <v>100</v>
      </c>
      <c r="AB41" s="145">
        <f t="shared" si="41"/>
        <v>2334.2026469249995</v>
      </c>
      <c r="AC41" s="145">
        <f>+(S41-T41)*V41-'data 1'!$F$4</f>
        <v>74.322000000000003</v>
      </c>
      <c r="AD41" s="145">
        <f t="shared" si="27"/>
        <v>171.79802024158812</v>
      </c>
      <c r="AE41" s="145">
        <f t="shared" si="28"/>
        <v>40.230000000000004</v>
      </c>
      <c r="AF41" s="145">
        <f t="shared" si="29"/>
        <v>177.61069367891315</v>
      </c>
      <c r="AG41" s="772">
        <f t="shared" si="42"/>
        <v>480.96071392050135</v>
      </c>
      <c r="AH41" s="1253">
        <f t="shared" si="31"/>
        <v>44.908000000000001</v>
      </c>
      <c r="AI41" s="1253">
        <f t="shared" si="32"/>
        <v>46.98</v>
      </c>
      <c r="AJ41" s="156">
        <f t="shared" si="33"/>
        <v>-35.918557449587887</v>
      </c>
      <c r="AK41" s="156">
        <f t="shared" si="34"/>
        <v>39.725879139244128</v>
      </c>
      <c r="AM41" s="716">
        <f t="shared" si="35"/>
        <v>5226.2797264650735</v>
      </c>
      <c r="AN41" s="716" t="str">
        <f>_xlfn.XLOOKUP(D41,RUC!$B$3:$B$578,RUC!$M$3:$M$578)</f>
        <v>Evelyn</v>
      </c>
      <c r="AO41" s="1167" t="s">
        <v>2278</v>
      </c>
      <c r="AP41" s="1843">
        <v>314</v>
      </c>
      <c r="AQ41" s="1082" t="s">
        <v>5640</v>
      </c>
    </row>
    <row r="42" spans="1:53" ht="15" customHeight="1">
      <c r="A42" s="747" t="s">
        <v>5634</v>
      </c>
      <c r="B42" s="1447">
        <v>46160</v>
      </c>
      <c r="C42" s="1447">
        <v>46155</v>
      </c>
      <c r="D42" t="s">
        <v>1967</v>
      </c>
      <c r="E42" s="762">
        <f>_xlfn.XLOOKUP(D42,RUC!$B$3:$B$123,RUC!$D$3:$D$123)</f>
        <v>20601769396</v>
      </c>
      <c r="F42" s="629" t="s">
        <v>5639</v>
      </c>
      <c r="G42" s="762">
        <v>30</v>
      </c>
      <c r="H42" s="1082" t="s">
        <v>108</v>
      </c>
      <c r="I42" s="703">
        <v>2.69</v>
      </c>
      <c r="J42" s="596">
        <v>15.25</v>
      </c>
      <c r="K42" s="703">
        <f t="shared" si="23"/>
        <v>2.2799999999999998</v>
      </c>
      <c r="L42" s="1193">
        <v>0.67100000000000004</v>
      </c>
      <c r="M42" s="994">
        <f>ROUND(+IF(L42&gt;_xlfn.XLOOKUP(AN42,RUC!M:M,RUC!K:K),L42*_xlfn.XLOOKUP(AN42,RUC!M:M,RUC!I:I),L42-_xlfn.XLOOKUP(AN42,RUC!M:M,RUC!J:J)),3)</f>
        <v>0.63100000000000001</v>
      </c>
      <c r="N42" s="1196">
        <f t="shared" si="40"/>
        <v>0.63100000000000001</v>
      </c>
      <c r="O42" s="645">
        <f t="shared" si="24"/>
        <v>0.63100000000000001</v>
      </c>
      <c r="P42" s="727">
        <v>90</v>
      </c>
      <c r="Q42" s="1476">
        <v>96.27</v>
      </c>
      <c r="R42" s="706">
        <v>4675.7</v>
      </c>
      <c r="S42" s="765">
        <f>IF((_xlfn.XLOOKUP(D42,RUC!$B$3:$B$119,RUC!$E$3:$E$119)+ROUNDDOWN(O42,1)*100)&lt;95,95,((_xlfn.XLOOKUP(D42,RUC!$B$3:$B$119,RUC!$E$3:$E$119)+ROUNDDOWN(O42,1)*100)))</f>
        <v>150</v>
      </c>
      <c r="U42" s="1146">
        <f>_xlfn.XLOOKUP(D42,RUC!$B$3:$B$123,RUC!$F$3:$F$123)</f>
        <v>120</v>
      </c>
      <c r="V42" s="715">
        <v>1.1023000000000001</v>
      </c>
      <c r="Y42" s="1445">
        <v>30</v>
      </c>
      <c r="Z42" s="1454">
        <v>70</v>
      </c>
      <c r="AA42" s="144">
        <f t="shared" si="25"/>
        <v>100</v>
      </c>
      <c r="AB42" s="145">
        <f t="shared" si="41"/>
        <v>2576.2757516689999</v>
      </c>
      <c r="AC42" s="145">
        <f>+(S42-T42)*V42-'data 1'!$F$4</f>
        <v>85.344999999999999</v>
      </c>
      <c r="AD42" s="145">
        <f t="shared" si="27"/>
        <v>211.27347995948688</v>
      </c>
      <c r="AE42" s="145">
        <f t="shared" si="28"/>
        <v>40.230000000000004</v>
      </c>
      <c r="AF42" s="145">
        <f t="shared" si="29"/>
        <v>193.37747621988018</v>
      </c>
      <c r="AG42" s="772">
        <f t="shared" si="42"/>
        <v>547.22595617936713</v>
      </c>
      <c r="AH42" s="1253">
        <f t="shared" si="31"/>
        <v>50.496000000000002</v>
      </c>
      <c r="AI42" s="1253">
        <f t="shared" si="32"/>
        <v>52.453000000000003</v>
      </c>
      <c r="AJ42" s="156">
        <f t="shared" si="33"/>
        <v>-39.661441493486876</v>
      </c>
      <c r="AK42" s="156">
        <f t="shared" si="34"/>
        <v>44.393131871796598</v>
      </c>
      <c r="AM42" s="716">
        <f t="shared" si="35"/>
        <v>5873.9087138053192</v>
      </c>
      <c r="AN42" s="716" t="str">
        <f>_xlfn.XLOOKUP(D42,RUC!$B$3:$B$578,RUC!$M$3:$M$578)</f>
        <v>Evelyn</v>
      </c>
      <c r="AO42" s="1167" t="s">
        <v>2278</v>
      </c>
      <c r="AP42" s="1843">
        <v>314</v>
      </c>
      <c r="AQ42" s="1082" t="s">
        <v>5640</v>
      </c>
    </row>
    <row r="43" spans="1:53" ht="15" customHeight="1">
      <c r="A43" s="747" t="s">
        <v>5635</v>
      </c>
      <c r="B43" s="1447">
        <v>46160</v>
      </c>
      <c r="C43" s="1447">
        <v>46155</v>
      </c>
      <c r="D43" t="s">
        <v>4917</v>
      </c>
      <c r="E43" s="762" t="str">
        <f>_xlfn.XLOOKUP(D43,RUC!$B$3:$B$123,RUC!$D$3:$D$123)</f>
        <v>20611329556*</v>
      </c>
      <c r="G43" s="762" t="s">
        <v>2985</v>
      </c>
      <c r="H43" s="1082" t="s">
        <v>108</v>
      </c>
      <c r="I43" s="703">
        <v>23.48</v>
      </c>
      <c r="J43" s="596">
        <v>15.7</v>
      </c>
      <c r="K43" s="703">
        <f t="shared" si="23"/>
        <v>19.794</v>
      </c>
      <c r="L43" s="1193">
        <v>0.25900000000000001</v>
      </c>
      <c r="M43" s="994">
        <f>ROUND(+IF(L43&gt;_xlfn.XLOOKUP(AN43,RUC!M:M,RUC!K:K),L43*_xlfn.XLOOKUP(AN43,RUC!M:M,RUC!I:I),L43-_xlfn.XLOOKUP(AN43,RUC!M:M,RUC!J:J)),3)</f>
        <v>0.24</v>
      </c>
      <c r="N43" s="1196">
        <f t="shared" si="40"/>
        <v>0.24</v>
      </c>
      <c r="O43" s="645">
        <f t="shared" si="24"/>
        <v>0.24</v>
      </c>
      <c r="P43" s="727">
        <v>90</v>
      </c>
      <c r="Q43" s="1476">
        <v>96.91</v>
      </c>
      <c r="R43" s="706">
        <v>4675.7</v>
      </c>
      <c r="S43" s="765">
        <f>IF((_xlfn.XLOOKUP(D43,RUC!$B$3:$B$119,RUC!$E$3:$E$119)+ROUNDDOWN(O43,1)*100)&lt;95,95,((_xlfn.XLOOKUP(D43,RUC!$B$3:$B$119,RUC!$E$3:$E$119)+ROUNDDOWN(O43,1)*100)))</f>
        <v>100</v>
      </c>
      <c r="U43" s="1146">
        <f>_xlfn.XLOOKUP(D43,RUC!$B$3:$B$123,RUC!$F$3:$F$123)</f>
        <v>110</v>
      </c>
      <c r="V43" s="715">
        <v>1.1023000000000001</v>
      </c>
      <c r="Y43">
        <v>20</v>
      </c>
      <c r="Z43" s="643">
        <v>35</v>
      </c>
      <c r="AA43" s="144">
        <f t="shared" si="25"/>
        <v>55</v>
      </c>
      <c r="AB43" s="145">
        <f t="shared" si="41"/>
        <v>916.22205975999975</v>
      </c>
      <c r="AC43" s="145">
        <f>+(S43-T43)*V43-'data 1'!$F$4</f>
        <v>30.230000000000004</v>
      </c>
      <c r="AD43" s="145">
        <f t="shared" si="27"/>
        <v>90.071001278558967</v>
      </c>
      <c r="AE43" s="145">
        <f t="shared" si="28"/>
        <v>-9.3734999999999999</v>
      </c>
      <c r="AF43" s="145">
        <f t="shared" si="29"/>
        <v>92.667911171319062</v>
      </c>
      <c r="AG43" s="772">
        <f t="shared" si="42"/>
        <v>220.59541244987804</v>
      </c>
      <c r="AH43" s="1253">
        <f t="shared" si="31"/>
        <v>170.33799999999999</v>
      </c>
      <c r="AI43" s="1253">
        <f t="shared" si="32"/>
        <v>175.76900000000001</v>
      </c>
      <c r="AJ43" s="156">
        <f t="shared" si="33"/>
        <v>-18.17747410455895</v>
      </c>
      <c r="AK43" s="156">
        <f t="shared" si="34"/>
        <v>146.58731374932719</v>
      </c>
      <c r="AM43" s="716">
        <f t="shared" si="35"/>
        <v>18135.699450889435</v>
      </c>
      <c r="AN43" s="716" t="str">
        <f>_xlfn.XLOOKUP(D43,RUC!$B$3:$B$578,RUC!$M$3:$M$578)</f>
        <v>Robinson Tuya</v>
      </c>
      <c r="AO43" s="1167" t="s">
        <v>2277</v>
      </c>
      <c r="AP43" s="1843">
        <v>59</v>
      </c>
      <c r="AQ43" s="1082" t="s">
        <v>4078</v>
      </c>
    </row>
    <row r="44" spans="1:53" ht="15" customHeight="1">
      <c r="A44" s="747" t="s">
        <v>5636</v>
      </c>
      <c r="B44" s="1447">
        <v>46161</v>
      </c>
      <c r="C44" s="1447">
        <v>46155</v>
      </c>
      <c r="D44" t="s">
        <v>2004</v>
      </c>
      <c r="E44" s="762">
        <f>_xlfn.XLOOKUP(D44,RUC!$B$3:$B$123,RUC!$D$3:$D$123)</f>
        <v>20612921866</v>
      </c>
      <c r="G44" s="762">
        <v>40</v>
      </c>
      <c r="H44" s="1082" t="s">
        <v>108</v>
      </c>
      <c r="I44" s="703">
        <v>3.56</v>
      </c>
      <c r="J44" s="596">
        <v>19.7</v>
      </c>
      <c r="K44" s="703">
        <f t="shared" si="23"/>
        <v>2.859</v>
      </c>
      <c r="L44" s="1193">
        <v>0.37</v>
      </c>
      <c r="M44" s="994">
        <f>ROUND(+IF(L44&gt;_xlfn.XLOOKUP(AN44,RUC!M:M,RUC!K:K),L44*_xlfn.XLOOKUP(AN44,RUC!M:M,RUC!I:I),L44-_xlfn.XLOOKUP(AN44,RUC!M:M,RUC!J:J)),3)</f>
        <v>0.34799999999999998</v>
      </c>
      <c r="N44" s="1196">
        <f t="shared" si="40"/>
        <v>0.34799999999999998</v>
      </c>
      <c r="O44" s="645">
        <f t="shared" si="24"/>
        <v>0.34799999999999998</v>
      </c>
      <c r="P44" s="727">
        <v>90</v>
      </c>
      <c r="Q44" s="1476">
        <v>95.14</v>
      </c>
      <c r="R44" s="706">
        <v>4675.7</v>
      </c>
      <c r="S44" s="765">
        <f>IF((_xlfn.XLOOKUP(D44,RUC!$B$3:$B$119,RUC!$E$3:$E$119)+ROUNDDOWN(O44,1)*100)&lt;95,95,((_xlfn.XLOOKUP(D44,RUC!$B$3:$B$119,RUC!$E$3:$E$119)+ROUNDDOWN(O44,1)*100)))</f>
        <v>110</v>
      </c>
      <c r="U44" s="1146">
        <f>_xlfn.XLOOKUP(D44,RUC!$B$3:$B$123,RUC!$F$3:$F$123)</f>
        <v>100</v>
      </c>
      <c r="V44" s="715">
        <v>1.1023000000000001</v>
      </c>
      <c r="Y44">
        <f>_xlfn.XLOOKUP(D44,RUC!$B$3:$B$123,RUC!$G$3:$G$123)</f>
        <v>0</v>
      </c>
      <c r="Z44" s="1454">
        <v>60</v>
      </c>
      <c r="AA44" s="144">
        <f t="shared" si="25"/>
        <v>60</v>
      </c>
      <c r="AB44" s="145">
        <f t="shared" si="41"/>
        <v>1392.3253152519999</v>
      </c>
      <c r="AC44" s="145">
        <f>+(S44-T44)*V44-'data 1'!$F$4</f>
        <v>41.253</v>
      </c>
      <c r="AD44" s="145">
        <f t="shared" si="27"/>
        <v>95.922876383980025</v>
      </c>
      <c r="AE44" s="145">
        <f t="shared" si="28"/>
        <v>-3.8619999999999948</v>
      </c>
      <c r="AF44" s="145">
        <f t="shared" si="29"/>
        <v>105.5706457575881</v>
      </c>
      <c r="AG44" s="772">
        <f>AC44+AD44+AE44+AF44+70-10</f>
        <v>298.88452214156814</v>
      </c>
      <c r="AH44" s="1253">
        <f t="shared" si="31"/>
        <v>34.505000000000003</v>
      </c>
      <c r="AI44" s="1253">
        <f t="shared" si="32"/>
        <v>36.268000000000001</v>
      </c>
      <c r="AJ44" s="156">
        <f t="shared" si="33"/>
        <v>-29.373828713979933</v>
      </c>
      <c r="AK44" s="156">
        <f t="shared" si="34"/>
        <v>30.700466733026342</v>
      </c>
      <c r="AM44" s="716">
        <f t="shared" si="35"/>
        <v>3980.6580763054676</v>
      </c>
      <c r="AN44" s="716" t="str">
        <f>_xlfn.XLOOKUP(D44,RUC!$B$3:$B$578,RUC!$M$3:$M$578)</f>
        <v>Ronald Garibay</v>
      </c>
      <c r="AO44" s="1167" t="s">
        <v>2277</v>
      </c>
      <c r="AP44" s="1843">
        <v>467</v>
      </c>
      <c r="AQ44" s="1082" t="s">
        <v>5641</v>
      </c>
    </row>
    <row r="45" spans="1:53" ht="15" customHeight="1">
      <c r="A45" s="747" t="s">
        <v>5637</v>
      </c>
      <c r="B45" s="1447">
        <v>46164</v>
      </c>
      <c r="C45" s="1447">
        <v>46155</v>
      </c>
      <c r="D45" t="s">
        <v>2004</v>
      </c>
      <c r="E45" s="762">
        <f>_xlfn.XLOOKUP(D45,RUC!$B$3:$B$123,RUC!$D$3:$D$123)</f>
        <v>20612921866</v>
      </c>
      <c r="G45" s="762">
        <v>110</v>
      </c>
      <c r="H45" s="1082" t="s">
        <v>108</v>
      </c>
      <c r="I45" s="703">
        <v>9.5299999999999994</v>
      </c>
      <c r="J45" s="596">
        <v>18.3</v>
      </c>
      <c r="K45" s="703">
        <f t="shared" si="23"/>
        <v>7.7859999999999996</v>
      </c>
      <c r="L45" s="1193">
        <v>0.161</v>
      </c>
      <c r="M45" s="994">
        <f>ROUND(+IF(L45&gt;_xlfn.XLOOKUP(AN45,RUC!M:M,RUC!K:K),L45*_xlfn.XLOOKUP(AN45,RUC!M:M,RUC!I:I),L45-_xlfn.XLOOKUP(AN45,RUC!M:M,RUC!J:J)),3)</f>
        <v>0.14199999999999999</v>
      </c>
      <c r="N45" s="1196">
        <f t="shared" si="40"/>
        <v>0.14199999999999999</v>
      </c>
      <c r="O45" s="645">
        <f t="shared" si="24"/>
        <v>0.14199999999999999</v>
      </c>
      <c r="P45" s="727">
        <v>90</v>
      </c>
      <c r="Q45" s="1572">
        <v>90.6</v>
      </c>
      <c r="R45" s="706">
        <v>4675.7</v>
      </c>
      <c r="S45" s="765">
        <f>IF((_xlfn.XLOOKUP(D45,RUC!$B$3:$B$119,RUC!$E$3:$E$119)+ROUNDDOWN(O45,1)*100)&lt;95,95,((_xlfn.XLOOKUP(D45,RUC!$B$3:$B$119,RUC!$E$3:$E$119)+ROUNDDOWN(O45,1)*100)))</f>
        <v>95</v>
      </c>
      <c r="U45" s="1146">
        <f>_xlfn.XLOOKUP(D45,RUC!$B$3:$B$123,RUC!$F$3:$F$123)</f>
        <v>100</v>
      </c>
      <c r="V45" s="715">
        <v>1.1023000000000001</v>
      </c>
      <c r="Y45">
        <f>_xlfn.XLOOKUP(D45,RUC!$B$3:$B$123,RUC!$G$3:$G$123)</f>
        <v>0</v>
      </c>
      <c r="Z45" s="1454">
        <v>70</v>
      </c>
      <c r="AA45" s="144">
        <f t="shared" si="25"/>
        <v>70</v>
      </c>
      <c r="AB45" s="145">
        <f t="shared" si="41"/>
        <v>462.71738725799997</v>
      </c>
      <c r="AC45" s="145">
        <f>+(S45-T45)*V45-'data 1'!$F$4</f>
        <v>24.718500000000006</v>
      </c>
      <c r="AD45" s="145">
        <f t="shared" si="27"/>
        <v>4.8723051102599539</v>
      </c>
      <c r="AE45" s="145">
        <f t="shared" si="28"/>
        <v>7.1610000000000014</v>
      </c>
      <c r="AF45" s="145">
        <f t="shared" si="29"/>
        <v>86.823871809540066</v>
      </c>
      <c r="AG45" s="772">
        <f>AC45+AD45+AE45+AF45+70-10</f>
        <v>183.57567691980003</v>
      </c>
      <c r="AH45" s="1253">
        <f t="shared" si="31"/>
        <v>38.938000000000002</v>
      </c>
      <c r="AI45" s="1253">
        <f t="shared" si="32"/>
        <v>42.978000000000002</v>
      </c>
      <c r="AJ45" s="156">
        <f t="shared" si="33"/>
        <v>-12.171658549259972</v>
      </c>
      <c r="AK45" s="156">
        <f t="shared" si="34"/>
        <v>34.115702807462938</v>
      </c>
      <c r="AM45" s="716">
        <f t="shared" si="35"/>
        <v>3602.7175771907878</v>
      </c>
      <c r="AN45" s="716" t="str">
        <f>_xlfn.XLOOKUP(D45,RUC!$B$3:$B$578,RUC!$M$3:$M$578)</f>
        <v>Ronald Garibay</v>
      </c>
      <c r="AO45" s="1167" t="s">
        <v>2277</v>
      </c>
      <c r="AP45" s="1843">
        <v>467</v>
      </c>
      <c r="AQ45" s="1082" t="s">
        <v>5641</v>
      </c>
    </row>
    <row r="46" spans="1:53" ht="15" customHeight="1">
      <c r="A46" s="747" t="s">
        <v>5642</v>
      </c>
      <c r="B46" s="1447">
        <v>46160</v>
      </c>
      <c r="C46" s="1447">
        <v>46156</v>
      </c>
      <c r="D46" t="s">
        <v>5095</v>
      </c>
      <c r="E46" s="762">
        <f>_xlfn.XLOOKUP(D46,RUC!$B$3:$B$123,RUC!$D$3:$D$123)</f>
        <v>10770876970</v>
      </c>
      <c r="G46" s="762">
        <v>50</v>
      </c>
      <c r="H46" s="1082" t="s">
        <v>69</v>
      </c>
      <c r="I46" s="703">
        <v>5.23</v>
      </c>
      <c r="J46" s="596">
        <v>7.8</v>
      </c>
      <c r="K46" s="703">
        <f t="shared" si="23"/>
        <v>4.8220000000000001</v>
      </c>
      <c r="L46" s="1193">
        <v>0.28299999999999997</v>
      </c>
      <c r="M46" s="994">
        <f>ROUND(+IF(L46&gt;_xlfn.XLOOKUP(AN46,RUC!M:M,RUC!K:K),L46*_xlfn.XLOOKUP(AN46,RUC!M:M,RUC!I:I),L46-_xlfn.XLOOKUP(AN46,RUC!M:M,RUC!J:J)),3)</f>
        <v>0.26400000000000001</v>
      </c>
      <c r="N46" s="1196">
        <f t="shared" si="40"/>
        <v>0.26400000000000001</v>
      </c>
      <c r="O46" s="645">
        <f t="shared" si="24"/>
        <v>0.26400000000000001</v>
      </c>
      <c r="P46" s="727">
        <v>88</v>
      </c>
      <c r="Q46" s="1476">
        <v>95.05</v>
      </c>
      <c r="R46" s="706">
        <v>4683.05</v>
      </c>
      <c r="S46" s="1164">
        <v>115</v>
      </c>
      <c r="U46" s="1146">
        <f>_xlfn.XLOOKUP(D46,RUC!$B$3:$B$123,RUC!$F$3:$F$123)</f>
        <v>100</v>
      </c>
      <c r="V46" s="715">
        <v>1.1023000000000001</v>
      </c>
      <c r="Y46">
        <f>_xlfn.XLOOKUP(D46,RUC!$B$3:$B$123,RUC!$G$3:$G$123)</f>
        <v>0</v>
      </c>
      <c r="Z46" s="1454">
        <v>120</v>
      </c>
      <c r="AA46" s="144">
        <f t="shared" si="25"/>
        <v>120</v>
      </c>
      <c r="AB46" s="145">
        <f t="shared" si="41"/>
        <v>914.61598220479993</v>
      </c>
      <c r="AC46" s="145">
        <f>+(S46-T46)*V46-'data 1'!$F$4</f>
        <v>46.764500000000012</v>
      </c>
      <c r="AD46" s="145">
        <f t="shared" si="27"/>
        <v>100.79290334327244</v>
      </c>
      <c r="AE46" s="145">
        <f t="shared" si="28"/>
        <v>62.27600000000001</v>
      </c>
      <c r="AF46" s="145">
        <f t="shared" si="29"/>
        <v>91.234716082892334</v>
      </c>
      <c r="AG46" s="1881">
        <f>AC46+AD46+AE46+AF46+70-111.67</f>
        <v>259.39811942616478</v>
      </c>
      <c r="AH46" s="1253">
        <f t="shared" si="31"/>
        <v>44.470999999999997</v>
      </c>
      <c r="AI46" s="1253">
        <f t="shared" si="32"/>
        <v>46.786999999999999</v>
      </c>
      <c r="AJ46" s="156">
        <f t="shared" si="33"/>
        <v>-24.625099893872548</v>
      </c>
      <c r="AK46" s="156">
        <f t="shared" si="34"/>
        <v>38.40810447826388</v>
      </c>
      <c r="AM46" s="716">
        <f t="shared" si="35"/>
        <v>4410.2782661915453</v>
      </c>
      <c r="AN46" s="716" t="str">
        <f>_xlfn.XLOOKUP(D46,RUC!$B$3:$B$578,RUC!$M$3:$M$578)</f>
        <v>Alfred Torres  *</v>
      </c>
      <c r="AO46" s="1167" t="s">
        <v>2277</v>
      </c>
      <c r="AP46" s="1843">
        <v>16</v>
      </c>
      <c r="AQ46" s="1082" t="s">
        <v>3569</v>
      </c>
    </row>
    <row r="47" spans="1:53" ht="15" customHeight="1">
      <c r="A47" s="747" t="s">
        <v>5643</v>
      </c>
      <c r="B47" s="1447">
        <v>46160</v>
      </c>
      <c r="C47" s="1447">
        <v>46156</v>
      </c>
      <c r="D47" t="s">
        <v>5095</v>
      </c>
      <c r="E47" s="762">
        <f>_xlfn.XLOOKUP(D47,RUC!$B$3:$B$123,RUC!$D$3:$D$123)</f>
        <v>10770876970</v>
      </c>
      <c r="F47" s="629"/>
      <c r="G47" s="762" t="s">
        <v>2985</v>
      </c>
      <c r="H47" s="1082" t="s">
        <v>69</v>
      </c>
      <c r="I47" s="703">
        <v>31.54</v>
      </c>
      <c r="J47" s="596">
        <v>5</v>
      </c>
      <c r="K47" s="703">
        <f t="shared" si="23"/>
        <v>29.963000000000001</v>
      </c>
      <c r="L47" s="1193">
        <v>0.25600000000000001</v>
      </c>
      <c r="M47" s="994">
        <f>ROUND(+IF(L47&gt;_xlfn.XLOOKUP(AN47,RUC!M:M,RUC!K:K),L47*_xlfn.XLOOKUP(AN47,RUC!M:M,RUC!I:I),L47-_xlfn.XLOOKUP(AN47,RUC!M:M,RUC!J:J)),3)</f>
        <v>0.23699999999999999</v>
      </c>
      <c r="N47" s="1196">
        <f t="shared" si="40"/>
        <v>0.23699999999999999</v>
      </c>
      <c r="O47" s="645">
        <f t="shared" si="24"/>
        <v>0.23699999999999999</v>
      </c>
      <c r="P47" s="727">
        <v>88</v>
      </c>
      <c r="Q47" s="1476">
        <v>94.53</v>
      </c>
      <c r="R47" s="706">
        <v>4683.05</v>
      </c>
      <c r="S47" s="1164">
        <v>115</v>
      </c>
      <c r="U47" s="1146">
        <f>_xlfn.XLOOKUP(D47,RUC!$B$3:$B$123,RUC!$F$3:$F$123)</f>
        <v>100</v>
      </c>
      <c r="V47" s="715">
        <v>1.1023000000000001</v>
      </c>
      <c r="Y47">
        <f>_xlfn.XLOOKUP(D47,RUC!$B$3:$B$123,RUC!$G$3:$G$123)</f>
        <v>0</v>
      </c>
      <c r="Z47" s="1454">
        <v>120</v>
      </c>
      <c r="AA47" s="144">
        <f t="shared" si="25"/>
        <v>120</v>
      </c>
      <c r="AB47" s="145">
        <f t="shared" si="41"/>
        <v>794.58293288839991</v>
      </c>
      <c r="AC47" s="145">
        <f>+(S47-T47)*V47-'data 1'!$F$4</f>
        <v>46.764500000000012</v>
      </c>
      <c r="AD47" s="145">
        <f t="shared" si="27"/>
        <v>84.451535303552021</v>
      </c>
      <c r="AE47" s="145">
        <f t="shared" si="28"/>
        <v>62.27600000000001</v>
      </c>
      <c r="AF47" s="145">
        <f t="shared" si="29"/>
        <v>90.735588756610596</v>
      </c>
      <c r="AG47" s="1881">
        <f>AC47+AD47+AE47+AF47+70-108.94</f>
        <v>245.28762406016261</v>
      </c>
      <c r="AH47" s="1253">
        <f t="shared" si="31"/>
        <v>248.602</v>
      </c>
      <c r="AI47" s="1253">
        <f t="shared" si="32"/>
        <v>262.98700000000002</v>
      </c>
      <c r="AJ47" s="156">
        <f t="shared" si="33"/>
        <v>-22.153842682752046</v>
      </c>
      <c r="AK47" s="156">
        <f t="shared" si="34"/>
        <v>214.25224521156682</v>
      </c>
      <c r="AM47" s="716">
        <f t="shared" si="35"/>
        <v>23808.088418135128</v>
      </c>
      <c r="AN47" s="716" t="str">
        <f>_xlfn.XLOOKUP(D47,RUC!$B$3:$B$578,RUC!$M$3:$M$578)</f>
        <v>Alfred Torres  *</v>
      </c>
      <c r="AO47" s="1167" t="s">
        <v>2277</v>
      </c>
      <c r="AP47" s="1843">
        <v>16</v>
      </c>
      <c r="AQ47" s="1082" t="s">
        <v>3569</v>
      </c>
    </row>
    <row r="48" spans="1:53" ht="15" customHeight="1">
      <c r="A48" s="1819" t="s">
        <v>5644</v>
      </c>
      <c r="B48" s="1447">
        <v>46164</v>
      </c>
      <c r="C48" s="1447">
        <v>46156</v>
      </c>
      <c r="D48" t="s">
        <v>3510</v>
      </c>
      <c r="E48" s="762">
        <f>_xlfn.XLOOKUP(D48,RUC!$B$3:$B$123,RUC!$D$3:$D$123)</f>
        <v>10408856049</v>
      </c>
      <c r="F48" s="629"/>
      <c r="G48" s="762" t="s">
        <v>2985</v>
      </c>
      <c r="H48" s="1082" t="s">
        <v>69</v>
      </c>
      <c r="I48" s="703">
        <v>42.09</v>
      </c>
      <c r="J48" s="596">
        <v>9.75</v>
      </c>
      <c r="K48" s="703">
        <f t="shared" si="23"/>
        <v>37.985999999999997</v>
      </c>
      <c r="L48" s="1193">
        <v>0.255</v>
      </c>
      <c r="M48" s="994">
        <f>ROUND(+IF(L48&gt;_xlfn.XLOOKUP(AN48,RUC!M:M,RUC!K:K),L48*_xlfn.XLOOKUP(AN48,RUC!M:M,RUC!I:I),L48-_xlfn.XLOOKUP(AN48,RUC!M:M,RUC!J:J)),3)</f>
        <v>0.22</v>
      </c>
      <c r="N48" s="1444">
        <v>0.26400000000000001</v>
      </c>
      <c r="O48" s="645">
        <f t="shared" si="24"/>
        <v>0.24199999999999999</v>
      </c>
      <c r="P48" s="727">
        <v>90</v>
      </c>
      <c r="Q48" s="1476">
        <v>96.47</v>
      </c>
      <c r="R48" s="706">
        <v>4683.05</v>
      </c>
      <c r="S48" s="765">
        <f>IF((_xlfn.XLOOKUP(D48,RUC!$B$3:$B$119,RUC!$E$3:$E$119)+ROUNDDOWN(O48,1)*100)&lt;95,95,((_xlfn.XLOOKUP(D48,RUC!$B$3:$B$119,RUC!$E$3:$E$119)+ROUNDDOWN(O48,1)*100)))</f>
        <v>110</v>
      </c>
      <c r="U48" s="1146">
        <f>_xlfn.XLOOKUP(D48,RUC!$B$3:$B$123,RUC!$F$3:$F$123)</f>
        <v>120</v>
      </c>
      <c r="V48" s="715">
        <v>1.1023000000000001</v>
      </c>
      <c r="Y48">
        <f>_xlfn.XLOOKUP(D48,RUC!$B$3:$B$123,RUC!$G$3:$G$123)</f>
        <v>20</v>
      </c>
      <c r="Z48" s="143">
        <f>_xlfn.XLOOKUP(D48,RUC!$B$3:$B$123,RUC!$H$3:$H$123)</f>
        <v>30</v>
      </c>
      <c r="AA48" s="144">
        <f t="shared" si="25"/>
        <v>50</v>
      </c>
      <c r="AB48" s="145">
        <f t="shared" si="41"/>
        <v>919.13333326700013</v>
      </c>
      <c r="AC48" s="145">
        <f>+(S48-T48)*V48-'data 1'!$F$4</f>
        <v>41.253</v>
      </c>
      <c r="AD48" s="145">
        <f t="shared" si="27"/>
        <v>82.984980472477488</v>
      </c>
      <c r="AE48" s="145">
        <f t="shared" si="28"/>
        <v>-14.884999999999998</v>
      </c>
      <c r="AF48" s="145">
        <f t="shared" si="29"/>
        <v>63.079852023116558</v>
      </c>
      <c r="AG48" s="772">
        <f t="shared" ref="AG48:AG90" si="43">AC48+AD48+AE48+AF48+70-53</f>
        <v>189.43283249559406</v>
      </c>
      <c r="AH48" s="1253">
        <f t="shared" si="31"/>
        <v>320.38</v>
      </c>
      <c r="AI48" s="1253">
        <f t="shared" si="32"/>
        <v>332.10300000000001</v>
      </c>
      <c r="AJ48" s="156">
        <f t="shared" si="33"/>
        <v>-17.096899439977552</v>
      </c>
      <c r="AK48" s="156">
        <f t="shared" si="34"/>
        <v>283.65504265177793</v>
      </c>
      <c r="AM48" s="716">
        <f t="shared" si="35"/>
        <v>34914.198797480261</v>
      </c>
      <c r="AN48" s="716" t="str">
        <f>_xlfn.XLOOKUP(D48,RUC!$B$3:$B$578,RUC!$M$3:$M$578)</f>
        <v>Richard Sapacayo</v>
      </c>
      <c r="AO48" s="1167" t="s">
        <v>2278</v>
      </c>
      <c r="AP48" s="1843">
        <v>68</v>
      </c>
      <c r="AQ48" s="1082" t="s">
        <v>5659</v>
      </c>
    </row>
    <row r="49" spans="1:43" ht="15" customHeight="1">
      <c r="A49" s="747" t="s">
        <v>5645</v>
      </c>
      <c r="B49" s="1447">
        <v>46162</v>
      </c>
      <c r="C49" s="1447">
        <v>46156</v>
      </c>
      <c r="D49" t="s">
        <v>93</v>
      </c>
      <c r="E49" s="762">
        <f>_xlfn.XLOOKUP(D49,RUC!$B$3:$B$123,RUC!$D$3:$D$123)</f>
        <v>20169040231</v>
      </c>
      <c r="F49" s="629" t="s">
        <v>5662</v>
      </c>
      <c r="G49" s="762">
        <v>10</v>
      </c>
      <c r="H49" s="1082" t="s">
        <v>69</v>
      </c>
      <c r="I49" s="703">
        <v>0.89</v>
      </c>
      <c r="J49" s="596">
        <v>2</v>
      </c>
      <c r="K49" s="703">
        <f t="shared" si="23"/>
        <v>0.872</v>
      </c>
      <c r="L49" s="1193">
        <v>0.224</v>
      </c>
      <c r="M49" s="994">
        <f>ROUND(+IF(L49&gt;_xlfn.XLOOKUP(AN49,RUC!M:M,RUC!K:K),L49*_xlfn.XLOOKUP(AN49,RUC!M:M,RUC!I:I),L49-_xlfn.XLOOKUP(AN49,RUC!M:M,RUC!J:J)),3)</f>
        <v>0.20499999999999999</v>
      </c>
      <c r="N49" s="1196">
        <f t="shared" si="40"/>
        <v>0.20499999999999999</v>
      </c>
      <c r="O49" s="645">
        <f t="shared" si="24"/>
        <v>0.20499999999999999</v>
      </c>
      <c r="P49" s="727">
        <v>90</v>
      </c>
      <c r="Q49" s="1476">
        <v>97.77</v>
      </c>
      <c r="R49" s="706">
        <v>4683.05</v>
      </c>
      <c r="S49" s="765">
        <f>IF((_xlfn.XLOOKUP(D49,RUC!$B$3:$B$119,RUC!$E$3:$E$119)+ROUNDDOWN(O49,1)*100)&lt;95,95,((_xlfn.XLOOKUP(D49,RUC!$B$3:$B$119,RUC!$E$3:$E$119)+ROUNDDOWN(O49,1)*100)))</f>
        <v>105</v>
      </c>
      <c r="U49" s="1146">
        <f>_xlfn.XLOOKUP(D49,RUC!$B$3:$B$123,RUC!$F$3:$F$123)</f>
        <v>120</v>
      </c>
      <c r="V49" s="715">
        <v>1.1023000000000001</v>
      </c>
      <c r="Y49">
        <f>_xlfn.XLOOKUP(D49,RUC!$B$3:$B$123,RUC!$G$3:$G$123)</f>
        <v>20</v>
      </c>
      <c r="Z49" s="143">
        <f>_xlfn.XLOOKUP(D49,RUC!$B$3:$B$123,RUC!$H$3:$H$123)</f>
        <v>30</v>
      </c>
      <c r="AA49" s="144">
        <f t="shared" si="25"/>
        <v>50</v>
      </c>
      <c r="AB49" s="145">
        <f t="shared" si="41"/>
        <v>757.15082776750012</v>
      </c>
      <c r="AC49" s="145">
        <f>+(S49-T49)*V49-'data 1'!$F$4</f>
        <v>35.741500000000002</v>
      </c>
      <c r="AD49" s="145">
        <f t="shared" si="27"/>
        <v>87.543533541071952</v>
      </c>
      <c r="AE49" s="145">
        <f t="shared" si="28"/>
        <v>-14.884999999999998</v>
      </c>
      <c r="AF49" s="145">
        <f t="shared" si="29"/>
        <v>93.436002833644579</v>
      </c>
      <c r="AG49" s="772">
        <f t="shared" si="43"/>
        <v>218.83603637471651</v>
      </c>
      <c r="AH49" s="1253">
        <f t="shared" si="31"/>
        <v>6.548</v>
      </c>
      <c r="AI49" s="1253">
        <f t="shared" si="32"/>
        <v>6.6970000000000001</v>
      </c>
      <c r="AJ49" s="156">
        <f t="shared" si="33"/>
        <v>-15.220836885072044</v>
      </c>
      <c r="AK49" s="156">
        <f t="shared" si="34"/>
        <v>5.5159703710362002</v>
      </c>
      <c r="AM49" s="716">
        <f t="shared" si="35"/>
        <v>660.23552181326011</v>
      </c>
      <c r="AN49" s="716" t="str">
        <f>_xlfn.XLOOKUP(D49,RUC!$B$3:$B$578,RUC!$M$3:$M$578)</f>
        <v>Ronald Miranda</v>
      </c>
      <c r="AO49" s="1167" t="s">
        <v>2278</v>
      </c>
      <c r="AP49" s="1843">
        <v>6690</v>
      </c>
      <c r="AQ49" s="1082" t="s">
        <v>5660</v>
      </c>
    </row>
    <row r="50" spans="1:43" ht="15" customHeight="1">
      <c r="A50" s="747" t="s">
        <v>5646</v>
      </c>
      <c r="B50" s="1447">
        <v>46162</v>
      </c>
      <c r="C50" s="1447">
        <v>46156</v>
      </c>
      <c r="D50" t="s">
        <v>93</v>
      </c>
      <c r="E50" s="762">
        <f>_xlfn.XLOOKUP(D50,RUC!$B$3:$B$123,RUC!$D$3:$D$123)</f>
        <v>20169040231</v>
      </c>
      <c r="F50" s="629" t="s">
        <v>5663</v>
      </c>
      <c r="G50" s="762">
        <v>58</v>
      </c>
      <c r="H50" s="1082" t="s">
        <v>69</v>
      </c>
      <c r="I50" s="703">
        <v>5.0199999999999996</v>
      </c>
      <c r="J50" s="596">
        <v>2.2000000000000002</v>
      </c>
      <c r="K50" s="703">
        <f t="shared" si="23"/>
        <v>4.91</v>
      </c>
      <c r="L50" s="1193">
        <v>0.73599999999999999</v>
      </c>
      <c r="M50" s="994">
        <f>ROUND(+IF(L50&gt;_xlfn.XLOOKUP(AN50,RUC!M:M,RUC!K:K),L50*_xlfn.XLOOKUP(AN50,RUC!M:M,RUC!I:I),L50-_xlfn.XLOOKUP(AN50,RUC!M:M,RUC!J:J)),3)</f>
        <v>0.69199999999999995</v>
      </c>
      <c r="N50" s="1196">
        <f t="shared" si="40"/>
        <v>0.69199999999999995</v>
      </c>
      <c r="O50" s="645">
        <f t="shared" si="24"/>
        <v>0.69199999999999995</v>
      </c>
      <c r="P50" s="727">
        <v>90</v>
      </c>
      <c r="Q50" s="1476">
        <v>94.16</v>
      </c>
      <c r="R50" s="706">
        <v>4683.05</v>
      </c>
      <c r="S50" s="765">
        <f>IF((_xlfn.XLOOKUP(D50,RUC!$B$3:$B$119,RUC!$E$3:$E$119)+ROUNDDOWN(O50,1)*100)&lt;95,95,((_xlfn.XLOOKUP(D50,RUC!$B$3:$B$119,RUC!$E$3:$E$119)+ROUNDDOWN(O50,1)*100)))</f>
        <v>145</v>
      </c>
      <c r="U50" s="1146">
        <f>_xlfn.XLOOKUP(D50,RUC!$B$3:$B$123,RUC!$F$3:$F$123)</f>
        <v>120</v>
      </c>
      <c r="V50" s="715">
        <v>1.1023000000000001</v>
      </c>
      <c r="Y50">
        <f>_xlfn.XLOOKUP(D50,RUC!$B$3:$B$123,RUC!$G$3:$G$123)</f>
        <v>20</v>
      </c>
      <c r="Z50" s="143">
        <f>_xlfn.XLOOKUP(D50,RUC!$B$3:$B$123,RUC!$H$3:$H$123)</f>
        <v>30</v>
      </c>
      <c r="AA50" s="144">
        <f t="shared" si="25"/>
        <v>50</v>
      </c>
      <c r="AB50" s="145">
        <f t="shared" si="41"/>
        <v>2917.642089342</v>
      </c>
      <c r="AC50" s="145">
        <f>+(S50-T50)*V50-'data 1'!$F$4</f>
        <v>79.833500000000015</v>
      </c>
      <c r="AD50" s="145">
        <f t="shared" si="27"/>
        <v>154.00193581926388</v>
      </c>
      <c r="AE50" s="145">
        <f t="shared" si="28"/>
        <v>-14.884999999999998</v>
      </c>
      <c r="AF50" s="145">
        <f t="shared" si="29"/>
        <v>208.38869806145621</v>
      </c>
      <c r="AG50" s="772">
        <f t="shared" si="43"/>
        <v>444.33913388072011</v>
      </c>
      <c r="AH50" s="1253">
        <f t="shared" si="31"/>
        <v>116.663</v>
      </c>
      <c r="AI50" s="1253">
        <f t="shared" si="32"/>
        <v>123.899</v>
      </c>
      <c r="AJ50" s="156">
        <f t="shared" si="33"/>
        <v>-48.164733595264146</v>
      </c>
      <c r="AK50" s="156">
        <f t="shared" si="34"/>
        <v>104.8429338167214</v>
      </c>
      <c r="AM50" s="716">
        <f t="shared" si="35"/>
        <v>14325.622658669221</v>
      </c>
      <c r="AN50" s="716" t="str">
        <f>_xlfn.XLOOKUP(D50,RUC!$B$3:$B$578,RUC!$M$3:$M$578)</f>
        <v>Ronald Miranda</v>
      </c>
      <c r="AO50" s="1167" t="s">
        <v>2280</v>
      </c>
      <c r="AP50" s="1843">
        <v>6690</v>
      </c>
      <c r="AQ50" s="1082" t="s">
        <v>5660</v>
      </c>
    </row>
    <row r="51" spans="1:43" ht="15" customHeight="1">
      <c r="A51" s="747" t="s">
        <v>5647</v>
      </c>
      <c r="B51" s="1447">
        <v>46162</v>
      </c>
      <c r="C51" s="1447">
        <v>46156</v>
      </c>
      <c r="D51" t="s">
        <v>93</v>
      </c>
      <c r="E51" s="762">
        <f>_xlfn.XLOOKUP(D51,RUC!$B$3:$B$123,RUC!$D$3:$D$123)</f>
        <v>20169040231</v>
      </c>
      <c r="F51" s="629" t="s">
        <v>5664</v>
      </c>
      <c r="G51" s="762">
        <v>50</v>
      </c>
      <c r="H51" s="1082" t="s">
        <v>69</v>
      </c>
      <c r="I51" s="703">
        <v>5.0599999999999996</v>
      </c>
      <c r="J51" s="596">
        <v>2.85</v>
      </c>
      <c r="K51" s="703">
        <f t="shared" si="23"/>
        <v>4.9160000000000004</v>
      </c>
      <c r="L51" s="1193">
        <v>0.28399999999999997</v>
      </c>
      <c r="M51" s="994">
        <f>ROUND(+IF(L51&gt;_xlfn.XLOOKUP(AN51,RUC!M:M,RUC!K:K),L51*_xlfn.XLOOKUP(AN51,RUC!M:M,RUC!I:I),L51-_xlfn.XLOOKUP(AN51,RUC!M:M,RUC!J:J)),3)</f>
        <v>0.26500000000000001</v>
      </c>
      <c r="N51" s="1196">
        <f t="shared" si="40"/>
        <v>0.26500000000000001</v>
      </c>
      <c r="O51" s="645">
        <f t="shared" si="24"/>
        <v>0.26500000000000001</v>
      </c>
      <c r="P51" s="727">
        <v>90</v>
      </c>
      <c r="Q51" s="1476">
        <v>96.48</v>
      </c>
      <c r="R51" s="706">
        <v>4683.05</v>
      </c>
      <c r="S51" s="765">
        <f>IF((_xlfn.XLOOKUP(D51,RUC!$B$3:$B$119,RUC!$E$3:$E$119)+ROUNDDOWN(O51,1)*100)&lt;95,95,((_xlfn.XLOOKUP(D51,RUC!$B$3:$B$119,RUC!$E$3:$E$119)+ROUNDDOWN(O51,1)*100)))</f>
        <v>105</v>
      </c>
      <c r="U51" s="1146">
        <f>_xlfn.XLOOKUP(D51,RUC!$B$3:$B$123,RUC!$F$3:$F$123)</f>
        <v>120</v>
      </c>
      <c r="V51" s="715">
        <v>1.1023000000000001</v>
      </c>
      <c r="Y51">
        <f>_xlfn.XLOOKUP(D51,RUC!$B$3:$B$123,RUC!$G$3:$G$123)</f>
        <v>20</v>
      </c>
      <c r="Z51" s="143">
        <f>_xlfn.XLOOKUP(D51,RUC!$B$3:$B$123,RUC!$H$3:$H$123)</f>
        <v>30</v>
      </c>
      <c r="AA51" s="144">
        <f t="shared" si="25"/>
        <v>50</v>
      </c>
      <c r="AB51" s="145">
        <f t="shared" si="41"/>
        <v>1028.7627285775</v>
      </c>
      <c r="AC51" s="145">
        <f>+(S51-T51)*V51-'data 1'!$F$4</f>
        <v>35.741500000000002</v>
      </c>
      <c r="AD51" s="145">
        <f t="shared" si="27"/>
        <v>92.565335796048061</v>
      </c>
      <c r="AE51" s="145">
        <f t="shared" si="28"/>
        <v>-14.884999999999998</v>
      </c>
      <c r="AF51" s="145">
        <f t="shared" si="29"/>
        <v>92.203186594967804</v>
      </c>
      <c r="AG51" s="772">
        <f t="shared" si="43"/>
        <v>222.62502239101588</v>
      </c>
      <c r="AH51" s="1253">
        <f t="shared" si="31"/>
        <v>46.182000000000002</v>
      </c>
      <c r="AI51" s="1253">
        <f t="shared" si="32"/>
        <v>47.866999999999997</v>
      </c>
      <c r="AJ51" s="156">
        <f t="shared" si="33"/>
        <v>-19.043226510048058</v>
      </c>
      <c r="AK51" s="156">
        <f t="shared" si="34"/>
        <v>40.198451785431303</v>
      </c>
      <c r="AM51" s="716">
        <f t="shared" si="35"/>
        <v>5057.3975736869897</v>
      </c>
      <c r="AN51" s="716" t="str">
        <f>_xlfn.XLOOKUP(D51,RUC!$B$3:$B$578,RUC!$M$3:$M$578)</f>
        <v>Ronald Miranda</v>
      </c>
      <c r="AO51" s="1167" t="s">
        <v>2278</v>
      </c>
      <c r="AP51" s="1843">
        <v>6690</v>
      </c>
      <c r="AQ51" s="1082" t="s">
        <v>5660</v>
      </c>
    </row>
    <row r="52" spans="1:43" ht="15" customHeight="1">
      <c r="A52" s="747" t="s">
        <v>5648</v>
      </c>
      <c r="B52" s="1447">
        <v>46162</v>
      </c>
      <c r="C52" s="1447">
        <v>46156</v>
      </c>
      <c r="D52" t="s">
        <v>93</v>
      </c>
      <c r="E52" s="762">
        <f>_xlfn.XLOOKUP(D52,RUC!$B$3:$B$123,RUC!$D$3:$D$123)</f>
        <v>20169040231</v>
      </c>
      <c r="F52" s="629" t="s">
        <v>5665</v>
      </c>
      <c r="G52" s="762">
        <v>50</v>
      </c>
      <c r="H52" s="1082" t="s">
        <v>69</v>
      </c>
      <c r="I52" s="703">
        <v>4.71</v>
      </c>
      <c r="J52" s="596">
        <v>2.2000000000000002</v>
      </c>
      <c r="K52" s="703">
        <f t="shared" si="23"/>
        <v>4.6059999999999999</v>
      </c>
      <c r="L52" s="1193">
        <v>0.182</v>
      </c>
      <c r="M52" s="994">
        <f>ROUND(+IF(L52&gt;_xlfn.XLOOKUP(AN52,RUC!M:M,RUC!K:K),L52*_xlfn.XLOOKUP(AN52,RUC!M:M,RUC!I:I),L52-_xlfn.XLOOKUP(AN52,RUC!M:M,RUC!J:J)),3)</f>
        <v>0.16300000000000001</v>
      </c>
      <c r="N52" s="1196">
        <f t="shared" si="40"/>
        <v>0.16300000000000001</v>
      </c>
      <c r="O52" s="645">
        <f t="shared" si="24"/>
        <v>0.16300000000000001</v>
      </c>
      <c r="P52" s="727">
        <v>85</v>
      </c>
      <c r="Q52" s="1476">
        <v>94.08</v>
      </c>
      <c r="R52" s="706">
        <v>4683.05</v>
      </c>
      <c r="S52" s="765">
        <f>IF((_xlfn.XLOOKUP(D52,RUC!$B$3:$B$119,RUC!$E$3:$E$119)+ROUNDDOWN(O52,1)*100)&lt;95,95,((_xlfn.XLOOKUP(D52,RUC!$B$3:$B$119,RUC!$E$3:$E$119)+ROUNDDOWN(O52,1)*100)))</f>
        <v>95</v>
      </c>
      <c r="U52" s="1146">
        <f>_xlfn.XLOOKUP(D52,RUC!$B$3:$B$123,RUC!$F$3:$F$123)</f>
        <v>120</v>
      </c>
      <c r="V52" s="715">
        <v>1.1023000000000001</v>
      </c>
      <c r="Y52">
        <f>_xlfn.XLOOKUP(D52,RUC!$B$3:$B$123,RUC!$G$3:$G$123)</f>
        <v>20</v>
      </c>
      <c r="Z52" s="143">
        <f>_xlfn.XLOOKUP(D52,RUC!$B$3:$B$123,RUC!$H$3:$H$123)</f>
        <v>30</v>
      </c>
      <c r="AA52" s="144">
        <f t="shared" si="25"/>
        <v>50</v>
      </c>
      <c r="AB52" s="145">
        <f t="shared" si="41"/>
        <v>537.05221957825017</v>
      </c>
      <c r="AC52" s="145">
        <f>+(S52-T52)*V52-'data 1'!$F$4</f>
        <v>24.718500000000006</v>
      </c>
      <c r="AD52" s="145">
        <f t="shared" si="27"/>
        <v>83.121289407883978</v>
      </c>
      <c r="AE52" s="145">
        <f t="shared" si="28"/>
        <v>-14.884999999999998</v>
      </c>
      <c r="AF52" s="145">
        <f t="shared" si="29"/>
        <v>89.909574988127957</v>
      </c>
      <c r="AG52" s="772">
        <f t="shared" si="43"/>
        <v>199.86436439601195</v>
      </c>
      <c r="AH52" s="1253">
        <f t="shared" si="31"/>
        <v>27.04</v>
      </c>
      <c r="AI52" s="1253">
        <f t="shared" si="32"/>
        <v>28.741</v>
      </c>
      <c r="AJ52" s="156">
        <f t="shared" si="33"/>
        <v>-11.900181768384034</v>
      </c>
      <c r="AK52" s="156">
        <f t="shared" si="34"/>
        <v>21.879607808992468</v>
      </c>
      <c r="AM52" s="716">
        <f t="shared" si="35"/>
        <v>2473.6625233774203</v>
      </c>
      <c r="AN52" s="716" t="str">
        <f>_xlfn.XLOOKUP(D52,RUC!$B$3:$B$578,RUC!$M$3:$M$578)</f>
        <v>Ronald Miranda</v>
      </c>
      <c r="AO52" s="1167" t="s">
        <v>2277</v>
      </c>
      <c r="AP52" s="1843">
        <v>6690</v>
      </c>
      <c r="AQ52" s="1082" t="s">
        <v>5660</v>
      </c>
    </row>
    <row r="53" spans="1:43" ht="15" customHeight="1">
      <c r="A53" s="747" t="s">
        <v>5649</v>
      </c>
      <c r="B53" s="1447">
        <v>46162</v>
      </c>
      <c r="C53" s="1447">
        <v>46156</v>
      </c>
      <c r="D53" t="s">
        <v>93</v>
      </c>
      <c r="E53" s="762">
        <f>_xlfn.XLOOKUP(D53,RUC!$B$3:$B$123,RUC!$D$3:$D$123)</f>
        <v>20169040231</v>
      </c>
      <c r="F53" s="629" t="s">
        <v>5666</v>
      </c>
      <c r="G53" s="762">
        <v>50</v>
      </c>
      <c r="H53" s="1082" t="s">
        <v>69</v>
      </c>
      <c r="I53" s="703">
        <v>4.8</v>
      </c>
      <c r="J53" s="596">
        <v>2.6</v>
      </c>
      <c r="K53" s="703">
        <f t="shared" si="23"/>
        <v>4.6749999999999998</v>
      </c>
      <c r="L53" s="1193">
        <v>0.16200000000000001</v>
      </c>
      <c r="M53" s="994">
        <f>ROUND(+IF(L53&gt;_xlfn.XLOOKUP(AN53,RUC!M:M,RUC!K:K),L53*_xlfn.XLOOKUP(AN53,RUC!M:M,RUC!I:I),L53-_xlfn.XLOOKUP(AN53,RUC!M:M,RUC!J:J)),3)</f>
        <v>0.14299999999999999</v>
      </c>
      <c r="N53" s="1196">
        <f t="shared" si="40"/>
        <v>0.14299999999999999</v>
      </c>
      <c r="O53" s="645">
        <f t="shared" si="24"/>
        <v>0.14299999999999999</v>
      </c>
      <c r="P53" s="727">
        <v>85</v>
      </c>
      <c r="Q53" s="1476">
        <v>94.84</v>
      </c>
      <c r="R53" s="706">
        <v>4683.05</v>
      </c>
      <c r="S53" s="765">
        <f>IF((_xlfn.XLOOKUP(D53,RUC!$B$3:$B$119,RUC!$E$3:$E$119)+ROUNDDOWN(O53,1)*100)&lt;95,95,((_xlfn.XLOOKUP(D53,RUC!$B$3:$B$119,RUC!$E$3:$E$119)+ROUNDDOWN(O53,1)*100)))</f>
        <v>95</v>
      </c>
      <c r="U53" s="1146">
        <f>_xlfn.XLOOKUP(D53,RUC!$B$3:$B$123,RUC!$F$3:$F$123)</f>
        <v>120</v>
      </c>
      <c r="V53" s="715">
        <v>1.1023000000000001</v>
      </c>
      <c r="Y53">
        <f>_xlfn.XLOOKUP(D53,RUC!$B$3:$B$123,RUC!$G$3:$G$123)</f>
        <v>20</v>
      </c>
      <c r="Z53" s="143">
        <f>_xlfn.XLOOKUP(D53,RUC!$B$3:$B$123,RUC!$H$3:$H$123)</f>
        <v>30</v>
      </c>
      <c r="AA53" s="144">
        <f t="shared" si="25"/>
        <v>50</v>
      </c>
      <c r="AB53" s="145">
        <f t="shared" si="41"/>
        <v>451.54476932325008</v>
      </c>
      <c r="AC53" s="145">
        <f>+(S53-T53)*V53-'data 1'!$F$4</f>
        <v>24.718500000000006</v>
      </c>
      <c r="AD53" s="145">
        <f t="shared" si="27"/>
        <v>80.179833119112047</v>
      </c>
      <c r="AE53" s="145">
        <f t="shared" si="28"/>
        <v>-14.884999999999998</v>
      </c>
      <c r="AF53" s="145">
        <f t="shared" si="29"/>
        <v>90.635885330294101</v>
      </c>
      <c r="AG53" s="772">
        <f t="shared" si="43"/>
        <v>197.64921844940613</v>
      </c>
      <c r="AH53" s="1253">
        <f t="shared" si="31"/>
        <v>24.626000000000001</v>
      </c>
      <c r="AI53" s="1253">
        <f t="shared" si="32"/>
        <v>25.966000000000001</v>
      </c>
      <c r="AJ53" s="156">
        <f t="shared" si="33"/>
        <v>-10.678037904612033</v>
      </c>
      <c r="AK53" s="156">
        <f t="shared" si="34"/>
        <v>19.482543189207309</v>
      </c>
      <c r="AM53" s="716">
        <f t="shared" si="35"/>
        <v>2110.9717965861942</v>
      </c>
      <c r="AN53" s="716" t="str">
        <f>_xlfn.XLOOKUP(D53,RUC!$B$3:$B$578,RUC!$M$3:$M$578)</f>
        <v>Ronald Miranda</v>
      </c>
      <c r="AO53" s="1167" t="s">
        <v>2277</v>
      </c>
      <c r="AP53" s="1843">
        <v>6690</v>
      </c>
      <c r="AQ53" s="1082" t="s">
        <v>5660</v>
      </c>
    </row>
    <row r="54" spans="1:43" ht="15" customHeight="1">
      <c r="A54" s="747" t="s">
        <v>5650</v>
      </c>
      <c r="B54" s="1447">
        <v>46162</v>
      </c>
      <c r="C54" s="1447">
        <v>46156</v>
      </c>
      <c r="D54" t="s">
        <v>93</v>
      </c>
      <c r="E54" s="762">
        <f>_xlfn.XLOOKUP(D54,RUC!$B$3:$B$123,RUC!$D$3:$D$123)</f>
        <v>20169040231</v>
      </c>
      <c r="F54" s="629" t="s">
        <v>5667</v>
      </c>
      <c r="G54" s="762">
        <v>17</v>
      </c>
      <c r="H54" s="1082" t="s">
        <v>69</v>
      </c>
      <c r="I54" s="703">
        <v>1.42</v>
      </c>
      <c r="J54" s="596">
        <v>2</v>
      </c>
      <c r="K54" s="703">
        <f t="shared" si="23"/>
        <v>1.3919999999999999</v>
      </c>
      <c r="L54" s="1193">
        <v>0.93400000000000005</v>
      </c>
      <c r="M54" s="994">
        <f>ROUND(+IF(L54&gt;_xlfn.XLOOKUP(AN54,RUC!M:M,RUC!K:K),L54*_xlfn.XLOOKUP(AN54,RUC!M:M,RUC!I:I),L54-_xlfn.XLOOKUP(AN54,RUC!M:M,RUC!J:J)),3)</f>
        <v>0.878</v>
      </c>
      <c r="N54" s="1196">
        <f t="shared" si="40"/>
        <v>0.878</v>
      </c>
      <c r="O54" s="645">
        <f t="shared" si="24"/>
        <v>0.878</v>
      </c>
      <c r="P54" s="727">
        <v>90</v>
      </c>
      <c r="Q54" s="1476">
        <v>95.18</v>
      </c>
      <c r="R54" s="706">
        <v>4683.05</v>
      </c>
      <c r="S54" s="765">
        <f>IF((_xlfn.XLOOKUP(D54,RUC!$B$3:$B$119,RUC!$E$3:$E$119)+ROUNDDOWN(O54,1)*100)&lt;95,95,((_xlfn.XLOOKUP(D54,RUC!$B$3:$B$119,RUC!$E$3:$E$119)+ROUNDDOWN(O54,1)*100)))</f>
        <v>165</v>
      </c>
      <c r="U54" s="1146">
        <f>_xlfn.XLOOKUP(D54,RUC!$B$3:$B$123,RUC!$F$3:$F$123)</f>
        <v>120</v>
      </c>
      <c r="V54" s="715">
        <v>1.1023000000000001</v>
      </c>
      <c r="Y54">
        <f>_xlfn.XLOOKUP(D54,RUC!$B$3:$B$123,RUC!$G$3:$G$123)</f>
        <v>20</v>
      </c>
      <c r="Z54" s="143">
        <f>_xlfn.XLOOKUP(D54,RUC!$B$3:$B$123,RUC!$H$3:$H$123)</f>
        <v>30</v>
      </c>
      <c r="AA54" s="144">
        <f t="shared" si="25"/>
        <v>50</v>
      </c>
      <c r="AB54" s="145">
        <f t="shared" si="41"/>
        <v>3737.5929818530003</v>
      </c>
      <c r="AC54" s="145">
        <f>+(S54-T54)*V54-'data 1'!$F$4</f>
        <v>101.87950000000001</v>
      </c>
      <c r="AD54" s="145">
        <f t="shared" si="27"/>
        <v>243.35017954571833</v>
      </c>
      <c r="AE54" s="145">
        <f t="shared" si="28"/>
        <v>-14.884999999999998</v>
      </c>
      <c r="AF54" s="145">
        <f t="shared" si="29"/>
        <v>268.09502967951227</v>
      </c>
      <c r="AG54" s="772">
        <f t="shared" si="43"/>
        <v>615.43970922523067</v>
      </c>
      <c r="AH54" s="1253">
        <f t="shared" si="31"/>
        <v>42.427</v>
      </c>
      <c r="AI54" s="1253">
        <f t="shared" si="32"/>
        <v>44.575000000000003</v>
      </c>
      <c r="AJ54" s="156">
        <f t="shared" si="33"/>
        <v>-61.78420673471819</v>
      </c>
      <c r="AK54" s="156">
        <f t="shared" si="34"/>
        <v>37.712500582857118</v>
      </c>
      <c r="AM54" s="716">
        <f t="shared" si="35"/>
        <v>5202.7294307393759</v>
      </c>
      <c r="AN54" s="716" t="str">
        <f>_xlfn.XLOOKUP(D54,RUC!$B$3:$B$578,RUC!$M$3:$M$578)</f>
        <v>Ronald Miranda</v>
      </c>
      <c r="AO54" s="1167" t="s">
        <v>2280</v>
      </c>
      <c r="AP54" s="1843">
        <v>6690</v>
      </c>
      <c r="AQ54" s="1082" t="s">
        <v>5660</v>
      </c>
    </row>
    <row r="55" spans="1:43" ht="15" customHeight="1">
      <c r="A55" s="747" t="s">
        <v>5651</v>
      </c>
      <c r="B55" s="1447">
        <v>46162</v>
      </c>
      <c r="C55" s="1447">
        <v>46156</v>
      </c>
      <c r="D55" t="s">
        <v>93</v>
      </c>
      <c r="E55" s="762">
        <f>_xlfn.XLOOKUP(D55,RUC!$B$3:$B$123,RUC!$D$3:$D$123)</f>
        <v>20169040231</v>
      </c>
      <c r="F55" s="629" t="s">
        <v>5668</v>
      </c>
      <c r="G55" s="762">
        <v>21</v>
      </c>
      <c r="H55" s="1082" t="s">
        <v>69</v>
      </c>
      <c r="I55" s="703">
        <v>2.11</v>
      </c>
      <c r="J55" s="596">
        <v>2</v>
      </c>
      <c r="K55" s="703">
        <f t="shared" si="23"/>
        <v>2.0680000000000001</v>
      </c>
      <c r="L55" s="1193">
        <v>0.53600000000000003</v>
      </c>
      <c r="M55" s="994">
        <f>ROUND(+IF(L55&gt;_xlfn.XLOOKUP(AN55,RUC!M:M,RUC!K:K),L55*_xlfn.XLOOKUP(AN55,RUC!M:M,RUC!I:I),L55-_xlfn.XLOOKUP(AN55,RUC!M:M,RUC!J:J)),3)</f>
        <v>0.504</v>
      </c>
      <c r="N55" s="1196">
        <f t="shared" si="40"/>
        <v>0.504</v>
      </c>
      <c r="O55" s="645">
        <f t="shared" si="24"/>
        <v>0.504</v>
      </c>
      <c r="P55" s="727">
        <v>90</v>
      </c>
      <c r="Q55" s="1476">
        <v>96.27</v>
      </c>
      <c r="R55" s="706">
        <v>4683.05</v>
      </c>
      <c r="S55" s="765">
        <f>IF((_xlfn.XLOOKUP(D55,RUC!$B$3:$B$119,RUC!$E$3:$E$119)+ROUNDDOWN(O55,1)*100)&lt;95,95,((_xlfn.XLOOKUP(D55,RUC!$B$3:$B$119,RUC!$E$3:$E$119)+ROUNDDOWN(O55,1)*100)))</f>
        <v>135</v>
      </c>
      <c r="U55" s="1146">
        <f>_xlfn.XLOOKUP(D55,RUC!$B$3:$B$123,RUC!$F$3:$F$123)</f>
        <v>120</v>
      </c>
      <c r="V55" s="715">
        <v>1.1023000000000001</v>
      </c>
      <c r="Y55">
        <f>_xlfn.XLOOKUP(D55,RUC!$B$3:$B$123,RUC!$G$3:$G$123)</f>
        <v>20</v>
      </c>
      <c r="Z55" s="143">
        <f>_xlfn.XLOOKUP(D55,RUC!$B$3:$B$123,RUC!$H$3:$H$123)</f>
        <v>30</v>
      </c>
      <c r="AA55" s="144">
        <f t="shared" si="25"/>
        <v>50</v>
      </c>
      <c r="AB55" s="145">
        <f t="shared" si="41"/>
        <v>2077.6144668040001</v>
      </c>
      <c r="AC55" s="145">
        <f>+(S55-T55)*V55-'data 1'!$F$4</f>
        <v>68.810500000000019</v>
      </c>
      <c r="AD55" s="145">
        <f t="shared" si="27"/>
        <v>169.03917542410792</v>
      </c>
      <c r="AE55" s="145">
        <f t="shared" si="28"/>
        <v>-14.884999999999998</v>
      </c>
      <c r="AF55" s="145">
        <f t="shared" si="29"/>
        <v>154.95157150209613</v>
      </c>
      <c r="AG55" s="772">
        <f t="shared" si="43"/>
        <v>394.91624692620405</v>
      </c>
      <c r="AH55" s="1253">
        <f t="shared" si="31"/>
        <v>36.585999999999999</v>
      </c>
      <c r="AI55" s="1253">
        <f t="shared" si="32"/>
        <v>38.003999999999998</v>
      </c>
      <c r="AJ55" s="156">
        <f t="shared" si="33"/>
        <v>-35.862508140108105</v>
      </c>
      <c r="AK55" s="156">
        <f t="shared" si="34"/>
        <v>32.161229976284645</v>
      </c>
      <c r="AM55" s="716">
        <f t="shared" si="35"/>
        <v>4296.5067173506723</v>
      </c>
      <c r="AN55" s="716" t="str">
        <f>_xlfn.XLOOKUP(D55,RUC!$B$3:$B$578,RUC!$M$3:$M$578)</f>
        <v>Ronald Miranda</v>
      </c>
      <c r="AO55" s="1167" t="s">
        <v>2280</v>
      </c>
      <c r="AP55" s="1843">
        <v>6690</v>
      </c>
      <c r="AQ55" s="1082" t="s">
        <v>5660</v>
      </c>
    </row>
    <row r="56" spans="1:43" ht="15" customHeight="1">
      <c r="A56" s="747" t="s">
        <v>5652</v>
      </c>
      <c r="B56" s="1447">
        <v>46162</v>
      </c>
      <c r="C56" s="1447">
        <v>46156</v>
      </c>
      <c r="D56" t="s">
        <v>5442</v>
      </c>
      <c r="E56" s="762">
        <f>_xlfn.XLOOKUP(D56,RUC!$B$3:$B$123,RUC!$D$3:$D$123)</f>
        <v>20606562480</v>
      </c>
      <c r="F56" s="629" t="s">
        <v>5669</v>
      </c>
      <c r="G56" s="762">
        <v>50</v>
      </c>
      <c r="H56" s="1082" t="s">
        <v>2005</v>
      </c>
      <c r="I56" s="703">
        <v>3.35</v>
      </c>
      <c r="J56" s="596">
        <v>22.25</v>
      </c>
      <c r="K56" s="703">
        <f t="shared" si="23"/>
        <v>2.605</v>
      </c>
      <c r="L56" s="1193">
        <v>0.317</v>
      </c>
      <c r="M56" s="994">
        <f>ROUND(+IF(L56&gt;_xlfn.XLOOKUP(AN56,RUC!M:M,RUC!K:K),L56*_xlfn.XLOOKUP(AN56,RUC!M:M,RUC!I:I),L56-_xlfn.XLOOKUP(AN56,RUC!M:M,RUC!J:J)),3)</f>
        <v>0.29799999999999999</v>
      </c>
      <c r="N56" s="1196">
        <f t="shared" si="40"/>
        <v>0.29799999999999999</v>
      </c>
      <c r="O56" s="645">
        <f t="shared" si="24"/>
        <v>0.29799999999999999</v>
      </c>
      <c r="P56" s="727">
        <v>90</v>
      </c>
      <c r="Q56" s="1476">
        <v>95.27</v>
      </c>
      <c r="R56" s="706">
        <v>4683.05</v>
      </c>
      <c r="S56" s="765">
        <f>IF((_xlfn.XLOOKUP(D56,RUC!$B$3:$B$119,RUC!$E$3:$E$119)+ROUNDDOWN(O56,1)*100)&lt;95,95,((_xlfn.XLOOKUP(D56,RUC!$B$3:$B$119,RUC!$E$3:$E$119)+ROUNDDOWN(O56,1)*100)))</f>
        <v>105</v>
      </c>
      <c r="U56" s="1146">
        <f>_xlfn.XLOOKUP(D56,RUC!$B$3:$B$123,RUC!$F$3:$F$123)</f>
        <v>120</v>
      </c>
      <c r="V56" s="715">
        <v>1.1023000000000001</v>
      </c>
      <c r="Y56">
        <f>_xlfn.XLOOKUP(D56,RUC!$B$3:$B$123,RUC!$G$3:$G$123)</f>
        <v>20</v>
      </c>
      <c r="Z56" s="143">
        <f>_xlfn.XLOOKUP(D56,RUC!$B$3:$B$123,RUC!$H$3:$H$123)</f>
        <v>35</v>
      </c>
      <c r="AA56" s="144">
        <f t="shared" si="25"/>
        <v>55</v>
      </c>
      <c r="AB56" s="145">
        <f t="shared" si="41"/>
        <v>1172.6377740230002</v>
      </c>
      <c r="AC56" s="145">
        <f>+(S56-T56)*V56-'data 1'!$F$4</f>
        <v>35.741500000000002</v>
      </c>
      <c r="AD56" s="145">
        <f t="shared" si="27"/>
        <v>84.028171365588435</v>
      </c>
      <c r="AE56" s="145">
        <f t="shared" si="28"/>
        <v>-9.3734999999999999</v>
      </c>
      <c r="AF56" s="145">
        <f t="shared" si="29"/>
        <v>91.04682407651957</v>
      </c>
      <c r="AG56" s="772">
        <f t="shared" si="43"/>
        <v>218.44299544210799</v>
      </c>
      <c r="AH56" s="1253">
        <f t="shared" si="31"/>
        <v>26.972999999999999</v>
      </c>
      <c r="AI56" s="1253">
        <f t="shared" si="32"/>
        <v>28.312000000000001</v>
      </c>
      <c r="AJ56" s="156">
        <f t="shared" si="33"/>
        <v>-20.98941458008856</v>
      </c>
      <c r="AK56" s="156">
        <f t="shared" si="34"/>
        <v>23.953863500401049</v>
      </c>
      <c r="AM56" s="716">
        <f t="shared" si="35"/>
        <v>3054.7214013299158</v>
      </c>
      <c r="AN56" s="716" t="str">
        <f>_xlfn.XLOOKUP(D56,RUC!$B$3:$B$578,RUC!$M$3:$M$578)</f>
        <v>Ronald Miranda</v>
      </c>
      <c r="AO56" s="1167" t="s">
        <v>2280</v>
      </c>
      <c r="AP56" s="1843">
        <v>235</v>
      </c>
      <c r="AQ56" s="1082" t="s">
        <v>2987</v>
      </c>
    </row>
    <row r="57" spans="1:43" ht="15" customHeight="1">
      <c r="A57" s="747" t="s">
        <v>5653</v>
      </c>
      <c r="B57" s="1447">
        <v>46162</v>
      </c>
      <c r="C57" s="1447">
        <v>46156</v>
      </c>
      <c r="D57" t="s">
        <v>5442</v>
      </c>
      <c r="E57" s="762">
        <f>_xlfn.XLOOKUP(D57,RUC!$B$3:$B$123,RUC!$D$3:$D$123)</f>
        <v>20606562480</v>
      </c>
      <c r="F57" s="629" t="s">
        <v>5669</v>
      </c>
      <c r="G57" s="762">
        <v>50</v>
      </c>
      <c r="H57" s="1082" t="s">
        <v>2005</v>
      </c>
      <c r="I57" s="703">
        <v>3.47</v>
      </c>
      <c r="J57" s="596">
        <v>25.38</v>
      </c>
      <c r="K57" s="703">
        <f t="shared" si="23"/>
        <v>2.589</v>
      </c>
      <c r="L57" s="1193">
        <v>0.311</v>
      </c>
      <c r="M57" s="994">
        <f>ROUND(+IF(L57&gt;_xlfn.XLOOKUP(AN57,RUC!M:M,RUC!K:K),L57*_xlfn.XLOOKUP(AN57,RUC!M:M,RUC!I:I),L57-_xlfn.XLOOKUP(AN57,RUC!M:M,RUC!J:J)),3)</f>
        <v>0.29199999999999998</v>
      </c>
      <c r="N57" s="1196">
        <f t="shared" si="40"/>
        <v>0.29199999999999998</v>
      </c>
      <c r="O57" s="645">
        <f t="shared" si="24"/>
        <v>0.29199999999999998</v>
      </c>
      <c r="P57" s="727">
        <v>90</v>
      </c>
      <c r="Q57" s="1476">
        <v>94.53</v>
      </c>
      <c r="R57" s="706">
        <v>4683.05</v>
      </c>
      <c r="S57" s="765">
        <f>IF((_xlfn.XLOOKUP(D57,RUC!$B$3:$B$119,RUC!$E$3:$E$119)+ROUNDDOWN(O57,1)*100)&lt;95,95,((_xlfn.XLOOKUP(D57,RUC!$B$3:$B$119,RUC!$E$3:$E$119)+ROUNDDOWN(O57,1)*100)))</f>
        <v>105</v>
      </c>
      <c r="U57" s="1146">
        <f>_xlfn.XLOOKUP(D57,RUC!$B$3:$B$123,RUC!$F$3:$F$123)</f>
        <v>120</v>
      </c>
      <c r="V57" s="715">
        <v>1.1023000000000001</v>
      </c>
      <c r="Y57">
        <f>_xlfn.XLOOKUP(D57,RUC!$B$3:$B$123,RUC!$G$3:$G$123)</f>
        <v>20</v>
      </c>
      <c r="Z57" s="143">
        <f>_xlfn.XLOOKUP(D57,RUC!$B$3:$B$123,RUC!$H$3:$H$123)</f>
        <v>35</v>
      </c>
      <c r="AA57" s="144">
        <f t="shared" si="25"/>
        <v>55</v>
      </c>
      <c r="AB57" s="145">
        <f t="shared" si="41"/>
        <v>1145.4765839419999</v>
      </c>
      <c r="AC57" s="145">
        <f>+(S57-T57)*V57-'data 1'!$F$4</f>
        <v>35.741500000000002</v>
      </c>
      <c r="AD57" s="145">
        <f t="shared" si="27"/>
        <v>70.862035966324527</v>
      </c>
      <c r="AE57" s="145">
        <f t="shared" si="28"/>
        <v>-9.3734999999999999</v>
      </c>
      <c r="AF57" s="145">
        <f t="shared" si="29"/>
        <v>90.339627164410601</v>
      </c>
      <c r="AG57" s="772">
        <f t="shared" si="43"/>
        <v>204.56966313073514</v>
      </c>
      <c r="AH57" s="1253">
        <f t="shared" si="31"/>
        <v>26.096</v>
      </c>
      <c r="AI57" s="1253">
        <f t="shared" si="32"/>
        <v>27.606000000000002</v>
      </c>
      <c r="AJ57" s="156">
        <f t="shared" si="33"/>
        <v>-20.43219125982456</v>
      </c>
      <c r="AK57" s="156">
        <f t="shared" si="34"/>
        <v>23.32740774702906</v>
      </c>
      <c r="AM57" s="716">
        <f t="shared" si="35"/>
        <v>2965.6388758258377</v>
      </c>
      <c r="AN57" s="716" t="str">
        <f>_xlfn.XLOOKUP(D57,RUC!$B$3:$B$578,RUC!$M$3:$M$578)</f>
        <v>Ronald Miranda</v>
      </c>
      <c r="AO57" s="1167" t="s">
        <v>2280</v>
      </c>
      <c r="AP57" s="1843">
        <v>235</v>
      </c>
      <c r="AQ57" s="1082" t="s">
        <v>2987</v>
      </c>
    </row>
    <row r="58" spans="1:43" ht="15" customHeight="1">
      <c r="A58" s="747" t="s">
        <v>5654</v>
      </c>
      <c r="B58" s="1447">
        <v>46162</v>
      </c>
      <c r="C58" s="1447">
        <v>46156</v>
      </c>
      <c r="D58" t="s">
        <v>5442</v>
      </c>
      <c r="E58" s="762">
        <f>_xlfn.XLOOKUP(D58,RUC!$B$3:$B$123,RUC!$D$3:$D$123)</f>
        <v>20606562480</v>
      </c>
      <c r="F58" s="629" t="s">
        <v>5669</v>
      </c>
      <c r="G58" s="762">
        <v>50</v>
      </c>
      <c r="H58" s="1082" t="s">
        <v>2005</v>
      </c>
      <c r="I58" s="703">
        <v>3.51</v>
      </c>
      <c r="J58" s="596">
        <v>24.1</v>
      </c>
      <c r="K58" s="703">
        <f t="shared" si="23"/>
        <v>2.6640000000000001</v>
      </c>
      <c r="L58" s="1193">
        <v>0.315</v>
      </c>
      <c r="M58" s="994">
        <f>ROUND(+IF(L58&gt;_xlfn.XLOOKUP(AN58,RUC!M:M,RUC!K:K),L58*_xlfn.XLOOKUP(AN58,RUC!M:M,RUC!I:I),L58-_xlfn.XLOOKUP(AN58,RUC!M:M,RUC!J:J)),3)</f>
        <v>0.29599999999999999</v>
      </c>
      <c r="N58" s="1196">
        <f t="shared" si="40"/>
        <v>0.29599999999999999</v>
      </c>
      <c r="O58" s="645">
        <f t="shared" si="24"/>
        <v>0.29599999999999999</v>
      </c>
      <c r="P58" s="727">
        <v>90</v>
      </c>
      <c r="Q58" s="1476">
        <v>95.87</v>
      </c>
      <c r="R58" s="706">
        <v>4683.05</v>
      </c>
      <c r="S58" s="765">
        <f>IF((_xlfn.XLOOKUP(D58,RUC!$B$3:$B$119,RUC!$E$3:$E$119)+ROUNDDOWN(O58,1)*100)&lt;95,95,((_xlfn.XLOOKUP(D58,RUC!$B$3:$B$119,RUC!$E$3:$E$119)+ROUNDDOWN(O58,1)*100)))</f>
        <v>105</v>
      </c>
      <c r="U58" s="1146">
        <f>_xlfn.XLOOKUP(D58,RUC!$B$3:$B$123,RUC!$F$3:$F$123)</f>
        <v>120</v>
      </c>
      <c r="V58" s="715">
        <v>1.1023000000000001</v>
      </c>
      <c r="Y58">
        <f>_xlfn.XLOOKUP(D58,RUC!$B$3:$B$123,RUC!$G$3:$G$123)</f>
        <v>20</v>
      </c>
      <c r="Z58" s="143">
        <f>_xlfn.XLOOKUP(D58,RUC!$B$3:$B$123,RUC!$H$3:$H$123)</f>
        <v>35</v>
      </c>
      <c r="AA58" s="144">
        <f t="shared" si="25"/>
        <v>55</v>
      </c>
      <c r="AB58" s="145">
        <f t="shared" si="41"/>
        <v>1163.5840439959998</v>
      </c>
      <c r="AC58" s="145">
        <f>+(S58-T58)*V58-'data 1'!$F$4</f>
        <v>35.741500000000002</v>
      </c>
      <c r="AD58" s="145">
        <f t="shared" si="27"/>
        <v>93.004441702357582</v>
      </c>
      <c r="AE58" s="145">
        <f t="shared" si="28"/>
        <v>-9.3734999999999999</v>
      </c>
      <c r="AF58" s="145">
        <f t="shared" si="29"/>
        <v>91.620226978229582</v>
      </c>
      <c r="AG58" s="772">
        <f t="shared" si="43"/>
        <v>227.99266868058714</v>
      </c>
      <c r="AH58" s="1253">
        <f t="shared" si="31"/>
        <v>27.582999999999998</v>
      </c>
      <c r="AI58" s="1253">
        <f t="shared" si="32"/>
        <v>28.771000000000001</v>
      </c>
      <c r="AJ58" s="156">
        <f t="shared" si="33"/>
        <v>-20.988344279857561</v>
      </c>
      <c r="AK58" s="156">
        <f t="shared" si="34"/>
        <v>24.331983331049283</v>
      </c>
      <c r="AM58" s="716">
        <f t="shared" si="35"/>
        <v>3099.7878932053436</v>
      </c>
      <c r="AN58" s="716" t="str">
        <f>_xlfn.XLOOKUP(D58,RUC!$B$3:$B$578,RUC!$M$3:$M$578)</f>
        <v>Ronald Miranda</v>
      </c>
      <c r="AO58" s="1167" t="s">
        <v>2280</v>
      </c>
      <c r="AP58" s="1843">
        <v>235</v>
      </c>
      <c r="AQ58" s="1082" t="s">
        <v>2987</v>
      </c>
    </row>
    <row r="59" spans="1:43" ht="15" customHeight="1">
      <c r="A59" s="747" t="s">
        <v>5655</v>
      </c>
      <c r="B59" s="1447">
        <v>46162</v>
      </c>
      <c r="C59" s="1447">
        <v>46156</v>
      </c>
      <c r="D59" t="s">
        <v>4171</v>
      </c>
      <c r="E59" s="762">
        <f>_xlfn.XLOOKUP(D59,RUC!$B$3:$B$123,RUC!$D$3:$D$123)</f>
        <v>20614284740</v>
      </c>
      <c r="F59" s="629"/>
      <c r="G59" s="762">
        <v>143</v>
      </c>
      <c r="H59" s="1082" t="s">
        <v>69</v>
      </c>
      <c r="I59" s="703">
        <v>11.34</v>
      </c>
      <c r="J59" s="596">
        <v>2.1</v>
      </c>
      <c r="K59" s="703">
        <f t="shared" si="23"/>
        <v>11.102</v>
      </c>
      <c r="L59" s="1082">
        <v>0.26900000000000002</v>
      </c>
      <c r="M59" s="994">
        <f>ROUND(+IF(L59&gt;_xlfn.XLOOKUP(AN59,RUC!M:M,RUC!K:K),L59*_xlfn.XLOOKUP(AN59,RUC!M:M,RUC!I:I),L59-_xlfn.XLOOKUP(AN59,RUC!M:M,RUC!J:J)),3)</f>
        <v>0.25</v>
      </c>
      <c r="N59" s="1196">
        <f t="shared" si="40"/>
        <v>0.25</v>
      </c>
      <c r="O59" s="645">
        <f t="shared" si="24"/>
        <v>0.25</v>
      </c>
      <c r="P59" s="727">
        <v>90</v>
      </c>
      <c r="Q59" s="1476">
        <v>98.51</v>
      </c>
      <c r="R59" s="706">
        <v>4683.05</v>
      </c>
      <c r="S59" s="765">
        <f>IF((_xlfn.XLOOKUP(D59,RUC!$B$3:$B$119,RUC!$E$3:$E$119)+ROUNDDOWN(O59,1)*100)&lt;95,95,((_xlfn.XLOOKUP(D59,RUC!$B$3:$B$119,RUC!$E$3:$E$119)+ROUNDDOWN(O59,1)*100)))</f>
        <v>110</v>
      </c>
      <c r="U59" s="1146">
        <f>_xlfn.XLOOKUP(D59,RUC!$B$3:$B$123,RUC!$F$3:$F$123)</f>
        <v>120</v>
      </c>
      <c r="V59" s="715">
        <v>1.1023000000000001</v>
      </c>
      <c r="Y59">
        <f>_xlfn.XLOOKUP(D59,RUC!$B$3:$B$123,RUC!$G$3:$G$123)</f>
        <v>20</v>
      </c>
      <c r="Z59" s="143">
        <f>_xlfn.XLOOKUP(D59,RUC!$B$3:$B$123,RUC!$H$3:$H$123)</f>
        <v>30</v>
      </c>
      <c r="AA59" s="144">
        <f t="shared" si="25"/>
        <v>50</v>
      </c>
      <c r="AB59" s="145">
        <f t="shared" si="41"/>
        <v>955.34825337500001</v>
      </c>
      <c r="AC59" s="145">
        <f>+(S59-T59)*V59-'data 1'!$F$4</f>
        <v>41.253</v>
      </c>
      <c r="AD59" s="145">
        <f t="shared" si="27"/>
        <v>115.14282355837858</v>
      </c>
      <c r="AE59" s="145">
        <f t="shared" si="28"/>
        <v>-14.884999999999998</v>
      </c>
      <c r="AF59" s="145">
        <f t="shared" si="29"/>
        <v>94.143199745753591</v>
      </c>
      <c r="AG59" s="772">
        <f t="shared" si="43"/>
        <v>252.65402330413218</v>
      </c>
      <c r="AH59" s="1253">
        <f t="shared" si="31"/>
        <v>100.866</v>
      </c>
      <c r="AI59" s="1253">
        <f t="shared" si="32"/>
        <v>102.39100000000001</v>
      </c>
      <c r="AJ59" s="156">
        <f t="shared" si="33"/>
        <v>-18.416941024878557</v>
      </c>
      <c r="AK59" s="156">
        <f t="shared" si="34"/>
        <v>85.643185079497513</v>
      </c>
      <c r="AM59" s="716">
        <f t="shared" si="35"/>
        <v>10606.276308969251</v>
      </c>
      <c r="AN59" s="716" t="str">
        <f>_xlfn.XLOOKUP(D59,RUC!$B$3:$B$578,RUC!$M$3:$M$578)</f>
        <v xml:space="preserve">Dante </v>
      </c>
      <c r="AO59" s="1167" t="s">
        <v>2280</v>
      </c>
      <c r="AP59" s="1843">
        <v>338</v>
      </c>
      <c r="AQ59" s="1082" t="s">
        <v>2996</v>
      </c>
    </row>
    <row r="60" spans="1:43" ht="15" customHeight="1">
      <c r="A60" s="747" t="s">
        <v>5656</v>
      </c>
      <c r="B60" s="1447">
        <v>46162</v>
      </c>
      <c r="C60" s="1447">
        <v>46156</v>
      </c>
      <c r="D60" t="s">
        <v>4171</v>
      </c>
      <c r="E60" s="762">
        <f>_xlfn.XLOOKUP(D60,RUC!$B$3:$B$123,RUC!$D$3:$D$123)</f>
        <v>20614284740</v>
      </c>
      <c r="G60" s="762">
        <v>80</v>
      </c>
      <c r="H60" s="1082" t="s">
        <v>69</v>
      </c>
      <c r="I60" s="703">
        <v>7.53</v>
      </c>
      <c r="J60" s="596">
        <v>2.2000000000000002</v>
      </c>
      <c r="K60" s="703">
        <f t="shared" si="23"/>
        <v>7.3639999999999999</v>
      </c>
      <c r="L60" s="1082">
        <v>0.21299999999999999</v>
      </c>
      <c r="M60" s="994">
        <f>ROUND(+IF(L60&gt;_xlfn.XLOOKUP(AN60,RUC!M:M,RUC!K:K),L60*_xlfn.XLOOKUP(AN60,RUC!M:M,RUC!I:I),L60-_xlfn.XLOOKUP(AN60,RUC!M:M,RUC!J:J)),3)</f>
        <v>0.19400000000000001</v>
      </c>
      <c r="N60" s="1444">
        <v>0.22700000000000001</v>
      </c>
      <c r="O60" s="645">
        <f t="shared" si="24"/>
        <v>0.21099999999999999</v>
      </c>
      <c r="P60" s="727">
        <v>90</v>
      </c>
      <c r="Q60" s="1476">
        <v>96.71</v>
      </c>
      <c r="R60" s="706">
        <v>4683.05</v>
      </c>
      <c r="S60" s="765">
        <f>IF((_xlfn.XLOOKUP(D60,RUC!$B$3:$B$119,RUC!$E$3:$E$119)+ROUNDDOWN(O60,1)*100)&lt;95,95,((_xlfn.XLOOKUP(D60,RUC!$B$3:$B$119,RUC!$E$3:$E$119)+ROUNDDOWN(O60,1)*100)))</f>
        <v>110</v>
      </c>
      <c r="U60" s="1146">
        <f>_xlfn.XLOOKUP(D60,RUC!$B$3:$B$123,RUC!$F$3:$F$123)</f>
        <v>120</v>
      </c>
      <c r="V60" s="715">
        <v>1.1023000000000001</v>
      </c>
      <c r="Y60">
        <f>_xlfn.XLOOKUP(D60,RUC!$B$3:$B$123,RUC!$G$3:$G$123)</f>
        <v>20</v>
      </c>
      <c r="Z60" s="143">
        <f>_xlfn.XLOOKUP(D60,RUC!$B$3:$B$123,RUC!$H$3:$H$123)</f>
        <v>30</v>
      </c>
      <c r="AA60" s="144">
        <f t="shared" si="25"/>
        <v>50</v>
      </c>
      <c r="AB60" s="145">
        <f t="shared" si="41"/>
        <v>778.80051784850002</v>
      </c>
      <c r="AC60" s="145">
        <f>+(S60-T60)*V60-'data 1'!$F$4</f>
        <v>41.253</v>
      </c>
      <c r="AD60" s="145">
        <f t="shared" si="27"/>
        <v>71.88812536938444</v>
      </c>
      <c r="AE60" s="145">
        <f t="shared" si="28"/>
        <v>-14.884999999999998</v>
      </c>
      <c r="AF60" s="145">
        <f t="shared" si="29"/>
        <v>9.7287358990130084</v>
      </c>
      <c r="AG60" s="772">
        <f t="shared" si="43"/>
        <v>124.98486126839745</v>
      </c>
      <c r="AH60" s="1253">
        <f t="shared" si="31"/>
        <v>52.008000000000003</v>
      </c>
      <c r="AI60" s="1253">
        <f t="shared" si="32"/>
        <v>53.777999999999999</v>
      </c>
      <c r="AJ60" s="156">
        <f t="shared" si="33"/>
        <v>-14.316467939884541</v>
      </c>
      <c r="AK60" s="156">
        <f t="shared" si="34"/>
        <v>47.945495784277981</v>
      </c>
      <c r="AM60" s="716">
        <f t="shared" si="35"/>
        <v>5735.087013436354</v>
      </c>
      <c r="AN60" s="716" t="str">
        <f>_xlfn.XLOOKUP(D60,RUC!$B$3:$B$578,RUC!$M$3:$M$578)</f>
        <v xml:space="preserve">Dante </v>
      </c>
      <c r="AO60" s="1167" t="s">
        <v>2278</v>
      </c>
      <c r="AP60" s="1843">
        <v>337</v>
      </c>
      <c r="AQ60" s="1082" t="s">
        <v>2796</v>
      </c>
    </row>
    <row r="61" spans="1:43" ht="15" customHeight="1">
      <c r="A61" s="747" t="s">
        <v>5657</v>
      </c>
      <c r="B61" s="1447">
        <v>46166</v>
      </c>
      <c r="C61" s="1447">
        <v>46157</v>
      </c>
      <c r="D61" t="s">
        <v>1967</v>
      </c>
      <c r="E61" s="762">
        <f>_xlfn.XLOOKUP(D61,RUC!$B$3:$B$123,RUC!$D$3:$D$123)</f>
        <v>20601769396</v>
      </c>
      <c r="F61" s="629" t="s">
        <v>5710</v>
      </c>
      <c r="G61" s="762">
        <v>374</v>
      </c>
      <c r="H61" s="1082" t="s">
        <v>108</v>
      </c>
      <c r="I61" s="703">
        <v>9.84</v>
      </c>
      <c r="J61" s="596">
        <v>17.38</v>
      </c>
      <c r="K61" s="703">
        <f t="shared" si="23"/>
        <v>8.1300000000000008</v>
      </c>
      <c r="L61" s="1192">
        <v>0.21</v>
      </c>
      <c r="M61" s="994">
        <f>ROUND(+IF(L61&gt;_xlfn.XLOOKUP(AN61,RUC!M:M,RUC!K:K),L61*_xlfn.XLOOKUP(AN61,RUC!M:M,RUC!I:I),L61-_xlfn.XLOOKUP(AN61,RUC!M:M,RUC!J:J)),3)</f>
        <v>0.191</v>
      </c>
      <c r="N61" s="1196">
        <f t="shared" si="40"/>
        <v>0.191</v>
      </c>
      <c r="O61" s="645">
        <f t="shared" si="24"/>
        <v>0.191</v>
      </c>
      <c r="P61" s="727">
        <v>85</v>
      </c>
      <c r="Q61" s="1572">
        <v>90</v>
      </c>
      <c r="R61" s="706">
        <v>4528</v>
      </c>
      <c r="S61" s="765">
        <f>IF((_xlfn.XLOOKUP(D61,RUC!$B$3:$B$119,RUC!$E$3:$E$119)+ROUNDDOWN(O61,1)*100)&lt;95,95,((_xlfn.XLOOKUP(D61,RUC!$B$3:$B$119,RUC!$E$3:$E$119)+ROUNDDOWN(O61,1)*100)))</f>
        <v>100</v>
      </c>
      <c r="U61" s="1146">
        <f>_xlfn.XLOOKUP(D61,RUC!$B$3:$B$123,RUC!$F$3:$F$123)</f>
        <v>120</v>
      </c>
      <c r="V61" s="715">
        <v>1.1023000000000001</v>
      </c>
      <c r="Y61" s="1445">
        <v>30</v>
      </c>
      <c r="Z61" s="1454">
        <v>70</v>
      </c>
      <c r="AA61" s="144">
        <f t="shared" si="25"/>
        <v>100</v>
      </c>
      <c r="AB61" s="145">
        <f t="shared" si="41"/>
        <v>568.38864924000006</v>
      </c>
      <c r="AC61" s="145">
        <f>+(S61-T61)*V61-'data 1'!$F$4</f>
        <v>30.230000000000004</v>
      </c>
      <c r="AD61" s="145">
        <f t="shared" si="27"/>
        <v>51.018853200000002</v>
      </c>
      <c r="AE61" s="145">
        <f t="shared" si="28"/>
        <v>40.230000000000004</v>
      </c>
      <c r="AF61" s="145">
        <f t="shared" si="29"/>
        <v>83.087846639999952</v>
      </c>
      <c r="AG61" s="772">
        <f t="shared" si="43"/>
        <v>221.56669983999996</v>
      </c>
      <c r="AH61" s="1253">
        <f t="shared" si="31"/>
        <v>52.682000000000002</v>
      </c>
      <c r="AI61" s="1253">
        <f t="shared" si="32"/>
        <v>58.534999999999997</v>
      </c>
      <c r="AJ61" s="156">
        <f t="shared" si="33"/>
        <v>19.166792400000002</v>
      </c>
      <c r="AK61" s="156">
        <f t="shared" si="34"/>
        <v>45.253472256829284</v>
      </c>
      <c r="AM61" s="716">
        <f t="shared" si="35"/>
        <v>4620.9997183212008</v>
      </c>
      <c r="AN61" s="716" t="str">
        <f>_xlfn.XLOOKUP(D61,RUC!$B$3:$B$578,RUC!$M$3:$M$578)</f>
        <v>Evelyn</v>
      </c>
      <c r="AO61" s="1167" t="s">
        <v>2277</v>
      </c>
      <c r="AP61" s="1843">
        <v>317</v>
      </c>
      <c r="AQ61" s="1082" t="s">
        <v>5661</v>
      </c>
    </row>
    <row r="62" spans="1:43" ht="15" customHeight="1">
      <c r="A62" s="747" t="s">
        <v>5658</v>
      </c>
      <c r="B62" s="1447">
        <v>46166</v>
      </c>
      <c r="C62" s="1447">
        <v>46157</v>
      </c>
      <c r="D62" t="s">
        <v>1967</v>
      </c>
      <c r="E62" s="762">
        <f>_xlfn.XLOOKUP(D62,RUC!$B$3:$B$123,RUC!$D$3:$D$123)</f>
        <v>20601769396</v>
      </c>
      <c r="F62" s="629" t="s">
        <v>5711</v>
      </c>
      <c r="G62" s="762">
        <v>500</v>
      </c>
      <c r="H62" s="1082" t="s">
        <v>108</v>
      </c>
      <c r="I62" s="703">
        <v>16.36</v>
      </c>
      <c r="J62" s="596">
        <v>17.05</v>
      </c>
      <c r="K62" s="703">
        <f t="shared" si="23"/>
        <v>13.571</v>
      </c>
      <c r="L62" s="1082">
        <v>0.25700000000000001</v>
      </c>
      <c r="M62" s="994">
        <f>ROUND(+IF(L62&gt;_xlfn.XLOOKUP(AN62,RUC!M:M,RUC!K:K),L62*_xlfn.XLOOKUP(AN62,RUC!M:M,RUC!I:I),L62-_xlfn.XLOOKUP(AN62,RUC!M:M,RUC!J:J)),3)</f>
        <v>0.23799999999999999</v>
      </c>
      <c r="N62" s="1196">
        <f t="shared" si="40"/>
        <v>0.23799999999999999</v>
      </c>
      <c r="O62" s="645">
        <f t="shared" si="24"/>
        <v>0.23799999999999999</v>
      </c>
      <c r="P62" s="727">
        <v>90</v>
      </c>
      <c r="Q62" s="1572">
        <v>92.22</v>
      </c>
      <c r="R62" s="706">
        <v>4528</v>
      </c>
      <c r="S62" s="765">
        <f>IF((_xlfn.XLOOKUP(D62,RUC!$B$3:$B$119,RUC!$E$3:$E$119)+ROUNDDOWN(O62,1)*100)&lt;95,95,((_xlfn.XLOOKUP(D62,RUC!$B$3:$B$119,RUC!$E$3:$E$119)+ROUNDDOWN(O62,1)*100)))</f>
        <v>110</v>
      </c>
      <c r="U62" s="1146">
        <f>_xlfn.XLOOKUP(D62,RUC!$B$3:$B$123,RUC!$F$3:$F$123)</f>
        <v>120</v>
      </c>
      <c r="V62" s="715">
        <v>1.1023000000000001</v>
      </c>
      <c r="Y62" s="1445">
        <v>30</v>
      </c>
      <c r="Z62" s="1454">
        <v>70</v>
      </c>
      <c r="AA62" s="144">
        <f t="shared" si="25"/>
        <v>100</v>
      </c>
      <c r="AB62" s="145">
        <f t="shared" si="41"/>
        <v>809.30160527999988</v>
      </c>
      <c r="AC62" s="145">
        <f>+(S62-T62)*V62-'data 1'!$F$4</f>
        <v>41.253</v>
      </c>
      <c r="AD62" s="145">
        <f t="shared" si="27"/>
        <v>27.722187147359985</v>
      </c>
      <c r="AE62" s="145">
        <f t="shared" si="28"/>
        <v>40.230000000000004</v>
      </c>
      <c r="AF62" s="145">
        <f t="shared" si="29"/>
        <v>85.137346857120079</v>
      </c>
      <c r="AG62" s="772">
        <f t="shared" si="43"/>
        <v>211.34253400448006</v>
      </c>
      <c r="AH62" s="1253">
        <f t="shared" si="31"/>
        <v>110.276</v>
      </c>
      <c r="AI62" s="1253">
        <f t="shared" si="32"/>
        <v>119.57899999999999</v>
      </c>
      <c r="AJ62" s="156">
        <f t="shared" si="33"/>
        <v>24.035096822640003</v>
      </c>
      <c r="AK62" s="156">
        <f t="shared" si="34"/>
        <v>99.664475662727</v>
      </c>
      <c r="AM62" s="716">
        <f t="shared" si="35"/>
        <v>10983.032085254878</v>
      </c>
      <c r="AN62" s="716" t="str">
        <f>_xlfn.XLOOKUP(D62,RUC!$B$3:$B$578,RUC!$M$3:$M$578)</f>
        <v>Evelyn</v>
      </c>
      <c r="AO62" s="1167" t="s">
        <v>2277</v>
      </c>
      <c r="AP62" s="1843">
        <v>317</v>
      </c>
      <c r="AQ62" s="1082" t="s">
        <v>5661</v>
      </c>
    </row>
    <row r="63" spans="1:43" ht="15" customHeight="1">
      <c r="A63" s="747" t="s">
        <v>5670</v>
      </c>
      <c r="B63" s="1447">
        <v>46162</v>
      </c>
      <c r="C63" s="1447">
        <v>46157</v>
      </c>
      <c r="D63" t="s">
        <v>1967</v>
      </c>
      <c r="E63" s="762">
        <f>_xlfn.XLOOKUP(D63,RUC!$B$3:$B$123,RUC!$D$3:$D$123)</f>
        <v>20601769396</v>
      </c>
      <c r="F63" s="629" t="s">
        <v>5695</v>
      </c>
      <c r="G63" s="762">
        <v>17</v>
      </c>
      <c r="H63" s="1082" t="s">
        <v>2005</v>
      </c>
      <c r="I63" s="703">
        <v>1.33</v>
      </c>
      <c r="J63" s="596">
        <v>13.65</v>
      </c>
      <c r="K63" s="703">
        <f t="shared" si="23"/>
        <v>1.1479999999999999</v>
      </c>
      <c r="L63" s="1082">
        <v>0.496</v>
      </c>
      <c r="M63" s="994">
        <f>ROUND(+IF(L63&gt;_xlfn.XLOOKUP(AN63,RUC!M:M,RUC!K:K),L63*_xlfn.XLOOKUP(AN63,RUC!M:M,RUC!I:I),L63-_xlfn.XLOOKUP(AN63,RUC!M:M,RUC!J:J)),3)</f>
        <v>0.46600000000000003</v>
      </c>
      <c r="N63" s="1196">
        <f t="shared" si="40"/>
        <v>0.46600000000000003</v>
      </c>
      <c r="O63" s="645">
        <f t="shared" si="24"/>
        <v>0.46600000000000003</v>
      </c>
      <c r="P63" s="727">
        <v>90</v>
      </c>
      <c r="Q63" s="1476">
        <v>91.33</v>
      </c>
      <c r="R63" s="706">
        <v>4528</v>
      </c>
      <c r="S63" s="765">
        <f>IF((_xlfn.XLOOKUP(D63,RUC!$B$3:$B$119,RUC!$E$3:$E$119)+ROUNDDOWN(O63,1)*100)&lt;95,95,((_xlfn.XLOOKUP(D63,RUC!$B$3:$B$119,RUC!$E$3:$E$119)+ROUNDDOWN(O63,1)*100)))</f>
        <v>130</v>
      </c>
      <c r="U63" s="1146">
        <f>_xlfn.XLOOKUP(D63,RUC!$B$3:$B$123,RUC!$F$3:$F$123)</f>
        <v>120</v>
      </c>
      <c r="V63" s="715">
        <v>1.1023000000000001</v>
      </c>
      <c r="Y63">
        <f>_xlfn.XLOOKUP(D63,RUC!$B$3:$B$123,RUC!$G$3:$G$123)</f>
        <v>20</v>
      </c>
      <c r="Z63" s="143">
        <f>_xlfn.XLOOKUP(D63,RUC!$B$3:$B$123,RUC!$H$3:$H$123)</f>
        <v>30</v>
      </c>
      <c r="AA63" s="144">
        <f t="shared" si="25"/>
        <v>50</v>
      </c>
      <c r="AB63" s="145">
        <f t="shared" si="41"/>
        <v>1839.4247649600002</v>
      </c>
      <c r="AC63" s="1068">
        <f>+(S63-T63)*V63-'data 1'!$F$4</f>
        <v>63.299000000000007</v>
      </c>
      <c r="AD63" s="145">
        <f t="shared" si="27"/>
        <v>32.053444837119962</v>
      </c>
      <c r="AE63" s="145">
        <f t="shared" si="28"/>
        <v>-14.884999999999998</v>
      </c>
      <c r="AF63" s="145">
        <f t="shared" si="29"/>
        <v>133.13005322159987</v>
      </c>
      <c r="AG63" s="772">
        <f t="shared" si="43"/>
        <v>230.59749805871985</v>
      </c>
      <c r="AH63" s="1253">
        <f t="shared" si="31"/>
        <v>17.829999999999998</v>
      </c>
      <c r="AI63" s="1253">
        <f t="shared" si="32"/>
        <v>19.521999999999998</v>
      </c>
      <c r="AJ63" s="156">
        <f t="shared" si="33"/>
        <v>45.939130282880008</v>
      </c>
      <c r="AK63" s="156">
        <f t="shared" si="34"/>
        <v>16.507426926899161</v>
      </c>
      <c r="AM63" s="716">
        <f t="shared" si="35"/>
        <v>2111.6596301740801</v>
      </c>
      <c r="AN63" s="716" t="str">
        <f>_xlfn.XLOOKUP(D63,RUC!$B$3:$B$578,RUC!$M$3:$M$578)</f>
        <v>Evelyn</v>
      </c>
      <c r="AO63" s="1167" t="s">
        <v>2278</v>
      </c>
      <c r="AP63" s="1843">
        <v>321</v>
      </c>
      <c r="AQ63" s="1082" t="s">
        <v>5706</v>
      </c>
    </row>
    <row r="64" spans="1:43" ht="15" customHeight="1">
      <c r="A64" s="747" t="s">
        <v>5671</v>
      </c>
      <c r="B64" s="1447">
        <v>46162</v>
      </c>
      <c r="C64" s="1447">
        <v>46157</v>
      </c>
      <c r="D64" t="s">
        <v>1967</v>
      </c>
      <c r="E64" s="762">
        <f>_xlfn.XLOOKUP(D64,RUC!$B$3:$B$123,RUC!$D$3:$D$123)</f>
        <v>20601769396</v>
      </c>
      <c r="F64" s="629" t="s">
        <v>5696</v>
      </c>
      <c r="G64" s="762">
        <v>17</v>
      </c>
      <c r="H64" s="1082" t="s">
        <v>2005</v>
      </c>
      <c r="I64" s="703">
        <v>1.36</v>
      </c>
      <c r="J64" s="596">
        <v>13.75</v>
      </c>
      <c r="K64" s="703">
        <f t="shared" si="23"/>
        <v>1.173</v>
      </c>
      <c r="L64" s="1082">
        <v>0.124</v>
      </c>
      <c r="M64" s="994">
        <f>ROUND(+IF(L64&gt;_xlfn.XLOOKUP(AN64,RUC!M:M,RUC!K:K),L64*_xlfn.XLOOKUP(AN64,RUC!M:M,RUC!I:I),L64-_xlfn.XLOOKUP(AN64,RUC!M:M,RUC!J:J)),3)</f>
        <v>0.105</v>
      </c>
      <c r="N64" s="1196">
        <v>0.14599999999999999</v>
      </c>
      <c r="O64" s="645">
        <f t="shared" si="24"/>
        <v>0.126</v>
      </c>
      <c r="P64" s="727">
        <v>80</v>
      </c>
      <c r="Q64" s="1476">
        <v>91.94</v>
      </c>
      <c r="R64" s="706">
        <v>4528</v>
      </c>
      <c r="S64" s="765">
        <f>IF((_xlfn.XLOOKUP(D64,RUC!$B$3:$B$119,RUC!$E$3:$E$119)+ROUNDDOWN(O64,1)*100)&lt;95,95,((_xlfn.XLOOKUP(D64,RUC!$B$3:$B$119,RUC!$E$3:$E$119)+ROUNDDOWN(O64,1)*100)))</f>
        <v>100</v>
      </c>
      <c r="U64" s="1146">
        <f>_xlfn.XLOOKUP(D64,RUC!$B$3:$B$123,RUC!$F$3:$F$123)</f>
        <v>120</v>
      </c>
      <c r="V64" s="715">
        <v>1.1023000000000001</v>
      </c>
      <c r="Y64">
        <f>_xlfn.XLOOKUP(D64,RUC!$B$3:$B$123,RUC!$G$3:$G$123)</f>
        <v>20</v>
      </c>
      <c r="Z64" s="143">
        <f>_xlfn.XLOOKUP(D64,RUC!$B$3:$B$123,RUC!$H$3:$H$123)</f>
        <v>30</v>
      </c>
      <c r="AA64" s="144">
        <f t="shared" si="25"/>
        <v>50</v>
      </c>
      <c r="AB64" s="145">
        <f t="shared" si="41"/>
        <v>324.43599072000001</v>
      </c>
      <c r="AC64" s="145">
        <f>+(S64-T64)*V64-'data 1'!$F$4</f>
        <v>30.230000000000004</v>
      </c>
      <c r="AD64" s="145">
        <f t="shared" si="27"/>
        <v>71.939498375039989</v>
      </c>
      <c r="AE64" s="145">
        <f t="shared" si="28"/>
        <v>-14.884999999999998</v>
      </c>
      <c r="AF64" s="145">
        <f t="shared" si="29"/>
        <v>-8.9346159299200085</v>
      </c>
      <c r="AG64" s="772">
        <f t="shared" si="43"/>
        <v>95.349882445119988</v>
      </c>
      <c r="AH64" s="1253">
        <f t="shared" si="31"/>
        <v>4.585</v>
      </c>
      <c r="AI64" s="1253">
        <f t="shared" si="32"/>
        <v>4.9870000000000001</v>
      </c>
      <c r="AJ64" s="156">
        <f t="shared" si="33"/>
        <v>11.56149030496</v>
      </c>
      <c r="AK64" s="156">
        <f t="shared" si="34"/>
        <v>4.0538494264111202</v>
      </c>
      <c r="AM64" s="716">
        <f t="shared" si="35"/>
        <v>380.56341711456002</v>
      </c>
      <c r="AN64" s="716" t="str">
        <f>_xlfn.XLOOKUP(D64,RUC!$B$3:$B$578,RUC!$M$3:$M$578)</f>
        <v>Evelyn</v>
      </c>
      <c r="AO64" s="1167" t="s">
        <v>2280</v>
      </c>
      <c r="AP64" s="1843">
        <v>321</v>
      </c>
      <c r="AQ64" s="1082" t="s">
        <v>5706</v>
      </c>
    </row>
    <row r="65" spans="1:44" ht="15" customHeight="1">
      <c r="A65" s="747" t="s">
        <v>5672</v>
      </c>
      <c r="B65" s="1447">
        <v>46171</v>
      </c>
      <c r="C65" s="1447">
        <v>46157</v>
      </c>
      <c r="D65" t="s">
        <v>1967</v>
      </c>
      <c r="E65" s="762">
        <f>_xlfn.XLOOKUP(D65,RUC!$B$3:$B$123,RUC!$D$3:$D$123)</f>
        <v>20601769396</v>
      </c>
      <c r="F65" s="629" t="s">
        <v>5697</v>
      </c>
      <c r="G65" s="762">
        <v>13</v>
      </c>
      <c r="H65" s="1082" t="s">
        <v>108</v>
      </c>
      <c r="I65" s="703">
        <v>1.22</v>
      </c>
      <c r="J65" s="596">
        <v>14.6</v>
      </c>
      <c r="K65" s="703">
        <f t="shared" si="23"/>
        <v>1.042</v>
      </c>
      <c r="L65" s="1082">
        <v>0.435</v>
      </c>
      <c r="M65" s="994">
        <f>ROUND(+IF(L65&gt;_xlfn.XLOOKUP(AN65,RUC!M:M,RUC!K:K),L65*_xlfn.XLOOKUP(AN65,RUC!M:M,RUC!I:I),L65-_xlfn.XLOOKUP(AN65,RUC!M:M,RUC!J:J)),3)</f>
        <v>0.40899999999999997</v>
      </c>
      <c r="N65" s="1196">
        <f t="shared" si="40"/>
        <v>0.40899999999999997</v>
      </c>
      <c r="O65" s="645">
        <f t="shared" si="24"/>
        <v>0.40899999999999997</v>
      </c>
      <c r="P65" s="727">
        <v>90</v>
      </c>
      <c r="Q65" s="1476">
        <v>95.63</v>
      </c>
      <c r="R65" s="706">
        <v>4528</v>
      </c>
      <c r="S65" s="765">
        <f>IF((_xlfn.XLOOKUP(D65,RUC!$B$3:$B$119,RUC!$E$3:$E$119)+ROUNDDOWN(O65,1)*100)&lt;95,95,((_xlfn.XLOOKUP(D65,RUC!$B$3:$B$119,RUC!$E$3:$E$119)+ROUNDDOWN(O65,1)*100)))</f>
        <v>130</v>
      </c>
      <c r="U65" s="1146">
        <f>_xlfn.XLOOKUP(D65,RUC!$B$3:$B$123,RUC!$F$3:$F$123)</f>
        <v>120</v>
      </c>
      <c r="V65" s="715">
        <v>1.1023000000000001</v>
      </c>
      <c r="Y65" s="1445">
        <v>30</v>
      </c>
      <c r="Z65" s="1454">
        <v>70</v>
      </c>
      <c r="AA65" s="144">
        <f t="shared" si="25"/>
        <v>100</v>
      </c>
      <c r="AB65" s="145">
        <f t="shared" si="41"/>
        <v>1535.0462250399999</v>
      </c>
      <c r="AC65" s="145">
        <f>+(S65-T65)*V65-'data 1'!$F$4</f>
        <v>63.299000000000007</v>
      </c>
      <c r="AD65" s="145">
        <f t="shared" si="27"/>
        <v>118.99783088519989</v>
      </c>
      <c r="AE65" s="145">
        <f t="shared" si="28"/>
        <v>40.230000000000004</v>
      </c>
      <c r="AF65" s="145">
        <f t="shared" si="29"/>
        <v>120.81167258992011</v>
      </c>
      <c r="AG65" s="772">
        <f t="shared" si="43"/>
        <v>360.33850347511998</v>
      </c>
      <c r="AH65" s="1253">
        <f t="shared" si="31"/>
        <v>14.861000000000001</v>
      </c>
      <c r="AI65" s="1253">
        <f t="shared" si="32"/>
        <v>15.541</v>
      </c>
      <c r="AJ65" s="156">
        <f t="shared" si="33"/>
        <v>42.186262189799997</v>
      </c>
      <c r="AK65" s="156">
        <f t="shared" si="34"/>
        <v>13.150510297535611</v>
      </c>
      <c r="AM65" s="716">
        <f t="shared" si="35"/>
        <v>1599.5181664916799</v>
      </c>
      <c r="AN65" s="716" t="str">
        <f>_xlfn.XLOOKUP(D65,RUC!$B$3:$B$578,RUC!$M$3:$M$578)</f>
        <v>Evelyn</v>
      </c>
      <c r="AO65" s="1167" t="s">
        <v>2278</v>
      </c>
      <c r="AP65" s="1843">
        <v>321</v>
      </c>
      <c r="AQ65" s="1082" t="s">
        <v>5706</v>
      </c>
    </row>
    <row r="66" spans="1:44" ht="15" customHeight="1">
      <c r="A66" s="747" t="s">
        <v>5673</v>
      </c>
      <c r="B66" s="1447">
        <v>46171</v>
      </c>
      <c r="C66" s="1447">
        <v>46157</v>
      </c>
      <c r="D66" t="s">
        <v>1967</v>
      </c>
      <c r="E66" s="762">
        <f>_xlfn.XLOOKUP(D66,RUC!$B$3:$B$123,RUC!$D$3:$D$123)</f>
        <v>20601769396</v>
      </c>
      <c r="F66" s="629" t="s">
        <v>5697</v>
      </c>
      <c r="G66" s="762">
        <v>13</v>
      </c>
      <c r="H66" s="1082" t="s">
        <v>108</v>
      </c>
      <c r="I66" s="703">
        <v>1.26</v>
      </c>
      <c r="J66" s="596">
        <v>20.73</v>
      </c>
      <c r="K66" s="703">
        <f t="shared" si="23"/>
        <v>0.999</v>
      </c>
      <c r="L66" s="1082">
        <v>0.28699999999999998</v>
      </c>
      <c r="M66" s="994">
        <f>ROUND(+IF(L66&gt;_xlfn.XLOOKUP(AN66,RUC!M:M,RUC!K:K),L66*_xlfn.XLOOKUP(AN66,RUC!M:M,RUC!I:I),L66-_xlfn.XLOOKUP(AN66,RUC!M:M,RUC!J:J)),3)</f>
        <v>0.26800000000000002</v>
      </c>
      <c r="N66" s="1196">
        <f t="shared" si="40"/>
        <v>0.26800000000000002</v>
      </c>
      <c r="O66" s="645">
        <f t="shared" si="24"/>
        <v>0.26800000000000002</v>
      </c>
      <c r="P66" s="727">
        <v>90</v>
      </c>
      <c r="Q66" s="1476">
        <v>94.08</v>
      </c>
      <c r="R66" s="706">
        <v>4528</v>
      </c>
      <c r="S66" s="765">
        <f>IF((_xlfn.XLOOKUP(D66,RUC!$B$3:$B$119,RUC!$E$3:$E$119)+ROUNDDOWN(O66,1)*100)&lt;95,95,((_xlfn.XLOOKUP(D66,RUC!$B$3:$B$119,RUC!$E$3:$E$119)+ROUNDDOWN(O66,1)*100)))</f>
        <v>110</v>
      </c>
      <c r="U66" s="1146">
        <f>_xlfn.XLOOKUP(D66,RUC!$B$3:$B$123,RUC!$F$3:$F$123)</f>
        <v>120</v>
      </c>
      <c r="V66" s="715">
        <v>1.1023000000000001</v>
      </c>
      <c r="Y66" s="1445">
        <v>30</v>
      </c>
      <c r="Z66" s="1454">
        <v>70</v>
      </c>
      <c r="AA66" s="144">
        <f t="shared" si="25"/>
        <v>100</v>
      </c>
      <c r="AB66" s="145">
        <f t="shared" si="41"/>
        <v>940.49294208000015</v>
      </c>
      <c r="AC66" s="145">
        <f>+(S66-T66)*V66-'data 1'!$F$4</f>
        <v>41.253</v>
      </c>
      <c r="AD66" s="145">
        <f t="shared" si="27"/>
        <v>56.896225088639973</v>
      </c>
      <c r="AE66" s="145">
        <f t="shared" si="28"/>
        <v>40.230000000000004</v>
      </c>
      <c r="AF66" s="145">
        <f t="shared" si="29"/>
        <v>86.85449568767983</v>
      </c>
      <c r="AG66" s="772">
        <f t="shared" si="43"/>
        <v>242.23372077631984</v>
      </c>
      <c r="AH66" s="1253">
        <f t="shared" si="31"/>
        <v>9.2479999999999993</v>
      </c>
      <c r="AI66" s="1253">
        <f t="shared" si="32"/>
        <v>9.83</v>
      </c>
      <c r="AJ66" s="156">
        <f t="shared" si="33"/>
        <v>27.382105551359999</v>
      </c>
      <c r="AK66" s="156">
        <f t="shared" si="34"/>
        <v>8.2613659620623405</v>
      </c>
      <c r="AM66" s="716">
        <f t="shared" si="35"/>
        <v>939.55244913792012</v>
      </c>
      <c r="AN66" s="716" t="str">
        <f>_xlfn.XLOOKUP(D66,RUC!$B$3:$B$578,RUC!$M$3:$M$578)</f>
        <v>Evelyn</v>
      </c>
      <c r="AO66" s="1167" t="s">
        <v>2277</v>
      </c>
      <c r="AP66" s="1843">
        <v>321</v>
      </c>
      <c r="AQ66" s="1082" t="s">
        <v>5706</v>
      </c>
    </row>
    <row r="67" spans="1:44" ht="15" customHeight="1">
      <c r="A67" s="747" t="s">
        <v>5674</v>
      </c>
      <c r="B67" s="1447">
        <v>46171</v>
      </c>
      <c r="C67" s="1447">
        <v>46157</v>
      </c>
      <c r="D67" t="s">
        <v>1967</v>
      </c>
      <c r="E67" s="762">
        <f>_xlfn.XLOOKUP(D67,RUC!$B$3:$B$123,RUC!$D$3:$D$123)</f>
        <v>20601769396</v>
      </c>
      <c r="F67" s="629" t="s">
        <v>5697</v>
      </c>
      <c r="G67" s="762">
        <v>13</v>
      </c>
      <c r="H67" s="1082" t="s">
        <v>108</v>
      </c>
      <c r="I67" s="703">
        <v>1.28</v>
      </c>
      <c r="J67" s="596">
        <v>24.73</v>
      </c>
      <c r="K67" s="703">
        <f t="shared" si="23"/>
        <v>0.96299999999999997</v>
      </c>
      <c r="L67" s="1082">
        <v>0.23499999999999999</v>
      </c>
      <c r="M67" s="994">
        <f>ROUND(+IF(L67&gt;_xlfn.XLOOKUP(AN67,RUC!M:M,RUC!K:K),L67*_xlfn.XLOOKUP(AN67,RUC!M:M,RUC!I:I),L67-_xlfn.XLOOKUP(AN67,RUC!M:M,RUC!J:J)),3)</f>
        <v>0.216</v>
      </c>
      <c r="N67" s="1196">
        <f t="shared" si="40"/>
        <v>0.216</v>
      </c>
      <c r="O67" s="645">
        <f t="shared" si="24"/>
        <v>0.216</v>
      </c>
      <c r="P67" s="727">
        <v>90</v>
      </c>
      <c r="Q67" s="1476">
        <v>94.04</v>
      </c>
      <c r="R67" s="706">
        <v>4528</v>
      </c>
      <c r="S67" s="765">
        <f>IF((_xlfn.XLOOKUP(D67,RUC!$B$3:$B$119,RUC!$E$3:$E$119)+ROUNDDOWN(O67,1)*100)&lt;95,95,((_xlfn.XLOOKUP(D67,RUC!$B$3:$B$119,RUC!$E$3:$E$119)+ROUNDDOWN(O67,1)*100)))</f>
        <v>110</v>
      </c>
      <c r="U67" s="1146">
        <f>_xlfn.XLOOKUP(D67,RUC!$B$3:$B$123,RUC!$F$3:$F$123)</f>
        <v>120</v>
      </c>
      <c r="V67" s="715">
        <v>1.1023000000000001</v>
      </c>
      <c r="Y67" s="1445">
        <v>30</v>
      </c>
      <c r="Z67" s="1454">
        <v>70</v>
      </c>
      <c r="AA67" s="144">
        <f t="shared" si="25"/>
        <v>100</v>
      </c>
      <c r="AB67" s="145">
        <f t="shared" si="41"/>
        <v>713.09462496000003</v>
      </c>
      <c r="AC67" s="145">
        <f>+(S67-T67)*V67-'data 1'!$F$4</f>
        <v>41.253</v>
      </c>
      <c r="AD67" s="145">
        <f t="shared" si="27"/>
        <v>46.130761169600071</v>
      </c>
      <c r="AE67" s="145">
        <f t="shared" si="28"/>
        <v>40.230000000000004</v>
      </c>
      <c r="AF67" s="145">
        <f t="shared" si="29"/>
        <v>86.81756775583996</v>
      </c>
      <c r="AG67" s="772">
        <f t="shared" si="43"/>
        <v>231.43132892544003</v>
      </c>
      <c r="AH67" s="1253">
        <f t="shared" si="31"/>
        <v>7.2969999999999997</v>
      </c>
      <c r="AI67" s="1253">
        <f t="shared" si="32"/>
        <v>7.7590000000000003</v>
      </c>
      <c r="AJ67" s="156">
        <f t="shared" si="33"/>
        <v>22.411355130399997</v>
      </c>
      <c r="AK67" s="156">
        <f t="shared" si="34"/>
        <v>6.4184714977539601</v>
      </c>
      <c r="AM67" s="716">
        <f t="shared" si="35"/>
        <v>686.71012383647997</v>
      </c>
      <c r="AN67" s="716" t="str">
        <f>_xlfn.XLOOKUP(D67,RUC!$B$3:$B$578,RUC!$M$3:$M$578)</f>
        <v>Evelyn</v>
      </c>
      <c r="AO67" s="1167" t="s">
        <v>2277</v>
      </c>
      <c r="AP67" s="1843">
        <v>321</v>
      </c>
      <c r="AQ67" s="1082" t="s">
        <v>5706</v>
      </c>
    </row>
    <row r="68" spans="1:44" ht="15" customHeight="1">
      <c r="A68" s="747" t="s">
        <v>5675</v>
      </c>
      <c r="B68" s="1447">
        <v>46165</v>
      </c>
      <c r="C68" s="1447">
        <v>46157</v>
      </c>
      <c r="D68" t="s">
        <v>1967</v>
      </c>
      <c r="E68" s="762">
        <f>_xlfn.XLOOKUP(D68,RUC!$B$3:$B$123,RUC!$D$3:$D$123)</f>
        <v>20601769396</v>
      </c>
      <c r="F68" s="629" t="s">
        <v>5698</v>
      </c>
      <c r="G68" s="762">
        <v>30</v>
      </c>
      <c r="H68" s="1082" t="s">
        <v>2005</v>
      </c>
      <c r="I68" s="703">
        <v>2.44</v>
      </c>
      <c r="J68" s="596">
        <v>7.05</v>
      </c>
      <c r="K68" s="703">
        <f t="shared" si="23"/>
        <v>2.2679999999999998</v>
      </c>
      <c r="L68" s="1082">
        <v>0.38900000000000001</v>
      </c>
      <c r="M68" s="994">
        <f>ROUND(+IF(L68&gt;_xlfn.XLOOKUP(AN68,RUC!M:M,RUC!K:K),L68*_xlfn.XLOOKUP(AN68,RUC!M:M,RUC!I:I),L68-_xlfn.XLOOKUP(AN68,RUC!M:M,RUC!J:J)),3)</f>
        <v>0.36599999999999999</v>
      </c>
      <c r="N68" s="1196">
        <f t="shared" si="40"/>
        <v>0.36599999999999999</v>
      </c>
      <c r="O68" s="645">
        <f t="shared" si="24"/>
        <v>0.36599999999999999</v>
      </c>
      <c r="P68" s="727">
        <v>90</v>
      </c>
      <c r="Q68" s="1476">
        <v>89.46</v>
      </c>
      <c r="R68" s="706">
        <v>4528</v>
      </c>
      <c r="S68" s="765">
        <f>IF((_xlfn.XLOOKUP(D68,RUC!$B$3:$B$119,RUC!$E$3:$E$119)+ROUNDDOWN(O68,1)*100)&lt;95,95,((_xlfn.XLOOKUP(D68,RUC!$B$3:$B$119,RUC!$E$3:$E$119)+ROUNDDOWN(O68,1)*100)))</f>
        <v>120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3">
        <f>_xlfn.XLOOKUP(D68,RUC!$B$3:$B$123,RUC!$H$3:$H$123)</f>
        <v>30</v>
      </c>
      <c r="AA68" s="144">
        <f t="shared" si="25"/>
        <v>50</v>
      </c>
      <c r="AB68" s="145">
        <f t="shared" si="41"/>
        <v>1413.1433089599998</v>
      </c>
      <c r="AC68" s="145">
        <f>+(S68-T68)*V68-'data 1'!$F$4</f>
        <v>52.27600000000001</v>
      </c>
      <c r="AD68" s="145">
        <f t="shared" si="27"/>
        <v>-10.206686003040119</v>
      </c>
      <c r="AE68" s="145">
        <f t="shared" si="28"/>
        <v>-14.884999999999998</v>
      </c>
      <c r="AF68" s="145">
        <f t="shared" si="29"/>
        <v>99.976544730720093</v>
      </c>
      <c r="AG68" s="772">
        <f t="shared" si="43"/>
        <v>144.16085872767999</v>
      </c>
      <c r="AH68" s="1253">
        <f t="shared" si="31"/>
        <v>27.06</v>
      </c>
      <c r="AI68" s="1253">
        <f t="shared" si="32"/>
        <v>30.248000000000001</v>
      </c>
      <c r="AJ68" s="156">
        <f t="shared" si="33"/>
        <v>35.291175953040003</v>
      </c>
      <c r="AK68" s="156">
        <f t="shared" si="34"/>
        <v>25.613900276083559</v>
      </c>
      <c r="AM68" s="716">
        <f t="shared" si="35"/>
        <v>3205.0090247212793</v>
      </c>
      <c r="AN68" s="716" t="str">
        <f>_xlfn.XLOOKUP(D68,RUC!$B$3:$B$578,RUC!$M$3:$M$578)</f>
        <v>Evelyn</v>
      </c>
      <c r="AO68" s="1167" t="s">
        <v>2280</v>
      </c>
      <c r="AP68" s="1843">
        <v>321</v>
      </c>
      <c r="AQ68" s="1082" t="s">
        <v>5706</v>
      </c>
    </row>
    <row r="69" spans="1:44" ht="15" customHeight="1">
      <c r="A69" s="747" t="s">
        <v>5676</v>
      </c>
      <c r="B69" s="1447">
        <v>46165</v>
      </c>
      <c r="C69" s="1447">
        <v>46157</v>
      </c>
      <c r="D69" t="s">
        <v>1967</v>
      </c>
      <c r="E69" s="762">
        <f>_xlfn.XLOOKUP(D69,RUC!$B$3:$B$123,RUC!$D$3:$D$123)</f>
        <v>20601769396</v>
      </c>
      <c r="F69" s="629" t="s">
        <v>5698</v>
      </c>
      <c r="G69" s="762">
        <v>35</v>
      </c>
      <c r="H69" s="1082" t="s">
        <v>2005</v>
      </c>
      <c r="I69" s="703">
        <v>2.87</v>
      </c>
      <c r="J69" s="596">
        <v>6.15</v>
      </c>
      <c r="K69" s="703">
        <f t="shared" si="23"/>
        <v>2.6930000000000001</v>
      </c>
      <c r="L69" s="1192">
        <v>0.35</v>
      </c>
      <c r="M69" s="994">
        <f>ROUND(+IF(L69&gt;_xlfn.XLOOKUP(AN69,RUC!M:M,RUC!K:K),L69*_xlfn.XLOOKUP(AN69,RUC!M:M,RUC!I:I),L69-_xlfn.XLOOKUP(AN69,RUC!M:M,RUC!J:J)),3)</f>
        <v>0.32900000000000001</v>
      </c>
      <c r="N69" s="1196">
        <f t="shared" si="40"/>
        <v>0.32900000000000001</v>
      </c>
      <c r="O69" s="645">
        <f t="shared" si="24"/>
        <v>0.32900000000000001</v>
      </c>
      <c r="P69" s="727">
        <v>90</v>
      </c>
      <c r="Q69" s="1476">
        <v>89.71</v>
      </c>
      <c r="R69" s="706">
        <v>4528</v>
      </c>
      <c r="S69" s="765">
        <f>IF((_xlfn.XLOOKUP(D69,RUC!$B$3:$B$119,RUC!$E$3:$E$119)+ROUNDDOWN(O69,1)*100)&lt;95,95,((_xlfn.XLOOKUP(D69,RUC!$B$3:$B$119,RUC!$E$3:$E$119)+ROUNDDOWN(O69,1)*100)))</f>
        <v>120</v>
      </c>
      <c r="U69" s="1146">
        <f>_xlfn.XLOOKUP(D69,RUC!$B$3:$B$123,RUC!$F$3:$F$123)</f>
        <v>120</v>
      </c>
      <c r="V69" s="715">
        <v>1.1023000000000001</v>
      </c>
      <c r="Y69">
        <f>_xlfn.XLOOKUP(D69,RUC!$B$3:$B$123,RUC!$G$3:$G$123)</f>
        <v>20</v>
      </c>
      <c r="Z69" s="143">
        <f>_xlfn.XLOOKUP(D69,RUC!$B$3:$B$123,RUC!$H$3:$H$123)</f>
        <v>30</v>
      </c>
      <c r="AA69" s="144">
        <f t="shared" si="25"/>
        <v>50</v>
      </c>
      <c r="AB69" s="145">
        <f t="shared" si="41"/>
        <v>1251.3406602400003</v>
      </c>
      <c r="AC69" s="145">
        <f>+(S69-T69)*V69-'data 1'!$F$4</f>
        <v>52.27600000000001</v>
      </c>
      <c r="AD69" s="145">
        <f t="shared" si="27"/>
        <v>-4.9318224760001064</v>
      </c>
      <c r="AE69" s="145">
        <f t="shared" si="28"/>
        <v>-14.884999999999998</v>
      </c>
      <c r="AF69" s="145">
        <f t="shared" si="29"/>
        <v>91.538026411439844</v>
      </c>
      <c r="AG69" s="772">
        <f t="shared" si="43"/>
        <v>140.99720393543976</v>
      </c>
      <c r="AH69" s="1253">
        <f t="shared" si="31"/>
        <v>28.99</v>
      </c>
      <c r="AI69" s="1253">
        <f t="shared" si="32"/>
        <v>32.316000000000003</v>
      </c>
      <c r="AJ69" s="156">
        <f t="shared" si="33"/>
        <v>31.841721225999994</v>
      </c>
      <c r="AK69" s="156">
        <f t="shared" si="34"/>
        <v>27.339075860522268</v>
      </c>
      <c r="AM69" s="716">
        <f t="shared" si="35"/>
        <v>3369.8603980263206</v>
      </c>
      <c r="AN69" s="716" t="str">
        <f>_xlfn.XLOOKUP(D69,RUC!$B$3:$B$578,RUC!$M$3:$M$578)</f>
        <v>Evelyn</v>
      </c>
      <c r="AO69" s="1167" t="s">
        <v>2280</v>
      </c>
      <c r="AP69" s="1843">
        <v>321</v>
      </c>
      <c r="AQ69" s="1082" t="s">
        <v>5706</v>
      </c>
    </row>
    <row r="70" spans="1:44" ht="15" customHeight="1">
      <c r="A70" s="747" t="s">
        <v>5677</v>
      </c>
      <c r="B70" s="1447">
        <v>46165</v>
      </c>
      <c r="C70" s="1447">
        <v>46157</v>
      </c>
      <c r="D70" t="s">
        <v>1967</v>
      </c>
      <c r="E70" s="762">
        <f>_xlfn.XLOOKUP(D70,RUC!$B$3:$B$123,RUC!$D$3:$D$123)</f>
        <v>20601769396</v>
      </c>
      <c r="F70" s="629" t="s">
        <v>5698</v>
      </c>
      <c r="G70" s="762">
        <v>35</v>
      </c>
      <c r="H70" s="1082" t="s">
        <v>2005</v>
      </c>
      <c r="I70" s="703">
        <v>2.98</v>
      </c>
      <c r="J70" s="596">
        <v>7.75</v>
      </c>
      <c r="K70" s="703">
        <f t="shared" si="23"/>
        <v>2.7490000000000001</v>
      </c>
      <c r="L70" s="1082">
        <v>0.20100000000000001</v>
      </c>
      <c r="M70" s="994">
        <f>ROUND(+IF(L70&gt;_xlfn.XLOOKUP(AN70,RUC!M:M,RUC!K:K),L70*_xlfn.XLOOKUP(AN70,RUC!M:M,RUC!I:I),L70-_xlfn.XLOOKUP(AN70,RUC!M:M,RUC!J:J)),3)</f>
        <v>0.182</v>
      </c>
      <c r="N70" s="1196">
        <f t="shared" si="40"/>
        <v>0.182</v>
      </c>
      <c r="O70" s="645">
        <f t="shared" si="24"/>
        <v>0.182</v>
      </c>
      <c r="P70" s="727">
        <v>84</v>
      </c>
      <c r="Q70" s="1476">
        <v>84.58</v>
      </c>
      <c r="R70" s="706">
        <v>4528</v>
      </c>
      <c r="S70" s="765">
        <f>IF((_xlfn.XLOOKUP(D70,RUC!$B$3:$B$119,RUC!$E$3:$E$119)+ROUNDDOWN(O70,1)*100)&lt;95,95,((_xlfn.XLOOKUP(D70,RUC!$B$3:$B$119,RUC!$E$3:$E$119)+ROUNDDOWN(O70,1)*100)))</f>
        <v>100</v>
      </c>
      <c r="U70" s="1146">
        <f>_xlfn.XLOOKUP(D70,RUC!$B$3:$B$123,RUC!$F$3:$F$123)</f>
        <v>120</v>
      </c>
      <c r="V70" s="715">
        <v>1.1023000000000001</v>
      </c>
      <c r="Y70">
        <f>_xlfn.XLOOKUP(D70,RUC!$B$3:$B$123,RUC!$G$3:$G$123)</f>
        <v>20</v>
      </c>
      <c r="Z70" s="143">
        <f>_xlfn.XLOOKUP(D70,RUC!$B$3:$B$123,RUC!$H$3:$H$123)</f>
        <v>30</v>
      </c>
      <c r="AA70" s="144">
        <f t="shared" si="25"/>
        <v>50</v>
      </c>
      <c r="AB70" s="145">
        <f t="shared" si="41"/>
        <v>577.48950259200001</v>
      </c>
      <c r="AC70" s="145">
        <f>+(S70-T70)*V70-'data 1'!$F$4</f>
        <v>30.230000000000004</v>
      </c>
      <c r="AD70" s="145">
        <f t="shared" si="27"/>
        <v>5.6645503867199842</v>
      </c>
      <c r="AE70" s="145">
        <f t="shared" si="28"/>
        <v>-14.884999999999998</v>
      </c>
      <c r="AF70" s="145">
        <f t="shared" si="29"/>
        <v>78.08411187568008</v>
      </c>
      <c r="AG70" s="772">
        <f t="shared" si="43"/>
        <v>116.09366226240007</v>
      </c>
      <c r="AH70" s="1253">
        <f t="shared" si="31"/>
        <v>16.023</v>
      </c>
      <c r="AI70" s="1253">
        <f t="shared" si="32"/>
        <v>18.943999999999999</v>
      </c>
      <c r="AJ70" s="156">
        <f t="shared" si="33"/>
        <v>17.240560187280003</v>
      </c>
      <c r="AK70" s="156">
        <f t="shared" si="34"/>
        <v>14.409021293855917</v>
      </c>
      <c r="AM70" s="716">
        <f t="shared" si="35"/>
        <v>1587.5186426254081</v>
      </c>
      <c r="AN70" s="716" t="str">
        <f>_xlfn.XLOOKUP(D70,RUC!$B$3:$B$578,RUC!$M$3:$M$578)</f>
        <v>Evelyn</v>
      </c>
      <c r="AO70" s="1167" t="s">
        <v>2280</v>
      </c>
      <c r="AP70" s="1843">
        <v>321</v>
      </c>
      <c r="AQ70" s="1082" t="s">
        <v>5706</v>
      </c>
      <c r="AR70" t="s">
        <v>5734</v>
      </c>
    </row>
    <row r="71" spans="1:44" ht="15" customHeight="1">
      <c r="A71" s="747" t="s">
        <v>5678</v>
      </c>
      <c r="B71" s="1447">
        <v>46165</v>
      </c>
      <c r="C71" s="1447">
        <v>46157</v>
      </c>
      <c r="D71" t="s">
        <v>1967</v>
      </c>
      <c r="E71" s="762">
        <f>_xlfn.XLOOKUP(D71,RUC!$B$3:$B$123,RUC!$D$3:$D$123)</f>
        <v>20601769396</v>
      </c>
      <c r="F71" s="629" t="s">
        <v>5699</v>
      </c>
      <c r="G71" s="762">
        <v>21</v>
      </c>
      <c r="H71" s="1082" t="s">
        <v>2005</v>
      </c>
      <c r="I71" s="703">
        <v>1.66</v>
      </c>
      <c r="J71" s="596">
        <v>12.75</v>
      </c>
      <c r="K71" s="703">
        <f t="shared" si="23"/>
        <v>1.448</v>
      </c>
      <c r="L71" s="1082">
        <v>0.28799999999999998</v>
      </c>
      <c r="M71" s="994">
        <f>ROUND(+IF(L71&gt;_xlfn.XLOOKUP(AN71,RUC!M:M,RUC!K:K),L71*_xlfn.XLOOKUP(AN71,RUC!M:M,RUC!I:I),L71-_xlfn.XLOOKUP(AN71,RUC!M:M,RUC!J:J)),3)</f>
        <v>0.26900000000000002</v>
      </c>
      <c r="N71" s="1196">
        <f t="shared" si="40"/>
        <v>0.26900000000000002</v>
      </c>
      <c r="O71" s="645">
        <f t="shared" si="24"/>
        <v>0.26900000000000002</v>
      </c>
      <c r="P71" s="727">
        <v>90</v>
      </c>
      <c r="Q71" s="1476">
        <v>92.71</v>
      </c>
      <c r="R71" s="706">
        <v>4528</v>
      </c>
      <c r="S71" s="765">
        <f>IF((_xlfn.XLOOKUP(D71,RUC!$B$3:$B$119,RUC!$E$3:$E$119)+ROUNDDOWN(O71,1)*100)&lt;95,95,((_xlfn.XLOOKUP(D71,RUC!$B$3:$B$119,RUC!$E$3:$E$119)+ROUNDDOWN(O71,1)*100)))</f>
        <v>110</v>
      </c>
      <c r="U71" s="1146">
        <f>_xlfn.XLOOKUP(D71,RUC!$B$3:$B$123,RUC!$F$3:$F$123)</f>
        <v>120</v>
      </c>
      <c r="V71" s="715">
        <v>1.1023000000000001</v>
      </c>
      <c r="Y71">
        <f>_xlfn.XLOOKUP(D71,RUC!$B$3:$B$123,RUC!$G$3:$G$123)</f>
        <v>20</v>
      </c>
      <c r="Z71" s="143">
        <f>_xlfn.XLOOKUP(D71,RUC!$B$3:$B$123,RUC!$H$3:$H$123)</f>
        <v>30</v>
      </c>
      <c r="AA71" s="144">
        <f t="shared" si="25"/>
        <v>50</v>
      </c>
      <c r="AB71" s="145">
        <f t="shared" si="41"/>
        <v>999.98098664000031</v>
      </c>
      <c r="AC71" s="145">
        <f>+(S71-T71)*V71-'data 1'!$F$4</f>
        <v>41.253</v>
      </c>
      <c r="AD71" s="145">
        <f t="shared" si="27"/>
        <v>37.923042424319917</v>
      </c>
      <c r="AE71" s="145">
        <f t="shared" si="28"/>
        <v>-14.884999999999998</v>
      </c>
      <c r="AF71" s="145">
        <f t="shared" si="29"/>
        <v>85.589714022159825</v>
      </c>
      <c r="AG71" s="772">
        <f t="shared" si="43"/>
        <v>166.88075644647975</v>
      </c>
      <c r="AH71" s="1253">
        <f t="shared" si="31"/>
        <v>13.256</v>
      </c>
      <c r="AI71" s="1253">
        <f t="shared" si="32"/>
        <v>14.298</v>
      </c>
      <c r="AJ71" s="156">
        <f t="shared" si="33"/>
        <v>27.077383975679997</v>
      </c>
      <c r="AK71" s="156">
        <f t="shared" si="34"/>
        <v>12.019113063118443</v>
      </c>
      <c r="AM71" s="716">
        <f t="shared" si="35"/>
        <v>1447.9724686547204</v>
      </c>
      <c r="AN71" s="716" t="str">
        <f>_xlfn.XLOOKUP(D71,RUC!$B$3:$B$578,RUC!$M$3:$M$578)</f>
        <v>Evelyn</v>
      </c>
      <c r="AO71" s="1167" t="s">
        <v>2280</v>
      </c>
      <c r="AP71" s="1843">
        <v>321</v>
      </c>
      <c r="AQ71" s="1082" t="s">
        <v>5706</v>
      </c>
    </row>
    <row r="72" spans="1:44" ht="15" customHeight="1">
      <c r="A72" s="747" t="s">
        <v>5679</v>
      </c>
      <c r="B72" s="1447">
        <v>46165</v>
      </c>
      <c r="C72" s="1447">
        <v>46157</v>
      </c>
      <c r="D72" t="s">
        <v>1967</v>
      </c>
      <c r="E72" s="762">
        <f>_xlfn.XLOOKUP(D72,RUC!$B$3:$B$123,RUC!$D$3:$D$123)</f>
        <v>20601769396</v>
      </c>
      <c r="F72" s="629" t="s">
        <v>5699</v>
      </c>
      <c r="G72" s="762">
        <v>21</v>
      </c>
      <c r="H72" s="1082" t="s">
        <v>2005</v>
      </c>
      <c r="I72" s="703">
        <v>1.68</v>
      </c>
      <c r="J72" s="596">
        <v>11.53</v>
      </c>
      <c r="K72" s="703">
        <f t="shared" si="23"/>
        <v>1.486</v>
      </c>
      <c r="L72" s="1082">
        <v>0.38600000000000001</v>
      </c>
      <c r="M72" s="994">
        <f>ROUND(+IF(L72&gt;_xlfn.XLOOKUP(AN72,RUC!M:M,RUC!K:K),L72*_xlfn.XLOOKUP(AN72,RUC!M:M,RUC!I:I),L72-_xlfn.XLOOKUP(AN72,RUC!M:M,RUC!J:J)),3)</f>
        <v>0.36299999999999999</v>
      </c>
      <c r="N72" s="1196">
        <f t="shared" si="40"/>
        <v>0.36299999999999999</v>
      </c>
      <c r="O72" s="645">
        <f t="shared" si="24"/>
        <v>0.36299999999999999</v>
      </c>
      <c r="P72" s="727">
        <v>90</v>
      </c>
      <c r="Q72" s="1476">
        <v>90.67</v>
      </c>
      <c r="R72" s="706">
        <v>4528</v>
      </c>
      <c r="S72" s="765">
        <f>IF((_xlfn.XLOOKUP(D72,RUC!$B$3:$B$119,RUC!$E$3:$E$119)+ROUNDDOWN(O72,1)*100)&lt;95,95,((_xlfn.XLOOKUP(D72,RUC!$B$3:$B$119,RUC!$E$3:$E$119)+ROUNDDOWN(O72,1)*100)))</f>
        <v>120</v>
      </c>
      <c r="U72" s="1146">
        <f>_xlfn.XLOOKUP(D72,RUC!$B$3:$B$123,RUC!$F$3:$F$123)</f>
        <v>120</v>
      </c>
      <c r="V72" s="715">
        <v>1.1023000000000001</v>
      </c>
      <c r="Y72">
        <f>_xlfn.XLOOKUP(D72,RUC!$B$3:$B$123,RUC!$G$3:$G$123)</f>
        <v>20</v>
      </c>
      <c r="Z72" s="143">
        <f>_xlfn.XLOOKUP(D72,RUC!$B$3:$B$123,RUC!$H$3:$H$123)</f>
        <v>30</v>
      </c>
      <c r="AA72" s="144">
        <f t="shared" si="25"/>
        <v>50</v>
      </c>
      <c r="AB72" s="145">
        <f t="shared" si="41"/>
        <v>1400.0241752800002</v>
      </c>
      <c r="AC72" s="145">
        <f>+(S72-T72)*V72-'data 1'!$F$4</f>
        <v>52.27600000000001</v>
      </c>
      <c r="AD72" s="145">
        <f t="shared" si="27"/>
        <v>12.566186490080034</v>
      </c>
      <c r="AE72" s="145">
        <f t="shared" si="28"/>
        <v>-14.884999999999998</v>
      </c>
      <c r="AF72" s="145">
        <f t="shared" si="29"/>
        <v>101.32878728744009</v>
      </c>
      <c r="AG72" s="772">
        <f t="shared" si="43"/>
        <v>168.28597377752013</v>
      </c>
      <c r="AH72" s="1253">
        <f t="shared" si="31"/>
        <v>17.831</v>
      </c>
      <c r="AI72" s="1253">
        <f t="shared" si="32"/>
        <v>19.666</v>
      </c>
      <c r="AJ72" s="156">
        <f t="shared" si="33"/>
        <v>35.492660519920001</v>
      </c>
      <c r="AK72" s="156">
        <f t="shared" si="34"/>
        <v>16.644739906039412</v>
      </c>
      <c r="AM72" s="716">
        <f t="shared" si="35"/>
        <v>2080.4359244660805</v>
      </c>
      <c r="AN72" s="716" t="str">
        <f>_xlfn.XLOOKUP(D72,RUC!$B$3:$B$578,RUC!$M$3:$M$578)</f>
        <v>Evelyn</v>
      </c>
      <c r="AO72" s="1167" t="s">
        <v>2280</v>
      </c>
      <c r="AP72" s="1843">
        <v>321</v>
      </c>
      <c r="AQ72" s="1082" t="s">
        <v>5706</v>
      </c>
    </row>
    <row r="73" spans="1:44" ht="15" customHeight="1">
      <c r="A73" s="747" t="s">
        <v>5680</v>
      </c>
      <c r="B73" s="1447">
        <v>46165</v>
      </c>
      <c r="C73" s="1447">
        <v>46157</v>
      </c>
      <c r="D73" t="s">
        <v>1967</v>
      </c>
      <c r="E73" s="762">
        <f>_xlfn.XLOOKUP(D73,RUC!$B$3:$B$123,RUC!$D$3:$D$123)</f>
        <v>20601769396</v>
      </c>
      <c r="F73" s="629" t="s">
        <v>5700</v>
      </c>
      <c r="G73" s="762">
        <v>55</v>
      </c>
      <c r="H73" s="1082" t="s">
        <v>108</v>
      </c>
      <c r="I73" s="703">
        <v>1.71</v>
      </c>
      <c r="J73" s="596">
        <v>13.98</v>
      </c>
      <c r="K73" s="703">
        <f t="shared" si="23"/>
        <v>1.4710000000000001</v>
      </c>
      <c r="L73" s="1192">
        <v>0.37</v>
      </c>
      <c r="M73" s="994">
        <f>ROUND(+IF(L73&gt;_xlfn.XLOOKUP(AN73,RUC!M:M,RUC!K:K),L73*_xlfn.XLOOKUP(AN73,RUC!M:M,RUC!I:I),L73-_xlfn.XLOOKUP(AN73,RUC!M:M,RUC!J:J)),3)</f>
        <v>0.34799999999999998</v>
      </c>
      <c r="N73" s="1196">
        <f t="shared" si="40"/>
        <v>0.34799999999999998</v>
      </c>
      <c r="O73" s="645">
        <f t="shared" si="24"/>
        <v>0.34799999999999998</v>
      </c>
      <c r="P73" s="727">
        <v>90</v>
      </c>
      <c r="Q73" s="1476">
        <v>90.81</v>
      </c>
      <c r="R73" s="706">
        <v>4528</v>
      </c>
      <c r="S73" s="765">
        <f>IF((_xlfn.XLOOKUP(D73,RUC!$B$3:$B$119,RUC!$E$3:$E$119)+ROUNDDOWN(O73,1)*100)&lt;95,95,((_xlfn.XLOOKUP(D73,RUC!$B$3:$B$119,RUC!$E$3:$E$119)+ROUNDDOWN(O73,1)*100)))</f>
        <v>120</v>
      </c>
      <c r="U73" s="1146">
        <f>_xlfn.XLOOKUP(D73,RUC!$B$3:$B$123,RUC!$F$3:$F$123)</f>
        <v>120</v>
      </c>
      <c r="V73" s="715">
        <v>1.1023000000000001</v>
      </c>
      <c r="Y73" s="1445">
        <v>30</v>
      </c>
      <c r="Z73" s="1454">
        <v>70</v>
      </c>
      <c r="AA73" s="144">
        <f t="shared" si="25"/>
        <v>100</v>
      </c>
      <c r="AB73" s="145">
        <f t="shared" si="41"/>
        <v>1279.31350688</v>
      </c>
      <c r="AC73" s="145">
        <f>+(S73-T73)*V73-'data 1'!$F$4</f>
        <v>52.27600000000001</v>
      </c>
      <c r="AD73" s="145">
        <f t="shared" si="27"/>
        <v>14.562238384800041</v>
      </c>
      <c r="AE73" s="145">
        <f t="shared" si="28"/>
        <v>40.230000000000004</v>
      </c>
      <c r="AF73" s="145">
        <f t="shared" si="29"/>
        <v>97.072843142880089</v>
      </c>
      <c r="AG73" s="772">
        <f t="shared" si="43"/>
        <v>221.14108152768017</v>
      </c>
      <c r="AH73" s="1253">
        <f t="shared" si="31"/>
        <v>16.946000000000002</v>
      </c>
      <c r="AI73" s="1253">
        <f t="shared" si="32"/>
        <v>18.661000000000001</v>
      </c>
      <c r="AJ73" s="156">
        <f t="shared" si="33"/>
        <v>34.073993365199996</v>
      </c>
      <c r="AK73" s="156">
        <f t="shared" si="34"/>
        <v>15.795867983309458</v>
      </c>
      <c r="AM73" s="716">
        <f t="shared" si="35"/>
        <v>1881.8701686204802</v>
      </c>
      <c r="AN73" s="716" t="str">
        <f>_xlfn.XLOOKUP(D73,RUC!$B$3:$B$578,RUC!$M$3:$M$578)</f>
        <v>Evelyn</v>
      </c>
      <c r="AO73" s="1167" t="s">
        <v>2278</v>
      </c>
      <c r="AP73" s="1843">
        <v>321</v>
      </c>
      <c r="AQ73" s="1082" t="s">
        <v>5706</v>
      </c>
    </row>
    <row r="74" spans="1:44" ht="15" customHeight="1">
      <c r="A74" s="747" t="s">
        <v>5681</v>
      </c>
      <c r="B74" s="1447">
        <v>46165</v>
      </c>
      <c r="C74" s="1447">
        <v>46157</v>
      </c>
      <c r="D74" t="s">
        <v>1967</v>
      </c>
      <c r="E74" s="762">
        <f>_xlfn.XLOOKUP(D74,RUC!$B$3:$B$123,RUC!$D$3:$D$123)</f>
        <v>20601769396</v>
      </c>
      <c r="F74" s="629" t="s">
        <v>5700</v>
      </c>
      <c r="G74" s="762">
        <v>55</v>
      </c>
      <c r="H74" s="1082" t="s">
        <v>108</v>
      </c>
      <c r="I74" s="703">
        <v>1.71</v>
      </c>
      <c r="J74" s="596">
        <v>13.23</v>
      </c>
      <c r="K74" s="703">
        <f t="shared" si="23"/>
        <v>1.484</v>
      </c>
      <c r="L74" s="1082">
        <v>0.40300000000000002</v>
      </c>
      <c r="M74" s="994">
        <f>ROUND(+IF(L74&gt;_xlfn.XLOOKUP(AN74,RUC!M:M,RUC!K:K),L74*_xlfn.XLOOKUP(AN74,RUC!M:M,RUC!I:I),L74-_xlfn.XLOOKUP(AN74,RUC!M:M,RUC!J:J)),3)</f>
        <v>0.379</v>
      </c>
      <c r="N74" s="1196">
        <f t="shared" si="40"/>
        <v>0.379</v>
      </c>
      <c r="O74" s="645">
        <f t="shared" si="24"/>
        <v>0.379</v>
      </c>
      <c r="P74" s="727">
        <v>90</v>
      </c>
      <c r="Q74" s="1476">
        <v>91.07</v>
      </c>
      <c r="R74" s="706">
        <v>4528</v>
      </c>
      <c r="S74" s="765">
        <f>IF((_xlfn.XLOOKUP(D74,RUC!$B$3:$B$119,RUC!$E$3:$E$119)+ROUNDDOWN(O74,1)*100)&lt;95,95,((_xlfn.XLOOKUP(D74,RUC!$B$3:$B$119,RUC!$E$3:$E$119)+ROUNDDOWN(O74,1)*100)))</f>
        <v>120</v>
      </c>
      <c r="U74" s="1146">
        <f>_xlfn.XLOOKUP(D74,RUC!$B$3:$B$123,RUC!$F$3:$F$123)</f>
        <v>120</v>
      </c>
      <c r="V74" s="715">
        <v>1.1023000000000001</v>
      </c>
      <c r="Y74" s="1445">
        <v>30</v>
      </c>
      <c r="Z74" s="1454">
        <v>70</v>
      </c>
      <c r="AA74" s="144">
        <f t="shared" si="25"/>
        <v>100</v>
      </c>
      <c r="AB74" s="145">
        <f t="shared" si="41"/>
        <v>1414.8778882400002</v>
      </c>
      <c r="AC74" s="145">
        <f>+(S74-T74)*V74-'data 1'!$F$4</f>
        <v>52.27600000000001</v>
      </c>
      <c r="AD74" s="145">
        <f t="shared" si="27"/>
        <v>20.952228274639868</v>
      </c>
      <c r="AE74" s="145">
        <f t="shared" si="28"/>
        <v>40.230000000000004</v>
      </c>
      <c r="AF74" s="145">
        <f t="shared" si="29"/>
        <v>106.2008448211201</v>
      </c>
      <c r="AG74" s="772">
        <f t="shared" si="43"/>
        <v>236.65907309575999</v>
      </c>
      <c r="AH74" s="1253">
        <f t="shared" si="31"/>
        <v>18.672999999999998</v>
      </c>
      <c r="AI74" s="1253">
        <f t="shared" si="32"/>
        <v>20.504000000000001</v>
      </c>
      <c r="AJ74" s="156">
        <f t="shared" si="33"/>
        <v>37.21928428036</v>
      </c>
      <c r="AK74" s="156">
        <f t="shared" si="34"/>
        <v>17.35500286196082</v>
      </c>
      <c r="AM74" s="716">
        <f t="shared" si="35"/>
        <v>2099.6787861481603</v>
      </c>
      <c r="AN74" s="716" t="str">
        <f>_xlfn.XLOOKUP(D74,RUC!$B$3:$B$578,RUC!$M$3:$M$578)</f>
        <v>Evelyn</v>
      </c>
      <c r="AO74" s="1167" t="s">
        <v>2278</v>
      </c>
      <c r="AP74" s="1843">
        <v>321</v>
      </c>
      <c r="AQ74" s="1082" t="s">
        <v>5706</v>
      </c>
    </row>
    <row r="75" spans="1:44" ht="15" customHeight="1">
      <c r="A75" s="747" t="s">
        <v>5682</v>
      </c>
      <c r="B75" s="1447">
        <v>46165</v>
      </c>
      <c r="C75" s="1447">
        <v>46157</v>
      </c>
      <c r="D75" t="s">
        <v>1967</v>
      </c>
      <c r="E75" s="762">
        <f>_xlfn.XLOOKUP(D75,RUC!$B$3:$B$123,RUC!$D$3:$D$123)</f>
        <v>20601769396</v>
      </c>
      <c r="F75" s="629" t="s">
        <v>5701</v>
      </c>
      <c r="G75" s="762">
        <v>131</v>
      </c>
      <c r="H75" s="1082" t="s">
        <v>108</v>
      </c>
      <c r="I75" s="703">
        <v>3.39</v>
      </c>
      <c r="J75" s="596">
        <v>17.600000000000001</v>
      </c>
      <c r="K75" s="703">
        <f t="shared" si="23"/>
        <v>2.7930000000000001</v>
      </c>
      <c r="L75" s="1082">
        <v>0.379</v>
      </c>
      <c r="M75" s="994">
        <f>ROUND(+IF(L75&gt;_xlfn.XLOOKUP(AN75,RUC!M:M,RUC!K:K),L75*_xlfn.XLOOKUP(AN75,RUC!M:M,RUC!I:I),L75-_xlfn.XLOOKUP(AN75,RUC!M:M,RUC!J:J)),3)</f>
        <v>0.35599999999999998</v>
      </c>
      <c r="N75" s="1196">
        <f t="shared" si="40"/>
        <v>0.35599999999999998</v>
      </c>
      <c r="O75" s="645">
        <f t="shared" si="24"/>
        <v>0.35599999999999998</v>
      </c>
      <c r="P75" s="727">
        <v>90</v>
      </c>
      <c r="Q75" s="1476">
        <v>94.46</v>
      </c>
      <c r="R75" s="706">
        <v>4528</v>
      </c>
      <c r="S75" s="765">
        <f>IF((_xlfn.XLOOKUP(D75,RUC!$B$3:$B$119,RUC!$E$3:$E$119)+ROUNDDOWN(O75,1)*100)&lt;95,95,((_xlfn.XLOOKUP(D75,RUC!$B$3:$B$119,RUC!$E$3:$E$119)+ROUNDDOWN(O75,1)*100)))</f>
        <v>120</v>
      </c>
      <c r="U75" s="1146">
        <f>_xlfn.XLOOKUP(D75,RUC!$B$3:$B$123,RUC!$F$3:$F$123)</f>
        <v>120</v>
      </c>
      <c r="V75" s="715">
        <v>1.1023000000000001</v>
      </c>
      <c r="Y75" s="1445">
        <v>30</v>
      </c>
      <c r="Z75" s="1454">
        <v>70</v>
      </c>
      <c r="AA75" s="144">
        <f t="shared" si="25"/>
        <v>100</v>
      </c>
      <c r="AB75" s="145">
        <f t="shared" si="41"/>
        <v>1314.2978633600001</v>
      </c>
      <c r="AC75" s="145">
        <f>+(S75-T75)*V75-'data 1'!$F$4</f>
        <v>52.27600000000001</v>
      </c>
      <c r="AD75" s="145">
        <f t="shared" si="27"/>
        <v>82.13257935055988</v>
      </c>
      <c r="AE75" s="145">
        <f t="shared" si="28"/>
        <v>40.230000000000004</v>
      </c>
      <c r="AF75" s="145">
        <f t="shared" si="29"/>
        <v>105.56432389072008</v>
      </c>
      <c r="AG75" s="772">
        <f t="shared" si="43"/>
        <v>297.20290324127996</v>
      </c>
      <c r="AH75" s="1253">
        <f t="shared" si="31"/>
        <v>34.281999999999996</v>
      </c>
      <c r="AI75" s="1253">
        <f t="shared" si="32"/>
        <v>36.292999999999999</v>
      </c>
      <c r="AJ75" s="156">
        <f t="shared" si="33"/>
        <v>36.305697599440002</v>
      </c>
      <c r="AK75" s="156">
        <f t="shared" si="34"/>
        <v>30.681212059097458</v>
      </c>
      <c r="AM75" s="716">
        <f t="shared" si="35"/>
        <v>3670.8339323644805</v>
      </c>
      <c r="AN75" s="716" t="str">
        <f>_xlfn.XLOOKUP(D75,RUC!$B$3:$B$578,RUC!$M$3:$M$578)</f>
        <v>Evelyn</v>
      </c>
      <c r="AO75" s="1167" t="s">
        <v>2278</v>
      </c>
      <c r="AP75" s="1843">
        <v>321</v>
      </c>
      <c r="AQ75" s="1082" t="s">
        <v>5706</v>
      </c>
    </row>
    <row r="76" spans="1:44" ht="15" customHeight="1">
      <c r="A76" s="747" t="s">
        <v>5683</v>
      </c>
      <c r="B76" s="1447">
        <v>46165</v>
      </c>
      <c r="C76" s="1447">
        <v>46157</v>
      </c>
      <c r="D76" t="s">
        <v>1967</v>
      </c>
      <c r="E76" s="762">
        <f>_xlfn.XLOOKUP(D76,RUC!$B$3:$B$123,RUC!$D$3:$D$123)</f>
        <v>20601769396</v>
      </c>
      <c r="F76" s="629" t="s">
        <v>5702</v>
      </c>
      <c r="G76" s="762">
        <v>130</v>
      </c>
      <c r="H76" s="1082" t="s">
        <v>108</v>
      </c>
      <c r="I76" s="703">
        <v>3.39</v>
      </c>
      <c r="J76" s="596">
        <v>18</v>
      </c>
      <c r="K76" s="703">
        <f t="shared" si="23"/>
        <v>2.78</v>
      </c>
      <c r="L76" s="1082">
        <v>0.41099999999999998</v>
      </c>
      <c r="M76" s="994">
        <f>ROUND(+IF(L76&gt;_xlfn.XLOOKUP(AN76,RUC!M:M,RUC!K:K),L76*_xlfn.XLOOKUP(AN76,RUC!M:M,RUC!I:I),L76-_xlfn.XLOOKUP(AN76,RUC!M:M,RUC!J:J)),3)</f>
        <v>0.38600000000000001</v>
      </c>
      <c r="N76" s="1196">
        <f t="shared" si="40"/>
        <v>0.38600000000000001</v>
      </c>
      <c r="O76" s="645">
        <f t="shared" si="24"/>
        <v>0.38600000000000001</v>
      </c>
      <c r="P76" s="727">
        <v>90</v>
      </c>
      <c r="Q76" s="1476">
        <v>92.46</v>
      </c>
      <c r="R76" s="706">
        <v>4528</v>
      </c>
      <c r="S76" s="765">
        <f>IF((_xlfn.XLOOKUP(D76,RUC!$B$3:$B$119,RUC!$E$3:$E$119)+ROUNDDOWN(O76,1)*100)&lt;95,95,((_xlfn.XLOOKUP(D76,RUC!$B$3:$B$119,RUC!$E$3:$E$119)+ROUNDDOWN(O76,1)*100)))</f>
        <v>120</v>
      </c>
      <c r="U76" s="1146">
        <f>_xlfn.XLOOKUP(D76,RUC!$B$3:$B$123,RUC!$F$3:$F$123)</f>
        <v>120</v>
      </c>
      <c r="V76" s="715">
        <v>1.1023000000000001</v>
      </c>
      <c r="Y76" s="1445">
        <v>30</v>
      </c>
      <c r="Z76" s="1454">
        <v>70</v>
      </c>
      <c r="AA76" s="144">
        <f t="shared" si="25"/>
        <v>100</v>
      </c>
      <c r="AB76" s="145">
        <f t="shared" si="41"/>
        <v>1445.4892001600001</v>
      </c>
      <c r="AC76" s="145">
        <f>+(S76-T76)*V76-'data 1'!$F$4</f>
        <v>52.27600000000001</v>
      </c>
      <c r="AD76" s="145">
        <f t="shared" si="27"/>
        <v>49.12678258703987</v>
      </c>
      <c r="AE76" s="145">
        <f t="shared" si="28"/>
        <v>40.230000000000004</v>
      </c>
      <c r="AF76" s="145">
        <f t="shared" si="29"/>
        <v>112.31436111599986</v>
      </c>
      <c r="AG76" s="772">
        <f t="shared" si="43"/>
        <v>270.94714370303973</v>
      </c>
      <c r="AH76" s="1253">
        <f t="shared" si="31"/>
        <v>36.22</v>
      </c>
      <c r="AI76" s="1253">
        <f t="shared" si="32"/>
        <v>39.173999999999999</v>
      </c>
      <c r="AJ76" s="156">
        <f t="shared" si="33"/>
        <v>38.537482962959992</v>
      </c>
      <c r="AK76" s="156">
        <f t="shared" si="34"/>
        <v>33.1118677878246</v>
      </c>
      <c r="AM76" s="716">
        <f t="shared" si="35"/>
        <v>4018.4599764447998</v>
      </c>
      <c r="AN76" s="716" t="str">
        <f>_xlfn.XLOOKUP(D76,RUC!$B$3:$B$578,RUC!$M$3:$M$578)</f>
        <v>Evelyn</v>
      </c>
      <c r="AO76" s="1167" t="s">
        <v>2278</v>
      </c>
      <c r="AP76" s="1843">
        <v>321</v>
      </c>
      <c r="AQ76" s="1082" t="s">
        <v>5706</v>
      </c>
    </row>
    <row r="77" spans="1:44" ht="15" customHeight="1">
      <c r="A77" s="747" t="s">
        <v>5684</v>
      </c>
      <c r="B77" s="1447">
        <v>46165</v>
      </c>
      <c r="C77" s="1447">
        <v>46157</v>
      </c>
      <c r="D77" t="s">
        <v>1967</v>
      </c>
      <c r="E77" s="762">
        <f>_xlfn.XLOOKUP(D77,RUC!$B$3:$B$123,RUC!$D$3:$D$123)</f>
        <v>20601769396</v>
      </c>
      <c r="F77" s="629" t="s">
        <v>5703</v>
      </c>
      <c r="G77" s="762">
        <v>70</v>
      </c>
      <c r="H77" s="1082" t="s">
        <v>108</v>
      </c>
      <c r="I77" s="703">
        <v>1.9</v>
      </c>
      <c r="J77" s="596">
        <v>15.65</v>
      </c>
      <c r="K77" s="703">
        <f t="shared" si="23"/>
        <v>1.603</v>
      </c>
      <c r="L77" s="1082">
        <v>0.311</v>
      </c>
      <c r="M77" s="994">
        <f>ROUND(+IF(L77&gt;_xlfn.XLOOKUP(AN77,RUC!M:M,RUC!K:K),L77*_xlfn.XLOOKUP(AN77,RUC!M:M,RUC!I:I),L77-_xlfn.XLOOKUP(AN77,RUC!M:M,RUC!J:J)),3)</f>
        <v>0.29199999999999998</v>
      </c>
      <c r="N77" s="1196">
        <f t="shared" si="40"/>
        <v>0.29199999999999998</v>
      </c>
      <c r="O77" s="645">
        <f t="shared" si="24"/>
        <v>0.29199999999999998</v>
      </c>
      <c r="P77" s="727">
        <v>90</v>
      </c>
      <c r="Q77" s="1476">
        <v>93.57</v>
      </c>
      <c r="R77" s="706">
        <v>4528</v>
      </c>
      <c r="S77" s="765">
        <f>IF((_xlfn.XLOOKUP(D77,RUC!$B$3:$B$119,RUC!$E$3:$E$119)+ROUNDDOWN(O77,1)*100)&lt;95,95,((_xlfn.XLOOKUP(D77,RUC!$B$3:$B$119,RUC!$E$3:$E$119)+ROUNDDOWN(O77,1)*100)))</f>
        <v>110</v>
      </c>
      <c r="U77" s="1146">
        <f>_xlfn.XLOOKUP(D77,RUC!$B$3:$B$123,RUC!$F$3:$F$123)</f>
        <v>120</v>
      </c>
      <c r="V77" s="715">
        <v>1.1023000000000001</v>
      </c>
      <c r="Y77" s="1445">
        <v>30</v>
      </c>
      <c r="Z77" s="1454">
        <v>70</v>
      </c>
      <c r="AA77" s="144">
        <f t="shared" si="25"/>
        <v>100</v>
      </c>
      <c r="AB77" s="145">
        <f t="shared" si="41"/>
        <v>1045.44601152</v>
      </c>
      <c r="AC77" s="145">
        <f>+(S77-T77)*V77-'data 1'!$F$4</f>
        <v>41.253</v>
      </c>
      <c r="AD77" s="145">
        <f t="shared" si="27"/>
        <v>53.947335373679906</v>
      </c>
      <c r="AE77" s="145">
        <f t="shared" si="28"/>
        <v>40.230000000000004</v>
      </c>
      <c r="AF77" s="145">
        <f t="shared" si="29"/>
        <v>86.383664556720063</v>
      </c>
      <c r="AG77" s="772">
        <f t="shared" si="43"/>
        <v>238.81399993039997</v>
      </c>
      <c r="AH77" s="1253">
        <f t="shared" si="31"/>
        <v>15.993</v>
      </c>
      <c r="AI77" s="1253">
        <f t="shared" si="32"/>
        <v>17.091999999999999</v>
      </c>
      <c r="AJ77" s="156">
        <f t="shared" si="33"/>
        <v>29.511049411320002</v>
      </c>
      <c r="AK77" s="156">
        <f t="shared" si="34"/>
        <v>14.443350567202618</v>
      </c>
      <c r="AM77" s="716">
        <f t="shared" si="35"/>
        <v>1675.8499564665599</v>
      </c>
      <c r="AN77" s="716" t="str">
        <f>_xlfn.XLOOKUP(D77,RUC!$B$3:$B$578,RUC!$M$3:$M$578)</f>
        <v>Evelyn</v>
      </c>
      <c r="AO77" s="1167" t="s">
        <v>2278</v>
      </c>
      <c r="AP77" s="1843">
        <v>321</v>
      </c>
      <c r="AQ77" s="1082" t="s">
        <v>5706</v>
      </c>
    </row>
    <row r="78" spans="1:44" ht="15" customHeight="1">
      <c r="A78" s="747" t="s">
        <v>5685</v>
      </c>
      <c r="B78" s="1447">
        <v>46165</v>
      </c>
      <c r="C78" s="1447">
        <v>46157</v>
      </c>
      <c r="D78" t="s">
        <v>1967</v>
      </c>
      <c r="E78" s="762">
        <f>_xlfn.XLOOKUP(D78,RUC!$B$3:$B$123,RUC!$D$3:$D$123)</f>
        <v>20601769396</v>
      </c>
      <c r="F78" s="629" t="s">
        <v>5704</v>
      </c>
      <c r="G78" s="762">
        <v>70</v>
      </c>
      <c r="H78" s="1082" t="s">
        <v>108</v>
      </c>
      <c r="I78" s="703">
        <v>1.91</v>
      </c>
      <c r="J78" s="596">
        <v>15.6</v>
      </c>
      <c r="K78" s="703">
        <f t="shared" si="23"/>
        <v>1.6120000000000001</v>
      </c>
      <c r="L78" s="1082">
        <v>0.36099999999999999</v>
      </c>
      <c r="M78" s="994">
        <f>ROUND(+IF(L78&gt;_xlfn.XLOOKUP(AN78,RUC!M:M,RUC!K:K),L78*_xlfn.XLOOKUP(AN78,RUC!M:M,RUC!I:I),L78-_xlfn.XLOOKUP(AN78,RUC!M:M,RUC!J:J)),3)</f>
        <v>0.33900000000000002</v>
      </c>
      <c r="N78" s="1196">
        <f t="shared" si="40"/>
        <v>0.33900000000000002</v>
      </c>
      <c r="O78" s="645">
        <f t="shared" si="24"/>
        <v>0.33900000000000002</v>
      </c>
      <c r="P78" s="727">
        <v>90</v>
      </c>
      <c r="Q78" s="1476">
        <v>91.62</v>
      </c>
      <c r="R78" s="706">
        <v>4528</v>
      </c>
      <c r="S78" s="765">
        <f>IF((_xlfn.XLOOKUP(D78,RUC!$B$3:$B$119,RUC!$E$3:$E$119)+ROUNDDOWN(O78,1)*100)&lt;95,95,((_xlfn.XLOOKUP(D78,RUC!$B$3:$B$119,RUC!$E$3:$E$119)+ROUNDDOWN(O78,1)*100)))</f>
        <v>120</v>
      </c>
      <c r="U78" s="1146">
        <f>_xlfn.XLOOKUP(D78,RUC!$B$3:$B$123,RUC!$F$3:$F$123)</f>
        <v>120</v>
      </c>
      <c r="V78" s="715">
        <v>1.1023000000000001</v>
      </c>
      <c r="Y78" s="1445">
        <v>30</v>
      </c>
      <c r="Z78" s="1454">
        <v>70</v>
      </c>
      <c r="AA78" s="144">
        <f t="shared" si="25"/>
        <v>100</v>
      </c>
      <c r="AB78" s="145">
        <f t="shared" si="41"/>
        <v>1239.9561058400002</v>
      </c>
      <c r="AC78" s="145">
        <f>+(S78-T78)*V78-'data 1'!$F$4</f>
        <v>52.27600000000001</v>
      </c>
      <c r="AD78" s="145">
        <f t="shared" si="27"/>
        <v>28.416043550880079</v>
      </c>
      <c r="AE78" s="145">
        <f t="shared" si="28"/>
        <v>40.230000000000004</v>
      </c>
      <c r="AF78" s="145">
        <f t="shared" si="29"/>
        <v>97.938705965759851</v>
      </c>
      <c r="AG78" s="772">
        <f t="shared" si="43"/>
        <v>235.86074951663994</v>
      </c>
      <c r="AH78" s="1253">
        <f t="shared" si="31"/>
        <v>18.28</v>
      </c>
      <c r="AI78" s="1253">
        <f t="shared" si="32"/>
        <v>19.952000000000002</v>
      </c>
      <c r="AJ78" s="156">
        <f t="shared" si="33"/>
        <v>33.541704159120002</v>
      </c>
      <c r="AK78" s="156">
        <f t="shared" si="34"/>
        <v>16.862280693216665</v>
      </c>
      <c r="AM78" s="716">
        <f t="shared" si="35"/>
        <v>1998.8092426140804</v>
      </c>
      <c r="AN78" s="716" t="str">
        <f>_xlfn.XLOOKUP(D78,RUC!$B$3:$B$578,RUC!$M$3:$M$578)</f>
        <v>Evelyn</v>
      </c>
      <c r="AO78" s="1167" t="s">
        <v>2278</v>
      </c>
      <c r="AP78" s="1843">
        <v>321</v>
      </c>
      <c r="AQ78" s="1082" t="s">
        <v>5706</v>
      </c>
    </row>
    <row r="79" spans="1:44" ht="15" customHeight="1">
      <c r="A79" s="747" t="s">
        <v>5686</v>
      </c>
      <c r="B79" s="1447">
        <v>46168</v>
      </c>
      <c r="C79" s="1447">
        <v>46158</v>
      </c>
      <c r="D79" t="s">
        <v>1967</v>
      </c>
      <c r="E79" s="762">
        <f>_xlfn.XLOOKUP(D79,RUC!$B$3:$B$123,RUC!$D$3:$D$123)</f>
        <v>20601769396</v>
      </c>
      <c r="F79" s="629" t="s">
        <v>5705</v>
      </c>
      <c r="G79" s="762">
        <v>70</v>
      </c>
      <c r="H79" s="1082" t="s">
        <v>108</v>
      </c>
      <c r="I79" s="703">
        <v>2.41</v>
      </c>
      <c r="J79" s="596">
        <v>14.05</v>
      </c>
      <c r="K79" s="703">
        <f t="shared" si="23"/>
        <v>2.0710000000000002</v>
      </c>
      <c r="L79" s="1082">
        <v>0.34100000000000003</v>
      </c>
      <c r="M79" s="994">
        <f>ROUND(+IF(L79&gt;_xlfn.XLOOKUP(AN79,RUC!M:M,RUC!K:K),L79*_xlfn.XLOOKUP(AN79,RUC!M:M,RUC!I:I),L79-_xlfn.XLOOKUP(AN79,RUC!M:M,RUC!J:J)),3)</f>
        <v>0.32100000000000001</v>
      </c>
      <c r="N79" s="1196">
        <f t="shared" si="40"/>
        <v>0.32100000000000001</v>
      </c>
      <c r="O79" s="645">
        <f t="shared" si="24"/>
        <v>0.32100000000000001</v>
      </c>
      <c r="P79" s="727">
        <v>90</v>
      </c>
      <c r="Q79" s="1476">
        <v>94.72</v>
      </c>
      <c r="R79" s="706">
        <v>4528</v>
      </c>
      <c r="S79" s="765">
        <f>IF((_xlfn.XLOOKUP(D79,RUC!$B$3:$B$119,RUC!$E$3:$E$119)+ROUNDDOWN(O79,1)*100)&lt;95,95,((_xlfn.XLOOKUP(D79,RUC!$B$3:$B$119,RUC!$E$3:$E$119)+ROUNDDOWN(O79,1)*100)))</f>
        <v>120</v>
      </c>
      <c r="U79" s="1146">
        <f>_xlfn.XLOOKUP(D79,RUC!$B$3:$B$123,RUC!$F$3:$F$123)</f>
        <v>120</v>
      </c>
      <c r="V79" s="715">
        <v>1.1023000000000001</v>
      </c>
      <c r="Y79" s="1445">
        <v>30</v>
      </c>
      <c r="Z79" s="1454">
        <v>70</v>
      </c>
      <c r="AA79" s="144">
        <f t="shared" si="25"/>
        <v>100</v>
      </c>
      <c r="AB79" s="145">
        <f t="shared" si="41"/>
        <v>1161.2413037599999</v>
      </c>
      <c r="AC79" s="145">
        <f>+(S79-T79)*V79-'data 1'!$F$4</f>
        <v>52.27600000000001</v>
      </c>
      <c r="AD79" s="145">
        <f t="shared" si="27"/>
        <v>78.205585335679984</v>
      </c>
      <c r="AE79" s="145">
        <f t="shared" si="28"/>
        <v>40.230000000000004</v>
      </c>
      <c r="AF79" s="145">
        <f t="shared" si="29"/>
        <v>92.047729049600079</v>
      </c>
      <c r="AG79" s="772">
        <f t="shared" si="43"/>
        <v>279.75931438528011</v>
      </c>
      <c r="AH79" s="1253">
        <f t="shared" si="31"/>
        <v>22.934000000000001</v>
      </c>
      <c r="AI79" s="1253">
        <f t="shared" si="32"/>
        <v>24.213000000000001</v>
      </c>
      <c r="AJ79" s="156">
        <f t="shared" si="33"/>
        <v>32.755460024320001</v>
      </c>
      <c r="AK79" s="156">
        <f t="shared" si="34"/>
        <v>20.513355666432798</v>
      </c>
      <c r="AM79" s="716">
        <f t="shared" si="35"/>
        <v>2404.9307400869602</v>
      </c>
      <c r="AN79" s="716" t="str">
        <f>_xlfn.XLOOKUP(D79,RUC!$B$3:$B$578,RUC!$M$3:$M$578)</f>
        <v>Evelyn</v>
      </c>
      <c r="AO79" s="1167" t="s">
        <v>2278</v>
      </c>
      <c r="AP79" s="1843">
        <v>318</v>
      </c>
      <c r="AQ79" s="1082" t="s">
        <v>5526</v>
      </c>
    </row>
    <row r="80" spans="1:44" ht="15" customHeight="1">
      <c r="A80" s="747" t="s">
        <v>5687</v>
      </c>
      <c r="B80" s="1447">
        <v>46168</v>
      </c>
      <c r="C80" s="1447">
        <v>46158</v>
      </c>
      <c r="D80" t="s">
        <v>1967</v>
      </c>
      <c r="E80" s="762">
        <f>_xlfn.XLOOKUP(D80,RUC!$B$3:$B$123,RUC!$D$3:$D$123)</f>
        <v>20601769396</v>
      </c>
      <c r="F80" s="629" t="s">
        <v>5705</v>
      </c>
      <c r="G80" s="762">
        <v>69</v>
      </c>
      <c r="H80" s="1082" t="s">
        <v>108</v>
      </c>
      <c r="I80" s="703">
        <v>2.36</v>
      </c>
      <c r="J80" s="596">
        <v>13.63</v>
      </c>
      <c r="K80" s="703">
        <f t="shared" si="23"/>
        <v>2.0379999999999998</v>
      </c>
      <c r="L80" s="1082">
        <v>0.441</v>
      </c>
      <c r="M80" s="994">
        <f>ROUND(+IF(L80&gt;_xlfn.XLOOKUP(AN80,RUC!M:M,RUC!K:K),L80*_xlfn.XLOOKUP(AN80,RUC!M:M,RUC!I:I),L80-_xlfn.XLOOKUP(AN80,RUC!M:M,RUC!J:J)),3)</f>
        <v>0.41499999999999998</v>
      </c>
      <c r="N80" s="1196">
        <f t="shared" si="40"/>
        <v>0.41499999999999998</v>
      </c>
      <c r="O80" s="645">
        <f t="shared" si="24"/>
        <v>0.41499999999999998</v>
      </c>
      <c r="P80" s="727">
        <v>90</v>
      </c>
      <c r="Q80" s="1476">
        <v>94.1</v>
      </c>
      <c r="R80" s="706">
        <v>4528</v>
      </c>
      <c r="S80" s="765">
        <f>IF((_xlfn.XLOOKUP(D80,RUC!$B$3:$B$119,RUC!$E$3:$E$119)+ROUNDDOWN(O80,1)*100)&lt;95,95,((_xlfn.XLOOKUP(D80,RUC!$B$3:$B$119,RUC!$E$3:$E$119)+ROUNDDOWN(O80,1)*100)))</f>
        <v>130</v>
      </c>
      <c r="U80" s="1146">
        <f>_xlfn.XLOOKUP(D80,RUC!$B$3:$B$123,RUC!$F$3:$F$123)</f>
        <v>120</v>
      </c>
      <c r="V80" s="715">
        <v>1.1023000000000001</v>
      </c>
      <c r="Y80" s="1445">
        <v>30</v>
      </c>
      <c r="Z80" s="1454">
        <v>70</v>
      </c>
      <c r="AA80" s="144">
        <f t="shared" si="25"/>
        <v>100</v>
      </c>
      <c r="AB80" s="145">
        <f t="shared" si="41"/>
        <v>1561.2844924000003</v>
      </c>
      <c r="AC80" s="145">
        <f>+(S80-T80)*V80-'data 1'!$F$4</f>
        <v>63.299000000000007</v>
      </c>
      <c r="AD80" s="145">
        <f t="shared" si="27"/>
        <v>87.854465210399866</v>
      </c>
      <c r="AE80" s="145">
        <f t="shared" si="28"/>
        <v>40.230000000000004</v>
      </c>
      <c r="AF80" s="145">
        <f t="shared" si="29"/>
        <v>118.87878689440011</v>
      </c>
      <c r="AG80" s="772">
        <f t="shared" si="43"/>
        <v>327.26225210479998</v>
      </c>
      <c r="AH80" s="1253">
        <f t="shared" si="31"/>
        <v>28.995999999999999</v>
      </c>
      <c r="AI80" s="1253">
        <f t="shared" si="32"/>
        <v>30.814</v>
      </c>
      <c r="AJ80" s="156">
        <f t="shared" si="33"/>
        <v>42.083887179600005</v>
      </c>
      <c r="AK80" s="156">
        <f t="shared" si="34"/>
        <v>26.097797385943647</v>
      </c>
      <c r="AM80" s="716">
        <f t="shared" si="35"/>
        <v>3181.8977955112005</v>
      </c>
      <c r="AN80" s="716" t="str">
        <f>_xlfn.XLOOKUP(D80,RUC!$B$3:$B$578,RUC!$M$3:$M$578)</f>
        <v>Evelyn</v>
      </c>
      <c r="AO80" s="1167" t="s">
        <v>2278</v>
      </c>
      <c r="AP80" s="1843">
        <v>318</v>
      </c>
      <c r="AQ80" s="1082" t="s">
        <v>5526</v>
      </c>
    </row>
    <row r="81" spans="1:43" ht="15" customHeight="1">
      <c r="A81" s="747" t="s">
        <v>5688</v>
      </c>
      <c r="B81" s="1447">
        <v>46168</v>
      </c>
      <c r="C81" s="1447">
        <v>46158</v>
      </c>
      <c r="D81" t="s">
        <v>1967</v>
      </c>
      <c r="E81" s="762">
        <f>_xlfn.XLOOKUP(D81,RUC!$B$3:$B$123,RUC!$D$3:$D$123)</f>
        <v>20601769396</v>
      </c>
      <c r="F81" s="629" t="s">
        <v>5705</v>
      </c>
      <c r="G81" s="762">
        <v>111</v>
      </c>
      <c r="H81" s="1082" t="s">
        <v>108</v>
      </c>
      <c r="I81" s="703">
        <v>3.75</v>
      </c>
      <c r="J81" s="596">
        <v>16.8</v>
      </c>
      <c r="K81" s="703">
        <f t="shared" si="23"/>
        <v>3.12</v>
      </c>
      <c r="L81" s="1082">
        <v>0.39100000000000001</v>
      </c>
      <c r="M81" s="994">
        <f>ROUND(+IF(L81&gt;_xlfn.XLOOKUP(AN81,RUC!M:M,RUC!K:K),L81*_xlfn.XLOOKUP(AN81,RUC!M:M,RUC!I:I),L81-_xlfn.XLOOKUP(AN81,RUC!M:M,RUC!J:J)),3)</f>
        <v>0.36799999999999999</v>
      </c>
      <c r="N81" s="1196">
        <f t="shared" si="40"/>
        <v>0.36799999999999999</v>
      </c>
      <c r="O81" s="645">
        <f t="shared" si="24"/>
        <v>0.36799999999999999</v>
      </c>
      <c r="P81" s="727">
        <v>90</v>
      </c>
      <c r="Q81" s="1476">
        <v>91.3</v>
      </c>
      <c r="R81" s="706">
        <v>4528</v>
      </c>
      <c r="S81" s="765">
        <f>IF((_xlfn.XLOOKUP(D81,RUC!$B$3:$B$119,RUC!$E$3:$E$119)+ROUNDDOWN(O81,1)*100)&lt;95,95,((_xlfn.XLOOKUP(D81,RUC!$B$3:$B$119,RUC!$E$3:$E$119)+ROUNDDOWN(O81,1)*100)))</f>
        <v>120</v>
      </c>
      <c r="U81" s="1146">
        <f>_xlfn.XLOOKUP(D81,RUC!$B$3:$B$123,RUC!$F$3:$F$123)</f>
        <v>120</v>
      </c>
      <c r="V81" s="715">
        <v>1.1023000000000001</v>
      </c>
      <c r="Y81" s="1445">
        <v>30</v>
      </c>
      <c r="Z81" s="1454">
        <v>70</v>
      </c>
      <c r="AA81" s="144">
        <f t="shared" si="25"/>
        <v>100</v>
      </c>
      <c r="AB81" s="145">
        <f t="shared" si="41"/>
        <v>1366.7743980800001</v>
      </c>
      <c r="AC81" s="145">
        <f>+(S81-T81)*V81-'data 1'!$F$4</f>
        <v>52.27600000000001</v>
      </c>
      <c r="AD81" s="145">
        <f t="shared" si="27"/>
        <v>24.69798388719995</v>
      </c>
      <c r="AE81" s="145">
        <f t="shared" si="28"/>
        <v>40.230000000000004</v>
      </c>
      <c r="AF81" s="145">
        <f t="shared" si="29"/>
        <v>102.03284746160008</v>
      </c>
      <c r="AG81" s="772">
        <f t="shared" si="43"/>
        <v>236.23683134880002</v>
      </c>
      <c r="AH81" s="1253">
        <f t="shared" si="31"/>
        <v>38.186999999999998</v>
      </c>
      <c r="AI81" s="1253">
        <f t="shared" si="32"/>
        <v>41.825000000000003</v>
      </c>
      <c r="AJ81" s="156">
        <f t="shared" si="33"/>
        <v>36.202217202800007</v>
      </c>
      <c r="AK81" s="156">
        <f t="shared" si="34"/>
        <v>35.428600029139204</v>
      </c>
      <c r="AM81" s="716">
        <f t="shared" si="35"/>
        <v>4264.3361220096003</v>
      </c>
      <c r="AN81" s="716" t="str">
        <f>_xlfn.XLOOKUP(D81,RUC!$B$3:$B$578,RUC!$M$3:$M$578)</f>
        <v>Evelyn</v>
      </c>
      <c r="AO81" s="1167" t="s">
        <v>2278</v>
      </c>
      <c r="AP81" s="1843">
        <v>318</v>
      </c>
      <c r="AQ81" s="1082" t="s">
        <v>5526</v>
      </c>
    </row>
    <row r="82" spans="1:43" ht="15" customHeight="1">
      <c r="A82" s="747" t="s">
        <v>5689</v>
      </c>
      <c r="B82" s="1447">
        <v>46168</v>
      </c>
      <c r="C82" s="1447">
        <v>46158</v>
      </c>
      <c r="D82" t="s">
        <v>1967</v>
      </c>
      <c r="E82" s="762">
        <f>_xlfn.XLOOKUP(D82,RUC!$B$3:$B$123,RUC!$D$3:$D$123)</f>
        <v>20601769396</v>
      </c>
      <c r="F82" s="629" t="s">
        <v>5705</v>
      </c>
      <c r="G82" s="762">
        <v>110</v>
      </c>
      <c r="H82" s="1082" t="s">
        <v>108</v>
      </c>
      <c r="I82" s="703">
        <v>3.66</v>
      </c>
      <c r="J82" s="596">
        <v>16.7</v>
      </c>
      <c r="K82" s="703">
        <f t="shared" si="23"/>
        <v>3.0489999999999999</v>
      </c>
      <c r="L82" s="1192">
        <v>0.35</v>
      </c>
      <c r="M82" s="994">
        <f>ROUND(+IF(L82&gt;_xlfn.XLOOKUP(AN82,RUC!M:M,RUC!K:K),L82*_xlfn.XLOOKUP(AN82,RUC!M:M,RUC!I:I),L82-_xlfn.XLOOKUP(AN82,RUC!M:M,RUC!J:J)),3)</f>
        <v>0.32900000000000001</v>
      </c>
      <c r="N82" s="1196">
        <f t="shared" si="40"/>
        <v>0.32900000000000001</v>
      </c>
      <c r="O82" s="645">
        <f t="shared" si="24"/>
        <v>0.32900000000000001</v>
      </c>
      <c r="P82" s="727">
        <v>90</v>
      </c>
      <c r="Q82" s="1476">
        <v>93.71</v>
      </c>
      <c r="R82" s="706">
        <v>4528</v>
      </c>
      <c r="S82" s="765">
        <f>IF((_xlfn.XLOOKUP(D82,RUC!$B$3:$B$119,RUC!$E$3:$E$119)+ROUNDDOWN(O82,1)*100)&lt;95,95,((_xlfn.XLOOKUP(D82,RUC!$B$3:$B$119,RUC!$E$3:$E$119)+ROUNDDOWN(O82,1)*100)))</f>
        <v>120</v>
      </c>
      <c r="U82" s="1146">
        <f>_xlfn.XLOOKUP(D82,RUC!$B$3:$B$123,RUC!$F$3:$F$123)</f>
        <v>120</v>
      </c>
      <c r="V82" s="715">
        <v>1.1023000000000001</v>
      </c>
      <c r="Y82" s="1445">
        <v>30</v>
      </c>
      <c r="Z82" s="1454">
        <v>70</v>
      </c>
      <c r="AA82" s="144">
        <f t="shared" si="25"/>
        <v>100</v>
      </c>
      <c r="AB82" s="145">
        <f t="shared" si="41"/>
        <v>1196.2256602400003</v>
      </c>
      <c r="AC82" s="145">
        <f>+(S82-T82)*V82-'data 1'!$F$4</f>
        <v>52.27600000000001</v>
      </c>
      <c r="AD82" s="145">
        <f t="shared" si="27"/>
        <v>63.093315123999901</v>
      </c>
      <c r="AE82" s="145">
        <f t="shared" si="28"/>
        <v>40.230000000000004</v>
      </c>
      <c r="AF82" s="145">
        <f t="shared" si="29"/>
        <v>95.619534667439837</v>
      </c>
      <c r="AG82" s="772">
        <f t="shared" si="43"/>
        <v>268.21884979143977</v>
      </c>
      <c r="AH82" s="1253">
        <f t="shared" si="31"/>
        <v>34.286000000000001</v>
      </c>
      <c r="AI82" s="1253">
        <f t="shared" si="32"/>
        <v>36.588000000000001</v>
      </c>
      <c r="AJ82" s="156">
        <f t="shared" si="33"/>
        <v>33.261483625999993</v>
      </c>
      <c r="AK82" s="156">
        <f t="shared" si="34"/>
        <v>30.953153471493646</v>
      </c>
      <c r="AM82" s="716">
        <f t="shared" si="35"/>
        <v>3647.2920380717605</v>
      </c>
      <c r="AN82" s="716" t="str">
        <f>_xlfn.XLOOKUP(D82,RUC!$B$3:$B$578,RUC!$M$3:$M$578)</f>
        <v>Evelyn</v>
      </c>
      <c r="AO82" s="1167" t="s">
        <v>2278</v>
      </c>
      <c r="AP82" s="1843">
        <v>318</v>
      </c>
      <c r="AQ82" s="1082" t="s">
        <v>5526</v>
      </c>
    </row>
    <row r="83" spans="1:43" ht="15" customHeight="1">
      <c r="A83" s="747" t="s">
        <v>5694</v>
      </c>
      <c r="B83" s="1447">
        <v>46169</v>
      </c>
      <c r="C83" s="1447">
        <v>46159</v>
      </c>
      <c r="D83" t="s">
        <v>2004</v>
      </c>
      <c r="E83" s="762">
        <f>_xlfn.XLOOKUP(D83,RUC!$B$3:$B$123,RUC!$D$3:$D$123)</f>
        <v>20612921866</v>
      </c>
      <c r="G83" s="762">
        <v>13</v>
      </c>
      <c r="H83" s="1082" t="s">
        <v>108</v>
      </c>
      <c r="I83" s="703">
        <v>1.07</v>
      </c>
      <c r="J83" s="596">
        <v>2</v>
      </c>
      <c r="K83" s="703">
        <f t="shared" ref="K83:K112" si="44">ROUND(+I83-(I83*(J83/100)),3)</f>
        <v>1.0489999999999999</v>
      </c>
      <c r="L83" s="1082">
        <v>0.192</v>
      </c>
      <c r="M83" s="994">
        <f>ROUND(+IF(L83&gt;_xlfn.XLOOKUP(AN83,RUC!M:M,RUC!K:K),L83*_xlfn.XLOOKUP(AN83,RUC!M:M,RUC!I:I),L83-_xlfn.XLOOKUP(AN83,RUC!M:M,RUC!J:J)),3)</f>
        <v>0.17299999999999999</v>
      </c>
      <c r="N83" s="1444">
        <v>0.23</v>
      </c>
      <c r="O83" s="645">
        <f t="shared" ref="O83:O112" si="45">+ROUND((M83+N83)/2,3)</f>
        <v>0.20200000000000001</v>
      </c>
      <c r="P83" s="727">
        <v>90</v>
      </c>
      <c r="Q83" s="1476">
        <v>98.44</v>
      </c>
      <c r="R83" s="706">
        <v>4565.3999999999996</v>
      </c>
      <c r="S83" s="765">
        <f>IF((_xlfn.XLOOKUP(D83,RUC!$B$3:$B$119,RUC!$E$3:$E$119)+ROUNDDOWN(O83,1)*100)&lt;95,95,((_xlfn.XLOOKUP(D83,RUC!$B$3:$B$119,RUC!$E$3:$E$119)+ROUNDDOWN(O83,1)*100)))</f>
        <v>100</v>
      </c>
      <c r="U83" s="1146">
        <f>_xlfn.XLOOKUP(D83,RUC!$B$3:$B$123,RUC!$F$3:$F$123)</f>
        <v>100</v>
      </c>
      <c r="V83" s="715">
        <v>1.1023000000000001</v>
      </c>
      <c r="Y83">
        <f>_xlfn.XLOOKUP(D83,RUC!$B$3:$B$123,RUC!$G$3:$G$123)</f>
        <v>0</v>
      </c>
      <c r="Z83" s="1454">
        <v>70</v>
      </c>
      <c r="AA83" s="144">
        <f t="shared" ref="AA83:AA112" si="46">+Y83+Z83</f>
        <v>70</v>
      </c>
      <c r="AB83" s="145">
        <f t="shared" si="41"/>
        <v>707.466854356</v>
      </c>
      <c r="AC83" s="145">
        <f>+(S83-T83)*V83-'data 1'!$F$4</f>
        <v>30.230000000000004</v>
      </c>
      <c r="AD83" s="145">
        <f t="shared" ref="AD83:AD112" si="47">+(Q83-P83)*(R83-U83)*L83*V83/100</f>
        <v>79.763435414015973</v>
      </c>
      <c r="AE83" s="145">
        <f t="shared" ref="AE83:AE112" si="48">+(Y83*V83-70)+V83*(Z83-IF(D83="UNTUCA",IF(+((W83-3)*2.5+(X83-3)*3.1)&gt;0,+((W83-3)*1.5+(X83-3)*3.1),0),IF(+((W83-3)*1.5+(X83-3)*3.1)&gt;0,+((W83-3)*1.5+(X83-3)*3.1),0)))</f>
        <v>7.1610000000000014</v>
      </c>
      <c r="AF83" s="145">
        <f t="shared" ref="AF83:AF112" si="49">(L83-O83)*(R83-U83)*Q83*V83/100</f>
        <v>-48.454239374480046</v>
      </c>
      <c r="AG83" s="772">
        <f t="shared" si="43"/>
        <v>85.700196039535939</v>
      </c>
      <c r="AH83" s="1253">
        <f t="shared" ref="AH83:AH112" si="50">ROUND((31.1035*L83*Q83*1.1023*K83/100),3)</f>
        <v>6.798</v>
      </c>
      <c r="AI83" s="1253">
        <f t="shared" ref="AI83:AI112" si="51">ROUND((31.1035*L83*1.1023*K83),3)</f>
        <v>6.9050000000000002</v>
      </c>
      <c r="AJ83" s="156">
        <f t="shared" ref="AJ83:AJ112" si="52">+((+$AJ$2-R83+U83)*L83*Q83*V83)/100</f>
        <v>7.2085636899840768</v>
      </c>
      <c r="AK83" s="156">
        <f t="shared" ref="AK83:AK112" si="53">31.1035*1.1023*K83*P83*O83/100</f>
        <v>6.5385046413170107</v>
      </c>
      <c r="AM83" s="716">
        <f t="shared" ref="AM83:AM112" si="54">+IF(AB83*K83&gt;0,AB83*K83,0)</f>
        <v>742.13273021944394</v>
      </c>
      <c r="AN83" s="716" t="str">
        <f>_xlfn.XLOOKUP(D83,RUC!$B$3:$B$578,RUC!$M$3:$M$578)</f>
        <v>Ronald Garibay</v>
      </c>
      <c r="AO83" s="1167" t="s">
        <v>2278</v>
      </c>
      <c r="AP83" s="1843">
        <v>474</v>
      </c>
      <c r="AQ83" s="1082" t="s">
        <v>5709</v>
      </c>
    </row>
    <row r="84" spans="1:43" ht="15" customHeight="1">
      <c r="A84" s="747" t="s">
        <v>5712</v>
      </c>
      <c r="B84" s="1447">
        <v>46169</v>
      </c>
      <c r="C84" s="1447">
        <v>46160</v>
      </c>
      <c r="D84" t="s">
        <v>66</v>
      </c>
      <c r="E84" s="762">
        <f>_xlfn.XLOOKUP(D84,RUC!$B$3:$B$123,RUC!$D$3:$D$123)</f>
        <v>10457401928</v>
      </c>
      <c r="G84" s="762" t="s">
        <v>2985</v>
      </c>
      <c r="H84" s="1082" t="s">
        <v>2005</v>
      </c>
      <c r="I84" s="703">
        <v>36.35</v>
      </c>
      <c r="J84">
        <v>2.25</v>
      </c>
      <c r="K84" s="703">
        <f t="shared" si="44"/>
        <v>35.531999999999996</v>
      </c>
      <c r="L84" s="1082">
        <v>9.1999999999999998E-2</v>
      </c>
      <c r="M84" s="994">
        <f>ROUND(+IF(L84&gt;_xlfn.XLOOKUP(AN84,RUC!M:M,RUC!K:K),L84*_xlfn.XLOOKUP(AN84,RUC!M:M,RUC!I:I),L84-_xlfn.XLOOKUP(AN84,RUC!M:M,RUC!J:J)),3)+0.015</f>
        <v>7.2000000000000008E-2</v>
      </c>
      <c r="N84" s="1444">
        <v>0.151</v>
      </c>
      <c r="O84" s="645">
        <f t="shared" si="45"/>
        <v>0.112</v>
      </c>
      <c r="P84" s="727">
        <v>80</v>
      </c>
      <c r="Q84" s="1476">
        <v>97.83</v>
      </c>
      <c r="R84" s="706">
        <v>4565.3999999999996</v>
      </c>
      <c r="S84" s="765">
        <f>IF((_xlfn.XLOOKUP(D84,RUC!$B$3:$B$119,RUC!$E$3:$E$119)+ROUNDDOWN(O84,1)*100)&lt;95,95,((_xlfn.XLOOKUP(D84,RUC!$B$3:$B$119,RUC!$E$3:$E$119)+ROUNDDOWN(O84,1)*100)))</f>
        <v>100</v>
      </c>
      <c r="U84" s="1146">
        <f>_xlfn.XLOOKUP(D84,RUC!$B$3:$B$123,RUC!$F$3:$F$123)</f>
        <v>120</v>
      </c>
      <c r="V84" s="715">
        <v>1.1023000000000001</v>
      </c>
      <c r="Y84">
        <f>_xlfn.XLOOKUP(D84,RUC!$B$3:$B$123,RUC!$G$3:$G$123)</f>
        <v>20</v>
      </c>
      <c r="Z84" s="143">
        <f>_xlfn.XLOOKUP(D84,RUC!$B$3:$B$123,RUC!$H$3:$H$123)</f>
        <v>30</v>
      </c>
      <c r="AA84" s="144">
        <f t="shared" si="46"/>
        <v>50</v>
      </c>
      <c r="AB84" s="145">
        <f t="shared" si="41"/>
        <v>273.70973203200003</v>
      </c>
      <c r="AC84" s="145">
        <f>+(S84-T84)*V84-'data 1'!$F$4</f>
        <v>30.230000000000004</v>
      </c>
      <c r="AD84" s="145">
        <f t="shared" si="47"/>
        <v>80.380337079911982</v>
      </c>
      <c r="AE84" s="145">
        <f t="shared" si="48"/>
        <v>-14.884999999999998</v>
      </c>
      <c r="AF84" s="145">
        <f t="shared" si="49"/>
        <v>-95.876617041720024</v>
      </c>
      <c r="AG84" s="772">
        <f t="shared" si="43"/>
        <v>16.848720038191956</v>
      </c>
      <c r="AH84" s="1253">
        <f t="shared" si="50"/>
        <v>109.645</v>
      </c>
      <c r="AI84" s="1253">
        <f t="shared" si="51"/>
        <v>112.077</v>
      </c>
      <c r="AJ84" s="156">
        <f t="shared" si="52"/>
        <v>5.416918868088036</v>
      </c>
      <c r="AK84" s="156">
        <f t="shared" si="53"/>
        <v>109.15326537405696</v>
      </c>
      <c r="AM84" s="716">
        <f t="shared" si="54"/>
        <v>9725.4541985610249</v>
      </c>
      <c r="AN84" s="716" t="str">
        <f>_xlfn.XLOOKUP(D84,RUC!$B$3:$B$578,RUC!$M$3:$M$578)</f>
        <v>Richard Sapacayo</v>
      </c>
      <c r="AO84" s="1167" t="s">
        <v>2279</v>
      </c>
      <c r="AP84" s="1843">
        <v>160</v>
      </c>
      <c r="AQ84" s="1082" t="s">
        <v>5731</v>
      </c>
    </row>
    <row r="85" spans="1:43" ht="15" customHeight="1">
      <c r="A85" s="747" t="s">
        <v>5717</v>
      </c>
      <c r="B85" s="1447">
        <v>46168</v>
      </c>
      <c r="C85" s="1447">
        <v>46161</v>
      </c>
      <c r="D85" t="s">
        <v>4171</v>
      </c>
      <c r="E85" s="762">
        <f>_xlfn.XLOOKUP(D85,RUC!$B$3:$B$123,RUC!$D$3:$D$123)</f>
        <v>20614284740</v>
      </c>
      <c r="G85" s="762">
        <v>15</v>
      </c>
      <c r="H85" s="1082" t="s">
        <v>69</v>
      </c>
      <c r="I85" s="703">
        <v>1.42</v>
      </c>
      <c r="J85" s="596">
        <v>2</v>
      </c>
      <c r="K85" s="703">
        <f t="shared" si="44"/>
        <v>1.3919999999999999</v>
      </c>
      <c r="L85" s="1082">
        <v>0.55500000000000005</v>
      </c>
      <c r="M85" s="994">
        <f>ROUND(+IF(L85&gt;_xlfn.XLOOKUP(AN85,RUC!M:M,RUC!K:K),L85*_xlfn.XLOOKUP(AN85,RUC!M:M,RUC!I:I),L85-_xlfn.XLOOKUP(AN85,RUC!M:M,RUC!J:J)),3)</f>
        <v>0.52200000000000002</v>
      </c>
      <c r="N85" s="1196">
        <f t="shared" ref="N85:N112" si="55">+M85</f>
        <v>0.52200000000000002</v>
      </c>
      <c r="O85" s="1147">
        <v>0.54200000000000004</v>
      </c>
      <c r="P85" s="727">
        <v>90</v>
      </c>
      <c r="Q85" s="1476">
        <v>96.22</v>
      </c>
      <c r="R85" s="706">
        <v>4496.7</v>
      </c>
      <c r="S85" s="765">
        <f>IF((_xlfn.XLOOKUP(D85,RUC!$B$3:$B$119,RUC!$E$3:$E$119)+ROUNDDOWN(O85,1)*100)&lt;95,95,((_xlfn.XLOOKUP(D85,RUC!$B$3:$B$119,RUC!$E$3:$E$119)+ROUNDDOWN(O85,1)*100)))</f>
        <v>140</v>
      </c>
      <c r="U85" s="1146">
        <f>_xlfn.XLOOKUP(D85,RUC!$B$3:$B$123,RUC!$F$3:$F$123)</f>
        <v>120</v>
      </c>
      <c r="V85" s="715">
        <v>1.1023000000000001</v>
      </c>
      <c r="Y85">
        <f>_xlfn.XLOOKUP(D85,RUC!$B$3:$B$123,RUC!$G$3:$G$123)</f>
        <v>20</v>
      </c>
      <c r="Z85" s="143">
        <f>_xlfn.XLOOKUP(D85,RUC!$B$3:$B$123,RUC!$H$3:$H$123)</f>
        <v>30</v>
      </c>
      <c r="AA85" s="144">
        <f t="shared" si="46"/>
        <v>50</v>
      </c>
      <c r="AB85" s="145">
        <f t="shared" si="41"/>
        <v>2143.9230807980002</v>
      </c>
      <c r="AC85" s="145">
        <f>+(S85-T85)*V85-'data 1'!$F$4</f>
        <v>74.322000000000003</v>
      </c>
      <c r="AD85" s="145">
        <f t="shared" si="47"/>
        <v>166.54436930960998</v>
      </c>
      <c r="AE85" s="145">
        <f t="shared" si="48"/>
        <v>-14.884999999999998</v>
      </c>
      <c r="AF85" s="145">
        <f t="shared" si="49"/>
        <v>60.34694527812605</v>
      </c>
      <c r="AG85" s="772">
        <f t="shared" si="43"/>
        <v>303.32831458773603</v>
      </c>
      <c r="AH85" s="1253">
        <f t="shared" si="50"/>
        <v>25.486000000000001</v>
      </c>
      <c r="AI85" s="1253">
        <f t="shared" si="51"/>
        <v>26.488</v>
      </c>
      <c r="AJ85" s="156">
        <f t="shared" si="52"/>
        <v>72.580711245390134</v>
      </c>
      <c r="AK85" s="156">
        <f t="shared" si="53"/>
        <v>23.280381908779681</v>
      </c>
      <c r="AM85" s="716">
        <f t="shared" si="54"/>
        <v>2984.3409284708159</v>
      </c>
      <c r="AN85" s="716" t="str">
        <f>_xlfn.XLOOKUP(D85,RUC!$B$3:$B$578,RUC!$M$3:$M$578)</f>
        <v xml:space="preserve">Dante </v>
      </c>
      <c r="AO85" s="1167" t="s">
        <v>2279</v>
      </c>
      <c r="AP85" s="1843">
        <v>346</v>
      </c>
      <c r="AQ85" s="1082" t="s">
        <v>3748</v>
      </c>
    </row>
    <row r="86" spans="1:43" ht="15" customHeight="1">
      <c r="A86" s="747" t="s">
        <v>5718</v>
      </c>
      <c r="B86" s="1447">
        <v>46167</v>
      </c>
      <c r="C86" s="1447">
        <v>46161</v>
      </c>
      <c r="D86" t="s">
        <v>4171</v>
      </c>
      <c r="E86" s="762">
        <f>_xlfn.XLOOKUP(D86,RUC!$B$3:$B$123,RUC!$D$3:$D$123)</f>
        <v>20614284740</v>
      </c>
      <c r="G86" s="762">
        <v>74</v>
      </c>
      <c r="H86" s="1082" t="s">
        <v>2005</v>
      </c>
      <c r="I86" s="703">
        <v>6.74</v>
      </c>
      <c r="J86" s="596">
        <v>2.4</v>
      </c>
      <c r="K86" s="703">
        <f t="shared" si="44"/>
        <v>6.5780000000000003</v>
      </c>
      <c r="L86" s="1192">
        <v>0.67</v>
      </c>
      <c r="M86" s="994">
        <f>ROUND(+IF(L86&gt;_xlfn.XLOOKUP(AN86,RUC!M:M,RUC!K:K),L86*_xlfn.XLOOKUP(AN86,RUC!M:M,RUC!I:I),L86-_xlfn.XLOOKUP(AN86,RUC!M:M,RUC!J:J)),3)</f>
        <v>0.63</v>
      </c>
      <c r="N86" s="1196">
        <f t="shared" si="55"/>
        <v>0.63</v>
      </c>
      <c r="O86" s="645">
        <f t="shared" si="45"/>
        <v>0.63</v>
      </c>
      <c r="P86" s="727">
        <v>90</v>
      </c>
      <c r="Q86" s="1476">
        <v>94.03</v>
      </c>
      <c r="R86" s="706">
        <v>4496.7</v>
      </c>
      <c r="S86" s="765">
        <f>IF((_xlfn.XLOOKUP(D86,RUC!$B$3:$B$119,RUC!$E$3:$E$119)+ROUNDDOWN(O86,1)*100)&lt;95,95,((_xlfn.XLOOKUP(D86,RUC!$B$3:$B$119,RUC!$E$3:$E$119)+ROUNDDOWN(O86,1)*100)))</f>
        <v>150</v>
      </c>
      <c r="U86" s="1146">
        <f>_xlfn.XLOOKUP(D86,RUC!$B$3:$B$123,RUC!$F$3:$F$123)</f>
        <v>120</v>
      </c>
      <c r="V86" s="715">
        <v>1.1023000000000001</v>
      </c>
      <c r="Y86" s="891">
        <v>30</v>
      </c>
      <c r="Z86" s="143">
        <f>_xlfn.XLOOKUP(D86,RUC!$B$3:$B$123,RUC!$H$3:$H$123)</f>
        <v>30</v>
      </c>
      <c r="AA86" s="144">
        <f t="shared" si="46"/>
        <v>60</v>
      </c>
      <c r="AB86" s="145">
        <f t="shared" si="41"/>
        <v>2503.9724444700005</v>
      </c>
      <c r="AC86" s="145">
        <f>+(S86-T86)*V86-'data 1'!$F$4</f>
        <v>85.344999999999999</v>
      </c>
      <c r="AD86" s="145">
        <f t="shared" si="47"/>
        <v>130.26460750641007</v>
      </c>
      <c r="AE86" s="145">
        <f t="shared" si="48"/>
        <v>-3.8619999999999948</v>
      </c>
      <c r="AF86" s="145">
        <f t="shared" si="49"/>
        <v>181.45670225292014</v>
      </c>
      <c r="AG86" s="772">
        <f t="shared" si="43"/>
        <v>410.20430975933022</v>
      </c>
      <c r="AH86" s="1253">
        <f t="shared" si="50"/>
        <v>142.084</v>
      </c>
      <c r="AI86" s="1253">
        <f t="shared" si="51"/>
        <v>151.10499999999999</v>
      </c>
      <c r="AJ86" s="156">
        <f t="shared" si="52"/>
        <v>85.625697613590148</v>
      </c>
      <c r="AK86" s="156">
        <f t="shared" si="53"/>
        <v>127.8751032301743</v>
      </c>
      <c r="AM86" s="716">
        <f t="shared" si="54"/>
        <v>16471.130739723663</v>
      </c>
      <c r="AN86" s="716" t="str">
        <f>_xlfn.XLOOKUP(D86,RUC!$B$3:$B$578,RUC!$M$3:$M$578)</f>
        <v xml:space="preserve">Dante </v>
      </c>
      <c r="AO86" s="1167" t="s">
        <v>2280</v>
      </c>
      <c r="AP86" s="1843">
        <v>346</v>
      </c>
      <c r="AQ86" s="1082" t="s">
        <v>3748</v>
      </c>
    </row>
    <row r="87" spans="1:43" ht="15" customHeight="1">
      <c r="A87" s="747" t="s">
        <v>5721</v>
      </c>
      <c r="B87" s="1447">
        <v>46168</v>
      </c>
      <c r="C87" s="1447">
        <v>46161</v>
      </c>
      <c r="D87" t="s">
        <v>4171</v>
      </c>
      <c r="E87" s="762">
        <f>_xlfn.XLOOKUP(D87,RUC!$B$3:$B$123,RUC!$D$3:$D$123)</f>
        <v>20614284740</v>
      </c>
      <c r="G87" s="762">
        <v>20</v>
      </c>
      <c r="H87" s="1082" t="s">
        <v>69</v>
      </c>
      <c r="I87" s="703">
        <v>1.77</v>
      </c>
      <c r="J87" s="596">
        <v>3.9</v>
      </c>
      <c r="K87" s="703">
        <f t="shared" si="44"/>
        <v>1.7010000000000001</v>
      </c>
      <c r="L87" s="1082">
        <v>0.50800000000000001</v>
      </c>
      <c r="M87" s="994">
        <f>ROUND(+IF(L87&gt;_xlfn.XLOOKUP(AN87,RUC!M:M,RUC!K:K),L87*_xlfn.XLOOKUP(AN87,RUC!M:M,RUC!I:I),L87-_xlfn.XLOOKUP(AN87,RUC!M:M,RUC!J:J)),3)</f>
        <v>0.47799999999999998</v>
      </c>
      <c r="N87" s="1444">
        <v>0.52500000000000002</v>
      </c>
      <c r="O87" s="645">
        <f t="shared" si="45"/>
        <v>0.502</v>
      </c>
      <c r="P87" s="727">
        <v>90</v>
      </c>
      <c r="Q87" s="1476">
        <v>92.91</v>
      </c>
      <c r="R87" s="706">
        <v>4496.7</v>
      </c>
      <c r="S87" s="765">
        <f>IF((_xlfn.XLOOKUP(D87,RUC!$B$3:$B$119,RUC!$E$3:$E$119)+ROUNDDOWN(O87,1)*100)&lt;95,95,((_xlfn.XLOOKUP(D87,RUC!$B$3:$B$119,RUC!$E$3:$E$119)+ROUNDDOWN(O87,1)*100)))</f>
        <v>140</v>
      </c>
      <c r="U87" s="1146">
        <f>_xlfn.XLOOKUP(D87,RUC!$B$3:$B$123,RUC!$F$3:$F$123)</f>
        <v>120</v>
      </c>
      <c r="V87" s="715">
        <v>1.1023000000000001</v>
      </c>
      <c r="Y87" s="891">
        <v>30</v>
      </c>
      <c r="Z87" s="143">
        <f>_xlfn.XLOOKUP(D87,RUC!$B$3:$B$123,RUC!$H$3:$H$123)</f>
        <v>30</v>
      </c>
      <c r="AA87" s="144">
        <f t="shared" si="46"/>
        <v>60</v>
      </c>
      <c r="AB87" s="145">
        <f t="shared" si="41"/>
        <v>1959.2203700380001</v>
      </c>
      <c r="AC87" s="145">
        <f>+(S87-T87)*V87-'data 1'!$F$4</f>
        <v>74.322000000000003</v>
      </c>
      <c r="AD87" s="145">
        <f t="shared" si="47"/>
        <v>71.318678561747916</v>
      </c>
      <c r="AE87" s="145">
        <f t="shared" si="48"/>
        <v>-3.8619999999999948</v>
      </c>
      <c r="AF87" s="145">
        <f t="shared" si="49"/>
        <v>26.894303211186024</v>
      </c>
      <c r="AG87" s="772">
        <f t="shared" si="43"/>
        <v>185.67298177293392</v>
      </c>
      <c r="AH87" s="1253">
        <f t="shared" si="50"/>
        <v>27.526</v>
      </c>
      <c r="AI87" s="1253">
        <f t="shared" si="51"/>
        <v>29.626000000000001</v>
      </c>
      <c r="AJ87" s="156">
        <f t="shared" si="52"/>
        <v>64.148876766252101</v>
      </c>
      <c r="AK87" s="156">
        <f t="shared" si="53"/>
        <v>26.34872528400399</v>
      </c>
      <c r="AM87" s="716">
        <f t="shared" si="54"/>
        <v>3332.6338494346383</v>
      </c>
      <c r="AN87" s="716" t="str">
        <f>_xlfn.XLOOKUP(D87,RUC!$B$3:$B$578,RUC!$M$3:$M$578)</f>
        <v xml:space="preserve">Dante </v>
      </c>
      <c r="AO87" s="1167" t="s">
        <v>2279</v>
      </c>
      <c r="AP87" s="1843">
        <v>349</v>
      </c>
      <c r="AQ87" s="1082" t="s">
        <v>3671</v>
      </c>
    </row>
    <row r="88" spans="1:43" ht="15" customHeight="1">
      <c r="A88" s="747" t="s">
        <v>5723</v>
      </c>
      <c r="B88" s="1447">
        <v>46167</v>
      </c>
      <c r="C88" s="1447">
        <v>46161</v>
      </c>
      <c r="D88" t="s">
        <v>1484</v>
      </c>
      <c r="E88" s="762">
        <f>_xlfn.XLOOKUP(D88,RUC!$B$3:$B$123,RUC!$D$3:$D$123)</f>
        <v>10761932735</v>
      </c>
      <c r="G88" s="762">
        <v>14</v>
      </c>
      <c r="H88" s="1082" t="s">
        <v>69</v>
      </c>
      <c r="I88" s="703">
        <v>1.19</v>
      </c>
      <c r="J88" s="596">
        <v>17.25</v>
      </c>
      <c r="K88" s="703">
        <f t="shared" si="44"/>
        <v>0.98499999999999999</v>
      </c>
      <c r="L88" s="1082">
        <v>2.125</v>
      </c>
      <c r="M88" s="994">
        <f>ROUND(+IF(L88&gt;_xlfn.XLOOKUP(AN88,RUC!M:M,RUC!K:K),L88*_xlfn.XLOOKUP(AN88,RUC!M:M,RUC!I:I),L88-_xlfn.XLOOKUP(AN88,RUC!M:M,RUC!J:J)),3)</f>
        <v>1.998</v>
      </c>
      <c r="N88" s="1444">
        <v>2.11</v>
      </c>
      <c r="O88" s="645">
        <f t="shared" si="45"/>
        <v>2.0539999999999998</v>
      </c>
      <c r="P88" s="727">
        <v>90</v>
      </c>
      <c r="Q88" s="1476">
        <v>92.56</v>
      </c>
      <c r="R88" s="706">
        <v>4496.7</v>
      </c>
      <c r="S88" s="765">
        <f>IF((_xlfn.XLOOKUP(D88,RUC!$B$3:$B$119,RUC!$E$3:$E$119)+ROUNDDOWN(O88,1)*100)&lt;95,95,((_xlfn.XLOOKUP(D88,RUC!$B$3:$B$119,RUC!$E$3:$E$119)+ROUNDDOWN(O88,1)*100)))</f>
        <v>290</v>
      </c>
      <c r="U88" s="1146">
        <f>_xlfn.XLOOKUP(D88,RUC!$B$3:$B$123,RUC!$F$3:$F$123)</f>
        <v>120</v>
      </c>
      <c r="V88" s="715">
        <v>1.1023000000000001</v>
      </c>
      <c r="Y88">
        <f>_xlfn.XLOOKUP(D88,RUC!$B$3:$B$123,RUC!$G$3:$G$123)</f>
        <v>20</v>
      </c>
      <c r="Z88" s="143">
        <f>_xlfn.XLOOKUP(D88,RUC!$B$3:$B$123,RUC!$H$3:$H$123)</f>
        <v>30</v>
      </c>
      <c r="AA88" s="144">
        <f t="shared" si="46"/>
        <v>50</v>
      </c>
      <c r="AB88" s="145">
        <f t="shared" si="41"/>
        <v>8543.6711475259999</v>
      </c>
      <c r="AC88" s="145">
        <f>+(S88-T88)*V88-'data 1'!$F$4</f>
        <v>239.66700000000003</v>
      </c>
      <c r="AD88" s="145">
        <f t="shared" si="47"/>
        <v>262.44934070400024</v>
      </c>
      <c r="AE88" s="145">
        <f t="shared" si="48"/>
        <v>-14.884999999999998</v>
      </c>
      <c r="AF88" s="145">
        <f t="shared" si="49"/>
        <v>317.05038221781678</v>
      </c>
      <c r="AG88" s="772">
        <f t="shared" si="43"/>
        <v>821.28172292181705</v>
      </c>
      <c r="AH88" s="1253">
        <f t="shared" si="50"/>
        <v>66.424000000000007</v>
      </c>
      <c r="AI88" s="1253">
        <f t="shared" si="51"/>
        <v>71.763999999999996</v>
      </c>
      <c r="AJ88" s="156">
        <f t="shared" si="52"/>
        <v>267.32844017100041</v>
      </c>
      <c r="AK88" s="156">
        <f t="shared" si="53"/>
        <v>62.429268823991542</v>
      </c>
      <c r="AM88" s="716">
        <f t="shared" si="54"/>
        <v>8415.5160803131093</v>
      </c>
      <c r="AN88" s="716" t="str">
        <f>_xlfn.XLOOKUP(D88,RUC!$B$3:$B$578,RUC!$M$3:$M$578)</f>
        <v>Richard Sapacayo</v>
      </c>
      <c r="AO88" s="1167" t="s">
        <v>2280</v>
      </c>
      <c r="AP88" s="1843">
        <v>177</v>
      </c>
      <c r="AQ88" s="1082" t="s">
        <v>3854</v>
      </c>
    </row>
    <row r="89" spans="1:43" ht="15" customHeight="1">
      <c r="A89" s="747" t="s">
        <v>5724</v>
      </c>
      <c r="B89" s="1447">
        <v>46167</v>
      </c>
      <c r="C89" s="1447">
        <v>46161</v>
      </c>
      <c r="D89" t="s">
        <v>1484</v>
      </c>
      <c r="E89" s="762">
        <f>_xlfn.XLOOKUP(D89,RUC!$B$3:$B$123,RUC!$D$3:$D$123)</f>
        <v>10761932735</v>
      </c>
      <c r="G89" s="762" t="s">
        <v>2985</v>
      </c>
      <c r="H89" s="1082" t="s">
        <v>69</v>
      </c>
      <c r="I89" s="703">
        <v>18.190000000000001</v>
      </c>
      <c r="J89" s="596">
        <v>18.13</v>
      </c>
      <c r="K89" s="703">
        <f t="shared" si="44"/>
        <v>14.891999999999999</v>
      </c>
      <c r="L89" s="1082">
        <v>0.19700000000000001</v>
      </c>
      <c r="M89" s="994">
        <f>ROUND(+IF(L89&gt;_xlfn.XLOOKUP(AN89,RUC!M:M,RUC!K:K),L89*_xlfn.XLOOKUP(AN89,RUC!M:M,RUC!I:I),L89-_xlfn.XLOOKUP(AN89,RUC!M:M,RUC!J:J)),3)</f>
        <v>0.16200000000000001</v>
      </c>
      <c r="N89" s="1196">
        <f t="shared" si="55"/>
        <v>0.16200000000000001</v>
      </c>
      <c r="O89" s="645">
        <f t="shared" si="45"/>
        <v>0.16200000000000001</v>
      </c>
      <c r="P89" s="727">
        <v>90</v>
      </c>
      <c r="Q89" s="1476">
        <v>96.95</v>
      </c>
      <c r="R89" s="706">
        <v>4496.7</v>
      </c>
      <c r="S89" s="765">
        <f>IF((_xlfn.XLOOKUP(D89,RUC!$B$3:$B$119,RUC!$E$3:$E$119)+ROUNDDOWN(O89,1)*100)&lt;95,95,((_xlfn.XLOOKUP(D89,RUC!$B$3:$B$119,RUC!$E$3:$E$119)+ROUNDDOWN(O89,1)*100)))</f>
        <v>100</v>
      </c>
      <c r="U89" s="1146">
        <f>_xlfn.XLOOKUP(D89,RUC!$B$3:$B$123,RUC!$F$3:$F$123)</f>
        <v>120</v>
      </c>
      <c r="V89" s="715">
        <v>1.1023000000000001</v>
      </c>
      <c r="Y89">
        <f>_xlfn.XLOOKUP(D89,RUC!$B$3:$B$123,RUC!$G$3:$G$123)</f>
        <v>20</v>
      </c>
      <c r="Z89" s="143">
        <f>_xlfn.XLOOKUP(D89,RUC!$B$3:$B$123,RUC!$H$3:$H$123)</f>
        <v>30</v>
      </c>
      <c r="AA89" s="144">
        <f t="shared" si="46"/>
        <v>50</v>
      </c>
      <c r="AB89" s="145">
        <f t="shared" si="41"/>
        <v>538.057828578</v>
      </c>
      <c r="AC89" s="145">
        <f>+(S89-T89)*V89-'data 1'!$F$4</f>
        <v>30.230000000000004</v>
      </c>
      <c r="AD89" s="145">
        <f t="shared" si="47"/>
        <v>66.053771107515033</v>
      </c>
      <c r="AE89" s="145">
        <f t="shared" si="48"/>
        <v>-14.884999999999998</v>
      </c>
      <c r="AF89" s="145">
        <f t="shared" si="49"/>
        <v>163.70518848232504</v>
      </c>
      <c r="AG89" s="772">
        <f t="shared" si="43"/>
        <v>262.10395958984009</v>
      </c>
      <c r="AH89" s="1253">
        <f t="shared" si="50"/>
        <v>97.516000000000005</v>
      </c>
      <c r="AI89" s="1253">
        <f t="shared" si="51"/>
        <v>100.584</v>
      </c>
      <c r="AJ89" s="156">
        <f t="shared" si="52"/>
        <v>25.958340424485044</v>
      </c>
      <c r="AK89" s="156">
        <f t="shared" si="53"/>
        <v>74.442272230959475</v>
      </c>
      <c r="AM89" s="716">
        <f t="shared" si="54"/>
        <v>8012.7571831835758</v>
      </c>
      <c r="AN89" s="716" t="str">
        <f>_xlfn.XLOOKUP(D89,RUC!$B$3:$B$578,RUC!$M$3:$M$578)</f>
        <v>Richard Sapacayo</v>
      </c>
      <c r="AO89" s="1167" t="s">
        <v>2280</v>
      </c>
      <c r="AP89" s="1843">
        <v>177</v>
      </c>
      <c r="AQ89" s="1082" t="s">
        <v>3854</v>
      </c>
    </row>
    <row r="90" spans="1:43" ht="15" customHeight="1">
      <c r="A90" s="747" t="s">
        <v>5725</v>
      </c>
      <c r="B90" s="1447">
        <v>46167</v>
      </c>
      <c r="C90" s="1447">
        <v>46161</v>
      </c>
      <c r="D90" t="s">
        <v>1484</v>
      </c>
      <c r="E90" s="762">
        <f>_xlfn.XLOOKUP(D90,RUC!$B$3:$B$123,RUC!$D$3:$D$123)</f>
        <v>10761932735</v>
      </c>
      <c r="G90" s="762" t="s">
        <v>2985</v>
      </c>
      <c r="H90" s="1082" t="s">
        <v>69</v>
      </c>
      <c r="I90" s="703">
        <v>9.6300000000000008</v>
      </c>
      <c r="J90" s="596">
        <v>17.95</v>
      </c>
      <c r="K90" s="703">
        <f t="shared" si="44"/>
        <v>7.9009999999999998</v>
      </c>
      <c r="L90" s="1082">
        <v>0.26900000000000002</v>
      </c>
      <c r="M90" s="994">
        <f>ROUND(+IF(L90&gt;_xlfn.XLOOKUP(AN90,RUC!M:M,RUC!K:K),L90*_xlfn.XLOOKUP(AN90,RUC!M:M,RUC!I:I),L90-_xlfn.XLOOKUP(AN90,RUC!M:M,RUC!J:J)),3)</f>
        <v>0.23400000000000001</v>
      </c>
      <c r="N90" s="1196">
        <f t="shared" si="55"/>
        <v>0.23400000000000001</v>
      </c>
      <c r="O90" s="645">
        <f t="shared" si="45"/>
        <v>0.23400000000000001</v>
      </c>
      <c r="P90" s="727">
        <v>90</v>
      </c>
      <c r="Q90" s="1476">
        <v>96.28</v>
      </c>
      <c r="R90" s="706">
        <v>4496.7</v>
      </c>
      <c r="S90" s="765">
        <f>IF((_xlfn.XLOOKUP(D90,RUC!$B$3:$B$119,RUC!$E$3:$E$119)+ROUNDDOWN(O90,1)*100)&lt;95,95,((_xlfn.XLOOKUP(D90,RUC!$B$3:$B$119,RUC!$E$3:$E$119)+ROUNDDOWN(O90,1)*100)))</f>
        <v>110</v>
      </c>
      <c r="U90" s="1146">
        <f>_xlfn.XLOOKUP(D90,RUC!$B$3:$B$123,RUC!$F$3:$F$123)</f>
        <v>120</v>
      </c>
      <c r="V90" s="715">
        <v>1.1023000000000001</v>
      </c>
      <c r="Y90">
        <f>_xlfn.XLOOKUP(D90,RUC!$B$3:$B$123,RUC!$G$3:$G$123)</f>
        <v>20</v>
      </c>
      <c r="Z90" s="143">
        <f>_xlfn.XLOOKUP(D90,RUC!$B$3:$B$123,RUC!$H$3:$H$123)</f>
        <v>30</v>
      </c>
      <c r="AA90" s="144">
        <f t="shared" si="46"/>
        <v>50</v>
      </c>
      <c r="AB90" s="145">
        <f t="shared" ref="AB90:AB112" si="56">+((O90*P90*(R90-U90)/100)-S90-AA90+T90)*V90</f>
        <v>839.65830794600015</v>
      </c>
      <c r="AC90" s="145">
        <f>+(S90-T90)*V90-'data 1'!$F$4</f>
        <v>41.253</v>
      </c>
      <c r="AD90" s="145">
        <f t="shared" si="47"/>
        <v>81.500169161412018</v>
      </c>
      <c r="AE90" s="145">
        <f t="shared" si="48"/>
        <v>-14.884999999999998</v>
      </c>
      <c r="AF90" s="145">
        <f t="shared" si="49"/>
        <v>162.57385814418001</v>
      </c>
      <c r="AG90" s="772">
        <f t="shared" si="43"/>
        <v>287.44202730559203</v>
      </c>
      <c r="AH90" s="1253">
        <f t="shared" si="50"/>
        <v>70.158000000000001</v>
      </c>
      <c r="AI90" s="1253">
        <f t="shared" si="51"/>
        <v>72.869</v>
      </c>
      <c r="AJ90" s="156">
        <f t="shared" si="52"/>
        <v>35.200695597588059</v>
      </c>
      <c r="AK90" s="156">
        <f t="shared" si="53"/>
        <v>57.049192017030343</v>
      </c>
      <c r="AM90" s="716">
        <f t="shared" si="54"/>
        <v>6634.1402910813467</v>
      </c>
      <c r="AN90" s="716" t="str">
        <f>_xlfn.XLOOKUP(D90,RUC!$B$3:$B$578,RUC!$M$3:$M$578)</f>
        <v>Richard Sapacayo</v>
      </c>
      <c r="AO90" s="1167" t="s">
        <v>2280</v>
      </c>
      <c r="AP90" s="1843">
        <v>177</v>
      </c>
      <c r="AQ90" s="1082" t="s">
        <v>3854</v>
      </c>
    </row>
    <row r="91" spans="1:43" ht="15" customHeight="1">
      <c r="A91" s="747" t="s">
        <v>5740</v>
      </c>
      <c r="B91" s="1447">
        <v>46170</v>
      </c>
      <c r="C91" s="1447">
        <v>46164</v>
      </c>
      <c r="D91" t="s">
        <v>119</v>
      </c>
      <c r="E91" s="762">
        <f>_xlfn.XLOOKUP(D91,RUC!$B$3:$B$123,RUC!$D$3:$D$123)</f>
        <v>10082235774</v>
      </c>
      <c r="F91" s="629"/>
      <c r="G91" s="762">
        <v>40</v>
      </c>
      <c r="H91" s="1082" t="s">
        <v>69</v>
      </c>
      <c r="I91" s="703">
        <v>3.85</v>
      </c>
      <c r="J91" s="596">
        <v>2.2000000000000002</v>
      </c>
      <c r="K91" s="703">
        <f t="shared" si="44"/>
        <v>3.7650000000000001</v>
      </c>
      <c r="L91" s="1082">
        <v>0.34799999999999998</v>
      </c>
      <c r="M91" s="994">
        <f>ROUND(+IF(L91&gt;_xlfn.XLOOKUP(AN91,RUC!M:M,RUC!K:K),L91*_xlfn.XLOOKUP(AN91,RUC!M:M,RUC!I:I),L91-_xlfn.XLOOKUP(AN91,RUC!M:M,RUC!J:J)),3)</f>
        <v>0.34100000000000003</v>
      </c>
      <c r="N91" s="1196">
        <f t="shared" si="55"/>
        <v>0.34100000000000003</v>
      </c>
      <c r="O91" s="645">
        <f t="shared" si="45"/>
        <v>0.34100000000000003</v>
      </c>
      <c r="P91" s="727">
        <v>90</v>
      </c>
      <c r="Q91" s="875">
        <v>91.95</v>
      </c>
      <c r="R91" s="706">
        <v>4506.1499999999996</v>
      </c>
      <c r="S91" s="1164">
        <v>110</v>
      </c>
      <c r="U91" s="1146">
        <f>_xlfn.XLOOKUP(D91,RUC!$B$3:$B$123,RUC!$F$3:$F$123)</f>
        <v>80</v>
      </c>
      <c r="V91" s="715">
        <v>1.1023000000000001</v>
      </c>
      <c r="Y91">
        <f>_xlfn.XLOOKUP(D91,RUC!$B$3:$B$123,RUC!$G$3:$G$123)</f>
        <v>0</v>
      </c>
      <c r="Z91" s="143">
        <f>_xlfn.XLOOKUP(D91,RUC!$B$3:$B$123,RUC!$H$3:$H$123)</f>
        <v>10</v>
      </c>
      <c r="AA91" s="144">
        <f t="shared" si="46"/>
        <v>10</v>
      </c>
      <c r="AB91" s="145">
        <f t="shared" si="56"/>
        <v>1365.0722650005</v>
      </c>
      <c r="AC91" s="145">
        <f>+(S91-T91)*V91-'data 1'!$F$4</f>
        <v>41.253</v>
      </c>
      <c r="AD91" s="145">
        <f t="shared" si="47"/>
        <v>33.108521753970045</v>
      </c>
      <c r="AE91" s="145">
        <f t="shared" si="48"/>
        <v>-58.977000000000004</v>
      </c>
      <c r="AF91" s="145">
        <f t="shared" si="49"/>
        <v>31.403330425792277</v>
      </c>
      <c r="AG91" s="772">
        <f>AC91+AD91+AE91+AF91+70</f>
        <v>116.78785217976231</v>
      </c>
      <c r="AH91" s="1253">
        <f t="shared" si="50"/>
        <v>41.305</v>
      </c>
      <c r="AI91" s="1253">
        <f t="shared" si="51"/>
        <v>44.920999999999999</v>
      </c>
      <c r="AJ91" s="156">
        <f t="shared" si="52"/>
        <v>26.048413932030126</v>
      </c>
      <c r="AK91" s="156">
        <f t="shared" si="53"/>
        <v>39.616028755931936</v>
      </c>
      <c r="AM91" s="716">
        <f t="shared" si="54"/>
        <v>5139.4970777268827</v>
      </c>
      <c r="AN91" s="716" t="str">
        <f>_xlfn.XLOOKUP(D91,RUC!$B$3:$B$578,RUC!$M$3:$M$578)</f>
        <v>Melchor Vera</v>
      </c>
      <c r="AO91" s="1167" t="s">
        <v>2280</v>
      </c>
      <c r="AP91" s="1843">
        <v>43</v>
      </c>
      <c r="AQ91" s="1082" t="s">
        <v>5762</v>
      </c>
    </row>
    <row r="92" spans="1:43" ht="15" customHeight="1">
      <c r="A92" s="747" t="s">
        <v>5741</v>
      </c>
      <c r="B92" s="1447">
        <v>46170</v>
      </c>
      <c r="C92" s="1447">
        <v>46164</v>
      </c>
      <c r="D92" t="s">
        <v>119</v>
      </c>
      <c r="E92" s="762">
        <f>_xlfn.XLOOKUP(D92,RUC!$B$3:$B$123,RUC!$D$3:$D$123)</f>
        <v>10082235774</v>
      </c>
      <c r="F92" s="629"/>
      <c r="G92" s="762">
        <v>50</v>
      </c>
      <c r="H92" s="1082" t="s">
        <v>69</v>
      </c>
      <c r="I92" s="703">
        <v>4.9000000000000004</v>
      </c>
      <c r="J92" s="596">
        <v>2.95</v>
      </c>
      <c r="K92" s="703">
        <f t="shared" si="44"/>
        <v>4.7549999999999999</v>
      </c>
      <c r="L92" s="1082">
        <v>0.314</v>
      </c>
      <c r="M92" s="994">
        <f>ROUND(+IF(L92&gt;_xlfn.XLOOKUP(AN92,RUC!M:M,RUC!K:K),L92*_xlfn.XLOOKUP(AN92,RUC!M:M,RUC!I:I),L92-_xlfn.XLOOKUP(AN92,RUC!M:M,RUC!J:J)),3)</f>
        <v>0.307</v>
      </c>
      <c r="N92" s="1196">
        <f t="shared" si="55"/>
        <v>0.307</v>
      </c>
      <c r="O92" s="645">
        <f t="shared" si="45"/>
        <v>0.307</v>
      </c>
      <c r="P92" s="727">
        <v>90</v>
      </c>
      <c r="Q92" s="875">
        <v>92.68</v>
      </c>
      <c r="R92" s="706">
        <v>4506.1499999999996</v>
      </c>
      <c r="S92" s="1164">
        <v>110</v>
      </c>
      <c r="U92" s="1146">
        <f>_xlfn.XLOOKUP(D92,RUC!$B$3:$B$123,RUC!$F$3:$F$123)</f>
        <v>80</v>
      </c>
      <c r="V92" s="715">
        <v>1.1023000000000001</v>
      </c>
      <c r="Y92">
        <f>_xlfn.XLOOKUP(D92,RUC!$B$3:$B$123,RUC!$G$3:$G$123)</f>
        <v>0</v>
      </c>
      <c r="Z92" s="143">
        <f>_xlfn.XLOOKUP(D92,RUC!$B$3:$B$123,RUC!$H$3:$H$123)</f>
        <v>10</v>
      </c>
      <c r="AA92" s="144">
        <f t="shared" si="46"/>
        <v>10</v>
      </c>
      <c r="AB92" s="145">
        <f t="shared" si="56"/>
        <v>1215.7765435634999</v>
      </c>
      <c r="AC92" s="145">
        <f>+(S92-T92)*V92-'data 1'!$F$4</f>
        <v>41.253</v>
      </c>
      <c r="AD92" s="145">
        <f t="shared" si="47"/>
        <v>41.057299184204105</v>
      </c>
      <c r="AE92" s="145">
        <f t="shared" si="48"/>
        <v>-58.977000000000004</v>
      </c>
      <c r="AF92" s="145">
        <f t="shared" si="49"/>
        <v>31.652644522702026</v>
      </c>
      <c r="AG92" s="772">
        <f t="shared" ref="AG92:AG98" si="57">AC92+AD92+AE92+AF92+70</f>
        <v>124.98594370690611</v>
      </c>
      <c r="AH92" s="1253">
        <f t="shared" si="50"/>
        <v>47.442999999999998</v>
      </c>
      <c r="AI92" s="1253">
        <f t="shared" si="51"/>
        <v>51.19</v>
      </c>
      <c r="AJ92" s="156">
        <f t="shared" si="52"/>
        <v>23.690050158796122</v>
      </c>
      <c r="AK92" s="156">
        <f t="shared" si="53"/>
        <v>45.044365675112331</v>
      </c>
      <c r="AM92" s="716">
        <f t="shared" si="54"/>
        <v>5781.017464644442</v>
      </c>
      <c r="AN92" s="716" t="str">
        <f>_xlfn.XLOOKUP(D92,RUC!$B$3:$B$578,RUC!$M$3:$M$578)</f>
        <v>Melchor Vera</v>
      </c>
      <c r="AO92" s="1167" t="s">
        <v>2280</v>
      </c>
      <c r="AP92" s="1843">
        <v>43</v>
      </c>
      <c r="AQ92" s="1082" t="s">
        <v>5762</v>
      </c>
    </row>
    <row r="93" spans="1:43" ht="15" customHeight="1">
      <c r="A93" s="747" t="s">
        <v>5742</v>
      </c>
      <c r="B93" s="1447">
        <v>46170</v>
      </c>
      <c r="C93" s="1447">
        <v>46164</v>
      </c>
      <c r="D93" t="s">
        <v>119</v>
      </c>
      <c r="E93" s="762">
        <f>_xlfn.XLOOKUP(D93,RUC!$B$3:$B$123,RUC!$D$3:$D$123)</f>
        <v>10082235774</v>
      </c>
      <c r="F93" s="629"/>
      <c r="G93" s="762">
        <v>47</v>
      </c>
      <c r="H93" s="1082" t="s">
        <v>69</v>
      </c>
      <c r="I93" s="703">
        <v>4.47</v>
      </c>
      <c r="J93" s="596">
        <v>2.15</v>
      </c>
      <c r="K93" s="703">
        <f t="shared" si="44"/>
        <v>4.3739999999999997</v>
      </c>
      <c r="L93" s="1082">
        <v>0.28499999999999998</v>
      </c>
      <c r="M93" s="994">
        <f>ROUND(+IF(L93&gt;_xlfn.XLOOKUP(AN93,RUC!M:M,RUC!K:K),L93*_xlfn.XLOOKUP(AN93,RUC!M:M,RUC!I:I),L93-_xlfn.XLOOKUP(AN93,RUC!M:M,RUC!J:J)),3)</f>
        <v>0.27800000000000002</v>
      </c>
      <c r="N93" s="1444">
        <v>0.316</v>
      </c>
      <c r="O93" s="645">
        <f t="shared" si="45"/>
        <v>0.29699999999999999</v>
      </c>
      <c r="P93" s="727">
        <v>90</v>
      </c>
      <c r="Q93" s="875">
        <v>97.4</v>
      </c>
      <c r="R93" s="706">
        <v>4506.1499999999996</v>
      </c>
      <c r="S93" s="1164">
        <v>105</v>
      </c>
      <c r="U93" s="1146">
        <f>_xlfn.XLOOKUP(D93,RUC!$B$3:$B$123,RUC!$F$3:$F$123)</f>
        <v>80</v>
      </c>
      <c r="V93" s="715">
        <v>1.1023000000000001</v>
      </c>
      <c r="Y93">
        <f>_xlfn.XLOOKUP(D93,RUC!$B$3:$B$123,RUC!$G$3:$G$123)</f>
        <v>0</v>
      </c>
      <c r="Z93" s="143">
        <f>_xlfn.XLOOKUP(D93,RUC!$B$3:$B$123,RUC!$H$3:$H$123)</f>
        <v>10</v>
      </c>
      <c r="AA93" s="144">
        <f t="shared" si="46"/>
        <v>10</v>
      </c>
      <c r="AB93" s="145">
        <f t="shared" si="56"/>
        <v>1177.3775372585001</v>
      </c>
      <c r="AC93" s="145">
        <f>+(S93-T93)*V93-'data 1'!$F$4</f>
        <v>35.741500000000002</v>
      </c>
      <c r="AD93" s="145">
        <f t="shared" si="47"/>
        <v>102.89695310805007</v>
      </c>
      <c r="AE93" s="145">
        <f t="shared" si="48"/>
        <v>-58.977000000000004</v>
      </c>
      <c r="AF93" s="145">
        <f t="shared" si="49"/>
        <v>-57.025110854760044</v>
      </c>
      <c r="AG93" s="772">
        <f t="shared" si="57"/>
        <v>92.636342253290024</v>
      </c>
      <c r="AH93" s="1253">
        <f t="shared" si="50"/>
        <v>41.628999999999998</v>
      </c>
      <c r="AI93" s="1253">
        <f t="shared" si="51"/>
        <v>42.74</v>
      </c>
      <c r="AJ93" s="156">
        <f t="shared" si="52"/>
        <v>22.59717369945011</v>
      </c>
      <c r="AK93" s="156">
        <f t="shared" si="53"/>
        <v>40.085454003496103</v>
      </c>
      <c r="AM93" s="716">
        <f t="shared" si="54"/>
        <v>5149.8493479686786</v>
      </c>
      <c r="AN93" s="716" t="str">
        <f>_xlfn.XLOOKUP(D93,RUC!$B$3:$B$578,RUC!$M$3:$M$578)</f>
        <v>Melchor Vera</v>
      </c>
      <c r="AO93" s="1167" t="s">
        <v>2280</v>
      </c>
      <c r="AP93" s="1843">
        <v>43</v>
      </c>
      <c r="AQ93" s="1082" t="s">
        <v>5762</v>
      </c>
    </row>
    <row r="94" spans="1:43" ht="15" customHeight="1">
      <c r="A94" s="747" t="s">
        <v>5743</v>
      </c>
      <c r="B94" s="1447">
        <v>46170</v>
      </c>
      <c r="C94" s="1447">
        <v>46164</v>
      </c>
      <c r="D94" t="s">
        <v>119</v>
      </c>
      <c r="E94" s="762">
        <f>_xlfn.XLOOKUP(D94,RUC!$B$3:$B$123,RUC!$D$3:$D$123)</f>
        <v>10082235774</v>
      </c>
      <c r="F94" s="629"/>
      <c r="G94" s="762">
        <v>45</v>
      </c>
      <c r="H94" s="1082" t="s">
        <v>69</v>
      </c>
      <c r="I94" s="703">
        <v>4.21</v>
      </c>
      <c r="J94" s="596">
        <v>2.1</v>
      </c>
      <c r="K94" s="703">
        <f t="shared" si="44"/>
        <v>4.1219999999999999</v>
      </c>
      <c r="L94" s="1082">
        <v>0.13800000000000001</v>
      </c>
      <c r="M94" s="994">
        <f>ROUND(+IF(L94&gt;_xlfn.XLOOKUP(AN94,RUC!M:M,RUC!K:K),L94*_xlfn.XLOOKUP(AN94,RUC!M:M,RUC!I:I),L94-_xlfn.XLOOKUP(AN94,RUC!M:M,RUC!J:J)),3)</f>
        <v>0.13100000000000001</v>
      </c>
      <c r="N94" s="1196">
        <f t="shared" si="55"/>
        <v>0.13100000000000001</v>
      </c>
      <c r="O94" s="645">
        <f t="shared" si="45"/>
        <v>0.13100000000000001</v>
      </c>
      <c r="P94" s="727">
        <v>85</v>
      </c>
      <c r="Q94" s="875">
        <v>93.48</v>
      </c>
      <c r="R94" s="706">
        <v>4506.1499999999996</v>
      </c>
      <c r="S94" s="1164">
        <v>95</v>
      </c>
      <c r="U94" s="1146">
        <f>_xlfn.XLOOKUP(D94,RUC!$B$3:$B$123,RUC!$F$3:$F$123)</f>
        <v>80</v>
      </c>
      <c r="V94" s="715">
        <v>1.1023000000000001</v>
      </c>
      <c r="Y94">
        <f>_xlfn.XLOOKUP(D94,RUC!$B$3:$B$123,RUC!$G$3:$G$123)</f>
        <v>0</v>
      </c>
      <c r="Z94" s="143">
        <f>_xlfn.XLOOKUP(D94,RUC!$B$3:$B$123,RUC!$H$3:$H$123)</f>
        <v>10</v>
      </c>
      <c r="AA94" s="144">
        <f t="shared" si="46"/>
        <v>10</v>
      </c>
      <c r="AB94" s="145">
        <f t="shared" si="56"/>
        <v>427.52904189574997</v>
      </c>
      <c r="AC94" s="145">
        <f>+(S94-T94)*V94-'data 1'!$F$4</f>
        <v>24.718500000000006</v>
      </c>
      <c r="AD94" s="145">
        <f t="shared" si="47"/>
        <v>57.095367664848034</v>
      </c>
      <c r="AE94" s="145">
        <f t="shared" si="48"/>
        <v>-58.977000000000004</v>
      </c>
      <c r="AF94" s="145">
        <f t="shared" si="49"/>
        <v>31.925865450822027</v>
      </c>
      <c r="AG94" s="772">
        <f t="shared" si="57"/>
        <v>124.76273311567006</v>
      </c>
      <c r="AH94" s="1253">
        <f t="shared" si="50"/>
        <v>18.231000000000002</v>
      </c>
      <c r="AI94" s="1253">
        <f t="shared" si="51"/>
        <v>19.503</v>
      </c>
      <c r="AJ94" s="156">
        <f t="shared" si="52"/>
        <v>10.501421666652055</v>
      </c>
      <c r="AK94" s="156">
        <f t="shared" si="53"/>
        <v>15.736468548512837</v>
      </c>
      <c r="AM94" s="716">
        <f t="shared" si="54"/>
        <v>1762.2747106942813</v>
      </c>
      <c r="AN94" s="716" t="str">
        <f>_xlfn.XLOOKUP(D94,RUC!$B$3:$B$578,RUC!$M$3:$M$578)</f>
        <v>Melchor Vera</v>
      </c>
      <c r="AO94" s="1167" t="s">
        <v>2280</v>
      </c>
      <c r="AP94" s="1843">
        <v>43</v>
      </c>
      <c r="AQ94" s="1082" t="s">
        <v>5762</v>
      </c>
    </row>
    <row r="95" spans="1:43" ht="15" customHeight="1">
      <c r="A95" s="747" t="s">
        <v>5744</v>
      </c>
      <c r="B95" s="1447">
        <v>46170</v>
      </c>
      <c r="C95" s="1447">
        <v>46164</v>
      </c>
      <c r="D95" t="s">
        <v>119</v>
      </c>
      <c r="E95" s="762">
        <f>_xlfn.XLOOKUP(D95,RUC!$B$3:$B$123,RUC!$D$3:$D$123)</f>
        <v>10082235774</v>
      </c>
      <c r="F95" s="629"/>
      <c r="G95" s="762">
        <v>50</v>
      </c>
      <c r="H95" s="1082" t="s">
        <v>69</v>
      </c>
      <c r="I95" s="703">
        <v>3.93</v>
      </c>
      <c r="J95" s="596">
        <v>2</v>
      </c>
      <c r="K95" s="703">
        <f t="shared" si="44"/>
        <v>3.851</v>
      </c>
      <c r="L95" s="1082">
        <v>0.42499999999999999</v>
      </c>
      <c r="M95" s="994">
        <f>ROUND(+IF(L95&gt;_xlfn.XLOOKUP(AN95,RUC!M:M,RUC!K:K),L95*_xlfn.XLOOKUP(AN95,RUC!M:M,RUC!I:I),L95-_xlfn.XLOOKUP(AN95,RUC!M:M,RUC!J:J)),3)</f>
        <v>0.41799999999999998</v>
      </c>
      <c r="N95" s="1196">
        <f t="shared" si="55"/>
        <v>0.41799999999999998</v>
      </c>
      <c r="O95" s="645">
        <f t="shared" si="45"/>
        <v>0.41799999999999998</v>
      </c>
      <c r="P95" s="727">
        <v>90</v>
      </c>
      <c r="Q95" s="875">
        <v>98.42</v>
      </c>
      <c r="R95" s="706">
        <v>4506.1499999999996</v>
      </c>
      <c r="S95" s="1164">
        <v>115</v>
      </c>
      <c r="U95" s="1146">
        <f>_xlfn.XLOOKUP(D95,RUC!$B$3:$B$123,RUC!$F$3:$F$123)</f>
        <v>80</v>
      </c>
      <c r="V95" s="715">
        <v>1.1023000000000001</v>
      </c>
      <c r="Y95">
        <f>_xlfn.XLOOKUP(D95,RUC!$B$3:$B$123,RUC!$G$3:$G$123)</f>
        <v>0</v>
      </c>
      <c r="Z95" s="143">
        <f>_xlfn.XLOOKUP(D95,RUC!$B$3:$B$123,RUC!$H$3:$H$123)</f>
        <v>10</v>
      </c>
      <c r="AA95" s="144">
        <f t="shared" si="46"/>
        <v>10</v>
      </c>
      <c r="AB95" s="145">
        <f t="shared" si="56"/>
        <v>1697.6716635489997</v>
      </c>
      <c r="AC95" s="145">
        <f>+(S95-T95)*V95-'data 1'!$F$4</f>
        <v>46.764500000000012</v>
      </c>
      <c r="AD95" s="145">
        <f t="shared" si="47"/>
        <v>174.59305201382503</v>
      </c>
      <c r="AE95" s="145">
        <f t="shared" si="48"/>
        <v>-58.977000000000004</v>
      </c>
      <c r="AF95" s="145">
        <f t="shared" si="49"/>
        <v>33.613004681963027</v>
      </c>
      <c r="AG95" s="772">
        <f t="shared" si="57"/>
        <v>265.99355669578807</v>
      </c>
      <c r="AH95" s="1253">
        <f t="shared" si="50"/>
        <v>55.226999999999997</v>
      </c>
      <c r="AI95" s="1253">
        <f t="shared" si="51"/>
        <v>56.113999999999997</v>
      </c>
      <c r="AJ95" s="156">
        <f t="shared" si="52"/>
        <v>34.05042977367517</v>
      </c>
      <c r="AK95" s="156">
        <f t="shared" si="53"/>
        <v>49.670825652962911</v>
      </c>
      <c r="AM95" s="716">
        <f t="shared" si="54"/>
        <v>6537.7335763271976</v>
      </c>
      <c r="AN95" s="716" t="str">
        <f>_xlfn.XLOOKUP(D95,RUC!$B$3:$B$578,RUC!$M$3:$M$578)</f>
        <v>Melchor Vera</v>
      </c>
      <c r="AO95" s="1167" t="s">
        <v>2279</v>
      </c>
      <c r="AP95" s="1843">
        <v>43</v>
      </c>
      <c r="AQ95" s="1082" t="s">
        <v>5762</v>
      </c>
    </row>
    <row r="96" spans="1:43" ht="15" customHeight="1">
      <c r="A96" s="747" t="s">
        <v>5745</v>
      </c>
      <c r="B96" s="1447">
        <v>46170</v>
      </c>
      <c r="C96" s="1447">
        <v>46164</v>
      </c>
      <c r="D96" t="s">
        <v>119</v>
      </c>
      <c r="E96" s="762">
        <f>_xlfn.XLOOKUP(D96,RUC!$B$3:$B$123,RUC!$D$3:$D$123)</f>
        <v>10082235774</v>
      </c>
      <c r="F96" s="629"/>
      <c r="G96" s="762">
        <v>65</v>
      </c>
      <c r="H96" s="1082" t="s">
        <v>69</v>
      </c>
      <c r="I96" s="703">
        <v>5.23</v>
      </c>
      <c r="J96" s="596">
        <v>2.75</v>
      </c>
      <c r="K96" s="703">
        <f t="shared" si="44"/>
        <v>5.0860000000000003</v>
      </c>
      <c r="L96" s="1082">
        <v>0.247</v>
      </c>
      <c r="M96" s="994">
        <f>ROUND(+IF(L96&gt;_xlfn.XLOOKUP(AN96,RUC!M:M,RUC!K:K),L96*_xlfn.XLOOKUP(AN96,RUC!M:M,RUC!I:I),L96-_xlfn.XLOOKUP(AN96,RUC!M:M,RUC!J:J)),3)</f>
        <v>0.24</v>
      </c>
      <c r="N96" s="1196">
        <f t="shared" si="55"/>
        <v>0.24</v>
      </c>
      <c r="O96" s="645">
        <f t="shared" si="45"/>
        <v>0.24</v>
      </c>
      <c r="P96" s="727">
        <v>85</v>
      </c>
      <c r="Q96" s="875">
        <v>91.5</v>
      </c>
      <c r="R96" s="706">
        <v>4506.1499999999996</v>
      </c>
      <c r="S96" s="1164">
        <v>105</v>
      </c>
      <c r="U96" s="1146">
        <f>_xlfn.XLOOKUP(D96,RUC!$B$3:$B$123,RUC!$F$3:$F$123)</f>
        <v>80</v>
      </c>
      <c r="V96" s="715">
        <v>1.1023000000000001</v>
      </c>
      <c r="Y96">
        <f>_xlfn.XLOOKUP(D96,RUC!$B$3:$B$123,RUC!$G$3:$G$123)</f>
        <v>0</v>
      </c>
      <c r="Z96" s="143">
        <f>_xlfn.XLOOKUP(D96,RUC!$B$3:$B$123,RUC!$H$3:$H$123)</f>
        <v>10</v>
      </c>
      <c r="AA96" s="144">
        <f t="shared" si="46"/>
        <v>10</v>
      </c>
      <c r="AB96" s="145">
        <f t="shared" si="56"/>
        <v>868.54030957999998</v>
      </c>
      <c r="AC96" s="145">
        <f>+(S96-T96)*V96-'data 1'!$F$4</f>
        <v>35.741500000000002</v>
      </c>
      <c r="AD96" s="145">
        <f t="shared" si="47"/>
        <v>78.331464302974993</v>
      </c>
      <c r="AE96" s="145">
        <f t="shared" si="48"/>
        <v>-58.977000000000004</v>
      </c>
      <c r="AF96" s="145">
        <f t="shared" si="49"/>
        <v>31.249643653725023</v>
      </c>
      <c r="AG96" s="772">
        <f t="shared" si="57"/>
        <v>156.34560795670001</v>
      </c>
      <c r="AH96" s="1253">
        <f t="shared" si="50"/>
        <v>39.409999999999997</v>
      </c>
      <c r="AI96" s="1253">
        <f t="shared" si="51"/>
        <v>43.070999999999998</v>
      </c>
      <c r="AJ96" s="156">
        <f t="shared" si="52"/>
        <v>18.397904254275094</v>
      </c>
      <c r="AK96" s="156">
        <f t="shared" si="53"/>
        <v>35.572598658949204</v>
      </c>
      <c r="AM96" s="716">
        <f t="shared" si="54"/>
        <v>4417.3960145238798</v>
      </c>
      <c r="AN96" s="716" t="str">
        <f>_xlfn.XLOOKUP(D96,RUC!$B$3:$B$578,RUC!$M$3:$M$578)</f>
        <v>Melchor Vera</v>
      </c>
      <c r="AO96" s="1167" t="s">
        <v>2280</v>
      </c>
      <c r="AP96" s="1843">
        <v>43</v>
      </c>
      <c r="AQ96" s="1082" t="s">
        <v>5762</v>
      </c>
    </row>
    <row r="97" spans="1:43" ht="15" customHeight="1">
      <c r="A97" s="747" t="s">
        <v>5746</v>
      </c>
      <c r="B97" s="1447">
        <v>46170</v>
      </c>
      <c r="C97" s="1447">
        <v>46164</v>
      </c>
      <c r="D97" t="s">
        <v>119</v>
      </c>
      <c r="E97" s="762">
        <f>_xlfn.XLOOKUP(D97,RUC!$B$3:$B$123,RUC!$D$3:$D$123)</f>
        <v>10082235774</v>
      </c>
      <c r="F97" s="629"/>
      <c r="G97" s="762">
        <v>30</v>
      </c>
      <c r="H97" s="1082" t="s">
        <v>69</v>
      </c>
      <c r="I97" s="703">
        <v>2.34</v>
      </c>
      <c r="J97" s="596">
        <v>2</v>
      </c>
      <c r="K97" s="703">
        <f t="shared" si="44"/>
        <v>2.2930000000000001</v>
      </c>
      <c r="L97" s="1082">
        <v>0.55100000000000005</v>
      </c>
      <c r="M97" s="994">
        <f>ROUND(+IF(L97&gt;_xlfn.XLOOKUP(AN97,RUC!M:M,RUC!K:K),L97*_xlfn.XLOOKUP(AN97,RUC!M:M,RUC!I:I),L97-_xlfn.XLOOKUP(AN97,RUC!M:M,RUC!J:J)),3)</f>
        <v>0.54300000000000004</v>
      </c>
      <c r="N97" s="1444">
        <v>0.60199999999999998</v>
      </c>
      <c r="O97" s="645">
        <f t="shared" si="45"/>
        <v>0.57299999999999995</v>
      </c>
      <c r="P97" s="727">
        <v>90</v>
      </c>
      <c r="Q97" s="875">
        <v>98.91</v>
      </c>
      <c r="R97" s="706">
        <v>4506.1499999999996</v>
      </c>
      <c r="S97" s="1164">
        <v>120</v>
      </c>
      <c r="U97" s="1146">
        <f>_xlfn.XLOOKUP(D97,RUC!$B$3:$B$123,RUC!$F$3:$F$123)</f>
        <v>80</v>
      </c>
      <c r="V97" s="715">
        <v>1.1023000000000001</v>
      </c>
      <c r="Y97">
        <f>_xlfn.XLOOKUP(D97,RUC!$B$3:$B$123,RUC!$G$3:$G$123)</f>
        <v>0</v>
      </c>
      <c r="Z97" s="143">
        <f>_xlfn.XLOOKUP(D97,RUC!$B$3:$B$123,RUC!$H$3:$H$123)</f>
        <v>10</v>
      </c>
      <c r="AA97" s="144">
        <f t="shared" si="46"/>
        <v>10</v>
      </c>
      <c r="AB97" s="145">
        <f t="shared" si="56"/>
        <v>2372.7730112764998</v>
      </c>
      <c r="AC97" s="145">
        <f>+(S97-T97)*V97-'data 1'!$F$4</f>
        <v>52.27600000000001</v>
      </c>
      <c r="AD97" s="145">
        <f t="shared" si="47"/>
        <v>239.52742084314443</v>
      </c>
      <c r="AE97" s="145">
        <f t="shared" si="48"/>
        <v>-58.977000000000004</v>
      </c>
      <c r="AF97" s="145">
        <f t="shared" si="49"/>
        <v>-106.16682214422855</v>
      </c>
      <c r="AG97" s="772">
        <f t="shared" si="57"/>
        <v>196.65959869891586</v>
      </c>
      <c r="AH97" s="1253">
        <f t="shared" si="50"/>
        <v>42.844999999999999</v>
      </c>
      <c r="AI97" s="1253">
        <f t="shared" si="51"/>
        <v>43.317999999999998</v>
      </c>
      <c r="AJ97" s="156">
        <f t="shared" si="52"/>
        <v>44.365165686355731</v>
      </c>
      <c r="AK97" s="156">
        <f t="shared" si="53"/>
        <v>40.542474797663807</v>
      </c>
      <c r="AM97" s="716">
        <f t="shared" si="54"/>
        <v>5440.7685148570145</v>
      </c>
      <c r="AN97" s="716" t="str">
        <f>_xlfn.XLOOKUP(D97,RUC!$B$3:$B$578,RUC!$M$3:$M$578)</f>
        <v>Melchor Vera</v>
      </c>
      <c r="AO97" s="1167" t="s">
        <v>2280</v>
      </c>
      <c r="AP97" s="1843">
        <v>43</v>
      </c>
      <c r="AQ97" s="1082" t="s">
        <v>5762</v>
      </c>
    </row>
    <row r="98" spans="1:43" ht="15" customHeight="1">
      <c r="A98" s="747" t="s">
        <v>5747</v>
      </c>
      <c r="B98" s="1447">
        <v>46170</v>
      </c>
      <c r="C98" s="1447">
        <v>46164</v>
      </c>
      <c r="D98" t="s">
        <v>119</v>
      </c>
      <c r="E98" s="762">
        <f>_xlfn.XLOOKUP(D98,RUC!$B$3:$B$123,RUC!$D$3:$D$123)</f>
        <v>10082235774</v>
      </c>
      <c r="F98" s="629"/>
      <c r="G98" s="762">
        <v>36</v>
      </c>
      <c r="H98" s="1082" t="s">
        <v>69</v>
      </c>
      <c r="I98" s="703">
        <v>3.15</v>
      </c>
      <c r="J98" s="596">
        <v>2.2000000000000002</v>
      </c>
      <c r="K98" s="703">
        <f t="shared" si="44"/>
        <v>3.081</v>
      </c>
      <c r="L98" s="1082">
        <v>0.29099999999999998</v>
      </c>
      <c r="M98" s="994">
        <f>ROUND(+IF(L98&gt;_xlfn.XLOOKUP(AN98,RUC!M:M,RUC!K:K),L98*_xlfn.XLOOKUP(AN98,RUC!M:M,RUC!I:I),L98-_xlfn.XLOOKUP(AN98,RUC!M:M,RUC!J:J)),3)</f>
        <v>0.28399999999999997</v>
      </c>
      <c r="N98" s="1196">
        <f t="shared" si="55"/>
        <v>0.28399999999999997</v>
      </c>
      <c r="O98" s="645">
        <f t="shared" si="45"/>
        <v>0.28399999999999997</v>
      </c>
      <c r="P98" s="727">
        <v>90</v>
      </c>
      <c r="Q98" s="875">
        <v>95.53</v>
      </c>
      <c r="R98" s="706">
        <v>4506.1499999999996</v>
      </c>
      <c r="S98" s="1164">
        <v>105</v>
      </c>
      <c r="U98" s="1146">
        <f>_xlfn.XLOOKUP(D98,RUC!$B$3:$B$123,RUC!$F$3:$F$123)</f>
        <v>80</v>
      </c>
      <c r="V98" s="715">
        <v>1.1023000000000001</v>
      </c>
      <c r="Y98">
        <f>_xlfn.XLOOKUP(D98,RUC!$B$3:$B$123,RUC!$G$3:$G$123)</f>
        <v>0</v>
      </c>
      <c r="Z98" s="143">
        <f>_xlfn.XLOOKUP(D98,RUC!$B$3:$B$123,RUC!$H$3:$H$123)</f>
        <v>10</v>
      </c>
      <c r="AA98" s="144">
        <f t="shared" si="46"/>
        <v>10</v>
      </c>
      <c r="AB98" s="145">
        <f t="shared" si="56"/>
        <v>1120.2938790619999</v>
      </c>
      <c r="AC98" s="145">
        <f>+(S98-T98)*V98-'data 1'!$F$4</f>
        <v>35.741500000000002</v>
      </c>
      <c r="AD98" s="145">
        <f t="shared" si="47"/>
        <v>78.513448956883508</v>
      </c>
      <c r="AE98" s="145">
        <f t="shared" si="48"/>
        <v>-58.977000000000004</v>
      </c>
      <c r="AF98" s="145">
        <f t="shared" si="49"/>
        <v>32.625994079129526</v>
      </c>
      <c r="AG98" s="772">
        <f t="shared" si="57"/>
        <v>157.90394303601303</v>
      </c>
      <c r="AH98" s="1253">
        <f t="shared" si="50"/>
        <v>29.364999999999998</v>
      </c>
      <c r="AI98" s="1253">
        <f t="shared" si="51"/>
        <v>30.739000000000001</v>
      </c>
      <c r="AJ98" s="156">
        <f t="shared" si="52"/>
        <v>22.629922872616618</v>
      </c>
      <c r="AK98" s="156">
        <f t="shared" si="53"/>
        <v>26.999866516771981</v>
      </c>
      <c r="AM98" s="716">
        <f t="shared" si="54"/>
        <v>3451.6254413900215</v>
      </c>
      <c r="AN98" s="716" t="str">
        <f>_xlfn.XLOOKUP(D98,RUC!$B$3:$B$578,RUC!$M$3:$M$578)</f>
        <v>Melchor Vera</v>
      </c>
      <c r="AO98" s="1167" t="s">
        <v>2280</v>
      </c>
      <c r="AP98" s="1843">
        <v>43</v>
      </c>
      <c r="AQ98" s="1082" t="s">
        <v>5762</v>
      </c>
    </row>
    <row r="99" spans="1:43" ht="15" customHeight="1">
      <c r="A99" s="747" t="s">
        <v>5748</v>
      </c>
      <c r="B99" s="1447">
        <v>46168</v>
      </c>
      <c r="C99" s="1447">
        <v>46164</v>
      </c>
      <c r="D99" t="s">
        <v>1967</v>
      </c>
      <c r="E99" s="762">
        <f>_xlfn.XLOOKUP(D99,RUC!$B$3:$B$123,RUC!$D$3:$D$123)</f>
        <v>20601769396</v>
      </c>
      <c r="F99" s="629" t="s">
        <v>5770</v>
      </c>
      <c r="G99" s="762">
        <v>40</v>
      </c>
      <c r="H99" s="1082" t="s">
        <v>2005</v>
      </c>
      <c r="I99" s="703">
        <v>3.04</v>
      </c>
      <c r="J99" s="596">
        <v>11.53</v>
      </c>
      <c r="K99" s="703">
        <f t="shared" si="44"/>
        <v>2.6890000000000001</v>
      </c>
      <c r="L99" s="1082">
        <v>0.307</v>
      </c>
      <c r="M99" s="1443">
        <v>0.28699999999999998</v>
      </c>
      <c r="N99" s="1196">
        <f t="shared" si="55"/>
        <v>0.28699999999999998</v>
      </c>
      <c r="O99" s="645">
        <f t="shared" si="45"/>
        <v>0.28699999999999998</v>
      </c>
      <c r="P99" s="727">
        <v>90</v>
      </c>
      <c r="Q99" s="875">
        <v>97.72</v>
      </c>
      <c r="R99" s="706">
        <v>4506.1499999999996</v>
      </c>
      <c r="S99" s="765">
        <f>IF((_xlfn.XLOOKUP(D99,RUC!$B$3:$B$119,RUC!$E$3:$E$119)+ROUNDDOWN(O99,1)*100)&lt;95,95,((_xlfn.XLOOKUP(D99,RUC!$B$3:$B$119,RUC!$E$3:$E$119)+ROUNDDOWN(O99,1)*100)))</f>
        <v>110</v>
      </c>
      <c r="U99" s="1146">
        <f>_xlfn.XLOOKUP(D99,RUC!$B$3:$B$123,RUC!$F$3:$F$123)</f>
        <v>120</v>
      </c>
      <c r="V99" s="715">
        <v>1.1023000000000001</v>
      </c>
      <c r="Y99">
        <f>_xlfn.XLOOKUP(D99,RUC!$B$3:$B$123,RUC!$G$3:$G$123)</f>
        <v>20</v>
      </c>
      <c r="Z99" s="143">
        <f>_xlfn.XLOOKUP(D99,RUC!$B$3:$B$123,RUC!$H$3:$H$123)</f>
        <v>30</v>
      </c>
      <c r="AA99" s="144">
        <f t="shared" si="46"/>
        <v>50</v>
      </c>
      <c r="AB99" s="145">
        <f t="shared" si="56"/>
        <v>1072.4745673534999</v>
      </c>
      <c r="AC99" s="145">
        <f>+(S99-T99)*V99-'data 1'!$F$4</f>
        <v>41.253</v>
      </c>
      <c r="AD99" s="145">
        <f t="shared" si="47"/>
        <v>114.58795347775798</v>
      </c>
      <c r="AE99" s="145">
        <f t="shared" si="48"/>
        <v>-14.884999999999998</v>
      </c>
      <c r="AF99" s="145">
        <f t="shared" si="49"/>
        <v>94.492369865880079</v>
      </c>
      <c r="AG99" s="772">
        <f t="shared" ref="AG99:AG112" si="58">AC99+AD99+AE99+AF99+70-53</f>
        <v>252.44832334363809</v>
      </c>
      <c r="AH99" s="1253">
        <f t="shared" si="50"/>
        <v>27.658000000000001</v>
      </c>
      <c r="AI99" s="1253">
        <f t="shared" si="51"/>
        <v>28.303000000000001</v>
      </c>
      <c r="AJ99" s="156">
        <f t="shared" si="52"/>
        <v>37.649106698742116</v>
      </c>
      <c r="AK99" s="156">
        <f t="shared" si="53"/>
        <v>23.813557406884037</v>
      </c>
      <c r="AM99" s="716">
        <f t="shared" si="54"/>
        <v>2883.8841116135613</v>
      </c>
      <c r="AN99" s="716" t="str">
        <f>_xlfn.XLOOKUP(D99,RUC!$B$3:$B$578,RUC!$M$3:$M$578)</f>
        <v>Evelyn</v>
      </c>
      <c r="AO99" s="1167" t="s">
        <v>2280</v>
      </c>
      <c r="AP99" s="1843">
        <v>323</v>
      </c>
      <c r="AQ99" s="1082" t="s">
        <v>3290</v>
      </c>
    </row>
    <row r="100" spans="1:43" ht="15" customHeight="1">
      <c r="A100" s="747" t="s">
        <v>5749</v>
      </c>
      <c r="B100" s="1447">
        <v>46168</v>
      </c>
      <c r="C100" s="1447">
        <v>46164</v>
      </c>
      <c r="D100" t="s">
        <v>1967</v>
      </c>
      <c r="E100" s="762">
        <f>_xlfn.XLOOKUP(D100,RUC!$B$3:$B$123,RUC!$D$3:$D$123)</f>
        <v>20601769396</v>
      </c>
      <c r="F100" s="629" t="s">
        <v>5770</v>
      </c>
      <c r="G100" s="762">
        <v>45</v>
      </c>
      <c r="H100" s="1082" t="s">
        <v>108</v>
      </c>
      <c r="I100" s="703">
        <v>3.64</v>
      </c>
      <c r="J100" s="596">
        <v>14.7</v>
      </c>
      <c r="K100" s="703">
        <f t="shared" si="44"/>
        <v>3.105</v>
      </c>
      <c r="L100" s="1082">
        <v>0.28499999999999998</v>
      </c>
      <c r="M100" s="1443">
        <v>0.27100000000000002</v>
      </c>
      <c r="N100" s="1196">
        <f t="shared" si="55"/>
        <v>0.27100000000000002</v>
      </c>
      <c r="O100" s="645">
        <f t="shared" si="45"/>
        <v>0.27100000000000002</v>
      </c>
      <c r="P100" s="727">
        <v>90</v>
      </c>
      <c r="Q100" s="875">
        <v>95.16</v>
      </c>
      <c r="R100" s="706">
        <v>4506.1499999999996</v>
      </c>
      <c r="S100" s="765">
        <f>IF((_xlfn.XLOOKUP(D100,RUC!$B$3:$B$119,RUC!$E$3:$E$119)+ROUNDDOWN(O100,1)*100)&lt;95,95,((_xlfn.XLOOKUP(D100,RUC!$B$3:$B$119,RUC!$E$3:$E$119)+ROUNDDOWN(O100,1)*100)))</f>
        <v>110</v>
      </c>
      <c r="U100" s="1146">
        <f>_xlfn.XLOOKUP(D100,RUC!$B$3:$B$123,RUC!$F$3:$F$123)</f>
        <v>120</v>
      </c>
      <c r="V100" s="715">
        <v>1.1023000000000001</v>
      </c>
      <c r="Y100">
        <f>_xlfn.XLOOKUP(D100,RUC!$B$3:$B$123,RUC!$G$3:$G$123)</f>
        <v>20</v>
      </c>
      <c r="Z100" s="143">
        <f>_xlfn.XLOOKUP(D100,RUC!$B$3:$B$123,RUC!$H$3:$H$123)</f>
        <v>30</v>
      </c>
      <c r="AA100" s="144">
        <f t="shared" si="46"/>
        <v>50</v>
      </c>
      <c r="AB100" s="145">
        <f t="shared" si="56"/>
        <v>1002.8526820655002</v>
      </c>
      <c r="AC100" s="145">
        <f>+(S100-T100)*V100-'data 1'!$F$4</f>
        <v>41.253</v>
      </c>
      <c r="AD100" s="145">
        <f t="shared" si="47"/>
        <v>71.101350350369941</v>
      </c>
      <c r="AE100" s="145">
        <f t="shared" si="48"/>
        <v>-14.884999999999998</v>
      </c>
      <c r="AF100" s="145">
        <f t="shared" si="49"/>
        <v>64.411847538947796</v>
      </c>
      <c r="AG100" s="772">
        <f t="shared" si="58"/>
        <v>178.88119788931775</v>
      </c>
      <c r="AH100" s="1253">
        <f t="shared" si="50"/>
        <v>28.872</v>
      </c>
      <c r="AI100" s="1253">
        <f t="shared" si="51"/>
        <v>30.34</v>
      </c>
      <c r="AJ100" s="156">
        <f t="shared" si="52"/>
        <v>34.035500057130108</v>
      </c>
      <c r="AK100" s="156">
        <f t="shared" si="53"/>
        <v>25.964650081451477</v>
      </c>
      <c r="AM100" s="716">
        <f t="shared" si="54"/>
        <v>3113.8575778133782</v>
      </c>
      <c r="AN100" s="716" t="str">
        <f>_xlfn.XLOOKUP(D100,RUC!$B$3:$B$578,RUC!$M$3:$M$578)</f>
        <v>Evelyn</v>
      </c>
      <c r="AO100" s="1167" t="s">
        <v>2280</v>
      </c>
      <c r="AP100" s="1843">
        <v>323</v>
      </c>
      <c r="AQ100" s="1082" t="s">
        <v>3290</v>
      </c>
    </row>
    <row r="101" spans="1:43" ht="15" customHeight="1">
      <c r="A101" s="747" t="s">
        <v>5752</v>
      </c>
      <c r="B101" s="1447">
        <v>46169</v>
      </c>
      <c r="C101" s="1447">
        <v>46164</v>
      </c>
      <c r="D101" t="s">
        <v>5758</v>
      </c>
      <c r="E101" s="762">
        <f>_xlfn.XLOOKUP(D101,RUC!$B$3:$B$123,RUC!$D$3:$D$123)</f>
        <v>10768340108</v>
      </c>
      <c r="F101" s="629"/>
      <c r="G101" s="762" t="s">
        <v>2985</v>
      </c>
      <c r="H101" s="1082" t="s">
        <v>69</v>
      </c>
      <c r="I101" s="703">
        <v>8.7899999999999991</v>
      </c>
      <c r="J101" s="596">
        <v>7.2</v>
      </c>
      <c r="K101" s="703">
        <f t="shared" si="44"/>
        <v>8.157</v>
      </c>
      <c r="L101" s="1082">
        <v>0.17399999999999999</v>
      </c>
      <c r="M101" s="1443">
        <v>0.155</v>
      </c>
      <c r="N101" s="1196">
        <f t="shared" si="55"/>
        <v>0.155</v>
      </c>
      <c r="O101" s="645">
        <f t="shared" si="45"/>
        <v>0.155</v>
      </c>
      <c r="P101" s="727">
        <v>83</v>
      </c>
      <c r="Q101" s="875">
        <v>97.7</v>
      </c>
      <c r="R101" s="706">
        <v>4506.1499999999996</v>
      </c>
      <c r="S101" s="765">
        <v>110</v>
      </c>
      <c r="U101" s="1146">
        <f>_xlfn.XLOOKUP(D101,RUC!$B$3:$B$123,RUC!$F$3:$F$123)</f>
        <v>100</v>
      </c>
      <c r="V101" s="715">
        <v>1.1023000000000001</v>
      </c>
      <c r="Y101">
        <f>_xlfn.XLOOKUP(D101,RUC!$B$3:$B$123,RUC!$G$3:$G$123)</f>
        <v>0</v>
      </c>
      <c r="Z101" s="1454">
        <v>120</v>
      </c>
      <c r="AA101" s="144">
        <f t="shared" si="46"/>
        <v>120</v>
      </c>
      <c r="AB101" s="145">
        <f t="shared" si="56"/>
        <v>371.31107500425003</v>
      </c>
      <c r="AC101" s="145">
        <f>+(S101-T101)*V101-'data 1'!$F$4</f>
        <v>41.253</v>
      </c>
      <c r="AD101" s="145">
        <f t="shared" si="47"/>
        <v>124.22976633081002</v>
      </c>
      <c r="AE101" s="145">
        <f t="shared" si="48"/>
        <v>62.27600000000001</v>
      </c>
      <c r="AF101" s="145">
        <f t="shared" si="49"/>
        <v>90.158618828634957</v>
      </c>
      <c r="AG101" s="772">
        <f t="shared" si="58"/>
        <v>334.91738515944496</v>
      </c>
      <c r="AH101" s="1253">
        <f t="shared" si="50"/>
        <v>47.542999999999999</v>
      </c>
      <c r="AI101" s="1253">
        <f t="shared" si="51"/>
        <v>48.661999999999999</v>
      </c>
      <c r="AJ101" s="156">
        <f t="shared" si="52"/>
        <v>17.586438448290068</v>
      </c>
      <c r="AK101" s="156">
        <f t="shared" si="53"/>
        <v>35.979019363163303</v>
      </c>
      <c r="AM101" s="716">
        <f t="shared" si="54"/>
        <v>3028.7844388096673</v>
      </c>
      <c r="AN101" s="716" t="str">
        <f>_xlfn.XLOOKUP(D101,RUC!$B$3:$B$578,RUC!$M$3:$M$578)</f>
        <v>Alfred Torres  *</v>
      </c>
      <c r="AO101" s="1167" t="s">
        <v>2279</v>
      </c>
      <c r="AP101" s="1843">
        <v>96</v>
      </c>
      <c r="AQ101" s="1082" t="s">
        <v>5763</v>
      </c>
    </row>
    <row r="102" spans="1:43" ht="15" customHeight="1">
      <c r="A102" s="747" t="s">
        <v>5753</v>
      </c>
      <c r="B102" s="1447">
        <v>46168</v>
      </c>
      <c r="C102" s="1447">
        <v>46165</v>
      </c>
      <c r="D102" t="s">
        <v>4171</v>
      </c>
      <c r="E102" s="762">
        <f>_xlfn.XLOOKUP(D102,RUC!$B$3:$B$123,RUC!$D$3:$D$123)</f>
        <v>20614284740</v>
      </c>
      <c r="F102" s="629"/>
      <c r="G102" s="762">
        <v>187</v>
      </c>
      <c r="H102" s="1082" t="s">
        <v>69</v>
      </c>
      <c r="I102" s="703">
        <v>19.100000000000001</v>
      </c>
      <c r="J102" s="596">
        <v>2</v>
      </c>
      <c r="K102" s="703">
        <f t="shared" si="44"/>
        <v>18.718</v>
      </c>
      <c r="L102" s="1192">
        <v>0.19</v>
      </c>
      <c r="M102" s="1443">
        <v>0.17</v>
      </c>
      <c r="N102" s="1444">
        <v>0.2</v>
      </c>
      <c r="O102" s="645">
        <f t="shared" si="45"/>
        <v>0.185</v>
      </c>
      <c r="P102" s="727">
        <v>90</v>
      </c>
      <c r="Q102" s="875">
        <v>98.42</v>
      </c>
      <c r="R102" s="706">
        <v>4506.1499999999996</v>
      </c>
      <c r="S102" s="765">
        <f>IF((_xlfn.XLOOKUP(D102,RUC!$B$3:$B$119,RUC!$E$3:$E$119)+ROUNDDOWN(O102,1)*100)&lt;95,95,((_xlfn.XLOOKUP(D102,RUC!$B$3:$B$119,RUC!$E$3:$E$119)+ROUNDDOWN(O102,1)*100)))</f>
        <v>100</v>
      </c>
      <c r="U102" s="1146">
        <f>_xlfn.XLOOKUP(D102,RUC!$B$3:$B$123,RUC!$F$3:$F$123)</f>
        <v>120</v>
      </c>
      <c r="V102" s="715">
        <v>1.1023000000000001</v>
      </c>
      <c r="Y102">
        <f>_xlfn.XLOOKUP(D102,RUC!$B$3:$B$123,RUC!$G$3:$G$123)</f>
        <v>20</v>
      </c>
      <c r="Z102" s="143">
        <f>_xlfn.XLOOKUP(D102,RUC!$B$3:$B$123,RUC!$H$3:$H$123)</f>
        <v>30</v>
      </c>
      <c r="AA102" s="144">
        <f t="shared" si="46"/>
        <v>50</v>
      </c>
      <c r="AB102" s="145">
        <f t="shared" si="56"/>
        <v>639.65804864249992</v>
      </c>
      <c r="AC102" s="145">
        <f>+(S102-T102)*V102-'data 1'!$F$4</f>
        <v>30.230000000000004</v>
      </c>
      <c r="AD102" s="145">
        <f t="shared" si="47"/>
        <v>77.347980613710007</v>
      </c>
      <c r="AE102" s="145">
        <f t="shared" si="48"/>
        <v>-14.884999999999998</v>
      </c>
      <c r="AF102" s="145">
        <f t="shared" si="49"/>
        <v>23.792312326545019</v>
      </c>
      <c r="AG102" s="772">
        <f t="shared" si="58"/>
        <v>133.48529294025502</v>
      </c>
      <c r="AH102" s="1253">
        <f t="shared" si="50"/>
        <v>120.00700000000001</v>
      </c>
      <c r="AI102" s="1253">
        <f t="shared" si="51"/>
        <v>121.93300000000001</v>
      </c>
      <c r="AJ102" s="156">
        <f t="shared" si="52"/>
        <v>23.46766089129008</v>
      </c>
      <c r="AK102" s="156">
        <f t="shared" si="53"/>
        <v>106.85202327106336</v>
      </c>
      <c r="AM102" s="716">
        <f t="shared" si="54"/>
        <v>11973.119354490313</v>
      </c>
      <c r="AN102" s="716" t="str">
        <f>_xlfn.XLOOKUP(D102,RUC!$B$3:$B$578,RUC!$M$3:$M$578)</f>
        <v xml:space="preserve">Dante </v>
      </c>
      <c r="AO102" s="1167" t="s">
        <v>2279</v>
      </c>
      <c r="AP102" s="1843">
        <v>360</v>
      </c>
      <c r="AQ102" s="1082" t="s">
        <v>5764</v>
      </c>
    </row>
    <row r="103" spans="1:43" ht="15" customHeight="1">
      <c r="A103" s="747" t="s">
        <v>5754</v>
      </c>
      <c r="B103" s="1447">
        <v>46170</v>
      </c>
      <c r="C103" s="1447">
        <v>46165</v>
      </c>
      <c r="D103" t="s">
        <v>93</v>
      </c>
      <c r="E103" s="762">
        <f>_xlfn.XLOOKUP(D103,RUC!$B$3:$B$123,RUC!$D$3:$D$123)</f>
        <v>20169040231</v>
      </c>
      <c r="F103" s="629" t="s">
        <v>5769</v>
      </c>
      <c r="G103" s="762">
        <v>24</v>
      </c>
      <c r="H103" s="1082" t="s">
        <v>69</v>
      </c>
      <c r="I103" s="703">
        <v>2.2400000000000002</v>
      </c>
      <c r="J103" s="596">
        <v>2</v>
      </c>
      <c r="K103" s="703">
        <f t="shared" si="44"/>
        <v>2.1949999999999998</v>
      </c>
      <c r="L103" s="1192">
        <v>0.88</v>
      </c>
      <c r="M103" s="994">
        <f>ROUND(+IF(L103&gt;_xlfn.XLOOKUP(AN103,RUC!M:M,RUC!K:K),L103*_xlfn.XLOOKUP(AN103,RUC!M:M,RUC!I:I),L103-_xlfn.XLOOKUP(AN103,RUC!M:M,RUC!J:J)),3)</f>
        <v>0.82699999999999996</v>
      </c>
      <c r="N103" s="1196">
        <f t="shared" si="55"/>
        <v>0.82699999999999996</v>
      </c>
      <c r="O103" s="645">
        <f t="shared" si="45"/>
        <v>0.82699999999999996</v>
      </c>
      <c r="P103" s="727">
        <v>90</v>
      </c>
      <c r="Q103" s="875">
        <v>96.14</v>
      </c>
      <c r="R103" s="706">
        <v>4506.1499999999996</v>
      </c>
      <c r="S103" s="765">
        <f>IF((_xlfn.XLOOKUP(D103,RUC!$B$3:$B$119,RUC!$E$3:$E$119)+ROUNDDOWN(O103,1)*100)&lt;95,95,((_xlfn.XLOOKUP(D103,RUC!$B$3:$B$119,RUC!$E$3:$E$119)+ROUNDDOWN(O103,1)*100)))</f>
        <v>165</v>
      </c>
      <c r="U103" s="1146">
        <f>_xlfn.XLOOKUP(D103,RUC!$B$3:$B$123,RUC!$F$3:$F$123)</f>
        <v>120</v>
      </c>
      <c r="V103" s="715">
        <v>1.1023000000000001</v>
      </c>
      <c r="Y103">
        <f>_xlfn.XLOOKUP(D103,RUC!$B$3:$B$123,RUC!$G$3:$G$123)</f>
        <v>20</v>
      </c>
      <c r="Z103" s="1454">
        <v>35</v>
      </c>
      <c r="AA103" s="144">
        <f t="shared" si="46"/>
        <v>55</v>
      </c>
      <c r="AB103" s="145">
        <f t="shared" si="56"/>
        <v>3356.0751958234996</v>
      </c>
      <c r="AC103" s="145">
        <f>+(S103-T103)*V103-'data 1'!$F$4</f>
        <v>101.87950000000001</v>
      </c>
      <c r="AD103" s="145">
        <f t="shared" si="47"/>
        <v>261.23678513064004</v>
      </c>
      <c r="AE103" s="145">
        <f t="shared" si="48"/>
        <v>-9.3734999999999999</v>
      </c>
      <c r="AF103" s="145">
        <f t="shared" si="49"/>
        <v>246.35607412095919</v>
      </c>
      <c r="AG103" s="772">
        <f t="shared" si="58"/>
        <v>617.09885925159927</v>
      </c>
      <c r="AH103" s="1253">
        <f t="shared" si="50"/>
        <v>63.668999999999997</v>
      </c>
      <c r="AI103" s="1253">
        <f t="shared" si="51"/>
        <v>66.225999999999999</v>
      </c>
      <c r="AJ103" s="156">
        <f t="shared" si="52"/>
        <v>106.17435522936033</v>
      </c>
      <c r="AK103" s="156">
        <f t="shared" si="53"/>
        <v>56.013358444724915</v>
      </c>
      <c r="AM103" s="716">
        <f t="shared" si="54"/>
        <v>7366.5850548325807</v>
      </c>
      <c r="AN103" s="716" t="str">
        <f>_xlfn.XLOOKUP(D103,RUC!$B$3:$B$578,RUC!$M$3:$M$578)</f>
        <v>Ronald Miranda</v>
      </c>
      <c r="AO103" s="1167" t="s">
        <v>2279</v>
      </c>
      <c r="AP103" s="1843">
        <v>6762</v>
      </c>
      <c r="AQ103" s="1082" t="s">
        <v>5765</v>
      </c>
    </row>
    <row r="104" spans="1:43" ht="15" customHeight="1">
      <c r="A104" s="747" t="s">
        <v>5755</v>
      </c>
      <c r="B104" s="1447">
        <v>46170</v>
      </c>
      <c r="C104" s="1447">
        <v>46165</v>
      </c>
      <c r="D104" t="s">
        <v>5442</v>
      </c>
      <c r="E104" s="762">
        <f>_xlfn.XLOOKUP(D104,RUC!$B$3:$B$123,RUC!$D$3:$D$123)</f>
        <v>20606562480</v>
      </c>
      <c r="F104" s="629" t="s">
        <v>5768</v>
      </c>
      <c r="G104" s="762">
        <v>24</v>
      </c>
      <c r="H104" s="1082" t="s">
        <v>2005</v>
      </c>
      <c r="I104" s="703">
        <v>1.62</v>
      </c>
      <c r="J104" s="596">
        <v>9.1999999999999993</v>
      </c>
      <c r="K104" s="703">
        <f t="shared" si="44"/>
        <v>1.4710000000000001</v>
      </c>
      <c r="L104" s="1192">
        <v>0.13100000000000001</v>
      </c>
      <c r="M104" s="994">
        <f>ROUND(+IF(L104&gt;_xlfn.XLOOKUP(AN104,RUC!M:M,RUC!K:K),L104*_xlfn.XLOOKUP(AN104,RUC!M:M,RUC!I:I),L104-_xlfn.XLOOKUP(AN104,RUC!M:M,RUC!J:J)),3)</f>
        <v>0.112</v>
      </c>
      <c r="N104" s="1196">
        <f t="shared" si="55"/>
        <v>0.112</v>
      </c>
      <c r="O104" s="645">
        <f t="shared" si="45"/>
        <v>0.112</v>
      </c>
      <c r="P104" s="727">
        <v>80</v>
      </c>
      <c r="Q104" s="875">
        <v>90.84</v>
      </c>
      <c r="R104" s="706">
        <v>4506.1499999999996</v>
      </c>
      <c r="S104" s="765">
        <f>IF((_xlfn.XLOOKUP(D104,RUC!$B$3:$B$119,RUC!$E$3:$E$119)+ROUNDDOWN(O104,1)*100)&lt;95,95,((_xlfn.XLOOKUP(D104,RUC!$B$3:$B$119,RUC!$E$3:$E$119)+ROUNDDOWN(O104,1)*100)))</f>
        <v>95</v>
      </c>
      <c r="U104" s="1146">
        <f>_xlfn.XLOOKUP(D104,RUC!$B$3:$B$123,RUC!$F$3:$F$123)</f>
        <v>120</v>
      </c>
      <c r="V104" s="715">
        <v>1.1023000000000001</v>
      </c>
      <c r="Y104">
        <f>_xlfn.XLOOKUP(D104,RUC!$B$3:$B$123,RUC!$G$3:$G$123)</f>
        <v>20</v>
      </c>
      <c r="Z104" s="143">
        <f>_xlfn.XLOOKUP(D104,RUC!$B$3:$B$123,RUC!$H$3:$H$123)</f>
        <v>35</v>
      </c>
      <c r="AA104" s="144">
        <f t="shared" si="46"/>
        <v>55</v>
      </c>
      <c r="AB104" s="145">
        <f t="shared" si="56"/>
        <v>267.85784179200004</v>
      </c>
      <c r="AC104" s="145">
        <f>+(S104-T104)*V104-'data 1'!$F$4</f>
        <v>24.718500000000006</v>
      </c>
      <c r="AD104" s="145">
        <f t="shared" si="47"/>
        <v>68.656848600258016</v>
      </c>
      <c r="AE104" s="145">
        <f t="shared" si="48"/>
        <v>-9.3734999999999999</v>
      </c>
      <c r="AF104" s="145">
        <f t="shared" si="49"/>
        <v>83.447631341442005</v>
      </c>
      <c r="AG104" s="772">
        <f t="shared" si="58"/>
        <v>184.44947994170002</v>
      </c>
      <c r="AH104" s="1253">
        <f t="shared" si="50"/>
        <v>6.0019999999999998</v>
      </c>
      <c r="AI104" s="1253">
        <f t="shared" si="51"/>
        <v>6.6070000000000002</v>
      </c>
      <c r="AJ104" s="156">
        <f t="shared" si="52"/>
        <v>14.93417594374205</v>
      </c>
      <c r="AK104" s="156">
        <f t="shared" si="53"/>
        <v>4.5188690016108799</v>
      </c>
      <c r="AM104" s="716">
        <f t="shared" si="54"/>
        <v>394.01888527603211</v>
      </c>
      <c r="AN104" s="716" t="str">
        <f>_xlfn.XLOOKUP(D104,RUC!$B$3:$B$578,RUC!$M$3:$M$578)</f>
        <v>Ronald Miranda</v>
      </c>
      <c r="AO104" s="1167" t="s">
        <v>2279</v>
      </c>
      <c r="AP104" s="1843">
        <v>236</v>
      </c>
      <c r="AQ104" s="1082" t="s">
        <v>5766</v>
      </c>
    </row>
    <row r="105" spans="1:43" ht="15" customHeight="1">
      <c r="A105" s="747" t="s">
        <v>5756</v>
      </c>
      <c r="B105" s="1447">
        <v>46170</v>
      </c>
      <c r="C105" s="1447">
        <v>46165</v>
      </c>
      <c r="D105" t="s">
        <v>5442</v>
      </c>
      <c r="E105" s="762">
        <f>_xlfn.XLOOKUP(D105,RUC!$B$3:$B$123,RUC!$D$3:$D$123)</f>
        <v>20606562480</v>
      </c>
      <c r="F105" s="629" t="s">
        <v>5768</v>
      </c>
      <c r="G105" s="762">
        <v>32</v>
      </c>
      <c r="H105" s="1082" t="s">
        <v>2005</v>
      </c>
      <c r="I105" s="703">
        <v>2.2400000000000002</v>
      </c>
      <c r="J105" s="596">
        <v>9.42</v>
      </c>
      <c r="K105" s="703">
        <f t="shared" si="44"/>
        <v>2.0289999999999999</v>
      </c>
      <c r="L105" s="1192">
        <v>0.152</v>
      </c>
      <c r="M105" s="994">
        <f>ROUND(+IF(L105&gt;_xlfn.XLOOKUP(AN105,RUC!M:M,RUC!K:K),L105*_xlfn.XLOOKUP(AN105,RUC!M:M,RUC!I:I),L105-_xlfn.XLOOKUP(AN105,RUC!M:M,RUC!J:J)),3)</f>
        <v>0.13300000000000001</v>
      </c>
      <c r="N105" s="1196">
        <f t="shared" si="55"/>
        <v>0.13300000000000001</v>
      </c>
      <c r="O105" s="645">
        <f t="shared" si="45"/>
        <v>0.13300000000000001</v>
      </c>
      <c r="P105" s="727">
        <v>80</v>
      </c>
      <c r="Q105" s="875">
        <v>91.45</v>
      </c>
      <c r="R105" s="706">
        <v>4506.1499999999996</v>
      </c>
      <c r="S105" s="765">
        <f>IF((_xlfn.XLOOKUP(D105,RUC!$B$3:$B$119,RUC!$E$3:$E$119)+ROUNDDOWN(O105,1)*100)&lt;95,95,((_xlfn.XLOOKUP(D105,RUC!$B$3:$B$119,RUC!$E$3:$E$119)+ROUNDDOWN(O105,1)*100)))</f>
        <v>95</v>
      </c>
      <c r="U105" s="1146">
        <f>_xlfn.XLOOKUP(D105,RUC!$B$3:$B$123,RUC!$F$3:$F$123)</f>
        <v>120</v>
      </c>
      <c r="V105" s="715">
        <v>1.1023000000000001</v>
      </c>
      <c r="Y105">
        <f>_xlfn.XLOOKUP(D105,RUC!$B$3:$B$123,RUC!$G$3:$G$123)</f>
        <v>20</v>
      </c>
      <c r="Z105" s="143">
        <f>_xlfn.XLOOKUP(D105,RUC!$B$3:$B$123,RUC!$H$3:$H$123)</f>
        <v>35</v>
      </c>
      <c r="AA105" s="144">
        <f t="shared" si="46"/>
        <v>55</v>
      </c>
      <c r="AB105" s="145">
        <f t="shared" si="56"/>
        <v>349.083374628</v>
      </c>
      <c r="AC105" s="145">
        <f>+(S105-T105)*V105-'data 1'!$F$4</f>
        <v>24.718500000000006</v>
      </c>
      <c r="AD105" s="145">
        <f t="shared" si="47"/>
        <v>84.145784135580016</v>
      </c>
      <c r="AE105" s="145">
        <f t="shared" si="48"/>
        <v>-9.3734999999999999</v>
      </c>
      <c r="AF105" s="145">
        <f t="shared" si="49"/>
        <v>84.007990820947455</v>
      </c>
      <c r="AG105" s="772">
        <f t="shared" si="58"/>
        <v>200.49877495652748</v>
      </c>
      <c r="AH105" s="1253">
        <f t="shared" si="50"/>
        <v>9.67</v>
      </c>
      <c r="AI105" s="1253">
        <f t="shared" si="51"/>
        <v>10.574</v>
      </c>
      <c r="AJ105" s="156">
        <f t="shared" si="52"/>
        <v>17.444564832420056</v>
      </c>
      <c r="AK105" s="156">
        <f t="shared" si="53"/>
        <v>7.40172157040708</v>
      </c>
      <c r="AM105" s="716">
        <f t="shared" si="54"/>
        <v>708.290167120212</v>
      </c>
      <c r="AN105" s="716" t="str">
        <f>_xlfn.XLOOKUP(D105,RUC!$B$3:$B$578,RUC!$M$3:$M$578)</f>
        <v>Ronald Miranda</v>
      </c>
      <c r="AO105" s="1167" t="s">
        <v>2279</v>
      </c>
      <c r="AP105" s="1843">
        <v>236</v>
      </c>
      <c r="AQ105" s="1082" t="s">
        <v>5766</v>
      </c>
    </row>
    <row r="106" spans="1:43" ht="15" customHeight="1">
      <c r="A106" s="747" t="s">
        <v>5757</v>
      </c>
      <c r="B106" s="1447">
        <v>46170</v>
      </c>
      <c r="C106" s="1447">
        <v>46165</v>
      </c>
      <c r="D106" t="s">
        <v>5442</v>
      </c>
      <c r="E106" s="762">
        <f>_xlfn.XLOOKUP(D106,RUC!$B$3:$B$123,RUC!$D$3:$D$123)</f>
        <v>20606562480</v>
      </c>
      <c r="F106" s="629" t="s">
        <v>5768</v>
      </c>
      <c r="G106" s="762">
        <v>34</v>
      </c>
      <c r="H106" s="1082" t="s">
        <v>2005</v>
      </c>
      <c r="I106" s="703">
        <v>2.46</v>
      </c>
      <c r="J106" s="596">
        <v>9.5500000000000007</v>
      </c>
      <c r="K106" s="703">
        <f t="shared" si="44"/>
        <v>2.2250000000000001</v>
      </c>
      <c r="L106" s="1192">
        <v>0.16300000000000001</v>
      </c>
      <c r="M106" s="994">
        <f>ROUND(+IF(L106&gt;_xlfn.XLOOKUP(AN106,RUC!M:M,RUC!K:K),L106*_xlfn.XLOOKUP(AN106,RUC!M:M,RUC!I:I),L106-_xlfn.XLOOKUP(AN106,RUC!M:M,RUC!J:J)),3)</f>
        <v>0.14399999999999999</v>
      </c>
      <c r="N106" s="1196">
        <f t="shared" si="55"/>
        <v>0.14399999999999999</v>
      </c>
      <c r="O106" s="645">
        <f t="shared" si="45"/>
        <v>0.14399999999999999</v>
      </c>
      <c r="P106" s="727">
        <v>80</v>
      </c>
      <c r="Q106" s="875">
        <v>91.41</v>
      </c>
      <c r="R106" s="706">
        <v>4506.1499999999996</v>
      </c>
      <c r="S106" s="765">
        <f>IF((_xlfn.XLOOKUP(D106,RUC!$B$3:$B$119,RUC!$E$3:$E$119)+ROUNDDOWN(O106,1)*100)&lt;95,95,((_xlfn.XLOOKUP(D106,RUC!$B$3:$B$119,RUC!$E$3:$E$119)+ROUNDDOWN(O106,1)*100)))</f>
        <v>95</v>
      </c>
      <c r="U106" s="1146">
        <f>_xlfn.XLOOKUP(D106,RUC!$B$3:$B$123,RUC!$F$3:$F$123)</f>
        <v>120</v>
      </c>
      <c r="V106" s="715">
        <v>1.1023000000000001</v>
      </c>
      <c r="Y106">
        <f>_xlfn.XLOOKUP(D106,RUC!$B$3:$B$123,RUC!$G$3:$G$123)</f>
        <v>20</v>
      </c>
      <c r="Z106" s="143">
        <f>_xlfn.XLOOKUP(D106,RUC!$B$3:$B$123,RUC!$H$3:$H$123)</f>
        <v>35</v>
      </c>
      <c r="AA106" s="144">
        <f t="shared" si="46"/>
        <v>55</v>
      </c>
      <c r="AB106" s="145">
        <f t="shared" si="56"/>
        <v>391.63008230399998</v>
      </c>
      <c r="AC106" s="145">
        <f>+(S106-T106)*V106-'data 1'!$F$4</f>
        <v>24.718500000000006</v>
      </c>
      <c r="AD106" s="145">
        <f t="shared" si="47"/>
        <v>89.920049246653477</v>
      </c>
      <c r="AE106" s="145">
        <f t="shared" si="48"/>
        <v>-9.3734999999999999</v>
      </c>
      <c r="AF106" s="145">
        <f t="shared" si="49"/>
        <v>83.971245937045566</v>
      </c>
      <c r="AG106" s="772">
        <f t="shared" si="58"/>
        <v>206.23629518369904</v>
      </c>
      <c r="AH106" s="1253">
        <f t="shared" si="50"/>
        <v>11.366</v>
      </c>
      <c r="AI106" s="1253">
        <f t="shared" si="51"/>
        <v>12.433999999999999</v>
      </c>
      <c r="AJ106" s="156">
        <f t="shared" si="52"/>
        <v>18.69881805034656</v>
      </c>
      <c r="AK106" s="156">
        <f t="shared" si="53"/>
        <v>8.7880306649760005</v>
      </c>
      <c r="AM106" s="716">
        <f t="shared" si="54"/>
        <v>871.37693312639999</v>
      </c>
      <c r="AN106" s="716" t="str">
        <f>_xlfn.XLOOKUP(D106,RUC!$B$3:$B$578,RUC!$M$3:$M$578)</f>
        <v>Ronald Miranda</v>
      </c>
      <c r="AO106" s="1167" t="s">
        <v>2279</v>
      </c>
      <c r="AP106" s="1843">
        <v>236</v>
      </c>
      <c r="AQ106" s="1082" t="s">
        <v>5766</v>
      </c>
    </row>
    <row r="107" spans="1:43" ht="15" customHeight="1">
      <c r="A107" s="747" t="s">
        <v>5779</v>
      </c>
      <c r="B107" s="1447">
        <v>46174</v>
      </c>
      <c r="C107" s="1447">
        <v>46168</v>
      </c>
      <c r="D107" t="s">
        <v>1967</v>
      </c>
      <c r="E107" s="762">
        <f>_xlfn.XLOOKUP(D107,RUC!$B$3:$B$123,RUC!$D$3:$D$123)</f>
        <v>20601769396</v>
      </c>
      <c r="F107" s="629" t="s">
        <v>5801</v>
      </c>
      <c r="G107" s="762">
        <v>135</v>
      </c>
      <c r="H107" s="1082" t="s">
        <v>108</v>
      </c>
      <c r="I107" s="703">
        <v>3.86</v>
      </c>
      <c r="J107" s="596">
        <v>17.73</v>
      </c>
      <c r="K107" s="703">
        <f t="shared" si="44"/>
        <v>3.1760000000000002</v>
      </c>
      <c r="L107" s="1192">
        <v>0.245</v>
      </c>
      <c r="M107" s="994">
        <f>ROUND(+IF(L107&gt;_xlfn.XLOOKUP(AN107,RUC!M:M,RUC!K:K),L107*_xlfn.XLOOKUP(AN107,RUC!M:M,RUC!I:I),L107-_xlfn.XLOOKUP(AN107,RUC!M:M,RUC!J:J)),3)</f>
        <v>0.22600000000000001</v>
      </c>
      <c r="N107" s="1444">
        <v>0.28999999999999998</v>
      </c>
      <c r="O107" s="645">
        <f t="shared" si="45"/>
        <v>0.25800000000000001</v>
      </c>
      <c r="P107" s="727">
        <v>85</v>
      </c>
      <c r="Q107" s="875">
        <v>86.94</v>
      </c>
      <c r="R107" s="706">
        <v>4515.5</v>
      </c>
      <c r="S107" s="765">
        <f>IF((_xlfn.XLOOKUP(D107,RUC!$B$3:$B$119,RUC!$E$3:$E$119)+ROUNDDOWN(O107,1)*100)&lt;95,95,((_xlfn.XLOOKUP(D107,RUC!$B$3:$B$119,RUC!$E$3:$E$119)+ROUNDDOWN(O107,1)*100)))</f>
        <v>110</v>
      </c>
      <c r="U107" s="1146">
        <f>_xlfn.XLOOKUP(D107,RUC!$B$3:$B$123,RUC!$F$3:$F$123)</f>
        <v>120</v>
      </c>
      <c r="V107" s="715">
        <v>1.1023000000000001</v>
      </c>
      <c r="Y107" s="1445">
        <v>40</v>
      </c>
      <c r="Z107" s="1454">
        <v>70</v>
      </c>
      <c r="AA107" s="144">
        <f t="shared" si="46"/>
        <v>110</v>
      </c>
      <c r="AB107" s="145">
        <f t="shared" si="56"/>
        <v>820.03751124500013</v>
      </c>
      <c r="AC107" s="145">
        <f>+(S107-T107)*V107-'data 1'!$F$4</f>
        <v>41.253</v>
      </c>
      <c r="AD107" s="145">
        <f t="shared" si="47"/>
        <v>23.029043816449974</v>
      </c>
      <c r="AE107" s="145">
        <f t="shared" si="48"/>
        <v>51.253</v>
      </c>
      <c r="AF107" s="145">
        <f t="shared" si="49"/>
        <v>-54.760963396230046</v>
      </c>
      <c r="AG107" s="772">
        <f t="shared" si="58"/>
        <v>77.774080420219917</v>
      </c>
      <c r="AH107" s="1253">
        <f t="shared" si="50"/>
        <v>23.193999999999999</v>
      </c>
      <c r="AI107" s="1253">
        <f t="shared" si="51"/>
        <v>26.678000000000001</v>
      </c>
      <c r="AJ107" s="156">
        <f t="shared" si="52"/>
        <v>24.535890121049999</v>
      </c>
      <c r="AK107" s="156">
        <f t="shared" si="53"/>
        <v>23.879663063583244</v>
      </c>
      <c r="AM107" s="716">
        <f t="shared" si="54"/>
        <v>2604.4391357141208</v>
      </c>
      <c r="AN107" s="716" t="str">
        <f>_xlfn.XLOOKUP(D107,RUC!$B$3:$B$578,RUC!$M$3:$M$578)</f>
        <v>Evelyn</v>
      </c>
      <c r="AO107" s="1167" t="s">
        <v>2279</v>
      </c>
      <c r="AP107" s="1843">
        <v>336</v>
      </c>
      <c r="AQ107" s="1894" t="s">
        <v>5798</v>
      </c>
    </row>
    <row r="108" spans="1:43" ht="15" customHeight="1">
      <c r="A108" s="747" t="s">
        <v>5780</v>
      </c>
      <c r="B108" s="1447">
        <v>46174</v>
      </c>
      <c r="C108" s="1447">
        <v>46168</v>
      </c>
      <c r="D108" t="s">
        <v>1967</v>
      </c>
      <c r="E108" s="762">
        <f>_xlfn.XLOOKUP(D108,RUC!$B$3:$B$123,RUC!$D$3:$D$123)</f>
        <v>20601769396</v>
      </c>
      <c r="F108" s="629" t="s">
        <v>5802</v>
      </c>
      <c r="G108" s="762">
        <v>471</v>
      </c>
      <c r="H108" s="1082" t="s">
        <v>108</v>
      </c>
      <c r="I108" s="703">
        <v>12.31</v>
      </c>
      <c r="J108" s="596">
        <v>17.03</v>
      </c>
      <c r="K108" s="703">
        <f t="shared" si="44"/>
        <v>10.214</v>
      </c>
      <c r="L108" s="1192">
        <v>0.41299999999999998</v>
      </c>
      <c r="M108" s="994">
        <f>ROUND(+IF(L108&gt;_xlfn.XLOOKUP(AN108,RUC!M:M,RUC!K:K),L108*_xlfn.XLOOKUP(AN108,RUC!M:M,RUC!I:I),L108-_xlfn.XLOOKUP(AN108,RUC!M:M,RUC!J:J)),3)</f>
        <v>0.38800000000000001</v>
      </c>
      <c r="N108" s="1444">
        <v>0.46300000000000002</v>
      </c>
      <c r="O108" s="645">
        <f t="shared" si="45"/>
        <v>0.42599999999999999</v>
      </c>
      <c r="P108" s="727">
        <v>90</v>
      </c>
      <c r="Q108" s="875">
        <v>92.98</v>
      </c>
      <c r="R108" s="706">
        <v>4515.5</v>
      </c>
      <c r="S108" s="765">
        <f>IF((_xlfn.XLOOKUP(D108,RUC!$B$3:$B$119,RUC!$E$3:$E$119)+ROUNDDOWN(O108,1)*100)&lt;95,95,((_xlfn.XLOOKUP(D108,RUC!$B$3:$B$119,RUC!$E$3:$E$119)+ROUNDDOWN(O108,1)*100)))</f>
        <v>130</v>
      </c>
      <c r="U108" s="1146">
        <f>_xlfn.XLOOKUP(D108,RUC!$B$3:$B$123,RUC!$F$3:$F$123)</f>
        <v>120</v>
      </c>
      <c r="V108" s="715">
        <v>1.1023000000000001</v>
      </c>
      <c r="Y108" s="1445">
        <v>40</v>
      </c>
      <c r="Z108" s="1454">
        <v>70</v>
      </c>
      <c r="AA108" s="144">
        <f t="shared" si="46"/>
        <v>110</v>
      </c>
      <c r="AB108" s="145">
        <f t="shared" si="56"/>
        <v>1593.0822098099998</v>
      </c>
      <c r="AC108" s="145">
        <f>+(S108-T108)*V108-'data 1'!$F$4</f>
        <v>63.299000000000007</v>
      </c>
      <c r="AD108" s="145">
        <f t="shared" si="47"/>
        <v>59.631317876410087</v>
      </c>
      <c r="AE108" s="145">
        <f t="shared" si="48"/>
        <v>51.253</v>
      </c>
      <c r="AF108" s="145">
        <f t="shared" si="49"/>
        <v>-58.565382753410049</v>
      </c>
      <c r="AG108" s="772">
        <f t="shared" si="58"/>
        <v>132.61793512300005</v>
      </c>
      <c r="AH108" s="1253">
        <f t="shared" si="50"/>
        <v>134.476</v>
      </c>
      <c r="AI108" s="1253">
        <f t="shared" si="51"/>
        <v>144.62899999999999</v>
      </c>
      <c r="AJ108" s="156">
        <f t="shared" si="52"/>
        <v>44.233946808589998</v>
      </c>
      <c r="AK108" s="156">
        <f t="shared" si="53"/>
        <v>134.26321158827119</v>
      </c>
      <c r="AM108" s="716">
        <f t="shared" si="54"/>
        <v>16271.741690999339</v>
      </c>
      <c r="AN108" s="716" t="str">
        <f>_xlfn.XLOOKUP(D108,RUC!$B$3:$B$578,RUC!$M$3:$M$578)</f>
        <v>Evelyn</v>
      </c>
      <c r="AO108" s="1167" t="s">
        <v>2279</v>
      </c>
      <c r="AP108" s="1843">
        <v>336</v>
      </c>
      <c r="AQ108" s="1894" t="s">
        <v>5798</v>
      </c>
    </row>
    <row r="109" spans="1:43" ht="15" customHeight="1">
      <c r="A109" s="747" t="s">
        <v>5781</v>
      </c>
      <c r="B109" s="1447">
        <v>46174</v>
      </c>
      <c r="C109" s="1447">
        <v>46168</v>
      </c>
      <c r="D109" t="s">
        <v>1967</v>
      </c>
      <c r="E109" s="762">
        <f>_xlfn.XLOOKUP(D109,RUC!$B$3:$B$123,RUC!$D$3:$D$123)</f>
        <v>20601769396</v>
      </c>
      <c r="F109" s="629" t="s">
        <v>5802</v>
      </c>
      <c r="G109" s="762">
        <v>194</v>
      </c>
      <c r="H109" s="1082" t="s">
        <v>108</v>
      </c>
      <c r="I109" s="703">
        <v>4.99</v>
      </c>
      <c r="J109" s="596">
        <v>18.48</v>
      </c>
      <c r="K109" s="703">
        <f t="shared" si="44"/>
        <v>4.0679999999999996</v>
      </c>
      <c r="L109" s="1192">
        <v>0.152</v>
      </c>
      <c r="M109" s="994">
        <f>ROUND(+IF(L109&gt;_xlfn.XLOOKUP(AN109,RUC!M:M,RUC!K:K),L109*_xlfn.XLOOKUP(AN109,RUC!M:M,RUC!I:I),L109-_xlfn.XLOOKUP(AN109,RUC!M:M,RUC!J:J)),3)</f>
        <v>0.13300000000000001</v>
      </c>
      <c r="N109" s="1444">
        <v>0.20100000000000001</v>
      </c>
      <c r="O109" s="645">
        <f t="shared" si="45"/>
        <v>0.16700000000000001</v>
      </c>
      <c r="P109" s="727">
        <v>85</v>
      </c>
      <c r="Q109" s="875">
        <v>86.13</v>
      </c>
      <c r="R109" s="706">
        <v>4515.5</v>
      </c>
      <c r="S109" s="765">
        <f>IF((_xlfn.XLOOKUP(D109,RUC!$B$3:$B$119,RUC!$E$3:$E$119)+ROUNDDOWN(O109,1)*100)&lt;95,95,((_xlfn.XLOOKUP(D109,RUC!$B$3:$B$119,RUC!$E$3:$E$119)+ROUNDDOWN(O109,1)*100)))</f>
        <v>100</v>
      </c>
      <c r="U109" s="1146">
        <f>_xlfn.XLOOKUP(D109,RUC!$B$3:$B$123,RUC!$F$3:$F$123)</f>
        <v>120</v>
      </c>
      <c r="V109" s="715">
        <v>1.1023000000000001</v>
      </c>
      <c r="Y109" s="1445">
        <v>40</v>
      </c>
      <c r="Z109" s="1454">
        <v>70</v>
      </c>
      <c r="AA109" s="144">
        <f t="shared" si="46"/>
        <v>110</v>
      </c>
      <c r="AB109" s="145">
        <f t="shared" si="56"/>
        <v>456.28741231750007</v>
      </c>
      <c r="AC109" s="145">
        <f>+(S109-T109)*V109-'data 1'!$F$4</f>
        <v>30.230000000000004</v>
      </c>
      <c r="AD109" s="145">
        <f t="shared" si="47"/>
        <v>8.3220462148399665</v>
      </c>
      <c r="AE109" s="145">
        <f t="shared" si="48"/>
        <v>51.253</v>
      </c>
      <c r="AF109" s="145">
        <f t="shared" si="49"/>
        <v>-62.597040098175057</v>
      </c>
      <c r="AG109" s="772">
        <f t="shared" si="58"/>
        <v>44.208006116664905</v>
      </c>
      <c r="AH109" s="1253">
        <f t="shared" si="50"/>
        <v>18.259</v>
      </c>
      <c r="AI109" s="1253">
        <f t="shared" si="51"/>
        <v>21.2</v>
      </c>
      <c r="AJ109" s="156">
        <f t="shared" si="52"/>
        <v>15.080444165159999</v>
      </c>
      <c r="AK109" s="156">
        <f t="shared" si="53"/>
        <v>19.798186471481433</v>
      </c>
      <c r="AM109" s="716">
        <f t="shared" si="54"/>
        <v>1856.1771933075902</v>
      </c>
      <c r="AN109" s="716" t="str">
        <f>_xlfn.XLOOKUP(D109,RUC!$B$3:$B$578,RUC!$M$3:$M$578)</f>
        <v>Evelyn</v>
      </c>
      <c r="AO109" s="1167" t="s">
        <v>2279</v>
      </c>
      <c r="AP109" s="1843">
        <v>336</v>
      </c>
      <c r="AQ109" s="1894" t="s">
        <v>5798</v>
      </c>
    </row>
    <row r="110" spans="1:43" ht="15" customHeight="1">
      <c r="A110" s="747" t="s">
        <v>5783</v>
      </c>
      <c r="B110" s="1447">
        <v>46176</v>
      </c>
      <c r="C110" s="1447">
        <v>46169</v>
      </c>
      <c r="D110" t="s">
        <v>93</v>
      </c>
      <c r="E110" s="762">
        <f>_xlfn.XLOOKUP(D110,RUC!$B$3:$B$123,RUC!$D$3:$D$123)</f>
        <v>20169040231</v>
      </c>
      <c r="F110" s="629" t="s">
        <v>5806</v>
      </c>
      <c r="G110" s="762">
        <v>16</v>
      </c>
      <c r="H110" s="1082" t="s">
        <v>108</v>
      </c>
      <c r="I110" s="703">
        <v>1.38</v>
      </c>
      <c r="J110" s="596">
        <v>28.65</v>
      </c>
      <c r="K110" s="703">
        <f t="shared" si="44"/>
        <v>0.98499999999999999</v>
      </c>
      <c r="L110" s="1192">
        <v>1.099</v>
      </c>
      <c r="M110" s="994">
        <f>ROUND(+IF(L110&gt;_xlfn.XLOOKUP(AN110,RUC!M:M,RUC!K:K),L110*_xlfn.XLOOKUP(AN110,RUC!M:M,RUC!I:I),L110-_xlfn.XLOOKUP(AN110,RUC!M:M,RUC!J:J)),3)</f>
        <v>1.0329999999999999</v>
      </c>
      <c r="N110" s="1196">
        <f t="shared" si="55"/>
        <v>1.0329999999999999</v>
      </c>
      <c r="O110" s="645">
        <f t="shared" si="45"/>
        <v>1.0329999999999999</v>
      </c>
      <c r="P110" s="727">
        <v>82</v>
      </c>
      <c r="Q110" s="1898">
        <v>81.98</v>
      </c>
      <c r="R110" s="706">
        <v>4426</v>
      </c>
      <c r="S110" s="765">
        <f>IF((_xlfn.XLOOKUP(D110,RUC!$B$3:$B$119,RUC!$E$3:$E$119)+ROUNDDOWN(O110,1)*100)&lt;95,95,((_xlfn.XLOOKUP(D110,RUC!$B$3:$B$119,RUC!$E$3:$E$119)+ROUNDDOWN(O110,1)*100)))</f>
        <v>185</v>
      </c>
      <c r="U110" s="1146">
        <f>_xlfn.XLOOKUP(D110,RUC!$B$3:$B$123,RUC!$F$3:$F$123)</f>
        <v>120</v>
      </c>
      <c r="V110" s="715">
        <v>1.1023000000000001</v>
      </c>
      <c r="Y110" s="1445">
        <v>50</v>
      </c>
      <c r="Z110" s="1454">
        <v>40</v>
      </c>
      <c r="AA110" s="144">
        <f t="shared" si="46"/>
        <v>90</v>
      </c>
      <c r="AB110" s="145">
        <f t="shared" si="56"/>
        <v>3717.4410088279997</v>
      </c>
      <c r="AC110" s="145">
        <f>+(S110-T110)*V110-'data 1'!$F$4</f>
        <v>123.9255</v>
      </c>
      <c r="AD110" s="145">
        <f t="shared" si="47"/>
        <v>-1.0432815352397924</v>
      </c>
      <c r="AE110" s="145">
        <f t="shared" si="48"/>
        <v>29.207000000000001</v>
      </c>
      <c r="AF110" s="145">
        <f t="shared" si="49"/>
        <v>256.81813180584027</v>
      </c>
      <c r="AG110" s="772">
        <f t="shared" si="58"/>
        <v>425.90735027060043</v>
      </c>
      <c r="AH110" s="1253">
        <f t="shared" si="50"/>
        <v>30.425999999999998</v>
      </c>
      <c r="AI110" s="1253">
        <f t="shared" si="51"/>
        <v>37.113999999999997</v>
      </c>
      <c r="AJ110" s="156">
        <f t="shared" si="52"/>
        <v>192.66691512124001</v>
      </c>
      <c r="AK110" s="156">
        <f t="shared" si="53"/>
        <v>28.606154089608498</v>
      </c>
      <c r="AM110" s="716">
        <f t="shared" si="54"/>
        <v>3661.6793936955796</v>
      </c>
      <c r="AN110" s="716" t="str">
        <f>_xlfn.XLOOKUP(D110,RUC!$B$3:$B$578,RUC!$M$3:$M$578)</f>
        <v>Ronald Miranda</v>
      </c>
      <c r="AO110" s="1167" t="s">
        <v>2279</v>
      </c>
      <c r="AP110" s="1843">
        <v>6779</v>
      </c>
      <c r="AQ110" s="1894" t="s">
        <v>5799</v>
      </c>
    </row>
    <row r="111" spans="1:43" ht="15" customHeight="1">
      <c r="A111" s="747" t="s">
        <v>5785</v>
      </c>
      <c r="B111" s="1447">
        <v>46176</v>
      </c>
      <c r="C111" s="1447">
        <v>46169</v>
      </c>
      <c r="D111" t="s">
        <v>93</v>
      </c>
      <c r="E111" s="762">
        <f>_xlfn.XLOOKUP(D111,RUC!$B$3:$B$123,RUC!$D$3:$D$123)</f>
        <v>20169040231</v>
      </c>
      <c r="F111" s="629" t="s">
        <v>5806</v>
      </c>
      <c r="G111" s="762">
        <v>34</v>
      </c>
      <c r="H111" s="1082" t="s">
        <v>108</v>
      </c>
      <c r="I111" s="703">
        <v>3.1</v>
      </c>
      <c r="J111" s="596">
        <v>31.68</v>
      </c>
      <c r="K111" s="703">
        <f t="shared" si="44"/>
        <v>2.1179999999999999</v>
      </c>
      <c r="L111" s="1192">
        <v>1.3520000000000001</v>
      </c>
      <c r="M111" s="994">
        <f>ROUND(+IF(L111&gt;_xlfn.XLOOKUP(AN111,RUC!M:M,RUC!K:K),L111*_xlfn.XLOOKUP(AN111,RUC!M:M,RUC!I:I),L111-_xlfn.XLOOKUP(AN111,RUC!M:M,RUC!J:J)),3)</f>
        <v>1.2709999999999999</v>
      </c>
      <c r="N111" s="1444">
        <v>1.3129999999999999</v>
      </c>
      <c r="O111" s="645">
        <f t="shared" si="45"/>
        <v>1.292</v>
      </c>
      <c r="P111" s="727">
        <v>81</v>
      </c>
      <c r="Q111" s="1898">
        <v>79.36</v>
      </c>
      <c r="R111" s="706">
        <v>4426</v>
      </c>
      <c r="S111" s="765">
        <f>IF((_xlfn.XLOOKUP(D111,RUC!$B$3:$B$119,RUC!$E$3:$E$119)+ROUNDDOWN(O111,1)*100)&lt;95,95,((_xlfn.XLOOKUP(D111,RUC!$B$3:$B$119,RUC!$E$3:$E$119)+ROUNDDOWN(O111,1)*100)))</f>
        <v>205</v>
      </c>
      <c r="U111" s="1146">
        <f>_xlfn.XLOOKUP(D111,RUC!$B$3:$B$123,RUC!$F$3:$F$123)</f>
        <v>120</v>
      </c>
      <c r="V111" s="715">
        <v>1.1023000000000001</v>
      </c>
      <c r="Y111" s="1445">
        <v>50</v>
      </c>
      <c r="Z111" s="1454">
        <v>40</v>
      </c>
      <c r="AA111" s="144">
        <f t="shared" si="46"/>
        <v>90</v>
      </c>
      <c r="AB111" s="145">
        <f t="shared" si="56"/>
        <v>4642.1326567760007</v>
      </c>
      <c r="AC111" s="145">
        <f>+(S111-T111)*V111-'data 1'!$F$4</f>
        <v>145.97150000000002</v>
      </c>
      <c r="AD111" s="145">
        <f t="shared" si="47"/>
        <v>-105.24327945664005</v>
      </c>
      <c r="AE111" s="145">
        <f t="shared" si="48"/>
        <v>29.207000000000001</v>
      </c>
      <c r="AF111" s="145">
        <f t="shared" si="49"/>
        <v>226.00952494080022</v>
      </c>
      <c r="AG111" s="772">
        <f t="shared" si="58"/>
        <v>312.94474548416019</v>
      </c>
      <c r="AH111" s="1253">
        <f t="shared" si="50"/>
        <v>77.914000000000001</v>
      </c>
      <c r="AI111" s="1253">
        <f t="shared" si="51"/>
        <v>98.177000000000007</v>
      </c>
      <c r="AJ111" s="156">
        <f t="shared" si="52"/>
        <v>229.44568152064002</v>
      </c>
      <c r="AK111" s="156">
        <f t="shared" si="53"/>
        <v>75.994569231818147</v>
      </c>
      <c r="AM111" s="716">
        <f t="shared" si="54"/>
        <v>9832.0369670515684</v>
      </c>
      <c r="AN111" s="716" t="str">
        <f>_xlfn.XLOOKUP(D111,RUC!$B$3:$B$578,RUC!$M$3:$M$578)</f>
        <v>Ronald Miranda</v>
      </c>
      <c r="AO111" s="1167" t="s">
        <v>2279</v>
      </c>
      <c r="AP111" s="1843">
        <v>6779</v>
      </c>
      <c r="AQ111" s="1894" t="s">
        <v>5799</v>
      </c>
    </row>
    <row r="112" spans="1:43" ht="15" customHeight="1">
      <c r="A112" s="747" t="s">
        <v>5796</v>
      </c>
      <c r="B112" s="1447">
        <v>46175</v>
      </c>
      <c r="C112" s="1447">
        <v>46170</v>
      </c>
      <c r="D112" t="s">
        <v>1967</v>
      </c>
      <c r="E112" s="762">
        <f>_xlfn.XLOOKUP(D112,RUC!$B$3:$B$123,RUC!$D$3:$D$123)</f>
        <v>20601769396</v>
      </c>
      <c r="F112" s="629" t="s">
        <v>5805</v>
      </c>
      <c r="G112" s="762">
        <v>53</v>
      </c>
      <c r="H112" s="1082" t="s">
        <v>108</v>
      </c>
      <c r="I112" s="703">
        <v>3.35</v>
      </c>
      <c r="J112" s="596">
        <v>29.35</v>
      </c>
      <c r="K112" s="703">
        <f t="shared" si="44"/>
        <v>2.367</v>
      </c>
      <c r="L112" s="1192">
        <v>0.28199999999999997</v>
      </c>
      <c r="M112" s="994">
        <f>ROUND(+IF(L112&gt;_xlfn.XLOOKUP(AN112,RUC!M:M,RUC!K:K),L112*_xlfn.XLOOKUP(AN112,RUC!M:M,RUC!I:I),L112-_xlfn.XLOOKUP(AN112,RUC!M:M,RUC!J:J)),3)</f>
        <v>0.26300000000000001</v>
      </c>
      <c r="N112" s="1196">
        <f t="shared" si="55"/>
        <v>0.26300000000000001</v>
      </c>
      <c r="O112" s="645">
        <f t="shared" si="45"/>
        <v>0.26300000000000001</v>
      </c>
      <c r="P112" s="727">
        <v>90</v>
      </c>
      <c r="Q112" s="875">
        <v>96.45</v>
      </c>
      <c r="R112" s="706">
        <v>4419.45</v>
      </c>
      <c r="S112" s="765">
        <f>IF((_xlfn.XLOOKUP(D112,RUC!$B$3:$B$119,RUC!$E$3:$E$119)+ROUNDDOWN(O112,1)*100)&lt;95,95,((_xlfn.XLOOKUP(D112,RUC!$B$3:$B$119,RUC!$E$3:$E$119)+ROUNDDOWN(O112,1)*100)))</f>
        <v>110</v>
      </c>
      <c r="U112" s="1146">
        <f>_xlfn.XLOOKUP(D112,RUC!$B$3:$B$123,RUC!$F$3:$F$123)</f>
        <v>120</v>
      </c>
      <c r="V112" s="715">
        <v>1.1023000000000001</v>
      </c>
      <c r="Y112" s="1445">
        <v>30</v>
      </c>
      <c r="Z112" s="1454">
        <v>70</v>
      </c>
      <c r="AA112" s="144">
        <f t="shared" si="46"/>
        <v>100</v>
      </c>
      <c r="AB112" s="145">
        <f t="shared" si="56"/>
        <v>890.30546007450016</v>
      </c>
      <c r="AC112" s="145">
        <f>+(S112-T112)*V112-'data 1'!$F$4</f>
        <v>41.253</v>
      </c>
      <c r="AD112" s="145">
        <f t="shared" si="47"/>
        <v>86.202831855915022</v>
      </c>
      <c r="AE112" s="145">
        <f t="shared" si="48"/>
        <v>40.230000000000004</v>
      </c>
      <c r="AF112" s="145">
        <f t="shared" si="49"/>
        <v>86.849744085742316</v>
      </c>
      <c r="AG112" s="772">
        <f t="shared" si="58"/>
        <v>271.53557594165733</v>
      </c>
      <c r="AH112" s="1253">
        <f t="shared" si="50"/>
        <v>22.073</v>
      </c>
      <c r="AI112" s="1253">
        <f t="shared" si="51"/>
        <v>22.885000000000002</v>
      </c>
      <c r="AJ112" s="156">
        <f t="shared" si="52"/>
        <v>60.127592351085049</v>
      </c>
      <c r="AK112" s="156">
        <f t="shared" si="53"/>
        <v>19.209036648846649</v>
      </c>
      <c r="AM112" s="716">
        <f t="shared" si="54"/>
        <v>2107.353023996342</v>
      </c>
      <c r="AN112" s="716" t="str">
        <f>_xlfn.XLOOKUP(D112,RUC!$B$3:$B$578,RUC!$M$3:$M$578)</f>
        <v>Evelyn</v>
      </c>
      <c r="AO112" s="1167" t="s">
        <v>2279</v>
      </c>
      <c r="AP112" s="1843">
        <v>338</v>
      </c>
      <c r="AQ112" s="1894" t="s">
        <v>5800</v>
      </c>
    </row>
  </sheetData>
  <autoFilter ref="A3:AR112" xr:uid="{00000000-0001-0000-0C00-000000000000}"/>
  <mergeCells count="2">
    <mergeCell ref="AV5:BD5"/>
    <mergeCell ref="AV26:BA26"/>
  </mergeCells>
  <pageMargins left="0.7" right="0.7" top="0.75" bottom="0.75" header="0" footer="0"/>
  <pageSetup paperSize="9" scale="10" fitToHeight="0" orientation="portrait" horizontalDpi="360" verticalDpi="360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83175-4FE2-4DCB-A9B8-0A000F6B9E20}">
  <sheetPr>
    <tabColor rgb="FF00B050"/>
    <pageSetUpPr fitToPage="1"/>
  </sheetPr>
  <dimension ref="A1:BD140"/>
  <sheetViews>
    <sheetView showGridLines="0" zoomScale="80" zoomScaleNormal="80" workbookViewId="0">
      <pane xSplit="4" ySplit="3" topLeftCell="J115" activePane="bottomRight" state="frozen"/>
      <selection pane="topRight" activeCell="E1" sqref="E1"/>
      <selection pane="bottomLeft" activeCell="A4" sqref="A4"/>
      <selection pane="bottomRight" activeCell="A134" sqref="A134"/>
    </sheetView>
  </sheetViews>
  <sheetFormatPr baseColWidth="10" defaultColWidth="14.44140625" defaultRowHeight="15" customHeight="1"/>
  <cols>
    <col min="1" max="1" width="14.5546875" customWidth="1"/>
    <col min="2" max="2" width="12.33203125" style="1447" customWidth="1"/>
    <col min="3" max="3" width="11.6640625" style="762" customWidth="1"/>
    <col min="4" max="4" width="42.5546875" customWidth="1"/>
    <col min="5" max="5" width="15.88671875" style="762" customWidth="1"/>
    <col min="6" max="6" width="16.6640625" customWidth="1"/>
    <col min="7" max="7" width="12.109375" style="762" customWidth="1"/>
    <col min="8" max="8" width="11.44140625" style="1082" customWidth="1"/>
    <col min="9" max="10" width="10.332031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7.66406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1.33203125" style="1082" customWidth="1"/>
    <col min="43" max="43" width="12.6640625" style="1082" customWidth="1"/>
    <col min="44" max="44" width="62.6640625" customWidth="1"/>
  </cols>
  <sheetData>
    <row r="1" spans="1:56" ht="15" customHeight="1" thickBot="1">
      <c r="A1" s="1198"/>
      <c r="D1" s="1075" t="s">
        <v>2275</v>
      </c>
      <c r="E1" s="1076">
        <f>+AI3</f>
        <v>5810.2549999999992</v>
      </c>
      <c r="F1" s="1075" t="s">
        <v>1906</v>
      </c>
      <c r="G1" s="1861">
        <f>+$AM3</f>
        <v>561731.13213377853</v>
      </c>
      <c r="H1" s="1862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56" ht="15" customHeight="1" thickBot="1">
      <c r="D2" s="1075" t="s">
        <v>1907</v>
      </c>
      <c r="E2" s="1076">
        <f>+AH3</f>
        <v>5426.4989999999989</v>
      </c>
      <c r="F2" s="1079" t="s">
        <v>1908</v>
      </c>
      <c r="G2" s="1080">
        <f>+Q2</f>
        <v>94.000050839408658</v>
      </c>
      <c r="H2" s="1863"/>
      <c r="I2" s="1251">
        <f>SUBTOTAL(9,I4:I323)</f>
        <v>593.07000000000005</v>
      </c>
      <c r="J2" s="81"/>
      <c r="K2" s="91">
        <f>SUBTOTAL(9,K4:K323)</f>
        <v>559.59999999999968</v>
      </c>
      <c r="L2" s="1887">
        <f>+SUMPRODUCT(L5:L323,K5:K323)/K2</f>
        <v>0.30283674410293088</v>
      </c>
      <c r="M2" s="6"/>
      <c r="O2" s="703"/>
      <c r="P2" s="94">
        <f>+SUMPRODUCT(P4:P323,AH4:AH323)/SUM(AH4:AH323)</f>
        <v>88.203147001409206</v>
      </c>
      <c r="Q2" s="1201">
        <f>+SUMPRODUCT(Q4:Q323,AH4:AH323)/SUM(AH4:AH323)</f>
        <v>94.000050839408658</v>
      </c>
      <c r="R2" s="1151">
        <f>+SUMPRODUCT(R4:R323,AH4:AH323)/SUM(AH4:AH323)</f>
        <v>4382.5139625382781</v>
      </c>
      <c r="S2" s="6"/>
      <c r="AB2" s="83"/>
      <c r="AC2" s="83"/>
      <c r="AD2" s="83"/>
      <c r="AE2" s="83"/>
      <c r="AF2" s="83"/>
      <c r="AG2" s="1209">
        <f>SUMPRODUCT($AG4:$AG17,$K4:$K17)/SUM($K4:$K17)</f>
        <v>161.32059740091589</v>
      </c>
      <c r="AH2" s="702"/>
      <c r="AI2" s="631"/>
      <c r="AJ2" s="252">
        <v>4106</v>
      </c>
      <c r="AK2" s="98"/>
      <c r="AL2" s="88"/>
      <c r="AM2" s="99"/>
      <c r="AN2" s="1181"/>
      <c r="AO2" s="99"/>
    </row>
    <row r="3" spans="1:56" ht="15" customHeight="1" thickBot="1">
      <c r="A3" s="678" t="s">
        <v>11</v>
      </c>
      <c r="B3" s="1692" t="s">
        <v>39</v>
      </c>
      <c r="C3" s="679" t="s">
        <v>40</v>
      </c>
      <c r="D3" s="1077" t="s">
        <v>41</v>
      </c>
      <c r="E3" s="1078" t="s">
        <v>1025</v>
      </c>
      <c r="F3" s="1077" t="s">
        <v>43</v>
      </c>
      <c r="G3" s="1078" t="s">
        <v>16</v>
      </c>
      <c r="H3" s="1864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SUBTOTAL(9,AH4:AH323)</f>
        <v>5426.4989999999989</v>
      </c>
      <c r="AI3" s="1252">
        <f>SUBTOTAL(9,AI4:AI323)</f>
        <v>5810.2549999999992</v>
      </c>
      <c r="AJ3" s="1388">
        <f>SUMPRODUCT(K4:K323,AJ4:AJ323)/K2</f>
        <v>-51.154479257961249</v>
      </c>
      <c r="AK3" s="118">
        <f>SUBTOTAL(9,AK4:AK323)</f>
        <v>4791.8331227899698</v>
      </c>
      <c r="AL3" s="88"/>
      <c r="AM3" s="118">
        <f>SUBTOTAL(9,AM4:AM323)</f>
        <v>561731.13213377853</v>
      </c>
      <c r="AN3" s="1182" t="s">
        <v>2247</v>
      </c>
      <c r="AO3" s="1806" t="s">
        <v>2283</v>
      </c>
      <c r="AP3" s="1844" t="s">
        <v>2351</v>
      </c>
      <c r="AQ3" s="1844" t="s">
        <v>2352</v>
      </c>
      <c r="AS3" s="1216"/>
    </row>
    <row r="4" spans="1:56" s="677" customFormat="1" ht="15.75" customHeight="1" thickBot="1">
      <c r="A4" s="720"/>
      <c r="B4" s="1693"/>
      <c r="C4" s="1694"/>
      <c r="D4" s="721"/>
      <c r="E4" s="1764"/>
      <c r="F4" s="721"/>
      <c r="G4" s="723"/>
      <c r="H4" s="1865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3"/>
      <c r="AJ4" s="674"/>
      <c r="AK4" s="675"/>
      <c r="AL4" s="676"/>
      <c r="AM4" s="732"/>
      <c r="AN4" s="732"/>
      <c r="AO4" s="732"/>
      <c r="AP4" s="1845"/>
      <c r="AQ4" s="1845"/>
    </row>
    <row r="5" spans="1:56" ht="15" customHeight="1" thickBot="1">
      <c r="A5" s="747" t="s">
        <v>5520</v>
      </c>
      <c r="B5" s="1447">
        <v>46151</v>
      </c>
      <c r="C5" s="1447">
        <v>46146</v>
      </c>
      <c r="D5" s="1867" t="s">
        <v>3125</v>
      </c>
      <c r="E5" s="762" t="str">
        <f>_xlfn.XLOOKUP(D5,RUC!$B$3:$B$123,RUC!$D$3:$D$123)</f>
        <v>10486077447,</v>
      </c>
      <c r="F5" s="629" t="s">
        <v>5530</v>
      </c>
      <c r="G5" s="762">
        <v>10</v>
      </c>
      <c r="H5" s="1082" t="s">
        <v>69</v>
      </c>
      <c r="I5" s="703">
        <v>0.92</v>
      </c>
      <c r="J5" s="596">
        <v>2.15</v>
      </c>
      <c r="K5" s="703">
        <f t="shared" ref="K5:K46" si="0">ROUND(+I5-(I5*(J5/100)),3)</f>
        <v>0.9</v>
      </c>
      <c r="L5" s="1193">
        <v>0.22</v>
      </c>
      <c r="M5" s="994">
        <f>ROUND(+IF(L5&gt;_xlfn.XLOOKUP(AN5,RUC!M:M,RUC!K:K),L5*_xlfn.XLOOKUP(AN5,RUC!M:M,RUC!I:I),L5-_xlfn.XLOOKUP(AN5,RUC!M:M,RUC!J:J)),3)</f>
        <v>0.19600000000000001</v>
      </c>
      <c r="N5" s="1196">
        <f t="shared" ref="N5:N8" si="1">+M5</f>
        <v>0.19600000000000001</v>
      </c>
      <c r="O5" s="645">
        <f t="shared" ref="O5:O46" si="2">+ROUND((M5+N5)/2,3)</f>
        <v>0.19600000000000001</v>
      </c>
      <c r="P5" s="727">
        <v>85</v>
      </c>
      <c r="Q5" s="1476">
        <v>96.36</v>
      </c>
      <c r="R5" s="706">
        <v>4576.8</v>
      </c>
      <c r="S5" s="765">
        <f>IF((_xlfn.XLOOKUP(D5,RUC!$B$3:$B$119,RUC!$E$3:$E$119)+ROUNDDOWN(O5,1)*100)&lt;95,95,((_xlfn.XLOOKUP(D5,RUC!$B$3:$B$119,RUC!$E$3:$E$119)+ROUNDDOWN(O5,1)*100)))</f>
        <v>100</v>
      </c>
      <c r="U5" s="1146">
        <f>_xlfn.XLOOKUP(D5,RUC!$B$3:$B$123,RUC!$F$3:$F$123)</f>
        <v>120</v>
      </c>
      <c r="V5" s="715">
        <v>1.1023000000000001</v>
      </c>
      <c r="Y5">
        <f>_xlfn.XLOOKUP(D5,RUC!$B$3:$B$123,RUC!$G$3:$G$123)</f>
        <v>20</v>
      </c>
      <c r="Z5" s="143">
        <f>_xlfn.XLOOKUP(D5,RUC!$B$3:$B$123,RUC!$H$3:$H$123)</f>
        <v>30</v>
      </c>
      <c r="AA5" s="144">
        <f t="shared" ref="AA5:AA46" si="3">+Y5+Z5</f>
        <v>50</v>
      </c>
      <c r="AB5" s="145">
        <f t="shared" ref="AB5:AB46" si="4">+((O5*P5*(R5-U5)/100)-S5-AA5+T5)*V5</f>
        <v>653.11592462400006</v>
      </c>
      <c r="AC5" s="145">
        <f>+(S5-T5)*V5-'data 1'!$F$4</f>
        <v>30.230000000000004</v>
      </c>
      <c r="AD5" s="145">
        <f t="shared" ref="AD5:AD46" si="5">+(Q5-P5)*(R5-U5)*L5*V5/100</f>
        <v>122.77896415488</v>
      </c>
      <c r="AE5" s="145">
        <f t="shared" ref="AE5:AE46" si="6">+(Y5*V5-70)+V5*(Z5-IF(D5="UNTUCA",IF(+((W5-3)*2.5+(X5-3)*3.1)&gt;0,+((W5-3)*1.5+(X5-3)*3.1),0),IF(+((W5-3)*1.5+(X5-3)*3.1)&gt;0,+((W5-3)*1.5+(X5-3)*3.1),0)))</f>
        <v>-14.884999999999998</v>
      </c>
      <c r="AF5" s="145">
        <f t="shared" ref="AF5:AF46" si="7">(L5-O5)*(R5-U5)*Q5*V5/100</f>
        <v>113.61377387289596</v>
      </c>
      <c r="AG5" s="772">
        <f t="shared" ref="AG5:AG7" si="8">AC5+AD5+AE5+AF5+70-53</f>
        <v>268.737738027776</v>
      </c>
      <c r="AH5" s="1253">
        <f t="shared" ref="AH5:AH46" si="9">ROUND((31.1035*L5*Q5*1.1023*K5/100),3)</f>
        <v>6.5410000000000004</v>
      </c>
      <c r="AI5" s="1253">
        <f t="shared" ref="AI5:AI46" si="10">ROUND((31.1035*L5*1.1023*K5),3)</f>
        <v>6.7889999999999997</v>
      </c>
      <c r="AJ5" s="156">
        <f t="shared" ref="AJ5:AJ47" si="11">+((+$AJ$2-R5+U5)*L5*Q5*V5)/100</f>
        <v>-81.974516585280057</v>
      </c>
      <c r="AK5" s="156">
        <f t="shared" ref="AK5:AK46" si="12">31.1035*1.1023*K5*P5*O5/100</f>
        <v>5.1407510842170003</v>
      </c>
      <c r="AM5" s="716">
        <f t="shared" ref="AM5:AM46" si="13">+IF(AB5*K5&gt;0,AB5*K5,0)</f>
        <v>587.80433216160009</v>
      </c>
      <c r="AN5" s="716" t="str">
        <f>_xlfn.XLOOKUP(D5,RUC!$B$3:$B$578,RUC!$M$3:$M$578)</f>
        <v>SIN ACOPIO</v>
      </c>
      <c r="AO5" s="1167" t="s">
        <v>2277</v>
      </c>
      <c r="AP5" s="1843">
        <v>211</v>
      </c>
      <c r="AQ5" s="1866" t="s">
        <v>4991</v>
      </c>
      <c r="AV5" s="1982" t="s">
        <v>5909</v>
      </c>
      <c r="AW5" s="1983"/>
      <c r="AX5" s="1983"/>
      <c r="AY5" s="1983"/>
      <c r="AZ5" s="1983"/>
      <c r="BA5" s="1983"/>
      <c r="BB5" s="1983"/>
      <c r="BC5" s="1983"/>
      <c r="BD5" s="1984"/>
    </row>
    <row r="6" spans="1:56" ht="15" customHeight="1">
      <c r="A6" s="747" t="s">
        <v>5521</v>
      </c>
      <c r="B6" s="1447">
        <v>46151</v>
      </c>
      <c r="C6" s="1447">
        <v>46146</v>
      </c>
      <c r="D6" s="1867" t="s">
        <v>3125</v>
      </c>
      <c r="E6" s="762" t="str">
        <f>_xlfn.XLOOKUP(D6,RUC!$B$3:$B$123,RUC!$D$3:$D$123)</f>
        <v>10486077447,</v>
      </c>
      <c r="F6" s="629" t="s">
        <v>5530</v>
      </c>
      <c r="G6" s="762">
        <v>20</v>
      </c>
      <c r="H6" s="1082" t="s">
        <v>69</v>
      </c>
      <c r="I6" s="703">
        <v>1.9</v>
      </c>
      <c r="J6" s="596">
        <v>2</v>
      </c>
      <c r="K6" s="703">
        <f t="shared" si="0"/>
        <v>1.8620000000000001</v>
      </c>
      <c r="L6" s="1193">
        <v>0.19</v>
      </c>
      <c r="M6" s="994">
        <f>ROUND(+IF(L6&gt;_xlfn.XLOOKUP(AN6,RUC!M:M,RUC!K:K),L6*_xlfn.XLOOKUP(AN6,RUC!M:M,RUC!I:I),L6-_xlfn.XLOOKUP(AN6,RUC!M:M,RUC!J:J)),3)</f>
        <v>0.16600000000000001</v>
      </c>
      <c r="N6" s="1196">
        <f t="shared" si="1"/>
        <v>0.16600000000000001</v>
      </c>
      <c r="O6" s="645">
        <f t="shared" si="2"/>
        <v>0.16600000000000001</v>
      </c>
      <c r="P6" s="727">
        <v>85</v>
      </c>
      <c r="Q6" s="1572">
        <v>89.47</v>
      </c>
      <c r="R6" s="706">
        <v>4576.8</v>
      </c>
      <c r="S6" s="765">
        <f>IF((_xlfn.XLOOKUP(D6,RUC!$B$3:$B$119,RUC!$E$3:$E$119)+ROUNDDOWN(O6,1)*100)&lt;95,95,((_xlfn.XLOOKUP(D6,RUC!$B$3:$B$119,RUC!$E$3:$E$119)+ROUNDDOWN(O6,1)*100)))</f>
        <v>100</v>
      </c>
      <c r="U6" s="1146">
        <f>_xlfn.XLOOKUP(D6,RUC!$B$3:$B$123,RUC!$F$3:$F$123)</f>
        <v>120</v>
      </c>
      <c r="V6" s="715">
        <v>1.1023000000000001</v>
      </c>
      <c r="Y6">
        <f>_xlfn.XLOOKUP(D6,RUC!$B$3:$B$123,RUC!$G$3:$G$123)</f>
        <v>20</v>
      </c>
      <c r="Z6" s="143">
        <f>_xlfn.XLOOKUP(D6,RUC!$B$3:$B$123,RUC!$H$3:$H$123)</f>
        <v>30</v>
      </c>
      <c r="AA6" s="144">
        <f t="shared" si="3"/>
        <v>50</v>
      </c>
      <c r="AB6" s="145">
        <f t="shared" si="4"/>
        <v>527.84129330400015</v>
      </c>
      <c r="AC6" s="145">
        <f>+(S6-T6)*V6-'data 1'!$F$4</f>
        <v>30.230000000000004</v>
      </c>
      <c r="AD6" s="145">
        <f t="shared" si="5"/>
        <v>41.723821325519992</v>
      </c>
      <c r="AE6" s="145">
        <f t="shared" si="6"/>
        <v>-14.884999999999998</v>
      </c>
      <c r="AF6" s="145">
        <f t="shared" si="7"/>
        <v>105.49008248659199</v>
      </c>
      <c r="AG6" s="772">
        <f t="shared" si="8"/>
        <v>179.55890381211199</v>
      </c>
      <c r="AH6" s="1253">
        <f t="shared" si="9"/>
        <v>10.852</v>
      </c>
      <c r="AI6" s="1253">
        <f t="shared" si="10"/>
        <v>12.129</v>
      </c>
      <c r="AJ6" s="156">
        <f t="shared" si="11"/>
        <v>-65.734055992120034</v>
      </c>
      <c r="AK6" s="156">
        <f t="shared" si="12"/>
        <v>9.0077382886780111</v>
      </c>
      <c r="AM6" s="716">
        <f t="shared" si="13"/>
        <v>982.84048813204834</v>
      </c>
      <c r="AN6" s="716" t="str">
        <f>_xlfn.XLOOKUP(D6,RUC!$B$3:$B$578,RUC!$M$3:$M$578)</f>
        <v>SIN ACOPIO</v>
      </c>
      <c r="AO6" s="1167" t="s">
        <v>2277</v>
      </c>
      <c r="AP6" s="1843">
        <v>211</v>
      </c>
      <c r="AQ6" s="1866" t="s">
        <v>4991</v>
      </c>
      <c r="AV6" s="1636"/>
      <c r="AW6" s="1636"/>
      <c r="AX6" s="1636"/>
      <c r="AY6" s="1636"/>
      <c r="AZ6" s="1636"/>
      <c r="BA6" s="1636"/>
      <c r="BB6" s="1636"/>
      <c r="BC6" s="1636"/>
      <c r="BD6" s="1636"/>
    </row>
    <row r="7" spans="1:56" ht="15" customHeight="1">
      <c r="A7" s="747" t="s">
        <v>5522</v>
      </c>
      <c r="B7" s="1447">
        <v>46151</v>
      </c>
      <c r="C7" s="1447">
        <v>46146</v>
      </c>
      <c r="D7" s="1867" t="s">
        <v>3125</v>
      </c>
      <c r="E7" s="762" t="str">
        <f>_xlfn.XLOOKUP(D7,RUC!$B$3:$B$123,RUC!$D$3:$D$123)</f>
        <v>10486077447,</v>
      </c>
      <c r="F7" s="629" t="s">
        <v>5530</v>
      </c>
      <c r="G7" s="762">
        <v>30</v>
      </c>
      <c r="H7" s="1082" t="s">
        <v>69</v>
      </c>
      <c r="I7" s="703">
        <v>3.07</v>
      </c>
      <c r="J7" s="596">
        <v>2.15</v>
      </c>
      <c r="K7" s="703">
        <f t="shared" si="0"/>
        <v>3.004</v>
      </c>
      <c r="L7" s="1193">
        <v>0.34399999999999997</v>
      </c>
      <c r="M7" s="994">
        <f>ROUND(+IF(L7&gt;_xlfn.XLOOKUP(AN7,RUC!M:M,RUC!K:K),L7*_xlfn.XLOOKUP(AN7,RUC!M:M,RUC!I:I),L7-_xlfn.XLOOKUP(AN7,RUC!M:M,RUC!J:J)),3)</f>
        <v>0.32</v>
      </c>
      <c r="N7" s="1196">
        <f t="shared" si="1"/>
        <v>0.32</v>
      </c>
      <c r="O7" s="645">
        <f t="shared" si="2"/>
        <v>0.32</v>
      </c>
      <c r="P7" s="727">
        <v>90</v>
      </c>
      <c r="Q7" s="1476">
        <v>95.35</v>
      </c>
      <c r="R7" s="706">
        <v>4576.8</v>
      </c>
      <c r="S7" s="765">
        <f>IF((_xlfn.XLOOKUP(D7,RUC!$B$3:$B$119,RUC!$E$3:$E$119)+ROUNDDOWN(O7,1)*100)&lt;95,95,((_xlfn.XLOOKUP(D7,RUC!$B$3:$B$119,RUC!$E$3:$E$119)+ROUNDDOWN(O7,1)*100)))</f>
        <v>120</v>
      </c>
      <c r="U7" s="1146">
        <f>_xlfn.XLOOKUP(D7,RUC!$B$3:$B$123,RUC!$F$3:$F$123)</f>
        <v>120</v>
      </c>
      <c r="V7" s="715">
        <v>1.1023000000000001</v>
      </c>
      <c r="Y7">
        <f>_xlfn.XLOOKUP(D7,RUC!$B$3:$B$123,RUC!$G$3:$G$123)</f>
        <v>20</v>
      </c>
      <c r="Z7" s="143">
        <f>_xlfn.XLOOKUP(D7,RUC!$B$3:$B$123,RUC!$H$3:$H$123)</f>
        <v>30</v>
      </c>
      <c r="AA7" s="144">
        <f t="shared" si="3"/>
        <v>50</v>
      </c>
      <c r="AB7" s="145">
        <f t="shared" si="4"/>
        <v>1227.4754243200002</v>
      </c>
      <c r="AC7" s="145">
        <f>+(S7-T7)*V7-'data 1'!$F$4</f>
        <v>52.27600000000001</v>
      </c>
      <c r="AD7" s="145">
        <f t="shared" si="5"/>
        <v>90.413894698559901</v>
      </c>
      <c r="AE7" s="145">
        <f t="shared" si="6"/>
        <v>-14.884999999999998</v>
      </c>
      <c r="AF7" s="145">
        <f t="shared" si="7"/>
        <v>112.42292796575987</v>
      </c>
      <c r="AG7" s="772">
        <f t="shared" si="8"/>
        <v>257.22782266431977</v>
      </c>
      <c r="AH7" s="1253">
        <f t="shared" si="9"/>
        <v>33.781999999999996</v>
      </c>
      <c r="AI7" s="1253">
        <f t="shared" si="10"/>
        <v>35.43</v>
      </c>
      <c r="AJ7" s="156">
        <f t="shared" si="11"/>
        <v>-126.83483026736005</v>
      </c>
      <c r="AK7" s="156">
        <f t="shared" si="12"/>
        <v>29.662072042233603</v>
      </c>
      <c r="AM7" s="716">
        <f t="shared" si="13"/>
        <v>3687.3361746572805</v>
      </c>
      <c r="AN7" s="716" t="str">
        <f>_xlfn.XLOOKUP(D7,RUC!$B$3:$B$578,RUC!$M$3:$M$578)</f>
        <v>SIN ACOPIO</v>
      </c>
      <c r="AO7" s="1167" t="s">
        <v>2277</v>
      </c>
      <c r="AP7" s="1843">
        <v>211</v>
      </c>
      <c r="AQ7" s="1866" t="s">
        <v>4991</v>
      </c>
      <c r="AW7" s="1469">
        <f>SUM(AW9:AW18)</f>
        <v>556.68399999999997</v>
      </c>
      <c r="AX7" s="1470">
        <f>SUMPRODUCT(AW9:AW18,AX9:AX18)/SUM(AW9:AW18)</f>
        <v>0.30386780651141404</v>
      </c>
      <c r="AY7" s="704"/>
      <c r="AZ7" s="1471">
        <f ca="1">SUMPRODUCT(AZ9:AZ18,$BB9:$BB18)/SUM($BB9:$BB18)/100</f>
        <v>0.94296343098895563</v>
      </c>
      <c r="BA7" s="707">
        <f>SUM(BA9:BA18)</f>
        <v>5799.659534506166</v>
      </c>
      <c r="BB7" s="707">
        <f ca="1">SUM(BB9:BB18)</f>
        <v>5415.9999999999991</v>
      </c>
    </row>
    <row r="8" spans="1:56" ht="15" customHeight="1" thickBot="1">
      <c r="A8" s="747" t="s">
        <v>5690</v>
      </c>
      <c r="B8" s="1447">
        <v>46163</v>
      </c>
      <c r="C8" s="1447">
        <v>46158</v>
      </c>
      <c r="D8" t="s">
        <v>2004</v>
      </c>
      <c r="E8" s="762">
        <f>_xlfn.XLOOKUP(D8,RUC!$B$3:$B$123,RUC!$D$3:$D$123)</f>
        <v>20612921866</v>
      </c>
      <c r="G8" s="762">
        <v>13</v>
      </c>
      <c r="H8" s="1082" t="s">
        <v>69</v>
      </c>
      <c r="I8" s="703">
        <v>1.07</v>
      </c>
      <c r="J8" s="596">
        <v>2.2999999999999998</v>
      </c>
      <c r="K8" s="703">
        <f t="shared" si="0"/>
        <v>1.0449999999999999</v>
      </c>
      <c r="L8" s="1082">
        <v>0.34799999999999998</v>
      </c>
      <c r="M8" s="994">
        <f>ROUND(+IF(L8&gt;_xlfn.XLOOKUP(AN8,RUC!M:M,RUC!K:K),L8*_xlfn.XLOOKUP(AN8,RUC!M:M,RUC!I:I),L8-_xlfn.XLOOKUP(AN8,RUC!M:M,RUC!J:J)),3)</f>
        <v>0.32700000000000001</v>
      </c>
      <c r="N8" s="1196">
        <f t="shared" si="1"/>
        <v>0.32700000000000001</v>
      </c>
      <c r="O8" s="645">
        <f t="shared" si="2"/>
        <v>0.32700000000000001</v>
      </c>
      <c r="P8" s="727">
        <v>90</v>
      </c>
      <c r="Q8" s="1476">
        <v>99.14</v>
      </c>
      <c r="R8" s="706">
        <v>4528</v>
      </c>
      <c r="S8" s="765">
        <f>IF((_xlfn.XLOOKUP(D8,RUC!$B$3:$B$119,RUC!$E$3:$E$119)+ROUNDDOWN(O8,1)*100)&lt;95,95,((_xlfn.XLOOKUP(D8,RUC!$B$3:$B$119,RUC!$E$3:$E$119)+ROUNDDOWN(O8,1)*100)))</f>
        <v>110</v>
      </c>
      <c r="U8" s="1146">
        <f>_xlfn.XLOOKUP(D8,RUC!$B$3:$B$123,RUC!$F$3:$F$123)</f>
        <v>100</v>
      </c>
      <c r="V8" s="715">
        <v>1.1023000000000001</v>
      </c>
      <c r="Y8">
        <f>_xlfn.XLOOKUP(D8,RUC!$B$3:$B$123,RUC!$G$3:$G$123)</f>
        <v>0</v>
      </c>
      <c r="Z8" s="143">
        <f>_xlfn.XLOOKUP(D8,RUC!$B$3:$B$123,RUC!$H$3:$H$123)</f>
        <v>30</v>
      </c>
      <c r="AA8" s="144">
        <f t="shared" si="3"/>
        <v>30</v>
      </c>
      <c r="AB8" s="145">
        <f t="shared" si="4"/>
        <v>1282.1517089200001</v>
      </c>
      <c r="AC8" s="145">
        <f>+(S8-T8)*V8-'data 1'!$F$4</f>
        <v>41.253</v>
      </c>
      <c r="AD8" s="145">
        <f t="shared" si="5"/>
        <v>155.25044700768001</v>
      </c>
      <c r="AE8" s="145">
        <f t="shared" si="6"/>
        <v>-36.930999999999997</v>
      </c>
      <c r="AF8" s="145">
        <f t="shared" si="7"/>
        <v>101.61916661735984</v>
      </c>
      <c r="AG8" s="772">
        <f>AC8+AD8+AE8+AF8+70-10</f>
        <v>321.19161362503985</v>
      </c>
      <c r="AH8" s="1253">
        <f t="shared" si="9"/>
        <v>12.361000000000001</v>
      </c>
      <c r="AI8" s="1253">
        <f t="shared" si="10"/>
        <v>12.468</v>
      </c>
      <c r="AJ8" s="156">
        <f t="shared" si="11"/>
        <v>-122.45706257232001</v>
      </c>
      <c r="AK8" s="156">
        <f t="shared" si="12"/>
        <v>10.544248239755177</v>
      </c>
      <c r="AM8" s="716">
        <f t="shared" si="13"/>
        <v>1339.8485358214</v>
      </c>
      <c r="AN8" s="716" t="str">
        <f>_xlfn.XLOOKUP(D8,RUC!$B$3:$B$578,RUC!$M$3:$M$578)</f>
        <v>Ronald Garibay</v>
      </c>
      <c r="AO8" s="1167" t="s">
        <v>2277</v>
      </c>
      <c r="AP8" s="1843">
        <v>470</v>
      </c>
      <c r="AQ8" s="1082" t="s">
        <v>5707</v>
      </c>
      <c r="AV8" s="762"/>
      <c r="AW8" s="762" t="s">
        <v>15</v>
      </c>
      <c r="AX8" s="762" t="s">
        <v>2522</v>
      </c>
      <c r="AY8" s="1214" t="s">
        <v>2522</v>
      </c>
      <c r="AZ8" s="762" t="s">
        <v>2523</v>
      </c>
      <c r="BA8" s="762" t="s">
        <v>2558</v>
      </c>
      <c r="BB8" s="762" t="s">
        <v>2559</v>
      </c>
      <c r="BC8" s="1555" t="s">
        <v>2565</v>
      </c>
      <c r="BD8" s="729" t="s">
        <v>2579</v>
      </c>
    </row>
    <row r="9" spans="1:56" ht="15" customHeight="1">
      <c r="A9" s="747" t="s">
        <v>5691</v>
      </c>
      <c r="B9" s="1447">
        <v>46165</v>
      </c>
      <c r="C9" s="1447">
        <v>46158</v>
      </c>
      <c r="D9" t="s">
        <v>2004</v>
      </c>
      <c r="E9" s="762">
        <f>_xlfn.XLOOKUP(D9,RUC!$B$3:$B$123,RUC!$D$3:$D$123)</f>
        <v>20612921866</v>
      </c>
      <c r="G9" s="762">
        <v>28</v>
      </c>
      <c r="H9" s="1082" t="s">
        <v>69</v>
      </c>
      <c r="I9" s="703">
        <v>2.56</v>
      </c>
      <c r="J9" s="596">
        <v>2.1</v>
      </c>
      <c r="K9" s="703">
        <f t="shared" si="0"/>
        <v>2.5059999999999998</v>
      </c>
      <c r="L9" s="1082">
        <v>0.26100000000000001</v>
      </c>
      <c r="M9" s="994">
        <f>ROUND(+IF(L9&gt;_xlfn.XLOOKUP(AN9,RUC!M:M,RUC!K:K),L9*_xlfn.XLOOKUP(AN9,RUC!M:M,RUC!I:I),L9-_xlfn.XLOOKUP(AN9,RUC!M:M,RUC!J:J)),3)</f>
        <v>0.24199999999999999</v>
      </c>
      <c r="N9" s="1444">
        <v>0.29399999999999998</v>
      </c>
      <c r="O9" s="645">
        <f t="shared" si="2"/>
        <v>0.26800000000000002</v>
      </c>
      <c r="P9" s="727">
        <v>90</v>
      </c>
      <c r="Q9" s="1476">
        <v>98.08</v>
      </c>
      <c r="R9" s="706">
        <v>4528</v>
      </c>
      <c r="S9" s="765">
        <f>IF((_xlfn.XLOOKUP(D9,RUC!$B$3:$B$119,RUC!$E$3:$E$119)+ROUNDDOWN(O9,1)*100)&lt;95,95,((_xlfn.XLOOKUP(D9,RUC!$B$3:$B$119,RUC!$E$3:$E$119)+ROUNDDOWN(O9,1)*100)))</f>
        <v>100</v>
      </c>
      <c r="U9" s="1146">
        <f>_xlfn.XLOOKUP(D9,RUC!$B$3:$B$123,RUC!$F$3:$F$123)</f>
        <v>100</v>
      </c>
      <c r="V9" s="715">
        <v>1.1023000000000001</v>
      </c>
      <c r="Y9">
        <f>_xlfn.XLOOKUP(D9,RUC!$B$3:$B$123,RUC!$G$3:$G$123)</f>
        <v>0</v>
      </c>
      <c r="Z9" s="143">
        <f>_xlfn.XLOOKUP(D9,RUC!$B$3:$B$123,RUC!$H$3:$H$123)</f>
        <v>30</v>
      </c>
      <c r="AA9" s="144">
        <f t="shared" si="3"/>
        <v>30</v>
      </c>
      <c r="AB9" s="145">
        <f t="shared" si="4"/>
        <v>1033.9944372800001</v>
      </c>
      <c r="AC9" s="145">
        <f>+(S9-T9)*V9-'data 1'!$F$4</f>
        <v>30.230000000000004</v>
      </c>
      <c r="AD9" s="145">
        <f t="shared" si="5"/>
        <v>102.93410381471999</v>
      </c>
      <c r="AE9" s="145">
        <f t="shared" si="6"/>
        <v>-36.930999999999997</v>
      </c>
      <c r="AF9" s="145">
        <f t="shared" si="7"/>
        <v>-33.510886496640033</v>
      </c>
      <c r="AG9" s="772">
        <f>AC9+AD9+AE9+AF9+70-10</f>
        <v>122.72221731807997</v>
      </c>
      <c r="AH9" s="1253">
        <f t="shared" si="9"/>
        <v>21.994</v>
      </c>
      <c r="AI9" s="1253">
        <f t="shared" si="10"/>
        <v>22.425000000000001</v>
      </c>
      <c r="AJ9" s="156">
        <f t="shared" si="11"/>
        <v>-90.860818265279988</v>
      </c>
      <c r="AK9" s="156">
        <f t="shared" si="12"/>
        <v>20.723706807735958</v>
      </c>
      <c r="AM9" s="716">
        <f t="shared" si="13"/>
        <v>2591.1900598236798</v>
      </c>
      <c r="AN9" s="716" t="str">
        <f>_xlfn.XLOOKUP(D9,RUC!$B$3:$B$578,RUC!$M$3:$M$578)</f>
        <v>Ronald Garibay</v>
      </c>
      <c r="AO9" s="1167" t="s">
        <v>2277</v>
      </c>
      <c r="AP9" s="1843">
        <v>473</v>
      </c>
      <c r="AQ9" s="1082" t="s">
        <v>5708</v>
      </c>
      <c r="AV9" s="1556" t="s">
        <v>2277</v>
      </c>
      <c r="AW9" s="1227">
        <f t="shared" ref="AW9:AW17" si="14">SUMIF($AO$4:$AO$176,AV9,$K$4:$K$176)</f>
        <v>108.50699999999999</v>
      </c>
      <c r="AX9" s="1227" cm="1">
        <f t="array" ref="AX9">+SUMPRODUCT(IF($AO$4:$AO$176=AV9,$L$4:$L$176*$K$4:$K$176/AW9))</f>
        <v>0.30595473103117776</v>
      </c>
      <c r="AY9" s="1228">
        <f t="shared" ref="AY9:AY18" si="15">31.1035*1.1023*AX9*(100-AZ9)/100</f>
        <v>0.71947994043663999</v>
      </c>
      <c r="AZ9" s="1229" cm="1">
        <f t="array" ref="AZ9">+SUMPRODUCT(IF($AO$4:$AO$125=AV9,($Q$4:$Q$125*$AH$4:$AH$125)/SUMIF($AO$4:$AO$125,$AV9,$AH$4:$AH$125)))</f>
        <v>93.141131956912062</v>
      </c>
      <c r="BA9" s="1441">
        <f t="shared" ref="BA9:BA12" si="16">+AX9*31.1035*1.1023*AW9</f>
        <v>1138.2141981231516</v>
      </c>
      <c r="BB9" s="1230">
        <f ca="1">SUMIF($AO$4:$AO$120,$AV9,$AH$4:$AH$4)</f>
        <v>1058.2999999999997</v>
      </c>
      <c r="BC9" s="1229">
        <f ca="1">+BA9-BB9</f>
        <v>79.914198123151891</v>
      </c>
      <c r="BD9" s="1231">
        <f>+AW9</f>
        <v>108.50699999999999</v>
      </c>
    </row>
    <row r="10" spans="1:56" ht="15" customHeight="1">
      <c r="A10" s="877" t="s">
        <v>5693</v>
      </c>
      <c r="B10" s="1890"/>
      <c r="C10" s="1447">
        <v>46158</v>
      </c>
      <c r="D10" t="s">
        <v>2004</v>
      </c>
      <c r="E10" s="762">
        <f>_xlfn.XLOOKUP(D10,RUC!$B$3:$B$123,RUC!$D$3:$D$123)</f>
        <v>20612921866</v>
      </c>
      <c r="G10" s="762">
        <v>27</v>
      </c>
      <c r="H10" s="1082" t="s">
        <v>69</v>
      </c>
      <c r="I10" s="703">
        <v>2.98</v>
      </c>
      <c r="J10" s="596">
        <v>2.15</v>
      </c>
      <c r="K10" s="703">
        <f t="shared" si="0"/>
        <v>2.9159999999999999</v>
      </c>
      <c r="L10" s="1082">
        <v>0.106</v>
      </c>
      <c r="M10" s="994">
        <f>ROUND(+IF(L10&gt;_xlfn.XLOOKUP(AN10,RUC!M:M,RUC!K:K),L10*_xlfn.XLOOKUP(AN10,RUC!M:M,RUC!I:I),L10-_xlfn.XLOOKUP(AN10,RUC!M:M,RUC!J:J)),3)</f>
        <v>8.6999999999999994E-2</v>
      </c>
      <c r="N10" s="1196">
        <f t="shared" ref="N10" si="17">+M10</f>
        <v>8.6999999999999994E-2</v>
      </c>
      <c r="O10" s="645">
        <f t="shared" si="2"/>
        <v>8.6999999999999994E-2</v>
      </c>
      <c r="P10" s="727">
        <v>90</v>
      </c>
      <c r="Q10" s="1476">
        <v>99.07</v>
      </c>
      <c r="R10" s="706">
        <v>4528</v>
      </c>
      <c r="S10" s="765">
        <f>IF((_xlfn.XLOOKUP(D10,RUC!$B$3:$B$119,RUC!$E$3:$E$119)+ROUNDDOWN(O10,1)*100)&lt;95,95,((_xlfn.XLOOKUP(D10,RUC!$B$3:$B$119,RUC!$E$3:$E$119)+ROUNDDOWN(O10,1)*100)))</f>
        <v>95</v>
      </c>
      <c r="U10" s="1146">
        <f>_xlfn.XLOOKUP(D10,RUC!$B$3:$B$123,RUC!$F$3:$F$123)</f>
        <v>100</v>
      </c>
      <c r="V10" s="715">
        <v>1.1023000000000001</v>
      </c>
      <c r="Y10">
        <f>_xlfn.XLOOKUP(D10,RUC!$B$3:$B$123,RUC!$G$3:$G$123)</f>
        <v>0</v>
      </c>
      <c r="Z10" s="143">
        <f>_xlfn.XLOOKUP(D10,RUC!$B$3:$B$123,RUC!$H$3:$H$123)</f>
        <v>30</v>
      </c>
      <c r="AA10" s="144">
        <f t="shared" si="3"/>
        <v>30</v>
      </c>
      <c r="AB10" s="145">
        <f t="shared" si="4"/>
        <v>244.39357852000001</v>
      </c>
      <c r="AC10" s="145">
        <f>+(S10-T10)*V10-'data 1'!$F$4</f>
        <v>24.718500000000006</v>
      </c>
      <c r="AD10" s="145">
        <f t="shared" si="5"/>
        <v>46.92676021847997</v>
      </c>
      <c r="AE10" s="145">
        <f t="shared" si="6"/>
        <v>-36.930999999999997</v>
      </c>
      <c r="AF10" s="145">
        <f t="shared" si="7"/>
        <v>91.876233656520014</v>
      </c>
      <c r="AG10" s="772">
        <f t="shared" ref="AG10:AG56" si="18">AC10+AD10+AE10+AF10+70-53</f>
        <v>143.59049387499999</v>
      </c>
      <c r="AH10" s="1253">
        <f t="shared" si="9"/>
        <v>10.499000000000001</v>
      </c>
      <c r="AI10" s="1253">
        <f t="shared" si="10"/>
        <v>10.597</v>
      </c>
      <c r="AJ10" s="156">
        <f t="shared" si="11"/>
        <v>-37.273803156519996</v>
      </c>
      <c r="AK10" s="156">
        <f t="shared" si="12"/>
        <v>7.8281357986625393</v>
      </c>
      <c r="AM10" s="716">
        <f t="shared" si="13"/>
        <v>712.65167496432002</v>
      </c>
      <c r="AN10" s="716" t="str">
        <f>_xlfn.XLOOKUP(D10,RUC!$B$3:$B$578,RUC!$M$3:$M$578)</f>
        <v>Ronald Garibay</v>
      </c>
      <c r="AO10" s="1167" t="s">
        <v>2282</v>
      </c>
      <c r="AP10" s="1843">
        <v>473</v>
      </c>
      <c r="AQ10" s="1082" t="s">
        <v>5708</v>
      </c>
      <c r="AV10" s="1557" t="s">
        <v>2278</v>
      </c>
      <c r="AW10" s="703">
        <f t="shared" si="14"/>
        <v>109.17699999999999</v>
      </c>
      <c r="AX10" s="703" cm="1">
        <f t="array" ref="AX10">+SUMPRODUCT(IF($AO$4:$AO$176=AV10,$L$4:$L$176*$K$4:$K$176/AW10))</f>
        <v>0.30140180624124135</v>
      </c>
      <c r="AY10" s="1215">
        <f t="shared" si="15"/>
        <v>0.73691735294741745</v>
      </c>
      <c r="AZ10" s="596" cm="1">
        <f t="array" ref="AZ10">+SUMPRODUCT(IF($AO$4:$AO$125=AV10,($Q$4:$Q$125*$AH$4:$AH$125)/SUMIF($AO$4:$AO$125,$AV10,$AH$4:$AH$125)))</f>
        <v>92.868779527672132</v>
      </c>
      <c r="BA10" s="1481">
        <f t="shared" si="16"/>
        <v>1128.1999505545675</v>
      </c>
      <c r="BB10" s="1237">
        <f ca="1">SUMIF($AO$4:$AO$166,$AV10,$AH$4:$AH$4)</f>
        <v>1044.5709999999999</v>
      </c>
      <c r="BC10" s="596">
        <f t="shared" ref="BC10:BC18" ca="1" si="19">+BC9+BA10-BB10</f>
        <v>163.5431486777195</v>
      </c>
      <c r="BD10" s="1238">
        <f t="shared" ref="BD10:BD18" si="20">+BD9+AW10</f>
        <v>217.68399999999997</v>
      </c>
    </row>
    <row r="11" spans="1:56" ht="15" customHeight="1">
      <c r="A11" s="747" t="s">
        <v>5713</v>
      </c>
      <c r="B11" s="1447">
        <v>46168</v>
      </c>
      <c r="C11" s="1447">
        <v>46161</v>
      </c>
      <c r="D11" t="s">
        <v>5728</v>
      </c>
      <c r="E11" s="762">
        <f>_xlfn.XLOOKUP(D11,RUC!$B$3:$B$123,RUC!$D$3:$D$123)</f>
        <v>20603169094</v>
      </c>
      <c r="G11" s="762">
        <v>48</v>
      </c>
      <c r="H11" s="1082" t="s">
        <v>69</v>
      </c>
      <c r="I11" s="703">
        <v>4.03</v>
      </c>
      <c r="J11" s="596">
        <v>2</v>
      </c>
      <c r="K11" s="703">
        <f t="shared" si="0"/>
        <v>3.9489999999999998</v>
      </c>
      <c r="L11" s="1082">
        <v>0.16300000000000001</v>
      </c>
      <c r="M11" s="994">
        <f>ROUND(+IF(L11&gt;_xlfn.XLOOKUP(AN11,RUC!M:M,RUC!K:K),L11*_xlfn.XLOOKUP(AN11,RUC!M:M,RUC!I:I),L11-_xlfn.XLOOKUP(AN11,RUC!M:M,RUC!J:J)),3)</f>
        <v>0.14099999999999999</v>
      </c>
      <c r="N11" s="1444">
        <v>0.186</v>
      </c>
      <c r="O11" s="645">
        <f t="shared" si="2"/>
        <v>0.16400000000000001</v>
      </c>
      <c r="P11" s="727">
        <v>88</v>
      </c>
      <c r="Q11" s="1476">
        <v>88.34</v>
      </c>
      <c r="R11" s="706">
        <v>4496.7</v>
      </c>
      <c r="S11" s="765">
        <f>IF((_xlfn.XLOOKUP(D11,RUC!$B$3:$B$119,RUC!$E$3:$E$119)+ROUNDDOWN(O11,1)*100)&lt;95,95,((_xlfn.XLOOKUP(D11,RUC!$B$3:$B$119,RUC!$E$3:$E$119)+ROUNDDOWN(O11,1)*100)))</f>
        <v>100</v>
      </c>
      <c r="U11" s="1146">
        <f>_xlfn.XLOOKUP(D11,RUC!$B$3:$B$123,RUC!$F$3:$F$123)</f>
        <v>100</v>
      </c>
      <c r="V11" s="715">
        <v>1.1023000000000001</v>
      </c>
      <c r="Y11">
        <f>_xlfn.XLOOKUP(D11,RUC!$B$3:$B$123,RUC!$G$3:$G$123)</f>
        <v>0</v>
      </c>
      <c r="Z11" s="143">
        <f>_xlfn.XLOOKUP(D11,RUC!$B$3:$B$123,RUC!$H$3:$H$123)</f>
        <v>28</v>
      </c>
      <c r="AA11" s="144">
        <f t="shared" si="3"/>
        <v>28</v>
      </c>
      <c r="AB11" s="145">
        <f t="shared" si="4"/>
        <v>558.34994141120001</v>
      </c>
      <c r="AC11" s="145">
        <f>+(S11-T11)*V11-'data 1'!$F$4</f>
        <v>30.230000000000004</v>
      </c>
      <c r="AD11" s="145">
        <f t="shared" si="5"/>
        <v>2.685920551622027</v>
      </c>
      <c r="AE11" s="145">
        <f t="shared" si="6"/>
        <v>-39.135599999999997</v>
      </c>
      <c r="AF11" s="145">
        <f t="shared" si="7"/>
        <v>-4.2813825609940039</v>
      </c>
      <c r="AG11" s="772">
        <f t="shared" si="18"/>
        <v>6.4989379906280291</v>
      </c>
      <c r="AH11" s="1253">
        <f t="shared" si="9"/>
        <v>19.495999999999999</v>
      </c>
      <c r="AI11" s="1253">
        <f t="shared" si="10"/>
        <v>22.068999999999999</v>
      </c>
      <c r="AJ11" s="156">
        <f t="shared" si="11"/>
        <v>-46.141301296061982</v>
      </c>
      <c r="AK11" s="156">
        <f t="shared" si="12"/>
        <v>19.539917386131826</v>
      </c>
      <c r="AM11" s="716">
        <f t="shared" si="13"/>
        <v>2204.9239186328286</v>
      </c>
      <c r="AN11" s="716" t="str">
        <f>_xlfn.XLOOKUP(D11,RUC!$B$3:$B$578,RUC!$M$3:$M$578)</f>
        <v>YEREMY</v>
      </c>
      <c r="AO11" s="1167" t="s">
        <v>2277</v>
      </c>
      <c r="AP11" s="1843">
        <v>386</v>
      </c>
      <c r="AQ11" s="1082" t="s">
        <v>5732</v>
      </c>
      <c r="AV11" s="1557" t="s">
        <v>2280</v>
      </c>
      <c r="AW11" s="703">
        <f t="shared" si="14"/>
        <v>116.822</v>
      </c>
      <c r="AX11" s="703" cm="1">
        <f t="array" ref="AX11">+SUMPRODUCT(IF($AO$4:$AO$176=AV11,$L$4:$L$176*$K$4:$K$176/AW11))</f>
        <v>0.30566060331102013</v>
      </c>
      <c r="AY11" s="1215">
        <f t="shared" si="15"/>
        <v>0.80668670784088436</v>
      </c>
      <c r="AZ11" s="596" cm="1">
        <f t="array" ref="AZ11">+SUMPRODUCT(IF($AO$4:$AO$125=AV11,($Q$4:$Q$125*$AH$4:$AH$125)/SUMIF($AO$4:$AO$125,$AV11,$AH$4:$AH$125)))</f>
        <v>92.302381812848793</v>
      </c>
      <c r="BA11" s="1237">
        <f t="shared" si="16"/>
        <v>1224.2586250989978</v>
      </c>
      <c r="BB11" s="1237">
        <f ca="1">SUMIF($AO$4:$AO$166,$AV11,$AH$4:$AH$4)</f>
        <v>1104.6039999999998</v>
      </c>
      <c r="BC11" s="596">
        <f t="shared" ca="1" si="19"/>
        <v>283.19777377671744</v>
      </c>
      <c r="BD11" s="1238">
        <f t="shared" si="20"/>
        <v>334.50599999999997</v>
      </c>
    </row>
    <row r="12" spans="1:56" ht="15" customHeight="1">
      <c r="A12" s="747" t="s">
        <v>5714</v>
      </c>
      <c r="B12" s="1447">
        <v>46168</v>
      </c>
      <c r="C12" s="1447">
        <v>46161</v>
      </c>
      <c r="D12" t="s">
        <v>5728</v>
      </c>
      <c r="E12" s="762">
        <f>_xlfn.XLOOKUP(D12,RUC!$B$3:$B$123,RUC!$D$3:$D$123)</f>
        <v>20603169094</v>
      </c>
      <c r="G12" s="762">
        <v>31</v>
      </c>
      <c r="H12" s="1082" t="s">
        <v>69</v>
      </c>
      <c r="I12" s="703">
        <v>2.57</v>
      </c>
      <c r="J12" s="596">
        <v>3.95</v>
      </c>
      <c r="K12" s="703">
        <f t="shared" si="0"/>
        <v>2.468</v>
      </c>
      <c r="L12" s="1082">
        <v>0.33200000000000002</v>
      </c>
      <c r="M12" s="994">
        <f>ROUND(+IF(L12&gt;_xlfn.XLOOKUP(AN12,RUC!M:M,RUC!K:K),L12*_xlfn.XLOOKUP(AN12,RUC!M:M,RUC!I:I),L12-_xlfn.XLOOKUP(AN12,RUC!M:M,RUC!J:J)),3)</f>
        <v>0.31</v>
      </c>
      <c r="N12" s="1196">
        <f t="shared" ref="N12:N56" si="21">+M12</f>
        <v>0.31</v>
      </c>
      <c r="O12" s="645">
        <f t="shared" si="2"/>
        <v>0.31</v>
      </c>
      <c r="P12" s="727">
        <v>85</v>
      </c>
      <c r="Q12" s="1476">
        <v>84.34</v>
      </c>
      <c r="R12" s="706">
        <v>4496.7</v>
      </c>
      <c r="S12" s="765">
        <f>IF((_xlfn.XLOOKUP(D12,RUC!$B$3:$B$119,RUC!$E$3:$E$119)+ROUNDDOWN(O12,1)*100)&lt;95,95,((_xlfn.XLOOKUP(D12,RUC!$B$3:$B$119,RUC!$E$3:$E$119)+ROUNDDOWN(O12,1)*100)))</f>
        <v>120</v>
      </c>
      <c r="U12" s="1146">
        <f>_xlfn.XLOOKUP(D12,RUC!$B$3:$B$123,RUC!$F$3:$F$123)</f>
        <v>100</v>
      </c>
      <c r="V12" s="715">
        <v>1.1023000000000001</v>
      </c>
      <c r="Y12">
        <f>_xlfn.XLOOKUP(D12,RUC!$B$3:$B$123,RUC!$G$3:$G$123)</f>
        <v>0</v>
      </c>
      <c r="Z12" s="143">
        <f>_xlfn.XLOOKUP(D12,RUC!$B$3:$B$123,RUC!$H$3:$H$123)</f>
        <v>28</v>
      </c>
      <c r="AA12" s="144">
        <f t="shared" si="3"/>
        <v>28</v>
      </c>
      <c r="AB12" s="145">
        <f t="shared" si="4"/>
        <v>1113.9077150350001</v>
      </c>
      <c r="AC12" s="145">
        <f>+(S12-T12)*V12-'data 1'!$F$4</f>
        <v>52.27600000000001</v>
      </c>
      <c r="AD12" s="145">
        <f t="shared" si="5"/>
        <v>-10.619612256791948</v>
      </c>
      <c r="AE12" s="145">
        <f t="shared" si="6"/>
        <v>-39.135599999999997</v>
      </c>
      <c r="AF12" s="145">
        <f t="shared" si="7"/>
        <v>89.925511821068085</v>
      </c>
      <c r="AG12" s="772">
        <f t="shared" si="18"/>
        <v>109.44629956427616</v>
      </c>
      <c r="AH12" s="1253">
        <f t="shared" si="9"/>
        <v>23.693000000000001</v>
      </c>
      <c r="AI12" s="1253">
        <f t="shared" si="10"/>
        <v>28.093</v>
      </c>
      <c r="AJ12" s="156">
        <f t="shared" si="11"/>
        <v>-89.725630659767958</v>
      </c>
      <c r="AK12" s="156">
        <f t="shared" si="12"/>
        <v>22.296404985899898</v>
      </c>
      <c r="AM12" s="716">
        <f t="shared" si="13"/>
        <v>2749.1242407063805</v>
      </c>
      <c r="AN12" s="716" t="str">
        <f>_xlfn.XLOOKUP(D12,RUC!$B$3:$B$578,RUC!$M$3:$M$578)</f>
        <v>YEREMY</v>
      </c>
      <c r="AO12" s="1167" t="s">
        <v>2277</v>
      </c>
      <c r="AP12" s="1843">
        <v>386</v>
      </c>
      <c r="AQ12" s="1082" t="s">
        <v>5732</v>
      </c>
      <c r="AV12" s="1557" t="s">
        <v>2279</v>
      </c>
      <c r="AW12" s="703">
        <f t="shared" si="14"/>
        <v>121.73099999999998</v>
      </c>
      <c r="AX12" s="703" cm="1">
        <f t="array" ref="AX12">+SUMPRODUCT(IF($AO$4:$AO$176=AV12,$L$4:$L$176*$K$4:$K$176/AW12))</f>
        <v>0.30627242033664398</v>
      </c>
      <c r="AY12" s="1215">
        <f t="shared" si="15"/>
        <v>0.29310536007285715</v>
      </c>
      <c r="AZ12" s="596" cm="1">
        <f t="array" ref="AZ12">+SUMPRODUCT(IF($AO$4:$AO$125=AV12,($Q$4:$Q$125*$AH$4:$AH$125)/SUMIF($AO$4:$AO$125,$AV12,$AH$4:$AH$125)))</f>
        <v>97.208698167644215</v>
      </c>
      <c r="BA12" s="1237">
        <f t="shared" si="16"/>
        <v>1278.2569112891667</v>
      </c>
      <c r="BB12" s="1237">
        <f ca="1">SUMIF($AO$4:$AO$166,$AV12,$AH$4:$AH$4)</f>
        <v>1242.2259999999999</v>
      </c>
      <c r="BC12" s="596">
        <f t="shared" ca="1" si="19"/>
        <v>319.22868506588429</v>
      </c>
      <c r="BD12" s="1238">
        <f t="shared" si="20"/>
        <v>456.23699999999997</v>
      </c>
    </row>
    <row r="13" spans="1:56" ht="15" customHeight="1">
      <c r="A13" s="747" t="s">
        <v>5715</v>
      </c>
      <c r="B13" s="1447">
        <v>46168</v>
      </c>
      <c r="C13" s="1447">
        <v>46161</v>
      </c>
      <c r="D13" t="s">
        <v>5728</v>
      </c>
      <c r="E13" s="762">
        <f>_xlfn.XLOOKUP(D13,RUC!$B$3:$B$123,RUC!$D$3:$D$123)</f>
        <v>20603169094</v>
      </c>
      <c r="G13" s="762">
        <v>47</v>
      </c>
      <c r="H13" s="1082" t="s">
        <v>69</v>
      </c>
      <c r="I13" s="703">
        <v>3.69</v>
      </c>
      <c r="J13" s="596">
        <v>3.4</v>
      </c>
      <c r="K13" s="703">
        <f t="shared" si="0"/>
        <v>3.5649999999999999</v>
      </c>
      <c r="L13" s="1082">
        <v>0.21199999999999999</v>
      </c>
      <c r="M13" s="994">
        <f>ROUND(+IF(L13&gt;_xlfn.XLOOKUP(AN13,RUC!M:M,RUC!K:K),L13*_xlfn.XLOOKUP(AN13,RUC!M:M,RUC!I:I),L13-_xlfn.XLOOKUP(AN13,RUC!M:M,RUC!J:J)),3)</f>
        <v>0.19</v>
      </c>
      <c r="N13" s="1196">
        <f t="shared" si="21"/>
        <v>0.19</v>
      </c>
      <c r="O13" s="645">
        <f t="shared" si="2"/>
        <v>0.19</v>
      </c>
      <c r="P13" s="727">
        <v>89</v>
      </c>
      <c r="Q13" s="1476">
        <v>89.62</v>
      </c>
      <c r="R13" s="706">
        <v>4496.7</v>
      </c>
      <c r="S13" s="765">
        <f>IF((_xlfn.XLOOKUP(D13,RUC!$B$3:$B$119,RUC!$E$3:$E$119)+ROUNDDOWN(O13,1)*100)&lt;95,95,((_xlfn.XLOOKUP(D13,RUC!$B$3:$B$119,RUC!$E$3:$E$119)+ROUNDDOWN(O13,1)*100)))</f>
        <v>100</v>
      </c>
      <c r="U13" s="1146">
        <f>_xlfn.XLOOKUP(D13,RUC!$B$3:$B$123,RUC!$F$3:$F$123)</f>
        <v>100</v>
      </c>
      <c r="V13" s="715">
        <v>1.1023000000000001</v>
      </c>
      <c r="Y13">
        <f>_xlfn.XLOOKUP(D13,RUC!$B$3:$B$123,RUC!$G$3:$G$123)</f>
        <v>0</v>
      </c>
      <c r="Z13" s="143">
        <f>_xlfn.XLOOKUP(D13,RUC!$B$3:$B$123,RUC!$H$3:$H$123)</f>
        <v>28</v>
      </c>
      <c r="AA13" s="144">
        <f t="shared" si="3"/>
        <v>28</v>
      </c>
      <c r="AB13" s="145">
        <f t="shared" si="4"/>
        <v>678.44577553100009</v>
      </c>
      <c r="AC13" s="145">
        <f>+(S13-T13)*V13-'data 1'!$F$4</f>
        <v>30.230000000000004</v>
      </c>
      <c r="AD13" s="145">
        <f t="shared" si="5"/>
        <v>6.3702164797040464</v>
      </c>
      <c r="AE13" s="145">
        <f t="shared" si="6"/>
        <v>-39.135599999999997</v>
      </c>
      <c r="AF13" s="145">
        <f t="shared" si="7"/>
        <v>95.555185788523957</v>
      </c>
      <c r="AG13" s="772">
        <f t="shared" si="18"/>
        <v>110.01980226822801</v>
      </c>
      <c r="AH13" s="1253">
        <f t="shared" si="9"/>
        <v>23.222999999999999</v>
      </c>
      <c r="AI13" s="1253">
        <f t="shared" si="10"/>
        <v>25.911999999999999</v>
      </c>
      <c r="AJ13" s="156">
        <f t="shared" si="11"/>
        <v>-60.881541443783959</v>
      </c>
      <c r="AK13" s="156">
        <f t="shared" si="12"/>
        <v>20.668654760144076</v>
      </c>
      <c r="AM13" s="716">
        <f t="shared" si="13"/>
        <v>2418.6591897680155</v>
      </c>
      <c r="AN13" s="716" t="str">
        <f>_xlfn.XLOOKUP(D13,RUC!$B$3:$B$578,RUC!$M$3:$M$578)</f>
        <v>YEREMY</v>
      </c>
      <c r="AO13" s="1167" t="s">
        <v>2277</v>
      </c>
      <c r="AP13" s="1843">
        <v>386</v>
      </c>
      <c r="AQ13" s="1082" t="s">
        <v>5732</v>
      </c>
      <c r="AV13" s="1557" t="s">
        <v>2281</v>
      </c>
      <c r="AW13" s="703">
        <f t="shared" si="14"/>
        <v>100.44699999999999</v>
      </c>
      <c r="AX13" s="703" cm="1">
        <f t="array" ref="AX13">+SUMPRODUCT(IF($AO$4:$AO$176=AV13,$L$4:$L$176*$K$4:$K$176/AW13))</f>
        <v>0.29929455334654109</v>
      </c>
      <c r="AY13" s="1215">
        <f t="shared" si="15"/>
        <v>0.44738649647142531</v>
      </c>
      <c r="AZ13" s="596" cm="1">
        <f t="array" ref="AZ13">+SUMPRODUCT(IF($AO$4:$AO$125=AV13,($Q$4:$Q$125*$AH$4:$AH$125)/SUMIF($AO$4:$AO$125,$AV13,$AH$4:$AH$125)))</f>
        <v>95.640115454552102</v>
      </c>
      <c r="BA13" s="1237">
        <f>+AX13*31.1035*1.1023*AW13</f>
        <v>1030.7298494402824</v>
      </c>
      <c r="BB13" s="1237">
        <f ca="1">SUMIF($AO$4:$AO$166,$AV13,$AH$4:$AH$4)</f>
        <v>966.29899999999998</v>
      </c>
      <c r="BC13" s="596">
        <f t="shared" ca="1" si="19"/>
        <v>383.65953450616666</v>
      </c>
      <c r="BD13" s="1238">
        <f t="shared" si="20"/>
        <v>556.68399999999997</v>
      </c>
    </row>
    <row r="14" spans="1:56" ht="15" customHeight="1">
      <c r="A14" s="747" t="s">
        <v>5716</v>
      </c>
      <c r="B14" s="1447">
        <v>46168</v>
      </c>
      <c r="C14" s="1447">
        <v>46161</v>
      </c>
      <c r="D14" t="s">
        <v>5728</v>
      </c>
      <c r="E14" s="762">
        <f>_xlfn.XLOOKUP(D14,RUC!$B$3:$B$123,RUC!$D$3:$D$123)</f>
        <v>20603169094</v>
      </c>
      <c r="G14" s="762">
        <v>83</v>
      </c>
      <c r="H14" s="1082" t="s">
        <v>69</v>
      </c>
      <c r="I14" s="703">
        <v>7.63</v>
      </c>
      <c r="J14" s="596">
        <v>2.25</v>
      </c>
      <c r="K14" s="703">
        <f t="shared" si="0"/>
        <v>7.4580000000000002</v>
      </c>
      <c r="L14" s="1082">
        <v>0.34799999999999998</v>
      </c>
      <c r="M14" s="994">
        <f>ROUND(+IF(L14&gt;_xlfn.XLOOKUP(AN14,RUC!M:M,RUC!K:K),L14*_xlfn.XLOOKUP(AN14,RUC!M:M,RUC!I:I),L14-_xlfn.XLOOKUP(AN14,RUC!M:M,RUC!J:J)),3)</f>
        <v>0.32600000000000001</v>
      </c>
      <c r="N14" s="1196">
        <f t="shared" si="21"/>
        <v>0.32600000000000001</v>
      </c>
      <c r="O14" s="645">
        <f t="shared" si="2"/>
        <v>0.32600000000000001</v>
      </c>
      <c r="P14" s="727">
        <v>88</v>
      </c>
      <c r="Q14" s="1476">
        <v>89.37</v>
      </c>
      <c r="R14" s="706">
        <v>4496.7</v>
      </c>
      <c r="S14" s="765">
        <f>IF((_xlfn.XLOOKUP(D14,RUC!$B$3:$B$119,RUC!$E$3:$E$119)+ROUNDDOWN(O14,1)*100)&lt;95,95,((_xlfn.XLOOKUP(D14,RUC!$B$3:$B$119,RUC!$E$3:$E$119)+ROUNDDOWN(O14,1)*100)))</f>
        <v>120</v>
      </c>
      <c r="U14" s="1146">
        <f>_xlfn.XLOOKUP(D14,RUC!$B$3:$B$123,RUC!$F$3:$F$123)</f>
        <v>100</v>
      </c>
      <c r="V14" s="715">
        <v>1.1023000000000001</v>
      </c>
      <c r="Y14">
        <f>_xlfn.XLOOKUP(D14,RUC!$B$3:$B$123,RUC!$G$3:$G$123)</f>
        <v>0</v>
      </c>
      <c r="Z14" s="143">
        <f>_xlfn.XLOOKUP(D14,RUC!$B$3:$B$123,RUC!$H$3:$H$123)</f>
        <v>28</v>
      </c>
      <c r="AA14" s="144">
        <f t="shared" si="3"/>
        <v>28</v>
      </c>
      <c r="AB14" s="145">
        <f t="shared" si="4"/>
        <v>1227.2184737808</v>
      </c>
      <c r="AC14" s="145">
        <f>+(S14-T14)*V14-'data 1'!$F$4</f>
        <v>52.27600000000001</v>
      </c>
      <c r="AD14" s="145">
        <f t="shared" si="5"/>
        <v>23.106089537916073</v>
      </c>
      <c r="AE14" s="145">
        <f t="shared" si="6"/>
        <v>-39.135599999999997</v>
      </c>
      <c r="AF14" s="145">
        <f t="shared" si="7"/>
        <v>95.288629255973845</v>
      </c>
      <c r="AG14" s="772">
        <f t="shared" si="18"/>
        <v>148.53511879388992</v>
      </c>
      <c r="AH14" s="1253">
        <f t="shared" si="9"/>
        <v>79.525000000000006</v>
      </c>
      <c r="AI14" s="1253">
        <f t="shared" si="10"/>
        <v>88.983999999999995</v>
      </c>
      <c r="AJ14" s="156">
        <f t="shared" si="11"/>
        <v>-99.658843043435951</v>
      </c>
      <c r="AK14" s="156">
        <f t="shared" si="12"/>
        <v>73.355337659181089</v>
      </c>
      <c r="AM14" s="716">
        <f t="shared" si="13"/>
        <v>9152.5953774572063</v>
      </c>
      <c r="AN14" s="716" t="str">
        <f>_xlfn.XLOOKUP(D14,RUC!$B$3:$B$578,RUC!$M$3:$M$578)</f>
        <v>YEREMY</v>
      </c>
      <c r="AO14" s="1167" t="s">
        <v>2277</v>
      </c>
      <c r="AP14" s="1843">
        <v>386</v>
      </c>
      <c r="AQ14" s="1082" t="s">
        <v>5732</v>
      </c>
      <c r="AV14" s="1557" t="s">
        <v>2297</v>
      </c>
      <c r="AW14" s="703">
        <f t="shared" si="14"/>
        <v>0</v>
      </c>
      <c r="AX14" s="703" cm="1">
        <f t="array" ref="AX14">+SUMPRODUCT(IF($AO$4:$AO$176=AV14,$L$4:$L$176*$K$4:$K$176/AW14))</f>
        <v>0</v>
      </c>
      <c r="AY14" s="1215">
        <f t="shared" si="15"/>
        <v>0</v>
      </c>
      <c r="AZ14" s="596" cm="1">
        <f t="array" ref="AZ14">+SUMPRODUCT(IF('44'!$AO$4:$AO$145=AV14,('44'!$Q$4:$Q$145*'44'!$AH$4:$AH$145)/SUMIF('44'!$AO$4:$AO$145,#REF!,'44'!$AH$4:$AH$145)))</f>
        <v>0</v>
      </c>
      <c r="BA14" s="1237">
        <f t="shared" ref="BA14:BA18" si="22">+AX14*31.1035*1.1023*AW14</f>
        <v>0</v>
      </c>
      <c r="BB14" s="1237">
        <f ca="1">SUMIF($AO$4:$AO$120,$AV14,$AH$4:$AH$4)</f>
        <v>0</v>
      </c>
      <c r="BC14" s="596">
        <f t="shared" ca="1" si="19"/>
        <v>383.65953450616666</v>
      </c>
      <c r="BD14" s="1238">
        <f t="shared" si="20"/>
        <v>556.68399999999997</v>
      </c>
    </row>
    <row r="15" spans="1:56" ht="15" customHeight="1">
      <c r="A15" s="747" t="s">
        <v>5722</v>
      </c>
      <c r="B15" s="1447">
        <v>46168</v>
      </c>
      <c r="C15" s="1447">
        <v>46161</v>
      </c>
      <c r="D15" t="s">
        <v>4171</v>
      </c>
      <c r="E15" s="762">
        <f>_xlfn.XLOOKUP(D15,RUC!$B$3:$B$123,RUC!$D$3:$D$123)</f>
        <v>20614284740</v>
      </c>
      <c r="G15" s="762">
        <v>116</v>
      </c>
      <c r="H15" s="1082" t="s">
        <v>69</v>
      </c>
      <c r="I15" s="703">
        <v>9.2100000000000009</v>
      </c>
      <c r="J15" s="596">
        <v>2</v>
      </c>
      <c r="K15" s="703">
        <f t="shared" si="0"/>
        <v>9.0259999999999998</v>
      </c>
      <c r="L15" s="1082">
        <v>0.249</v>
      </c>
      <c r="M15" s="994">
        <f>ROUND(+IF(L15&gt;_xlfn.XLOOKUP(AN15,RUC!M:M,RUC!K:K),L15*_xlfn.XLOOKUP(AN15,RUC!M:M,RUC!I:I),L15-_xlfn.XLOOKUP(AN15,RUC!M:M,RUC!J:J)),3)</f>
        <v>0.23</v>
      </c>
      <c r="N15" s="1196">
        <f t="shared" si="21"/>
        <v>0.23</v>
      </c>
      <c r="O15" s="645">
        <f t="shared" si="2"/>
        <v>0.23</v>
      </c>
      <c r="P15" s="727">
        <v>90</v>
      </c>
      <c r="Q15" s="1476">
        <v>98.8</v>
      </c>
      <c r="R15" s="706">
        <v>4496.7</v>
      </c>
      <c r="S15" s="765">
        <f>IF((_xlfn.XLOOKUP(D15,RUC!$B$3:$B$119,RUC!$E$3:$E$119)+ROUNDDOWN(O15,1)*100)&lt;95,95,((_xlfn.XLOOKUP(D15,RUC!$B$3:$B$119,RUC!$E$3:$E$119)+ROUNDDOWN(O15,1)*100)))</f>
        <v>110</v>
      </c>
      <c r="U15" s="1146">
        <f>_xlfn.XLOOKUP(D15,RUC!$B$3:$B$123,RUC!$F$3:$F$123)</f>
        <v>120</v>
      </c>
      <c r="V15" s="715">
        <v>1.1023000000000001</v>
      </c>
      <c r="Y15">
        <f>_xlfn.XLOOKUP(D15,RUC!$B$3:$B$123,RUC!$G$3:$G$123)</f>
        <v>20</v>
      </c>
      <c r="Z15" s="143">
        <f>_xlfn.XLOOKUP(D15,RUC!$B$3:$B$123,RUC!$H$3:$H$123)</f>
        <v>30</v>
      </c>
      <c r="AA15" s="144">
        <f t="shared" si="3"/>
        <v>50</v>
      </c>
      <c r="AB15" s="145">
        <f t="shared" si="4"/>
        <v>822.29033686999992</v>
      </c>
      <c r="AC15" s="145">
        <f>+(S15-T15)*V15-'data 1'!$F$4</f>
        <v>41.253</v>
      </c>
      <c r="AD15" s="145">
        <f t="shared" si="5"/>
        <v>105.71305061591997</v>
      </c>
      <c r="AE15" s="145">
        <f t="shared" si="6"/>
        <v>-14.884999999999998</v>
      </c>
      <c r="AF15" s="145">
        <f t="shared" si="7"/>
        <v>90.564320288519937</v>
      </c>
      <c r="AG15" s="772">
        <f t="shared" si="18"/>
        <v>239.64537090443991</v>
      </c>
      <c r="AH15" s="1253">
        <f t="shared" si="9"/>
        <v>76.131</v>
      </c>
      <c r="AI15" s="1253">
        <f t="shared" si="10"/>
        <v>77.055999999999997</v>
      </c>
      <c r="AJ15" s="156">
        <f t="shared" si="11"/>
        <v>-73.408162771319951</v>
      </c>
      <c r="AK15" s="156">
        <f t="shared" si="12"/>
        <v>64.058201895635108</v>
      </c>
      <c r="AM15" s="716">
        <f t="shared" si="13"/>
        <v>7421.9925805886187</v>
      </c>
      <c r="AN15" s="716" t="str">
        <f>_xlfn.XLOOKUP(D15,RUC!$B$3:$B$578,RUC!$M$3:$M$578)</f>
        <v xml:space="preserve">Dante </v>
      </c>
      <c r="AO15" s="1167" t="s">
        <v>2278</v>
      </c>
      <c r="AP15" s="1843">
        <v>349</v>
      </c>
      <c r="AQ15" s="1082" t="s">
        <v>3671</v>
      </c>
      <c r="AV15" s="1557" t="s">
        <v>2518</v>
      </c>
      <c r="AW15" s="703">
        <f t="shared" si="14"/>
        <v>0</v>
      </c>
      <c r="AX15" s="703" cm="1">
        <f t="array" ref="AX15">+SUMPRODUCT(IF($AO$4:$AO$176=AV15,$L$4:$L$176*$K$4:$K$176/AW15))</f>
        <v>0</v>
      </c>
      <c r="AY15" s="1215">
        <f t="shared" si="15"/>
        <v>0</v>
      </c>
      <c r="AZ15" s="596" cm="1">
        <f t="array" ref="AZ15">+SUMPRODUCT(IF('44'!$AO$4:$AO$145=AV15,('44'!$Q$4:$Q$145*'44'!$AH$4:$AH$145)/SUMIF('44'!$AO$4:$AO$145,#REF!,'44'!$AH$4:$AH$145)))</f>
        <v>0</v>
      </c>
      <c r="BA15" s="1237">
        <f t="shared" si="22"/>
        <v>0</v>
      </c>
      <c r="BB15" s="1237">
        <f ca="1">SUMIF($AO$4:$AO$120,$AV15,$AH$4:$AH$4)</f>
        <v>0</v>
      </c>
      <c r="BC15" s="596">
        <f t="shared" ca="1" si="19"/>
        <v>383.65953450616666</v>
      </c>
      <c r="BD15" s="1238">
        <f t="shared" si="20"/>
        <v>556.68399999999997</v>
      </c>
    </row>
    <row r="16" spans="1:56" ht="15" customHeight="1">
      <c r="A16" s="747" t="s">
        <v>5750</v>
      </c>
      <c r="B16" s="1447">
        <v>46172</v>
      </c>
      <c r="C16" s="1447">
        <v>46164</v>
      </c>
      <c r="D16" t="s">
        <v>1967</v>
      </c>
      <c r="E16" s="762">
        <f>_xlfn.XLOOKUP(D16,RUC!$B$3:$B$123,RUC!$D$3:$D$123)</f>
        <v>20601769396</v>
      </c>
      <c r="F16" s="629" t="s">
        <v>5771</v>
      </c>
      <c r="G16" s="762">
        <v>33</v>
      </c>
      <c r="H16" s="1082" t="s">
        <v>2005</v>
      </c>
      <c r="I16" s="703">
        <v>2.42</v>
      </c>
      <c r="J16" s="596">
        <v>9.8000000000000007</v>
      </c>
      <c r="K16" s="703">
        <f t="shared" si="0"/>
        <v>2.1829999999999998</v>
      </c>
      <c r="L16" s="1192">
        <v>0.24</v>
      </c>
      <c r="M16" s="1443">
        <v>0.10299999999999999</v>
      </c>
      <c r="N16" s="1196">
        <f t="shared" si="21"/>
        <v>0.10299999999999999</v>
      </c>
      <c r="O16" s="1147">
        <v>0.22700000000000001</v>
      </c>
      <c r="P16" s="727">
        <v>90</v>
      </c>
      <c r="Q16" s="875">
        <v>90.72</v>
      </c>
      <c r="R16" s="706">
        <v>4506.1499999999996</v>
      </c>
      <c r="S16" s="765">
        <f>IF((_xlfn.XLOOKUP(D16,RUC!$B$3:$B$119,RUC!$E$3:$E$119)+ROUNDDOWN(O16,1)*100)&lt;95,95,((_xlfn.XLOOKUP(D16,RUC!$B$3:$B$119,RUC!$E$3:$E$119)+ROUNDDOWN(O16,1)*100)))</f>
        <v>110</v>
      </c>
      <c r="U16" s="1146">
        <f>_xlfn.XLOOKUP(D16,RUC!$B$3:$B$123,RUC!$F$3:$F$123)</f>
        <v>120</v>
      </c>
      <c r="V16" s="715">
        <v>1.1023000000000001</v>
      </c>
      <c r="Y16">
        <f>_xlfn.XLOOKUP(D16,RUC!$B$3:$B$123,RUC!$G$3:$G$123)</f>
        <v>20</v>
      </c>
      <c r="Z16" s="143">
        <f>_xlfn.XLOOKUP(D16,RUC!$B$3:$B$123,RUC!$H$3:$H$123)</f>
        <v>30</v>
      </c>
      <c r="AA16" s="144">
        <f t="shared" si="3"/>
        <v>50</v>
      </c>
      <c r="AB16" s="145">
        <f t="shared" si="4"/>
        <v>811.39249752349997</v>
      </c>
      <c r="AC16" s="145">
        <f>+(S16-T16)*V16-'data 1'!$F$4</f>
        <v>41.253</v>
      </c>
      <c r="AD16" s="145">
        <f t="shared" si="5"/>
        <v>8.3546262345599853</v>
      </c>
      <c r="AE16" s="145">
        <f t="shared" si="6"/>
        <v>-14.884999999999998</v>
      </c>
      <c r="AF16" s="145">
        <f t="shared" si="7"/>
        <v>57.020324050871935</v>
      </c>
      <c r="AG16" s="772">
        <f t="shared" si="18"/>
        <v>108.74295028543193</v>
      </c>
      <c r="AH16" s="1253">
        <f t="shared" si="9"/>
        <v>16.295999999999999</v>
      </c>
      <c r="AI16" s="1253">
        <f t="shared" si="10"/>
        <v>17.963000000000001</v>
      </c>
      <c r="AJ16" s="156">
        <f t="shared" si="11"/>
        <v>-67.236441068159905</v>
      </c>
      <c r="AK16" s="156">
        <f t="shared" si="12"/>
        <v>15.290833931716547</v>
      </c>
      <c r="AM16" s="716">
        <f t="shared" si="13"/>
        <v>1771.2698220938003</v>
      </c>
      <c r="AN16" s="716" t="str">
        <f>_xlfn.XLOOKUP(D16,RUC!$B$3:$B$578,RUC!$M$3:$M$578)</f>
        <v>Evelyn</v>
      </c>
      <c r="AO16" s="1167" t="s">
        <v>2277</v>
      </c>
      <c r="AP16" s="1843">
        <v>323</v>
      </c>
      <c r="AQ16" s="1082" t="s">
        <v>3290</v>
      </c>
      <c r="AV16" s="1557" t="s">
        <v>2519</v>
      </c>
      <c r="AW16" s="703">
        <f t="shared" si="14"/>
        <v>0</v>
      </c>
      <c r="AX16" s="703" cm="1">
        <f t="array" ref="AX16">+SUMPRODUCT(IF($AO$4:$AO$125=AV16,$L$4:$L$125*$K$4:$K$125/AW16))</f>
        <v>0</v>
      </c>
      <c r="AY16" s="1215">
        <f t="shared" si="15"/>
        <v>0</v>
      </c>
      <c r="AZ16" s="596" cm="1">
        <f t="array" ref="AZ16">+SUMPRODUCT(IF('44'!$AO$4:$AO$145=AV16,('44'!$Q$4:$Q$145*'44'!$AH$4:$AH$145)/SUMIF('44'!$AO$4:$AO$145,#REF!,'44'!$AH$4:$AH$145)))</f>
        <v>0</v>
      </c>
      <c r="BA16" s="1237">
        <f t="shared" si="22"/>
        <v>0</v>
      </c>
      <c r="BB16" s="1237">
        <f ca="1">SUMIF($AO$4:$AO$120,$AV16,$AH$4:$AH$4)</f>
        <v>0</v>
      </c>
      <c r="BC16" s="596">
        <f t="shared" ca="1" si="19"/>
        <v>383.65953450616666</v>
      </c>
      <c r="BD16" s="1238">
        <f t="shared" si="20"/>
        <v>556.68399999999997</v>
      </c>
    </row>
    <row r="17" spans="1:56" ht="15" customHeight="1">
      <c r="A17" s="747" t="s">
        <v>5751</v>
      </c>
      <c r="B17" s="1447">
        <v>46172</v>
      </c>
      <c r="C17" s="1447">
        <v>46164</v>
      </c>
      <c r="D17" t="s">
        <v>1967</v>
      </c>
      <c r="E17" s="762">
        <f>_xlfn.XLOOKUP(D17,RUC!$B$3:$B$123,RUC!$D$3:$D$123)</f>
        <v>20601769396</v>
      </c>
      <c r="F17" s="629" t="s">
        <v>5771</v>
      </c>
      <c r="G17" s="762">
        <v>25</v>
      </c>
      <c r="H17" s="1082" t="s">
        <v>2005</v>
      </c>
      <c r="I17" s="703">
        <v>1.76</v>
      </c>
      <c r="J17" s="596">
        <v>9.1</v>
      </c>
      <c r="K17" s="703">
        <f t="shared" si="0"/>
        <v>1.6</v>
      </c>
      <c r="L17" s="1082">
        <v>0.185</v>
      </c>
      <c r="M17" s="1443">
        <v>0.16300000000000001</v>
      </c>
      <c r="N17" s="1196">
        <f t="shared" si="21"/>
        <v>0.16300000000000001</v>
      </c>
      <c r="O17" s="645">
        <f t="shared" si="2"/>
        <v>0.16300000000000001</v>
      </c>
      <c r="P17" s="727">
        <v>85</v>
      </c>
      <c r="Q17" s="875">
        <v>88.11</v>
      </c>
      <c r="R17" s="706">
        <v>4506.1499999999996</v>
      </c>
      <c r="S17" s="765">
        <f>IF((_xlfn.XLOOKUP(D17,RUC!$B$3:$B$119,RUC!$E$3:$E$119)+ROUNDDOWN(O17,1)*100)&lt;95,95,((_xlfn.XLOOKUP(D17,RUC!$B$3:$B$119,RUC!$E$3:$E$119)+ROUNDDOWN(O17,1)*100)))</f>
        <v>100</v>
      </c>
      <c r="U17" s="1146">
        <f>_xlfn.XLOOKUP(D17,RUC!$B$3:$B$123,RUC!$F$3:$F$123)</f>
        <v>120</v>
      </c>
      <c r="V17" s="715">
        <v>1.1023000000000001</v>
      </c>
      <c r="Y17">
        <f>_xlfn.XLOOKUP(D17,RUC!$B$3:$B$123,RUC!$G$3:$G$123)</f>
        <v>20</v>
      </c>
      <c r="Z17" s="143">
        <f>_xlfn.XLOOKUP(D17,RUC!$B$3:$B$123,RUC!$H$3:$H$123)</f>
        <v>30</v>
      </c>
      <c r="AA17" s="144">
        <f t="shared" si="3"/>
        <v>50</v>
      </c>
      <c r="AB17" s="145">
        <f t="shared" si="4"/>
        <v>504.52390323974998</v>
      </c>
      <c r="AC17" s="145">
        <f>+(S17-T17)*V17-'data 1'!$F$4</f>
        <v>30.230000000000004</v>
      </c>
      <c r="AD17" s="145">
        <f t="shared" si="5"/>
        <v>27.817327569757495</v>
      </c>
      <c r="AE17" s="145">
        <f t="shared" si="6"/>
        <v>-14.884999999999998</v>
      </c>
      <c r="AF17" s="145">
        <f t="shared" si="7"/>
        <v>93.719760333308969</v>
      </c>
      <c r="AG17" s="772">
        <f t="shared" si="18"/>
        <v>153.88208790306646</v>
      </c>
      <c r="AH17" s="1253">
        <f t="shared" si="9"/>
        <v>8.9420000000000002</v>
      </c>
      <c r="AI17" s="1253">
        <f t="shared" si="10"/>
        <v>10.148</v>
      </c>
      <c r="AJ17" s="156">
        <f t="shared" si="11"/>
        <v>-50.337004067707433</v>
      </c>
      <c r="AK17" s="156">
        <f t="shared" si="12"/>
        <v>7.600384822924001</v>
      </c>
      <c r="AM17" s="716">
        <f t="shared" si="13"/>
        <v>807.23824518360004</v>
      </c>
      <c r="AN17" s="716" t="str">
        <f>_xlfn.XLOOKUP(D17,RUC!$B$3:$B$578,RUC!$M$3:$M$578)</f>
        <v>Evelyn</v>
      </c>
      <c r="AO17" s="1167" t="s">
        <v>2277</v>
      </c>
      <c r="AP17" s="1843">
        <v>323</v>
      </c>
      <c r="AQ17" s="1082" t="s">
        <v>3290</v>
      </c>
      <c r="AV17" s="1557" t="s">
        <v>2520</v>
      </c>
      <c r="AW17" s="703">
        <f t="shared" si="14"/>
        <v>0</v>
      </c>
      <c r="AX17" s="703" cm="1">
        <f t="array" ref="AX17">+SUMPRODUCT(IF($AO$4:$AO$125=AV17,$L$4:$L$125*$K$4:$K$125/AW17))</f>
        <v>0</v>
      </c>
      <c r="AY17" s="1215">
        <f t="shared" si="15"/>
        <v>0</v>
      </c>
      <c r="AZ17" s="596" cm="1">
        <f t="array" ref="AZ17">+SUMPRODUCT(IF('44'!$AO$4:$AO$145=AV17,('44'!$Q$4:$Q$145*'44'!$AH$4:$AH$145)/SUMIF('44'!$AO$4:$AO$145,#REF!,'44'!$AH$4:$AH$145)))</f>
        <v>0</v>
      </c>
      <c r="BA17" s="1237">
        <f t="shared" si="22"/>
        <v>0</v>
      </c>
      <c r="BB17" s="1237">
        <f ca="1">SUMIF($AO$4:$AO$120,$AV17,$AH$4:$AH$4)</f>
        <v>0</v>
      </c>
      <c r="BC17" s="596">
        <f t="shared" ca="1" si="19"/>
        <v>383.65953450616666</v>
      </c>
      <c r="BD17" s="1238">
        <f t="shared" si="20"/>
        <v>556.68399999999997</v>
      </c>
    </row>
    <row r="18" spans="1:56" ht="15" customHeight="1" thickBot="1">
      <c r="A18" s="747" t="s">
        <v>5767</v>
      </c>
      <c r="B18" s="1447">
        <v>46172</v>
      </c>
      <c r="C18" s="1447">
        <v>46166</v>
      </c>
      <c r="D18" t="s">
        <v>3316</v>
      </c>
      <c r="E18" s="762">
        <f>_xlfn.XLOOKUP(D18,RUC!$B$3:$B$123,RUC!$D$3:$D$123)</f>
        <v>20613935151</v>
      </c>
      <c r="G18" s="762">
        <v>95</v>
      </c>
      <c r="H18" s="1082" t="s">
        <v>69</v>
      </c>
      <c r="I18" s="703">
        <v>7.33</v>
      </c>
      <c r="J18" s="596">
        <v>2.2999999999999998</v>
      </c>
      <c r="K18" s="703">
        <f t="shared" si="0"/>
        <v>7.1609999999999996</v>
      </c>
      <c r="L18" s="1192">
        <v>0.377</v>
      </c>
      <c r="M18" s="994">
        <f>ROUND(+IF(L18&gt;_xlfn.XLOOKUP(AN18,RUC!M:M,RUC!K:K),L18*_xlfn.XLOOKUP(AN18,RUC!M:M,RUC!I:I),L18-_xlfn.XLOOKUP(AN18,RUC!M:M,RUC!J:J)),3)</f>
        <v>0.35399999999999998</v>
      </c>
      <c r="N18" s="1196">
        <f t="shared" si="21"/>
        <v>0.35399999999999998</v>
      </c>
      <c r="O18" s="645">
        <f t="shared" si="2"/>
        <v>0.35399999999999998</v>
      </c>
      <c r="P18" s="727">
        <v>90</v>
      </c>
      <c r="Q18" s="875">
        <v>97.88</v>
      </c>
      <c r="R18" s="706">
        <v>4515.5</v>
      </c>
      <c r="S18" s="765">
        <f>IF((_xlfn.XLOOKUP(D18,RUC!$B$3:$B$119,RUC!$E$3:$E$119)+ROUNDDOWN(O18,1)*100)&lt;95,95,((_xlfn.XLOOKUP(D18,RUC!$B$3:$B$119,RUC!$E$3:$E$119)+ROUNDDOWN(O18,1)*100)))</f>
        <v>120</v>
      </c>
      <c r="U18" s="1146">
        <f>_xlfn.XLOOKUP(D18,RUC!$B$3:$B$123,RUC!$F$3:$F$123)</f>
        <v>120</v>
      </c>
      <c r="V18" s="715">
        <v>1.1023000000000001</v>
      </c>
      <c r="Y18">
        <f>_xlfn.XLOOKUP(D18,RUC!$B$3:$B$123,RUC!$G$3:$G$123)</f>
        <v>20</v>
      </c>
      <c r="Z18" s="143">
        <f>_xlfn.XLOOKUP(D18,RUC!$B$3:$B$123,RUC!$H$3:$H$123)</f>
        <v>30</v>
      </c>
      <c r="AA18" s="144">
        <f t="shared" si="3"/>
        <v>50</v>
      </c>
      <c r="AB18" s="145">
        <f t="shared" si="4"/>
        <v>1356.2768644900002</v>
      </c>
      <c r="AC18" s="145">
        <f>+(S18-T18)*V18-'data 1'!$F$4</f>
        <v>52.27600000000001</v>
      </c>
      <c r="AD18" s="145">
        <f t="shared" si="5"/>
        <v>143.93806481833994</v>
      </c>
      <c r="AE18" s="145">
        <f t="shared" si="6"/>
        <v>-14.884999999999998</v>
      </c>
      <c r="AF18" s="145">
        <f t="shared" si="7"/>
        <v>109.07617210466009</v>
      </c>
      <c r="AG18" s="772">
        <f t="shared" si="18"/>
        <v>307.40523692300007</v>
      </c>
      <c r="AH18" s="1253">
        <f t="shared" si="9"/>
        <v>90.597999999999999</v>
      </c>
      <c r="AI18" s="1253">
        <f t="shared" si="10"/>
        <v>92.56</v>
      </c>
      <c r="AJ18" s="156">
        <f t="shared" si="11"/>
        <v>-117.75617393045999</v>
      </c>
      <c r="AK18" s="156">
        <f t="shared" si="12"/>
        <v>78.221927694979527</v>
      </c>
      <c r="AM18" s="716">
        <f t="shared" si="13"/>
        <v>9712.2986266128901</v>
      </c>
      <c r="AN18" s="716" t="str">
        <f>_xlfn.XLOOKUP(D18,RUC!$B$3:$B$578,RUC!$M$3:$M$578)</f>
        <v xml:space="preserve">Dante </v>
      </c>
      <c r="AO18" s="1167" t="s">
        <v>2277</v>
      </c>
      <c r="AP18" s="1843">
        <v>236</v>
      </c>
      <c r="AQ18" s="1082" t="s">
        <v>2377</v>
      </c>
      <c r="AV18" s="1558" t="s">
        <v>2521</v>
      </c>
      <c r="AW18" s="1254">
        <f>SUMIF($AO$4:$AO$125,AV18,$K$4:$K$125)</f>
        <v>0</v>
      </c>
      <c r="AX18" s="1254" cm="1">
        <f t="array" ref="AX18">+SUMPRODUCT(IF('44'!$AO$4:$AO$145=AV18,'44'!$L$4:$L$145*'44'!$K$4:$K$145/AW18))</f>
        <v>0</v>
      </c>
      <c r="AY18" s="1241">
        <f t="shared" si="15"/>
        <v>0</v>
      </c>
      <c r="AZ18" s="1242" cm="1">
        <f t="array" ref="AZ18">+SUMPRODUCT(IF('44'!$AO$4:$AO$145=AV18,('44'!$Q$4:$Q$145*'44'!$AH$4:$AH$145)/SUMIF('44'!$AO$4:$AO$145,#REF!,'44'!$AH$4:$AH$145)))</f>
        <v>0</v>
      </c>
      <c r="BA18" s="1243">
        <f t="shared" si="22"/>
        <v>0</v>
      </c>
      <c r="BB18" s="1243">
        <f>SUMIF($AO$4:$AO$4,$AV18,$AH$4:$AH$4)</f>
        <v>0</v>
      </c>
      <c r="BC18" s="1242">
        <f t="shared" ca="1" si="19"/>
        <v>383.65953450616666</v>
      </c>
      <c r="BD18" s="1436">
        <f t="shared" si="20"/>
        <v>556.68399999999997</v>
      </c>
    </row>
    <row r="19" spans="1:56" ht="15" customHeight="1">
      <c r="A19" s="747" t="s">
        <v>5782</v>
      </c>
      <c r="B19" s="1447">
        <v>46176</v>
      </c>
      <c r="C19" s="1447">
        <v>46169</v>
      </c>
      <c r="D19" t="s">
        <v>93</v>
      </c>
      <c r="E19" s="762">
        <f>_xlfn.XLOOKUP(D19,RUC!$B$3:$B$123,RUC!$D$3:$D$123)</f>
        <v>20169040231</v>
      </c>
      <c r="F19" s="629" t="s">
        <v>5806</v>
      </c>
      <c r="G19" s="762">
        <v>5</v>
      </c>
      <c r="H19" s="1082" t="s">
        <v>69</v>
      </c>
      <c r="I19" s="703">
        <v>0.49</v>
      </c>
      <c r="J19" s="596">
        <v>2.2999999999999998</v>
      </c>
      <c r="K19" s="703">
        <f t="shared" si="0"/>
        <v>0.47899999999999998</v>
      </c>
      <c r="L19" s="1192">
        <v>0.86699999999999999</v>
      </c>
      <c r="M19" s="994">
        <f>ROUND(+IF(L19&gt;_xlfn.XLOOKUP(AN19,RUC!M:M,RUC!K:K),L19*_xlfn.XLOOKUP(AN19,RUC!M:M,RUC!I:I),L19-_xlfn.XLOOKUP(AN19,RUC!M:M,RUC!J:J)),3)</f>
        <v>0.81499999999999995</v>
      </c>
      <c r="N19" s="1196">
        <f t="shared" si="21"/>
        <v>0.81499999999999995</v>
      </c>
      <c r="O19" s="645">
        <f t="shared" si="2"/>
        <v>0.81499999999999995</v>
      </c>
      <c r="P19" s="727">
        <v>88</v>
      </c>
      <c r="Q19" s="875">
        <v>96.42</v>
      </c>
      <c r="R19" s="706">
        <v>4426</v>
      </c>
      <c r="S19" s="765">
        <f>IF((_xlfn.XLOOKUP(D19,RUC!$B$3:$B$119,RUC!$E$3:$E$119)+ROUNDDOWN(O19,1)*100)&lt;95,95,((_xlfn.XLOOKUP(D19,RUC!$B$3:$B$119,RUC!$E$3:$E$119)+ROUNDDOWN(O19,1)*100)))</f>
        <v>165</v>
      </c>
      <c r="U19" s="1146">
        <f>_xlfn.XLOOKUP(D19,RUC!$B$3:$B$123,RUC!$F$3:$F$123)</f>
        <v>120</v>
      </c>
      <c r="V19" s="715">
        <v>1.1023000000000001</v>
      </c>
      <c r="Y19">
        <f>_xlfn.XLOOKUP(D19,RUC!$B$3:$B$123,RUC!$G$3:$G$123)</f>
        <v>20</v>
      </c>
      <c r="Z19" s="1454">
        <v>35</v>
      </c>
      <c r="AA19" s="144">
        <f t="shared" si="3"/>
        <v>55</v>
      </c>
      <c r="AB19" s="145">
        <f t="shared" si="4"/>
        <v>3161.6865253599999</v>
      </c>
      <c r="AC19" s="145">
        <f>+(S19-T19)*V19-'data 1'!$F$4</f>
        <v>101.87950000000001</v>
      </c>
      <c r="AD19" s="145">
        <f t="shared" si="5"/>
        <v>346.50142250532008</v>
      </c>
      <c r="AE19" s="145">
        <f t="shared" si="6"/>
        <v>-9.3734999999999999</v>
      </c>
      <c r="AF19" s="145">
        <f t="shared" si="7"/>
        <v>237.98210612592021</v>
      </c>
      <c r="AG19" s="772">
        <f t="shared" si="18"/>
        <v>693.98952863124032</v>
      </c>
      <c r="AH19" s="1253">
        <f t="shared" si="9"/>
        <v>13.728999999999999</v>
      </c>
      <c r="AI19" s="1253">
        <f t="shared" si="10"/>
        <v>14.238</v>
      </c>
      <c r="AJ19" s="156">
        <f t="shared" si="11"/>
        <v>-184.29605024399999</v>
      </c>
      <c r="AK19" s="156">
        <f t="shared" si="12"/>
        <v>11.778361068231339</v>
      </c>
      <c r="AM19" s="716">
        <f t="shared" si="13"/>
        <v>1514.4478456474399</v>
      </c>
      <c r="AN19" s="716" t="str">
        <f>_xlfn.XLOOKUP(D19,RUC!$B$3:$B$578,RUC!$M$3:$M$578)</f>
        <v>Ronald Miranda</v>
      </c>
      <c r="AO19" s="1167" t="s">
        <v>2277</v>
      </c>
      <c r="AP19" s="1843">
        <v>6779</v>
      </c>
      <c r="AQ19" s="1894" t="s">
        <v>5799</v>
      </c>
      <c r="AV19" s="1637"/>
      <c r="AW19" s="1234"/>
      <c r="AX19" s="1234"/>
      <c r="AY19" s="1235"/>
      <c r="AZ19" s="1236"/>
      <c r="BA19" s="1237"/>
      <c r="BB19" s="1237"/>
      <c r="BC19" s="1236"/>
      <c r="BD19" s="729"/>
    </row>
    <row r="20" spans="1:56" ht="15" customHeight="1">
      <c r="A20" s="747" t="s">
        <v>5784</v>
      </c>
      <c r="B20" s="1447">
        <v>46176</v>
      </c>
      <c r="C20" s="1447">
        <v>46169</v>
      </c>
      <c r="D20" t="s">
        <v>93</v>
      </c>
      <c r="E20" s="762">
        <f>_xlfn.XLOOKUP(D20,RUC!$B$3:$B$123,RUC!$D$3:$D$123)</f>
        <v>20169040231</v>
      </c>
      <c r="F20" s="629" t="s">
        <v>5806</v>
      </c>
      <c r="G20" s="762">
        <v>52</v>
      </c>
      <c r="H20" s="1082" t="s">
        <v>69</v>
      </c>
      <c r="I20" s="703">
        <v>4.66</v>
      </c>
      <c r="J20" s="596">
        <v>2</v>
      </c>
      <c r="K20" s="703">
        <f t="shared" si="0"/>
        <v>4.5670000000000002</v>
      </c>
      <c r="L20" s="1192">
        <v>0.51400000000000001</v>
      </c>
      <c r="M20" s="994">
        <f>ROUND(+IF(L20&gt;_xlfn.XLOOKUP(AN20,RUC!M:M,RUC!K:K),L20*_xlfn.XLOOKUP(AN20,RUC!M:M,RUC!I:I),L20-_xlfn.XLOOKUP(AN20,RUC!M:M,RUC!J:J)),3)</f>
        <v>0.48299999999999998</v>
      </c>
      <c r="N20" s="1444">
        <v>0.52900000000000003</v>
      </c>
      <c r="O20" s="645">
        <f t="shared" si="2"/>
        <v>0.50600000000000001</v>
      </c>
      <c r="P20" s="727">
        <v>88</v>
      </c>
      <c r="Q20" s="875">
        <v>93.19</v>
      </c>
      <c r="R20" s="706">
        <v>4426</v>
      </c>
      <c r="S20" s="765">
        <f>IF((_xlfn.XLOOKUP(D20,RUC!$B$3:$B$119,RUC!$E$3:$E$119)+ROUNDDOWN(O20,1)*100)&lt;95,95,((_xlfn.XLOOKUP(D20,RUC!$B$3:$B$119,RUC!$E$3:$E$119)+ROUNDDOWN(O20,1)*100)))</f>
        <v>135</v>
      </c>
      <c r="U20" s="1146">
        <f>_xlfn.XLOOKUP(D20,RUC!$B$3:$B$123,RUC!$F$3:$F$123)</f>
        <v>120</v>
      </c>
      <c r="V20" s="715">
        <v>1.1023000000000001</v>
      </c>
      <c r="Y20">
        <f>_xlfn.XLOOKUP(D20,RUC!$B$3:$B$123,RUC!$G$3:$G$123)</f>
        <v>20</v>
      </c>
      <c r="Z20" s="1454">
        <v>35</v>
      </c>
      <c r="AA20" s="144">
        <f t="shared" si="3"/>
        <v>55</v>
      </c>
      <c r="AB20" s="145">
        <f t="shared" si="4"/>
        <v>1904.0862120640002</v>
      </c>
      <c r="AC20" s="145">
        <f>+(S20-T20)*V20-'data 1'!$F$4</f>
        <v>68.810500000000019</v>
      </c>
      <c r="AD20" s="145">
        <f t="shared" si="5"/>
        <v>126.62058327107997</v>
      </c>
      <c r="AE20" s="145">
        <f t="shared" si="6"/>
        <v>-9.3734999999999999</v>
      </c>
      <c r="AF20" s="145">
        <f t="shared" si="7"/>
        <v>35.386135129760035</v>
      </c>
      <c r="AG20" s="772">
        <f t="shared" si="18"/>
        <v>238.44371840084</v>
      </c>
      <c r="AH20" s="1253">
        <f t="shared" si="9"/>
        <v>75.001999999999995</v>
      </c>
      <c r="AI20" s="1253">
        <f t="shared" si="10"/>
        <v>80.483000000000004</v>
      </c>
      <c r="AJ20" s="156">
        <f t="shared" si="11"/>
        <v>-105.599590436</v>
      </c>
      <c r="AK20" s="156">
        <f t="shared" si="12"/>
        <v>69.722551197658561</v>
      </c>
      <c r="AM20" s="716">
        <f t="shared" si="13"/>
        <v>8695.9617304962885</v>
      </c>
      <c r="AN20" s="716" t="str">
        <f>_xlfn.XLOOKUP(D20,RUC!$B$3:$B$578,RUC!$M$3:$M$578)</f>
        <v>Ronald Miranda</v>
      </c>
      <c r="AO20" s="1167" t="s">
        <v>2277</v>
      </c>
      <c r="AP20" s="1843">
        <v>6779</v>
      </c>
      <c r="AQ20" s="1894" t="s">
        <v>5799</v>
      </c>
    </row>
    <row r="21" spans="1:56" ht="15" customHeight="1">
      <c r="A21" s="747" t="s">
        <v>5787</v>
      </c>
      <c r="B21" s="1447">
        <v>46175</v>
      </c>
      <c r="C21" s="1447">
        <v>46169</v>
      </c>
      <c r="D21" t="s">
        <v>93</v>
      </c>
      <c r="E21" s="762">
        <f>_xlfn.XLOOKUP(D21,RUC!$B$3:$B$123,RUC!$D$3:$D$123)</f>
        <v>20169040231</v>
      </c>
      <c r="F21" s="629" t="s">
        <v>5808</v>
      </c>
      <c r="G21" s="762">
        <v>15</v>
      </c>
      <c r="H21" s="1082" t="s">
        <v>69</v>
      </c>
      <c r="I21" s="703">
        <v>1.41</v>
      </c>
      <c r="J21" s="596">
        <v>2.15</v>
      </c>
      <c r="K21" s="703">
        <f t="shared" si="0"/>
        <v>1.38</v>
      </c>
      <c r="L21" s="1192">
        <v>0.32800000000000001</v>
      </c>
      <c r="M21" s="994">
        <f>ROUND(+IF(L21&gt;_xlfn.XLOOKUP(AN21,RUC!M:M,RUC!K:K),L21*_xlfn.XLOOKUP(AN21,RUC!M:M,RUC!I:I),L21-_xlfn.XLOOKUP(AN21,RUC!M:M,RUC!J:J)),3)</f>
        <v>0.308</v>
      </c>
      <c r="N21" s="1196">
        <f t="shared" si="21"/>
        <v>0.308</v>
      </c>
      <c r="O21" s="645">
        <f t="shared" si="2"/>
        <v>0.308</v>
      </c>
      <c r="P21" s="727">
        <v>90</v>
      </c>
      <c r="Q21" s="875">
        <v>90.85</v>
      </c>
      <c r="R21" s="706">
        <v>4426</v>
      </c>
      <c r="S21" s="765">
        <f>IF((_xlfn.XLOOKUP(D21,RUC!$B$3:$B$119,RUC!$E$3:$E$119)+ROUNDDOWN(O21,1)*100)&lt;95,95,((_xlfn.XLOOKUP(D21,RUC!$B$3:$B$119,RUC!$E$3:$E$119)+ROUNDDOWN(O21,1)*100)))</f>
        <v>115</v>
      </c>
      <c r="U21" s="1146">
        <f>_xlfn.XLOOKUP(D21,RUC!$B$3:$B$123,RUC!$F$3:$F$123)</f>
        <v>120</v>
      </c>
      <c r="V21" s="715">
        <v>1.1023000000000001</v>
      </c>
      <c r="Y21">
        <f>_xlfn.XLOOKUP(D21,RUC!$B$3:$B$123,RUC!$G$3:$G$123)</f>
        <v>20</v>
      </c>
      <c r="Z21" s="1454">
        <v>35</v>
      </c>
      <c r="AA21" s="144">
        <f t="shared" si="3"/>
        <v>55</v>
      </c>
      <c r="AB21" s="145">
        <f t="shared" si="4"/>
        <v>1128.33985336</v>
      </c>
      <c r="AC21" s="145">
        <f>+(S21-T21)*V21-'data 1'!$F$4</f>
        <v>46.764500000000012</v>
      </c>
      <c r="AD21" s="145">
        <f t="shared" si="5"/>
        <v>13.233252594399913</v>
      </c>
      <c r="AE21" s="145">
        <f t="shared" si="6"/>
        <v>-9.3734999999999999</v>
      </c>
      <c r="AF21" s="145">
        <f t="shared" si="7"/>
        <v>86.243974046000076</v>
      </c>
      <c r="AG21" s="772">
        <f t="shared" si="18"/>
        <v>153.8682266404</v>
      </c>
      <c r="AH21" s="1253">
        <f t="shared" si="9"/>
        <v>14.099</v>
      </c>
      <c r="AI21" s="1253">
        <f t="shared" si="10"/>
        <v>15.519</v>
      </c>
      <c r="AJ21" s="156">
        <f t="shared" si="11"/>
        <v>-65.694434480000012</v>
      </c>
      <c r="AK21" s="156">
        <f t="shared" si="12"/>
        <v>13.115395203094799</v>
      </c>
      <c r="AM21" s="716">
        <f t="shared" si="13"/>
        <v>1557.1089976367998</v>
      </c>
      <c r="AN21" s="716" t="str">
        <f>_xlfn.XLOOKUP(D21,RUC!$B$3:$B$578,RUC!$M$3:$M$578)</f>
        <v>Ronald Miranda</v>
      </c>
      <c r="AO21" s="1167" t="s">
        <v>2277</v>
      </c>
      <c r="AP21" s="1843">
        <v>6779</v>
      </c>
      <c r="AQ21" s="1894" t="s">
        <v>5799</v>
      </c>
    </row>
    <row r="22" spans="1:56" ht="15" customHeight="1">
      <c r="A22" s="747" t="s">
        <v>5788</v>
      </c>
      <c r="B22" s="1447">
        <v>46175</v>
      </c>
      <c r="C22" s="1447">
        <v>46169</v>
      </c>
      <c r="D22" t="s">
        <v>93</v>
      </c>
      <c r="E22" s="762">
        <f>_xlfn.XLOOKUP(D22,RUC!$B$3:$B$123,RUC!$D$3:$D$123)</f>
        <v>20169040231</v>
      </c>
      <c r="F22" s="629" t="s">
        <v>5808</v>
      </c>
      <c r="G22" s="762">
        <v>15</v>
      </c>
      <c r="H22" s="1082" t="s">
        <v>69</v>
      </c>
      <c r="I22" s="703">
        <v>1.36</v>
      </c>
      <c r="J22" s="596">
        <v>2.2000000000000002</v>
      </c>
      <c r="K22" s="703">
        <f t="shared" si="0"/>
        <v>1.33</v>
      </c>
      <c r="L22" s="1192">
        <v>0.32500000000000001</v>
      </c>
      <c r="M22" s="994">
        <f>ROUND(+IF(L22&gt;_xlfn.XLOOKUP(AN22,RUC!M:M,RUC!K:K),L22*_xlfn.XLOOKUP(AN22,RUC!M:M,RUC!I:I),L22-_xlfn.XLOOKUP(AN22,RUC!M:M,RUC!J:J)),3)</f>
        <v>0.30599999999999999</v>
      </c>
      <c r="N22" s="1196">
        <f t="shared" si="21"/>
        <v>0.30599999999999999</v>
      </c>
      <c r="O22" s="645">
        <f t="shared" si="2"/>
        <v>0.30599999999999999</v>
      </c>
      <c r="P22" s="727">
        <v>90</v>
      </c>
      <c r="Q22" s="875">
        <v>90.77</v>
      </c>
      <c r="R22" s="706">
        <v>4426</v>
      </c>
      <c r="S22" s="765">
        <f>IF((_xlfn.XLOOKUP(D22,RUC!$B$3:$B$119,RUC!$E$3:$E$119)+ROUNDDOWN(O22,1)*100)&lt;95,95,((_xlfn.XLOOKUP(D22,RUC!$B$3:$B$119,RUC!$E$3:$E$119)+ROUNDDOWN(O22,1)*100)))</f>
        <v>115</v>
      </c>
      <c r="U22" s="1146">
        <f>_xlfn.XLOOKUP(D22,RUC!$B$3:$B$123,RUC!$F$3:$F$123)</f>
        <v>120</v>
      </c>
      <c r="V22" s="715">
        <v>1.1023000000000001</v>
      </c>
      <c r="Y22">
        <f>_xlfn.XLOOKUP(D22,RUC!$B$3:$B$123,RUC!$G$3:$G$123)</f>
        <v>20</v>
      </c>
      <c r="Z22" s="1454">
        <v>35</v>
      </c>
      <c r="AA22" s="144">
        <f t="shared" si="3"/>
        <v>55</v>
      </c>
      <c r="AB22" s="145">
        <f t="shared" si="4"/>
        <v>1119.7961465200001</v>
      </c>
      <c r="AC22" s="145">
        <f>+(S22-T22)*V22-'data 1'!$F$4</f>
        <v>46.764500000000012</v>
      </c>
      <c r="AD22" s="145">
        <f t="shared" si="5"/>
        <v>11.878125759499939</v>
      </c>
      <c r="AE22" s="145">
        <f t="shared" si="6"/>
        <v>-9.3734999999999999</v>
      </c>
      <c r="AF22" s="145">
        <f t="shared" si="7"/>
        <v>81.859628485940078</v>
      </c>
      <c r="AG22" s="772">
        <f t="shared" si="18"/>
        <v>148.12875424544004</v>
      </c>
      <c r="AH22" s="1253">
        <f t="shared" si="9"/>
        <v>13.452</v>
      </c>
      <c r="AI22" s="1253">
        <f t="shared" si="10"/>
        <v>14.82</v>
      </c>
      <c r="AJ22" s="156">
        <f t="shared" si="11"/>
        <v>-65.036251150000012</v>
      </c>
      <c r="AK22" s="156">
        <f t="shared" si="12"/>
        <v>12.558120505730104</v>
      </c>
      <c r="AM22" s="716">
        <f t="shared" si="13"/>
        <v>1489.3288748716002</v>
      </c>
      <c r="AN22" s="716" t="str">
        <f>_xlfn.XLOOKUP(D22,RUC!$B$3:$B$578,RUC!$M$3:$M$578)</f>
        <v>Ronald Miranda</v>
      </c>
      <c r="AO22" s="1167" t="s">
        <v>2277</v>
      </c>
      <c r="AP22" s="1843">
        <v>6779</v>
      </c>
      <c r="AQ22" s="1894" t="s">
        <v>5799</v>
      </c>
    </row>
    <row r="23" spans="1:56" ht="15" customHeight="1">
      <c r="A23" s="747" t="s">
        <v>5789</v>
      </c>
      <c r="B23" s="1447">
        <v>46176</v>
      </c>
      <c r="C23" s="1447">
        <v>46170</v>
      </c>
      <c r="D23" t="s">
        <v>1967</v>
      </c>
      <c r="E23" s="762">
        <f>_xlfn.XLOOKUP(D23,RUC!$B$3:$B$123,RUC!$D$3:$D$123)</f>
        <v>20601769396</v>
      </c>
      <c r="F23" s="629" t="s">
        <v>5803</v>
      </c>
      <c r="G23" s="762">
        <v>56</v>
      </c>
      <c r="H23" s="1082" t="s">
        <v>2005</v>
      </c>
      <c r="I23" s="703">
        <v>3.51</v>
      </c>
      <c r="J23" s="596">
        <v>15.4</v>
      </c>
      <c r="K23" s="703">
        <f t="shared" si="0"/>
        <v>2.9689999999999999</v>
      </c>
      <c r="L23" s="1192">
        <v>0.442</v>
      </c>
      <c r="M23" s="994">
        <f>ROUND(+IF(L23&gt;_xlfn.XLOOKUP(AN23,RUC!M:M,RUC!K:K),L23*_xlfn.XLOOKUP(AN23,RUC!M:M,RUC!I:I),L23-_xlfn.XLOOKUP(AN23,RUC!M:M,RUC!J:J)),3)</f>
        <v>0.41499999999999998</v>
      </c>
      <c r="N23" s="1196">
        <f t="shared" si="21"/>
        <v>0.41499999999999998</v>
      </c>
      <c r="O23" s="645">
        <f t="shared" si="2"/>
        <v>0.41499999999999998</v>
      </c>
      <c r="P23" s="727">
        <v>90</v>
      </c>
      <c r="Q23" s="875">
        <v>90.95</v>
      </c>
      <c r="R23" s="706">
        <v>4419.45</v>
      </c>
      <c r="S23" s="765">
        <f>IF((_xlfn.XLOOKUP(D23,RUC!$B$3:$B$119,RUC!$E$3:$E$119)+ROUNDDOWN(O23,1)*100)&lt;95,95,((_xlfn.XLOOKUP(D23,RUC!$B$3:$B$119,RUC!$E$3:$E$119)+ROUNDDOWN(O23,1)*100)))</f>
        <v>130</v>
      </c>
      <c r="U23" s="1146">
        <f>_xlfn.XLOOKUP(D23,RUC!$B$3:$B$123,RUC!$F$3:$F$123)</f>
        <v>120</v>
      </c>
      <c r="V23" s="715">
        <v>1.1023000000000001</v>
      </c>
      <c r="Y23">
        <f>_xlfn.XLOOKUP(D23,RUC!$B$3:$B$123,RUC!$G$3:$G$123)</f>
        <v>20</v>
      </c>
      <c r="Z23" s="143">
        <f>_xlfn.XLOOKUP(D23,RUC!$B$3:$B$123,RUC!$H$3:$H$123)</f>
        <v>30</v>
      </c>
      <c r="AA23" s="144">
        <f t="shared" si="3"/>
        <v>50</v>
      </c>
      <c r="AB23" s="145">
        <f t="shared" si="4"/>
        <v>1571.7084750224999</v>
      </c>
      <c r="AC23" s="145">
        <f>+(S23-T23)*V23-'data 1'!$F$4</f>
        <v>63.299000000000007</v>
      </c>
      <c r="AD23" s="145">
        <f t="shared" si="5"/>
        <v>19.900252403265061</v>
      </c>
      <c r="AE23" s="145">
        <f t="shared" si="6"/>
        <v>-14.884999999999998</v>
      </c>
      <c r="AF23" s="145">
        <f t="shared" si="7"/>
        <v>116.38022103852759</v>
      </c>
      <c r="AG23" s="772">
        <f t="shared" si="18"/>
        <v>201.69447344179267</v>
      </c>
      <c r="AH23" s="1253">
        <f t="shared" si="9"/>
        <v>40.920999999999999</v>
      </c>
      <c r="AI23" s="1253">
        <f t="shared" si="10"/>
        <v>44.993000000000002</v>
      </c>
      <c r="AJ23" s="156">
        <f t="shared" si="11"/>
        <v>-85.722240630064917</v>
      </c>
      <c r="AK23" s="156">
        <f t="shared" si="12"/>
        <v>38.019803944488075</v>
      </c>
      <c r="AM23" s="716">
        <f t="shared" si="13"/>
        <v>4666.4024623418018</v>
      </c>
      <c r="AN23" s="716" t="str">
        <f>_xlfn.XLOOKUP(D23,RUC!$B$3:$B$578,RUC!$M$3:$M$578)</f>
        <v>Evelyn</v>
      </c>
      <c r="AO23" s="1167" t="s">
        <v>2277</v>
      </c>
      <c r="AP23" s="1843">
        <v>338</v>
      </c>
      <c r="AQ23" s="1894" t="s">
        <v>5468</v>
      </c>
    </row>
    <row r="24" spans="1:56" ht="15" customHeight="1">
      <c r="A24" s="747" t="s">
        <v>5790</v>
      </c>
      <c r="B24" s="1447">
        <v>46176</v>
      </c>
      <c r="C24" s="1447">
        <v>46170</v>
      </c>
      <c r="D24" t="s">
        <v>1967</v>
      </c>
      <c r="E24" s="762">
        <f>_xlfn.XLOOKUP(D24,RUC!$B$3:$B$123,RUC!$D$3:$D$123)</f>
        <v>20601769396</v>
      </c>
      <c r="F24" s="629" t="s">
        <v>5803</v>
      </c>
      <c r="G24" s="762">
        <v>30</v>
      </c>
      <c r="H24" s="1082" t="s">
        <v>2005</v>
      </c>
      <c r="I24" s="703">
        <v>2.38</v>
      </c>
      <c r="J24" s="596">
        <v>18.149999999999999</v>
      </c>
      <c r="K24" s="703">
        <f t="shared" si="0"/>
        <v>1.948</v>
      </c>
      <c r="L24" s="1192">
        <v>0.41899999999999998</v>
      </c>
      <c r="M24" s="994">
        <f>ROUND(+IF(L24&gt;_xlfn.XLOOKUP(AN24,RUC!M:M,RUC!K:K),L24*_xlfn.XLOOKUP(AN24,RUC!M:M,RUC!I:I),L24-_xlfn.XLOOKUP(AN24,RUC!M:M,RUC!J:J)),3)</f>
        <v>0.39400000000000002</v>
      </c>
      <c r="N24" s="1196">
        <f t="shared" si="21"/>
        <v>0.39400000000000002</v>
      </c>
      <c r="O24" s="645">
        <f t="shared" si="2"/>
        <v>0.39400000000000002</v>
      </c>
      <c r="P24" s="727">
        <v>90</v>
      </c>
      <c r="Q24" s="875">
        <v>91.17</v>
      </c>
      <c r="R24" s="706">
        <v>4419.45</v>
      </c>
      <c r="S24" s="765">
        <f>IF((_xlfn.XLOOKUP(D24,RUC!$B$3:$B$119,RUC!$E$3:$E$119)+ROUNDDOWN(O24,1)*100)&lt;95,95,((_xlfn.XLOOKUP(D24,RUC!$B$3:$B$119,RUC!$E$3:$E$119)+ROUNDDOWN(O24,1)*100)))</f>
        <v>120</v>
      </c>
      <c r="U24" s="1146">
        <f>_xlfn.XLOOKUP(D24,RUC!$B$3:$B$123,RUC!$F$3:$F$123)</f>
        <v>120</v>
      </c>
      <c r="V24" s="715">
        <v>1.1023000000000001</v>
      </c>
      <c r="Y24">
        <f>_xlfn.XLOOKUP(D24,RUC!$B$3:$B$123,RUC!$G$3:$G$123)</f>
        <v>20</v>
      </c>
      <c r="Z24" s="143">
        <f>_xlfn.XLOOKUP(D24,RUC!$B$3:$B$123,RUC!$H$3:$H$123)</f>
        <v>30</v>
      </c>
      <c r="AA24" s="144">
        <f t="shared" si="3"/>
        <v>50</v>
      </c>
      <c r="AB24" s="145">
        <f t="shared" si="4"/>
        <v>1493.1590124310003</v>
      </c>
      <c r="AC24" s="145">
        <f>+(S24-T24)*V24-'data 1'!$F$4</f>
        <v>52.27600000000001</v>
      </c>
      <c r="AD24" s="145">
        <f t="shared" si="5"/>
        <v>23.233390654090531</v>
      </c>
      <c r="AE24" s="145">
        <f t="shared" si="6"/>
        <v>-14.884999999999998</v>
      </c>
      <c r="AF24" s="145">
        <f t="shared" si="7"/>
        <v>108.02012452998737</v>
      </c>
      <c r="AG24" s="772">
        <f t="shared" si="18"/>
        <v>185.6445151840779</v>
      </c>
      <c r="AH24" s="1253">
        <f t="shared" si="9"/>
        <v>25.513000000000002</v>
      </c>
      <c r="AI24" s="1253">
        <f t="shared" si="10"/>
        <v>27.984000000000002</v>
      </c>
      <c r="AJ24" s="156">
        <f t="shared" si="11"/>
        <v>-81.45814562185042</v>
      </c>
      <c r="AK24" s="156">
        <f t="shared" si="12"/>
        <v>23.683002077728442</v>
      </c>
      <c r="AM24" s="716">
        <f t="shared" si="13"/>
        <v>2908.6737562155886</v>
      </c>
      <c r="AN24" s="716" t="str">
        <f>_xlfn.XLOOKUP(D24,RUC!$B$3:$B$578,RUC!$M$3:$M$578)</f>
        <v>Evelyn</v>
      </c>
      <c r="AO24" s="1167" t="s">
        <v>2277</v>
      </c>
      <c r="AP24" s="1843">
        <v>338</v>
      </c>
      <c r="AQ24" s="1894" t="s">
        <v>5468</v>
      </c>
      <c r="BA24" s="1482"/>
    </row>
    <row r="25" spans="1:56" ht="15" customHeight="1" thickBot="1">
      <c r="A25" s="747" t="s">
        <v>5791</v>
      </c>
      <c r="B25" s="1447">
        <v>46175</v>
      </c>
      <c r="C25" s="1447">
        <v>46170</v>
      </c>
      <c r="D25" t="s">
        <v>1967</v>
      </c>
      <c r="E25" s="762">
        <f>_xlfn.XLOOKUP(D25,RUC!$B$3:$B$123,RUC!$D$3:$D$123)</f>
        <v>20601769396</v>
      </c>
      <c r="F25" s="629" t="s">
        <v>5804</v>
      </c>
      <c r="G25" s="762">
        <v>24</v>
      </c>
      <c r="H25" s="1082" t="s">
        <v>2005</v>
      </c>
      <c r="I25" s="703">
        <v>2.02</v>
      </c>
      <c r="J25" s="596">
        <v>14.75</v>
      </c>
      <c r="K25" s="703">
        <f t="shared" si="0"/>
        <v>1.722</v>
      </c>
      <c r="L25" s="1192">
        <v>0.13800000000000001</v>
      </c>
      <c r="M25" s="994">
        <f>ROUND(+IF(L25&gt;_xlfn.XLOOKUP(AN25,RUC!M:M,RUC!K:K),L25*_xlfn.XLOOKUP(AN25,RUC!M:M,RUC!I:I),L25-_xlfn.XLOOKUP(AN25,RUC!M:M,RUC!J:J)),3)</f>
        <v>0.11899999999999999</v>
      </c>
      <c r="N25" s="1196">
        <f t="shared" si="21"/>
        <v>0.11899999999999999</v>
      </c>
      <c r="O25" s="645">
        <f t="shared" si="2"/>
        <v>0.11899999999999999</v>
      </c>
      <c r="P25" s="727">
        <v>80</v>
      </c>
      <c r="Q25" s="875">
        <v>89.13</v>
      </c>
      <c r="R25" s="706">
        <v>4419.45</v>
      </c>
      <c r="S25" s="765">
        <f>IF((_xlfn.XLOOKUP(D25,RUC!$B$3:$B$119,RUC!$E$3:$E$119)+ROUNDDOWN(O25,1)*100)&lt;95,95,((_xlfn.XLOOKUP(D25,RUC!$B$3:$B$119,RUC!$E$3:$E$119)+ROUNDDOWN(O25,1)*100)))</f>
        <v>100</v>
      </c>
      <c r="U25" s="1146">
        <f>_xlfn.XLOOKUP(D25,RUC!$B$3:$B$123,RUC!$F$3:$F$123)</f>
        <v>120</v>
      </c>
      <c r="V25" s="715">
        <v>1.1023000000000001</v>
      </c>
      <c r="Y25">
        <f>_xlfn.XLOOKUP(D25,RUC!$B$3:$B$123,RUC!$G$3:$G$123)</f>
        <v>20</v>
      </c>
      <c r="Z25" s="143">
        <f>_xlfn.XLOOKUP(D25,RUC!$B$3:$B$123,RUC!$H$3:$H$123)</f>
        <v>30</v>
      </c>
      <c r="AA25" s="144">
        <f t="shared" si="3"/>
        <v>50</v>
      </c>
      <c r="AB25" s="145">
        <f t="shared" si="4"/>
        <v>285.83481157199992</v>
      </c>
      <c r="AC25" s="145">
        <f>+(S25-T25)*V25-'data 1'!$F$4</f>
        <v>30.230000000000004</v>
      </c>
      <c r="AD25" s="145">
        <f t="shared" si="5"/>
        <v>59.712131490758978</v>
      </c>
      <c r="AE25" s="145">
        <f t="shared" si="6"/>
        <v>-14.884999999999998</v>
      </c>
      <c r="AF25" s="145">
        <f t="shared" si="7"/>
        <v>80.25834826710458</v>
      </c>
      <c r="AG25" s="772">
        <f t="shared" si="18"/>
        <v>172.31547975786356</v>
      </c>
      <c r="AH25" s="1253">
        <f t="shared" si="9"/>
        <v>7.2619999999999996</v>
      </c>
      <c r="AI25" s="1253">
        <f t="shared" si="10"/>
        <v>8.1470000000000002</v>
      </c>
      <c r="AJ25" s="156">
        <f t="shared" si="11"/>
        <v>-26.228384061038977</v>
      </c>
      <c r="AK25" s="156">
        <f t="shared" si="12"/>
        <v>5.6205545187439201</v>
      </c>
      <c r="AM25" s="716">
        <f t="shared" si="13"/>
        <v>492.20754552698384</v>
      </c>
      <c r="AN25" s="716" t="str">
        <f>_xlfn.XLOOKUP(D25,RUC!$B$3:$B$578,RUC!$M$3:$M$578)</f>
        <v>Evelyn</v>
      </c>
      <c r="AO25" s="1167" t="s">
        <v>2277</v>
      </c>
      <c r="AP25" s="1843">
        <v>338</v>
      </c>
      <c r="AQ25" s="1894" t="s">
        <v>5468</v>
      </c>
      <c r="BA25" s="1482"/>
    </row>
    <row r="26" spans="1:56" ht="15" customHeight="1" thickBot="1">
      <c r="A26" s="747" t="s">
        <v>5792</v>
      </c>
      <c r="B26" s="1447">
        <v>46175</v>
      </c>
      <c r="C26" s="1447">
        <v>46170</v>
      </c>
      <c r="D26" t="s">
        <v>1967</v>
      </c>
      <c r="E26" s="762">
        <f>_xlfn.XLOOKUP(D26,RUC!$B$3:$B$123,RUC!$D$3:$D$123)</f>
        <v>20601769396</v>
      </c>
      <c r="F26" s="629" t="s">
        <v>5804</v>
      </c>
      <c r="G26" s="762">
        <v>24</v>
      </c>
      <c r="H26" s="1082" t="s">
        <v>2005</v>
      </c>
      <c r="I26" s="703">
        <v>2.0099999999999998</v>
      </c>
      <c r="J26" s="596">
        <v>15.62</v>
      </c>
      <c r="K26" s="703">
        <f t="shared" si="0"/>
        <v>1.696</v>
      </c>
      <c r="L26" s="1192">
        <v>0.14099999999999999</v>
      </c>
      <c r="M26" s="994">
        <f>ROUND(+IF(L26&gt;_xlfn.XLOOKUP(AN26,RUC!M:M,RUC!K:K),L26*_xlfn.XLOOKUP(AN26,RUC!M:M,RUC!I:I),L26-_xlfn.XLOOKUP(AN26,RUC!M:M,RUC!J:J)),3)</f>
        <v>0.122</v>
      </c>
      <c r="N26" s="1196">
        <f t="shared" si="21"/>
        <v>0.122</v>
      </c>
      <c r="O26" s="645">
        <f t="shared" si="2"/>
        <v>0.122</v>
      </c>
      <c r="P26" s="727">
        <v>80</v>
      </c>
      <c r="Q26" s="875">
        <v>89.36</v>
      </c>
      <c r="R26" s="706">
        <v>4419.45</v>
      </c>
      <c r="S26" s="765">
        <f>IF((_xlfn.XLOOKUP(D26,RUC!$B$3:$B$119,RUC!$E$3:$E$119)+ROUNDDOWN(O26,1)*100)&lt;95,95,((_xlfn.XLOOKUP(D26,RUC!$B$3:$B$119,RUC!$E$3:$E$119)+ROUNDDOWN(O26,1)*100)))</f>
        <v>100</v>
      </c>
      <c r="U26" s="1146">
        <f>_xlfn.XLOOKUP(D26,RUC!$B$3:$B$123,RUC!$F$3:$F$123)</f>
        <v>120</v>
      </c>
      <c r="V26" s="715">
        <v>1.1023000000000001</v>
      </c>
      <c r="Y26">
        <f>_xlfn.XLOOKUP(D26,RUC!$B$3:$B$123,RUC!$G$3:$G$123)</f>
        <v>20</v>
      </c>
      <c r="Z26" s="143">
        <f>_xlfn.XLOOKUP(D26,RUC!$B$3:$B$123,RUC!$H$3:$H$123)</f>
        <v>30</v>
      </c>
      <c r="AA26" s="144">
        <f t="shared" si="3"/>
        <v>50</v>
      </c>
      <c r="AB26" s="145">
        <f t="shared" si="4"/>
        <v>297.20909253599996</v>
      </c>
      <c r="AC26" s="145">
        <f>+(S26-T26)*V26-'data 1'!$F$4</f>
        <v>30.230000000000004</v>
      </c>
      <c r="AD26" s="145">
        <f t="shared" si="5"/>
        <v>62.547171021035993</v>
      </c>
      <c r="AE26" s="145">
        <f t="shared" si="6"/>
        <v>-14.884999999999998</v>
      </c>
      <c r="AF26" s="145">
        <f t="shared" si="7"/>
        <v>80.465454966323961</v>
      </c>
      <c r="AG26" s="772">
        <f t="shared" si="18"/>
        <v>175.35762598735997</v>
      </c>
      <c r="AH26" s="1253">
        <f t="shared" si="9"/>
        <v>7.327</v>
      </c>
      <c r="AI26" s="1253">
        <f t="shared" si="10"/>
        <v>8.1989999999999998</v>
      </c>
      <c r="AJ26" s="156">
        <f t="shared" si="11"/>
        <v>-26.867720034155973</v>
      </c>
      <c r="AK26" s="156">
        <f t="shared" si="12"/>
        <v>5.6752465697612813</v>
      </c>
      <c r="AM26" s="716">
        <f t="shared" si="13"/>
        <v>504.06662094105593</v>
      </c>
      <c r="AN26" s="716" t="str">
        <f>_xlfn.XLOOKUP(D26,RUC!$B$3:$B$578,RUC!$M$3:$M$578)</f>
        <v>Evelyn</v>
      </c>
      <c r="AO26" s="1167" t="s">
        <v>2277</v>
      </c>
      <c r="AP26" s="1843">
        <v>338</v>
      </c>
      <c r="AQ26" s="1894" t="s">
        <v>5468</v>
      </c>
      <c r="AV26" s="1982" t="s">
        <v>5910</v>
      </c>
      <c r="AW26" s="1983"/>
      <c r="AX26" s="1983"/>
      <c r="AY26" s="1983"/>
      <c r="AZ26" s="1983"/>
      <c r="BA26" s="1984"/>
    </row>
    <row r="27" spans="1:56" ht="15" customHeight="1">
      <c r="A27" s="747" t="s">
        <v>5793</v>
      </c>
      <c r="B27" s="1447">
        <v>46175</v>
      </c>
      <c r="C27" s="1447">
        <v>46170</v>
      </c>
      <c r="D27" t="s">
        <v>1967</v>
      </c>
      <c r="E27" s="762">
        <f>_xlfn.XLOOKUP(D27,RUC!$B$3:$B$123,RUC!$D$3:$D$123)</f>
        <v>20601769396</v>
      </c>
      <c r="F27" s="629" t="s">
        <v>5804</v>
      </c>
      <c r="G27" s="762">
        <v>25</v>
      </c>
      <c r="H27" s="1082" t="s">
        <v>2005</v>
      </c>
      <c r="I27" s="703">
        <v>2.15</v>
      </c>
      <c r="J27" s="596">
        <v>16.13</v>
      </c>
      <c r="K27" s="703">
        <f t="shared" si="0"/>
        <v>1.8029999999999999</v>
      </c>
      <c r="L27" s="1192">
        <v>0.19400000000000001</v>
      </c>
      <c r="M27" s="994">
        <f>ROUND(+IF(L27&gt;_xlfn.XLOOKUP(AN27,RUC!M:M,RUC!K:K),L27*_xlfn.XLOOKUP(AN27,RUC!M:M,RUC!I:I),L27-_xlfn.XLOOKUP(AN27,RUC!M:M,RUC!J:J)),3)</f>
        <v>0.17499999999999999</v>
      </c>
      <c r="N27" s="1196">
        <f t="shared" si="21"/>
        <v>0.17499999999999999</v>
      </c>
      <c r="O27" s="645">
        <f t="shared" si="2"/>
        <v>0.17499999999999999</v>
      </c>
      <c r="P27" s="727">
        <v>85</v>
      </c>
      <c r="Q27" s="875">
        <v>89.18</v>
      </c>
      <c r="R27" s="706">
        <v>4419.45</v>
      </c>
      <c r="S27" s="765">
        <f>IF((_xlfn.XLOOKUP(D27,RUC!$B$3:$B$119,RUC!$E$3:$E$119)+ROUNDDOWN(O27,1)*100)&lt;95,95,((_xlfn.XLOOKUP(D27,RUC!$B$3:$B$119,RUC!$E$3:$E$119)+ROUNDDOWN(O27,1)*100)))</f>
        <v>100</v>
      </c>
      <c r="U27" s="1146">
        <f>_xlfn.XLOOKUP(D27,RUC!$B$3:$B$123,RUC!$F$3:$F$123)</f>
        <v>120</v>
      </c>
      <c r="V27" s="715">
        <v>1.1023000000000001</v>
      </c>
      <c r="Y27">
        <f>_xlfn.XLOOKUP(D27,RUC!$B$3:$B$123,RUC!$G$3:$G$123)</f>
        <v>20</v>
      </c>
      <c r="Z27" s="143">
        <f>_xlfn.XLOOKUP(D27,RUC!$B$3:$B$123,RUC!$H$3:$H$123)</f>
        <v>30</v>
      </c>
      <c r="AA27" s="144">
        <f t="shared" si="3"/>
        <v>50</v>
      </c>
      <c r="AB27" s="145">
        <f t="shared" si="4"/>
        <v>539.62345558124991</v>
      </c>
      <c r="AC27" s="145">
        <f>+(S27-T27)*V27-'data 1'!$F$4</f>
        <v>30.230000000000004</v>
      </c>
      <c r="AD27" s="145">
        <f t="shared" si="5"/>
        <v>38.431799663862066</v>
      </c>
      <c r="AE27" s="145">
        <f t="shared" si="6"/>
        <v>-14.884999999999998</v>
      </c>
      <c r="AF27" s="145">
        <f t="shared" si="7"/>
        <v>80.30337146258708</v>
      </c>
      <c r="AG27" s="772">
        <f t="shared" si="18"/>
        <v>151.08017112644916</v>
      </c>
      <c r="AH27" s="1253">
        <f t="shared" si="9"/>
        <v>10.695</v>
      </c>
      <c r="AI27" s="1253">
        <f t="shared" si="10"/>
        <v>11.992000000000001</v>
      </c>
      <c r="AJ27" s="156">
        <f t="shared" si="11"/>
        <v>-36.892470562401968</v>
      </c>
      <c r="AK27" s="156">
        <f t="shared" si="12"/>
        <v>9.1952125048048128</v>
      </c>
      <c r="AM27" s="716">
        <f t="shared" si="13"/>
        <v>972.9410904129935</v>
      </c>
      <c r="AN27" s="716" t="str">
        <f>_xlfn.XLOOKUP(D27,RUC!$B$3:$B$578,RUC!$M$3:$M$578)</f>
        <v>Evelyn</v>
      </c>
      <c r="AO27" s="1167" t="s">
        <v>2277</v>
      </c>
      <c r="AP27" s="1843">
        <v>338</v>
      </c>
      <c r="AQ27" s="1894" t="s">
        <v>5468</v>
      </c>
      <c r="BA27" s="1482">
        <f>SUM(BA29:BA38)</f>
        <v>0</v>
      </c>
    </row>
    <row r="28" spans="1:56" ht="15" customHeight="1" thickBot="1">
      <c r="A28" s="747" t="s">
        <v>5794</v>
      </c>
      <c r="B28" s="1447">
        <v>46175</v>
      </c>
      <c r="C28" s="1447">
        <v>46170</v>
      </c>
      <c r="D28" t="s">
        <v>1967</v>
      </c>
      <c r="E28" s="762">
        <f>_xlfn.XLOOKUP(D28,RUC!$B$3:$B$123,RUC!$D$3:$D$123)</f>
        <v>20601769396</v>
      </c>
      <c r="F28" s="629" t="s">
        <v>5804</v>
      </c>
      <c r="G28" s="762">
        <v>25</v>
      </c>
      <c r="H28" s="1082" t="s">
        <v>2005</v>
      </c>
      <c r="I28" s="703">
        <v>2.1</v>
      </c>
      <c r="J28" s="596">
        <v>17.23</v>
      </c>
      <c r="K28" s="703">
        <f t="shared" si="0"/>
        <v>1.738</v>
      </c>
      <c r="L28" s="1192">
        <v>0.122</v>
      </c>
      <c r="M28" s="994">
        <f>ROUND(+IF(L28&gt;_xlfn.XLOOKUP(AN28,RUC!M:M,RUC!K:K),L28*_xlfn.XLOOKUP(AN28,RUC!M:M,RUC!I:I),L28-_xlfn.XLOOKUP(AN28,RUC!M:M,RUC!J:J)),3)</f>
        <v>0.10299999999999999</v>
      </c>
      <c r="N28" s="1196">
        <f t="shared" si="21"/>
        <v>0.10299999999999999</v>
      </c>
      <c r="O28" s="645">
        <f t="shared" si="2"/>
        <v>0.10299999999999999</v>
      </c>
      <c r="P28" s="727">
        <v>80</v>
      </c>
      <c r="Q28" s="875">
        <v>87.7</v>
      </c>
      <c r="R28" s="706">
        <v>4419.45</v>
      </c>
      <c r="S28" s="765">
        <f>IF((_xlfn.XLOOKUP(D28,RUC!$B$3:$B$119,RUC!$E$3:$E$119)+ROUNDDOWN(O28,1)*100)&lt;95,95,((_xlfn.XLOOKUP(D28,RUC!$B$3:$B$119,RUC!$E$3:$E$119)+ROUNDDOWN(O28,1)*100)))</f>
        <v>100</v>
      </c>
      <c r="U28" s="1146">
        <f>_xlfn.XLOOKUP(D28,RUC!$B$3:$B$123,RUC!$F$3:$F$123)</f>
        <v>120</v>
      </c>
      <c r="V28" s="715">
        <v>1.1023000000000001</v>
      </c>
      <c r="Y28">
        <f>_xlfn.XLOOKUP(D28,RUC!$B$3:$B$123,RUC!$G$3:$G$123)</f>
        <v>20</v>
      </c>
      <c r="Z28" s="143">
        <f>_xlfn.XLOOKUP(D28,RUC!$B$3:$B$123,RUC!$H$3:$H$123)</f>
        <v>30</v>
      </c>
      <c r="AA28" s="144">
        <f t="shared" si="3"/>
        <v>50</v>
      </c>
      <c r="AB28" s="145">
        <f t="shared" si="4"/>
        <v>225.17197976400001</v>
      </c>
      <c r="AC28" s="145">
        <f>+(S28-T28)*V28-'data 1'!$F$4</f>
        <v>30.230000000000004</v>
      </c>
      <c r="AD28" s="145">
        <f t="shared" si="5"/>
        <v>44.520831406590013</v>
      </c>
      <c r="AE28" s="145">
        <f t="shared" si="6"/>
        <v>-14.884999999999998</v>
      </c>
      <c r="AF28" s="145">
        <f t="shared" si="7"/>
        <v>78.970684876305015</v>
      </c>
      <c r="AG28" s="772">
        <f t="shared" si="18"/>
        <v>155.83651628289502</v>
      </c>
      <c r="AH28" s="1253">
        <f t="shared" si="9"/>
        <v>6.3760000000000003</v>
      </c>
      <c r="AI28" s="1253">
        <f t="shared" si="10"/>
        <v>7.27</v>
      </c>
      <c r="AJ28" s="156">
        <f t="shared" si="11"/>
        <v>-22.815393605389982</v>
      </c>
      <c r="AK28" s="156">
        <f t="shared" si="12"/>
        <v>4.9100515651061603</v>
      </c>
      <c r="AM28" s="716">
        <f t="shared" si="13"/>
        <v>391.34890082983202</v>
      </c>
      <c r="AN28" s="716" t="str">
        <f>_xlfn.XLOOKUP(D28,RUC!$B$3:$B$578,RUC!$M$3:$M$578)</f>
        <v>Evelyn</v>
      </c>
      <c r="AO28" s="1167" t="s">
        <v>2280</v>
      </c>
      <c r="AP28" s="1843">
        <v>338</v>
      </c>
      <c r="AQ28" s="1894" t="s">
        <v>5468</v>
      </c>
      <c r="AV28" s="762"/>
      <c r="AW28" s="762" t="s">
        <v>15</v>
      </c>
      <c r="AX28" s="762" t="s">
        <v>2522</v>
      </c>
      <c r="AY28" s="762" t="s">
        <v>2558</v>
      </c>
      <c r="AZ28" s="1483" t="s">
        <v>2598</v>
      </c>
      <c r="BA28" s="762" t="s">
        <v>2559</v>
      </c>
    </row>
    <row r="29" spans="1:56" ht="15" customHeight="1">
      <c r="A29" s="747" t="s">
        <v>5795</v>
      </c>
      <c r="B29" s="1447">
        <v>46175</v>
      </c>
      <c r="C29" s="1447">
        <v>46170</v>
      </c>
      <c r="D29" t="s">
        <v>1967</v>
      </c>
      <c r="E29" s="762">
        <f>_xlfn.XLOOKUP(D29,RUC!$B$3:$B$123,RUC!$D$3:$D$123)</f>
        <v>20601769396</v>
      </c>
      <c r="F29" s="629" t="s">
        <v>5805</v>
      </c>
      <c r="G29" s="762">
        <v>20</v>
      </c>
      <c r="H29" s="1082" t="s">
        <v>2005</v>
      </c>
      <c r="I29" s="703">
        <v>1.34</v>
      </c>
      <c r="J29" s="596">
        <v>15.18</v>
      </c>
      <c r="K29" s="703">
        <f t="shared" si="0"/>
        <v>1.137</v>
      </c>
      <c r="L29" s="1192">
        <v>0.16800000000000001</v>
      </c>
      <c r="M29" s="994">
        <f>ROUND(+IF(L29&gt;_xlfn.XLOOKUP(AN29,RUC!M:M,RUC!K:K),L29*_xlfn.XLOOKUP(AN29,RUC!M:M,RUC!I:I),L29-_xlfn.XLOOKUP(AN29,RUC!M:M,RUC!J:J)),3)</f>
        <v>0.14899999999999999</v>
      </c>
      <c r="N29" s="1196">
        <f t="shared" si="21"/>
        <v>0.14899999999999999</v>
      </c>
      <c r="O29" s="645">
        <f t="shared" si="2"/>
        <v>0.14899999999999999</v>
      </c>
      <c r="P29" s="727">
        <v>80</v>
      </c>
      <c r="Q29" s="875">
        <v>88.1</v>
      </c>
      <c r="R29" s="706">
        <v>4419.45</v>
      </c>
      <c r="S29" s="765">
        <f>IF((_xlfn.XLOOKUP(D29,RUC!$B$3:$B$119,RUC!$E$3:$E$119)+ROUNDDOWN(O29,1)*100)&lt;95,95,((_xlfn.XLOOKUP(D29,RUC!$B$3:$B$119,RUC!$E$3:$E$119)+ROUNDDOWN(O29,1)*100)))</f>
        <v>100</v>
      </c>
      <c r="U29" s="1146">
        <f>_xlfn.XLOOKUP(D29,RUC!$B$3:$B$123,RUC!$F$3:$F$123)</f>
        <v>120</v>
      </c>
      <c r="V29" s="715">
        <v>1.1023000000000001</v>
      </c>
      <c r="Y29">
        <f>_xlfn.XLOOKUP(D29,RUC!$B$3:$B$123,RUC!$G$3:$G$123)</f>
        <v>20</v>
      </c>
      <c r="Z29" s="143">
        <f>_xlfn.XLOOKUP(D29,RUC!$B$3:$B$123,RUC!$H$3:$H$123)</f>
        <v>30</v>
      </c>
      <c r="AA29" s="144">
        <f t="shared" si="3"/>
        <v>50</v>
      </c>
      <c r="AB29" s="145">
        <f t="shared" si="4"/>
        <v>399.57762121199994</v>
      </c>
      <c r="AC29" s="145">
        <f>+(S29-T29)*V29-'data 1'!$F$4</f>
        <v>30.230000000000004</v>
      </c>
      <c r="AD29" s="145">
        <f t="shared" si="5"/>
        <v>64.492173065879967</v>
      </c>
      <c r="AE29" s="145">
        <f t="shared" si="6"/>
        <v>-14.884999999999998</v>
      </c>
      <c r="AF29" s="145">
        <f t="shared" si="7"/>
        <v>79.330870440165057</v>
      </c>
      <c r="AG29" s="772">
        <f t="shared" si="18"/>
        <v>176.16804350604502</v>
      </c>
      <c r="AH29" s="1253">
        <f t="shared" si="9"/>
        <v>5.77</v>
      </c>
      <c r="AI29" s="1253">
        <f t="shared" si="10"/>
        <v>6.5490000000000004</v>
      </c>
      <c r="AJ29" s="156">
        <f t="shared" si="11"/>
        <v>-31.561216299479973</v>
      </c>
      <c r="AK29" s="156">
        <f t="shared" si="12"/>
        <v>4.6467123565717205</v>
      </c>
      <c r="AM29" s="716">
        <f t="shared" si="13"/>
        <v>454.31975531804392</v>
      </c>
      <c r="AN29" s="716" t="str">
        <f>_xlfn.XLOOKUP(D29,RUC!$B$3:$B$578,RUC!$M$3:$M$578)</f>
        <v>Evelyn</v>
      </c>
      <c r="AO29" s="1167" t="s">
        <v>2277</v>
      </c>
      <c r="AP29" s="1843">
        <v>337</v>
      </c>
      <c r="AQ29" s="1894" t="s">
        <v>5800</v>
      </c>
      <c r="AV29" s="1556" t="s">
        <v>2277</v>
      </c>
      <c r="AW29" s="1227">
        <f t="shared" ref="AW29:AW38" si="23">SUMIF($AO$4:$AO$125,AV29,$K$4:$K$125)</f>
        <v>108.50699999999999</v>
      </c>
      <c r="AX29" s="1227"/>
      <c r="AY29" s="1229">
        <f t="shared" ref="AY29:AY38" si="24">AW29*AX29*31.1035*1.1023</f>
        <v>0</v>
      </c>
      <c r="AZ29" s="596"/>
      <c r="BA29" s="1255">
        <f t="shared" ref="BA29:BA38" si="25">AY29*AZ29/100</f>
        <v>0</v>
      </c>
    </row>
    <row r="30" spans="1:56" ht="15" customHeight="1">
      <c r="A30" s="747" t="s">
        <v>5811</v>
      </c>
      <c r="B30" s="1447">
        <v>46176</v>
      </c>
      <c r="C30" s="1447">
        <v>46172</v>
      </c>
      <c r="D30" t="s">
        <v>3316</v>
      </c>
      <c r="E30" s="762">
        <f>_xlfn.XLOOKUP(D30,RUC!$B$3:$B$123,RUC!$D$3:$D$123)</f>
        <v>20613935151</v>
      </c>
      <c r="F30" s="629"/>
      <c r="G30" s="762">
        <v>76</v>
      </c>
      <c r="H30" s="1082" t="s">
        <v>69</v>
      </c>
      <c r="I30" s="703">
        <v>5.66</v>
      </c>
      <c r="J30" s="596">
        <v>2.2000000000000002</v>
      </c>
      <c r="K30" s="703">
        <f t="shared" si="0"/>
        <v>5.5350000000000001</v>
      </c>
      <c r="L30" s="1192">
        <v>0.21199999999999999</v>
      </c>
      <c r="M30" s="994">
        <f>ROUND(+IF(L30&gt;_xlfn.XLOOKUP(AN30,RUC!M:M,RUC!K:K),L30*_xlfn.XLOOKUP(AN30,RUC!M:M,RUC!I:I),L30-_xlfn.XLOOKUP(AN30,RUC!M:M,RUC!J:J)),3)</f>
        <v>0.193</v>
      </c>
      <c r="N30" s="1196">
        <f t="shared" si="21"/>
        <v>0.193</v>
      </c>
      <c r="O30" s="645">
        <f t="shared" si="2"/>
        <v>0.193</v>
      </c>
      <c r="P30" s="727">
        <v>90</v>
      </c>
      <c r="Q30" s="875">
        <v>96.23</v>
      </c>
      <c r="R30" s="706">
        <v>4545.95</v>
      </c>
      <c r="S30" s="765">
        <f>IF((_xlfn.XLOOKUP(D30,RUC!$B$3:$B$119,RUC!$E$3:$E$119)+ROUNDDOWN(O30,1)*100)&lt;95,95,((_xlfn.XLOOKUP(D30,RUC!$B$3:$B$119,RUC!$E$3:$E$119)+ROUNDDOWN(O30,1)*100)))</f>
        <v>100</v>
      </c>
      <c r="U30" s="1146">
        <f>_xlfn.XLOOKUP(D30,RUC!$B$3:$B$123,RUC!$F$3:$F$123)</f>
        <v>120</v>
      </c>
      <c r="V30" s="715">
        <v>1.1023000000000001</v>
      </c>
      <c r="Y30">
        <f>_xlfn.XLOOKUP(D30,RUC!$B$3:$B$123,RUC!$G$3:$G$123)</f>
        <v>20</v>
      </c>
      <c r="Z30" s="143">
        <f>_xlfn.XLOOKUP(D30,RUC!$B$3:$B$123,RUC!$H$3:$H$123)</f>
        <v>30</v>
      </c>
      <c r="AA30" s="144">
        <f t="shared" si="3"/>
        <v>50</v>
      </c>
      <c r="AB30" s="145">
        <f t="shared" si="4"/>
        <v>682.08947778449999</v>
      </c>
      <c r="AC30" s="145">
        <f>+(S30-T30)*V30-'data 1'!$F$4</f>
        <v>30.230000000000004</v>
      </c>
      <c r="AD30" s="145">
        <f t="shared" si="5"/>
        <v>64.43624414960604</v>
      </c>
      <c r="AE30" s="145">
        <f t="shared" si="6"/>
        <v>-14.884999999999998</v>
      </c>
      <c r="AF30" s="145">
        <f t="shared" si="7"/>
        <v>89.201138523134446</v>
      </c>
      <c r="AG30" s="772">
        <f t="shared" si="18"/>
        <v>185.98238267274047</v>
      </c>
      <c r="AH30" s="1253">
        <f t="shared" si="9"/>
        <v>38.713999999999999</v>
      </c>
      <c r="AI30" s="1253">
        <f t="shared" si="10"/>
        <v>40.231000000000002</v>
      </c>
      <c r="AJ30" s="156">
        <f t="shared" si="11"/>
        <v>-71.949580914725971</v>
      </c>
      <c r="AK30" s="156">
        <f t="shared" si="12"/>
        <v>32.962983490217475</v>
      </c>
      <c r="AM30" s="716">
        <f t="shared" si="13"/>
        <v>3775.3652595372077</v>
      </c>
      <c r="AN30" s="716" t="str">
        <f>_xlfn.XLOOKUP(D30,RUC!$B$3:$B$578,RUC!$M$3:$M$578)</f>
        <v xml:space="preserve">Dante </v>
      </c>
      <c r="AO30" s="1167" t="s">
        <v>2278</v>
      </c>
      <c r="AP30" s="1843" t="s">
        <v>4944</v>
      </c>
      <c r="AQ30" s="1894" t="s">
        <v>2488</v>
      </c>
      <c r="AV30" s="1557" t="s">
        <v>2278</v>
      </c>
      <c r="AW30" s="703">
        <f t="shared" si="23"/>
        <v>109.17699999999999</v>
      </c>
      <c r="AX30" s="703"/>
      <c r="AY30" s="596">
        <f t="shared" si="24"/>
        <v>0</v>
      </c>
      <c r="AZ30" s="596"/>
      <c r="BA30" s="1256">
        <f t="shared" si="25"/>
        <v>0</v>
      </c>
    </row>
    <row r="31" spans="1:56" ht="15" customHeight="1">
      <c r="A31" s="747" t="s">
        <v>5812</v>
      </c>
      <c r="B31" s="1447">
        <v>46177</v>
      </c>
      <c r="C31" s="1447">
        <v>46172</v>
      </c>
      <c r="D31" t="s">
        <v>1967</v>
      </c>
      <c r="E31" s="762">
        <f>_xlfn.XLOOKUP(D31,RUC!$B$3:$B$123,RUC!$D$3:$D$123)</f>
        <v>20601769396</v>
      </c>
      <c r="F31" s="629" t="s">
        <v>5828</v>
      </c>
      <c r="G31" s="762">
        <v>12</v>
      </c>
      <c r="H31" s="1082" t="s">
        <v>2005</v>
      </c>
      <c r="I31" s="703">
        <v>0.93</v>
      </c>
      <c r="J31" s="596">
        <v>10</v>
      </c>
      <c r="K31" s="703">
        <f t="shared" si="0"/>
        <v>0.83699999999999997</v>
      </c>
      <c r="L31" s="1192">
        <v>0.56899999999999995</v>
      </c>
      <c r="M31" s="994">
        <f>ROUND(+IF(L31&gt;_xlfn.XLOOKUP(AN31,RUC!M:M,RUC!K:K),L31*_xlfn.XLOOKUP(AN31,RUC!M:M,RUC!I:I),L31-_xlfn.XLOOKUP(AN31,RUC!M:M,RUC!J:J)),3)</f>
        <v>0.53500000000000003</v>
      </c>
      <c r="N31" s="1196">
        <f t="shared" si="21"/>
        <v>0.53500000000000003</v>
      </c>
      <c r="O31" s="645">
        <f t="shared" si="2"/>
        <v>0.53500000000000003</v>
      </c>
      <c r="P31" s="727">
        <v>90</v>
      </c>
      <c r="Q31" s="875">
        <v>94.73</v>
      </c>
      <c r="R31" s="706">
        <v>4545.95</v>
      </c>
      <c r="S31" s="765">
        <f>IF((_xlfn.XLOOKUP(D31,RUC!$B$3:$B$119,RUC!$E$3:$E$119)+ROUNDDOWN(O31,1)*100)&lt;95,95,((_xlfn.XLOOKUP(D31,RUC!$B$3:$B$119,RUC!$E$3:$E$119)+ROUNDDOWN(O31,1)*100)))</f>
        <v>140</v>
      </c>
      <c r="U31" s="1146">
        <f>_xlfn.XLOOKUP(D31,RUC!$B$3:$B$123,RUC!$F$3:$F$123)</f>
        <v>120</v>
      </c>
      <c r="V31" s="715">
        <v>1.1023000000000001</v>
      </c>
      <c r="Y31">
        <f>_xlfn.XLOOKUP(D31,RUC!$B$3:$B$123,RUC!$G$3:$G$123)</f>
        <v>20</v>
      </c>
      <c r="Z31" s="143">
        <f>_xlfn.XLOOKUP(D31,RUC!$B$3:$B$123,RUC!$H$3:$H$123)</f>
        <v>30</v>
      </c>
      <c r="AA31" s="144">
        <f t="shared" si="3"/>
        <v>50</v>
      </c>
      <c r="AB31" s="145">
        <f t="shared" si="4"/>
        <v>2139.6689358275003</v>
      </c>
      <c r="AC31" s="145">
        <f>+(S31-T31)*V31-'data 1'!$F$4</f>
        <v>74.322000000000003</v>
      </c>
      <c r="AD31" s="145">
        <f t="shared" si="5"/>
        <v>131.30453255468458</v>
      </c>
      <c r="AE31" s="145">
        <f t="shared" si="6"/>
        <v>-14.884999999999998</v>
      </c>
      <c r="AF31" s="145">
        <f t="shared" si="7"/>
        <v>157.13494039941665</v>
      </c>
      <c r="AG31" s="772">
        <f t="shared" si="18"/>
        <v>364.87647295410125</v>
      </c>
      <c r="AH31" s="1253">
        <f t="shared" si="9"/>
        <v>15.468</v>
      </c>
      <c r="AI31" s="1253">
        <f t="shared" si="10"/>
        <v>16.329000000000001</v>
      </c>
      <c r="AJ31" s="156">
        <f t="shared" si="11"/>
        <v>-190.09982874312442</v>
      </c>
      <c r="AK31" s="156">
        <f t="shared" si="12"/>
        <v>13.817542807664774</v>
      </c>
      <c r="AM31" s="716">
        <f t="shared" si="13"/>
        <v>1790.9028992876176</v>
      </c>
      <c r="AN31" s="716" t="str">
        <f>_xlfn.XLOOKUP(D31,RUC!$B$3:$B$578,RUC!$M$3:$M$578)</f>
        <v>Evelyn</v>
      </c>
      <c r="AO31" s="1167" t="s">
        <v>2277</v>
      </c>
      <c r="AP31" s="1843" t="s">
        <v>5857</v>
      </c>
      <c r="AQ31" s="1082" t="s">
        <v>5858</v>
      </c>
      <c r="AV31" s="1557" t="s">
        <v>2280</v>
      </c>
      <c r="AW31" s="703">
        <f t="shared" si="23"/>
        <v>116.822</v>
      </c>
      <c r="AX31" s="703"/>
      <c r="AY31" s="596">
        <f t="shared" si="24"/>
        <v>0</v>
      </c>
      <c r="AZ31" s="596"/>
      <c r="BA31" s="1256">
        <f t="shared" si="25"/>
        <v>0</v>
      </c>
    </row>
    <row r="32" spans="1:56" ht="15" customHeight="1">
      <c r="A32" s="747" t="s">
        <v>5813</v>
      </c>
      <c r="B32" s="1447">
        <v>46177</v>
      </c>
      <c r="C32" s="1447">
        <v>46172</v>
      </c>
      <c r="D32" t="s">
        <v>1967</v>
      </c>
      <c r="E32" s="762">
        <f>_xlfn.XLOOKUP(D32,RUC!$B$3:$B$123,RUC!$D$3:$D$123)</f>
        <v>20601769396</v>
      </c>
      <c r="F32" s="629" t="s">
        <v>5828</v>
      </c>
      <c r="G32" s="762">
        <v>12</v>
      </c>
      <c r="H32" s="1082" t="s">
        <v>2005</v>
      </c>
      <c r="I32" s="703">
        <v>0.91</v>
      </c>
      <c r="J32" s="596">
        <v>10.5</v>
      </c>
      <c r="K32" s="703">
        <f t="shared" si="0"/>
        <v>0.81399999999999995</v>
      </c>
      <c r="L32" s="1192">
        <v>0.3</v>
      </c>
      <c r="M32" s="994">
        <f>ROUND(+IF(L32&gt;_xlfn.XLOOKUP(AN32,RUC!M:M,RUC!K:K),L32*_xlfn.XLOOKUP(AN32,RUC!M:M,RUC!I:I),L32-_xlfn.XLOOKUP(AN32,RUC!M:M,RUC!J:J)),3)</f>
        <v>0.28100000000000003</v>
      </c>
      <c r="N32" s="1196">
        <f t="shared" si="21"/>
        <v>0.28100000000000003</v>
      </c>
      <c r="O32" s="645">
        <f t="shared" si="2"/>
        <v>0.28100000000000003</v>
      </c>
      <c r="P32" s="727">
        <v>88</v>
      </c>
      <c r="Q32" s="875">
        <v>89</v>
      </c>
      <c r="R32" s="706">
        <v>4545.95</v>
      </c>
      <c r="S32" s="765">
        <f>IF((_xlfn.XLOOKUP(D32,RUC!$B$3:$B$119,RUC!$E$3:$E$119)+ROUNDDOWN(O32,1)*100)&lt;95,95,((_xlfn.XLOOKUP(D32,RUC!$B$3:$B$119,RUC!$E$3:$E$119)+ROUNDDOWN(O32,1)*100)))</f>
        <v>110</v>
      </c>
      <c r="U32" s="1146">
        <f>_xlfn.XLOOKUP(D32,RUC!$B$3:$B$123,RUC!$F$3:$F$123)</f>
        <v>120</v>
      </c>
      <c r="V32" s="715">
        <v>1.1023000000000001</v>
      </c>
      <c r="Y32">
        <f>_xlfn.XLOOKUP(D32,RUC!$B$3:$B$123,RUC!$G$3:$G$123)</f>
        <v>20</v>
      </c>
      <c r="Z32" s="143">
        <f>_xlfn.XLOOKUP(D32,RUC!$B$3:$B$123,RUC!$H$3:$H$123)</f>
        <v>30</v>
      </c>
      <c r="AA32" s="144">
        <f t="shared" si="3"/>
        <v>50</v>
      </c>
      <c r="AB32" s="145">
        <f t="shared" si="4"/>
        <v>1030.0430401068002</v>
      </c>
      <c r="AC32" s="145">
        <f>+(S32-T32)*V32-'data 1'!$F$4</f>
        <v>41.253</v>
      </c>
      <c r="AD32" s="145">
        <f t="shared" si="5"/>
        <v>14.636174055</v>
      </c>
      <c r="AE32" s="145">
        <f t="shared" si="6"/>
        <v>-14.884999999999998</v>
      </c>
      <c r="AF32" s="145">
        <f t="shared" si="7"/>
        <v>82.499234423349833</v>
      </c>
      <c r="AG32" s="772">
        <f t="shared" si="18"/>
        <v>140.50340847834983</v>
      </c>
      <c r="AH32" s="1253">
        <f t="shared" si="9"/>
        <v>7.452</v>
      </c>
      <c r="AI32" s="1253">
        <f t="shared" si="10"/>
        <v>8.3719999999999999</v>
      </c>
      <c r="AJ32" s="156">
        <f t="shared" si="11"/>
        <v>-94.16579629499995</v>
      </c>
      <c r="AK32" s="156">
        <f t="shared" si="12"/>
        <v>6.9011658762012562</v>
      </c>
      <c r="AM32" s="716">
        <f t="shared" si="13"/>
        <v>838.45503464693525</v>
      </c>
      <c r="AN32" s="716" t="str">
        <f>_xlfn.XLOOKUP(D32,RUC!$B$3:$B$578,RUC!$M$3:$M$578)</f>
        <v>Evelyn</v>
      </c>
      <c r="AO32" s="1167" t="s">
        <v>2277</v>
      </c>
      <c r="AP32" s="1843" t="s">
        <v>5857</v>
      </c>
      <c r="AQ32" s="1082" t="s">
        <v>5858</v>
      </c>
      <c r="AR32" t="s">
        <v>5469</v>
      </c>
      <c r="AV32" s="1557" t="s">
        <v>2279</v>
      </c>
      <c r="AW32" s="703">
        <f t="shared" si="23"/>
        <v>121.73099999999998</v>
      </c>
      <c r="AX32" s="703"/>
      <c r="AY32" s="596">
        <f t="shared" si="24"/>
        <v>0</v>
      </c>
      <c r="AZ32" s="596"/>
      <c r="BA32" s="1256">
        <f t="shared" si="25"/>
        <v>0</v>
      </c>
    </row>
    <row r="33" spans="1:53" ht="15" customHeight="1">
      <c r="A33" s="747" t="s">
        <v>5814</v>
      </c>
      <c r="B33" s="1447">
        <v>46177</v>
      </c>
      <c r="C33" s="1447">
        <v>46172</v>
      </c>
      <c r="D33" t="s">
        <v>1967</v>
      </c>
      <c r="E33" s="762">
        <f>_xlfn.XLOOKUP(D33,RUC!$B$3:$B$123,RUC!$D$3:$D$123)</f>
        <v>20601769396</v>
      </c>
      <c r="F33" s="629" t="s">
        <v>5828</v>
      </c>
      <c r="G33" s="762">
        <v>11</v>
      </c>
      <c r="H33" s="1082" t="s">
        <v>2005</v>
      </c>
      <c r="I33" s="703">
        <v>0.82</v>
      </c>
      <c r="J33" s="596">
        <v>9.4</v>
      </c>
      <c r="K33" s="703">
        <f t="shared" si="0"/>
        <v>0.74299999999999999</v>
      </c>
      <c r="L33" s="1192">
        <v>0.41599999999999998</v>
      </c>
      <c r="M33" s="994">
        <f>ROUND(+IF(L33&gt;_xlfn.XLOOKUP(AN33,RUC!M:M,RUC!K:K),L33*_xlfn.XLOOKUP(AN33,RUC!M:M,RUC!I:I),L33-_xlfn.XLOOKUP(AN33,RUC!M:M,RUC!J:J)),3)</f>
        <v>0.39100000000000001</v>
      </c>
      <c r="N33" s="1196">
        <f t="shared" si="21"/>
        <v>0.39100000000000001</v>
      </c>
      <c r="O33" s="645">
        <f t="shared" si="2"/>
        <v>0.39100000000000001</v>
      </c>
      <c r="P33" s="727">
        <v>90</v>
      </c>
      <c r="Q33" s="875">
        <v>94.47</v>
      </c>
      <c r="R33" s="706">
        <v>4545.95</v>
      </c>
      <c r="S33" s="765">
        <f>IF((_xlfn.XLOOKUP(D33,RUC!$B$3:$B$119,RUC!$E$3:$E$119)+ROUNDDOWN(O33,1)*100)&lt;95,95,((_xlfn.XLOOKUP(D33,RUC!$B$3:$B$119,RUC!$E$3:$E$119)+ROUNDDOWN(O33,1)*100)))</f>
        <v>120</v>
      </c>
      <c r="U33" s="1146">
        <f>_xlfn.XLOOKUP(D33,RUC!$B$3:$B$123,RUC!$F$3:$F$123)</f>
        <v>120</v>
      </c>
      <c r="V33" s="715">
        <v>1.1023000000000001</v>
      </c>
      <c r="Y33">
        <f>_xlfn.XLOOKUP(D33,RUC!$B$3:$B$123,RUC!$G$3:$G$123)</f>
        <v>20</v>
      </c>
      <c r="Z33" s="143">
        <f>_xlfn.XLOOKUP(D33,RUC!$B$3:$B$123,RUC!$H$3:$H$123)</f>
        <v>30</v>
      </c>
      <c r="AA33" s="144">
        <f t="shared" si="3"/>
        <v>50</v>
      </c>
      <c r="AB33" s="145">
        <f t="shared" si="4"/>
        <v>1529.4322166514999</v>
      </c>
      <c r="AC33" s="145">
        <f>+(S33-T33)*V33-'data 1'!$F$4</f>
        <v>52.27600000000001</v>
      </c>
      <c r="AD33" s="145">
        <f t="shared" si="5"/>
        <v>90.720861262511974</v>
      </c>
      <c r="AE33" s="145">
        <f t="shared" si="6"/>
        <v>-14.884999999999998</v>
      </c>
      <c r="AF33" s="145">
        <f t="shared" si="7"/>
        <v>115.22328024798735</v>
      </c>
      <c r="AG33" s="772">
        <f t="shared" si="18"/>
        <v>260.33514151049934</v>
      </c>
      <c r="AH33" s="1253">
        <f t="shared" si="9"/>
        <v>10.010999999999999</v>
      </c>
      <c r="AI33" s="1253">
        <f t="shared" si="10"/>
        <v>10.597</v>
      </c>
      <c r="AJ33" s="156">
        <f t="shared" si="11"/>
        <v>-138.60189493675193</v>
      </c>
      <c r="AK33" s="156">
        <f t="shared" si="12"/>
        <v>8.9643158447126865</v>
      </c>
      <c r="AM33" s="716">
        <f t="shared" si="13"/>
        <v>1136.3681369720643</v>
      </c>
      <c r="AN33" s="716" t="str">
        <f>_xlfn.XLOOKUP(D33,RUC!$B$3:$B$578,RUC!$M$3:$M$578)</f>
        <v>Evelyn</v>
      </c>
      <c r="AO33" s="1167" t="s">
        <v>2277</v>
      </c>
      <c r="AP33" s="1843" t="s">
        <v>5857</v>
      </c>
      <c r="AQ33" s="1082" t="s">
        <v>5858</v>
      </c>
      <c r="AV33" s="1557" t="s">
        <v>2281</v>
      </c>
      <c r="AW33" s="703">
        <f t="shared" si="23"/>
        <v>56.951999999999998</v>
      </c>
      <c r="AX33" s="703"/>
      <c r="AY33" s="596">
        <f t="shared" si="24"/>
        <v>0</v>
      </c>
      <c r="AZ33" s="596"/>
      <c r="BA33" s="1256">
        <f t="shared" si="25"/>
        <v>0</v>
      </c>
    </row>
    <row r="34" spans="1:53" ht="15" customHeight="1">
      <c r="A34" s="747" t="s">
        <v>5815</v>
      </c>
      <c r="B34" s="1447">
        <v>46177</v>
      </c>
      <c r="C34" s="1447">
        <v>46172</v>
      </c>
      <c r="D34" t="s">
        <v>1967</v>
      </c>
      <c r="E34" s="762">
        <f>_xlfn.XLOOKUP(D34,RUC!$B$3:$B$123,RUC!$D$3:$D$123)</f>
        <v>20601769396</v>
      </c>
      <c r="F34" s="629" t="s">
        <v>5829</v>
      </c>
      <c r="G34" s="762">
        <v>12</v>
      </c>
      <c r="H34" s="1082" t="s">
        <v>2005</v>
      </c>
      <c r="I34" s="703">
        <v>0.79</v>
      </c>
      <c r="J34" s="596">
        <v>5.3</v>
      </c>
      <c r="K34" s="703">
        <f t="shared" si="0"/>
        <v>0.748</v>
      </c>
      <c r="L34" s="1192">
        <v>0.29799999999999999</v>
      </c>
      <c r="M34" s="994">
        <f>ROUND(+IF(L34&gt;_xlfn.XLOOKUP(AN34,RUC!M:M,RUC!K:K),L34*_xlfn.XLOOKUP(AN34,RUC!M:M,RUC!I:I),L34-_xlfn.XLOOKUP(AN34,RUC!M:M,RUC!J:J)),3)</f>
        <v>0.27900000000000003</v>
      </c>
      <c r="N34" s="1196">
        <f t="shared" si="21"/>
        <v>0.27900000000000003</v>
      </c>
      <c r="O34" s="645">
        <f t="shared" si="2"/>
        <v>0.27900000000000003</v>
      </c>
      <c r="P34" s="727">
        <v>90</v>
      </c>
      <c r="Q34" s="875">
        <v>89.6</v>
      </c>
      <c r="R34" s="706">
        <v>4545.95</v>
      </c>
      <c r="S34" s="765">
        <f>IF((_xlfn.XLOOKUP(D34,RUC!$B$3:$B$119,RUC!$E$3:$E$119)+ROUNDDOWN(O34,1)*100)&lt;95,95,((_xlfn.XLOOKUP(D34,RUC!$B$3:$B$119,RUC!$E$3:$E$119)+ROUNDDOWN(O34,1)*100)))</f>
        <v>110</v>
      </c>
      <c r="U34" s="1146">
        <f>_xlfn.XLOOKUP(D34,RUC!$B$3:$B$123,RUC!$F$3:$F$123)</f>
        <v>120</v>
      </c>
      <c r="V34" s="715">
        <v>1.1023000000000001</v>
      </c>
      <c r="Y34">
        <f>_xlfn.XLOOKUP(D34,RUC!$B$3:$B$123,RUC!$G$3:$G$123)</f>
        <v>20</v>
      </c>
      <c r="Z34" s="143">
        <f>_xlfn.XLOOKUP(D34,RUC!$B$3:$B$123,RUC!$H$3:$H$123)</f>
        <v>30</v>
      </c>
      <c r="AA34" s="144">
        <f t="shared" si="3"/>
        <v>50</v>
      </c>
      <c r="AB34" s="145">
        <f t="shared" si="4"/>
        <v>1048.6797684035002</v>
      </c>
      <c r="AC34" s="145">
        <f>+(S34-T34)*V34-'data 1'!$F$4</f>
        <v>41.253</v>
      </c>
      <c r="AD34" s="145">
        <f t="shared" si="5"/>
        <v>-5.815439824520082</v>
      </c>
      <c r="AE34" s="145">
        <f t="shared" si="6"/>
        <v>-14.884999999999998</v>
      </c>
      <c r="AF34" s="145">
        <f t="shared" si="7"/>
        <v>83.055409037439816</v>
      </c>
      <c r="AG34" s="772">
        <f t="shared" si="18"/>
        <v>120.60796921291973</v>
      </c>
      <c r="AH34" s="1253">
        <f t="shared" si="9"/>
        <v>6.8479999999999999</v>
      </c>
      <c r="AI34" s="1253">
        <f t="shared" si="10"/>
        <v>7.6420000000000003</v>
      </c>
      <c r="AJ34" s="156">
        <f t="shared" si="11"/>
        <v>-94.168617742079931</v>
      </c>
      <c r="AK34" s="156">
        <f t="shared" si="12"/>
        <v>6.4395775826375417</v>
      </c>
      <c r="AM34" s="716">
        <f t="shared" si="13"/>
        <v>784.41246676581818</v>
      </c>
      <c r="AN34" s="716" t="str">
        <f>_xlfn.XLOOKUP(D34,RUC!$B$3:$B$578,RUC!$M$3:$M$578)</f>
        <v>Evelyn</v>
      </c>
      <c r="AO34" s="1167" t="s">
        <v>2277</v>
      </c>
      <c r="AP34" s="1843" t="s">
        <v>5857</v>
      </c>
      <c r="AQ34" s="1082" t="s">
        <v>5858</v>
      </c>
      <c r="AV34" s="1557" t="s">
        <v>2297</v>
      </c>
      <c r="AW34" s="703">
        <f t="shared" si="23"/>
        <v>0</v>
      </c>
      <c r="AY34" s="596">
        <f t="shared" si="24"/>
        <v>0</v>
      </c>
      <c r="BA34" s="1256">
        <f t="shared" si="25"/>
        <v>0</v>
      </c>
    </row>
    <row r="35" spans="1:53" ht="15" customHeight="1">
      <c r="A35" s="747" t="s">
        <v>5816</v>
      </c>
      <c r="B35" s="1447">
        <v>46177</v>
      </c>
      <c r="C35" s="1447">
        <v>46172</v>
      </c>
      <c r="D35" t="s">
        <v>1967</v>
      </c>
      <c r="E35" s="762">
        <f>_xlfn.XLOOKUP(D35,RUC!$B$3:$B$123,RUC!$D$3:$D$123)</f>
        <v>20601769396</v>
      </c>
      <c r="F35" s="629" t="s">
        <v>5829</v>
      </c>
      <c r="G35" s="762">
        <v>12</v>
      </c>
      <c r="H35" s="1082" t="s">
        <v>2005</v>
      </c>
      <c r="I35" s="703">
        <v>0.79</v>
      </c>
      <c r="J35" s="596">
        <v>3</v>
      </c>
      <c r="K35" s="703">
        <f t="shared" si="0"/>
        <v>0.76600000000000001</v>
      </c>
      <c r="L35" s="1192">
        <v>0.22900000000000001</v>
      </c>
      <c r="M35" s="994">
        <f>ROUND(+IF(L35&gt;_xlfn.XLOOKUP(AN35,RUC!M:M,RUC!K:K),L35*_xlfn.XLOOKUP(AN35,RUC!M:M,RUC!I:I),L35-_xlfn.XLOOKUP(AN35,RUC!M:M,RUC!J:J)),3)</f>
        <v>0.21</v>
      </c>
      <c r="N35" s="1196">
        <f t="shared" si="21"/>
        <v>0.21</v>
      </c>
      <c r="O35" s="645">
        <f t="shared" si="2"/>
        <v>0.21</v>
      </c>
      <c r="P35" s="727">
        <v>85</v>
      </c>
      <c r="Q35" s="875">
        <v>85.15</v>
      </c>
      <c r="R35" s="706">
        <v>4545.95</v>
      </c>
      <c r="S35" s="765">
        <f>IF((_xlfn.XLOOKUP(D35,RUC!$B$3:$B$119,RUC!$E$3:$E$119)+ROUNDDOWN(O35,1)*100)&lt;95,95,((_xlfn.XLOOKUP(D35,RUC!$B$3:$B$119,RUC!$E$3:$E$119)+ROUNDDOWN(O35,1)*100)))</f>
        <v>110</v>
      </c>
      <c r="U35" s="1146">
        <f>_xlfn.XLOOKUP(D35,RUC!$B$3:$B$123,RUC!$F$3:$F$123)</f>
        <v>120</v>
      </c>
      <c r="V35" s="715">
        <v>1.1023000000000001</v>
      </c>
      <c r="Y35">
        <f>_xlfn.XLOOKUP(D35,RUC!$B$3:$B$123,RUC!$G$3:$G$123)</f>
        <v>20</v>
      </c>
      <c r="Z35" s="143">
        <f>_xlfn.XLOOKUP(D35,RUC!$B$3:$B$123,RUC!$H$3:$H$123)</f>
        <v>30</v>
      </c>
      <c r="AA35" s="144">
        <f t="shared" si="3"/>
        <v>50</v>
      </c>
      <c r="AB35" s="145">
        <f t="shared" si="4"/>
        <v>694.48435627249989</v>
      </c>
      <c r="AC35" s="145">
        <f>+(S35-T35)*V35-'data 1'!$F$4</f>
        <v>41.253</v>
      </c>
      <c r="AD35" s="145">
        <f t="shared" si="5"/>
        <v>1.6758419292975637</v>
      </c>
      <c r="AE35" s="145">
        <f t="shared" si="6"/>
        <v>-14.884999999999998</v>
      </c>
      <c r="AF35" s="145">
        <f t="shared" si="7"/>
        <v>78.930447316272577</v>
      </c>
      <c r="AG35" s="772">
        <f t="shared" si="18"/>
        <v>123.97428924557013</v>
      </c>
      <c r="AH35" s="1253">
        <f t="shared" si="9"/>
        <v>5.1210000000000004</v>
      </c>
      <c r="AI35" s="1253">
        <f t="shared" si="10"/>
        <v>6.0140000000000002</v>
      </c>
      <c r="AJ35" s="156">
        <f t="shared" si="11"/>
        <v>-68.770480149247476</v>
      </c>
      <c r="AK35" s="156">
        <f t="shared" si="12"/>
        <v>4.6878753934645498</v>
      </c>
      <c r="AM35" s="716">
        <f t="shared" si="13"/>
        <v>531.97501690473496</v>
      </c>
      <c r="AN35" s="716" t="str">
        <f>_xlfn.XLOOKUP(D35,RUC!$B$3:$B$578,RUC!$M$3:$M$578)</f>
        <v>Evelyn</v>
      </c>
      <c r="AO35" s="1167" t="s">
        <v>2277</v>
      </c>
      <c r="AP35" s="1843" t="s">
        <v>5857</v>
      </c>
      <c r="AQ35" s="1082" t="s">
        <v>5858</v>
      </c>
      <c r="AV35" s="1557" t="s">
        <v>2518</v>
      </c>
      <c r="AW35" s="703">
        <f t="shared" si="23"/>
        <v>0</v>
      </c>
      <c r="AY35" s="596">
        <f t="shared" si="24"/>
        <v>0</v>
      </c>
      <c r="BA35" s="1256">
        <f t="shared" si="25"/>
        <v>0</v>
      </c>
    </row>
    <row r="36" spans="1:53" ht="15" customHeight="1">
      <c r="A36" s="747" t="s">
        <v>5817</v>
      </c>
      <c r="B36" s="1447">
        <v>46177</v>
      </c>
      <c r="C36" s="1447">
        <v>46172</v>
      </c>
      <c r="D36" t="s">
        <v>1967</v>
      </c>
      <c r="E36" s="762">
        <f>_xlfn.XLOOKUP(D36,RUC!$B$3:$B$123,RUC!$D$3:$D$123)</f>
        <v>20601769396</v>
      </c>
      <c r="F36" s="629" t="s">
        <v>5830</v>
      </c>
      <c r="G36" s="762">
        <v>14</v>
      </c>
      <c r="H36" s="1082" t="s">
        <v>2005</v>
      </c>
      <c r="I36" s="703">
        <v>1.07</v>
      </c>
      <c r="J36" s="596">
        <v>7.85</v>
      </c>
      <c r="K36" s="703">
        <f t="shared" si="0"/>
        <v>0.98599999999999999</v>
      </c>
      <c r="L36" s="1192">
        <v>0.41099999999999998</v>
      </c>
      <c r="M36" s="994">
        <f>ROUND(+IF(L36&gt;_xlfn.XLOOKUP(AN36,RUC!M:M,RUC!K:K),L36*_xlfn.XLOOKUP(AN36,RUC!M:M,RUC!I:I),L36-_xlfn.XLOOKUP(AN36,RUC!M:M,RUC!J:J)),3)</f>
        <v>0.38600000000000001</v>
      </c>
      <c r="N36" s="1196">
        <f t="shared" si="21"/>
        <v>0.38600000000000001</v>
      </c>
      <c r="O36" s="645">
        <f t="shared" si="2"/>
        <v>0.38600000000000001</v>
      </c>
      <c r="P36" s="727">
        <v>87</v>
      </c>
      <c r="Q36" s="1900">
        <v>87.1</v>
      </c>
      <c r="R36" s="706">
        <v>4545.95</v>
      </c>
      <c r="S36" s="765">
        <f>IF((_xlfn.XLOOKUP(D36,RUC!$B$3:$B$119,RUC!$E$3:$E$119)+ROUNDDOWN(O36,1)*100)&lt;95,95,((_xlfn.XLOOKUP(D36,RUC!$B$3:$B$119,RUC!$E$3:$E$119)+ROUNDDOWN(O36,1)*100)))</f>
        <v>120</v>
      </c>
      <c r="U36" s="1146">
        <f>_xlfn.XLOOKUP(D36,RUC!$B$3:$B$123,RUC!$F$3:$F$123)</f>
        <v>120</v>
      </c>
      <c r="V36" s="715">
        <v>1.1023000000000001</v>
      </c>
      <c r="Y36">
        <f>_xlfn.XLOOKUP(D36,RUC!$B$3:$B$123,RUC!$G$3:$G$123)</f>
        <v>20</v>
      </c>
      <c r="Z36" s="143">
        <f>_xlfn.XLOOKUP(D36,RUC!$B$3:$B$123,RUC!$H$3:$H$123)</f>
        <v>30</v>
      </c>
      <c r="AA36" s="144">
        <f t="shared" si="3"/>
        <v>50</v>
      </c>
      <c r="AB36" s="145">
        <f t="shared" si="4"/>
        <v>1450.9823237167002</v>
      </c>
      <c r="AC36" s="145">
        <f>+(S36-T36)*V36-'data 1'!$F$4</f>
        <v>52.27600000000001</v>
      </c>
      <c r="AD36" s="145">
        <f t="shared" si="5"/>
        <v>2.0051558455348859</v>
      </c>
      <c r="AE36" s="145">
        <f t="shared" si="6"/>
        <v>-14.884999999999998</v>
      </c>
      <c r="AF36" s="145">
        <f t="shared" si="7"/>
        <v>106.23423001587486</v>
      </c>
      <c r="AG36" s="772">
        <f t="shared" si="18"/>
        <v>162.63038586140976</v>
      </c>
      <c r="AH36" s="1253">
        <f t="shared" si="9"/>
        <v>12.102</v>
      </c>
      <c r="AI36" s="1253">
        <f t="shared" si="10"/>
        <v>13.894</v>
      </c>
      <c r="AJ36" s="156">
        <f t="shared" si="11"/>
        <v>-126.25305589318491</v>
      </c>
      <c r="AK36" s="156">
        <f t="shared" si="12"/>
        <v>11.352526948741689</v>
      </c>
      <c r="AM36" s="716">
        <f t="shared" si="13"/>
        <v>1430.6685711846665</v>
      </c>
      <c r="AN36" s="716" t="str">
        <f>_xlfn.XLOOKUP(D36,RUC!$B$3:$B$578,RUC!$M$3:$M$578)</f>
        <v>Evelyn</v>
      </c>
      <c r="AO36" s="1167" t="s">
        <v>2277</v>
      </c>
      <c r="AP36" s="1843" t="s">
        <v>5857</v>
      </c>
      <c r="AQ36" s="1082" t="s">
        <v>5858</v>
      </c>
      <c r="AV36" s="1557" t="s">
        <v>2519</v>
      </c>
      <c r="AW36" s="703">
        <f t="shared" si="23"/>
        <v>0</v>
      </c>
      <c r="AY36" s="596">
        <f t="shared" si="24"/>
        <v>0</v>
      </c>
      <c r="BA36" s="1256">
        <f t="shared" si="25"/>
        <v>0</v>
      </c>
    </row>
    <row r="37" spans="1:53" ht="15" customHeight="1">
      <c r="A37" s="747" t="s">
        <v>5818</v>
      </c>
      <c r="B37" s="1447">
        <v>46177</v>
      </c>
      <c r="C37" s="1447">
        <v>46172</v>
      </c>
      <c r="D37" t="s">
        <v>1967</v>
      </c>
      <c r="E37" s="762">
        <f>_xlfn.XLOOKUP(D37,RUC!$B$3:$B$123,RUC!$D$3:$D$123)</f>
        <v>20601769396</v>
      </c>
      <c r="F37" s="629" t="s">
        <v>5711</v>
      </c>
      <c r="G37" s="762">
        <v>44</v>
      </c>
      <c r="H37" s="1082" t="s">
        <v>108</v>
      </c>
      <c r="I37" s="703">
        <v>2.61</v>
      </c>
      <c r="J37" s="596">
        <v>19.100000000000001</v>
      </c>
      <c r="K37" s="703">
        <f t="shared" si="0"/>
        <v>2.1110000000000002</v>
      </c>
      <c r="L37" s="1192">
        <v>0.24299999999999999</v>
      </c>
      <c r="M37" s="994">
        <f>ROUND(+IF(L37&gt;_xlfn.XLOOKUP(AN37,RUC!M:M,RUC!K:K),L37*_xlfn.XLOOKUP(AN37,RUC!M:M,RUC!I:I),L37-_xlfn.XLOOKUP(AN37,RUC!M:M,RUC!J:J)),3)</f>
        <v>0.224</v>
      </c>
      <c r="N37" s="1196">
        <f t="shared" si="21"/>
        <v>0.224</v>
      </c>
      <c r="O37" s="645">
        <f t="shared" si="2"/>
        <v>0.224</v>
      </c>
      <c r="P37" s="727">
        <v>90</v>
      </c>
      <c r="Q37" s="875">
        <v>92.18</v>
      </c>
      <c r="R37" s="706">
        <v>4545.95</v>
      </c>
      <c r="S37" s="765">
        <f>IF((_xlfn.XLOOKUP(D37,RUC!$B$3:$B$119,RUC!$E$3:$E$119)+ROUNDDOWN(O37,1)*100)&lt;95,95,((_xlfn.XLOOKUP(D37,RUC!$B$3:$B$119,RUC!$E$3:$E$119)+ROUNDDOWN(O37,1)*100)))</f>
        <v>110</v>
      </c>
      <c r="U37" s="1146">
        <f>_xlfn.XLOOKUP(D37,RUC!$B$3:$B$123,RUC!$F$3:$F$123)</f>
        <v>120</v>
      </c>
      <c r="V37" s="715">
        <v>1.1023000000000001</v>
      </c>
      <c r="Y37">
        <f>_xlfn.XLOOKUP(D37,RUC!$B$3:$B$123,RUC!$G$3:$G$123)</f>
        <v>20</v>
      </c>
      <c r="Z37" s="143">
        <f>_xlfn.XLOOKUP(D37,RUC!$B$3:$B$123,RUC!$H$3:$H$123)</f>
        <v>30</v>
      </c>
      <c r="AA37" s="144">
        <f t="shared" si="3"/>
        <v>50</v>
      </c>
      <c r="AB37" s="145">
        <f t="shared" si="4"/>
        <v>807.18289649600001</v>
      </c>
      <c r="AC37" s="145">
        <f>+(S37-T37)*V37-'data 1'!$F$4</f>
        <v>41.253</v>
      </c>
      <c r="AD37" s="145">
        <f t="shared" si="5"/>
        <v>25.844556146319078</v>
      </c>
      <c r="AE37" s="145">
        <f t="shared" si="6"/>
        <v>-14.884999999999998</v>
      </c>
      <c r="AF37" s="145">
        <f t="shared" si="7"/>
        <v>85.446959878026959</v>
      </c>
      <c r="AG37" s="772">
        <f t="shared" si="18"/>
        <v>154.65951602434603</v>
      </c>
      <c r="AH37" s="1253">
        <f t="shared" si="9"/>
        <v>16.212</v>
      </c>
      <c r="AI37" s="1253">
        <f t="shared" si="10"/>
        <v>17.587</v>
      </c>
      <c r="AJ37" s="156">
        <f t="shared" si="11"/>
        <v>-78.999601269698957</v>
      </c>
      <c r="AK37" s="156">
        <f t="shared" si="12"/>
        <v>14.591093161387683</v>
      </c>
      <c r="AM37" s="716">
        <f t="shared" si="13"/>
        <v>1703.9630945030563</v>
      </c>
      <c r="AN37" s="716" t="str">
        <f>_xlfn.XLOOKUP(D37,RUC!$B$3:$B$578,RUC!$M$3:$M$578)</f>
        <v>Evelyn</v>
      </c>
      <c r="AO37" s="1167" t="s">
        <v>2277</v>
      </c>
      <c r="AP37" s="1843" t="s">
        <v>5857</v>
      </c>
      <c r="AQ37" s="1082" t="s">
        <v>5858</v>
      </c>
      <c r="AV37" s="1557" t="s">
        <v>2520</v>
      </c>
      <c r="AW37" s="703">
        <f t="shared" si="23"/>
        <v>0</v>
      </c>
      <c r="AY37" s="596">
        <f t="shared" si="24"/>
        <v>0</v>
      </c>
      <c r="BA37" s="1256">
        <f t="shared" si="25"/>
        <v>0</v>
      </c>
    </row>
    <row r="38" spans="1:53" ht="15" customHeight="1" thickBot="1">
      <c r="A38" s="747" t="s">
        <v>5819</v>
      </c>
      <c r="B38" s="1447">
        <v>46177</v>
      </c>
      <c r="C38" s="1447">
        <v>46172</v>
      </c>
      <c r="D38" t="s">
        <v>1967</v>
      </c>
      <c r="E38" s="762">
        <f>_xlfn.XLOOKUP(D38,RUC!$B$3:$B$123,RUC!$D$3:$D$123)</f>
        <v>20601769396</v>
      </c>
      <c r="F38" s="629" t="s">
        <v>5711</v>
      </c>
      <c r="G38" s="762">
        <v>43</v>
      </c>
      <c r="H38" s="1082" t="s">
        <v>108</v>
      </c>
      <c r="I38" s="703">
        <v>2.69</v>
      </c>
      <c r="J38" s="596">
        <v>22.58</v>
      </c>
      <c r="K38" s="703">
        <f t="shared" si="0"/>
        <v>2.0830000000000002</v>
      </c>
      <c r="L38" s="1192">
        <v>0.218</v>
      </c>
      <c r="M38" s="994">
        <f>ROUND(+IF(L38&gt;_xlfn.XLOOKUP(AN38,RUC!M:M,RUC!K:K),L38*_xlfn.XLOOKUP(AN38,RUC!M:M,RUC!I:I),L38-_xlfn.XLOOKUP(AN38,RUC!M:M,RUC!J:J)),3)</f>
        <v>0.19900000000000001</v>
      </c>
      <c r="N38" s="1196">
        <f t="shared" si="21"/>
        <v>0.19900000000000001</v>
      </c>
      <c r="O38" s="645">
        <f t="shared" si="2"/>
        <v>0.19900000000000001</v>
      </c>
      <c r="P38" s="727">
        <v>85</v>
      </c>
      <c r="Q38" s="875">
        <v>91.74</v>
      </c>
      <c r="R38" s="706">
        <v>4545.95</v>
      </c>
      <c r="S38" s="765">
        <f>IF((_xlfn.XLOOKUP(D38,RUC!$B$3:$B$119,RUC!$E$3:$E$119)+ROUNDDOWN(O38,1)*100)&lt;95,95,((_xlfn.XLOOKUP(D38,RUC!$B$3:$B$119,RUC!$E$3:$E$119)+ROUNDDOWN(O38,1)*100)))</f>
        <v>100</v>
      </c>
      <c r="U38" s="1146">
        <f>_xlfn.XLOOKUP(D38,RUC!$B$3:$B$123,RUC!$F$3:$F$123)</f>
        <v>120</v>
      </c>
      <c r="V38" s="715">
        <v>1.1023000000000001</v>
      </c>
      <c r="Y38">
        <f>_xlfn.XLOOKUP(D38,RUC!$B$3:$B$123,RUC!$G$3:$G$123)</f>
        <v>20</v>
      </c>
      <c r="Z38" s="143">
        <f>_xlfn.XLOOKUP(D38,RUC!$B$3:$B$123,RUC!$H$3:$H$123)</f>
        <v>30</v>
      </c>
      <c r="AA38" s="144">
        <f t="shared" si="3"/>
        <v>50</v>
      </c>
      <c r="AB38" s="145">
        <f t="shared" si="4"/>
        <v>659.89128046774988</v>
      </c>
      <c r="AC38" s="145">
        <f>+(S38-T38)*V38-'data 1'!$F$4</f>
        <v>30.230000000000004</v>
      </c>
      <c r="AD38" s="145">
        <f t="shared" si="5"/>
        <v>71.68407754164194</v>
      </c>
      <c r="AE38" s="145">
        <f t="shared" si="6"/>
        <v>-14.884999999999998</v>
      </c>
      <c r="AF38" s="145">
        <f t="shared" si="7"/>
        <v>85.039098494360957</v>
      </c>
      <c r="AG38" s="772">
        <f t="shared" si="18"/>
        <v>189.06817603600291</v>
      </c>
      <c r="AH38" s="1253">
        <f t="shared" si="9"/>
        <v>14.282999999999999</v>
      </c>
      <c r="AI38" s="1253">
        <f t="shared" si="10"/>
        <v>15.569000000000001</v>
      </c>
      <c r="AJ38" s="156">
        <f t="shared" si="11"/>
        <v>-70.53377876998195</v>
      </c>
      <c r="AK38" s="156">
        <f t="shared" si="12"/>
        <v>12.080094768573577</v>
      </c>
      <c r="AM38" s="716">
        <f t="shared" si="13"/>
        <v>1374.5535372143231</v>
      </c>
      <c r="AN38" s="716" t="str">
        <f>_xlfn.XLOOKUP(D38,RUC!$B$3:$B$578,RUC!$M$3:$M$578)</f>
        <v>Evelyn</v>
      </c>
      <c r="AO38" s="1167" t="s">
        <v>2277</v>
      </c>
      <c r="AP38" s="1843" t="s">
        <v>5857</v>
      </c>
      <c r="AQ38" s="1082" t="s">
        <v>5858</v>
      </c>
      <c r="AV38" s="1558" t="s">
        <v>2521</v>
      </c>
      <c r="AW38" s="1254">
        <f t="shared" si="23"/>
        <v>0</v>
      </c>
      <c r="AX38" s="1257"/>
      <c r="AY38" s="1242">
        <f t="shared" si="24"/>
        <v>0</v>
      </c>
      <c r="AZ38" s="1257"/>
      <c r="BA38" s="1258">
        <f t="shared" si="25"/>
        <v>0</v>
      </c>
    </row>
    <row r="39" spans="1:53" ht="15" customHeight="1">
      <c r="A39" s="747" t="s">
        <v>5820</v>
      </c>
      <c r="B39" s="1447">
        <v>46177</v>
      </c>
      <c r="C39" s="1447">
        <v>46172</v>
      </c>
      <c r="D39" t="s">
        <v>1967</v>
      </c>
      <c r="E39" s="762">
        <f>_xlfn.XLOOKUP(D39,RUC!$B$3:$B$123,RUC!$D$3:$D$123)</f>
        <v>20601769396</v>
      </c>
      <c r="F39" s="629" t="s">
        <v>5711</v>
      </c>
      <c r="G39" s="762">
        <v>43</v>
      </c>
      <c r="H39" s="1082" t="s">
        <v>108</v>
      </c>
      <c r="I39" s="703">
        <v>2.99</v>
      </c>
      <c r="J39" s="596">
        <v>20.03</v>
      </c>
      <c r="K39" s="703">
        <f t="shared" si="0"/>
        <v>2.391</v>
      </c>
      <c r="L39" s="1192">
        <v>0.3</v>
      </c>
      <c r="M39" s="994">
        <f>ROUND(+IF(L39&gt;_xlfn.XLOOKUP(AN39,RUC!M:M,RUC!K:K),L39*_xlfn.XLOOKUP(AN39,RUC!M:M,RUC!I:I),L39-_xlfn.XLOOKUP(AN39,RUC!M:M,RUC!J:J)),3)</f>
        <v>0.28100000000000003</v>
      </c>
      <c r="N39" s="1196">
        <f t="shared" si="21"/>
        <v>0.28100000000000003</v>
      </c>
      <c r="O39" s="645">
        <f t="shared" si="2"/>
        <v>0.28100000000000003</v>
      </c>
      <c r="P39" s="727">
        <v>90</v>
      </c>
      <c r="Q39" s="875">
        <v>92.67</v>
      </c>
      <c r="R39" s="706">
        <v>4545.95</v>
      </c>
      <c r="S39" s="765">
        <f>IF((_xlfn.XLOOKUP(D39,RUC!$B$3:$B$119,RUC!$E$3:$E$119)+ROUNDDOWN(O39,1)*100)&lt;95,95,((_xlfn.XLOOKUP(D39,RUC!$B$3:$B$119,RUC!$E$3:$E$119)+ROUNDDOWN(O39,1)*100)))</f>
        <v>110</v>
      </c>
      <c r="U39" s="1146">
        <f>_xlfn.XLOOKUP(D39,RUC!$B$3:$B$123,RUC!$F$3:$F$123)</f>
        <v>120</v>
      </c>
      <c r="V39" s="715">
        <v>1.1023000000000001</v>
      </c>
      <c r="Y39">
        <f>_xlfn.XLOOKUP(D39,RUC!$B$3:$B$123,RUC!$G$3:$G$123)</f>
        <v>20</v>
      </c>
      <c r="Z39" s="143">
        <f>_xlfn.XLOOKUP(D39,RUC!$B$3:$B$123,RUC!$H$3:$H$123)</f>
        <v>30</v>
      </c>
      <c r="AA39" s="144">
        <f t="shared" si="3"/>
        <v>50</v>
      </c>
      <c r="AB39" s="145">
        <f t="shared" si="4"/>
        <v>1057.4614728365002</v>
      </c>
      <c r="AC39" s="145">
        <f>+(S39-T39)*V39-'data 1'!$F$4</f>
        <v>41.253</v>
      </c>
      <c r="AD39" s="145">
        <f t="shared" si="5"/>
        <v>39.078584726850025</v>
      </c>
      <c r="AE39" s="145">
        <f t="shared" si="6"/>
        <v>-14.884999999999998</v>
      </c>
      <c r="AF39" s="145">
        <f t="shared" si="7"/>
        <v>85.901169146200317</v>
      </c>
      <c r="AG39" s="772">
        <f t="shared" si="18"/>
        <v>168.34775387305035</v>
      </c>
      <c r="AH39" s="1253">
        <f t="shared" si="9"/>
        <v>22.79</v>
      </c>
      <c r="AI39" s="1253">
        <f t="shared" si="10"/>
        <v>24.593</v>
      </c>
      <c r="AJ39" s="156">
        <f t="shared" si="11"/>
        <v>-98.04881283884994</v>
      </c>
      <c r="AK39" s="156">
        <f t="shared" si="12"/>
        <v>20.7318221590874</v>
      </c>
      <c r="AM39" s="716">
        <f t="shared" si="13"/>
        <v>2528.3903815520721</v>
      </c>
      <c r="AN39" s="716" t="str">
        <f>_xlfn.XLOOKUP(D39,RUC!$B$3:$B$578,RUC!$M$3:$M$578)</f>
        <v>Evelyn</v>
      </c>
      <c r="AO39" s="1167" t="s">
        <v>2277</v>
      </c>
      <c r="AP39" s="1843" t="s">
        <v>5857</v>
      </c>
      <c r="AQ39" s="1082" t="s">
        <v>5858</v>
      </c>
    </row>
    <row r="40" spans="1:53" ht="15" customHeight="1">
      <c r="A40" s="747" t="s">
        <v>5825</v>
      </c>
      <c r="B40" s="1447">
        <v>46179</v>
      </c>
      <c r="C40" s="1447">
        <v>46172</v>
      </c>
      <c r="D40" t="s">
        <v>1484</v>
      </c>
      <c r="E40" s="762">
        <f>_xlfn.XLOOKUP(D40,RUC!$B$3:$B$123,RUC!$D$3:$D$123)</f>
        <v>10761932735</v>
      </c>
      <c r="F40" s="629" t="s">
        <v>5833</v>
      </c>
      <c r="G40" s="762">
        <v>45</v>
      </c>
      <c r="H40" s="1082" t="s">
        <v>69</v>
      </c>
      <c r="I40" s="703">
        <v>3.56</v>
      </c>
      <c r="J40" s="596">
        <v>21.8</v>
      </c>
      <c r="K40" s="703">
        <f t="shared" si="0"/>
        <v>2.7839999999999998</v>
      </c>
      <c r="L40" s="1192">
        <v>0.42499999999999999</v>
      </c>
      <c r="M40" s="994">
        <f>ROUND(+IF(L40&gt;_xlfn.XLOOKUP(AN40,RUC!M:M,RUC!K:K),L40*_xlfn.XLOOKUP(AN40,RUC!M:M,RUC!I:I),L40-_xlfn.XLOOKUP(AN40,RUC!M:M,RUC!J:J)),3)</f>
        <v>0.39</v>
      </c>
      <c r="N40" s="1196">
        <f t="shared" si="21"/>
        <v>0.39</v>
      </c>
      <c r="O40" s="645">
        <f t="shared" si="2"/>
        <v>0.39</v>
      </c>
      <c r="P40" s="727">
        <v>90</v>
      </c>
      <c r="Q40" s="875">
        <v>90.12</v>
      </c>
      <c r="R40" s="706">
        <v>4545.95</v>
      </c>
      <c r="S40" s="765">
        <f>IF((_xlfn.XLOOKUP(D40,RUC!$B$3:$B$119,RUC!$E$3:$E$119)+ROUNDDOWN(O40,1)*100)&lt;95,95,((_xlfn.XLOOKUP(D40,RUC!$B$3:$B$119,RUC!$E$3:$E$119)+ROUNDDOWN(O40,1)*100)))</f>
        <v>120</v>
      </c>
      <c r="U40" s="1146">
        <f>_xlfn.XLOOKUP(D40,RUC!$B$3:$B$123,RUC!$F$3:$F$123)</f>
        <v>120</v>
      </c>
      <c r="V40" s="715">
        <v>1.1023000000000001</v>
      </c>
      <c r="Y40">
        <f>_xlfn.XLOOKUP(D40,RUC!$B$3:$B$123,RUC!$G$3:$G$123)</f>
        <v>20</v>
      </c>
      <c r="Z40" s="143">
        <f>_xlfn.XLOOKUP(D40,RUC!$B$3:$B$123,RUC!$H$3:$H$123)</f>
        <v>30</v>
      </c>
      <c r="AA40" s="144">
        <f t="shared" si="3"/>
        <v>50</v>
      </c>
      <c r="AB40" s="145">
        <f t="shared" si="4"/>
        <v>1525.0413644350001</v>
      </c>
      <c r="AC40" s="145">
        <f>+(S40-T40)*V40-'data 1'!$F$4</f>
        <v>52.27600000000001</v>
      </c>
      <c r="AD40" s="145">
        <f t="shared" si="5"/>
        <v>2.4881495893500944</v>
      </c>
      <c r="AE40" s="145">
        <f t="shared" si="6"/>
        <v>-14.884999999999998</v>
      </c>
      <c r="AF40" s="145">
        <f t="shared" si="7"/>
        <v>153.8847340142699</v>
      </c>
      <c r="AG40" s="772">
        <f t="shared" si="18"/>
        <v>210.76388360362</v>
      </c>
      <c r="AH40" s="1253">
        <f t="shared" si="9"/>
        <v>36.558999999999997</v>
      </c>
      <c r="AI40" s="1253">
        <f t="shared" si="10"/>
        <v>40.566000000000003</v>
      </c>
      <c r="AJ40" s="156">
        <f t="shared" si="11"/>
        <v>-135.08030576384991</v>
      </c>
      <c r="AK40" s="156">
        <f t="shared" si="12"/>
        <v>33.503132636251195</v>
      </c>
      <c r="AM40" s="716">
        <f t="shared" si="13"/>
        <v>4245.7151585870397</v>
      </c>
      <c r="AN40" s="716" t="str">
        <f>_xlfn.XLOOKUP(D40,RUC!$B$3:$B$578,RUC!$M$3:$M$578)</f>
        <v>Richard Sapacayo</v>
      </c>
      <c r="AO40" s="1167" t="s">
        <v>2280</v>
      </c>
      <c r="AP40" s="1082" t="s">
        <v>3601</v>
      </c>
      <c r="AQ40" s="1082" t="s">
        <v>5859</v>
      </c>
    </row>
    <row r="41" spans="1:53" ht="15" customHeight="1">
      <c r="A41" s="747" t="s">
        <v>5826</v>
      </c>
      <c r="B41" s="1447">
        <v>46179</v>
      </c>
      <c r="C41" s="1447">
        <v>46172</v>
      </c>
      <c r="D41" t="s">
        <v>1484</v>
      </c>
      <c r="E41" s="762">
        <f>_xlfn.XLOOKUP(D41,RUC!$B$3:$B$123,RUC!$D$3:$D$123)</f>
        <v>10761932735</v>
      </c>
      <c r="F41" s="629" t="s">
        <v>5833</v>
      </c>
      <c r="G41" s="762">
        <v>105</v>
      </c>
      <c r="H41" s="1082" t="s">
        <v>69</v>
      </c>
      <c r="I41" s="703">
        <v>11.27</v>
      </c>
      <c r="J41" s="596">
        <v>2.4500000000000002</v>
      </c>
      <c r="K41" s="703">
        <f t="shared" si="0"/>
        <v>10.994</v>
      </c>
      <c r="L41" s="1192">
        <v>0.22500000000000001</v>
      </c>
      <c r="M41" s="994">
        <f>ROUND(+IF(L41&gt;_xlfn.XLOOKUP(AN41,RUC!M:M,RUC!K:K),L41*_xlfn.XLOOKUP(AN41,RUC!M:M,RUC!I:I),L41-_xlfn.XLOOKUP(AN41,RUC!M:M,RUC!J:J)),3)</f>
        <v>0.19</v>
      </c>
      <c r="N41" s="1196">
        <f t="shared" si="21"/>
        <v>0.19</v>
      </c>
      <c r="O41" s="645">
        <f t="shared" si="2"/>
        <v>0.19</v>
      </c>
      <c r="P41" s="727">
        <v>40</v>
      </c>
      <c r="Q41" s="1897">
        <v>41.78</v>
      </c>
      <c r="R41" s="706">
        <v>4545.95</v>
      </c>
      <c r="S41" s="765">
        <f>IF((_xlfn.XLOOKUP(D41,RUC!$B$3:$B$119,RUC!$E$3:$E$119)+ROUNDDOWN(O41,1)*100)&lt;95,95,((_xlfn.XLOOKUP(D41,RUC!$B$3:$B$119,RUC!$E$3:$E$119)+ROUNDDOWN(O41,1)*100)))</f>
        <v>100</v>
      </c>
      <c r="U41" s="1146">
        <f>_xlfn.XLOOKUP(D41,RUC!$B$3:$B$123,RUC!$F$3:$F$123)</f>
        <v>120</v>
      </c>
      <c r="V41" s="715">
        <v>1.1023000000000001</v>
      </c>
      <c r="Y41">
        <f>_xlfn.XLOOKUP(D41,RUC!$B$3:$B$123,RUC!$G$3:$G$123)</f>
        <v>20</v>
      </c>
      <c r="Z41" s="143">
        <f>_xlfn.XLOOKUP(D41,RUC!$B$3:$B$123,RUC!$H$3:$H$123)</f>
        <v>30</v>
      </c>
      <c r="AA41" s="144">
        <f t="shared" si="3"/>
        <v>50</v>
      </c>
      <c r="AB41" s="145">
        <f t="shared" si="4"/>
        <v>205.43807605999996</v>
      </c>
      <c r="AC41" s="145">
        <f>+(S41-T41)*V41-'data 1'!$F$4</f>
        <v>30.230000000000004</v>
      </c>
      <c r="AD41" s="145">
        <f t="shared" si="5"/>
        <v>19.539292363425012</v>
      </c>
      <c r="AE41" s="145">
        <f t="shared" si="6"/>
        <v>-14.884999999999998</v>
      </c>
      <c r="AF41" s="145">
        <f t="shared" si="7"/>
        <v>71.341591068755008</v>
      </c>
      <c r="AG41" s="772">
        <f t="shared" si="18"/>
        <v>123.22588343218001</v>
      </c>
      <c r="AH41" s="1253">
        <f t="shared" si="9"/>
        <v>35.433999999999997</v>
      </c>
      <c r="AI41" s="1253">
        <f t="shared" si="10"/>
        <v>84.81</v>
      </c>
      <c r="AJ41" s="156">
        <f t="shared" si="11"/>
        <v>-33.153766594424987</v>
      </c>
      <c r="AK41" s="156">
        <f t="shared" si="12"/>
        <v>28.646950272849203</v>
      </c>
      <c r="AM41" s="716">
        <f t="shared" si="13"/>
        <v>2258.5862082036397</v>
      </c>
      <c r="AN41" s="716" t="str">
        <f>_xlfn.XLOOKUP(D41,RUC!$B$3:$B$578,RUC!$M$3:$M$578)</f>
        <v>Richard Sapacayo</v>
      </c>
      <c r="AO41" s="1167" t="s">
        <v>2280</v>
      </c>
      <c r="AP41" s="1082" t="s">
        <v>3601</v>
      </c>
      <c r="AQ41" s="1082" t="s">
        <v>5859</v>
      </c>
    </row>
    <row r="42" spans="1:53" ht="15" customHeight="1">
      <c r="A42" s="747" t="s">
        <v>5827</v>
      </c>
      <c r="B42" s="1447">
        <v>46177</v>
      </c>
      <c r="C42" s="1447">
        <v>46172</v>
      </c>
      <c r="D42" t="s">
        <v>2004</v>
      </c>
      <c r="E42" s="762">
        <f>_xlfn.XLOOKUP(D42,RUC!$B$3:$B$123,RUC!$D$3:$D$123)</f>
        <v>20612921866</v>
      </c>
      <c r="G42" s="762">
        <v>90</v>
      </c>
      <c r="H42" s="1082" t="s">
        <v>69</v>
      </c>
      <c r="I42" s="703">
        <v>9.67</v>
      </c>
      <c r="J42" s="596">
        <v>2</v>
      </c>
      <c r="K42" s="703">
        <f t="shared" si="0"/>
        <v>9.4770000000000003</v>
      </c>
      <c r="L42" s="1192">
        <v>0.127</v>
      </c>
      <c r="M42" s="994">
        <f>ROUND(+IF(L42&gt;_xlfn.XLOOKUP(AN42,RUC!M:M,RUC!K:K),L42*_xlfn.XLOOKUP(AN42,RUC!M:M,RUC!I:I),L42-_xlfn.XLOOKUP(AN42,RUC!M:M,RUC!J:J)),3)</f>
        <v>0.108</v>
      </c>
      <c r="N42" s="1196">
        <f t="shared" si="21"/>
        <v>0.108</v>
      </c>
      <c r="O42" s="645">
        <f t="shared" si="2"/>
        <v>0.108</v>
      </c>
      <c r="P42" s="727">
        <v>88</v>
      </c>
      <c r="Q42" s="1899">
        <v>92.13</v>
      </c>
      <c r="R42" s="706">
        <v>4545.95</v>
      </c>
      <c r="S42" s="765">
        <f>IF((_xlfn.XLOOKUP(D42,RUC!$B$3:$B$119,RUC!$E$3:$E$119)+ROUNDDOWN(O42,1)*100)&lt;95,95,((_xlfn.XLOOKUP(D42,RUC!$B$3:$B$119,RUC!$E$3:$E$119)+ROUNDDOWN(O42,1)*100)))</f>
        <v>95</v>
      </c>
      <c r="U42" s="1146">
        <f>_xlfn.XLOOKUP(D42,RUC!$B$3:$B$123,RUC!$F$3:$F$123)</f>
        <v>100</v>
      </c>
      <c r="V42" s="715">
        <v>1.1023000000000001</v>
      </c>
      <c r="Y42">
        <f>_xlfn.XLOOKUP(D42,RUC!$B$3:$B$123,RUC!$G$3:$G$123)</f>
        <v>0</v>
      </c>
      <c r="Z42" s="143">
        <f>_xlfn.XLOOKUP(D42,RUC!$B$3:$B$123,RUC!$H$3:$H$123)</f>
        <v>30</v>
      </c>
      <c r="AA42" s="144">
        <f t="shared" si="3"/>
        <v>30</v>
      </c>
      <c r="AB42" s="145">
        <f t="shared" si="4"/>
        <v>327.98174590240001</v>
      </c>
      <c r="AC42" s="145">
        <f>+(S42-T42)*V42-'data 1'!$F$4</f>
        <v>24.718500000000006</v>
      </c>
      <c r="AD42" s="145">
        <f t="shared" si="5"/>
        <v>25.705032319893473</v>
      </c>
      <c r="AE42" s="145">
        <f t="shared" si="6"/>
        <v>-36.930999999999997</v>
      </c>
      <c r="AF42" s="145">
        <f t="shared" si="7"/>
        <v>85.786520609719517</v>
      </c>
      <c r="AG42" s="772">
        <f t="shared" si="18"/>
        <v>116.27905292961299</v>
      </c>
      <c r="AH42" s="1253">
        <f t="shared" si="9"/>
        <v>38.018000000000001</v>
      </c>
      <c r="AI42" s="1253">
        <f t="shared" si="10"/>
        <v>41.265000000000001</v>
      </c>
      <c r="AJ42" s="156">
        <f t="shared" si="11"/>
        <v>-43.844956652113481</v>
      </c>
      <c r="AK42" s="156">
        <f t="shared" si="12"/>
        <v>30.880646047137748</v>
      </c>
      <c r="AM42" s="716">
        <f t="shared" si="13"/>
        <v>3108.2830059170451</v>
      </c>
      <c r="AN42" s="716" t="str">
        <f>_xlfn.XLOOKUP(D42,RUC!$B$3:$B$578,RUC!$M$3:$M$578)</f>
        <v>Ronald Garibay</v>
      </c>
      <c r="AO42" s="1167" t="s">
        <v>2278</v>
      </c>
      <c r="AP42" s="1082" t="s">
        <v>4095</v>
      </c>
      <c r="AQ42" s="1082" t="s">
        <v>2448</v>
      </c>
    </row>
    <row r="43" spans="1:53" ht="15" customHeight="1">
      <c r="A43" s="747" t="s">
        <v>5835</v>
      </c>
      <c r="B43" s="1447">
        <v>46177</v>
      </c>
      <c r="C43" s="1447">
        <v>46172</v>
      </c>
      <c r="D43" t="s">
        <v>1967</v>
      </c>
      <c r="E43" s="762">
        <f>_xlfn.XLOOKUP(D43,RUC!$B$3:$B$123,RUC!$D$3:$D$123)</f>
        <v>20601769396</v>
      </c>
      <c r="F43" s="629" t="s">
        <v>5711</v>
      </c>
      <c r="G43" s="762">
        <v>25</v>
      </c>
      <c r="H43" s="1082" t="s">
        <v>108</v>
      </c>
      <c r="I43" s="703">
        <v>1.65</v>
      </c>
      <c r="J43" s="596">
        <v>19.75</v>
      </c>
      <c r="K43" s="703">
        <f t="shared" si="0"/>
        <v>1.3240000000000001</v>
      </c>
      <c r="L43" s="1192">
        <v>0.24399999999999999</v>
      </c>
      <c r="M43" s="994">
        <f>ROUND(+IF(L43&gt;_xlfn.XLOOKUP(AN43,RUC!M:M,RUC!K:K),L43*_xlfn.XLOOKUP(AN43,RUC!M:M,RUC!I:I),L43-_xlfn.XLOOKUP(AN43,RUC!M:M,RUC!J:J)),3)</f>
        <v>0.22500000000000001</v>
      </c>
      <c r="N43" s="1196">
        <f t="shared" si="21"/>
        <v>0.22500000000000001</v>
      </c>
      <c r="O43" s="645">
        <f t="shared" si="2"/>
        <v>0.22500000000000001</v>
      </c>
      <c r="P43" s="727">
        <v>90</v>
      </c>
      <c r="Q43" s="875">
        <v>93.85</v>
      </c>
      <c r="R43" s="706">
        <v>4545.95</v>
      </c>
      <c r="S43" s="765">
        <f>IF((_xlfn.XLOOKUP(D43,RUC!$B$3:$B$119,RUC!$E$3:$E$119)+ROUNDDOWN(O43,1)*100)&lt;95,95,((_xlfn.XLOOKUP(D43,RUC!$B$3:$B$119,RUC!$E$3:$E$119)+ROUNDDOWN(O43,1)*100)))</f>
        <v>110</v>
      </c>
      <c r="U43" s="1146">
        <f>_xlfn.XLOOKUP(D43,RUC!$B$3:$B$123,RUC!$F$3:$F$123)</f>
        <v>120</v>
      </c>
      <c r="V43" s="715">
        <v>1.1023000000000001</v>
      </c>
      <c r="Y43" s="1445">
        <v>30</v>
      </c>
      <c r="Z43" s="1454">
        <v>70</v>
      </c>
      <c r="AA43" s="144">
        <f t="shared" si="3"/>
        <v>100</v>
      </c>
      <c r="AB43" s="145">
        <f t="shared" si="4"/>
        <v>756.4587487125001</v>
      </c>
      <c r="AC43" s="145">
        <f>+(S43-T43)*V43-'data 1'!$F$4</f>
        <v>41.253</v>
      </c>
      <c r="AD43" s="145">
        <f t="shared" si="5"/>
        <v>45.830739690889935</v>
      </c>
      <c r="AE43" s="145">
        <f t="shared" si="6"/>
        <v>40.230000000000004</v>
      </c>
      <c r="AF43" s="145">
        <f t="shared" si="7"/>
        <v>86.994979220577449</v>
      </c>
      <c r="AG43" s="772">
        <f t="shared" si="18"/>
        <v>231.30871891146739</v>
      </c>
      <c r="AH43" s="1253">
        <f t="shared" si="9"/>
        <v>10.395</v>
      </c>
      <c r="AI43" s="1253">
        <f t="shared" si="10"/>
        <v>11.076000000000001</v>
      </c>
      <c r="AJ43" s="156">
        <f t="shared" si="11"/>
        <v>-80.761806579689946</v>
      </c>
      <c r="AK43" s="156">
        <f t="shared" si="12"/>
        <v>9.1922553900855011</v>
      </c>
      <c r="AM43" s="716">
        <f t="shared" si="13"/>
        <v>1001.5513832953502</v>
      </c>
      <c r="AN43" s="716" t="str">
        <f>_xlfn.XLOOKUP(D43,RUC!$B$3:$B$578,RUC!$M$3:$M$578)</f>
        <v>Evelyn</v>
      </c>
      <c r="AO43" s="1167" t="s">
        <v>2277</v>
      </c>
      <c r="AP43" s="1082" t="s">
        <v>2457</v>
      </c>
      <c r="AQ43" s="1082" t="s">
        <v>5861</v>
      </c>
    </row>
    <row r="44" spans="1:53" ht="15" customHeight="1">
      <c r="A44" s="747" t="s">
        <v>5836</v>
      </c>
      <c r="B44" s="1447">
        <v>46177</v>
      </c>
      <c r="C44" s="1447">
        <v>46172</v>
      </c>
      <c r="D44" t="s">
        <v>1967</v>
      </c>
      <c r="E44" s="762">
        <f>_xlfn.XLOOKUP(D44,RUC!$B$3:$B$123,RUC!$D$3:$D$123)</f>
        <v>20601769396</v>
      </c>
      <c r="F44" s="629" t="s">
        <v>5711</v>
      </c>
      <c r="G44" s="762">
        <v>25</v>
      </c>
      <c r="H44" s="1082" t="s">
        <v>108</v>
      </c>
      <c r="I44" s="703">
        <v>1.65</v>
      </c>
      <c r="J44" s="596">
        <v>18.23</v>
      </c>
      <c r="K44" s="703">
        <f t="shared" si="0"/>
        <v>1.349</v>
      </c>
      <c r="L44" s="1192">
        <v>0.24399999999999999</v>
      </c>
      <c r="M44" s="994">
        <f>ROUND(+IF(L44&gt;_xlfn.XLOOKUP(AN44,RUC!M:M,RUC!K:K),L44*_xlfn.XLOOKUP(AN44,RUC!M:M,RUC!I:I),L44-_xlfn.XLOOKUP(AN44,RUC!M:M,RUC!J:J)),3)</f>
        <v>0.22500000000000001</v>
      </c>
      <c r="N44" s="1196">
        <f t="shared" si="21"/>
        <v>0.22500000000000001</v>
      </c>
      <c r="O44" s="645">
        <f t="shared" si="2"/>
        <v>0.22500000000000001</v>
      </c>
      <c r="P44" s="727">
        <v>90</v>
      </c>
      <c r="Q44" s="875">
        <v>92.62</v>
      </c>
      <c r="R44" s="706">
        <v>4545.95</v>
      </c>
      <c r="S44" s="765">
        <f>IF((_xlfn.XLOOKUP(D44,RUC!$B$3:$B$119,RUC!$E$3:$E$119)+ROUNDDOWN(O44,1)*100)&lt;95,95,((_xlfn.XLOOKUP(D44,RUC!$B$3:$B$119,RUC!$E$3:$E$119)+ROUNDDOWN(O44,1)*100)))</f>
        <v>110</v>
      </c>
      <c r="U44" s="1146">
        <f>_xlfn.XLOOKUP(D44,RUC!$B$3:$B$123,RUC!$F$3:$F$123)</f>
        <v>120</v>
      </c>
      <c r="V44" s="715">
        <v>1.1023000000000001</v>
      </c>
      <c r="Y44" s="1445">
        <v>30</v>
      </c>
      <c r="Z44" s="1454">
        <v>70</v>
      </c>
      <c r="AA44" s="144">
        <f t="shared" si="3"/>
        <v>100</v>
      </c>
      <c r="AB44" s="145">
        <f t="shared" si="4"/>
        <v>756.4587487125001</v>
      </c>
      <c r="AC44" s="145">
        <f>+(S44-T44)*V44-'data 1'!$F$4</f>
        <v>41.253</v>
      </c>
      <c r="AD44" s="145">
        <f t="shared" si="5"/>
        <v>31.188711166268057</v>
      </c>
      <c r="AE44" s="145">
        <f t="shared" si="6"/>
        <v>40.230000000000004</v>
      </c>
      <c r="AF44" s="145">
        <f t="shared" si="7"/>
        <v>85.854821261692962</v>
      </c>
      <c r="AG44" s="772">
        <f t="shared" si="18"/>
        <v>215.526532427961</v>
      </c>
      <c r="AH44" s="1253">
        <f t="shared" si="9"/>
        <v>10.452</v>
      </c>
      <c r="AI44" s="1253">
        <f t="shared" si="10"/>
        <v>11.285</v>
      </c>
      <c r="AJ44" s="156">
        <f t="shared" si="11"/>
        <v>-79.703340707627945</v>
      </c>
      <c r="AK44" s="156">
        <f t="shared" si="12"/>
        <v>9.3658251670886248</v>
      </c>
      <c r="AM44" s="716">
        <f t="shared" si="13"/>
        <v>1020.4628520131627</v>
      </c>
      <c r="AN44" s="716" t="str">
        <f>_xlfn.XLOOKUP(D44,RUC!$B$3:$B$578,RUC!$M$3:$M$578)</f>
        <v>Evelyn</v>
      </c>
      <c r="AO44" s="1167" t="s">
        <v>2277</v>
      </c>
      <c r="AP44" s="1082" t="s">
        <v>2457</v>
      </c>
      <c r="AQ44" s="1082" t="s">
        <v>5861</v>
      </c>
    </row>
    <row r="45" spans="1:53" ht="15" customHeight="1">
      <c r="A45" s="747" t="s">
        <v>5837</v>
      </c>
      <c r="B45" s="1447">
        <v>46177</v>
      </c>
      <c r="C45" s="1447">
        <v>46172</v>
      </c>
      <c r="D45" t="s">
        <v>1967</v>
      </c>
      <c r="E45" s="762">
        <f>_xlfn.XLOOKUP(D45,RUC!$B$3:$B$123,RUC!$D$3:$D$123)</f>
        <v>20601769396</v>
      </c>
      <c r="F45" s="629" t="s">
        <v>5880</v>
      </c>
      <c r="G45" s="762">
        <v>25</v>
      </c>
      <c r="H45" s="1082" t="s">
        <v>2005</v>
      </c>
      <c r="I45" s="703">
        <v>2.04</v>
      </c>
      <c r="J45" s="596">
        <v>13.85</v>
      </c>
      <c r="K45" s="703">
        <f t="shared" si="0"/>
        <v>1.7569999999999999</v>
      </c>
      <c r="L45" s="1192">
        <v>0.23100000000000001</v>
      </c>
      <c r="M45" s="994">
        <f>ROUND(+IF(L45&gt;_xlfn.XLOOKUP(AN45,RUC!M:M,RUC!K:K),L45*_xlfn.XLOOKUP(AN45,RUC!M:M,RUC!I:I),L45-_xlfn.XLOOKUP(AN45,RUC!M:M,RUC!J:J)),3)</f>
        <v>0.21199999999999999</v>
      </c>
      <c r="N45" s="1196">
        <f t="shared" si="21"/>
        <v>0.21199999999999999</v>
      </c>
      <c r="O45" s="645">
        <f t="shared" si="2"/>
        <v>0.21199999999999999</v>
      </c>
      <c r="P45" s="727">
        <v>90</v>
      </c>
      <c r="Q45" s="875">
        <v>95.67</v>
      </c>
      <c r="R45" s="706">
        <v>4545.95</v>
      </c>
      <c r="S45" s="765">
        <f>IF((_xlfn.XLOOKUP(D45,RUC!$B$3:$B$119,RUC!$E$3:$E$119)+ROUNDDOWN(O45,1)*100)&lt;95,95,((_xlfn.XLOOKUP(D45,RUC!$B$3:$B$119,RUC!$E$3:$E$119)+ROUNDDOWN(O45,1)*100)))</f>
        <v>110</v>
      </c>
      <c r="U45" s="1146">
        <f>_xlfn.XLOOKUP(D45,RUC!$B$3:$B$123,RUC!$F$3:$F$123)</f>
        <v>120</v>
      </c>
      <c r="V45" s="715">
        <v>1.1023000000000001</v>
      </c>
      <c r="Y45">
        <f>_xlfn.XLOOKUP(D45,RUC!$B$3:$B$123,RUC!$G$3:$G$123)</f>
        <v>20</v>
      </c>
      <c r="Z45" s="143">
        <f>_xlfn.XLOOKUP(D45,RUC!$B$3:$B$123,RUC!$H$3:$H$123)</f>
        <v>30</v>
      </c>
      <c r="AA45" s="144">
        <f t="shared" si="3"/>
        <v>50</v>
      </c>
      <c r="AB45" s="145">
        <f t="shared" si="4"/>
        <v>754.49266989799992</v>
      </c>
      <c r="AC45" s="145">
        <f>+(S45-T45)*V45-'data 1'!$F$4</f>
        <v>41.253</v>
      </c>
      <c r="AD45" s="145">
        <f t="shared" si="5"/>
        <v>63.900072306724525</v>
      </c>
      <c r="AE45" s="145">
        <f t="shared" si="6"/>
        <v>-14.884999999999998</v>
      </c>
      <c r="AF45" s="145">
        <f t="shared" si="7"/>
        <v>88.682042216650586</v>
      </c>
      <c r="AG45" s="772">
        <f t="shared" si="18"/>
        <v>195.95011452337511</v>
      </c>
      <c r="AH45" s="1253">
        <f t="shared" si="9"/>
        <v>13.313000000000001</v>
      </c>
      <c r="AI45" s="1253">
        <f t="shared" si="10"/>
        <v>13.914999999999999</v>
      </c>
      <c r="AJ45" s="156">
        <f t="shared" si="11"/>
        <v>-77.941664418964464</v>
      </c>
      <c r="AK45" s="156">
        <f t="shared" si="12"/>
        <v>11.493682634174581</v>
      </c>
      <c r="AM45" s="716">
        <f t="shared" si="13"/>
        <v>1325.6436210107859</v>
      </c>
      <c r="AN45" s="716" t="str">
        <f>_xlfn.XLOOKUP(D45,RUC!$B$3:$B$578,RUC!$M$3:$M$578)</f>
        <v>Evelyn</v>
      </c>
      <c r="AO45" s="1167" t="s">
        <v>2277</v>
      </c>
      <c r="AP45" s="1082" t="s">
        <v>2457</v>
      </c>
      <c r="AQ45" s="1082" t="s">
        <v>5861</v>
      </c>
    </row>
    <row r="46" spans="1:53" ht="15" customHeight="1">
      <c r="A46" s="747" t="s">
        <v>5838</v>
      </c>
      <c r="B46" s="1447">
        <v>46177</v>
      </c>
      <c r="C46" s="1447">
        <v>46172</v>
      </c>
      <c r="D46" t="s">
        <v>1967</v>
      </c>
      <c r="E46" s="762">
        <f>_xlfn.XLOOKUP(D46,RUC!$B$3:$B$123,RUC!$D$3:$D$123)</f>
        <v>20601769396</v>
      </c>
      <c r="F46" s="629" t="s">
        <v>5880</v>
      </c>
      <c r="G46" s="762">
        <v>25</v>
      </c>
      <c r="H46" s="1082" t="s">
        <v>116</v>
      </c>
      <c r="I46" s="703">
        <v>2</v>
      </c>
      <c r="J46" s="596">
        <v>14.5</v>
      </c>
      <c r="K46" s="703">
        <f t="shared" si="0"/>
        <v>1.71</v>
      </c>
      <c r="L46" s="1192">
        <v>0.27100000000000002</v>
      </c>
      <c r="M46" s="994">
        <f>ROUND(+IF(L46&gt;_xlfn.XLOOKUP(AN46,RUC!M:M,RUC!K:K),L46*_xlfn.XLOOKUP(AN46,RUC!M:M,RUC!I:I),L46-_xlfn.XLOOKUP(AN46,RUC!M:M,RUC!J:J)),3)</f>
        <v>0.252</v>
      </c>
      <c r="N46" s="1196">
        <f t="shared" si="21"/>
        <v>0.252</v>
      </c>
      <c r="O46" s="645">
        <f t="shared" si="2"/>
        <v>0.252</v>
      </c>
      <c r="P46" s="727">
        <v>90</v>
      </c>
      <c r="Q46" s="875">
        <v>94.83</v>
      </c>
      <c r="R46" s="706">
        <v>4545.95</v>
      </c>
      <c r="S46" s="765">
        <f>IF((_xlfn.XLOOKUP(D46,RUC!$B$3:$B$119,RUC!$E$3:$E$119)+ROUNDDOWN(O46,1)*100)&lt;95,95,((_xlfn.XLOOKUP(D46,RUC!$B$3:$B$119,RUC!$E$3:$E$119)+ROUNDDOWN(O46,1)*100)))</f>
        <v>110</v>
      </c>
      <c r="U46" s="1146">
        <f>_xlfn.XLOOKUP(D46,RUC!$B$3:$B$123,RUC!$F$3:$F$123)</f>
        <v>120</v>
      </c>
      <c r="V46" s="715">
        <v>1.1023000000000001</v>
      </c>
      <c r="Y46">
        <f>_xlfn.XLOOKUP(D46,RUC!$B$3:$B$123,RUC!$G$3:$G$123)</f>
        <v>20</v>
      </c>
      <c r="Z46" s="143">
        <f>_xlfn.XLOOKUP(D46,RUC!$B$3:$B$123,RUC!$H$3:$H$123)</f>
        <v>30</v>
      </c>
      <c r="AA46" s="144">
        <f t="shared" si="3"/>
        <v>50</v>
      </c>
      <c r="AB46" s="145">
        <f t="shared" si="4"/>
        <v>930.12675855800001</v>
      </c>
      <c r="AC46" s="145">
        <f>+(S46-T46)*V46-'data 1'!$F$4</f>
        <v>41.253</v>
      </c>
      <c r="AD46" s="145">
        <f t="shared" si="5"/>
        <v>63.859091019370481</v>
      </c>
      <c r="AE46" s="145">
        <f t="shared" si="6"/>
        <v>-14.884999999999998</v>
      </c>
      <c r="AF46" s="145">
        <f t="shared" si="7"/>
        <v>87.903397756924591</v>
      </c>
      <c r="AG46" s="772">
        <f t="shared" si="18"/>
        <v>195.13048877629507</v>
      </c>
      <c r="AH46" s="1253">
        <f t="shared" si="9"/>
        <v>15.067</v>
      </c>
      <c r="AI46" s="1253">
        <f t="shared" si="10"/>
        <v>15.888</v>
      </c>
      <c r="AJ46" s="156">
        <f t="shared" si="11"/>
        <v>-90.635213759530473</v>
      </c>
      <c r="AK46" s="156">
        <f t="shared" si="12"/>
        <v>13.296833476655399</v>
      </c>
      <c r="AM46" s="716">
        <f t="shared" si="13"/>
        <v>1590.5167571341799</v>
      </c>
      <c r="AN46" s="716" t="str">
        <f>_xlfn.XLOOKUP(D46,RUC!$B$3:$B$578,RUC!$M$3:$M$578)</f>
        <v>Evelyn</v>
      </c>
      <c r="AO46" s="1167" t="s">
        <v>2277</v>
      </c>
      <c r="AP46" s="1082" t="s">
        <v>2457</v>
      </c>
      <c r="AQ46" s="1082" t="s">
        <v>5861</v>
      </c>
    </row>
    <row r="47" spans="1:53" ht="15" customHeight="1">
      <c r="A47" s="747" t="s">
        <v>5839</v>
      </c>
      <c r="B47" s="1447">
        <v>46181</v>
      </c>
      <c r="C47" s="1447">
        <v>46173</v>
      </c>
      <c r="D47" t="s">
        <v>5442</v>
      </c>
      <c r="E47" s="762">
        <f>_xlfn.XLOOKUP(D47,RUC!$B$3:$B$123,RUC!$D$3:$D$123)</f>
        <v>20606562480</v>
      </c>
      <c r="F47" s="629" t="s">
        <v>5881</v>
      </c>
      <c r="G47" s="762">
        <v>25</v>
      </c>
      <c r="H47" s="1082" t="s">
        <v>116</v>
      </c>
      <c r="I47" s="703">
        <v>1.72</v>
      </c>
      <c r="J47" s="596">
        <v>20.98</v>
      </c>
      <c r="K47" s="703">
        <f t="shared" ref="K47:K101" si="26">ROUND(+I47-(I47*(J47/100)),3)</f>
        <v>1.359</v>
      </c>
      <c r="L47" s="1192">
        <v>0.23200000000000001</v>
      </c>
      <c r="M47" s="994">
        <f>ROUND(+IF(L47&gt;_xlfn.XLOOKUP(AN47,RUC!M:M,RUC!K:K),L47*_xlfn.XLOOKUP(AN47,RUC!M:M,RUC!I:I),L47-_xlfn.XLOOKUP(AN47,RUC!M:M,RUC!J:J)),3)</f>
        <v>0.21299999999999999</v>
      </c>
      <c r="N47" s="1196">
        <f t="shared" si="21"/>
        <v>0.21299999999999999</v>
      </c>
      <c r="O47" s="645">
        <f t="shared" ref="O47:O73" si="27">+ROUND((M47+N47)/2,3)</f>
        <v>0.21299999999999999</v>
      </c>
      <c r="P47" s="727">
        <v>90</v>
      </c>
      <c r="Q47" s="875">
        <v>92.24</v>
      </c>
      <c r="R47" s="706">
        <v>4449.3</v>
      </c>
      <c r="S47" s="765">
        <f>IF((_xlfn.XLOOKUP(D47,RUC!$B$3:$B$119,RUC!$E$3:$E$119)+ROUNDDOWN(O47,1)*100)&lt;95,95,((_xlfn.XLOOKUP(D47,RUC!$B$3:$B$119,RUC!$E$3:$E$119)+ROUNDDOWN(O47,1)*100)))</f>
        <v>105</v>
      </c>
      <c r="U47" s="1146">
        <f>_xlfn.XLOOKUP(D47,RUC!$B$3:$B$123,RUC!$F$3:$F$123)</f>
        <v>120</v>
      </c>
      <c r="V47" s="715">
        <v>1.1023000000000001</v>
      </c>
      <c r="Y47">
        <f>_xlfn.XLOOKUP(D47,RUC!$B$3:$B$123,RUC!$G$3:$G$123)</f>
        <v>20</v>
      </c>
      <c r="Z47" s="143">
        <f>_xlfn.XLOOKUP(D47,RUC!$B$3:$B$123,RUC!$H$3:$H$123)</f>
        <v>35</v>
      </c>
      <c r="AA47" s="144">
        <f t="shared" ref="AA47:AA101" si="28">+Y47+Z47</f>
        <v>55</v>
      </c>
      <c r="AB47" s="145">
        <f t="shared" ref="AB47:AB101" si="29">+((O47*P47*(R47-U47)/100)-S47-AA47+T47)*V47</f>
        <v>738.46032266299994</v>
      </c>
      <c r="AC47" s="145">
        <f>+(S47-T47)*V47-'data 1'!$F$4</f>
        <v>35.741500000000002</v>
      </c>
      <c r="AD47" s="145">
        <f t="shared" ref="AD47:AD101" si="30">+(Q47-P47)*(R47-U47)*L47*V47/100</f>
        <v>24.800103428351949</v>
      </c>
      <c r="AE47" s="145">
        <f t="shared" ref="AE47:AE101" si="31">+(Y47*V47-70)+V47*(Z47-IF(D47="UNTUCA",IF(+((W47-3)*2.5+(X47-3)*3.1)&gt;0,+((W47-3)*1.5+(X47-3)*3.1),0),IF(+((W47-3)*1.5+(X47-3)*3.1)&gt;0,+((W47-3)*1.5+(X47-3)*3.1),0)))</f>
        <v>-9.3734999999999999</v>
      </c>
      <c r="AF47" s="145">
        <f t="shared" ref="AF47:AF101" si="32">(L47-O47)*(R47-U47)*Q47*V47/100</f>
        <v>83.635447322184078</v>
      </c>
      <c r="AG47" s="772">
        <f t="shared" si="18"/>
        <v>151.80355075053603</v>
      </c>
      <c r="AH47" s="1253">
        <f t="shared" ref="AH47:AH101" si="33">ROUND((31.1035*L47*Q47*1.1023*K47/100),3)</f>
        <v>9.9710000000000001</v>
      </c>
      <c r="AI47" s="1253">
        <f t="shared" ref="AI47:AI101" si="34">ROUND((31.1035*L47*1.1023*K47),3)</f>
        <v>10.81</v>
      </c>
      <c r="AJ47" s="156">
        <f t="shared" si="11"/>
        <v>-52.67394060051204</v>
      </c>
      <c r="AK47" s="156">
        <f t="shared" ref="AK47:AK101" si="35">31.1035*1.1023*K47*P47*O47/100</f>
        <v>8.9320395804024137</v>
      </c>
      <c r="AM47" s="716">
        <f t="shared" ref="AM47:AM101" si="36">+IF(AB47*K47&gt;0,AB47*K47,0)</f>
        <v>1003.5675784990169</v>
      </c>
      <c r="AN47" s="716" t="str">
        <f>_xlfn.XLOOKUP(D47,RUC!$B$3:$B$578,RUC!$M$3:$M$578)</f>
        <v>Ronald Miranda</v>
      </c>
      <c r="AO47" s="1167" t="s">
        <v>2278</v>
      </c>
      <c r="AP47" s="1082" t="s">
        <v>4944</v>
      </c>
      <c r="AQ47" s="1082" t="s">
        <v>5862</v>
      </c>
    </row>
    <row r="48" spans="1:53" ht="15" customHeight="1">
      <c r="A48" s="747" t="s">
        <v>5840</v>
      </c>
      <c r="B48" s="1447">
        <v>46181</v>
      </c>
      <c r="C48" s="1447">
        <v>46173</v>
      </c>
      <c r="D48" t="s">
        <v>5442</v>
      </c>
      <c r="E48" s="762">
        <f>_xlfn.XLOOKUP(D48,RUC!$B$3:$B$123,RUC!$D$3:$D$123)</f>
        <v>20606562480</v>
      </c>
      <c r="F48" s="629" t="s">
        <v>5881</v>
      </c>
      <c r="G48" s="762">
        <v>25</v>
      </c>
      <c r="H48" s="1082" t="s">
        <v>116</v>
      </c>
      <c r="I48" s="703">
        <v>1.58</v>
      </c>
      <c r="J48" s="596">
        <v>21.6</v>
      </c>
      <c r="K48" s="703">
        <f t="shared" si="26"/>
        <v>1.2390000000000001</v>
      </c>
      <c r="L48" s="1192">
        <v>0.34</v>
      </c>
      <c r="M48" s="994">
        <f>ROUND(+IF(L48&gt;_xlfn.XLOOKUP(AN48,RUC!M:M,RUC!K:K),L48*_xlfn.XLOOKUP(AN48,RUC!M:M,RUC!I:I),L48-_xlfn.XLOOKUP(AN48,RUC!M:M,RUC!J:J)),3)</f>
        <v>0.32</v>
      </c>
      <c r="N48" s="1196">
        <f t="shared" si="21"/>
        <v>0.32</v>
      </c>
      <c r="O48" s="645">
        <f t="shared" si="27"/>
        <v>0.32</v>
      </c>
      <c r="P48" s="727">
        <v>88</v>
      </c>
      <c r="Q48" s="1899">
        <v>88.53</v>
      </c>
      <c r="R48" s="706">
        <v>4449.3</v>
      </c>
      <c r="S48" s="765">
        <f>IF((_xlfn.XLOOKUP(D48,RUC!$B$3:$B$119,RUC!$E$3:$E$119)+ROUNDDOWN(O48,1)*100)&lt;95,95,((_xlfn.XLOOKUP(D48,RUC!$B$3:$B$119,RUC!$E$3:$E$119)+ROUNDDOWN(O48,1)*100)))</f>
        <v>115</v>
      </c>
      <c r="U48" s="1146">
        <f>_xlfn.XLOOKUP(D48,RUC!$B$3:$B$123,RUC!$F$3:$F$123)</f>
        <v>120</v>
      </c>
      <c r="V48" s="715">
        <v>1.1023000000000001</v>
      </c>
      <c r="Y48">
        <f>_xlfn.XLOOKUP(D48,RUC!$B$3:$B$123,RUC!$G$3:$G$123)</f>
        <v>20</v>
      </c>
      <c r="Z48" s="143">
        <f>_xlfn.XLOOKUP(D48,RUC!$B$3:$B$123,RUC!$H$3:$H$123)</f>
        <v>35</v>
      </c>
      <c r="AA48" s="144">
        <f t="shared" si="28"/>
        <v>55</v>
      </c>
      <c r="AB48" s="145">
        <f t="shared" si="29"/>
        <v>1156.456969024</v>
      </c>
      <c r="AC48" s="145">
        <f>+(S48-T48)*V48-'data 1'!$F$4</f>
        <v>46.764500000000012</v>
      </c>
      <c r="AD48" s="145">
        <f t="shared" si="30"/>
        <v>8.5994816767800195</v>
      </c>
      <c r="AE48" s="145">
        <f t="shared" si="31"/>
        <v>-9.3734999999999999</v>
      </c>
      <c r="AF48" s="145">
        <f t="shared" si="32"/>
        <v>84.496349927340091</v>
      </c>
      <c r="AG48" s="772">
        <f t="shared" si="18"/>
        <v>147.48683160412011</v>
      </c>
      <c r="AH48" s="1253">
        <f t="shared" si="33"/>
        <v>12.786</v>
      </c>
      <c r="AI48" s="1253">
        <f t="shared" si="34"/>
        <v>14.443</v>
      </c>
      <c r="AJ48" s="156">
        <f t="shared" ref="AJ48:AJ102" si="37">+((+$AJ$2-R48+U48)*L48*Q48*V48)/100</f>
        <v>-74.089712877180077</v>
      </c>
      <c r="AK48" s="156">
        <f t="shared" si="35"/>
        <v>11.962254175576323</v>
      </c>
      <c r="AM48" s="716">
        <f t="shared" si="36"/>
        <v>1432.8501846207362</v>
      </c>
      <c r="AN48" s="716" t="str">
        <f>_xlfn.XLOOKUP(D48,RUC!$B$3:$B$578,RUC!$M$3:$M$578)</f>
        <v>Ronald Miranda</v>
      </c>
      <c r="AO48" s="1167" t="s">
        <v>2278</v>
      </c>
      <c r="AP48" s="1082" t="s">
        <v>4944</v>
      </c>
      <c r="AQ48" s="1082" t="s">
        <v>5862</v>
      </c>
      <c r="AR48" s="1903" t="s">
        <v>5469</v>
      </c>
    </row>
    <row r="49" spans="1:44" ht="15" customHeight="1">
      <c r="A49" s="747" t="s">
        <v>5841</v>
      </c>
      <c r="B49" s="1447">
        <v>46181</v>
      </c>
      <c r="C49" s="1447">
        <v>46173</v>
      </c>
      <c r="D49" t="s">
        <v>5442</v>
      </c>
      <c r="E49" s="762">
        <f>_xlfn.XLOOKUP(D49,RUC!$B$3:$B$123,RUC!$D$3:$D$123)</f>
        <v>20606562480</v>
      </c>
      <c r="F49" s="629" t="s">
        <v>5881</v>
      </c>
      <c r="G49" s="762">
        <v>25</v>
      </c>
      <c r="H49" s="1082" t="s">
        <v>116</v>
      </c>
      <c r="I49" s="703">
        <v>1.66</v>
      </c>
      <c r="J49" s="596">
        <v>17.05</v>
      </c>
      <c r="K49" s="703">
        <f t="shared" si="26"/>
        <v>1.377</v>
      </c>
      <c r="L49" s="1192">
        <v>0.22600000000000001</v>
      </c>
      <c r="M49" s="994">
        <f>ROUND(+IF(L49&gt;_xlfn.XLOOKUP(AN49,RUC!M:M,RUC!K:K),L49*_xlfn.XLOOKUP(AN49,RUC!M:M,RUC!I:I),L49-_xlfn.XLOOKUP(AN49,RUC!M:M,RUC!J:J)),3)</f>
        <v>0.20699999999999999</v>
      </c>
      <c r="N49" s="1196">
        <f t="shared" si="21"/>
        <v>0.20699999999999999</v>
      </c>
      <c r="O49" s="645">
        <f t="shared" si="27"/>
        <v>0.20699999999999999</v>
      </c>
      <c r="P49" s="727">
        <v>90</v>
      </c>
      <c r="Q49" s="875">
        <v>89.38</v>
      </c>
      <c r="R49" s="706">
        <v>4449.3</v>
      </c>
      <c r="S49" s="765">
        <f>IF((_xlfn.XLOOKUP(D49,RUC!$B$3:$B$119,RUC!$E$3:$E$119)+ROUNDDOWN(O49,1)*100)&lt;95,95,((_xlfn.XLOOKUP(D49,RUC!$B$3:$B$119,RUC!$E$3:$E$119)+ROUNDDOWN(O49,1)*100)))</f>
        <v>105</v>
      </c>
      <c r="U49" s="1146">
        <f>_xlfn.XLOOKUP(D49,RUC!$B$3:$B$123,RUC!$F$3:$F$123)</f>
        <v>120</v>
      </c>
      <c r="V49" s="715">
        <v>1.1023000000000001</v>
      </c>
      <c r="Y49">
        <f>_xlfn.XLOOKUP(D49,RUC!$B$3:$B$123,RUC!$G$3:$G$123)</f>
        <v>20</v>
      </c>
      <c r="Z49" s="143">
        <f>_xlfn.XLOOKUP(D49,RUC!$B$3:$B$123,RUC!$H$3:$H$123)</f>
        <v>35</v>
      </c>
      <c r="AA49" s="144">
        <f t="shared" si="28"/>
        <v>55</v>
      </c>
      <c r="AB49" s="145">
        <f t="shared" si="29"/>
        <v>712.69051075699997</v>
      </c>
      <c r="AC49" s="145">
        <f>+(S49-T49)*V49-'data 1'!$F$4</f>
        <v>35.741500000000002</v>
      </c>
      <c r="AD49" s="145">
        <f t="shared" si="30"/>
        <v>-6.6867889708680499</v>
      </c>
      <c r="AE49" s="145">
        <f t="shared" si="31"/>
        <v>-9.3734999999999999</v>
      </c>
      <c r="AF49" s="145">
        <f t="shared" si="32"/>
        <v>81.042240694458087</v>
      </c>
      <c r="AG49" s="772">
        <f t="shared" si="18"/>
        <v>117.72345172359005</v>
      </c>
      <c r="AH49" s="1253">
        <f t="shared" si="33"/>
        <v>9.5370000000000008</v>
      </c>
      <c r="AI49" s="1253">
        <f t="shared" si="34"/>
        <v>10.67</v>
      </c>
      <c r="AJ49" s="156">
        <f t="shared" si="37"/>
        <v>-49.720709807692039</v>
      </c>
      <c r="AK49" s="156">
        <f t="shared" si="35"/>
        <v>8.7954054519455553</v>
      </c>
      <c r="AM49" s="716">
        <f t="shared" si="36"/>
        <v>981.374833312389</v>
      </c>
      <c r="AN49" s="716" t="str">
        <f>_xlfn.XLOOKUP(D49,RUC!$B$3:$B$578,RUC!$M$3:$M$578)</f>
        <v>Ronald Miranda</v>
      </c>
      <c r="AO49" s="1167" t="s">
        <v>2278</v>
      </c>
      <c r="AP49" s="1082" t="s">
        <v>4944</v>
      </c>
      <c r="AQ49" s="1082" t="s">
        <v>5862</v>
      </c>
    </row>
    <row r="50" spans="1:44" ht="15" customHeight="1">
      <c r="A50" s="747" t="s">
        <v>5842</v>
      </c>
      <c r="B50" s="1447">
        <v>46181</v>
      </c>
      <c r="C50" s="1447">
        <v>46173</v>
      </c>
      <c r="D50" t="s">
        <v>5442</v>
      </c>
      <c r="E50" s="762">
        <f>_xlfn.XLOOKUP(D50,RUC!$B$3:$B$123,RUC!$D$3:$D$123)</f>
        <v>20606562480</v>
      </c>
      <c r="F50" s="629" t="s">
        <v>5881</v>
      </c>
      <c r="G50" s="762">
        <v>25</v>
      </c>
      <c r="H50" s="1082" t="s">
        <v>116</v>
      </c>
      <c r="I50" s="703">
        <v>1.74</v>
      </c>
      <c r="J50" s="596">
        <v>15.93</v>
      </c>
      <c r="K50" s="703">
        <f t="shared" si="26"/>
        <v>1.4630000000000001</v>
      </c>
      <c r="L50" s="1192">
        <v>0.26300000000000001</v>
      </c>
      <c r="M50" s="994">
        <f>ROUND(+IF(L50&gt;_xlfn.XLOOKUP(AN50,RUC!M:M,RUC!K:K),L50*_xlfn.XLOOKUP(AN50,RUC!M:M,RUC!I:I),L50-_xlfn.XLOOKUP(AN50,RUC!M:M,RUC!J:J)),3)</f>
        <v>0.24399999999999999</v>
      </c>
      <c r="N50" s="1196">
        <f t="shared" si="21"/>
        <v>0.24399999999999999</v>
      </c>
      <c r="O50" s="645">
        <f t="shared" si="27"/>
        <v>0.24399999999999999</v>
      </c>
      <c r="P50" s="727">
        <v>87</v>
      </c>
      <c r="Q50" s="1899">
        <v>87.07</v>
      </c>
      <c r="R50" s="706">
        <v>4449.3</v>
      </c>
      <c r="S50" s="765">
        <f>IF((_xlfn.XLOOKUP(D50,RUC!$B$3:$B$119,RUC!$E$3:$E$119)+ROUNDDOWN(O50,1)*100)&lt;95,95,((_xlfn.XLOOKUP(D50,RUC!$B$3:$B$119,RUC!$E$3:$E$119)+ROUNDDOWN(O50,1)*100)))</f>
        <v>105</v>
      </c>
      <c r="U50" s="1146">
        <f>_xlfn.XLOOKUP(D50,RUC!$B$3:$B$123,RUC!$F$3:$F$123)</f>
        <v>120</v>
      </c>
      <c r="V50" s="715">
        <v>1.1023000000000001</v>
      </c>
      <c r="Y50">
        <f>_xlfn.XLOOKUP(D50,RUC!$B$3:$B$123,RUC!$G$3:$G$123)</f>
        <v>20</v>
      </c>
      <c r="Z50" s="143">
        <f>_xlfn.XLOOKUP(D50,RUC!$B$3:$B$123,RUC!$H$3:$H$123)</f>
        <v>35</v>
      </c>
      <c r="AA50" s="144">
        <f t="shared" si="28"/>
        <v>55</v>
      </c>
      <c r="AB50" s="145">
        <f t="shared" si="29"/>
        <v>836.67193914919994</v>
      </c>
      <c r="AC50" s="145">
        <f>+(S50-T50)*V50-'data 1'!$F$4</f>
        <v>35.741500000000002</v>
      </c>
      <c r="AD50" s="145">
        <f t="shared" si="30"/>
        <v>0.87855969849891469</v>
      </c>
      <c r="AE50" s="145">
        <f t="shared" si="31"/>
        <v>-9.3734999999999999</v>
      </c>
      <c r="AF50" s="145">
        <f t="shared" si="32"/>
        <v>78.947727648987069</v>
      </c>
      <c r="AG50" s="772">
        <f t="shared" si="18"/>
        <v>123.19428734748598</v>
      </c>
      <c r="AH50" s="1253">
        <f t="shared" si="33"/>
        <v>11.486000000000001</v>
      </c>
      <c r="AI50" s="1253">
        <f t="shared" si="34"/>
        <v>13.192</v>
      </c>
      <c r="AJ50" s="156">
        <f t="shared" si="37"/>
        <v>-56.365429862819049</v>
      </c>
      <c r="AK50" s="156">
        <f t="shared" si="35"/>
        <v>10.647863482396604</v>
      </c>
      <c r="AM50" s="716">
        <f t="shared" si="36"/>
        <v>1224.0510469752796</v>
      </c>
      <c r="AN50" s="716" t="str">
        <f>_xlfn.XLOOKUP(D50,RUC!$B$3:$B$578,RUC!$M$3:$M$578)</f>
        <v>Ronald Miranda</v>
      </c>
      <c r="AO50" s="1167" t="s">
        <v>2278</v>
      </c>
      <c r="AP50" s="1082" t="s">
        <v>4944</v>
      </c>
      <c r="AQ50" s="1082" t="s">
        <v>5862</v>
      </c>
      <c r="AR50" s="1903" t="s">
        <v>5469</v>
      </c>
    </row>
    <row r="51" spans="1:44" ht="15" customHeight="1">
      <c r="A51" s="747" t="s">
        <v>5844</v>
      </c>
      <c r="B51" s="1447">
        <v>46181</v>
      </c>
      <c r="C51" s="1447">
        <v>46173</v>
      </c>
      <c r="D51" t="s">
        <v>5442</v>
      </c>
      <c r="E51" s="762">
        <f>_xlfn.XLOOKUP(D51,RUC!$B$3:$B$123,RUC!$D$3:$D$123)</f>
        <v>20606562480</v>
      </c>
      <c r="F51" s="629" t="s">
        <v>5882</v>
      </c>
      <c r="G51" s="762">
        <v>25</v>
      </c>
      <c r="H51" s="1082" t="s">
        <v>116</v>
      </c>
      <c r="I51" s="703">
        <v>1.58</v>
      </c>
      <c r="J51" s="596">
        <v>15.1</v>
      </c>
      <c r="K51" s="703">
        <f t="shared" si="26"/>
        <v>1.341</v>
      </c>
      <c r="L51" s="1192">
        <v>0.20200000000000001</v>
      </c>
      <c r="M51" s="994">
        <f>ROUND(+IF(L51&gt;_xlfn.XLOOKUP(AN51,RUC!M:M,RUC!K:K),L51*_xlfn.XLOOKUP(AN51,RUC!M:M,RUC!I:I),L51-_xlfn.XLOOKUP(AN51,RUC!M:M,RUC!J:J)),3)</f>
        <v>0.183</v>
      </c>
      <c r="N51" s="1196">
        <f t="shared" si="21"/>
        <v>0.183</v>
      </c>
      <c r="O51" s="645">
        <f t="shared" si="27"/>
        <v>0.183</v>
      </c>
      <c r="P51" s="727">
        <v>85</v>
      </c>
      <c r="Q51" s="875">
        <v>90.05</v>
      </c>
      <c r="R51" s="706">
        <v>4449.3</v>
      </c>
      <c r="S51" s="765">
        <f>IF((_xlfn.XLOOKUP(D51,RUC!$B$3:$B$119,RUC!$E$3:$E$119)+ROUNDDOWN(O51,1)*100)&lt;95,95,((_xlfn.XLOOKUP(D51,RUC!$B$3:$B$119,RUC!$E$3:$E$119)+ROUNDDOWN(O51,1)*100)))</f>
        <v>95</v>
      </c>
      <c r="U51" s="1146">
        <f>_xlfn.XLOOKUP(D51,RUC!$B$3:$B$123,RUC!$F$3:$F$123)</f>
        <v>120</v>
      </c>
      <c r="V51" s="715">
        <v>1.1023000000000001</v>
      </c>
      <c r="Y51">
        <f>_xlfn.XLOOKUP(D51,RUC!$B$3:$B$123,RUC!$G$3:$G$123)</f>
        <v>20</v>
      </c>
      <c r="Z51" s="143">
        <f>_xlfn.XLOOKUP(D51,RUC!$B$3:$B$123,RUC!$H$3:$H$123)</f>
        <v>35</v>
      </c>
      <c r="AA51" s="144">
        <f t="shared" si="28"/>
        <v>55</v>
      </c>
      <c r="AB51" s="145">
        <f t="shared" si="29"/>
        <v>576.96874851450013</v>
      </c>
      <c r="AC51" s="145">
        <f>+(S51-T51)*V51-'data 1'!$F$4</f>
        <v>24.718500000000006</v>
      </c>
      <c r="AD51" s="145">
        <f t="shared" si="30"/>
        <v>48.68108356538999</v>
      </c>
      <c r="AE51" s="145">
        <f t="shared" si="31"/>
        <v>-9.3734999999999999</v>
      </c>
      <c r="AF51" s="145">
        <f t="shared" si="32"/>
        <v>81.649740149205087</v>
      </c>
      <c r="AG51" s="772">
        <f t="shared" si="18"/>
        <v>162.67582371459508</v>
      </c>
      <c r="AH51" s="1253">
        <f t="shared" si="33"/>
        <v>8.3629999999999995</v>
      </c>
      <c r="AI51" s="1253">
        <f t="shared" si="34"/>
        <v>9.2870000000000008</v>
      </c>
      <c r="AJ51" s="156">
        <f t="shared" si="37"/>
        <v>-44.773765164590039</v>
      </c>
      <c r="AK51" s="156">
        <f t="shared" si="35"/>
        <v>7.1516765210890272</v>
      </c>
      <c r="AM51" s="716">
        <f t="shared" si="36"/>
        <v>773.71509175794472</v>
      </c>
      <c r="AN51" s="716" t="str">
        <f>_xlfn.XLOOKUP(D51,RUC!$B$3:$B$578,RUC!$M$3:$M$578)</f>
        <v>Ronald Miranda</v>
      </c>
      <c r="AO51" s="1167" t="s">
        <v>2278</v>
      </c>
      <c r="AP51" s="1082" t="s">
        <v>4944</v>
      </c>
      <c r="AQ51" s="1082" t="s">
        <v>5862</v>
      </c>
    </row>
    <row r="52" spans="1:44" ht="15" customHeight="1">
      <c r="A52" s="747" t="s">
        <v>5847</v>
      </c>
      <c r="B52" s="1447">
        <v>46181</v>
      </c>
      <c r="C52" s="1447">
        <v>46173</v>
      </c>
      <c r="D52" t="s">
        <v>5442</v>
      </c>
      <c r="E52" s="762">
        <f>_xlfn.XLOOKUP(D52,RUC!$B$3:$B$123,RUC!$D$3:$D$123)</f>
        <v>20606562480</v>
      </c>
      <c r="F52" s="629" t="s">
        <v>5882</v>
      </c>
      <c r="G52" s="762">
        <v>25</v>
      </c>
      <c r="H52" s="1082" t="s">
        <v>116</v>
      </c>
      <c r="I52" s="703">
        <v>1.7</v>
      </c>
      <c r="J52" s="596">
        <v>14.08</v>
      </c>
      <c r="K52" s="703">
        <f t="shared" si="26"/>
        <v>1.4610000000000001</v>
      </c>
      <c r="L52" s="1192">
        <v>0.24399999999999999</v>
      </c>
      <c r="M52" s="994">
        <v>0.23</v>
      </c>
      <c r="N52" s="1196">
        <f t="shared" si="21"/>
        <v>0.23</v>
      </c>
      <c r="O52" s="645">
        <f t="shared" si="27"/>
        <v>0.23</v>
      </c>
      <c r="P52" s="727">
        <v>90</v>
      </c>
      <c r="Q52" s="875">
        <v>93.17</v>
      </c>
      <c r="R52" s="706">
        <v>4449.3</v>
      </c>
      <c r="S52" s="765">
        <f>IF((_xlfn.XLOOKUP(D52,RUC!$B$3:$B$119,RUC!$E$3:$E$119)+ROUNDDOWN(O52,1)*100)&lt;95,95,((_xlfn.XLOOKUP(D52,RUC!$B$3:$B$119,RUC!$E$3:$E$119)+ROUNDDOWN(O52,1)*100)))</f>
        <v>105</v>
      </c>
      <c r="U52" s="1146">
        <f>_xlfn.XLOOKUP(D52,RUC!$B$3:$B$123,RUC!$F$3:$F$123)</f>
        <v>120</v>
      </c>
      <c r="V52" s="715">
        <v>1.1023000000000001</v>
      </c>
      <c r="Y52">
        <f>_xlfn.XLOOKUP(D52,RUC!$B$3:$B$123,RUC!$G$3:$G$123)</f>
        <v>20</v>
      </c>
      <c r="Z52" s="143">
        <f>_xlfn.XLOOKUP(D52,RUC!$B$3:$B$123,RUC!$H$3:$H$123)</f>
        <v>35</v>
      </c>
      <c r="AA52" s="144">
        <f t="shared" si="28"/>
        <v>55</v>
      </c>
      <c r="AB52" s="145">
        <f t="shared" si="29"/>
        <v>811.47478973</v>
      </c>
      <c r="AC52" s="145">
        <f>+(S52-T52)*V52-'data 1'!$F$4</f>
        <v>35.741500000000002</v>
      </c>
      <c r="AD52" s="145">
        <f t="shared" si="30"/>
        <v>36.911915024172025</v>
      </c>
      <c r="AE52" s="145">
        <f t="shared" si="31"/>
        <v>-9.3734999999999999</v>
      </c>
      <c r="AF52" s="145">
        <f t="shared" si="32"/>
        <v>62.247457877681938</v>
      </c>
      <c r="AG52" s="772">
        <f t="shared" si="18"/>
        <v>142.52737290185397</v>
      </c>
      <c r="AH52" s="1253">
        <f t="shared" si="33"/>
        <v>11.387</v>
      </c>
      <c r="AI52" s="1253">
        <f t="shared" si="34"/>
        <v>12.222</v>
      </c>
      <c r="AJ52" s="156">
        <f t="shared" si="37"/>
        <v>-55.957003803932047</v>
      </c>
      <c r="AK52" s="156">
        <f t="shared" si="35"/>
        <v>10.368827051797352</v>
      </c>
      <c r="AM52" s="716">
        <f t="shared" si="36"/>
        <v>1185.5646677955301</v>
      </c>
      <c r="AN52" s="716" t="str">
        <f>_xlfn.XLOOKUP(D52,RUC!$B$3:$B$578,RUC!$M$3:$M$578)</f>
        <v>Ronald Miranda</v>
      </c>
      <c r="AO52" s="1167" t="s">
        <v>2278</v>
      </c>
      <c r="AP52" s="1082" t="s">
        <v>4944</v>
      </c>
      <c r="AQ52" s="1082" t="s">
        <v>5862</v>
      </c>
    </row>
    <row r="53" spans="1:44" ht="15" customHeight="1">
      <c r="A53" s="747" t="s">
        <v>5848</v>
      </c>
      <c r="B53" s="1447">
        <v>46178</v>
      </c>
      <c r="C53" s="1447">
        <v>46173</v>
      </c>
      <c r="D53" t="s">
        <v>93</v>
      </c>
      <c r="E53" s="762">
        <f>_xlfn.XLOOKUP(D53,RUC!$B$3:$B$123,RUC!$D$3:$D$123)</f>
        <v>20169040231</v>
      </c>
      <c r="F53" s="629" t="s">
        <v>5883</v>
      </c>
      <c r="G53" s="762">
        <v>91</v>
      </c>
      <c r="H53" s="1082" t="s">
        <v>69</v>
      </c>
      <c r="I53" s="703">
        <v>9.32</v>
      </c>
      <c r="J53" s="596">
        <v>2.2000000000000002</v>
      </c>
      <c r="K53" s="703">
        <f t="shared" si="26"/>
        <v>9.1150000000000002</v>
      </c>
      <c r="L53" s="1192">
        <v>0.25</v>
      </c>
      <c r="M53" s="994">
        <f>ROUND(+IF(L53&gt;_xlfn.XLOOKUP(AN53,RUC!M:M,RUC!K:K),L53*_xlfn.XLOOKUP(AN53,RUC!M:M,RUC!I:I),L53-_xlfn.XLOOKUP(AN53,RUC!M:M,RUC!J:J)),3)</f>
        <v>0.23100000000000001</v>
      </c>
      <c r="N53" s="1196">
        <f t="shared" si="21"/>
        <v>0.23100000000000001</v>
      </c>
      <c r="O53" s="645">
        <f t="shared" si="27"/>
        <v>0.23100000000000001</v>
      </c>
      <c r="P53" s="727">
        <v>88</v>
      </c>
      <c r="Q53" s="1897">
        <v>88.4</v>
      </c>
      <c r="R53" s="706">
        <v>4449.3</v>
      </c>
      <c r="S53" s="765">
        <f>IF((_xlfn.XLOOKUP(D53,RUC!$B$3:$B$119,RUC!$E$3:$E$119)+ROUNDDOWN(O53,1)*100)&lt;95,95,((_xlfn.XLOOKUP(D53,RUC!$B$3:$B$119,RUC!$E$3:$E$119)+ROUNDDOWN(O53,1)*100)))</f>
        <v>105</v>
      </c>
      <c r="U53" s="1146">
        <f>_xlfn.XLOOKUP(D53,RUC!$B$3:$B$123,RUC!$F$3:$F$123)</f>
        <v>120</v>
      </c>
      <c r="V53" s="715">
        <v>1.1023000000000001</v>
      </c>
      <c r="Y53">
        <f>_xlfn.XLOOKUP(D53,RUC!$B$3:$B$123,RUC!$G$3:$G$123)</f>
        <v>20</v>
      </c>
      <c r="Z53" s="1454">
        <v>35</v>
      </c>
      <c r="AA53" s="144">
        <f t="shared" si="28"/>
        <v>55</v>
      </c>
      <c r="AB53" s="145">
        <f t="shared" si="29"/>
        <v>793.72225263920006</v>
      </c>
      <c r="AC53" s="145">
        <f>+(S53-T53)*V53-'data 1'!$F$4</f>
        <v>35.741500000000002</v>
      </c>
      <c r="AD53" s="145">
        <f t="shared" si="30"/>
        <v>4.7721873900000675</v>
      </c>
      <c r="AE53" s="145">
        <f t="shared" si="31"/>
        <v>-9.3734999999999999</v>
      </c>
      <c r="AF53" s="145">
        <f t="shared" si="32"/>
        <v>80.153659402439956</v>
      </c>
      <c r="AG53" s="772">
        <f t="shared" si="18"/>
        <v>128.29384679244004</v>
      </c>
      <c r="AH53" s="1253">
        <f t="shared" si="33"/>
        <v>69.064999999999998</v>
      </c>
      <c r="AI53" s="1253">
        <f t="shared" si="34"/>
        <v>78.128</v>
      </c>
      <c r="AJ53" s="156">
        <f t="shared" si="37"/>
        <v>-54.397733390000049</v>
      </c>
      <c r="AK53" s="156">
        <f t="shared" si="35"/>
        <v>63.527299518758475</v>
      </c>
      <c r="AM53" s="716">
        <f t="shared" si="36"/>
        <v>7234.7783328063088</v>
      </c>
      <c r="AN53" s="716" t="str">
        <f>_xlfn.XLOOKUP(D53,RUC!$B$3:$B$578,RUC!$M$3:$M$578)</f>
        <v>Ronald Miranda</v>
      </c>
      <c r="AO53" s="1167" t="s">
        <v>2277</v>
      </c>
      <c r="AP53" s="1082" t="s">
        <v>5863</v>
      </c>
      <c r="AQ53" s="1082" t="s">
        <v>5864</v>
      </c>
      <c r="AR53" s="1902" t="s">
        <v>5469</v>
      </c>
    </row>
    <row r="54" spans="1:44" ht="15" customHeight="1">
      <c r="A54" s="747" t="s">
        <v>5849</v>
      </c>
      <c r="B54" s="1447">
        <v>46178</v>
      </c>
      <c r="C54" s="1447">
        <v>46173</v>
      </c>
      <c r="D54" t="s">
        <v>93</v>
      </c>
      <c r="E54" s="762">
        <f>_xlfn.XLOOKUP(D54,RUC!$B$3:$B$123,RUC!$D$3:$D$123)</f>
        <v>20169040231</v>
      </c>
      <c r="F54" s="629" t="s">
        <v>5883</v>
      </c>
      <c r="G54" s="762">
        <v>80</v>
      </c>
      <c r="H54" s="1082" t="s">
        <v>69</v>
      </c>
      <c r="I54" s="703">
        <v>8.11</v>
      </c>
      <c r="J54" s="596">
        <v>2.15</v>
      </c>
      <c r="K54" s="703">
        <f t="shared" si="26"/>
        <v>7.9359999999999999</v>
      </c>
      <c r="L54" s="1192">
        <v>0.19900000000000001</v>
      </c>
      <c r="M54" s="994">
        <f>ROUND(+IF(L54&gt;_xlfn.XLOOKUP(AN54,RUC!M:M,RUC!K:K),L54*_xlfn.XLOOKUP(AN54,RUC!M:M,RUC!I:I),L54-_xlfn.XLOOKUP(AN54,RUC!M:M,RUC!J:J)),3)</f>
        <v>0.18</v>
      </c>
      <c r="N54" s="1196">
        <f t="shared" si="21"/>
        <v>0.18</v>
      </c>
      <c r="O54" s="645">
        <f t="shared" si="27"/>
        <v>0.18</v>
      </c>
      <c r="P54" s="727">
        <v>85</v>
      </c>
      <c r="Q54" s="875">
        <v>93.47</v>
      </c>
      <c r="R54" s="706">
        <v>4449.3</v>
      </c>
      <c r="S54" s="765">
        <f>IF((_xlfn.XLOOKUP(D54,RUC!$B$3:$B$119,RUC!$E$3:$E$119)+ROUNDDOWN(O54,1)*100)&lt;95,95,((_xlfn.XLOOKUP(D54,RUC!$B$3:$B$119,RUC!$E$3:$E$119)+ROUNDDOWN(O54,1)*100)))</f>
        <v>95</v>
      </c>
      <c r="U54" s="1146">
        <f>_xlfn.XLOOKUP(D54,RUC!$B$3:$B$123,RUC!$F$3:$F$123)</f>
        <v>120</v>
      </c>
      <c r="V54" s="715">
        <v>1.1023000000000001</v>
      </c>
      <c r="Y54">
        <f>_xlfn.XLOOKUP(D54,RUC!$B$3:$B$123,RUC!$G$3:$G$123)</f>
        <v>20</v>
      </c>
      <c r="Z54" s="1454">
        <v>35</v>
      </c>
      <c r="AA54" s="144">
        <f t="shared" si="28"/>
        <v>55</v>
      </c>
      <c r="AB54" s="145">
        <f t="shared" si="29"/>
        <v>564.79967066999995</v>
      </c>
      <c r="AC54" s="145">
        <f>+(S54-T54)*V54-'data 1'!$F$4</f>
        <v>24.718500000000006</v>
      </c>
      <c r="AD54" s="145">
        <f t="shared" si="30"/>
        <v>80.436650114667003</v>
      </c>
      <c r="AE54" s="145">
        <f t="shared" si="31"/>
        <v>-9.3734999999999999</v>
      </c>
      <c r="AF54" s="145">
        <f t="shared" si="32"/>
        <v>84.750707515227091</v>
      </c>
      <c r="AG54" s="772">
        <f t="shared" si="18"/>
        <v>197.53235762989408</v>
      </c>
      <c r="AH54" s="1253">
        <f t="shared" si="33"/>
        <v>50.61</v>
      </c>
      <c r="AI54" s="1253">
        <f t="shared" si="34"/>
        <v>54.146000000000001</v>
      </c>
      <c r="AJ54" s="156">
        <f t="shared" si="37"/>
        <v>-45.784012301027033</v>
      </c>
      <c r="AK54" s="156">
        <f t="shared" si="35"/>
        <v>41.629592453414404</v>
      </c>
      <c r="AM54" s="716">
        <f t="shared" si="36"/>
        <v>4482.2501864371197</v>
      </c>
      <c r="AN54" s="716" t="str">
        <f>_xlfn.XLOOKUP(D54,RUC!$B$3:$B$578,RUC!$M$3:$M$578)</f>
        <v>Ronald Miranda</v>
      </c>
      <c r="AO54" s="1167" t="s">
        <v>2277</v>
      </c>
      <c r="AP54" s="1082" t="s">
        <v>5863</v>
      </c>
      <c r="AQ54" s="1082" t="s">
        <v>5864</v>
      </c>
    </row>
    <row r="55" spans="1:44" ht="15" customHeight="1">
      <c r="A55" s="747" t="s">
        <v>5850</v>
      </c>
      <c r="B55" s="1447">
        <v>46178</v>
      </c>
      <c r="C55" s="1447">
        <v>46173</v>
      </c>
      <c r="D55" t="s">
        <v>93</v>
      </c>
      <c r="E55" s="762">
        <f>_xlfn.XLOOKUP(D55,RUC!$B$3:$B$123,RUC!$D$3:$D$123)</f>
        <v>20169040231</v>
      </c>
      <c r="F55" s="629" t="s">
        <v>5883</v>
      </c>
      <c r="G55" s="762">
        <v>80</v>
      </c>
      <c r="H55" s="1082" t="s">
        <v>69</v>
      </c>
      <c r="I55" s="703">
        <v>8.42</v>
      </c>
      <c r="J55" s="596">
        <v>2.2000000000000002</v>
      </c>
      <c r="K55" s="703">
        <f t="shared" si="26"/>
        <v>8.2349999999999994</v>
      </c>
      <c r="L55" s="1192">
        <v>0.28199999999999997</v>
      </c>
      <c r="M55" s="994">
        <f>ROUND(+IF(L55&gt;_xlfn.XLOOKUP(AN55,RUC!M:M,RUC!K:K),L55*_xlfn.XLOOKUP(AN55,RUC!M:M,RUC!I:I),L55-_xlfn.XLOOKUP(AN55,RUC!M:M,RUC!J:J)),3)</f>
        <v>0.26300000000000001</v>
      </c>
      <c r="N55" s="1196">
        <f t="shared" si="21"/>
        <v>0.26300000000000001</v>
      </c>
      <c r="O55" s="645">
        <f t="shared" si="27"/>
        <v>0.26300000000000001</v>
      </c>
      <c r="P55" s="727">
        <v>90</v>
      </c>
      <c r="Q55" s="875">
        <v>94.68</v>
      </c>
      <c r="R55" s="706">
        <v>4449.3</v>
      </c>
      <c r="S55" s="765">
        <f>IF((_xlfn.XLOOKUP(D55,RUC!$B$3:$B$119,RUC!$E$3:$E$119)+ROUNDDOWN(O55,1)*100)&lt;95,95,((_xlfn.XLOOKUP(D55,RUC!$B$3:$B$119,RUC!$E$3:$E$119)+ROUNDDOWN(O55,1)*100)))</f>
        <v>105</v>
      </c>
      <c r="U55" s="1146">
        <f>_xlfn.XLOOKUP(D55,RUC!$B$3:$B$123,RUC!$F$3:$F$123)</f>
        <v>120</v>
      </c>
      <c r="V55" s="715">
        <v>1.1023000000000001</v>
      </c>
      <c r="Y55">
        <f>_xlfn.XLOOKUP(D55,RUC!$B$3:$B$123,RUC!$G$3:$G$123)</f>
        <v>20</v>
      </c>
      <c r="Z55" s="1454">
        <v>35</v>
      </c>
      <c r="AA55" s="144">
        <f t="shared" si="28"/>
        <v>55</v>
      </c>
      <c r="AB55" s="145">
        <f t="shared" si="29"/>
        <v>953.20875521300036</v>
      </c>
      <c r="AC55" s="145">
        <f>+(S55-T55)*V55-'data 1'!$F$4</f>
        <v>35.741500000000002</v>
      </c>
      <c r="AD55" s="145">
        <f t="shared" si="30"/>
        <v>62.981420298264091</v>
      </c>
      <c r="AE55" s="145">
        <f t="shared" si="31"/>
        <v>-9.3734999999999999</v>
      </c>
      <c r="AF55" s="145">
        <f t="shared" si="32"/>
        <v>85.847833396187838</v>
      </c>
      <c r="AG55" s="772">
        <f t="shared" si="18"/>
        <v>192.19725369445192</v>
      </c>
      <c r="AH55" s="1253">
        <f t="shared" si="33"/>
        <v>75.384</v>
      </c>
      <c r="AI55" s="1253">
        <f t="shared" si="34"/>
        <v>79.62</v>
      </c>
      <c r="AJ55" s="156">
        <f t="shared" si="37"/>
        <v>-65.719747785384058</v>
      </c>
      <c r="AK55" s="156">
        <f t="shared" si="35"/>
        <v>66.829918379067237</v>
      </c>
      <c r="AM55" s="716">
        <f t="shared" si="36"/>
        <v>7849.6740991790575</v>
      </c>
      <c r="AN55" s="716" t="str">
        <f>_xlfn.XLOOKUP(D55,RUC!$B$3:$B$578,RUC!$M$3:$M$578)</f>
        <v>Ronald Miranda</v>
      </c>
      <c r="AO55" s="1167" t="s">
        <v>2277</v>
      </c>
      <c r="AP55" s="1082" t="s">
        <v>5863</v>
      </c>
      <c r="AQ55" s="1082" t="s">
        <v>5864</v>
      </c>
    </row>
    <row r="56" spans="1:44" ht="15" customHeight="1">
      <c r="A56" s="747" t="s">
        <v>5851</v>
      </c>
      <c r="B56" s="1447">
        <v>46179</v>
      </c>
      <c r="C56" s="1447">
        <v>46173</v>
      </c>
      <c r="D56" t="s">
        <v>93</v>
      </c>
      <c r="E56" s="762">
        <f>_xlfn.XLOOKUP(D56,RUC!$B$3:$B$123,RUC!$D$3:$D$123)</f>
        <v>20169040231</v>
      </c>
      <c r="F56" s="629" t="s">
        <v>5884</v>
      </c>
      <c r="G56" s="762">
        <v>11</v>
      </c>
      <c r="H56" s="1082" t="s">
        <v>69</v>
      </c>
      <c r="I56" s="703">
        <v>1.03</v>
      </c>
      <c r="J56" s="596">
        <v>2.1</v>
      </c>
      <c r="K56" s="703">
        <f t="shared" si="26"/>
        <v>1.008</v>
      </c>
      <c r="L56" s="1192">
        <v>0.41199999999999998</v>
      </c>
      <c r="M56" s="994">
        <f>ROUND(+IF(L56&gt;_xlfn.XLOOKUP(AN56,RUC!M:M,RUC!K:K),L56*_xlfn.XLOOKUP(AN56,RUC!M:M,RUC!I:I),L56-_xlfn.XLOOKUP(AN56,RUC!M:M,RUC!J:J)),3)</f>
        <v>0.38700000000000001</v>
      </c>
      <c r="N56" s="1196">
        <f t="shared" si="21"/>
        <v>0.38700000000000001</v>
      </c>
      <c r="O56" s="645">
        <f t="shared" si="27"/>
        <v>0.38700000000000001</v>
      </c>
      <c r="P56" s="727">
        <v>89</v>
      </c>
      <c r="Q56" s="1899">
        <v>89.32</v>
      </c>
      <c r="R56" s="706">
        <v>4449.3</v>
      </c>
      <c r="S56" s="765">
        <f>IF((_xlfn.XLOOKUP(D56,RUC!$B$3:$B$119,RUC!$E$3:$E$119)+ROUNDDOWN(O56,1)*100)&lt;95,95,((_xlfn.XLOOKUP(D56,RUC!$B$3:$B$119,RUC!$E$3:$E$119)+ROUNDDOWN(O56,1)*100)))</f>
        <v>115</v>
      </c>
      <c r="U56" s="1146">
        <f>_xlfn.XLOOKUP(D56,RUC!$B$3:$B$123,RUC!$F$3:$F$123)</f>
        <v>120</v>
      </c>
      <c r="V56" s="715">
        <v>1.1023000000000001</v>
      </c>
      <c r="Y56">
        <f>_xlfn.XLOOKUP(D56,RUC!$B$3:$B$123,RUC!$G$3:$G$123)</f>
        <v>20</v>
      </c>
      <c r="Z56" s="1454">
        <v>35</v>
      </c>
      <c r="AA56" s="144">
        <f t="shared" si="28"/>
        <v>55</v>
      </c>
      <c r="AB56" s="145">
        <f t="shared" si="29"/>
        <v>1456.2935027376998</v>
      </c>
      <c r="AC56" s="145">
        <f>+(S56-T56)*V56-'data 1'!$F$4</f>
        <v>46.764500000000012</v>
      </c>
      <c r="AD56" s="145">
        <f t="shared" si="30"/>
        <v>6.2916518549758651</v>
      </c>
      <c r="AE56" s="145">
        <f t="shared" si="31"/>
        <v>-9.3734999999999999</v>
      </c>
      <c r="AF56" s="145">
        <f t="shared" si="32"/>
        <v>106.56294441869986</v>
      </c>
      <c r="AG56" s="772">
        <f t="shared" si="18"/>
        <v>167.24559627367574</v>
      </c>
      <c r="AH56" s="1253">
        <f t="shared" si="33"/>
        <v>12.718</v>
      </c>
      <c r="AI56" s="1253">
        <f t="shared" si="34"/>
        <v>14.239000000000001</v>
      </c>
      <c r="AJ56" s="156">
        <f t="shared" si="37"/>
        <v>-90.580447290256075</v>
      </c>
      <c r="AK56" s="156">
        <f t="shared" si="35"/>
        <v>11.903387535709992</v>
      </c>
      <c r="AM56" s="716">
        <f t="shared" si="36"/>
        <v>1467.9438507596014</v>
      </c>
      <c r="AN56" s="716" t="str">
        <f>_xlfn.XLOOKUP(D56,RUC!$B$3:$B$578,RUC!$M$3:$M$578)</f>
        <v>Ronald Miranda</v>
      </c>
      <c r="AO56" s="1167" t="s">
        <v>2277</v>
      </c>
      <c r="AP56" s="1082" t="s">
        <v>5863</v>
      </c>
      <c r="AQ56" s="1082" t="s">
        <v>5864</v>
      </c>
      <c r="AR56" t="s">
        <v>5469</v>
      </c>
    </row>
    <row r="57" spans="1:44" ht="15" customHeight="1">
      <c r="A57" s="1819" t="s">
        <v>5853</v>
      </c>
      <c r="B57" s="1949">
        <v>46188</v>
      </c>
      <c r="C57" s="1447">
        <v>46173</v>
      </c>
      <c r="D57" t="s">
        <v>5845</v>
      </c>
      <c r="E57" s="762">
        <f>_xlfn.XLOOKUP(D57,RUC!$B$3:$B$123,RUC!$D$3:$D$123)</f>
        <v>10473594281</v>
      </c>
      <c r="F57" s="629" t="s">
        <v>5885</v>
      </c>
      <c r="G57" s="762">
        <v>71</v>
      </c>
      <c r="H57" s="1082" t="s">
        <v>69</v>
      </c>
      <c r="I57" s="703">
        <v>6.11</v>
      </c>
      <c r="J57" s="596">
        <v>7.7</v>
      </c>
      <c r="K57" s="703">
        <f t="shared" si="26"/>
        <v>5.64</v>
      </c>
      <c r="L57" s="1192">
        <v>0.42399999999999999</v>
      </c>
      <c r="M57" s="994">
        <f>ROUND(+IF(L57&gt;_xlfn.XLOOKUP(AN57,RUC!M:M,RUC!K:K),L57*_xlfn.XLOOKUP(AN57,RUC!M:M,RUC!I:I),L57-_xlfn.XLOOKUP(AN57,RUC!M:M,RUC!J:J)),3)</f>
        <v>0.38900000000000001</v>
      </c>
      <c r="N57" s="1444">
        <v>0.47799999999999998</v>
      </c>
      <c r="O57" s="645">
        <f t="shared" si="27"/>
        <v>0.434</v>
      </c>
      <c r="P57" s="727">
        <v>90</v>
      </c>
      <c r="Q57" s="875">
        <v>96.7</v>
      </c>
      <c r="R57" s="706">
        <v>4449.3</v>
      </c>
      <c r="S57" s="765">
        <f>IF((_xlfn.XLOOKUP(D57,RUC!$B$3:$B$119,RUC!$E$3:$E$119)+ROUNDDOWN(O57,1)*100)&lt;95,95,((_xlfn.XLOOKUP(D57,RUC!$B$3:$B$119,RUC!$E$3:$E$119)+ROUNDDOWN(O57,1)*100)))</f>
        <v>130</v>
      </c>
      <c r="U57" s="1146">
        <f>_xlfn.XLOOKUP(D57,RUC!$B$3:$B$123,RUC!$F$3:$F$123)</f>
        <v>120</v>
      </c>
      <c r="V57" s="715">
        <v>1.1023000000000001</v>
      </c>
      <c r="Y57">
        <f>_xlfn.XLOOKUP(D57,RUC!$B$3:$B$123,RUC!$G$3:$G$123)</f>
        <v>20</v>
      </c>
      <c r="Z57" s="143">
        <f>_xlfn.XLOOKUP(D57,RUC!$B$3:$B$123,RUC!$H$3:$H$123)</f>
        <v>30</v>
      </c>
      <c r="AA57" s="144">
        <f t="shared" si="28"/>
        <v>50</v>
      </c>
      <c r="AB57" s="145">
        <f t="shared" si="29"/>
        <v>1665.6023945340003</v>
      </c>
      <c r="AC57" s="145">
        <f>+(S57-T57)*V57-'data 1'!$F$4</f>
        <v>63.299000000000007</v>
      </c>
      <c r="AD57" s="145">
        <f t="shared" si="30"/>
        <v>135.56829937512006</v>
      </c>
      <c r="AE57" s="145">
        <f t="shared" si="31"/>
        <v>-14.884999999999998</v>
      </c>
      <c r="AF57" s="145">
        <f t="shared" si="32"/>
        <v>-46.147052061300045</v>
      </c>
      <c r="AG57" s="772">
        <f t="shared" ref="AG57:AG99" si="38">AC57+AD57+AE57+AF57+70-53</f>
        <v>154.83524731382005</v>
      </c>
      <c r="AH57" s="1253">
        <f t="shared" si="33"/>
        <v>79.283000000000001</v>
      </c>
      <c r="AI57" s="1253">
        <f t="shared" si="34"/>
        <v>81.989000000000004</v>
      </c>
      <c r="AJ57" s="156">
        <f t="shared" si="37"/>
        <v>-100.92084104872011</v>
      </c>
      <c r="AK57" s="156">
        <f t="shared" si="35"/>
        <v>75.530161307941214</v>
      </c>
      <c r="AM57" s="716">
        <f t="shared" si="36"/>
        <v>9393.9975051717611</v>
      </c>
      <c r="AN57" s="716" t="str">
        <f>_xlfn.XLOOKUP(D57,RUC!$B$3:$B$578,RUC!$M$3:$M$578)</f>
        <v>Richard Sapacayo</v>
      </c>
      <c r="AO57" s="1167" t="s">
        <v>2279</v>
      </c>
      <c r="AP57" s="1082" t="s">
        <v>4988</v>
      </c>
      <c r="AQ57" s="1082" t="s">
        <v>2870</v>
      </c>
    </row>
    <row r="58" spans="1:44" ht="15" customHeight="1">
      <c r="A58" s="1819" t="s">
        <v>5855</v>
      </c>
      <c r="B58" s="1939">
        <v>46188</v>
      </c>
      <c r="C58" s="1447">
        <v>46173</v>
      </c>
      <c r="D58" t="s">
        <v>5845</v>
      </c>
      <c r="E58" s="762">
        <f>_xlfn.XLOOKUP(D58,RUC!$B$3:$B$123,RUC!$D$3:$D$123)</f>
        <v>10473594281</v>
      </c>
      <c r="F58" s="629" t="s">
        <v>5886</v>
      </c>
      <c r="G58" s="762">
        <v>180</v>
      </c>
      <c r="H58" s="1082" t="s">
        <v>69</v>
      </c>
      <c r="I58" s="703">
        <v>15.84</v>
      </c>
      <c r="J58" s="596">
        <v>10.45</v>
      </c>
      <c r="K58" s="703">
        <f t="shared" si="26"/>
        <v>14.185</v>
      </c>
      <c r="L58" s="1192">
        <v>0.18</v>
      </c>
      <c r="M58" s="994">
        <f>ROUND(+IF(L58&gt;_xlfn.XLOOKUP(AN58,RUC!M:M,RUC!K:K),L58*_xlfn.XLOOKUP(AN58,RUC!M:M,RUC!I:I),L58-_xlfn.XLOOKUP(AN58,RUC!M:M,RUC!J:J)),3)</f>
        <v>0.14499999999999999</v>
      </c>
      <c r="N58" s="1196">
        <f t="shared" ref="N58:N106" si="39">+M58</f>
        <v>0.14499999999999999</v>
      </c>
      <c r="O58" s="645">
        <f t="shared" si="27"/>
        <v>0.14499999999999999</v>
      </c>
      <c r="P58" s="727">
        <v>85</v>
      </c>
      <c r="Q58" s="875">
        <v>98.33</v>
      </c>
      <c r="R58" s="706">
        <v>4449.3</v>
      </c>
      <c r="S58" s="765">
        <f>IF((_xlfn.XLOOKUP(D58,RUC!$B$3:$B$119,RUC!$E$3:$E$119)+ROUNDDOWN(O58,1)*100)&lt;95,95,((_xlfn.XLOOKUP(D58,RUC!$B$3:$B$119,RUC!$E$3:$E$119)+ROUNDDOWN(O58,1)*100)))</f>
        <v>100</v>
      </c>
      <c r="U58" s="1146">
        <f>_xlfn.XLOOKUP(D58,RUC!$B$3:$B$123,RUC!$F$3:$F$123)</f>
        <v>120</v>
      </c>
      <c r="V58" s="715">
        <v>1.1023000000000001</v>
      </c>
      <c r="Y58">
        <f>_xlfn.XLOOKUP(D58,RUC!$B$3:$B$123,RUC!$G$3:$G$123)</f>
        <v>20</v>
      </c>
      <c r="Z58" s="143">
        <f>_xlfn.XLOOKUP(D58,RUC!$B$3:$B$123,RUC!$H$3:$H$123)</f>
        <v>30</v>
      </c>
      <c r="AA58" s="144">
        <f t="shared" si="28"/>
        <v>50</v>
      </c>
      <c r="AB58" s="145">
        <f t="shared" si="29"/>
        <v>422.82709581750004</v>
      </c>
      <c r="AC58" s="145">
        <f>+(S58-T58)*V58-'data 1'!$F$4</f>
        <v>30.230000000000004</v>
      </c>
      <c r="AD58" s="145">
        <f t="shared" si="30"/>
        <v>114.50386423565999</v>
      </c>
      <c r="AE58" s="145">
        <f t="shared" si="31"/>
        <v>-14.884999999999998</v>
      </c>
      <c r="AF58" s="145">
        <f t="shared" si="32"/>
        <v>164.23721512054505</v>
      </c>
      <c r="AG58" s="772">
        <f t="shared" si="38"/>
        <v>311.08607935620506</v>
      </c>
      <c r="AH58" s="1253">
        <f t="shared" si="33"/>
        <v>86.078999999999994</v>
      </c>
      <c r="AI58" s="1253">
        <f t="shared" si="34"/>
        <v>87.540999999999997</v>
      </c>
      <c r="AJ58" s="156">
        <f t="shared" si="37"/>
        <v>-43.565938568460034</v>
      </c>
      <c r="AK58" s="156">
        <f t="shared" si="35"/>
        <v>59.941186784550062</v>
      </c>
      <c r="AM58" s="716">
        <f t="shared" si="36"/>
        <v>5997.8023541712382</v>
      </c>
      <c r="AN58" s="716" t="str">
        <f>_xlfn.XLOOKUP(D58,RUC!$B$3:$B$578,RUC!$M$3:$M$578)</f>
        <v>Richard Sapacayo</v>
      </c>
      <c r="AO58" s="1167" t="s">
        <v>2279</v>
      </c>
      <c r="AP58" s="1082" t="s">
        <v>4988</v>
      </c>
      <c r="AQ58" s="1082" t="s">
        <v>2870</v>
      </c>
    </row>
    <row r="59" spans="1:44" ht="15" customHeight="1">
      <c r="A59" s="747" t="s">
        <v>5856</v>
      </c>
      <c r="B59" s="1447">
        <v>46179</v>
      </c>
      <c r="C59" s="1447">
        <v>46175</v>
      </c>
      <c r="D59" t="s">
        <v>4558</v>
      </c>
      <c r="E59" s="762">
        <f>_xlfn.XLOOKUP(D59,RUC!$B$3:$B$123,RUC!$D$3:$D$123)</f>
        <v>20614635101</v>
      </c>
      <c r="F59" s="629"/>
      <c r="G59" s="762">
        <v>65</v>
      </c>
      <c r="H59" s="1082" t="s">
        <v>69</v>
      </c>
      <c r="I59" s="703">
        <v>6.43</v>
      </c>
      <c r="J59" s="596">
        <v>2.1</v>
      </c>
      <c r="K59" s="703">
        <f t="shared" si="26"/>
        <v>6.2949999999999999</v>
      </c>
      <c r="L59" s="1192">
        <v>0.19700000000000001</v>
      </c>
      <c r="M59" s="994">
        <f>ROUND(+IF(L59&gt;_xlfn.XLOOKUP(AN59,RUC!M:M,RUC!K:K),L59*_xlfn.XLOOKUP(AN59,RUC!M:M,RUC!I:I),L59-_xlfn.XLOOKUP(AN59,RUC!M:M,RUC!J:J)),3)</f>
        <v>0.17799999999999999</v>
      </c>
      <c r="N59" s="1196">
        <f t="shared" si="39"/>
        <v>0.17799999999999999</v>
      </c>
      <c r="O59" s="645">
        <f t="shared" si="27"/>
        <v>0.17799999999999999</v>
      </c>
      <c r="P59" s="727">
        <v>90</v>
      </c>
      <c r="Q59" s="875">
        <v>93.91</v>
      </c>
      <c r="R59" s="706">
        <v>4449.3</v>
      </c>
      <c r="S59" s="765">
        <f>IF((_xlfn.XLOOKUP(D59,RUC!$B$3:$B$119,RUC!$E$3:$E$119)+ROUNDDOWN(O59,1)*100)&lt;95,95,((_xlfn.XLOOKUP(D59,RUC!$B$3:$B$119,RUC!$E$3:$E$119)+ROUNDDOWN(O59,1)*100)))</f>
        <v>95</v>
      </c>
      <c r="U59" s="1146">
        <f>_xlfn.XLOOKUP(D59,RUC!$B$3:$B$123,RUC!$F$3:$F$123)</f>
        <v>100</v>
      </c>
      <c r="V59" s="715">
        <v>1.1023000000000001</v>
      </c>
      <c r="Y59">
        <f>_xlfn.XLOOKUP(D59,RUC!$B$3:$B$123,RUC!$G$3:$G$123)</f>
        <v>0</v>
      </c>
      <c r="Z59" s="143">
        <f>_xlfn.XLOOKUP(D59,RUC!$B$3:$B$123,RUC!$H$3:$H$123)</f>
        <v>30</v>
      </c>
      <c r="AA59" s="144">
        <f t="shared" si="28"/>
        <v>30</v>
      </c>
      <c r="AB59" s="145">
        <f t="shared" si="29"/>
        <v>630.2486890780001</v>
      </c>
      <c r="AC59" s="145">
        <f>+(S59-T59)*V59-'data 1'!$F$4</f>
        <v>24.718500000000006</v>
      </c>
      <c r="AD59" s="145">
        <f t="shared" si="30"/>
        <v>36.928541533152973</v>
      </c>
      <c r="AE59" s="145">
        <f t="shared" si="31"/>
        <v>-36.930999999999997</v>
      </c>
      <c r="AF59" s="145">
        <f t="shared" si="32"/>
        <v>85.543026954431085</v>
      </c>
      <c r="AG59" s="772">
        <f t="shared" si="38"/>
        <v>127.25906848758407</v>
      </c>
      <c r="AH59" s="1253">
        <f t="shared" si="33"/>
        <v>39.927999999999997</v>
      </c>
      <c r="AI59" s="1253">
        <f t="shared" si="34"/>
        <v>42.518000000000001</v>
      </c>
      <c r="AJ59" s="156">
        <f t="shared" si="37"/>
        <v>-49.61579826189304</v>
      </c>
      <c r="AK59" s="156">
        <f t="shared" si="35"/>
        <v>34.575408147514956</v>
      </c>
      <c r="AM59" s="716">
        <f t="shared" si="36"/>
        <v>3967.4154977460107</v>
      </c>
      <c r="AN59" s="716" t="str">
        <f>_xlfn.XLOOKUP(D59,RUC!$B$3:$B$578,RUC!$M$3:$M$578)</f>
        <v>Ronald Garibay</v>
      </c>
      <c r="AO59" s="1167" t="s">
        <v>2280</v>
      </c>
      <c r="AP59" s="1082" t="s">
        <v>3574</v>
      </c>
      <c r="AQ59" s="1082" t="s">
        <v>3900</v>
      </c>
    </row>
    <row r="60" spans="1:44" ht="15" customHeight="1">
      <c r="A60" s="747" t="s">
        <v>5871</v>
      </c>
      <c r="B60" s="1447">
        <v>46181</v>
      </c>
      <c r="C60" s="1447">
        <v>46175</v>
      </c>
      <c r="D60" t="s">
        <v>93</v>
      </c>
      <c r="E60" s="762">
        <f>_xlfn.XLOOKUP(D60,RUC!$B$3:$B$123,RUC!$D$3:$D$123)</f>
        <v>20169040231</v>
      </c>
      <c r="F60" s="629" t="s">
        <v>5533</v>
      </c>
      <c r="G60" s="762">
        <v>50</v>
      </c>
      <c r="H60" s="1082" t="s">
        <v>69</v>
      </c>
      <c r="I60" s="703">
        <v>5.0599999999999996</v>
      </c>
      <c r="J60" s="596">
        <v>2.2999999999999998</v>
      </c>
      <c r="K60" s="703">
        <f t="shared" si="26"/>
        <v>4.944</v>
      </c>
      <c r="L60" s="1192">
        <v>0.373</v>
      </c>
      <c r="M60" s="994">
        <f>ROUND(+IF(L60&gt;_xlfn.XLOOKUP(AN60,RUC!M:M,RUC!K:K),L60*_xlfn.XLOOKUP(AN60,RUC!M:M,RUC!I:I),L60-_xlfn.XLOOKUP(AN60,RUC!M:M,RUC!J:J)),3)</f>
        <v>0.35099999999999998</v>
      </c>
      <c r="N60" s="1196">
        <f t="shared" si="39"/>
        <v>0.35099999999999998</v>
      </c>
      <c r="O60" s="645">
        <f t="shared" si="27"/>
        <v>0.35099999999999998</v>
      </c>
      <c r="P60" s="727">
        <v>90</v>
      </c>
      <c r="Q60" s="875">
        <v>96.25</v>
      </c>
      <c r="R60" s="706">
        <v>4503.8500000000004</v>
      </c>
      <c r="S60" s="765">
        <f>IF((_xlfn.XLOOKUP(D60,RUC!$B$3:$B$119,RUC!$E$3:$E$119)+ROUNDDOWN(O60,1)*100)&lt;95,95,((_xlfn.XLOOKUP(D60,RUC!$B$3:$B$119,RUC!$E$3:$E$119)+ROUNDDOWN(O60,1)*100)))</f>
        <v>115</v>
      </c>
      <c r="U60" s="1146">
        <f>_xlfn.XLOOKUP(D60,RUC!$B$3:$B$123,RUC!$F$3:$F$123)</f>
        <v>120</v>
      </c>
      <c r="V60" s="715">
        <v>1.1023000000000001</v>
      </c>
      <c r="Y60">
        <f>_xlfn.XLOOKUP(D60,RUC!$B$3:$B$123,RUC!$G$3:$G$123)</f>
        <v>20</v>
      </c>
      <c r="Z60" s="1454">
        <v>35</v>
      </c>
      <c r="AA60" s="144">
        <f t="shared" si="28"/>
        <v>55</v>
      </c>
      <c r="AB60" s="145">
        <f t="shared" si="29"/>
        <v>1339.1382103945</v>
      </c>
      <c r="AC60" s="145">
        <f>+(S60-T60)*V60-'data 1'!$F$4</f>
        <v>46.764500000000012</v>
      </c>
      <c r="AD60" s="145">
        <f t="shared" si="30"/>
        <v>112.65340999468752</v>
      </c>
      <c r="AE60" s="145">
        <f t="shared" si="31"/>
        <v>-9.3734999999999999</v>
      </c>
      <c r="AF60" s="145">
        <f t="shared" si="32"/>
        <v>102.32433057962511</v>
      </c>
      <c r="AG60" s="772">
        <f t="shared" si="38"/>
        <v>269.36874057431265</v>
      </c>
      <c r="AH60" s="1253">
        <f t="shared" si="33"/>
        <v>60.854999999999997</v>
      </c>
      <c r="AI60" s="1253">
        <f t="shared" si="34"/>
        <v>63.225999999999999</v>
      </c>
      <c r="AJ60" s="156">
        <f t="shared" si="37"/>
        <v>-109.95621417068766</v>
      </c>
      <c r="AK60" s="156">
        <f t="shared" si="35"/>
        <v>53.547248196215271</v>
      </c>
      <c r="AM60" s="716">
        <f t="shared" si="36"/>
        <v>6620.6993121904079</v>
      </c>
      <c r="AN60" s="716" t="str">
        <f>_xlfn.XLOOKUP(D60,RUC!$B$3:$B$578,RUC!$M$3:$M$578)</f>
        <v>Ronald Miranda</v>
      </c>
      <c r="AO60" s="1167" t="s">
        <v>2278</v>
      </c>
      <c r="AP60" s="1082" t="s">
        <v>5865</v>
      </c>
      <c r="AQ60" s="1082" t="s">
        <v>5866</v>
      </c>
    </row>
    <row r="61" spans="1:44" ht="15" customHeight="1">
      <c r="A61" s="747" t="s">
        <v>5872</v>
      </c>
      <c r="B61" s="1447">
        <v>46181</v>
      </c>
      <c r="C61" s="1447">
        <v>46175</v>
      </c>
      <c r="D61" t="s">
        <v>93</v>
      </c>
      <c r="E61" s="762">
        <f>_xlfn.XLOOKUP(D61,RUC!$B$3:$B$123,RUC!$D$3:$D$123)</f>
        <v>20169040231</v>
      </c>
      <c r="F61" s="629" t="s">
        <v>5533</v>
      </c>
      <c r="G61" s="762">
        <v>50</v>
      </c>
      <c r="H61" s="1082" t="s">
        <v>69</v>
      </c>
      <c r="I61" s="703">
        <v>5.15</v>
      </c>
      <c r="J61" s="596">
        <v>2.8</v>
      </c>
      <c r="K61" s="703">
        <f t="shared" si="26"/>
        <v>5.0060000000000002</v>
      </c>
      <c r="L61" s="1192">
        <v>0.34499999999999997</v>
      </c>
      <c r="M61" s="994">
        <f>ROUND(+IF(L61&gt;_xlfn.XLOOKUP(AN61,RUC!M:M,RUC!K:K),L61*_xlfn.XLOOKUP(AN61,RUC!M:M,RUC!I:I),L61-_xlfn.XLOOKUP(AN61,RUC!M:M,RUC!J:J)),3)</f>
        <v>0.32400000000000001</v>
      </c>
      <c r="N61" s="1196">
        <f t="shared" si="39"/>
        <v>0.32400000000000001</v>
      </c>
      <c r="O61" s="645">
        <f t="shared" si="27"/>
        <v>0.32400000000000001</v>
      </c>
      <c r="P61" s="727">
        <v>90</v>
      </c>
      <c r="Q61">
        <v>96.52</v>
      </c>
      <c r="R61" s="706">
        <v>4503.8500000000004</v>
      </c>
      <c r="S61" s="765">
        <f>IF((_xlfn.XLOOKUP(D61,RUC!$B$3:$B$119,RUC!$E$3:$E$119)+ROUNDDOWN(O61,1)*100)&lt;95,95,((_xlfn.XLOOKUP(D61,RUC!$B$3:$B$119,RUC!$E$3:$E$119)+ROUNDDOWN(O61,1)*100)))</f>
        <v>115</v>
      </c>
      <c r="U61" s="1146">
        <f>_xlfn.XLOOKUP(D61,RUC!$B$3:$B$123,RUC!$F$3:$F$123)</f>
        <v>120</v>
      </c>
      <c r="V61" s="715">
        <v>1.1023000000000001</v>
      </c>
      <c r="Y61">
        <f>_xlfn.XLOOKUP(D61,RUC!$B$3:$B$123,RUC!$G$3:$G$123)</f>
        <v>20</v>
      </c>
      <c r="Z61" s="1454">
        <v>35</v>
      </c>
      <c r="AA61" s="144">
        <f t="shared" si="28"/>
        <v>55</v>
      </c>
      <c r="AB61" s="145">
        <f t="shared" si="29"/>
        <v>1221.7128865180002</v>
      </c>
      <c r="AC61" s="145">
        <f>+(S61-T61)*V61-'data 1'!$F$4</f>
        <v>46.764500000000012</v>
      </c>
      <c r="AD61" s="145">
        <f t="shared" si="30"/>
        <v>108.69815783036995</v>
      </c>
      <c r="AE61" s="145">
        <f t="shared" si="31"/>
        <v>-9.3734999999999999</v>
      </c>
      <c r="AF61" s="145">
        <f t="shared" si="32"/>
        <v>97.947217066565841</v>
      </c>
      <c r="AG61" s="772">
        <f t="shared" si="38"/>
        <v>261.0363748969358</v>
      </c>
      <c r="AH61" s="1253">
        <f t="shared" si="33"/>
        <v>57.152999999999999</v>
      </c>
      <c r="AI61" s="1253">
        <f t="shared" si="34"/>
        <v>59.213000000000001</v>
      </c>
      <c r="AJ61" s="156">
        <f t="shared" si="37"/>
        <v>-101.98742267067011</v>
      </c>
      <c r="AK61" s="156">
        <f t="shared" si="35"/>
        <v>50.048081491832292</v>
      </c>
      <c r="AM61" s="716">
        <f t="shared" si="36"/>
        <v>6115.8947099091092</v>
      </c>
      <c r="AN61" s="716" t="str">
        <f>_xlfn.XLOOKUP(D61,RUC!$B$3:$B$578,RUC!$M$3:$M$578)</f>
        <v>Ronald Miranda</v>
      </c>
      <c r="AO61" s="1167" t="s">
        <v>2278</v>
      </c>
      <c r="AP61" s="1082" t="s">
        <v>5865</v>
      </c>
      <c r="AQ61" s="1082" t="s">
        <v>5866</v>
      </c>
    </row>
    <row r="62" spans="1:44" ht="15" customHeight="1">
      <c r="A62" s="747" t="s">
        <v>5873</v>
      </c>
      <c r="B62" s="1447">
        <v>46181</v>
      </c>
      <c r="C62" s="1447">
        <v>46175</v>
      </c>
      <c r="D62" t="s">
        <v>93</v>
      </c>
      <c r="E62" s="762">
        <f>_xlfn.XLOOKUP(D62,RUC!$B$3:$B$123,RUC!$D$3:$D$123)</f>
        <v>20169040231</v>
      </c>
      <c r="F62" s="629" t="s">
        <v>5533</v>
      </c>
      <c r="G62" s="762">
        <v>50</v>
      </c>
      <c r="H62" s="1082" t="s">
        <v>69</v>
      </c>
      <c r="I62" s="703">
        <v>5.13</v>
      </c>
      <c r="J62" s="596">
        <v>2.25</v>
      </c>
      <c r="K62" s="703">
        <f t="shared" si="26"/>
        <v>5.0149999999999997</v>
      </c>
      <c r="L62" s="1192">
        <v>0.30599999999999999</v>
      </c>
      <c r="M62" s="994">
        <f>ROUND(+IF(L62&gt;_xlfn.XLOOKUP(AN62,RUC!M:M,RUC!K:K),L62*_xlfn.XLOOKUP(AN62,RUC!M:M,RUC!I:I),L62-_xlfn.XLOOKUP(AN62,RUC!M:M,RUC!J:J)),3)</f>
        <v>0.28699999999999998</v>
      </c>
      <c r="N62" s="1196">
        <f t="shared" si="39"/>
        <v>0.28699999999999998</v>
      </c>
      <c r="O62" s="645">
        <f t="shared" si="27"/>
        <v>0.28699999999999998</v>
      </c>
      <c r="P62" s="727">
        <v>90</v>
      </c>
      <c r="Q62">
        <v>93.11</v>
      </c>
      <c r="R62" s="706">
        <v>4503.8500000000004</v>
      </c>
      <c r="S62" s="765">
        <f>IF((_xlfn.XLOOKUP(D62,RUC!$B$3:$B$119,RUC!$E$3:$E$119)+ROUNDDOWN(O62,1)*100)&lt;95,95,((_xlfn.XLOOKUP(D62,RUC!$B$3:$B$119,RUC!$E$3:$E$119)+ROUNDDOWN(O62,1)*100)))</f>
        <v>105</v>
      </c>
      <c r="U62" s="1146">
        <f>_xlfn.XLOOKUP(D62,RUC!$B$3:$B$123,RUC!$F$3:$F$123)</f>
        <v>120</v>
      </c>
      <c r="V62" s="715">
        <v>1.1023000000000001</v>
      </c>
      <c r="Y62">
        <f>_xlfn.XLOOKUP(D62,RUC!$B$3:$B$123,RUC!$G$3:$G$123)</f>
        <v>20</v>
      </c>
      <c r="Z62" s="1454">
        <v>35</v>
      </c>
      <c r="AA62" s="144">
        <f t="shared" si="28"/>
        <v>55</v>
      </c>
      <c r="AB62" s="145">
        <f t="shared" si="29"/>
        <v>1071.8197019465001</v>
      </c>
      <c r="AC62" s="145">
        <f>+(S62-T62)*V62-'data 1'!$F$4</f>
        <v>35.741500000000002</v>
      </c>
      <c r="AD62" s="145">
        <f t="shared" si="30"/>
        <v>45.987236098893</v>
      </c>
      <c r="AE62" s="145">
        <f t="shared" si="31"/>
        <v>-9.3734999999999999</v>
      </c>
      <c r="AF62" s="145">
        <f t="shared" si="32"/>
        <v>85.488051941019592</v>
      </c>
      <c r="AG62" s="772">
        <f t="shared" si="38"/>
        <v>174.84328803991258</v>
      </c>
      <c r="AH62" s="1253">
        <f t="shared" si="33"/>
        <v>48.988999999999997</v>
      </c>
      <c r="AI62" s="1253">
        <f t="shared" si="34"/>
        <v>52.613999999999997</v>
      </c>
      <c r="AJ62" s="156">
        <f t="shared" si="37"/>
        <v>-87.262562418813118</v>
      </c>
      <c r="AK62" s="156">
        <f t="shared" si="35"/>
        <v>44.412417402574718</v>
      </c>
      <c r="AM62" s="716">
        <f t="shared" si="36"/>
        <v>5375.1758052616979</v>
      </c>
      <c r="AN62" s="716" t="str">
        <f>_xlfn.XLOOKUP(D62,RUC!$B$3:$B$578,RUC!$M$3:$M$578)</f>
        <v>Ronald Miranda</v>
      </c>
      <c r="AO62" s="1167" t="s">
        <v>2278</v>
      </c>
      <c r="AP62" s="1082" t="s">
        <v>5865</v>
      </c>
      <c r="AQ62" s="1082" t="s">
        <v>5866</v>
      </c>
    </row>
    <row r="63" spans="1:44" ht="15" customHeight="1">
      <c r="A63" s="747" t="s">
        <v>5874</v>
      </c>
      <c r="B63" s="1447">
        <v>46181</v>
      </c>
      <c r="C63" s="1447">
        <v>46175</v>
      </c>
      <c r="D63" t="s">
        <v>93</v>
      </c>
      <c r="E63" s="762">
        <f>_xlfn.XLOOKUP(D63,RUC!$B$3:$B$123,RUC!$D$3:$D$123)</f>
        <v>20169040231</v>
      </c>
      <c r="F63" s="629" t="s">
        <v>5533</v>
      </c>
      <c r="G63" s="762">
        <v>50</v>
      </c>
      <c r="H63" s="1082" t="s">
        <v>69</v>
      </c>
      <c r="I63" s="703">
        <v>4.96</v>
      </c>
      <c r="J63" s="596">
        <v>2.0499999999999998</v>
      </c>
      <c r="K63" s="703">
        <f t="shared" si="26"/>
        <v>4.8579999999999997</v>
      </c>
      <c r="L63" s="1192">
        <v>0.28599999999999998</v>
      </c>
      <c r="M63" s="994">
        <f>ROUND(+IF(L63&gt;_xlfn.XLOOKUP(AN63,RUC!M:M,RUC!K:K),L63*_xlfn.XLOOKUP(AN63,RUC!M:M,RUC!I:I),L63-_xlfn.XLOOKUP(AN63,RUC!M:M,RUC!J:J)),3)</f>
        <v>0.26700000000000002</v>
      </c>
      <c r="N63" s="1196">
        <f t="shared" si="39"/>
        <v>0.26700000000000002</v>
      </c>
      <c r="O63" s="645">
        <f t="shared" si="27"/>
        <v>0.26700000000000002</v>
      </c>
      <c r="P63" s="727">
        <v>90</v>
      </c>
      <c r="Q63">
        <v>95.44</v>
      </c>
      <c r="R63" s="706">
        <v>4503.8500000000004</v>
      </c>
      <c r="S63" s="765">
        <f>IF((_xlfn.XLOOKUP(D63,RUC!$B$3:$B$119,RUC!$E$3:$E$119)+ROUNDDOWN(O63,1)*100)&lt;95,95,((_xlfn.XLOOKUP(D63,RUC!$B$3:$B$119,RUC!$E$3:$E$119)+ROUNDDOWN(O63,1)*100)))</f>
        <v>105</v>
      </c>
      <c r="U63" s="1146">
        <f>_xlfn.XLOOKUP(D63,RUC!$B$3:$B$123,RUC!$F$3:$F$123)</f>
        <v>120</v>
      </c>
      <c r="V63" s="715">
        <v>1.1023000000000001</v>
      </c>
      <c r="Y63">
        <f>_xlfn.XLOOKUP(D63,RUC!$B$3:$B$123,RUC!$G$3:$G$123)</f>
        <v>20</v>
      </c>
      <c r="Z63" s="1454">
        <v>35</v>
      </c>
      <c r="AA63" s="144">
        <f t="shared" si="28"/>
        <v>55</v>
      </c>
      <c r="AB63" s="145">
        <f t="shared" si="29"/>
        <v>984.83798055650038</v>
      </c>
      <c r="AC63" s="145">
        <f>+(S63-T63)*V63-'data 1'!$F$4</f>
        <v>35.741500000000002</v>
      </c>
      <c r="AD63" s="145">
        <f t="shared" si="30"/>
        <v>75.183134115231965</v>
      </c>
      <c r="AE63" s="145">
        <f t="shared" si="31"/>
        <v>-9.3734999999999999</v>
      </c>
      <c r="AF63" s="145">
        <f t="shared" si="32"/>
        <v>87.627319055427833</v>
      </c>
      <c r="AG63" s="772">
        <f t="shared" si="38"/>
        <v>206.17845317065979</v>
      </c>
      <c r="AH63" s="1253">
        <f t="shared" si="33"/>
        <v>45.463999999999999</v>
      </c>
      <c r="AI63" s="1253">
        <f t="shared" si="34"/>
        <v>47.636000000000003</v>
      </c>
      <c r="AJ63" s="156">
        <f t="shared" si="37"/>
        <v>-83.600076014312094</v>
      </c>
      <c r="AK63" s="156">
        <f t="shared" si="35"/>
        <v>40.023987159800065</v>
      </c>
      <c r="AM63" s="716">
        <f t="shared" si="36"/>
        <v>4784.3429095434785</v>
      </c>
      <c r="AN63" s="716" t="str">
        <f>_xlfn.XLOOKUP(D63,RUC!$B$3:$B$578,RUC!$M$3:$M$578)</f>
        <v>Ronald Miranda</v>
      </c>
      <c r="AO63" s="1167" t="s">
        <v>2278</v>
      </c>
      <c r="AP63" s="1082" t="s">
        <v>5865</v>
      </c>
      <c r="AQ63" s="1082" t="s">
        <v>5866</v>
      </c>
    </row>
    <row r="64" spans="1:44" ht="15" customHeight="1">
      <c r="A64" s="747" t="s">
        <v>5875</v>
      </c>
      <c r="B64" s="1447">
        <v>46181</v>
      </c>
      <c r="C64" s="1447">
        <v>46175</v>
      </c>
      <c r="D64" t="s">
        <v>93</v>
      </c>
      <c r="E64" s="762">
        <f>_xlfn.XLOOKUP(D64,RUC!$B$3:$B$123,RUC!$D$3:$D$123)</f>
        <v>20169040231</v>
      </c>
      <c r="F64" s="629" t="s">
        <v>5533</v>
      </c>
      <c r="G64" s="762">
        <v>53</v>
      </c>
      <c r="H64" s="1082" t="s">
        <v>69</v>
      </c>
      <c r="I64" s="703">
        <v>5.13</v>
      </c>
      <c r="J64" s="596">
        <v>2</v>
      </c>
      <c r="K64" s="703">
        <f t="shared" si="26"/>
        <v>5.0270000000000001</v>
      </c>
      <c r="L64" s="1192">
        <v>0.39800000000000002</v>
      </c>
      <c r="M64" s="994">
        <f>ROUND(+IF(L64&gt;_xlfn.XLOOKUP(AN64,RUC!M:M,RUC!K:K),L64*_xlfn.XLOOKUP(AN64,RUC!M:M,RUC!I:I),L64-_xlfn.XLOOKUP(AN64,RUC!M:M,RUC!J:J)),3)</f>
        <v>0.374</v>
      </c>
      <c r="N64" s="1196">
        <f t="shared" si="39"/>
        <v>0.374</v>
      </c>
      <c r="O64" s="645">
        <f t="shared" si="27"/>
        <v>0.374</v>
      </c>
      <c r="P64" s="727">
        <v>90</v>
      </c>
      <c r="Q64">
        <v>96.98</v>
      </c>
      <c r="R64" s="706">
        <v>4503.8500000000004</v>
      </c>
      <c r="S64" s="765">
        <f>IF((_xlfn.XLOOKUP(D64,RUC!$B$3:$B$119,RUC!$E$3:$E$119)+ROUNDDOWN(O64,1)*100)&lt;95,95,((_xlfn.XLOOKUP(D64,RUC!$B$3:$B$119,RUC!$E$3:$E$119)+ROUNDDOWN(O64,1)*100)))</f>
        <v>115</v>
      </c>
      <c r="U64" s="1146">
        <f>_xlfn.XLOOKUP(D64,RUC!$B$3:$B$123,RUC!$F$3:$F$123)</f>
        <v>120</v>
      </c>
      <c r="V64" s="715">
        <v>1.1023000000000001</v>
      </c>
      <c r="Y64">
        <f>_xlfn.XLOOKUP(D64,RUC!$B$3:$B$123,RUC!$G$3:$G$123)</f>
        <v>20</v>
      </c>
      <c r="Z64" s="1454">
        <v>35</v>
      </c>
      <c r="AA64" s="144">
        <f t="shared" si="28"/>
        <v>55</v>
      </c>
      <c r="AB64" s="145">
        <f t="shared" si="29"/>
        <v>1439.1671899930002</v>
      </c>
      <c r="AC64" s="145">
        <f>+(S64-T64)*V64-'data 1'!$F$4</f>
        <v>46.764500000000012</v>
      </c>
      <c r="AD64" s="145">
        <f t="shared" si="30"/>
        <v>134.2437229390421</v>
      </c>
      <c r="AE64" s="145">
        <f t="shared" si="31"/>
        <v>-9.3734999999999999</v>
      </c>
      <c r="AF64" s="145">
        <f t="shared" si="32"/>
        <v>112.47316453869611</v>
      </c>
      <c r="AG64" s="772">
        <f t="shared" si="38"/>
        <v>301.10788747773825</v>
      </c>
      <c r="AH64" s="1253">
        <f t="shared" si="33"/>
        <v>66.525000000000006</v>
      </c>
      <c r="AI64" s="1253">
        <f t="shared" si="34"/>
        <v>68.596000000000004</v>
      </c>
      <c r="AJ64" s="156">
        <f t="shared" si="37"/>
        <v>-118.21578225852218</v>
      </c>
      <c r="AK64" s="156">
        <f t="shared" si="35"/>
        <v>58.013900551826019</v>
      </c>
      <c r="AM64" s="716">
        <f t="shared" si="36"/>
        <v>7234.693464094812</v>
      </c>
      <c r="AN64" s="716" t="str">
        <f>_xlfn.XLOOKUP(D64,RUC!$B$3:$B$578,RUC!$M$3:$M$578)</f>
        <v>Ronald Miranda</v>
      </c>
      <c r="AO64" s="1167" t="s">
        <v>2278</v>
      </c>
      <c r="AP64" s="1082" t="s">
        <v>5865</v>
      </c>
      <c r="AQ64" s="1082" t="s">
        <v>5866</v>
      </c>
    </row>
    <row r="65" spans="1:43" ht="15" customHeight="1">
      <c r="A65" s="747" t="s">
        <v>5876</v>
      </c>
      <c r="B65" s="1447">
        <v>46184</v>
      </c>
      <c r="C65" s="1447">
        <v>46175</v>
      </c>
      <c r="D65" t="s">
        <v>5728</v>
      </c>
      <c r="E65" s="762">
        <f>_xlfn.XLOOKUP(D65,RUC!$B$3:$B$123,RUC!$D$3:$D$123)</f>
        <v>20603169094</v>
      </c>
      <c r="F65" s="629" t="s">
        <v>5887</v>
      </c>
      <c r="G65" s="762">
        <v>95</v>
      </c>
      <c r="H65" s="1082" t="s">
        <v>69</v>
      </c>
      <c r="I65" s="703">
        <v>8.82</v>
      </c>
      <c r="J65" s="596">
        <v>2.2999999999999998</v>
      </c>
      <c r="K65" s="703">
        <f t="shared" si="26"/>
        <v>8.6170000000000009</v>
      </c>
      <c r="L65" s="1192">
        <v>0.33200000000000002</v>
      </c>
      <c r="M65" s="994">
        <f>ROUND(+IF(L65&gt;_xlfn.XLOOKUP(AN65,RUC!M:M,RUC!K:K),L65*_xlfn.XLOOKUP(AN65,RUC!M:M,RUC!I:I),L65-_xlfn.XLOOKUP(AN65,RUC!M:M,RUC!J:J)),3)</f>
        <v>0.31</v>
      </c>
      <c r="N65" s="1196">
        <f t="shared" si="39"/>
        <v>0.31</v>
      </c>
      <c r="O65" s="645">
        <f>+ROUNDDOWN((M65+N65)/2,3)</f>
        <v>0.31</v>
      </c>
      <c r="P65" s="727">
        <v>83</v>
      </c>
      <c r="Q65" s="875">
        <v>84.24</v>
      </c>
      <c r="R65" s="706">
        <v>4503.8500000000004</v>
      </c>
      <c r="S65" s="765">
        <f>IF((_xlfn.XLOOKUP(D65,RUC!$B$3:$B$119,RUC!$E$3:$E$119)+ROUNDDOWN(O65,1)*100)&lt;95,95,((_xlfn.XLOOKUP(D65,RUC!$B$3:$B$119,RUC!$E$3:$E$119)+ROUNDDOWN(O65,1)*100)))</f>
        <v>120</v>
      </c>
      <c r="U65" s="1146">
        <f>_xlfn.XLOOKUP(D65,RUC!$B$3:$B$123,RUC!$F$3:$F$123)</f>
        <v>100</v>
      </c>
      <c r="V65" s="715">
        <v>1.1023000000000001</v>
      </c>
      <c r="Y65">
        <f>_xlfn.XLOOKUP(D65,RUC!$B$3:$B$123,RUC!$G$3:$G$123)</f>
        <v>0</v>
      </c>
      <c r="Z65" s="143">
        <f>_xlfn.XLOOKUP(D65,RUC!$B$3:$B$123,RUC!$H$3:$H$123)</f>
        <v>28</v>
      </c>
      <c r="AA65" s="144">
        <f t="shared" si="28"/>
        <v>28</v>
      </c>
      <c r="AB65" s="145">
        <f t="shared" si="29"/>
        <v>1085.8874198915</v>
      </c>
      <c r="AC65" s="145">
        <f>+(S65-T65)*V65-'data 1'!$F$4</f>
        <v>52.27600000000001</v>
      </c>
      <c r="AD65" s="145">
        <f t="shared" si="30"/>
        <v>19.98444511826392</v>
      </c>
      <c r="AE65" s="145">
        <f t="shared" si="31"/>
        <v>-39.135599999999997</v>
      </c>
      <c r="AF65" s="145">
        <f t="shared" si="32"/>
        <v>89.964954451944081</v>
      </c>
      <c r="AG65" s="772">
        <f t="shared" si="38"/>
        <v>140.08979957020802</v>
      </c>
      <c r="AH65" s="1253">
        <f t="shared" si="33"/>
        <v>82.626999999999995</v>
      </c>
      <c r="AI65" s="1253">
        <f t="shared" si="34"/>
        <v>98.084999999999994</v>
      </c>
      <c r="AJ65" s="156">
        <f t="shared" si="37"/>
        <v>-91.823502358224118</v>
      </c>
      <c r="AK65" s="156">
        <f t="shared" si="35"/>
        <v>76.015988685148514</v>
      </c>
      <c r="AM65" s="716">
        <f t="shared" si="36"/>
        <v>9357.0918972050567</v>
      </c>
      <c r="AN65" s="716" t="str">
        <f>_xlfn.XLOOKUP(D65,RUC!$B$3:$B$578,RUC!$M$3:$M$578)</f>
        <v>YEREMY</v>
      </c>
      <c r="AO65" s="1167" t="s">
        <v>2278</v>
      </c>
      <c r="AP65" s="1082" t="s">
        <v>5867</v>
      </c>
      <c r="AQ65" s="1082" t="s">
        <v>5868</v>
      </c>
    </row>
    <row r="66" spans="1:43" ht="15" customHeight="1">
      <c r="A66" s="747" t="s">
        <v>5877</v>
      </c>
      <c r="B66" s="1447">
        <v>46184</v>
      </c>
      <c r="C66" s="1447">
        <v>46175</v>
      </c>
      <c r="D66" t="s">
        <v>5728</v>
      </c>
      <c r="E66" s="762">
        <f>_xlfn.XLOOKUP(D66,RUC!$B$3:$B$123,RUC!$D$3:$D$123)</f>
        <v>20603169094</v>
      </c>
      <c r="F66" s="629" t="s">
        <v>5887</v>
      </c>
      <c r="G66" s="762">
        <v>87</v>
      </c>
      <c r="H66" s="1082" t="s">
        <v>69</v>
      </c>
      <c r="I66" s="703">
        <v>7.57</v>
      </c>
      <c r="J66" s="596">
        <v>2.15</v>
      </c>
      <c r="K66" s="703">
        <f t="shared" si="26"/>
        <v>7.407</v>
      </c>
      <c r="L66" s="1192">
        <v>0.30299999999999999</v>
      </c>
      <c r="M66" s="994">
        <f>ROUND(+IF(L66&gt;_xlfn.XLOOKUP(AN66,RUC!M:M,RUC!K:K),L66*_xlfn.XLOOKUP(AN66,RUC!M:M,RUC!I:I),L66-_xlfn.XLOOKUP(AN66,RUC!M:M,RUC!J:J)),3)</f>
        <v>0.28100000000000003</v>
      </c>
      <c r="N66" s="1444">
        <v>0.38300000000000001</v>
      </c>
      <c r="O66" s="645">
        <f t="shared" ref="O66:O72" si="40">+ROUNDDOWN((M66+N66)/2,3)</f>
        <v>0.33200000000000002</v>
      </c>
      <c r="P66" s="727">
        <v>87</v>
      </c>
      <c r="Q66" s="875">
        <v>89.77</v>
      </c>
      <c r="R66" s="706">
        <v>4503.8500000000004</v>
      </c>
      <c r="S66" s="765">
        <f>IF((_xlfn.XLOOKUP(D66,RUC!$B$3:$B$119,RUC!$E$3:$E$119)+ROUNDDOWN(O66,1)*100)&lt;95,95,((_xlfn.XLOOKUP(D66,RUC!$B$3:$B$119,RUC!$E$3:$E$119)+ROUNDDOWN(O66,1)*100)))</f>
        <v>120</v>
      </c>
      <c r="U66" s="1146">
        <f>_xlfn.XLOOKUP(D66,RUC!$B$3:$B$123,RUC!$F$3:$F$123)</f>
        <v>100</v>
      </c>
      <c r="V66" s="715">
        <v>1.1023000000000001</v>
      </c>
      <c r="Y66">
        <f>_xlfn.XLOOKUP(D66,RUC!$B$3:$B$123,RUC!$G$3:$G$123)</f>
        <v>0</v>
      </c>
      <c r="Z66" s="143">
        <f>_xlfn.XLOOKUP(D66,RUC!$B$3:$B$123,RUC!$H$3:$H$123)</f>
        <v>28</v>
      </c>
      <c r="AA66" s="144">
        <f t="shared" si="28"/>
        <v>28</v>
      </c>
      <c r="AB66" s="145">
        <f t="shared" si="29"/>
        <v>1238.9940558782002</v>
      </c>
      <c r="AC66" s="145">
        <f>+(S66-T66)*V66-'data 1'!$F$4</f>
        <v>52.27600000000001</v>
      </c>
      <c r="AD66" s="145">
        <f t="shared" si="30"/>
        <v>40.743161271400439</v>
      </c>
      <c r="AE66" s="145">
        <f t="shared" si="31"/>
        <v>-39.135599999999997</v>
      </c>
      <c r="AF66" s="145">
        <f t="shared" si="32"/>
        <v>-126.37511054637162</v>
      </c>
      <c r="AG66" s="772">
        <f t="shared" si="38"/>
        <v>-55.491549274971163</v>
      </c>
      <c r="AH66" s="1253">
        <f t="shared" si="33"/>
        <v>69.075999999999993</v>
      </c>
      <c r="AI66" s="1253">
        <f t="shared" si="34"/>
        <v>76.947000000000003</v>
      </c>
      <c r="AJ66" s="156">
        <f t="shared" si="37"/>
        <v>-89.304072752170612</v>
      </c>
      <c r="AK66" s="156">
        <f t="shared" si="35"/>
        <v>73.351457924669333</v>
      </c>
      <c r="AM66" s="716">
        <f t="shared" si="36"/>
        <v>9177.2289718898301</v>
      </c>
      <c r="AN66" s="716" t="str">
        <f>_xlfn.XLOOKUP(D66,RUC!$B$3:$B$578,RUC!$M$3:$M$578)</f>
        <v>YEREMY</v>
      </c>
      <c r="AO66" s="1167" t="s">
        <v>2278</v>
      </c>
      <c r="AP66" s="1082" t="s">
        <v>5867</v>
      </c>
      <c r="AQ66" s="1082" t="s">
        <v>5868</v>
      </c>
    </row>
    <row r="67" spans="1:43" ht="15" customHeight="1">
      <c r="A67" s="747" t="s">
        <v>5878</v>
      </c>
      <c r="B67" s="1447">
        <v>46184</v>
      </c>
      <c r="C67" s="1447">
        <v>46175</v>
      </c>
      <c r="D67" t="s">
        <v>5728</v>
      </c>
      <c r="E67" s="762">
        <f>_xlfn.XLOOKUP(D67,RUC!$B$3:$B$123,RUC!$D$3:$D$123)</f>
        <v>20603169094</v>
      </c>
      <c r="F67" s="629" t="s">
        <v>5888</v>
      </c>
      <c r="G67" s="762">
        <v>16</v>
      </c>
      <c r="H67" s="1082" t="s">
        <v>69</v>
      </c>
      <c r="I67" s="703">
        <v>1.3</v>
      </c>
      <c r="J67" s="596">
        <v>2.1</v>
      </c>
      <c r="K67" s="703">
        <f t="shared" si="26"/>
        <v>1.2729999999999999</v>
      </c>
      <c r="L67" s="1192">
        <v>0.47899999999999998</v>
      </c>
      <c r="M67" s="994">
        <f>ROUND(+IF(L67&gt;_xlfn.XLOOKUP(AN67,RUC!M:M,RUC!K:K),L67*_xlfn.XLOOKUP(AN67,RUC!M:M,RUC!I:I),L67-_xlfn.XLOOKUP(AN67,RUC!M:M,RUC!J:J)),3)</f>
        <v>0.45</v>
      </c>
      <c r="N67" s="1444">
        <v>0.55000000000000004</v>
      </c>
      <c r="O67" s="645">
        <f t="shared" si="40"/>
        <v>0.5</v>
      </c>
      <c r="P67" s="727">
        <v>78</v>
      </c>
      <c r="Q67" s="875">
        <v>78.709999999999994</v>
      </c>
      <c r="R67" s="706">
        <v>4503.8500000000004</v>
      </c>
      <c r="S67" s="765">
        <f>IF((_xlfn.XLOOKUP(D67,RUC!$B$3:$B$119,RUC!$E$3:$E$119)+ROUNDDOWN(O67,1)*100)&lt;95,95,((_xlfn.XLOOKUP(D67,RUC!$B$3:$B$119,RUC!$E$3:$E$119)+ROUNDDOWN(O67,1)*100)))</f>
        <v>140</v>
      </c>
      <c r="U67" s="1146">
        <f>_xlfn.XLOOKUP(D67,RUC!$B$3:$B$123,RUC!$F$3:$F$123)</f>
        <v>100</v>
      </c>
      <c r="V67" s="715">
        <v>1.1023000000000001</v>
      </c>
      <c r="Y67">
        <f>_xlfn.XLOOKUP(D67,RUC!$B$3:$B$123,RUC!$G$3:$G$123)</f>
        <v>0</v>
      </c>
      <c r="Z67" s="143">
        <f>_xlfn.XLOOKUP(D67,RUC!$B$3:$B$123,RUC!$H$3:$H$123)</f>
        <v>28</v>
      </c>
      <c r="AA67" s="144">
        <f t="shared" si="28"/>
        <v>28</v>
      </c>
      <c r="AB67" s="145">
        <f t="shared" si="29"/>
        <v>1708.0155034500003</v>
      </c>
      <c r="AC67" s="145">
        <f>+(S67-T67)*V67-'data 1'!$F$4</f>
        <v>74.322000000000003</v>
      </c>
      <c r="AD67" s="145">
        <f t="shared" si="30"/>
        <v>16.509206034469354</v>
      </c>
      <c r="AE67" s="145">
        <f t="shared" si="31"/>
        <v>-39.135599999999997</v>
      </c>
      <c r="AF67" s="145">
        <f t="shared" si="32"/>
        <v>-80.238265595680573</v>
      </c>
      <c r="AG67" s="772">
        <f t="shared" si="38"/>
        <v>-11.54265956121121</v>
      </c>
      <c r="AH67" s="1253">
        <f t="shared" si="33"/>
        <v>16.454999999999998</v>
      </c>
      <c r="AI67" s="1253">
        <f t="shared" si="34"/>
        <v>20.905999999999999</v>
      </c>
      <c r="AJ67" s="156">
        <f t="shared" si="37"/>
        <v>-123.78352262414964</v>
      </c>
      <c r="AK67" s="156">
        <f t="shared" si="35"/>
        <v>17.021666605183501</v>
      </c>
      <c r="AM67" s="716">
        <f t="shared" si="36"/>
        <v>2174.3037358918505</v>
      </c>
      <c r="AN67" s="716" t="str">
        <f>_xlfn.XLOOKUP(D67,RUC!$B$3:$B$578,RUC!$M$3:$M$578)</f>
        <v>YEREMY</v>
      </c>
      <c r="AO67" s="1167" t="s">
        <v>2278</v>
      </c>
      <c r="AP67" s="1082" t="s">
        <v>5867</v>
      </c>
      <c r="AQ67" s="1082" t="s">
        <v>5868</v>
      </c>
    </row>
    <row r="68" spans="1:43" ht="15" customHeight="1">
      <c r="A68" s="747" t="s">
        <v>5879</v>
      </c>
      <c r="B68" s="1447">
        <v>46183</v>
      </c>
      <c r="C68" s="1447">
        <v>46175</v>
      </c>
      <c r="D68" t="s">
        <v>4171</v>
      </c>
      <c r="E68" s="762">
        <f>_xlfn.XLOOKUP(D68,RUC!$B$3:$B$123,RUC!$D$3:$D$123)</f>
        <v>20614284740</v>
      </c>
      <c r="F68" s="629"/>
      <c r="G68" s="762">
        <v>116</v>
      </c>
      <c r="H68" s="1082" t="s">
        <v>69</v>
      </c>
      <c r="I68" s="703">
        <v>12.13</v>
      </c>
      <c r="J68" s="596">
        <v>2.15</v>
      </c>
      <c r="K68" s="703">
        <f t="shared" si="26"/>
        <v>11.869</v>
      </c>
      <c r="L68" s="1192">
        <v>0.16</v>
      </c>
      <c r="M68" s="994">
        <f>ROUND(+IF(L68&gt;_xlfn.XLOOKUP(AN68,RUC!M:M,RUC!K:K),L68*_xlfn.XLOOKUP(AN68,RUC!M:M,RUC!I:I),L68-_xlfn.XLOOKUP(AN68,RUC!M:M,RUC!J:J)),3)</f>
        <v>0.14099999999999999</v>
      </c>
      <c r="N68" s="1196">
        <f t="shared" si="39"/>
        <v>0.14099999999999999</v>
      </c>
      <c r="O68" s="645">
        <f t="shared" si="40"/>
        <v>0.14099999999999999</v>
      </c>
      <c r="P68" s="727">
        <v>85</v>
      </c>
      <c r="Q68" s="875">
        <v>91.25</v>
      </c>
      <c r="R68" s="706">
        <v>4503.8500000000004</v>
      </c>
      <c r="S68" s="765">
        <f>IF((_xlfn.XLOOKUP(D68,RUC!$B$3:$B$119,RUC!$E$3:$E$119)+ROUNDDOWN(O68,1)*100)&lt;95,95,((_xlfn.XLOOKUP(D68,RUC!$B$3:$B$119,RUC!$E$3:$E$119)+ROUNDDOWN(O68,1)*100)))</f>
        <v>100</v>
      </c>
      <c r="U68" s="1146">
        <f>_xlfn.XLOOKUP(D68,RUC!$B$3:$B$123,RUC!$F$3:$F$123)</f>
        <v>120</v>
      </c>
      <c r="V68" s="715">
        <v>1.1023000000000001</v>
      </c>
      <c r="Y68">
        <f>_xlfn.XLOOKUP(D68,RUC!$B$3:$B$123,RUC!$G$3:$G$123)</f>
        <v>20</v>
      </c>
      <c r="Z68" s="143">
        <f>_xlfn.XLOOKUP(D68,RUC!$B$3:$B$123,RUC!$H$3:$H$123)</f>
        <v>30</v>
      </c>
      <c r="AA68" s="144">
        <f t="shared" si="28"/>
        <v>50</v>
      </c>
      <c r="AB68" s="145">
        <f t="shared" si="29"/>
        <v>413.80829492175002</v>
      </c>
      <c r="AC68" s="145">
        <f>+(S68-T68)*V68-'data 1'!$F$4</f>
        <v>30.230000000000004</v>
      </c>
      <c r="AD68" s="145">
        <f t="shared" si="30"/>
        <v>48.323178550000002</v>
      </c>
      <c r="AE68" s="145">
        <f t="shared" si="31"/>
        <v>-14.884999999999998</v>
      </c>
      <c r="AF68" s="145">
        <f t="shared" si="32"/>
        <v>83.780310811062591</v>
      </c>
      <c r="AG68" s="772">
        <f t="shared" si="38"/>
        <v>164.4484893610626</v>
      </c>
      <c r="AH68" s="1253">
        <f t="shared" si="33"/>
        <v>59.411999999999999</v>
      </c>
      <c r="AI68" s="1253">
        <f t="shared" si="34"/>
        <v>65.108999999999995</v>
      </c>
      <c r="AJ68" s="156">
        <f t="shared" si="37"/>
        <v>-44.716012030000066</v>
      </c>
      <c r="AK68" s="156">
        <f t="shared" si="35"/>
        <v>48.770952501239179</v>
      </c>
      <c r="AM68" s="716">
        <f t="shared" si="36"/>
        <v>4911.4906524262506</v>
      </c>
      <c r="AN68" s="716" t="str">
        <f>_xlfn.XLOOKUP(D68,RUC!$B$3:$B$578,RUC!$M$3:$M$578)</f>
        <v xml:space="preserve">Dante </v>
      </c>
      <c r="AO68" s="1167" t="s">
        <v>2281</v>
      </c>
      <c r="AP68" s="1082" t="s">
        <v>5869</v>
      </c>
      <c r="AQ68" s="1082" t="s">
        <v>5870</v>
      </c>
    </row>
    <row r="69" spans="1:43" ht="15" customHeight="1">
      <c r="A69" s="747" t="s">
        <v>5889</v>
      </c>
      <c r="B69" s="1447">
        <v>46184</v>
      </c>
      <c r="C69" s="1447">
        <v>46176</v>
      </c>
      <c r="D69" t="s">
        <v>5728</v>
      </c>
      <c r="E69" s="762">
        <f>_xlfn.XLOOKUP(D69,RUC!$B$3:$B$123,RUC!$D$3:$D$123)</f>
        <v>20603169094</v>
      </c>
      <c r="F69" s="629"/>
      <c r="G69" s="762">
        <v>40</v>
      </c>
      <c r="H69" s="1082" t="s">
        <v>69</v>
      </c>
      <c r="I69" s="703">
        <v>3.02</v>
      </c>
      <c r="J69" s="596">
        <v>2</v>
      </c>
      <c r="K69" s="703">
        <f t="shared" si="26"/>
        <v>2.96</v>
      </c>
      <c r="L69" s="1192">
        <v>0.51500000000000001</v>
      </c>
      <c r="M69" s="994">
        <f>ROUND(+IF(L69&gt;_xlfn.XLOOKUP(AN69,RUC!M:M,RUC!K:K),L69*_xlfn.XLOOKUP(AN69,RUC!M:M,RUC!I:I),L69-_xlfn.XLOOKUP(AN69,RUC!M:M,RUC!J:J)),3)-0.005</f>
        <v>0.47899999999999998</v>
      </c>
      <c r="N69" s="1196">
        <f t="shared" si="39"/>
        <v>0.47899999999999998</v>
      </c>
      <c r="O69" s="645">
        <f t="shared" si="40"/>
        <v>0.47899999999999998</v>
      </c>
      <c r="P69" s="727">
        <v>90</v>
      </c>
      <c r="Q69" s="875">
        <v>96.7</v>
      </c>
      <c r="R69" s="706">
        <v>4444.6000000000004</v>
      </c>
      <c r="S69" s="765">
        <f>IF((_xlfn.XLOOKUP(D69,RUC!$B$3:$B$119,RUC!$E$3:$E$119)+ROUNDDOWN(O69,1)*100)&lt;95,95,((_xlfn.XLOOKUP(D69,RUC!$B$3:$B$119,RUC!$E$3:$E$119)+ROUNDDOWN(O69,1)*100)))</f>
        <v>130</v>
      </c>
      <c r="U69" s="1146">
        <f>_xlfn.XLOOKUP(D69,RUC!$B$3:$B$123,RUC!$F$3:$F$123)</f>
        <v>100</v>
      </c>
      <c r="V69" s="715">
        <v>1.1023000000000001</v>
      </c>
      <c r="Y69">
        <f>_xlfn.XLOOKUP(D69,RUC!$B$3:$B$123,RUC!$G$3:$G$123)</f>
        <v>0</v>
      </c>
      <c r="Z69" s="143">
        <f>_xlfn.XLOOKUP(D69,RUC!$B$3:$B$123,RUC!$H$3:$H$123)</f>
        <v>28</v>
      </c>
      <c r="AA69" s="144">
        <f t="shared" si="28"/>
        <v>28</v>
      </c>
      <c r="AB69" s="145">
        <f t="shared" si="29"/>
        <v>1890.3971672380001</v>
      </c>
      <c r="AC69" s="145">
        <f>+(S69-T69)*V69-'data 1'!$F$4</f>
        <v>63.299000000000007</v>
      </c>
      <c r="AD69" s="145">
        <f t="shared" si="30"/>
        <v>165.24625927290009</v>
      </c>
      <c r="AE69" s="145">
        <f t="shared" si="31"/>
        <v>-39.135599999999997</v>
      </c>
      <c r="AF69" s="145">
        <f t="shared" si="32"/>
        <v>166.7164984149602</v>
      </c>
      <c r="AG69" s="772">
        <f t="shared" si="38"/>
        <v>373.12615768786031</v>
      </c>
      <c r="AH69" s="1253">
        <f t="shared" si="33"/>
        <v>50.54</v>
      </c>
      <c r="AI69" s="1253">
        <f t="shared" si="34"/>
        <v>52.265000000000001</v>
      </c>
      <c r="AJ69" s="156">
        <f t="shared" si="37"/>
        <v>-130.97968748390022</v>
      </c>
      <c r="AK69" s="156">
        <f t="shared" si="35"/>
        <v>43.7500751335308</v>
      </c>
      <c r="AM69" s="716">
        <f t="shared" si="36"/>
        <v>5595.5756150244797</v>
      </c>
      <c r="AN69" s="716" t="str">
        <f>_xlfn.XLOOKUP(D69,RUC!$B$3:$B$578,RUC!$M$3:$M$578)</f>
        <v>YEREMY</v>
      </c>
      <c r="AO69" s="1167" t="s">
        <v>2278</v>
      </c>
      <c r="AP69" s="1082" t="s">
        <v>5911</v>
      </c>
      <c r="AQ69" s="1082" t="s">
        <v>5912</v>
      </c>
    </row>
    <row r="70" spans="1:43" ht="15" customHeight="1">
      <c r="A70" s="747" t="s">
        <v>5890</v>
      </c>
      <c r="B70" s="1447">
        <v>46184</v>
      </c>
      <c r="C70" s="1447">
        <v>46176</v>
      </c>
      <c r="D70" t="s">
        <v>5728</v>
      </c>
      <c r="E70" s="762">
        <f>_xlfn.XLOOKUP(D70,RUC!$B$3:$B$123,RUC!$D$3:$D$123)</f>
        <v>20603169094</v>
      </c>
      <c r="F70" s="629"/>
      <c r="G70" s="762">
        <v>69</v>
      </c>
      <c r="H70" s="1082" t="s">
        <v>69</v>
      </c>
      <c r="I70" s="703">
        <v>5.66</v>
      </c>
      <c r="J70" s="596">
        <v>5</v>
      </c>
      <c r="K70" s="703">
        <f t="shared" si="26"/>
        <v>5.3769999999999998</v>
      </c>
      <c r="L70" s="1192">
        <v>0.59399999999999997</v>
      </c>
      <c r="M70" s="994">
        <f>ROUND(+IF(L70&gt;_xlfn.XLOOKUP(AN70,RUC!M:M,RUC!K:K),L70*_xlfn.XLOOKUP(AN70,RUC!M:M,RUC!I:I),L70-_xlfn.XLOOKUP(AN70,RUC!M:M,RUC!J:J)),3)</f>
        <v>0.55800000000000005</v>
      </c>
      <c r="N70" s="1444">
        <v>0.64200000000000002</v>
      </c>
      <c r="O70" s="645">
        <f t="shared" si="40"/>
        <v>0.6</v>
      </c>
      <c r="P70" s="727">
        <v>84</v>
      </c>
      <c r="Q70" s="875">
        <v>85.35</v>
      </c>
      <c r="R70" s="706">
        <v>4444.6000000000004</v>
      </c>
      <c r="S70" s="765">
        <f>IF((_xlfn.XLOOKUP(D70,RUC!$B$3:$B$119,RUC!$E$3:$E$119)+ROUNDDOWN(O70,1)*100)&lt;95,95,((_xlfn.XLOOKUP(D70,RUC!$B$3:$B$119,RUC!$E$3:$E$119)+ROUNDDOWN(O70,1)*100)))</f>
        <v>150</v>
      </c>
      <c r="U70" s="1146">
        <f>_xlfn.XLOOKUP(D70,RUC!$B$3:$B$123,RUC!$F$3:$F$123)</f>
        <v>100</v>
      </c>
      <c r="V70" s="715">
        <v>1.1023000000000001</v>
      </c>
      <c r="Y70">
        <f>_xlfn.XLOOKUP(D70,RUC!$B$3:$B$123,RUC!$G$3:$G$123)</f>
        <v>0</v>
      </c>
      <c r="Z70" s="143">
        <f>_xlfn.XLOOKUP(D70,RUC!$B$3:$B$123,RUC!$H$3:$H$123)</f>
        <v>28</v>
      </c>
      <c r="AA70" s="144">
        <f t="shared" si="28"/>
        <v>28</v>
      </c>
      <c r="AB70" s="145">
        <f t="shared" si="29"/>
        <v>2217.4731003200004</v>
      </c>
      <c r="AC70" s="145">
        <f>+(S70-T70)*V70-'data 1'!$F$4</f>
        <v>85.344999999999999</v>
      </c>
      <c r="AD70" s="145">
        <f t="shared" si="30"/>
        <v>38.403412639019841</v>
      </c>
      <c r="AE70" s="145">
        <f t="shared" si="31"/>
        <v>-39.135599999999997</v>
      </c>
      <c r="AF70" s="145">
        <f t="shared" si="32"/>
        <v>-24.524738262180023</v>
      </c>
      <c r="AG70" s="772">
        <f t="shared" si="38"/>
        <v>77.088074376839813</v>
      </c>
      <c r="AH70" s="1253">
        <f t="shared" si="33"/>
        <v>93.462999999999994</v>
      </c>
      <c r="AI70" s="1253">
        <f t="shared" si="34"/>
        <v>109.505</v>
      </c>
      <c r="AJ70" s="156">
        <f t="shared" si="37"/>
        <v>-133.3399282756202</v>
      </c>
      <c r="AK70" s="156">
        <f t="shared" si="35"/>
        <v>92.913675898604396</v>
      </c>
      <c r="AM70" s="716">
        <f t="shared" si="36"/>
        <v>11923.352860420642</v>
      </c>
      <c r="AN70" s="716" t="str">
        <f>_xlfn.XLOOKUP(D70,RUC!$B$3:$B$578,RUC!$M$3:$M$578)</f>
        <v>YEREMY</v>
      </c>
      <c r="AO70" s="1167" t="s">
        <v>2278</v>
      </c>
      <c r="AP70" s="1082" t="s">
        <v>5911</v>
      </c>
      <c r="AQ70" s="1082" t="s">
        <v>5912</v>
      </c>
    </row>
    <row r="71" spans="1:43" ht="15" customHeight="1">
      <c r="A71" s="747" t="s">
        <v>5891</v>
      </c>
      <c r="B71" s="1447">
        <v>46184</v>
      </c>
      <c r="C71" s="1447">
        <v>46176</v>
      </c>
      <c r="D71" t="s">
        <v>5728</v>
      </c>
      <c r="E71" s="762">
        <f>_xlfn.XLOOKUP(D71,RUC!$B$3:$B$123,RUC!$D$3:$D$123)</f>
        <v>20603169094</v>
      </c>
      <c r="F71" s="629"/>
      <c r="G71" s="762">
        <v>28</v>
      </c>
      <c r="H71" s="1082" t="s">
        <v>69</v>
      </c>
      <c r="I71" s="703">
        <v>2.35</v>
      </c>
      <c r="J71" s="596">
        <v>2.15</v>
      </c>
      <c r="K71" s="703">
        <f t="shared" si="26"/>
        <v>2.2989999999999999</v>
      </c>
      <c r="L71" s="1192">
        <v>0.158</v>
      </c>
      <c r="M71" s="994">
        <f>ROUND(+IF(L71&gt;_xlfn.XLOOKUP(AN71,RUC!M:M,RUC!K:K),L71*_xlfn.XLOOKUP(AN71,RUC!M:M,RUC!I:I),L71-_xlfn.XLOOKUP(AN71,RUC!M:M,RUC!J:J)),3)</f>
        <v>0.13600000000000001</v>
      </c>
      <c r="N71" s="1444">
        <v>0.189</v>
      </c>
      <c r="O71" s="645">
        <f t="shared" si="40"/>
        <v>0.16200000000000001</v>
      </c>
      <c r="P71" s="727">
        <v>87</v>
      </c>
      <c r="Q71" s="875">
        <v>90.51</v>
      </c>
      <c r="R71" s="706">
        <v>4444.6000000000004</v>
      </c>
      <c r="S71" s="765">
        <f>IF((_xlfn.XLOOKUP(D71,RUC!$B$3:$B$119,RUC!$E$3:$E$119)+ROUNDDOWN(O71,1)*100)&lt;95,95,((_xlfn.XLOOKUP(D71,RUC!$B$3:$B$119,RUC!$E$3:$E$119)+ROUNDDOWN(O71,1)*100)))</f>
        <v>100</v>
      </c>
      <c r="U71" s="1146">
        <f>_xlfn.XLOOKUP(D71,RUC!$B$3:$B$123,RUC!$F$3:$F$123)</f>
        <v>100</v>
      </c>
      <c r="V71" s="715">
        <v>1.1023000000000001</v>
      </c>
      <c r="Y71">
        <f>_xlfn.XLOOKUP(D71,RUC!$B$3:$B$123,RUC!$G$3:$G$123)</f>
        <v>0</v>
      </c>
      <c r="Z71" s="143">
        <f>_xlfn.XLOOKUP(D71,RUC!$B$3:$B$123,RUC!$H$3:$H$123)</f>
        <v>28</v>
      </c>
      <c r="AA71" s="144">
        <f t="shared" si="28"/>
        <v>28</v>
      </c>
      <c r="AB71" s="145">
        <f t="shared" si="29"/>
        <v>533.87467062520022</v>
      </c>
      <c r="AC71" s="145">
        <f>+(S71-T71)*V71-'data 1'!$F$4</f>
        <v>30.230000000000004</v>
      </c>
      <c r="AD71" s="145">
        <f t="shared" si="30"/>
        <v>26.559127798164042</v>
      </c>
      <c r="AE71" s="145">
        <f t="shared" si="31"/>
        <v>-39.135599999999997</v>
      </c>
      <c r="AF71" s="145">
        <f t="shared" si="32"/>
        <v>-17.338285960632021</v>
      </c>
      <c r="AG71" s="772">
        <f t="shared" si="38"/>
        <v>17.315241837532028</v>
      </c>
      <c r="AH71" s="1253">
        <f t="shared" si="33"/>
        <v>11.272</v>
      </c>
      <c r="AI71" s="1253">
        <f t="shared" si="34"/>
        <v>12.454000000000001</v>
      </c>
      <c r="AJ71" s="156">
        <f t="shared" si="37"/>
        <v>-37.611780990924061</v>
      </c>
      <c r="AK71" s="156">
        <f t="shared" si="35"/>
        <v>11.109187778472332</v>
      </c>
      <c r="AM71" s="716">
        <f t="shared" si="36"/>
        <v>1227.3778677673354</v>
      </c>
      <c r="AN71" s="716" t="str">
        <f>_xlfn.XLOOKUP(D71,RUC!$B$3:$B$578,RUC!$M$3:$M$578)</f>
        <v>YEREMY</v>
      </c>
      <c r="AO71" s="1167" t="s">
        <v>2278</v>
      </c>
      <c r="AP71" s="1082" t="s">
        <v>5911</v>
      </c>
      <c r="AQ71" s="1082" t="s">
        <v>5912</v>
      </c>
    </row>
    <row r="72" spans="1:43" ht="15" customHeight="1">
      <c r="A72" s="747" t="s">
        <v>5892</v>
      </c>
      <c r="B72" s="1447">
        <v>46184</v>
      </c>
      <c r="C72" s="1447">
        <v>46176</v>
      </c>
      <c r="D72" t="s">
        <v>5728</v>
      </c>
      <c r="E72" s="762">
        <f>_xlfn.XLOOKUP(D72,RUC!$B$3:$B$123,RUC!$D$3:$D$123)</f>
        <v>20603169094</v>
      </c>
      <c r="F72" s="629"/>
      <c r="G72" s="762">
        <v>26</v>
      </c>
      <c r="H72" s="1082" t="s">
        <v>69</v>
      </c>
      <c r="I72" s="703">
        <v>1.97</v>
      </c>
      <c r="J72" s="596">
        <v>4.8</v>
      </c>
      <c r="K72" s="703">
        <f t="shared" si="26"/>
        <v>1.875</v>
      </c>
      <c r="L72" s="1192">
        <v>0.47799999999999998</v>
      </c>
      <c r="M72" s="994">
        <f>ROUND(+IF(L72&gt;_xlfn.XLOOKUP(AN72,RUC!M:M,RUC!K:K),L72*_xlfn.XLOOKUP(AN72,RUC!M:M,RUC!I:I),L72-_xlfn.XLOOKUP(AN72,RUC!M:M,RUC!J:J)),3)</f>
        <v>0.44900000000000001</v>
      </c>
      <c r="N72" s="1444">
        <v>0.55000000000000004</v>
      </c>
      <c r="O72" s="645">
        <f t="shared" si="40"/>
        <v>0.499</v>
      </c>
      <c r="P72" s="727">
        <v>90</v>
      </c>
      <c r="Q72" s="875">
        <v>92.26</v>
      </c>
      <c r="R72" s="706">
        <v>4444.6000000000004</v>
      </c>
      <c r="S72" s="765">
        <f>IF((_xlfn.XLOOKUP(D72,RUC!$B$3:$B$119,RUC!$E$3:$E$119)+ROUNDDOWN(O72,1)*100)&lt;95,95,((_xlfn.XLOOKUP(D72,RUC!$B$3:$B$119,RUC!$E$3:$E$119)+ROUNDDOWN(O72,1)*100)))</f>
        <v>130</v>
      </c>
      <c r="U72" s="1146">
        <f>_xlfn.XLOOKUP(D72,RUC!$B$3:$B$123,RUC!$F$3:$F$123)</f>
        <v>100</v>
      </c>
      <c r="V72" s="715">
        <v>1.1023000000000001</v>
      </c>
      <c r="Y72">
        <f>_xlfn.XLOOKUP(D72,RUC!$B$3:$B$123,RUC!$G$3:$G$123)</f>
        <v>0</v>
      </c>
      <c r="Z72" s="143">
        <f>_xlfn.XLOOKUP(D72,RUC!$B$3:$B$123,RUC!$H$3:$H$123)</f>
        <v>28</v>
      </c>
      <c r="AA72" s="144">
        <f t="shared" si="28"/>
        <v>28</v>
      </c>
      <c r="AB72" s="145">
        <f t="shared" si="29"/>
        <v>1976.6001136780001</v>
      </c>
      <c r="AC72" s="145">
        <f>+(S72-T72)*V72-'data 1'!$F$4</f>
        <v>63.299000000000007</v>
      </c>
      <c r="AD72" s="145">
        <f t="shared" si="30"/>
        <v>51.735177211224126</v>
      </c>
      <c r="AE72" s="145">
        <f t="shared" si="31"/>
        <v>-39.135599999999997</v>
      </c>
      <c r="AF72" s="145">
        <f t="shared" si="32"/>
        <v>-92.785978116468101</v>
      </c>
      <c r="AG72" s="772">
        <f t="shared" si="38"/>
        <v>0.11259909475603536</v>
      </c>
      <c r="AH72" s="1253">
        <f t="shared" si="33"/>
        <v>28.35</v>
      </c>
      <c r="AI72" s="1253">
        <f t="shared" si="34"/>
        <v>30.728000000000002</v>
      </c>
      <c r="AJ72" s="156">
        <f t="shared" si="37"/>
        <v>-115.98760840458419</v>
      </c>
      <c r="AK72" s="156">
        <f t="shared" si="35"/>
        <v>28.870439574853126</v>
      </c>
      <c r="AM72" s="716">
        <f t="shared" si="36"/>
        <v>3706.1252131462502</v>
      </c>
      <c r="AN72" s="716" t="str">
        <f>_xlfn.XLOOKUP(D72,RUC!$B$3:$B$578,RUC!$M$3:$M$578)</f>
        <v>YEREMY</v>
      </c>
      <c r="AO72" s="1167" t="s">
        <v>2278</v>
      </c>
      <c r="AP72" s="1082" t="s">
        <v>5911</v>
      </c>
      <c r="AQ72" s="1082" t="s">
        <v>5912</v>
      </c>
    </row>
    <row r="73" spans="1:43" ht="15" customHeight="1">
      <c r="A73" s="747" t="s">
        <v>5894</v>
      </c>
      <c r="B73" s="1447">
        <v>46182</v>
      </c>
      <c r="C73" s="1447">
        <v>46176</v>
      </c>
      <c r="D73" t="s">
        <v>5907</v>
      </c>
      <c r="E73" s="762">
        <f>_xlfn.XLOOKUP(D73,RUC!$B$3:$B$123,RUC!$D$3:$D$123)</f>
        <v>20614329646</v>
      </c>
      <c r="F73" s="629"/>
      <c r="G73" s="762">
        <v>100</v>
      </c>
      <c r="H73" s="1082" t="s">
        <v>69</v>
      </c>
      <c r="I73" s="703">
        <v>10.91</v>
      </c>
      <c r="J73" s="596">
        <v>2</v>
      </c>
      <c r="K73" s="703">
        <f t="shared" si="26"/>
        <v>10.692</v>
      </c>
      <c r="L73" s="1192">
        <v>0.13100000000000001</v>
      </c>
      <c r="M73" s="994">
        <v>0.112</v>
      </c>
      <c r="N73" s="1444">
        <v>0.153</v>
      </c>
      <c r="O73" s="645">
        <f t="shared" si="27"/>
        <v>0.13300000000000001</v>
      </c>
      <c r="P73" s="727">
        <v>80</v>
      </c>
      <c r="Q73" s="875">
        <v>88.55</v>
      </c>
      <c r="R73" s="706">
        <v>4444.6000000000004</v>
      </c>
      <c r="S73" s="765">
        <f>IF((_xlfn.XLOOKUP(D73,RUC!$B$3:$B$119,RUC!$E$3:$E$119)+ROUNDDOWN(O73,1)*100)&lt;95,95,((_xlfn.XLOOKUP(D73,RUC!$B$3:$B$119,RUC!$E$3:$E$119)+ROUNDDOWN(O73,1)*100)))</f>
        <v>95</v>
      </c>
      <c r="U73" s="1146">
        <f>_xlfn.XLOOKUP(D73,RUC!$B$3:$B$123,RUC!$F$3:$F$123)</f>
        <v>110</v>
      </c>
      <c r="V73" s="715">
        <v>1.1023000000000001</v>
      </c>
      <c r="Y73">
        <f>_xlfn.XLOOKUP(D73,RUC!$B$3:$B$123,RUC!$G$3:$G$123)</f>
        <v>0</v>
      </c>
      <c r="Z73" s="143">
        <v>35</v>
      </c>
      <c r="AA73" s="144">
        <f t="shared" si="28"/>
        <v>35</v>
      </c>
      <c r="AB73" s="145">
        <f t="shared" si="29"/>
        <v>365.08334731200006</v>
      </c>
      <c r="AC73" s="145">
        <f>+(S73-T73)*V73-'data 1'!$F$4</f>
        <v>24.718500000000006</v>
      </c>
      <c r="AD73" s="145">
        <f t="shared" si="30"/>
        <v>53.516320310789986</v>
      </c>
      <c r="AE73" s="145">
        <f t="shared" si="31"/>
        <v>-31.419499999999999</v>
      </c>
      <c r="AF73" s="145">
        <f t="shared" si="32"/>
        <v>-8.4618903861800092</v>
      </c>
      <c r="AG73" s="772">
        <f t="shared" si="38"/>
        <v>55.353429924609969</v>
      </c>
      <c r="AH73" s="1253">
        <f t="shared" si="33"/>
        <v>42.523000000000003</v>
      </c>
      <c r="AI73" s="1253">
        <f t="shared" si="34"/>
        <v>48.021999999999998</v>
      </c>
      <c r="AJ73" s="156">
        <f t="shared" si="37"/>
        <v>-29.23047647289005</v>
      </c>
      <c r="AK73" s="156">
        <f t="shared" si="35"/>
        <v>39.004044864855842</v>
      </c>
      <c r="AM73" s="716">
        <f t="shared" si="36"/>
        <v>3903.4711494599046</v>
      </c>
      <c r="AN73" s="716" t="str">
        <f>_xlfn.XLOOKUP(D73,RUC!$B$3:$B$578,RUC!$M$3:$M$578)</f>
        <v>Robinson Tuya</v>
      </c>
      <c r="AO73" s="1167" t="s">
        <v>2280</v>
      </c>
      <c r="AP73" s="1082" t="s">
        <v>3065</v>
      </c>
      <c r="AQ73" s="1082" t="s">
        <v>2475</v>
      </c>
    </row>
    <row r="74" spans="1:43" ht="15" customHeight="1">
      <c r="A74" s="747" t="s">
        <v>5895</v>
      </c>
      <c r="B74" s="1447">
        <v>46182</v>
      </c>
      <c r="C74" s="1447">
        <v>46177</v>
      </c>
      <c r="D74" t="s">
        <v>119</v>
      </c>
      <c r="E74" s="762">
        <f>_xlfn.XLOOKUP(D74,RUC!$B$3:$B$123,RUC!$D$3:$D$123)</f>
        <v>10082235774</v>
      </c>
      <c r="F74" s="629"/>
      <c r="G74" s="762">
        <v>52</v>
      </c>
      <c r="H74" s="1082" t="s">
        <v>69</v>
      </c>
      <c r="I74" s="703">
        <v>4.12</v>
      </c>
      <c r="J74" s="1148">
        <v>1.45</v>
      </c>
      <c r="K74" s="703">
        <f t="shared" si="26"/>
        <v>4.0599999999999996</v>
      </c>
      <c r="L74" s="1192">
        <v>0.57799999999999996</v>
      </c>
      <c r="M74" s="994">
        <f>ROUND(+IF(L74&gt;_xlfn.XLOOKUP(AN74,RUC!M:M,RUC!K:K),L74*_xlfn.XLOOKUP(AN74,RUC!M:M,RUC!I:I),L74-_xlfn.XLOOKUP(AN74,RUC!M:M,RUC!J:J)),3)</f>
        <v>0.56899999999999995</v>
      </c>
      <c r="N74" s="1196">
        <f t="shared" si="39"/>
        <v>0.56899999999999995</v>
      </c>
      <c r="O74" s="645">
        <f>+ROUNDDOWN((M74+N74)/2,3)</f>
        <v>0.56899999999999995</v>
      </c>
      <c r="P74" s="727">
        <v>90</v>
      </c>
      <c r="Q74" s="875">
        <v>98.96</v>
      </c>
      <c r="R74" s="706">
        <v>4496.95</v>
      </c>
      <c r="S74" s="1164">
        <v>120</v>
      </c>
      <c r="U74" s="1146">
        <f>_xlfn.XLOOKUP(D74,RUC!$B$3:$B$123,RUC!$F$3:$F$123)</f>
        <v>80</v>
      </c>
      <c r="V74" s="715">
        <v>1.1023000000000001</v>
      </c>
      <c r="Y74">
        <f>_xlfn.XLOOKUP(D74,RUC!$B$3:$B$123,RUC!$G$3:$G$123)</f>
        <v>0</v>
      </c>
      <c r="Z74" s="143">
        <f>_xlfn.XLOOKUP(D74,RUC!$B$3:$B$123,RUC!$H$3:$H$123)</f>
        <v>10</v>
      </c>
      <c r="AA74" s="144">
        <f t="shared" si="28"/>
        <v>10</v>
      </c>
      <c r="AB74" s="145">
        <f t="shared" si="29"/>
        <v>2350.0155207184994</v>
      </c>
      <c r="AC74" s="145">
        <f>+(S74-T74)*V74-'data 1'!$F$4</f>
        <v>52.27600000000001</v>
      </c>
      <c r="AD74" s="145">
        <f t="shared" si="30"/>
        <v>252.14951581836783</v>
      </c>
      <c r="AE74" s="145">
        <f t="shared" si="31"/>
        <v>-58.977000000000004</v>
      </c>
      <c r="AF74" s="145">
        <f t="shared" si="32"/>
        <v>43.363515812004032</v>
      </c>
      <c r="AG74" s="772">
        <f t="shared" si="38"/>
        <v>305.81203163037185</v>
      </c>
      <c r="AH74" s="1253">
        <f t="shared" si="33"/>
        <v>79.62</v>
      </c>
      <c r="AI74" s="1253">
        <f t="shared" si="34"/>
        <v>80.456999999999994</v>
      </c>
      <c r="AJ74" s="156">
        <f t="shared" si="37"/>
        <v>-196.05498690592785</v>
      </c>
      <c r="AK74" s="156">
        <f t="shared" si="35"/>
        <v>71.283641714844279</v>
      </c>
      <c r="AM74" s="716">
        <f t="shared" si="36"/>
        <v>9541.0630141171059</v>
      </c>
      <c r="AN74" s="716" t="str">
        <f>_xlfn.XLOOKUP(D74,RUC!$B$3:$B$578,RUC!$M$3:$M$578)</f>
        <v>Melchor Vera</v>
      </c>
      <c r="AO74" s="1167" t="s">
        <v>2277</v>
      </c>
      <c r="AP74" s="1082" t="s">
        <v>2380</v>
      </c>
      <c r="AQ74" s="1082" t="s">
        <v>5913</v>
      </c>
    </row>
    <row r="75" spans="1:43" ht="15" customHeight="1">
      <c r="A75" s="747" t="s">
        <v>5896</v>
      </c>
      <c r="B75" s="1447">
        <v>46182</v>
      </c>
      <c r="C75" s="1447">
        <v>46177</v>
      </c>
      <c r="D75" t="s">
        <v>119</v>
      </c>
      <c r="E75" s="762">
        <f>_xlfn.XLOOKUP(D75,RUC!$B$3:$B$123,RUC!$D$3:$D$123)</f>
        <v>10082235774</v>
      </c>
      <c r="F75" s="629"/>
      <c r="G75" s="762">
        <v>48</v>
      </c>
      <c r="H75" s="1082" t="s">
        <v>69</v>
      </c>
      <c r="I75" s="703">
        <v>3.87</v>
      </c>
      <c r="J75" s="1148">
        <v>1.75</v>
      </c>
      <c r="K75" s="703">
        <f t="shared" si="26"/>
        <v>3.802</v>
      </c>
      <c r="L75" s="1192">
        <v>0.39100000000000001</v>
      </c>
      <c r="M75" s="994">
        <f>ROUND(+IF(L75&gt;_xlfn.XLOOKUP(AN75,RUC!M:M,RUC!K:K),L75*_xlfn.XLOOKUP(AN75,RUC!M:M,RUC!I:I),L75-_xlfn.XLOOKUP(AN75,RUC!M:M,RUC!J:J)),3)</f>
        <v>0.38400000000000001</v>
      </c>
      <c r="N75" s="1196">
        <f t="shared" si="39"/>
        <v>0.38400000000000001</v>
      </c>
      <c r="O75" s="645">
        <f t="shared" ref="O75:O125" si="41">+ROUNDDOWN((M75+N75)/2,3)</f>
        <v>0.38400000000000001</v>
      </c>
      <c r="P75" s="727">
        <v>90</v>
      </c>
      <c r="Q75" s="875">
        <v>98.72</v>
      </c>
      <c r="R75" s="706">
        <v>4496.95</v>
      </c>
      <c r="S75" s="1164">
        <v>110</v>
      </c>
      <c r="U75" s="1146">
        <f>_xlfn.XLOOKUP(D75,RUC!$B$3:$B$123,RUC!$F$3:$F$123)</f>
        <v>80</v>
      </c>
      <c r="V75" s="715">
        <v>1.1023000000000001</v>
      </c>
      <c r="Y75">
        <f>_xlfn.XLOOKUP(D75,RUC!$B$3:$B$123,RUC!$G$3:$G$123)</f>
        <v>0</v>
      </c>
      <c r="Z75" s="143">
        <f>_xlfn.XLOOKUP(D75,RUC!$B$3:$B$123,RUC!$H$3:$H$123)</f>
        <v>10</v>
      </c>
      <c r="AA75" s="144">
        <f t="shared" si="28"/>
        <v>10</v>
      </c>
      <c r="AB75" s="145">
        <f t="shared" si="29"/>
        <v>1550.3826572160003</v>
      </c>
      <c r="AC75" s="145">
        <f>+(S75-T75)*V75-'data 1'!$F$4</f>
        <v>41.253</v>
      </c>
      <c r="AD75" s="145">
        <f t="shared" si="30"/>
        <v>166.00284562937199</v>
      </c>
      <c r="AE75" s="145">
        <f t="shared" si="31"/>
        <v>-58.977000000000004</v>
      </c>
      <c r="AF75" s="145">
        <f t="shared" si="32"/>
        <v>33.645383057944031</v>
      </c>
      <c r="AG75" s="772">
        <f t="shared" si="38"/>
        <v>198.92422868731603</v>
      </c>
      <c r="AH75" s="1253">
        <f t="shared" si="33"/>
        <v>50.316000000000003</v>
      </c>
      <c r="AI75" s="1253">
        <f t="shared" si="34"/>
        <v>50.968000000000004</v>
      </c>
      <c r="AJ75" s="156">
        <f t="shared" si="37"/>
        <v>-132.30378616111196</v>
      </c>
      <c r="AK75" s="156">
        <f t="shared" si="35"/>
        <v>45.050012478524167</v>
      </c>
      <c r="AM75" s="716">
        <f t="shared" si="36"/>
        <v>5894.5548627352337</v>
      </c>
      <c r="AN75" s="716" t="str">
        <f>_xlfn.XLOOKUP(D75,RUC!$B$3:$B$578,RUC!$M$3:$M$578)</f>
        <v>Melchor Vera</v>
      </c>
      <c r="AO75" s="1167" t="s">
        <v>2277</v>
      </c>
      <c r="AP75" s="1082" t="s">
        <v>2380</v>
      </c>
      <c r="AQ75" s="1082" t="s">
        <v>5913</v>
      </c>
    </row>
    <row r="76" spans="1:43" ht="15" customHeight="1">
      <c r="A76" s="747" t="s">
        <v>5897</v>
      </c>
      <c r="B76" s="1447">
        <v>46182</v>
      </c>
      <c r="C76" s="1447">
        <v>46177</v>
      </c>
      <c r="D76" t="s">
        <v>119</v>
      </c>
      <c r="E76" s="762">
        <f>_xlfn.XLOOKUP(D76,RUC!$B$3:$B$123,RUC!$D$3:$D$123)</f>
        <v>10082235774</v>
      </c>
      <c r="F76" s="629"/>
      <c r="G76" s="762">
        <v>35</v>
      </c>
      <c r="H76" s="1082" t="s">
        <v>69</v>
      </c>
      <c r="I76" s="703">
        <v>2.87</v>
      </c>
      <c r="J76" s="1148">
        <v>1.95</v>
      </c>
      <c r="K76" s="703">
        <f t="shared" si="26"/>
        <v>2.8140000000000001</v>
      </c>
      <c r="L76" s="1192">
        <v>0.38900000000000001</v>
      </c>
      <c r="M76" s="994">
        <f>ROUND(+IF(L76&gt;_xlfn.XLOOKUP(AN76,RUC!M:M,RUC!K:K),L76*_xlfn.XLOOKUP(AN76,RUC!M:M,RUC!I:I),L76-_xlfn.XLOOKUP(AN76,RUC!M:M,RUC!J:J)),3)</f>
        <v>0.38200000000000001</v>
      </c>
      <c r="N76" s="1196">
        <f t="shared" si="39"/>
        <v>0.38200000000000001</v>
      </c>
      <c r="O76" s="645">
        <f t="shared" si="41"/>
        <v>0.38200000000000001</v>
      </c>
      <c r="P76" s="727">
        <v>90</v>
      </c>
      <c r="Q76" s="875">
        <v>96.66</v>
      </c>
      <c r="R76" s="706">
        <v>4496.95</v>
      </c>
      <c r="S76" s="1164">
        <v>110</v>
      </c>
      <c r="U76" s="1146">
        <f>_xlfn.XLOOKUP(D76,RUC!$B$3:$B$123,RUC!$F$3:$F$123)</f>
        <v>80</v>
      </c>
      <c r="V76" s="715">
        <v>1.1023000000000001</v>
      </c>
      <c r="Y76">
        <f>_xlfn.XLOOKUP(D76,RUC!$B$3:$B$123,RUC!$G$3:$G$123)</f>
        <v>0</v>
      </c>
      <c r="Z76" s="143">
        <f>_xlfn.XLOOKUP(D76,RUC!$B$3:$B$123,RUC!$H$3:$H$123)</f>
        <v>10</v>
      </c>
      <c r="AA76" s="144">
        <f t="shared" si="28"/>
        <v>10</v>
      </c>
      <c r="AB76" s="145">
        <f t="shared" si="29"/>
        <v>1541.6188100430002</v>
      </c>
      <c r="AC76" s="145">
        <f>+(S76-T76)*V76-'data 1'!$F$4</f>
        <v>41.253</v>
      </c>
      <c r="AD76" s="145">
        <f t="shared" si="30"/>
        <v>126.13805236098895</v>
      </c>
      <c r="AE76" s="145">
        <f t="shared" si="31"/>
        <v>-58.977000000000004</v>
      </c>
      <c r="AF76" s="145">
        <f t="shared" si="32"/>
        <v>32.943301523307035</v>
      </c>
      <c r="AG76" s="772">
        <f t="shared" si="38"/>
        <v>158.357353884296</v>
      </c>
      <c r="AH76" s="1253">
        <f t="shared" si="33"/>
        <v>36.277000000000001</v>
      </c>
      <c r="AI76" s="1253">
        <f t="shared" si="34"/>
        <v>37.53</v>
      </c>
      <c r="AJ76" s="156">
        <f t="shared" si="37"/>
        <v>-128.88036598536894</v>
      </c>
      <c r="AK76" s="156">
        <f t="shared" si="35"/>
        <v>33.169508382214261</v>
      </c>
      <c r="AM76" s="716">
        <f t="shared" si="36"/>
        <v>4338.1153314610028</v>
      </c>
      <c r="AN76" s="716" t="str">
        <f>_xlfn.XLOOKUP(D76,RUC!$B$3:$B$578,RUC!$M$3:$M$578)</f>
        <v>Melchor Vera</v>
      </c>
      <c r="AO76" s="1167" t="s">
        <v>2278</v>
      </c>
      <c r="AP76" s="1082" t="s">
        <v>2380</v>
      </c>
      <c r="AQ76" s="1082" t="s">
        <v>5913</v>
      </c>
    </row>
    <row r="77" spans="1:43" ht="15" customHeight="1">
      <c r="A77" s="747" t="s">
        <v>5898</v>
      </c>
      <c r="B77" s="1447">
        <v>46182</v>
      </c>
      <c r="C77" s="1447">
        <v>46177</v>
      </c>
      <c r="D77" t="s">
        <v>119</v>
      </c>
      <c r="E77" s="762">
        <f>_xlfn.XLOOKUP(D77,RUC!$B$3:$B$123,RUC!$D$3:$D$123)</f>
        <v>10082235774</v>
      </c>
      <c r="F77" s="629"/>
      <c r="G77" s="762">
        <v>66</v>
      </c>
      <c r="H77" s="1082" t="s">
        <v>69</v>
      </c>
      <c r="I77" s="703">
        <v>5.35</v>
      </c>
      <c r="J77" s="1148">
        <v>2</v>
      </c>
      <c r="K77" s="703">
        <f t="shared" si="26"/>
        <v>5.2430000000000003</v>
      </c>
      <c r="L77" s="1192">
        <v>0.27900000000000003</v>
      </c>
      <c r="M77" s="994">
        <f>ROUND(+IF(L77&gt;_xlfn.XLOOKUP(AN77,RUC!M:M,RUC!K:K),L77*_xlfn.XLOOKUP(AN77,RUC!M:M,RUC!I:I),L77-_xlfn.XLOOKUP(AN77,RUC!M:M,RUC!J:J)),3)</f>
        <v>0.27200000000000002</v>
      </c>
      <c r="N77" s="1196">
        <f t="shared" si="39"/>
        <v>0.27200000000000002</v>
      </c>
      <c r="O77" s="645">
        <f t="shared" si="41"/>
        <v>0.27200000000000002</v>
      </c>
      <c r="P77" s="727">
        <v>90</v>
      </c>
      <c r="Q77" s="875">
        <v>92.83</v>
      </c>
      <c r="R77" s="706">
        <v>4496.95</v>
      </c>
      <c r="S77" s="1164">
        <v>105</v>
      </c>
      <c r="U77" s="1146">
        <f>_xlfn.XLOOKUP(D77,RUC!$B$3:$B$123,RUC!$F$3:$F$123)</f>
        <v>80</v>
      </c>
      <c r="V77" s="715">
        <v>1.1023000000000001</v>
      </c>
      <c r="Y77">
        <f>_xlfn.XLOOKUP(D77,RUC!$B$3:$B$123,RUC!$G$3:$G$123)</f>
        <v>0</v>
      </c>
      <c r="Z77" s="143">
        <f>_xlfn.XLOOKUP(D77,RUC!$B$3:$B$123,RUC!$H$3:$H$123)</f>
        <v>10</v>
      </c>
      <c r="AA77" s="144">
        <f t="shared" si="28"/>
        <v>10</v>
      </c>
      <c r="AB77" s="145">
        <f t="shared" si="29"/>
        <v>1065.1187155280002</v>
      </c>
      <c r="AC77" s="145">
        <f>+(S77-T77)*V77-'data 1'!$F$4</f>
        <v>35.741500000000002</v>
      </c>
      <c r="AD77" s="145">
        <f t="shared" si="30"/>
        <v>38.442615624364478</v>
      </c>
      <c r="AE77" s="145">
        <f t="shared" si="31"/>
        <v>-58.977000000000004</v>
      </c>
      <c r="AF77" s="145">
        <f t="shared" si="32"/>
        <v>31.637975174928528</v>
      </c>
      <c r="AG77" s="772">
        <f t="shared" si="38"/>
        <v>63.845090799293004</v>
      </c>
      <c r="AH77" s="1253">
        <f t="shared" si="33"/>
        <v>46.557000000000002</v>
      </c>
      <c r="AI77" s="1253">
        <f t="shared" si="34"/>
        <v>50.152999999999999</v>
      </c>
      <c r="AJ77" s="156">
        <f t="shared" si="37"/>
        <v>-88.773414046204451</v>
      </c>
      <c r="AK77" s="156">
        <f t="shared" si="35"/>
        <v>44.004829280897532</v>
      </c>
      <c r="AM77" s="716">
        <f t="shared" si="36"/>
        <v>5584.4174255133048</v>
      </c>
      <c r="AN77" s="716" t="str">
        <f>_xlfn.XLOOKUP(D77,RUC!$B$3:$B$578,RUC!$M$3:$M$578)</f>
        <v>Melchor Vera</v>
      </c>
      <c r="AO77" s="1167" t="s">
        <v>2278</v>
      </c>
      <c r="AP77" s="1082" t="s">
        <v>2380</v>
      </c>
      <c r="AQ77" s="1082" t="s">
        <v>5913</v>
      </c>
    </row>
    <row r="78" spans="1:43" ht="15" customHeight="1">
      <c r="A78" s="747" t="s">
        <v>5899</v>
      </c>
      <c r="B78" s="1447">
        <v>46182</v>
      </c>
      <c r="C78" s="1447">
        <v>46177</v>
      </c>
      <c r="D78" t="s">
        <v>119</v>
      </c>
      <c r="E78" s="762">
        <f>_xlfn.XLOOKUP(D78,RUC!$B$3:$B$123,RUC!$D$3:$D$123)</f>
        <v>10082235774</v>
      </c>
      <c r="F78" s="629"/>
      <c r="G78" s="762">
        <v>38</v>
      </c>
      <c r="H78" s="1082" t="s">
        <v>69</v>
      </c>
      <c r="I78" s="703">
        <v>3.04</v>
      </c>
      <c r="J78" s="1148">
        <v>0.85</v>
      </c>
      <c r="K78" s="703">
        <f t="shared" si="26"/>
        <v>3.0139999999999998</v>
      </c>
      <c r="L78" s="1192">
        <v>0.27600000000000002</v>
      </c>
      <c r="M78" s="994">
        <f>ROUND(+IF(L78&gt;_xlfn.XLOOKUP(AN78,RUC!M:M,RUC!K:K),L78*_xlfn.XLOOKUP(AN78,RUC!M:M,RUC!I:I),L78-_xlfn.XLOOKUP(AN78,RUC!M:M,RUC!J:J)),3)</f>
        <v>0.26900000000000002</v>
      </c>
      <c r="N78" s="1196">
        <f t="shared" si="39"/>
        <v>0.26900000000000002</v>
      </c>
      <c r="O78" s="645">
        <f t="shared" si="41"/>
        <v>0.26900000000000002</v>
      </c>
      <c r="P78" s="727">
        <v>90</v>
      </c>
      <c r="Q78" s="875">
        <v>98.55</v>
      </c>
      <c r="R78" s="706">
        <v>4496.95</v>
      </c>
      <c r="S78" s="1164">
        <v>105</v>
      </c>
      <c r="U78" s="1146">
        <f>_xlfn.XLOOKUP(D78,RUC!$B$3:$B$123,RUC!$F$3:$F$123)</f>
        <v>80</v>
      </c>
      <c r="V78" s="715">
        <v>1.1023000000000001</v>
      </c>
      <c r="Y78">
        <f>_xlfn.XLOOKUP(D78,RUC!$B$3:$B$123,RUC!$G$3:$G$123)</f>
        <v>0</v>
      </c>
      <c r="Z78" s="143">
        <f>_xlfn.XLOOKUP(D78,RUC!$B$3:$B$123,RUC!$H$3:$H$123)</f>
        <v>10</v>
      </c>
      <c r="AA78" s="144">
        <f t="shared" si="28"/>
        <v>10</v>
      </c>
      <c r="AB78" s="145">
        <f t="shared" si="29"/>
        <v>1051.9729447685002</v>
      </c>
      <c r="AC78" s="145">
        <f>+(S78-T78)*V78-'data 1'!$F$4</f>
        <v>35.741500000000002</v>
      </c>
      <c r="AD78" s="145">
        <f t="shared" si="30"/>
        <v>114.89403643802999</v>
      </c>
      <c r="AE78" s="145">
        <f t="shared" si="31"/>
        <v>-58.977000000000004</v>
      </c>
      <c r="AF78" s="145">
        <f t="shared" si="32"/>
        <v>33.587444290522534</v>
      </c>
      <c r="AG78" s="772">
        <f t="shared" si="38"/>
        <v>142.24598072855252</v>
      </c>
      <c r="AH78" s="1253">
        <f t="shared" si="33"/>
        <v>28.106999999999999</v>
      </c>
      <c r="AI78" s="1253">
        <f t="shared" si="34"/>
        <v>28.521000000000001</v>
      </c>
      <c r="AJ78" s="156">
        <f t="shared" si="37"/>
        <v>-93.230084799629964</v>
      </c>
      <c r="AK78" s="156">
        <f t="shared" si="35"/>
        <v>25.017684234971671</v>
      </c>
      <c r="AM78" s="716">
        <f t="shared" si="36"/>
        <v>3170.6464555322591</v>
      </c>
      <c r="AN78" s="716" t="str">
        <f>_xlfn.XLOOKUP(D78,RUC!$B$3:$B$578,RUC!$M$3:$M$578)</f>
        <v>Melchor Vera</v>
      </c>
      <c r="AO78" s="1167" t="s">
        <v>2278</v>
      </c>
      <c r="AP78" s="1082" t="s">
        <v>2380</v>
      </c>
      <c r="AQ78" s="1082" t="s">
        <v>5913</v>
      </c>
    </row>
    <row r="79" spans="1:43" ht="15" customHeight="1">
      <c r="A79" s="747" t="s">
        <v>5900</v>
      </c>
      <c r="B79" s="1447">
        <v>46182</v>
      </c>
      <c r="C79" s="1447">
        <v>46177</v>
      </c>
      <c r="D79" t="s">
        <v>119</v>
      </c>
      <c r="E79" s="762">
        <f>_xlfn.XLOOKUP(D79,RUC!$B$3:$B$123,RUC!$D$3:$D$123)</f>
        <v>10082235774</v>
      </c>
      <c r="F79" s="629"/>
      <c r="G79" s="762">
        <v>69</v>
      </c>
      <c r="H79" s="1082" t="s">
        <v>69</v>
      </c>
      <c r="I79" s="703">
        <v>5.44</v>
      </c>
      <c r="J79" s="1148">
        <v>1.45</v>
      </c>
      <c r="K79" s="703">
        <f t="shared" si="26"/>
        <v>5.3609999999999998</v>
      </c>
      <c r="L79" s="1192">
        <v>0.22800000000000001</v>
      </c>
      <c r="M79" s="994">
        <f>ROUND(+IF(L79&gt;_xlfn.XLOOKUP(AN79,RUC!M:M,RUC!K:K),L79*_xlfn.XLOOKUP(AN79,RUC!M:M,RUC!I:I),L79-_xlfn.XLOOKUP(AN79,RUC!M:M,RUC!J:J)),3)</f>
        <v>0.221</v>
      </c>
      <c r="N79" s="1196">
        <f t="shared" si="39"/>
        <v>0.221</v>
      </c>
      <c r="O79" s="645">
        <f t="shared" si="41"/>
        <v>0.221</v>
      </c>
      <c r="P79" s="727">
        <v>90</v>
      </c>
      <c r="Q79" s="875">
        <v>91.67</v>
      </c>
      <c r="R79" s="706">
        <v>4496.95</v>
      </c>
      <c r="S79" s="1164">
        <v>105</v>
      </c>
      <c r="U79" s="1146">
        <f>_xlfn.XLOOKUP(D79,RUC!$B$3:$B$123,RUC!$F$3:$F$123)</f>
        <v>80</v>
      </c>
      <c r="V79" s="715">
        <v>1.1023000000000001</v>
      </c>
      <c r="Y79">
        <f>_xlfn.XLOOKUP(D79,RUC!$B$3:$B$123,RUC!$G$3:$G$123)</f>
        <v>0</v>
      </c>
      <c r="Z79" s="143">
        <f>_xlfn.XLOOKUP(D79,RUC!$B$3:$B$123,RUC!$H$3:$H$123)</f>
        <v>10</v>
      </c>
      <c r="AA79" s="144">
        <f t="shared" si="28"/>
        <v>10</v>
      </c>
      <c r="AB79" s="145">
        <f t="shared" si="29"/>
        <v>841.64061261650011</v>
      </c>
      <c r="AC79" s="145">
        <f>+(S79-T79)*V79-'data 1'!$F$4</f>
        <v>35.741500000000002</v>
      </c>
      <c r="AD79" s="145">
        <f t="shared" si="30"/>
        <v>18.538458053286021</v>
      </c>
      <c r="AE79" s="145">
        <f t="shared" si="31"/>
        <v>-58.977000000000004</v>
      </c>
      <c r="AF79" s="145">
        <f t="shared" si="32"/>
        <v>31.242628291346527</v>
      </c>
      <c r="AG79" s="772">
        <f t="shared" si="38"/>
        <v>43.54558634463254</v>
      </c>
      <c r="AH79" s="1253">
        <f t="shared" si="33"/>
        <v>38.415999999999997</v>
      </c>
      <c r="AI79" s="1253">
        <f t="shared" si="34"/>
        <v>41.906999999999996</v>
      </c>
      <c r="AJ79" s="156">
        <f t="shared" si="37"/>
        <v>-71.639483642405963</v>
      </c>
      <c r="AK79" s="156">
        <f t="shared" si="35"/>
        <v>36.558608705340347</v>
      </c>
      <c r="AM79" s="716">
        <f t="shared" si="36"/>
        <v>4512.0353242370566</v>
      </c>
      <c r="AN79" s="716" t="str">
        <f>_xlfn.XLOOKUP(D79,RUC!$B$3:$B$578,RUC!$M$3:$M$578)</f>
        <v>Melchor Vera</v>
      </c>
      <c r="AO79" s="1167" t="s">
        <v>2278</v>
      </c>
      <c r="AP79" s="1082" t="s">
        <v>2380</v>
      </c>
      <c r="AQ79" s="1082" t="s">
        <v>5913</v>
      </c>
    </row>
    <row r="80" spans="1:43" ht="15" customHeight="1">
      <c r="A80" s="747" t="s">
        <v>5901</v>
      </c>
      <c r="B80" s="1447">
        <v>46182</v>
      </c>
      <c r="C80" s="1447">
        <v>46177</v>
      </c>
      <c r="D80" t="s">
        <v>119</v>
      </c>
      <c r="E80" s="762">
        <f>_xlfn.XLOOKUP(D80,RUC!$B$3:$B$123,RUC!$D$3:$D$123)</f>
        <v>10082235774</v>
      </c>
      <c r="F80" s="629"/>
      <c r="G80" s="762">
        <v>32</v>
      </c>
      <c r="H80" s="1082" t="s">
        <v>69</v>
      </c>
      <c r="I80" s="703">
        <v>2.58</v>
      </c>
      <c r="J80" s="1148">
        <v>1</v>
      </c>
      <c r="K80" s="703">
        <f t="shared" si="26"/>
        <v>2.5539999999999998</v>
      </c>
      <c r="L80" s="1192">
        <v>0.26600000000000001</v>
      </c>
      <c r="M80" s="994">
        <f>ROUND(+IF(L80&gt;_xlfn.XLOOKUP(AN80,RUC!M:M,RUC!K:K),L80*_xlfn.XLOOKUP(AN80,RUC!M:M,RUC!I:I),L80-_xlfn.XLOOKUP(AN80,RUC!M:M,RUC!J:J)),3)</f>
        <v>0.25900000000000001</v>
      </c>
      <c r="N80" s="1196">
        <f t="shared" si="39"/>
        <v>0.25900000000000001</v>
      </c>
      <c r="O80" s="645">
        <f t="shared" si="41"/>
        <v>0.25900000000000001</v>
      </c>
      <c r="P80" s="727">
        <v>90</v>
      </c>
      <c r="Q80" s="875">
        <v>98.5</v>
      </c>
      <c r="R80" s="706">
        <v>4496.95</v>
      </c>
      <c r="S80" s="1164">
        <v>105</v>
      </c>
      <c r="U80" s="1146">
        <f>_xlfn.XLOOKUP(D80,RUC!$B$3:$B$123,RUC!$F$3:$F$123)</f>
        <v>80</v>
      </c>
      <c r="V80" s="715">
        <v>1.1023000000000001</v>
      </c>
      <c r="Y80">
        <f>_xlfn.XLOOKUP(D80,RUC!$B$3:$B$123,RUC!$G$3:$G$123)</f>
        <v>0</v>
      </c>
      <c r="Z80" s="143">
        <f>_xlfn.XLOOKUP(D80,RUC!$B$3:$B$123,RUC!$H$3:$H$123)</f>
        <v>10</v>
      </c>
      <c r="AA80" s="144">
        <f t="shared" si="28"/>
        <v>10</v>
      </c>
      <c r="AB80" s="145">
        <f t="shared" si="29"/>
        <v>1008.1537089035002</v>
      </c>
      <c r="AC80" s="145">
        <f>+(S80-T80)*V80-'data 1'!$F$4</f>
        <v>35.741500000000002</v>
      </c>
      <c r="AD80" s="145">
        <f t="shared" si="30"/>
        <v>110.08365810085</v>
      </c>
      <c r="AE80" s="145">
        <f t="shared" si="31"/>
        <v>-58.977000000000004</v>
      </c>
      <c r="AF80" s="145">
        <f t="shared" si="32"/>
        <v>33.570403476575031</v>
      </c>
      <c r="AG80" s="772">
        <f t="shared" si="38"/>
        <v>137.41856157742501</v>
      </c>
      <c r="AH80" s="1253">
        <f t="shared" si="33"/>
        <v>22.943000000000001</v>
      </c>
      <c r="AI80" s="1253">
        <f t="shared" si="34"/>
        <v>23.292000000000002</v>
      </c>
      <c r="AJ80" s="156">
        <f t="shared" si="37"/>
        <v>-89.806596071849967</v>
      </c>
      <c r="AK80" s="156">
        <f t="shared" si="35"/>
        <v>20.411373779678069</v>
      </c>
      <c r="AM80" s="716">
        <f t="shared" si="36"/>
        <v>2574.8245725395391</v>
      </c>
      <c r="AN80" s="716" t="str">
        <f>_xlfn.XLOOKUP(D80,RUC!$B$3:$B$578,RUC!$M$3:$M$578)</f>
        <v>Melchor Vera</v>
      </c>
      <c r="AO80" s="1167" t="s">
        <v>2278</v>
      </c>
      <c r="AP80" s="1082" t="s">
        <v>2380</v>
      </c>
      <c r="AQ80" s="1082" t="s">
        <v>5913</v>
      </c>
    </row>
    <row r="81" spans="1:43" ht="15" customHeight="1">
      <c r="A81" s="747" t="s">
        <v>5902</v>
      </c>
      <c r="B81" s="1447">
        <v>46182</v>
      </c>
      <c r="C81" s="1447">
        <v>46177</v>
      </c>
      <c r="D81" t="s">
        <v>119</v>
      </c>
      <c r="E81" s="762">
        <f>_xlfn.XLOOKUP(D81,RUC!$B$3:$B$123,RUC!$D$3:$D$123)</f>
        <v>10082235774</v>
      </c>
      <c r="F81" s="629"/>
      <c r="G81" s="762">
        <v>41</v>
      </c>
      <c r="H81" s="1082" t="s">
        <v>69</v>
      </c>
      <c r="I81" s="703">
        <v>3.32</v>
      </c>
      <c r="J81" s="1148">
        <v>1.95</v>
      </c>
      <c r="K81" s="703">
        <f t="shared" si="26"/>
        <v>3.2549999999999999</v>
      </c>
      <c r="L81" s="1192">
        <v>0.22800000000000001</v>
      </c>
      <c r="M81" s="994">
        <f>ROUND(+IF(L81&gt;_xlfn.XLOOKUP(AN81,RUC!M:M,RUC!K:K),L81*_xlfn.XLOOKUP(AN81,RUC!M:M,RUC!I:I),L81-_xlfn.XLOOKUP(AN81,RUC!M:M,RUC!J:J)),3)</f>
        <v>0.221</v>
      </c>
      <c r="N81" s="1196">
        <f t="shared" si="39"/>
        <v>0.221</v>
      </c>
      <c r="O81" s="645">
        <f t="shared" si="41"/>
        <v>0.221</v>
      </c>
      <c r="P81" s="727">
        <v>90</v>
      </c>
      <c r="Q81" s="875">
        <v>98.68</v>
      </c>
      <c r="R81" s="706">
        <v>4496.95</v>
      </c>
      <c r="S81" s="1164">
        <v>105</v>
      </c>
      <c r="U81" s="1146">
        <f>_xlfn.XLOOKUP(D81,RUC!$B$3:$B$123,RUC!$F$3:$F$123)</f>
        <v>80</v>
      </c>
      <c r="V81" s="715">
        <v>1.1023000000000001</v>
      </c>
      <c r="Y81">
        <f>_xlfn.XLOOKUP(D81,RUC!$B$3:$B$123,RUC!$G$3:$G$123)</f>
        <v>0</v>
      </c>
      <c r="Z81" s="143">
        <f>_xlfn.XLOOKUP(D81,RUC!$B$3:$B$123,RUC!$H$3:$H$123)</f>
        <v>10</v>
      </c>
      <c r="AA81" s="144">
        <f t="shared" si="28"/>
        <v>10</v>
      </c>
      <c r="AB81" s="145">
        <f t="shared" si="29"/>
        <v>841.64061261650011</v>
      </c>
      <c r="AC81" s="145">
        <f>+(S81-T81)*V81-'data 1'!$F$4</f>
        <v>35.741500000000002</v>
      </c>
      <c r="AD81" s="145">
        <f t="shared" si="30"/>
        <v>96.355578384744078</v>
      </c>
      <c r="AE81" s="145">
        <f t="shared" si="31"/>
        <v>-58.977000000000004</v>
      </c>
      <c r="AF81" s="145">
        <f t="shared" si="32"/>
        <v>33.63175040678604</v>
      </c>
      <c r="AG81" s="772">
        <f t="shared" si="38"/>
        <v>123.7518287915301</v>
      </c>
      <c r="AH81" s="1253">
        <f t="shared" si="33"/>
        <v>25.109000000000002</v>
      </c>
      <c r="AI81" s="1253">
        <f t="shared" si="34"/>
        <v>25.445</v>
      </c>
      <c r="AJ81" s="156">
        <f t="shared" si="37"/>
        <v>-77.117751127223968</v>
      </c>
      <c r="AK81" s="156">
        <f t="shared" si="35"/>
        <v>22.19702878863697</v>
      </c>
      <c r="AM81" s="716">
        <f t="shared" si="36"/>
        <v>2739.540194066708</v>
      </c>
      <c r="AN81" s="716" t="str">
        <f>_xlfn.XLOOKUP(D81,RUC!$B$3:$B$578,RUC!$M$3:$M$578)</f>
        <v>Melchor Vera</v>
      </c>
      <c r="AO81" s="1167" t="s">
        <v>2278</v>
      </c>
      <c r="AP81" s="1082" t="s">
        <v>2380</v>
      </c>
      <c r="AQ81" s="1082" t="s">
        <v>5913</v>
      </c>
    </row>
    <row r="82" spans="1:43" ht="15" customHeight="1">
      <c r="A82" s="747" t="s">
        <v>5904</v>
      </c>
      <c r="B82" s="1447">
        <v>46184</v>
      </c>
      <c r="C82" s="1447">
        <v>46178</v>
      </c>
      <c r="D82" t="s">
        <v>5914</v>
      </c>
      <c r="E82" s="762">
        <f>_xlfn.XLOOKUP(D82,RUC!$B$3:$B$123,RUC!$D$3:$D$123)</f>
        <v>20606333219</v>
      </c>
      <c r="G82" s="762">
        <v>136</v>
      </c>
      <c r="H82" s="1082" t="s">
        <v>69</v>
      </c>
      <c r="I82" s="703">
        <v>10.64</v>
      </c>
      <c r="J82" s="596">
        <v>18.3</v>
      </c>
      <c r="K82" s="703">
        <f t="shared" si="26"/>
        <v>8.6929999999999996</v>
      </c>
      <c r="L82" s="1192">
        <v>0.374</v>
      </c>
      <c r="M82" s="994">
        <f>ROUND(+IF(L82&gt;_xlfn.XLOOKUP(AN82,RUC!M:M,RUC!K:K),L82*_xlfn.XLOOKUP(AN82,RUC!M:M,RUC!I:I),L82-_xlfn.XLOOKUP(AN82,RUC!M:M,RUC!J:J)),3)</f>
        <v>0.33900000000000002</v>
      </c>
      <c r="N82" s="1196">
        <f t="shared" si="39"/>
        <v>0.33900000000000002</v>
      </c>
      <c r="O82" s="645">
        <f t="shared" si="41"/>
        <v>0.33900000000000002</v>
      </c>
      <c r="P82" s="727">
        <v>90</v>
      </c>
      <c r="Q82" s="875">
        <v>98.93</v>
      </c>
      <c r="R82" s="706">
        <v>4365.1499999999996</v>
      </c>
      <c r="S82" s="765">
        <f>IF((_xlfn.XLOOKUP(D82,RUC!$B$3:$B$119,RUC!$E$3:$E$119)+ROUNDDOWN(O82,1)*100)&lt;95,95,((_xlfn.XLOOKUP(D82,RUC!$B$3:$B$119,RUC!$E$3:$E$119)+ROUNDDOWN(O82,1)*100)))</f>
        <v>120</v>
      </c>
      <c r="U82" s="1146">
        <f>_xlfn.XLOOKUP(D82,RUC!$B$3:$B$123,RUC!$F$3:$F$123)</f>
        <v>120</v>
      </c>
      <c r="V82" s="715">
        <v>1.1023000000000001</v>
      </c>
      <c r="Y82">
        <f>_xlfn.XLOOKUP(D82,RUC!$B$3:$B$123,RUC!$G$3:$G$123)</f>
        <v>20</v>
      </c>
      <c r="Z82" s="143">
        <f>_xlfn.XLOOKUP(D82,RUC!$B$3:$B$123,RUC!$H$3:$H$123)</f>
        <v>30</v>
      </c>
      <c r="AA82" s="144">
        <f t="shared" si="28"/>
        <v>50</v>
      </c>
      <c r="AB82" s="145">
        <f t="shared" si="29"/>
        <v>1240.3027406094998</v>
      </c>
      <c r="AC82" s="145">
        <f>+(S82-T82)*V82-'data 1'!$F$4</f>
        <v>52.27600000000001</v>
      </c>
      <c r="AD82" s="145">
        <f t="shared" si="30"/>
        <v>156.28450045107908</v>
      </c>
      <c r="AE82" s="145">
        <f t="shared" si="31"/>
        <v>-14.884999999999998</v>
      </c>
      <c r="AF82" s="145">
        <f t="shared" si="32"/>
        <v>162.0275634725474</v>
      </c>
      <c r="AG82" s="772">
        <f t="shared" si="38"/>
        <v>372.70306392362647</v>
      </c>
      <c r="AH82" s="1253">
        <f t="shared" si="33"/>
        <v>110.27500000000001</v>
      </c>
      <c r="AI82" s="1253">
        <f t="shared" si="34"/>
        <v>111.468</v>
      </c>
      <c r="AJ82" s="156">
        <f t="shared" si="37"/>
        <v>-56.752190556918848</v>
      </c>
      <c r="AK82" s="156">
        <f t="shared" si="35"/>
        <v>90.932882175020126</v>
      </c>
      <c r="AM82" s="716">
        <f t="shared" si="36"/>
        <v>10781.95172411838</v>
      </c>
      <c r="AN82" s="716" t="str">
        <f>_xlfn.XLOOKUP(D82,RUC!$B$3:$B$578,RUC!$M$3:$M$578)</f>
        <v>Richard Sapacayo</v>
      </c>
      <c r="AO82" s="1167" t="s">
        <v>2280</v>
      </c>
      <c r="AP82" s="1082" t="s">
        <v>5956</v>
      </c>
      <c r="AQ82" s="1082" t="s">
        <v>3521</v>
      </c>
    </row>
    <row r="83" spans="1:43" ht="15" customHeight="1">
      <c r="A83" s="747" t="s">
        <v>5905</v>
      </c>
      <c r="B83" s="1447">
        <v>46184</v>
      </c>
      <c r="C83" s="1447">
        <v>46178</v>
      </c>
      <c r="D83" s="1904" t="s">
        <v>5914</v>
      </c>
      <c r="E83" s="762">
        <f>_xlfn.XLOOKUP(D83,RUC!$B$3:$B$123,RUC!$D$3:$D$123)</f>
        <v>20606333219</v>
      </c>
      <c r="G83" s="762">
        <v>144</v>
      </c>
      <c r="H83" s="1082" t="s">
        <v>69</v>
      </c>
      <c r="I83" s="703">
        <v>10.25</v>
      </c>
      <c r="J83" s="596">
        <v>17.77</v>
      </c>
      <c r="K83" s="703">
        <f t="shared" si="26"/>
        <v>8.4290000000000003</v>
      </c>
      <c r="L83" s="1192">
        <v>0.46200000000000002</v>
      </c>
      <c r="M83" s="994">
        <f>ROUND(+IF(L83&gt;_xlfn.XLOOKUP(AN83,RUC!M:M,RUC!K:K),L83*_xlfn.XLOOKUP(AN83,RUC!M:M,RUC!I:I),L83-_xlfn.XLOOKUP(AN83,RUC!M:M,RUC!J:J)),3)</f>
        <v>0.42699999999999999</v>
      </c>
      <c r="N83" s="1196">
        <f t="shared" si="39"/>
        <v>0.42699999999999999</v>
      </c>
      <c r="O83" s="645">
        <f t="shared" si="41"/>
        <v>0.42699999999999999</v>
      </c>
      <c r="P83" s="727">
        <v>90</v>
      </c>
      <c r="Q83" s="875">
        <v>97.19</v>
      </c>
      <c r="R83" s="706">
        <v>4365.1499999999996</v>
      </c>
      <c r="S83" s="765">
        <f>IF((_xlfn.XLOOKUP(D83,RUC!$B$3:$B$119,RUC!$E$3:$E$119)+ROUNDDOWN(O83,1)*100)&lt;95,95,((_xlfn.XLOOKUP(D83,RUC!$B$3:$B$119,RUC!$E$3:$E$119)+ROUNDDOWN(O83,1)*100)))</f>
        <v>130</v>
      </c>
      <c r="U83" s="1146">
        <f>_xlfn.XLOOKUP(D83,RUC!$B$3:$B$123,RUC!$F$3:$F$123)</f>
        <v>120</v>
      </c>
      <c r="V83" s="715">
        <v>1.1023000000000001</v>
      </c>
      <c r="Y83">
        <f>_xlfn.XLOOKUP(D83,RUC!$B$3:$B$123,RUC!$G$3:$G$123)</f>
        <v>20</v>
      </c>
      <c r="Z83" s="143">
        <f>_xlfn.XLOOKUP(D83,RUC!$B$3:$B$123,RUC!$H$3:$H$123)</f>
        <v>30</v>
      </c>
      <c r="AA83" s="144">
        <f t="shared" si="28"/>
        <v>50</v>
      </c>
      <c r="AB83" s="145">
        <f t="shared" si="29"/>
        <v>1599.8905051335</v>
      </c>
      <c r="AC83" s="145">
        <f>+(S83-T83)*V83-'data 1'!$F$4</f>
        <v>63.299000000000007</v>
      </c>
      <c r="AD83" s="145">
        <f t="shared" si="30"/>
        <v>155.44033148744094</v>
      </c>
      <c r="AE83" s="145">
        <f t="shared" si="31"/>
        <v>-14.884999999999998</v>
      </c>
      <c r="AF83" s="145">
        <f t="shared" si="32"/>
        <v>159.17779130594263</v>
      </c>
      <c r="AG83" s="772">
        <f t="shared" si="38"/>
        <v>380.03212279338356</v>
      </c>
      <c r="AH83" s="1253">
        <f t="shared" si="33"/>
        <v>129.762</v>
      </c>
      <c r="AI83" s="1253">
        <f t="shared" si="34"/>
        <v>133.51400000000001</v>
      </c>
      <c r="AJ83" s="156">
        <f t="shared" si="37"/>
        <v>-68.872615458800823</v>
      </c>
      <c r="AK83" s="156">
        <f t="shared" si="35"/>
        <v>111.05944723616683</v>
      </c>
      <c r="AM83" s="716">
        <f t="shared" si="36"/>
        <v>13485.477067770273</v>
      </c>
      <c r="AN83" s="716" t="str">
        <f>_xlfn.XLOOKUP(D83,RUC!$B$3:$B$578,RUC!$M$3:$M$578)</f>
        <v>Richard Sapacayo</v>
      </c>
      <c r="AO83" s="1167" t="s">
        <v>2280</v>
      </c>
      <c r="AP83" s="1082" t="s">
        <v>5956</v>
      </c>
      <c r="AQ83" s="1082" t="s">
        <v>3521</v>
      </c>
    </row>
    <row r="84" spans="1:43" ht="15" customHeight="1">
      <c r="A84" s="747" t="s">
        <v>5915</v>
      </c>
      <c r="B84" s="1447">
        <v>46188</v>
      </c>
      <c r="C84" s="1447">
        <v>46180</v>
      </c>
      <c r="D84" t="s">
        <v>93</v>
      </c>
      <c r="E84" s="762">
        <f>_xlfn.XLOOKUP(D84,RUC!$B$3:$B$123,RUC!$D$3:$D$123)</f>
        <v>20169040231</v>
      </c>
      <c r="F84" s="629" t="s">
        <v>5936</v>
      </c>
      <c r="G84" s="762">
        <v>22</v>
      </c>
      <c r="H84" s="1082" t="s">
        <v>69</v>
      </c>
      <c r="I84" s="703">
        <v>2.16</v>
      </c>
      <c r="J84" s="596">
        <v>2</v>
      </c>
      <c r="K84" s="703">
        <f t="shared" si="26"/>
        <v>2.117</v>
      </c>
      <c r="L84" s="1192">
        <v>0.19</v>
      </c>
      <c r="M84" s="994">
        <f>ROUND(+IF(L84&gt;_xlfn.XLOOKUP(AN84,RUC!M:M,RUC!K:K),L84*_xlfn.XLOOKUP(AN84,RUC!M:M,RUC!I:I),L84-_xlfn.XLOOKUP(AN84,RUC!M:M,RUC!J:J)),3)</f>
        <v>0.17100000000000001</v>
      </c>
      <c r="N84" s="1196">
        <f t="shared" si="39"/>
        <v>0.17100000000000001</v>
      </c>
      <c r="O84" s="645">
        <f t="shared" si="41"/>
        <v>0.17100000000000001</v>
      </c>
      <c r="P84" s="727">
        <v>85</v>
      </c>
      <c r="Q84" s="875">
        <v>94.74</v>
      </c>
      <c r="R84" s="706">
        <v>4320.6000000000004</v>
      </c>
      <c r="S84" s="765">
        <f>IF((_xlfn.XLOOKUP(D84,RUC!$B$3:$B$119,RUC!$E$3:$E$119)+ROUNDDOWN(O84,1)*100)&lt;95,95,((_xlfn.XLOOKUP(D84,RUC!$B$3:$B$119,RUC!$E$3:$E$119)+ROUNDDOWN(O84,1)*100)))</f>
        <v>95</v>
      </c>
      <c r="U84" s="1146">
        <f>_xlfn.XLOOKUP(D84,RUC!$B$3:$B$123,RUC!$F$3:$F$123)</f>
        <v>120</v>
      </c>
      <c r="V84" s="715">
        <v>1.1023000000000001</v>
      </c>
      <c r="Y84">
        <f>_xlfn.XLOOKUP(D84,RUC!$B$3:$B$123,RUC!$G$3:$G$123)</f>
        <v>20</v>
      </c>
      <c r="Z84" s="1454">
        <v>38</v>
      </c>
      <c r="AA84" s="144">
        <f t="shared" si="28"/>
        <v>58</v>
      </c>
      <c r="AB84" s="145">
        <f t="shared" si="29"/>
        <v>504.36531258300022</v>
      </c>
      <c r="AC84" s="145">
        <f>+(S84-T84)*V84-'data 1'!$F$4</f>
        <v>24.718500000000006</v>
      </c>
      <c r="AD84" s="145">
        <f t="shared" si="30"/>
        <v>85.688727458279971</v>
      </c>
      <c r="AE84" s="145">
        <f t="shared" si="31"/>
        <v>-6.0666000000000011</v>
      </c>
      <c r="AF84" s="145">
        <f t="shared" si="32"/>
        <v>83.348563032827968</v>
      </c>
      <c r="AG84" s="772">
        <f t="shared" si="38"/>
        <v>204.68919049110798</v>
      </c>
      <c r="AH84" s="1253">
        <f t="shared" si="33"/>
        <v>13.065</v>
      </c>
      <c r="AI84" s="1253">
        <f t="shared" si="34"/>
        <v>13.791</v>
      </c>
      <c r="AJ84" s="156">
        <f t="shared" si="37"/>
        <v>-18.770590065480068</v>
      </c>
      <c r="AK84" s="156">
        <f t="shared" si="35"/>
        <v>10.549817901043898</v>
      </c>
      <c r="AM84" s="716">
        <f t="shared" si="36"/>
        <v>1067.7413667382114</v>
      </c>
      <c r="AN84" s="716" t="str">
        <f>_xlfn.XLOOKUP(D84,RUC!$B$3:$B$578,RUC!$M$3:$M$578)</f>
        <v>Ronald Miranda</v>
      </c>
      <c r="AO84" s="1167" t="s">
        <v>2280</v>
      </c>
      <c r="AP84" s="1082" t="s">
        <v>5958</v>
      </c>
      <c r="AQ84" s="1082" t="s">
        <v>3122</v>
      </c>
    </row>
    <row r="85" spans="1:43" ht="15" customHeight="1">
      <c r="A85" s="747" t="s">
        <v>5916</v>
      </c>
      <c r="B85" s="1447">
        <v>46188</v>
      </c>
      <c r="C85" s="1447">
        <v>46180</v>
      </c>
      <c r="D85" t="s">
        <v>93</v>
      </c>
      <c r="E85" s="762">
        <f>_xlfn.XLOOKUP(D85,RUC!$B$3:$B$123,RUC!$D$3:$D$123)</f>
        <v>20169040231</v>
      </c>
      <c r="F85" s="629" t="s">
        <v>5936</v>
      </c>
      <c r="G85" s="762">
        <v>71</v>
      </c>
      <c r="H85" s="1082" t="s">
        <v>69</v>
      </c>
      <c r="I85" s="703">
        <v>6.64</v>
      </c>
      <c r="J85" s="596">
        <v>2</v>
      </c>
      <c r="K85" s="703">
        <f t="shared" si="26"/>
        <v>6.5069999999999997</v>
      </c>
      <c r="L85" s="1192">
        <v>0.13</v>
      </c>
      <c r="M85" s="994">
        <f>ROUND(+IF(L85&gt;_xlfn.XLOOKUP(AN85,RUC!M:M,RUC!K:K),L85*_xlfn.XLOOKUP(AN85,RUC!M:M,RUC!I:I),L85-_xlfn.XLOOKUP(AN85,RUC!M:M,RUC!J:J)),3)</f>
        <v>0.111</v>
      </c>
      <c r="N85" s="1196">
        <f t="shared" si="39"/>
        <v>0.111</v>
      </c>
      <c r="O85" s="645">
        <f t="shared" si="41"/>
        <v>0.111</v>
      </c>
      <c r="P85" s="727">
        <v>80</v>
      </c>
      <c r="Q85" s="875">
        <v>93.85</v>
      </c>
      <c r="R85" s="706">
        <v>4320.6000000000004</v>
      </c>
      <c r="S85" s="765">
        <f>IF((_xlfn.XLOOKUP(D85,RUC!$B$3:$B$119,RUC!$E$3:$E$119)+ROUNDDOWN(O85,1)*100)&lt;95,95,((_xlfn.XLOOKUP(D85,RUC!$B$3:$B$119,RUC!$E$3:$E$119)+ROUNDDOWN(O85,1)*100)))</f>
        <v>95</v>
      </c>
      <c r="U85" s="1146">
        <f>_xlfn.XLOOKUP(D85,RUC!$B$3:$B$123,RUC!$F$3:$F$123)</f>
        <v>120</v>
      </c>
      <c r="V85" s="715">
        <v>1.1023000000000001</v>
      </c>
      <c r="Y85">
        <f>_xlfn.XLOOKUP(D85,RUC!$B$3:$B$123,RUC!$G$3:$G$123)</f>
        <v>20</v>
      </c>
      <c r="Z85" s="1454">
        <v>38</v>
      </c>
      <c r="AA85" s="144">
        <f t="shared" si="28"/>
        <v>58</v>
      </c>
      <c r="AB85" s="145">
        <f t="shared" si="29"/>
        <v>242.52063854400009</v>
      </c>
      <c r="AC85" s="145">
        <f>+(S85-T85)*V85-'data 1'!$F$4</f>
        <v>24.718500000000006</v>
      </c>
      <c r="AD85" s="145">
        <f t="shared" si="30"/>
        <v>83.368936446899994</v>
      </c>
      <c r="AE85" s="145">
        <f t="shared" si="31"/>
        <v>-6.0666000000000011</v>
      </c>
      <c r="AF85" s="145">
        <f t="shared" si="32"/>
        <v>82.565575687470016</v>
      </c>
      <c r="AG85" s="772">
        <f t="shared" si="38"/>
        <v>201.58641213437002</v>
      </c>
      <c r="AH85" s="1253">
        <f t="shared" si="33"/>
        <v>27.219000000000001</v>
      </c>
      <c r="AI85" s="1253">
        <f t="shared" si="34"/>
        <v>29.001999999999999</v>
      </c>
      <c r="AJ85" s="156">
        <f t="shared" si="37"/>
        <v>-12.72238614790005</v>
      </c>
      <c r="AK85" s="156">
        <f t="shared" si="35"/>
        <v>19.810837779671882</v>
      </c>
      <c r="AM85" s="716">
        <f t="shared" si="36"/>
        <v>1578.0817950058085</v>
      </c>
      <c r="AN85" s="716" t="str">
        <f>_xlfn.XLOOKUP(D85,RUC!$B$3:$B$578,RUC!$M$3:$M$578)</f>
        <v>Ronald Miranda</v>
      </c>
      <c r="AO85" s="1167" t="s">
        <v>2280</v>
      </c>
      <c r="AP85" s="1082" t="s">
        <v>5958</v>
      </c>
      <c r="AQ85" s="1082" t="s">
        <v>3122</v>
      </c>
    </row>
    <row r="86" spans="1:43" ht="15" customHeight="1">
      <c r="A86" s="747" t="s">
        <v>5917</v>
      </c>
      <c r="B86" s="1447">
        <v>46186</v>
      </c>
      <c r="C86" s="1447">
        <v>46180</v>
      </c>
      <c r="D86" t="s">
        <v>93</v>
      </c>
      <c r="E86" s="762">
        <f>_xlfn.XLOOKUP(D86,RUC!$B$3:$B$123,RUC!$D$3:$D$123)</f>
        <v>20169040231</v>
      </c>
      <c r="F86" s="629" t="s">
        <v>5769</v>
      </c>
      <c r="G86" s="762">
        <v>27</v>
      </c>
      <c r="H86" s="1082" t="s">
        <v>69</v>
      </c>
      <c r="I86" s="703">
        <v>2.2799999999999998</v>
      </c>
      <c r="J86" s="596">
        <v>2</v>
      </c>
      <c r="K86" s="703">
        <f t="shared" si="26"/>
        <v>2.234</v>
      </c>
      <c r="L86" s="1192">
        <v>0.188</v>
      </c>
      <c r="M86" s="994">
        <f>ROUND(+IF(L86&gt;_xlfn.XLOOKUP(AN86,RUC!M:M,RUC!K:K),L86*_xlfn.XLOOKUP(AN86,RUC!M:M,RUC!I:I),L86-_xlfn.XLOOKUP(AN86,RUC!M:M,RUC!J:J)),3)</f>
        <v>0.16900000000000001</v>
      </c>
      <c r="N86" s="1196">
        <f t="shared" si="39"/>
        <v>0.16900000000000001</v>
      </c>
      <c r="O86" s="645">
        <f t="shared" si="41"/>
        <v>0.16900000000000001</v>
      </c>
      <c r="P86" s="727">
        <v>85</v>
      </c>
      <c r="Q86" s="875">
        <v>93.09</v>
      </c>
      <c r="R86" s="706">
        <v>4320.6000000000004</v>
      </c>
      <c r="S86" s="765">
        <f>IF((_xlfn.XLOOKUP(D86,RUC!$B$3:$B$119,RUC!$E$3:$E$119)+ROUNDDOWN(O86,1)*100)&lt;95,95,((_xlfn.XLOOKUP(D86,RUC!$B$3:$B$119,RUC!$E$3:$E$119)+ROUNDDOWN(O86,1)*100)))</f>
        <v>95</v>
      </c>
      <c r="U86" s="1146">
        <f>_xlfn.XLOOKUP(D86,RUC!$B$3:$B$123,RUC!$F$3:$F$123)</f>
        <v>120</v>
      </c>
      <c r="V86" s="715">
        <v>1.1023000000000001</v>
      </c>
      <c r="Y86">
        <f>_xlfn.XLOOKUP(D86,RUC!$B$3:$B$123,RUC!$G$3:$G$123)</f>
        <v>20</v>
      </c>
      <c r="Z86" s="1454">
        <v>35</v>
      </c>
      <c r="AA86" s="144">
        <f t="shared" si="28"/>
        <v>55</v>
      </c>
      <c r="AB86" s="145">
        <f t="shared" si="29"/>
        <v>499.80066623700003</v>
      </c>
      <c r="AC86" s="145">
        <f>+(S86-T86)*V86-'data 1'!$F$4</f>
        <v>24.718500000000006</v>
      </c>
      <c r="AD86" s="145">
        <f t="shared" si="30"/>
        <v>70.42348393269603</v>
      </c>
      <c r="AE86" s="145">
        <f t="shared" si="31"/>
        <v>-9.3734999999999999</v>
      </c>
      <c r="AF86" s="145">
        <f t="shared" si="32"/>
        <v>81.896957280197967</v>
      </c>
      <c r="AG86" s="772">
        <f t="shared" si="38"/>
        <v>184.665441212894</v>
      </c>
      <c r="AH86" s="1253">
        <f t="shared" si="33"/>
        <v>13.404999999999999</v>
      </c>
      <c r="AI86" s="1253">
        <f t="shared" si="34"/>
        <v>14.4</v>
      </c>
      <c r="AJ86" s="156">
        <f t="shared" si="37"/>
        <v>-18.249535853736074</v>
      </c>
      <c r="AK86" s="156">
        <f t="shared" si="35"/>
        <v>11.002664449216507</v>
      </c>
      <c r="AM86" s="716">
        <f t="shared" si="36"/>
        <v>1116.554688373458</v>
      </c>
      <c r="AN86" s="716" t="str">
        <f>_xlfn.XLOOKUP(D86,RUC!$B$3:$B$578,RUC!$M$3:$M$578)</f>
        <v>Ronald Miranda</v>
      </c>
      <c r="AO86" s="1167" t="s">
        <v>2280</v>
      </c>
      <c r="AP86" s="1082" t="s">
        <v>5958</v>
      </c>
      <c r="AQ86" s="1082" t="s">
        <v>3122</v>
      </c>
    </row>
    <row r="87" spans="1:43" ht="15" customHeight="1">
      <c r="A87" s="747" t="s">
        <v>5918</v>
      </c>
      <c r="B87" s="1447">
        <v>46186</v>
      </c>
      <c r="C87" s="1447">
        <v>46180</v>
      </c>
      <c r="D87" t="s">
        <v>93</v>
      </c>
      <c r="E87" s="762">
        <f>_xlfn.XLOOKUP(D87,RUC!$B$3:$B$123,RUC!$D$3:$D$123)</f>
        <v>20169040231</v>
      </c>
      <c r="F87" s="629" t="s">
        <v>5769</v>
      </c>
      <c r="G87" s="762">
        <v>43</v>
      </c>
      <c r="H87" s="1082" t="s">
        <v>69</v>
      </c>
      <c r="I87" s="703">
        <v>3.88</v>
      </c>
      <c r="J87" s="596">
        <v>2</v>
      </c>
      <c r="K87" s="703">
        <f t="shared" si="26"/>
        <v>3.802</v>
      </c>
      <c r="L87" s="1192">
        <v>0.44600000000000001</v>
      </c>
      <c r="M87" s="994">
        <f>ROUND(+IF(L87&gt;_xlfn.XLOOKUP(AN87,RUC!M:M,RUC!K:K),L87*_xlfn.XLOOKUP(AN87,RUC!M:M,RUC!I:I),L87-_xlfn.XLOOKUP(AN87,RUC!M:M,RUC!J:J)),3)</f>
        <v>0.41899999999999998</v>
      </c>
      <c r="N87" s="1196">
        <f t="shared" si="39"/>
        <v>0.41899999999999998</v>
      </c>
      <c r="O87" s="645">
        <f t="shared" si="41"/>
        <v>0.41899999999999998</v>
      </c>
      <c r="P87" s="727">
        <v>90</v>
      </c>
      <c r="Q87" s="875">
        <v>97.09</v>
      </c>
      <c r="R87" s="706">
        <v>4320.6000000000004</v>
      </c>
      <c r="S87" s="765">
        <f>IF((_xlfn.XLOOKUP(D87,RUC!$B$3:$B$119,RUC!$E$3:$E$119)+ROUNDDOWN(O87,1)*100)&lt;95,95,((_xlfn.XLOOKUP(D87,RUC!$B$3:$B$119,RUC!$E$3:$E$119)+ROUNDDOWN(O87,1)*100)))</f>
        <v>125</v>
      </c>
      <c r="U87" s="1146">
        <f>_xlfn.XLOOKUP(D87,RUC!$B$3:$B$123,RUC!$F$3:$F$123)</f>
        <v>120</v>
      </c>
      <c r="V87" s="715">
        <v>1.1023000000000001</v>
      </c>
      <c r="Y87">
        <f>_xlfn.XLOOKUP(D87,RUC!$B$3:$B$123,RUC!$G$3:$G$123)</f>
        <v>20</v>
      </c>
      <c r="Z87" s="1454">
        <v>35</v>
      </c>
      <c r="AA87" s="144">
        <f t="shared" si="28"/>
        <v>55</v>
      </c>
      <c r="AB87" s="145">
        <f t="shared" si="29"/>
        <v>1547.6801923980001</v>
      </c>
      <c r="AC87" s="145">
        <f>+(S87-T87)*V87-'data 1'!$F$4</f>
        <v>57.787499999999994</v>
      </c>
      <c r="AD87" s="145">
        <f t="shared" si="30"/>
        <v>146.41724448553208</v>
      </c>
      <c r="AE87" s="145">
        <f t="shared" si="31"/>
        <v>-9.3734999999999999</v>
      </c>
      <c r="AF87" s="145">
        <f t="shared" si="32"/>
        <v>121.38063375173414</v>
      </c>
      <c r="AG87" s="772">
        <f t="shared" si="38"/>
        <v>333.21187823726621</v>
      </c>
      <c r="AH87" s="1253">
        <f t="shared" si="33"/>
        <v>56.445999999999998</v>
      </c>
      <c r="AI87" s="1253">
        <f t="shared" si="34"/>
        <v>58.137</v>
      </c>
      <c r="AJ87" s="156">
        <f t="shared" si="37"/>
        <v>-45.154423680212183</v>
      </c>
      <c r="AK87" s="156">
        <f t="shared" si="35"/>
        <v>49.156133407556318</v>
      </c>
      <c r="AM87" s="716">
        <f t="shared" si="36"/>
        <v>5884.2800914971967</v>
      </c>
      <c r="AN87" s="716" t="str">
        <f>_xlfn.XLOOKUP(D87,RUC!$B$3:$B$578,RUC!$M$3:$M$578)</f>
        <v>Ronald Miranda</v>
      </c>
      <c r="AO87" s="1167" t="s">
        <v>2280</v>
      </c>
      <c r="AP87" s="1082" t="s">
        <v>5958</v>
      </c>
      <c r="AQ87" s="1082" t="s">
        <v>3122</v>
      </c>
    </row>
    <row r="88" spans="1:43" ht="15" customHeight="1">
      <c r="A88" s="747" t="s">
        <v>5919</v>
      </c>
      <c r="B88" s="1447">
        <v>46186</v>
      </c>
      <c r="C88" s="1447">
        <v>46180</v>
      </c>
      <c r="D88" t="s">
        <v>93</v>
      </c>
      <c r="E88" s="762">
        <f>_xlfn.XLOOKUP(D88,RUC!$B$3:$B$123,RUC!$D$3:$D$123)</f>
        <v>20169040231</v>
      </c>
      <c r="F88" s="629" t="s">
        <v>5769</v>
      </c>
      <c r="G88" s="762">
        <v>13</v>
      </c>
      <c r="H88" s="1082" t="s">
        <v>69</v>
      </c>
      <c r="I88" s="703">
        <v>1.06</v>
      </c>
      <c r="J88" s="596">
        <v>2</v>
      </c>
      <c r="K88" s="703">
        <f t="shared" si="26"/>
        <v>1.0389999999999999</v>
      </c>
      <c r="L88" s="1192">
        <v>0.185</v>
      </c>
      <c r="M88" s="994">
        <f>ROUND(+IF(L88&gt;_xlfn.XLOOKUP(AN88,RUC!M:M,RUC!K:K),L88*_xlfn.XLOOKUP(AN88,RUC!M:M,RUC!I:I),L88-_xlfn.XLOOKUP(AN88,RUC!M:M,RUC!J:J)),3)</f>
        <v>0.16600000000000001</v>
      </c>
      <c r="N88" s="1196">
        <f t="shared" si="39"/>
        <v>0.16600000000000001</v>
      </c>
      <c r="O88" s="645">
        <f t="shared" si="41"/>
        <v>0.16600000000000001</v>
      </c>
      <c r="P88" s="727">
        <v>85</v>
      </c>
      <c r="Q88" s="875">
        <v>96.22</v>
      </c>
      <c r="R88" s="706">
        <v>4320.6000000000004</v>
      </c>
      <c r="S88" s="765">
        <f>IF((_xlfn.XLOOKUP(D88,RUC!$B$3:$B$119,RUC!$E$3:$E$119)+ROUNDDOWN(O88,1)*100)&lt;95,95,((_xlfn.XLOOKUP(D88,RUC!$B$3:$B$119,RUC!$E$3:$E$119)+ROUNDDOWN(O88,1)*100)))</f>
        <v>95</v>
      </c>
      <c r="U88" s="1146">
        <f>_xlfn.XLOOKUP(D88,RUC!$B$3:$B$123,RUC!$F$3:$F$123)</f>
        <v>120</v>
      </c>
      <c r="V88" s="715">
        <v>1.1023000000000001</v>
      </c>
      <c r="Y88">
        <f>_xlfn.XLOOKUP(D88,RUC!$B$3:$B$123,RUC!$G$3:$G$123)</f>
        <v>20</v>
      </c>
      <c r="Z88" s="1454">
        <v>35</v>
      </c>
      <c r="AA88" s="144">
        <f t="shared" si="28"/>
        <v>55</v>
      </c>
      <c r="AB88" s="145">
        <f t="shared" si="29"/>
        <v>487.99334671800011</v>
      </c>
      <c r="AC88" s="145">
        <f>+(S88-T88)*V88-'data 1'!$F$4</f>
        <v>24.718500000000006</v>
      </c>
      <c r="AD88" s="145">
        <f t="shared" si="30"/>
        <v>96.11158088466</v>
      </c>
      <c r="AE88" s="145">
        <f t="shared" si="31"/>
        <v>-9.3734999999999999</v>
      </c>
      <c r="AF88" s="145">
        <f t="shared" si="32"/>
        <v>84.650609404883966</v>
      </c>
      <c r="AG88" s="772">
        <f t="shared" si="38"/>
        <v>213.10719028954395</v>
      </c>
      <c r="AH88" s="1253">
        <f t="shared" si="33"/>
        <v>6.3410000000000002</v>
      </c>
      <c r="AI88" s="1253">
        <f t="shared" si="34"/>
        <v>6.59</v>
      </c>
      <c r="AJ88" s="156">
        <f t="shared" si="37"/>
        <v>-18.562139183060072</v>
      </c>
      <c r="AK88" s="156">
        <f t="shared" si="35"/>
        <v>5.0263373157553453</v>
      </c>
      <c r="AM88" s="716">
        <f t="shared" si="36"/>
        <v>507.02508724000205</v>
      </c>
      <c r="AN88" s="716" t="str">
        <f>_xlfn.XLOOKUP(D88,RUC!$B$3:$B$578,RUC!$M$3:$M$578)</f>
        <v>Ronald Miranda</v>
      </c>
      <c r="AO88" s="1167" t="s">
        <v>2280</v>
      </c>
      <c r="AP88" s="1082" t="s">
        <v>5958</v>
      </c>
      <c r="AQ88" s="1082" t="s">
        <v>3122</v>
      </c>
    </row>
    <row r="89" spans="1:43" ht="15" customHeight="1">
      <c r="A89" s="747" t="s">
        <v>5920</v>
      </c>
      <c r="B89" s="1447">
        <v>46188</v>
      </c>
      <c r="C89" s="1447">
        <v>46180</v>
      </c>
      <c r="D89" t="s">
        <v>93</v>
      </c>
      <c r="E89" s="762">
        <f>_xlfn.XLOOKUP(D89,RUC!$B$3:$B$123,RUC!$D$3:$D$123)</f>
        <v>20169040231</v>
      </c>
      <c r="F89" s="629" t="s">
        <v>5937</v>
      </c>
      <c r="G89" s="762">
        <v>14</v>
      </c>
      <c r="H89" s="1082" t="s">
        <v>69</v>
      </c>
      <c r="I89" s="703">
        <v>1.26</v>
      </c>
      <c r="J89" s="596">
        <v>2</v>
      </c>
      <c r="K89" s="703">
        <f t="shared" si="26"/>
        <v>1.2350000000000001</v>
      </c>
      <c r="L89" s="1192">
        <v>0.64700000000000002</v>
      </c>
      <c r="M89" s="994">
        <f>ROUND(+IF(L89&gt;_xlfn.XLOOKUP(AN89,RUC!M:M,RUC!K:K),L89*_xlfn.XLOOKUP(AN89,RUC!M:M,RUC!I:I),L89-_xlfn.XLOOKUP(AN89,RUC!M:M,RUC!J:J)),3)</f>
        <v>0.60799999999999998</v>
      </c>
      <c r="N89" s="1196">
        <f t="shared" si="39"/>
        <v>0.60799999999999998</v>
      </c>
      <c r="O89" s="645">
        <f t="shared" si="41"/>
        <v>0.60799999999999998</v>
      </c>
      <c r="P89" s="727">
        <v>90</v>
      </c>
      <c r="Q89" s="875">
        <v>96.45</v>
      </c>
      <c r="R89" s="706">
        <v>4320.6000000000004</v>
      </c>
      <c r="S89" s="765">
        <f>IF((_xlfn.XLOOKUP(D89,RUC!$B$3:$B$119,RUC!$E$3:$E$119)+ROUNDDOWN(O89,1)*100)&lt;95,95,((_xlfn.XLOOKUP(D89,RUC!$B$3:$B$119,RUC!$E$3:$E$119)+ROUNDDOWN(O89,1)*100)))</f>
        <v>145</v>
      </c>
      <c r="U89" s="1146">
        <f>_xlfn.XLOOKUP(D89,RUC!$B$3:$B$123,RUC!$F$3:$F$123)</f>
        <v>120</v>
      </c>
      <c r="V89" s="715">
        <v>1.1023000000000001</v>
      </c>
      <c r="Y89">
        <f>_xlfn.XLOOKUP(D89,RUC!$B$3:$B$123,RUC!$G$3:$G$123)</f>
        <v>20</v>
      </c>
      <c r="Z89" s="1454">
        <v>38</v>
      </c>
      <c r="AA89" s="144">
        <f t="shared" si="28"/>
        <v>58</v>
      </c>
      <c r="AB89" s="145">
        <f t="shared" si="29"/>
        <v>2309.9449591360003</v>
      </c>
      <c r="AC89" s="145">
        <f>+(S89-T89)*V89-'data 1'!$F$4</f>
        <v>79.833500000000015</v>
      </c>
      <c r="AD89" s="145">
        <f t="shared" si="30"/>
        <v>193.23025666947012</v>
      </c>
      <c r="AE89" s="145">
        <f t="shared" si="31"/>
        <v>-6.0666000000000011</v>
      </c>
      <c r="AF89" s="145">
        <f t="shared" si="32"/>
        <v>174.17185386939019</v>
      </c>
      <c r="AG89" s="772">
        <f t="shared" si="38"/>
        <v>458.16901053886033</v>
      </c>
      <c r="AH89" s="1253">
        <f t="shared" si="33"/>
        <v>26.422999999999998</v>
      </c>
      <c r="AI89" s="1253">
        <f t="shared" si="34"/>
        <v>27.396000000000001</v>
      </c>
      <c r="AJ89" s="156">
        <f t="shared" si="37"/>
        <v>-65.072494663770257</v>
      </c>
      <c r="AK89" s="156">
        <f t="shared" si="35"/>
        <v>23.169790961085599</v>
      </c>
      <c r="AM89" s="716">
        <f t="shared" si="36"/>
        <v>2852.7820245329608</v>
      </c>
      <c r="AN89" s="716" t="str">
        <f>_xlfn.XLOOKUP(D89,RUC!$B$3:$B$578,RUC!$M$3:$M$578)</f>
        <v>Ronald Miranda</v>
      </c>
      <c r="AO89" s="1167" t="s">
        <v>2280</v>
      </c>
      <c r="AP89" s="1082" t="s">
        <v>5958</v>
      </c>
      <c r="AQ89" s="1082" t="s">
        <v>3122</v>
      </c>
    </row>
    <row r="90" spans="1:43" ht="15" customHeight="1">
      <c r="A90" s="747" t="s">
        <v>5921</v>
      </c>
      <c r="B90" s="1447">
        <v>46188</v>
      </c>
      <c r="C90" s="1447">
        <v>46180</v>
      </c>
      <c r="D90" t="s">
        <v>93</v>
      </c>
      <c r="E90" s="762">
        <f>_xlfn.XLOOKUP(D90,RUC!$B$3:$B$123,RUC!$D$3:$D$123)</f>
        <v>20169040231</v>
      </c>
      <c r="F90" s="629" t="s">
        <v>5937</v>
      </c>
      <c r="G90" s="762">
        <v>16</v>
      </c>
      <c r="H90" s="1082" t="s">
        <v>108</v>
      </c>
      <c r="I90" s="703">
        <v>1.34</v>
      </c>
      <c r="J90" s="596">
        <v>23.6</v>
      </c>
      <c r="K90" s="703">
        <f t="shared" si="26"/>
        <v>1.024</v>
      </c>
      <c r="L90" s="1192">
        <v>1.329</v>
      </c>
      <c r="M90" s="994">
        <f>ROUND(+IF(L90&gt;_xlfn.XLOOKUP(AN90,RUC!M:M,RUC!K:K),L90*_xlfn.XLOOKUP(AN90,RUC!M:M,RUC!I:I),L90-_xlfn.XLOOKUP(AN90,RUC!M:M,RUC!J:J)),3)</f>
        <v>1.2490000000000001</v>
      </c>
      <c r="N90" s="1196">
        <f t="shared" si="39"/>
        <v>1.2490000000000001</v>
      </c>
      <c r="O90" s="645">
        <f t="shared" si="41"/>
        <v>1.2490000000000001</v>
      </c>
      <c r="P90" s="727">
        <v>90</v>
      </c>
      <c r="Q90" s="875">
        <v>92.17</v>
      </c>
      <c r="R90" s="706">
        <v>4320.6000000000004</v>
      </c>
      <c r="S90" s="765">
        <f>IF((_xlfn.XLOOKUP(D90,RUC!$B$3:$B$119,RUC!$E$3:$E$119)+ROUNDDOWN(O90,1)*100)&lt;95,95,((_xlfn.XLOOKUP(D90,RUC!$B$3:$B$119,RUC!$E$3:$E$119)+ROUNDDOWN(O90,1)*100)))</f>
        <v>205</v>
      </c>
      <c r="U90" s="1146">
        <f>_xlfn.XLOOKUP(D90,RUC!$B$3:$B$123,RUC!$F$3:$F$123)</f>
        <v>120</v>
      </c>
      <c r="V90" s="715">
        <v>1.1023000000000001</v>
      </c>
      <c r="Y90" s="891">
        <v>50</v>
      </c>
      <c r="Z90" s="1454">
        <v>40</v>
      </c>
      <c r="AA90" s="144">
        <f t="shared" si="28"/>
        <v>90</v>
      </c>
      <c r="AB90" s="145">
        <f t="shared" si="29"/>
        <v>4879.7657632580022</v>
      </c>
      <c r="AC90" s="145">
        <f>+(S90-T90)*V90-'data 1'!$F$4</f>
        <v>145.97150000000002</v>
      </c>
      <c r="AD90" s="145">
        <f t="shared" si="30"/>
        <v>133.53522737423413</v>
      </c>
      <c r="AE90" s="145">
        <f t="shared" si="31"/>
        <v>29.207000000000001</v>
      </c>
      <c r="AF90" s="145">
        <f t="shared" si="32"/>
        <v>341.42137727567939</v>
      </c>
      <c r="AG90" s="772">
        <f t="shared" si="38"/>
        <v>667.1351046499135</v>
      </c>
      <c r="AH90" s="1253">
        <f t="shared" si="33"/>
        <v>43.005000000000003</v>
      </c>
      <c r="AI90" s="1253">
        <f t="shared" si="34"/>
        <v>46.658999999999999</v>
      </c>
      <c r="AJ90" s="156">
        <f t="shared" si="37"/>
        <v>-127.73370585089449</v>
      </c>
      <c r="AK90" s="156">
        <f t="shared" si="35"/>
        <v>39.465169619973125</v>
      </c>
      <c r="AM90" s="716">
        <f t="shared" si="36"/>
        <v>4996.8801415761945</v>
      </c>
      <c r="AN90" s="716" t="str">
        <f>_xlfn.XLOOKUP(D90,RUC!$B$3:$B$578,RUC!$M$3:$M$578)</f>
        <v>Ronald Miranda</v>
      </c>
      <c r="AO90" s="1167" t="s">
        <v>2280</v>
      </c>
      <c r="AP90" s="1082" t="s">
        <v>5958</v>
      </c>
      <c r="AQ90" s="1082" t="s">
        <v>3122</v>
      </c>
    </row>
    <row r="91" spans="1:43" ht="15" customHeight="1">
      <c r="A91" s="747" t="s">
        <v>5922</v>
      </c>
      <c r="B91" s="1447">
        <v>46188</v>
      </c>
      <c r="C91" s="1447">
        <v>46180</v>
      </c>
      <c r="D91" t="s">
        <v>93</v>
      </c>
      <c r="E91" s="762">
        <f>_xlfn.XLOOKUP(D91,RUC!$B$3:$B$123,RUC!$D$3:$D$123)</f>
        <v>20169040231</v>
      </c>
      <c r="F91" s="629" t="s">
        <v>5938</v>
      </c>
      <c r="G91" s="762">
        <v>51</v>
      </c>
      <c r="H91" s="1082" t="s">
        <v>69</v>
      </c>
      <c r="I91" s="703">
        <v>4.46</v>
      </c>
      <c r="J91" s="596">
        <v>2</v>
      </c>
      <c r="K91" s="703">
        <f t="shared" si="26"/>
        <v>4.3710000000000004</v>
      </c>
      <c r="L91" s="1192">
        <v>0.497</v>
      </c>
      <c r="M91" s="994">
        <f>ROUND(+IF(L91&gt;_xlfn.XLOOKUP(AN91,RUC!M:M,RUC!K:K),L91*_xlfn.XLOOKUP(AN91,RUC!M:M,RUC!I:I),L91-_xlfn.XLOOKUP(AN91,RUC!M:M,RUC!J:J)),3)</f>
        <v>0.46700000000000003</v>
      </c>
      <c r="N91" s="1196">
        <f t="shared" si="39"/>
        <v>0.46700000000000003</v>
      </c>
      <c r="O91" s="645">
        <f t="shared" si="41"/>
        <v>0.46700000000000003</v>
      </c>
      <c r="P91" s="727">
        <v>90</v>
      </c>
      <c r="Q91" s="875">
        <v>92.56</v>
      </c>
      <c r="R91" s="706">
        <v>4320.6000000000004</v>
      </c>
      <c r="S91" s="765">
        <f>IF((_xlfn.XLOOKUP(D91,RUC!$B$3:$B$119,RUC!$E$3:$E$119)+ROUNDDOWN(O91,1)*100)&lt;95,95,((_xlfn.XLOOKUP(D91,RUC!$B$3:$B$119,RUC!$E$3:$E$119)+ROUNDDOWN(O91,1)*100)))</f>
        <v>125</v>
      </c>
      <c r="U91" s="1146">
        <f>_xlfn.XLOOKUP(D91,RUC!$B$3:$B$123,RUC!$F$3:$F$123)</f>
        <v>120</v>
      </c>
      <c r="V91" s="715">
        <v>1.1023000000000001</v>
      </c>
      <c r="Y91">
        <f>_xlfn.XLOOKUP(D91,RUC!$B$3:$B$123,RUC!$G$3:$G$123)</f>
        <v>20</v>
      </c>
      <c r="Z91" s="1454">
        <v>35</v>
      </c>
      <c r="AA91" s="144">
        <f t="shared" si="28"/>
        <v>55</v>
      </c>
      <c r="AB91" s="145">
        <f t="shared" si="29"/>
        <v>1747.7100760140004</v>
      </c>
      <c r="AC91" s="145">
        <f>+(S91-T91)*V91-'data 1'!$F$4</f>
        <v>57.787499999999994</v>
      </c>
      <c r="AD91" s="145">
        <f t="shared" si="30"/>
        <v>58.91250498201606</v>
      </c>
      <c r="AE91" s="145">
        <f t="shared" si="31"/>
        <v>-9.3734999999999999</v>
      </c>
      <c r="AF91" s="145">
        <f t="shared" si="32"/>
        <v>128.57476407983989</v>
      </c>
      <c r="AG91" s="772">
        <f t="shared" si="38"/>
        <v>252.90126906185594</v>
      </c>
      <c r="AH91" s="1253">
        <f t="shared" si="33"/>
        <v>68.94</v>
      </c>
      <c r="AI91" s="1253">
        <f t="shared" si="34"/>
        <v>74.480999999999995</v>
      </c>
      <c r="AJ91" s="156">
        <f t="shared" si="37"/>
        <v>-47.970106039856191</v>
      </c>
      <c r="AK91" s="156">
        <f t="shared" si="35"/>
        <v>62.986759519300975</v>
      </c>
      <c r="AM91" s="716">
        <f t="shared" si="36"/>
        <v>7639.2407422571969</v>
      </c>
      <c r="AN91" s="716" t="str">
        <f>_xlfn.XLOOKUP(D91,RUC!$B$3:$B$578,RUC!$M$3:$M$578)</f>
        <v>Ronald Miranda</v>
      </c>
      <c r="AO91" s="1167" t="s">
        <v>2280</v>
      </c>
      <c r="AP91" s="1082" t="s">
        <v>5958</v>
      </c>
      <c r="AQ91" s="1082" t="s">
        <v>3122</v>
      </c>
    </row>
    <row r="92" spans="1:43" ht="15" customHeight="1">
      <c r="A92" s="747" t="s">
        <v>5924</v>
      </c>
      <c r="B92" s="1447">
        <v>46188</v>
      </c>
      <c r="C92" s="1447">
        <v>46180</v>
      </c>
      <c r="D92" t="s">
        <v>93</v>
      </c>
      <c r="E92" s="762">
        <f>_xlfn.XLOOKUP(D92,RUC!$B$3:$B$123,RUC!$D$3:$D$123)</f>
        <v>20169040231</v>
      </c>
      <c r="F92" s="629" t="s">
        <v>5937</v>
      </c>
      <c r="G92" s="762">
        <v>58</v>
      </c>
      <c r="H92" s="1082" t="s">
        <v>69</v>
      </c>
      <c r="I92" s="703">
        <v>5.0999999999999996</v>
      </c>
      <c r="J92" s="596">
        <v>2</v>
      </c>
      <c r="K92" s="703">
        <f t="shared" si="26"/>
        <v>4.9980000000000002</v>
      </c>
      <c r="L92" s="1192">
        <v>0.61699999999999999</v>
      </c>
      <c r="M92" s="994">
        <f>ROUND(+IF(L92&gt;_xlfn.XLOOKUP(AN92,RUC!M:M,RUC!K:K),L92*_xlfn.XLOOKUP(AN92,RUC!M:M,RUC!I:I),L92-_xlfn.XLOOKUP(AN92,RUC!M:M,RUC!J:J)),3)</f>
        <v>0.57999999999999996</v>
      </c>
      <c r="N92" s="1196">
        <f t="shared" si="39"/>
        <v>0.57999999999999996</v>
      </c>
      <c r="O92" s="645">
        <f t="shared" si="41"/>
        <v>0.57999999999999996</v>
      </c>
      <c r="P92" s="727">
        <v>90</v>
      </c>
      <c r="Q92" s="875">
        <v>97.41</v>
      </c>
      <c r="R92" s="706">
        <v>4320.6000000000004</v>
      </c>
      <c r="S92" s="765">
        <f>IF((_xlfn.XLOOKUP(D92,RUC!$B$3:$B$119,RUC!$E$3:$E$119)+ROUNDDOWN(O92,1)*100)&lt;95,95,((_xlfn.XLOOKUP(D92,RUC!$B$3:$B$119,RUC!$E$3:$E$119)+ROUNDDOWN(O92,1)*100)))</f>
        <v>135</v>
      </c>
      <c r="U92" s="1146">
        <f>_xlfn.XLOOKUP(D92,RUC!$B$3:$B$123,RUC!$F$3:$F$123)</f>
        <v>120</v>
      </c>
      <c r="V92" s="715">
        <v>1.1023000000000001</v>
      </c>
      <c r="Y92">
        <f>_xlfn.XLOOKUP(D92,RUC!$B$3:$B$123,RUC!$G$3:$G$123)</f>
        <v>20</v>
      </c>
      <c r="Z92" s="1454">
        <v>38</v>
      </c>
      <c r="AA92" s="144">
        <f t="shared" si="28"/>
        <v>58</v>
      </c>
      <c r="AB92" s="145">
        <f t="shared" si="29"/>
        <v>2204.2838603600003</v>
      </c>
      <c r="AC92" s="145">
        <f>+(S92-T92)*V92-'data 1'!$F$4</f>
        <v>68.810500000000019</v>
      </c>
      <c r="AD92" s="145">
        <f t="shared" si="30"/>
        <v>211.69690439718593</v>
      </c>
      <c r="AE92" s="145">
        <f t="shared" si="31"/>
        <v>-6.0666000000000011</v>
      </c>
      <c r="AF92" s="145">
        <f t="shared" si="32"/>
        <v>166.88465408154613</v>
      </c>
      <c r="AG92" s="772">
        <f t="shared" si="38"/>
        <v>458.32545847873212</v>
      </c>
      <c r="AH92" s="1253">
        <f t="shared" si="33"/>
        <v>102.99</v>
      </c>
      <c r="AI92" s="1253">
        <f t="shared" si="34"/>
        <v>105.72799999999999</v>
      </c>
      <c r="AJ92" s="156">
        <f t="shared" si="37"/>
        <v>-62.672879848326239</v>
      </c>
      <c r="AK92" s="156">
        <f t="shared" si="35"/>
        <v>89.449068865375793</v>
      </c>
      <c r="AM92" s="716">
        <f t="shared" si="36"/>
        <v>11017.010734079282</v>
      </c>
      <c r="AN92" s="716" t="str">
        <f>_xlfn.XLOOKUP(D92,RUC!$B$3:$B$578,RUC!$M$3:$M$578)</f>
        <v>Ronald Miranda</v>
      </c>
      <c r="AO92" s="1167" t="s">
        <v>2280</v>
      </c>
      <c r="AP92" s="1082" t="s">
        <v>5958</v>
      </c>
      <c r="AQ92" s="1082" t="s">
        <v>3122</v>
      </c>
    </row>
    <row r="93" spans="1:43" ht="15" customHeight="1">
      <c r="A93" s="747" t="s">
        <v>5926</v>
      </c>
      <c r="B93" s="1447">
        <v>46192</v>
      </c>
      <c r="C93" s="1447">
        <v>46181</v>
      </c>
      <c r="D93" t="s">
        <v>93</v>
      </c>
      <c r="E93" s="762">
        <f>_xlfn.XLOOKUP(D93,RUC!$B$3:$B$123,RUC!$D$3:$D$123)</f>
        <v>20169040231</v>
      </c>
      <c r="F93" s="629" t="s">
        <v>5939</v>
      </c>
      <c r="G93" s="762">
        <v>23</v>
      </c>
      <c r="H93" s="1082" t="s">
        <v>69</v>
      </c>
      <c r="I93" s="703">
        <v>2.21</v>
      </c>
      <c r="J93" s="596">
        <v>2</v>
      </c>
      <c r="K93" s="703">
        <f t="shared" si="26"/>
        <v>2.1659999999999999</v>
      </c>
      <c r="L93" s="1192">
        <v>0.31900000000000001</v>
      </c>
      <c r="M93" s="994">
        <f>ROUND(+IF(L93&gt;_xlfn.XLOOKUP(AN93,RUC!M:M,RUC!K:K),L93*_xlfn.XLOOKUP(AN93,RUC!M:M,RUC!I:I),L93-_xlfn.XLOOKUP(AN93,RUC!M:M,RUC!J:J)),3)</f>
        <v>0.3</v>
      </c>
      <c r="N93" s="1196">
        <f t="shared" si="39"/>
        <v>0.3</v>
      </c>
      <c r="O93" s="645">
        <f t="shared" si="41"/>
        <v>0.3</v>
      </c>
      <c r="P93" s="727">
        <v>90</v>
      </c>
      <c r="Q93" s="875">
        <v>90.88</v>
      </c>
      <c r="R93" s="706">
        <v>4320.6000000000004</v>
      </c>
      <c r="S93" s="765">
        <f>IF((_xlfn.XLOOKUP(D93,RUC!$B$3:$B$119,RUC!$E$3:$E$119)+ROUNDDOWN(O93,1)*100)&lt;95,95,((_xlfn.XLOOKUP(D93,RUC!$B$3:$B$119,RUC!$E$3:$E$119)+ROUNDDOWN(O93,1)*100)))</f>
        <v>115</v>
      </c>
      <c r="U93" s="1146">
        <f>_xlfn.XLOOKUP(D93,RUC!$B$3:$B$123,RUC!$F$3:$F$123)</f>
        <v>120</v>
      </c>
      <c r="V93" s="715">
        <v>1.1023000000000001</v>
      </c>
      <c r="Y93">
        <f>_xlfn.XLOOKUP(D93,RUC!$B$3:$B$123,RUC!$G$3:$G$123)</f>
        <v>20</v>
      </c>
      <c r="Z93" s="1454">
        <v>35</v>
      </c>
      <c r="AA93" s="144">
        <f t="shared" si="28"/>
        <v>55</v>
      </c>
      <c r="AB93" s="145">
        <f t="shared" si="29"/>
        <v>1062.7957726000002</v>
      </c>
      <c r="AC93" s="145">
        <f>+(S93-T93)*V93-'data 1'!$F$4</f>
        <v>46.764500000000012</v>
      </c>
      <c r="AD93" s="145">
        <f t="shared" si="30"/>
        <v>12.998238177935935</v>
      </c>
      <c r="AE93" s="145">
        <f t="shared" si="31"/>
        <v>-9.3734999999999999</v>
      </c>
      <c r="AF93" s="145">
        <f t="shared" si="32"/>
        <v>79.952685332736067</v>
      </c>
      <c r="AG93" s="772">
        <f t="shared" si="38"/>
        <v>147.34192351067202</v>
      </c>
      <c r="AH93" s="1253">
        <f t="shared" si="33"/>
        <v>21.529</v>
      </c>
      <c r="AI93" s="1253">
        <f t="shared" si="34"/>
        <v>23.69</v>
      </c>
      <c r="AJ93" s="156">
        <f t="shared" si="37"/>
        <v>-30.23082124057612</v>
      </c>
      <c r="AK93" s="156">
        <f t="shared" si="35"/>
        <v>20.050780639401001</v>
      </c>
      <c r="AM93" s="716">
        <f t="shared" si="36"/>
        <v>2302.0156434516002</v>
      </c>
      <c r="AN93" s="716" t="str">
        <f>_xlfn.XLOOKUP(D93,RUC!$B$3:$B$578,RUC!$M$3:$M$578)</f>
        <v>Ronald Miranda</v>
      </c>
      <c r="AO93" s="1167" t="s">
        <v>2279</v>
      </c>
      <c r="AP93" s="1082" t="s">
        <v>5959</v>
      </c>
      <c r="AQ93" s="1082" t="s">
        <v>5960</v>
      </c>
    </row>
    <row r="94" spans="1:43" ht="15" customHeight="1">
      <c r="A94" s="747" t="s">
        <v>5927</v>
      </c>
      <c r="B94" s="1447">
        <v>46189</v>
      </c>
      <c r="C94" s="1447">
        <v>46181</v>
      </c>
      <c r="D94" t="s">
        <v>93</v>
      </c>
      <c r="E94" s="762">
        <f>_xlfn.XLOOKUP(D94,RUC!$B$3:$B$123,RUC!$D$3:$D$123)</f>
        <v>20169040231</v>
      </c>
      <c r="F94" s="629" t="s">
        <v>5940</v>
      </c>
      <c r="G94" s="762">
        <v>39</v>
      </c>
      <c r="H94" s="1082" t="s">
        <v>108</v>
      </c>
      <c r="I94" s="703">
        <v>3.34</v>
      </c>
      <c r="J94" s="596">
        <v>25.6</v>
      </c>
      <c r="K94" s="703">
        <f t="shared" si="26"/>
        <v>2.4849999999999999</v>
      </c>
      <c r="L94" s="1192">
        <v>1.236</v>
      </c>
      <c r="M94" s="994">
        <f>ROUND(+IF(L94&gt;_xlfn.XLOOKUP(AN94,RUC!M:M,RUC!K:K),L94*_xlfn.XLOOKUP(AN94,RUC!M:M,RUC!I:I),L94-_xlfn.XLOOKUP(AN94,RUC!M:M,RUC!J:J)),3)</f>
        <v>1.1619999999999999</v>
      </c>
      <c r="N94" s="1196">
        <f t="shared" si="39"/>
        <v>1.1619999999999999</v>
      </c>
      <c r="O94" s="645">
        <f t="shared" si="41"/>
        <v>1.1619999999999999</v>
      </c>
      <c r="P94" s="727">
        <v>87</v>
      </c>
      <c r="Q94" s="875">
        <v>87.78</v>
      </c>
      <c r="R94" s="706">
        <v>4320.6000000000004</v>
      </c>
      <c r="S94" s="765">
        <f>IF((_xlfn.XLOOKUP(D94,RUC!$B$3:$B$119,RUC!$E$3:$E$119)+ROUNDDOWN(O94,1)*100)&lt;95,95,((_xlfn.XLOOKUP(D94,RUC!$B$3:$B$119,RUC!$E$3:$E$119)+ROUNDDOWN(O94,1)*100)))</f>
        <v>195</v>
      </c>
      <c r="U94" s="1146">
        <f>_xlfn.XLOOKUP(D94,RUC!$B$3:$B$123,RUC!$F$3:$F$123)</f>
        <v>120</v>
      </c>
      <c r="V94" s="715">
        <v>1.1023000000000001</v>
      </c>
      <c r="Y94" s="891">
        <v>50</v>
      </c>
      <c r="Z94" s="1454">
        <v>40</v>
      </c>
      <c r="AA94" s="144">
        <f t="shared" si="28"/>
        <v>90</v>
      </c>
      <c r="AB94" s="145">
        <f t="shared" si="29"/>
        <v>4366.8215958972005</v>
      </c>
      <c r="AC94" s="145">
        <f>+(S94-T94)*V94-'data 1'!$F$4</f>
        <v>134.94850000000002</v>
      </c>
      <c r="AD94" s="145">
        <f t="shared" si="30"/>
        <v>44.640002360304067</v>
      </c>
      <c r="AE94" s="145">
        <f t="shared" si="31"/>
        <v>29.207000000000001</v>
      </c>
      <c r="AF94" s="145">
        <f t="shared" si="32"/>
        <v>300.77271194493625</v>
      </c>
      <c r="AG94" s="772">
        <f t="shared" si="38"/>
        <v>526.5682143052403</v>
      </c>
      <c r="AH94" s="1253">
        <f t="shared" si="33"/>
        <v>92.438000000000002</v>
      </c>
      <c r="AI94" s="1253">
        <f t="shared" si="34"/>
        <v>105.306</v>
      </c>
      <c r="AJ94" s="156">
        <f t="shared" si="37"/>
        <v>-113.13708661886444</v>
      </c>
      <c r="AK94" s="156">
        <f t="shared" si="35"/>
        <v>86.131268435238496</v>
      </c>
      <c r="AM94" s="716">
        <f t="shared" si="36"/>
        <v>10851.551665804544</v>
      </c>
      <c r="AN94" s="716" t="str">
        <f>_xlfn.XLOOKUP(D94,RUC!$B$3:$B$578,RUC!$M$3:$M$578)</f>
        <v>Ronald Miranda</v>
      </c>
      <c r="AO94" s="1167" t="s">
        <v>2280</v>
      </c>
      <c r="AP94" s="1082" t="s">
        <v>5959</v>
      </c>
      <c r="AQ94" s="1082" t="s">
        <v>5960</v>
      </c>
    </row>
    <row r="95" spans="1:43" ht="15" customHeight="1">
      <c r="A95" s="747" t="s">
        <v>5928</v>
      </c>
      <c r="B95" s="1447">
        <v>46186</v>
      </c>
      <c r="C95" s="1447">
        <v>46181</v>
      </c>
      <c r="D95" t="s">
        <v>93</v>
      </c>
      <c r="E95" s="762">
        <f>_xlfn.XLOOKUP(D95,RUC!$B$3:$B$123,RUC!$D$3:$D$123)</f>
        <v>20169040231</v>
      </c>
      <c r="F95" s="629" t="s">
        <v>5941</v>
      </c>
      <c r="G95" s="762">
        <v>80</v>
      </c>
      <c r="H95" s="1082" t="s">
        <v>69</v>
      </c>
      <c r="I95" s="703">
        <v>7.18</v>
      </c>
      <c r="J95" s="596">
        <v>2</v>
      </c>
      <c r="K95" s="703">
        <f t="shared" si="26"/>
        <v>7.0359999999999996</v>
      </c>
      <c r="L95" s="1192">
        <v>0.20599999999999999</v>
      </c>
      <c r="M95" s="994">
        <f>ROUND(+IF(L95&gt;_xlfn.XLOOKUP(AN95,RUC!M:M,RUC!K:K),L95*_xlfn.XLOOKUP(AN95,RUC!M:M,RUC!I:I),L95-_xlfn.XLOOKUP(AN95,RUC!M:M,RUC!J:J)),3)</f>
        <v>0.187</v>
      </c>
      <c r="N95" s="1196">
        <f t="shared" si="39"/>
        <v>0.187</v>
      </c>
      <c r="O95" s="645">
        <f t="shared" si="41"/>
        <v>0.187</v>
      </c>
      <c r="P95" s="727">
        <v>85</v>
      </c>
      <c r="Q95" s="875">
        <v>89.32</v>
      </c>
      <c r="R95" s="706">
        <v>4320.6000000000004</v>
      </c>
      <c r="S95" s="765">
        <f>IF((_xlfn.XLOOKUP(D95,RUC!$B$3:$B$119,RUC!$E$3:$E$119)+ROUNDDOWN(O95,1)*100)&lt;95,95,((_xlfn.XLOOKUP(D95,RUC!$B$3:$B$119,RUC!$E$3:$E$119)+ROUNDDOWN(O95,1)*100)))</f>
        <v>95</v>
      </c>
      <c r="U95" s="1146">
        <f>_xlfn.XLOOKUP(D95,RUC!$B$3:$B$123,RUC!$F$3:$F$123)</f>
        <v>120</v>
      </c>
      <c r="V95" s="715">
        <v>1.1023000000000001</v>
      </c>
      <c r="Y95">
        <f>_xlfn.XLOOKUP(D95,RUC!$B$3:$B$123,RUC!$G$3:$G$123)</f>
        <v>20</v>
      </c>
      <c r="Z95" s="1454">
        <v>35</v>
      </c>
      <c r="AA95" s="144">
        <f t="shared" si="28"/>
        <v>55</v>
      </c>
      <c r="AB95" s="145">
        <f t="shared" si="29"/>
        <v>570.64458335100016</v>
      </c>
      <c r="AC95" s="145">
        <f>+(S95-T95)*V95-'data 1'!$F$4</f>
        <v>24.718500000000006</v>
      </c>
      <c r="AD95" s="145">
        <f t="shared" si="30"/>
        <v>41.206156024895932</v>
      </c>
      <c r="AE95" s="145">
        <f t="shared" si="31"/>
        <v>-9.3734999999999999</v>
      </c>
      <c r="AF95" s="145">
        <f t="shared" si="32"/>
        <v>78.580258075703966</v>
      </c>
      <c r="AG95" s="772">
        <f t="shared" si="38"/>
        <v>152.1314141005999</v>
      </c>
      <c r="AH95" s="1253">
        <f t="shared" si="33"/>
        <v>44.386000000000003</v>
      </c>
      <c r="AI95" s="1253">
        <f t="shared" si="34"/>
        <v>49.694000000000003</v>
      </c>
      <c r="AJ95" s="156">
        <f t="shared" si="37"/>
        <v>-19.186991297936071</v>
      </c>
      <c r="AK95" s="156">
        <f t="shared" si="35"/>
        <v>38.343824861332209</v>
      </c>
      <c r="AM95" s="716">
        <f t="shared" si="36"/>
        <v>4015.0552884576368</v>
      </c>
      <c r="AN95" s="716" t="str">
        <f>_xlfn.XLOOKUP(D95,RUC!$B$3:$B$578,RUC!$M$3:$M$578)</f>
        <v>Ronald Miranda</v>
      </c>
      <c r="AO95" s="1167" t="s">
        <v>2280</v>
      </c>
      <c r="AP95" s="1082" t="s">
        <v>5959</v>
      </c>
      <c r="AQ95" s="1082" t="s">
        <v>5960</v>
      </c>
    </row>
    <row r="96" spans="1:43" ht="15" customHeight="1">
      <c r="A96" s="747" t="s">
        <v>5929</v>
      </c>
      <c r="B96" s="1447">
        <v>46186</v>
      </c>
      <c r="C96" s="1447">
        <v>46181</v>
      </c>
      <c r="D96" t="s">
        <v>93</v>
      </c>
      <c r="E96" s="762">
        <f>_xlfn.XLOOKUP(D96,RUC!$B$3:$B$123,RUC!$D$3:$D$123)</f>
        <v>20169040231</v>
      </c>
      <c r="F96" s="629" t="s">
        <v>5941</v>
      </c>
      <c r="G96" s="762">
        <v>80</v>
      </c>
      <c r="H96" s="1082" t="s">
        <v>69</v>
      </c>
      <c r="I96" s="703">
        <v>6.88</v>
      </c>
      <c r="J96" s="596">
        <v>2</v>
      </c>
      <c r="K96" s="703">
        <f t="shared" si="26"/>
        <v>6.742</v>
      </c>
      <c r="L96" s="1192">
        <v>0.223</v>
      </c>
      <c r="M96" s="994">
        <f>ROUND(+IF(L96&gt;_xlfn.XLOOKUP(AN96,RUC!M:M,RUC!K:K),L96*_xlfn.XLOOKUP(AN96,RUC!M:M,RUC!I:I),L96-_xlfn.XLOOKUP(AN96,RUC!M:M,RUC!J:J)),3)</f>
        <v>0.20399999999999999</v>
      </c>
      <c r="N96" s="1196">
        <f t="shared" si="39"/>
        <v>0.20399999999999999</v>
      </c>
      <c r="O96" s="645">
        <f t="shared" si="41"/>
        <v>0.20399999999999999</v>
      </c>
      <c r="P96" s="727">
        <v>90</v>
      </c>
      <c r="Q96" s="875">
        <v>90.13</v>
      </c>
      <c r="R96" s="706">
        <v>4320.6000000000004</v>
      </c>
      <c r="S96" s="765">
        <f>IF((_xlfn.XLOOKUP(D96,RUC!$B$3:$B$119,RUC!$E$3:$E$119)+ROUNDDOWN(O96,1)*100)&lt;95,95,((_xlfn.XLOOKUP(D96,RUC!$B$3:$B$119,RUC!$E$3:$E$119)+ROUNDDOWN(O96,1)*100)))</f>
        <v>105</v>
      </c>
      <c r="U96" s="1146">
        <f>_xlfn.XLOOKUP(D96,RUC!$B$3:$B$123,RUC!$F$3:$F$123)</f>
        <v>120</v>
      </c>
      <c r="V96" s="715">
        <v>1.1023000000000001</v>
      </c>
      <c r="Y96">
        <f>_xlfn.XLOOKUP(D96,RUC!$B$3:$B$123,RUC!$G$3:$G$123)</f>
        <v>20</v>
      </c>
      <c r="Z96" s="1454">
        <v>35</v>
      </c>
      <c r="AA96" s="144">
        <f t="shared" si="28"/>
        <v>55</v>
      </c>
      <c r="AB96" s="145">
        <f t="shared" si="29"/>
        <v>673.75900536800009</v>
      </c>
      <c r="AC96" s="145">
        <f>+(S96-T96)*V96-'data 1'!$F$4</f>
        <v>35.741500000000002</v>
      </c>
      <c r="AD96" s="145">
        <f t="shared" si="30"/>
        <v>1.3423301680619533</v>
      </c>
      <c r="AE96" s="145">
        <f t="shared" si="31"/>
        <v>-9.3734999999999999</v>
      </c>
      <c r="AF96" s="145">
        <f t="shared" si="32"/>
        <v>79.292864536086086</v>
      </c>
      <c r="AG96" s="772">
        <f t="shared" si="38"/>
        <v>124.00319470414803</v>
      </c>
      <c r="AH96" s="1253">
        <f t="shared" si="33"/>
        <v>46.459000000000003</v>
      </c>
      <c r="AI96" s="1253">
        <f t="shared" si="34"/>
        <v>51.546999999999997</v>
      </c>
      <c r="AJ96" s="156">
        <f t="shared" si="37"/>
        <v>-20.958740376442083</v>
      </c>
      <c r="AK96" s="156">
        <f t="shared" si="35"/>
        <v>42.439523032397162</v>
      </c>
      <c r="AM96" s="716">
        <f t="shared" si="36"/>
        <v>4542.4832141910565</v>
      </c>
      <c r="AN96" s="716" t="str">
        <f>_xlfn.XLOOKUP(D96,RUC!$B$3:$B$578,RUC!$M$3:$M$578)</f>
        <v>Ronald Miranda</v>
      </c>
      <c r="AO96" s="1167" t="s">
        <v>2280</v>
      </c>
      <c r="AP96" s="1082" t="s">
        <v>5959</v>
      </c>
      <c r="AQ96" s="1082" t="s">
        <v>5960</v>
      </c>
    </row>
    <row r="97" spans="1:43" ht="15" customHeight="1">
      <c r="A97" s="747" t="s">
        <v>5930</v>
      </c>
      <c r="B97" s="1447">
        <v>46186</v>
      </c>
      <c r="C97" s="1447">
        <v>46181</v>
      </c>
      <c r="D97" t="s">
        <v>93</v>
      </c>
      <c r="E97" s="762">
        <f>_xlfn.XLOOKUP(D97,RUC!$B$3:$B$123,RUC!$D$3:$D$123)</f>
        <v>20169040231</v>
      </c>
      <c r="F97" s="629" t="s">
        <v>5941</v>
      </c>
      <c r="G97" s="762">
        <v>108</v>
      </c>
      <c r="H97" s="1082" t="s">
        <v>69</v>
      </c>
      <c r="I97" s="703">
        <v>9.41</v>
      </c>
      <c r="J97" s="596">
        <v>2</v>
      </c>
      <c r="K97" s="703">
        <f t="shared" si="26"/>
        <v>9.2219999999999995</v>
      </c>
      <c r="L97" s="1192">
        <v>0.22900000000000001</v>
      </c>
      <c r="M97" s="994">
        <f>ROUND(+IF(L97&gt;_xlfn.XLOOKUP(AN97,RUC!M:M,RUC!K:K),L97*_xlfn.XLOOKUP(AN97,RUC!M:M,RUC!I:I),L97-_xlfn.XLOOKUP(AN97,RUC!M:M,RUC!J:J)),3)</f>
        <v>0.21</v>
      </c>
      <c r="N97" s="1196">
        <f t="shared" si="39"/>
        <v>0.21</v>
      </c>
      <c r="O97" s="645">
        <f t="shared" si="41"/>
        <v>0.21</v>
      </c>
      <c r="P97" s="727">
        <v>90</v>
      </c>
      <c r="Q97" s="875">
        <v>91.7</v>
      </c>
      <c r="R97" s="706">
        <v>4320.6000000000004</v>
      </c>
      <c r="S97" s="765">
        <f>IF((_xlfn.XLOOKUP(D97,RUC!$B$3:$B$119,RUC!$E$3:$E$119)+ROUNDDOWN(O97,1)*100)&lt;95,95,((_xlfn.XLOOKUP(D97,RUC!$B$3:$B$119,RUC!$E$3:$E$119)+ROUNDDOWN(O97,1)*100)))</f>
        <v>105</v>
      </c>
      <c r="U97" s="1146">
        <f>_xlfn.XLOOKUP(D97,RUC!$B$3:$B$123,RUC!$F$3:$F$123)</f>
        <v>120</v>
      </c>
      <c r="V97" s="715">
        <v>1.1023000000000001</v>
      </c>
      <c r="Y97">
        <f>_xlfn.XLOOKUP(D97,RUC!$B$3:$B$123,RUC!$G$3:$G$123)</f>
        <v>20</v>
      </c>
      <c r="Z97" s="1454">
        <v>35</v>
      </c>
      <c r="AA97" s="144">
        <f t="shared" si="28"/>
        <v>55</v>
      </c>
      <c r="AB97" s="145">
        <f t="shared" si="29"/>
        <v>698.76274081999998</v>
      </c>
      <c r="AC97" s="145">
        <f>+(S97-T97)*V97-'data 1'!$F$4</f>
        <v>35.741500000000002</v>
      </c>
      <c r="AD97" s="145">
        <f t="shared" si="30"/>
        <v>18.025841132340034</v>
      </c>
      <c r="AE97" s="145">
        <f t="shared" si="31"/>
        <v>-9.3734999999999999</v>
      </c>
      <c r="AF97" s="145">
        <f t="shared" si="32"/>
        <v>80.674089403740084</v>
      </c>
      <c r="AG97" s="772">
        <f t="shared" si="38"/>
        <v>142.06793053608013</v>
      </c>
      <c r="AH97" s="1253">
        <f t="shared" si="33"/>
        <v>66.396000000000001</v>
      </c>
      <c r="AI97" s="1253">
        <f t="shared" si="34"/>
        <v>72.405000000000001</v>
      </c>
      <c r="AJ97" s="156">
        <f t="shared" si="37"/>
        <v>-21.897561856940086</v>
      </c>
      <c r="AK97" s="156">
        <f t="shared" si="35"/>
        <v>59.757991384851891</v>
      </c>
      <c r="AM97" s="716">
        <f t="shared" si="36"/>
        <v>6443.9899958420392</v>
      </c>
      <c r="AN97" s="716" t="str">
        <f>_xlfn.XLOOKUP(D97,RUC!$B$3:$B$578,RUC!$M$3:$M$578)</f>
        <v>Ronald Miranda</v>
      </c>
      <c r="AO97" s="1167" t="s">
        <v>2280</v>
      </c>
      <c r="AP97" s="1082" t="s">
        <v>5959</v>
      </c>
      <c r="AQ97" s="1082" t="s">
        <v>5960</v>
      </c>
    </row>
    <row r="98" spans="1:43" ht="15" customHeight="1">
      <c r="A98" s="747" t="s">
        <v>5931</v>
      </c>
      <c r="B98" s="1447">
        <v>46189</v>
      </c>
      <c r="C98" s="1447">
        <v>46181</v>
      </c>
      <c r="D98" s="1904" t="s">
        <v>5934</v>
      </c>
      <c r="E98" s="762">
        <f>_xlfn.XLOOKUP(D98,RUC!$B$3:$B$123,RUC!$D$3:$D$123)</f>
        <v>10414969564</v>
      </c>
      <c r="F98" s="629"/>
      <c r="G98" s="762">
        <v>72</v>
      </c>
      <c r="H98" s="1082" t="s">
        <v>69</v>
      </c>
      <c r="I98" s="703">
        <v>5.15</v>
      </c>
      <c r="J98" s="596">
        <v>8.15</v>
      </c>
      <c r="K98" s="703">
        <f t="shared" si="26"/>
        <v>4.7300000000000004</v>
      </c>
      <c r="L98" s="1192">
        <v>0.16200000000000001</v>
      </c>
      <c r="M98" s="994">
        <f>ROUND(+IF(L98&gt;_xlfn.XLOOKUP(AN98,RUC!M:M,RUC!K:K),L98*_xlfn.XLOOKUP(AN98,RUC!M:M,RUC!I:I),L98-_xlfn.XLOOKUP(AN98,RUC!M:M,RUC!J:J)),3)</f>
        <v>0.127</v>
      </c>
      <c r="N98" s="1444">
        <v>0.184</v>
      </c>
      <c r="O98" s="645">
        <f t="shared" si="41"/>
        <v>0.155</v>
      </c>
      <c r="P98" s="727">
        <v>80</v>
      </c>
      <c r="Q98" s="875">
        <v>98.15</v>
      </c>
      <c r="R98" s="706">
        <v>4320.6000000000004</v>
      </c>
      <c r="S98" s="765">
        <f>IF((_xlfn.XLOOKUP(D98,RUC!$B$3:$B$119,RUC!$E$3:$E$119)+ROUNDDOWN(O98,1)*100)&lt;95,95,((_xlfn.XLOOKUP(D98,RUC!$B$3:$B$119,RUC!$E$3:$E$119)+ROUNDDOWN(O98,1)*100)))</f>
        <v>100</v>
      </c>
      <c r="U98" s="1146">
        <f>_xlfn.XLOOKUP(D98,RUC!$B$3:$B$123,RUC!$F$3:$F$123)</f>
        <v>120</v>
      </c>
      <c r="V98" s="715">
        <v>1.1023000000000001</v>
      </c>
      <c r="Y98">
        <f>_xlfn.XLOOKUP(D98,RUC!$B$3:$B$123,RUC!$G$3:$G$123)</f>
        <v>20</v>
      </c>
      <c r="Z98" s="143">
        <f>_xlfn.XLOOKUP(D98,RUC!$B$3:$B$123,RUC!$H$3:$H$123)</f>
        <v>30</v>
      </c>
      <c r="AA98" s="144">
        <f t="shared" si="28"/>
        <v>50</v>
      </c>
      <c r="AB98" s="145">
        <f t="shared" si="29"/>
        <v>408.81485112000018</v>
      </c>
      <c r="AC98" s="145">
        <f>+(S98-T98)*V98-'data 1'!$F$4</f>
        <v>30.230000000000004</v>
      </c>
      <c r="AD98" s="145">
        <f t="shared" si="30"/>
        <v>136.14533953614009</v>
      </c>
      <c r="AE98" s="145">
        <f t="shared" si="31"/>
        <v>-14.884999999999998</v>
      </c>
      <c r="AF98" s="145">
        <f t="shared" si="32"/>
        <v>31.812623041290031</v>
      </c>
      <c r="AG98" s="772">
        <f t="shared" si="38"/>
        <v>200.30296257743012</v>
      </c>
      <c r="AH98" s="1253">
        <f t="shared" si="33"/>
        <v>25.785</v>
      </c>
      <c r="AI98" s="1253">
        <f t="shared" si="34"/>
        <v>26.271999999999998</v>
      </c>
      <c r="AJ98" s="156">
        <f t="shared" si="37"/>
        <v>-16.580448052740067</v>
      </c>
      <c r="AK98" s="156">
        <f t="shared" si="35"/>
        <v>20.109065799086</v>
      </c>
      <c r="AM98" s="716">
        <f t="shared" si="36"/>
        <v>1933.6942457976011</v>
      </c>
      <c r="AN98" s="716" t="str">
        <f>_xlfn.XLOOKUP(D98,RUC!$B$3:$B$578,RUC!$M$3:$M$578)</f>
        <v>Richard Sapacayo</v>
      </c>
      <c r="AO98" s="1167" t="s">
        <v>2281</v>
      </c>
      <c r="AP98" s="1940" t="s">
        <v>4381</v>
      </c>
      <c r="AQ98" s="1940" t="s">
        <v>5999</v>
      </c>
    </row>
    <row r="99" spans="1:43" ht="15" customHeight="1">
      <c r="A99" s="747" t="s">
        <v>5933</v>
      </c>
      <c r="B99" s="1447">
        <v>46189</v>
      </c>
      <c r="C99" s="1447">
        <v>46181</v>
      </c>
      <c r="D99" t="s">
        <v>5934</v>
      </c>
      <c r="E99" s="762">
        <f>_xlfn.XLOOKUP(D99,RUC!$B$3:$B$123,RUC!$D$3:$D$123)</f>
        <v>10414969564</v>
      </c>
      <c r="F99" s="629"/>
      <c r="G99" s="762">
        <v>93</v>
      </c>
      <c r="H99" s="1082" t="s">
        <v>116</v>
      </c>
      <c r="I99" s="703">
        <v>7.5</v>
      </c>
      <c r="J99" s="596">
        <v>11.3</v>
      </c>
      <c r="K99" s="703">
        <f t="shared" si="26"/>
        <v>6.6529999999999996</v>
      </c>
      <c r="L99" s="1192">
        <v>0.64700000000000002</v>
      </c>
      <c r="M99" s="994">
        <f>ROUND(+IF(L99&gt;_xlfn.XLOOKUP(AN99,RUC!M:M,RUC!K:K),L99*_xlfn.XLOOKUP(AN99,RUC!M:M,RUC!I:I),L99-_xlfn.XLOOKUP(AN99,RUC!M:M,RUC!J:J)),3)</f>
        <v>0.60799999999999998</v>
      </c>
      <c r="N99" s="1444">
        <v>0.67700000000000005</v>
      </c>
      <c r="O99" s="645">
        <f t="shared" si="41"/>
        <v>0.64200000000000002</v>
      </c>
      <c r="P99" s="727">
        <v>90</v>
      </c>
      <c r="Q99" s="875">
        <v>99.07</v>
      </c>
      <c r="R99" s="706">
        <v>4320.6000000000004</v>
      </c>
      <c r="S99" s="765">
        <f>IF((_xlfn.XLOOKUP(D99,RUC!$B$3:$B$119,RUC!$E$3:$E$119)+ROUNDDOWN(O99,1)*100)&lt;95,95,((_xlfn.XLOOKUP(D99,RUC!$B$3:$B$119,RUC!$E$3:$E$119)+ROUNDDOWN(O99,1)*100)))</f>
        <v>150</v>
      </c>
      <c r="U99" s="1146">
        <f>_xlfn.XLOOKUP(D99,RUC!$B$3:$B$123,RUC!$F$3:$F$123)</f>
        <v>120</v>
      </c>
      <c r="V99" s="715">
        <v>1.1023000000000001</v>
      </c>
      <c r="Y99">
        <f>_xlfn.XLOOKUP(D99,RUC!$B$3:$B$123,RUC!$G$3:$G$123)</f>
        <v>20</v>
      </c>
      <c r="Z99" s="143">
        <f>_xlfn.XLOOKUP(D99,RUC!$B$3:$B$123,RUC!$H$3:$H$123)</f>
        <v>30</v>
      </c>
      <c r="AA99" s="144">
        <f t="shared" si="28"/>
        <v>50</v>
      </c>
      <c r="AB99" s="145">
        <f t="shared" si="29"/>
        <v>2454.9396933640005</v>
      </c>
      <c r="AC99" s="145">
        <f>+(S99-T99)*V99-'data 1'!$F$4</f>
        <v>85.344999999999999</v>
      </c>
      <c r="AD99" s="145">
        <f t="shared" si="30"/>
        <v>271.72068651040183</v>
      </c>
      <c r="AE99" s="145">
        <f t="shared" si="31"/>
        <v>-14.884999999999998</v>
      </c>
      <c r="AF99" s="145">
        <f t="shared" si="32"/>
        <v>22.93629695583002</v>
      </c>
      <c r="AG99" s="772">
        <f t="shared" si="38"/>
        <v>382.11698346623189</v>
      </c>
      <c r="AH99" s="1253">
        <f t="shared" si="33"/>
        <v>146.209</v>
      </c>
      <c r="AI99" s="1253">
        <f t="shared" si="34"/>
        <v>147.58099999999999</v>
      </c>
      <c r="AJ99" s="156">
        <f t="shared" si="37"/>
        <v>-66.840145633382264</v>
      </c>
      <c r="AK99" s="156">
        <f t="shared" si="35"/>
        <v>131.79657677332438</v>
      </c>
      <c r="AM99" s="716">
        <f t="shared" si="36"/>
        <v>16332.713779950695</v>
      </c>
      <c r="AN99" s="716" t="str">
        <f>_xlfn.XLOOKUP(D99,RUC!$B$3:$B$578,RUC!$M$3:$M$578)</f>
        <v>Richard Sapacayo</v>
      </c>
      <c r="AO99" s="1167" t="s">
        <v>2281</v>
      </c>
      <c r="AP99" s="1940" t="s">
        <v>4381</v>
      </c>
      <c r="AQ99" s="1940" t="s">
        <v>5999</v>
      </c>
    </row>
    <row r="100" spans="1:43" ht="15" customHeight="1">
      <c r="A100" s="747" t="s">
        <v>5942</v>
      </c>
      <c r="B100" s="1447">
        <v>46186</v>
      </c>
      <c r="C100" s="1447">
        <v>46181</v>
      </c>
      <c r="D100" s="1904" t="s">
        <v>2004</v>
      </c>
      <c r="E100" s="762">
        <f>_xlfn.XLOOKUP(D100,RUC!$B$3:$B$123,RUC!$D$3:$D$123)</f>
        <v>20612921866</v>
      </c>
      <c r="F100" s="629"/>
      <c r="G100" s="762">
        <v>30</v>
      </c>
      <c r="H100" s="1082" t="s">
        <v>69</v>
      </c>
      <c r="I100" s="703">
        <v>3.1</v>
      </c>
      <c r="J100" s="596">
        <v>2</v>
      </c>
      <c r="K100" s="703">
        <f t="shared" si="26"/>
        <v>3.0379999999999998</v>
      </c>
      <c r="L100" s="1192">
        <v>0.189</v>
      </c>
      <c r="M100" s="994">
        <f>ROUND(+IF(L100&gt;_xlfn.XLOOKUP(AN100,RUC!M:M,RUC!K:K),L100*_xlfn.XLOOKUP(AN100,RUC!M:M,RUC!I:I),L100-_xlfn.XLOOKUP(AN100,RUC!M:M,RUC!J:J)),3)</f>
        <v>0.17</v>
      </c>
      <c r="N100" s="1196">
        <f t="shared" si="39"/>
        <v>0.17</v>
      </c>
      <c r="O100" s="645">
        <f t="shared" si="41"/>
        <v>0.17</v>
      </c>
      <c r="P100" s="727">
        <v>90</v>
      </c>
      <c r="Q100" s="875">
        <v>97.35</v>
      </c>
      <c r="R100" s="706">
        <v>4320.6000000000004</v>
      </c>
      <c r="S100" s="765">
        <f>IF((_xlfn.XLOOKUP(D100,RUC!$B$3:$B$119,RUC!$E$3:$E$119)+ROUNDDOWN(O100,1)*100)&lt;95,95,((_xlfn.XLOOKUP(D100,RUC!$B$3:$B$119,RUC!$E$3:$E$119)+ROUNDDOWN(O100,1)*100)))</f>
        <v>95</v>
      </c>
      <c r="U100" s="1146">
        <f>_xlfn.XLOOKUP(D100,RUC!$B$3:$B$123,RUC!$F$3:$F$123)</f>
        <v>100</v>
      </c>
      <c r="V100" s="715">
        <v>1.1023000000000001</v>
      </c>
      <c r="Y100">
        <f>_xlfn.XLOOKUP(D100,RUC!$B$3:$B$123,RUC!$G$3:$G$123)</f>
        <v>0</v>
      </c>
      <c r="Z100" s="143">
        <f>_xlfn.XLOOKUP(D100,RUC!$B$3:$B$123,RUC!$H$3:$H$123)</f>
        <v>30</v>
      </c>
      <c r="AA100" s="144">
        <f t="shared" si="28"/>
        <v>30</v>
      </c>
      <c r="AB100" s="145">
        <f t="shared" si="29"/>
        <v>574.02470914000014</v>
      </c>
      <c r="AC100" s="145">
        <f>+(S100-T100)*V100-'data 1'!$F$4</f>
        <v>24.718500000000006</v>
      </c>
      <c r="AD100" s="145">
        <f t="shared" si="30"/>
        <v>64.628361459269968</v>
      </c>
      <c r="AE100" s="145">
        <f t="shared" si="31"/>
        <v>-36.930999999999997</v>
      </c>
      <c r="AF100" s="145">
        <f t="shared" si="32"/>
        <v>86.052513244169944</v>
      </c>
      <c r="AG100" s="772">
        <f>AC100+AD100+AE100+AF100+70-10</f>
        <v>198.46837470343991</v>
      </c>
      <c r="AH100" s="1253">
        <f t="shared" si="33"/>
        <v>19.164000000000001</v>
      </c>
      <c r="AI100" s="1253">
        <f t="shared" si="34"/>
        <v>19.686</v>
      </c>
      <c r="AJ100" s="156">
        <f t="shared" si="37"/>
        <v>-23.242464969570072</v>
      </c>
      <c r="AK100" s="156">
        <f t="shared" si="35"/>
        <v>15.936328361072702</v>
      </c>
      <c r="AM100" s="716">
        <f t="shared" si="36"/>
        <v>1743.8870663673204</v>
      </c>
      <c r="AN100" s="716" t="str">
        <f>_xlfn.XLOOKUP(D100,RUC!$B$3:$B$578,RUC!$M$3:$M$578)</f>
        <v>Ronald Garibay</v>
      </c>
      <c r="AO100" s="1167" t="s">
        <v>2279</v>
      </c>
      <c r="AP100" s="1082" t="s">
        <v>5961</v>
      </c>
      <c r="AQ100" s="1082" t="s">
        <v>5962</v>
      </c>
    </row>
    <row r="101" spans="1:43" ht="15" customHeight="1">
      <c r="A101" s="747" t="s">
        <v>5943</v>
      </c>
      <c r="B101" s="1447">
        <v>46186</v>
      </c>
      <c r="C101" s="1447">
        <v>46181</v>
      </c>
      <c r="D101" s="1904" t="s">
        <v>2004</v>
      </c>
      <c r="E101" s="762">
        <f>_xlfn.XLOOKUP(D101,RUC!$B$3:$B$123,RUC!$D$3:$D$123)</f>
        <v>20612921866</v>
      </c>
      <c r="F101" s="629"/>
      <c r="G101" s="762">
        <v>30</v>
      </c>
      <c r="H101" s="1082" t="s">
        <v>69</v>
      </c>
      <c r="I101" s="703">
        <v>3.11</v>
      </c>
      <c r="J101" s="596">
        <v>2</v>
      </c>
      <c r="K101" s="703">
        <f t="shared" si="26"/>
        <v>3.048</v>
      </c>
      <c r="L101" s="1192">
        <v>0.16700000000000001</v>
      </c>
      <c r="M101" s="994">
        <f>ROUND(+IF(L101&gt;_xlfn.XLOOKUP(AN101,RUC!M:M,RUC!K:K),L101*_xlfn.XLOOKUP(AN101,RUC!M:M,RUC!I:I),L101-_xlfn.XLOOKUP(AN101,RUC!M:M,RUC!J:J)),3)</f>
        <v>0.14799999999999999</v>
      </c>
      <c r="N101" s="1196">
        <f t="shared" si="39"/>
        <v>0.14799999999999999</v>
      </c>
      <c r="O101" s="645">
        <f t="shared" si="41"/>
        <v>0.14799999999999999</v>
      </c>
      <c r="P101" s="727">
        <v>90</v>
      </c>
      <c r="Q101" s="875">
        <v>97.01</v>
      </c>
      <c r="R101" s="706">
        <v>4320.6000000000004</v>
      </c>
      <c r="S101" s="765">
        <f>IF((_xlfn.XLOOKUP(D101,RUC!$B$3:$B$119,RUC!$E$3:$E$119)+ROUNDDOWN(O101,1)*100)&lt;95,95,((_xlfn.XLOOKUP(D101,RUC!$B$3:$B$119,RUC!$E$3:$E$119)+ROUNDDOWN(O101,1)*100)))</f>
        <v>95</v>
      </c>
      <c r="U101" s="1146">
        <f>_xlfn.XLOOKUP(D101,RUC!$B$3:$B$123,RUC!$F$3:$F$123)</f>
        <v>100</v>
      </c>
      <c r="V101" s="715">
        <v>1.1023000000000001</v>
      </c>
      <c r="Y101">
        <f>_xlfn.XLOOKUP(D101,RUC!$B$3:$B$123,RUC!$G$3:$G$123)</f>
        <v>0</v>
      </c>
      <c r="Z101" s="143">
        <f>_xlfn.XLOOKUP(D101,RUC!$B$3:$B$123,RUC!$H$3:$H$123)</f>
        <v>30</v>
      </c>
      <c r="AA101" s="144">
        <f t="shared" si="28"/>
        <v>30</v>
      </c>
      <c r="AB101" s="145">
        <f t="shared" si="29"/>
        <v>481.90783501599998</v>
      </c>
      <c r="AC101" s="145">
        <f>+(S101-T101)*V101-'data 1'!$F$4</f>
        <v>24.718500000000006</v>
      </c>
      <c r="AD101" s="145">
        <f t="shared" si="30"/>
        <v>54.463869207446052</v>
      </c>
      <c r="AE101" s="145">
        <f t="shared" si="31"/>
        <v>-36.930999999999997</v>
      </c>
      <c r="AF101" s="145">
        <f t="shared" si="32"/>
        <v>85.751970311422085</v>
      </c>
      <c r="AG101" s="772">
        <f t="shared" ref="AG101:AG104" si="42">AC101+AD101+AE101+AF101+70-10</f>
        <v>188.00333951886813</v>
      </c>
      <c r="AH101" s="1253">
        <f t="shared" si="33"/>
        <v>16.93</v>
      </c>
      <c r="AI101" s="1253">
        <f t="shared" si="34"/>
        <v>17.452000000000002</v>
      </c>
      <c r="AJ101" s="156">
        <f t="shared" si="37"/>
        <v>-20.465266327986068</v>
      </c>
      <c r="AK101" s="156">
        <f t="shared" si="35"/>
        <v>13.919648121816481</v>
      </c>
      <c r="AM101" s="716">
        <f t="shared" si="36"/>
        <v>1468.855081128768</v>
      </c>
      <c r="AN101" s="716" t="str">
        <f>_xlfn.XLOOKUP(D101,RUC!$B$3:$B$578,RUC!$M$3:$M$578)</f>
        <v>Ronald Garibay</v>
      </c>
      <c r="AO101" s="1167" t="s">
        <v>2279</v>
      </c>
      <c r="AP101" s="1082" t="s">
        <v>5961</v>
      </c>
      <c r="AQ101" s="1082" t="s">
        <v>5962</v>
      </c>
    </row>
    <row r="102" spans="1:43" ht="15" customHeight="1">
      <c r="A102" s="747" t="s">
        <v>5944</v>
      </c>
      <c r="B102" s="1447">
        <v>46186</v>
      </c>
      <c r="C102" s="1447">
        <v>46181</v>
      </c>
      <c r="D102" s="1904" t="s">
        <v>2004</v>
      </c>
      <c r="E102" s="762">
        <f>_xlfn.XLOOKUP(D102,RUC!$B$3:$B$123,RUC!$D$3:$D$123)</f>
        <v>20612921866</v>
      </c>
      <c r="F102" s="629"/>
      <c r="G102" s="762">
        <v>40</v>
      </c>
      <c r="H102" s="1082" t="s">
        <v>69</v>
      </c>
      <c r="I102" s="703">
        <v>4.1100000000000003</v>
      </c>
      <c r="J102" s="596">
        <v>2.35</v>
      </c>
      <c r="K102" s="703">
        <f t="shared" ref="K102:K140" si="43">ROUND(+I102-(I102*(J102/100)),3)</f>
        <v>4.0129999999999999</v>
      </c>
      <c r="L102" s="1192">
        <v>0.20300000000000001</v>
      </c>
      <c r="M102" s="994">
        <f>ROUND(+IF(L102&gt;_xlfn.XLOOKUP(AN102,RUC!M:M,RUC!K:K),L102*_xlfn.XLOOKUP(AN102,RUC!M:M,RUC!I:I),L102-_xlfn.XLOOKUP(AN102,RUC!M:M,RUC!J:J)),3)</f>
        <v>0.184</v>
      </c>
      <c r="N102" s="1196">
        <f t="shared" si="39"/>
        <v>0.184</v>
      </c>
      <c r="O102" s="645">
        <f t="shared" si="41"/>
        <v>0.184</v>
      </c>
      <c r="P102" s="727">
        <v>90</v>
      </c>
      <c r="Q102" s="875">
        <v>98.03</v>
      </c>
      <c r="R102" s="706">
        <v>4320.6000000000004</v>
      </c>
      <c r="S102" s="765">
        <f>IF((_xlfn.XLOOKUP(D102,RUC!$B$3:$B$119,RUC!$E$3:$E$119)+ROUNDDOWN(O102,1)*100)&lt;95,95,((_xlfn.XLOOKUP(D102,RUC!$B$3:$B$119,RUC!$E$3:$E$119)+ROUNDDOWN(O102,1)*100)))</f>
        <v>95</v>
      </c>
      <c r="U102" s="1146">
        <f>_xlfn.XLOOKUP(D102,RUC!$B$3:$B$123,RUC!$F$3:$F$123)</f>
        <v>100</v>
      </c>
      <c r="V102" s="715">
        <v>1.1023000000000001</v>
      </c>
      <c r="Y102">
        <f>_xlfn.XLOOKUP(D102,RUC!$B$3:$B$123,RUC!$G$3:$G$123)</f>
        <v>0</v>
      </c>
      <c r="Z102" s="143">
        <f>_xlfn.XLOOKUP(D102,RUC!$B$3:$B$123,RUC!$H$3:$H$123)</f>
        <v>30</v>
      </c>
      <c r="AA102" s="144">
        <f t="shared" ref="AA102:AA140" si="44">+Y102+Z102</f>
        <v>30</v>
      </c>
      <c r="AB102" s="145">
        <f t="shared" ref="AB102:AB140" si="45">+((O102*P102*(R102-U102)/100)-S102-AA102+T102)*V102</f>
        <v>632.64453812800002</v>
      </c>
      <c r="AC102" s="145">
        <f>+(S102-T102)*V102-'data 1'!$F$4</f>
        <v>24.718500000000006</v>
      </c>
      <c r="AD102" s="145">
        <f t="shared" ref="AD102:AD140" si="46">+(Q102-P102)*(R102-U102)*L102*V102/100</f>
        <v>75.837775424642018</v>
      </c>
      <c r="AE102" s="145">
        <f t="shared" ref="AE102:AE140" si="47">+(Y102*V102-70)+V102*(Z102-IF(D102="UNTUCA",IF(+((W102-3)*2.5+(X102-3)*3.1)&gt;0,+((W102-3)*1.5+(X102-3)*3.1),0),IF(+((W102-3)*1.5+(X102-3)*3.1)&gt;0,+((W102-3)*1.5+(X102-3)*3.1),0)))</f>
        <v>-36.930999999999997</v>
      </c>
      <c r="AF102" s="145">
        <f t="shared" ref="AF102:AF140" si="48">(L102-O102)*(R102-U102)*Q102*V102/100</f>
        <v>86.653599109666089</v>
      </c>
      <c r="AG102" s="772">
        <f t="shared" si="42"/>
        <v>210.2788745343081</v>
      </c>
      <c r="AH102" s="1253">
        <f t="shared" ref="AH102:AH140" si="49">ROUND((31.1035*L102*Q102*1.1023*K102/100),3)</f>
        <v>27.38</v>
      </c>
      <c r="AI102" s="1253">
        <f t="shared" ref="AI102:AI140" si="50">ROUND((31.1035*L102*1.1023*K102),3)</f>
        <v>27.93</v>
      </c>
      <c r="AJ102" s="156">
        <f t="shared" si="37"/>
        <v>-25.138506111222082</v>
      </c>
      <c r="AK102" s="156">
        <f t="shared" ref="AK102:AK140" si="51">31.1035*1.1023*K102*P102*O102/100</f>
        <v>22.784450627714037</v>
      </c>
      <c r="AM102" s="716">
        <f t="shared" ref="AM102:AM140" si="52">+IF(AB102*K102&gt;0,AB102*K102,0)</f>
        <v>2538.8025315076638</v>
      </c>
      <c r="AN102" s="716" t="str">
        <f>_xlfn.XLOOKUP(D102,RUC!$B$3:$B$578,RUC!$M$3:$M$578)</f>
        <v>Ronald Garibay</v>
      </c>
      <c r="AO102" s="1167" t="s">
        <v>2280</v>
      </c>
      <c r="AP102" s="1082" t="s">
        <v>5961</v>
      </c>
      <c r="AQ102" s="1082" t="s">
        <v>5962</v>
      </c>
    </row>
    <row r="103" spans="1:43" ht="15" customHeight="1">
      <c r="A103" s="747" t="s">
        <v>5945</v>
      </c>
      <c r="B103" s="1447">
        <v>46186</v>
      </c>
      <c r="C103" s="1447">
        <v>46181</v>
      </c>
      <c r="D103" s="1904" t="s">
        <v>2004</v>
      </c>
      <c r="E103" s="762">
        <f>_xlfn.XLOOKUP(D103,RUC!$B$3:$B$123,RUC!$D$3:$D$123)</f>
        <v>20612921866</v>
      </c>
      <c r="F103" s="629"/>
      <c r="G103" s="762" t="s">
        <v>2985</v>
      </c>
      <c r="H103" s="1082" t="s">
        <v>69</v>
      </c>
      <c r="I103" s="703">
        <v>10.08</v>
      </c>
      <c r="J103" s="596">
        <v>2</v>
      </c>
      <c r="K103" s="703">
        <f t="shared" si="43"/>
        <v>9.8780000000000001</v>
      </c>
      <c r="L103" s="1192">
        <v>0.252</v>
      </c>
      <c r="M103" s="994">
        <f>ROUND(+IF(L103&gt;_xlfn.XLOOKUP(AN103,RUC!M:M,RUC!K:K),L103*_xlfn.XLOOKUP(AN103,RUC!M:M,RUC!I:I),L103-_xlfn.XLOOKUP(AN103,RUC!M:M,RUC!J:J)),3)</f>
        <v>0.23300000000000001</v>
      </c>
      <c r="N103" s="1196">
        <f t="shared" si="39"/>
        <v>0.23300000000000001</v>
      </c>
      <c r="O103" s="645">
        <f t="shared" si="41"/>
        <v>0.23300000000000001</v>
      </c>
      <c r="P103" s="727">
        <v>90</v>
      </c>
      <c r="Q103" s="875">
        <v>98.02</v>
      </c>
      <c r="R103" s="706">
        <v>4320.6000000000004</v>
      </c>
      <c r="S103" s="765">
        <f>IF((_xlfn.XLOOKUP(D103,RUC!$B$3:$B$119,RUC!$E$3:$E$119)+ROUNDDOWN(O103,1)*100)&lt;95,95,((_xlfn.XLOOKUP(D103,RUC!$B$3:$B$119,RUC!$E$3:$E$119)+ROUNDDOWN(O103,1)*100)))</f>
        <v>100</v>
      </c>
      <c r="U103" s="1146">
        <f>_xlfn.XLOOKUP(D103,RUC!$B$3:$B$123,RUC!$F$3:$F$123)</f>
        <v>100</v>
      </c>
      <c r="V103" s="715">
        <v>1.1023000000000001</v>
      </c>
      <c r="Y103">
        <f>_xlfn.XLOOKUP(D103,RUC!$B$3:$B$123,RUC!$G$3:$G$123)</f>
        <v>0</v>
      </c>
      <c r="Z103" s="143">
        <f>_xlfn.XLOOKUP(D103,RUC!$B$3:$B$123,RUC!$H$3:$H$123)</f>
        <v>30</v>
      </c>
      <c r="AA103" s="144">
        <f t="shared" si="44"/>
        <v>30</v>
      </c>
      <c r="AB103" s="145">
        <f t="shared" si="45"/>
        <v>832.30243958600022</v>
      </c>
      <c r="AC103" s="145">
        <f>+(S103-T103)*V103-'data 1'!$F$4</f>
        <v>30.230000000000004</v>
      </c>
      <c r="AD103" s="145">
        <f t="shared" si="46"/>
        <v>94.026205696751973</v>
      </c>
      <c r="AE103" s="145">
        <f t="shared" si="47"/>
        <v>-36.930999999999997</v>
      </c>
      <c r="AF103" s="145">
        <f t="shared" si="48"/>
        <v>86.644759611643948</v>
      </c>
      <c r="AG103" s="772">
        <f t="shared" si="42"/>
        <v>233.96996530839593</v>
      </c>
      <c r="AH103" s="1253">
        <f t="shared" si="49"/>
        <v>83.655000000000001</v>
      </c>
      <c r="AI103" s="1253">
        <f t="shared" si="50"/>
        <v>85.344999999999999</v>
      </c>
      <c r="AJ103" s="156">
        <f t="shared" ref="AJ103:AJ140" si="53">+((+$AJ$2-R103+U103)*L103*Q103*V103)/100</f>
        <v>-31.203238025232103</v>
      </c>
      <c r="AK103" s="156">
        <f t="shared" si="51"/>
        <v>71.01932194421164</v>
      </c>
      <c r="AM103" s="716">
        <f t="shared" si="52"/>
        <v>8221.483498230511</v>
      </c>
      <c r="AN103" s="716" t="str">
        <f>_xlfn.XLOOKUP(D103,RUC!$B$3:$B$578,RUC!$M$3:$M$578)</f>
        <v>Ronald Garibay</v>
      </c>
      <c r="AO103" s="1167" t="s">
        <v>2279</v>
      </c>
      <c r="AP103" s="1082" t="s">
        <v>5963</v>
      </c>
      <c r="AQ103" s="1082" t="s">
        <v>2376</v>
      </c>
    </row>
    <row r="104" spans="1:43" ht="15" customHeight="1">
      <c r="A104" s="747" t="s">
        <v>5946</v>
      </c>
      <c r="B104" s="1447">
        <v>46186</v>
      </c>
      <c r="C104" s="1447">
        <v>46182</v>
      </c>
      <c r="D104" s="1904" t="s">
        <v>2004</v>
      </c>
      <c r="E104" s="762">
        <f>_xlfn.XLOOKUP(D104,RUC!$B$3:$B$123,RUC!$D$3:$D$123)</f>
        <v>20612921866</v>
      </c>
      <c r="F104" s="629"/>
      <c r="G104" s="762" t="s">
        <v>2985</v>
      </c>
      <c r="H104" s="1082" t="s">
        <v>69</v>
      </c>
      <c r="I104" s="703">
        <v>10.210000000000001</v>
      </c>
      <c r="J104" s="596">
        <v>2</v>
      </c>
      <c r="K104" s="703">
        <f t="shared" si="43"/>
        <v>10.006</v>
      </c>
      <c r="L104" s="1192">
        <v>0.21199999999999999</v>
      </c>
      <c r="M104" s="994">
        <f>ROUND(+IF(L104&gt;_xlfn.XLOOKUP(AN104,RUC!M:M,RUC!K:K),L104*_xlfn.XLOOKUP(AN104,RUC!M:M,RUC!I:I),L104-_xlfn.XLOOKUP(AN104,RUC!M:M,RUC!J:J)),3)</f>
        <v>0.193</v>
      </c>
      <c r="N104" s="1196">
        <f t="shared" si="39"/>
        <v>0.193</v>
      </c>
      <c r="O104" s="645">
        <f t="shared" si="41"/>
        <v>0.193</v>
      </c>
      <c r="P104" s="727">
        <v>90</v>
      </c>
      <c r="Q104" s="875">
        <v>98.58</v>
      </c>
      <c r="R104" s="706">
        <v>4327.6499999999996</v>
      </c>
      <c r="S104" s="765">
        <f>IF((_xlfn.XLOOKUP(D104,RUC!$B$3:$B$119,RUC!$E$3:$E$119)+ROUNDDOWN(O104,1)*100)&lt;95,95,((_xlfn.XLOOKUP(D104,RUC!$B$3:$B$119,RUC!$E$3:$E$119)+ROUNDDOWN(O104,1)*100)))</f>
        <v>95</v>
      </c>
      <c r="U104" s="1146">
        <f>_xlfn.XLOOKUP(D104,RUC!$B$3:$B$123,RUC!$F$3:$F$123)</f>
        <v>100</v>
      </c>
      <c r="V104" s="715">
        <v>1.1023000000000001</v>
      </c>
      <c r="Y104">
        <f>_xlfn.XLOOKUP(D104,RUC!$B$3:$B$123,RUC!$G$3:$G$123)</f>
        <v>0</v>
      </c>
      <c r="Z104" s="143">
        <f>_xlfn.XLOOKUP(D104,RUC!$B$3:$B$123,RUC!$H$3:$H$123)</f>
        <v>30</v>
      </c>
      <c r="AA104" s="144">
        <f t="shared" si="44"/>
        <v>30</v>
      </c>
      <c r="AB104" s="145">
        <f t="shared" si="45"/>
        <v>671.67857395149986</v>
      </c>
      <c r="AC104" s="145">
        <f>+(S104-T104)*V104-'data 1'!$F$4</f>
        <v>24.718500000000006</v>
      </c>
      <c r="AD104" s="145">
        <f t="shared" si="46"/>
        <v>84.766056987611975</v>
      </c>
      <c r="AE104" s="145">
        <f t="shared" si="47"/>
        <v>-36.930999999999997</v>
      </c>
      <c r="AF104" s="145">
        <f t="shared" si="48"/>
        <v>87.285327912068951</v>
      </c>
      <c r="AG104" s="772">
        <f t="shared" si="42"/>
        <v>219.83888489968092</v>
      </c>
      <c r="AH104" s="1253">
        <f t="shared" si="49"/>
        <v>71.695999999999998</v>
      </c>
      <c r="AI104" s="1253">
        <f t="shared" si="50"/>
        <v>72.728999999999999</v>
      </c>
      <c r="AJ104" s="156">
        <f t="shared" si="53"/>
        <v>-28.024417569131916</v>
      </c>
      <c r="AK104" s="156">
        <f t="shared" si="51"/>
        <v>59.589451274275717</v>
      </c>
      <c r="AM104" s="716">
        <f t="shared" si="52"/>
        <v>6720.8158109587075</v>
      </c>
      <c r="AN104" s="716" t="str">
        <f>_xlfn.XLOOKUP(D104,RUC!$B$3:$B$578,RUC!$M$3:$M$578)</f>
        <v>Ronald Garibay</v>
      </c>
      <c r="AO104" s="1167" t="s">
        <v>2279</v>
      </c>
      <c r="AP104" s="1082" t="s">
        <v>5964</v>
      </c>
      <c r="AQ104" s="1082" t="s">
        <v>3483</v>
      </c>
    </row>
    <row r="105" spans="1:43" ht="15" customHeight="1">
      <c r="A105" s="747" t="s">
        <v>5947</v>
      </c>
      <c r="B105" s="1447">
        <v>46190</v>
      </c>
      <c r="C105" s="1447">
        <v>46182</v>
      </c>
      <c r="D105" s="1904" t="s">
        <v>1967</v>
      </c>
      <c r="E105" s="762">
        <f>_xlfn.XLOOKUP(D105,RUC!$B$3:$B$123,RUC!$D$3:$D$123)</f>
        <v>20601769396</v>
      </c>
      <c r="F105" s="629" t="s">
        <v>5975</v>
      </c>
      <c r="G105" s="762">
        <v>30</v>
      </c>
      <c r="H105" s="1082" t="s">
        <v>116</v>
      </c>
      <c r="I105" s="703">
        <v>1.98</v>
      </c>
      <c r="J105" s="596">
        <v>13.05</v>
      </c>
      <c r="K105" s="703">
        <f t="shared" si="43"/>
        <v>1.722</v>
      </c>
      <c r="L105" s="1192">
        <v>0.33300000000000002</v>
      </c>
      <c r="M105" s="994">
        <f>ROUND(+IF(L105&gt;_xlfn.XLOOKUP(AN105,RUC!M:M,RUC!K:K),L105*_xlfn.XLOOKUP(AN105,RUC!M:M,RUC!I:I),L105-_xlfn.XLOOKUP(AN105,RUC!M:M,RUC!J:J)),3)</f>
        <v>0.313</v>
      </c>
      <c r="N105" s="1196">
        <f t="shared" si="39"/>
        <v>0.313</v>
      </c>
      <c r="O105" s="645">
        <f t="shared" si="41"/>
        <v>0.313</v>
      </c>
      <c r="P105" s="727">
        <v>90</v>
      </c>
      <c r="Q105" s="875">
        <v>96.1</v>
      </c>
      <c r="R105" s="706">
        <v>4327.6499999999996</v>
      </c>
      <c r="S105" s="765">
        <f>IF((_xlfn.XLOOKUP(D105,RUC!$B$3:$B$119,RUC!$E$3:$E$119)+ROUNDDOWN(O105,1)*100)&lt;95,95,((_xlfn.XLOOKUP(D105,RUC!$B$3:$B$119,RUC!$E$3:$E$119)+ROUNDDOWN(O105,1)*100)))</f>
        <v>120</v>
      </c>
      <c r="U105" s="1146">
        <f>_xlfn.XLOOKUP(D105,RUC!$B$3:$B$123,RUC!$F$3:$F$123)</f>
        <v>120</v>
      </c>
      <c r="V105" s="715">
        <v>1.1023000000000001</v>
      </c>
      <c r="Y105">
        <f>_xlfn.XLOOKUP(D105,RUC!$B$3:$B$123,RUC!$G$3:$G$123)</f>
        <v>20</v>
      </c>
      <c r="Z105" s="143">
        <f>_xlfn.XLOOKUP(D105,RUC!$B$3:$B$123,RUC!$H$3:$H$123)</f>
        <v>30</v>
      </c>
      <c r="AA105" s="144">
        <f t="shared" si="44"/>
        <v>50</v>
      </c>
      <c r="AB105" s="145">
        <f t="shared" si="45"/>
        <v>1119.1596840115001</v>
      </c>
      <c r="AC105" s="145">
        <f>+(S105-T105)*V105-'data 1'!$F$4</f>
        <v>52.27600000000001</v>
      </c>
      <c r="AD105" s="145">
        <f t="shared" si="46"/>
        <v>94.213574882234923</v>
      </c>
      <c r="AE105" s="145">
        <f t="shared" si="47"/>
        <v>-14.884999999999998</v>
      </c>
      <c r="AF105" s="145">
        <f t="shared" si="48"/>
        <v>89.144139675900064</v>
      </c>
      <c r="AG105" s="772">
        <f t="shared" ref="AG105:AG112" si="54">AC105+AD105+AE105+AF105+70-53</f>
        <v>237.74871455813502</v>
      </c>
      <c r="AH105" s="1253">
        <f t="shared" si="49"/>
        <v>18.893000000000001</v>
      </c>
      <c r="AI105" s="1253">
        <f t="shared" si="50"/>
        <v>19.66</v>
      </c>
      <c r="AJ105" s="156">
        <f t="shared" si="53"/>
        <v>-35.857071034334879</v>
      </c>
      <c r="AK105" s="156">
        <f t="shared" si="51"/>
        <v>16.63140974716557</v>
      </c>
      <c r="AM105" s="716">
        <f t="shared" si="52"/>
        <v>1927.1929758678032</v>
      </c>
      <c r="AN105" s="716" t="str">
        <f>_xlfn.XLOOKUP(D105,RUC!$B$3:$B$578,RUC!$M$3:$M$578)</f>
        <v>Evelyn</v>
      </c>
      <c r="AO105" s="1167" t="s">
        <v>2279</v>
      </c>
      <c r="AP105" s="1082" t="s">
        <v>5965</v>
      </c>
      <c r="AQ105" s="1082" t="s">
        <v>5966</v>
      </c>
    </row>
    <row r="106" spans="1:43" ht="15" customHeight="1">
      <c r="A106" s="747" t="s">
        <v>5948</v>
      </c>
      <c r="B106" s="1447">
        <v>46190</v>
      </c>
      <c r="C106" s="1447">
        <v>46182</v>
      </c>
      <c r="D106" s="1904" t="s">
        <v>1967</v>
      </c>
      <c r="E106" s="762">
        <f>_xlfn.XLOOKUP(D106,RUC!$B$3:$B$123,RUC!$D$3:$D$123)</f>
        <v>20601769396</v>
      </c>
      <c r="F106" s="629" t="s">
        <v>5975</v>
      </c>
      <c r="G106" s="762">
        <v>30</v>
      </c>
      <c r="H106" s="1082" t="s">
        <v>116</v>
      </c>
      <c r="I106" s="703">
        <v>1.89</v>
      </c>
      <c r="J106" s="596">
        <v>8.15</v>
      </c>
      <c r="K106" s="703">
        <f t="shared" si="43"/>
        <v>1.736</v>
      </c>
      <c r="L106" s="1192">
        <v>0.31900000000000001</v>
      </c>
      <c r="M106" s="994">
        <f>ROUND(+IF(L106&gt;_xlfn.XLOOKUP(AN106,RUC!M:M,RUC!K:K),L106*_xlfn.XLOOKUP(AN106,RUC!M:M,RUC!I:I),L106-_xlfn.XLOOKUP(AN106,RUC!M:M,RUC!J:J)),3)</f>
        <v>0.3</v>
      </c>
      <c r="N106" s="1196">
        <f t="shared" si="39"/>
        <v>0.3</v>
      </c>
      <c r="O106" s="645">
        <f t="shared" si="41"/>
        <v>0.3</v>
      </c>
      <c r="P106" s="727">
        <v>90</v>
      </c>
      <c r="Q106" s="875">
        <v>93.42</v>
      </c>
      <c r="R106" s="706">
        <v>4327.6499999999996</v>
      </c>
      <c r="S106" s="765">
        <f>IF((_xlfn.XLOOKUP(D106,RUC!$B$3:$B$119,RUC!$E$3:$E$119)+ROUNDDOWN(O106,1)*100)&lt;95,95,((_xlfn.XLOOKUP(D106,RUC!$B$3:$B$119,RUC!$E$3:$E$119)+ROUNDDOWN(O106,1)*100)))</f>
        <v>120</v>
      </c>
      <c r="U106" s="1146">
        <f>_xlfn.XLOOKUP(D106,RUC!$B$3:$B$123,RUC!$F$3:$F$123)</f>
        <v>120</v>
      </c>
      <c r="V106" s="715">
        <v>1.1023000000000001</v>
      </c>
      <c r="Y106">
        <f>_xlfn.XLOOKUP(D106,RUC!$B$3:$B$123,RUC!$G$3:$G$123)</f>
        <v>20</v>
      </c>
      <c r="Z106" s="143">
        <f>_xlfn.XLOOKUP(D106,RUC!$B$3:$B$123,RUC!$H$3:$H$123)</f>
        <v>30</v>
      </c>
      <c r="AA106" s="144">
        <f t="shared" si="44"/>
        <v>50</v>
      </c>
      <c r="AB106" s="145">
        <f t="shared" si="45"/>
        <v>1064.89400065</v>
      </c>
      <c r="AC106" s="145">
        <f>+(S106-T106)*V106-'data 1'!$F$4</f>
        <v>52.27600000000001</v>
      </c>
      <c r="AD106" s="145">
        <f t="shared" si="46"/>
        <v>50.60066259293103</v>
      </c>
      <c r="AE106" s="145">
        <f t="shared" si="47"/>
        <v>-14.884999999999998</v>
      </c>
      <c r="AF106" s="145">
        <f t="shared" si="48"/>
        <v>82.325215942731063</v>
      </c>
      <c r="AG106" s="772">
        <f t="shared" si="54"/>
        <v>187.31687853566211</v>
      </c>
      <c r="AH106" s="1253">
        <f t="shared" si="49"/>
        <v>17.736999999999998</v>
      </c>
      <c r="AI106" s="1253">
        <f t="shared" si="50"/>
        <v>18.986999999999998</v>
      </c>
      <c r="AJ106" s="156">
        <f t="shared" si="53"/>
        <v>-33.391638988190884</v>
      </c>
      <c r="AK106" s="156">
        <f t="shared" si="51"/>
        <v>16.070247086796002</v>
      </c>
      <c r="AM106" s="716">
        <f t="shared" si="52"/>
        <v>1848.6559851283998</v>
      </c>
      <c r="AN106" s="716" t="str">
        <f>_xlfn.XLOOKUP(D106,RUC!$B$3:$B$578,RUC!$M$3:$M$578)</f>
        <v>Evelyn</v>
      </c>
      <c r="AO106" s="1167" t="s">
        <v>2279</v>
      </c>
      <c r="AP106" s="1082" t="s">
        <v>5965</v>
      </c>
      <c r="AQ106" s="1082" t="s">
        <v>5966</v>
      </c>
    </row>
    <row r="107" spans="1:43" ht="15" customHeight="1">
      <c r="A107" s="747" t="s">
        <v>5949</v>
      </c>
      <c r="B107" s="1447">
        <v>46190</v>
      </c>
      <c r="C107" s="1447">
        <v>46182</v>
      </c>
      <c r="D107" s="1904" t="s">
        <v>1967</v>
      </c>
      <c r="E107" s="762">
        <f>_xlfn.XLOOKUP(D107,RUC!$B$3:$B$123,RUC!$D$3:$D$123)</f>
        <v>20601769396</v>
      </c>
      <c r="F107" s="629" t="s">
        <v>5976</v>
      </c>
      <c r="G107" s="762">
        <v>42</v>
      </c>
      <c r="H107" s="1082" t="s">
        <v>108</v>
      </c>
      <c r="I107" s="703">
        <v>3.23</v>
      </c>
      <c r="J107" s="596">
        <v>8.65</v>
      </c>
      <c r="K107" s="703">
        <f t="shared" si="43"/>
        <v>2.9510000000000001</v>
      </c>
      <c r="L107" s="1192">
        <v>0.19500000000000001</v>
      </c>
      <c r="M107" s="994">
        <f>ROUND(+IF(L107&gt;_xlfn.XLOOKUP(AN107,RUC!M:M,RUC!K:K),L107*_xlfn.XLOOKUP(AN107,RUC!M:M,RUC!I:I),L107-_xlfn.XLOOKUP(AN107,RUC!M:M,RUC!J:J)),3)</f>
        <v>0.17599999999999999</v>
      </c>
      <c r="N107" s="1444">
        <v>0.23200000000000001</v>
      </c>
      <c r="O107" s="645">
        <f t="shared" si="41"/>
        <v>0.20399999999999999</v>
      </c>
      <c r="P107" s="727">
        <v>90</v>
      </c>
      <c r="Q107" s="875">
        <v>94.36</v>
      </c>
      <c r="R107" s="706">
        <v>4327.6499999999996</v>
      </c>
      <c r="S107" s="765">
        <f>IF((_xlfn.XLOOKUP(D107,RUC!$B$3:$B$119,RUC!$E$3:$E$119)+ROUNDDOWN(O107,1)*100)&lt;95,95,((_xlfn.XLOOKUP(D107,RUC!$B$3:$B$119,RUC!$E$3:$E$119)+ROUNDDOWN(O107,1)*100)))</f>
        <v>110</v>
      </c>
      <c r="U107" s="1146">
        <f>_xlfn.XLOOKUP(D107,RUC!$B$3:$B$123,RUC!$F$3:$F$123)</f>
        <v>120</v>
      </c>
      <c r="V107" s="715">
        <v>1.1023000000000001</v>
      </c>
      <c r="Y107" s="1445">
        <v>30</v>
      </c>
      <c r="Z107" s="1454">
        <v>70</v>
      </c>
      <c r="AA107" s="144">
        <f t="shared" si="44"/>
        <v>100</v>
      </c>
      <c r="AB107" s="145">
        <f t="shared" si="45"/>
        <v>620.07080044200006</v>
      </c>
      <c r="AC107" s="145">
        <f>+(S107-T107)*V107-'data 1'!$F$4</f>
        <v>41.253</v>
      </c>
      <c r="AD107" s="145">
        <f t="shared" si="46"/>
        <v>39.433063242689997</v>
      </c>
      <c r="AE107" s="145">
        <f t="shared" si="47"/>
        <v>40.230000000000004</v>
      </c>
      <c r="AF107" s="145">
        <f t="shared" si="48"/>
        <v>-39.388537553777915</v>
      </c>
      <c r="AG107" s="772">
        <f t="shared" si="54"/>
        <v>98.527525688912078</v>
      </c>
      <c r="AH107" s="1253">
        <f t="shared" si="49"/>
        <v>18.617000000000001</v>
      </c>
      <c r="AI107" s="1253">
        <f t="shared" si="50"/>
        <v>19.728999999999999</v>
      </c>
      <c r="AJ107" s="156">
        <f t="shared" si="53"/>
        <v>-20.61720237758993</v>
      </c>
      <c r="AK107" s="156">
        <f t="shared" si="51"/>
        <v>18.575946672886982</v>
      </c>
      <c r="AM107" s="716">
        <f t="shared" si="52"/>
        <v>1829.8289321043421</v>
      </c>
      <c r="AN107" s="716" t="str">
        <f>_xlfn.XLOOKUP(D107,RUC!$B$3:$B$578,RUC!$M$3:$M$578)</f>
        <v>Evelyn</v>
      </c>
      <c r="AO107" s="1167" t="s">
        <v>2280</v>
      </c>
      <c r="AP107" s="1082" t="s">
        <v>5965</v>
      </c>
      <c r="AQ107" s="1082" t="s">
        <v>5966</v>
      </c>
    </row>
    <row r="108" spans="1:43" ht="15" customHeight="1">
      <c r="A108" s="747" t="s">
        <v>5950</v>
      </c>
      <c r="B108" s="1447">
        <v>46190</v>
      </c>
      <c r="C108" s="1447">
        <v>46182</v>
      </c>
      <c r="D108" s="1904" t="s">
        <v>1967</v>
      </c>
      <c r="E108" s="762">
        <f>_xlfn.XLOOKUP(D108,RUC!$B$3:$B$123,RUC!$D$3:$D$123)</f>
        <v>20601769396</v>
      </c>
      <c r="F108" s="629" t="s">
        <v>5976</v>
      </c>
      <c r="G108" s="762">
        <v>36</v>
      </c>
      <c r="H108" s="1082" t="s">
        <v>108</v>
      </c>
      <c r="I108" s="703">
        <v>2.84</v>
      </c>
      <c r="J108" s="596">
        <v>11.05</v>
      </c>
      <c r="K108" s="703">
        <f t="shared" si="43"/>
        <v>2.5259999999999998</v>
      </c>
      <c r="L108" s="1192">
        <v>0.23100000000000001</v>
      </c>
      <c r="M108" s="994">
        <f>ROUND(+IF(L108&gt;_xlfn.XLOOKUP(AN108,RUC!M:M,RUC!K:K),L108*_xlfn.XLOOKUP(AN108,RUC!M:M,RUC!I:I),L108-_xlfn.XLOOKUP(AN108,RUC!M:M,RUC!J:J)),3)</f>
        <v>0.21199999999999999</v>
      </c>
      <c r="N108" s="1196">
        <f t="shared" ref="N108:N111" si="55">+M108</f>
        <v>0.21199999999999999</v>
      </c>
      <c r="O108" s="645">
        <f t="shared" si="41"/>
        <v>0.21199999999999999</v>
      </c>
      <c r="P108" s="727">
        <v>90</v>
      </c>
      <c r="Q108" s="875">
        <v>93.94</v>
      </c>
      <c r="R108" s="706">
        <v>4327.6499999999996</v>
      </c>
      <c r="S108" s="765">
        <f>IF((_xlfn.XLOOKUP(D108,RUC!$B$3:$B$119,RUC!$E$3:$E$119)+ROUNDDOWN(O108,1)*100)&lt;95,95,((_xlfn.XLOOKUP(D108,RUC!$B$3:$B$119,RUC!$E$3:$E$119)+ROUNDDOWN(O108,1)*100)))</f>
        <v>110</v>
      </c>
      <c r="U108" s="1146">
        <f>_xlfn.XLOOKUP(D108,RUC!$B$3:$B$123,RUC!$F$3:$F$123)</f>
        <v>120</v>
      </c>
      <c r="V108" s="715">
        <v>1.1023000000000001</v>
      </c>
      <c r="Y108" s="1445">
        <v>30</v>
      </c>
      <c r="Z108" s="1454">
        <v>70</v>
      </c>
      <c r="AA108" s="144">
        <f t="shared" si="44"/>
        <v>100</v>
      </c>
      <c r="AB108" s="145">
        <f t="shared" si="45"/>
        <v>653.46506712599989</v>
      </c>
      <c r="AC108" s="145">
        <f>+(S108-T108)*V108-'data 1'!$F$4</f>
        <v>41.253</v>
      </c>
      <c r="AD108" s="145">
        <f t="shared" si="46"/>
        <v>42.213135944132972</v>
      </c>
      <c r="AE108" s="145">
        <f t="shared" si="47"/>
        <v>40.230000000000004</v>
      </c>
      <c r="AF108" s="145">
        <f t="shared" si="48"/>
        <v>82.783459491117071</v>
      </c>
      <c r="AG108" s="772">
        <f t="shared" si="54"/>
        <v>223.47959543525008</v>
      </c>
      <c r="AH108" s="1253">
        <f t="shared" si="49"/>
        <v>18.792999999999999</v>
      </c>
      <c r="AI108" s="1253">
        <f t="shared" si="50"/>
        <v>20.006</v>
      </c>
      <c r="AJ108" s="156">
        <f t="shared" si="53"/>
        <v>-24.314745383312914</v>
      </c>
      <c r="AK108" s="156">
        <f t="shared" si="51"/>
        <v>16.524213052888442</v>
      </c>
      <c r="AM108" s="716">
        <f t="shared" si="52"/>
        <v>1650.6527595602756</v>
      </c>
      <c r="AN108" s="716" t="str">
        <f>_xlfn.XLOOKUP(D108,RUC!$B$3:$B$578,RUC!$M$3:$M$578)</f>
        <v>Evelyn</v>
      </c>
      <c r="AO108" s="1167" t="s">
        <v>2280</v>
      </c>
      <c r="AP108" s="1082" t="s">
        <v>5965</v>
      </c>
      <c r="AQ108" s="1082" t="s">
        <v>5966</v>
      </c>
    </row>
    <row r="109" spans="1:43" ht="15" customHeight="1">
      <c r="A109" s="747" t="s">
        <v>5951</v>
      </c>
      <c r="B109" s="1447">
        <v>46190</v>
      </c>
      <c r="C109" s="1447">
        <v>46182</v>
      </c>
      <c r="D109" s="1904" t="s">
        <v>1967</v>
      </c>
      <c r="E109" s="762">
        <f>_xlfn.XLOOKUP(D109,RUC!$B$3:$B$123,RUC!$D$3:$D$123)</f>
        <v>20601769396</v>
      </c>
      <c r="F109" s="629" t="s">
        <v>5976</v>
      </c>
      <c r="G109" s="762">
        <v>36</v>
      </c>
      <c r="H109" s="1082" t="s">
        <v>108</v>
      </c>
      <c r="I109" s="703">
        <v>2.72</v>
      </c>
      <c r="J109" s="596">
        <v>9.5</v>
      </c>
      <c r="K109" s="703">
        <f t="shared" si="43"/>
        <v>2.4620000000000002</v>
      </c>
      <c r="L109" s="1192">
        <v>0.17399999999999999</v>
      </c>
      <c r="M109" s="994">
        <f>ROUND(+IF(L109&gt;_xlfn.XLOOKUP(AN109,RUC!M:M,RUC!K:K),L109*_xlfn.XLOOKUP(AN109,RUC!M:M,RUC!I:I),L109-_xlfn.XLOOKUP(AN109,RUC!M:M,RUC!J:J)),3)</f>
        <v>0.155</v>
      </c>
      <c r="N109" s="1196">
        <f t="shared" si="55"/>
        <v>0.155</v>
      </c>
      <c r="O109" s="645">
        <f t="shared" si="41"/>
        <v>0.155</v>
      </c>
      <c r="P109" s="727">
        <v>85</v>
      </c>
      <c r="Q109" s="875">
        <v>94.25</v>
      </c>
      <c r="R109" s="706">
        <v>4327.6499999999996</v>
      </c>
      <c r="S109" s="765">
        <f>IF((_xlfn.XLOOKUP(D109,RUC!$B$3:$B$119,RUC!$E$3:$E$119)+ROUNDDOWN(O109,1)*100)&lt;95,95,((_xlfn.XLOOKUP(D109,RUC!$B$3:$B$119,RUC!$E$3:$E$119)+ROUNDDOWN(O109,1)*100)))</f>
        <v>100</v>
      </c>
      <c r="U109" s="1146">
        <f>_xlfn.XLOOKUP(D109,RUC!$B$3:$B$123,RUC!$F$3:$F$123)</f>
        <v>120</v>
      </c>
      <c r="V109" s="715">
        <v>1.1023000000000001</v>
      </c>
      <c r="Y109" s="1445">
        <v>30</v>
      </c>
      <c r="Z109" s="1454">
        <v>70</v>
      </c>
      <c r="AA109" s="144">
        <f t="shared" si="44"/>
        <v>100</v>
      </c>
      <c r="AB109" s="145">
        <f t="shared" si="45"/>
        <v>390.60869939124996</v>
      </c>
      <c r="AC109" s="145">
        <f>+(S109-T109)*V109-'data 1'!$F$4</f>
        <v>30.230000000000004</v>
      </c>
      <c r="AD109" s="145">
        <f t="shared" si="46"/>
        <v>74.650100316524998</v>
      </c>
      <c r="AE109" s="145">
        <f t="shared" si="47"/>
        <v>40.230000000000004</v>
      </c>
      <c r="AF109" s="145">
        <f t="shared" si="48"/>
        <v>83.05664314496245</v>
      </c>
      <c r="AG109" s="772">
        <f t="shared" si="54"/>
        <v>245.16674346148744</v>
      </c>
      <c r="AH109" s="1253">
        <f t="shared" si="49"/>
        <v>13.843</v>
      </c>
      <c r="AI109" s="1253">
        <f t="shared" si="50"/>
        <v>14.686999999999999</v>
      </c>
      <c r="AJ109" s="156">
        <f t="shared" si="53"/>
        <v>-18.375442136024937</v>
      </c>
      <c r="AK109" s="156">
        <f t="shared" si="51"/>
        <v>11.121099893696426</v>
      </c>
      <c r="AM109" s="716">
        <f t="shared" si="52"/>
        <v>961.67861790125744</v>
      </c>
      <c r="AN109" s="716" t="str">
        <f>_xlfn.XLOOKUP(D109,RUC!$B$3:$B$578,RUC!$M$3:$M$578)</f>
        <v>Evelyn</v>
      </c>
      <c r="AO109" s="1167" t="s">
        <v>2280</v>
      </c>
      <c r="AP109" s="1082" t="s">
        <v>5965</v>
      </c>
      <c r="AQ109" s="1082" t="s">
        <v>5966</v>
      </c>
    </row>
    <row r="110" spans="1:43" ht="15" customHeight="1">
      <c r="A110" s="747" t="s">
        <v>5952</v>
      </c>
      <c r="B110" s="1447">
        <v>46190</v>
      </c>
      <c r="C110" s="1447">
        <v>46182</v>
      </c>
      <c r="D110" s="1904" t="s">
        <v>1967</v>
      </c>
      <c r="E110" s="762">
        <f>_xlfn.XLOOKUP(D110,RUC!$B$3:$B$123,RUC!$D$3:$D$123)</f>
        <v>20601769396</v>
      </c>
      <c r="F110" s="629" t="s">
        <v>5976</v>
      </c>
      <c r="G110" s="762">
        <v>36</v>
      </c>
      <c r="H110" s="1082" t="s">
        <v>108</v>
      </c>
      <c r="I110" s="703">
        <v>2.72</v>
      </c>
      <c r="J110" s="596">
        <v>10.55</v>
      </c>
      <c r="K110" s="703">
        <f t="shared" si="43"/>
        <v>2.4329999999999998</v>
      </c>
      <c r="L110" s="1192">
        <v>0.223</v>
      </c>
      <c r="M110" s="994">
        <f>ROUND(+IF(L110&gt;_xlfn.XLOOKUP(AN110,RUC!M:M,RUC!K:K),L110*_xlfn.XLOOKUP(AN110,RUC!M:M,RUC!I:I),L110-_xlfn.XLOOKUP(AN110,RUC!M:M,RUC!J:J)),3)</f>
        <v>0.20399999999999999</v>
      </c>
      <c r="N110" s="1196">
        <f t="shared" si="55"/>
        <v>0.20399999999999999</v>
      </c>
      <c r="O110" s="645">
        <f t="shared" si="41"/>
        <v>0.20399999999999999</v>
      </c>
      <c r="P110" s="727">
        <v>90</v>
      </c>
      <c r="Q110" s="875">
        <v>94.62</v>
      </c>
      <c r="R110" s="706">
        <v>4327.6499999999996</v>
      </c>
      <c r="S110" s="765">
        <f>IF((_xlfn.XLOOKUP(D110,RUC!$B$3:$B$119,RUC!$E$3:$E$119)+ROUNDDOWN(O110,1)*100)&lt;95,95,((_xlfn.XLOOKUP(D110,RUC!$B$3:$B$119,RUC!$E$3:$E$119)+ROUNDDOWN(O110,1)*100)))</f>
        <v>110</v>
      </c>
      <c r="U110" s="1146">
        <f>_xlfn.XLOOKUP(D110,RUC!$B$3:$B$123,RUC!$F$3:$F$123)</f>
        <v>120</v>
      </c>
      <c r="V110" s="715">
        <v>1.1023000000000001</v>
      </c>
      <c r="Y110" s="1445">
        <v>30</v>
      </c>
      <c r="Z110" s="1454">
        <v>70</v>
      </c>
      <c r="AA110" s="144">
        <f t="shared" si="44"/>
        <v>100</v>
      </c>
      <c r="AB110" s="145">
        <f t="shared" si="45"/>
        <v>620.07080044200006</v>
      </c>
      <c r="AC110" s="145">
        <f>+(S110-T110)*V110-'data 1'!$F$4</f>
        <v>41.253</v>
      </c>
      <c r="AD110" s="145">
        <f t="shared" si="46"/>
        <v>47.784412769247055</v>
      </c>
      <c r="AE110" s="145">
        <f t="shared" si="47"/>
        <v>40.230000000000004</v>
      </c>
      <c r="AF110" s="145">
        <f t="shared" si="48"/>
        <v>83.382701054391077</v>
      </c>
      <c r="AG110" s="772">
        <f t="shared" si="54"/>
        <v>229.65011382363815</v>
      </c>
      <c r="AH110" s="1253">
        <f t="shared" si="49"/>
        <v>17.600999999999999</v>
      </c>
      <c r="AI110" s="1253">
        <f t="shared" si="50"/>
        <v>18.602</v>
      </c>
      <c r="AJ110" s="156">
        <f t="shared" si="53"/>
        <v>-23.642587071866913</v>
      </c>
      <c r="AK110" s="156">
        <f t="shared" si="51"/>
        <v>15.315241699469338</v>
      </c>
      <c r="AM110" s="716">
        <f t="shared" si="52"/>
        <v>1508.632257475386</v>
      </c>
      <c r="AN110" s="716" t="str">
        <f>_xlfn.XLOOKUP(D110,RUC!$B$3:$B$578,RUC!$M$3:$M$578)</f>
        <v>Evelyn</v>
      </c>
      <c r="AO110" s="1167" t="s">
        <v>2280</v>
      </c>
      <c r="AP110" s="1082" t="s">
        <v>5965</v>
      </c>
      <c r="AQ110" s="1082" t="s">
        <v>5966</v>
      </c>
    </row>
    <row r="111" spans="1:43" ht="15" customHeight="1">
      <c r="A111" s="747" t="s">
        <v>5953</v>
      </c>
      <c r="B111" s="1447">
        <v>46190</v>
      </c>
      <c r="C111" s="1447">
        <v>46182</v>
      </c>
      <c r="D111" s="1904" t="s">
        <v>1967</v>
      </c>
      <c r="E111" s="762">
        <f>_xlfn.XLOOKUP(D111,RUC!$B$3:$B$123,RUC!$D$3:$D$123)</f>
        <v>20601769396</v>
      </c>
      <c r="F111" s="629" t="s">
        <v>5977</v>
      </c>
      <c r="G111" s="762">
        <v>58</v>
      </c>
      <c r="H111" s="1082" t="s">
        <v>116</v>
      </c>
      <c r="I111" s="703">
        <v>4.49</v>
      </c>
      <c r="J111" s="596">
        <v>14.2</v>
      </c>
      <c r="K111" s="703">
        <f t="shared" si="43"/>
        <v>3.8519999999999999</v>
      </c>
      <c r="L111" s="1192">
        <v>0.879</v>
      </c>
      <c r="M111" s="994">
        <f>ROUND(+IF(L111&gt;_xlfn.XLOOKUP(AN111,RUC!M:M,RUC!K:K),L111*_xlfn.XLOOKUP(AN111,RUC!M:M,RUC!I:I),L111-_xlfn.XLOOKUP(AN111,RUC!M:M,RUC!J:J)),3)</f>
        <v>0.82599999999999996</v>
      </c>
      <c r="N111" s="1196">
        <f t="shared" si="55"/>
        <v>0.82599999999999996</v>
      </c>
      <c r="O111" s="645">
        <f t="shared" si="41"/>
        <v>0.82599999999999996</v>
      </c>
      <c r="P111" s="727">
        <v>90</v>
      </c>
      <c r="Q111" s="875">
        <v>98.29</v>
      </c>
      <c r="R111" s="706">
        <v>4327.6499999999996</v>
      </c>
      <c r="S111" s="765">
        <f>IF((_xlfn.XLOOKUP(D111,RUC!$B$3:$B$119,RUC!$E$3:$E$119)+ROUNDDOWN(O111,1)*100)&lt;95,95,((_xlfn.XLOOKUP(D111,RUC!$B$3:$B$119,RUC!$E$3:$E$119)+ROUNDDOWN(O111,1)*100)))</f>
        <v>170</v>
      </c>
      <c r="U111" s="1146">
        <f>_xlfn.XLOOKUP(D111,RUC!$B$3:$B$123,RUC!$F$3:$F$123)</f>
        <v>120</v>
      </c>
      <c r="V111" s="715">
        <v>1.1023000000000001</v>
      </c>
      <c r="Y111">
        <f>_xlfn.XLOOKUP(D111,RUC!$B$3:$B$123,RUC!$G$3:$G$123)</f>
        <v>20</v>
      </c>
      <c r="Z111" s="143">
        <f>_xlfn.XLOOKUP(D111,RUC!$B$3:$B$123,RUC!$H$3:$H$123)</f>
        <v>30</v>
      </c>
      <c r="AA111" s="144">
        <f t="shared" si="44"/>
        <v>50</v>
      </c>
      <c r="AB111" s="145">
        <f t="shared" si="45"/>
        <v>3205.4520351229994</v>
      </c>
      <c r="AC111" s="145">
        <f>+(S111-T111)*V111-'data 1'!$F$4</f>
        <v>107.39100000000002</v>
      </c>
      <c r="AD111" s="145">
        <f t="shared" si="46"/>
        <v>337.97363311431474</v>
      </c>
      <c r="AE111" s="145">
        <f t="shared" si="47"/>
        <v>-14.884999999999998</v>
      </c>
      <c r="AF111" s="145">
        <f t="shared" si="48"/>
        <v>241.61540421615169</v>
      </c>
      <c r="AG111" s="772">
        <f t="shared" si="54"/>
        <v>689.09503733046643</v>
      </c>
      <c r="AH111" s="1253">
        <f t="shared" si="49"/>
        <v>114.102</v>
      </c>
      <c r="AI111" s="1253">
        <f t="shared" si="50"/>
        <v>116.087</v>
      </c>
      <c r="AJ111" s="156">
        <f t="shared" si="53"/>
        <v>-96.806696572234173</v>
      </c>
      <c r="AK111" s="156">
        <f t="shared" si="51"/>
        <v>98.178841798977246</v>
      </c>
      <c r="AM111" s="716">
        <f t="shared" si="52"/>
        <v>12347.401239293793</v>
      </c>
      <c r="AN111" s="716" t="str">
        <f>_xlfn.XLOOKUP(D111,RUC!$B$3:$B$578,RUC!$M$3:$M$578)</f>
        <v>Evelyn</v>
      </c>
      <c r="AO111" s="1167" t="s">
        <v>2279</v>
      </c>
      <c r="AP111" s="1082" t="s">
        <v>5965</v>
      </c>
      <c r="AQ111" s="1082" t="s">
        <v>5966</v>
      </c>
    </row>
    <row r="112" spans="1:43" ht="15" customHeight="1">
      <c r="A112" s="747" t="s">
        <v>5954</v>
      </c>
      <c r="B112" s="1447">
        <v>46190</v>
      </c>
      <c r="C112" s="1447">
        <v>46182</v>
      </c>
      <c r="D112" s="1904" t="s">
        <v>1967</v>
      </c>
      <c r="E112" s="762">
        <f>_xlfn.XLOOKUP(D112,RUC!$B$3:$B$123,RUC!$D$3:$D$123)</f>
        <v>20601769396</v>
      </c>
      <c r="F112" s="629" t="s">
        <v>5977</v>
      </c>
      <c r="G112" s="762">
        <v>60</v>
      </c>
      <c r="H112" s="1082" t="s">
        <v>116</v>
      </c>
      <c r="I112" s="703">
        <v>4.7</v>
      </c>
      <c r="J112" s="596">
        <v>15.12</v>
      </c>
      <c r="K112" s="703">
        <f t="shared" si="43"/>
        <v>3.9889999999999999</v>
      </c>
      <c r="L112" s="1192">
        <v>0.88800000000000001</v>
      </c>
      <c r="M112" s="994">
        <f>ROUND(+IF(L112&gt;_xlfn.XLOOKUP(AN112,RUC!M:M,RUC!K:K),L112*_xlfn.XLOOKUP(AN112,RUC!M:M,RUC!I:I),L112-_xlfn.XLOOKUP(AN112,RUC!M:M,RUC!J:J)),3)</f>
        <v>0.83499999999999996</v>
      </c>
      <c r="N112" s="1196">
        <v>0.91500000000000004</v>
      </c>
      <c r="O112" s="645">
        <f t="shared" si="41"/>
        <v>0.875</v>
      </c>
      <c r="P112" s="727">
        <v>90</v>
      </c>
      <c r="Q112" s="875">
        <v>98.2</v>
      </c>
      <c r="R112" s="706">
        <v>4327.6499999999996</v>
      </c>
      <c r="S112" s="765">
        <f>IF((_xlfn.XLOOKUP(D112,RUC!$B$3:$B$119,RUC!$E$3:$E$119)+ROUNDDOWN(O112,1)*100)&lt;95,95,((_xlfn.XLOOKUP(D112,RUC!$B$3:$B$119,RUC!$E$3:$E$119)+ROUNDDOWN(O112,1)*100)))</f>
        <v>170</v>
      </c>
      <c r="U112" s="1146">
        <f>_xlfn.XLOOKUP(D112,RUC!$B$3:$B$123,RUC!$F$3:$F$123)</f>
        <v>120</v>
      </c>
      <c r="V112" s="715">
        <v>1.1023000000000001</v>
      </c>
      <c r="Y112">
        <f>_xlfn.XLOOKUP(D112,RUC!$B$3:$B$123,RUC!$G$3:$G$123)</f>
        <v>20</v>
      </c>
      <c r="Z112" s="143">
        <f>_xlfn.XLOOKUP(D112,RUC!$B$3:$B$123,RUC!$H$3:$H$123)</f>
        <v>30</v>
      </c>
      <c r="AA112" s="144">
        <f t="shared" si="44"/>
        <v>50</v>
      </c>
      <c r="AB112" s="145">
        <f t="shared" si="45"/>
        <v>3409.9919185625004</v>
      </c>
      <c r="AC112" s="145">
        <f>+(S112-T112)*V112-'data 1'!$F$4</f>
        <v>107.39100000000002</v>
      </c>
      <c r="AD112" s="145">
        <f t="shared" si="46"/>
        <v>337.72735039752013</v>
      </c>
      <c r="AE112" s="145">
        <f t="shared" si="47"/>
        <v>-14.884999999999998</v>
      </c>
      <c r="AF112" s="145">
        <f t="shared" si="48"/>
        <v>59.209890067770054</v>
      </c>
      <c r="AG112" s="772">
        <f t="shared" si="54"/>
        <v>506.44324046529027</v>
      </c>
      <c r="AH112" s="1253">
        <f t="shared" si="49"/>
        <v>119.261</v>
      </c>
      <c r="AI112" s="1253">
        <f t="shared" si="50"/>
        <v>121.447</v>
      </c>
      <c r="AJ112" s="156">
        <f t="shared" si="53"/>
        <v>-97.70834202071967</v>
      </c>
      <c r="AK112" s="156">
        <f t="shared" si="51"/>
        <v>107.70197518351688</v>
      </c>
      <c r="AM112" s="716">
        <f t="shared" si="52"/>
        <v>13602.457763145814</v>
      </c>
      <c r="AN112" s="716" t="str">
        <f>_xlfn.XLOOKUP(D112,RUC!$B$3:$B$578,RUC!$M$3:$M$578)</f>
        <v>Evelyn</v>
      </c>
      <c r="AO112" s="1167" t="s">
        <v>2279</v>
      </c>
      <c r="AP112" s="1082" t="s">
        <v>5965</v>
      </c>
      <c r="AQ112" s="1082" t="s">
        <v>5966</v>
      </c>
    </row>
    <row r="113" spans="1:43" ht="15" customHeight="1">
      <c r="A113" s="747" t="s">
        <v>5955</v>
      </c>
      <c r="B113" s="1447">
        <v>46188</v>
      </c>
      <c r="C113" s="1447">
        <v>46183</v>
      </c>
      <c r="D113" s="1904" t="s">
        <v>2004</v>
      </c>
      <c r="E113" s="762">
        <f>_xlfn.XLOOKUP(D113,RUC!$B$3:$B$123,RUC!$D$3:$D$123)</f>
        <v>20612921866</v>
      </c>
      <c r="F113" s="629"/>
      <c r="G113" s="762" t="s">
        <v>2985</v>
      </c>
      <c r="H113" s="1082" t="s">
        <v>69</v>
      </c>
      <c r="I113" s="703">
        <v>10.199999999999999</v>
      </c>
      <c r="J113" s="596">
        <v>2</v>
      </c>
      <c r="K113" s="703">
        <f t="shared" si="43"/>
        <v>9.9960000000000004</v>
      </c>
      <c r="L113" s="1192">
        <v>0.24399999999999999</v>
      </c>
      <c r="M113" s="994">
        <f>ROUND(+IF(L113&gt;_xlfn.XLOOKUP(AN113,RUC!M:M,RUC!K:K),L113*_xlfn.XLOOKUP(AN113,RUC!M:M,RUC!I:I),L113-_xlfn.XLOOKUP(AN113,RUC!M:M,RUC!J:J)),3)</f>
        <v>0.22500000000000001</v>
      </c>
      <c r="N113" s="1196">
        <f t="shared" ref="N113:N140" si="56">+M113</f>
        <v>0.22500000000000001</v>
      </c>
      <c r="O113" s="645">
        <f t="shared" si="41"/>
        <v>0.22500000000000001</v>
      </c>
      <c r="P113" s="727">
        <v>90</v>
      </c>
      <c r="Q113" s="875">
        <v>96.31</v>
      </c>
      <c r="R113" s="706">
        <v>4170.95</v>
      </c>
      <c r="S113" s="765">
        <f>IF((_xlfn.XLOOKUP(D113,RUC!$B$3:$B$119,RUC!$E$3:$E$119)+ROUNDDOWN(O113,1)*100)&lt;95,95,((_xlfn.XLOOKUP(D113,RUC!$B$3:$B$119,RUC!$E$3:$E$119)+ROUNDDOWN(O113,1)*100)))</f>
        <v>100</v>
      </c>
      <c r="U113" s="1146">
        <f>_xlfn.XLOOKUP(D113,RUC!$B$3:$B$123,RUC!$F$3:$F$123)</f>
        <v>100</v>
      </c>
      <c r="V113" s="715">
        <v>1.1023000000000001</v>
      </c>
      <c r="Y113">
        <f>_xlfn.XLOOKUP(D113,RUC!$B$3:$B$123,RUC!$G$3:$G$123)</f>
        <v>0</v>
      </c>
      <c r="Z113" s="143">
        <f>_xlfn.XLOOKUP(D113,RUC!$B$3:$B$123,RUC!$H$3:$H$123)</f>
        <v>30</v>
      </c>
      <c r="AA113" s="144">
        <f t="shared" si="44"/>
        <v>30</v>
      </c>
      <c r="AB113" s="145">
        <f t="shared" si="45"/>
        <v>765.40115746250012</v>
      </c>
      <c r="AC113" s="145">
        <f>+(S113-T113)*V113-'data 1'!$F$4</f>
        <v>30.230000000000004</v>
      </c>
      <c r="AD113" s="145">
        <f t="shared" si="46"/>
        <v>69.089931379534022</v>
      </c>
      <c r="AE113" s="145">
        <f t="shared" si="47"/>
        <v>-36.930999999999997</v>
      </c>
      <c r="AF113" s="145">
        <f t="shared" si="48"/>
        <v>82.114633636496478</v>
      </c>
      <c r="AG113" s="772">
        <f>AC113+AD113+AE113+AF113+70-10</f>
        <v>204.50356501603051</v>
      </c>
      <c r="AH113" s="1253">
        <f t="shared" si="49"/>
        <v>80.537000000000006</v>
      </c>
      <c r="AI113" s="1253">
        <f t="shared" si="50"/>
        <v>83.623000000000005</v>
      </c>
      <c r="AJ113" s="156">
        <f t="shared" si="53"/>
        <v>9.0792304367860464</v>
      </c>
      <c r="AK113" s="156">
        <f t="shared" si="51"/>
        <v>69.400139636929509</v>
      </c>
      <c r="AM113" s="716">
        <f t="shared" si="52"/>
        <v>7650.9499699951512</v>
      </c>
      <c r="AN113" s="716" t="str">
        <f>_xlfn.XLOOKUP(D113,RUC!$B$3:$B$578,RUC!$M$3:$M$578)</f>
        <v>Ronald Garibay</v>
      </c>
      <c r="AO113" s="1167" t="s">
        <v>2279</v>
      </c>
      <c r="AP113" s="1082" t="s">
        <v>5987</v>
      </c>
      <c r="AQ113" s="1082" t="s">
        <v>5988</v>
      </c>
    </row>
    <row r="114" spans="1:43" ht="15" customHeight="1">
      <c r="A114" s="747" t="s">
        <v>5968</v>
      </c>
      <c r="B114" s="1447">
        <v>46188</v>
      </c>
      <c r="C114" s="1447">
        <v>46183</v>
      </c>
      <c r="D114" s="1904" t="s">
        <v>2004</v>
      </c>
      <c r="E114" s="762">
        <f>_xlfn.XLOOKUP(D114,RUC!$B$3:$B$123,RUC!$D$3:$D$123)</f>
        <v>20612921866</v>
      </c>
      <c r="F114" s="629"/>
      <c r="G114" s="762" t="s">
        <v>2985</v>
      </c>
      <c r="H114" s="1082" t="s">
        <v>69</v>
      </c>
      <c r="I114" s="703">
        <v>10.45</v>
      </c>
      <c r="J114" s="596">
        <v>2</v>
      </c>
      <c r="K114" s="703">
        <f t="shared" si="43"/>
        <v>10.241</v>
      </c>
      <c r="L114" s="1192">
        <v>0.24399999999999999</v>
      </c>
      <c r="M114" s="994">
        <f>ROUND(+IF(L114&gt;_xlfn.XLOOKUP(AN114,RUC!M:M,RUC!K:K),L114*_xlfn.XLOOKUP(AN114,RUC!M:M,RUC!I:I),L114-_xlfn.XLOOKUP(AN114,RUC!M:M,RUC!J:J)),3)</f>
        <v>0.22500000000000001</v>
      </c>
      <c r="N114" s="1196">
        <f t="shared" si="56"/>
        <v>0.22500000000000001</v>
      </c>
      <c r="O114" s="645">
        <f t="shared" si="41"/>
        <v>0.22500000000000001</v>
      </c>
      <c r="P114" s="727">
        <v>90</v>
      </c>
      <c r="Q114" s="875">
        <v>96.31</v>
      </c>
      <c r="R114" s="706">
        <v>4170.95</v>
      </c>
      <c r="S114" s="765">
        <f>IF((_xlfn.XLOOKUP(D114,RUC!$B$3:$B$119,RUC!$E$3:$E$119)+ROUNDDOWN(O114,1)*100)&lt;95,95,((_xlfn.XLOOKUP(D114,RUC!$B$3:$B$119,RUC!$E$3:$E$119)+ROUNDDOWN(O114,1)*100)))</f>
        <v>100</v>
      </c>
      <c r="U114" s="1146">
        <f>_xlfn.XLOOKUP(D114,RUC!$B$3:$B$123,RUC!$F$3:$F$123)</f>
        <v>100</v>
      </c>
      <c r="V114" s="715">
        <v>1.1023000000000001</v>
      </c>
      <c r="Y114">
        <f>_xlfn.XLOOKUP(D114,RUC!$B$3:$B$123,RUC!$G$3:$G$123)</f>
        <v>0</v>
      </c>
      <c r="Z114" s="143">
        <f>_xlfn.XLOOKUP(D114,RUC!$B$3:$B$123,RUC!$H$3:$H$123)</f>
        <v>30</v>
      </c>
      <c r="AA114" s="144">
        <f t="shared" si="44"/>
        <v>30</v>
      </c>
      <c r="AB114" s="145">
        <f t="shared" si="45"/>
        <v>765.40115746250012</v>
      </c>
      <c r="AC114" s="145">
        <f>+(S114-T114)*V114-'data 1'!$F$4</f>
        <v>30.230000000000004</v>
      </c>
      <c r="AD114" s="145">
        <f t="shared" si="46"/>
        <v>69.089931379534022</v>
      </c>
      <c r="AE114" s="145">
        <f t="shared" si="47"/>
        <v>-36.930999999999997</v>
      </c>
      <c r="AF114" s="145">
        <f t="shared" si="48"/>
        <v>82.114633636496478</v>
      </c>
      <c r="AG114" s="772">
        <f>AC114+AD114+AE114+AF114+70-10</f>
        <v>204.50356501603051</v>
      </c>
      <c r="AH114" s="1253">
        <f t="shared" si="49"/>
        <v>82.510999999999996</v>
      </c>
      <c r="AI114" s="1253">
        <f t="shared" si="50"/>
        <v>85.671999999999997</v>
      </c>
      <c r="AJ114" s="156">
        <f t="shared" si="53"/>
        <v>9.0792304367860464</v>
      </c>
      <c r="AK114" s="156">
        <f t="shared" si="51"/>
        <v>71.101123451560127</v>
      </c>
      <c r="AM114" s="716">
        <f t="shared" si="52"/>
        <v>7838.4732535734638</v>
      </c>
      <c r="AN114" s="716" t="str">
        <f>_xlfn.XLOOKUP(D114,RUC!$B$3:$B$578,RUC!$M$3:$M$578)</f>
        <v>Ronald Garibay</v>
      </c>
      <c r="AO114" s="1167" t="s">
        <v>2279</v>
      </c>
      <c r="AP114" s="1082" t="s">
        <v>5989</v>
      </c>
      <c r="AQ114" s="1082" t="s">
        <v>5398</v>
      </c>
    </row>
    <row r="115" spans="1:43" ht="15" customHeight="1">
      <c r="A115" s="747" t="s">
        <v>5969</v>
      </c>
      <c r="B115" s="1447">
        <v>46188</v>
      </c>
      <c r="C115" s="1447">
        <v>46183</v>
      </c>
      <c r="D115" s="1904" t="s">
        <v>4171</v>
      </c>
      <c r="E115" s="762">
        <f>_xlfn.XLOOKUP(D115,RUC!$B$3:$B$123,RUC!$D$3:$D$123)</f>
        <v>20614284740</v>
      </c>
      <c r="F115" s="629"/>
      <c r="G115" s="762">
        <v>73</v>
      </c>
      <c r="H115" s="1082" t="s">
        <v>69</v>
      </c>
      <c r="I115" s="703">
        <v>5.66</v>
      </c>
      <c r="J115" s="596">
        <v>2.5</v>
      </c>
      <c r="K115" s="703">
        <f t="shared" si="43"/>
        <v>5.5190000000000001</v>
      </c>
      <c r="L115" s="1192">
        <v>0.34699999999999998</v>
      </c>
      <c r="M115" s="994">
        <f>ROUND(+IF(L115&gt;_xlfn.XLOOKUP(AN115,RUC!M:M,RUC!K:K),L115*_xlfn.XLOOKUP(AN115,RUC!M:M,RUC!I:I),L115-_xlfn.XLOOKUP(AN115,RUC!M:M,RUC!J:J)),3)</f>
        <v>0.32600000000000001</v>
      </c>
      <c r="N115" s="1196">
        <f t="shared" si="56"/>
        <v>0.32600000000000001</v>
      </c>
      <c r="O115" s="645">
        <f t="shared" si="41"/>
        <v>0.32600000000000001</v>
      </c>
      <c r="P115" s="727">
        <v>90</v>
      </c>
      <c r="Q115" s="875">
        <v>97.69</v>
      </c>
      <c r="R115" s="706">
        <v>4170.95</v>
      </c>
      <c r="S115" s="765">
        <f>IF((_xlfn.XLOOKUP(D115,RUC!$B$3:$B$119,RUC!$E$3:$E$119)+ROUNDDOWN(O115,1)*100)&lt;95,95,((_xlfn.XLOOKUP(D115,RUC!$B$3:$B$119,RUC!$E$3:$E$119)+ROUNDDOWN(O115,1)*100)))</f>
        <v>120</v>
      </c>
      <c r="U115" s="1146">
        <f>_xlfn.XLOOKUP(D115,RUC!$B$3:$B$123,RUC!$F$3:$F$123)</f>
        <v>120</v>
      </c>
      <c r="V115" s="715">
        <v>1.1023000000000001</v>
      </c>
      <c r="Y115">
        <f>_xlfn.XLOOKUP(D115,RUC!$B$3:$B$123,RUC!$G$3:$G$123)</f>
        <v>20</v>
      </c>
      <c r="Z115" s="143">
        <f>_xlfn.XLOOKUP(D115,RUC!$B$3:$B$123,RUC!$H$3:$H$123)</f>
        <v>30</v>
      </c>
      <c r="AA115" s="144">
        <f t="shared" si="44"/>
        <v>50</v>
      </c>
      <c r="AB115" s="145">
        <f t="shared" si="45"/>
        <v>1122.7462650790001</v>
      </c>
      <c r="AC115" s="145">
        <f>+(S115-T115)*V115-'data 1'!$F$4</f>
        <v>52.27600000000001</v>
      </c>
      <c r="AD115" s="145">
        <f t="shared" si="46"/>
        <v>119.15506415319545</v>
      </c>
      <c r="AE115" s="145">
        <f t="shared" si="47"/>
        <v>-14.884999999999998</v>
      </c>
      <c r="AF115" s="145">
        <f t="shared" si="48"/>
        <v>91.606458689056325</v>
      </c>
      <c r="AG115" s="772">
        <f t="shared" ref="AG115:AG116" si="57">AC115+AD115+AE115+AF115+70-53</f>
        <v>265.15252284225176</v>
      </c>
      <c r="AH115" s="1253">
        <f t="shared" si="49"/>
        <v>64.143000000000001</v>
      </c>
      <c r="AI115" s="1253">
        <f t="shared" si="50"/>
        <v>65.66</v>
      </c>
      <c r="AJ115" s="156">
        <f t="shared" si="53"/>
        <v>20.570114783644566</v>
      </c>
      <c r="AK115" s="156">
        <f t="shared" si="51"/>
        <v>55.517458020508542</v>
      </c>
      <c r="AM115" s="716">
        <f t="shared" si="52"/>
        <v>6196.4366369710015</v>
      </c>
      <c r="AN115" s="716" t="str">
        <f>_xlfn.XLOOKUP(D115,RUC!$B$3:$B$578,RUC!$M$3:$M$578)</f>
        <v xml:space="preserve">Dante </v>
      </c>
      <c r="AO115" s="1167" t="s">
        <v>2279</v>
      </c>
      <c r="AP115" s="1082" t="s">
        <v>5355</v>
      </c>
      <c r="AQ115" s="1082" t="s">
        <v>5990</v>
      </c>
    </row>
    <row r="116" spans="1:43" ht="15" customHeight="1">
      <c r="A116" s="747" t="s">
        <v>5970</v>
      </c>
      <c r="B116" s="1447">
        <v>46190</v>
      </c>
      <c r="C116" s="1447">
        <v>46183</v>
      </c>
      <c r="D116" s="1904" t="s">
        <v>5095</v>
      </c>
      <c r="E116" s="762">
        <f>_xlfn.XLOOKUP(D116,RUC!$B$3:$B$123,RUC!$D$3:$D$123)</f>
        <v>10770876970</v>
      </c>
      <c r="F116" s="629"/>
      <c r="G116" s="762">
        <v>35</v>
      </c>
      <c r="H116" s="1082" t="s">
        <v>69</v>
      </c>
      <c r="I116" s="703">
        <v>2.86</v>
      </c>
      <c r="J116" s="596">
        <v>3.55</v>
      </c>
      <c r="K116" s="703">
        <f t="shared" si="43"/>
        <v>2.758</v>
      </c>
      <c r="L116" s="1192">
        <v>0.61599999999999999</v>
      </c>
      <c r="M116" s="994">
        <f>ROUND(+IF(L116&gt;_xlfn.XLOOKUP(AN116,RUC!M:M,RUC!K:K),L116*_xlfn.XLOOKUP(AN116,RUC!M:M,RUC!I:I),L116-_xlfn.XLOOKUP(AN116,RUC!M:M,RUC!J:J)),3)</f>
        <v>0.57899999999999996</v>
      </c>
      <c r="N116" s="1196">
        <f t="shared" si="56"/>
        <v>0.57899999999999996</v>
      </c>
      <c r="O116" s="645">
        <f t="shared" si="41"/>
        <v>0.57899999999999996</v>
      </c>
      <c r="P116" s="1458">
        <v>88</v>
      </c>
      <c r="Q116" s="875">
        <v>97.24</v>
      </c>
      <c r="R116" s="706">
        <v>4170.95</v>
      </c>
      <c r="S116" s="1551">
        <v>145</v>
      </c>
      <c r="U116" s="1146">
        <f>_xlfn.XLOOKUP(D116,RUC!$B$3:$B$123,RUC!$F$3:$F$123)</f>
        <v>100</v>
      </c>
      <c r="V116" s="715">
        <v>1.1023000000000001</v>
      </c>
      <c r="Y116">
        <f>_xlfn.XLOOKUP(D116,RUC!$B$3:$B$123,RUC!$G$3:$G$123)</f>
        <v>0</v>
      </c>
      <c r="Z116" s="1454">
        <v>130</v>
      </c>
      <c r="AA116" s="144">
        <f t="shared" si="44"/>
        <v>130</v>
      </c>
      <c r="AB116" s="145">
        <f t="shared" si="45"/>
        <v>1983.2917184211999</v>
      </c>
      <c r="AC116" s="145">
        <f>+(S116-T116)*V116-'data 1'!$F$4</f>
        <v>79.833500000000015</v>
      </c>
      <c r="AD116" s="145">
        <f t="shared" si="46"/>
        <v>255.41609403710387</v>
      </c>
      <c r="AE116" s="145">
        <f t="shared" si="47"/>
        <v>73.299000000000007</v>
      </c>
      <c r="AF116" s="145">
        <f t="shared" si="48"/>
        <v>161.45156160647812</v>
      </c>
      <c r="AG116" s="772">
        <f t="shared" si="57"/>
        <v>587.00015564358193</v>
      </c>
      <c r="AH116" s="1253">
        <f t="shared" si="49"/>
        <v>56.640999999999998</v>
      </c>
      <c r="AI116" s="1253">
        <f t="shared" si="50"/>
        <v>58.247999999999998</v>
      </c>
      <c r="AJ116" s="156">
        <f t="shared" si="53"/>
        <v>23.142671568016123</v>
      </c>
      <c r="AK116" s="156">
        <f t="shared" si="51"/>
        <v>48.179752755252885</v>
      </c>
      <c r="AM116" s="716">
        <f t="shared" si="52"/>
        <v>5469.9185594056689</v>
      </c>
      <c r="AN116" s="716" t="str">
        <f>_xlfn.XLOOKUP(D116,RUC!$B$3:$B$578,RUC!$M$3:$M$578)</f>
        <v>Alfred Torres  *</v>
      </c>
      <c r="AO116" s="1167" t="s">
        <v>2279</v>
      </c>
      <c r="AP116" s="1082" t="s">
        <v>2349</v>
      </c>
      <c r="AQ116" s="1082" t="s">
        <v>5991</v>
      </c>
    </row>
    <row r="117" spans="1:43" ht="15" customHeight="1">
      <c r="A117" s="747" t="s">
        <v>5972</v>
      </c>
      <c r="B117" s="1447">
        <v>46188</v>
      </c>
      <c r="C117" s="1447">
        <v>46183</v>
      </c>
      <c r="D117" s="1904" t="s">
        <v>2004</v>
      </c>
      <c r="E117" s="762">
        <f>_xlfn.XLOOKUP(D117,RUC!$B$3:$B$123,RUC!$D$3:$D$123)</f>
        <v>20612921866</v>
      </c>
      <c r="F117" s="629"/>
      <c r="G117" s="762">
        <v>16</v>
      </c>
      <c r="H117" s="1082" t="s">
        <v>69</v>
      </c>
      <c r="I117" s="703">
        <v>1.75</v>
      </c>
      <c r="J117" s="596">
        <v>2</v>
      </c>
      <c r="K117" s="703">
        <f t="shared" si="43"/>
        <v>1.7150000000000001</v>
      </c>
      <c r="L117" s="1192">
        <v>0.439</v>
      </c>
      <c r="M117" s="994">
        <f>ROUND(+IF(L117&gt;_xlfn.XLOOKUP(AN117,RUC!M:M,RUC!K:K),L117*_xlfn.XLOOKUP(AN117,RUC!M:M,RUC!I:I),L117-_xlfn.XLOOKUP(AN117,RUC!M:M,RUC!J:J)),3)</f>
        <v>0.41299999999999998</v>
      </c>
      <c r="N117" s="1196">
        <f t="shared" si="56"/>
        <v>0.41299999999999998</v>
      </c>
      <c r="O117" s="645">
        <f t="shared" si="41"/>
        <v>0.41299999999999998</v>
      </c>
      <c r="P117" s="727">
        <v>90</v>
      </c>
      <c r="Q117" s="875">
        <v>98.63</v>
      </c>
      <c r="R117" s="706">
        <v>4170.95</v>
      </c>
      <c r="S117" s="765">
        <f>IF((_xlfn.XLOOKUP(D117,RUC!$B$3:$B$119,RUC!$E$3:$E$119)+ROUNDDOWN(O117,1)*100)&lt;95,95,((_xlfn.XLOOKUP(D117,RUC!$B$3:$B$119,RUC!$E$3:$E$119)+ROUNDDOWN(O117,1)*100)))</f>
        <v>120</v>
      </c>
      <c r="U117" s="1146">
        <f>_xlfn.XLOOKUP(D117,RUC!$B$3:$B$123,RUC!$F$3:$F$123)</f>
        <v>100</v>
      </c>
      <c r="V117" s="715">
        <v>1.1023000000000001</v>
      </c>
      <c r="Y117">
        <f>_xlfn.XLOOKUP(D117,RUC!$B$3:$B$123,RUC!$G$3:$G$123)</f>
        <v>0</v>
      </c>
      <c r="Z117" s="143">
        <f>_xlfn.XLOOKUP(D117,RUC!$B$3:$B$123,RUC!$H$3:$H$123)</f>
        <v>30</v>
      </c>
      <c r="AA117" s="144">
        <f t="shared" si="44"/>
        <v>30</v>
      </c>
      <c r="AB117" s="145">
        <f t="shared" si="45"/>
        <v>1502.6246223644998</v>
      </c>
      <c r="AC117" s="145">
        <f>+(S117-T117)*V117-'data 1'!$F$4</f>
        <v>52.27600000000001</v>
      </c>
      <c r="AD117" s="145">
        <f t="shared" si="46"/>
        <v>170.00860027445441</v>
      </c>
      <c r="AE117" s="145">
        <f t="shared" si="47"/>
        <v>-36.930999999999997</v>
      </c>
      <c r="AF117" s="145">
        <f t="shared" si="48"/>
        <v>115.0741980145031</v>
      </c>
      <c r="AG117" s="772">
        <f>AC117+AD117+AE117+AF117+70-10</f>
        <v>360.42779828895755</v>
      </c>
      <c r="AH117" s="1253">
        <f t="shared" si="49"/>
        <v>25.459</v>
      </c>
      <c r="AI117" s="1253">
        <f t="shared" si="50"/>
        <v>25.812999999999999</v>
      </c>
      <c r="AJ117" s="156">
        <f t="shared" si="53"/>
        <v>16.728668805705585</v>
      </c>
      <c r="AK117" s="156">
        <f t="shared" si="51"/>
        <v>21.855752035987276</v>
      </c>
      <c r="AM117" s="716">
        <f t="shared" si="52"/>
        <v>2577.0012273551174</v>
      </c>
      <c r="AN117" s="716" t="str">
        <f>_xlfn.XLOOKUP(D117,RUC!$B$3:$B$578,RUC!$M$3:$M$578)</f>
        <v>Ronald Garibay</v>
      </c>
      <c r="AO117" s="1167" t="s">
        <v>2279</v>
      </c>
      <c r="AP117" s="1082" t="s">
        <v>5992</v>
      </c>
      <c r="AQ117" s="1082" t="s">
        <v>3566</v>
      </c>
    </row>
    <row r="118" spans="1:43" ht="15" customHeight="1">
      <c r="A118" s="747" t="s">
        <v>5973</v>
      </c>
      <c r="B118" s="1447">
        <v>46188</v>
      </c>
      <c r="C118" s="1447">
        <v>46183</v>
      </c>
      <c r="D118" s="1904" t="s">
        <v>2004</v>
      </c>
      <c r="E118" s="762">
        <f>_xlfn.XLOOKUP(D118,RUC!$B$3:$B$123,RUC!$D$3:$D$123)</f>
        <v>20612921866</v>
      </c>
      <c r="F118" s="629"/>
      <c r="G118" s="762" t="s">
        <v>2985</v>
      </c>
      <c r="H118" s="1082" t="s">
        <v>69</v>
      </c>
      <c r="I118" s="703">
        <v>9.82</v>
      </c>
      <c r="J118" s="596">
        <v>2</v>
      </c>
      <c r="K118" s="703">
        <f t="shared" si="43"/>
        <v>9.6240000000000006</v>
      </c>
      <c r="L118" s="1192">
        <v>0.27900000000000003</v>
      </c>
      <c r="M118" s="994">
        <f>ROUND(+IF(L118&gt;_xlfn.XLOOKUP(AN118,RUC!M:M,RUC!K:K),L118*_xlfn.XLOOKUP(AN118,RUC!M:M,RUC!I:I),L118-_xlfn.XLOOKUP(AN118,RUC!M:M,RUC!J:J)),3)</f>
        <v>0.26</v>
      </c>
      <c r="N118" s="1196">
        <f t="shared" si="56"/>
        <v>0.26</v>
      </c>
      <c r="O118" s="645">
        <f t="shared" si="41"/>
        <v>0.26</v>
      </c>
      <c r="P118" s="727">
        <v>90</v>
      </c>
      <c r="Q118" s="875">
        <v>93.55</v>
      </c>
      <c r="R118" s="706">
        <v>4170.95</v>
      </c>
      <c r="S118" s="765">
        <f>IF((_xlfn.XLOOKUP(D118,RUC!$B$3:$B$119,RUC!$E$3:$E$119)+ROUNDDOWN(O118,1)*100)&lt;95,95,((_xlfn.XLOOKUP(D118,RUC!$B$3:$B$119,RUC!$E$3:$E$119)+ROUNDDOWN(O118,1)*100)))</f>
        <v>100</v>
      </c>
      <c r="U118" s="1146">
        <f>_xlfn.XLOOKUP(D118,RUC!$B$3:$B$123,RUC!$F$3:$F$123)</f>
        <v>100</v>
      </c>
      <c r="V118" s="715">
        <v>1.1023000000000001</v>
      </c>
      <c r="Y118">
        <f>_xlfn.XLOOKUP(D118,RUC!$B$3:$B$123,RUC!$G$3:$G$123)</f>
        <v>0</v>
      </c>
      <c r="Z118" s="143">
        <f>_xlfn.XLOOKUP(D118,RUC!$B$3:$B$123,RUC!$H$3:$H$123)</f>
        <v>30</v>
      </c>
      <c r="AA118" s="144">
        <f t="shared" si="44"/>
        <v>30</v>
      </c>
      <c r="AB118" s="145">
        <f t="shared" si="45"/>
        <v>906.7545152900002</v>
      </c>
      <c r="AC118" s="145">
        <f>+(S118-T118)*V118-'data 1'!$F$4</f>
        <v>30.230000000000004</v>
      </c>
      <c r="AD118" s="145">
        <f t="shared" si="46"/>
        <v>44.445534368332474</v>
      </c>
      <c r="AE118" s="145">
        <f t="shared" si="47"/>
        <v>-36.930999999999997</v>
      </c>
      <c r="AF118" s="145">
        <f t="shared" si="48"/>
        <v>79.761436784282566</v>
      </c>
      <c r="AG118" s="772">
        <f t="shared" ref="AG118:AG119" si="58">AC118+AD118+AE118+AF118+70-10</f>
        <v>177.50597115261505</v>
      </c>
      <c r="AH118" s="1253">
        <f t="shared" si="49"/>
        <v>86.122</v>
      </c>
      <c r="AI118" s="1253">
        <f t="shared" si="50"/>
        <v>92.06</v>
      </c>
      <c r="AJ118" s="156">
        <f t="shared" si="53"/>
        <v>10.084069375267553</v>
      </c>
      <c r="AK118" s="156">
        <f t="shared" si="51"/>
        <v>77.211242454808811</v>
      </c>
      <c r="AM118" s="716">
        <f t="shared" si="52"/>
        <v>8726.6054551509624</v>
      </c>
      <c r="AN118" s="716" t="str">
        <f>_xlfn.XLOOKUP(D118,RUC!$B$3:$B$578,RUC!$M$3:$M$578)</f>
        <v>Ronald Garibay</v>
      </c>
      <c r="AO118" s="1167" t="s">
        <v>2279</v>
      </c>
      <c r="AP118" s="1082" t="s">
        <v>5992</v>
      </c>
      <c r="AQ118" s="1082" t="s">
        <v>3566</v>
      </c>
    </row>
    <row r="119" spans="1:43" ht="15" customHeight="1">
      <c r="A119" s="747" t="s">
        <v>5974</v>
      </c>
      <c r="B119" s="1447">
        <v>46188</v>
      </c>
      <c r="C119" s="1447">
        <v>46183</v>
      </c>
      <c r="D119" s="1904" t="s">
        <v>2004</v>
      </c>
      <c r="E119" s="762">
        <f>_xlfn.XLOOKUP(D119,RUC!$B$3:$B$123,RUC!$D$3:$D$123)</f>
        <v>20612921866</v>
      </c>
      <c r="F119" s="629"/>
      <c r="G119" s="762" t="s">
        <v>2985</v>
      </c>
      <c r="H119" s="1082" t="s">
        <v>69</v>
      </c>
      <c r="I119" s="703">
        <v>10.34</v>
      </c>
      <c r="J119" s="596">
        <v>2</v>
      </c>
      <c r="K119" s="703">
        <f t="shared" si="43"/>
        <v>10.132999999999999</v>
      </c>
      <c r="L119" s="1192">
        <v>0.251</v>
      </c>
      <c r="M119" s="994">
        <f>ROUND(+IF(L119&gt;_xlfn.XLOOKUP(AN119,RUC!M:M,RUC!K:K),L119*_xlfn.XLOOKUP(AN119,RUC!M:M,RUC!I:I),L119-_xlfn.XLOOKUP(AN119,RUC!M:M,RUC!J:J)),3)</f>
        <v>0.23200000000000001</v>
      </c>
      <c r="N119" s="1196">
        <f t="shared" si="56"/>
        <v>0.23200000000000001</v>
      </c>
      <c r="O119" s="645">
        <f t="shared" si="41"/>
        <v>0.23200000000000001</v>
      </c>
      <c r="P119" s="727">
        <v>90</v>
      </c>
      <c r="Q119" s="875">
        <v>98.01</v>
      </c>
      <c r="R119" s="706">
        <v>4170.95</v>
      </c>
      <c r="S119" s="765">
        <f>IF((_xlfn.XLOOKUP(D119,RUC!$B$3:$B$119,RUC!$E$3:$E$119)+ROUNDDOWN(O119,1)*100)&lt;95,95,((_xlfn.XLOOKUP(D119,RUC!$B$3:$B$119,RUC!$E$3:$E$119)+ROUNDDOWN(O119,1)*100)))</f>
        <v>100</v>
      </c>
      <c r="U119" s="1146">
        <f>_xlfn.XLOOKUP(D119,RUC!$B$3:$B$123,RUC!$F$3:$F$123)</f>
        <v>100</v>
      </c>
      <c r="V119" s="715">
        <v>1.1023000000000001</v>
      </c>
      <c r="Y119">
        <f>_xlfn.XLOOKUP(D119,RUC!$B$3:$B$123,RUC!$G$3:$G$123)</f>
        <v>0</v>
      </c>
      <c r="Z119" s="143">
        <f>_xlfn.XLOOKUP(D119,RUC!$B$3:$B$123,RUC!$H$3:$H$123)</f>
        <v>30</v>
      </c>
      <c r="AA119" s="144">
        <f t="shared" si="44"/>
        <v>30</v>
      </c>
      <c r="AB119" s="145">
        <f t="shared" si="45"/>
        <v>793.67182902800005</v>
      </c>
      <c r="AC119" s="145">
        <f>+(S119-T119)*V119-'data 1'!$F$4</f>
        <v>30.230000000000004</v>
      </c>
      <c r="AD119" s="145">
        <f t="shared" si="46"/>
        <v>90.219790300243545</v>
      </c>
      <c r="AE119" s="145">
        <f t="shared" si="47"/>
        <v>-36.930999999999997</v>
      </c>
      <c r="AF119" s="145">
        <f t="shared" si="48"/>
        <v>83.564066480251455</v>
      </c>
      <c r="AG119" s="772">
        <f t="shared" si="58"/>
        <v>227.08285678049501</v>
      </c>
      <c r="AH119" s="1253">
        <f t="shared" si="49"/>
        <v>85.465999999999994</v>
      </c>
      <c r="AI119" s="1253">
        <f t="shared" si="50"/>
        <v>87.200999999999993</v>
      </c>
      <c r="AJ119" s="156">
        <f t="shared" si="53"/>
        <v>9.5045583316365505</v>
      </c>
      <c r="AK119" s="156">
        <f t="shared" si="51"/>
        <v>72.540009188703721</v>
      </c>
      <c r="AM119" s="716">
        <f t="shared" si="52"/>
        <v>8042.2766435407239</v>
      </c>
      <c r="AN119" s="716" t="str">
        <f>_xlfn.XLOOKUP(D119,RUC!$B$3:$B$578,RUC!$M$3:$M$578)</f>
        <v>Ronald Garibay</v>
      </c>
      <c r="AO119" s="1167" t="s">
        <v>2279</v>
      </c>
      <c r="AP119" s="1082" t="s">
        <v>5993</v>
      </c>
      <c r="AQ119" s="1082" t="s">
        <v>3569</v>
      </c>
    </row>
    <row r="120" spans="1:43" ht="15" customHeight="1">
      <c r="A120" s="747" t="s">
        <v>5979</v>
      </c>
      <c r="B120" s="1447">
        <v>46190</v>
      </c>
      <c r="C120" s="1447">
        <v>46185</v>
      </c>
      <c r="D120" t="s">
        <v>1967</v>
      </c>
      <c r="E120" s="762">
        <f>_xlfn.XLOOKUP(D120,RUC!$B$3:$B$123,RUC!$D$3:$D$123)</f>
        <v>20601769396</v>
      </c>
      <c r="F120" s="629" t="s">
        <v>5998</v>
      </c>
      <c r="G120" s="762">
        <v>17</v>
      </c>
      <c r="H120" s="1082" t="s">
        <v>116</v>
      </c>
      <c r="I120" s="703">
        <v>1.34</v>
      </c>
      <c r="J120" s="596">
        <v>12.7</v>
      </c>
      <c r="K120" s="703">
        <f t="shared" si="43"/>
        <v>1.17</v>
      </c>
      <c r="L120" s="1192">
        <v>0.314</v>
      </c>
      <c r="M120" s="994">
        <f>ROUND(+IF(L120&gt;_xlfn.XLOOKUP(AN120,RUC!M:M,RUC!K:K),L120*_xlfn.XLOOKUP(AN120,RUC!M:M,RUC!I:I),L120-_xlfn.XLOOKUP(AN120,RUC!M:M,RUC!J:J)),3)</f>
        <v>0.29499999999999998</v>
      </c>
      <c r="N120" s="1196">
        <f t="shared" si="56"/>
        <v>0.29499999999999998</v>
      </c>
      <c r="O120" s="645">
        <f t="shared" si="41"/>
        <v>0.29499999999999998</v>
      </c>
      <c r="P120" s="727">
        <v>88</v>
      </c>
      <c r="Q120" s="1899">
        <v>89.49</v>
      </c>
      <c r="R120" s="706">
        <v>4185.95</v>
      </c>
      <c r="S120" s="765">
        <f>IF((_xlfn.XLOOKUP(D120,RUC!$B$3:$B$119,RUC!$E$3:$E$119)+ROUNDDOWN(O120,1)*100)&lt;95,95,((_xlfn.XLOOKUP(D120,RUC!$B$3:$B$119,RUC!$E$3:$E$119)+ROUNDDOWN(O120,1)*100)))</f>
        <v>110</v>
      </c>
      <c r="U120" s="1146">
        <f>_xlfn.XLOOKUP(D120,RUC!$B$3:$B$123,RUC!$F$3:$F$123)</f>
        <v>120</v>
      </c>
      <c r="V120" s="715">
        <v>1.1023000000000001</v>
      </c>
      <c r="Y120">
        <f>_xlfn.XLOOKUP(D120,RUC!$B$3:$B$123,RUC!$G$3:$G$123)</f>
        <v>20</v>
      </c>
      <c r="Z120" s="143">
        <f>_xlfn.XLOOKUP(D120,RUC!$B$3:$B$123,RUC!$H$3:$H$123)</f>
        <v>30</v>
      </c>
      <c r="AA120" s="144">
        <f t="shared" si="44"/>
        <v>50</v>
      </c>
      <c r="AB120" s="145">
        <f t="shared" si="45"/>
        <v>987.13237942600006</v>
      </c>
      <c r="AC120" s="145">
        <f>+(S120-T120)*V120-'data 1'!$F$4</f>
        <v>41.253</v>
      </c>
      <c r="AD120" s="145">
        <f t="shared" si="46"/>
        <v>20.969001830440931</v>
      </c>
      <c r="AE120" s="145">
        <f t="shared" si="47"/>
        <v>-14.884999999999998</v>
      </c>
      <c r="AF120" s="145">
        <f t="shared" si="48"/>
        <v>76.206137524723559</v>
      </c>
      <c r="AG120" s="772">
        <f t="shared" ref="AG120:AG140" si="59">AC120+AD120+AE120+AF120+70-53</f>
        <v>140.5431393551645</v>
      </c>
      <c r="AH120" s="1253">
        <f t="shared" si="49"/>
        <v>11.272</v>
      </c>
      <c r="AI120" s="1253">
        <f t="shared" si="50"/>
        <v>12.596</v>
      </c>
      <c r="AJ120" s="156">
        <f t="shared" si="53"/>
        <v>12.405277509039058</v>
      </c>
      <c r="AK120" s="156">
        <f t="shared" si="51"/>
        <v>10.4135694832026</v>
      </c>
      <c r="AM120" s="716">
        <f t="shared" si="52"/>
        <v>1154.94488392842</v>
      </c>
      <c r="AN120" s="716" t="str">
        <f>_xlfn.XLOOKUP(D120,RUC!$B$3:$B$578,RUC!$M$3:$M$578)</f>
        <v>Evelyn</v>
      </c>
      <c r="AO120" s="1167" t="s">
        <v>2281</v>
      </c>
      <c r="AP120" s="1082" t="s">
        <v>5994</v>
      </c>
      <c r="AQ120" s="1082" t="s">
        <v>4150</v>
      </c>
    </row>
    <row r="121" spans="1:43" ht="15" customHeight="1">
      <c r="A121" s="747" t="s">
        <v>5980</v>
      </c>
      <c r="B121" s="1447">
        <v>46190</v>
      </c>
      <c r="C121" s="1447">
        <v>46185</v>
      </c>
      <c r="D121" t="s">
        <v>1967</v>
      </c>
      <c r="E121" s="762">
        <f>_xlfn.XLOOKUP(D121,RUC!$B$3:$B$123,RUC!$D$3:$D$123)</f>
        <v>20601769396</v>
      </c>
      <c r="F121" s="629" t="s">
        <v>5998</v>
      </c>
      <c r="G121" s="762">
        <v>43</v>
      </c>
      <c r="H121" s="1082" t="s">
        <v>116</v>
      </c>
      <c r="I121" s="703">
        <v>3.7</v>
      </c>
      <c r="J121" s="596">
        <v>11.6</v>
      </c>
      <c r="K121" s="703">
        <f t="shared" si="43"/>
        <v>3.2709999999999999</v>
      </c>
      <c r="L121" s="1192">
        <v>0.182</v>
      </c>
      <c r="M121" s="994">
        <f>ROUND(+IF(L121&gt;_xlfn.XLOOKUP(AN121,RUC!M:M,RUC!K:K),L121*_xlfn.XLOOKUP(AN121,RUC!M:M,RUC!I:I),L121-_xlfn.XLOOKUP(AN121,RUC!M:M,RUC!J:J)),3)</f>
        <v>0.16300000000000001</v>
      </c>
      <c r="N121" s="1196">
        <f t="shared" si="56"/>
        <v>0.16300000000000001</v>
      </c>
      <c r="O121" s="645">
        <f t="shared" si="41"/>
        <v>0.16300000000000001</v>
      </c>
      <c r="P121" s="727">
        <v>85</v>
      </c>
      <c r="Q121" s="1899">
        <v>85.16</v>
      </c>
      <c r="R121" s="706">
        <v>4185.95</v>
      </c>
      <c r="S121" s="765">
        <f>IF((_xlfn.XLOOKUP(D121,RUC!$B$3:$B$119,RUC!$E$3:$E$119)+ROUNDDOWN(O121,1)*100)&lt;95,95,((_xlfn.XLOOKUP(D121,RUC!$B$3:$B$119,RUC!$E$3:$E$119)+ROUNDDOWN(O121,1)*100)))</f>
        <v>100</v>
      </c>
      <c r="U121" s="1146">
        <f>_xlfn.XLOOKUP(D121,RUC!$B$3:$B$123,RUC!$F$3:$F$123)</f>
        <v>120</v>
      </c>
      <c r="V121" s="715">
        <v>1.1023000000000001</v>
      </c>
      <c r="Y121">
        <f>_xlfn.XLOOKUP(D121,RUC!$B$3:$B$123,RUC!$G$3:$G$123)</f>
        <v>20</v>
      </c>
      <c r="Z121" s="143">
        <f>_xlfn.XLOOKUP(D121,RUC!$B$3:$B$123,RUC!$H$3:$H$123)</f>
        <v>30</v>
      </c>
      <c r="AA121" s="144">
        <f t="shared" si="44"/>
        <v>50</v>
      </c>
      <c r="AB121" s="145">
        <f t="shared" si="45"/>
        <v>455.62178570675002</v>
      </c>
      <c r="AC121" s="145">
        <f>+(S121-T121)*V121-'data 1'!$F$4</f>
        <v>30.230000000000004</v>
      </c>
      <c r="AD121" s="145">
        <f t="shared" si="46"/>
        <v>1.3051283146719723</v>
      </c>
      <c r="AE121" s="145">
        <f t="shared" si="47"/>
        <v>-14.884999999999998</v>
      </c>
      <c r="AF121" s="145">
        <f t="shared" si="48"/>
        <v>72.518881121973962</v>
      </c>
      <c r="AG121" s="772">
        <f t="shared" si="59"/>
        <v>106.16900943664592</v>
      </c>
      <c r="AH121" s="1253">
        <f t="shared" si="49"/>
        <v>17.382000000000001</v>
      </c>
      <c r="AI121" s="1253">
        <f t="shared" si="50"/>
        <v>20.411000000000001</v>
      </c>
      <c r="AJ121" s="156">
        <f t="shared" si="53"/>
        <v>6.8424143303880305</v>
      </c>
      <c r="AK121" s="156">
        <f t="shared" si="51"/>
        <v>15.538036722365256</v>
      </c>
      <c r="AM121" s="716">
        <f t="shared" si="52"/>
        <v>1490.3388610467794</v>
      </c>
      <c r="AN121" s="716" t="str">
        <f>_xlfn.XLOOKUP(D121,RUC!$B$3:$B$578,RUC!$M$3:$M$578)</f>
        <v>Evelyn</v>
      </c>
      <c r="AO121" s="1167" t="s">
        <v>2281</v>
      </c>
      <c r="AP121" s="1082" t="s">
        <v>5994</v>
      </c>
      <c r="AQ121" s="1082" t="s">
        <v>4150</v>
      </c>
    </row>
    <row r="122" spans="1:43" ht="15" customHeight="1">
      <c r="A122" s="747" t="s">
        <v>5981</v>
      </c>
      <c r="B122" s="1447">
        <v>46190</v>
      </c>
      <c r="C122" s="1447">
        <v>46185</v>
      </c>
      <c r="D122" t="s">
        <v>4198</v>
      </c>
      <c r="E122" s="762" t="str">
        <f>_xlfn.XLOOKUP(D122,RUC!$B$3:$B$123,RUC!$D$3:$D$123)</f>
        <v>20614284740*</v>
      </c>
      <c r="F122" s="629"/>
      <c r="G122" s="762" t="s">
        <v>2985</v>
      </c>
      <c r="H122" s="1082" t="s">
        <v>69</v>
      </c>
      <c r="I122" s="703">
        <v>22.66</v>
      </c>
      <c r="J122" s="596">
        <v>3.4</v>
      </c>
      <c r="K122" s="703">
        <f t="shared" si="43"/>
        <v>21.89</v>
      </c>
      <c r="L122" s="1192">
        <v>0.155</v>
      </c>
      <c r="M122" s="994">
        <f>ROUND(+IF(L122&gt;_xlfn.XLOOKUP(AN122,RUC!M:M,RUC!K:K),L122*_xlfn.XLOOKUP(AN122,RUC!M:M,RUC!I:I),L122-_xlfn.XLOOKUP(AN122,RUC!M:M,RUC!J:J)),3)</f>
        <v>0.13600000000000001</v>
      </c>
      <c r="N122" s="1196">
        <v>0.17</v>
      </c>
      <c r="O122" s="645">
        <f t="shared" si="41"/>
        <v>0.153</v>
      </c>
      <c r="P122" s="727">
        <v>80</v>
      </c>
      <c r="Q122" s="875">
        <v>94.19</v>
      </c>
      <c r="R122" s="706">
        <v>4185.95</v>
      </c>
      <c r="S122" s="765">
        <f>IF((_xlfn.XLOOKUP(D122,RUC!$B$3:$B$119,RUC!$E$3:$E$119)+ROUNDDOWN(O122,1)*100)&lt;95,95,((_xlfn.XLOOKUP(D122,RUC!$B$3:$B$119,RUC!$E$3:$E$119)+ROUNDDOWN(O122,1)*100)))</f>
        <v>95</v>
      </c>
      <c r="U122" s="1146">
        <f>_xlfn.XLOOKUP(D122,RUC!$B$3:$B$123,RUC!$F$3:$F$123)</f>
        <v>110</v>
      </c>
      <c r="V122" s="715">
        <v>1.1023000000000001</v>
      </c>
      <c r="Y122">
        <f>_xlfn.XLOOKUP(D122,RUC!$B$3:$B$123,RUC!$G$3:$G$123)</f>
        <v>0</v>
      </c>
      <c r="Z122" s="143">
        <f>_xlfn.XLOOKUP(D122,RUC!$B$3:$B$123,RUC!$H$3:$H$123)</f>
        <v>35</v>
      </c>
      <c r="AA122" s="144">
        <f t="shared" si="44"/>
        <v>35</v>
      </c>
      <c r="AB122" s="145">
        <f t="shared" si="45"/>
        <v>406.63436944400001</v>
      </c>
      <c r="AC122" s="145">
        <f>+(S122-T122)*V122-'data 1'!$F$4</f>
        <v>24.718500000000006</v>
      </c>
      <c r="AD122" s="145">
        <f t="shared" si="46"/>
        <v>98.819522011732502</v>
      </c>
      <c r="AE122" s="145">
        <f t="shared" si="47"/>
        <v>-31.419499999999999</v>
      </c>
      <c r="AF122" s="145">
        <f t="shared" si="48"/>
        <v>8.4637621026030079</v>
      </c>
      <c r="AG122" s="772">
        <f t="shared" si="59"/>
        <v>117.58228411433552</v>
      </c>
      <c r="AH122" s="1253">
        <f t="shared" si="49"/>
        <v>109.57</v>
      </c>
      <c r="AI122" s="1253">
        <f t="shared" si="50"/>
        <v>116.32899999999999</v>
      </c>
      <c r="AJ122" s="156">
        <f t="shared" si="53"/>
        <v>4.8359386073675301</v>
      </c>
      <c r="AK122" s="156">
        <f t="shared" si="51"/>
        <v>91.862074476334797</v>
      </c>
      <c r="AM122" s="716">
        <f t="shared" si="52"/>
        <v>8901.2263471291608</v>
      </c>
      <c r="AN122" s="716" t="str">
        <f>_xlfn.XLOOKUP(D122,RUC!$B$3:$B$578,RUC!$M$3:$M$578)</f>
        <v>Robinson Tuya</v>
      </c>
      <c r="AO122" s="1167" t="s">
        <v>2281</v>
      </c>
      <c r="AP122" s="1082" t="s">
        <v>5995</v>
      </c>
      <c r="AQ122" s="1082" t="s">
        <v>4145</v>
      </c>
    </row>
    <row r="123" spans="1:43" ht="15" customHeight="1">
      <c r="A123" s="747" t="s">
        <v>5982</v>
      </c>
      <c r="B123" s="1447">
        <v>46191</v>
      </c>
      <c r="C123" s="1447">
        <v>46186</v>
      </c>
      <c r="D123" t="s">
        <v>93</v>
      </c>
      <c r="E123" s="762">
        <f>_xlfn.XLOOKUP(D123,RUC!$B$3:$B$123,RUC!$D$3:$D$123)</f>
        <v>20169040231</v>
      </c>
      <c r="F123" t="s">
        <v>6057</v>
      </c>
      <c r="G123" s="762">
        <v>77</v>
      </c>
      <c r="H123" s="1082" t="s">
        <v>69</v>
      </c>
      <c r="I123" s="703">
        <v>6.36</v>
      </c>
      <c r="J123" s="596">
        <v>2</v>
      </c>
      <c r="K123" s="703">
        <f t="shared" si="43"/>
        <v>6.2329999999999997</v>
      </c>
      <c r="L123" s="1192">
        <v>0.25700000000000001</v>
      </c>
      <c r="M123" s="994">
        <f>ROUND(+IF(L123&gt;_xlfn.XLOOKUP(AN123,RUC!M:M,RUC!K:K),L123*_xlfn.XLOOKUP(AN123,RUC!M:M,RUC!I:I),L123-_xlfn.XLOOKUP(AN123,RUC!M:M,RUC!J:J)),3)</f>
        <v>0.23799999999999999</v>
      </c>
      <c r="N123" s="1196">
        <f t="shared" si="56"/>
        <v>0.23799999999999999</v>
      </c>
      <c r="O123" s="645">
        <f t="shared" si="41"/>
        <v>0.23799999999999999</v>
      </c>
      <c r="P123" s="727">
        <v>90</v>
      </c>
      <c r="Q123" s="875">
        <v>97.67</v>
      </c>
      <c r="R123" s="706">
        <v>4185.95</v>
      </c>
      <c r="S123" s="765">
        <f>IF((_xlfn.XLOOKUP(D123,RUC!$B$3:$B$119,RUC!$E$3:$E$119)+ROUNDDOWN(O123,1)*100)&lt;95,95,((_xlfn.XLOOKUP(D123,RUC!$B$3:$B$119,RUC!$E$3:$E$119)+ROUNDDOWN(O123,1)*100)))</f>
        <v>105</v>
      </c>
      <c r="U123" s="1146">
        <f>_xlfn.XLOOKUP(D123,RUC!$B$3:$B$123,RUC!$F$3:$F$123)</f>
        <v>120</v>
      </c>
      <c r="V123" s="715">
        <v>1.1023000000000001</v>
      </c>
      <c r="Y123">
        <f>_xlfn.XLOOKUP(D123,RUC!$B$3:$B$123,RUC!$G$3:$G$123)</f>
        <v>20</v>
      </c>
      <c r="Z123" s="1454">
        <v>35</v>
      </c>
      <c r="AA123" s="144">
        <f t="shared" si="44"/>
        <v>55</v>
      </c>
      <c r="AB123" s="145">
        <f t="shared" si="45"/>
        <v>783.65426992699997</v>
      </c>
      <c r="AC123" s="145">
        <f>+(S123-T123)*V123-'data 1'!$F$4</f>
        <v>35.741500000000002</v>
      </c>
      <c r="AD123" s="145">
        <f t="shared" si="46"/>
        <v>88.346699265051527</v>
      </c>
      <c r="AE123" s="145">
        <f t="shared" si="47"/>
        <v>-9.3734999999999999</v>
      </c>
      <c r="AF123" s="145">
        <f t="shared" si="48"/>
        <v>83.171901352550577</v>
      </c>
      <c r="AG123" s="772">
        <f t="shared" si="59"/>
        <v>214.88660061760208</v>
      </c>
      <c r="AH123" s="1253">
        <f t="shared" si="49"/>
        <v>53.640999999999998</v>
      </c>
      <c r="AI123" s="1253">
        <f t="shared" si="50"/>
        <v>54.920999999999999</v>
      </c>
      <c r="AJ123" s="156">
        <f t="shared" si="53"/>
        <v>11.081451215668551</v>
      </c>
      <c r="AK123" s="156">
        <f t="shared" si="51"/>
        <v>45.774716439892224</v>
      </c>
      <c r="AM123" s="716">
        <f t="shared" si="52"/>
        <v>4884.5170644549908</v>
      </c>
      <c r="AN123" s="716" t="str">
        <f>_xlfn.XLOOKUP(D123,RUC!$B$3:$B$578,RUC!$M$3:$M$578)</f>
        <v>Ronald Miranda</v>
      </c>
      <c r="AO123" s="1167" t="s">
        <v>2279</v>
      </c>
      <c r="AP123" s="1082" t="s">
        <v>5996</v>
      </c>
      <c r="AQ123" s="1082" t="s">
        <v>5997</v>
      </c>
    </row>
    <row r="124" spans="1:43" ht="15" customHeight="1">
      <c r="A124" s="747" t="s">
        <v>5983</v>
      </c>
      <c r="B124" s="1447">
        <v>46191</v>
      </c>
      <c r="C124" s="1447">
        <v>46186</v>
      </c>
      <c r="D124" t="s">
        <v>93</v>
      </c>
      <c r="E124" s="762">
        <f>_xlfn.XLOOKUP(D124,RUC!$B$3:$B$123,RUC!$D$3:$D$123)</f>
        <v>20169040231</v>
      </c>
      <c r="F124" t="s">
        <v>6057</v>
      </c>
      <c r="G124" s="762">
        <v>78</v>
      </c>
      <c r="H124" s="1082" t="s">
        <v>69</v>
      </c>
      <c r="I124" s="703">
        <v>6.38</v>
      </c>
      <c r="J124" s="596">
        <v>2</v>
      </c>
      <c r="K124" s="703">
        <f t="shared" si="43"/>
        <v>6.2519999999999998</v>
      </c>
      <c r="L124" s="1192">
        <v>0.28199999999999997</v>
      </c>
      <c r="M124" s="994">
        <f>ROUND(+IF(L124&gt;_xlfn.XLOOKUP(AN124,RUC!M:M,RUC!K:K),L124*_xlfn.XLOOKUP(AN124,RUC!M:M,RUC!I:I),L124-_xlfn.XLOOKUP(AN124,RUC!M:M,RUC!J:J)),3)</f>
        <v>0.26300000000000001</v>
      </c>
      <c r="N124" s="1196">
        <f t="shared" si="56"/>
        <v>0.26300000000000001</v>
      </c>
      <c r="O124" s="645">
        <f t="shared" si="41"/>
        <v>0.26300000000000001</v>
      </c>
      <c r="P124" s="727">
        <v>90</v>
      </c>
      <c r="Q124" s="875">
        <v>98.23</v>
      </c>
      <c r="R124" s="706">
        <v>4185.95</v>
      </c>
      <c r="S124" s="765">
        <f>IF((_xlfn.XLOOKUP(D124,RUC!$B$3:$B$119,RUC!$E$3:$E$119)+ROUNDDOWN(O124,1)*100)&lt;95,95,((_xlfn.XLOOKUP(D124,RUC!$B$3:$B$119,RUC!$E$3:$E$119)+ROUNDDOWN(O124,1)*100)))</f>
        <v>105</v>
      </c>
      <c r="U124" s="1146">
        <f>_xlfn.XLOOKUP(D124,RUC!$B$3:$B$123,RUC!$F$3:$F$123)</f>
        <v>120</v>
      </c>
      <c r="V124" s="715">
        <v>1.1023000000000001</v>
      </c>
      <c r="Y124">
        <f>_xlfn.XLOOKUP(D124,RUC!$B$3:$B$123,RUC!$G$3:$G$123)</f>
        <v>20</v>
      </c>
      <c r="Z124" s="1454">
        <v>35</v>
      </c>
      <c r="AA124" s="144">
        <f t="shared" si="44"/>
        <v>55</v>
      </c>
      <c r="AB124" s="145">
        <f t="shared" si="45"/>
        <v>884.49694533950014</v>
      </c>
      <c r="AC124" s="145">
        <f>+(S124-T124)*V124-'data 1'!$F$4</f>
        <v>35.741500000000002</v>
      </c>
      <c r="AD124" s="145">
        <f t="shared" si="46"/>
        <v>104.01854740349103</v>
      </c>
      <c r="AE124" s="145">
        <f t="shared" si="47"/>
        <v>-9.3734999999999999</v>
      </c>
      <c r="AF124" s="145">
        <f t="shared" si="48"/>
        <v>83.648775159834344</v>
      </c>
      <c r="AG124" s="772">
        <f t="shared" si="59"/>
        <v>231.03532256332539</v>
      </c>
      <c r="AH124" s="1253">
        <f t="shared" si="49"/>
        <v>59.377000000000002</v>
      </c>
      <c r="AI124" s="1253">
        <f t="shared" si="50"/>
        <v>60.447000000000003</v>
      </c>
      <c r="AJ124" s="156">
        <f t="shared" si="53"/>
        <v>12.229130520189056</v>
      </c>
      <c r="AK124" s="156">
        <f t="shared" si="51"/>
        <v>50.737176649171623</v>
      </c>
      <c r="AM124" s="716">
        <f t="shared" si="52"/>
        <v>5529.8749022625543</v>
      </c>
      <c r="AN124" s="716" t="str">
        <f>_xlfn.XLOOKUP(D124,RUC!$B$3:$B$578,RUC!$M$3:$M$578)</f>
        <v>Ronald Miranda</v>
      </c>
      <c r="AO124" s="1167" t="s">
        <v>2279</v>
      </c>
      <c r="AP124" s="1082" t="s">
        <v>5996</v>
      </c>
      <c r="AQ124" s="1082" t="s">
        <v>5997</v>
      </c>
    </row>
    <row r="125" spans="1:43" ht="15" customHeight="1">
      <c r="A125" s="747" t="s">
        <v>5984</v>
      </c>
      <c r="B125" s="1447">
        <v>46191</v>
      </c>
      <c r="C125" s="1447">
        <v>46186</v>
      </c>
      <c r="D125" t="s">
        <v>93</v>
      </c>
      <c r="E125" s="762">
        <f>_xlfn.XLOOKUP(D125,RUC!$B$3:$B$123,RUC!$D$3:$D$123)</f>
        <v>20169040231</v>
      </c>
      <c r="F125" s="629" t="s">
        <v>6057</v>
      </c>
      <c r="G125" s="762">
        <v>78</v>
      </c>
      <c r="H125" s="1082" t="s">
        <v>69</v>
      </c>
      <c r="I125" s="703">
        <v>7.62</v>
      </c>
      <c r="J125" s="596">
        <v>3.3</v>
      </c>
      <c r="K125" s="703">
        <f t="shared" si="43"/>
        <v>7.3689999999999998</v>
      </c>
      <c r="L125" s="1192">
        <v>0.16600000000000001</v>
      </c>
      <c r="M125" s="994">
        <f>ROUND(+IF(L125&gt;_xlfn.XLOOKUP(AN125,RUC!M:M,RUC!K:K),L125*_xlfn.XLOOKUP(AN125,RUC!M:M,RUC!I:I),L125-_xlfn.XLOOKUP(AN125,RUC!M:M,RUC!J:J)),3)</f>
        <v>0.14699999999999999</v>
      </c>
      <c r="N125" s="1196">
        <f t="shared" si="56"/>
        <v>0.14699999999999999</v>
      </c>
      <c r="O125" s="645">
        <f t="shared" si="41"/>
        <v>0.14699999999999999</v>
      </c>
      <c r="P125" s="727">
        <v>80</v>
      </c>
      <c r="Q125" s="875">
        <v>98.19</v>
      </c>
      <c r="R125" s="706">
        <v>4185.95</v>
      </c>
      <c r="S125" s="765">
        <f>IF((_xlfn.XLOOKUP(D125,RUC!$B$3:$B$119,RUC!$E$3:$E$119)+ROUNDDOWN(O125,1)*100)&lt;95,95,((_xlfn.XLOOKUP(D125,RUC!$B$3:$B$119,RUC!$E$3:$E$119)+ROUNDDOWN(O125,1)*100)))</f>
        <v>95</v>
      </c>
      <c r="U125" s="1146">
        <f>_xlfn.XLOOKUP(D125,RUC!$B$3:$B$123,RUC!$F$3:$F$123)</f>
        <v>120</v>
      </c>
      <c r="V125" s="715">
        <v>1.1023000000000001</v>
      </c>
      <c r="Y125">
        <f>_xlfn.XLOOKUP(D125,RUC!$B$3:$B$123,RUC!$G$3:$G$123)</f>
        <v>20</v>
      </c>
      <c r="Z125" s="1454">
        <v>35</v>
      </c>
      <c r="AA125" s="144">
        <f t="shared" si="44"/>
        <v>55</v>
      </c>
      <c r="AB125" s="145">
        <f t="shared" si="45"/>
        <v>361.72605015599999</v>
      </c>
      <c r="AC125" s="145">
        <f>+(S125-T125)*V125-'data 1'!$F$4</f>
        <v>24.718500000000006</v>
      </c>
      <c r="AD125" s="145">
        <f t="shared" si="46"/>
        <v>135.33266316224899</v>
      </c>
      <c r="AE125" s="145">
        <f t="shared" si="47"/>
        <v>-9.3734999999999999</v>
      </c>
      <c r="AF125" s="145">
        <f t="shared" si="48"/>
        <v>83.614712745028569</v>
      </c>
      <c r="AG125" s="772">
        <f t="shared" si="59"/>
        <v>251.29237590727757</v>
      </c>
      <c r="AH125" s="1253">
        <f t="shared" si="49"/>
        <v>41.180999999999997</v>
      </c>
      <c r="AI125" s="1253">
        <f t="shared" si="50"/>
        <v>41.94</v>
      </c>
      <c r="AJ125" s="156">
        <f t="shared" si="53"/>
        <v>7.1957766682710336</v>
      </c>
      <c r="AK125" s="156">
        <f t="shared" si="51"/>
        <v>29.711525285956917</v>
      </c>
      <c r="AM125" s="716">
        <f t="shared" si="52"/>
        <v>2665.559263599564</v>
      </c>
      <c r="AN125" s="716" t="str">
        <f>_xlfn.XLOOKUP(D125,RUC!$B$3:$B$578,RUC!$M$3:$M$578)</f>
        <v>Ronald Miranda</v>
      </c>
      <c r="AO125" s="1167" t="s">
        <v>2281</v>
      </c>
      <c r="AP125" s="1082" t="s">
        <v>5996</v>
      </c>
      <c r="AQ125" s="1082" t="s">
        <v>5997</v>
      </c>
    </row>
    <row r="126" spans="1:43" ht="15" customHeight="1">
      <c r="A126" s="747" t="s">
        <v>6004</v>
      </c>
      <c r="B126" s="1447">
        <v>46194</v>
      </c>
      <c r="C126" s="1447">
        <v>46188</v>
      </c>
      <c r="D126" t="s">
        <v>93</v>
      </c>
      <c r="E126" s="762">
        <f>_xlfn.XLOOKUP(D126,RUC!$B$3:$B$123,RUC!$D$3:$D$123)</f>
        <v>20169040231</v>
      </c>
      <c r="F126" s="629" t="s">
        <v>6054</v>
      </c>
      <c r="G126" s="762">
        <v>20</v>
      </c>
      <c r="H126" s="1082" t="s">
        <v>69</v>
      </c>
      <c r="I126" s="703">
        <v>1.86</v>
      </c>
      <c r="J126" s="596">
        <v>2.2000000000000002</v>
      </c>
      <c r="K126" s="703">
        <f t="shared" si="43"/>
        <v>1.819</v>
      </c>
      <c r="L126" s="1192">
        <v>0.36399999999999999</v>
      </c>
      <c r="M126" s="994">
        <f>ROUND(+IF(L126&gt;_xlfn.XLOOKUP(AN126,RUC!M:M,RUC!K:K),L126*_xlfn.XLOOKUP(AN126,RUC!M:M,RUC!I:I),L126-_xlfn.XLOOKUP(AN126,RUC!M:M,RUC!J:J)),3)</f>
        <v>0.34200000000000003</v>
      </c>
      <c r="N126" s="1196">
        <f t="shared" si="56"/>
        <v>0.34200000000000003</v>
      </c>
      <c r="O126" s="645">
        <f t="shared" ref="O126:O140" si="60">+ROUNDDOWN((M126+N126)/2,3)</f>
        <v>0.34200000000000003</v>
      </c>
      <c r="P126" s="727">
        <v>90</v>
      </c>
      <c r="Q126" s="875">
        <v>90.38</v>
      </c>
      <c r="R126" s="706">
        <v>4355.2</v>
      </c>
      <c r="S126" s="765">
        <f>IF((_xlfn.XLOOKUP(D126,RUC!$B$3:$B$119,RUC!$E$3:$E$119)+ROUNDDOWN(O126,1)*100)&lt;95,95,((_xlfn.XLOOKUP(D126,RUC!$B$3:$B$119,RUC!$E$3:$E$119)+ROUNDDOWN(O126,1)*100)))</f>
        <v>115</v>
      </c>
      <c r="U126" s="1146">
        <f>_xlfn.XLOOKUP(D126,RUC!$B$3:$B$123,RUC!$F$3:$F$123)</f>
        <v>120</v>
      </c>
      <c r="V126" s="715">
        <v>1.1023000000000001</v>
      </c>
      <c r="Y126">
        <f>_xlfn.XLOOKUP(D126,RUC!$B$3:$B$123,RUC!$G$3:$G$123)</f>
        <v>20</v>
      </c>
      <c r="Z126" s="1454">
        <v>35</v>
      </c>
      <c r="AA126" s="144">
        <f t="shared" si="44"/>
        <v>55</v>
      </c>
      <c r="AB126" s="145">
        <f t="shared" si="45"/>
        <v>1249.5612834880001</v>
      </c>
      <c r="AC126" s="145">
        <f>+(S126-T126)*V126-'data 1'!$F$4</f>
        <v>46.764500000000012</v>
      </c>
      <c r="AD126" s="145">
        <f t="shared" si="46"/>
        <v>6.4574151998719227</v>
      </c>
      <c r="AE126" s="145">
        <f t="shared" si="47"/>
        <v>-9.3734999999999999</v>
      </c>
      <c r="AF126" s="145">
        <f t="shared" si="48"/>
        <v>92.825810344255842</v>
      </c>
      <c r="AG126" s="772">
        <f t="shared" si="59"/>
        <v>153.67422554412778</v>
      </c>
      <c r="AH126" s="1253">
        <f t="shared" si="49"/>
        <v>20.516999999999999</v>
      </c>
      <c r="AI126" s="1253">
        <f t="shared" si="50"/>
        <v>22.701000000000001</v>
      </c>
      <c r="AJ126" s="156">
        <f t="shared" si="53"/>
        <v>-46.85285303171193</v>
      </c>
      <c r="AK126" s="156">
        <f t="shared" si="51"/>
        <v>19.19598420161601</v>
      </c>
      <c r="AM126" s="716">
        <f t="shared" si="52"/>
        <v>2272.951974664672</v>
      </c>
      <c r="AN126" s="716" t="str">
        <f>_xlfn.XLOOKUP(D126,RUC!$B$3:$B$578,RUC!$M$3:$M$578)</f>
        <v>Ronald Miranda</v>
      </c>
      <c r="AO126" s="1167" t="s">
        <v>2281</v>
      </c>
      <c r="AP126" s="1082" t="s">
        <v>6045</v>
      </c>
      <c r="AQ126" s="1082" t="s">
        <v>4083</v>
      </c>
    </row>
    <row r="127" spans="1:43" ht="15" customHeight="1">
      <c r="A127" s="747" t="s">
        <v>6005</v>
      </c>
      <c r="B127" s="1447">
        <v>46191</v>
      </c>
      <c r="C127" s="1447">
        <v>46188</v>
      </c>
      <c r="D127" t="s">
        <v>93</v>
      </c>
      <c r="E127" s="762">
        <f>_xlfn.XLOOKUP(D127,RUC!$B$3:$B$123,RUC!$D$3:$D$123)</f>
        <v>20169040231</v>
      </c>
      <c r="F127" s="629" t="s">
        <v>6055</v>
      </c>
      <c r="G127" s="762">
        <v>71</v>
      </c>
      <c r="H127" s="1082" t="s">
        <v>69</v>
      </c>
      <c r="I127" s="703">
        <v>6.69</v>
      </c>
      <c r="J127" s="596">
        <v>2.15</v>
      </c>
      <c r="K127" s="703">
        <f t="shared" si="43"/>
        <v>6.5460000000000003</v>
      </c>
      <c r="L127" s="1192">
        <v>0.65300000000000002</v>
      </c>
      <c r="M127" s="994">
        <f>ROUND(+IF(L127&gt;_xlfn.XLOOKUP(AN127,RUC!M:M,RUC!K:K),L127*_xlfn.XLOOKUP(AN127,RUC!M:M,RUC!I:I),L127-_xlfn.XLOOKUP(AN127,RUC!M:M,RUC!J:J)),3)</f>
        <v>0.61399999999999999</v>
      </c>
      <c r="N127" s="1196">
        <f t="shared" si="56"/>
        <v>0.61399999999999999</v>
      </c>
      <c r="O127" s="645">
        <f t="shared" si="60"/>
        <v>0.61399999999999999</v>
      </c>
      <c r="P127" s="727">
        <v>90</v>
      </c>
      <c r="Q127" s="875">
        <v>94.64</v>
      </c>
      <c r="R127" s="706">
        <v>4355.2</v>
      </c>
      <c r="S127" s="765">
        <f>IF((_xlfn.XLOOKUP(D127,RUC!$B$3:$B$119,RUC!$E$3:$E$119)+ROUNDDOWN(O127,1)*100)&lt;95,95,((_xlfn.XLOOKUP(D127,RUC!$B$3:$B$119,RUC!$E$3:$E$119)+ROUNDDOWN(O127,1)*100)))</f>
        <v>145</v>
      </c>
      <c r="U127" s="1146">
        <f>_xlfn.XLOOKUP(D127,RUC!$B$3:$B$123,RUC!$F$3:$F$123)</f>
        <v>120</v>
      </c>
      <c r="V127" s="715">
        <v>1.1023000000000001</v>
      </c>
      <c r="Y127">
        <f>_xlfn.XLOOKUP(D127,RUC!$B$3:$B$123,RUC!$G$3:$G$123)</f>
        <v>20</v>
      </c>
      <c r="Z127" s="1454">
        <v>35</v>
      </c>
      <c r="AA127" s="144">
        <f t="shared" si="44"/>
        <v>55</v>
      </c>
      <c r="AB127" s="145">
        <f t="shared" si="45"/>
        <v>2359.3315264959997</v>
      </c>
      <c r="AC127" s="145">
        <f>+(S127-T127)*V127-'data 1'!$F$4</f>
        <v>79.833500000000015</v>
      </c>
      <c r="AD127" s="145">
        <f t="shared" si="46"/>
        <v>141.45063231923203</v>
      </c>
      <c r="AE127" s="145">
        <f t="shared" si="47"/>
        <v>-9.3734999999999999</v>
      </c>
      <c r="AF127" s="145">
        <f t="shared" si="48"/>
        <v>172.31102664921616</v>
      </c>
      <c r="AG127" s="772">
        <f t="shared" si="59"/>
        <v>401.2216589684482</v>
      </c>
      <c r="AH127" s="1253">
        <f t="shared" si="49"/>
        <v>138.69900000000001</v>
      </c>
      <c r="AI127" s="1253">
        <f t="shared" si="50"/>
        <v>146.554</v>
      </c>
      <c r="AJ127" s="156">
        <f t="shared" si="53"/>
        <v>-88.013690946271893</v>
      </c>
      <c r="AK127" s="156">
        <f t="shared" si="51"/>
        <v>124.0212061868708</v>
      </c>
      <c r="AM127" s="716">
        <f t="shared" si="52"/>
        <v>15444.184172442814</v>
      </c>
      <c r="AN127" s="716" t="str">
        <f>_xlfn.XLOOKUP(D127,RUC!$B$3:$B$578,RUC!$M$3:$M$578)</f>
        <v>Ronald Miranda</v>
      </c>
      <c r="AO127" s="1167" t="s">
        <v>2281</v>
      </c>
      <c r="AP127" s="1082" t="s">
        <v>6045</v>
      </c>
      <c r="AQ127" s="1082" t="s">
        <v>4083</v>
      </c>
    </row>
    <row r="128" spans="1:43" ht="15" customHeight="1">
      <c r="A128" s="747" t="s">
        <v>6006</v>
      </c>
      <c r="B128" s="1447">
        <v>46194</v>
      </c>
      <c r="C128" s="1447">
        <v>46188</v>
      </c>
      <c r="D128" t="s">
        <v>93</v>
      </c>
      <c r="E128" s="762">
        <f>_xlfn.XLOOKUP(D128,RUC!$B$3:$B$123,RUC!$D$3:$D$123)</f>
        <v>20169040231</v>
      </c>
      <c r="F128" s="629" t="s">
        <v>6056</v>
      </c>
      <c r="G128" s="762">
        <v>16</v>
      </c>
      <c r="H128" s="1082" t="s">
        <v>69</v>
      </c>
      <c r="I128" s="703">
        <v>1.39</v>
      </c>
      <c r="J128" s="596">
        <v>2</v>
      </c>
      <c r="K128" s="703">
        <f t="shared" si="43"/>
        <v>1.3620000000000001</v>
      </c>
      <c r="L128" s="1192">
        <v>1.0009999999999999</v>
      </c>
      <c r="M128" s="994">
        <f>ROUND(+IF(L128&gt;_xlfn.XLOOKUP(AN128,RUC!M:M,RUC!K:K),L128*_xlfn.XLOOKUP(AN128,RUC!M:M,RUC!I:I),L128-_xlfn.XLOOKUP(AN128,RUC!M:M,RUC!J:J)),3)</f>
        <v>0.94099999999999995</v>
      </c>
      <c r="N128" s="1196">
        <f t="shared" si="56"/>
        <v>0.94099999999999995</v>
      </c>
      <c r="O128" s="645">
        <f t="shared" si="60"/>
        <v>0.94099999999999995</v>
      </c>
      <c r="P128" s="727">
        <v>90</v>
      </c>
      <c r="Q128" s="875">
        <v>99.1</v>
      </c>
      <c r="R128" s="706">
        <v>4355.2</v>
      </c>
      <c r="S128" s="765">
        <f>IF((_xlfn.XLOOKUP(D128,RUC!$B$3:$B$119,RUC!$E$3:$E$119)+ROUNDDOWN(O128,1)*100)&lt;95,95,((_xlfn.XLOOKUP(D128,RUC!$B$3:$B$119,RUC!$E$3:$E$119)+ROUNDDOWN(O128,1)*100)))</f>
        <v>175</v>
      </c>
      <c r="U128" s="1146">
        <f>_xlfn.XLOOKUP(D128,RUC!$B$3:$B$123,RUC!$F$3:$F$123)</f>
        <v>120</v>
      </c>
      <c r="V128" s="715">
        <v>1.1023000000000001</v>
      </c>
      <c r="Y128">
        <f>_xlfn.XLOOKUP(D128,RUC!$B$3:$B$123,RUC!$G$3:$G$123)</f>
        <v>20</v>
      </c>
      <c r="Z128" s="1454">
        <v>35</v>
      </c>
      <c r="AA128" s="144">
        <f t="shared" si="44"/>
        <v>55</v>
      </c>
      <c r="AB128" s="145">
        <f t="shared" si="45"/>
        <v>3700.1905870240003</v>
      </c>
      <c r="AC128" s="145">
        <f>+(S128-T128)*V128-'data 1'!$F$4</f>
        <v>112.9025</v>
      </c>
      <c r="AD128" s="145">
        <f t="shared" si="46"/>
        <v>425.25477730735969</v>
      </c>
      <c r="AE128" s="145">
        <f t="shared" si="47"/>
        <v>-9.3734999999999999</v>
      </c>
      <c r="AF128" s="145">
        <f t="shared" si="48"/>
        <v>277.5866886815997</v>
      </c>
      <c r="AG128" s="772">
        <f t="shared" si="59"/>
        <v>823.37046598895927</v>
      </c>
      <c r="AH128" s="1253">
        <f t="shared" si="49"/>
        <v>46.323</v>
      </c>
      <c r="AI128" s="1253">
        <f t="shared" si="50"/>
        <v>46.743000000000002</v>
      </c>
      <c r="AJ128" s="156">
        <f t="shared" si="53"/>
        <v>-141.2765409655598</v>
      </c>
      <c r="AK128" s="156">
        <f t="shared" si="51"/>
        <v>39.547433980060291</v>
      </c>
      <c r="AM128" s="716">
        <f t="shared" si="52"/>
        <v>5039.6595795266885</v>
      </c>
      <c r="AN128" s="716" t="str">
        <f>_xlfn.XLOOKUP(D128,RUC!$B$3:$B$578,RUC!$M$3:$M$578)</f>
        <v>Ronald Miranda</v>
      </c>
      <c r="AO128" s="1167" t="s">
        <v>2281</v>
      </c>
      <c r="AP128" s="1082" t="s">
        <v>6045</v>
      </c>
      <c r="AQ128" s="1082" t="s">
        <v>4083</v>
      </c>
    </row>
    <row r="129" spans="1:43" ht="15" customHeight="1">
      <c r="A129" s="1944" t="s">
        <v>6007</v>
      </c>
      <c r="B129" s="1447">
        <v>46222</v>
      </c>
      <c r="C129" s="1447">
        <v>46188</v>
      </c>
      <c r="D129" t="s">
        <v>2368</v>
      </c>
      <c r="E129" s="762">
        <f>_xlfn.XLOOKUP(D129,RUC!$B$3:$B$123,RUC!$D$3:$D$123)</f>
        <v>20612719757</v>
      </c>
      <c r="F129" s="629" t="s">
        <v>5622</v>
      </c>
      <c r="G129" s="762">
        <v>45</v>
      </c>
      <c r="H129" s="1082" t="s">
        <v>108</v>
      </c>
      <c r="I129" s="703">
        <v>4.05</v>
      </c>
      <c r="J129" s="596">
        <v>10.3</v>
      </c>
      <c r="K129" s="703">
        <f t="shared" si="43"/>
        <v>3.633</v>
      </c>
      <c r="L129" s="1192">
        <v>0.26100000000000001</v>
      </c>
      <c r="M129" s="994">
        <f>ROUND(+IF(L129&gt;_xlfn.XLOOKUP(AN129,RUC!M:M,RUC!K:K),L129*_xlfn.XLOOKUP(AN129,RUC!M:M,RUC!I:I),L129-_xlfn.XLOOKUP(AN129,RUC!M:M,RUC!J:J)),3)</f>
        <v>0.24199999999999999</v>
      </c>
      <c r="N129" s="1196">
        <f t="shared" si="56"/>
        <v>0.24199999999999999</v>
      </c>
      <c r="O129" s="645">
        <f t="shared" si="60"/>
        <v>0.24199999999999999</v>
      </c>
      <c r="P129" s="727">
        <v>84</v>
      </c>
      <c r="Q129" s="1906">
        <v>85.44</v>
      </c>
      <c r="R129" s="706">
        <v>4355.2</v>
      </c>
      <c r="S129" s="765">
        <f>IF((_xlfn.XLOOKUP(D129,RUC!$B$3:$B$119,RUC!$E$3:$E$119)+ROUNDDOWN(O129,1)*100)&lt;95,95,((_xlfn.XLOOKUP(D129,RUC!$B$3:$B$119,RUC!$E$3:$E$119)+ROUNDDOWN(O129,1)*100)))</f>
        <v>110</v>
      </c>
      <c r="U129" s="1146">
        <f>_xlfn.XLOOKUP(D129,RUC!$B$3:$B$123,RUC!$F$3:$F$123)</f>
        <v>120</v>
      </c>
      <c r="V129" s="715">
        <v>1.1023000000000001</v>
      </c>
      <c r="Y129">
        <f>_xlfn.XLOOKUP(D129,RUC!$B$3:$B$123,RUC!$G$3:$G$123)</f>
        <v>20</v>
      </c>
      <c r="Z129" s="709">
        <v>70</v>
      </c>
      <c r="AA129" s="144">
        <f t="shared" si="44"/>
        <v>90</v>
      </c>
      <c r="AB129" s="145">
        <f t="shared" si="45"/>
        <v>728.54474394879992</v>
      </c>
      <c r="AC129" s="145">
        <f>+(S129-T129)*V129-'data 1'!$F$4</f>
        <v>41.253</v>
      </c>
      <c r="AD129" s="145">
        <f t="shared" si="46"/>
        <v>17.545943672063974</v>
      </c>
      <c r="AE129" s="145">
        <f t="shared" si="47"/>
        <v>29.207000000000001</v>
      </c>
      <c r="AF129" s="145">
        <f t="shared" si="48"/>
        <v>75.785927840256065</v>
      </c>
      <c r="AG129" s="772">
        <f t="shared" si="59"/>
        <v>180.79187151232003</v>
      </c>
      <c r="AH129" s="1253">
        <f t="shared" si="49"/>
        <v>27.776</v>
      </c>
      <c r="AI129" s="1253">
        <f t="shared" si="50"/>
        <v>32.51</v>
      </c>
      <c r="AJ129" s="156">
        <f t="shared" si="53"/>
        <v>-31.758798812543958</v>
      </c>
      <c r="AK129" s="156">
        <f t="shared" si="51"/>
        <v>25.320315869626935</v>
      </c>
      <c r="AM129" s="716">
        <f t="shared" si="52"/>
        <v>2646.8030547659901</v>
      </c>
      <c r="AN129" s="1019" t="str">
        <f>_xlfn.XLOOKUP(D129,RUC!$B$3:$B$578,RUC!$M$3:$M$578)</f>
        <v>SIN ACOPIADOR</v>
      </c>
      <c r="AO129" s="1167" t="s">
        <v>2281</v>
      </c>
      <c r="AP129" s="1082" t="s">
        <v>6046</v>
      </c>
      <c r="AQ129" s="1082" t="s">
        <v>6047</v>
      </c>
    </row>
    <row r="130" spans="1:43" ht="15" customHeight="1">
      <c r="A130" s="1944" t="s">
        <v>6008</v>
      </c>
      <c r="B130" s="1447">
        <v>46222</v>
      </c>
      <c r="C130" s="1447">
        <v>46188</v>
      </c>
      <c r="D130" t="s">
        <v>2368</v>
      </c>
      <c r="E130" s="762">
        <f>_xlfn.XLOOKUP(D130,RUC!$B$3:$B$123,RUC!$D$3:$D$123)</f>
        <v>20612719757</v>
      </c>
      <c r="F130" s="629" t="s">
        <v>5622</v>
      </c>
      <c r="G130" s="762">
        <v>50</v>
      </c>
      <c r="H130" s="1082" t="s">
        <v>108</v>
      </c>
      <c r="I130" s="703">
        <v>4.16</v>
      </c>
      <c r="J130" s="596">
        <v>11.6</v>
      </c>
      <c r="K130" s="703">
        <f t="shared" si="43"/>
        <v>3.677</v>
      </c>
      <c r="L130" s="1192">
        <v>0.29099999999999998</v>
      </c>
      <c r="M130" s="994">
        <f>ROUND(+IF(L130&gt;_xlfn.XLOOKUP(AN130,RUC!M:M,RUC!K:K),L130*_xlfn.XLOOKUP(AN130,RUC!M:M,RUC!I:I),L130-_xlfn.XLOOKUP(AN130,RUC!M:M,RUC!J:J)),3)</f>
        <v>0.27200000000000002</v>
      </c>
      <c r="N130" s="1196">
        <f t="shared" si="56"/>
        <v>0.27200000000000002</v>
      </c>
      <c r="O130" s="645">
        <f t="shared" si="60"/>
        <v>0.27200000000000002</v>
      </c>
      <c r="P130" s="727">
        <v>90</v>
      </c>
      <c r="Q130" s="875">
        <v>91.07</v>
      </c>
      <c r="R130" s="706">
        <v>4355.2</v>
      </c>
      <c r="S130" s="765">
        <f>IF((_xlfn.XLOOKUP(D130,RUC!$B$3:$B$119,RUC!$E$3:$E$119)+ROUNDDOWN(O130,1)*100)&lt;95,95,((_xlfn.XLOOKUP(D130,RUC!$B$3:$B$119,RUC!$E$3:$E$119)+ROUNDDOWN(O130,1)*100)))</f>
        <v>110</v>
      </c>
      <c r="U130" s="1146">
        <f>_xlfn.XLOOKUP(D130,RUC!$B$3:$B$123,RUC!$F$3:$F$123)</f>
        <v>120</v>
      </c>
      <c r="V130" s="715">
        <v>1.1023000000000001</v>
      </c>
      <c r="Y130">
        <f>_xlfn.XLOOKUP(D130,RUC!$B$3:$B$123,RUC!$G$3:$G$123)</f>
        <v>20</v>
      </c>
      <c r="Z130" s="709">
        <v>70</v>
      </c>
      <c r="AA130" s="144">
        <f t="shared" si="44"/>
        <v>90</v>
      </c>
      <c r="AB130" s="145">
        <f t="shared" si="45"/>
        <v>922.379243008</v>
      </c>
      <c r="AC130" s="145">
        <f>+(S130-T130)*V130-'data 1'!$F$4</f>
        <v>41.253</v>
      </c>
      <c r="AD130" s="145">
        <f t="shared" si="46"/>
        <v>14.536186891151907</v>
      </c>
      <c r="AE130" s="145">
        <f t="shared" si="47"/>
        <v>29.207000000000001</v>
      </c>
      <c r="AF130" s="145">
        <f t="shared" si="48"/>
        <v>80.779780529167823</v>
      </c>
      <c r="AG130" s="772">
        <f t="shared" si="59"/>
        <v>182.77596742031972</v>
      </c>
      <c r="AH130" s="1253">
        <f t="shared" si="49"/>
        <v>33.409999999999997</v>
      </c>
      <c r="AI130" s="1253">
        <f t="shared" si="50"/>
        <v>36.686</v>
      </c>
      <c r="AJ130" s="156">
        <f t="shared" si="53"/>
        <v>-37.742498515091945</v>
      </c>
      <c r="AK130" s="156">
        <f t="shared" si="51"/>
        <v>30.861292631291285</v>
      </c>
      <c r="AM130" s="716">
        <f t="shared" si="52"/>
        <v>3391.5884765404162</v>
      </c>
      <c r="AN130" s="1019" t="str">
        <f>_xlfn.XLOOKUP(D130,RUC!$B$3:$B$578,RUC!$M$3:$M$578)</f>
        <v>SIN ACOPIADOR</v>
      </c>
      <c r="AO130" s="1167" t="s">
        <v>2281</v>
      </c>
      <c r="AP130" s="1082" t="s">
        <v>6046</v>
      </c>
      <c r="AQ130" s="1082" t="s">
        <v>6047</v>
      </c>
    </row>
    <row r="131" spans="1:43" ht="15" customHeight="1">
      <c r="A131" s="1944" t="s">
        <v>6009</v>
      </c>
      <c r="B131" s="1447">
        <v>46222</v>
      </c>
      <c r="C131" s="1447">
        <v>46188</v>
      </c>
      <c r="D131" t="s">
        <v>2368</v>
      </c>
      <c r="E131" s="762">
        <f>_xlfn.XLOOKUP(D131,RUC!$B$3:$B$123,RUC!$D$3:$D$123)</f>
        <v>20612719757</v>
      </c>
      <c r="F131" s="629" t="s">
        <v>5622</v>
      </c>
      <c r="G131" s="762">
        <v>50</v>
      </c>
      <c r="H131" s="1082" t="s">
        <v>108</v>
      </c>
      <c r="I131" s="703">
        <v>4.41</v>
      </c>
      <c r="J131" s="596">
        <v>12.38</v>
      </c>
      <c r="K131" s="703">
        <f t="shared" si="43"/>
        <v>3.8639999999999999</v>
      </c>
      <c r="L131" s="1192">
        <v>0.27800000000000002</v>
      </c>
      <c r="M131" s="994">
        <f>ROUND(+IF(L131&gt;_xlfn.XLOOKUP(AN131,RUC!M:M,RUC!K:K),L131*_xlfn.XLOOKUP(AN131,RUC!M:M,RUC!I:I),L131-_xlfn.XLOOKUP(AN131,RUC!M:M,RUC!J:J)),3)</f>
        <v>0.25900000000000001</v>
      </c>
      <c r="N131" s="1196">
        <f t="shared" si="56"/>
        <v>0.25900000000000001</v>
      </c>
      <c r="O131" s="645">
        <f t="shared" si="60"/>
        <v>0.25900000000000001</v>
      </c>
      <c r="P131" s="727">
        <v>82</v>
      </c>
      <c r="Q131" s="1906">
        <v>83.09</v>
      </c>
      <c r="R131" s="706">
        <v>4355.2</v>
      </c>
      <c r="S131" s="765">
        <f>IF((_xlfn.XLOOKUP(D131,RUC!$B$3:$B$119,RUC!$E$3:$E$119)+ROUNDDOWN(O131,1)*100)&lt;95,95,((_xlfn.XLOOKUP(D131,RUC!$B$3:$B$119,RUC!$E$3:$E$119)+ROUNDDOWN(O131,1)*100)))</f>
        <v>110</v>
      </c>
      <c r="U131" s="1146">
        <f>_xlfn.XLOOKUP(D131,RUC!$B$3:$B$123,RUC!$F$3:$F$123)</f>
        <v>120</v>
      </c>
      <c r="V131" s="715">
        <v>1.1023000000000001</v>
      </c>
      <c r="Y131">
        <f>_xlfn.XLOOKUP(D131,RUC!$B$3:$B$123,RUC!$G$3:$G$123)</f>
        <v>20</v>
      </c>
      <c r="Z131" s="709">
        <v>70</v>
      </c>
      <c r="AA131" s="144">
        <f t="shared" si="44"/>
        <v>90</v>
      </c>
      <c r="AB131" s="145">
        <f t="shared" si="45"/>
        <v>771.02773868480006</v>
      </c>
      <c r="AC131" s="145">
        <f>+(S131-T131)*V131-'data 1'!$F$4</f>
        <v>41.253</v>
      </c>
      <c r="AD131" s="145">
        <f t="shared" si="46"/>
        <v>14.146370400992044</v>
      </c>
      <c r="AE131" s="145">
        <f t="shared" si="47"/>
        <v>29.207000000000001</v>
      </c>
      <c r="AF131" s="145">
        <f t="shared" si="48"/>
        <v>73.701460021616072</v>
      </c>
      <c r="AG131" s="772">
        <f t="shared" si="59"/>
        <v>175.30783042260811</v>
      </c>
      <c r="AH131" s="1253">
        <f t="shared" si="49"/>
        <v>30.600999999999999</v>
      </c>
      <c r="AI131" s="1253">
        <f t="shared" si="50"/>
        <v>36.829000000000001</v>
      </c>
      <c r="AJ131" s="156">
        <f t="shared" si="53"/>
        <v>-32.896968271831959</v>
      </c>
      <c r="AK131" s="156">
        <f t="shared" si="51"/>
        <v>28.135834679123978</v>
      </c>
      <c r="AM131" s="716">
        <f t="shared" si="52"/>
        <v>2979.2511822780675</v>
      </c>
      <c r="AN131" s="1019" t="str">
        <f>_xlfn.XLOOKUP(D131,RUC!$B$3:$B$578,RUC!$M$3:$M$578)</f>
        <v>SIN ACOPIADOR</v>
      </c>
      <c r="AO131" s="1167" t="s">
        <v>2281</v>
      </c>
      <c r="AP131" s="1082" t="s">
        <v>6046</v>
      </c>
      <c r="AQ131" s="1082" t="s">
        <v>6047</v>
      </c>
    </row>
    <row r="132" spans="1:43" ht="15" customHeight="1">
      <c r="A132" s="747" t="s">
        <v>6010</v>
      </c>
      <c r="B132" s="1447">
        <v>46222</v>
      </c>
      <c r="C132" s="1447">
        <v>46188</v>
      </c>
      <c r="D132" t="s">
        <v>1967</v>
      </c>
      <c r="E132" s="762">
        <f>_xlfn.XLOOKUP(D132,RUC!$B$3:$B$123,RUC!$D$3:$D$123)</f>
        <v>20601769396</v>
      </c>
      <c r="F132" s="629" t="s">
        <v>5622</v>
      </c>
      <c r="G132" s="762">
        <v>45</v>
      </c>
      <c r="H132" s="1082" t="s">
        <v>116</v>
      </c>
      <c r="I132" s="703">
        <v>3.4</v>
      </c>
      <c r="J132" s="596">
        <v>12.95</v>
      </c>
      <c r="K132" s="703">
        <f t="shared" si="43"/>
        <v>2.96</v>
      </c>
      <c r="L132" s="1192">
        <v>0.75600000000000001</v>
      </c>
      <c r="M132" s="994">
        <f>ROUND(+IF(L132&gt;_xlfn.XLOOKUP(AN132,RUC!M:M,RUC!K:K),L132*_xlfn.XLOOKUP(AN132,RUC!M:M,RUC!I:I),L132-_xlfn.XLOOKUP(AN132,RUC!M:M,RUC!J:J)),3)</f>
        <v>0.71099999999999997</v>
      </c>
      <c r="N132" s="1196">
        <f t="shared" si="56"/>
        <v>0.71099999999999997</v>
      </c>
      <c r="O132" s="645">
        <f t="shared" si="60"/>
        <v>0.71099999999999997</v>
      </c>
      <c r="P132" s="727">
        <v>90</v>
      </c>
      <c r="Q132" s="875">
        <v>92.46</v>
      </c>
      <c r="R132" s="706">
        <v>4355.2</v>
      </c>
      <c r="S132" s="765">
        <f>IF((_xlfn.XLOOKUP(D132,RUC!$B$3:$B$119,RUC!$E$3:$E$119)+ROUNDDOWN(O132,1)*100)&lt;95,95,((_xlfn.XLOOKUP(D132,RUC!$B$3:$B$119,RUC!$E$3:$E$119)+ROUNDDOWN(O132,1)*100)))</f>
        <v>160</v>
      </c>
      <c r="U132" s="1146">
        <f>_xlfn.XLOOKUP(D132,RUC!$B$3:$B$123,RUC!$F$3:$F$123)</f>
        <v>120</v>
      </c>
      <c r="V132" s="715">
        <v>1.1023000000000001</v>
      </c>
      <c r="Y132">
        <f>_xlfn.XLOOKUP(D132,RUC!$B$3:$B$123,RUC!$G$3:$G$123)</f>
        <v>20</v>
      </c>
      <c r="Z132" s="143">
        <f>_xlfn.XLOOKUP(D132,RUC!$B$3:$B$123,RUC!$H$3:$H$123)</f>
        <v>30</v>
      </c>
      <c r="AA132" s="144">
        <f t="shared" si="44"/>
        <v>50</v>
      </c>
      <c r="AB132" s="145">
        <f t="shared" si="45"/>
        <v>2755.8651683040002</v>
      </c>
      <c r="AC132" s="145">
        <f>+(S132-T132)*V132-'data 1'!$F$4</f>
        <v>96.367999999999995</v>
      </c>
      <c r="AD132" s="145">
        <f t="shared" si="46"/>
        <v>86.822169549695772</v>
      </c>
      <c r="AE132" s="145">
        <f t="shared" si="47"/>
        <v>-14.884999999999998</v>
      </c>
      <c r="AF132" s="145">
        <f t="shared" si="48"/>
        <v>194.24065516272017</v>
      </c>
      <c r="AG132" s="772">
        <f t="shared" si="59"/>
        <v>379.54582471241599</v>
      </c>
      <c r="AH132" s="1253">
        <f t="shared" si="49"/>
        <v>70.938000000000002</v>
      </c>
      <c r="AI132" s="1253">
        <f t="shared" si="50"/>
        <v>76.721999999999994</v>
      </c>
      <c r="AJ132" s="156">
        <f t="shared" si="53"/>
        <v>-99.549253038815863</v>
      </c>
      <c r="AK132" s="156">
        <f t="shared" si="51"/>
        <v>64.94009064705719</v>
      </c>
      <c r="AM132" s="716">
        <f t="shared" si="52"/>
        <v>8157.3608981798407</v>
      </c>
      <c r="AN132" s="716" t="str">
        <f>_xlfn.XLOOKUP(D132,RUC!$B$3:$B$578,RUC!$M$3:$M$578)</f>
        <v>Evelyn</v>
      </c>
      <c r="AO132" s="1167" t="s">
        <v>2281</v>
      </c>
      <c r="AP132" s="1082" t="s">
        <v>4971</v>
      </c>
      <c r="AQ132" s="1082" t="s">
        <v>6048</v>
      </c>
    </row>
    <row r="133" spans="1:43" ht="15" customHeight="1">
      <c r="A133" s="747" t="s">
        <v>6011</v>
      </c>
      <c r="B133" s="1447">
        <v>46194</v>
      </c>
      <c r="C133" s="1447">
        <v>46188</v>
      </c>
      <c r="D133" t="s">
        <v>1967</v>
      </c>
      <c r="E133" s="762">
        <f>_xlfn.XLOOKUP(D133,RUC!$B$3:$B$123,RUC!$D$3:$D$123)</f>
        <v>20601769396</v>
      </c>
      <c r="F133" s="629" t="s">
        <v>6058</v>
      </c>
      <c r="G133" s="762">
        <v>40</v>
      </c>
      <c r="H133" s="1082" t="s">
        <v>69</v>
      </c>
      <c r="I133" s="703">
        <v>2.58</v>
      </c>
      <c r="J133" s="596">
        <v>10.130000000000001</v>
      </c>
      <c r="K133" s="703">
        <f t="shared" si="43"/>
        <v>2.319</v>
      </c>
      <c r="L133" s="1192">
        <v>0.22700000000000001</v>
      </c>
      <c r="M133" s="994">
        <f>ROUND(+IF(L133&gt;_xlfn.XLOOKUP(AN133,RUC!M:M,RUC!K:K),L133*_xlfn.XLOOKUP(AN133,RUC!M:M,RUC!I:I),L133-_xlfn.XLOOKUP(AN133,RUC!M:M,RUC!J:J)),3)</f>
        <v>0.20799999999999999</v>
      </c>
      <c r="N133" s="1196">
        <f t="shared" si="56"/>
        <v>0.20799999999999999</v>
      </c>
      <c r="O133" s="645">
        <f t="shared" si="60"/>
        <v>0.20799999999999999</v>
      </c>
      <c r="P133" s="727">
        <v>90</v>
      </c>
      <c r="Q133" s="875">
        <v>96.04</v>
      </c>
      <c r="R133" s="706">
        <v>4355.2</v>
      </c>
      <c r="S133" s="765">
        <f>IF((_xlfn.XLOOKUP(D133,RUC!$B$3:$B$119,RUC!$E$3:$E$119)+ROUNDDOWN(O133,1)*100)&lt;95,95,((_xlfn.XLOOKUP(D133,RUC!$B$3:$B$119,RUC!$E$3:$E$119)+ROUNDDOWN(O133,1)*100)))</f>
        <v>110</v>
      </c>
      <c r="U133" s="1146">
        <f>_xlfn.XLOOKUP(D133,RUC!$B$3:$B$123,RUC!$F$3:$F$123)</f>
        <v>120</v>
      </c>
      <c r="V133" s="715">
        <v>1.1023000000000001</v>
      </c>
      <c r="Y133">
        <f>_xlfn.XLOOKUP(D133,RUC!$B$3:$B$123,RUC!$G$3:$G$123)</f>
        <v>20</v>
      </c>
      <c r="Z133" s="143">
        <f>_xlfn.XLOOKUP(D133,RUC!$B$3:$B$123,RUC!$H$3:$H$123)</f>
        <v>30</v>
      </c>
      <c r="AA133" s="144">
        <f t="shared" si="44"/>
        <v>50</v>
      </c>
      <c r="AB133" s="145">
        <f t="shared" si="45"/>
        <v>697.56789171199989</v>
      </c>
      <c r="AC133" s="145">
        <f>+(S133-T133)*V133-'data 1'!$F$4</f>
        <v>41.253</v>
      </c>
      <c r="AD133" s="145">
        <f t="shared" si="46"/>
        <v>64.008334530368074</v>
      </c>
      <c r="AE133" s="145">
        <f t="shared" si="47"/>
        <v>-14.884999999999998</v>
      </c>
      <c r="AF133" s="145">
        <f t="shared" si="48"/>
        <v>85.188208213696086</v>
      </c>
      <c r="AG133" s="772">
        <f t="shared" si="59"/>
        <v>192.56454274406417</v>
      </c>
      <c r="AH133" s="1253">
        <f t="shared" si="49"/>
        <v>17.334</v>
      </c>
      <c r="AI133" s="1253">
        <f t="shared" si="50"/>
        <v>18.047999999999998</v>
      </c>
      <c r="AJ133" s="156">
        <f t="shared" si="53"/>
        <v>-31.048478985327961</v>
      </c>
      <c r="AK133" s="156">
        <f t="shared" si="51"/>
        <v>14.883862947024241</v>
      </c>
      <c r="AM133" s="716">
        <f t="shared" si="52"/>
        <v>1617.6599408801278</v>
      </c>
      <c r="AN133" s="716" t="str">
        <f>_xlfn.XLOOKUP(D133,RUC!$B$3:$B$578,RUC!$M$3:$M$578)</f>
        <v>Evelyn</v>
      </c>
      <c r="AO133" s="1167" t="s">
        <v>2281</v>
      </c>
      <c r="AP133" s="1082" t="s">
        <v>4971</v>
      </c>
      <c r="AQ133" s="1082" t="s">
        <v>6048</v>
      </c>
    </row>
    <row r="134" spans="1:43" ht="15" customHeight="1">
      <c r="A134" s="747" t="s">
        <v>6012</v>
      </c>
      <c r="B134" s="1447">
        <v>46194</v>
      </c>
      <c r="C134" s="1447">
        <v>46188</v>
      </c>
      <c r="D134" t="s">
        <v>1967</v>
      </c>
      <c r="E134" s="762">
        <f>_xlfn.XLOOKUP(D134,RUC!$B$3:$B$123,RUC!$D$3:$D$123)</f>
        <v>20601769396</v>
      </c>
      <c r="F134" s="629" t="s">
        <v>6058</v>
      </c>
      <c r="G134" s="762">
        <v>40</v>
      </c>
      <c r="H134" s="1082" t="s">
        <v>69</v>
      </c>
      <c r="I134" s="703">
        <v>2.62</v>
      </c>
      <c r="J134" s="596">
        <v>9.68</v>
      </c>
      <c r="K134" s="703">
        <f t="shared" si="43"/>
        <v>2.3660000000000001</v>
      </c>
      <c r="L134" s="1192">
        <v>0.191</v>
      </c>
      <c r="M134" s="994">
        <f>ROUND(+IF(L134&gt;_xlfn.XLOOKUP(AN134,RUC!M:M,RUC!K:K),L134*_xlfn.XLOOKUP(AN134,RUC!M:M,RUC!I:I),L134-_xlfn.XLOOKUP(AN134,RUC!M:M,RUC!J:J)),3)</f>
        <v>0.17199999999999999</v>
      </c>
      <c r="N134" s="1196">
        <f t="shared" si="56"/>
        <v>0.17199999999999999</v>
      </c>
      <c r="O134" s="645">
        <f t="shared" si="60"/>
        <v>0.17199999999999999</v>
      </c>
      <c r="P134" s="727">
        <v>85</v>
      </c>
      <c r="Q134" s="875">
        <v>91.62</v>
      </c>
      <c r="R134" s="706">
        <v>4355.2</v>
      </c>
      <c r="S134" s="765">
        <f>IF((_xlfn.XLOOKUP(D134,RUC!$B$3:$B$119,RUC!$E$3:$E$119)+ROUNDDOWN(O134,1)*100)&lt;95,95,((_xlfn.XLOOKUP(D134,RUC!$B$3:$B$119,RUC!$E$3:$E$119)+ROUNDDOWN(O134,1)*100)))</f>
        <v>100</v>
      </c>
      <c r="U134" s="1146">
        <f>_xlfn.XLOOKUP(D134,RUC!$B$3:$B$123,RUC!$F$3:$F$123)</f>
        <v>120</v>
      </c>
      <c r="V134" s="715">
        <v>1.1023000000000001</v>
      </c>
      <c r="Y134">
        <f>_xlfn.XLOOKUP(D134,RUC!$B$3:$B$123,RUC!$G$3:$G$123)</f>
        <v>20</v>
      </c>
      <c r="Z134" s="143">
        <f>_xlfn.XLOOKUP(D134,RUC!$B$3:$B$123,RUC!$H$3:$H$123)</f>
        <v>30</v>
      </c>
      <c r="AA134" s="144">
        <f t="shared" si="44"/>
        <v>50</v>
      </c>
      <c r="AB134" s="145">
        <f t="shared" si="45"/>
        <v>517.18399235200002</v>
      </c>
      <c r="AC134" s="145">
        <f>+(S134-T134)*V134-'data 1'!$F$4</f>
        <v>30.230000000000004</v>
      </c>
      <c r="AD134" s="145">
        <f t="shared" si="46"/>
        <v>59.028954070432043</v>
      </c>
      <c r="AE134" s="145">
        <f t="shared" si="47"/>
        <v>-14.884999999999998</v>
      </c>
      <c r="AF134" s="145">
        <f t="shared" si="48"/>
        <v>81.267634699488084</v>
      </c>
      <c r="AG134" s="772">
        <f t="shared" si="59"/>
        <v>172.64158876992013</v>
      </c>
      <c r="AH134" s="1253">
        <f t="shared" si="49"/>
        <v>14.195</v>
      </c>
      <c r="AI134" s="1253">
        <f t="shared" si="50"/>
        <v>15.494</v>
      </c>
      <c r="AJ134" s="156">
        <f t="shared" si="53"/>
        <v>-24.922176980471974</v>
      </c>
      <c r="AK134" s="156">
        <f t="shared" si="51"/>
        <v>11.859631152065059</v>
      </c>
      <c r="AM134" s="716">
        <f t="shared" si="52"/>
        <v>1223.6573259048321</v>
      </c>
      <c r="AN134" s="716" t="str">
        <f>_xlfn.XLOOKUP(D134,RUC!$B$3:$B$578,RUC!$M$3:$M$578)</f>
        <v>Evelyn</v>
      </c>
      <c r="AO134" s="1167" t="s">
        <v>2281</v>
      </c>
      <c r="AP134" s="1082" t="s">
        <v>4971</v>
      </c>
      <c r="AQ134" s="1082" t="s">
        <v>6048</v>
      </c>
    </row>
    <row r="135" spans="1:43" ht="15" customHeight="1">
      <c r="A135" s="747" t="s">
        <v>6013</v>
      </c>
      <c r="B135" s="1447">
        <v>46194</v>
      </c>
      <c r="C135" s="1447">
        <v>46188</v>
      </c>
      <c r="D135" t="s">
        <v>1967</v>
      </c>
      <c r="E135" s="762">
        <f>_xlfn.XLOOKUP(D135,RUC!$B$3:$B$123,RUC!$D$3:$D$123)</f>
        <v>20601769396</v>
      </c>
      <c r="F135" s="629" t="s">
        <v>6058</v>
      </c>
      <c r="G135" s="762">
        <v>40</v>
      </c>
      <c r="H135" s="1082" t="s">
        <v>69</v>
      </c>
      <c r="I135" s="703">
        <v>2.61</v>
      </c>
      <c r="J135" s="596">
        <v>8.58</v>
      </c>
      <c r="K135" s="703">
        <f t="shared" si="43"/>
        <v>2.3860000000000001</v>
      </c>
      <c r="L135" s="1192">
        <v>0.19700000000000001</v>
      </c>
      <c r="M135" s="994">
        <f>ROUND(+IF(L135&gt;_xlfn.XLOOKUP(AN135,RUC!M:M,RUC!K:K),L135*_xlfn.XLOOKUP(AN135,RUC!M:M,RUC!I:I),L135-_xlfn.XLOOKUP(AN135,RUC!M:M,RUC!J:J)),3)</f>
        <v>0.17799999999999999</v>
      </c>
      <c r="N135" s="1196">
        <f t="shared" si="56"/>
        <v>0.17799999999999999</v>
      </c>
      <c r="O135" s="645">
        <f t="shared" si="60"/>
        <v>0.17799999999999999</v>
      </c>
      <c r="P135" s="727">
        <v>85</v>
      </c>
      <c r="Q135" s="875">
        <v>91.37</v>
      </c>
      <c r="R135" s="706">
        <v>4355.2</v>
      </c>
      <c r="S135" s="765">
        <f>IF((_xlfn.XLOOKUP(D135,RUC!$B$3:$B$119,RUC!$E$3:$E$119)+ROUNDDOWN(O135,1)*100)&lt;95,95,((_xlfn.XLOOKUP(D135,RUC!$B$3:$B$119,RUC!$E$3:$E$119)+ROUNDDOWN(O135,1)*100)))</f>
        <v>100</v>
      </c>
      <c r="U135" s="1146">
        <f>_xlfn.XLOOKUP(D135,RUC!$B$3:$B$123,RUC!$F$3:$F$123)</f>
        <v>120</v>
      </c>
      <c r="V135" s="715">
        <v>1.1023000000000001</v>
      </c>
      <c r="Y135">
        <f>_xlfn.XLOOKUP(D135,RUC!$B$3:$B$123,RUC!$G$3:$G$123)</f>
        <v>20</v>
      </c>
      <c r="Z135" s="143">
        <f>_xlfn.XLOOKUP(D135,RUC!$B$3:$B$123,RUC!$H$3:$H$123)</f>
        <v>30</v>
      </c>
      <c r="AA135" s="144">
        <f t="shared" si="44"/>
        <v>50</v>
      </c>
      <c r="AB135" s="145">
        <f t="shared" si="45"/>
        <v>540.99314324800002</v>
      </c>
      <c r="AC135" s="145">
        <f>+(S135-T135)*V135-'data 1'!$F$4</f>
        <v>30.230000000000004</v>
      </c>
      <c r="AD135" s="145">
        <f t="shared" si="46"/>
        <v>58.584049740944039</v>
      </c>
      <c r="AE135" s="145">
        <f t="shared" si="47"/>
        <v>-14.884999999999998</v>
      </c>
      <c r="AF135" s="145">
        <f t="shared" si="48"/>
        <v>81.045882803888077</v>
      </c>
      <c r="AG135" s="772">
        <f t="shared" si="59"/>
        <v>171.97493254483211</v>
      </c>
      <c r="AH135" s="1253">
        <f t="shared" si="49"/>
        <v>14.725</v>
      </c>
      <c r="AI135" s="1253">
        <f t="shared" si="50"/>
        <v>16.116</v>
      </c>
      <c r="AJ135" s="156">
        <f t="shared" si="53"/>
        <v>-25.634932141123969</v>
      </c>
      <c r="AK135" s="156">
        <f t="shared" si="51"/>
        <v>12.37708679974849</v>
      </c>
      <c r="AM135" s="716">
        <f t="shared" si="52"/>
        <v>1290.8096397897282</v>
      </c>
      <c r="AN135" s="716" t="str">
        <f>_xlfn.XLOOKUP(D135,RUC!$B$3:$B$578,RUC!$M$3:$M$578)</f>
        <v>Evelyn</v>
      </c>
      <c r="AO135" s="1167" t="s">
        <v>2281</v>
      </c>
      <c r="AP135" s="1082" t="s">
        <v>4971</v>
      </c>
      <c r="AQ135" s="1082" t="s">
        <v>6048</v>
      </c>
    </row>
    <row r="136" spans="1:43" ht="15" customHeight="1">
      <c r="A136" s="747" t="s">
        <v>6014</v>
      </c>
      <c r="B136" s="1447">
        <v>46194</v>
      </c>
      <c r="C136" s="1447">
        <v>46188</v>
      </c>
      <c r="D136" t="s">
        <v>1967</v>
      </c>
      <c r="E136" s="762">
        <f>_xlfn.XLOOKUP(D136,RUC!$B$3:$B$123,RUC!$D$3:$D$123)</f>
        <v>20601769396</v>
      </c>
      <c r="F136" s="629" t="s">
        <v>6058</v>
      </c>
      <c r="G136" s="762">
        <v>40</v>
      </c>
      <c r="H136" s="1082" t="s">
        <v>69</v>
      </c>
      <c r="I136" s="703">
        <v>2.63</v>
      </c>
      <c r="J136" s="596">
        <v>8.4</v>
      </c>
      <c r="K136" s="703">
        <f t="shared" si="43"/>
        <v>2.4089999999999998</v>
      </c>
      <c r="L136" s="1192">
        <v>0.26200000000000001</v>
      </c>
      <c r="M136" s="994">
        <f>ROUND(+IF(L136&gt;_xlfn.XLOOKUP(AN136,RUC!M:M,RUC!K:K),L136*_xlfn.XLOOKUP(AN136,RUC!M:M,RUC!I:I),L136-_xlfn.XLOOKUP(AN136,RUC!M:M,RUC!J:J)),3)</f>
        <v>0.24299999999999999</v>
      </c>
      <c r="N136" s="1196">
        <f t="shared" si="56"/>
        <v>0.24299999999999999</v>
      </c>
      <c r="O136" s="645">
        <f t="shared" si="60"/>
        <v>0.24299999999999999</v>
      </c>
      <c r="P136" s="727">
        <v>90</v>
      </c>
      <c r="Q136" s="875">
        <v>92.75</v>
      </c>
      <c r="R136" s="706">
        <v>4355.2</v>
      </c>
      <c r="S136" s="765">
        <f>IF((_xlfn.XLOOKUP(D136,RUC!$B$3:$B$119,RUC!$E$3:$E$119)+ROUNDDOWN(O136,1)*100)&lt;95,95,((_xlfn.XLOOKUP(D136,RUC!$B$3:$B$119,RUC!$E$3:$E$119)+ROUNDDOWN(O136,1)*100)))</f>
        <v>110</v>
      </c>
      <c r="U136" s="1146">
        <f>_xlfn.XLOOKUP(D136,RUC!$B$3:$B$123,RUC!$F$3:$F$123)</f>
        <v>120</v>
      </c>
      <c r="V136" s="715">
        <v>1.1023000000000001</v>
      </c>
      <c r="Y136">
        <f>_xlfn.XLOOKUP(D136,RUC!$B$3:$B$123,RUC!$G$3:$G$123)</f>
        <v>20</v>
      </c>
      <c r="Z136" s="143">
        <f>_xlfn.XLOOKUP(D136,RUC!$B$3:$B$123,RUC!$H$3:$H$123)</f>
        <v>30</v>
      </c>
      <c r="AA136" s="144">
        <f t="shared" si="44"/>
        <v>50</v>
      </c>
      <c r="AB136" s="145">
        <f t="shared" si="45"/>
        <v>844.62441195199995</v>
      </c>
      <c r="AC136" s="145">
        <f>+(S136-T136)*V136-'data 1'!$F$4</f>
        <v>41.253</v>
      </c>
      <c r="AD136" s="145">
        <f t="shared" si="46"/>
        <v>33.636261216800001</v>
      </c>
      <c r="AE136" s="145">
        <f t="shared" si="47"/>
        <v>-14.884999999999998</v>
      </c>
      <c r="AF136" s="145">
        <f t="shared" si="48"/>
        <v>82.269953267600087</v>
      </c>
      <c r="AG136" s="772">
        <f t="shared" si="59"/>
        <v>159.27421448440009</v>
      </c>
      <c r="AH136" s="1253">
        <f t="shared" si="49"/>
        <v>20.071000000000002</v>
      </c>
      <c r="AI136" s="1253">
        <f t="shared" si="50"/>
        <v>21.638999999999999</v>
      </c>
      <c r="AJ136" s="156">
        <f t="shared" si="53"/>
        <v>-34.608081965799954</v>
      </c>
      <c r="AK136" s="156">
        <f t="shared" si="51"/>
        <v>18.063198408982814</v>
      </c>
      <c r="AM136" s="716">
        <f t="shared" si="52"/>
        <v>2034.7002083923678</v>
      </c>
      <c r="AN136" s="716" t="str">
        <f>_xlfn.XLOOKUP(D136,RUC!$B$3:$B$578,RUC!$M$3:$M$578)</f>
        <v>Evelyn</v>
      </c>
      <c r="AO136" s="1167" t="s">
        <v>2281</v>
      </c>
      <c r="AP136" s="1082" t="s">
        <v>4971</v>
      </c>
      <c r="AQ136" s="1082" t="s">
        <v>6048</v>
      </c>
    </row>
    <row r="137" spans="1:43" ht="15" customHeight="1">
      <c r="A137" s="747" t="s">
        <v>6015</v>
      </c>
      <c r="B137" s="1447">
        <v>46194</v>
      </c>
      <c r="C137" s="1447">
        <v>46188</v>
      </c>
      <c r="D137" t="s">
        <v>1967</v>
      </c>
      <c r="E137" s="762">
        <f>_xlfn.XLOOKUP(D137,RUC!$B$3:$B$123,RUC!$D$3:$D$123)</f>
        <v>20601769396</v>
      </c>
      <c r="F137" s="629" t="s">
        <v>6058</v>
      </c>
      <c r="G137" s="762">
        <v>39</v>
      </c>
      <c r="H137" s="1082" t="s">
        <v>69</v>
      </c>
      <c r="I137" s="703">
        <v>2.5</v>
      </c>
      <c r="J137" s="596">
        <v>7.45</v>
      </c>
      <c r="K137" s="703">
        <f t="shared" si="43"/>
        <v>2.3140000000000001</v>
      </c>
      <c r="L137" s="1192">
        <v>0.22900000000000001</v>
      </c>
      <c r="M137" s="994">
        <f>ROUND(+IF(L137&gt;_xlfn.XLOOKUP(AN137,RUC!M:M,RUC!K:K),L137*_xlfn.XLOOKUP(AN137,RUC!M:M,RUC!I:I),L137-_xlfn.XLOOKUP(AN137,RUC!M:M,RUC!J:J)),3)</f>
        <v>0.21</v>
      </c>
      <c r="N137" s="1196">
        <f t="shared" si="56"/>
        <v>0.21</v>
      </c>
      <c r="O137" s="645">
        <f t="shared" si="60"/>
        <v>0.21</v>
      </c>
      <c r="P137" s="727">
        <v>90</v>
      </c>
      <c r="Q137" s="875">
        <v>94.76</v>
      </c>
      <c r="R137" s="706">
        <v>4355.2</v>
      </c>
      <c r="S137" s="765">
        <f>IF((_xlfn.XLOOKUP(D137,RUC!$B$3:$B$119,RUC!$E$3:$E$119)+ROUNDDOWN(O137,1)*100)&lt;95,95,((_xlfn.XLOOKUP(D137,RUC!$B$3:$B$119,RUC!$E$3:$E$119)+ROUNDDOWN(O137,1)*100)))</f>
        <v>110</v>
      </c>
      <c r="U137" s="1146">
        <f>_xlfn.XLOOKUP(D137,RUC!$B$3:$B$123,RUC!$F$3:$F$123)</f>
        <v>120</v>
      </c>
      <c r="V137" s="715">
        <v>1.1023000000000001</v>
      </c>
      <c r="Y137">
        <f>_xlfn.XLOOKUP(D137,RUC!$B$3:$B$123,RUC!$G$3:$G$123)</f>
        <v>20</v>
      </c>
      <c r="Z137" s="143">
        <f>_xlfn.XLOOKUP(D137,RUC!$B$3:$B$123,RUC!$H$3:$H$123)</f>
        <v>30</v>
      </c>
      <c r="AA137" s="144">
        <f t="shared" si="44"/>
        <v>50</v>
      </c>
      <c r="AB137" s="145">
        <f t="shared" si="45"/>
        <v>705.97112143999982</v>
      </c>
      <c r="AC137" s="145">
        <f>+(S137-T137)*V137-'data 1'!$F$4</f>
        <v>41.253</v>
      </c>
      <c r="AD137" s="145">
        <f t="shared" si="46"/>
        <v>50.888091848384057</v>
      </c>
      <c r="AE137" s="145">
        <f t="shared" si="47"/>
        <v>-14.884999999999998</v>
      </c>
      <c r="AF137" s="145">
        <f t="shared" si="48"/>
        <v>84.052838508224085</v>
      </c>
      <c r="AG137" s="772">
        <f t="shared" si="59"/>
        <v>178.30893035660816</v>
      </c>
      <c r="AH137" s="1253">
        <f t="shared" si="49"/>
        <v>17.216000000000001</v>
      </c>
      <c r="AI137" s="1253">
        <f t="shared" si="50"/>
        <v>18.167999999999999</v>
      </c>
      <c r="AJ137" s="156">
        <f t="shared" si="53"/>
        <v>-30.904580686863959</v>
      </c>
      <c r="AK137" s="156">
        <f t="shared" si="51"/>
        <v>14.994577322115299</v>
      </c>
      <c r="AM137" s="716">
        <f t="shared" si="52"/>
        <v>1633.6171750121596</v>
      </c>
      <c r="AN137" s="716" t="str">
        <f>_xlfn.XLOOKUP(D137,RUC!$B$3:$B$578,RUC!$M$3:$M$578)</f>
        <v>Evelyn</v>
      </c>
      <c r="AO137" s="1167" t="s">
        <v>2281</v>
      </c>
      <c r="AP137" s="1082" t="s">
        <v>4971</v>
      </c>
      <c r="AQ137" s="1082" t="s">
        <v>6048</v>
      </c>
    </row>
    <row r="138" spans="1:43" ht="15" customHeight="1">
      <c r="A138" s="747" t="s">
        <v>6016</v>
      </c>
      <c r="B138" s="1447">
        <v>46194</v>
      </c>
      <c r="C138" s="1447">
        <v>46188</v>
      </c>
      <c r="D138" t="s">
        <v>1967</v>
      </c>
      <c r="E138" s="762">
        <f>_xlfn.XLOOKUP(D138,RUC!$B$3:$B$123,RUC!$D$3:$D$123)</f>
        <v>20601769396</v>
      </c>
      <c r="F138" s="629" t="s">
        <v>5700</v>
      </c>
      <c r="G138" s="762">
        <v>46</v>
      </c>
      <c r="H138" s="1082" t="s">
        <v>108</v>
      </c>
      <c r="I138" s="703">
        <v>1.47</v>
      </c>
      <c r="J138" s="596">
        <v>16.48</v>
      </c>
      <c r="K138" s="703">
        <f t="shared" si="43"/>
        <v>1.228</v>
      </c>
      <c r="L138" s="1192">
        <v>0.47499999999999998</v>
      </c>
      <c r="M138" s="994">
        <f>ROUND(+IF(L138&gt;_xlfn.XLOOKUP(AN138,RUC!M:M,RUC!K:K),L138*_xlfn.XLOOKUP(AN138,RUC!M:M,RUC!I:I),L138-_xlfn.XLOOKUP(AN138,RUC!M:M,RUC!J:J)),3)</f>
        <v>0.44700000000000001</v>
      </c>
      <c r="N138" s="1196">
        <f t="shared" si="56"/>
        <v>0.44700000000000001</v>
      </c>
      <c r="O138" s="645">
        <f t="shared" si="60"/>
        <v>0.44700000000000001</v>
      </c>
      <c r="P138" s="727">
        <v>90</v>
      </c>
      <c r="Q138" s="875">
        <v>91.37</v>
      </c>
      <c r="R138" s="706">
        <v>4355.2</v>
      </c>
      <c r="S138" s="765">
        <f>IF((_xlfn.XLOOKUP(D138,RUC!$B$3:$B$119,RUC!$E$3:$E$119)+ROUNDDOWN(O138,1)*100)&lt;95,95,((_xlfn.XLOOKUP(D138,RUC!$B$3:$B$119,RUC!$E$3:$E$119)+ROUNDDOWN(O138,1)*100)))</f>
        <v>130</v>
      </c>
      <c r="U138" s="1146">
        <f>_xlfn.XLOOKUP(D138,RUC!$B$3:$B$123,RUC!$F$3:$F$123)</f>
        <v>120</v>
      </c>
      <c r="V138" s="715">
        <v>1.1023000000000001</v>
      </c>
      <c r="Y138" s="1445">
        <v>30</v>
      </c>
      <c r="Z138" s="1454">
        <v>70</v>
      </c>
      <c r="AA138" s="144">
        <f t="shared" si="44"/>
        <v>100</v>
      </c>
      <c r="AB138" s="145">
        <f t="shared" si="45"/>
        <v>1624.5928442080003</v>
      </c>
      <c r="AC138" s="145">
        <f>+(S138-T138)*V138-'data 1'!$F$4</f>
        <v>63.299000000000007</v>
      </c>
      <c r="AD138" s="145">
        <f t="shared" si="46"/>
        <v>30.380009697200101</v>
      </c>
      <c r="AE138" s="145">
        <f t="shared" si="47"/>
        <v>40.230000000000004</v>
      </c>
      <c r="AF138" s="145">
        <f t="shared" si="48"/>
        <v>119.43603781625589</v>
      </c>
      <c r="AG138" s="772">
        <f t="shared" si="59"/>
        <v>270.34504751345605</v>
      </c>
      <c r="AH138" s="1253">
        <f t="shared" si="49"/>
        <v>18.273</v>
      </c>
      <c r="AI138" s="1253">
        <f t="shared" si="50"/>
        <v>19.998999999999999</v>
      </c>
      <c r="AJ138" s="156">
        <f t="shared" si="53"/>
        <v>-61.810115568699914</v>
      </c>
      <c r="AK138" s="156">
        <f t="shared" si="51"/>
        <v>16.93781826016842</v>
      </c>
      <c r="AM138" s="716">
        <f t="shared" si="52"/>
        <v>1995.0000126874243</v>
      </c>
      <c r="AN138" s="716" t="str">
        <f>_xlfn.XLOOKUP(D138,RUC!$B$3:$B$578,RUC!$M$3:$M$578)</f>
        <v>Evelyn</v>
      </c>
      <c r="AO138" s="1167" t="s">
        <v>2281</v>
      </c>
      <c r="AP138" s="1082" t="s">
        <v>4971</v>
      </c>
      <c r="AQ138" s="1082" t="s">
        <v>6048</v>
      </c>
    </row>
    <row r="139" spans="1:43" ht="15" customHeight="1">
      <c r="A139" s="747" t="s">
        <v>6017</v>
      </c>
      <c r="B139" s="1447">
        <v>46194</v>
      </c>
      <c r="C139" s="1447">
        <v>46188</v>
      </c>
      <c r="D139" t="s">
        <v>1967</v>
      </c>
      <c r="E139" s="762">
        <f>_xlfn.XLOOKUP(D139,RUC!$B$3:$B$123,RUC!$D$3:$D$123)</f>
        <v>20601769396</v>
      </c>
      <c r="F139" s="629" t="s">
        <v>5700</v>
      </c>
      <c r="G139" s="762">
        <v>46</v>
      </c>
      <c r="H139" s="1082" t="s">
        <v>108</v>
      </c>
      <c r="I139" s="703">
        <v>1.49</v>
      </c>
      <c r="J139" s="596">
        <v>17</v>
      </c>
      <c r="K139" s="703">
        <f t="shared" si="43"/>
        <v>1.2370000000000001</v>
      </c>
      <c r="L139" s="1192">
        <v>0.49</v>
      </c>
      <c r="M139" s="994">
        <f>ROUND(+IF(L139&gt;_xlfn.XLOOKUP(AN139,RUC!M:M,RUC!K:K),L139*_xlfn.XLOOKUP(AN139,RUC!M:M,RUC!I:I),L139-_xlfn.XLOOKUP(AN139,RUC!M:M,RUC!J:J)),3)</f>
        <v>0.46100000000000002</v>
      </c>
      <c r="N139" s="1196">
        <f t="shared" si="56"/>
        <v>0.46100000000000002</v>
      </c>
      <c r="O139" s="645">
        <f t="shared" si="60"/>
        <v>0.46100000000000002</v>
      </c>
      <c r="P139" s="727">
        <v>90</v>
      </c>
      <c r="Q139" s="875">
        <v>95.31</v>
      </c>
      <c r="R139" s="706">
        <v>4355.2</v>
      </c>
      <c r="S139" s="765">
        <f>IF((_xlfn.XLOOKUP(D139,RUC!$B$3:$B$119,RUC!$E$3:$E$119)+ROUNDDOWN(O139,1)*100)&lt;95,95,((_xlfn.XLOOKUP(D139,RUC!$B$3:$B$119,RUC!$E$3:$E$119)+ROUNDDOWN(O139,1)*100)))</f>
        <v>130</v>
      </c>
      <c r="U139" s="1146">
        <f>_xlfn.XLOOKUP(D139,RUC!$B$3:$B$123,RUC!$F$3:$F$123)</f>
        <v>120</v>
      </c>
      <c r="V139" s="715">
        <v>1.1023000000000001</v>
      </c>
      <c r="Y139" s="1445">
        <v>30</v>
      </c>
      <c r="Z139" s="1454">
        <v>70</v>
      </c>
      <c r="AA139" s="144">
        <f t="shared" si="44"/>
        <v>100</v>
      </c>
      <c r="AB139" s="145">
        <f t="shared" si="45"/>
        <v>1683.4154523040002</v>
      </c>
      <c r="AC139" s="145">
        <f>+(S139-T139)*V139-'data 1'!$F$4</f>
        <v>63.299000000000007</v>
      </c>
      <c r="AD139" s="145">
        <f t="shared" si="46"/>
        <v>121.46868571824005</v>
      </c>
      <c r="AE139" s="145">
        <f t="shared" si="47"/>
        <v>40.230000000000004</v>
      </c>
      <c r="AF139" s="145">
        <f t="shared" si="48"/>
        <v>129.03579408830387</v>
      </c>
      <c r="AG139" s="772">
        <f t="shared" si="59"/>
        <v>371.03347980654394</v>
      </c>
      <c r="AH139" s="1253">
        <f t="shared" si="49"/>
        <v>19.806999999999999</v>
      </c>
      <c r="AI139" s="1253">
        <f t="shared" si="50"/>
        <v>20.780999999999999</v>
      </c>
      <c r="AJ139" s="156">
        <f t="shared" si="53"/>
        <v>-66.511519646039915</v>
      </c>
      <c r="AK139" s="156">
        <f t="shared" si="51"/>
        <v>17.596334279905967</v>
      </c>
      <c r="AM139" s="716">
        <f t="shared" si="52"/>
        <v>2082.3849145000486</v>
      </c>
      <c r="AN139" s="716" t="str">
        <f>_xlfn.XLOOKUP(D139,RUC!$B$3:$B$578,RUC!$M$3:$M$578)</f>
        <v>Evelyn</v>
      </c>
      <c r="AO139" s="1167" t="s">
        <v>2281</v>
      </c>
      <c r="AP139" s="1082" t="s">
        <v>4971</v>
      </c>
      <c r="AQ139" s="1082" t="s">
        <v>6048</v>
      </c>
    </row>
    <row r="140" spans="1:43" ht="15" customHeight="1">
      <c r="A140" s="747" t="s">
        <v>6031</v>
      </c>
      <c r="B140" s="1484">
        <v>46193</v>
      </c>
      <c r="C140" s="1447">
        <v>46189</v>
      </c>
      <c r="D140" s="1943" t="s">
        <v>3358</v>
      </c>
      <c r="E140" s="762">
        <f>_xlfn.XLOOKUP(D140,RUC!$B$3:$B$123,RUC!$D$3:$D$123)</f>
        <v>20535021563</v>
      </c>
      <c r="F140" s="629"/>
      <c r="G140" s="762">
        <v>61</v>
      </c>
      <c r="H140" s="1082" t="s">
        <v>69</v>
      </c>
      <c r="I140" s="703">
        <v>5.49</v>
      </c>
      <c r="J140" s="596">
        <v>2.1</v>
      </c>
      <c r="K140" s="703">
        <f t="shared" si="43"/>
        <v>5.375</v>
      </c>
      <c r="L140" s="1192">
        <v>0.38800000000000001</v>
      </c>
      <c r="M140" s="994">
        <f>ROUND(+IF(L140&gt;_xlfn.XLOOKUP(AN140,RUC!M:M,RUC!K:K),L140*_xlfn.XLOOKUP(AN140,RUC!M:M,RUC!I:I),L140-_xlfn.XLOOKUP(AN140,RUC!M:M,RUC!J:J)),3)</f>
        <v>0.36499999999999999</v>
      </c>
      <c r="N140" s="1196">
        <f t="shared" si="56"/>
        <v>0.36499999999999999</v>
      </c>
      <c r="O140" s="645">
        <f t="shared" si="60"/>
        <v>0.36499999999999999</v>
      </c>
      <c r="P140" s="727">
        <v>90</v>
      </c>
      <c r="Q140" s="875">
        <v>91.75</v>
      </c>
      <c r="R140" s="706">
        <v>4335.8</v>
      </c>
      <c r="S140" s="765">
        <f>IF((_xlfn.XLOOKUP(D140,RUC!$B$3:$B$119,RUC!$E$3:$E$119)+ROUNDDOWN(O140,1)*100)&lt;95,95,((_xlfn.XLOOKUP(D140,RUC!$B$3:$B$119,RUC!$E$3:$E$119)+ROUNDDOWN(O140,1)*100)))</f>
        <v>115</v>
      </c>
      <c r="U140" s="1146">
        <f>_xlfn.XLOOKUP(D140,RUC!$B$3:$B$123,RUC!$F$3:$F$123)</f>
        <v>100</v>
      </c>
      <c r="V140" s="715">
        <v>1.1023000000000001</v>
      </c>
      <c r="Y140">
        <f>_xlfn.XLOOKUP(D140,RUC!$B$3:$B$123,RUC!$G$3:$G$123)</f>
        <v>0</v>
      </c>
      <c r="Z140" s="143">
        <f>_xlfn.XLOOKUP(D140,RUC!$B$3:$B$123,RUC!$H$3:$H$123)</f>
        <v>30</v>
      </c>
      <c r="AA140" s="144">
        <f t="shared" si="44"/>
        <v>30</v>
      </c>
      <c r="AB140" s="145">
        <f t="shared" si="45"/>
        <v>1373.9731886899999</v>
      </c>
      <c r="AC140" s="145">
        <f>+(S140-T140)*V140-'data 1'!$F$4</f>
        <v>46.764500000000012</v>
      </c>
      <c r="AD140" s="145">
        <f t="shared" si="46"/>
        <v>31.703340688600001</v>
      </c>
      <c r="AE140" s="145">
        <f t="shared" si="47"/>
        <v>-36.930999999999997</v>
      </c>
      <c r="AF140" s="145">
        <f t="shared" si="48"/>
        <v>98.530154179850086</v>
      </c>
      <c r="AG140" s="772">
        <f t="shared" si="59"/>
        <v>157.06699486845008</v>
      </c>
      <c r="AH140" s="1253">
        <f t="shared" si="49"/>
        <v>65.602999999999994</v>
      </c>
      <c r="AI140" s="1253">
        <f t="shared" si="50"/>
        <v>71.501999999999995</v>
      </c>
      <c r="AJ140" s="156">
        <f t="shared" si="53"/>
        <v>-50.934529454600082</v>
      </c>
      <c r="AK140" s="156">
        <f t="shared" si="51"/>
        <v>60.537281112534373</v>
      </c>
      <c r="AM140" s="716">
        <f t="shared" si="52"/>
        <v>7385.1058892087494</v>
      </c>
      <c r="AN140" s="716" t="str">
        <f>_xlfn.XLOOKUP(D140,RUC!$B$3:$B$578,RUC!$M$3:$M$578)</f>
        <v>Alfred Torres  *</v>
      </c>
      <c r="AO140" s="1167" t="s">
        <v>2281</v>
      </c>
      <c r="AP140" s="1082" t="s">
        <v>6050</v>
      </c>
      <c r="AQ140" s="1082" t="s">
        <v>6051</v>
      </c>
    </row>
  </sheetData>
  <autoFilter ref="A3:AR140" xr:uid="{00000000-0001-0000-0C00-000000000000}"/>
  <mergeCells count="2">
    <mergeCell ref="AV5:BD5"/>
    <mergeCell ref="AV26:BA26"/>
  </mergeCells>
  <pageMargins left="0.7" right="0.7" top="0.75" bottom="0.75" header="0" footer="0"/>
  <pageSetup paperSize="9" scale="10" fitToHeight="0" orientation="portrait" horizontalDpi="360" verticalDpi="360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E91FB-E483-4965-ACFA-508978CC1187}">
  <sheetPr>
    <tabColor rgb="FF00B050"/>
    <pageSetUpPr fitToPage="1"/>
  </sheetPr>
  <dimension ref="A1:AS5"/>
  <sheetViews>
    <sheetView showGridLines="0" zoomScale="85" zoomScaleNormal="85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F25" sqref="F25"/>
    </sheetView>
  </sheetViews>
  <sheetFormatPr baseColWidth="10" defaultColWidth="14.44140625" defaultRowHeight="15" customHeight="1"/>
  <cols>
    <col min="1" max="1" width="14.5546875" customWidth="1"/>
    <col min="2" max="2" width="12.33203125" style="1447" customWidth="1"/>
    <col min="3" max="3" width="11.6640625" style="762" customWidth="1"/>
    <col min="4" max="4" width="42.5546875" customWidth="1"/>
    <col min="5" max="5" width="15.88671875" style="762" customWidth="1"/>
    <col min="6" max="6" width="16.6640625" customWidth="1"/>
    <col min="7" max="7" width="12.109375" style="762" customWidth="1"/>
    <col min="8" max="8" width="11.44140625" style="1082" customWidth="1"/>
    <col min="9" max="10" width="10.33203125" customWidth="1"/>
    <col min="11" max="12" width="11.44140625" customWidth="1"/>
    <col min="13" max="13" width="13.6640625" customWidth="1"/>
    <col min="14" max="14" width="11.6640625" customWidth="1"/>
    <col min="15" max="16" width="13.109375" customWidth="1"/>
    <col min="17" max="17" width="12" customWidth="1"/>
    <col min="18" max="18" width="11" customWidth="1"/>
    <col min="19" max="19" width="11.6640625" customWidth="1"/>
    <col min="20" max="20" width="7.6640625" customWidth="1"/>
    <col min="21" max="21" width="7.5546875" customWidth="1"/>
    <col min="22" max="23" width="10.6640625" customWidth="1"/>
    <col min="24" max="24" width="10.554687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2.33203125" customWidth="1"/>
    <col min="31" max="31" width="15.5546875" customWidth="1"/>
    <col min="32" max="32" width="12.44140625" customWidth="1"/>
    <col min="33" max="33" width="15.88671875" style="773" customWidth="1"/>
    <col min="34" max="35" width="20.33203125" customWidth="1"/>
    <col min="36" max="36" width="14.44140625" customWidth="1"/>
    <col min="37" max="37" width="17.5546875" customWidth="1"/>
    <col min="38" max="38" width="5.109375" customWidth="1"/>
    <col min="39" max="39" width="14.44140625" customWidth="1"/>
    <col min="40" max="40" width="16.5546875" customWidth="1"/>
    <col min="41" max="41" width="14.44140625" customWidth="1"/>
    <col min="42" max="42" width="11.33203125" style="1082" customWidth="1"/>
    <col min="43" max="43" width="12.6640625" style="1082" customWidth="1"/>
    <col min="44" max="44" width="62.6640625" customWidth="1"/>
  </cols>
  <sheetData>
    <row r="1" spans="1:45" ht="15" customHeight="1" thickBot="1">
      <c r="A1" s="1198"/>
      <c r="D1" s="1075" t="s">
        <v>2275</v>
      </c>
      <c r="E1" s="1076">
        <f>+AI3</f>
        <v>0</v>
      </c>
      <c r="F1" s="1075" t="s">
        <v>1906</v>
      </c>
      <c r="G1" s="1861">
        <f>+$AM3</f>
        <v>0</v>
      </c>
      <c r="H1" s="1862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169" t="s">
        <v>2502</v>
      </c>
      <c r="AJ1" s="699" t="s">
        <v>36</v>
      </c>
      <c r="AK1" s="87" t="s">
        <v>37</v>
      </c>
      <c r="AL1" s="88"/>
      <c r="AM1" s="89" t="s">
        <v>38</v>
      </c>
      <c r="AN1" s="1180"/>
      <c r="AO1" s="89"/>
    </row>
    <row r="2" spans="1:45" ht="15" customHeight="1" thickBot="1">
      <c r="D2" s="1075" t="s">
        <v>1907</v>
      </c>
      <c r="E2" s="1076">
        <f>+AH3</f>
        <v>0</v>
      </c>
      <c r="F2" s="1079" t="s">
        <v>1908</v>
      </c>
      <c r="G2" s="1080" t="e">
        <f>+Q2</f>
        <v>#DIV/0!</v>
      </c>
      <c r="H2" s="1863"/>
      <c r="I2" s="1251">
        <f>SUBTOTAL(9,I4:I297)</f>
        <v>0</v>
      </c>
      <c r="J2" s="81"/>
      <c r="K2" s="91">
        <f>SUBTOTAL(9,K4:K297)</f>
        <v>0</v>
      </c>
      <c r="L2" s="1887" t="e">
        <f>+SUMPRODUCT(L5:L297,K5:K297)/K2</f>
        <v>#DIV/0!</v>
      </c>
      <c r="M2" s="6"/>
      <c r="O2" s="703"/>
      <c r="P2" s="94" t="e">
        <f>+SUMPRODUCT(P4:P297,AH4:AH297)/SUM(AH4:AH297)</f>
        <v>#DIV/0!</v>
      </c>
      <c r="Q2" s="1201" t="e">
        <f>+SUMPRODUCT(Q4:Q297,AH4:AH297)/SUM(AH4:AH297)</f>
        <v>#DIV/0!</v>
      </c>
      <c r="R2" s="1151" t="e">
        <f>+SUMPRODUCT(R4:R297,AH4:AH297)/SUM(AH4:AH297)</f>
        <v>#DIV/0!</v>
      </c>
      <c r="S2" s="6"/>
      <c r="AB2" s="83"/>
      <c r="AC2" s="83"/>
      <c r="AD2" s="83"/>
      <c r="AE2" s="83"/>
      <c r="AF2" s="83"/>
      <c r="AG2" s="1209" t="e">
        <f>SUMPRODUCT($AG4:$AG4,$K4:$K4)/SUM($K4:$K4)</f>
        <v>#VALUE!</v>
      </c>
      <c r="AH2" s="702"/>
      <c r="AI2" s="631"/>
      <c r="AJ2" s="252">
        <v>4500</v>
      </c>
      <c r="AK2" s="98"/>
      <c r="AL2" s="88"/>
      <c r="AM2" s="99"/>
      <c r="AN2" s="1181"/>
      <c r="AO2" s="99"/>
    </row>
    <row r="3" spans="1:45" ht="15" customHeight="1" thickBot="1">
      <c r="A3" s="678" t="s">
        <v>11</v>
      </c>
      <c r="B3" s="1692" t="s">
        <v>39</v>
      </c>
      <c r="C3" s="679" t="s">
        <v>40</v>
      </c>
      <c r="D3" s="1077" t="s">
        <v>41</v>
      </c>
      <c r="E3" s="1078" t="s">
        <v>1025</v>
      </c>
      <c r="F3" s="1077" t="s">
        <v>43</v>
      </c>
      <c r="G3" s="1078" t="s">
        <v>16</v>
      </c>
      <c r="H3" s="1864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252">
        <f>SUBTOTAL(9,AH4:AH297)</f>
        <v>0</v>
      </c>
      <c r="AI3" s="1252">
        <f>SUBTOTAL(9,AI4:AI297)</f>
        <v>0</v>
      </c>
      <c r="AJ3" s="1388" t="e">
        <f>SUMPRODUCT(K4:K297,AJ4:AJ297)/K2</f>
        <v>#DIV/0!</v>
      </c>
      <c r="AK3" s="118">
        <f>SUBTOTAL(9,AK4:AK297)</f>
        <v>0</v>
      </c>
      <c r="AL3" s="88"/>
      <c r="AM3" s="118">
        <f>SUBTOTAL(9,AM4:AM297)</f>
        <v>0</v>
      </c>
      <c r="AN3" s="1182" t="s">
        <v>2247</v>
      </c>
      <c r="AO3" s="1806" t="s">
        <v>2283</v>
      </c>
      <c r="AP3" s="1844" t="s">
        <v>2351</v>
      </c>
      <c r="AQ3" s="1844" t="s">
        <v>2352</v>
      </c>
      <c r="AS3" s="1216"/>
    </row>
    <row r="4" spans="1:45" s="891" customFormat="1" ht="15.75" customHeight="1">
      <c r="A4" s="1916"/>
      <c r="B4" s="1917"/>
      <c r="C4" s="1918"/>
      <c r="D4" s="1919"/>
      <c r="E4" s="1920"/>
      <c r="F4" s="1919"/>
      <c r="G4" s="1921"/>
      <c r="H4" s="1922"/>
      <c r="I4" s="1923"/>
      <c r="J4" s="1924"/>
      <c r="K4" s="1925"/>
      <c r="L4" s="1923"/>
      <c r="M4" s="1926"/>
      <c r="N4" s="1926"/>
      <c r="O4" s="1921"/>
      <c r="P4" s="1923"/>
      <c r="Q4" s="1923"/>
      <c r="R4" s="1923"/>
      <c r="S4" s="1923"/>
      <c r="T4" s="1927"/>
      <c r="U4" s="1927"/>
      <c r="V4" s="1928"/>
      <c r="W4" s="1923"/>
      <c r="X4" s="1923"/>
      <c r="Y4" s="1929"/>
      <c r="Z4" s="1925"/>
      <c r="AA4" s="1925"/>
      <c r="AB4" s="1930"/>
      <c r="AC4" s="1931"/>
      <c r="AD4" s="1932"/>
      <c r="AE4" s="1932"/>
      <c r="AF4" s="1932"/>
      <c r="AG4" s="1933"/>
      <c r="AH4" s="1934"/>
      <c r="AI4" s="1934"/>
      <c r="AJ4" s="1935"/>
      <c r="AK4" s="1936"/>
      <c r="AL4" s="1937"/>
      <c r="AM4" s="1938"/>
      <c r="AN4" s="1938"/>
      <c r="AO4" s="1938"/>
      <c r="AP4" s="1178"/>
      <c r="AQ4" s="1178"/>
    </row>
    <row r="5" spans="1:45" s="891" customFormat="1" ht="15" customHeight="1">
      <c r="B5" s="1484"/>
      <c r="C5" s="1214"/>
      <c r="E5" s="1214"/>
      <c r="G5" s="1214"/>
      <c r="H5" s="1178"/>
      <c r="AP5" s="1178"/>
      <c r="AQ5" s="1178"/>
    </row>
  </sheetData>
  <autoFilter ref="A3:AR4" xr:uid="{00000000-0001-0000-0C00-000000000000}"/>
  <pageMargins left="0.7" right="0.7" top="0.75" bottom="0.75" header="0" footer="0"/>
  <pageSetup paperSize="9" scale="10" fitToHeight="0" orientation="portrait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8"/>
  <dimension ref="B1:Z100"/>
  <sheetViews>
    <sheetView topLeftCell="I1" zoomScale="80" zoomScaleNormal="80" workbookViewId="0">
      <pane ySplit="2" topLeftCell="A54" activePane="bottomLeft" state="frozen"/>
      <selection pane="bottomLeft" activeCell="C67" sqref="C67"/>
    </sheetView>
  </sheetViews>
  <sheetFormatPr baseColWidth="10" defaultRowHeight="14.4"/>
  <cols>
    <col min="1" max="1" width="1.6640625" customWidth="1"/>
    <col min="2" max="2" width="47.88671875" customWidth="1"/>
    <col min="3" max="3" width="40" customWidth="1"/>
    <col min="4" max="4" width="15.6640625" style="762" customWidth="1"/>
    <col min="5" max="5" width="8.88671875" customWidth="1"/>
    <col min="6" max="6" width="11.6640625" style="1082" customWidth="1"/>
    <col min="7" max="7" width="8.6640625" style="1082" customWidth="1"/>
    <col min="8" max="12" width="10.44140625" style="1082" customWidth="1"/>
    <col min="13" max="13" width="19.33203125" customWidth="1"/>
    <col min="18" max="18" width="19.6640625" customWidth="1"/>
    <col min="19" max="19" width="46" customWidth="1"/>
  </cols>
  <sheetData>
    <row r="1" spans="2:19" ht="21" customHeight="1">
      <c r="E1" t="s">
        <v>4227</v>
      </c>
    </row>
    <row r="2" spans="2:19" s="1625" customFormat="1" ht="49.5" customHeight="1">
      <c r="B2" s="1622" t="s">
        <v>1719</v>
      </c>
      <c r="C2" s="1622" t="s">
        <v>4226</v>
      </c>
      <c r="D2" s="1622" t="s">
        <v>1025</v>
      </c>
      <c r="E2" s="1623" t="s">
        <v>2591</v>
      </c>
      <c r="F2" s="1624" t="s">
        <v>2246</v>
      </c>
      <c r="G2" s="1624" t="s">
        <v>2309</v>
      </c>
      <c r="H2" s="1623" t="s">
        <v>2310</v>
      </c>
      <c r="I2" s="1623" t="s">
        <v>5363</v>
      </c>
      <c r="J2" s="1623" t="s">
        <v>5364</v>
      </c>
      <c r="K2" s="1623" t="s">
        <v>5382</v>
      </c>
      <c r="L2" s="1623" t="s">
        <v>2314</v>
      </c>
      <c r="M2" s="1623" t="s">
        <v>2247</v>
      </c>
      <c r="N2" s="2019" t="s">
        <v>4228</v>
      </c>
      <c r="O2" s="2019"/>
      <c r="P2" s="2019"/>
      <c r="Q2" s="2019"/>
      <c r="R2" s="2019"/>
      <c r="S2" s="1626" t="s">
        <v>4229</v>
      </c>
    </row>
    <row r="3" spans="2:19">
      <c r="B3" s="1765" t="s">
        <v>1029</v>
      </c>
      <c r="C3" s="1765"/>
      <c r="D3" s="1766">
        <v>10421580605</v>
      </c>
      <c r="E3" s="1767"/>
      <c r="F3" s="1768">
        <v>90</v>
      </c>
      <c r="G3" s="1768"/>
      <c r="H3" s="1768">
        <v>30</v>
      </c>
      <c r="I3" s="1768">
        <v>0.94</v>
      </c>
      <c r="J3" s="1768">
        <v>1.9E-2</v>
      </c>
      <c r="K3" s="1768">
        <v>0.317</v>
      </c>
      <c r="L3" s="1768">
        <v>53</v>
      </c>
      <c r="M3" s="1769" t="s">
        <v>2305</v>
      </c>
      <c r="N3" s="1769" t="s">
        <v>2303</v>
      </c>
      <c r="O3" s="1770"/>
      <c r="P3" s="1770"/>
      <c r="Q3" s="1770"/>
      <c r="R3" s="1770"/>
      <c r="S3" s="1770"/>
    </row>
    <row r="4" spans="2:19">
      <c r="B4" s="1765" t="s">
        <v>154</v>
      </c>
      <c r="C4" s="1765"/>
      <c r="D4" s="1766">
        <v>10416085884</v>
      </c>
      <c r="E4" s="1767"/>
      <c r="F4" s="1768">
        <v>90</v>
      </c>
      <c r="G4" s="1768"/>
      <c r="H4" s="1768">
        <v>30</v>
      </c>
      <c r="I4" s="1768">
        <v>0.94</v>
      </c>
      <c r="J4" s="1768">
        <v>1.9E-2</v>
      </c>
      <c r="K4" s="1768">
        <v>0.317</v>
      </c>
      <c r="L4" s="1768">
        <v>53</v>
      </c>
      <c r="M4" s="1769" t="s">
        <v>2305</v>
      </c>
      <c r="N4" s="1769" t="s">
        <v>2303</v>
      </c>
      <c r="O4" s="1770"/>
      <c r="P4" s="1770"/>
      <c r="Q4" s="1770"/>
      <c r="R4" s="1770"/>
      <c r="S4" s="1770"/>
    </row>
    <row r="5" spans="2:19">
      <c r="B5" s="1765" t="s">
        <v>1205</v>
      </c>
      <c r="C5" s="1765"/>
      <c r="D5" s="1766">
        <v>20601620147</v>
      </c>
      <c r="E5" s="1767"/>
      <c r="F5" s="1768">
        <v>90</v>
      </c>
      <c r="G5" s="1768"/>
      <c r="H5" s="1768">
        <v>30</v>
      </c>
      <c r="I5" s="1768">
        <v>0.94</v>
      </c>
      <c r="J5" s="1768">
        <v>1.9E-2</v>
      </c>
      <c r="K5" s="1768">
        <v>0.317</v>
      </c>
      <c r="L5" s="1768">
        <v>53</v>
      </c>
      <c r="M5" s="1769" t="s">
        <v>2305</v>
      </c>
      <c r="N5" s="1769" t="s">
        <v>2303</v>
      </c>
      <c r="O5" s="1770"/>
      <c r="P5" s="1770"/>
      <c r="Q5" s="1770"/>
      <c r="R5" s="1770"/>
      <c r="S5" s="1770"/>
    </row>
    <row r="6" spans="2:19">
      <c r="B6" s="1771" t="s">
        <v>1229</v>
      </c>
      <c r="C6" s="1771"/>
      <c r="D6" s="1766">
        <v>20610873309</v>
      </c>
      <c r="E6" s="1767"/>
      <c r="F6" s="1768">
        <v>90</v>
      </c>
      <c r="G6" s="1768"/>
      <c r="H6" s="1768">
        <v>30</v>
      </c>
      <c r="I6" s="1768">
        <v>0.94</v>
      </c>
      <c r="J6" s="1768">
        <v>1.9E-2</v>
      </c>
      <c r="K6" s="1768">
        <v>0.317</v>
      </c>
      <c r="L6" s="1768">
        <v>53</v>
      </c>
      <c r="M6" s="1769" t="s">
        <v>2305</v>
      </c>
      <c r="N6" s="1769" t="s">
        <v>2303</v>
      </c>
      <c r="O6" s="1770"/>
      <c r="P6" s="1770"/>
      <c r="Q6" s="1770"/>
      <c r="R6" s="1770"/>
      <c r="S6" s="1770"/>
    </row>
    <row r="7" spans="2:19">
      <c r="B7" s="1765" t="s">
        <v>1723</v>
      </c>
      <c r="C7" s="1765"/>
      <c r="D7" s="1766">
        <v>20610873309</v>
      </c>
      <c r="E7" s="1767"/>
      <c r="F7" s="1768">
        <v>90</v>
      </c>
      <c r="G7" s="1768"/>
      <c r="H7" s="1768">
        <v>30</v>
      </c>
      <c r="I7" s="1768">
        <v>0.94</v>
      </c>
      <c r="J7" s="1768">
        <v>1.9E-2</v>
      </c>
      <c r="K7" s="1768">
        <v>0.317</v>
      </c>
      <c r="L7" s="1768">
        <v>53</v>
      </c>
      <c r="M7" s="1769" t="s">
        <v>2305</v>
      </c>
      <c r="N7" s="1769" t="s">
        <v>2303</v>
      </c>
      <c r="O7" s="1770"/>
      <c r="P7" s="1770"/>
      <c r="Q7" s="1770"/>
      <c r="R7" s="1770"/>
      <c r="S7" s="1770"/>
    </row>
    <row r="8" spans="2:19">
      <c r="B8" s="1765" t="s">
        <v>1728</v>
      </c>
      <c r="C8" s="1765"/>
      <c r="D8" s="1766">
        <v>10315432397</v>
      </c>
      <c r="E8" s="1767"/>
      <c r="F8" s="1768">
        <v>90</v>
      </c>
      <c r="G8" s="1768"/>
      <c r="H8" s="1768">
        <v>30</v>
      </c>
      <c r="I8" s="1768">
        <v>0.94</v>
      </c>
      <c r="J8" s="1768">
        <v>1.9E-2</v>
      </c>
      <c r="K8" s="1768">
        <v>0.317</v>
      </c>
      <c r="L8" s="1768">
        <v>53</v>
      </c>
      <c r="M8" s="1769" t="s">
        <v>2305</v>
      </c>
      <c r="N8" s="1769" t="s">
        <v>2303</v>
      </c>
      <c r="O8" s="1770"/>
      <c r="P8" s="1770"/>
      <c r="Q8" s="1770"/>
      <c r="R8" s="1770"/>
      <c r="S8" s="1770"/>
    </row>
    <row r="9" spans="2:19">
      <c r="B9" s="1765" t="s">
        <v>1729</v>
      </c>
      <c r="C9" s="1765"/>
      <c r="D9" s="1766">
        <v>10473108823</v>
      </c>
      <c r="E9" s="1767"/>
      <c r="F9" s="1768">
        <v>90</v>
      </c>
      <c r="G9" s="1768"/>
      <c r="H9" s="1768">
        <v>30</v>
      </c>
      <c r="I9" s="1768">
        <v>0.94</v>
      </c>
      <c r="J9" s="1768">
        <v>1.9E-2</v>
      </c>
      <c r="K9" s="1768">
        <v>0.317</v>
      </c>
      <c r="L9" s="1768">
        <v>53</v>
      </c>
      <c r="M9" s="1769" t="s">
        <v>2305</v>
      </c>
      <c r="N9" s="1769" t="s">
        <v>2303</v>
      </c>
      <c r="O9" s="1770"/>
      <c r="P9" s="1770"/>
      <c r="Q9" s="1770"/>
      <c r="R9" s="1770"/>
      <c r="S9" s="1770"/>
    </row>
    <row r="10" spans="2:19">
      <c r="B10" s="1765" t="s">
        <v>1433</v>
      </c>
      <c r="C10" s="1765"/>
      <c r="D10" s="1766">
        <v>10473108823</v>
      </c>
      <c r="E10" s="1767"/>
      <c r="F10" s="1768">
        <v>90</v>
      </c>
      <c r="G10" s="1768"/>
      <c r="H10" s="1768">
        <v>30</v>
      </c>
      <c r="I10" s="1768">
        <v>0.94</v>
      </c>
      <c r="J10" s="1768">
        <v>1.9E-2</v>
      </c>
      <c r="K10" s="1768">
        <v>0.317</v>
      </c>
      <c r="L10" s="1768">
        <v>53</v>
      </c>
      <c r="M10" s="1769" t="s">
        <v>2305</v>
      </c>
      <c r="N10" s="1769" t="s">
        <v>2303</v>
      </c>
      <c r="O10" s="1770"/>
      <c r="P10" s="1770"/>
      <c r="Q10" s="1770"/>
      <c r="R10" s="1770"/>
      <c r="S10" s="1770"/>
    </row>
    <row r="11" spans="2:19">
      <c r="B11" s="1765" t="s">
        <v>1726</v>
      </c>
      <c r="C11" s="1765"/>
      <c r="D11" s="1766">
        <v>20612275603</v>
      </c>
      <c r="E11" s="1767"/>
      <c r="F11" s="1768"/>
      <c r="G11" s="1768"/>
      <c r="H11" s="1768"/>
      <c r="I11" s="1768">
        <v>0.94</v>
      </c>
      <c r="J11" s="1768">
        <v>1.9E-2</v>
      </c>
      <c r="K11" s="1768">
        <v>0.317</v>
      </c>
      <c r="L11" s="1768">
        <v>53</v>
      </c>
      <c r="M11" s="1769" t="s">
        <v>2305</v>
      </c>
      <c r="N11" s="1769" t="s">
        <v>2302</v>
      </c>
      <c r="O11" s="1770"/>
      <c r="P11" s="1770"/>
      <c r="Q11" s="1770"/>
      <c r="R11" s="1770"/>
      <c r="S11" s="1770"/>
    </row>
    <row r="12" spans="2:19">
      <c r="B12" s="1765" t="s">
        <v>3358</v>
      </c>
      <c r="C12" s="1765" t="s">
        <v>5056</v>
      </c>
      <c r="D12" s="1766">
        <v>20535021563</v>
      </c>
      <c r="E12" s="1767">
        <v>85</v>
      </c>
      <c r="F12" s="1768">
        <v>100</v>
      </c>
      <c r="G12" s="1768"/>
      <c r="H12" s="1768">
        <v>30</v>
      </c>
      <c r="I12" s="1768">
        <v>0.94</v>
      </c>
      <c r="J12" s="1768">
        <v>1.9E-2</v>
      </c>
      <c r="K12" s="1768">
        <v>0.317</v>
      </c>
      <c r="L12" s="1768"/>
      <c r="M12" s="1769" t="s">
        <v>3375</v>
      </c>
      <c r="N12" s="1769" t="s">
        <v>2301</v>
      </c>
      <c r="O12" s="1770"/>
      <c r="P12" s="1770"/>
      <c r="Q12" s="1770"/>
      <c r="R12" s="1770"/>
      <c r="S12" s="1770"/>
    </row>
    <row r="13" spans="2:19">
      <c r="B13" s="1765" t="s">
        <v>4067</v>
      </c>
      <c r="C13" s="1765" t="s">
        <v>5057</v>
      </c>
      <c r="D13" s="1766">
        <v>10239291240</v>
      </c>
      <c r="E13" s="1767">
        <v>85</v>
      </c>
      <c r="F13" s="1768">
        <v>100</v>
      </c>
      <c r="G13" s="1768"/>
      <c r="H13" s="1768">
        <v>30</v>
      </c>
      <c r="I13" s="1768">
        <v>0.94</v>
      </c>
      <c r="J13" s="1768">
        <v>1.9E-2</v>
      </c>
      <c r="K13" s="1768">
        <v>0.317</v>
      </c>
      <c r="L13" s="1768"/>
      <c r="M13" s="1769" t="s">
        <v>3375</v>
      </c>
      <c r="N13" s="1769" t="s">
        <v>2301</v>
      </c>
      <c r="O13" s="1770"/>
      <c r="P13" s="1770"/>
      <c r="Q13" s="1770"/>
      <c r="R13" s="1770"/>
      <c r="S13" s="1770"/>
    </row>
    <row r="14" spans="2:19">
      <c r="B14" s="1765" t="s">
        <v>5758</v>
      </c>
      <c r="C14" s="1889" t="s">
        <v>5759</v>
      </c>
      <c r="D14" s="1766">
        <v>10768340108</v>
      </c>
      <c r="E14" s="1767">
        <v>85</v>
      </c>
      <c r="F14" s="1768">
        <v>100</v>
      </c>
      <c r="G14" s="1768"/>
      <c r="H14" s="1768">
        <v>30</v>
      </c>
      <c r="I14" s="1768">
        <v>0.94</v>
      </c>
      <c r="J14" s="1768">
        <v>1.9E-2</v>
      </c>
      <c r="K14" s="1768">
        <v>0.317</v>
      </c>
      <c r="L14" s="1768"/>
      <c r="M14" s="1769" t="s">
        <v>3375</v>
      </c>
      <c r="N14" s="1769" t="s">
        <v>2301</v>
      </c>
      <c r="O14" s="1770"/>
      <c r="P14" s="1770"/>
      <c r="Q14" s="1770"/>
      <c r="R14" s="1770"/>
      <c r="S14" s="1770"/>
    </row>
    <row r="15" spans="2:19">
      <c r="B15" s="1765" t="s">
        <v>5095</v>
      </c>
      <c r="C15" s="1772" t="s">
        <v>5101</v>
      </c>
      <c r="D15" s="1766">
        <v>10770876970</v>
      </c>
      <c r="E15" s="1767">
        <v>85</v>
      </c>
      <c r="F15" s="1768">
        <v>100</v>
      </c>
      <c r="G15" s="1768"/>
      <c r="H15" s="1768">
        <v>30</v>
      </c>
      <c r="I15" s="1768">
        <v>0.94</v>
      </c>
      <c r="J15" s="1768">
        <v>1.9E-2</v>
      </c>
      <c r="K15" s="1768">
        <v>0.317</v>
      </c>
      <c r="L15" s="1768"/>
      <c r="M15" s="1769" t="s">
        <v>3375</v>
      </c>
      <c r="N15" s="1769" t="s">
        <v>2301</v>
      </c>
      <c r="O15" s="1770"/>
      <c r="P15" s="1770"/>
      <c r="Q15" s="1770"/>
      <c r="R15" s="1770"/>
      <c r="S15" s="1770"/>
    </row>
    <row r="16" spans="2:19">
      <c r="B16" s="1456" t="s">
        <v>119</v>
      </c>
      <c r="C16" s="1456" t="s">
        <v>4858</v>
      </c>
      <c r="D16" s="1462">
        <v>10082235774</v>
      </c>
      <c r="E16" s="631"/>
      <c r="F16" s="1082">
        <v>80</v>
      </c>
      <c r="H16" s="1082">
        <v>10</v>
      </c>
      <c r="I16" s="1082">
        <v>0.98499999999999999</v>
      </c>
      <c r="J16" s="1082">
        <v>7.0000000000000001E-3</v>
      </c>
      <c r="K16" s="1192">
        <v>0.46</v>
      </c>
      <c r="M16" s="1170" t="s">
        <v>2307</v>
      </c>
      <c r="N16" s="1188" t="s">
        <v>2313</v>
      </c>
    </row>
    <row r="17" spans="2:21">
      <c r="B17" s="1946" t="s">
        <v>1671</v>
      </c>
      <c r="C17" s="1524"/>
      <c r="D17" s="1462">
        <v>20517242919</v>
      </c>
      <c r="E17" s="631"/>
      <c r="F17" s="1082">
        <v>80</v>
      </c>
      <c r="H17" s="1082">
        <v>10</v>
      </c>
      <c r="I17" s="1082">
        <v>0.98499999999999999</v>
      </c>
      <c r="J17" s="1082">
        <v>7.0000000000000001E-3</v>
      </c>
      <c r="K17" s="1192">
        <v>0.46</v>
      </c>
      <c r="M17" s="1170" t="s">
        <v>2307</v>
      </c>
      <c r="N17" s="1188" t="s">
        <v>2313</v>
      </c>
    </row>
    <row r="18" spans="2:21">
      <c r="B18" s="1597" t="s">
        <v>66</v>
      </c>
      <c r="C18" s="1597" t="s">
        <v>5730</v>
      </c>
      <c r="D18" s="1598">
        <v>10457401928</v>
      </c>
      <c r="E18" s="1599">
        <v>90</v>
      </c>
      <c r="F18" s="1600">
        <v>120</v>
      </c>
      <c r="G18" s="1600">
        <v>20</v>
      </c>
      <c r="H18" s="1600">
        <v>30</v>
      </c>
      <c r="I18" s="1600">
        <v>0.94</v>
      </c>
      <c r="J18" s="1600">
        <v>3.5000000000000003E-2</v>
      </c>
      <c r="K18" s="1600">
        <v>0.54800000000000004</v>
      </c>
      <c r="L18" s="1600"/>
      <c r="M18" s="1601" t="s">
        <v>2306</v>
      </c>
      <c r="N18" s="1601" t="s">
        <v>2302</v>
      </c>
      <c r="O18" s="1602"/>
      <c r="P18" s="1602"/>
      <c r="Q18" s="1602"/>
      <c r="R18" s="1602"/>
      <c r="S18" s="1602" t="s">
        <v>4196</v>
      </c>
      <c r="T18" s="1760" t="s">
        <v>5068</v>
      </c>
    </row>
    <row r="19" spans="2:21">
      <c r="B19" s="1597" t="s">
        <v>1484</v>
      </c>
      <c r="C19" s="1888" t="s">
        <v>5028</v>
      </c>
      <c r="D19" s="1598">
        <v>10761932735</v>
      </c>
      <c r="E19" s="1599">
        <v>90</v>
      </c>
      <c r="F19" s="1600">
        <v>120</v>
      </c>
      <c r="G19" s="1600">
        <v>20</v>
      </c>
      <c r="H19" s="1600">
        <v>30</v>
      </c>
      <c r="I19" s="1600">
        <v>0.94</v>
      </c>
      <c r="J19" s="1600">
        <v>3.5000000000000003E-2</v>
      </c>
      <c r="K19" s="1600">
        <v>0.54800000000000004</v>
      </c>
      <c r="L19" s="1600"/>
      <c r="M19" s="1601" t="s">
        <v>2306</v>
      </c>
      <c r="N19" s="1603" t="s">
        <v>2302</v>
      </c>
      <c r="O19" s="1602"/>
      <c r="P19" s="1602"/>
      <c r="Q19" s="1602"/>
      <c r="R19" s="1602"/>
      <c r="S19" s="1602" t="s">
        <v>4196</v>
      </c>
      <c r="T19" s="1760" t="s">
        <v>5068</v>
      </c>
    </row>
    <row r="20" spans="2:21">
      <c r="B20" s="1597" t="s">
        <v>3510</v>
      </c>
      <c r="C20" s="1747" t="s">
        <v>5029</v>
      </c>
      <c r="D20" s="1598">
        <v>10408856049</v>
      </c>
      <c r="E20" s="1599">
        <v>90</v>
      </c>
      <c r="F20" s="1600">
        <v>120</v>
      </c>
      <c r="G20" s="1600">
        <v>20</v>
      </c>
      <c r="H20" s="1600">
        <v>30</v>
      </c>
      <c r="I20" s="1600">
        <v>0.94</v>
      </c>
      <c r="J20" s="1600">
        <v>3.5000000000000003E-2</v>
      </c>
      <c r="K20" s="1600">
        <v>0.54800000000000004</v>
      </c>
      <c r="L20" s="1600"/>
      <c r="M20" s="1604" t="s">
        <v>2306</v>
      </c>
      <c r="N20" s="1604" t="s">
        <v>2302</v>
      </c>
      <c r="O20" s="1602"/>
      <c r="P20" s="1602"/>
      <c r="Q20" s="1602"/>
      <c r="R20" s="1602"/>
      <c r="S20" s="1602" t="s">
        <v>4196</v>
      </c>
      <c r="T20" s="1760" t="s">
        <v>5068</v>
      </c>
    </row>
    <row r="21" spans="2:21" s="1914" customFormat="1">
      <c r="B21" s="1907" t="s">
        <v>5914</v>
      </c>
      <c r="C21" s="1908" t="s">
        <v>5096</v>
      </c>
      <c r="D21" s="1909">
        <v>20606333219</v>
      </c>
      <c r="E21" s="1910">
        <v>90</v>
      </c>
      <c r="F21" s="1911">
        <v>120</v>
      </c>
      <c r="G21" s="1911">
        <v>20</v>
      </c>
      <c r="H21" s="1911">
        <v>30</v>
      </c>
      <c r="I21" s="1911">
        <v>0.94</v>
      </c>
      <c r="J21" s="1911">
        <v>3.5000000000000003E-2</v>
      </c>
      <c r="K21" s="1911">
        <v>0.54800000000000004</v>
      </c>
      <c r="L21" s="1912" t="s">
        <v>5935</v>
      </c>
      <c r="M21" s="1913" t="s">
        <v>2306</v>
      </c>
      <c r="N21" s="1913" t="s">
        <v>2302</v>
      </c>
      <c r="S21" s="1914" t="s">
        <v>4195</v>
      </c>
      <c r="T21" s="1948" t="s">
        <v>6124</v>
      </c>
    </row>
    <row r="22" spans="2:21" s="1914" customFormat="1">
      <c r="B22" s="1907" t="s">
        <v>5934</v>
      </c>
      <c r="C22" s="1908" t="s">
        <v>5096</v>
      </c>
      <c r="D22" s="1909">
        <v>10414969564</v>
      </c>
      <c r="E22" s="1910">
        <v>90</v>
      </c>
      <c r="F22" s="1911">
        <v>120</v>
      </c>
      <c r="G22" s="1911">
        <v>20</v>
      </c>
      <c r="H22" s="1911">
        <v>30</v>
      </c>
      <c r="I22" s="1911">
        <v>0.94</v>
      </c>
      <c r="J22" s="1911">
        <v>3.5000000000000003E-2</v>
      </c>
      <c r="K22" s="1911">
        <v>0.54800000000000004</v>
      </c>
      <c r="L22" s="1912" t="s">
        <v>5935</v>
      </c>
      <c r="M22" s="1913" t="s">
        <v>2306</v>
      </c>
      <c r="N22" s="1913" t="s">
        <v>2302</v>
      </c>
      <c r="S22" s="1914" t="s">
        <v>4195</v>
      </c>
      <c r="T22" s="1948" t="s">
        <v>6124</v>
      </c>
    </row>
    <row r="23" spans="2:21">
      <c r="B23" s="1763" t="s">
        <v>5094</v>
      </c>
      <c r="C23" s="1763" t="s">
        <v>5096</v>
      </c>
      <c r="D23" s="1598">
        <v>20613105621</v>
      </c>
      <c r="E23" s="1599">
        <v>90</v>
      </c>
      <c r="F23" s="1600">
        <v>120</v>
      </c>
      <c r="G23" s="1600">
        <v>20</v>
      </c>
      <c r="H23" s="1600">
        <v>30</v>
      </c>
      <c r="I23" s="1600">
        <v>0.94</v>
      </c>
      <c r="J23" s="1600">
        <v>3.5000000000000003E-2</v>
      </c>
      <c r="K23" s="1600">
        <v>0.54800000000000004</v>
      </c>
      <c r="L23" s="1600"/>
      <c r="M23" s="1604" t="s">
        <v>2306</v>
      </c>
      <c r="N23" s="1604" t="s">
        <v>2302</v>
      </c>
      <c r="O23" s="1602"/>
      <c r="P23" s="1602"/>
      <c r="Q23" s="1602"/>
      <c r="R23" s="1602"/>
      <c r="S23" s="1602" t="s">
        <v>4196</v>
      </c>
      <c r="T23" s="1760"/>
    </row>
    <row r="24" spans="2:21">
      <c r="B24" s="1763" t="s">
        <v>5845</v>
      </c>
      <c r="C24" s="1896" t="s">
        <v>5846</v>
      </c>
      <c r="D24" s="1598">
        <v>10473594281</v>
      </c>
      <c r="E24" s="1599">
        <v>90</v>
      </c>
      <c r="F24" s="1600">
        <v>120</v>
      </c>
      <c r="G24" s="1600">
        <v>20</v>
      </c>
      <c r="H24" s="1600">
        <v>30</v>
      </c>
      <c r="I24" s="1600">
        <v>0.94</v>
      </c>
      <c r="J24" s="1600">
        <v>3.5000000000000003E-2</v>
      </c>
      <c r="K24" s="1600">
        <v>0.54800000000000004</v>
      </c>
      <c r="L24" s="1600"/>
      <c r="M24" s="1604" t="s">
        <v>2306</v>
      </c>
      <c r="N24" s="1604" t="s">
        <v>2302</v>
      </c>
      <c r="O24" s="1602"/>
      <c r="P24" s="1602"/>
      <c r="Q24" s="1602"/>
      <c r="R24" s="1602"/>
      <c r="S24" s="1602" t="s">
        <v>4196</v>
      </c>
      <c r="T24" s="1760"/>
    </row>
    <row r="25" spans="2:21" s="1914" customFormat="1">
      <c r="B25" s="1947" t="s">
        <v>6040</v>
      </c>
      <c r="C25" s="1908" t="s">
        <v>5096</v>
      </c>
      <c r="D25" s="1909">
        <v>10422176905</v>
      </c>
      <c r="E25" s="1910">
        <v>90</v>
      </c>
      <c r="F25" s="1911">
        <v>120</v>
      </c>
      <c r="G25" s="1911">
        <v>20</v>
      </c>
      <c r="H25" s="1911">
        <v>30</v>
      </c>
      <c r="I25" s="1911">
        <v>0.94</v>
      </c>
      <c r="J25" s="1911">
        <v>3.5000000000000003E-2</v>
      </c>
      <c r="K25" s="1911">
        <v>0.54800000000000004</v>
      </c>
      <c r="L25" s="1911" t="s">
        <v>5935</v>
      </c>
      <c r="M25" s="1913" t="s">
        <v>2306</v>
      </c>
      <c r="N25" s="1913" t="s">
        <v>2302</v>
      </c>
      <c r="S25" s="1914" t="s">
        <v>4195</v>
      </c>
      <c r="T25" s="1948" t="s">
        <v>6124</v>
      </c>
    </row>
    <row r="26" spans="2:21">
      <c r="B26" s="1654" t="s">
        <v>2004</v>
      </c>
      <c r="C26" s="1748" t="s">
        <v>5030</v>
      </c>
      <c r="D26" s="1655">
        <v>20612921866</v>
      </c>
      <c r="E26" s="1656">
        <v>80</v>
      </c>
      <c r="F26" s="1657">
        <v>100</v>
      </c>
      <c r="G26" s="1657"/>
      <c r="H26" s="1657">
        <v>30</v>
      </c>
      <c r="I26" s="1657">
        <v>0.94</v>
      </c>
      <c r="J26" s="1657">
        <v>1.9E-2</v>
      </c>
      <c r="K26" s="1657">
        <v>0.317</v>
      </c>
      <c r="L26" s="1657">
        <v>10</v>
      </c>
      <c r="M26" s="1658" t="s">
        <v>932</v>
      </c>
      <c r="N26" s="1659" t="s">
        <v>2302</v>
      </c>
      <c r="O26" s="1495"/>
      <c r="P26" s="1495"/>
      <c r="Q26" s="1495"/>
      <c r="R26" s="1495"/>
      <c r="S26" s="1495"/>
    </row>
    <row r="27" spans="2:21">
      <c r="B27" s="1654" t="s">
        <v>4558</v>
      </c>
      <c r="C27" s="1654" t="s">
        <v>5040</v>
      </c>
      <c r="D27" s="1655">
        <v>20614635101</v>
      </c>
      <c r="E27" s="1656">
        <v>80</v>
      </c>
      <c r="F27" s="1657">
        <v>100</v>
      </c>
      <c r="G27" s="1657"/>
      <c r="H27" s="1657">
        <v>30</v>
      </c>
      <c r="I27" s="1657">
        <v>0.94</v>
      </c>
      <c r="J27" s="1657">
        <v>1.9E-2</v>
      </c>
      <c r="K27" s="1657">
        <v>0.317</v>
      </c>
      <c r="L27" s="1657">
        <v>10</v>
      </c>
      <c r="M27" s="1658" t="s">
        <v>932</v>
      </c>
      <c r="N27" s="1659" t="s">
        <v>2302</v>
      </c>
      <c r="O27" s="1495"/>
      <c r="P27" s="1495"/>
      <c r="Q27" s="1495"/>
      <c r="R27" s="1495"/>
      <c r="S27" s="1495"/>
    </row>
    <row r="28" spans="2:21">
      <c r="B28" s="1177" t="s">
        <v>93</v>
      </c>
      <c r="C28" s="1177" t="s">
        <v>5041</v>
      </c>
      <c r="D28" s="1463">
        <v>20169040231</v>
      </c>
      <c r="E28" s="1246">
        <v>85</v>
      </c>
      <c r="F28" s="1178">
        <v>120</v>
      </c>
      <c r="G28" s="1178">
        <v>20</v>
      </c>
      <c r="H28" s="1178">
        <v>30</v>
      </c>
      <c r="I28" s="1178">
        <v>0.94</v>
      </c>
      <c r="J28" s="1178">
        <v>1.9E-2</v>
      </c>
      <c r="K28" s="1178">
        <v>0.317</v>
      </c>
      <c r="L28" s="1178"/>
      <c r="M28" s="1179" t="s">
        <v>2304</v>
      </c>
      <c r="N28" s="1671" t="s">
        <v>2302</v>
      </c>
      <c r="O28" s="891"/>
      <c r="P28" s="891"/>
      <c r="Q28" s="891"/>
      <c r="R28" s="891"/>
      <c r="S28" t="s">
        <v>4195</v>
      </c>
      <c r="T28" s="2020" t="s">
        <v>108</v>
      </c>
      <c r="U28" s="2020"/>
    </row>
    <row r="29" spans="2:21">
      <c r="B29" s="1177" t="s">
        <v>2444</v>
      </c>
      <c r="C29" s="1177" t="s">
        <v>5042</v>
      </c>
      <c r="D29" s="1463">
        <v>20608774000</v>
      </c>
      <c r="E29" s="1246">
        <v>85</v>
      </c>
      <c r="F29" s="1178">
        <v>120</v>
      </c>
      <c r="G29" s="1178">
        <v>20</v>
      </c>
      <c r="H29" s="1178">
        <v>30</v>
      </c>
      <c r="I29" s="1178">
        <v>0.94</v>
      </c>
      <c r="J29" s="1178">
        <v>1.9E-2</v>
      </c>
      <c r="K29" s="1178">
        <v>0.317</v>
      </c>
      <c r="L29" s="1178"/>
      <c r="M29" s="1179" t="s">
        <v>2304</v>
      </c>
      <c r="N29" s="1671" t="s">
        <v>2302</v>
      </c>
      <c r="O29" s="891"/>
      <c r="P29" s="891"/>
      <c r="Q29" s="891"/>
      <c r="R29" s="891"/>
      <c r="S29" t="s">
        <v>4195</v>
      </c>
      <c r="T29" s="1856" t="s">
        <v>5470</v>
      </c>
      <c r="U29" s="1856" t="s">
        <v>5471</v>
      </c>
    </row>
    <row r="30" spans="2:21">
      <c r="B30" s="1177" t="s">
        <v>4184</v>
      </c>
      <c r="C30" s="1177" t="s">
        <v>5043</v>
      </c>
      <c r="D30" s="1463" t="s">
        <v>4332</v>
      </c>
      <c r="E30" s="1246">
        <v>85</v>
      </c>
      <c r="F30" s="1178">
        <v>120</v>
      </c>
      <c r="G30" s="1178">
        <v>20</v>
      </c>
      <c r="H30" s="1178">
        <v>30</v>
      </c>
      <c r="I30" s="1178">
        <v>0.94</v>
      </c>
      <c r="J30" s="1178">
        <v>1.9E-2</v>
      </c>
      <c r="K30" s="1178">
        <v>0.317</v>
      </c>
      <c r="L30" s="1178"/>
      <c r="M30" s="1179" t="s">
        <v>2304</v>
      </c>
      <c r="N30" s="1671" t="s">
        <v>2302</v>
      </c>
      <c r="O30" s="891"/>
      <c r="P30" s="891"/>
      <c r="Q30" s="891"/>
      <c r="R30" s="891"/>
      <c r="S30" t="s">
        <v>4195</v>
      </c>
      <c r="T30" s="1856">
        <v>50</v>
      </c>
      <c r="U30" s="1856">
        <v>40</v>
      </c>
    </row>
    <row r="31" spans="2:21">
      <c r="B31" s="1177" t="s">
        <v>4722</v>
      </c>
      <c r="C31" s="1752" t="s">
        <v>5044</v>
      </c>
      <c r="D31" s="1463" t="s">
        <v>4723</v>
      </c>
      <c r="E31" s="1773">
        <v>85</v>
      </c>
      <c r="F31" s="1774">
        <v>120</v>
      </c>
      <c r="G31" s="1774">
        <v>20</v>
      </c>
      <c r="H31" s="1774">
        <v>30</v>
      </c>
      <c r="I31" s="1774">
        <v>0.94</v>
      </c>
      <c r="J31" s="1774">
        <v>1.9E-2</v>
      </c>
      <c r="K31" s="1774">
        <v>0.317</v>
      </c>
      <c r="L31" s="1774"/>
      <c r="M31" s="1517" t="s">
        <v>2304</v>
      </c>
      <c r="N31" s="1671" t="s">
        <v>2302</v>
      </c>
      <c r="O31" s="891"/>
      <c r="P31" s="891"/>
      <c r="Q31" s="891"/>
      <c r="R31" s="891"/>
      <c r="S31" t="s">
        <v>4195</v>
      </c>
    </row>
    <row r="32" spans="2:21">
      <c r="B32" s="1853" t="s">
        <v>5442</v>
      </c>
      <c r="C32" s="1854" t="s">
        <v>5443</v>
      </c>
      <c r="D32" s="1463">
        <v>20606562480</v>
      </c>
      <c r="E32" s="1773">
        <v>85</v>
      </c>
      <c r="F32" s="1774">
        <v>120</v>
      </c>
      <c r="G32" s="1774">
        <v>20</v>
      </c>
      <c r="H32" s="1883">
        <v>35</v>
      </c>
      <c r="I32" s="1774">
        <v>0.94</v>
      </c>
      <c r="J32" s="1774">
        <v>1.9E-2</v>
      </c>
      <c r="K32" s="1774">
        <v>0.317</v>
      </c>
      <c r="L32" s="1774"/>
      <c r="M32" s="1517" t="s">
        <v>2304</v>
      </c>
      <c r="N32" s="1671" t="s">
        <v>2302</v>
      </c>
      <c r="O32" s="891"/>
      <c r="P32" s="891"/>
      <c r="Q32" s="891"/>
      <c r="R32" s="891"/>
      <c r="S32" t="s">
        <v>4195</v>
      </c>
    </row>
    <row r="33" spans="2:19">
      <c r="B33" s="1683" t="s">
        <v>1967</v>
      </c>
      <c r="C33" s="1753" t="s">
        <v>5045</v>
      </c>
      <c r="D33" s="1684">
        <v>20601769396</v>
      </c>
      <c r="E33" s="1685">
        <v>90</v>
      </c>
      <c r="F33" s="1686">
        <v>120</v>
      </c>
      <c r="G33" s="1686">
        <v>20</v>
      </c>
      <c r="H33" s="1686">
        <v>30</v>
      </c>
      <c r="I33" s="1686">
        <v>0.94</v>
      </c>
      <c r="J33" s="1686">
        <v>1.9E-2</v>
      </c>
      <c r="K33" s="1686">
        <v>0.317</v>
      </c>
      <c r="L33" s="1686"/>
      <c r="M33" s="1687" t="s">
        <v>4822</v>
      </c>
      <c r="N33" s="1688" t="s">
        <v>2302</v>
      </c>
      <c r="O33" s="1689"/>
      <c r="P33" s="1689"/>
      <c r="Q33" s="1689"/>
      <c r="R33" s="1689"/>
      <c r="S33" s="1689" t="s">
        <v>4197</v>
      </c>
    </row>
    <row r="34" spans="2:19">
      <c r="B34" s="1054" t="s">
        <v>1993</v>
      </c>
      <c r="C34" s="1054"/>
      <c r="D34" s="1462">
        <v>20612937096</v>
      </c>
      <c r="E34" s="631">
        <v>90</v>
      </c>
      <c r="F34" s="1082">
        <v>120</v>
      </c>
      <c r="G34" s="1082">
        <v>20</v>
      </c>
      <c r="H34" s="1082">
        <v>30</v>
      </c>
      <c r="I34" s="1082">
        <v>0.94</v>
      </c>
      <c r="J34" s="1082">
        <v>1.9E-2</v>
      </c>
      <c r="K34" s="1082">
        <v>0.317</v>
      </c>
      <c r="M34" s="1170" t="s">
        <v>1228</v>
      </c>
      <c r="N34" s="1170" t="s">
        <v>2302</v>
      </c>
    </row>
    <row r="35" spans="2:19">
      <c r="B35" s="1054" t="s">
        <v>2368</v>
      </c>
      <c r="C35" s="1754" t="s">
        <v>5046</v>
      </c>
      <c r="D35" s="1462">
        <v>20612719757</v>
      </c>
      <c r="E35" s="631">
        <v>90</v>
      </c>
      <c r="F35" s="762">
        <v>120</v>
      </c>
      <c r="G35" s="1082">
        <v>20</v>
      </c>
      <c r="H35" s="1082">
        <v>30</v>
      </c>
      <c r="I35" s="1082">
        <v>0.94</v>
      </c>
      <c r="J35" s="1082">
        <v>1.9E-2</v>
      </c>
      <c r="K35" s="1082">
        <v>0.317</v>
      </c>
      <c r="M35" s="1945" t="s">
        <v>6072</v>
      </c>
      <c r="N35" s="1170" t="s">
        <v>2302</v>
      </c>
    </row>
    <row r="36" spans="2:19">
      <c r="B36" s="1054" t="s">
        <v>1000</v>
      </c>
      <c r="C36" s="1054"/>
      <c r="D36" s="1462">
        <v>20611329556</v>
      </c>
      <c r="E36" s="631">
        <v>90</v>
      </c>
      <c r="F36" s="1082">
        <v>120</v>
      </c>
      <c r="G36" s="1082">
        <v>20</v>
      </c>
      <c r="H36" s="1082">
        <v>30</v>
      </c>
      <c r="I36" s="1082">
        <v>0.94</v>
      </c>
      <c r="J36" s="1082">
        <v>1.9E-2</v>
      </c>
      <c r="K36" s="1082">
        <v>0.317</v>
      </c>
      <c r="M36" s="1170" t="s">
        <v>2308</v>
      </c>
      <c r="N36" s="1170" t="s">
        <v>2302</v>
      </c>
    </row>
    <row r="37" spans="2:19">
      <c r="B37" s="1054" t="s">
        <v>1725</v>
      </c>
      <c r="C37" s="1054"/>
      <c r="D37" s="1462">
        <v>20606102519</v>
      </c>
      <c r="E37" s="631">
        <v>90</v>
      </c>
      <c r="F37" s="1082">
        <v>120</v>
      </c>
      <c r="G37" s="1082">
        <v>20</v>
      </c>
      <c r="H37" s="1082">
        <v>30</v>
      </c>
      <c r="I37" s="1082">
        <v>0.94</v>
      </c>
      <c r="J37" s="1082">
        <v>1.9E-2</v>
      </c>
      <c r="K37" s="1082">
        <v>0.317</v>
      </c>
      <c r="M37" s="1170" t="s">
        <v>2308</v>
      </c>
      <c r="N37" s="1170" t="s">
        <v>2302</v>
      </c>
    </row>
    <row r="38" spans="2:19">
      <c r="B38" s="1054" t="s">
        <v>1177</v>
      </c>
      <c r="C38" s="1054"/>
      <c r="D38" s="1462">
        <v>20606094010</v>
      </c>
      <c r="E38" s="631">
        <v>90</v>
      </c>
      <c r="F38" s="1082">
        <v>120</v>
      </c>
      <c r="G38" s="1082">
        <v>20</v>
      </c>
      <c r="H38" s="1082">
        <v>30</v>
      </c>
      <c r="I38" s="1082">
        <v>0.94</v>
      </c>
      <c r="J38" s="1082">
        <v>1.9E-2</v>
      </c>
      <c r="K38" s="1082">
        <v>0.317</v>
      </c>
      <c r="M38" s="1170" t="s">
        <v>2308</v>
      </c>
      <c r="N38" s="1170" t="s">
        <v>2302</v>
      </c>
    </row>
    <row r="39" spans="2:19">
      <c r="B39" s="1054" t="s">
        <v>1176</v>
      </c>
      <c r="C39" s="1054"/>
      <c r="D39" s="1462">
        <v>20611748486</v>
      </c>
      <c r="E39" s="631">
        <v>90</v>
      </c>
      <c r="F39" s="1082">
        <v>120</v>
      </c>
      <c r="G39" s="1082">
        <v>20</v>
      </c>
      <c r="H39" s="1082">
        <v>30</v>
      </c>
      <c r="I39" s="1082">
        <v>0.94</v>
      </c>
      <c r="J39" s="1082">
        <v>1.9E-2</v>
      </c>
      <c r="K39" s="1082">
        <v>0.317</v>
      </c>
      <c r="M39" s="1170" t="s">
        <v>2308</v>
      </c>
      <c r="N39" s="1170" t="s">
        <v>2302</v>
      </c>
    </row>
    <row r="40" spans="2:19">
      <c r="B40" s="1056" t="s">
        <v>1403</v>
      </c>
      <c r="C40" s="1056"/>
      <c r="D40" s="1462">
        <v>10479968131</v>
      </c>
      <c r="E40" s="631">
        <v>90</v>
      </c>
      <c r="F40" s="1082">
        <v>120</v>
      </c>
      <c r="G40" s="1082">
        <v>20</v>
      </c>
      <c r="H40" s="1082">
        <v>30</v>
      </c>
      <c r="I40" s="1082">
        <v>0.94</v>
      </c>
      <c r="J40" s="1082">
        <v>1.9E-2</v>
      </c>
      <c r="K40" s="1082">
        <v>0.317</v>
      </c>
      <c r="M40" s="1170" t="s">
        <v>2308</v>
      </c>
      <c r="N40" s="1170" t="s">
        <v>2302</v>
      </c>
    </row>
    <row r="41" spans="2:19">
      <c r="B41" s="1056" t="s">
        <v>1402</v>
      </c>
      <c r="C41" s="1056"/>
      <c r="D41" s="1462">
        <v>20606526599</v>
      </c>
      <c r="E41" s="631">
        <v>90</v>
      </c>
      <c r="F41" s="1082">
        <v>120</v>
      </c>
      <c r="G41" s="1082">
        <v>20</v>
      </c>
      <c r="H41" s="1082">
        <v>30</v>
      </c>
      <c r="I41" s="1082">
        <v>0.94</v>
      </c>
      <c r="J41" s="1082">
        <v>1.9E-2</v>
      </c>
      <c r="K41" s="1082">
        <v>0.317</v>
      </c>
      <c r="M41" s="1170" t="s">
        <v>2308</v>
      </c>
      <c r="N41" s="1170" t="s">
        <v>2302</v>
      </c>
    </row>
    <row r="42" spans="2:19">
      <c r="B42" s="1054" t="s">
        <v>1445</v>
      </c>
      <c r="C42" s="1054"/>
      <c r="D42" s="1462">
        <v>20604990000</v>
      </c>
      <c r="E42" s="631">
        <v>90</v>
      </c>
      <c r="F42" s="1082">
        <v>120</v>
      </c>
      <c r="G42" s="1082">
        <v>20</v>
      </c>
      <c r="H42" s="1082">
        <v>30</v>
      </c>
      <c r="I42" s="1082">
        <v>0.94</v>
      </c>
      <c r="J42" s="1082">
        <v>1.9E-2</v>
      </c>
      <c r="K42" s="1082">
        <v>0.317</v>
      </c>
      <c r="M42" s="1170" t="s">
        <v>2308</v>
      </c>
      <c r="N42" s="1170" t="s">
        <v>2302</v>
      </c>
    </row>
    <row r="43" spans="2:19">
      <c r="B43" s="1054" t="s">
        <v>1342</v>
      </c>
      <c r="C43" s="1054"/>
      <c r="D43" s="1462">
        <v>20611739509</v>
      </c>
      <c r="E43" s="631">
        <v>90</v>
      </c>
      <c r="F43" s="1082">
        <v>120</v>
      </c>
      <c r="G43" s="1082">
        <v>20</v>
      </c>
      <c r="H43" s="1082">
        <v>30</v>
      </c>
      <c r="I43" s="1082">
        <v>0.94</v>
      </c>
      <c r="J43" s="1082">
        <v>1.9E-2</v>
      </c>
      <c r="K43" s="1082">
        <v>0.317</v>
      </c>
      <c r="M43" s="1170" t="s">
        <v>2308</v>
      </c>
      <c r="N43" s="1170" t="s">
        <v>2302</v>
      </c>
    </row>
    <row r="44" spans="2:19">
      <c r="B44" s="1261" t="s">
        <v>2601</v>
      </c>
      <c r="C44" s="1261"/>
      <c r="D44" s="1462">
        <v>20609542722</v>
      </c>
      <c r="E44" s="631">
        <v>90</v>
      </c>
      <c r="F44" s="1082">
        <v>90</v>
      </c>
      <c r="H44" s="1082">
        <v>25</v>
      </c>
      <c r="I44" s="1082">
        <v>0.94</v>
      </c>
      <c r="J44" s="1082">
        <v>1.9E-2</v>
      </c>
      <c r="K44" s="1082">
        <v>0.317</v>
      </c>
      <c r="M44" s="1170" t="s">
        <v>2308</v>
      </c>
      <c r="N44" s="1170" t="s">
        <v>2302</v>
      </c>
    </row>
    <row r="45" spans="2:19">
      <c r="B45" s="1054" t="s">
        <v>1689</v>
      </c>
      <c r="C45" s="1054"/>
      <c r="D45" s="1462">
        <v>10306762465</v>
      </c>
      <c r="E45" s="631">
        <v>90</v>
      </c>
      <c r="F45" s="1082">
        <v>120</v>
      </c>
      <c r="H45" s="1082">
        <v>30</v>
      </c>
      <c r="I45" s="1082">
        <v>0.94</v>
      </c>
      <c r="J45" s="1082">
        <v>1.9E-2</v>
      </c>
      <c r="K45" s="1082">
        <v>0.317</v>
      </c>
      <c r="M45" s="1170" t="s">
        <v>2308</v>
      </c>
      <c r="N45" s="1170" t="s">
        <v>2302</v>
      </c>
    </row>
    <row r="46" spans="2:19">
      <c r="B46" s="1054" t="s">
        <v>1718</v>
      </c>
      <c r="C46" s="1054"/>
      <c r="D46" s="1462">
        <v>20548542422</v>
      </c>
      <c r="E46" s="631">
        <v>75</v>
      </c>
      <c r="F46" s="1082">
        <v>90</v>
      </c>
      <c r="H46" s="1082">
        <v>25</v>
      </c>
      <c r="I46" s="1082">
        <v>0.94</v>
      </c>
      <c r="J46" s="1082">
        <v>1.9E-2</v>
      </c>
      <c r="K46" s="1082">
        <v>0.317</v>
      </c>
      <c r="M46" s="1170" t="s">
        <v>2308</v>
      </c>
      <c r="N46" s="1170" t="s">
        <v>2302</v>
      </c>
    </row>
    <row r="47" spans="2:19">
      <c r="B47" s="1056" t="s">
        <v>1799</v>
      </c>
      <c r="C47" s="1056"/>
      <c r="D47" s="1462">
        <v>20604990000</v>
      </c>
      <c r="E47" s="631">
        <v>90</v>
      </c>
      <c r="F47" s="1082">
        <v>120</v>
      </c>
      <c r="H47" s="1082">
        <v>30</v>
      </c>
      <c r="I47" s="1082">
        <v>0.94</v>
      </c>
      <c r="J47" s="1082">
        <v>1.9E-2</v>
      </c>
      <c r="K47" s="1082">
        <v>0.317</v>
      </c>
      <c r="M47" s="1170" t="s">
        <v>2308</v>
      </c>
      <c r="N47" s="1170" t="s">
        <v>2302</v>
      </c>
    </row>
    <row r="48" spans="2:19">
      <c r="B48" s="1054" t="s">
        <v>1010</v>
      </c>
      <c r="C48" s="1054"/>
      <c r="D48" s="1462">
        <v>20606102519</v>
      </c>
      <c r="E48" s="631">
        <v>90</v>
      </c>
      <c r="F48" s="1082">
        <v>120</v>
      </c>
      <c r="H48" s="1082">
        <v>30</v>
      </c>
      <c r="I48" s="1082">
        <v>0.94</v>
      </c>
      <c r="J48" s="1082">
        <v>1.9E-2</v>
      </c>
      <c r="K48" s="1082">
        <v>0.317</v>
      </c>
      <c r="M48" s="1170" t="s">
        <v>2308</v>
      </c>
      <c r="N48" s="1170" t="s">
        <v>2302</v>
      </c>
    </row>
    <row r="49" spans="2:22">
      <c r="B49" s="1054" t="s">
        <v>1840</v>
      </c>
      <c r="C49" s="1054"/>
      <c r="D49" s="1462">
        <v>20611000350</v>
      </c>
      <c r="E49" s="631">
        <v>90</v>
      </c>
      <c r="F49" s="1082">
        <v>120</v>
      </c>
      <c r="H49" s="1082">
        <v>30</v>
      </c>
      <c r="I49" s="1082">
        <v>0.94</v>
      </c>
      <c r="J49" s="1082">
        <v>1.9E-2</v>
      </c>
      <c r="K49" s="1082">
        <v>0.317</v>
      </c>
      <c r="M49" s="1170" t="s">
        <v>2308</v>
      </c>
      <c r="N49" s="1170" t="s">
        <v>2302</v>
      </c>
    </row>
    <row r="50" spans="2:22">
      <c r="B50" s="1054" t="s">
        <v>1869</v>
      </c>
      <c r="C50" s="1054"/>
      <c r="D50" s="1462">
        <v>10756747652</v>
      </c>
      <c r="E50" s="631">
        <v>90</v>
      </c>
      <c r="F50" s="1082">
        <v>120</v>
      </c>
      <c r="H50" s="1082">
        <v>30</v>
      </c>
      <c r="I50" s="1082">
        <v>0.94</v>
      </c>
      <c r="J50" s="1082">
        <v>1.9E-2</v>
      </c>
      <c r="K50" s="1082">
        <v>0.317</v>
      </c>
      <c r="M50" s="1170" t="s">
        <v>2308</v>
      </c>
      <c r="N50" s="1170" t="s">
        <v>2302</v>
      </c>
    </row>
    <row r="51" spans="2:22">
      <c r="B51" s="1054" t="s">
        <v>1938</v>
      </c>
      <c r="C51" s="1054"/>
      <c r="D51" s="1462">
        <v>20609578786</v>
      </c>
      <c r="E51" s="631">
        <v>90</v>
      </c>
      <c r="F51" s="1082">
        <v>120</v>
      </c>
      <c r="H51" s="1082">
        <v>30</v>
      </c>
      <c r="I51" s="1082">
        <v>0.94</v>
      </c>
      <c r="J51" s="1082">
        <v>1.9E-2</v>
      </c>
      <c r="K51" s="1082">
        <v>0.317</v>
      </c>
      <c r="M51" s="1170" t="s">
        <v>2308</v>
      </c>
      <c r="N51" s="1170" t="s">
        <v>2302</v>
      </c>
    </row>
    <row r="52" spans="2:22">
      <c r="B52" s="1054" t="s">
        <v>1937</v>
      </c>
      <c r="C52" s="1054"/>
      <c r="D52" s="1462">
        <v>10424767285</v>
      </c>
      <c r="E52" s="631">
        <v>90</v>
      </c>
      <c r="F52" s="1082">
        <v>120</v>
      </c>
      <c r="H52" s="1082">
        <v>30</v>
      </c>
      <c r="I52" s="1082">
        <v>0.94</v>
      </c>
      <c r="J52" s="1082">
        <v>1.9E-2</v>
      </c>
      <c r="K52" s="1082">
        <v>0.317</v>
      </c>
      <c r="M52" s="1170" t="s">
        <v>2308</v>
      </c>
      <c r="N52" s="1170" t="s">
        <v>2302</v>
      </c>
    </row>
    <row r="53" spans="2:22">
      <c r="B53" s="1054" t="s">
        <v>1966</v>
      </c>
      <c r="C53" s="1054"/>
      <c r="D53" s="1462">
        <v>20612791148</v>
      </c>
      <c r="E53" s="631">
        <v>90</v>
      </c>
      <c r="F53" s="1082">
        <v>120</v>
      </c>
      <c r="G53" s="1082">
        <v>20</v>
      </c>
      <c r="H53" s="1082">
        <v>30</v>
      </c>
      <c r="I53" s="1082">
        <v>0.94</v>
      </c>
      <c r="J53" s="1082">
        <v>1.9E-2</v>
      </c>
      <c r="K53" s="1082">
        <v>0.317</v>
      </c>
      <c r="M53" s="1195" t="s">
        <v>2419</v>
      </c>
      <c r="N53" s="1170" t="s">
        <v>2302</v>
      </c>
    </row>
    <row r="54" spans="2:22">
      <c r="B54" s="1054" t="s">
        <v>1999</v>
      </c>
      <c r="C54" s="1054"/>
      <c r="D54" s="1462">
        <v>10445192410</v>
      </c>
      <c r="E54" s="631">
        <v>90</v>
      </c>
      <c r="I54" s="1082">
        <v>0.94</v>
      </c>
      <c r="J54" s="1082">
        <v>1.9E-2</v>
      </c>
      <c r="K54" s="1082">
        <v>0.317</v>
      </c>
      <c r="M54" s="1170" t="s">
        <v>2308</v>
      </c>
      <c r="N54" s="1170" t="s">
        <v>2302</v>
      </c>
    </row>
    <row r="55" spans="2:22">
      <c r="B55" s="1163" t="s">
        <v>324</v>
      </c>
      <c r="C55" s="1163" t="s">
        <v>3539</v>
      </c>
      <c r="D55" s="1462">
        <v>20603329059</v>
      </c>
      <c r="E55" s="631">
        <v>90</v>
      </c>
      <c r="F55" s="1082">
        <v>100</v>
      </c>
      <c r="H55" s="1082">
        <v>30</v>
      </c>
      <c r="I55" s="1082">
        <v>0.94</v>
      </c>
      <c r="J55" s="1082">
        <v>1.9E-2</v>
      </c>
      <c r="K55" s="1082">
        <v>0.317</v>
      </c>
      <c r="M55" s="1170" t="s">
        <v>2308</v>
      </c>
      <c r="N55" s="1170" t="s">
        <v>2302</v>
      </c>
    </row>
    <row r="56" spans="2:22">
      <c r="B56" s="1605" t="s">
        <v>1265</v>
      </c>
      <c r="C56" s="1755" t="s">
        <v>5047</v>
      </c>
      <c r="D56" s="1606">
        <v>20606527439</v>
      </c>
      <c r="E56" s="1607">
        <v>80</v>
      </c>
      <c r="F56" s="1608">
        <v>110</v>
      </c>
      <c r="G56" s="1608">
        <v>0</v>
      </c>
      <c r="H56" s="1608">
        <v>35</v>
      </c>
      <c r="I56" s="1608">
        <v>0.94</v>
      </c>
      <c r="J56" s="1608">
        <v>1.9E-2</v>
      </c>
      <c r="K56" s="1608">
        <v>0.317</v>
      </c>
      <c r="L56" s="1608"/>
      <c r="M56" s="1609" t="s">
        <v>3850</v>
      </c>
      <c r="N56" s="1610" t="s">
        <v>2302</v>
      </c>
      <c r="O56" s="1609"/>
      <c r="P56" s="1609"/>
      <c r="Q56" s="1609"/>
      <c r="R56" s="1609"/>
      <c r="S56" s="1653" t="s">
        <v>4383</v>
      </c>
      <c r="V56" s="1586" t="s">
        <v>3862</v>
      </c>
    </row>
    <row r="57" spans="2:22">
      <c r="B57" s="1832" t="s">
        <v>4198</v>
      </c>
      <c r="C57" s="1755" t="s">
        <v>5048</v>
      </c>
      <c r="D57" s="1606" t="s">
        <v>4199</v>
      </c>
      <c r="E57" s="1607">
        <v>80</v>
      </c>
      <c r="F57" s="1608">
        <v>110</v>
      </c>
      <c r="G57" s="1608">
        <v>0</v>
      </c>
      <c r="H57" s="1608">
        <v>35</v>
      </c>
      <c r="I57" s="1608">
        <v>0.94</v>
      </c>
      <c r="J57" s="1608">
        <v>1.9E-2</v>
      </c>
      <c r="K57" s="1608">
        <v>0.317</v>
      </c>
      <c r="L57" s="1608"/>
      <c r="M57" s="1609" t="s">
        <v>3850</v>
      </c>
      <c r="N57" s="1610" t="s">
        <v>2302</v>
      </c>
      <c r="O57" s="1609"/>
      <c r="P57" s="1609"/>
      <c r="Q57" s="1609"/>
      <c r="R57" s="1609"/>
      <c r="S57" s="1638" t="s">
        <v>4383</v>
      </c>
      <c r="V57" s="1586"/>
    </row>
    <row r="58" spans="2:22">
      <c r="B58" s="1634" t="s">
        <v>4315</v>
      </c>
      <c r="C58" s="1755" t="s">
        <v>5049</v>
      </c>
      <c r="D58" s="1606">
        <v>20614031698</v>
      </c>
      <c r="E58" s="1607">
        <v>80</v>
      </c>
      <c r="F58" s="1608">
        <v>110</v>
      </c>
      <c r="G58" s="1608">
        <v>0</v>
      </c>
      <c r="H58" s="1608">
        <v>35</v>
      </c>
      <c r="I58" s="1608">
        <v>0.94</v>
      </c>
      <c r="J58" s="1608">
        <v>1.9E-2</v>
      </c>
      <c r="K58" s="1608">
        <v>0.317</v>
      </c>
      <c r="L58" s="1608"/>
      <c r="M58" s="1609" t="s">
        <v>3850</v>
      </c>
      <c r="N58" s="1610" t="s">
        <v>2302</v>
      </c>
      <c r="O58" s="1609"/>
      <c r="P58" s="1609"/>
      <c r="Q58" s="1609"/>
      <c r="R58" s="1609"/>
      <c r="S58" s="1638" t="s">
        <v>4383</v>
      </c>
      <c r="V58" s="1586"/>
    </row>
    <row r="59" spans="2:22">
      <c r="B59" s="1634" t="s">
        <v>4499</v>
      </c>
      <c r="C59" s="1755" t="s">
        <v>5050</v>
      </c>
      <c r="D59" s="1606">
        <v>20606480840</v>
      </c>
      <c r="E59" s="1607">
        <v>80</v>
      </c>
      <c r="F59" s="1608">
        <v>110</v>
      </c>
      <c r="G59" s="1608">
        <v>0</v>
      </c>
      <c r="H59" s="1608">
        <v>35</v>
      </c>
      <c r="I59" s="1608">
        <v>0.94</v>
      </c>
      <c r="J59" s="1608">
        <v>1.9E-2</v>
      </c>
      <c r="K59" s="1608">
        <v>0.317</v>
      </c>
      <c r="L59" s="1608"/>
      <c r="M59" s="1609" t="s">
        <v>3850</v>
      </c>
      <c r="N59" s="1610" t="s">
        <v>2302</v>
      </c>
      <c r="O59" s="1609"/>
      <c r="P59" s="1609"/>
      <c r="Q59" s="1609"/>
      <c r="R59" s="1609"/>
      <c r="S59" s="1638" t="s">
        <v>4383</v>
      </c>
      <c r="V59" s="1586"/>
    </row>
    <row r="60" spans="2:22">
      <c r="B60" s="1634" t="s">
        <v>4917</v>
      </c>
      <c r="C60" s="1821" t="s">
        <v>5293</v>
      </c>
      <c r="D60" s="1695" t="s">
        <v>4918</v>
      </c>
      <c r="E60" s="1607">
        <v>80</v>
      </c>
      <c r="F60" s="1608">
        <v>110</v>
      </c>
      <c r="G60" s="1608">
        <v>0</v>
      </c>
      <c r="H60" s="1608">
        <v>35</v>
      </c>
      <c r="I60" s="1608">
        <v>0.94</v>
      </c>
      <c r="J60" s="1608">
        <v>1.9E-2</v>
      </c>
      <c r="K60" s="1608">
        <v>0.317</v>
      </c>
      <c r="L60" s="1608"/>
      <c r="M60" s="1609" t="s">
        <v>3850</v>
      </c>
      <c r="N60" s="1610" t="s">
        <v>2302</v>
      </c>
      <c r="O60" s="1609"/>
      <c r="P60" s="1609"/>
      <c r="Q60" s="1609"/>
      <c r="R60" s="1609"/>
      <c r="S60" s="1638" t="s">
        <v>4383</v>
      </c>
    </row>
    <row r="61" spans="2:22">
      <c r="B61" s="1739" t="s">
        <v>4904</v>
      </c>
      <c r="C61" s="1756" t="s">
        <v>5051</v>
      </c>
      <c r="D61" s="1695">
        <v>20613170848</v>
      </c>
      <c r="E61" s="1607">
        <v>80</v>
      </c>
      <c r="F61" s="1608">
        <v>110</v>
      </c>
      <c r="G61" s="1608">
        <v>0</v>
      </c>
      <c r="H61" s="1608">
        <v>35</v>
      </c>
      <c r="I61" s="1608">
        <v>0.94</v>
      </c>
      <c r="J61" s="1608">
        <v>1.9E-2</v>
      </c>
      <c r="K61" s="1608">
        <v>0.317</v>
      </c>
      <c r="L61" s="1608"/>
      <c r="M61" s="1609" t="s">
        <v>3850</v>
      </c>
      <c r="N61" s="1610" t="s">
        <v>2302</v>
      </c>
      <c r="O61" s="1609"/>
      <c r="P61" s="1609"/>
      <c r="Q61" s="1609"/>
      <c r="R61" s="1609"/>
      <c r="S61" s="1638" t="s">
        <v>4383</v>
      </c>
    </row>
    <row r="62" spans="2:22">
      <c r="B62" s="1697" t="s">
        <v>5012</v>
      </c>
      <c r="C62" s="1755" t="s">
        <v>5052</v>
      </c>
      <c r="D62" s="1606">
        <v>20603162812</v>
      </c>
      <c r="E62" s="1607">
        <v>80</v>
      </c>
      <c r="F62" s="1608">
        <v>110</v>
      </c>
      <c r="G62" s="1608">
        <v>0</v>
      </c>
      <c r="H62" s="1608">
        <v>35</v>
      </c>
      <c r="I62" s="1608">
        <v>0.94</v>
      </c>
      <c r="J62" s="1608">
        <v>1.9E-2</v>
      </c>
      <c r="K62" s="1608">
        <v>0.317</v>
      </c>
      <c r="L62" s="1608"/>
      <c r="M62" s="1609" t="s">
        <v>3850</v>
      </c>
      <c r="N62" s="1610" t="s">
        <v>2302</v>
      </c>
      <c r="O62" s="1609"/>
      <c r="P62" s="1609"/>
      <c r="Q62" s="1609"/>
      <c r="R62" s="1609"/>
      <c r="S62" s="1638" t="s">
        <v>4383</v>
      </c>
    </row>
    <row r="63" spans="2:22">
      <c r="B63" s="1941" t="s">
        <v>5265</v>
      </c>
      <c r="C63" s="1811" t="s">
        <v>5266</v>
      </c>
      <c r="D63" s="1606">
        <v>20609653036</v>
      </c>
      <c r="E63" s="1607">
        <v>80</v>
      </c>
      <c r="F63" s="1608">
        <v>110</v>
      </c>
      <c r="G63" s="1608">
        <v>0</v>
      </c>
      <c r="H63" s="1608">
        <v>35</v>
      </c>
      <c r="I63" s="1608">
        <v>0.94</v>
      </c>
      <c r="J63" s="1608">
        <v>1.9E-2</v>
      </c>
      <c r="K63" s="1608">
        <v>0.317</v>
      </c>
      <c r="L63" s="1608"/>
      <c r="M63" s="1609" t="s">
        <v>3850</v>
      </c>
      <c r="N63" s="1610" t="s">
        <v>2302</v>
      </c>
      <c r="O63" s="1609"/>
      <c r="P63" s="1609"/>
      <c r="Q63" s="1609"/>
      <c r="R63" s="1609"/>
      <c r="S63" s="1638" t="s">
        <v>4383</v>
      </c>
    </row>
    <row r="64" spans="2:22">
      <c r="B64" s="1956" t="s">
        <v>5907</v>
      </c>
      <c r="C64" s="1901" t="s">
        <v>5908</v>
      </c>
      <c r="D64" s="1606">
        <v>20614329646</v>
      </c>
      <c r="E64" s="1607">
        <v>80</v>
      </c>
      <c r="F64" s="1608">
        <v>110</v>
      </c>
      <c r="G64" s="1608">
        <v>0</v>
      </c>
      <c r="H64" s="1608">
        <v>70</v>
      </c>
      <c r="I64" s="1608">
        <v>0.94</v>
      </c>
      <c r="J64" s="1608">
        <v>2.5000000000000001E-2</v>
      </c>
      <c r="K64" s="1608">
        <v>0.41699999999999998</v>
      </c>
      <c r="L64" s="1608"/>
      <c r="M64" s="1609" t="s">
        <v>3850</v>
      </c>
      <c r="N64" s="1610" t="s">
        <v>2302</v>
      </c>
      <c r="O64" s="1609"/>
      <c r="P64" s="1609"/>
      <c r="Q64" s="1609"/>
      <c r="R64" s="1609"/>
      <c r="S64" s="1638" t="s">
        <v>4383</v>
      </c>
    </row>
    <row r="65" spans="2:26">
      <c r="B65" s="1960" t="s">
        <v>6122</v>
      </c>
      <c r="C65" s="1961" t="s">
        <v>6123</v>
      </c>
      <c r="D65" s="1962">
        <v>20612223395</v>
      </c>
      <c r="E65" s="978">
        <v>80</v>
      </c>
      <c r="F65" s="1963">
        <v>110</v>
      </c>
      <c r="G65" s="1963">
        <v>0</v>
      </c>
      <c r="H65" s="1963">
        <v>35</v>
      </c>
      <c r="I65" s="1963">
        <v>0.94</v>
      </c>
      <c r="J65" s="1963">
        <v>2.4E-2</v>
      </c>
      <c r="K65" s="1966">
        <v>0.4</v>
      </c>
      <c r="L65" s="1967" t="s">
        <v>6176</v>
      </c>
      <c r="M65" s="1964" t="s">
        <v>3850</v>
      </c>
      <c r="N65" s="1965" t="s">
        <v>2302</v>
      </c>
      <c r="O65" s="1964"/>
      <c r="P65" s="1964"/>
      <c r="Q65" s="1964"/>
      <c r="R65" s="1964"/>
      <c r="S65" s="1638" t="s">
        <v>4383</v>
      </c>
    </row>
    <row r="66" spans="2:26">
      <c r="B66" s="1960" t="s">
        <v>6140</v>
      </c>
      <c r="C66" s="1961" t="s">
        <v>6123</v>
      </c>
      <c r="D66" s="1962">
        <v>20612554863</v>
      </c>
      <c r="E66" s="978">
        <v>80</v>
      </c>
      <c r="F66" s="1963">
        <v>110</v>
      </c>
      <c r="G66" s="1963">
        <v>0</v>
      </c>
      <c r="H66" s="1963">
        <v>35</v>
      </c>
      <c r="I66" s="1963">
        <v>0.94</v>
      </c>
      <c r="J66" s="1963">
        <v>2.4E-2</v>
      </c>
      <c r="K66" s="1966">
        <v>0.4</v>
      </c>
      <c r="L66" s="1967" t="s">
        <v>6176</v>
      </c>
      <c r="M66" s="1964" t="s">
        <v>3850</v>
      </c>
      <c r="N66" s="1965" t="s">
        <v>2302</v>
      </c>
      <c r="O66" s="1964"/>
      <c r="P66" s="1964"/>
      <c r="Q66" s="1964"/>
      <c r="R66" s="1964"/>
      <c r="S66" s="1638" t="s">
        <v>4383</v>
      </c>
    </row>
    <row r="67" spans="2:26" s="1957" customFormat="1">
      <c r="B67" s="1960" t="s">
        <v>6201</v>
      </c>
      <c r="C67" s="1961" t="s">
        <v>6123</v>
      </c>
      <c r="D67" s="1962">
        <v>10470098142</v>
      </c>
      <c r="E67" s="978">
        <v>80</v>
      </c>
      <c r="F67" s="1963">
        <v>110</v>
      </c>
      <c r="G67" s="1963">
        <v>0</v>
      </c>
      <c r="H67" s="1963">
        <v>35</v>
      </c>
      <c r="I67" s="1963">
        <v>0.94</v>
      </c>
      <c r="J67" s="1963">
        <v>2.4E-2</v>
      </c>
      <c r="K67" s="1966">
        <v>0.4</v>
      </c>
      <c r="L67" s="1967" t="s">
        <v>6176</v>
      </c>
      <c r="M67" s="1964" t="s">
        <v>3850</v>
      </c>
      <c r="N67" s="1965" t="s">
        <v>2302</v>
      </c>
      <c r="O67" s="1964"/>
      <c r="P67" s="1964"/>
      <c r="Q67" s="1964"/>
      <c r="R67" s="1964"/>
      <c r="S67" s="1638" t="s">
        <v>4383</v>
      </c>
    </row>
    <row r="68" spans="2:26" s="1957" customFormat="1">
      <c r="B68" s="1960"/>
      <c r="C68" s="1961"/>
      <c r="D68" s="1962"/>
      <c r="E68" s="978"/>
      <c r="F68" s="1963"/>
      <c r="G68" s="1963"/>
      <c r="H68" s="1963"/>
      <c r="I68" s="1963"/>
      <c r="J68" s="1963"/>
      <c r="K68" s="1963"/>
      <c r="L68" s="1963"/>
      <c r="M68" s="1964"/>
      <c r="N68" s="1965"/>
      <c r="O68" s="1964"/>
      <c r="P68" s="1964"/>
      <c r="Q68" s="1964"/>
      <c r="R68" s="1964"/>
      <c r="S68" s="1638"/>
    </row>
    <row r="69" spans="2:26">
      <c r="B69" s="1662" t="s">
        <v>3062</v>
      </c>
      <c r="C69" s="1757" t="s">
        <v>5044</v>
      </c>
      <c r="D69" s="1663">
        <v>20610807004</v>
      </c>
      <c r="E69" s="1664">
        <v>85</v>
      </c>
      <c r="F69" s="1665">
        <v>120</v>
      </c>
      <c r="G69" s="1665">
        <v>20</v>
      </c>
      <c r="H69" s="1665">
        <v>30</v>
      </c>
      <c r="I69" s="1665">
        <v>0.94</v>
      </c>
      <c r="J69" s="1665">
        <v>1.9E-2</v>
      </c>
      <c r="K69" s="1665">
        <v>0.317</v>
      </c>
      <c r="L69" s="1665"/>
      <c r="M69" s="1666" t="s">
        <v>3076</v>
      </c>
      <c r="N69" s="1667" t="s">
        <v>2302</v>
      </c>
      <c r="O69" s="1664"/>
      <c r="P69" s="1664"/>
      <c r="Q69" s="1664"/>
      <c r="R69" s="1664"/>
      <c r="S69" s="1664" t="s">
        <v>4172</v>
      </c>
    </row>
    <row r="70" spans="2:26">
      <c r="B70" s="1612" t="s">
        <v>3316</v>
      </c>
      <c r="C70" s="1758" t="s">
        <v>5054</v>
      </c>
      <c r="D70" s="1613">
        <v>20613935151</v>
      </c>
      <c r="E70" s="1614">
        <v>90</v>
      </c>
      <c r="F70" s="1615">
        <v>120</v>
      </c>
      <c r="G70" s="1615">
        <v>20</v>
      </c>
      <c r="H70" s="1615">
        <v>30</v>
      </c>
      <c r="I70" s="1615">
        <v>0.94</v>
      </c>
      <c r="J70" s="1615">
        <v>1.9E-2</v>
      </c>
      <c r="K70" s="1615">
        <v>0.317</v>
      </c>
      <c r="L70" s="1615"/>
      <c r="M70" s="1616" t="s">
        <v>3317</v>
      </c>
      <c r="N70" s="1617" t="s">
        <v>2302</v>
      </c>
      <c r="O70" s="1618"/>
      <c r="P70" s="1618"/>
      <c r="Q70" s="1618"/>
      <c r="R70" s="1618"/>
      <c r="S70" s="1618" t="s">
        <v>4197</v>
      </c>
      <c r="V70" s="1690" t="s">
        <v>4862</v>
      </c>
    </row>
    <row r="71" spans="2:26">
      <c r="B71" s="1915" t="s">
        <v>4171</v>
      </c>
      <c r="C71" s="1758" t="s">
        <v>5055</v>
      </c>
      <c r="D71" s="1613">
        <v>20614284740</v>
      </c>
      <c r="E71" s="1614">
        <v>90</v>
      </c>
      <c r="F71" s="1615">
        <v>120</v>
      </c>
      <c r="G71" s="1615">
        <v>20</v>
      </c>
      <c r="H71" s="1615">
        <v>30</v>
      </c>
      <c r="I71" s="1615">
        <v>0.94</v>
      </c>
      <c r="J71" s="1615">
        <v>1.9E-2</v>
      </c>
      <c r="K71" s="1615">
        <v>0.317</v>
      </c>
      <c r="L71" s="1615"/>
      <c r="M71" s="1616" t="s">
        <v>3317</v>
      </c>
      <c r="N71" s="1617" t="s">
        <v>2302</v>
      </c>
      <c r="O71" s="1618"/>
      <c r="P71" s="1618"/>
      <c r="Q71" s="1618"/>
      <c r="R71" s="1618"/>
      <c r="S71" s="1618" t="s">
        <v>4197</v>
      </c>
    </row>
    <row r="72" spans="2:26">
      <c r="B72" s="1054" t="s">
        <v>1727</v>
      </c>
      <c r="C72" s="1054"/>
      <c r="D72" s="1462">
        <v>10404377324</v>
      </c>
      <c r="E72" s="631"/>
      <c r="I72" s="1082">
        <v>0.94</v>
      </c>
      <c r="J72" s="1082">
        <v>1.9E-2</v>
      </c>
      <c r="K72" s="1082">
        <v>0.317</v>
      </c>
    </row>
    <row r="73" spans="2:26">
      <c r="B73" s="1056" t="s">
        <v>1704</v>
      </c>
      <c r="C73" s="1056"/>
      <c r="D73" s="1462">
        <v>20612137502</v>
      </c>
      <c r="E73" s="631"/>
      <c r="I73" s="1082">
        <v>0.94</v>
      </c>
      <c r="J73" s="1082">
        <v>1.9E-2</v>
      </c>
      <c r="K73" s="1082">
        <v>0.317</v>
      </c>
      <c r="N73" s="1170" t="s">
        <v>2301</v>
      </c>
    </row>
    <row r="74" spans="2:26">
      <c r="B74" s="1054" t="s">
        <v>5778</v>
      </c>
      <c r="C74" s="1054" t="s">
        <v>3536</v>
      </c>
      <c r="D74" s="1462">
        <v>20601463173</v>
      </c>
      <c r="E74" s="631">
        <v>85</v>
      </c>
      <c r="F74" s="1082">
        <v>100</v>
      </c>
      <c r="H74" s="1082">
        <v>30</v>
      </c>
      <c r="I74" s="1082">
        <v>0.94</v>
      </c>
      <c r="J74" s="1082">
        <v>1.9E-2</v>
      </c>
      <c r="K74" s="1082">
        <v>0.317</v>
      </c>
      <c r="M74" s="1170" t="s">
        <v>2308</v>
      </c>
      <c r="N74" s="1170" t="s">
        <v>2302</v>
      </c>
    </row>
    <row r="75" spans="2:26">
      <c r="B75" s="1761" t="s">
        <v>2780</v>
      </c>
      <c r="C75" s="1761"/>
      <c r="D75" s="1462">
        <v>123456</v>
      </c>
      <c r="E75">
        <v>90</v>
      </c>
      <c r="F75" s="1082">
        <v>110</v>
      </c>
      <c r="H75" s="1082">
        <v>30</v>
      </c>
      <c r="I75" s="1082">
        <v>0.94</v>
      </c>
      <c r="J75" s="1082">
        <v>1.9E-2</v>
      </c>
      <c r="K75" s="1082">
        <v>0.317</v>
      </c>
      <c r="M75" s="1762" t="s">
        <v>2781</v>
      </c>
      <c r="N75" s="1170" t="s">
        <v>2302</v>
      </c>
    </row>
    <row r="76" spans="2:26">
      <c r="B76" s="1464" t="s">
        <v>3027</v>
      </c>
      <c r="C76" s="1754" t="s">
        <v>5053</v>
      </c>
      <c r="D76" s="1462">
        <v>10486077447</v>
      </c>
      <c r="E76" s="631">
        <v>85</v>
      </c>
      <c r="F76" s="1082">
        <v>100</v>
      </c>
      <c r="H76" s="1082">
        <v>30</v>
      </c>
      <c r="I76" s="1082">
        <v>0.94</v>
      </c>
      <c r="J76" s="1082">
        <v>1.9E-2</v>
      </c>
      <c r="K76" s="1082">
        <v>0.317</v>
      </c>
      <c r="M76" s="1489" t="s">
        <v>3126</v>
      </c>
      <c r="N76" s="1170" t="s">
        <v>2302</v>
      </c>
    </row>
    <row r="77" spans="2:26">
      <c r="B77" s="1464" t="s">
        <v>3028</v>
      </c>
      <c r="C77" s="1464"/>
      <c r="D77" s="1462">
        <v>10737057025</v>
      </c>
      <c r="E77" s="631">
        <v>85</v>
      </c>
      <c r="F77" s="1082">
        <v>100</v>
      </c>
      <c r="H77" s="1082">
        <v>30</v>
      </c>
      <c r="I77" s="1082">
        <v>0.94</v>
      </c>
      <c r="J77" s="1082">
        <v>1.9E-2</v>
      </c>
      <c r="K77" s="1082">
        <v>0.317</v>
      </c>
      <c r="M77" s="1465" t="s">
        <v>3029</v>
      </c>
      <c r="N77" s="1170" t="s">
        <v>2302</v>
      </c>
    </row>
    <row r="78" spans="2:26">
      <c r="B78" s="1488" t="s">
        <v>3125</v>
      </c>
      <c r="C78" s="1754" t="s">
        <v>5053</v>
      </c>
      <c r="D78" s="1677" t="s">
        <v>3129</v>
      </c>
      <c r="E78" s="631">
        <v>90</v>
      </c>
      <c r="F78" s="1082">
        <v>120</v>
      </c>
      <c r="G78" s="1082">
        <v>20</v>
      </c>
      <c r="H78" s="1082">
        <v>30</v>
      </c>
      <c r="I78" s="1082">
        <v>0.94</v>
      </c>
      <c r="J78" s="1082">
        <v>2.4E-2</v>
      </c>
      <c r="K78" s="1082">
        <v>0.376</v>
      </c>
      <c r="M78" s="1485" t="s">
        <v>3091</v>
      </c>
      <c r="N78" s="1834" t="s">
        <v>2303</v>
      </c>
      <c r="O78" s="891"/>
      <c r="P78" s="891"/>
      <c r="Q78" s="891"/>
      <c r="R78" s="891"/>
      <c r="V78" t="s">
        <v>3533</v>
      </c>
      <c r="W78" t="s">
        <v>3532</v>
      </c>
      <c r="Z78" s="1834" t="s">
        <v>5347</v>
      </c>
    </row>
    <row r="79" spans="2:26">
      <c r="B79" s="1054" t="s">
        <v>3464</v>
      </c>
      <c r="C79" s="1054" t="s">
        <v>3538</v>
      </c>
      <c r="D79" s="1462">
        <v>20614284740</v>
      </c>
      <c r="E79" s="631">
        <v>90</v>
      </c>
      <c r="F79" s="762">
        <v>120</v>
      </c>
      <c r="G79" s="1082">
        <v>20</v>
      </c>
      <c r="H79" s="1082">
        <v>30</v>
      </c>
      <c r="I79" s="1082">
        <v>0.94</v>
      </c>
      <c r="J79" s="1082">
        <v>1.9E-2</v>
      </c>
      <c r="K79" s="1082">
        <v>0.317</v>
      </c>
      <c r="M79" s="1195" t="s">
        <v>2419</v>
      </c>
      <c r="N79" s="1170" t="s">
        <v>2302</v>
      </c>
    </row>
    <row r="80" spans="2:26">
      <c r="B80" s="1054" t="s">
        <v>3509</v>
      </c>
      <c r="C80" s="1054" t="s">
        <v>3537</v>
      </c>
      <c r="D80" s="1462">
        <v>10304932789</v>
      </c>
      <c r="E80" s="631">
        <v>90</v>
      </c>
      <c r="F80" s="1082">
        <v>120</v>
      </c>
      <c r="G80" s="1082">
        <v>0</v>
      </c>
      <c r="H80" s="1082">
        <v>30</v>
      </c>
      <c r="I80" s="1082">
        <v>0.94</v>
      </c>
      <c r="J80" s="1082">
        <v>1.9E-2</v>
      </c>
      <c r="K80" s="1082">
        <v>0.317</v>
      </c>
      <c r="M80" s="1559" t="s">
        <v>3091</v>
      </c>
      <c r="N80" s="1559" t="s">
        <v>3577</v>
      </c>
      <c r="V80" t="s">
        <v>3534</v>
      </c>
      <c r="W80" t="s">
        <v>3535</v>
      </c>
      <c r="Y80" t="s">
        <v>3597</v>
      </c>
    </row>
    <row r="81" spans="2:26">
      <c r="B81" s="1054" t="s">
        <v>3642</v>
      </c>
      <c r="C81" s="1054" t="s">
        <v>3836</v>
      </c>
      <c r="D81" s="1462" t="s">
        <v>3644</v>
      </c>
      <c r="E81" s="631">
        <v>90</v>
      </c>
      <c r="F81" s="1082">
        <v>120</v>
      </c>
      <c r="G81" s="1082">
        <v>20</v>
      </c>
      <c r="H81" s="1082">
        <v>30</v>
      </c>
      <c r="I81" s="1082">
        <v>0.94</v>
      </c>
      <c r="J81" s="1082">
        <v>1.9E-2</v>
      </c>
      <c r="K81" s="1082">
        <v>0.317</v>
      </c>
      <c r="M81" s="1565" t="s">
        <v>3640</v>
      </c>
      <c r="N81" s="1170" t="s">
        <v>2302</v>
      </c>
      <c r="S81" t="s">
        <v>4197</v>
      </c>
      <c r="V81" t="s">
        <v>3643</v>
      </c>
    </row>
    <row r="82" spans="2:26">
      <c r="B82" s="1054" t="s">
        <v>4024</v>
      </c>
      <c r="C82" s="1054" t="s">
        <v>4025</v>
      </c>
      <c r="D82" s="1462">
        <v>20506072248</v>
      </c>
      <c r="F82" s="1082">
        <v>80</v>
      </c>
      <c r="H82" s="1082">
        <v>10</v>
      </c>
      <c r="I82" s="1082">
        <v>0.98499999999999999</v>
      </c>
      <c r="J82" s="1082">
        <v>7.0000000000000001E-3</v>
      </c>
      <c r="K82" s="1192">
        <v>0.46</v>
      </c>
      <c r="M82" s="1170" t="s">
        <v>2307</v>
      </c>
      <c r="N82" s="1188" t="s">
        <v>2313</v>
      </c>
    </row>
    <row r="83" spans="2:26">
      <c r="B83" s="1540" t="s">
        <v>3351</v>
      </c>
      <c r="C83" s="1540"/>
      <c r="D83" s="1462">
        <v>20000000001</v>
      </c>
      <c r="E83" s="631">
        <v>90</v>
      </c>
      <c r="F83" s="762">
        <v>120</v>
      </c>
      <c r="G83" s="1082">
        <v>20</v>
      </c>
      <c r="H83" s="1082">
        <v>30</v>
      </c>
      <c r="I83" s="1082">
        <v>0.94</v>
      </c>
      <c r="J83" s="1082">
        <v>1.9E-2</v>
      </c>
      <c r="K83" s="1082">
        <v>0.317</v>
      </c>
      <c r="M83" s="1513" t="s">
        <v>3351</v>
      </c>
      <c r="N83" t="s">
        <v>2302</v>
      </c>
    </row>
    <row r="84" spans="2:26">
      <c r="B84" t="s">
        <v>1720</v>
      </c>
      <c r="D84" s="1462">
        <v>10602688050</v>
      </c>
      <c r="E84" s="631"/>
      <c r="I84" s="1082">
        <v>0.94</v>
      </c>
      <c r="J84" s="1082">
        <v>1.9E-2</v>
      </c>
      <c r="K84" s="1082">
        <v>0.317</v>
      </c>
    </row>
    <row r="85" spans="2:26">
      <c r="B85" s="1054" t="s">
        <v>247</v>
      </c>
      <c r="C85" s="1054"/>
      <c r="D85" s="1462">
        <v>20611795794</v>
      </c>
      <c r="E85" s="631"/>
      <c r="I85" s="1082">
        <v>0.94</v>
      </c>
      <c r="J85" s="1082">
        <v>1.9E-2</v>
      </c>
      <c r="K85" s="1082">
        <v>0.317</v>
      </c>
    </row>
    <row r="86" spans="2:26">
      <c r="B86" s="1054" t="s">
        <v>1721</v>
      </c>
      <c r="C86" s="1054"/>
      <c r="D86" s="1462">
        <v>10800995405</v>
      </c>
      <c r="E86" s="631"/>
      <c r="I86" s="1082">
        <v>0.94</v>
      </c>
      <c r="J86" s="1082">
        <v>1.9E-2</v>
      </c>
      <c r="K86" s="1082">
        <v>0.317</v>
      </c>
    </row>
    <row r="87" spans="2:26">
      <c r="B87" s="1054" t="s">
        <v>1722</v>
      </c>
      <c r="C87" s="1054"/>
      <c r="D87" s="1462">
        <v>20554057862</v>
      </c>
      <c r="E87" s="631"/>
      <c r="I87" s="1082">
        <v>0.94</v>
      </c>
      <c r="J87" s="1082">
        <v>1.9E-2</v>
      </c>
      <c r="K87" s="1082">
        <v>0.317</v>
      </c>
    </row>
    <row r="88" spans="2:26">
      <c r="B88" s="1054" t="s">
        <v>1227</v>
      </c>
      <c r="C88" s="1054"/>
      <c r="D88" s="1462">
        <v>10403381361</v>
      </c>
      <c r="E88" s="631"/>
      <c r="I88" s="1082">
        <v>0.94</v>
      </c>
      <c r="J88" s="1082">
        <v>1.9E-2</v>
      </c>
      <c r="K88" s="1082">
        <v>0.317</v>
      </c>
    </row>
    <row r="89" spans="2:26">
      <c r="B89" s="1054" t="s">
        <v>1724</v>
      </c>
      <c r="C89" s="1054"/>
      <c r="D89" s="1462">
        <v>20609745372</v>
      </c>
      <c r="E89" s="631"/>
      <c r="I89" s="1082">
        <v>0.94</v>
      </c>
      <c r="J89" s="1082">
        <v>1.9E-2</v>
      </c>
      <c r="K89" s="1082">
        <v>0.317</v>
      </c>
    </row>
    <row r="90" spans="2:26">
      <c r="B90" s="1054" t="s">
        <v>1152</v>
      </c>
      <c r="C90" s="1054"/>
      <c r="D90" s="1462">
        <v>20606534923</v>
      </c>
      <c r="E90" s="631"/>
      <c r="I90" s="1082">
        <v>0.94</v>
      </c>
      <c r="J90" s="1082">
        <v>1.9E-2</v>
      </c>
      <c r="K90" s="1082">
        <v>0.317</v>
      </c>
    </row>
    <row r="91" spans="2:26">
      <c r="B91" s="1054" t="s">
        <v>1048</v>
      </c>
      <c r="C91" s="1054"/>
      <c r="D91" s="1462">
        <v>20611424541</v>
      </c>
      <c r="E91" s="631"/>
      <c r="I91" s="1082">
        <v>0.94</v>
      </c>
      <c r="J91" s="1082">
        <v>1.9E-2</v>
      </c>
      <c r="K91" s="1082">
        <v>0.317</v>
      </c>
    </row>
    <row r="92" spans="2:26">
      <c r="B92" t="s">
        <v>5728</v>
      </c>
      <c r="C92" s="1886" t="s">
        <v>5729</v>
      </c>
      <c r="D92" s="1462">
        <v>20603169094</v>
      </c>
      <c r="E92" s="1870">
        <v>90</v>
      </c>
      <c r="F92" s="1872">
        <v>100</v>
      </c>
      <c r="G92" s="1872"/>
      <c r="H92" s="1872">
        <v>28</v>
      </c>
      <c r="I92" s="1872">
        <v>0.94</v>
      </c>
      <c r="J92" s="1872">
        <v>2.1999999999999999E-2</v>
      </c>
      <c r="K92" s="1905">
        <f>0.022*100/6</f>
        <v>0.36666666666666664</v>
      </c>
      <c r="L92" s="1872"/>
      <c r="M92" s="1873" t="s">
        <v>5549</v>
      </c>
      <c r="N92" s="773" t="s">
        <v>2302</v>
      </c>
      <c r="O92" s="773"/>
      <c r="P92" s="773"/>
      <c r="Q92" s="773"/>
      <c r="R92" s="773"/>
      <c r="S92" s="1874" t="s">
        <v>4383</v>
      </c>
      <c r="T92" s="1021" t="s">
        <v>6131</v>
      </c>
      <c r="U92" s="891"/>
      <c r="V92" s="891"/>
      <c r="W92" s="891"/>
      <c r="X92" s="891"/>
      <c r="Y92" s="891"/>
      <c r="Z92" s="891"/>
    </row>
    <row r="93" spans="2:26">
      <c r="B93" s="1869" t="s">
        <v>5549</v>
      </c>
      <c r="C93" s="1870"/>
      <c r="D93" s="1871"/>
      <c r="E93" s="1870">
        <v>90</v>
      </c>
      <c r="F93" s="1872">
        <v>100</v>
      </c>
      <c r="G93" s="1872"/>
      <c r="H93" s="1872">
        <v>28</v>
      </c>
      <c r="I93" s="1872">
        <v>0.94</v>
      </c>
      <c r="J93" s="1872">
        <v>1.9E-2</v>
      </c>
      <c r="K93" s="1872">
        <v>0.317</v>
      </c>
      <c r="L93" s="1872"/>
      <c r="M93" s="1873" t="s">
        <v>5549</v>
      </c>
      <c r="N93" s="773" t="s">
        <v>2302</v>
      </c>
      <c r="O93" s="773"/>
      <c r="P93" s="773"/>
      <c r="Q93" s="773"/>
      <c r="R93" s="773"/>
      <c r="S93" s="1874" t="s">
        <v>4383</v>
      </c>
      <c r="T93" s="891"/>
      <c r="U93" s="891"/>
      <c r="V93" s="891"/>
      <c r="W93" s="891"/>
      <c r="X93" s="891"/>
      <c r="Y93" s="891"/>
      <c r="Z93" s="891"/>
    </row>
    <row r="94" spans="2:26" s="1968" customFormat="1">
      <c r="B94" s="1969" t="s">
        <v>6177</v>
      </c>
      <c r="C94" s="1870"/>
      <c r="D94" s="1871">
        <v>20000000000</v>
      </c>
      <c r="E94" s="1870">
        <v>69</v>
      </c>
      <c r="F94" s="1872">
        <v>50</v>
      </c>
      <c r="G94" s="1872"/>
      <c r="H94" s="1872"/>
      <c r="I94" s="1971">
        <v>0.9</v>
      </c>
      <c r="J94" s="1905">
        <v>3.3000000000000002E-2</v>
      </c>
      <c r="K94" s="1905">
        <v>0.33</v>
      </c>
      <c r="L94" s="1872"/>
      <c r="M94" s="1970" t="s">
        <v>6178</v>
      </c>
      <c r="N94" s="773" t="s">
        <v>2302</v>
      </c>
      <c r="O94" s="773"/>
      <c r="P94" s="773"/>
      <c r="Q94" s="773"/>
      <c r="R94" s="773"/>
      <c r="S94" s="1874" t="s">
        <v>4383</v>
      </c>
      <c r="T94" s="891"/>
      <c r="U94" s="891"/>
      <c r="V94" s="891"/>
      <c r="W94" s="891"/>
      <c r="X94" s="891"/>
      <c r="Y94" s="891"/>
      <c r="Z94" s="891"/>
    </row>
    <row r="96" spans="2:26">
      <c r="B96" s="1177" t="s">
        <v>4980</v>
      </c>
      <c r="C96" s="1177"/>
      <c r="D96" s="1463"/>
      <c r="E96" s="891">
        <v>70</v>
      </c>
      <c r="F96" s="1178">
        <v>100</v>
      </c>
      <c r="G96" s="1178"/>
      <c r="H96" s="1178">
        <v>20</v>
      </c>
      <c r="I96" s="1178"/>
      <c r="J96" s="1178"/>
      <c r="K96" s="1178"/>
      <c r="L96" s="1178"/>
      <c r="M96" s="1701" t="s">
        <v>4981</v>
      </c>
      <c r="N96" s="1589" t="s">
        <v>2301</v>
      </c>
    </row>
    <row r="99" spans="10:12">
      <c r="J99" s="1082">
        <v>10</v>
      </c>
      <c r="L99" s="1082">
        <v>3.3000000000000002E-2</v>
      </c>
    </row>
    <row r="100" spans="10:12">
      <c r="J100" s="1082">
        <v>100</v>
      </c>
      <c r="L100" s="1082">
        <f>+J100*L99/J99</f>
        <v>0.33</v>
      </c>
    </row>
  </sheetData>
  <autoFilter ref="B2:M96" xr:uid="{00000000-0009-0000-0000-000012000000}"/>
  <mergeCells count="2">
    <mergeCell ref="N2:R2"/>
    <mergeCell ref="T28:U28"/>
  </mergeCells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6">
    <pageSetUpPr fitToPage="1"/>
  </sheetPr>
  <dimension ref="A1:X1002"/>
  <sheetViews>
    <sheetView showGridLines="0" zoomScale="90" zoomScaleNormal="90" workbookViewId="0">
      <selection activeCell="H23" sqref="H23"/>
    </sheetView>
  </sheetViews>
  <sheetFormatPr baseColWidth="10" defaultColWidth="14.44140625" defaultRowHeight="15" customHeight="1"/>
  <cols>
    <col min="1" max="1" width="10.88671875" customWidth="1"/>
    <col min="2" max="2" width="11.6640625" customWidth="1"/>
    <col min="3" max="3" width="15" customWidth="1"/>
    <col min="4" max="4" width="8.6640625" customWidth="1"/>
    <col min="5" max="5" width="10.109375" customWidth="1"/>
    <col min="6" max="6" width="10.88671875" customWidth="1"/>
    <col min="7" max="7" width="10.5546875" customWidth="1"/>
    <col min="8" max="8" width="9.109375" customWidth="1"/>
    <col min="9" max="9" width="9.6640625" customWidth="1"/>
    <col min="10" max="10" width="9.33203125" customWidth="1"/>
    <col min="11" max="11" width="11" customWidth="1"/>
    <col min="12" max="12" width="11.5546875" customWidth="1"/>
    <col min="13" max="13" width="12.44140625" customWidth="1"/>
  </cols>
  <sheetData>
    <row r="1" spans="1:24" ht="1.5" customHeight="1">
      <c r="A1" s="1" t="s">
        <v>0</v>
      </c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5" t="s">
        <v>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24.5" customHeight="1">
      <c r="A2" s="2022" t="s">
        <v>4338</v>
      </c>
      <c r="B2" s="2023"/>
      <c r="C2" s="2023"/>
      <c r="D2" s="2023"/>
      <c r="E2" s="2023"/>
      <c r="F2" s="2023"/>
      <c r="G2" s="2023"/>
      <c r="H2" s="2023"/>
      <c r="I2" s="2023"/>
      <c r="J2" s="2023"/>
      <c r="K2" s="2023"/>
      <c r="L2" s="2023"/>
      <c r="M2" s="2024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 spans="1:24" ht="15.6">
      <c r="A3" s="9" t="s">
        <v>3</v>
      </c>
      <c r="B3" s="10"/>
      <c r="C3" s="19"/>
      <c r="D3" s="12"/>
      <c r="E3" s="12"/>
      <c r="F3" s="13"/>
      <c r="G3" s="12"/>
      <c r="H3" s="12"/>
      <c r="I3" s="14"/>
      <c r="J3" s="13"/>
      <c r="K3" s="13"/>
      <c r="L3" s="15"/>
      <c r="M3" s="16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 spans="1:24" ht="15.6">
      <c r="A4" s="9" t="s">
        <v>4</v>
      </c>
      <c r="B4" s="10"/>
      <c r="C4" s="17" t="e">
        <f>_xlfn.XLOOKUP($A13,'Analisis comercial'!A:A,'Analisis comercial'!D:D)</f>
        <v>#N/A</v>
      </c>
      <c r="D4" s="12"/>
      <c r="E4" s="12"/>
      <c r="F4" s="10"/>
      <c r="G4" s="12"/>
      <c r="H4" s="12"/>
      <c r="I4" s="14"/>
      <c r="J4" s="19"/>
      <c r="K4" s="12"/>
      <c r="L4" s="15"/>
      <c r="M4" s="1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.6">
      <c r="A5" s="9" t="s">
        <v>6</v>
      </c>
      <c r="B5" s="20"/>
      <c r="C5" s="600" t="e">
        <f>_xlfn.XLOOKUP($A13,'Analisis comercial'!A:A,'Analisis comercial'!E:E)</f>
        <v>#N/A</v>
      </c>
      <c r="D5" s="21"/>
      <c r="E5" s="22"/>
      <c r="F5" s="10"/>
      <c r="G5" s="22"/>
      <c r="H5" s="23"/>
      <c r="J5" s="19"/>
      <c r="K5" s="12" t="s">
        <v>4330</v>
      </c>
      <c r="L5" s="24"/>
      <c r="M5" s="8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spans="1:24" ht="15.6">
      <c r="A6" s="9" t="s">
        <v>9</v>
      </c>
      <c r="B6" s="20"/>
      <c r="C6" s="25" t="e">
        <f>_xlfn.XLOOKUP($A13,'Analisis comercial'!A:A,'Analisis comercial'!C:C)</f>
        <v>#N/A</v>
      </c>
      <c r="D6" s="21"/>
      <c r="E6" s="22"/>
      <c r="F6" s="18"/>
      <c r="G6" s="22"/>
      <c r="H6" s="23"/>
      <c r="J6" s="11"/>
      <c r="K6" s="1536" t="s">
        <v>1353</v>
      </c>
      <c r="L6" s="1538" t="s">
        <v>4187</v>
      </c>
      <c r="M6" s="8"/>
      <c r="N6" s="6"/>
      <c r="O6" s="6"/>
      <c r="P6" s="6"/>
      <c r="Q6" s="6"/>
      <c r="R6" s="6"/>
      <c r="S6" s="6"/>
      <c r="T6" s="6"/>
      <c r="U6" s="6"/>
      <c r="V6" s="6"/>
      <c r="W6" s="6"/>
      <c r="X6" s="6"/>
    </row>
    <row r="7" spans="1:24" ht="15.6">
      <c r="A7" s="9" t="s">
        <v>10</v>
      </c>
      <c r="B7" s="20"/>
      <c r="C7" s="25" t="e">
        <f>_xlfn.XLOOKUP($A13,'Analisis comercial'!A:A,'Analisis comercial'!B:B)</f>
        <v>#N/A</v>
      </c>
      <c r="D7" s="21"/>
      <c r="E7" s="22"/>
      <c r="F7" s="18"/>
      <c r="G7" s="22"/>
      <c r="H7" s="23"/>
      <c r="J7" s="11"/>
      <c r="K7" s="1536" t="s">
        <v>1354</v>
      </c>
      <c r="L7" s="1538" t="s">
        <v>4188</v>
      </c>
      <c r="M7" s="8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  <row r="8" spans="1:24" ht="14.4">
      <c r="A8" s="9"/>
      <c r="B8" s="20"/>
      <c r="C8" s="28"/>
      <c r="D8" s="28"/>
      <c r="E8" s="28"/>
      <c r="F8" s="18"/>
      <c r="G8" s="28"/>
      <c r="H8" s="28"/>
      <c r="I8" s="28"/>
      <c r="J8" s="11"/>
      <c r="K8" s="27"/>
      <c r="L8" s="24"/>
      <c r="M8" s="8"/>
      <c r="N8" s="6"/>
      <c r="O8" s="6"/>
      <c r="P8" s="6"/>
      <c r="Q8" s="6"/>
      <c r="R8" s="6"/>
      <c r="S8" s="6"/>
      <c r="T8" s="6"/>
      <c r="U8" s="6"/>
      <c r="V8" s="6"/>
      <c r="W8" s="6"/>
      <c r="X8" s="6"/>
    </row>
    <row r="9" spans="1:24" ht="16.2" thickBot="1">
      <c r="A9" s="9"/>
      <c r="B9" s="20"/>
      <c r="C9" s="29"/>
      <c r="D9" s="21"/>
      <c r="E9" s="22"/>
      <c r="F9" s="23"/>
      <c r="G9" s="22"/>
      <c r="H9" s="2021"/>
      <c r="I9" s="1988"/>
      <c r="J9" s="11"/>
      <c r="K9" s="11"/>
      <c r="L9" s="24"/>
      <c r="M9" s="8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4.4">
      <c r="A10" s="31" t="s">
        <v>11</v>
      </c>
      <c r="B10" s="32" t="s">
        <v>12</v>
      </c>
      <c r="C10" s="33" t="s">
        <v>13</v>
      </c>
      <c r="D10" s="32" t="s">
        <v>14</v>
      </c>
      <c r="E10" s="32" t="s">
        <v>15</v>
      </c>
      <c r="F10" s="34" t="s">
        <v>16</v>
      </c>
      <c r="G10" s="1629" t="s">
        <v>17</v>
      </c>
      <c r="H10" s="32" t="s">
        <v>18</v>
      </c>
      <c r="I10" s="1631" t="s">
        <v>4336</v>
      </c>
      <c r="J10" s="34"/>
      <c r="K10" s="34" t="s">
        <v>22</v>
      </c>
      <c r="L10" s="32" t="s">
        <v>24</v>
      </c>
      <c r="M10" s="35" t="s">
        <v>25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thickBot="1">
      <c r="A11" s="36"/>
      <c r="B11" s="37" t="s">
        <v>26</v>
      </c>
      <c r="C11" s="38"/>
      <c r="D11" s="39"/>
      <c r="E11" s="38"/>
      <c r="F11" s="37"/>
      <c r="G11" s="1630" t="s">
        <v>4337</v>
      </c>
      <c r="H11" s="37" t="s">
        <v>1526</v>
      </c>
      <c r="I11" s="37" t="s">
        <v>28</v>
      </c>
      <c r="J11" s="40"/>
      <c r="K11" s="40"/>
      <c r="L11" s="37" t="s">
        <v>15</v>
      </c>
      <c r="M11" s="41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 spans="1:24" ht="14.4">
      <c r="A12" s="42"/>
      <c r="B12" s="43"/>
      <c r="C12" s="44"/>
      <c r="D12" s="44"/>
      <c r="E12" s="44"/>
      <c r="F12" s="45"/>
      <c r="G12" s="44"/>
      <c r="H12" s="45"/>
      <c r="I12" s="44"/>
      <c r="J12" s="45"/>
      <c r="K12" s="46"/>
      <c r="L12" s="47"/>
      <c r="M12" s="48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 spans="1:24" ht="14.4">
      <c r="A13" s="1450" t="s">
        <v>5878</v>
      </c>
      <c r="B13" s="25" t="e">
        <f>_xlfn.XLOOKUP($A13,'Analisis comercial'!A:A,'Analisis comercial'!C:C)</f>
        <v>#N/A</v>
      </c>
      <c r="C13" s="50" t="e">
        <f>_xlfn.XLOOKUP(A13,'Analisis comercial'!A:A,'Analisis comercial'!I:I)</f>
        <v>#N/A</v>
      </c>
      <c r="D13" s="50" t="e">
        <f>_xlfn.XLOOKUP(A13,'Analisis comercial'!A:A,'Analisis comercial'!J:J)</f>
        <v>#N/A</v>
      </c>
      <c r="E13" s="50" t="e">
        <f>_xlfn.XLOOKUP(A13,'Analisis comercial'!A:A,'Analisis comercial'!K:K)</f>
        <v>#N/A</v>
      </c>
      <c r="F13" s="51" t="e">
        <f>_xlfn.XLOOKUP('Liquidacion con Ag'!$A13,'Analisis comercial'!A:A,'Analisis comercial'!G:G)</f>
        <v>#N/A</v>
      </c>
      <c r="G13" s="52">
        <v>4.6310000000000002</v>
      </c>
      <c r="H13" s="53">
        <v>40</v>
      </c>
      <c r="I13" s="54">
        <v>76.260000000000005</v>
      </c>
      <c r="J13" s="53"/>
      <c r="K13" s="55" t="e">
        <f>_xlfn.XLOOKUP('Liquidacion con Ag'!$A13,'Analisis comercial'!A:A,'Analisis comercial'!V:V)</f>
        <v>#N/A</v>
      </c>
      <c r="L13" s="54" t="e">
        <f>+IF(G13&lt;4.5,0,(K13*G13*H13*(I13-2)/100))</f>
        <v>#N/A</v>
      </c>
      <c r="M13" s="56" t="e">
        <f>+ROUND(L13,2)*ROUND(E13,3)</f>
        <v>#N/A</v>
      </c>
      <c r="N13" s="57"/>
      <c r="O13" s="57"/>
      <c r="P13" s="57"/>
      <c r="Q13" s="6"/>
      <c r="R13" s="6"/>
      <c r="S13" s="6"/>
      <c r="T13" s="6"/>
      <c r="U13" s="6"/>
      <c r="V13" s="6"/>
      <c r="W13" s="6"/>
      <c r="X13" s="6"/>
    </row>
    <row r="14" spans="1:24" ht="14.4">
      <c r="A14" s="1450"/>
      <c r="B14" s="25"/>
      <c r="C14" s="50"/>
      <c r="D14" s="50"/>
      <c r="E14" s="50"/>
      <c r="F14" s="51"/>
      <c r="G14" s="52"/>
      <c r="H14" s="53"/>
      <c r="I14" s="54"/>
      <c r="J14" s="53"/>
      <c r="K14" s="55"/>
      <c r="L14" s="54"/>
      <c r="M14" s="56"/>
      <c r="N14" s="57"/>
      <c r="O14" s="57"/>
      <c r="P14" s="57"/>
      <c r="Q14" s="6"/>
      <c r="R14" s="6"/>
      <c r="S14" s="6"/>
      <c r="T14" s="6"/>
      <c r="U14" s="6"/>
      <c r="V14" s="6"/>
      <c r="W14" s="6"/>
      <c r="X14" s="6"/>
    </row>
    <row r="15" spans="1:24" ht="16.5" customHeight="1">
      <c r="A15" s="1450"/>
      <c r="B15" s="25"/>
      <c r="C15" s="50"/>
      <c r="D15" s="50"/>
      <c r="E15" s="50"/>
      <c r="F15" s="51"/>
      <c r="G15" s="52"/>
      <c r="H15" s="53"/>
      <c r="I15" s="54"/>
      <c r="J15" s="53"/>
      <c r="K15" s="55"/>
      <c r="L15" s="54"/>
      <c r="M15" s="56"/>
      <c r="N15" s="57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 spans="1:24" ht="14.4">
      <c r="A16" s="1450"/>
      <c r="B16" s="25"/>
      <c r="C16" s="50"/>
      <c r="D16" s="50"/>
      <c r="E16" s="50"/>
      <c r="F16" s="51"/>
      <c r="G16" s="52"/>
      <c r="H16" s="53"/>
      <c r="I16" s="54"/>
      <c r="J16" s="53"/>
      <c r="K16" s="55"/>
      <c r="L16" s="54"/>
      <c r="M16" s="56"/>
      <c r="N16" s="57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24" ht="15.75" customHeight="1">
      <c r="A17" s="49"/>
      <c r="B17" s="25"/>
      <c r="C17" s="50"/>
      <c r="D17" s="50"/>
      <c r="E17" s="50"/>
      <c r="F17" s="51"/>
      <c r="G17" s="52"/>
      <c r="H17" s="53"/>
      <c r="I17" s="54"/>
      <c r="J17" s="53"/>
      <c r="K17" s="55"/>
      <c r="L17" s="54"/>
      <c r="M17" s="56"/>
      <c r="N17" s="57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ht="16.5" customHeight="1">
      <c r="A18" s="49"/>
      <c r="B18" s="25"/>
      <c r="C18" s="50"/>
      <c r="D18" s="50"/>
      <c r="E18" s="50"/>
      <c r="F18" s="51"/>
      <c r="G18" s="52"/>
      <c r="H18" s="53"/>
      <c r="I18" s="54"/>
      <c r="J18" s="53"/>
      <c r="K18" s="55"/>
      <c r="L18" s="54"/>
      <c r="M18" s="56"/>
      <c r="N18" s="57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 spans="1:24" ht="14.4">
      <c r="A19" s="49"/>
      <c r="B19" s="25"/>
      <c r="C19" s="50"/>
      <c r="D19" s="50"/>
      <c r="E19" s="50"/>
      <c r="F19" s="51"/>
      <c r="G19" s="52"/>
      <c r="H19" s="53"/>
      <c r="I19" s="54"/>
      <c r="J19" s="53"/>
      <c r="K19" s="55"/>
      <c r="L19" s="54"/>
      <c r="M19" s="56"/>
      <c r="N19" s="57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 spans="1:24" ht="14.4">
      <c r="A20" s="49"/>
      <c r="B20" s="25"/>
      <c r="C20" s="50"/>
      <c r="D20" s="50"/>
      <c r="E20" s="50"/>
      <c r="F20" s="51"/>
      <c r="G20" s="52"/>
      <c r="H20" s="53"/>
      <c r="I20" s="54"/>
      <c r="J20" s="53"/>
      <c r="K20" s="55"/>
      <c r="L20" s="54"/>
      <c r="M20" s="56"/>
      <c r="N20" s="57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 spans="1:24" ht="14.4">
      <c r="A21" s="49"/>
      <c r="B21" s="25"/>
      <c r="C21" s="50"/>
      <c r="D21" s="50"/>
      <c r="E21" s="50"/>
      <c r="F21" s="51"/>
      <c r="G21" s="52"/>
      <c r="H21" s="53"/>
      <c r="I21" s="54"/>
      <c r="J21" s="53"/>
      <c r="K21" s="55"/>
      <c r="L21" s="54"/>
      <c r="M21" s="56"/>
      <c r="N21" s="57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 spans="1:24" ht="15.75" customHeight="1">
      <c r="A22" s="49"/>
      <c r="B22" s="25"/>
      <c r="C22" s="50"/>
      <c r="D22" s="50"/>
      <c r="E22" s="50"/>
      <c r="F22" s="51"/>
      <c r="G22" s="52"/>
      <c r="H22" s="53"/>
      <c r="I22" s="54"/>
      <c r="J22" s="53"/>
      <c r="K22" s="55"/>
      <c r="L22" s="54"/>
      <c r="M22" s="56"/>
      <c r="N22" s="57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 spans="1:24" ht="16.5" customHeight="1">
      <c r="A23" s="49"/>
      <c r="B23" s="25"/>
      <c r="C23" s="50"/>
      <c r="D23" s="50"/>
      <c r="E23" s="50"/>
      <c r="F23" s="51"/>
      <c r="G23" s="52"/>
      <c r="H23" s="53"/>
      <c r="I23" s="54"/>
      <c r="J23" s="53"/>
      <c r="K23" s="55"/>
      <c r="L23" s="54"/>
      <c r="M23" s="5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 spans="1:24" ht="20.25" customHeight="1">
      <c r="A24" s="49"/>
      <c r="B24" s="58"/>
      <c r="C24" s="58"/>
      <c r="D24" s="59"/>
      <c r="E24" s="58"/>
      <c r="F24" s="6"/>
      <c r="G24" s="60"/>
      <c r="H24" s="6"/>
      <c r="I24" s="6"/>
      <c r="J24" s="58"/>
      <c r="K24" s="58"/>
      <c r="L24" s="61" t="s">
        <v>32</v>
      </c>
      <c r="M24" s="62" t="e">
        <f>SUM(M13:M23)</f>
        <v>#N/A</v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ht="15.75" customHeight="1">
      <c r="A25" s="49"/>
      <c r="B25" s="58"/>
      <c r="C25" s="63"/>
      <c r="D25" s="64"/>
      <c r="E25" s="58"/>
      <c r="F25" s="58"/>
      <c r="G25" s="58"/>
      <c r="H25" s="58"/>
      <c r="I25" s="58"/>
      <c r="J25" s="6"/>
      <c r="K25" s="6"/>
      <c r="L25" s="61"/>
      <c r="M25" s="6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ht="15.75" customHeight="1">
      <c r="A26" s="49"/>
      <c r="B26" s="58"/>
      <c r="C26" s="13"/>
      <c r="D26" s="64"/>
      <c r="E26" s="58"/>
      <c r="F26" s="30"/>
      <c r="G26" s="58"/>
      <c r="H26" s="58"/>
      <c r="I26" s="58"/>
      <c r="J26" s="6"/>
      <c r="K26" s="6"/>
      <c r="L26" s="61"/>
      <c r="M26" s="67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ht="15.75" customHeight="1">
      <c r="A27" s="49"/>
      <c r="B27" s="68" t="s">
        <v>33</v>
      </c>
      <c r="D27" s="64"/>
      <c r="E27" s="58"/>
      <c r="F27" s="30"/>
      <c r="G27" s="58"/>
      <c r="H27" s="58"/>
      <c r="I27" s="58"/>
      <c r="J27" s="30"/>
      <c r="K27" s="30"/>
      <c r="L27" s="61"/>
      <c r="M27" s="6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 spans="1:24" ht="15.75" customHeight="1" thickBot="1">
      <c r="A28" s="69"/>
      <c r="B28" s="70" t="s">
        <v>2674</v>
      </c>
      <c r="C28" s="70"/>
      <c r="D28" s="70"/>
      <c r="E28" s="70"/>
      <c r="F28" s="71"/>
      <c r="G28" s="72"/>
      <c r="H28" s="73"/>
      <c r="I28" s="74"/>
      <c r="J28" s="76"/>
      <c r="K28" s="76"/>
      <c r="L28" s="77"/>
      <c r="M28" s="78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 spans="1:24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57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 spans="1:24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57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 spans="1:24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 spans="1:2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 spans="1:24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 spans="1:24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 spans="1:24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 spans="1:24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 spans="1:24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24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 spans="1:24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 spans="1:24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 spans="1:24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 spans="1:24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 spans="1:2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spans="1:24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spans="1:24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spans="1:24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 spans="1:24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 spans="1:24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 spans="1:24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 spans="1:24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 spans="1:24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 spans="1:24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</row>
    <row r="64" spans="1:2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</row>
    <row r="65" spans="1:24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 spans="1:24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 spans="1:24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 spans="1:24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 spans="1:24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</row>
    <row r="70" spans="1:24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</row>
    <row r="71" spans="1:24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 spans="1:24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</row>
    <row r="73" spans="1:24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</row>
    <row r="74" spans="1:2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</row>
    <row r="75" spans="1:24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</row>
    <row r="76" spans="1:24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</row>
    <row r="77" spans="1:24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</row>
    <row r="78" spans="1:24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 spans="1:24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</row>
    <row r="80" spans="1:24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</row>
    <row r="81" spans="1:24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</row>
    <row r="82" spans="1:24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</row>
    <row r="83" spans="1:24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</row>
    <row r="84" spans="1:2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</row>
    <row r="85" spans="1:24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</row>
    <row r="86" spans="1:24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</row>
    <row r="87" spans="1:24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</row>
    <row r="88" spans="1:24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</row>
    <row r="89" spans="1:24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</row>
    <row r="90" spans="1:24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</row>
    <row r="91" spans="1:24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</row>
    <row r="92" spans="1:24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</row>
    <row r="93" spans="1:24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</row>
    <row r="94" spans="1:2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</row>
    <row r="95" spans="1:24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</row>
    <row r="96" spans="1:24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</row>
    <row r="97" spans="1:24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</row>
    <row r="98" spans="1:24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</row>
    <row r="99" spans="1:24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</row>
    <row r="100" spans="1:24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</row>
    <row r="101" spans="1:24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</row>
    <row r="102" spans="1:24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</row>
    <row r="103" spans="1:24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</row>
    <row r="104" spans="1:2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</row>
    <row r="105" spans="1:24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</row>
    <row r="106" spans="1:24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</row>
    <row r="107" spans="1:24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</row>
    <row r="108" spans="1:24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</row>
    <row r="109" spans="1:24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</row>
    <row r="110" spans="1:24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</row>
    <row r="111" spans="1:24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</row>
    <row r="112" spans="1:24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</row>
    <row r="113" spans="1:24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</row>
    <row r="114" spans="1:2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</row>
    <row r="115" spans="1:24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</row>
    <row r="116" spans="1:24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</row>
    <row r="117" spans="1:24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</row>
    <row r="118" spans="1:24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</row>
    <row r="119" spans="1:24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</row>
    <row r="120" spans="1:24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</row>
    <row r="121" spans="1:24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</row>
    <row r="122" spans="1:24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</row>
    <row r="123" spans="1:24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</row>
    <row r="124" spans="1: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</row>
    <row r="125" spans="1:24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</row>
    <row r="126" spans="1:24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</row>
    <row r="127" spans="1:24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</row>
    <row r="128" spans="1:24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</row>
    <row r="129" spans="1:24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</row>
    <row r="130" spans="1:24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</row>
    <row r="131" spans="1:24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</row>
    <row r="132" spans="1:24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</row>
    <row r="133" spans="1:24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</row>
    <row r="134" spans="1:2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</row>
    <row r="135" spans="1:24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</row>
    <row r="136" spans="1:24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</row>
    <row r="137" spans="1:24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</row>
    <row r="138" spans="1:24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</row>
    <row r="139" spans="1:24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</row>
    <row r="140" spans="1:24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</row>
    <row r="141" spans="1:24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</row>
    <row r="142" spans="1:24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</row>
    <row r="143" spans="1:24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</row>
    <row r="144" spans="1:2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</row>
    <row r="145" spans="1:24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</row>
    <row r="146" spans="1:24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</row>
    <row r="147" spans="1:24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</row>
    <row r="148" spans="1:24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</row>
    <row r="149" spans="1:24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</row>
    <row r="150" spans="1:24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</row>
    <row r="151" spans="1:24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</row>
    <row r="152" spans="1:24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</row>
    <row r="153" spans="1:24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</row>
    <row r="154" spans="1:2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</row>
    <row r="155" spans="1:24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</row>
    <row r="156" spans="1:24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</row>
    <row r="157" spans="1:24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</row>
    <row r="158" spans="1:24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</row>
    <row r="159" spans="1:24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</row>
    <row r="160" spans="1:24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</row>
    <row r="161" spans="1:24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</row>
    <row r="162" spans="1:24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</row>
    <row r="163" spans="1:24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</row>
    <row r="164" spans="1:2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</row>
    <row r="165" spans="1:24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</row>
    <row r="166" spans="1:24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</row>
    <row r="167" spans="1:24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</row>
    <row r="168" spans="1:24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</row>
    <row r="169" spans="1:24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</row>
    <row r="170" spans="1:24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</row>
    <row r="171" spans="1:24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</row>
    <row r="172" spans="1:24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</row>
    <row r="173" spans="1:24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</row>
    <row r="174" spans="1:2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</row>
    <row r="175" spans="1:24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</row>
    <row r="176" spans="1:24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</row>
    <row r="177" spans="1:24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</row>
    <row r="178" spans="1:24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</row>
    <row r="179" spans="1:24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</row>
    <row r="180" spans="1:24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</row>
    <row r="181" spans="1:24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</row>
    <row r="182" spans="1:24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</row>
    <row r="183" spans="1:24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</row>
    <row r="184" spans="1:2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</row>
    <row r="185" spans="1:24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</row>
    <row r="186" spans="1:24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</row>
    <row r="187" spans="1:24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</row>
    <row r="188" spans="1:24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</row>
    <row r="189" spans="1:24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</row>
    <row r="190" spans="1:24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</row>
    <row r="191" spans="1:24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</row>
    <row r="192" spans="1:24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</row>
    <row r="193" spans="1:24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</row>
    <row r="194" spans="1:2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</row>
    <row r="195" spans="1:24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</row>
    <row r="196" spans="1:24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</row>
    <row r="197" spans="1:24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</row>
    <row r="198" spans="1:24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</row>
    <row r="199" spans="1:24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</row>
    <row r="200" spans="1:24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</row>
    <row r="201" spans="1:24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</row>
    <row r="202" spans="1:24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</row>
    <row r="203" spans="1:24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</row>
    <row r="204" spans="1:2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</row>
    <row r="205" spans="1:24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</row>
    <row r="206" spans="1:24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</row>
    <row r="207" spans="1:24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</row>
    <row r="208" spans="1:24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</row>
    <row r="209" spans="1:24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</row>
    <row r="210" spans="1:24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</row>
    <row r="211" spans="1:24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</row>
    <row r="212" spans="1:24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</row>
    <row r="213" spans="1:24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</row>
    <row r="214" spans="1:2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</row>
    <row r="215" spans="1:24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</row>
    <row r="216" spans="1:24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</row>
    <row r="217" spans="1:24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</row>
    <row r="218" spans="1:24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</row>
    <row r="219" spans="1:24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</row>
    <row r="220" spans="1:24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</row>
    <row r="221" spans="1:24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</row>
    <row r="222" spans="1:24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</row>
    <row r="223" spans="1:24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</row>
    <row r="224" spans="1: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2">
    <mergeCell ref="H9:I9"/>
    <mergeCell ref="A2:M2"/>
  </mergeCells>
  <phoneticPr fontId="273" type="noConversion"/>
  <pageMargins left="0.31496062992125984" right="0.31496062992125984" top="0.35433070866141736" bottom="0" header="0" footer="0"/>
  <pageSetup paperSize="9" orientation="landscape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44"/>
  <dimension ref="A1:R24"/>
  <sheetViews>
    <sheetView showGridLines="0" workbookViewId="0">
      <selection sqref="A1:J15"/>
    </sheetView>
  </sheetViews>
  <sheetFormatPr baseColWidth="10" defaultColWidth="11.5546875" defaultRowHeight="14.4"/>
  <cols>
    <col min="16" max="16" width="10.88671875" customWidth="1"/>
  </cols>
  <sheetData>
    <row r="1" spans="1:18" ht="15" thickBot="1">
      <c r="A1" s="1982" t="s">
        <v>2766</v>
      </c>
      <c r="B1" s="1983"/>
      <c r="C1" s="1983"/>
      <c r="D1" s="1983"/>
      <c r="E1" s="1983"/>
      <c r="F1" s="1983"/>
      <c r="G1" s="1983"/>
      <c r="H1" s="1983"/>
      <c r="I1" s="1983"/>
      <c r="J1" s="1984"/>
      <c r="L1" s="1982" t="s">
        <v>2767</v>
      </c>
      <c r="M1" s="1983"/>
      <c r="N1" s="1983"/>
      <c r="O1" s="1983"/>
      <c r="P1" s="1983"/>
      <c r="Q1" s="1983"/>
      <c r="R1" s="1984"/>
    </row>
    <row r="2" spans="1:18">
      <c r="D2" s="1244" t="e">
        <f>SUMPRODUCT(RUMAS!C4:C13,RUMAS!D4:D13)/SUM(RUMAS!C4:C13)</f>
        <v>#DIV/0!</v>
      </c>
      <c r="F2" s="1207" t="e">
        <f>SUMPRODUCT(RUMAS!F4:F13,RUMAS!$C4:$C13)/SUM(RUMAS!$C4:$C13)/100</f>
        <v>#DIV/0!</v>
      </c>
      <c r="G2" s="847">
        <f>SUM(G4:G13)</f>
        <v>0</v>
      </c>
      <c r="H2" s="847">
        <f>SUM(H4:H13)</f>
        <v>0</v>
      </c>
    </row>
    <row r="3" spans="1:18" ht="15" thickBot="1">
      <c r="A3" s="633"/>
      <c r="B3" s="631"/>
      <c r="C3" s="633" t="s">
        <v>15</v>
      </c>
      <c r="D3" s="633" t="s">
        <v>2522</v>
      </c>
      <c r="E3" s="1438" t="s">
        <v>2522</v>
      </c>
      <c r="F3" s="633" t="s">
        <v>2523</v>
      </c>
      <c r="G3" s="633" t="s">
        <v>2558</v>
      </c>
      <c r="H3" s="633" t="s">
        <v>2559</v>
      </c>
      <c r="I3" s="1435" t="s">
        <v>2565</v>
      </c>
      <c r="J3" s="729" t="s">
        <v>2579</v>
      </c>
      <c r="L3" s="633"/>
      <c r="M3" s="631"/>
      <c r="N3" s="633" t="s">
        <v>15</v>
      </c>
      <c r="O3" s="633" t="s">
        <v>2522</v>
      </c>
      <c r="P3" s="633" t="s">
        <v>2558</v>
      </c>
      <c r="Q3" s="633" t="s">
        <v>2598</v>
      </c>
      <c r="R3" s="633" t="s">
        <v>2559</v>
      </c>
    </row>
    <row r="4" spans="1:18">
      <c r="A4" s="1225" t="s">
        <v>2277</v>
      </c>
      <c r="B4" s="1226"/>
      <c r="C4" s="1227">
        <f>SUMIF('Analisis comercial'!$AO$4:$AO$9,$A4,'Analisis comercial'!$K$4:$K$9)</f>
        <v>0</v>
      </c>
      <c r="D4" s="1227" cm="1">
        <f t="array" ref="D4">+SUMPRODUCT(IF('Analisis comercial'!$AO$4:$AO$9=A4,'Analisis comercial'!$L$4:$L$9*'Analisis comercial'!$K$4:$K$9/C4))</f>
        <v>0</v>
      </c>
      <c r="E4" s="1228">
        <f>31.1035*1.1023*D4*(100-F4)/100</f>
        <v>0</v>
      </c>
      <c r="F4" s="1229" cm="1">
        <f t="array" ref="F4">+SUMPRODUCT(IF('Analisis comercial'!$AO$4:$AO$9=A4,('Analisis comercial'!$Q$4:$Q$9*'Analisis comercial'!$AH$4:$AH$9)/SUMIF('Analisis comercial'!$AO$4:$AO$9,$A4,'Analisis comercial'!$AH$4:$AH$9)))</f>
        <v>0</v>
      </c>
      <c r="G4" s="1441">
        <f>+D4*31.1035*1.1023*C4</f>
        <v>0</v>
      </c>
      <c r="H4" s="1230">
        <f>SUMIF('Analisis comercial'!$AO$4:$AO$4,$A4,'Analisis comercial'!$AH$4:$AH$4)</f>
        <v>0</v>
      </c>
      <c r="I4" s="1229">
        <f>+G4-H4</f>
        <v>0</v>
      </c>
      <c r="J4" s="1231">
        <f>+C4</f>
        <v>0</v>
      </c>
      <c r="L4" s="1225" t="s">
        <v>2277</v>
      </c>
      <c r="M4" s="1226"/>
      <c r="N4" s="1227">
        <f>SUMIF('Analisis comercial'!$AO$4:$AO$9,$A4,'Analisis comercial'!$K$4:$K$9)</f>
        <v>0</v>
      </c>
      <c r="O4" s="1227">
        <v>0.44</v>
      </c>
      <c r="P4" s="1229">
        <f>N4*O4*31.1035*1.1023</f>
        <v>0</v>
      </c>
      <c r="Q4" s="1229">
        <v>50</v>
      </c>
      <c r="R4" s="1255">
        <f>P4*Q4/100</f>
        <v>0</v>
      </c>
    </row>
    <row r="5" spans="1:18">
      <c r="A5" s="1232" t="s">
        <v>2278</v>
      </c>
      <c r="B5" s="1233"/>
      <c r="C5" s="1234">
        <f>SUMIF('Analisis comercial'!$AO$4:$AO$9,$A5,'Analisis comercial'!$K$4:$K$9)</f>
        <v>0</v>
      </c>
      <c r="D5" s="1234" cm="1">
        <f t="array" ref="D5">+SUMPRODUCT(IF('Analisis comercial'!$AO$4:$AO$9=A5,'Analisis comercial'!$L$4:$L$9*'Analisis comercial'!$K$4:$K$9/C5))</f>
        <v>0</v>
      </c>
      <c r="E5" s="1235">
        <f t="shared" ref="E5:E13" si="0">31.1035*1.1023*D5*(100-F5)/100</f>
        <v>0</v>
      </c>
      <c r="F5" s="1236" cm="1">
        <f t="array" ref="F5">+SUMPRODUCT(IF('Analisis comercial'!$AO$4:$AO$9=A5,('Analisis comercial'!$Q$4:$Q$9*'Analisis comercial'!$AH$4:$AH$9)/SUMIF('Analisis comercial'!$AO$4:$AO$9,$A5,'Analisis comercial'!$AH$4:$AH$9)))</f>
        <v>0</v>
      </c>
      <c r="G5" s="1237">
        <f t="shared" ref="G5:G13" si="1">+D5*31.1035*1.1023*C5</f>
        <v>0</v>
      </c>
      <c r="H5" s="1237">
        <f>SUMIF('Analisis comercial'!$AO$4:$AO$4,$A5,'Analisis comercial'!$AH$4:$AH$4)</f>
        <v>0</v>
      </c>
      <c r="I5" s="1236">
        <f t="shared" ref="I5:I13" si="2">+I4+G5-H5</f>
        <v>0</v>
      </c>
      <c r="J5" s="1238">
        <f>+J4+C5</f>
        <v>0</v>
      </c>
      <c r="L5" s="1232" t="s">
        <v>2278</v>
      </c>
      <c r="M5" s="1233"/>
      <c r="N5" s="1234">
        <f>SUMIF('Analisis comercial'!$AO$4:$AO$9,$A5,'Analisis comercial'!$K$4:$K$9)</f>
        <v>0</v>
      </c>
      <c r="O5" s="1234">
        <v>0</v>
      </c>
      <c r="P5" s="1236">
        <f t="shared" ref="P5:P13" si="3">N5*O5*31.1035*1.1023</f>
        <v>0</v>
      </c>
      <c r="Q5" s="1236">
        <v>90</v>
      </c>
      <c r="R5" s="1256">
        <f t="shared" ref="R5:R13" si="4">P5*Q5/100</f>
        <v>0</v>
      </c>
    </row>
    <row r="6" spans="1:18">
      <c r="A6" s="1232" t="s">
        <v>2280</v>
      </c>
      <c r="B6" s="1233"/>
      <c r="C6" s="1234">
        <f>SUMIF('Analisis comercial'!$AO$4:$AO$9,$A6,'Analisis comercial'!$K$4:$K$9)</f>
        <v>0</v>
      </c>
      <c r="D6" s="1234" cm="1">
        <f t="array" ref="D6">+SUMPRODUCT(IF('Analisis comercial'!$AO$4:$AO$9=A6,'Analisis comercial'!$L$4:$L$9*'Analisis comercial'!$K$4:$K$9/C6))</f>
        <v>0</v>
      </c>
      <c r="E6" s="1235">
        <f t="shared" si="0"/>
        <v>0</v>
      </c>
      <c r="F6" s="1236" cm="1">
        <f t="array" ref="F6">+SUMPRODUCT(IF('Analisis comercial'!$AO$4:$AO$9=A6,('Analisis comercial'!$Q$4:$Q$9*'Analisis comercial'!$AH$4:$AH$9)/SUMIF('Analisis comercial'!$AO$4:$AO$9,$A6,'Analisis comercial'!$AH$4:$AH$9)))</f>
        <v>0</v>
      </c>
      <c r="G6" s="1237">
        <f t="shared" si="1"/>
        <v>0</v>
      </c>
      <c r="H6" s="1237">
        <f>SUMIF('Analisis comercial'!$AO$4:$AO$4,$A6,'Analisis comercial'!$AH$4:$AH$4)</f>
        <v>0</v>
      </c>
      <c r="I6" s="1236">
        <f t="shared" si="2"/>
        <v>0</v>
      </c>
      <c r="J6" s="1238">
        <f t="shared" ref="J6:J13" si="5">+J5+C6</f>
        <v>0</v>
      </c>
      <c r="L6" s="1232" t="s">
        <v>2280</v>
      </c>
      <c r="M6" s="1233"/>
      <c r="N6" s="1234">
        <f>SUMIF('Analisis comercial'!$AO$4:$AO$9,$A6,'Analisis comercial'!$K$4:$K$9)</f>
        <v>0</v>
      </c>
      <c r="O6" s="1234">
        <v>0</v>
      </c>
      <c r="P6" s="1236">
        <f t="shared" si="3"/>
        <v>0</v>
      </c>
      <c r="Q6" s="1236">
        <v>90</v>
      </c>
      <c r="R6" s="1256">
        <f t="shared" si="4"/>
        <v>0</v>
      </c>
    </row>
    <row r="7" spans="1:18">
      <c r="A7" s="1232" t="s">
        <v>2279</v>
      </c>
      <c r="B7" s="1236"/>
      <c r="C7" s="1234">
        <f>SUMIF('Analisis comercial'!$AO$4:$AO$9,$A7,'Analisis comercial'!$K$4:$K$9)</f>
        <v>0</v>
      </c>
      <c r="D7" s="1234" cm="1">
        <f t="array" ref="D7">+SUMPRODUCT(IF('Analisis comercial'!$AO$4:$AO$9=A7,'Analisis comercial'!$L$4:$L$9*'Analisis comercial'!$K$4:$K$9/C7))</f>
        <v>0</v>
      </c>
      <c r="E7" s="1235">
        <f t="shared" si="0"/>
        <v>0</v>
      </c>
      <c r="F7" s="1236" cm="1">
        <f t="array" ref="F7">+SUMPRODUCT(IF('Analisis comercial'!$AO$4:$AO$9=A7,('Analisis comercial'!$Q$4:$Q$9*'Analisis comercial'!$AH$4:$AH$9)/SUMIF('Analisis comercial'!$AO$4:$AO$9,$A7,'Analisis comercial'!$AH$4:$AH$9)))</f>
        <v>0</v>
      </c>
      <c r="G7" s="1237">
        <f t="shared" si="1"/>
        <v>0</v>
      </c>
      <c r="H7" s="1237">
        <f>SUMIF('Analisis comercial'!$AO$4:$AO$4,$A7,'Analisis comercial'!$AH$4:$AH$4)</f>
        <v>0</v>
      </c>
      <c r="I7" s="1236">
        <f t="shared" si="2"/>
        <v>0</v>
      </c>
      <c r="J7" s="1238">
        <f t="shared" si="5"/>
        <v>0</v>
      </c>
      <c r="L7" s="1232" t="s">
        <v>2279</v>
      </c>
      <c r="M7" s="1236"/>
      <c r="N7" s="1234">
        <f>SUMIF('Analisis comercial'!$AO$4:$AO$9,$A7,'Analisis comercial'!$K$4:$K$9)</f>
        <v>0</v>
      </c>
      <c r="O7" s="1234">
        <v>0</v>
      </c>
      <c r="P7" s="1236">
        <f t="shared" si="3"/>
        <v>0</v>
      </c>
      <c r="Q7" s="1236">
        <v>90</v>
      </c>
      <c r="R7" s="1256">
        <f t="shared" si="4"/>
        <v>0</v>
      </c>
    </row>
    <row r="8" spans="1:18">
      <c r="A8" s="1232" t="s">
        <v>2281</v>
      </c>
      <c r="B8" s="1236"/>
      <c r="C8" s="1234">
        <f>SUMIF('Analisis comercial'!$AO$4:$AO$9,$A8,'Analisis comercial'!$K$4:$K$9)</f>
        <v>0</v>
      </c>
      <c r="D8" s="1234" cm="1">
        <f t="array" ref="D8">+SUMPRODUCT(IF('Analisis comercial'!$AO$4:$AO$9=A8,'Analisis comercial'!$L$4:$L$9*'Analisis comercial'!$K$4:$K$9/C8))</f>
        <v>0</v>
      </c>
      <c r="E8" s="1235">
        <f t="shared" si="0"/>
        <v>0</v>
      </c>
      <c r="F8" s="1236" cm="1">
        <f t="array" ref="F8">+SUMPRODUCT(IF('Analisis comercial'!$AO$4:$AO$9=A8,('Analisis comercial'!$Q$4:$Q$9*'Analisis comercial'!$AH$4:$AH$9)/SUMIF('Analisis comercial'!$AO$4:$AO$9,$A8,'Analisis comercial'!$AH$4:$AH$9)))</f>
        <v>0</v>
      </c>
      <c r="G8" s="1237">
        <f t="shared" si="1"/>
        <v>0</v>
      </c>
      <c r="H8" s="1237">
        <f>SUMIF('Analisis comercial'!$AO$4:$AO$4,$A8,'Analisis comercial'!$AH$4:$AH$4)</f>
        <v>0</v>
      </c>
      <c r="I8" s="1236">
        <f t="shared" si="2"/>
        <v>0</v>
      </c>
      <c r="J8" s="1238">
        <f t="shared" si="5"/>
        <v>0</v>
      </c>
      <c r="L8" s="1232" t="s">
        <v>2281</v>
      </c>
      <c r="M8" s="1236"/>
      <c r="N8" s="1234">
        <f>SUMIF('Analisis comercial'!$AO$4:$AO$9,$A8,'Analisis comercial'!$K$4:$K$9)</f>
        <v>0</v>
      </c>
      <c r="O8" s="1234">
        <v>0</v>
      </c>
      <c r="P8" s="1236">
        <f t="shared" si="3"/>
        <v>0</v>
      </c>
      <c r="Q8" s="1236">
        <v>90</v>
      </c>
      <c r="R8" s="1256">
        <f t="shared" si="4"/>
        <v>0</v>
      </c>
    </row>
    <row r="9" spans="1:18">
      <c r="A9" s="1232" t="s">
        <v>2297</v>
      </c>
      <c r="B9" s="1236"/>
      <c r="C9" s="1234">
        <f>SUMIF('Analisis comercial'!$AO$4:$AO$9,$A9,'Analisis comercial'!$K$4:$K$9)</f>
        <v>0</v>
      </c>
      <c r="D9" s="1234" cm="1">
        <f t="array" ref="D9">+SUMPRODUCT(IF('Analisis comercial'!$AO$4:$AO$9=A9,'Analisis comercial'!$L$4:$L$9*'Analisis comercial'!$K$4:$K$9/C9))</f>
        <v>0</v>
      </c>
      <c r="E9" s="1235">
        <f t="shared" si="0"/>
        <v>0</v>
      </c>
      <c r="F9" s="1236" cm="1">
        <f t="array" ref="F9">+SUMPRODUCT(IF('Analisis comercial'!$AO$4:$AO$9=A9,('Analisis comercial'!$Q$4:$Q$9*'Analisis comercial'!$AH$4:$AH$9)/SUMIF('Analisis comercial'!$AO$4:$AO$9,$A9,'Analisis comercial'!$AH$4:$AH$9)))</f>
        <v>0</v>
      </c>
      <c r="G9" s="1237">
        <f t="shared" si="1"/>
        <v>0</v>
      </c>
      <c r="H9" s="1237">
        <f>SUMIF('Analisis comercial'!$AO$4:$AO$4,$A9,'Analisis comercial'!$AH$4:$AH$4)</f>
        <v>0</v>
      </c>
      <c r="I9" s="1236">
        <f t="shared" si="2"/>
        <v>0</v>
      </c>
      <c r="J9" s="1238">
        <f t="shared" si="5"/>
        <v>0</v>
      </c>
      <c r="L9" s="1232" t="s">
        <v>2297</v>
      </c>
      <c r="M9" s="1236"/>
      <c r="N9" s="1234">
        <f>SUMIF('Analisis comercial'!$AO$4:$AO$9,$A9,'Analisis comercial'!$K$4:$K$9)</f>
        <v>0</v>
      </c>
      <c r="O9" s="631"/>
      <c r="P9" s="1236">
        <f t="shared" si="3"/>
        <v>0</v>
      </c>
      <c r="Q9" s="631"/>
      <c r="R9" s="1256">
        <f t="shared" si="4"/>
        <v>0</v>
      </c>
    </row>
    <row r="10" spans="1:18">
      <c r="A10" s="1232" t="s">
        <v>2518</v>
      </c>
      <c r="B10" s="1233"/>
      <c r="C10" s="1234">
        <f>SUMIF('Analisis comercial'!$AO$4:$AO$9,$A10,'Analisis comercial'!$K$4:$K$9)</f>
        <v>0</v>
      </c>
      <c r="D10" s="1234" cm="1">
        <f t="array" ref="D10">+SUMPRODUCT(IF('Analisis comercial'!$AO$4:$AO$9=A10,'Analisis comercial'!$L$4:$L$9*'Analisis comercial'!$K$4:$K$9/C10))</f>
        <v>0</v>
      </c>
      <c r="E10" s="1235">
        <f t="shared" si="0"/>
        <v>0</v>
      </c>
      <c r="F10" s="1236" cm="1">
        <f t="array" ref="F10">+SUMPRODUCT(IF('Analisis comercial'!$AO$4:$AO$9=A10,('Analisis comercial'!$Q$4:$Q$9*'Analisis comercial'!$AH$4:$AH$9)/SUMIF('Analisis comercial'!$AO$4:$AO$9,$A10,'Analisis comercial'!$AH$4:$AH$9)))</f>
        <v>0</v>
      </c>
      <c r="G10" s="1237">
        <f t="shared" si="1"/>
        <v>0</v>
      </c>
      <c r="H10" s="1237">
        <f>SUMIF('Analisis comercial'!$AO$4:$AO$4,$A10,'Analisis comercial'!$AH$4:$AH$4)</f>
        <v>0</v>
      </c>
      <c r="I10" s="1236">
        <f t="shared" si="2"/>
        <v>0</v>
      </c>
      <c r="J10" s="1238">
        <f t="shared" si="5"/>
        <v>0</v>
      </c>
      <c r="L10" s="1232" t="s">
        <v>2518</v>
      </c>
      <c r="M10" s="1233"/>
      <c r="N10" s="1234">
        <f>SUMIF('Analisis comercial'!$AO$4:$AO$9,$A10,'Analisis comercial'!$K$4:$K$9)</f>
        <v>0</v>
      </c>
      <c r="O10" s="631"/>
      <c r="P10" s="1236">
        <f t="shared" si="3"/>
        <v>0</v>
      </c>
      <c r="Q10" s="631"/>
      <c r="R10" s="1256">
        <f t="shared" si="4"/>
        <v>0</v>
      </c>
    </row>
    <row r="11" spans="1:18">
      <c r="A11" s="1232" t="s">
        <v>2519</v>
      </c>
      <c r="B11" s="1233"/>
      <c r="C11" s="1234">
        <f>SUMIF('Analisis comercial'!$AO$4:$AO$9,$A11,'Analisis comercial'!$K$4:$K$9)</f>
        <v>0</v>
      </c>
      <c r="D11" s="1234" cm="1">
        <f t="array" ref="D11">+SUMPRODUCT(IF('Analisis comercial'!$AO$4:$AO$9=A11,'Analisis comercial'!$L$4:$L$9*'Analisis comercial'!$K$4:$K$9/C11))</f>
        <v>0</v>
      </c>
      <c r="E11" s="1235">
        <f t="shared" si="0"/>
        <v>0</v>
      </c>
      <c r="F11" s="1236" cm="1">
        <f t="array" ref="F11">+SUMPRODUCT(IF('Analisis comercial'!$AO$4:$AO$9=A11,('Analisis comercial'!$Q$4:$Q$9*'Analisis comercial'!$AH$4:$AH$9)/SUMIF('Analisis comercial'!$AO$4:$AO$9,$A11,'Analisis comercial'!$AH$4:$AH$9)))</f>
        <v>0</v>
      </c>
      <c r="G11" s="1237">
        <f t="shared" si="1"/>
        <v>0</v>
      </c>
      <c r="H11" s="1237">
        <f>SUMIF('Analisis comercial'!$AO$4:$AO$4,$A11,'Analisis comercial'!$AH$4:$AH$4)</f>
        <v>0</v>
      </c>
      <c r="I11" s="1236">
        <f t="shared" si="2"/>
        <v>0</v>
      </c>
      <c r="J11" s="1238">
        <f t="shared" si="5"/>
        <v>0</v>
      </c>
      <c r="L11" s="1232" t="s">
        <v>2519</v>
      </c>
      <c r="M11" s="1233"/>
      <c r="N11" s="1234">
        <f>SUMIF('Analisis comercial'!$AO$4:$AO$9,$A11,'Analisis comercial'!$K$4:$K$9)</f>
        <v>0</v>
      </c>
      <c r="O11" s="631"/>
      <c r="P11" s="1236">
        <f t="shared" si="3"/>
        <v>0</v>
      </c>
      <c r="Q11" s="631"/>
      <c r="R11" s="1256">
        <f t="shared" si="4"/>
        <v>0</v>
      </c>
    </row>
    <row r="12" spans="1:18">
      <c r="A12" s="1232" t="s">
        <v>2520</v>
      </c>
      <c r="B12" s="1233"/>
      <c r="C12" s="1234">
        <f>SUMIF('Analisis comercial'!$AO$4:$AO$9,$A12,'Analisis comercial'!$K$4:$K$9)</f>
        <v>0</v>
      </c>
      <c r="D12" s="1234" cm="1">
        <f t="array" ref="D12">+SUMPRODUCT(IF('Analisis comercial'!$AO$4:$AO$9=A12,'Analisis comercial'!$L$4:$L$9*'Analisis comercial'!$K$4:$K$9/C12))</f>
        <v>0</v>
      </c>
      <c r="E12" s="1235">
        <f t="shared" si="0"/>
        <v>0</v>
      </c>
      <c r="F12" s="1236" cm="1">
        <f t="array" ref="F12">+SUMPRODUCT(IF('Analisis comercial'!$AO$4:$AO$9=A12,('Analisis comercial'!$Q$4:$Q$9*'Analisis comercial'!$AH$4:$AH$9)/SUMIF('Analisis comercial'!$AO$4:$AO$9,$A12,'Analisis comercial'!$AH$4:$AH$9)))</f>
        <v>0</v>
      </c>
      <c r="G12" s="1237">
        <f t="shared" si="1"/>
        <v>0</v>
      </c>
      <c r="H12" s="1237">
        <f>SUMIF('Analisis comercial'!$AO$4:$AO$4,$A12,'Analisis comercial'!$AH$4:$AH$4)</f>
        <v>0</v>
      </c>
      <c r="I12" s="1236">
        <f t="shared" si="2"/>
        <v>0</v>
      </c>
      <c r="J12" s="1238">
        <f t="shared" si="5"/>
        <v>0</v>
      </c>
      <c r="L12" s="1232" t="s">
        <v>2520</v>
      </c>
      <c r="M12" s="1233"/>
      <c r="N12" s="1234">
        <f>SUMIF('Analisis comercial'!$AO$4:$AO$9,$A12,'Analisis comercial'!$K$4:$K$9)</f>
        <v>0</v>
      </c>
      <c r="O12" s="631"/>
      <c r="P12" s="1236">
        <f t="shared" si="3"/>
        <v>0</v>
      </c>
      <c r="Q12" s="631"/>
      <c r="R12" s="1256">
        <f t="shared" si="4"/>
        <v>0</v>
      </c>
    </row>
    <row r="13" spans="1:18" ht="15" thickBot="1">
      <c r="A13" s="1239" t="s">
        <v>2521</v>
      </c>
      <c r="B13" s="1240"/>
      <c r="C13" s="1254">
        <f>SUMIF('Analisis comercial'!$AO$4:$AO$9,$A13,'Analisis comercial'!$K$4:$K$9)</f>
        <v>0</v>
      </c>
      <c r="D13" s="1254" cm="1">
        <f t="array" ref="D13">+SUMPRODUCT(IF('Analisis comercial'!$AO$4:$AO$9=A13,'Analisis comercial'!$L$4:$L$9*'Analisis comercial'!$K$4:$K$9/C13))</f>
        <v>0</v>
      </c>
      <c r="E13" s="1241">
        <f t="shared" si="0"/>
        <v>0</v>
      </c>
      <c r="F13" s="1242" cm="1">
        <f t="array" ref="F13">+SUMPRODUCT(IF('Analisis comercial'!$AO$4:$AO$9=A13,('Analisis comercial'!$Q$4:$Q$9*'Analisis comercial'!$AH$4:$AH$9)/SUMIF('Analisis comercial'!$AO$4:$AO$9,$A13,'Analisis comercial'!$AH$4:$AH$9)))</f>
        <v>0</v>
      </c>
      <c r="G13" s="1243">
        <f t="shared" si="1"/>
        <v>0</v>
      </c>
      <c r="H13" s="1237">
        <f>SUMIF('Analisis comercial'!$AO$4:$AO$4,$A13,'Analisis comercial'!$AH$4:$AH$4)</f>
        <v>0</v>
      </c>
      <c r="I13" s="1242">
        <f t="shared" si="2"/>
        <v>0</v>
      </c>
      <c r="J13" s="1436">
        <f t="shared" si="5"/>
        <v>0</v>
      </c>
      <c r="L13" s="1239" t="s">
        <v>2521</v>
      </c>
      <c r="M13" s="1240"/>
      <c r="N13" s="1254">
        <f>SUMIF('Analisis comercial'!$AO$4:$AO$9,$A13,'Analisis comercial'!$K$4:$K$9)</f>
        <v>0</v>
      </c>
      <c r="O13" s="1257"/>
      <c r="P13" s="1242">
        <f t="shared" si="3"/>
        <v>0</v>
      </c>
      <c r="Q13" s="1257"/>
      <c r="R13" s="1258">
        <f t="shared" si="4"/>
        <v>0</v>
      </c>
    </row>
    <row r="14" spans="1:18" ht="15" thickBot="1">
      <c r="A14" s="1218" t="s">
        <v>2276</v>
      </c>
      <c r="B14" s="1219"/>
      <c r="C14" s="1220">
        <f>SUMIF('Analisis comercial'!$AO$4:$AO$9,$A14,'Analisis comercial'!$K$4:$K$9)</f>
        <v>62.555999999999997</v>
      </c>
      <c r="D14" s="1220" cm="1">
        <f t="array" ref="D14">+SUMPRODUCT(IF('Analisis comercial'!$AO$4:$AO$9=A14,'Analisis comercial'!$L$4:$L$9*'Analisis comercial'!$K$4:$K$9/C14))</f>
        <v>4.9311177185242028E-2</v>
      </c>
      <c r="E14" s="1221">
        <f>31.1035*1.1023*D14*(100-F14)/100</f>
        <v>0.10481391015198682</v>
      </c>
      <c r="F14" s="1222" cm="1">
        <f t="array" ref="F14">+SUMPRODUCT(IF('Analisis comercial'!$AO$4:$AO$9=A14,('Analisis comercial'!$Q$4:$Q$9*'Analisis comercial'!$AH$4:$AH$9)/SUMIF('Analisis comercial'!$AO$4:$AO$9,$A14,'Analisis comercial'!$AH$4:$AH$9)))</f>
        <v>93.800388384754982</v>
      </c>
      <c r="G14" s="1223">
        <f>+D14*31.1035*1.1023*C14</f>
        <v>105.76047937171552</v>
      </c>
      <c r="H14" s="1223">
        <f>+G14*F14/100</f>
        <v>99.203740408247825</v>
      </c>
      <c r="I14" s="1222">
        <f>+I12+G14-H14</f>
        <v>6.5567389634676942</v>
      </c>
      <c r="J14" s="1224">
        <f>+C14</f>
        <v>62.555999999999997</v>
      </c>
      <c r="L14" s="1437" t="s">
        <v>2276</v>
      </c>
      <c r="M14" s="1240"/>
      <c r="N14" s="1234">
        <f>SUMIF('Analisis comercial'!$AO$4:$AO$9,$A14,'Analisis comercial'!$K$4:$K$9)</f>
        <v>62.555999999999997</v>
      </c>
      <c r="O14" s="1257"/>
      <c r="P14" s="1242">
        <f>SUM(P3:P12)</f>
        <v>0</v>
      </c>
      <c r="Q14" s="1257"/>
      <c r="R14" s="1258">
        <f>SUM(R3:R12)</f>
        <v>0</v>
      </c>
    </row>
    <row r="15" spans="1:18" ht="15" thickBot="1">
      <c r="A15" s="1218" t="s">
        <v>2669</v>
      </c>
      <c r="B15" s="1219"/>
      <c r="C15" s="1220">
        <f>SUMIF('Analisis comercial'!$AO$4:$AO$9,$A15,'Analisis comercial'!$K$4:$K$9)</f>
        <v>0</v>
      </c>
      <c r="D15" s="1220" cm="1">
        <f t="array" ref="D15">+SUMPRODUCT(IF('Analisis comercial'!$AO$4:$AO$9=A15,'Analisis comercial'!$L$4:$L$9*'Analisis comercial'!$K$4:$K$9/C15))</f>
        <v>0</v>
      </c>
      <c r="E15" s="1221">
        <f>31.1035*1.1023*D15*(100-F15)/100</f>
        <v>0</v>
      </c>
      <c r="F15" s="1222"/>
      <c r="G15" s="1223">
        <f>+D15*31.1035*1.1023*C15</f>
        <v>0</v>
      </c>
      <c r="H15" s="1223">
        <f>+G15*F15/100</f>
        <v>0</v>
      </c>
      <c r="I15" s="1222"/>
      <c r="J15" s="1224">
        <f>+C15</f>
        <v>0</v>
      </c>
      <c r="L15" s="1218" t="s">
        <v>2276</v>
      </c>
      <c r="M15" s="1219"/>
      <c r="N15" s="1220">
        <f>SUMIF('Analisis comercial'!$AO$4:$AO$4,$A15,'Analisis comercial'!$K$4:$K$4)</f>
        <v>0</v>
      </c>
      <c r="O15" s="1259"/>
      <c r="P15" s="1222">
        <f>SUM(P4:P13)</f>
        <v>0</v>
      </c>
      <c r="Q15" s="1259"/>
      <c r="R15" s="1260">
        <f>SUM(R4:R13)</f>
        <v>0</v>
      </c>
    </row>
    <row r="16" spans="1:18">
      <c r="A16" s="1389"/>
      <c r="F16" s="1236"/>
      <c r="H16">
        <f>299+33</f>
        <v>332</v>
      </c>
    </row>
    <row r="18" spans="1:13">
      <c r="A18" s="1248" t="s">
        <v>2592</v>
      </c>
      <c r="B18" s="891"/>
      <c r="C18" s="891"/>
      <c r="D18" s="891"/>
      <c r="E18" s="891"/>
      <c r="F18" s="891"/>
      <c r="G18" s="1249">
        <v>5105.683</v>
      </c>
      <c r="H18" s="1249">
        <v>4586.7849999999999</v>
      </c>
    </row>
    <row r="19" spans="1:13">
      <c r="A19" s="1250" t="s">
        <v>2593</v>
      </c>
      <c r="B19" s="891"/>
      <c r="C19" s="891"/>
      <c r="D19" s="891"/>
      <c r="E19" s="891"/>
      <c r="F19" s="891"/>
      <c r="G19" s="811">
        <f>+G2-G18</f>
        <v>-5105.683</v>
      </c>
      <c r="H19" s="811">
        <f>+H2-H18</f>
        <v>-4586.7849999999999</v>
      </c>
    </row>
    <row r="22" spans="1:13">
      <c r="F22">
        <v>100</v>
      </c>
      <c r="G22" s="1212">
        <v>1</v>
      </c>
      <c r="H22">
        <v>90</v>
      </c>
      <c r="I22" s="1212">
        <f>+F22*G22*H22*31.1035*1.1023/100</f>
        <v>3085.6849245000003</v>
      </c>
      <c r="J22" s="1247" t="s">
        <v>2592</v>
      </c>
      <c r="K22" s="1207">
        <f>SUMPRODUCT(F22:F23,H22:H23)/F24/100</f>
        <v>0.89900990099009903</v>
      </c>
      <c r="L22" s="847">
        <f>+F24*G24*K22*31.1035*1.1023</f>
        <v>3085.3726219553864</v>
      </c>
      <c r="M22" s="847"/>
    </row>
    <row r="23" spans="1:13">
      <c r="F23">
        <v>1</v>
      </c>
      <c r="G23" s="1212">
        <v>0.1</v>
      </c>
      <c r="H23">
        <v>80</v>
      </c>
      <c r="I23" s="1212">
        <f>+F23*G23*H23*31.1035*1.1023/100</f>
        <v>2.7428310440000003</v>
      </c>
      <c r="J23" s="1247" t="s">
        <v>2594</v>
      </c>
      <c r="K23" s="1207">
        <f>SUMPRODUCT(I22:I23,H22:H23)/I24/100</f>
        <v>0.89991119005328601</v>
      </c>
      <c r="L23" s="847">
        <f>+F24*G24*K23*31.1035*1.1023</f>
        <v>3088.4658165875726</v>
      </c>
    </row>
    <row r="24" spans="1:13">
      <c r="F24">
        <f>SUM(F22:F23)</f>
        <v>101</v>
      </c>
      <c r="G24" s="1212">
        <f>SUMPRODUCT(F22:F23,G22:G23)/F24</f>
        <v>0.99108910891089108</v>
      </c>
      <c r="I24" s="847">
        <f>SUM(I22:I23)</f>
        <v>3088.4277555440003</v>
      </c>
    </row>
  </sheetData>
  <mergeCells count="2">
    <mergeCell ref="A1:J1"/>
    <mergeCell ref="L1:R1"/>
  </mergeCell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45"/>
  <dimension ref="B1:E28"/>
  <sheetViews>
    <sheetView workbookViewId="0">
      <selection activeCell="B2" activeCellId="2" sqref="B28:E28 B27:D27 B2:E26"/>
    </sheetView>
  </sheetViews>
  <sheetFormatPr baseColWidth="10" defaultRowHeight="14.4"/>
  <cols>
    <col min="2" max="2" width="15.44140625" customWidth="1"/>
    <col min="3" max="3" width="14.6640625" bestFit="1" customWidth="1"/>
    <col min="4" max="5" width="9.6640625" customWidth="1"/>
  </cols>
  <sheetData>
    <row r="1" spans="2:5" ht="15" thickBot="1"/>
    <row r="2" spans="2:5" ht="15" thickBot="1">
      <c r="B2" s="1951" t="s">
        <v>1255</v>
      </c>
      <c r="C2" s="1157" t="s">
        <v>1254</v>
      </c>
      <c r="D2" s="1157" t="s">
        <v>2236</v>
      </c>
      <c r="E2" s="1158" t="s">
        <v>2237</v>
      </c>
    </row>
    <row r="3" spans="2:5">
      <c r="B3" s="1159" t="s">
        <v>2238</v>
      </c>
      <c r="C3" s="1165">
        <f>+'Analisis comercial'!Q2/100</f>
        <v>0.93121842941292765</v>
      </c>
      <c r="D3" s="1165">
        <f>+C3</f>
        <v>0.93121842941292765</v>
      </c>
      <c r="E3" s="1166">
        <f>+C3</f>
        <v>0.93121842941292765</v>
      </c>
    </row>
    <row r="4" spans="2:5">
      <c r="B4" s="1159" t="s">
        <v>2233</v>
      </c>
      <c r="C4" s="1153">
        <f>+'Analisis comercial'!K2</f>
        <v>919.98800000000028</v>
      </c>
      <c r="D4" s="1153">
        <v>166</v>
      </c>
      <c r="E4" s="1156">
        <f>+C4-D4</f>
        <v>753.98800000000028</v>
      </c>
    </row>
    <row r="5" spans="2:5">
      <c r="B5" s="1159" t="s">
        <v>2234</v>
      </c>
      <c r="C5" s="1153">
        <f>+'Analisis comercial'!E2</f>
        <v>5676.2659999999969</v>
      </c>
      <c r="D5" s="1153">
        <v>718</v>
      </c>
      <c r="E5" s="1156">
        <f t="shared" ref="E5:E6" si="0">+C5-D5</f>
        <v>4958.2659999999969</v>
      </c>
    </row>
    <row r="6" spans="2:5">
      <c r="B6" s="1159" t="s">
        <v>2235</v>
      </c>
      <c r="C6" s="1153">
        <f>+'Analisis comercial'!AM3</f>
        <v>480219.63266669121</v>
      </c>
      <c r="D6" s="1153">
        <v>59817</v>
      </c>
      <c r="E6" s="1156">
        <f t="shared" si="0"/>
        <v>420402.63266669121</v>
      </c>
    </row>
    <row r="7" spans="2:5" ht="15" thickBot="1">
      <c r="B7" s="1160"/>
      <c r="C7" s="1154"/>
      <c r="D7" s="1154"/>
      <c r="E7" s="1155"/>
    </row>
    <row r="8" spans="2:5" ht="15" thickBot="1"/>
    <row r="9" spans="2:5" ht="15" thickBot="1">
      <c r="B9" s="1951" t="s">
        <v>4745</v>
      </c>
      <c r="C9" s="1157" t="s">
        <v>1254</v>
      </c>
      <c r="D9" s="1157" t="s">
        <v>2236</v>
      </c>
      <c r="E9" s="1158" t="s">
        <v>2237</v>
      </c>
    </row>
    <row r="10" spans="2:5">
      <c r="B10" s="1159" t="s">
        <v>2238</v>
      </c>
      <c r="C10" s="1165">
        <f>+'46'!Q2/100</f>
        <v>0.94000050839408655</v>
      </c>
      <c r="D10" s="1165">
        <f>+C10</f>
        <v>0.94000050839408655</v>
      </c>
      <c r="E10" s="1166">
        <f>+C10</f>
        <v>0.94000050839408655</v>
      </c>
    </row>
    <row r="11" spans="2:5">
      <c r="B11" s="1159" t="s">
        <v>2233</v>
      </c>
      <c r="C11" s="1153">
        <f>+'46'!K2</f>
        <v>559.59999999999968</v>
      </c>
      <c r="D11" s="1153">
        <v>461</v>
      </c>
      <c r="E11" s="1156">
        <f>+C11-D11</f>
        <v>98.599999999999682</v>
      </c>
    </row>
    <row r="12" spans="2:5">
      <c r="B12" s="1159" t="s">
        <v>2234</v>
      </c>
      <c r="C12" s="1153">
        <f>+'46'!E2</f>
        <v>5426.4989999999989</v>
      </c>
      <c r="D12" s="1153">
        <v>4498</v>
      </c>
      <c r="E12" s="1156">
        <f t="shared" ref="E12:E13" si="1">+C12-D12</f>
        <v>928.49899999999889</v>
      </c>
    </row>
    <row r="13" spans="2:5">
      <c r="B13" s="1159" t="s">
        <v>2235</v>
      </c>
      <c r="C13" s="1153">
        <f>+'46'!AM3</f>
        <v>561731.13213377853</v>
      </c>
      <c r="D13" s="1153">
        <v>469656</v>
      </c>
      <c r="E13" s="1156">
        <f t="shared" si="1"/>
        <v>92075.132133778534</v>
      </c>
    </row>
    <row r="14" spans="2:5" ht="15" thickBot="1">
      <c r="B14" s="1160"/>
      <c r="C14" s="1154"/>
      <c r="D14" s="1154"/>
      <c r="E14" s="1155"/>
    </row>
    <row r="15" spans="2:5" ht="15" thickBot="1"/>
    <row r="16" spans="2:5" ht="15" thickBot="1">
      <c r="B16" s="1951" t="s">
        <v>4745</v>
      </c>
      <c r="C16" s="1157" t="s">
        <v>1254</v>
      </c>
      <c r="D16" s="1157" t="s">
        <v>2236</v>
      </c>
      <c r="E16" s="1158" t="s">
        <v>2237</v>
      </c>
    </row>
    <row r="17" spans="2:5">
      <c r="B17" s="1159" t="s">
        <v>2238</v>
      </c>
      <c r="C17" s="1165">
        <f>+'45'!Q2/100</f>
        <v>0.94649565835241978</v>
      </c>
      <c r="D17" s="1165">
        <f>+C17</f>
        <v>0.94649565835241978</v>
      </c>
      <c r="E17" s="1166">
        <f>+C17</f>
        <v>0.94649565835241978</v>
      </c>
    </row>
    <row r="18" spans="2:5">
      <c r="B18" s="1159" t="s">
        <v>2233</v>
      </c>
      <c r="C18" s="1153">
        <f>+'45'!K2</f>
        <v>483.36000000000007</v>
      </c>
      <c r="D18" s="1153">
        <v>442</v>
      </c>
      <c r="E18" s="1156">
        <f>+C18-D18</f>
        <v>41.36000000000007</v>
      </c>
    </row>
    <row r="19" spans="2:5">
      <c r="B19" s="1159" t="s">
        <v>2234</v>
      </c>
      <c r="C19" s="1153">
        <f>+'45'!E2</f>
        <v>5232.0229999999992</v>
      </c>
      <c r="D19" s="1153">
        <v>4498</v>
      </c>
      <c r="E19" s="1156">
        <f t="shared" ref="E19:E20" si="2">+C19-D19</f>
        <v>734.02299999999923</v>
      </c>
    </row>
    <row r="20" spans="2:5">
      <c r="B20" s="1159" t="s">
        <v>2235</v>
      </c>
      <c r="C20" s="1153">
        <f>+'45'!AM3</f>
        <v>580927.1127198193</v>
      </c>
      <c r="D20" s="1153">
        <v>546012</v>
      </c>
      <c r="E20" s="1156">
        <f t="shared" si="2"/>
        <v>34915.112719819299</v>
      </c>
    </row>
    <row r="21" spans="2:5" ht="15" thickBot="1">
      <c r="B21" s="1160"/>
      <c r="C21" s="1154"/>
      <c r="D21" s="1154"/>
      <c r="E21" s="1155"/>
    </row>
    <row r="22" spans="2:5" ht="15" thickBot="1"/>
    <row r="23" spans="2:5" ht="15" thickBot="1">
      <c r="B23" s="1952" t="s">
        <v>6126</v>
      </c>
      <c r="C23" s="1157" t="s">
        <v>1254</v>
      </c>
      <c r="D23" s="1157" t="s">
        <v>2236</v>
      </c>
      <c r="E23" s="1158" t="s">
        <v>2237</v>
      </c>
    </row>
    <row r="24" spans="2:5">
      <c r="B24" s="1159" t="s">
        <v>2238</v>
      </c>
      <c r="C24" s="1165"/>
      <c r="D24" s="1165"/>
      <c r="E24" s="1166"/>
    </row>
    <row r="25" spans="2:5">
      <c r="B25" s="1159" t="s">
        <v>2233</v>
      </c>
      <c r="C25" s="1153"/>
      <c r="D25" s="1153"/>
      <c r="E25" s="1156">
        <f>+E4+E11+E18</f>
        <v>893.94800000000009</v>
      </c>
    </row>
    <row r="26" spans="2:5">
      <c r="B26" s="1159" t="s">
        <v>2234</v>
      </c>
      <c r="C26" s="1153"/>
      <c r="D26" s="1153"/>
      <c r="E26" s="1156">
        <f t="shared" ref="E26:E27" si="3">+E5+E12+E19</f>
        <v>6620.787999999995</v>
      </c>
    </row>
    <row r="27" spans="2:5">
      <c r="B27" s="1159" t="s">
        <v>2235</v>
      </c>
      <c r="C27" s="1153"/>
      <c r="D27" s="1153"/>
      <c r="E27" s="1156">
        <f t="shared" si="3"/>
        <v>547392.87752028904</v>
      </c>
    </row>
    <row r="28" spans="2:5" ht="15" thickBot="1">
      <c r="B28" s="1160"/>
      <c r="C28" s="1154"/>
      <c r="D28" s="1154"/>
      <c r="E28" s="1155"/>
    </row>
  </sheetData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0"/>
  <dimension ref="A1:S114"/>
  <sheetViews>
    <sheetView showGridLines="0" workbookViewId="0">
      <selection activeCell="M16" sqref="M16"/>
    </sheetView>
  </sheetViews>
  <sheetFormatPr baseColWidth="10" defaultRowHeight="14.4"/>
  <cols>
    <col min="1" max="1" width="9.109375" bestFit="1" customWidth="1"/>
    <col min="2" max="2" width="12" customWidth="1"/>
    <col min="3" max="3" width="16" customWidth="1"/>
    <col min="4" max="4" width="16.5546875" customWidth="1"/>
    <col min="5" max="5" width="12.6640625" customWidth="1"/>
    <col min="6" max="6" width="13.33203125" style="762" customWidth="1"/>
    <col min="7" max="7" width="15.109375" style="762" customWidth="1"/>
    <col min="8" max="8" width="13" style="762" bestFit="1" customWidth="1"/>
    <col min="9" max="9" width="14.88671875" style="762" bestFit="1" customWidth="1"/>
    <col min="10" max="10" width="7.6640625" style="762" customWidth="1"/>
    <col min="11" max="11" width="20.44140625" customWidth="1"/>
    <col min="12" max="12" width="15.109375" customWidth="1"/>
    <col min="14" max="14" width="14.33203125" bestFit="1" customWidth="1"/>
    <col min="18" max="18" width="16.6640625" bestFit="1" customWidth="1"/>
  </cols>
  <sheetData>
    <row r="1" spans="1:19" ht="15" thickBot="1"/>
    <row r="2" spans="1:19" ht="15" thickBot="1">
      <c r="B2" s="812" t="s">
        <v>1155</v>
      </c>
      <c r="C2" s="813"/>
    </row>
    <row r="3" spans="1:19">
      <c r="B3" s="814" t="s">
        <v>1081</v>
      </c>
      <c r="C3" s="815">
        <v>2700</v>
      </c>
      <c r="S3" s="762" t="s">
        <v>1174</v>
      </c>
    </row>
    <row r="4" spans="1:19" ht="15" thickBot="1">
      <c r="B4" s="816" t="s">
        <v>1084</v>
      </c>
      <c r="C4" s="817">
        <v>130</v>
      </c>
      <c r="R4" t="s">
        <v>1173</v>
      </c>
      <c r="S4">
        <v>1500</v>
      </c>
    </row>
    <row r="5" spans="1:19">
      <c r="B5" s="787"/>
      <c r="C5" s="798"/>
      <c r="D5" s="783" t="s">
        <v>1086</v>
      </c>
      <c r="E5" s="785"/>
      <c r="F5" s="786" t="s">
        <v>874</v>
      </c>
      <c r="G5" s="896" t="s">
        <v>1248</v>
      </c>
      <c r="I5" s="783" t="s">
        <v>1082</v>
      </c>
      <c r="J5" s="806" t="s">
        <v>1083</v>
      </c>
      <c r="K5" s="809" t="s">
        <v>1154</v>
      </c>
      <c r="R5" t="s">
        <v>1175</v>
      </c>
      <c r="S5">
        <v>1500</v>
      </c>
    </row>
    <row r="6" spans="1:19">
      <c r="B6" s="787"/>
      <c r="C6" s="797"/>
      <c r="D6" s="794"/>
      <c r="E6" s="631"/>
      <c r="F6" s="633"/>
      <c r="G6" s="788"/>
      <c r="I6" s="784"/>
      <c r="J6" s="807"/>
      <c r="K6" s="702"/>
    </row>
    <row r="7" spans="1:19">
      <c r="B7" s="801" t="s">
        <v>1153</v>
      </c>
      <c r="C7" s="798"/>
      <c r="D7" s="795">
        <v>11440</v>
      </c>
      <c r="E7" s="631"/>
      <c r="F7" s="633"/>
      <c r="G7" s="789">
        <f>+D7*$C$3/31.1035</f>
        <v>993071.51928239584</v>
      </c>
      <c r="I7" s="784"/>
      <c r="J7" s="807"/>
      <c r="K7" s="702"/>
    </row>
    <row r="8" spans="1:19">
      <c r="B8" s="787" t="s">
        <v>1080</v>
      </c>
      <c r="C8" s="798"/>
      <c r="D8" s="795">
        <v>3026</v>
      </c>
      <c r="E8" s="631"/>
      <c r="F8" s="633"/>
      <c r="G8" s="789">
        <f>+D8*$C$3/31.1035</f>
        <v>262677.83368431206</v>
      </c>
      <c r="I8" s="784"/>
      <c r="J8" s="807"/>
      <c r="K8" s="702"/>
    </row>
    <row r="9" spans="1:19" ht="15" thickBot="1">
      <c r="B9" s="790" t="s">
        <v>1085</v>
      </c>
      <c r="C9" s="799"/>
      <c r="D9" s="796">
        <f>+D7-D8</f>
        <v>8414</v>
      </c>
      <c r="E9" s="791"/>
      <c r="F9" s="792">
        <f>1250-421</f>
        <v>829</v>
      </c>
      <c r="G9" s="793">
        <f>+D9*$C$3/31.1035</f>
        <v>730393.68559808377</v>
      </c>
      <c r="I9" s="805">
        <f>765961-182821</f>
        <v>583140</v>
      </c>
      <c r="J9" s="808">
        <f>+F9*C4</f>
        <v>107770</v>
      </c>
      <c r="K9" s="810">
        <f>+J9+I9</f>
        <v>690910</v>
      </c>
      <c r="L9" s="811">
        <f>+G7-K9</f>
        <v>302161.51928239584</v>
      </c>
    </row>
    <row r="10" spans="1:19" ht="15" thickBot="1"/>
    <row r="11" spans="1:19" ht="15" thickBot="1">
      <c r="B11" s="829" t="s">
        <v>1169</v>
      </c>
      <c r="C11" s="813"/>
    </row>
    <row r="12" spans="1:19">
      <c r="B12" s="814" t="s">
        <v>1081</v>
      </c>
      <c r="C12" s="815">
        <v>2570</v>
      </c>
    </row>
    <row r="13" spans="1:19" ht="15" thickBot="1">
      <c r="B13" s="832" t="s">
        <v>1084</v>
      </c>
      <c r="C13" s="833">
        <v>130</v>
      </c>
      <c r="D13" s="631"/>
      <c r="E13" s="631"/>
      <c r="F13" s="633"/>
      <c r="G13" s="633"/>
    </row>
    <row r="14" spans="1:19">
      <c r="B14" s="834"/>
      <c r="C14" s="835"/>
      <c r="D14" s="783" t="s">
        <v>1086</v>
      </c>
      <c r="E14" s="785"/>
      <c r="F14" s="786" t="s">
        <v>874</v>
      </c>
      <c r="G14" s="896" t="s">
        <v>1248</v>
      </c>
      <c r="I14" s="783" t="s">
        <v>1082</v>
      </c>
      <c r="J14" s="806" t="s">
        <v>1083</v>
      </c>
      <c r="K14" s="809" t="s">
        <v>1154</v>
      </c>
    </row>
    <row r="15" spans="1:19">
      <c r="B15" s="787"/>
      <c r="C15" s="797"/>
      <c r="D15" s="794"/>
      <c r="E15" s="631"/>
      <c r="F15" s="633"/>
      <c r="G15" s="788"/>
      <c r="I15" s="784"/>
      <c r="J15" s="807"/>
      <c r="K15" s="702"/>
    </row>
    <row r="16" spans="1:19">
      <c r="A16" s="831"/>
      <c r="B16" s="830" t="s">
        <v>1169</v>
      </c>
      <c r="C16" s="798"/>
      <c r="D16" s="795">
        <v>17037</v>
      </c>
      <c r="E16" s="631"/>
      <c r="F16" s="633"/>
      <c r="G16" s="789"/>
      <c r="I16" s="784"/>
      <c r="J16" s="807"/>
      <c r="K16" s="702"/>
    </row>
    <row r="17" spans="1:14">
      <c r="A17" s="831"/>
      <c r="B17" s="830" t="s">
        <v>1170</v>
      </c>
      <c r="C17" s="798"/>
      <c r="D17" s="795">
        <v>3200</v>
      </c>
      <c r="E17" s="631"/>
      <c r="F17" s="633"/>
      <c r="G17" s="789"/>
      <c r="I17" s="784"/>
      <c r="J17" s="807"/>
      <c r="K17" s="702"/>
    </row>
    <row r="18" spans="1:14">
      <c r="A18" s="831"/>
      <c r="B18" s="830" t="s">
        <v>1171</v>
      </c>
      <c r="C18" s="798"/>
      <c r="D18" s="836">
        <f>+D16-D17</f>
        <v>13837</v>
      </c>
      <c r="E18" s="631"/>
      <c r="F18" s="633"/>
      <c r="G18" s="789">
        <f>+D18*$C$12/31.1035</f>
        <v>1143314.7394987703</v>
      </c>
      <c r="I18" s="784"/>
      <c r="J18" s="807"/>
      <c r="K18" s="702"/>
    </row>
    <row r="19" spans="1:14">
      <c r="A19" s="831"/>
      <c r="B19" s="830" t="s">
        <v>1172</v>
      </c>
      <c r="C19" s="798"/>
      <c r="D19" s="795">
        <f>11996-D17</f>
        <v>8796</v>
      </c>
      <c r="E19" s="631"/>
      <c r="F19" s="633"/>
      <c r="G19" s="789"/>
      <c r="I19" s="784"/>
      <c r="J19" s="807"/>
      <c r="K19" s="702"/>
    </row>
    <row r="20" spans="1:14" ht="15" thickBot="1">
      <c r="B20" s="790" t="s">
        <v>1085</v>
      </c>
      <c r="C20" s="799"/>
      <c r="D20" s="796">
        <f>+D18-D19</f>
        <v>5041</v>
      </c>
      <c r="E20" s="791"/>
      <c r="F20" s="792">
        <v>1823</v>
      </c>
      <c r="G20" s="793"/>
      <c r="I20" s="805">
        <f>1102050-793504</f>
        <v>308546</v>
      </c>
      <c r="J20" s="808">
        <f>+F20*C13</f>
        <v>236990</v>
      </c>
      <c r="K20" s="810">
        <f>+J20+I20</f>
        <v>545536</v>
      </c>
      <c r="L20" s="811">
        <f>+G18-K20</f>
        <v>597778.73949877033</v>
      </c>
      <c r="M20">
        <f>+F20-F9</f>
        <v>994</v>
      </c>
      <c r="N20" s="838" t="s">
        <v>1184</v>
      </c>
    </row>
    <row r="21" spans="1:14">
      <c r="B21" s="787" t="s">
        <v>1185</v>
      </c>
    </row>
    <row r="22" spans="1:14">
      <c r="B22" s="787" t="s">
        <v>1186</v>
      </c>
    </row>
    <row r="23" spans="1:14">
      <c r="B23" s="787" t="s">
        <v>1187</v>
      </c>
    </row>
    <row r="24" spans="1:14">
      <c r="B24" s="787" t="s">
        <v>1188</v>
      </c>
    </row>
    <row r="25" spans="1:14" ht="15" thickBot="1"/>
    <row r="26" spans="1:14" ht="15" thickBot="1">
      <c r="B26" s="916" t="s">
        <v>1256</v>
      </c>
      <c r="C26" s="813"/>
    </row>
    <row r="27" spans="1:14">
      <c r="B27" s="814" t="s">
        <v>1081</v>
      </c>
      <c r="C27" s="815">
        <v>2620</v>
      </c>
    </row>
    <row r="28" spans="1:14">
      <c r="B28" s="903" t="s">
        <v>1084</v>
      </c>
      <c r="C28" s="833">
        <v>130</v>
      </c>
      <c r="D28" s="631"/>
      <c r="E28" s="631"/>
      <c r="F28" s="633"/>
      <c r="G28" s="633"/>
    </row>
    <row r="29" spans="1:14">
      <c r="B29" s="834"/>
      <c r="C29" s="835"/>
      <c r="D29" s="783" t="s">
        <v>1086</v>
      </c>
      <c r="E29" s="806" t="s">
        <v>874</v>
      </c>
      <c r="F29" s="897" t="s">
        <v>1247</v>
      </c>
      <c r="G29" s="896" t="s">
        <v>1253</v>
      </c>
      <c r="H29" s="911" t="s">
        <v>1248</v>
      </c>
      <c r="I29" s="911" t="s">
        <v>1254</v>
      </c>
      <c r="M29" s="901" t="s">
        <v>1252</v>
      </c>
      <c r="N29" s="898"/>
    </row>
    <row r="30" spans="1:14">
      <c r="B30" s="787"/>
      <c r="C30" s="797"/>
      <c r="D30" s="794"/>
      <c r="E30" s="904"/>
      <c r="F30" s="905"/>
      <c r="G30" s="906"/>
      <c r="H30" s="784"/>
      <c r="I30" s="784"/>
      <c r="M30" s="899"/>
      <c r="N30" s="900"/>
    </row>
    <row r="31" spans="1:14">
      <c r="B31" s="917" t="s">
        <v>1256</v>
      </c>
      <c r="C31" s="798"/>
      <c r="D31" s="795">
        <v>9053</v>
      </c>
      <c r="E31" s="904"/>
      <c r="F31" s="905"/>
      <c r="G31" s="906"/>
      <c r="H31" s="914">
        <f>+D31*C27/31.1035</f>
        <v>762578.48795151676</v>
      </c>
      <c r="I31" s="912">
        <f>+H31</f>
        <v>762578.48795151676</v>
      </c>
      <c r="M31" s="848" t="s">
        <v>1212</v>
      </c>
      <c r="N31" s="918">
        <v>-231836</v>
      </c>
    </row>
    <row r="32" spans="1:14">
      <c r="B32" s="830" t="s">
        <v>1170</v>
      </c>
      <c r="C32" s="798"/>
      <c r="D32" s="795"/>
      <c r="E32" s="904"/>
      <c r="F32" s="905"/>
      <c r="G32" s="906"/>
      <c r="H32" s="784"/>
      <c r="I32" s="784"/>
      <c r="M32" s="849" t="s">
        <v>1213</v>
      </c>
      <c r="N32" s="919">
        <f>-F35-N31</f>
        <v>-261268</v>
      </c>
    </row>
    <row r="33" spans="2:14">
      <c r="B33" s="917" t="s">
        <v>1257</v>
      </c>
      <c r="C33" s="798"/>
      <c r="D33" s="836">
        <f>+D31-D32</f>
        <v>9053</v>
      </c>
      <c r="E33" s="904">
        <v>1004.453</v>
      </c>
      <c r="F33" s="905">
        <f>SUM(F34:F35)</f>
        <v>637355</v>
      </c>
      <c r="G33" s="906"/>
      <c r="H33" s="784"/>
      <c r="I33" s="784"/>
      <c r="M33" s="787"/>
      <c r="N33" s="798"/>
    </row>
    <row r="34" spans="2:14">
      <c r="B34" s="850" t="s">
        <v>1080</v>
      </c>
      <c r="C34" s="798"/>
      <c r="D34" s="795">
        <v>2340</v>
      </c>
      <c r="E34" s="904">
        <v>268.92</v>
      </c>
      <c r="F34" s="905">
        <v>144251</v>
      </c>
      <c r="G34" s="906">
        <f>+E34*C28</f>
        <v>34959.599999999999</v>
      </c>
      <c r="H34" s="784"/>
      <c r="I34" s="912">
        <f>-G34</f>
        <v>-34959.599999999999</v>
      </c>
      <c r="M34" s="790"/>
      <c r="N34" s="799"/>
    </row>
    <row r="35" spans="2:14">
      <c r="B35" s="790" t="s">
        <v>1085</v>
      </c>
      <c r="C35" s="799"/>
      <c r="D35" s="796">
        <f>+D33-D34</f>
        <v>6713</v>
      </c>
      <c r="E35" s="907">
        <f>+E33-E34</f>
        <v>735.5329999999999</v>
      </c>
      <c r="F35" s="908">
        <f>637355-F34</f>
        <v>493104</v>
      </c>
      <c r="G35" s="909">
        <f>+C28*E35</f>
        <v>95619.29</v>
      </c>
      <c r="H35" s="915"/>
      <c r="I35" s="913">
        <f>-F35-G35</f>
        <v>-588723.29</v>
      </c>
      <c r="K35" t="s">
        <v>1255</v>
      </c>
      <c r="L35" s="811">
        <f>+I31+I34+I35</f>
        <v>138895.59795151674</v>
      </c>
    </row>
    <row r="36" spans="2:14">
      <c r="I36" s="910"/>
      <c r="K36" s="902" t="s">
        <v>1249</v>
      </c>
      <c r="L36" s="847">
        <f>110.76*2646.5</f>
        <v>293126.34000000003</v>
      </c>
      <c r="M36" s="876" t="s">
        <v>1251</v>
      </c>
    </row>
    <row r="37" spans="2:14">
      <c r="K37" s="902" t="s">
        <v>1211</v>
      </c>
      <c r="L37" s="847">
        <f>(5800+110)*C27/31.1035</f>
        <v>497828.21868921502</v>
      </c>
      <c r="M37" s="876" t="s">
        <v>1250</v>
      </c>
    </row>
    <row r="39" spans="2:14">
      <c r="L39" s="847">
        <f>SUM(L35:L38)</f>
        <v>929850.15664073173</v>
      </c>
      <c r="M39" s="847"/>
    </row>
    <row r="42" spans="2:14" ht="15" thickBot="1"/>
    <row r="43" spans="2:14" ht="15" thickBot="1">
      <c r="B43" s="958" t="s">
        <v>1408</v>
      </c>
      <c r="C43" s="813"/>
    </row>
    <row r="44" spans="2:14">
      <c r="B44" s="814" t="s">
        <v>1081</v>
      </c>
      <c r="C44" s="815">
        <v>2635</v>
      </c>
    </row>
    <row r="45" spans="2:14">
      <c r="B45" s="903" t="s">
        <v>1084</v>
      </c>
      <c r="C45" s="833">
        <v>130</v>
      </c>
      <c r="D45" s="631"/>
      <c r="E45" s="631"/>
      <c r="F45" s="633"/>
      <c r="G45" s="633"/>
    </row>
    <row r="46" spans="2:14">
      <c r="B46" s="834"/>
      <c r="C46" s="835"/>
      <c r="D46" s="783" t="s">
        <v>1086</v>
      </c>
      <c r="E46" s="806" t="s">
        <v>874</v>
      </c>
      <c r="F46" s="897" t="s">
        <v>1247</v>
      </c>
      <c r="G46" s="896" t="s">
        <v>1253</v>
      </c>
      <c r="H46" s="911" t="s">
        <v>1248</v>
      </c>
      <c r="I46" s="911" t="s">
        <v>1254</v>
      </c>
      <c r="M46" s="901" t="s">
        <v>1252</v>
      </c>
      <c r="N46" s="898"/>
    </row>
    <row r="47" spans="2:14">
      <c r="B47" s="787"/>
      <c r="C47" s="797"/>
      <c r="D47" s="794"/>
      <c r="E47" s="904"/>
      <c r="F47" s="905"/>
      <c r="G47" s="906"/>
      <c r="H47" s="784"/>
      <c r="I47" s="784"/>
      <c r="M47" s="899"/>
      <c r="N47" s="900"/>
    </row>
    <row r="48" spans="2:14">
      <c r="B48" s="965" t="s">
        <v>1435</v>
      </c>
      <c r="C48" s="798"/>
      <c r="D48" s="795">
        <v>12873</v>
      </c>
      <c r="E48" s="904"/>
      <c r="F48" s="905"/>
      <c r="G48" s="906"/>
      <c r="H48" s="914">
        <f>+D48*C44/31.1035</f>
        <v>1090563.9236741846</v>
      </c>
      <c r="I48" s="912">
        <f>+H48</f>
        <v>1090563.9236741846</v>
      </c>
      <c r="M48" s="848"/>
      <c r="N48" s="918"/>
    </row>
    <row r="49" spans="1:14">
      <c r="B49" s="830"/>
      <c r="C49" s="798"/>
      <c r="D49" s="795"/>
      <c r="E49" s="904"/>
      <c r="F49" s="905"/>
      <c r="G49" s="906"/>
      <c r="H49" s="784"/>
      <c r="I49" s="784"/>
      <c r="M49" s="849"/>
      <c r="N49" s="919"/>
    </row>
    <row r="50" spans="1:14">
      <c r="B50" s="959" t="s">
        <v>1254</v>
      </c>
      <c r="C50" s="798"/>
      <c r="D50" s="836">
        <v>12659</v>
      </c>
      <c r="E50" s="904">
        <v>1536</v>
      </c>
      <c r="F50" s="905">
        <v>811000</v>
      </c>
      <c r="G50" s="906"/>
      <c r="H50" s="784"/>
      <c r="I50" s="784"/>
      <c r="M50" s="787"/>
      <c r="N50" s="798"/>
    </row>
    <row r="51" spans="1:14">
      <c r="B51" s="850" t="s">
        <v>1080</v>
      </c>
      <c r="C51" s="798"/>
      <c r="D51" s="795">
        <v>6600</v>
      </c>
      <c r="E51" s="904">
        <v>740</v>
      </c>
      <c r="F51" s="905">
        <v>425000</v>
      </c>
      <c r="G51" s="906">
        <f>+E51*C45</f>
        <v>96200</v>
      </c>
      <c r="H51" s="784"/>
      <c r="I51" s="912">
        <f>-G51</f>
        <v>-96200</v>
      </c>
      <c r="M51" s="790"/>
      <c r="N51" s="799"/>
    </row>
    <row r="52" spans="1:14">
      <c r="B52" s="790" t="s">
        <v>1085</v>
      </c>
      <c r="C52" s="799"/>
      <c r="D52" s="796">
        <f>+D50-D51</f>
        <v>6059</v>
      </c>
      <c r="E52" s="907">
        <f>+E50-E51</f>
        <v>796</v>
      </c>
      <c r="F52" s="908">
        <f>+F50-F51</f>
        <v>386000</v>
      </c>
      <c r="G52" s="909">
        <f>+C45*E52</f>
        <v>103480</v>
      </c>
      <c r="H52" s="915"/>
      <c r="I52" s="913">
        <f>-F52-G52</f>
        <v>-489480</v>
      </c>
      <c r="K52" t="s">
        <v>1255</v>
      </c>
      <c r="L52" s="960">
        <f>+I48+I51+I52</f>
        <v>504883.9236741846</v>
      </c>
    </row>
    <row r="53" spans="1:14">
      <c r="I53" s="910">
        <f>SUM(I47:I52)</f>
        <v>504883.9236741846</v>
      </c>
      <c r="K53" s="962"/>
      <c r="L53" s="961"/>
      <c r="M53" s="956"/>
    </row>
    <row r="54" spans="1:14">
      <c r="K54" s="962" t="s">
        <v>1410</v>
      </c>
      <c r="L54" s="961">
        <f>147*C44</f>
        <v>387345</v>
      </c>
      <c r="M54" s="956" t="s">
        <v>1409</v>
      </c>
    </row>
    <row r="56" spans="1:14">
      <c r="L56" s="847">
        <f>SUM(L52:L55)</f>
        <v>892228.9236741846</v>
      </c>
      <c r="M56" s="847"/>
    </row>
    <row r="57" spans="1:14" s="926" customFormat="1">
      <c r="F57" s="967"/>
      <c r="G57" s="967"/>
      <c r="H57" s="967"/>
      <c r="I57" s="967"/>
      <c r="J57" s="967"/>
    </row>
    <row r="58" spans="1:14" ht="15" thickBot="1">
      <c r="A58">
        <v>1</v>
      </c>
    </row>
    <row r="59" spans="1:14" ht="15" thickBot="1">
      <c r="B59" s="958" t="s">
        <v>1408</v>
      </c>
      <c r="C59" s="813"/>
    </row>
    <row r="60" spans="1:14">
      <c r="B60" s="814" t="s">
        <v>1081</v>
      </c>
      <c r="C60" s="815">
        <v>2635</v>
      </c>
    </row>
    <row r="61" spans="1:14">
      <c r="B61" s="903" t="s">
        <v>1084</v>
      </c>
      <c r="C61" s="833">
        <v>130</v>
      </c>
      <c r="D61" s="631"/>
      <c r="E61" s="631"/>
      <c r="F61" s="633"/>
      <c r="G61" s="633"/>
    </row>
    <row r="62" spans="1:14">
      <c r="B62" s="834"/>
      <c r="C62" s="835"/>
      <c r="D62" s="783" t="s">
        <v>1086</v>
      </c>
      <c r="E62" s="806" t="s">
        <v>874</v>
      </c>
      <c r="F62" s="897" t="s">
        <v>1247</v>
      </c>
      <c r="G62" s="896" t="s">
        <v>1253</v>
      </c>
      <c r="H62" s="911" t="s">
        <v>1248</v>
      </c>
      <c r="I62" s="911" t="s">
        <v>1254</v>
      </c>
    </row>
    <row r="63" spans="1:14">
      <c r="B63" s="787"/>
      <c r="C63" s="797"/>
      <c r="D63" s="794"/>
      <c r="E63" s="904"/>
      <c r="F63" s="905"/>
      <c r="G63" s="906"/>
      <c r="H63" s="784"/>
      <c r="I63" s="784"/>
    </row>
    <row r="64" spans="1:14">
      <c r="B64" s="959" t="s">
        <v>1408</v>
      </c>
      <c r="C64" s="798"/>
      <c r="D64" s="795">
        <v>12873</v>
      </c>
      <c r="E64" s="904"/>
      <c r="F64" s="905"/>
      <c r="G64" s="906"/>
      <c r="H64" s="914">
        <f>+D64*C60/31.1035</f>
        <v>1090563.9236741846</v>
      </c>
      <c r="I64" s="912">
        <f>+H64</f>
        <v>1090563.9236741846</v>
      </c>
    </row>
    <row r="65" spans="1:10">
      <c r="B65" s="830"/>
      <c r="C65" s="798"/>
      <c r="D65" s="795"/>
      <c r="E65" s="904"/>
      <c r="F65" s="905"/>
      <c r="G65" s="906"/>
      <c r="H65" s="784"/>
      <c r="I65" s="784"/>
    </row>
    <row r="66" spans="1:10">
      <c r="B66" s="959" t="s">
        <v>1254</v>
      </c>
      <c r="C66" s="798"/>
      <c r="D66" s="836">
        <v>12659</v>
      </c>
      <c r="E66" s="904">
        <v>1536</v>
      </c>
      <c r="F66" s="905">
        <v>811000</v>
      </c>
      <c r="G66" s="906"/>
      <c r="H66" s="784"/>
      <c r="I66" s="784"/>
    </row>
    <row r="67" spans="1:10">
      <c r="B67" s="850" t="s">
        <v>1080</v>
      </c>
      <c r="C67" s="798"/>
      <c r="D67" s="795">
        <v>6600</v>
      </c>
      <c r="E67" s="904">
        <v>740</v>
      </c>
      <c r="F67" s="905">
        <v>425000</v>
      </c>
      <c r="G67" s="906">
        <f>+E67*C61</f>
        <v>96200</v>
      </c>
      <c r="H67" s="784"/>
      <c r="I67" s="912">
        <f>-G67</f>
        <v>-96200</v>
      </c>
    </row>
    <row r="68" spans="1:10">
      <c r="B68" s="790" t="s">
        <v>1085</v>
      </c>
      <c r="C68" s="799"/>
      <c r="D68" s="796">
        <f>+D66-D67</f>
        <v>6059</v>
      </c>
      <c r="E68" s="907">
        <f>+E66-E67</f>
        <v>796</v>
      </c>
      <c r="F68" s="908">
        <f>+F66-F67</f>
        <v>386000</v>
      </c>
      <c r="G68" s="909">
        <f>+C61*E68</f>
        <v>103480</v>
      </c>
      <c r="H68" s="915"/>
      <c r="I68" s="913">
        <f>-F68-G68</f>
        <v>-489480</v>
      </c>
    </row>
    <row r="69" spans="1:10">
      <c r="I69" s="910">
        <f>SUM(I63:I68)</f>
        <v>504883.9236741846</v>
      </c>
    </row>
    <row r="70" spans="1:10">
      <c r="A70" s="971" t="s">
        <v>1440</v>
      </c>
      <c r="B70" s="972">
        <v>3.72</v>
      </c>
      <c r="C70" s="973"/>
      <c r="D70" s="974" t="s">
        <v>1439</v>
      </c>
      <c r="E70" s="975" t="s">
        <v>1074</v>
      </c>
      <c r="I70" s="910"/>
    </row>
    <row r="71" spans="1:10">
      <c r="A71" s="976"/>
      <c r="B71" s="977"/>
      <c r="C71" s="978" t="s">
        <v>1437</v>
      </c>
      <c r="D71" s="979">
        <v>71000</v>
      </c>
      <c r="E71" s="980">
        <f>+D71/B$70</f>
        <v>19086.021505376342</v>
      </c>
      <c r="I71" s="910"/>
    </row>
    <row r="72" spans="1:10">
      <c r="A72" s="976"/>
      <c r="B72" s="977"/>
      <c r="C72" s="978" t="s">
        <v>1438</v>
      </c>
      <c r="D72" s="979"/>
      <c r="E72" s="980">
        <v>10000</v>
      </c>
      <c r="H72" s="968" t="s">
        <v>1436</v>
      </c>
      <c r="I72" s="910">
        <f>147*C60</f>
        <v>387345</v>
      </c>
    </row>
    <row r="73" spans="1:10">
      <c r="A73" s="976" t="s">
        <v>1443</v>
      </c>
      <c r="B73" s="981">
        <v>1419280</v>
      </c>
      <c r="C73" s="978" t="s">
        <v>1442</v>
      </c>
      <c r="D73" s="979">
        <f>3663821-B73</f>
        <v>2244541</v>
      </c>
      <c r="E73" s="980">
        <f>+D73/B$70</f>
        <v>603371.2365591398</v>
      </c>
      <c r="H73" s="969" t="s">
        <v>1441</v>
      </c>
      <c r="I73" s="910">
        <f>+E75</f>
        <v>632457.25806451612</v>
      </c>
      <c r="J73" s="966"/>
    </row>
    <row r="74" spans="1:10" ht="15" thickBot="1">
      <c r="A74" s="982"/>
      <c r="B74" s="985">
        <v>-177193</v>
      </c>
      <c r="C74" s="983"/>
      <c r="D74" s="986"/>
      <c r="E74" s="984"/>
    </row>
    <row r="75" spans="1:10" ht="15" thickBot="1">
      <c r="E75" s="961">
        <f>SUM(E71:E74)</f>
        <v>632457.25806451612</v>
      </c>
      <c r="I75" s="970">
        <f>+I69+I72+I73</f>
        <v>1524686.1817387007</v>
      </c>
    </row>
    <row r="76" spans="1:10" s="773" customFormat="1">
      <c r="F76" s="1022"/>
      <c r="G76" s="1022"/>
      <c r="H76" s="1022"/>
      <c r="I76" s="1023"/>
      <c r="J76" s="1022"/>
    </row>
    <row r="77" spans="1:10" ht="15" thickBot="1">
      <c r="A77">
        <v>2</v>
      </c>
      <c r="I77" s="910"/>
    </row>
    <row r="78" spans="1:10" ht="15" thickBot="1">
      <c r="B78" s="1017" t="s">
        <v>1573</v>
      </c>
      <c r="C78" s="813"/>
    </row>
    <row r="79" spans="1:10">
      <c r="B79" s="814" t="s">
        <v>1081</v>
      </c>
      <c r="C79" s="815">
        <v>2690</v>
      </c>
    </row>
    <row r="80" spans="1:10">
      <c r="B80" s="903" t="s">
        <v>1084</v>
      </c>
      <c r="C80" s="833">
        <v>130</v>
      </c>
      <c r="D80" s="631"/>
      <c r="E80" s="631"/>
      <c r="F80" s="633"/>
      <c r="G80" s="633"/>
    </row>
    <row r="81" spans="1:12">
      <c r="B81" s="834"/>
      <c r="C81" s="835"/>
      <c r="D81" s="783" t="s">
        <v>1086</v>
      </c>
      <c r="E81" s="806" t="s">
        <v>874</v>
      </c>
      <c r="F81" s="897" t="s">
        <v>1247</v>
      </c>
      <c r="G81" s="896" t="s">
        <v>1253</v>
      </c>
      <c r="H81" s="911" t="s">
        <v>1248</v>
      </c>
      <c r="I81" s="911" t="s">
        <v>1254</v>
      </c>
    </row>
    <row r="82" spans="1:12">
      <c r="B82" s="787"/>
      <c r="C82" s="797"/>
      <c r="D82" s="794"/>
      <c r="E82" s="904"/>
      <c r="F82" s="905"/>
      <c r="G82" s="906"/>
      <c r="H82" s="784"/>
      <c r="I82" s="784"/>
    </row>
    <row r="83" spans="1:12">
      <c r="B83" s="1009" t="s">
        <v>1572</v>
      </c>
      <c r="C83" s="798"/>
      <c r="D83" s="795">
        <v>9894</v>
      </c>
      <c r="E83" s="904"/>
      <c r="F83" s="905"/>
      <c r="G83" s="906"/>
      <c r="H83" s="914">
        <f>+D83*C79/31.1035</f>
        <v>855686.98056488822</v>
      </c>
      <c r="I83" s="912">
        <f>+H83</f>
        <v>855686.98056488822</v>
      </c>
    </row>
    <row r="84" spans="1:12">
      <c r="B84" s="830"/>
      <c r="C84" s="798"/>
      <c r="D84" s="795"/>
      <c r="E84" s="904"/>
      <c r="F84" s="905"/>
      <c r="G84" s="906"/>
      <c r="H84" s="784"/>
      <c r="I84" s="784"/>
    </row>
    <row r="85" spans="1:12">
      <c r="B85" s="959" t="s">
        <v>1254</v>
      </c>
      <c r="C85" s="798"/>
      <c r="D85" s="836">
        <f>+D83</f>
        <v>9894</v>
      </c>
      <c r="E85" s="904">
        <v>959</v>
      </c>
      <c r="F85" s="905">
        <v>629217</v>
      </c>
      <c r="G85" s="906"/>
      <c r="H85" s="784"/>
      <c r="I85" s="784"/>
      <c r="J85" s="1020" t="s">
        <v>1576</v>
      </c>
      <c r="K85" s="1021"/>
      <c r="L85" s="1021"/>
    </row>
    <row r="86" spans="1:12">
      <c r="B86" s="850" t="s">
        <v>1080</v>
      </c>
      <c r="C86" s="798"/>
      <c r="D86" s="795">
        <v>6435</v>
      </c>
      <c r="E86" s="904">
        <v>496</v>
      </c>
      <c r="F86" s="905">
        <v>426706</v>
      </c>
      <c r="G86" s="906">
        <f>+E86*C80</f>
        <v>64480</v>
      </c>
      <c r="H86" s="784"/>
      <c r="I86" s="912">
        <f>-G86</f>
        <v>-64480</v>
      </c>
    </row>
    <row r="87" spans="1:12">
      <c r="B87" s="790" t="s">
        <v>1085</v>
      </c>
      <c r="C87" s="799"/>
      <c r="D87" s="796">
        <f>+D85-D86</f>
        <v>3459</v>
      </c>
      <c r="E87" s="907">
        <f>+E85-E86</f>
        <v>463</v>
      </c>
      <c r="F87" s="908">
        <f>+F85-F86+17760</f>
        <v>220271</v>
      </c>
      <c r="G87" s="909">
        <f>+C80*E87</f>
        <v>60190</v>
      </c>
      <c r="H87" s="915"/>
      <c r="I87" s="913">
        <f>-F87-G87</f>
        <v>-280461</v>
      </c>
    </row>
    <row r="88" spans="1:12">
      <c r="I88" s="910">
        <f>SUM(I82:I87)</f>
        <v>510745.98056488822</v>
      </c>
    </row>
    <row r="89" spans="1:12">
      <c r="A89" s="971" t="s">
        <v>1440</v>
      </c>
      <c r="B89" s="972">
        <v>3.72</v>
      </c>
      <c r="C89" s="973"/>
      <c r="D89" s="974" t="s">
        <v>1439</v>
      </c>
      <c r="E89" s="975" t="s">
        <v>1074</v>
      </c>
      <c r="I89" s="910"/>
    </row>
    <row r="90" spans="1:12">
      <c r="A90" s="976"/>
      <c r="B90" s="977"/>
      <c r="C90" s="978" t="s">
        <v>1437</v>
      </c>
      <c r="D90" s="979">
        <v>1000</v>
      </c>
      <c r="E90" s="980">
        <f>+D90/B$70</f>
        <v>268.81720430107526</v>
      </c>
      <c r="H90" s="762" t="s">
        <v>1575</v>
      </c>
      <c r="I90" s="910">
        <f>-200000</f>
        <v>-200000</v>
      </c>
    </row>
    <row r="91" spans="1:12">
      <c r="A91" s="976"/>
      <c r="B91" s="977"/>
      <c r="C91" s="978" t="s">
        <v>1438</v>
      </c>
      <c r="D91" s="979"/>
      <c r="E91" s="980">
        <v>20000</v>
      </c>
      <c r="H91" s="1018" t="s">
        <v>1574</v>
      </c>
      <c r="I91" s="910">
        <f>168*C79</f>
        <v>451920</v>
      </c>
    </row>
    <row r="92" spans="1:12">
      <c r="A92" s="976" t="s">
        <v>1443</v>
      </c>
      <c r="B92" s="981">
        <v>1419280</v>
      </c>
      <c r="C92" s="978" t="s">
        <v>1442</v>
      </c>
      <c r="D92" s="979">
        <f>4044000</f>
        <v>4044000</v>
      </c>
      <c r="E92" s="980">
        <f>+(D92-B92)/B$70</f>
        <v>705569.89247311826</v>
      </c>
      <c r="H92" s="969" t="s">
        <v>1441</v>
      </c>
      <c r="I92" s="910">
        <f>+E94</f>
        <v>725838.70967741939</v>
      </c>
    </row>
    <row r="93" spans="1:12" ht="15" thickBot="1">
      <c r="A93" s="982"/>
      <c r="B93" s="985">
        <v>177193</v>
      </c>
      <c r="C93" s="983"/>
      <c r="D93" s="986"/>
      <c r="E93" s="984"/>
    </row>
    <row r="94" spans="1:12" ht="15" thickBot="1">
      <c r="E94" s="961">
        <f>SUM(E90:E93)</f>
        <v>725838.70967741939</v>
      </c>
      <c r="I94" s="970">
        <f>+I88+I91+I92+I90</f>
        <v>1488504.6902423077</v>
      </c>
    </row>
    <row r="95" spans="1:12" s="773" customFormat="1">
      <c r="F95" s="1022"/>
      <c r="G95" s="1022"/>
      <c r="H95" s="1022"/>
      <c r="I95" s="1022"/>
      <c r="J95" s="1022"/>
    </row>
    <row r="96" spans="1:12" ht="15" thickBot="1">
      <c r="A96">
        <v>3</v>
      </c>
      <c r="I96" s="910"/>
    </row>
    <row r="97" spans="1:12" ht="15" thickBot="1">
      <c r="B97" s="1099" t="s">
        <v>2017</v>
      </c>
      <c r="C97" s="813"/>
    </row>
    <row r="98" spans="1:12">
      <c r="B98" s="814" t="s">
        <v>1081</v>
      </c>
      <c r="C98" s="815">
        <v>3020</v>
      </c>
    </row>
    <row r="99" spans="1:12" ht="15" thickBot="1">
      <c r="B99" s="903" t="s">
        <v>1084</v>
      </c>
      <c r="C99" s="833">
        <v>130</v>
      </c>
      <c r="D99" s="631"/>
      <c r="E99" s="631"/>
      <c r="F99" s="633"/>
      <c r="G99" s="633"/>
    </row>
    <row r="100" spans="1:12">
      <c r="B100" s="632"/>
      <c r="C100" s="1106"/>
      <c r="D100" s="1107" t="s">
        <v>1086</v>
      </c>
      <c r="E100" s="1108" t="s">
        <v>874</v>
      </c>
      <c r="F100" s="1109" t="s">
        <v>1247</v>
      </c>
      <c r="G100" s="1110" t="s">
        <v>1253</v>
      </c>
      <c r="H100" s="1111" t="s">
        <v>1248</v>
      </c>
      <c r="I100" s="1112" t="s">
        <v>1254</v>
      </c>
      <c r="K100" s="1102" t="s">
        <v>2022</v>
      </c>
      <c r="L100" s="1103"/>
    </row>
    <row r="101" spans="1:12">
      <c r="B101" s="634"/>
      <c r="C101" s="797"/>
      <c r="D101" s="794"/>
      <c r="E101" s="904"/>
      <c r="F101" s="905"/>
      <c r="G101" s="906"/>
      <c r="H101" s="784"/>
      <c r="I101" s="1113"/>
      <c r="K101" s="1104" t="s">
        <v>2022</v>
      </c>
      <c r="L101" s="1105"/>
    </row>
    <row r="102" spans="1:12">
      <c r="B102" s="1114"/>
      <c r="C102" s="798"/>
      <c r="D102" s="795">
        <v>6775.76</v>
      </c>
      <c r="E102" s="904"/>
      <c r="F102" s="905"/>
      <c r="G102" s="906"/>
      <c r="H102" s="914">
        <f>+D102*C98/31.1035</f>
        <v>657893.65183982509</v>
      </c>
      <c r="I102" s="1115">
        <f>+H102</f>
        <v>657893.65183982509</v>
      </c>
      <c r="K102" s="1104" t="s">
        <v>2020</v>
      </c>
      <c r="L102" s="1105"/>
    </row>
    <row r="103" spans="1:12">
      <c r="B103" s="1116"/>
      <c r="C103" s="798"/>
      <c r="D103" s="795"/>
      <c r="E103" s="904"/>
      <c r="F103" s="905"/>
      <c r="G103" s="906"/>
      <c r="H103" s="784"/>
      <c r="I103" s="1113"/>
      <c r="K103" s="1104" t="s">
        <v>2021</v>
      </c>
      <c r="L103" s="1105"/>
    </row>
    <row r="104" spans="1:12">
      <c r="B104" s="1117" t="s">
        <v>1254</v>
      </c>
      <c r="C104" s="798"/>
      <c r="D104" s="836">
        <f>+D102</f>
        <v>6775.76</v>
      </c>
      <c r="E104" s="904">
        <v>686</v>
      </c>
      <c r="F104" s="905">
        <v>493595</v>
      </c>
      <c r="G104" s="906"/>
      <c r="H104" s="784"/>
      <c r="I104" s="1113"/>
      <c r="K104" s="1104" t="s">
        <v>2023</v>
      </c>
      <c r="L104" s="1105"/>
    </row>
    <row r="105" spans="1:12">
      <c r="B105" s="1118" t="s">
        <v>1080</v>
      </c>
      <c r="C105" s="798"/>
      <c r="D105" s="795">
        <v>3108.49</v>
      </c>
      <c r="E105" s="904">
        <v>355</v>
      </c>
      <c r="F105" s="905">
        <v>218681</v>
      </c>
      <c r="G105" s="906">
        <f>+E105*C99</f>
        <v>46150</v>
      </c>
      <c r="H105" s="784"/>
      <c r="I105" s="1115">
        <f>-G105</f>
        <v>-46150</v>
      </c>
      <c r="K105" s="1104"/>
      <c r="L105" s="1105"/>
    </row>
    <row r="106" spans="1:12" ht="15" thickBot="1">
      <c r="B106" s="636" t="s">
        <v>1085</v>
      </c>
      <c r="C106" s="1119"/>
      <c r="D106" s="1120">
        <f>+D104-D105</f>
        <v>3667.2700000000004</v>
      </c>
      <c r="E106" s="1121">
        <f>+E104-E105</f>
        <v>331</v>
      </c>
      <c r="F106" s="1122">
        <f>+F104-F105+17760</f>
        <v>292674</v>
      </c>
      <c r="G106" s="1123">
        <f>+C99*E106</f>
        <v>43030</v>
      </c>
      <c r="H106" s="1124"/>
      <c r="I106" s="1125">
        <f>-F106-G106</f>
        <v>-335704</v>
      </c>
      <c r="K106" s="1126" t="s">
        <v>2024</v>
      </c>
      <c r="L106" s="1127">
        <f>SUM(L100:L105)</f>
        <v>0</v>
      </c>
    </row>
    <row r="107" spans="1:12">
      <c r="I107" s="910">
        <f>SUM(I101:I106)</f>
        <v>276039.65183982509</v>
      </c>
    </row>
    <row r="108" spans="1:12" ht="15" thickBot="1">
      <c r="A108" s="971" t="s">
        <v>1440</v>
      </c>
      <c r="B108" s="972">
        <v>3.72</v>
      </c>
      <c r="C108" s="973"/>
      <c r="D108" s="974" t="s">
        <v>1439</v>
      </c>
      <c r="E108" s="975" t="s">
        <v>1074</v>
      </c>
      <c r="I108" s="910"/>
    </row>
    <row r="109" spans="1:12">
      <c r="A109" s="976"/>
      <c r="B109" s="977"/>
      <c r="C109" s="978" t="s">
        <v>1437</v>
      </c>
      <c r="D109" s="979">
        <v>64243</v>
      </c>
      <c r="E109" s="980">
        <f>+D109/B$70</f>
        <v>17269.623655913976</v>
      </c>
      <c r="H109" s="762" t="s">
        <v>1575</v>
      </c>
      <c r="I109" s="1134">
        <f>-L111</f>
        <v>-286720.43010752689</v>
      </c>
      <c r="K109" s="1128" t="s">
        <v>1439</v>
      </c>
      <c r="L109" s="1132">
        <v>25000</v>
      </c>
    </row>
    <row r="110" spans="1:12">
      <c r="A110" s="976"/>
      <c r="B110" s="977"/>
      <c r="C110" s="978" t="s">
        <v>1438</v>
      </c>
      <c r="D110" s="979"/>
      <c r="E110" s="980">
        <v>49090</v>
      </c>
      <c r="H110" s="1101" t="s">
        <v>2018</v>
      </c>
      <c r="I110" s="1134">
        <f>176*3020</f>
        <v>531520</v>
      </c>
      <c r="K110" s="1129" t="s">
        <v>1074</v>
      </c>
      <c r="L110" s="1130">
        <v>280000</v>
      </c>
    </row>
    <row r="111" spans="1:12" ht="15" thickBot="1">
      <c r="A111" s="976" t="s">
        <v>1443</v>
      </c>
      <c r="B111" s="981">
        <v>1419280</v>
      </c>
      <c r="C111" s="978" t="s">
        <v>1442</v>
      </c>
      <c r="D111" s="979">
        <f>5182096+(83452*B108)</f>
        <v>5492537.4400000004</v>
      </c>
      <c r="E111" s="980">
        <f>+(D111-B111)/B108</f>
        <v>1094961.6774193549</v>
      </c>
      <c r="H111" s="1101" t="s">
        <v>2019</v>
      </c>
      <c r="I111" s="1134">
        <f>+E113</f>
        <v>1161321.301075269</v>
      </c>
      <c r="K111" s="1126" t="s">
        <v>2025</v>
      </c>
      <c r="L111" s="1131">
        <f>+L110+L109/B108</f>
        <v>286720.43010752689</v>
      </c>
    </row>
    <row r="112" spans="1:12" ht="15" thickBot="1">
      <c r="A112" s="982"/>
      <c r="B112" s="985"/>
      <c r="C112" s="983"/>
      <c r="D112" s="986"/>
      <c r="E112" s="984"/>
      <c r="H112" s="1101" t="str">
        <f>+K106</f>
        <v>Total proceso chala (gr)</v>
      </c>
      <c r="I112" s="966">
        <f>+L106*C98/31.1035</f>
        <v>0</v>
      </c>
    </row>
    <row r="113" spans="5:10" ht="15" thickBot="1">
      <c r="E113" s="961">
        <f>SUM(E109:E112)</f>
        <v>1161321.301075269</v>
      </c>
      <c r="I113" s="1133">
        <f>+I107+I110+I111+I109</f>
        <v>1682160.5228075671</v>
      </c>
    </row>
    <row r="114" spans="5:10" s="773" customFormat="1">
      <c r="F114" s="1022"/>
      <c r="G114" s="1022"/>
      <c r="H114" s="1022"/>
      <c r="I114" s="1022"/>
      <c r="J114" s="1022"/>
    </row>
  </sheetData>
  <phoneticPr fontId="259" type="noConversion"/>
  <pageMargins left="0.7" right="0.7" top="0.75" bottom="0.75" header="0.3" footer="0.3"/>
  <pageSetup paperSize="9" orientation="portrait" r:id="rId1"/>
  <ignoredErrors>
    <ignoredError sqref="D19" formula="1"/>
  </ignoredError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1"/>
  <dimension ref="A1:O1008"/>
  <sheetViews>
    <sheetView showGridLines="0" topLeftCell="A19" workbookViewId="0">
      <selection activeCell="L103" sqref="L103"/>
    </sheetView>
  </sheetViews>
  <sheetFormatPr baseColWidth="10" defaultColWidth="14.44140625" defaultRowHeight="15" customHeight="1"/>
  <cols>
    <col min="1" max="4" width="10.6640625" customWidth="1"/>
    <col min="5" max="5" width="11.5546875" customWidth="1"/>
    <col min="6" max="6" width="4.33203125" customWidth="1"/>
    <col min="7" max="8" width="10.6640625" customWidth="1"/>
    <col min="9" max="9" width="11.33203125" bestFit="1" customWidth="1"/>
    <col min="10" max="10" width="14.33203125" customWidth="1"/>
    <col min="11" max="11" width="11.33203125" bestFit="1" customWidth="1"/>
    <col min="12" max="13" width="10.6640625" customWidth="1"/>
    <col min="14" max="14" width="9.33203125" bestFit="1" customWidth="1"/>
    <col min="15" max="26" width="10.6640625" customWidth="1"/>
  </cols>
  <sheetData>
    <row r="1" spans="2:12" ht="14.25" customHeight="1">
      <c r="E1" s="6"/>
      <c r="F1" s="6"/>
    </row>
    <row r="2" spans="2:12" ht="14.25" customHeight="1">
      <c r="E2" s="6"/>
      <c r="F2" s="6"/>
    </row>
    <row r="3" spans="2:12" ht="14.25" customHeight="1">
      <c r="E3" s="6"/>
      <c r="F3" s="6"/>
    </row>
    <row r="4" spans="2:12" ht="14.25" customHeight="1">
      <c r="E4" s="6"/>
      <c r="F4" s="6"/>
      <c r="G4" s="79" t="s">
        <v>934</v>
      </c>
    </row>
    <row r="5" spans="2:12" ht="14.25" customHeight="1">
      <c r="E5" s="6"/>
      <c r="F5" s="6"/>
    </row>
    <row r="6" spans="2:12" ht="14.25" customHeight="1">
      <c r="B6" s="79" t="s">
        <v>935</v>
      </c>
      <c r="C6" s="206">
        <v>179.654</v>
      </c>
      <c r="D6" s="82">
        <v>170</v>
      </c>
      <c r="E6" s="57">
        <v>2516.6</v>
      </c>
      <c r="F6" s="82"/>
      <c r="G6" s="82">
        <v>170</v>
      </c>
      <c r="H6" s="57">
        <v>2516.6</v>
      </c>
    </row>
    <row r="7" spans="2:12" ht="14.25" customHeight="1">
      <c r="D7" s="82">
        <f>+C6-D6</f>
        <v>9.6539999999999964</v>
      </c>
      <c r="E7" s="57">
        <v>2520.3000000000002</v>
      </c>
      <c r="F7" s="82"/>
      <c r="G7" s="82">
        <v>11</v>
      </c>
      <c r="H7" s="57">
        <v>2520.3000000000002</v>
      </c>
    </row>
    <row r="8" spans="2:12" ht="14.25" customHeight="1">
      <c r="D8" s="594">
        <f>SUM(D6:D7)</f>
        <v>179.654</v>
      </c>
      <c r="E8" s="82"/>
      <c r="F8" s="82"/>
      <c r="G8" s="82">
        <v>200</v>
      </c>
      <c r="H8" s="57">
        <v>2558</v>
      </c>
    </row>
    <row r="9" spans="2:12" ht="14.25" customHeight="1">
      <c r="D9" s="82"/>
      <c r="E9" s="82"/>
      <c r="F9" s="82"/>
      <c r="G9" s="82">
        <v>4</v>
      </c>
      <c r="H9" s="57">
        <v>2616</v>
      </c>
    </row>
    <row r="10" spans="2:12" ht="14.25" customHeight="1">
      <c r="D10" s="82"/>
      <c r="E10" s="82"/>
      <c r="F10" s="82"/>
      <c r="G10" s="82">
        <v>142</v>
      </c>
      <c r="H10" s="57">
        <v>2646.7</v>
      </c>
    </row>
    <row r="11" spans="2:12" ht="14.25" customHeight="1">
      <c r="F11" s="82"/>
      <c r="G11" s="82">
        <v>138</v>
      </c>
      <c r="H11" s="57">
        <v>2720</v>
      </c>
      <c r="I11" s="705">
        <v>45586</v>
      </c>
    </row>
    <row r="12" spans="2:12" ht="14.25" customHeight="1">
      <c r="F12" s="82"/>
      <c r="G12" s="82">
        <v>270</v>
      </c>
      <c r="H12" s="57">
        <v>2741.5</v>
      </c>
      <c r="I12" s="705">
        <v>45601</v>
      </c>
    </row>
    <row r="13" spans="2:12" ht="14.25" customHeight="1">
      <c r="F13" s="82"/>
      <c r="G13" s="82">
        <v>110</v>
      </c>
      <c r="H13" s="57">
        <v>2646.5</v>
      </c>
      <c r="I13" s="705">
        <v>45616</v>
      </c>
      <c r="J13">
        <v>11</v>
      </c>
      <c r="K13" t="s">
        <v>1407</v>
      </c>
    </row>
    <row r="14" spans="2:12" ht="14.25" customHeight="1">
      <c r="F14" s="82"/>
      <c r="G14" s="82">
        <v>207</v>
      </c>
      <c r="H14" s="57">
        <v>2651.9</v>
      </c>
      <c r="I14" s="705">
        <v>45630</v>
      </c>
      <c r="J14">
        <v>12</v>
      </c>
      <c r="K14" t="s">
        <v>1407</v>
      </c>
      <c r="L14" s="706">
        <f>6871.95*0.9366/31.1035</f>
        <v>206.93067886250742</v>
      </c>
    </row>
    <row r="15" spans="2:12" ht="14.25" customHeight="1">
      <c r="F15" s="82"/>
      <c r="G15" s="82">
        <v>147</v>
      </c>
      <c r="H15" s="57">
        <v>2635</v>
      </c>
      <c r="I15" s="705">
        <v>45644</v>
      </c>
      <c r="J15">
        <v>13</v>
      </c>
      <c r="K15" t="s">
        <v>1407</v>
      </c>
      <c r="L15" s="706">
        <f>5111.96*0.8959/31.1035</f>
        <v>147.24403890237431</v>
      </c>
    </row>
    <row r="16" spans="2:12" ht="14.25" customHeight="1">
      <c r="F16" s="6"/>
      <c r="G16" s="82">
        <v>168</v>
      </c>
      <c r="H16" s="57">
        <v>2617.5</v>
      </c>
      <c r="I16" s="705">
        <v>45657</v>
      </c>
      <c r="J16">
        <v>14</v>
      </c>
    </row>
    <row r="17" spans="2:13" ht="14.25" customHeight="1">
      <c r="F17" s="6"/>
      <c r="G17" s="82">
        <v>168</v>
      </c>
      <c r="H17" s="57">
        <v>2689</v>
      </c>
      <c r="I17" s="705">
        <v>45667</v>
      </c>
      <c r="J17">
        <v>15</v>
      </c>
    </row>
    <row r="18" spans="2:13" ht="14.25" customHeight="1">
      <c r="F18" s="6"/>
      <c r="G18" s="82">
        <v>11.67</v>
      </c>
      <c r="H18" s="57">
        <v>2667.8</v>
      </c>
      <c r="I18" s="705">
        <v>45672</v>
      </c>
      <c r="J18">
        <v>15</v>
      </c>
    </row>
    <row r="19" spans="2:13" ht="14.25" customHeight="1">
      <c r="F19" s="6"/>
      <c r="G19" s="82">
        <v>225</v>
      </c>
      <c r="H19" s="57">
        <v>2758</v>
      </c>
      <c r="I19" s="705">
        <v>45679</v>
      </c>
      <c r="J19">
        <v>16</v>
      </c>
    </row>
    <row r="20" spans="2:13" ht="14.25" customHeight="1">
      <c r="F20" s="6"/>
      <c r="G20" s="1045">
        <v>225</v>
      </c>
      <c r="H20" s="1046">
        <v>2758.5</v>
      </c>
      <c r="I20" s="1047">
        <v>45686</v>
      </c>
      <c r="J20" s="891">
        <v>16</v>
      </c>
      <c r="K20" s="891"/>
      <c r="L20" s="891"/>
      <c r="M20" s="891" t="s">
        <v>1679</v>
      </c>
    </row>
    <row r="21" spans="2:13" ht="14.25" customHeight="1">
      <c r="F21" s="6"/>
      <c r="G21" s="82">
        <v>212</v>
      </c>
      <c r="H21" s="57">
        <v>2820</v>
      </c>
      <c r="I21" s="705">
        <v>45691</v>
      </c>
      <c r="J21">
        <v>17</v>
      </c>
      <c r="M21" s="891" t="s">
        <v>1679</v>
      </c>
    </row>
    <row r="22" spans="2:13" ht="14.25" customHeight="1">
      <c r="F22" s="6"/>
      <c r="G22" s="82">
        <v>197</v>
      </c>
      <c r="H22" s="57">
        <v>2891</v>
      </c>
      <c r="I22" s="705">
        <v>45714</v>
      </c>
      <c r="J22">
        <v>18</v>
      </c>
      <c r="M22" s="891" t="s">
        <v>1679</v>
      </c>
    </row>
    <row r="23" spans="2:13" ht="14.25" customHeight="1">
      <c r="F23" s="6"/>
      <c r="G23" s="82"/>
      <c r="H23" s="57"/>
      <c r="M23" s="891" t="s">
        <v>1679</v>
      </c>
    </row>
    <row r="24" spans="2:13" ht="14.25" customHeight="1">
      <c r="F24" s="6"/>
      <c r="G24" s="82"/>
      <c r="H24" s="57"/>
      <c r="M24" s="891"/>
    </row>
    <row r="25" spans="2:13" ht="14.25" customHeight="1">
      <c r="F25" s="6"/>
      <c r="G25" s="82"/>
      <c r="H25" s="57"/>
      <c r="M25" s="891"/>
    </row>
    <row r="26" spans="2:13" ht="14.25" customHeight="1">
      <c r="F26" s="6"/>
    </row>
    <row r="27" spans="2:13" ht="14.25" customHeight="1">
      <c r="B27" s="6" t="s">
        <v>936</v>
      </c>
      <c r="C27" s="206">
        <v>202.87100000000001</v>
      </c>
      <c r="D27" s="82">
        <f>+G7-D7</f>
        <v>1.3460000000000036</v>
      </c>
      <c r="E27" s="57">
        <v>2520.3000000000002</v>
      </c>
      <c r="F27" s="6"/>
    </row>
    <row r="28" spans="2:13" ht="14.25" customHeight="1">
      <c r="D28" s="82">
        <v>200</v>
      </c>
      <c r="E28" s="57">
        <v>2558</v>
      </c>
      <c r="F28" s="6"/>
    </row>
    <row r="29" spans="2:13" ht="14.25" customHeight="1">
      <c r="D29" s="82">
        <f>+C27-D28-D27</f>
        <v>1.5250000000000057</v>
      </c>
      <c r="E29" s="57">
        <v>2616</v>
      </c>
      <c r="F29" s="6"/>
    </row>
    <row r="30" spans="2:13" ht="14.25" customHeight="1">
      <c r="D30" s="594">
        <f>SUM(D27:D29)</f>
        <v>202.87100000000001</v>
      </c>
      <c r="E30" s="82"/>
      <c r="F30" s="6"/>
    </row>
    <row r="31" spans="2:13" ht="14.25" customHeight="1">
      <c r="D31" s="82"/>
      <c r="E31" s="82"/>
      <c r="F31" s="6"/>
    </row>
    <row r="32" spans="2:13" ht="14.25" customHeight="1">
      <c r="B32" s="6" t="s">
        <v>937</v>
      </c>
      <c r="C32" s="704">
        <v>142.423</v>
      </c>
      <c r="D32" s="82">
        <v>2.4750000000000001</v>
      </c>
      <c r="E32" s="57">
        <v>2616</v>
      </c>
      <c r="F32" s="6"/>
      <c r="G32">
        <v>0.2</v>
      </c>
      <c r="H32" s="706">
        <f>+E32*(100-G32)/100</f>
        <v>2610.768</v>
      </c>
      <c r="I32" s="706">
        <f>+H32*D32</f>
        <v>6461.6508000000003</v>
      </c>
    </row>
    <row r="33" spans="2:9" ht="14.25" customHeight="1">
      <c r="D33" s="82">
        <v>139.94800000000001</v>
      </c>
      <c r="E33" s="57">
        <v>2646.7</v>
      </c>
      <c r="F33" s="6"/>
      <c r="G33">
        <v>0.2</v>
      </c>
      <c r="H33" s="706">
        <f>+E33*(100-G33)/100</f>
        <v>2641.4065999999998</v>
      </c>
      <c r="I33" s="706">
        <f>+H33*D33</f>
        <v>369659.57085680001</v>
      </c>
    </row>
    <row r="34" spans="2:9" ht="14.25" customHeight="1">
      <c r="D34" s="82">
        <f>SUM(D32:D33)</f>
        <v>142.423</v>
      </c>
      <c r="E34" s="57"/>
      <c r="F34" s="6"/>
    </row>
    <row r="35" spans="2:9" ht="14.25" customHeight="1">
      <c r="E35" s="6"/>
      <c r="F35" s="6"/>
      <c r="I35" s="707">
        <f>SUM(I32:I34)</f>
        <v>376121.22165680001</v>
      </c>
    </row>
    <row r="36" spans="2:9" ht="14.25" customHeight="1">
      <c r="E36" s="6"/>
      <c r="F36" s="6"/>
    </row>
    <row r="37" spans="2:9" ht="14.25" customHeight="1">
      <c r="B37" t="s">
        <v>938</v>
      </c>
      <c r="D37" s="703">
        <f>-D33+G10</f>
        <v>2.0519999999999925</v>
      </c>
      <c r="E37" s="57">
        <f>+H10</f>
        <v>2646.7</v>
      </c>
      <c r="F37" s="6"/>
      <c r="G37">
        <v>0.2</v>
      </c>
      <c r="H37" s="706">
        <f>+E37*(100-G37)/100</f>
        <v>2641.4065999999998</v>
      </c>
      <c r="I37" s="706">
        <f>+H37*D37</f>
        <v>5420.1663431999796</v>
      </c>
    </row>
    <row r="38" spans="2:9" ht="14.25" customHeight="1">
      <c r="D38" s="703">
        <f>137.08-D37</f>
        <v>135.02800000000002</v>
      </c>
      <c r="E38" s="775">
        <v>2720</v>
      </c>
      <c r="F38" s="6"/>
      <c r="G38">
        <v>0.2</v>
      </c>
      <c r="H38" s="706">
        <f>+E38*(100-G38)/100</f>
        <v>2714.56</v>
      </c>
      <c r="I38" s="706">
        <f>+H38*D38</f>
        <v>366541.60768000007</v>
      </c>
    </row>
    <row r="39" spans="2:9" ht="14.25" customHeight="1">
      <c r="E39" s="6"/>
      <c r="F39" s="6"/>
    </row>
    <row r="40" spans="2:9" ht="14.25" customHeight="1">
      <c r="E40" s="6"/>
      <c r="F40" s="6"/>
      <c r="I40" s="707">
        <f>SUM(I37:I39)</f>
        <v>371961.77402320004</v>
      </c>
    </row>
    <row r="41" spans="2:9" ht="14.25" customHeight="1">
      <c r="B41" s="776"/>
      <c r="E41" s="6"/>
      <c r="F41" s="6"/>
    </row>
    <row r="42" spans="2:9" ht="14.25" customHeight="1">
      <c r="B42" s="776" t="s">
        <v>1075</v>
      </c>
      <c r="D42" s="777">
        <f>+G11-D38</f>
        <v>2.97199999999998</v>
      </c>
      <c r="E42" s="778">
        <f>+E38</f>
        <v>2720</v>
      </c>
      <c r="F42" s="6"/>
      <c r="G42">
        <v>0.2</v>
      </c>
      <c r="H42" s="706">
        <f>+E42*(100-G42)/100</f>
        <v>2714.56</v>
      </c>
      <c r="I42" s="706">
        <f>+H42*D42</f>
        <v>8067.6723199999451</v>
      </c>
    </row>
    <row r="43" spans="2:9" ht="14.25" customHeight="1">
      <c r="D43" s="777">
        <f>269.199-D42</f>
        <v>266.22700000000003</v>
      </c>
      <c r="E43" s="57">
        <v>2741.5</v>
      </c>
      <c r="F43" s="6"/>
      <c r="G43">
        <v>0.2</v>
      </c>
      <c r="H43" s="706">
        <f>+E43*(100-G43)/100</f>
        <v>2736.0170000000003</v>
      </c>
      <c r="I43" s="706">
        <f>+H43*D43</f>
        <v>728401.59785900021</v>
      </c>
    </row>
    <row r="44" spans="2:9" ht="14.25" customHeight="1">
      <c r="E44" s="6"/>
      <c r="F44" s="6"/>
    </row>
    <row r="45" spans="2:9" ht="14.25" customHeight="1">
      <c r="E45" s="6"/>
      <c r="F45" s="6"/>
      <c r="I45" s="707">
        <f>SUM(I42:I44)</f>
        <v>736469.2701790001</v>
      </c>
    </row>
    <row r="46" spans="2:9" ht="14.25" customHeight="1">
      <c r="E46" s="6"/>
      <c r="F46" s="6"/>
    </row>
    <row r="47" spans="2:9" ht="14.25" customHeight="1">
      <c r="B47" s="943" t="s">
        <v>1273</v>
      </c>
      <c r="D47" s="777">
        <f>+G12-D43</f>
        <v>3.7729999999999677</v>
      </c>
      <c r="E47" s="778">
        <f>+E43</f>
        <v>2741.5</v>
      </c>
      <c r="F47" s="6"/>
      <c r="G47">
        <v>0.2</v>
      </c>
      <c r="H47" s="706">
        <f>+E47*(100-G47)/100</f>
        <v>2736.0170000000003</v>
      </c>
      <c r="I47" s="706">
        <f>+H47*D47</f>
        <v>10322.992140999913</v>
      </c>
    </row>
    <row r="48" spans="2:9" ht="14.25" customHeight="1">
      <c r="D48" s="777">
        <f>110.296-D47</f>
        <v>106.52300000000004</v>
      </c>
      <c r="E48" s="57">
        <f>+H13</f>
        <v>2646.5</v>
      </c>
      <c r="F48" s="6"/>
      <c r="G48">
        <v>0.2</v>
      </c>
      <c r="H48" s="706">
        <f>+E48*(100-G48)/100</f>
        <v>2641.2070000000003</v>
      </c>
      <c r="I48" s="706">
        <f>+H48*D48</f>
        <v>281349.29326100013</v>
      </c>
    </row>
    <row r="49" spans="2:9" ht="14.25" customHeight="1">
      <c r="E49" s="6"/>
      <c r="F49" s="6"/>
    </row>
    <row r="50" spans="2:9" ht="14.25" customHeight="1">
      <c r="E50" s="6"/>
      <c r="F50" s="6"/>
      <c r="I50" s="707">
        <f>SUM(I47:I49)</f>
        <v>291672.28540200007</v>
      </c>
    </row>
    <row r="51" spans="2:9" ht="14.25" customHeight="1">
      <c r="E51" s="6"/>
      <c r="F51" s="6"/>
    </row>
    <row r="52" spans="2:9" ht="14.25" customHeight="1">
      <c r="E52" s="6"/>
      <c r="F52" s="6"/>
    </row>
    <row r="53" spans="2:9" ht="14.25" customHeight="1">
      <c r="B53" s="998" t="s">
        <v>1550</v>
      </c>
      <c r="D53" s="777">
        <f>+G13-D48</f>
        <v>3.4769999999999612</v>
      </c>
      <c r="E53" s="57">
        <f>+H13</f>
        <v>2646.5</v>
      </c>
      <c r="F53" s="6"/>
      <c r="G53">
        <v>0.2</v>
      </c>
      <c r="H53" s="706">
        <f>+E53*(100-G53)/100</f>
        <v>2641.2070000000003</v>
      </c>
      <c r="I53" s="706">
        <f>+H53*D53</f>
        <v>9183.4767389998997</v>
      </c>
    </row>
    <row r="54" spans="2:9" ht="14.25" customHeight="1">
      <c r="D54" s="777">
        <f>206.412-D53</f>
        <v>202.93500000000006</v>
      </c>
      <c r="E54" s="57">
        <f>+H14</f>
        <v>2651.9</v>
      </c>
      <c r="F54" s="6"/>
      <c r="G54">
        <v>0.2</v>
      </c>
      <c r="H54" s="706">
        <f>+E54*(100-G54)/100</f>
        <v>2646.5962</v>
      </c>
      <c r="I54" s="706">
        <f>+H54*D54</f>
        <v>537086.99984700012</v>
      </c>
    </row>
    <row r="55" spans="2:9" ht="14.25" customHeight="1">
      <c r="E55" s="6"/>
      <c r="F55" s="6"/>
    </row>
    <row r="56" spans="2:9" ht="14.25" customHeight="1">
      <c r="E56" s="6"/>
      <c r="F56" s="6"/>
      <c r="I56" s="707">
        <f>SUM(I53:I55)</f>
        <v>546270.47658600006</v>
      </c>
    </row>
    <row r="57" spans="2:9" ht="14.25" customHeight="1">
      <c r="E57" s="6"/>
      <c r="F57" s="6"/>
    </row>
    <row r="58" spans="2:9" ht="14.25" customHeight="1">
      <c r="E58" s="6"/>
      <c r="F58" s="6"/>
    </row>
    <row r="59" spans="2:9" ht="14.25" customHeight="1">
      <c r="B59" s="1008" t="s">
        <v>1571</v>
      </c>
      <c r="D59" s="777">
        <f>+G14-D54</f>
        <v>4.0649999999999409</v>
      </c>
      <c r="E59" s="57">
        <f>+E54</f>
        <v>2651.9</v>
      </c>
      <c r="F59" s="6"/>
      <c r="G59">
        <v>0.2</v>
      </c>
      <c r="H59" s="706">
        <f>+E59*(100-G59)/100</f>
        <v>2646.5962</v>
      </c>
      <c r="I59" s="706">
        <f>+H59*D59</f>
        <v>10758.413552999844</v>
      </c>
    </row>
    <row r="60" spans="2:9" ht="14.25" customHeight="1">
      <c r="D60" s="777">
        <f>146.797-D59</f>
        <v>142.73200000000006</v>
      </c>
      <c r="E60" s="57">
        <f>+H15</f>
        <v>2635</v>
      </c>
      <c r="F60" s="6"/>
      <c r="G60">
        <v>0.2</v>
      </c>
      <c r="H60" s="706">
        <f>+E60*(100-G60)/100</f>
        <v>2629.73</v>
      </c>
      <c r="I60" s="706">
        <f>+H60*D60</f>
        <v>375346.62236000015</v>
      </c>
    </row>
    <row r="61" spans="2:9" ht="14.25" customHeight="1">
      <c r="E61" s="6"/>
      <c r="F61" s="6"/>
    </row>
    <row r="62" spans="2:9" ht="14.25" customHeight="1">
      <c r="E62" s="6"/>
      <c r="F62" s="6"/>
      <c r="I62" s="707">
        <f>SUM(I59:I61)</f>
        <v>386105.035913</v>
      </c>
    </row>
    <row r="63" spans="2:9" ht="14.25" customHeight="1">
      <c r="E63" s="6"/>
      <c r="F63" s="6"/>
    </row>
    <row r="64" spans="2:9" ht="14.25" customHeight="1">
      <c r="B64" s="1044" t="s">
        <v>1677</v>
      </c>
      <c r="D64" s="777">
        <f>+G15-D60</f>
        <v>4.2679999999999438</v>
      </c>
      <c r="E64" s="57">
        <f>+H15</f>
        <v>2635</v>
      </c>
      <c r="F64" s="6"/>
      <c r="G64">
        <v>0.2</v>
      </c>
      <c r="H64" s="706">
        <f>+E64*(100-G64)/100</f>
        <v>2629.73</v>
      </c>
      <c r="I64" s="706">
        <f>+H64*D64</f>
        <v>11223.687639999853</v>
      </c>
    </row>
    <row r="65" spans="2:11" ht="14.25" customHeight="1">
      <c r="D65" s="777">
        <f>167.953-D64</f>
        <v>163.68500000000006</v>
      </c>
      <c r="E65" s="57">
        <f>+H16</f>
        <v>2617.5</v>
      </c>
      <c r="F65" s="6"/>
      <c r="G65">
        <v>0.2</v>
      </c>
      <c r="H65" s="706">
        <f>+E65*(100-G65)/100</f>
        <v>2612.2649999999999</v>
      </c>
      <c r="I65" s="706">
        <f>+H65*D65</f>
        <v>427588.59652500012</v>
      </c>
    </row>
    <row r="66" spans="2:11" ht="14.25" customHeight="1">
      <c r="E66" s="6"/>
      <c r="F66" s="6"/>
    </row>
    <row r="67" spans="2:11" ht="14.25" customHeight="1">
      <c r="E67" s="6"/>
      <c r="F67" s="6"/>
      <c r="I67" s="707">
        <f>SUM(I64:I66)</f>
        <v>438812.28416499996</v>
      </c>
    </row>
    <row r="68" spans="2:11" ht="14.25" customHeight="1">
      <c r="E68" s="6"/>
      <c r="F68" s="6"/>
    </row>
    <row r="69" spans="2:11" ht="14.25" customHeight="1">
      <c r="E69" s="6"/>
      <c r="F69" s="6"/>
    </row>
    <row r="70" spans="2:11" ht="14.25" customHeight="1">
      <c r="B70" s="1044" t="s">
        <v>1678</v>
      </c>
      <c r="D70" s="777">
        <f>+G16-D65</f>
        <v>4.3149999999999409</v>
      </c>
      <c r="E70" s="57">
        <f>+E65</f>
        <v>2617.5</v>
      </c>
      <c r="F70" s="6"/>
      <c r="G70">
        <v>0.2</v>
      </c>
      <c r="H70" s="706">
        <f>+E70*(100-G70)/100</f>
        <v>2612.2649999999999</v>
      </c>
      <c r="I70" s="706">
        <f>+H70*D70</f>
        <v>11271.923474999845</v>
      </c>
    </row>
    <row r="71" spans="2:11" ht="14.25" customHeight="1">
      <c r="D71" s="777">
        <f>+G17</f>
        <v>168</v>
      </c>
      <c r="E71" s="57">
        <f>+H17</f>
        <v>2689</v>
      </c>
      <c r="F71" s="6"/>
      <c r="G71">
        <v>0.2</v>
      </c>
      <c r="H71" s="706">
        <f>+E71*(100-G71)/100</f>
        <v>2683.6220000000003</v>
      </c>
      <c r="I71" s="706">
        <f>+H71*D71</f>
        <v>450848.49600000004</v>
      </c>
    </row>
    <row r="72" spans="2:11" ht="14.25" customHeight="1">
      <c r="D72" s="777">
        <f>178.825-D70-D71</f>
        <v>6.5100000000000477</v>
      </c>
      <c r="E72" s="57">
        <v>2667.8</v>
      </c>
      <c r="F72" s="6"/>
      <c r="G72">
        <v>0.2</v>
      </c>
      <c r="H72" s="706">
        <f>+E72*(100-G72)/100</f>
        <v>2662.4643999999998</v>
      </c>
      <c r="I72" s="706">
        <f>+H72*D72</f>
        <v>17332.643244000126</v>
      </c>
    </row>
    <row r="73" spans="2:11" ht="14.25" customHeight="1">
      <c r="E73" s="6"/>
      <c r="F73" s="6"/>
      <c r="I73" s="707"/>
    </row>
    <row r="74" spans="2:11" ht="14.25" customHeight="1">
      <c r="E74" s="6"/>
      <c r="F74" s="6"/>
      <c r="I74" s="707">
        <f>SUM(I70:I73)</f>
        <v>479453.06271900004</v>
      </c>
    </row>
    <row r="75" spans="2:11" s="891" customFormat="1" ht="14.25" customHeight="1">
      <c r="E75" s="957"/>
      <c r="F75" s="957"/>
    </row>
    <row r="76" spans="2:11" ht="14.25" customHeight="1">
      <c r="E76" s="6"/>
      <c r="F76" s="6"/>
      <c r="I76" s="847"/>
    </row>
    <row r="77" spans="2:11" ht="14.25" customHeight="1">
      <c r="B77" s="1069" t="s">
        <v>1850</v>
      </c>
      <c r="D77" s="777">
        <f>+G20</f>
        <v>225</v>
      </c>
      <c r="E77" s="777">
        <f>+H20</f>
        <v>2758.5</v>
      </c>
      <c r="F77" s="6"/>
      <c r="G77">
        <v>0.45</v>
      </c>
      <c r="H77" s="706">
        <f>+E77*(100-G77)/100</f>
        <v>2746.0867499999999</v>
      </c>
      <c r="I77" s="706">
        <f>+H77*D77</f>
        <v>617869.51874999993</v>
      </c>
      <c r="J77" s="847">
        <f>+D77*E77</f>
        <v>620662.5</v>
      </c>
    </row>
    <row r="78" spans="2:11" ht="14.25" customHeight="1">
      <c r="D78" s="777">
        <v>1.103</v>
      </c>
      <c r="E78" s="777">
        <f>+H21</f>
        <v>2820</v>
      </c>
      <c r="F78" s="6"/>
      <c r="G78">
        <v>0.45</v>
      </c>
      <c r="H78" s="706">
        <f>+E78*(100-G78)/100</f>
        <v>2807.31</v>
      </c>
      <c r="I78" s="706">
        <f>+H78*D78</f>
        <v>3096.4629299999997</v>
      </c>
      <c r="J78" s="847">
        <f>+D78*E78</f>
        <v>3110.46</v>
      </c>
    </row>
    <row r="79" spans="2:11" ht="14.25" customHeight="1">
      <c r="D79" s="707">
        <f>+D77+D78</f>
        <v>226.10300000000001</v>
      </c>
      <c r="E79" s="6"/>
      <c r="F79" s="6"/>
      <c r="I79" s="707"/>
      <c r="J79" s="847">
        <f>SUM(J77:J78)</f>
        <v>623772.96</v>
      </c>
      <c r="K79" s="706">
        <f>+J79*0.9955</f>
        <v>620965.98167999997</v>
      </c>
    </row>
    <row r="80" spans="2:11" ht="14.25" customHeight="1">
      <c r="E80" s="6"/>
      <c r="F80" s="6"/>
      <c r="I80" s="707">
        <f>SUM(I77:I79)</f>
        <v>620965.98167999997</v>
      </c>
    </row>
    <row r="81" spans="2:15" ht="14.25" customHeight="1">
      <c r="E81" s="6"/>
      <c r="F81" s="6"/>
    </row>
    <row r="82" spans="2:15" ht="14.25" customHeight="1">
      <c r="B82" s="1069" t="s">
        <v>1851</v>
      </c>
      <c r="D82" s="777">
        <v>200.9</v>
      </c>
      <c r="E82" s="777">
        <f>+H21</f>
        <v>2820</v>
      </c>
      <c r="F82" s="6"/>
      <c r="G82" s="596">
        <v>0.6</v>
      </c>
      <c r="H82" s="706">
        <f>+ROUND(E82*(100-G82)/100,2)</f>
        <v>2803.08</v>
      </c>
      <c r="I82" s="706">
        <f>+H82*D82</f>
        <v>563138.772</v>
      </c>
    </row>
    <row r="83" spans="2:15" ht="14.25" customHeight="1">
      <c r="D83" s="777"/>
      <c r="E83" s="777"/>
      <c r="F83" s="6"/>
      <c r="G83" s="596">
        <v>0.6</v>
      </c>
      <c r="H83" s="706">
        <f>+E83*(100-G83)/100</f>
        <v>0</v>
      </c>
      <c r="I83" s="706">
        <f>+H83*D83</f>
        <v>0</v>
      </c>
    </row>
    <row r="84" spans="2:15" ht="14.25" customHeight="1">
      <c r="E84" s="6"/>
      <c r="F84" s="6"/>
      <c r="I84" s="707"/>
    </row>
    <row r="85" spans="2:15" ht="14.25" customHeight="1">
      <c r="E85" s="6"/>
      <c r="F85" s="6"/>
      <c r="I85" s="707">
        <f>SUM(I82:I84)</f>
        <v>563138.772</v>
      </c>
    </row>
    <row r="86" spans="2:15" ht="14.25" customHeight="1">
      <c r="E86" s="6"/>
      <c r="F86" s="6"/>
    </row>
    <row r="87" spans="2:15" ht="14.25" customHeight="1">
      <c r="E87" s="6"/>
      <c r="F87" s="6"/>
    </row>
    <row r="88" spans="2:15" ht="14.25" customHeight="1">
      <c r="B88" s="1069" t="s">
        <v>1852</v>
      </c>
      <c r="D88" s="777">
        <f>+O88</f>
        <v>197.35927442249263</v>
      </c>
      <c r="E88" s="777">
        <f>+H22</f>
        <v>2891</v>
      </c>
      <c r="F88" s="6"/>
      <c r="G88" s="596">
        <v>0.6</v>
      </c>
      <c r="H88" s="706">
        <f>+ROUND(E88*(100-G88)/100,2)</f>
        <v>2873.65</v>
      </c>
      <c r="I88" s="706">
        <f>+H88*D88</f>
        <v>567141.47894419602</v>
      </c>
      <c r="L88" s="1007">
        <v>90.207999999999998</v>
      </c>
      <c r="M88" s="706">
        <v>6804.9</v>
      </c>
      <c r="N88" s="847">
        <f>+M88*L88/100</f>
        <v>6138.5641919999998</v>
      </c>
      <c r="O88" s="706">
        <f>+N88/31.1035</f>
        <v>197.35927442249263</v>
      </c>
    </row>
    <row r="89" spans="2:15" ht="14.25" customHeight="1">
      <c r="D89" s="777"/>
      <c r="E89" s="777"/>
      <c r="F89" s="6"/>
      <c r="G89" s="596">
        <v>0.6</v>
      </c>
      <c r="H89" s="706">
        <f>+E89*(100-G89)/100</f>
        <v>0</v>
      </c>
      <c r="I89" s="706">
        <f>+H89*D89</f>
        <v>0</v>
      </c>
    </row>
    <row r="90" spans="2:15" ht="14.25" customHeight="1">
      <c r="E90" s="6"/>
      <c r="F90" s="6"/>
      <c r="I90" s="707"/>
    </row>
    <row r="91" spans="2:15" ht="14.25" customHeight="1">
      <c r="E91" s="6"/>
      <c r="F91" s="6"/>
      <c r="I91" s="707">
        <f>SUM(I88:I90)</f>
        <v>567141.47894419602</v>
      </c>
    </row>
    <row r="92" spans="2:15" ht="14.25" customHeight="1">
      <c r="E92" s="6"/>
      <c r="F92" s="6"/>
    </row>
    <row r="93" spans="2:15" ht="14.25" customHeight="1">
      <c r="E93" s="6"/>
      <c r="F93" s="6"/>
    </row>
    <row r="94" spans="2:15" ht="14.25" customHeight="1">
      <c r="E94" s="6"/>
      <c r="F94" s="6"/>
    </row>
    <row r="95" spans="2:15" ht="14.25" customHeight="1">
      <c r="E95" s="6"/>
      <c r="F95" s="6"/>
    </row>
    <row r="96" spans="2:15" ht="14.25" customHeight="1">
      <c r="E96" s="6"/>
      <c r="F96" s="6"/>
    </row>
    <row r="97" spans="1:6" ht="14.25" customHeight="1">
      <c r="E97" s="6"/>
      <c r="F97" s="6"/>
    </row>
    <row r="98" spans="1:6" ht="14.25" customHeight="1">
      <c r="E98" s="6"/>
      <c r="F98" s="6"/>
    </row>
    <row r="99" spans="1:6" ht="14.25" customHeight="1">
      <c r="E99" s="6"/>
      <c r="F99" s="6"/>
    </row>
    <row r="100" spans="1:6" ht="14.25" customHeight="1">
      <c r="E100" s="6"/>
      <c r="F100" s="6"/>
    </row>
    <row r="101" spans="1:6" ht="14.25" customHeight="1">
      <c r="E101" s="6"/>
      <c r="F101" s="6"/>
    </row>
    <row r="102" spans="1:6" ht="14.25" customHeight="1">
      <c r="E102" s="6"/>
      <c r="F102" s="6"/>
    </row>
    <row r="103" spans="1:6" ht="14.25" customHeight="1">
      <c r="E103" s="6"/>
      <c r="F103" s="6"/>
    </row>
    <row r="104" spans="1:6" ht="14.25" customHeight="1">
      <c r="A104" t="s">
        <v>4730</v>
      </c>
      <c r="B104" s="1670">
        <v>45968</v>
      </c>
      <c r="C104" s="1212">
        <v>165</v>
      </c>
      <c r="D104" s="1212">
        <v>4000</v>
      </c>
      <c r="E104" s="6"/>
      <c r="F104" s="6"/>
    </row>
    <row r="105" spans="1:6" ht="14.25" customHeight="1">
      <c r="A105" t="s">
        <v>4731</v>
      </c>
      <c r="B105" s="1670">
        <v>45987</v>
      </c>
      <c r="C105" s="1212">
        <v>178</v>
      </c>
      <c r="D105" s="1212">
        <v>4192</v>
      </c>
      <c r="E105" s="6"/>
      <c r="F105" s="6"/>
    </row>
    <row r="106" spans="1:6" ht="14.25" customHeight="1">
      <c r="A106" t="s">
        <v>4732</v>
      </c>
      <c r="B106" s="1670">
        <v>46001</v>
      </c>
      <c r="C106" s="1212">
        <v>130</v>
      </c>
      <c r="D106" s="1212">
        <v>4200</v>
      </c>
      <c r="E106" s="6"/>
      <c r="F106" s="6"/>
    </row>
    <row r="107" spans="1:6" ht="14.25" customHeight="1">
      <c r="A107" t="s">
        <v>4733</v>
      </c>
      <c r="B107" s="1670">
        <v>46003</v>
      </c>
      <c r="C107" s="1212">
        <v>165</v>
      </c>
      <c r="D107" s="1212">
        <v>4413</v>
      </c>
      <c r="E107" s="6"/>
      <c r="F107" s="6"/>
    </row>
    <row r="108" spans="1:6" ht="14.25" customHeight="1">
      <c r="A108" t="s">
        <v>4734</v>
      </c>
      <c r="B108" s="1670">
        <v>46015</v>
      </c>
      <c r="C108" s="1212">
        <v>150</v>
      </c>
      <c r="D108" s="1212">
        <v>4460</v>
      </c>
      <c r="E108" s="6"/>
      <c r="F108" s="6"/>
    </row>
    <row r="109" spans="1:6" ht="14.25" customHeight="1">
      <c r="A109" t="s">
        <v>4735</v>
      </c>
      <c r="B109" s="1670">
        <v>46034</v>
      </c>
      <c r="C109" s="1212">
        <v>170</v>
      </c>
      <c r="D109" s="1212">
        <v>4610</v>
      </c>
      <c r="E109" s="6"/>
      <c r="F109" s="6"/>
    </row>
    <row r="110" spans="1:6" ht="14.25" customHeight="1">
      <c r="A110" t="s">
        <v>4736</v>
      </c>
      <c r="B110" s="1670">
        <v>46049</v>
      </c>
      <c r="C110" s="1212">
        <v>135</v>
      </c>
      <c r="D110" s="1212">
        <v>5090</v>
      </c>
      <c r="E110" s="6"/>
      <c r="F110" s="6"/>
    </row>
    <row r="111" spans="1:6" ht="14.25" customHeight="1">
      <c r="A111" t="s">
        <v>4729</v>
      </c>
      <c r="B111" s="1670">
        <v>46062</v>
      </c>
      <c r="C111" s="1212">
        <v>174</v>
      </c>
      <c r="D111" s="1212">
        <v>5006</v>
      </c>
      <c r="E111" s="6"/>
      <c r="F111" s="6"/>
    </row>
    <row r="112" spans="1:6" ht="14.25" customHeight="1">
      <c r="A112" t="s">
        <v>4737</v>
      </c>
      <c r="B112" s="1670"/>
      <c r="C112" s="1212"/>
      <c r="D112" s="1212"/>
      <c r="E112" s="6"/>
      <c r="F112" s="6"/>
    </row>
    <row r="113" spans="1:6" ht="14.25" customHeight="1">
      <c r="A113" t="s">
        <v>4738</v>
      </c>
      <c r="B113" s="1670"/>
      <c r="C113" s="1212"/>
      <c r="D113" s="1212"/>
      <c r="E113" s="6"/>
      <c r="F113" s="6"/>
    </row>
    <row r="114" spans="1:6" ht="14.25" customHeight="1">
      <c r="A114" t="s">
        <v>4739</v>
      </c>
      <c r="B114" s="1670"/>
      <c r="C114" s="1212"/>
      <c r="D114" s="1212"/>
      <c r="E114" s="6"/>
      <c r="F114" s="6"/>
    </row>
    <row r="115" spans="1:6" ht="14.25" customHeight="1">
      <c r="A115" t="s">
        <v>4740</v>
      </c>
      <c r="B115" s="1670"/>
      <c r="C115" s="1212"/>
      <c r="D115" s="1212"/>
      <c r="E115" s="6"/>
      <c r="F115" s="6"/>
    </row>
    <row r="116" spans="1:6" ht="14.25" customHeight="1">
      <c r="A116" t="s">
        <v>4741</v>
      </c>
      <c r="B116" s="1670"/>
      <c r="C116" s="1212"/>
      <c r="D116" s="1212"/>
      <c r="E116" s="6"/>
      <c r="F116" s="6"/>
    </row>
    <row r="117" spans="1:6" ht="14.25" customHeight="1">
      <c r="A117" t="s">
        <v>4742</v>
      </c>
      <c r="B117" s="1670"/>
      <c r="C117" s="1212"/>
      <c r="D117" s="1212"/>
      <c r="E117" s="6"/>
      <c r="F117" s="6"/>
    </row>
    <row r="118" spans="1:6" ht="14.25" customHeight="1">
      <c r="A118" t="s">
        <v>4743</v>
      </c>
      <c r="B118" s="1670"/>
      <c r="C118" s="1212"/>
      <c r="D118" s="1212"/>
      <c r="E118" s="6"/>
      <c r="F118" s="6"/>
    </row>
    <row r="119" spans="1:6" ht="14.25" customHeight="1">
      <c r="A119" t="s">
        <v>4744</v>
      </c>
      <c r="B119" s="1670"/>
      <c r="C119" s="1212"/>
      <c r="D119" s="1212"/>
      <c r="E119" s="6"/>
      <c r="F119" s="6"/>
    </row>
    <row r="120" spans="1:6" ht="14.25" customHeight="1">
      <c r="A120" t="s">
        <v>4745</v>
      </c>
      <c r="B120" s="1670"/>
      <c r="C120" s="1212"/>
      <c r="D120" s="1212"/>
      <c r="E120" s="6"/>
      <c r="F120" s="6"/>
    </row>
    <row r="121" spans="1:6" ht="14.25" customHeight="1">
      <c r="E121" s="6"/>
      <c r="F121" s="6"/>
    </row>
    <row r="122" spans="1:6" ht="14.25" customHeight="1">
      <c r="E122" s="6"/>
      <c r="F122" s="6"/>
    </row>
    <row r="123" spans="1:6" ht="14.25" customHeight="1">
      <c r="E123" s="6"/>
      <c r="F123" s="6"/>
    </row>
    <row r="124" spans="1:6" ht="14.25" customHeight="1">
      <c r="E124" s="6"/>
      <c r="F124" s="6"/>
    </row>
    <row r="125" spans="1:6" ht="14.25" customHeight="1">
      <c r="E125" s="6"/>
      <c r="F125" s="6"/>
    </row>
    <row r="126" spans="1:6" ht="14.25" customHeight="1">
      <c r="E126" s="6"/>
      <c r="F126" s="6"/>
    </row>
    <row r="127" spans="1:6" ht="14.25" customHeight="1">
      <c r="E127" s="6"/>
      <c r="F127" s="6"/>
    </row>
    <row r="128" spans="1:6" ht="14.25" customHeight="1">
      <c r="E128" s="6"/>
      <c r="F128" s="6"/>
    </row>
    <row r="129" spans="5:6" ht="14.25" customHeight="1">
      <c r="E129" s="6"/>
      <c r="F129" s="6"/>
    </row>
    <row r="130" spans="5:6" ht="14.25" customHeight="1">
      <c r="E130" s="6"/>
      <c r="F130" s="6"/>
    </row>
    <row r="131" spans="5:6" ht="14.25" customHeight="1">
      <c r="E131" s="6"/>
      <c r="F131" s="6"/>
    </row>
    <row r="132" spans="5:6" ht="14.25" customHeight="1">
      <c r="E132" s="6"/>
      <c r="F132" s="6"/>
    </row>
    <row r="133" spans="5:6" ht="14.25" customHeight="1">
      <c r="E133" s="6"/>
      <c r="F133" s="6"/>
    </row>
    <row r="134" spans="5:6" ht="14.25" customHeight="1">
      <c r="E134" s="6"/>
      <c r="F134" s="6"/>
    </row>
    <row r="135" spans="5:6" ht="14.25" customHeight="1">
      <c r="E135" s="6"/>
      <c r="F135" s="6"/>
    </row>
    <row r="136" spans="5:6" ht="14.25" customHeight="1">
      <c r="E136" s="6"/>
      <c r="F136" s="6"/>
    </row>
    <row r="137" spans="5:6" ht="14.25" customHeight="1">
      <c r="E137" s="6"/>
      <c r="F137" s="6"/>
    </row>
    <row r="138" spans="5:6" ht="14.25" customHeight="1">
      <c r="E138" s="6"/>
      <c r="F138" s="6"/>
    </row>
    <row r="139" spans="5:6" ht="14.25" customHeight="1">
      <c r="E139" s="6"/>
      <c r="F139" s="6"/>
    </row>
    <row r="140" spans="5:6" ht="14.25" customHeight="1">
      <c r="E140" s="6"/>
      <c r="F140" s="6"/>
    </row>
    <row r="141" spans="5:6" ht="14.25" customHeight="1">
      <c r="E141" s="6"/>
      <c r="F141" s="6"/>
    </row>
    <row r="142" spans="5:6" ht="14.25" customHeight="1">
      <c r="E142" s="6"/>
      <c r="F142" s="6"/>
    </row>
    <row r="143" spans="5:6" ht="14.25" customHeight="1">
      <c r="E143" s="6"/>
      <c r="F143" s="6"/>
    </row>
    <row r="144" spans="5:6" ht="14.25" customHeight="1">
      <c r="E144" s="6"/>
      <c r="F144" s="6"/>
    </row>
    <row r="145" spans="5:6" ht="14.25" customHeight="1">
      <c r="E145" s="6"/>
      <c r="F145" s="6"/>
    </row>
    <row r="146" spans="5:6" ht="14.25" customHeight="1">
      <c r="E146" s="6"/>
      <c r="F146" s="6"/>
    </row>
    <row r="147" spans="5:6" ht="14.25" customHeight="1">
      <c r="E147" s="6"/>
      <c r="F147" s="6"/>
    </row>
    <row r="148" spans="5:6" ht="14.25" customHeight="1">
      <c r="E148" s="6"/>
      <c r="F148" s="6"/>
    </row>
    <row r="149" spans="5:6" ht="14.25" customHeight="1">
      <c r="E149" s="6"/>
      <c r="F149" s="6"/>
    </row>
    <row r="150" spans="5:6" ht="14.25" customHeight="1">
      <c r="E150" s="6"/>
      <c r="F150" s="6"/>
    </row>
    <row r="151" spans="5:6" ht="14.25" customHeight="1">
      <c r="E151" s="6"/>
      <c r="F151" s="6"/>
    </row>
    <row r="152" spans="5:6" ht="14.25" customHeight="1">
      <c r="E152" s="6"/>
      <c r="F152" s="6"/>
    </row>
    <row r="153" spans="5:6" ht="14.25" customHeight="1">
      <c r="E153" s="6"/>
      <c r="F153" s="6"/>
    </row>
    <row r="154" spans="5:6" ht="14.25" customHeight="1">
      <c r="E154" s="6"/>
      <c r="F154" s="6"/>
    </row>
    <row r="155" spans="5:6" ht="14.25" customHeight="1">
      <c r="E155" s="6"/>
      <c r="F155" s="6"/>
    </row>
    <row r="156" spans="5:6" ht="14.25" customHeight="1">
      <c r="E156" s="6"/>
      <c r="F156" s="6"/>
    </row>
    <row r="157" spans="5:6" ht="14.25" customHeight="1">
      <c r="E157" s="6"/>
      <c r="F157" s="6"/>
    </row>
    <row r="158" spans="5:6" ht="14.25" customHeight="1">
      <c r="E158" s="6"/>
      <c r="F158" s="6"/>
    </row>
    <row r="159" spans="5:6" ht="14.25" customHeight="1">
      <c r="E159" s="6"/>
      <c r="F159" s="6"/>
    </row>
    <row r="160" spans="5:6" ht="14.25" customHeight="1">
      <c r="E160" s="6"/>
      <c r="F160" s="6"/>
    </row>
    <row r="161" spans="5:6" ht="14.25" customHeight="1">
      <c r="E161" s="6"/>
      <c r="F161" s="6"/>
    </row>
    <row r="162" spans="5:6" ht="14.25" customHeight="1">
      <c r="E162" s="6"/>
      <c r="F162" s="6"/>
    </row>
    <row r="163" spans="5:6" ht="14.25" customHeight="1">
      <c r="E163" s="6"/>
      <c r="F163" s="6"/>
    </row>
    <row r="164" spans="5:6" ht="14.25" customHeight="1">
      <c r="E164" s="6"/>
      <c r="F164" s="6"/>
    </row>
    <row r="165" spans="5:6" ht="14.25" customHeight="1">
      <c r="E165" s="6"/>
      <c r="F165" s="6"/>
    </row>
    <row r="166" spans="5:6" ht="14.25" customHeight="1">
      <c r="E166" s="6"/>
      <c r="F166" s="6"/>
    </row>
    <row r="167" spans="5:6" ht="14.25" customHeight="1">
      <c r="E167" s="6"/>
      <c r="F167" s="6"/>
    </row>
    <row r="168" spans="5:6" ht="14.25" customHeight="1">
      <c r="E168" s="6"/>
      <c r="F168" s="6"/>
    </row>
    <row r="169" spans="5:6" ht="14.25" customHeight="1">
      <c r="E169" s="6"/>
      <c r="F169" s="6"/>
    </row>
    <row r="170" spans="5:6" ht="14.25" customHeight="1">
      <c r="E170" s="6"/>
      <c r="F170" s="6"/>
    </row>
    <row r="171" spans="5:6" ht="14.25" customHeight="1">
      <c r="E171" s="6"/>
      <c r="F171" s="6"/>
    </row>
    <row r="172" spans="5:6" ht="14.25" customHeight="1">
      <c r="E172" s="6"/>
      <c r="F172" s="6"/>
    </row>
    <row r="173" spans="5:6" ht="14.25" customHeight="1">
      <c r="E173" s="6"/>
      <c r="F173" s="6"/>
    </row>
    <row r="174" spans="5:6" ht="14.25" customHeight="1">
      <c r="E174" s="6"/>
      <c r="F174" s="6"/>
    </row>
    <row r="175" spans="5:6" ht="14.25" customHeight="1">
      <c r="E175" s="6"/>
      <c r="F175" s="6"/>
    </row>
    <row r="176" spans="5:6" ht="14.25" customHeight="1">
      <c r="E176" s="6"/>
      <c r="F176" s="6"/>
    </row>
    <row r="177" spans="5:6" ht="14.25" customHeight="1">
      <c r="E177" s="6"/>
      <c r="F177" s="6"/>
    </row>
    <row r="178" spans="5:6" ht="14.25" customHeight="1">
      <c r="E178" s="6"/>
      <c r="F178" s="6"/>
    </row>
    <row r="179" spans="5:6" ht="14.25" customHeight="1">
      <c r="E179" s="6"/>
      <c r="F179" s="6"/>
    </row>
    <row r="180" spans="5:6" ht="14.25" customHeight="1">
      <c r="E180" s="6"/>
      <c r="F180" s="6"/>
    </row>
    <row r="181" spans="5:6" ht="14.25" customHeight="1">
      <c r="E181" s="6"/>
      <c r="F181" s="6"/>
    </row>
    <row r="182" spans="5:6" ht="14.25" customHeight="1">
      <c r="E182" s="6"/>
      <c r="F182" s="6"/>
    </row>
    <row r="183" spans="5:6" ht="14.25" customHeight="1">
      <c r="E183" s="6"/>
      <c r="F183" s="6"/>
    </row>
    <row r="184" spans="5:6" ht="14.25" customHeight="1">
      <c r="E184" s="6"/>
      <c r="F184" s="6"/>
    </row>
    <row r="185" spans="5:6" ht="14.25" customHeight="1">
      <c r="E185" s="6"/>
      <c r="F185" s="6"/>
    </row>
    <row r="186" spans="5:6" ht="14.25" customHeight="1">
      <c r="E186" s="6"/>
      <c r="F186" s="6"/>
    </row>
    <row r="187" spans="5:6" ht="14.25" customHeight="1">
      <c r="E187" s="6"/>
      <c r="F187" s="6"/>
    </row>
    <row r="188" spans="5:6" ht="14.25" customHeight="1">
      <c r="E188" s="6"/>
      <c r="F188" s="6"/>
    </row>
    <row r="189" spans="5:6" ht="14.25" customHeight="1">
      <c r="E189" s="6"/>
      <c r="F189" s="6"/>
    </row>
    <row r="190" spans="5:6" ht="14.25" customHeight="1">
      <c r="E190" s="6"/>
      <c r="F190" s="6"/>
    </row>
    <row r="191" spans="5:6" ht="14.25" customHeight="1">
      <c r="E191" s="6"/>
      <c r="F191" s="6"/>
    </row>
    <row r="192" spans="5:6" ht="14.25" customHeight="1">
      <c r="E192" s="6"/>
      <c r="F192" s="6"/>
    </row>
    <row r="193" spans="5:6" ht="14.25" customHeight="1">
      <c r="E193" s="6"/>
      <c r="F193" s="6"/>
    </row>
    <row r="194" spans="5:6" ht="14.25" customHeight="1">
      <c r="E194" s="6"/>
      <c r="F194" s="6"/>
    </row>
    <row r="195" spans="5:6" ht="14.25" customHeight="1">
      <c r="E195" s="6"/>
      <c r="F195" s="6"/>
    </row>
    <row r="196" spans="5:6" ht="14.25" customHeight="1">
      <c r="E196" s="6"/>
      <c r="F196" s="6"/>
    </row>
    <row r="197" spans="5:6" ht="14.25" customHeight="1">
      <c r="E197" s="6"/>
      <c r="F197" s="6"/>
    </row>
    <row r="198" spans="5:6" ht="14.25" customHeight="1">
      <c r="E198" s="6"/>
      <c r="F198" s="6"/>
    </row>
    <row r="199" spans="5:6" ht="14.25" customHeight="1">
      <c r="E199" s="6"/>
      <c r="F199" s="6"/>
    </row>
    <row r="200" spans="5:6" ht="14.25" customHeight="1">
      <c r="E200" s="6"/>
      <c r="F200" s="6"/>
    </row>
    <row r="201" spans="5:6" ht="14.25" customHeight="1">
      <c r="E201" s="6"/>
      <c r="F201" s="6"/>
    </row>
    <row r="202" spans="5:6" ht="14.25" customHeight="1">
      <c r="E202" s="6"/>
      <c r="F202" s="6"/>
    </row>
    <row r="203" spans="5:6" ht="14.25" customHeight="1">
      <c r="E203" s="6"/>
      <c r="F203" s="6"/>
    </row>
    <row r="204" spans="5:6" ht="14.25" customHeight="1">
      <c r="E204" s="6"/>
      <c r="F204" s="6"/>
    </row>
    <row r="205" spans="5:6" ht="14.25" customHeight="1">
      <c r="E205" s="6"/>
      <c r="F205" s="6"/>
    </row>
    <row r="206" spans="5:6" ht="14.25" customHeight="1">
      <c r="E206" s="6"/>
      <c r="F206" s="6"/>
    </row>
    <row r="207" spans="5:6" ht="14.25" customHeight="1">
      <c r="E207" s="6"/>
      <c r="F207" s="6"/>
    </row>
    <row r="208" spans="5:6" ht="14.25" customHeight="1">
      <c r="E208" s="6"/>
      <c r="F208" s="6"/>
    </row>
    <row r="209" spans="5:6" ht="14.25" customHeight="1">
      <c r="E209" s="6"/>
      <c r="F209" s="6"/>
    </row>
    <row r="210" spans="5:6" ht="14.25" customHeight="1">
      <c r="E210" s="6"/>
      <c r="F210" s="6"/>
    </row>
    <row r="211" spans="5:6" ht="14.25" customHeight="1">
      <c r="E211" s="6"/>
      <c r="F211" s="6"/>
    </row>
    <row r="212" spans="5:6" ht="14.25" customHeight="1">
      <c r="E212" s="6"/>
      <c r="F212" s="6"/>
    </row>
    <row r="213" spans="5:6" ht="14.25" customHeight="1">
      <c r="E213" s="6"/>
      <c r="F213" s="6"/>
    </row>
    <row r="214" spans="5:6" ht="14.25" customHeight="1">
      <c r="E214" s="6"/>
      <c r="F214" s="6"/>
    </row>
    <row r="215" spans="5:6" ht="14.25" customHeight="1">
      <c r="E215" s="6"/>
      <c r="F215" s="6"/>
    </row>
    <row r="216" spans="5:6" ht="14.25" customHeight="1">
      <c r="E216" s="6"/>
      <c r="F216" s="6"/>
    </row>
    <row r="217" spans="5:6" ht="14.25" customHeight="1">
      <c r="E217" s="6"/>
      <c r="F217" s="6"/>
    </row>
    <row r="218" spans="5:6" ht="14.25" customHeight="1">
      <c r="E218" s="6"/>
      <c r="F218" s="6"/>
    </row>
    <row r="219" spans="5:6" ht="14.25" customHeight="1">
      <c r="E219" s="6"/>
      <c r="F219" s="6"/>
    </row>
    <row r="220" spans="5:6" ht="14.25" customHeight="1">
      <c r="E220" s="6"/>
      <c r="F220" s="6"/>
    </row>
    <row r="221" spans="5:6" ht="14.25" customHeight="1">
      <c r="E221" s="6"/>
      <c r="F221" s="6"/>
    </row>
    <row r="222" spans="5:6" ht="14.25" customHeight="1">
      <c r="E222" s="6"/>
      <c r="F222" s="6"/>
    </row>
    <row r="223" spans="5:6" ht="14.25" customHeight="1">
      <c r="E223" s="6"/>
      <c r="F223" s="6"/>
    </row>
    <row r="224" spans="5:6" ht="14.25" customHeight="1">
      <c r="E224" s="6"/>
      <c r="F224" s="6"/>
    </row>
    <row r="225" spans="5:6" ht="14.25" customHeight="1">
      <c r="E225" s="6"/>
      <c r="F225" s="6"/>
    </row>
    <row r="226" spans="5:6" ht="14.25" customHeight="1">
      <c r="E226" s="6"/>
      <c r="F226" s="6"/>
    </row>
    <row r="227" spans="5:6" ht="14.25" customHeight="1">
      <c r="E227" s="6"/>
      <c r="F227" s="6"/>
    </row>
    <row r="228" spans="5:6" ht="14.25" customHeight="1">
      <c r="E228" s="6"/>
      <c r="F228" s="6"/>
    </row>
    <row r="229" spans="5:6" ht="14.25" customHeight="1">
      <c r="E229" s="6"/>
      <c r="F229" s="6"/>
    </row>
    <row r="230" spans="5:6" ht="14.25" customHeight="1">
      <c r="E230" s="6"/>
      <c r="F230" s="6"/>
    </row>
    <row r="231" spans="5:6" ht="14.25" customHeight="1">
      <c r="E231" s="6"/>
      <c r="F231" s="6"/>
    </row>
    <row r="232" spans="5:6" ht="14.25" customHeight="1">
      <c r="E232" s="6"/>
      <c r="F232" s="6"/>
    </row>
    <row r="233" spans="5:6" ht="14.25" customHeight="1">
      <c r="E233" s="6"/>
      <c r="F233" s="6"/>
    </row>
    <row r="234" spans="5:6" ht="14.25" customHeight="1">
      <c r="E234" s="6"/>
      <c r="F234" s="6"/>
    </row>
    <row r="235" spans="5:6" ht="14.25" customHeight="1">
      <c r="E235" s="6"/>
      <c r="F235" s="6"/>
    </row>
    <row r="236" spans="5:6" ht="14.25" customHeight="1">
      <c r="E236" s="6"/>
      <c r="F236" s="6"/>
    </row>
    <row r="237" spans="5:6" ht="14.25" customHeight="1">
      <c r="E237" s="6"/>
      <c r="F237" s="6"/>
    </row>
    <row r="238" spans="5:6" ht="14.25" customHeight="1">
      <c r="E238" s="6"/>
      <c r="F238" s="6"/>
    </row>
    <row r="239" spans="5:6" ht="14.25" customHeight="1">
      <c r="E239" s="6"/>
      <c r="F239" s="6"/>
    </row>
    <row r="240" spans="5:6" ht="14.25" customHeight="1">
      <c r="E240" s="6"/>
      <c r="F240" s="6"/>
    </row>
    <row r="241" spans="5:6" ht="14.25" customHeight="1">
      <c r="E241" s="6"/>
      <c r="F241" s="6"/>
    </row>
    <row r="242" spans="5:6" ht="14.25" customHeight="1">
      <c r="E242" s="6"/>
      <c r="F242" s="6"/>
    </row>
    <row r="243" spans="5:6" ht="14.25" customHeight="1">
      <c r="E243" s="6"/>
      <c r="F243" s="6"/>
    </row>
    <row r="244" spans="5:6" ht="14.25" customHeight="1">
      <c r="E244" s="6"/>
      <c r="F244" s="6"/>
    </row>
    <row r="245" spans="5:6" ht="14.25" customHeight="1">
      <c r="E245" s="6"/>
      <c r="F245" s="6"/>
    </row>
    <row r="246" spans="5:6" ht="14.25" customHeight="1">
      <c r="E246" s="6"/>
      <c r="F246" s="6"/>
    </row>
    <row r="247" spans="5:6" ht="14.25" customHeight="1">
      <c r="E247" s="6"/>
      <c r="F247" s="6"/>
    </row>
    <row r="248" spans="5:6" ht="14.25" customHeight="1">
      <c r="E248" s="6"/>
      <c r="F248" s="6"/>
    </row>
    <row r="249" spans="5:6" ht="14.25" customHeight="1">
      <c r="E249" s="6"/>
      <c r="F249" s="6"/>
    </row>
    <row r="250" spans="5:6" ht="14.25" customHeight="1">
      <c r="E250" s="6"/>
      <c r="F250" s="6"/>
    </row>
    <row r="251" spans="5:6" ht="14.25" customHeight="1">
      <c r="E251" s="6"/>
      <c r="F251" s="6"/>
    </row>
    <row r="252" spans="5:6" ht="14.25" customHeight="1">
      <c r="E252" s="6"/>
      <c r="F252" s="6"/>
    </row>
    <row r="253" spans="5:6" ht="14.25" customHeight="1">
      <c r="E253" s="6"/>
      <c r="F253" s="6"/>
    </row>
    <row r="254" spans="5:6" ht="14.25" customHeight="1">
      <c r="E254" s="6"/>
      <c r="F254" s="6"/>
    </row>
    <row r="255" spans="5:6" ht="14.25" customHeight="1">
      <c r="E255" s="6"/>
      <c r="F255" s="6"/>
    </row>
    <row r="256" spans="5:6" ht="14.25" customHeight="1">
      <c r="E256" s="6"/>
      <c r="F256" s="6"/>
    </row>
    <row r="257" spans="5:6" ht="14.25" customHeight="1">
      <c r="E257" s="6"/>
      <c r="F257" s="6"/>
    </row>
    <row r="258" spans="5:6" ht="14.25" customHeight="1">
      <c r="E258" s="6"/>
      <c r="F258" s="6"/>
    </row>
    <row r="259" spans="5:6" ht="14.25" customHeight="1">
      <c r="E259" s="6"/>
      <c r="F259" s="6"/>
    </row>
    <row r="260" spans="5:6" ht="14.25" customHeight="1">
      <c r="E260" s="6"/>
      <c r="F260" s="6"/>
    </row>
    <row r="261" spans="5:6" ht="14.25" customHeight="1">
      <c r="E261" s="6"/>
      <c r="F261" s="6"/>
    </row>
    <row r="262" spans="5:6" ht="14.25" customHeight="1">
      <c r="E262" s="6"/>
      <c r="F262" s="6"/>
    </row>
    <row r="263" spans="5:6" ht="14.25" customHeight="1">
      <c r="E263" s="6"/>
      <c r="F263" s="6"/>
    </row>
    <row r="264" spans="5:6" ht="14.25" customHeight="1">
      <c r="E264" s="6"/>
      <c r="F264" s="6"/>
    </row>
    <row r="265" spans="5:6" ht="14.25" customHeight="1">
      <c r="E265" s="6"/>
      <c r="F265" s="6"/>
    </row>
    <row r="266" spans="5:6" ht="14.25" customHeight="1">
      <c r="E266" s="6"/>
      <c r="F266" s="6"/>
    </row>
    <row r="267" spans="5:6" ht="14.25" customHeight="1">
      <c r="E267" s="6"/>
      <c r="F267" s="6"/>
    </row>
    <row r="268" spans="5:6" ht="14.25" customHeight="1">
      <c r="E268" s="6"/>
      <c r="F268" s="6"/>
    </row>
    <row r="269" spans="5:6" ht="14.25" customHeight="1">
      <c r="E269" s="6"/>
      <c r="F269" s="6"/>
    </row>
    <row r="270" spans="5:6" ht="14.25" customHeight="1">
      <c r="E270" s="6"/>
      <c r="F270" s="6"/>
    </row>
    <row r="271" spans="5:6" ht="14.25" customHeight="1">
      <c r="E271" s="6"/>
      <c r="F271" s="6"/>
    </row>
    <row r="272" spans="5:6" ht="14.25" customHeight="1">
      <c r="E272" s="6"/>
      <c r="F272" s="6"/>
    </row>
    <row r="273" spans="5:6" ht="14.25" customHeight="1">
      <c r="E273" s="6"/>
      <c r="F273" s="6"/>
    </row>
    <row r="274" spans="5:6" ht="14.25" customHeight="1">
      <c r="E274" s="6"/>
      <c r="F274" s="6"/>
    </row>
    <row r="275" spans="5:6" ht="14.25" customHeight="1">
      <c r="E275" s="6"/>
      <c r="F275" s="6"/>
    </row>
    <row r="276" spans="5:6" ht="14.25" customHeight="1">
      <c r="E276" s="6"/>
      <c r="F276" s="6"/>
    </row>
    <row r="277" spans="5:6" ht="14.25" customHeight="1">
      <c r="E277" s="6"/>
      <c r="F277" s="6"/>
    </row>
    <row r="278" spans="5:6" ht="14.25" customHeight="1">
      <c r="E278" s="6"/>
      <c r="F278" s="6"/>
    </row>
    <row r="279" spans="5:6" ht="14.25" customHeight="1">
      <c r="E279" s="6"/>
      <c r="F279" s="6"/>
    </row>
    <row r="280" spans="5:6" ht="14.25" customHeight="1">
      <c r="E280" s="6"/>
      <c r="F280" s="6"/>
    </row>
    <row r="281" spans="5:6" ht="14.25" customHeight="1">
      <c r="E281" s="6"/>
      <c r="F281" s="6"/>
    </row>
    <row r="282" spans="5:6" ht="14.25" customHeight="1">
      <c r="E282" s="6"/>
      <c r="F282" s="6"/>
    </row>
    <row r="283" spans="5:6" ht="14.25" customHeight="1">
      <c r="E283" s="6"/>
      <c r="F283" s="6"/>
    </row>
    <row r="284" spans="5:6" ht="14.25" customHeight="1">
      <c r="E284" s="6"/>
      <c r="F284" s="6"/>
    </row>
    <row r="285" spans="5:6" ht="14.25" customHeight="1">
      <c r="E285" s="6"/>
      <c r="F285" s="6"/>
    </row>
    <row r="286" spans="5:6" ht="14.25" customHeight="1">
      <c r="E286" s="6"/>
      <c r="F286" s="6"/>
    </row>
    <row r="287" spans="5:6" ht="14.25" customHeight="1">
      <c r="E287" s="6"/>
      <c r="F287" s="6"/>
    </row>
    <row r="288" spans="5:6" ht="14.25" customHeight="1">
      <c r="E288" s="6"/>
      <c r="F288" s="6"/>
    </row>
    <row r="289" spans="5:6" ht="14.25" customHeight="1">
      <c r="E289" s="6"/>
      <c r="F289" s="6"/>
    </row>
    <row r="290" spans="5:6" ht="14.25" customHeight="1">
      <c r="E290" s="6"/>
      <c r="F290" s="6"/>
    </row>
    <row r="291" spans="5:6" ht="14.25" customHeight="1">
      <c r="E291" s="6"/>
      <c r="F291" s="6"/>
    </row>
    <row r="292" spans="5:6" ht="14.25" customHeight="1">
      <c r="E292" s="6"/>
      <c r="F292" s="6"/>
    </row>
    <row r="293" spans="5:6" ht="14.25" customHeight="1">
      <c r="E293" s="6"/>
      <c r="F293" s="6"/>
    </row>
    <row r="294" spans="5:6" ht="14.25" customHeight="1">
      <c r="E294" s="6"/>
      <c r="F294" s="6"/>
    </row>
    <row r="295" spans="5:6" ht="14.25" customHeight="1">
      <c r="E295" s="6"/>
      <c r="F295" s="6"/>
    </row>
    <row r="296" spans="5:6" ht="14.25" customHeight="1">
      <c r="E296" s="6"/>
      <c r="F296" s="6"/>
    </row>
    <row r="297" spans="5:6" ht="14.25" customHeight="1">
      <c r="E297" s="6"/>
      <c r="F297" s="6"/>
    </row>
    <row r="298" spans="5:6" ht="14.25" customHeight="1">
      <c r="E298" s="6"/>
      <c r="F298" s="6"/>
    </row>
    <row r="299" spans="5:6" ht="14.25" customHeight="1">
      <c r="E299" s="6"/>
      <c r="F299" s="6"/>
    </row>
    <row r="300" spans="5:6" ht="14.25" customHeight="1">
      <c r="E300" s="6"/>
      <c r="F300" s="6"/>
    </row>
    <row r="301" spans="5:6" ht="14.25" customHeight="1">
      <c r="E301" s="6"/>
      <c r="F301" s="6"/>
    </row>
    <row r="302" spans="5:6" ht="14.25" customHeight="1">
      <c r="E302" s="6"/>
      <c r="F302" s="6"/>
    </row>
    <row r="303" spans="5:6" ht="14.25" customHeight="1">
      <c r="E303" s="6"/>
      <c r="F303" s="6"/>
    </row>
    <row r="304" spans="5:6" ht="14.25" customHeight="1">
      <c r="E304" s="6"/>
      <c r="F304" s="6"/>
    </row>
    <row r="305" spans="5:6" ht="14.25" customHeight="1">
      <c r="E305" s="6"/>
      <c r="F305" s="6"/>
    </row>
    <row r="306" spans="5:6" ht="14.25" customHeight="1">
      <c r="E306" s="6"/>
      <c r="F306" s="6"/>
    </row>
    <row r="307" spans="5:6" ht="14.25" customHeight="1">
      <c r="E307" s="6"/>
      <c r="F307" s="6"/>
    </row>
    <row r="308" spans="5:6" ht="14.25" customHeight="1">
      <c r="E308" s="6"/>
      <c r="F308" s="6"/>
    </row>
    <row r="309" spans="5:6" ht="14.25" customHeight="1">
      <c r="E309" s="6"/>
      <c r="F309" s="6"/>
    </row>
    <row r="310" spans="5:6" ht="14.25" customHeight="1">
      <c r="E310" s="6"/>
      <c r="F310" s="6"/>
    </row>
    <row r="311" spans="5:6" ht="14.25" customHeight="1">
      <c r="E311" s="6"/>
      <c r="F311" s="6"/>
    </row>
    <row r="312" spans="5:6" ht="14.25" customHeight="1">
      <c r="E312" s="6"/>
      <c r="F312" s="6"/>
    </row>
    <row r="313" spans="5:6" ht="14.25" customHeight="1">
      <c r="E313" s="6"/>
      <c r="F313" s="6"/>
    </row>
    <row r="314" spans="5:6" ht="14.25" customHeight="1">
      <c r="E314" s="6"/>
      <c r="F314" s="6"/>
    </row>
    <row r="315" spans="5:6" ht="14.25" customHeight="1">
      <c r="E315" s="6"/>
      <c r="F315" s="6"/>
    </row>
    <row r="316" spans="5:6" ht="14.25" customHeight="1">
      <c r="E316" s="6"/>
      <c r="F316" s="6"/>
    </row>
    <row r="317" spans="5:6" ht="14.25" customHeight="1">
      <c r="E317" s="6"/>
      <c r="F317" s="6"/>
    </row>
    <row r="318" spans="5:6" ht="14.25" customHeight="1">
      <c r="E318" s="6"/>
      <c r="F318" s="6"/>
    </row>
    <row r="319" spans="5:6" ht="14.25" customHeight="1">
      <c r="E319" s="6"/>
      <c r="F319" s="6"/>
    </row>
    <row r="320" spans="5:6" ht="14.25" customHeight="1">
      <c r="E320" s="6"/>
      <c r="F320" s="6"/>
    </row>
    <row r="321" spans="5:6" ht="14.25" customHeight="1">
      <c r="E321" s="6"/>
      <c r="F321" s="6"/>
    </row>
    <row r="322" spans="5:6" ht="14.25" customHeight="1">
      <c r="E322" s="6"/>
      <c r="F322" s="6"/>
    </row>
    <row r="323" spans="5:6" ht="14.25" customHeight="1">
      <c r="E323" s="6"/>
      <c r="F323" s="6"/>
    </row>
    <row r="324" spans="5:6" ht="14.25" customHeight="1">
      <c r="E324" s="6"/>
      <c r="F324" s="6"/>
    </row>
    <row r="325" spans="5:6" ht="14.25" customHeight="1">
      <c r="E325" s="6"/>
      <c r="F325" s="6"/>
    </row>
    <row r="326" spans="5:6" ht="14.25" customHeight="1">
      <c r="E326" s="6"/>
      <c r="F326" s="6"/>
    </row>
    <row r="327" spans="5:6" ht="14.25" customHeight="1">
      <c r="E327" s="6"/>
      <c r="F327" s="6"/>
    </row>
    <row r="328" spans="5:6" ht="14.25" customHeight="1">
      <c r="E328" s="6"/>
      <c r="F328" s="6"/>
    </row>
    <row r="329" spans="5:6" ht="14.25" customHeight="1">
      <c r="E329" s="6"/>
      <c r="F329" s="6"/>
    </row>
    <row r="330" spans="5:6" ht="14.25" customHeight="1">
      <c r="E330" s="6"/>
      <c r="F330" s="6"/>
    </row>
    <row r="331" spans="5:6" ht="14.25" customHeight="1">
      <c r="E331" s="6"/>
      <c r="F331" s="6"/>
    </row>
    <row r="332" spans="5:6" ht="14.25" customHeight="1">
      <c r="E332" s="6"/>
      <c r="F332" s="6"/>
    </row>
    <row r="333" spans="5:6" ht="14.25" customHeight="1">
      <c r="E333" s="6"/>
      <c r="F333" s="6"/>
    </row>
    <row r="334" spans="5:6" ht="14.25" customHeight="1">
      <c r="E334" s="6"/>
      <c r="F334" s="6"/>
    </row>
    <row r="335" spans="5:6" ht="14.25" customHeight="1">
      <c r="E335" s="6"/>
      <c r="F335" s="6"/>
    </row>
    <row r="336" spans="5:6" ht="14.25" customHeight="1">
      <c r="E336" s="6"/>
      <c r="F336" s="6"/>
    </row>
    <row r="337" spans="5:6" ht="14.25" customHeight="1">
      <c r="E337" s="6"/>
      <c r="F337" s="6"/>
    </row>
    <row r="338" spans="5:6" ht="14.25" customHeight="1">
      <c r="E338" s="6"/>
      <c r="F338" s="6"/>
    </row>
    <row r="339" spans="5:6" ht="14.25" customHeight="1">
      <c r="E339" s="6"/>
      <c r="F339" s="6"/>
    </row>
    <row r="340" spans="5:6" ht="14.25" customHeight="1">
      <c r="E340" s="6"/>
      <c r="F340" s="6"/>
    </row>
    <row r="341" spans="5:6" ht="14.25" customHeight="1">
      <c r="E341" s="6"/>
      <c r="F341" s="6"/>
    </row>
    <row r="342" spans="5:6" ht="14.25" customHeight="1">
      <c r="E342" s="6"/>
      <c r="F342" s="6"/>
    </row>
    <row r="343" spans="5:6" ht="14.25" customHeight="1">
      <c r="E343" s="6"/>
      <c r="F343" s="6"/>
    </row>
    <row r="344" spans="5:6" ht="14.25" customHeight="1">
      <c r="E344" s="6"/>
      <c r="F344" s="6"/>
    </row>
    <row r="345" spans="5:6" ht="14.25" customHeight="1">
      <c r="E345" s="6"/>
      <c r="F345" s="6"/>
    </row>
    <row r="346" spans="5:6" ht="14.25" customHeight="1">
      <c r="E346" s="6"/>
      <c r="F346" s="6"/>
    </row>
    <row r="347" spans="5:6" ht="14.25" customHeight="1">
      <c r="E347" s="6"/>
      <c r="F347" s="6"/>
    </row>
    <row r="348" spans="5:6" ht="14.25" customHeight="1">
      <c r="E348" s="6"/>
      <c r="F348" s="6"/>
    </row>
    <row r="349" spans="5:6" ht="14.25" customHeight="1">
      <c r="E349" s="6"/>
      <c r="F349" s="6"/>
    </row>
    <row r="350" spans="5:6" ht="14.25" customHeight="1">
      <c r="E350" s="6"/>
      <c r="F350" s="6"/>
    </row>
    <row r="351" spans="5:6" ht="14.25" customHeight="1">
      <c r="E351" s="6"/>
      <c r="F351" s="6"/>
    </row>
    <row r="352" spans="5:6" ht="14.25" customHeight="1">
      <c r="E352" s="6"/>
      <c r="F352" s="6"/>
    </row>
    <row r="353" spans="5:6" ht="14.25" customHeight="1">
      <c r="E353" s="6"/>
      <c r="F353" s="6"/>
    </row>
    <row r="354" spans="5:6" ht="14.25" customHeight="1">
      <c r="E354" s="6"/>
      <c r="F354" s="6"/>
    </row>
    <row r="355" spans="5:6" ht="14.25" customHeight="1">
      <c r="E355" s="6"/>
      <c r="F355" s="6"/>
    </row>
    <row r="356" spans="5:6" ht="14.25" customHeight="1">
      <c r="E356" s="6"/>
      <c r="F356" s="6"/>
    </row>
    <row r="357" spans="5:6" ht="14.25" customHeight="1">
      <c r="E357" s="6"/>
      <c r="F357" s="6"/>
    </row>
    <row r="358" spans="5:6" ht="14.25" customHeight="1">
      <c r="E358" s="6"/>
      <c r="F358" s="6"/>
    </row>
    <row r="359" spans="5:6" ht="14.25" customHeight="1">
      <c r="E359" s="6"/>
      <c r="F359" s="6"/>
    </row>
    <row r="360" spans="5:6" ht="14.25" customHeight="1">
      <c r="E360" s="6"/>
      <c r="F360" s="6"/>
    </row>
    <row r="361" spans="5:6" ht="14.25" customHeight="1">
      <c r="E361" s="6"/>
      <c r="F361" s="6"/>
    </row>
    <row r="362" spans="5:6" ht="14.25" customHeight="1">
      <c r="E362" s="6"/>
      <c r="F362" s="6"/>
    </row>
    <row r="363" spans="5:6" ht="14.25" customHeight="1">
      <c r="E363" s="6"/>
      <c r="F363" s="6"/>
    </row>
    <row r="364" spans="5:6" ht="14.25" customHeight="1">
      <c r="E364" s="6"/>
      <c r="F364" s="6"/>
    </row>
    <row r="365" spans="5:6" ht="14.25" customHeight="1">
      <c r="E365" s="6"/>
      <c r="F365" s="6"/>
    </row>
    <row r="366" spans="5:6" ht="14.25" customHeight="1">
      <c r="E366" s="6"/>
      <c r="F366" s="6"/>
    </row>
    <row r="367" spans="5:6" ht="14.25" customHeight="1">
      <c r="E367" s="6"/>
      <c r="F367" s="6"/>
    </row>
    <row r="368" spans="5:6" ht="14.25" customHeight="1">
      <c r="E368" s="6"/>
      <c r="F368" s="6"/>
    </row>
    <row r="369" spans="5:6" ht="14.25" customHeight="1">
      <c r="E369" s="6"/>
      <c r="F369" s="6"/>
    </row>
    <row r="370" spans="5:6" ht="14.25" customHeight="1">
      <c r="E370" s="6"/>
      <c r="F370" s="6"/>
    </row>
    <row r="371" spans="5:6" ht="14.25" customHeight="1">
      <c r="E371" s="6"/>
      <c r="F371" s="6"/>
    </row>
    <row r="372" spans="5:6" ht="14.25" customHeight="1">
      <c r="E372" s="6"/>
      <c r="F372" s="6"/>
    </row>
    <row r="373" spans="5:6" ht="14.25" customHeight="1">
      <c r="E373" s="6"/>
      <c r="F373" s="6"/>
    </row>
    <row r="374" spans="5:6" ht="14.25" customHeight="1">
      <c r="E374" s="6"/>
      <c r="F374" s="6"/>
    </row>
    <row r="375" spans="5:6" ht="14.25" customHeight="1">
      <c r="E375" s="6"/>
      <c r="F375" s="6"/>
    </row>
    <row r="376" spans="5:6" ht="14.25" customHeight="1">
      <c r="E376" s="6"/>
      <c r="F376" s="6"/>
    </row>
    <row r="377" spans="5:6" ht="14.25" customHeight="1">
      <c r="E377" s="6"/>
      <c r="F377" s="6"/>
    </row>
    <row r="378" spans="5:6" ht="14.25" customHeight="1">
      <c r="E378" s="6"/>
      <c r="F378" s="6"/>
    </row>
    <row r="379" spans="5:6" ht="14.25" customHeight="1">
      <c r="E379" s="6"/>
      <c r="F379" s="6"/>
    </row>
    <row r="380" spans="5:6" ht="14.25" customHeight="1">
      <c r="E380" s="6"/>
      <c r="F380" s="6"/>
    </row>
    <row r="381" spans="5:6" ht="14.25" customHeight="1">
      <c r="E381" s="6"/>
      <c r="F381" s="6"/>
    </row>
    <row r="382" spans="5:6" ht="14.25" customHeight="1">
      <c r="E382" s="6"/>
      <c r="F382" s="6"/>
    </row>
    <row r="383" spans="5:6" ht="14.25" customHeight="1">
      <c r="E383" s="6"/>
      <c r="F383" s="6"/>
    </row>
    <row r="384" spans="5:6" ht="14.25" customHeight="1">
      <c r="E384" s="6"/>
      <c r="F384" s="6"/>
    </row>
    <row r="385" spans="5:6" ht="14.25" customHeight="1">
      <c r="E385" s="6"/>
      <c r="F385" s="6"/>
    </row>
    <row r="386" spans="5:6" ht="14.25" customHeight="1">
      <c r="E386" s="6"/>
      <c r="F386" s="6"/>
    </row>
    <row r="387" spans="5:6" ht="14.25" customHeight="1">
      <c r="E387" s="6"/>
      <c r="F387" s="6"/>
    </row>
    <row r="388" spans="5:6" ht="14.25" customHeight="1">
      <c r="E388" s="6"/>
      <c r="F388" s="6"/>
    </row>
    <row r="389" spans="5:6" ht="14.25" customHeight="1">
      <c r="E389" s="6"/>
      <c r="F389" s="6"/>
    </row>
    <row r="390" spans="5:6" ht="14.25" customHeight="1">
      <c r="E390" s="6"/>
      <c r="F390" s="6"/>
    </row>
    <row r="391" spans="5:6" ht="14.25" customHeight="1">
      <c r="E391" s="6"/>
      <c r="F391" s="6"/>
    </row>
    <row r="392" spans="5:6" ht="14.25" customHeight="1">
      <c r="E392" s="6"/>
      <c r="F392" s="6"/>
    </row>
    <row r="393" spans="5:6" ht="14.25" customHeight="1">
      <c r="E393" s="6"/>
      <c r="F393" s="6"/>
    </row>
    <row r="394" spans="5:6" ht="14.25" customHeight="1">
      <c r="E394" s="6"/>
      <c r="F394" s="6"/>
    </row>
    <row r="395" spans="5:6" ht="14.25" customHeight="1">
      <c r="E395" s="6"/>
      <c r="F395" s="6"/>
    </row>
    <row r="396" spans="5:6" ht="14.25" customHeight="1">
      <c r="E396" s="6"/>
      <c r="F396" s="6"/>
    </row>
    <row r="397" spans="5:6" ht="14.25" customHeight="1">
      <c r="E397" s="6"/>
      <c r="F397" s="6"/>
    </row>
    <row r="398" spans="5:6" ht="14.25" customHeight="1">
      <c r="E398" s="6"/>
      <c r="F398" s="6"/>
    </row>
    <row r="399" spans="5:6" ht="14.25" customHeight="1">
      <c r="E399" s="6"/>
      <c r="F399" s="6"/>
    </row>
    <row r="400" spans="5:6" ht="14.25" customHeight="1">
      <c r="E400" s="6"/>
      <c r="F400" s="6"/>
    </row>
    <row r="401" spans="5:6" ht="14.25" customHeight="1">
      <c r="E401" s="6"/>
      <c r="F401" s="6"/>
    </row>
    <row r="402" spans="5:6" ht="14.25" customHeight="1">
      <c r="E402" s="6"/>
      <c r="F402" s="6"/>
    </row>
    <row r="403" spans="5:6" ht="14.25" customHeight="1">
      <c r="E403" s="6"/>
      <c r="F403" s="6"/>
    </row>
    <row r="404" spans="5:6" ht="14.25" customHeight="1">
      <c r="E404" s="6"/>
      <c r="F404" s="6"/>
    </row>
    <row r="405" spans="5:6" ht="14.25" customHeight="1">
      <c r="E405" s="6"/>
      <c r="F405" s="6"/>
    </row>
    <row r="406" spans="5:6" ht="14.25" customHeight="1">
      <c r="E406" s="6"/>
      <c r="F406" s="6"/>
    </row>
    <row r="407" spans="5:6" ht="14.25" customHeight="1">
      <c r="E407" s="6"/>
      <c r="F407" s="6"/>
    </row>
    <row r="408" spans="5:6" ht="14.25" customHeight="1">
      <c r="E408" s="6"/>
      <c r="F408" s="6"/>
    </row>
    <row r="409" spans="5:6" ht="14.25" customHeight="1">
      <c r="E409" s="6"/>
      <c r="F409" s="6"/>
    </row>
    <row r="410" spans="5:6" ht="14.25" customHeight="1">
      <c r="E410" s="6"/>
      <c r="F410" s="6"/>
    </row>
    <row r="411" spans="5:6" ht="14.25" customHeight="1">
      <c r="E411" s="6"/>
      <c r="F411" s="6"/>
    </row>
    <row r="412" spans="5:6" ht="14.25" customHeight="1">
      <c r="E412" s="6"/>
      <c r="F412" s="6"/>
    </row>
    <row r="413" spans="5:6" ht="14.25" customHeight="1">
      <c r="E413" s="6"/>
      <c r="F413" s="6"/>
    </row>
    <row r="414" spans="5:6" ht="14.25" customHeight="1">
      <c r="E414" s="6"/>
      <c r="F414" s="6"/>
    </row>
    <row r="415" spans="5:6" ht="14.25" customHeight="1">
      <c r="E415" s="6"/>
      <c r="F415" s="6"/>
    </row>
    <row r="416" spans="5:6" ht="14.25" customHeight="1">
      <c r="E416" s="6"/>
      <c r="F416" s="6"/>
    </row>
    <row r="417" spans="5:6" ht="14.25" customHeight="1">
      <c r="E417" s="6"/>
      <c r="F417" s="6"/>
    </row>
    <row r="418" spans="5:6" ht="14.25" customHeight="1">
      <c r="E418" s="6"/>
      <c r="F418" s="6"/>
    </row>
    <row r="419" spans="5:6" ht="14.25" customHeight="1">
      <c r="E419" s="6"/>
      <c r="F419" s="6"/>
    </row>
    <row r="420" spans="5:6" ht="14.25" customHeight="1">
      <c r="E420" s="6"/>
      <c r="F420" s="6"/>
    </row>
    <row r="421" spans="5:6" ht="14.25" customHeight="1">
      <c r="E421" s="6"/>
      <c r="F421" s="6"/>
    </row>
    <row r="422" spans="5:6" ht="14.25" customHeight="1">
      <c r="E422" s="6"/>
      <c r="F422" s="6"/>
    </row>
    <row r="423" spans="5:6" ht="14.25" customHeight="1">
      <c r="E423" s="6"/>
      <c r="F423" s="6"/>
    </row>
    <row r="424" spans="5:6" ht="14.25" customHeight="1">
      <c r="E424" s="6"/>
      <c r="F424" s="6"/>
    </row>
    <row r="425" spans="5:6" ht="14.25" customHeight="1">
      <c r="E425" s="6"/>
      <c r="F425" s="6"/>
    </row>
    <row r="426" spans="5:6" ht="14.25" customHeight="1">
      <c r="E426" s="6"/>
      <c r="F426" s="6"/>
    </row>
    <row r="427" spans="5:6" ht="14.25" customHeight="1">
      <c r="E427" s="6"/>
      <c r="F427" s="6"/>
    </row>
    <row r="428" spans="5:6" ht="14.25" customHeight="1">
      <c r="E428" s="6"/>
      <c r="F428" s="6"/>
    </row>
    <row r="429" spans="5:6" ht="14.25" customHeight="1">
      <c r="E429" s="6"/>
      <c r="F429" s="6"/>
    </row>
    <row r="430" spans="5:6" ht="14.25" customHeight="1">
      <c r="E430" s="6"/>
      <c r="F430" s="6"/>
    </row>
    <row r="431" spans="5:6" ht="14.25" customHeight="1">
      <c r="E431" s="6"/>
      <c r="F431" s="6"/>
    </row>
    <row r="432" spans="5:6" ht="14.25" customHeight="1">
      <c r="E432" s="6"/>
      <c r="F432" s="6"/>
    </row>
    <row r="433" spans="5:6" ht="14.25" customHeight="1">
      <c r="E433" s="6"/>
      <c r="F433" s="6"/>
    </row>
    <row r="434" spans="5:6" ht="14.25" customHeight="1">
      <c r="E434" s="6"/>
      <c r="F434" s="6"/>
    </row>
    <row r="435" spans="5:6" ht="14.25" customHeight="1">
      <c r="E435" s="6"/>
      <c r="F435" s="6"/>
    </row>
    <row r="436" spans="5:6" ht="14.25" customHeight="1">
      <c r="E436" s="6"/>
      <c r="F436" s="6"/>
    </row>
    <row r="437" spans="5:6" ht="14.25" customHeight="1">
      <c r="E437" s="6"/>
      <c r="F437" s="6"/>
    </row>
    <row r="438" spans="5:6" ht="14.25" customHeight="1">
      <c r="E438" s="6"/>
      <c r="F438" s="6"/>
    </row>
    <row r="439" spans="5:6" ht="14.25" customHeight="1">
      <c r="E439" s="6"/>
      <c r="F439" s="6"/>
    </row>
    <row r="440" spans="5:6" ht="14.25" customHeight="1">
      <c r="E440" s="6"/>
      <c r="F440" s="6"/>
    </row>
    <row r="441" spans="5:6" ht="14.25" customHeight="1">
      <c r="E441" s="6"/>
      <c r="F441" s="6"/>
    </row>
    <row r="442" spans="5:6" ht="14.25" customHeight="1">
      <c r="E442" s="6"/>
      <c r="F442" s="6"/>
    </row>
    <row r="443" spans="5:6" ht="14.25" customHeight="1">
      <c r="E443" s="6"/>
      <c r="F443" s="6"/>
    </row>
    <row r="444" spans="5:6" ht="14.25" customHeight="1">
      <c r="E444" s="6"/>
      <c r="F444" s="6"/>
    </row>
    <row r="445" spans="5:6" ht="14.25" customHeight="1">
      <c r="E445" s="6"/>
      <c r="F445" s="6"/>
    </row>
    <row r="446" spans="5:6" ht="14.25" customHeight="1">
      <c r="E446" s="6"/>
      <c r="F446" s="6"/>
    </row>
    <row r="447" spans="5:6" ht="14.25" customHeight="1">
      <c r="E447" s="6"/>
      <c r="F447" s="6"/>
    </row>
    <row r="448" spans="5:6" ht="14.25" customHeight="1">
      <c r="E448" s="6"/>
      <c r="F448" s="6"/>
    </row>
    <row r="449" spans="5:6" ht="14.25" customHeight="1">
      <c r="E449" s="6"/>
      <c r="F449" s="6"/>
    </row>
    <row r="450" spans="5:6" ht="14.25" customHeight="1">
      <c r="E450" s="6"/>
      <c r="F450" s="6"/>
    </row>
    <row r="451" spans="5:6" ht="14.25" customHeight="1">
      <c r="E451" s="6"/>
      <c r="F451" s="6"/>
    </row>
    <row r="452" spans="5:6" ht="14.25" customHeight="1">
      <c r="E452" s="6"/>
      <c r="F452" s="6"/>
    </row>
    <row r="453" spans="5:6" ht="14.25" customHeight="1">
      <c r="E453" s="6"/>
      <c r="F453" s="6"/>
    </row>
    <row r="454" spans="5:6" ht="14.25" customHeight="1">
      <c r="E454" s="6"/>
      <c r="F454" s="6"/>
    </row>
    <row r="455" spans="5:6" ht="14.25" customHeight="1">
      <c r="E455" s="6"/>
      <c r="F455" s="6"/>
    </row>
    <row r="456" spans="5:6" ht="14.25" customHeight="1">
      <c r="E456" s="6"/>
      <c r="F456" s="6"/>
    </row>
    <row r="457" spans="5:6" ht="14.25" customHeight="1">
      <c r="E457" s="6"/>
      <c r="F457" s="6"/>
    </row>
    <row r="458" spans="5:6" ht="14.25" customHeight="1">
      <c r="E458" s="6"/>
      <c r="F458" s="6"/>
    </row>
    <row r="459" spans="5:6" ht="14.25" customHeight="1">
      <c r="E459" s="6"/>
      <c r="F459" s="6"/>
    </row>
    <row r="460" spans="5:6" ht="14.25" customHeight="1">
      <c r="E460" s="6"/>
      <c r="F460" s="6"/>
    </row>
    <row r="461" spans="5:6" ht="14.25" customHeight="1">
      <c r="E461" s="6"/>
      <c r="F461" s="6"/>
    </row>
    <row r="462" spans="5:6" ht="14.25" customHeight="1">
      <c r="E462" s="6"/>
      <c r="F462" s="6"/>
    </row>
    <row r="463" spans="5:6" ht="14.25" customHeight="1">
      <c r="E463" s="6"/>
      <c r="F463" s="6"/>
    </row>
    <row r="464" spans="5:6" ht="14.25" customHeight="1">
      <c r="E464" s="6"/>
      <c r="F464" s="6"/>
    </row>
    <row r="465" spans="5:6" ht="14.25" customHeight="1">
      <c r="E465" s="6"/>
      <c r="F465" s="6"/>
    </row>
    <row r="466" spans="5:6" ht="14.25" customHeight="1">
      <c r="E466" s="6"/>
      <c r="F466" s="6"/>
    </row>
    <row r="467" spans="5:6" ht="14.25" customHeight="1">
      <c r="E467" s="6"/>
      <c r="F467" s="6"/>
    </row>
    <row r="468" spans="5:6" ht="14.25" customHeight="1">
      <c r="E468" s="6"/>
      <c r="F468" s="6"/>
    </row>
    <row r="469" spans="5:6" ht="14.25" customHeight="1">
      <c r="E469" s="6"/>
      <c r="F469" s="6"/>
    </row>
    <row r="470" spans="5:6" ht="14.25" customHeight="1">
      <c r="E470" s="6"/>
      <c r="F470" s="6"/>
    </row>
    <row r="471" spans="5:6" ht="14.25" customHeight="1">
      <c r="E471" s="6"/>
      <c r="F471" s="6"/>
    </row>
    <row r="472" spans="5:6" ht="14.25" customHeight="1">
      <c r="E472" s="6"/>
      <c r="F472" s="6"/>
    </row>
    <row r="473" spans="5:6" ht="14.25" customHeight="1">
      <c r="E473" s="6"/>
      <c r="F473" s="6"/>
    </row>
    <row r="474" spans="5:6" ht="14.25" customHeight="1">
      <c r="E474" s="6"/>
      <c r="F474" s="6"/>
    </row>
    <row r="475" spans="5:6" ht="14.25" customHeight="1">
      <c r="E475" s="6"/>
      <c r="F475" s="6"/>
    </row>
    <row r="476" spans="5:6" ht="14.25" customHeight="1">
      <c r="E476" s="6"/>
      <c r="F476" s="6"/>
    </row>
    <row r="477" spans="5:6" ht="14.25" customHeight="1">
      <c r="E477" s="6"/>
      <c r="F477" s="6"/>
    </row>
    <row r="478" spans="5:6" ht="14.25" customHeight="1">
      <c r="E478" s="6"/>
      <c r="F478" s="6"/>
    </row>
    <row r="479" spans="5:6" ht="14.25" customHeight="1">
      <c r="E479" s="6"/>
      <c r="F479" s="6"/>
    </row>
    <row r="480" spans="5:6" ht="14.25" customHeight="1">
      <c r="E480" s="6"/>
      <c r="F480" s="6"/>
    </row>
    <row r="481" spans="5:6" ht="14.25" customHeight="1">
      <c r="E481" s="6"/>
      <c r="F481" s="6"/>
    </row>
    <row r="482" spans="5:6" ht="14.25" customHeight="1">
      <c r="E482" s="6"/>
      <c r="F482" s="6"/>
    </row>
    <row r="483" spans="5:6" ht="14.25" customHeight="1">
      <c r="E483" s="6"/>
      <c r="F483" s="6"/>
    </row>
    <row r="484" spans="5:6" ht="14.25" customHeight="1">
      <c r="E484" s="6"/>
      <c r="F484" s="6"/>
    </row>
    <row r="485" spans="5:6" ht="14.25" customHeight="1">
      <c r="E485" s="6"/>
      <c r="F485" s="6"/>
    </row>
    <row r="486" spans="5:6" ht="14.25" customHeight="1">
      <c r="E486" s="6"/>
      <c r="F486" s="6"/>
    </row>
    <row r="487" spans="5:6" ht="14.25" customHeight="1">
      <c r="E487" s="6"/>
      <c r="F487" s="6"/>
    </row>
    <row r="488" spans="5:6" ht="14.25" customHeight="1">
      <c r="E488" s="6"/>
      <c r="F488" s="6"/>
    </row>
    <row r="489" spans="5:6" ht="14.25" customHeight="1">
      <c r="E489" s="6"/>
      <c r="F489" s="6"/>
    </row>
    <row r="490" spans="5:6" ht="14.25" customHeight="1">
      <c r="E490" s="6"/>
      <c r="F490" s="6"/>
    </row>
    <row r="491" spans="5:6" ht="14.25" customHeight="1">
      <c r="E491" s="6"/>
      <c r="F491" s="6"/>
    </row>
    <row r="492" spans="5:6" ht="14.25" customHeight="1">
      <c r="E492" s="6"/>
      <c r="F492" s="6"/>
    </row>
    <row r="493" spans="5:6" ht="14.25" customHeight="1">
      <c r="E493" s="6"/>
      <c r="F493" s="6"/>
    </row>
    <row r="494" spans="5:6" ht="14.25" customHeight="1">
      <c r="E494" s="6"/>
      <c r="F494" s="6"/>
    </row>
    <row r="495" spans="5:6" ht="14.25" customHeight="1">
      <c r="E495" s="6"/>
      <c r="F495" s="6"/>
    </row>
    <row r="496" spans="5:6" ht="14.25" customHeight="1">
      <c r="E496" s="6"/>
      <c r="F496" s="6"/>
    </row>
    <row r="497" spans="5:6" ht="14.25" customHeight="1">
      <c r="E497" s="6"/>
      <c r="F497" s="6"/>
    </row>
    <row r="498" spans="5:6" ht="14.25" customHeight="1">
      <c r="E498" s="6"/>
      <c r="F498" s="6"/>
    </row>
    <row r="499" spans="5:6" ht="14.25" customHeight="1">
      <c r="E499" s="6"/>
      <c r="F499" s="6"/>
    </row>
    <row r="500" spans="5:6" ht="14.25" customHeight="1">
      <c r="E500" s="6"/>
      <c r="F500" s="6"/>
    </row>
    <row r="501" spans="5:6" ht="14.25" customHeight="1">
      <c r="E501" s="6"/>
      <c r="F501" s="6"/>
    </row>
    <row r="502" spans="5:6" ht="14.25" customHeight="1">
      <c r="E502" s="6"/>
      <c r="F502" s="6"/>
    </row>
    <row r="503" spans="5:6" ht="14.25" customHeight="1">
      <c r="E503" s="6"/>
      <c r="F503" s="6"/>
    </row>
    <row r="504" spans="5:6" ht="14.25" customHeight="1">
      <c r="E504" s="6"/>
      <c r="F504" s="6"/>
    </row>
    <row r="505" spans="5:6" ht="14.25" customHeight="1">
      <c r="E505" s="6"/>
      <c r="F505" s="6"/>
    </row>
    <row r="506" spans="5:6" ht="14.25" customHeight="1">
      <c r="E506" s="6"/>
      <c r="F506" s="6"/>
    </row>
    <row r="507" spans="5:6" ht="14.25" customHeight="1">
      <c r="E507" s="6"/>
      <c r="F507" s="6"/>
    </row>
    <row r="508" spans="5:6" ht="14.25" customHeight="1">
      <c r="E508" s="6"/>
      <c r="F508" s="6"/>
    </row>
    <row r="509" spans="5:6" ht="14.25" customHeight="1">
      <c r="E509" s="6"/>
      <c r="F509" s="6"/>
    </row>
    <row r="510" spans="5:6" ht="14.25" customHeight="1">
      <c r="E510" s="6"/>
      <c r="F510" s="6"/>
    </row>
    <row r="511" spans="5:6" ht="14.25" customHeight="1">
      <c r="E511" s="6"/>
      <c r="F511" s="6"/>
    </row>
    <row r="512" spans="5:6" ht="14.25" customHeight="1">
      <c r="E512" s="6"/>
      <c r="F512" s="6"/>
    </row>
    <row r="513" spans="5:6" ht="14.25" customHeight="1">
      <c r="E513" s="6"/>
      <c r="F513" s="6"/>
    </row>
    <row r="514" spans="5:6" ht="14.25" customHeight="1">
      <c r="E514" s="6"/>
      <c r="F514" s="6"/>
    </row>
    <row r="515" spans="5:6" ht="14.25" customHeight="1">
      <c r="E515" s="6"/>
      <c r="F515" s="6"/>
    </row>
    <row r="516" spans="5:6" ht="14.25" customHeight="1">
      <c r="E516" s="6"/>
      <c r="F516" s="6"/>
    </row>
    <row r="517" spans="5:6" ht="14.25" customHeight="1">
      <c r="E517" s="6"/>
      <c r="F517" s="6"/>
    </row>
    <row r="518" spans="5:6" ht="14.25" customHeight="1">
      <c r="E518" s="6"/>
      <c r="F518" s="6"/>
    </row>
    <row r="519" spans="5:6" ht="14.25" customHeight="1">
      <c r="E519" s="6"/>
      <c r="F519" s="6"/>
    </row>
    <row r="520" spans="5:6" ht="14.25" customHeight="1">
      <c r="E520" s="6"/>
      <c r="F520" s="6"/>
    </row>
    <row r="521" spans="5:6" ht="14.25" customHeight="1">
      <c r="E521" s="6"/>
      <c r="F521" s="6"/>
    </row>
    <row r="522" spans="5:6" ht="14.25" customHeight="1">
      <c r="E522" s="6"/>
      <c r="F522" s="6"/>
    </row>
    <row r="523" spans="5:6" ht="14.25" customHeight="1">
      <c r="E523" s="6"/>
      <c r="F523" s="6"/>
    </row>
    <row r="524" spans="5:6" ht="14.25" customHeight="1">
      <c r="E524" s="6"/>
      <c r="F524" s="6"/>
    </row>
    <row r="525" spans="5:6" ht="14.25" customHeight="1">
      <c r="E525" s="6"/>
      <c r="F525" s="6"/>
    </row>
    <row r="526" spans="5:6" ht="14.25" customHeight="1">
      <c r="E526" s="6"/>
      <c r="F526" s="6"/>
    </row>
    <row r="527" spans="5:6" ht="14.25" customHeight="1">
      <c r="E527" s="6"/>
      <c r="F527" s="6"/>
    </row>
    <row r="528" spans="5:6" ht="14.25" customHeight="1">
      <c r="E528" s="6"/>
      <c r="F528" s="6"/>
    </row>
    <row r="529" spans="5:6" ht="14.25" customHeight="1">
      <c r="E529" s="6"/>
      <c r="F529" s="6"/>
    </row>
    <row r="530" spans="5:6" ht="14.25" customHeight="1">
      <c r="E530" s="6"/>
      <c r="F530" s="6"/>
    </row>
    <row r="531" spans="5:6" ht="14.25" customHeight="1">
      <c r="E531" s="6"/>
      <c r="F531" s="6"/>
    </row>
    <row r="532" spans="5:6" ht="14.25" customHeight="1">
      <c r="E532" s="6"/>
      <c r="F532" s="6"/>
    </row>
    <row r="533" spans="5:6" ht="14.25" customHeight="1">
      <c r="E533" s="6"/>
      <c r="F533" s="6"/>
    </row>
    <row r="534" spans="5:6" ht="14.25" customHeight="1">
      <c r="E534" s="6"/>
      <c r="F534" s="6"/>
    </row>
    <row r="535" spans="5:6" ht="14.25" customHeight="1">
      <c r="E535" s="6"/>
      <c r="F535" s="6"/>
    </row>
    <row r="536" spans="5:6" ht="14.25" customHeight="1">
      <c r="E536" s="6"/>
      <c r="F536" s="6"/>
    </row>
    <row r="537" spans="5:6" ht="14.25" customHeight="1">
      <c r="E537" s="6"/>
      <c r="F537" s="6"/>
    </row>
    <row r="538" spans="5:6" ht="14.25" customHeight="1">
      <c r="E538" s="6"/>
      <c r="F538" s="6"/>
    </row>
    <row r="539" spans="5:6" ht="14.25" customHeight="1">
      <c r="E539" s="6"/>
      <c r="F539" s="6"/>
    </row>
    <row r="540" spans="5:6" ht="14.25" customHeight="1">
      <c r="E540" s="6"/>
      <c r="F540" s="6"/>
    </row>
    <row r="541" spans="5:6" ht="14.25" customHeight="1">
      <c r="E541" s="6"/>
      <c r="F541" s="6"/>
    </row>
    <row r="542" spans="5:6" ht="14.25" customHeight="1">
      <c r="E542" s="6"/>
      <c r="F542" s="6"/>
    </row>
    <row r="543" spans="5:6" ht="14.25" customHeight="1">
      <c r="E543" s="6"/>
      <c r="F543" s="6"/>
    </row>
    <row r="544" spans="5:6" ht="14.25" customHeight="1">
      <c r="E544" s="6"/>
      <c r="F544" s="6"/>
    </row>
    <row r="545" spans="5:6" ht="14.25" customHeight="1">
      <c r="E545" s="6"/>
      <c r="F545" s="6"/>
    </row>
    <row r="546" spans="5:6" ht="14.25" customHeight="1">
      <c r="E546" s="6"/>
      <c r="F546" s="6"/>
    </row>
    <row r="547" spans="5:6" ht="14.25" customHeight="1">
      <c r="E547" s="6"/>
      <c r="F547" s="6"/>
    </row>
    <row r="548" spans="5:6" ht="14.25" customHeight="1">
      <c r="E548" s="6"/>
      <c r="F548" s="6"/>
    </row>
    <row r="549" spans="5:6" ht="14.25" customHeight="1">
      <c r="E549" s="6"/>
      <c r="F549" s="6"/>
    </row>
    <row r="550" spans="5:6" ht="14.25" customHeight="1">
      <c r="E550" s="6"/>
      <c r="F550" s="6"/>
    </row>
    <row r="551" spans="5:6" ht="14.25" customHeight="1">
      <c r="E551" s="6"/>
      <c r="F551" s="6"/>
    </row>
    <row r="552" spans="5:6" ht="14.25" customHeight="1">
      <c r="E552" s="6"/>
      <c r="F552" s="6"/>
    </row>
    <row r="553" spans="5:6" ht="14.25" customHeight="1">
      <c r="E553" s="6"/>
      <c r="F553" s="6"/>
    </row>
    <row r="554" spans="5:6" ht="14.25" customHeight="1">
      <c r="E554" s="6"/>
      <c r="F554" s="6"/>
    </row>
    <row r="555" spans="5:6" ht="14.25" customHeight="1">
      <c r="E555" s="6"/>
      <c r="F555" s="6"/>
    </row>
    <row r="556" spans="5:6" ht="14.25" customHeight="1">
      <c r="E556" s="6"/>
      <c r="F556" s="6"/>
    </row>
    <row r="557" spans="5:6" ht="14.25" customHeight="1">
      <c r="E557" s="6"/>
      <c r="F557" s="6"/>
    </row>
    <row r="558" spans="5:6" ht="14.25" customHeight="1">
      <c r="E558" s="6"/>
      <c r="F558" s="6"/>
    </row>
    <row r="559" spans="5:6" ht="14.25" customHeight="1">
      <c r="E559" s="6"/>
      <c r="F559" s="6"/>
    </row>
    <row r="560" spans="5:6" ht="14.25" customHeight="1">
      <c r="E560" s="6"/>
      <c r="F560" s="6"/>
    </row>
    <row r="561" spans="5:6" ht="14.25" customHeight="1">
      <c r="E561" s="6"/>
      <c r="F561" s="6"/>
    </row>
    <row r="562" spans="5:6" ht="14.25" customHeight="1">
      <c r="E562" s="6"/>
      <c r="F562" s="6"/>
    </row>
    <row r="563" spans="5:6" ht="14.25" customHeight="1">
      <c r="E563" s="6"/>
      <c r="F563" s="6"/>
    </row>
    <row r="564" spans="5:6" ht="14.25" customHeight="1">
      <c r="E564" s="6"/>
      <c r="F564" s="6"/>
    </row>
    <row r="565" spans="5:6" ht="14.25" customHeight="1">
      <c r="E565" s="6"/>
      <c r="F565" s="6"/>
    </row>
    <row r="566" spans="5:6" ht="14.25" customHeight="1">
      <c r="E566" s="6"/>
      <c r="F566" s="6"/>
    </row>
    <row r="567" spans="5:6" ht="14.25" customHeight="1">
      <c r="E567" s="6"/>
      <c r="F567" s="6"/>
    </row>
    <row r="568" spans="5:6" ht="14.25" customHeight="1">
      <c r="E568" s="6"/>
      <c r="F568" s="6"/>
    </row>
    <row r="569" spans="5:6" ht="14.25" customHeight="1">
      <c r="E569" s="6"/>
      <c r="F569" s="6"/>
    </row>
    <row r="570" spans="5:6" ht="14.25" customHeight="1">
      <c r="E570" s="6"/>
      <c r="F570" s="6"/>
    </row>
    <row r="571" spans="5:6" ht="14.25" customHeight="1">
      <c r="E571" s="6"/>
      <c r="F571" s="6"/>
    </row>
    <row r="572" spans="5:6" ht="14.25" customHeight="1">
      <c r="E572" s="6"/>
      <c r="F572" s="6"/>
    </row>
    <row r="573" spans="5:6" ht="14.25" customHeight="1">
      <c r="E573" s="6"/>
      <c r="F573" s="6"/>
    </row>
    <row r="574" spans="5:6" ht="14.25" customHeight="1">
      <c r="E574" s="6"/>
      <c r="F574" s="6"/>
    </row>
    <row r="575" spans="5:6" ht="14.25" customHeight="1">
      <c r="E575" s="6"/>
      <c r="F575" s="6"/>
    </row>
    <row r="576" spans="5:6" ht="14.25" customHeight="1">
      <c r="E576" s="6"/>
      <c r="F576" s="6"/>
    </row>
    <row r="577" spans="5:6" ht="14.25" customHeight="1">
      <c r="E577" s="6"/>
      <c r="F577" s="6"/>
    </row>
    <row r="578" spans="5:6" ht="14.25" customHeight="1">
      <c r="E578" s="6"/>
      <c r="F578" s="6"/>
    </row>
    <row r="579" spans="5:6" ht="14.25" customHeight="1">
      <c r="E579" s="6"/>
      <c r="F579" s="6"/>
    </row>
    <row r="580" spans="5:6" ht="14.25" customHeight="1">
      <c r="E580" s="6"/>
      <c r="F580" s="6"/>
    </row>
    <row r="581" spans="5:6" ht="14.25" customHeight="1">
      <c r="E581" s="6"/>
      <c r="F581" s="6"/>
    </row>
    <row r="582" spans="5:6" ht="14.25" customHeight="1">
      <c r="E582" s="6"/>
      <c r="F582" s="6"/>
    </row>
    <row r="583" spans="5:6" ht="14.25" customHeight="1">
      <c r="E583" s="6"/>
      <c r="F583" s="6"/>
    </row>
    <row r="584" spans="5:6" ht="14.25" customHeight="1">
      <c r="E584" s="6"/>
      <c r="F584" s="6"/>
    </row>
    <row r="585" spans="5:6" ht="14.25" customHeight="1">
      <c r="E585" s="6"/>
      <c r="F585" s="6"/>
    </row>
    <row r="586" spans="5:6" ht="14.25" customHeight="1">
      <c r="E586" s="6"/>
      <c r="F586" s="6"/>
    </row>
    <row r="587" spans="5:6" ht="14.25" customHeight="1">
      <c r="E587" s="6"/>
      <c r="F587" s="6"/>
    </row>
    <row r="588" spans="5:6" ht="14.25" customHeight="1">
      <c r="E588" s="6"/>
      <c r="F588" s="6"/>
    </row>
    <row r="589" spans="5:6" ht="14.25" customHeight="1">
      <c r="E589" s="6"/>
      <c r="F589" s="6"/>
    </row>
    <row r="590" spans="5:6" ht="14.25" customHeight="1">
      <c r="E590" s="6"/>
      <c r="F590" s="6"/>
    </row>
    <row r="591" spans="5:6" ht="14.25" customHeight="1">
      <c r="E591" s="6"/>
      <c r="F591" s="6"/>
    </row>
    <row r="592" spans="5:6" ht="14.25" customHeight="1">
      <c r="E592" s="6"/>
      <c r="F592" s="6"/>
    </row>
    <row r="593" spans="5:6" ht="14.25" customHeight="1">
      <c r="E593" s="6"/>
      <c r="F593" s="6"/>
    </row>
    <row r="594" spans="5:6" ht="14.25" customHeight="1">
      <c r="E594" s="6"/>
      <c r="F594" s="6"/>
    </row>
    <row r="595" spans="5:6" ht="14.25" customHeight="1">
      <c r="E595" s="6"/>
      <c r="F595" s="6"/>
    </row>
    <row r="596" spans="5:6" ht="14.25" customHeight="1">
      <c r="E596" s="6"/>
      <c r="F596" s="6"/>
    </row>
    <row r="597" spans="5:6" ht="14.25" customHeight="1">
      <c r="E597" s="6"/>
      <c r="F597" s="6"/>
    </row>
    <row r="598" spans="5:6" ht="14.25" customHeight="1">
      <c r="E598" s="6"/>
      <c r="F598" s="6"/>
    </row>
    <row r="599" spans="5:6" ht="14.25" customHeight="1">
      <c r="E599" s="6"/>
      <c r="F599" s="6"/>
    </row>
    <row r="600" spans="5:6" ht="14.25" customHeight="1">
      <c r="E600" s="6"/>
      <c r="F600" s="6"/>
    </row>
    <row r="601" spans="5:6" ht="14.25" customHeight="1">
      <c r="E601" s="6"/>
      <c r="F601" s="6"/>
    </row>
    <row r="602" spans="5:6" ht="14.25" customHeight="1">
      <c r="E602" s="6"/>
      <c r="F602" s="6"/>
    </row>
    <row r="603" spans="5:6" ht="14.25" customHeight="1">
      <c r="E603" s="6"/>
      <c r="F603" s="6"/>
    </row>
    <row r="604" spans="5:6" ht="14.25" customHeight="1">
      <c r="E604" s="6"/>
      <c r="F604" s="6"/>
    </row>
    <row r="605" spans="5:6" ht="14.25" customHeight="1">
      <c r="E605" s="6"/>
      <c r="F605" s="6"/>
    </row>
    <row r="606" spans="5:6" ht="14.25" customHeight="1">
      <c r="E606" s="6"/>
      <c r="F606" s="6"/>
    </row>
    <row r="607" spans="5:6" ht="14.25" customHeight="1">
      <c r="E607" s="6"/>
      <c r="F607" s="6"/>
    </row>
    <row r="608" spans="5:6" ht="14.25" customHeight="1">
      <c r="E608" s="6"/>
      <c r="F608" s="6"/>
    </row>
    <row r="609" spans="5:6" ht="14.25" customHeight="1">
      <c r="E609" s="6"/>
      <c r="F609" s="6"/>
    </row>
    <row r="610" spans="5:6" ht="14.25" customHeight="1">
      <c r="E610" s="6"/>
      <c r="F610" s="6"/>
    </row>
    <row r="611" spans="5:6" ht="14.25" customHeight="1">
      <c r="E611" s="6"/>
      <c r="F611" s="6"/>
    </row>
    <row r="612" spans="5:6" ht="14.25" customHeight="1">
      <c r="E612" s="6"/>
      <c r="F612" s="6"/>
    </row>
    <row r="613" spans="5:6" ht="14.25" customHeight="1">
      <c r="E613" s="6"/>
      <c r="F613" s="6"/>
    </row>
    <row r="614" spans="5:6" ht="14.25" customHeight="1">
      <c r="E614" s="6"/>
      <c r="F614" s="6"/>
    </row>
    <row r="615" spans="5:6" ht="14.25" customHeight="1">
      <c r="E615" s="6"/>
      <c r="F615" s="6"/>
    </row>
    <row r="616" spans="5:6" ht="14.25" customHeight="1">
      <c r="E616" s="6"/>
      <c r="F616" s="6"/>
    </row>
    <row r="617" spans="5:6" ht="14.25" customHeight="1">
      <c r="E617" s="6"/>
      <c r="F617" s="6"/>
    </row>
    <row r="618" spans="5:6" ht="14.25" customHeight="1">
      <c r="E618" s="6"/>
      <c r="F618" s="6"/>
    </row>
    <row r="619" spans="5:6" ht="14.25" customHeight="1">
      <c r="E619" s="6"/>
      <c r="F619" s="6"/>
    </row>
    <row r="620" spans="5:6" ht="14.25" customHeight="1">
      <c r="E620" s="6"/>
      <c r="F620" s="6"/>
    </row>
    <row r="621" spans="5:6" ht="14.25" customHeight="1">
      <c r="E621" s="6"/>
      <c r="F621" s="6"/>
    </row>
    <row r="622" spans="5:6" ht="14.25" customHeight="1">
      <c r="E622" s="6"/>
      <c r="F622" s="6"/>
    </row>
    <row r="623" spans="5:6" ht="14.25" customHeight="1">
      <c r="E623" s="6"/>
      <c r="F623" s="6"/>
    </row>
    <row r="624" spans="5:6" ht="14.25" customHeight="1">
      <c r="E624" s="6"/>
      <c r="F624" s="6"/>
    </row>
    <row r="625" spans="5:6" ht="14.25" customHeight="1">
      <c r="E625" s="6"/>
      <c r="F625" s="6"/>
    </row>
    <row r="626" spans="5:6" ht="14.25" customHeight="1">
      <c r="E626" s="6"/>
      <c r="F626" s="6"/>
    </row>
    <row r="627" spans="5:6" ht="14.25" customHeight="1">
      <c r="E627" s="6"/>
      <c r="F627" s="6"/>
    </row>
    <row r="628" spans="5:6" ht="14.25" customHeight="1">
      <c r="E628" s="6"/>
      <c r="F628" s="6"/>
    </row>
    <row r="629" spans="5:6" ht="14.25" customHeight="1">
      <c r="E629" s="6"/>
      <c r="F629" s="6"/>
    </row>
    <row r="630" spans="5:6" ht="14.25" customHeight="1">
      <c r="E630" s="6"/>
      <c r="F630" s="6"/>
    </row>
    <row r="631" spans="5:6" ht="14.25" customHeight="1">
      <c r="E631" s="6"/>
      <c r="F631" s="6"/>
    </row>
    <row r="632" spans="5:6" ht="14.25" customHeight="1">
      <c r="E632" s="6"/>
      <c r="F632" s="6"/>
    </row>
    <row r="633" spans="5:6" ht="14.25" customHeight="1">
      <c r="E633" s="6"/>
      <c r="F633" s="6"/>
    </row>
    <row r="634" spans="5:6" ht="14.25" customHeight="1">
      <c r="E634" s="6"/>
      <c r="F634" s="6"/>
    </row>
    <row r="635" spans="5:6" ht="14.25" customHeight="1">
      <c r="E635" s="6"/>
      <c r="F635" s="6"/>
    </row>
    <row r="636" spans="5:6" ht="14.25" customHeight="1">
      <c r="E636" s="6"/>
      <c r="F636" s="6"/>
    </row>
    <row r="637" spans="5:6" ht="14.25" customHeight="1">
      <c r="E637" s="6"/>
      <c r="F637" s="6"/>
    </row>
    <row r="638" spans="5:6" ht="14.25" customHeight="1">
      <c r="E638" s="6"/>
      <c r="F638" s="6"/>
    </row>
    <row r="639" spans="5:6" ht="14.25" customHeight="1">
      <c r="E639" s="6"/>
      <c r="F639" s="6"/>
    </row>
    <row r="640" spans="5:6" ht="14.25" customHeight="1">
      <c r="E640" s="6"/>
      <c r="F640" s="6"/>
    </row>
    <row r="641" spans="5:6" ht="14.25" customHeight="1">
      <c r="E641" s="6"/>
      <c r="F641" s="6"/>
    </row>
    <row r="642" spans="5:6" ht="14.25" customHeight="1">
      <c r="E642" s="6"/>
      <c r="F642" s="6"/>
    </row>
    <row r="643" spans="5:6" ht="14.25" customHeight="1">
      <c r="E643" s="6"/>
      <c r="F643" s="6"/>
    </row>
    <row r="644" spans="5:6" ht="14.25" customHeight="1">
      <c r="E644" s="6"/>
      <c r="F644" s="6"/>
    </row>
    <row r="645" spans="5:6" ht="14.25" customHeight="1">
      <c r="E645" s="6"/>
      <c r="F645" s="6"/>
    </row>
    <row r="646" spans="5:6" ht="14.25" customHeight="1">
      <c r="E646" s="6"/>
      <c r="F646" s="6"/>
    </row>
    <row r="647" spans="5:6" ht="14.25" customHeight="1">
      <c r="E647" s="6"/>
      <c r="F647" s="6"/>
    </row>
    <row r="648" spans="5:6" ht="14.25" customHeight="1">
      <c r="E648" s="6"/>
      <c r="F648" s="6"/>
    </row>
    <row r="649" spans="5:6" ht="14.25" customHeight="1">
      <c r="E649" s="6"/>
      <c r="F649" s="6"/>
    </row>
    <row r="650" spans="5:6" ht="14.25" customHeight="1">
      <c r="E650" s="6"/>
      <c r="F650" s="6"/>
    </row>
    <row r="651" spans="5:6" ht="14.25" customHeight="1">
      <c r="E651" s="6"/>
      <c r="F651" s="6"/>
    </row>
    <row r="652" spans="5:6" ht="14.25" customHeight="1">
      <c r="E652" s="6"/>
      <c r="F652" s="6"/>
    </row>
    <row r="653" spans="5:6" ht="14.25" customHeight="1">
      <c r="E653" s="6"/>
      <c r="F653" s="6"/>
    </row>
    <row r="654" spans="5:6" ht="14.25" customHeight="1">
      <c r="E654" s="6"/>
      <c r="F654" s="6"/>
    </row>
    <row r="655" spans="5:6" ht="14.25" customHeight="1">
      <c r="E655" s="6"/>
      <c r="F655" s="6"/>
    </row>
    <row r="656" spans="5:6" ht="14.25" customHeight="1">
      <c r="E656" s="6"/>
      <c r="F656" s="6"/>
    </row>
    <row r="657" spans="5:6" ht="14.25" customHeight="1">
      <c r="E657" s="6"/>
      <c r="F657" s="6"/>
    </row>
    <row r="658" spans="5:6" ht="14.25" customHeight="1">
      <c r="E658" s="6"/>
      <c r="F658" s="6"/>
    </row>
    <row r="659" spans="5:6" ht="14.25" customHeight="1">
      <c r="E659" s="6"/>
      <c r="F659" s="6"/>
    </row>
    <row r="660" spans="5:6" ht="14.25" customHeight="1">
      <c r="E660" s="6"/>
      <c r="F660" s="6"/>
    </row>
    <row r="661" spans="5:6" ht="14.25" customHeight="1">
      <c r="E661" s="6"/>
      <c r="F661" s="6"/>
    </row>
    <row r="662" spans="5:6" ht="14.25" customHeight="1">
      <c r="E662" s="6"/>
      <c r="F662" s="6"/>
    </row>
    <row r="663" spans="5:6" ht="14.25" customHeight="1">
      <c r="E663" s="6"/>
      <c r="F663" s="6"/>
    </row>
    <row r="664" spans="5:6" ht="14.25" customHeight="1">
      <c r="E664" s="6"/>
      <c r="F664" s="6"/>
    </row>
    <row r="665" spans="5:6" ht="14.25" customHeight="1">
      <c r="E665" s="6"/>
      <c r="F665" s="6"/>
    </row>
    <row r="666" spans="5:6" ht="14.25" customHeight="1">
      <c r="E666" s="6"/>
      <c r="F666" s="6"/>
    </row>
    <row r="667" spans="5:6" ht="14.25" customHeight="1">
      <c r="E667" s="6"/>
      <c r="F667" s="6"/>
    </row>
    <row r="668" spans="5:6" ht="14.25" customHeight="1">
      <c r="E668" s="6"/>
      <c r="F668" s="6"/>
    </row>
    <row r="669" spans="5:6" ht="14.25" customHeight="1">
      <c r="E669" s="6"/>
      <c r="F669" s="6"/>
    </row>
    <row r="670" spans="5:6" ht="14.25" customHeight="1">
      <c r="E670" s="6"/>
      <c r="F670" s="6"/>
    </row>
    <row r="671" spans="5:6" ht="14.25" customHeight="1">
      <c r="E671" s="6"/>
      <c r="F671" s="6"/>
    </row>
    <row r="672" spans="5:6" ht="14.25" customHeight="1">
      <c r="E672" s="6"/>
      <c r="F672" s="6"/>
    </row>
    <row r="673" spans="5:6" ht="14.25" customHeight="1">
      <c r="E673" s="6"/>
      <c r="F673" s="6"/>
    </row>
    <row r="674" spans="5:6" ht="14.25" customHeight="1">
      <c r="E674" s="6"/>
      <c r="F674" s="6"/>
    </row>
    <row r="675" spans="5:6" ht="14.25" customHeight="1">
      <c r="E675" s="6"/>
      <c r="F675" s="6"/>
    </row>
    <row r="676" spans="5:6" ht="14.25" customHeight="1">
      <c r="E676" s="6"/>
      <c r="F676" s="6"/>
    </row>
    <row r="677" spans="5:6" ht="14.25" customHeight="1">
      <c r="E677" s="6"/>
      <c r="F677" s="6"/>
    </row>
    <row r="678" spans="5:6" ht="14.25" customHeight="1">
      <c r="E678" s="6"/>
      <c r="F678" s="6"/>
    </row>
    <row r="679" spans="5:6" ht="14.25" customHeight="1">
      <c r="E679" s="6"/>
      <c r="F679" s="6"/>
    </row>
    <row r="680" spans="5:6" ht="14.25" customHeight="1">
      <c r="E680" s="6"/>
      <c r="F680" s="6"/>
    </row>
    <row r="681" spans="5:6" ht="14.25" customHeight="1">
      <c r="E681" s="6"/>
      <c r="F681" s="6"/>
    </row>
    <row r="682" spans="5:6" ht="14.25" customHeight="1">
      <c r="E682" s="6"/>
      <c r="F682" s="6"/>
    </row>
    <row r="683" spans="5:6" ht="14.25" customHeight="1">
      <c r="E683" s="6"/>
      <c r="F683" s="6"/>
    </row>
    <row r="684" spans="5:6" ht="14.25" customHeight="1">
      <c r="E684" s="6"/>
      <c r="F684" s="6"/>
    </row>
    <row r="685" spans="5:6" ht="14.25" customHeight="1">
      <c r="E685" s="6"/>
      <c r="F685" s="6"/>
    </row>
    <row r="686" spans="5:6" ht="14.25" customHeight="1">
      <c r="E686" s="6"/>
      <c r="F686" s="6"/>
    </row>
    <row r="687" spans="5:6" ht="14.25" customHeight="1">
      <c r="E687" s="6"/>
      <c r="F687" s="6"/>
    </row>
    <row r="688" spans="5:6" ht="14.25" customHeight="1">
      <c r="E688" s="6"/>
      <c r="F688" s="6"/>
    </row>
    <row r="689" spans="5:6" ht="14.25" customHeight="1">
      <c r="E689" s="6"/>
      <c r="F689" s="6"/>
    </row>
    <row r="690" spans="5:6" ht="14.25" customHeight="1">
      <c r="E690" s="6"/>
      <c r="F690" s="6"/>
    </row>
    <row r="691" spans="5:6" ht="14.25" customHeight="1">
      <c r="E691" s="6"/>
      <c r="F691" s="6"/>
    </row>
    <row r="692" spans="5:6" ht="14.25" customHeight="1">
      <c r="E692" s="6"/>
      <c r="F692" s="6"/>
    </row>
    <row r="693" spans="5:6" ht="14.25" customHeight="1">
      <c r="E693" s="6"/>
      <c r="F693" s="6"/>
    </row>
    <row r="694" spans="5:6" ht="14.25" customHeight="1">
      <c r="E694" s="6"/>
      <c r="F694" s="6"/>
    </row>
    <row r="695" spans="5:6" ht="14.25" customHeight="1">
      <c r="E695" s="6"/>
      <c r="F695" s="6"/>
    </row>
    <row r="696" spans="5:6" ht="14.25" customHeight="1">
      <c r="E696" s="6"/>
      <c r="F696" s="6"/>
    </row>
    <row r="697" spans="5:6" ht="14.25" customHeight="1">
      <c r="E697" s="6"/>
      <c r="F697" s="6"/>
    </row>
    <row r="698" spans="5:6" ht="14.25" customHeight="1">
      <c r="E698" s="6"/>
      <c r="F698" s="6"/>
    </row>
    <row r="699" spans="5:6" ht="14.25" customHeight="1">
      <c r="E699" s="6"/>
      <c r="F699" s="6"/>
    </row>
    <row r="700" spans="5:6" ht="14.25" customHeight="1">
      <c r="E700" s="6"/>
      <c r="F700" s="6"/>
    </row>
    <row r="701" spans="5:6" ht="14.25" customHeight="1">
      <c r="E701" s="6"/>
      <c r="F701" s="6"/>
    </row>
    <row r="702" spans="5:6" ht="14.25" customHeight="1">
      <c r="E702" s="6"/>
      <c r="F702" s="6"/>
    </row>
    <row r="703" spans="5:6" ht="14.25" customHeight="1">
      <c r="E703" s="6"/>
      <c r="F703" s="6"/>
    </row>
    <row r="704" spans="5:6" ht="14.25" customHeight="1">
      <c r="E704" s="6"/>
      <c r="F704" s="6"/>
    </row>
    <row r="705" spans="5:6" ht="14.25" customHeight="1">
      <c r="E705" s="6"/>
      <c r="F705" s="6"/>
    </row>
    <row r="706" spans="5:6" ht="14.25" customHeight="1">
      <c r="E706" s="6"/>
      <c r="F706" s="6"/>
    </row>
    <row r="707" spans="5:6" ht="14.25" customHeight="1">
      <c r="E707" s="6"/>
      <c r="F707" s="6"/>
    </row>
    <row r="708" spans="5:6" ht="14.25" customHeight="1">
      <c r="E708" s="6"/>
      <c r="F708" s="6"/>
    </row>
    <row r="709" spans="5:6" ht="14.25" customHeight="1">
      <c r="E709" s="6"/>
      <c r="F709" s="6"/>
    </row>
    <row r="710" spans="5:6" ht="14.25" customHeight="1">
      <c r="E710" s="6"/>
      <c r="F710" s="6"/>
    </row>
    <row r="711" spans="5:6" ht="14.25" customHeight="1">
      <c r="E711" s="6"/>
      <c r="F711" s="6"/>
    </row>
    <row r="712" spans="5:6" ht="14.25" customHeight="1">
      <c r="E712" s="6"/>
      <c r="F712" s="6"/>
    </row>
    <row r="713" spans="5:6" ht="14.25" customHeight="1">
      <c r="E713" s="6"/>
      <c r="F713" s="6"/>
    </row>
    <row r="714" spans="5:6" ht="14.25" customHeight="1">
      <c r="E714" s="6"/>
      <c r="F714" s="6"/>
    </row>
    <row r="715" spans="5:6" ht="14.25" customHeight="1">
      <c r="E715" s="6"/>
      <c r="F715" s="6"/>
    </row>
    <row r="716" spans="5:6" ht="14.25" customHeight="1">
      <c r="E716" s="6"/>
      <c r="F716" s="6"/>
    </row>
    <row r="717" spans="5:6" ht="14.25" customHeight="1">
      <c r="E717" s="6"/>
      <c r="F717" s="6"/>
    </row>
    <row r="718" spans="5:6" ht="14.25" customHeight="1">
      <c r="E718" s="6"/>
      <c r="F718" s="6"/>
    </row>
    <row r="719" spans="5:6" ht="14.25" customHeight="1">
      <c r="E719" s="6"/>
      <c r="F719" s="6"/>
    </row>
    <row r="720" spans="5:6" ht="14.25" customHeight="1">
      <c r="E720" s="6"/>
      <c r="F720" s="6"/>
    </row>
    <row r="721" spans="5:6" ht="14.25" customHeight="1">
      <c r="E721" s="6"/>
      <c r="F721" s="6"/>
    </row>
    <row r="722" spans="5:6" ht="14.25" customHeight="1">
      <c r="E722" s="6"/>
      <c r="F722" s="6"/>
    </row>
    <row r="723" spans="5:6" ht="14.25" customHeight="1">
      <c r="E723" s="6"/>
      <c r="F723" s="6"/>
    </row>
    <row r="724" spans="5:6" ht="14.25" customHeight="1">
      <c r="E724" s="6"/>
      <c r="F724" s="6"/>
    </row>
    <row r="725" spans="5:6" ht="14.25" customHeight="1">
      <c r="E725" s="6"/>
      <c r="F725" s="6"/>
    </row>
    <row r="726" spans="5:6" ht="14.25" customHeight="1">
      <c r="E726" s="6"/>
      <c r="F726" s="6"/>
    </row>
    <row r="727" spans="5:6" ht="14.25" customHeight="1">
      <c r="E727" s="6"/>
      <c r="F727" s="6"/>
    </row>
    <row r="728" spans="5:6" ht="14.25" customHeight="1">
      <c r="E728" s="6"/>
      <c r="F728" s="6"/>
    </row>
    <row r="729" spans="5:6" ht="14.25" customHeight="1">
      <c r="E729" s="6"/>
      <c r="F729" s="6"/>
    </row>
    <row r="730" spans="5:6" ht="14.25" customHeight="1">
      <c r="E730" s="6"/>
      <c r="F730" s="6"/>
    </row>
    <row r="731" spans="5:6" ht="14.25" customHeight="1">
      <c r="E731" s="6"/>
      <c r="F731" s="6"/>
    </row>
    <row r="732" spans="5:6" ht="14.25" customHeight="1">
      <c r="E732" s="6"/>
      <c r="F732" s="6"/>
    </row>
    <row r="733" spans="5:6" ht="14.25" customHeight="1">
      <c r="E733" s="6"/>
      <c r="F733" s="6"/>
    </row>
    <row r="734" spans="5:6" ht="14.25" customHeight="1">
      <c r="E734" s="6"/>
      <c r="F734" s="6"/>
    </row>
    <row r="735" spans="5:6" ht="14.25" customHeight="1">
      <c r="E735" s="6"/>
      <c r="F735" s="6"/>
    </row>
    <row r="736" spans="5:6" ht="14.25" customHeight="1">
      <c r="E736" s="6"/>
      <c r="F736" s="6"/>
    </row>
    <row r="737" spans="5:6" ht="14.25" customHeight="1">
      <c r="E737" s="6"/>
      <c r="F737" s="6"/>
    </row>
    <row r="738" spans="5:6" ht="14.25" customHeight="1">
      <c r="E738" s="6"/>
      <c r="F738" s="6"/>
    </row>
    <row r="739" spans="5:6" ht="14.25" customHeight="1">
      <c r="E739" s="6"/>
      <c r="F739" s="6"/>
    </row>
    <row r="740" spans="5:6" ht="14.25" customHeight="1">
      <c r="E740" s="6"/>
      <c r="F740" s="6"/>
    </row>
    <row r="741" spans="5:6" ht="14.25" customHeight="1">
      <c r="E741" s="6"/>
      <c r="F741" s="6"/>
    </row>
    <row r="742" spans="5:6" ht="14.25" customHeight="1">
      <c r="E742" s="6"/>
      <c r="F742" s="6"/>
    </row>
    <row r="743" spans="5:6" ht="14.25" customHeight="1">
      <c r="E743" s="6"/>
      <c r="F743" s="6"/>
    </row>
    <row r="744" spans="5:6" ht="14.25" customHeight="1">
      <c r="E744" s="6"/>
      <c r="F744" s="6"/>
    </row>
    <row r="745" spans="5:6" ht="14.25" customHeight="1">
      <c r="E745" s="6"/>
      <c r="F745" s="6"/>
    </row>
    <row r="746" spans="5:6" ht="14.25" customHeight="1">
      <c r="E746" s="6"/>
      <c r="F746" s="6"/>
    </row>
    <row r="747" spans="5:6" ht="14.25" customHeight="1">
      <c r="E747" s="6"/>
      <c r="F747" s="6"/>
    </row>
    <row r="748" spans="5:6" ht="14.25" customHeight="1">
      <c r="E748" s="6"/>
      <c r="F748" s="6"/>
    </row>
    <row r="749" spans="5:6" ht="14.25" customHeight="1">
      <c r="E749" s="6"/>
      <c r="F749" s="6"/>
    </row>
    <row r="750" spans="5:6" ht="14.25" customHeight="1">
      <c r="E750" s="6"/>
      <c r="F750" s="6"/>
    </row>
    <row r="751" spans="5:6" ht="14.25" customHeight="1">
      <c r="E751" s="6"/>
      <c r="F751" s="6"/>
    </row>
    <row r="752" spans="5:6" ht="14.25" customHeight="1">
      <c r="E752" s="6"/>
      <c r="F752" s="6"/>
    </row>
    <row r="753" spans="5:6" ht="14.25" customHeight="1">
      <c r="E753" s="6"/>
      <c r="F753" s="6"/>
    </row>
    <row r="754" spans="5:6" ht="14.25" customHeight="1">
      <c r="E754" s="6"/>
      <c r="F754" s="6"/>
    </row>
    <row r="755" spans="5:6" ht="14.25" customHeight="1">
      <c r="E755" s="6"/>
      <c r="F755" s="6"/>
    </row>
    <row r="756" spans="5:6" ht="14.25" customHeight="1">
      <c r="E756" s="6"/>
      <c r="F756" s="6"/>
    </row>
    <row r="757" spans="5:6" ht="14.25" customHeight="1">
      <c r="E757" s="6"/>
      <c r="F757" s="6"/>
    </row>
    <row r="758" spans="5:6" ht="14.25" customHeight="1">
      <c r="E758" s="6"/>
      <c r="F758" s="6"/>
    </row>
    <row r="759" spans="5:6" ht="14.25" customHeight="1">
      <c r="E759" s="6"/>
      <c r="F759" s="6"/>
    </row>
    <row r="760" spans="5:6" ht="14.25" customHeight="1">
      <c r="E760" s="6"/>
      <c r="F760" s="6"/>
    </row>
    <row r="761" spans="5:6" ht="14.25" customHeight="1">
      <c r="E761" s="6"/>
      <c r="F761" s="6"/>
    </row>
    <row r="762" spans="5:6" ht="14.25" customHeight="1">
      <c r="E762" s="6"/>
      <c r="F762" s="6"/>
    </row>
    <row r="763" spans="5:6" ht="14.25" customHeight="1">
      <c r="E763" s="6"/>
      <c r="F763" s="6"/>
    </row>
    <row r="764" spans="5:6" ht="14.25" customHeight="1">
      <c r="E764" s="6"/>
      <c r="F764" s="6"/>
    </row>
    <row r="765" spans="5:6" ht="14.25" customHeight="1">
      <c r="E765" s="6"/>
      <c r="F765" s="6"/>
    </row>
    <row r="766" spans="5:6" ht="14.25" customHeight="1">
      <c r="E766" s="6"/>
      <c r="F766" s="6"/>
    </row>
    <row r="767" spans="5:6" ht="14.25" customHeight="1">
      <c r="E767" s="6"/>
      <c r="F767" s="6"/>
    </row>
    <row r="768" spans="5:6" ht="14.25" customHeight="1">
      <c r="E768" s="6"/>
      <c r="F768" s="6"/>
    </row>
    <row r="769" spans="5:6" ht="14.25" customHeight="1">
      <c r="E769" s="6"/>
      <c r="F769" s="6"/>
    </row>
    <row r="770" spans="5:6" ht="14.25" customHeight="1">
      <c r="E770" s="6"/>
      <c r="F770" s="6"/>
    </row>
    <row r="771" spans="5:6" ht="14.25" customHeight="1">
      <c r="E771" s="6"/>
      <c r="F771" s="6"/>
    </row>
    <row r="772" spans="5:6" ht="14.25" customHeight="1">
      <c r="E772" s="6"/>
      <c r="F772" s="6"/>
    </row>
    <row r="773" spans="5:6" ht="14.25" customHeight="1">
      <c r="E773" s="6"/>
      <c r="F773" s="6"/>
    </row>
    <row r="774" spans="5:6" ht="14.25" customHeight="1">
      <c r="E774" s="6"/>
      <c r="F774" s="6"/>
    </row>
    <row r="775" spans="5:6" ht="14.25" customHeight="1">
      <c r="E775" s="6"/>
      <c r="F775" s="6"/>
    </row>
    <row r="776" spans="5:6" ht="14.25" customHeight="1">
      <c r="E776" s="6"/>
      <c r="F776" s="6"/>
    </row>
    <row r="777" spans="5:6" ht="14.25" customHeight="1">
      <c r="E777" s="6"/>
      <c r="F777" s="6"/>
    </row>
    <row r="778" spans="5:6" ht="14.25" customHeight="1">
      <c r="E778" s="6"/>
      <c r="F778" s="6"/>
    </row>
    <row r="779" spans="5:6" ht="14.25" customHeight="1">
      <c r="E779" s="6"/>
      <c r="F779" s="6"/>
    </row>
    <row r="780" spans="5:6" ht="14.25" customHeight="1">
      <c r="E780" s="6"/>
      <c r="F780" s="6"/>
    </row>
    <row r="781" spans="5:6" ht="14.25" customHeight="1">
      <c r="E781" s="6"/>
      <c r="F781" s="6"/>
    </row>
    <row r="782" spans="5:6" ht="14.25" customHeight="1">
      <c r="E782" s="6"/>
      <c r="F782" s="6"/>
    </row>
    <row r="783" spans="5:6" ht="14.25" customHeight="1">
      <c r="E783" s="6"/>
      <c r="F783" s="6"/>
    </row>
    <row r="784" spans="5:6" ht="14.25" customHeight="1">
      <c r="E784" s="6"/>
      <c r="F784" s="6"/>
    </row>
    <row r="785" spans="5:6" ht="14.25" customHeight="1">
      <c r="E785" s="6"/>
      <c r="F785" s="6"/>
    </row>
    <row r="786" spans="5:6" ht="14.25" customHeight="1">
      <c r="E786" s="6"/>
      <c r="F786" s="6"/>
    </row>
    <row r="787" spans="5:6" ht="14.25" customHeight="1">
      <c r="E787" s="6"/>
      <c r="F787" s="6"/>
    </row>
    <row r="788" spans="5:6" ht="14.25" customHeight="1">
      <c r="E788" s="6"/>
      <c r="F788" s="6"/>
    </row>
    <row r="789" spans="5:6" ht="14.25" customHeight="1">
      <c r="E789" s="6"/>
      <c r="F789" s="6"/>
    </row>
    <row r="790" spans="5:6" ht="14.25" customHeight="1">
      <c r="E790" s="6"/>
      <c r="F790" s="6"/>
    </row>
    <row r="791" spans="5:6" ht="14.25" customHeight="1">
      <c r="E791" s="6"/>
      <c r="F791" s="6"/>
    </row>
    <row r="792" spans="5:6" ht="14.25" customHeight="1">
      <c r="E792" s="6"/>
      <c r="F792" s="6"/>
    </row>
    <row r="793" spans="5:6" ht="14.25" customHeight="1">
      <c r="E793" s="6"/>
      <c r="F793" s="6"/>
    </row>
    <row r="794" spans="5:6" ht="14.25" customHeight="1">
      <c r="E794" s="6"/>
      <c r="F794" s="6"/>
    </row>
    <row r="795" spans="5:6" ht="14.25" customHeight="1">
      <c r="E795" s="6"/>
      <c r="F795" s="6"/>
    </row>
    <row r="796" spans="5:6" ht="14.25" customHeight="1">
      <c r="E796" s="6"/>
      <c r="F796" s="6"/>
    </row>
    <row r="797" spans="5:6" ht="14.25" customHeight="1">
      <c r="E797" s="6"/>
      <c r="F797" s="6"/>
    </row>
    <row r="798" spans="5:6" ht="14.25" customHeight="1">
      <c r="E798" s="6"/>
      <c r="F798" s="6"/>
    </row>
    <row r="799" spans="5:6" ht="14.25" customHeight="1">
      <c r="E799" s="6"/>
      <c r="F799" s="6"/>
    </row>
    <row r="800" spans="5:6" ht="14.25" customHeight="1">
      <c r="E800" s="6"/>
      <c r="F800" s="6"/>
    </row>
    <row r="801" spans="5:6" ht="14.25" customHeight="1">
      <c r="E801" s="6"/>
      <c r="F801" s="6"/>
    </row>
    <row r="802" spans="5:6" ht="14.25" customHeight="1">
      <c r="E802" s="6"/>
      <c r="F802" s="6"/>
    </row>
    <row r="803" spans="5:6" ht="14.25" customHeight="1">
      <c r="E803" s="6"/>
      <c r="F803" s="6"/>
    </row>
    <row r="804" spans="5:6" ht="14.25" customHeight="1">
      <c r="E804" s="6"/>
      <c r="F804" s="6"/>
    </row>
    <row r="805" spans="5:6" ht="14.25" customHeight="1">
      <c r="E805" s="6"/>
      <c r="F805" s="6"/>
    </row>
    <row r="806" spans="5:6" ht="14.25" customHeight="1">
      <c r="E806" s="6"/>
      <c r="F806" s="6"/>
    </row>
    <row r="807" spans="5:6" ht="14.25" customHeight="1">
      <c r="E807" s="6"/>
      <c r="F807" s="6"/>
    </row>
    <row r="808" spans="5:6" ht="14.25" customHeight="1">
      <c r="E808" s="6"/>
      <c r="F808" s="6"/>
    </row>
    <row r="809" spans="5:6" ht="14.25" customHeight="1">
      <c r="E809" s="6"/>
      <c r="F809" s="6"/>
    </row>
    <row r="810" spans="5:6" ht="14.25" customHeight="1">
      <c r="E810" s="6"/>
      <c r="F810" s="6"/>
    </row>
    <row r="811" spans="5:6" ht="14.25" customHeight="1">
      <c r="E811" s="6"/>
      <c r="F811" s="6"/>
    </row>
    <row r="812" spans="5:6" ht="14.25" customHeight="1">
      <c r="E812" s="6"/>
      <c r="F812" s="6"/>
    </row>
    <row r="813" spans="5:6" ht="14.25" customHeight="1">
      <c r="E813" s="6"/>
      <c r="F813" s="6"/>
    </row>
    <row r="814" spans="5:6" ht="14.25" customHeight="1">
      <c r="E814" s="6"/>
      <c r="F814" s="6"/>
    </row>
    <row r="815" spans="5:6" ht="14.25" customHeight="1">
      <c r="E815" s="6"/>
      <c r="F815" s="6"/>
    </row>
    <row r="816" spans="5:6" ht="14.25" customHeight="1">
      <c r="E816" s="6"/>
      <c r="F816" s="6"/>
    </row>
    <row r="817" spans="5:6" ht="14.25" customHeight="1">
      <c r="E817" s="6"/>
      <c r="F817" s="6"/>
    </row>
    <row r="818" spans="5:6" ht="14.25" customHeight="1">
      <c r="E818" s="6"/>
      <c r="F818" s="6"/>
    </row>
    <row r="819" spans="5:6" ht="14.25" customHeight="1">
      <c r="E819" s="6"/>
      <c r="F819" s="6"/>
    </row>
    <row r="820" spans="5:6" ht="14.25" customHeight="1">
      <c r="E820" s="6"/>
      <c r="F820" s="6"/>
    </row>
    <row r="821" spans="5:6" ht="14.25" customHeight="1">
      <c r="E821" s="6"/>
      <c r="F821" s="6"/>
    </row>
    <row r="822" spans="5:6" ht="14.25" customHeight="1">
      <c r="E822" s="6"/>
      <c r="F822" s="6"/>
    </row>
    <row r="823" spans="5:6" ht="14.25" customHeight="1">
      <c r="E823" s="6"/>
      <c r="F823" s="6"/>
    </row>
    <row r="824" spans="5:6" ht="14.25" customHeight="1">
      <c r="E824" s="6"/>
      <c r="F824" s="6"/>
    </row>
    <row r="825" spans="5:6" ht="14.25" customHeight="1">
      <c r="E825" s="6"/>
      <c r="F825" s="6"/>
    </row>
    <row r="826" spans="5:6" ht="14.25" customHeight="1">
      <c r="E826" s="6"/>
      <c r="F826" s="6"/>
    </row>
    <row r="827" spans="5:6" ht="14.25" customHeight="1">
      <c r="E827" s="6"/>
      <c r="F827" s="6"/>
    </row>
    <row r="828" spans="5:6" ht="14.25" customHeight="1">
      <c r="E828" s="6"/>
      <c r="F828" s="6"/>
    </row>
    <row r="829" spans="5:6" ht="14.25" customHeight="1">
      <c r="E829" s="6"/>
      <c r="F829" s="6"/>
    </row>
    <row r="830" spans="5:6" ht="14.25" customHeight="1">
      <c r="E830" s="6"/>
      <c r="F830" s="6"/>
    </row>
    <row r="831" spans="5:6" ht="14.25" customHeight="1">
      <c r="E831" s="6"/>
      <c r="F831" s="6"/>
    </row>
    <row r="832" spans="5:6" ht="14.25" customHeight="1">
      <c r="E832" s="6"/>
      <c r="F832" s="6"/>
    </row>
    <row r="833" spans="5:6" ht="14.25" customHeight="1">
      <c r="E833" s="6"/>
      <c r="F833" s="6"/>
    </row>
    <row r="834" spans="5:6" ht="14.25" customHeight="1">
      <c r="E834" s="6"/>
      <c r="F834" s="6"/>
    </row>
    <row r="835" spans="5:6" ht="14.25" customHeight="1">
      <c r="E835" s="6"/>
      <c r="F835" s="6"/>
    </row>
    <row r="836" spans="5:6" ht="14.25" customHeight="1">
      <c r="E836" s="6"/>
      <c r="F836" s="6"/>
    </row>
    <row r="837" spans="5:6" ht="14.25" customHeight="1">
      <c r="E837" s="6"/>
      <c r="F837" s="6"/>
    </row>
    <row r="838" spans="5:6" ht="14.25" customHeight="1">
      <c r="E838" s="6"/>
      <c r="F838" s="6"/>
    </row>
    <row r="839" spans="5:6" ht="14.25" customHeight="1">
      <c r="E839" s="6"/>
      <c r="F839" s="6"/>
    </row>
    <row r="840" spans="5:6" ht="14.25" customHeight="1">
      <c r="E840" s="6"/>
      <c r="F840" s="6"/>
    </row>
    <row r="841" spans="5:6" ht="14.25" customHeight="1">
      <c r="E841" s="6"/>
      <c r="F841" s="6"/>
    </row>
    <row r="842" spans="5:6" ht="14.25" customHeight="1">
      <c r="E842" s="6"/>
      <c r="F842" s="6"/>
    </row>
    <row r="843" spans="5:6" ht="14.25" customHeight="1">
      <c r="E843" s="6"/>
      <c r="F843" s="6"/>
    </row>
    <row r="844" spans="5:6" ht="14.25" customHeight="1">
      <c r="E844" s="6"/>
      <c r="F844" s="6"/>
    </row>
    <row r="845" spans="5:6" ht="14.25" customHeight="1">
      <c r="E845" s="6"/>
      <c r="F845" s="6"/>
    </row>
    <row r="846" spans="5:6" ht="14.25" customHeight="1">
      <c r="E846" s="6"/>
      <c r="F846" s="6"/>
    </row>
    <row r="847" spans="5:6" ht="14.25" customHeight="1">
      <c r="E847" s="6"/>
      <c r="F847" s="6"/>
    </row>
    <row r="848" spans="5:6" ht="14.25" customHeight="1">
      <c r="E848" s="6"/>
      <c r="F848" s="6"/>
    </row>
    <row r="849" spans="5:6" ht="14.25" customHeight="1">
      <c r="E849" s="6"/>
      <c r="F849" s="6"/>
    </row>
    <row r="850" spans="5:6" ht="14.25" customHeight="1">
      <c r="E850" s="6"/>
      <c r="F850" s="6"/>
    </row>
    <row r="851" spans="5:6" ht="14.25" customHeight="1">
      <c r="E851" s="6"/>
      <c r="F851" s="6"/>
    </row>
    <row r="852" spans="5:6" ht="14.25" customHeight="1">
      <c r="E852" s="6"/>
      <c r="F852" s="6"/>
    </row>
    <row r="853" spans="5:6" ht="14.25" customHeight="1">
      <c r="E853" s="6"/>
      <c r="F853" s="6"/>
    </row>
    <row r="854" spans="5:6" ht="14.25" customHeight="1">
      <c r="E854" s="6"/>
      <c r="F854" s="6"/>
    </row>
    <row r="855" spans="5:6" ht="14.25" customHeight="1">
      <c r="E855" s="6"/>
      <c r="F855" s="6"/>
    </row>
    <row r="856" spans="5:6" ht="14.25" customHeight="1">
      <c r="E856" s="6"/>
      <c r="F856" s="6"/>
    </row>
    <row r="857" spans="5:6" ht="14.25" customHeight="1">
      <c r="E857" s="6"/>
      <c r="F857" s="6"/>
    </row>
    <row r="858" spans="5:6" ht="14.25" customHeight="1">
      <c r="E858" s="6"/>
      <c r="F858" s="6"/>
    </row>
    <row r="859" spans="5:6" ht="14.25" customHeight="1">
      <c r="E859" s="6"/>
      <c r="F859" s="6"/>
    </row>
    <row r="860" spans="5:6" ht="14.25" customHeight="1">
      <c r="E860" s="6"/>
      <c r="F860" s="6"/>
    </row>
    <row r="861" spans="5:6" ht="14.25" customHeight="1">
      <c r="E861" s="6"/>
      <c r="F861" s="6"/>
    </row>
    <row r="862" spans="5:6" ht="14.25" customHeight="1">
      <c r="E862" s="6"/>
      <c r="F862" s="6"/>
    </row>
    <row r="863" spans="5:6" ht="14.25" customHeight="1">
      <c r="E863" s="6"/>
      <c r="F863" s="6"/>
    </row>
    <row r="864" spans="5:6" ht="14.25" customHeight="1">
      <c r="E864" s="6"/>
      <c r="F864" s="6"/>
    </row>
    <row r="865" spans="5:6" ht="14.25" customHeight="1">
      <c r="E865" s="6"/>
      <c r="F865" s="6"/>
    </row>
    <row r="866" spans="5:6" ht="14.25" customHeight="1">
      <c r="E866" s="6"/>
      <c r="F866" s="6"/>
    </row>
    <row r="867" spans="5:6" ht="14.25" customHeight="1">
      <c r="E867" s="6"/>
      <c r="F867" s="6"/>
    </row>
    <row r="868" spans="5:6" ht="14.25" customHeight="1">
      <c r="E868" s="6"/>
      <c r="F868" s="6"/>
    </row>
    <row r="869" spans="5:6" ht="14.25" customHeight="1">
      <c r="E869" s="6"/>
      <c r="F869" s="6"/>
    </row>
    <row r="870" spans="5:6" ht="14.25" customHeight="1">
      <c r="E870" s="6"/>
      <c r="F870" s="6"/>
    </row>
    <row r="871" spans="5:6" ht="14.25" customHeight="1">
      <c r="E871" s="6"/>
      <c r="F871" s="6"/>
    </row>
    <row r="872" spans="5:6" ht="14.25" customHeight="1">
      <c r="E872" s="6"/>
      <c r="F872" s="6"/>
    </row>
    <row r="873" spans="5:6" ht="14.25" customHeight="1">
      <c r="E873" s="6"/>
      <c r="F873" s="6"/>
    </row>
    <row r="874" spans="5:6" ht="14.25" customHeight="1">
      <c r="E874" s="6"/>
      <c r="F874" s="6"/>
    </row>
    <row r="875" spans="5:6" ht="14.25" customHeight="1">
      <c r="E875" s="6"/>
      <c r="F875" s="6"/>
    </row>
    <row r="876" spans="5:6" ht="14.25" customHeight="1">
      <c r="E876" s="6"/>
      <c r="F876" s="6"/>
    </row>
    <row r="877" spans="5:6" ht="14.25" customHeight="1">
      <c r="E877" s="6"/>
      <c r="F877" s="6"/>
    </row>
    <row r="878" spans="5:6" ht="14.25" customHeight="1">
      <c r="E878" s="6"/>
      <c r="F878" s="6"/>
    </row>
    <row r="879" spans="5:6" ht="14.25" customHeight="1">
      <c r="E879" s="6"/>
      <c r="F879" s="6"/>
    </row>
    <row r="880" spans="5:6" ht="14.25" customHeight="1">
      <c r="E880" s="6"/>
      <c r="F880" s="6"/>
    </row>
    <row r="881" spans="5:6" ht="14.25" customHeight="1">
      <c r="E881" s="6"/>
      <c r="F881" s="6"/>
    </row>
    <row r="882" spans="5:6" ht="14.25" customHeight="1">
      <c r="E882" s="6"/>
      <c r="F882" s="6"/>
    </row>
    <row r="883" spans="5:6" ht="14.25" customHeight="1">
      <c r="E883" s="6"/>
      <c r="F883" s="6"/>
    </row>
    <row r="884" spans="5:6" ht="14.25" customHeight="1">
      <c r="E884" s="6"/>
      <c r="F884" s="6"/>
    </row>
    <row r="885" spans="5:6" ht="14.25" customHeight="1">
      <c r="E885" s="6"/>
      <c r="F885" s="6"/>
    </row>
    <row r="886" spans="5:6" ht="14.25" customHeight="1">
      <c r="E886" s="6"/>
      <c r="F886" s="6"/>
    </row>
    <row r="887" spans="5:6" ht="14.25" customHeight="1">
      <c r="E887" s="6"/>
      <c r="F887" s="6"/>
    </row>
    <row r="888" spans="5:6" ht="14.25" customHeight="1">
      <c r="E888" s="6"/>
      <c r="F888" s="6"/>
    </row>
    <row r="889" spans="5:6" ht="14.25" customHeight="1">
      <c r="E889" s="6"/>
      <c r="F889" s="6"/>
    </row>
    <row r="890" spans="5:6" ht="14.25" customHeight="1">
      <c r="E890" s="6"/>
      <c r="F890" s="6"/>
    </row>
    <row r="891" spans="5:6" ht="14.25" customHeight="1">
      <c r="E891" s="6"/>
      <c r="F891" s="6"/>
    </row>
    <row r="892" spans="5:6" ht="14.25" customHeight="1">
      <c r="E892" s="6"/>
      <c r="F892" s="6"/>
    </row>
    <row r="893" spans="5:6" ht="14.25" customHeight="1">
      <c r="E893" s="6"/>
      <c r="F893" s="6"/>
    </row>
    <row r="894" spans="5:6" ht="14.25" customHeight="1">
      <c r="E894" s="6"/>
      <c r="F894" s="6"/>
    </row>
    <row r="895" spans="5:6" ht="14.25" customHeight="1">
      <c r="E895" s="6"/>
      <c r="F895" s="6"/>
    </row>
    <row r="896" spans="5:6" ht="14.25" customHeight="1">
      <c r="E896" s="6"/>
      <c r="F896" s="6"/>
    </row>
    <row r="897" spans="5:6" ht="14.25" customHeight="1">
      <c r="E897" s="6"/>
      <c r="F897" s="6"/>
    </row>
    <row r="898" spans="5:6" ht="14.25" customHeight="1">
      <c r="E898" s="6"/>
      <c r="F898" s="6"/>
    </row>
    <row r="899" spans="5:6" ht="14.25" customHeight="1">
      <c r="E899" s="6"/>
      <c r="F899" s="6"/>
    </row>
    <row r="900" spans="5:6" ht="14.25" customHeight="1">
      <c r="E900" s="6"/>
      <c r="F900" s="6"/>
    </row>
    <row r="901" spans="5:6" ht="14.25" customHeight="1">
      <c r="E901" s="6"/>
      <c r="F901" s="6"/>
    </row>
    <row r="902" spans="5:6" ht="14.25" customHeight="1">
      <c r="E902" s="6"/>
      <c r="F902" s="6"/>
    </row>
    <row r="903" spans="5:6" ht="14.25" customHeight="1">
      <c r="E903" s="6"/>
      <c r="F903" s="6"/>
    </row>
    <row r="904" spans="5:6" ht="14.25" customHeight="1">
      <c r="E904" s="6"/>
      <c r="F904" s="6"/>
    </row>
    <row r="905" spans="5:6" ht="14.25" customHeight="1">
      <c r="E905" s="6"/>
      <c r="F905" s="6"/>
    </row>
    <row r="906" spans="5:6" ht="14.25" customHeight="1">
      <c r="E906" s="6"/>
      <c r="F906" s="6"/>
    </row>
    <row r="907" spans="5:6" ht="14.25" customHeight="1">
      <c r="E907" s="6"/>
      <c r="F907" s="6"/>
    </row>
    <row r="908" spans="5:6" ht="14.25" customHeight="1">
      <c r="E908" s="6"/>
      <c r="F908" s="6"/>
    </row>
    <row r="909" spans="5:6" ht="14.25" customHeight="1">
      <c r="E909" s="6"/>
      <c r="F909" s="6"/>
    </row>
    <row r="910" spans="5:6" ht="14.25" customHeight="1">
      <c r="E910" s="6"/>
      <c r="F910" s="6"/>
    </row>
    <row r="911" spans="5:6" ht="14.25" customHeight="1">
      <c r="E911" s="6"/>
      <c r="F911" s="6"/>
    </row>
    <row r="912" spans="5:6" ht="14.25" customHeight="1">
      <c r="E912" s="6"/>
      <c r="F912" s="6"/>
    </row>
    <row r="913" spans="5:6" ht="14.25" customHeight="1">
      <c r="E913" s="6"/>
      <c r="F913" s="6"/>
    </row>
    <row r="914" spans="5:6" ht="14.25" customHeight="1">
      <c r="E914" s="6"/>
      <c r="F914" s="6"/>
    </row>
    <row r="915" spans="5:6" ht="14.25" customHeight="1">
      <c r="E915" s="6"/>
      <c r="F915" s="6"/>
    </row>
    <row r="916" spans="5:6" ht="14.25" customHeight="1">
      <c r="E916" s="6"/>
      <c r="F916" s="6"/>
    </row>
    <row r="917" spans="5:6" ht="14.25" customHeight="1">
      <c r="E917" s="6"/>
      <c r="F917" s="6"/>
    </row>
    <row r="918" spans="5:6" ht="14.25" customHeight="1">
      <c r="E918" s="6"/>
      <c r="F918" s="6"/>
    </row>
    <row r="919" spans="5:6" ht="14.25" customHeight="1">
      <c r="E919" s="6"/>
      <c r="F919" s="6"/>
    </row>
    <row r="920" spans="5:6" ht="14.25" customHeight="1">
      <c r="E920" s="6"/>
      <c r="F920" s="6"/>
    </row>
    <row r="921" spans="5:6" ht="14.25" customHeight="1">
      <c r="E921" s="6"/>
      <c r="F921" s="6"/>
    </row>
    <row r="922" spans="5:6" ht="14.25" customHeight="1">
      <c r="E922" s="6"/>
      <c r="F922" s="6"/>
    </row>
    <row r="923" spans="5:6" ht="14.25" customHeight="1">
      <c r="E923" s="6"/>
      <c r="F923" s="6"/>
    </row>
    <row r="924" spans="5:6" ht="14.25" customHeight="1">
      <c r="E924" s="6"/>
      <c r="F924" s="6"/>
    </row>
    <row r="925" spans="5:6" ht="14.25" customHeight="1">
      <c r="E925" s="6"/>
      <c r="F925" s="6"/>
    </row>
    <row r="926" spans="5:6" ht="14.25" customHeight="1">
      <c r="E926" s="6"/>
      <c r="F926" s="6"/>
    </row>
    <row r="927" spans="5:6" ht="14.25" customHeight="1">
      <c r="E927" s="6"/>
      <c r="F927" s="6"/>
    </row>
    <row r="928" spans="5:6" ht="14.25" customHeight="1">
      <c r="E928" s="6"/>
      <c r="F928" s="6"/>
    </row>
    <row r="929" spans="5:6" ht="14.25" customHeight="1">
      <c r="E929" s="6"/>
      <c r="F929" s="6"/>
    </row>
    <row r="930" spans="5:6" ht="14.25" customHeight="1">
      <c r="E930" s="6"/>
      <c r="F930" s="6"/>
    </row>
    <row r="931" spans="5:6" ht="14.25" customHeight="1">
      <c r="E931" s="6"/>
      <c r="F931" s="6"/>
    </row>
    <row r="932" spans="5:6" ht="14.25" customHeight="1">
      <c r="E932" s="6"/>
      <c r="F932" s="6"/>
    </row>
    <row r="933" spans="5:6" ht="14.25" customHeight="1">
      <c r="E933" s="6"/>
      <c r="F933" s="6"/>
    </row>
    <row r="934" spans="5:6" ht="14.25" customHeight="1">
      <c r="E934" s="6"/>
      <c r="F934" s="6"/>
    </row>
    <row r="935" spans="5:6" ht="14.25" customHeight="1">
      <c r="E935" s="6"/>
      <c r="F935" s="6"/>
    </row>
    <row r="936" spans="5:6" ht="14.25" customHeight="1">
      <c r="E936" s="6"/>
      <c r="F936" s="6"/>
    </row>
    <row r="937" spans="5:6" ht="14.25" customHeight="1">
      <c r="E937" s="6"/>
      <c r="F937" s="6"/>
    </row>
    <row r="938" spans="5:6" ht="14.25" customHeight="1">
      <c r="E938" s="6"/>
      <c r="F938" s="6"/>
    </row>
    <row r="939" spans="5:6" ht="14.25" customHeight="1">
      <c r="E939" s="6"/>
      <c r="F939" s="6"/>
    </row>
    <row r="940" spans="5:6" ht="14.25" customHeight="1">
      <c r="E940" s="6"/>
      <c r="F940" s="6"/>
    </row>
    <row r="941" spans="5:6" ht="14.25" customHeight="1">
      <c r="E941" s="6"/>
      <c r="F941" s="6"/>
    </row>
    <row r="942" spans="5:6" ht="14.25" customHeight="1">
      <c r="E942" s="6"/>
      <c r="F942" s="6"/>
    </row>
    <row r="943" spans="5:6" ht="14.25" customHeight="1">
      <c r="E943" s="6"/>
      <c r="F943" s="6"/>
    </row>
    <row r="944" spans="5:6" ht="14.25" customHeight="1">
      <c r="E944" s="6"/>
      <c r="F944" s="6"/>
    </row>
    <row r="945" spans="5:6" ht="14.25" customHeight="1">
      <c r="E945" s="6"/>
      <c r="F945" s="6"/>
    </row>
    <row r="946" spans="5:6" ht="14.25" customHeight="1">
      <c r="E946" s="6"/>
      <c r="F946" s="6"/>
    </row>
    <row r="947" spans="5:6" ht="14.25" customHeight="1">
      <c r="E947" s="6"/>
      <c r="F947" s="6"/>
    </row>
    <row r="948" spans="5:6" ht="14.25" customHeight="1">
      <c r="E948" s="6"/>
      <c r="F948" s="6"/>
    </row>
    <row r="949" spans="5:6" ht="14.25" customHeight="1">
      <c r="E949" s="6"/>
      <c r="F949" s="6"/>
    </row>
    <row r="950" spans="5:6" ht="14.25" customHeight="1">
      <c r="E950" s="6"/>
      <c r="F950" s="6"/>
    </row>
    <row r="951" spans="5:6" ht="14.25" customHeight="1">
      <c r="E951" s="6"/>
      <c r="F951" s="6"/>
    </row>
    <row r="952" spans="5:6" ht="14.25" customHeight="1">
      <c r="E952" s="6"/>
      <c r="F952" s="6"/>
    </row>
    <row r="953" spans="5:6" ht="14.25" customHeight="1">
      <c r="E953" s="6"/>
      <c r="F953" s="6"/>
    </row>
    <row r="954" spans="5:6" ht="14.25" customHeight="1">
      <c r="E954" s="6"/>
      <c r="F954" s="6"/>
    </row>
    <row r="955" spans="5:6" ht="14.25" customHeight="1">
      <c r="E955" s="6"/>
      <c r="F955" s="6"/>
    </row>
    <row r="956" spans="5:6" ht="14.25" customHeight="1">
      <c r="E956" s="6"/>
      <c r="F956" s="6"/>
    </row>
    <row r="957" spans="5:6" ht="14.25" customHeight="1">
      <c r="E957" s="6"/>
      <c r="F957" s="6"/>
    </row>
    <row r="958" spans="5:6" ht="14.25" customHeight="1">
      <c r="E958" s="6"/>
      <c r="F958" s="6"/>
    </row>
    <row r="959" spans="5:6" ht="14.25" customHeight="1">
      <c r="E959" s="6"/>
      <c r="F959" s="6"/>
    </row>
    <row r="960" spans="5:6" ht="14.25" customHeight="1">
      <c r="E960" s="6"/>
      <c r="F960" s="6"/>
    </row>
    <row r="961" spans="5:6" ht="14.25" customHeight="1">
      <c r="E961" s="6"/>
      <c r="F961" s="6"/>
    </row>
    <row r="962" spans="5:6" ht="14.25" customHeight="1">
      <c r="E962" s="6"/>
      <c r="F962" s="6"/>
    </row>
    <row r="963" spans="5:6" ht="14.25" customHeight="1">
      <c r="E963" s="6"/>
      <c r="F963" s="6"/>
    </row>
    <row r="964" spans="5:6" ht="14.25" customHeight="1">
      <c r="E964" s="6"/>
      <c r="F964" s="6"/>
    </row>
    <row r="965" spans="5:6" ht="14.25" customHeight="1">
      <c r="E965" s="6"/>
      <c r="F965" s="6"/>
    </row>
    <row r="966" spans="5:6" ht="14.25" customHeight="1">
      <c r="E966" s="6"/>
      <c r="F966" s="6"/>
    </row>
    <row r="967" spans="5:6" ht="14.25" customHeight="1">
      <c r="E967" s="6"/>
      <c r="F967" s="6"/>
    </row>
    <row r="968" spans="5:6" ht="14.25" customHeight="1">
      <c r="E968" s="6"/>
      <c r="F968" s="6"/>
    </row>
    <row r="969" spans="5:6" ht="14.25" customHeight="1">
      <c r="E969" s="6"/>
      <c r="F969" s="6"/>
    </row>
    <row r="970" spans="5:6" ht="14.25" customHeight="1">
      <c r="E970" s="6"/>
      <c r="F970" s="6"/>
    </row>
    <row r="971" spans="5:6" ht="14.25" customHeight="1">
      <c r="E971" s="6"/>
      <c r="F971" s="6"/>
    </row>
    <row r="972" spans="5:6" ht="14.25" customHeight="1">
      <c r="E972" s="6"/>
      <c r="F972" s="6"/>
    </row>
    <row r="973" spans="5:6" ht="14.25" customHeight="1">
      <c r="E973" s="6"/>
      <c r="F973" s="6"/>
    </row>
    <row r="974" spans="5:6" ht="14.25" customHeight="1">
      <c r="E974" s="6"/>
      <c r="F974" s="6"/>
    </row>
    <row r="975" spans="5:6" ht="14.25" customHeight="1">
      <c r="E975" s="6"/>
      <c r="F975" s="6"/>
    </row>
    <row r="976" spans="5:6" ht="14.25" customHeight="1">
      <c r="E976" s="6"/>
      <c r="F976" s="6"/>
    </row>
    <row r="977" spans="5:6" ht="14.25" customHeight="1">
      <c r="E977" s="6"/>
      <c r="F977" s="6"/>
    </row>
    <row r="978" spans="5:6" ht="14.25" customHeight="1">
      <c r="E978" s="6"/>
      <c r="F978" s="6"/>
    </row>
    <row r="979" spans="5:6" ht="14.25" customHeight="1">
      <c r="E979" s="6"/>
      <c r="F979" s="6"/>
    </row>
    <row r="980" spans="5:6" ht="14.25" customHeight="1">
      <c r="E980" s="6"/>
      <c r="F980" s="6"/>
    </row>
    <row r="981" spans="5:6" ht="14.25" customHeight="1">
      <c r="E981" s="6"/>
      <c r="F981" s="6"/>
    </row>
    <row r="982" spans="5:6" ht="14.25" customHeight="1">
      <c r="E982" s="6"/>
      <c r="F982" s="6"/>
    </row>
    <row r="983" spans="5:6" ht="14.25" customHeight="1">
      <c r="E983" s="6"/>
      <c r="F983" s="6"/>
    </row>
    <row r="984" spans="5:6" ht="14.25" customHeight="1">
      <c r="E984" s="6"/>
      <c r="F984" s="6"/>
    </row>
    <row r="985" spans="5:6" ht="14.25" customHeight="1">
      <c r="E985" s="6"/>
      <c r="F985" s="6"/>
    </row>
    <row r="986" spans="5:6" ht="14.25" customHeight="1">
      <c r="E986" s="6"/>
      <c r="F986" s="6"/>
    </row>
    <row r="987" spans="5:6" ht="14.25" customHeight="1">
      <c r="E987" s="6"/>
      <c r="F987" s="6"/>
    </row>
    <row r="988" spans="5:6" ht="14.25" customHeight="1">
      <c r="E988" s="6"/>
      <c r="F988" s="6"/>
    </row>
    <row r="989" spans="5:6" ht="14.25" customHeight="1">
      <c r="E989" s="6"/>
      <c r="F989" s="6"/>
    </row>
    <row r="990" spans="5:6" ht="14.25" customHeight="1">
      <c r="E990" s="6"/>
      <c r="F990" s="6"/>
    </row>
    <row r="991" spans="5:6" ht="14.25" customHeight="1">
      <c r="E991" s="6"/>
      <c r="F991" s="6"/>
    </row>
    <row r="992" spans="5:6" ht="14.25" customHeight="1">
      <c r="E992" s="6"/>
      <c r="F992" s="6"/>
    </row>
    <row r="993" spans="5:6" ht="14.25" customHeight="1">
      <c r="E993" s="6"/>
      <c r="F993" s="6"/>
    </row>
    <row r="994" spans="5:6" ht="14.25" customHeight="1">
      <c r="E994" s="6"/>
      <c r="F994" s="6"/>
    </row>
    <row r="995" spans="5:6" ht="14.25" customHeight="1">
      <c r="E995" s="6"/>
      <c r="F995" s="6"/>
    </row>
    <row r="996" spans="5:6" ht="14.25" customHeight="1">
      <c r="E996" s="6"/>
      <c r="F996" s="6"/>
    </row>
    <row r="997" spans="5:6" ht="14.25" customHeight="1">
      <c r="E997" s="6"/>
      <c r="F997" s="6"/>
    </row>
    <row r="998" spans="5:6" ht="14.25" customHeight="1">
      <c r="E998" s="6"/>
      <c r="F998" s="6"/>
    </row>
    <row r="999" spans="5:6" ht="14.25" customHeight="1">
      <c r="E999" s="6"/>
      <c r="F999" s="6"/>
    </row>
    <row r="1000" spans="5:6" ht="14.25" customHeight="1">
      <c r="E1000" s="6"/>
      <c r="F1000" s="6"/>
    </row>
    <row r="1001" spans="5:6" ht="14.25" customHeight="1">
      <c r="E1001" s="6"/>
      <c r="F1001" s="6"/>
    </row>
    <row r="1002" spans="5:6" ht="14.25" customHeight="1">
      <c r="E1002" s="6"/>
      <c r="F1002" s="6"/>
    </row>
    <row r="1003" spans="5:6" ht="14.25" customHeight="1">
      <c r="E1003" s="6"/>
      <c r="F1003" s="6"/>
    </row>
    <row r="1004" spans="5:6" ht="14.25" customHeight="1">
      <c r="E1004" s="6"/>
      <c r="F1004" s="6"/>
    </row>
    <row r="1005" spans="5:6" ht="14.25" customHeight="1">
      <c r="E1005" s="6"/>
      <c r="F1005" s="6"/>
    </row>
    <row r="1006" spans="5:6" ht="14.25" customHeight="1">
      <c r="E1006" s="6"/>
      <c r="F1006" s="6"/>
    </row>
    <row r="1007" spans="5:6" ht="14.25" customHeight="1">
      <c r="E1007" s="6"/>
      <c r="F1007" s="6"/>
    </row>
    <row r="1008" spans="5:6" ht="14.25" customHeight="1">
      <c r="E1008" s="6"/>
      <c r="F1008" s="6"/>
    </row>
  </sheetData>
  <phoneticPr fontId="309" type="noConversion"/>
  <pageMargins left="0.7" right="0.7" top="0.75" bottom="0.75" header="0" footer="0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43">
    <tabColor theme="7"/>
    <pageSetUpPr fitToPage="1"/>
  </sheetPr>
  <dimension ref="A1:CM83"/>
  <sheetViews>
    <sheetView showGridLines="0" zoomScale="115" zoomScaleNormal="115" workbookViewId="0">
      <pane xSplit="5" ySplit="7" topLeftCell="F8" activePane="bottomRight" state="frozen"/>
      <selection pane="topRight" activeCell="F1" sqref="F1"/>
      <selection pane="bottomLeft" activeCell="A8" sqref="A8"/>
      <selection pane="bottomRight" activeCell="O15" sqref="O15"/>
    </sheetView>
  </sheetViews>
  <sheetFormatPr baseColWidth="10" defaultColWidth="11.5546875" defaultRowHeight="14.4"/>
  <cols>
    <col min="1" max="1" width="4.109375" style="1264" customWidth="1"/>
    <col min="2" max="3" width="17.5546875" style="1264" customWidth="1"/>
    <col min="4" max="4" width="19" style="1264" customWidth="1"/>
    <col min="5" max="7" width="8.44140625" style="1264" customWidth="1"/>
    <col min="8" max="9" width="10.6640625" style="1264" customWidth="1"/>
    <col min="10" max="13" width="9.5546875" style="1264" customWidth="1"/>
    <col min="14" max="14" width="26.5546875" style="1264" bestFit="1" customWidth="1"/>
    <col min="15" max="15" width="12.33203125" style="1264" customWidth="1"/>
    <col min="16" max="16" width="10.6640625" style="1264" bestFit="1" customWidth="1"/>
    <col min="17" max="28" width="8.6640625" style="1264" customWidth="1"/>
    <col min="29" max="16384" width="11.5546875" style="1264"/>
  </cols>
  <sheetData>
    <row r="1" spans="1:91" ht="14.4" customHeight="1">
      <c r="A1" s="2029" t="s">
        <v>2615</v>
      </c>
      <c r="B1" s="2029"/>
      <c r="C1" s="2029"/>
      <c r="D1" s="2029"/>
      <c r="E1" s="2029"/>
      <c r="F1" s="2029"/>
      <c r="G1" s="2029"/>
      <c r="H1" s="2029"/>
      <c r="I1" s="2029"/>
      <c r="J1" s="2029"/>
      <c r="K1" s="2029"/>
      <c r="L1" s="2029"/>
      <c r="M1" s="2029"/>
      <c r="N1" s="2029"/>
    </row>
    <row r="2" spans="1:91">
      <c r="A2" s="2030" t="s">
        <v>2668</v>
      </c>
      <c r="B2" s="2030"/>
      <c r="C2" s="2030"/>
      <c r="D2" s="1386"/>
      <c r="E2" s="1386"/>
      <c r="F2" s="2041" t="s">
        <v>2667</v>
      </c>
      <c r="G2" s="2041"/>
      <c r="H2" s="2041"/>
      <c r="I2" s="2041"/>
      <c r="J2" s="1386"/>
      <c r="K2" s="1386"/>
      <c r="L2" s="1386"/>
      <c r="M2" s="1386"/>
      <c r="N2" s="1386"/>
    </row>
    <row r="3" spans="1:91">
      <c r="A3" s="2030" t="s">
        <v>2616</v>
      </c>
      <c r="B3" s="2030"/>
      <c r="C3" s="2030"/>
      <c r="D3" s="1386"/>
      <c r="E3" s="1386"/>
      <c r="F3" s="1386"/>
      <c r="G3" s="1386"/>
      <c r="H3" s="1386"/>
      <c r="I3" s="1387"/>
      <c r="J3" s="1386"/>
      <c r="K3" s="1386"/>
      <c r="L3" s="1386"/>
      <c r="M3" s="1386"/>
      <c r="N3" s="1386"/>
    </row>
    <row r="4" spans="1:91">
      <c r="A4" s="2031" t="s">
        <v>2617</v>
      </c>
      <c r="B4" s="2031"/>
      <c r="C4" s="2031"/>
      <c r="D4" s="1386"/>
      <c r="E4" s="1386"/>
      <c r="F4" s="1386"/>
      <c r="G4" s="1386"/>
      <c r="H4" s="1386"/>
      <c r="I4" s="1387"/>
      <c r="J4" s="1387"/>
      <c r="K4" s="1387"/>
      <c r="L4" s="1386"/>
      <c r="M4" s="1386"/>
      <c r="N4" s="1386"/>
    </row>
    <row r="5" spans="1:91" ht="15" thickBot="1">
      <c r="A5" s="1384"/>
      <c r="B5" s="1385"/>
      <c r="C5" s="1384"/>
      <c r="D5" s="1384"/>
      <c r="E5" s="1384"/>
      <c r="F5" s="1384"/>
      <c r="G5" s="1384"/>
      <c r="H5" s="1384"/>
      <c r="I5" s="1384"/>
      <c r="J5" s="1384"/>
      <c r="K5" s="1384"/>
      <c r="L5" s="1384"/>
      <c r="M5" s="1384"/>
      <c r="N5" s="1384"/>
    </row>
    <row r="6" spans="1:91">
      <c r="A6" s="2035" t="s">
        <v>2618</v>
      </c>
      <c r="B6" s="2032" t="s">
        <v>2619</v>
      </c>
      <c r="C6" s="2032" t="s">
        <v>2620</v>
      </c>
      <c r="D6" s="2032" t="s">
        <v>2621</v>
      </c>
      <c r="E6" s="2038" t="s">
        <v>2622</v>
      </c>
      <c r="F6" s="2032" t="s">
        <v>15</v>
      </c>
      <c r="G6" s="2032" t="s">
        <v>2623</v>
      </c>
      <c r="H6" s="2032" t="s">
        <v>2624</v>
      </c>
      <c r="I6" s="2032"/>
      <c r="J6" s="2032" t="s">
        <v>2625</v>
      </c>
      <c r="K6" s="2032"/>
      <c r="L6" s="2032" t="s">
        <v>2626</v>
      </c>
      <c r="M6" s="2032"/>
      <c r="N6" s="2033" t="s">
        <v>2627</v>
      </c>
      <c r="P6" s="1383"/>
      <c r="Q6" s="1383"/>
      <c r="R6" s="1316"/>
      <c r="S6" s="1316"/>
      <c r="T6" s="1316"/>
      <c r="U6" s="1316"/>
      <c r="V6" s="1316"/>
      <c r="W6" s="1316"/>
      <c r="X6" s="1316"/>
      <c r="Y6" s="1316"/>
      <c r="Z6" s="1316"/>
      <c r="AA6" s="1316"/>
      <c r="AB6" s="1316"/>
      <c r="AC6" s="1316"/>
      <c r="AD6" s="1316"/>
      <c r="AE6" s="1316"/>
      <c r="AF6" s="1316"/>
      <c r="AG6" s="1316"/>
      <c r="AH6" s="1316"/>
      <c r="AI6" s="1316"/>
      <c r="AJ6" s="1316"/>
      <c r="BA6" s="1271"/>
      <c r="BB6" s="1271"/>
      <c r="BC6" s="1271"/>
      <c r="BD6" s="1271"/>
      <c r="BE6" s="1271"/>
      <c r="BF6" s="1271"/>
      <c r="BG6" s="1271"/>
      <c r="BH6" s="1271"/>
      <c r="BI6" s="1271"/>
      <c r="BJ6" s="1271"/>
      <c r="BK6" s="1271"/>
      <c r="BL6" s="1271"/>
      <c r="BM6" s="1271"/>
      <c r="BN6" s="1271"/>
      <c r="BO6" s="1271"/>
      <c r="BP6" s="1271"/>
      <c r="BQ6" s="1271"/>
      <c r="BR6" s="1271"/>
      <c r="BS6" s="1271"/>
      <c r="BT6" s="1271"/>
      <c r="BU6" s="1271"/>
      <c r="BV6" s="1271"/>
      <c r="BW6" s="1271"/>
      <c r="BX6" s="1271"/>
      <c r="BY6" s="1271"/>
      <c r="BZ6" s="1271"/>
      <c r="CA6" s="1271"/>
      <c r="CB6" s="1271"/>
      <c r="CC6" s="1271"/>
      <c r="CD6" s="1271"/>
      <c r="CE6" s="1271"/>
      <c r="CF6" s="1271"/>
      <c r="CG6" s="1271"/>
      <c r="CH6" s="1271"/>
      <c r="CI6" s="1271"/>
      <c r="CJ6" s="1271"/>
      <c r="CK6" s="1271"/>
      <c r="CL6" s="1271"/>
      <c r="CM6" s="1271"/>
    </row>
    <row r="7" spans="1:91" ht="15" thickBot="1">
      <c r="A7" s="2036"/>
      <c r="B7" s="2037"/>
      <c r="C7" s="2037"/>
      <c r="D7" s="2037"/>
      <c r="E7" s="2039"/>
      <c r="F7" s="2037"/>
      <c r="G7" s="2040"/>
      <c r="H7" s="1382" t="s">
        <v>1081</v>
      </c>
      <c r="I7" s="1382" t="s">
        <v>1158</v>
      </c>
      <c r="J7" s="1382" t="s">
        <v>1081</v>
      </c>
      <c r="K7" s="1382" t="s">
        <v>1158</v>
      </c>
      <c r="L7" s="1382" t="s">
        <v>1081</v>
      </c>
      <c r="M7" s="1382" t="s">
        <v>1158</v>
      </c>
      <c r="N7" s="2034"/>
      <c r="P7" s="1316"/>
      <c r="Q7" s="1378"/>
      <c r="R7" s="1378"/>
      <c r="S7" s="1378"/>
      <c r="T7" s="1381"/>
      <c r="U7" s="1378"/>
      <c r="V7" s="1378"/>
      <c r="W7" s="1316"/>
      <c r="X7" s="1316"/>
      <c r="Y7" s="1316"/>
      <c r="Z7" s="1316"/>
      <c r="AA7" s="1316"/>
      <c r="AB7" s="1316"/>
      <c r="AC7" s="1316"/>
      <c r="AD7" s="1316"/>
      <c r="AE7" s="1316"/>
      <c r="AF7" s="1316"/>
      <c r="AG7" s="1316"/>
      <c r="AH7" s="1316"/>
      <c r="AI7" s="1316"/>
      <c r="AJ7" s="1316"/>
      <c r="AK7" s="1271"/>
      <c r="AL7" s="1271"/>
      <c r="AM7" s="1271"/>
      <c r="AN7" s="1271"/>
      <c r="AO7" s="1271"/>
      <c r="AP7" s="1271"/>
      <c r="AQ7" s="1271"/>
      <c r="AR7" s="1271"/>
      <c r="AS7" s="1271"/>
      <c r="AT7" s="1271"/>
      <c r="AU7" s="1271"/>
      <c r="AV7" s="1271"/>
      <c r="AW7" s="1271"/>
      <c r="AX7" s="1271"/>
      <c r="AY7" s="1271"/>
      <c r="AZ7" s="1271"/>
      <c r="BA7" s="1271"/>
      <c r="BB7" s="1271"/>
      <c r="BC7" s="1271"/>
      <c r="BD7" s="1271"/>
      <c r="BE7" s="1271"/>
      <c r="BF7" s="1271"/>
      <c r="BG7" s="1271"/>
      <c r="BH7" s="1271"/>
      <c r="BI7" s="1271"/>
      <c r="BJ7" s="1271"/>
      <c r="BK7" s="1271"/>
      <c r="BL7" s="1271"/>
      <c r="BM7" s="1271"/>
      <c r="BN7" s="1271"/>
      <c r="BO7" s="1271"/>
      <c r="BP7" s="1271"/>
      <c r="BQ7" s="1271"/>
      <c r="BR7" s="1271"/>
      <c r="BS7" s="1271"/>
      <c r="BT7" s="1271"/>
      <c r="BU7" s="1271"/>
      <c r="BV7" s="1271"/>
      <c r="BW7" s="1271"/>
      <c r="BX7" s="1271"/>
      <c r="BY7" s="1271"/>
      <c r="BZ7" s="1271"/>
      <c r="CA7" s="1271"/>
      <c r="CB7" s="1271"/>
      <c r="CC7" s="1271"/>
      <c r="CD7" s="1271"/>
      <c r="CE7" s="1271"/>
      <c r="CF7" s="1271"/>
      <c r="CG7" s="1271"/>
      <c r="CH7" s="1271"/>
      <c r="CI7" s="1271"/>
      <c r="CJ7" s="1271"/>
      <c r="CK7" s="1271"/>
      <c r="CL7" s="1271"/>
      <c r="CM7" s="1271"/>
    </row>
    <row r="8" spans="1:91">
      <c r="A8" s="1285">
        <v>1</v>
      </c>
      <c r="B8" s="1338" t="s">
        <v>2628</v>
      </c>
      <c r="C8" s="1371" t="s">
        <v>2629</v>
      </c>
      <c r="D8" s="1301" t="s">
        <v>2630</v>
      </c>
      <c r="E8" s="1337"/>
      <c r="F8" s="1341">
        <f>+'RUMAS C- 26'!C14</f>
        <v>0</v>
      </c>
      <c r="G8" s="1380"/>
      <c r="H8" s="1361">
        <f>+'RUMAS C- 26'!D14</f>
        <v>0</v>
      </c>
      <c r="I8" s="1361"/>
      <c r="J8" s="1347">
        <f>+'RUMAS C- 26'!G14</f>
        <v>0</v>
      </c>
      <c r="K8" s="1347">
        <f t="shared" ref="K8:K21" si="0">+F8*I8*34.285*0.5</f>
        <v>0</v>
      </c>
      <c r="L8" s="1347">
        <f>+'RUMAS C- 26'!H14</f>
        <v>0</v>
      </c>
      <c r="M8" s="1347">
        <f t="shared" ref="L8:M18" si="1">+K8/31.10347</f>
        <v>0</v>
      </c>
      <c r="N8" s="1370"/>
      <c r="P8" s="1316"/>
      <c r="Q8" s="1378"/>
      <c r="R8" s="1378"/>
      <c r="S8" s="1276"/>
      <c r="T8" s="1379"/>
      <c r="U8" s="1276"/>
      <c r="V8" s="1378"/>
      <c r="W8" s="1316"/>
      <c r="X8" s="1316"/>
      <c r="Y8" s="1316"/>
      <c r="Z8" s="1316"/>
      <c r="AA8" s="1316"/>
      <c r="AB8" s="1316"/>
      <c r="AC8" s="1316"/>
      <c r="AD8" s="1316"/>
      <c r="AE8" s="1316"/>
      <c r="AF8" s="1316"/>
      <c r="AG8" s="1316"/>
      <c r="AH8" s="1316"/>
      <c r="AI8" s="1316"/>
      <c r="AJ8" s="1316"/>
      <c r="AK8" s="1271"/>
      <c r="AL8" s="1271"/>
      <c r="AM8" s="1271"/>
      <c r="AN8" s="1271"/>
      <c r="AO8" s="1271"/>
      <c r="AP8" s="1271"/>
      <c r="AQ8" s="1271"/>
      <c r="AR8" s="1271"/>
      <c r="AS8" s="1271"/>
      <c r="AT8" s="1271"/>
      <c r="AU8" s="1271"/>
      <c r="AV8" s="1271"/>
      <c r="AW8" s="1271"/>
      <c r="AX8" s="1271"/>
      <c r="AY8" s="1271"/>
      <c r="AZ8" s="1271"/>
      <c r="BA8" s="1271"/>
      <c r="BB8" s="1271"/>
      <c r="BC8" s="1271"/>
      <c r="BD8" s="1271"/>
      <c r="BE8" s="1271"/>
      <c r="BF8" s="1271"/>
      <c r="BG8" s="1271"/>
      <c r="BH8" s="1271"/>
      <c r="BI8" s="1271"/>
      <c r="BJ8" s="1271"/>
      <c r="BK8" s="1271"/>
      <c r="BL8" s="1271"/>
      <c r="BM8" s="1271"/>
      <c r="BN8" s="1271"/>
      <c r="BO8" s="1271"/>
      <c r="BP8" s="1271"/>
      <c r="BQ8" s="1271"/>
      <c r="BR8" s="1271"/>
      <c r="BS8" s="1271"/>
      <c r="BT8" s="1271"/>
      <c r="BU8" s="1271"/>
      <c r="BV8" s="1271"/>
      <c r="BW8" s="1271"/>
      <c r="BX8" s="1271"/>
      <c r="BY8" s="1271"/>
      <c r="BZ8" s="1271"/>
      <c r="CA8" s="1343"/>
      <c r="CB8" s="1343"/>
      <c r="CC8" s="1343"/>
      <c r="CD8" s="1343"/>
      <c r="CE8" s="1343"/>
      <c r="CF8" s="1343"/>
      <c r="CG8" s="1271"/>
      <c r="CH8" s="1271"/>
      <c r="CI8" s="1271"/>
      <c r="CJ8" s="1271"/>
      <c r="CK8" s="1271"/>
      <c r="CL8" s="1271"/>
      <c r="CM8" s="1271"/>
    </row>
    <row r="9" spans="1:91">
      <c r="A9" s="1285">
        <v>2</v>
      </c>
      <c r="B9" s="1338" t="s">
        <v>2628</v>
      </c>
      <c r="C9" s="1371" t="s">
        <v>2629</v>
      </c>
      <c r="D9" s="1301" t="s">
        <v>2631</v>
      </c>
      <c r="E9" s="1337"/>
      <c r="F9" s="1341">
        <f>+'RUMAS C- 26'!C15</f>
        <v>0</v>
      </c>
      <c r="G9" s="1380"/>
      <c r="H9" s="1361"/>
      <c r="I9" s="1361"/>
      <c r="J9" s="1347">
        <f>+F9*H9*34.285*0.97</f>
        <v>0</v>
      </c>
      <c r="K9" s="1342">
        <f t="shared" si="0"/>
        <v>0</v>
      </c>
      <c r="L9" s="1342">
        <f t="shared" si="1"/>
        <v>0</v>
      </c>
      <c r="M9" s="1347">
        <f t="shared" si="1"/>
        <v>0</v>
      </c>
      <c r="N9" s="1370"/>
      <c r="P9" s="1316"/>
      <c r="Q9" s="1378"/>
      <c r="R9" s="1378"/>
      <c r="S9" s="1276"/>
      <c r="T9" s="1379"/>
      <c r="U9" s="1276"/>
      <c r="V9" s="1378"/>
      <c r="W9" s="1316"/>
      <c r="X9" s="1316"/>
      <c r="Y9" s="1316"/>
      <c r="Z9" s="1316"/>
      <c r="AA9" s="1316"/>
      <c r="AB9" s="1316"/>
      <c r="AC9" s="1316"/>
      <c r="AD9" s="1316"/>
      <c r="AE9" s="1316"/>
      <c r="AF9" s="1316"/>
      <c r="AG9" s="1316"/>
      <c r="AH9" s="1316"/>
      <c r="AI9" s="1316"/>
      <c r="AJ9" s="1316"/>
      <c r="AK9" s="1271"/>
      <c r="AL9" s="1271"/>
      <c r="AM9" s="1271"/>
      <c r="AN9" s="1271"/>
      <c r="AO9" s="1271"/>
      <c r="AP9" s="1271"/>
      <c r="AQ9" s="1271"/>
      <c r="AR9" s="1271"/>
      <c r="AS9" s="1271"/>
      <c r="AT9" s="1271"/>
      <c r="AU9" s="1271"/>
      <c r="AV9" s="1271"/>
      <c r="AW9" s="1271"/>
      <c r="AX9" s="1271"/>
      <c r="AY9" s="1271"/>
      <c r="AZ9" s="1271"/>
      <c r="BA9" s="1271"/>
      <c r="BB9" s="1271"/>
      <c r="BC9" s="1271"/>
      <c r="BD9" s="1271"/>
      <c r="BE9" s="1271"/>
      <c r="BF9" s="1271"/>
      <c r="BG9" s="1271"/>
      <c r="BH9" s="1271"/>
      <c r="BI9" s="1271"/>
      <c r="BJ9" s="1271"/>
      <c r="BK9" s="1271"/>
      <c r="BL9" s="1271"/>
      <c r="BM9" s="1271"/>
      <c r="BN9" s="1271"/>
      <c r="BO9" s="1271"/>
      <c r="BP9" s="1271"/>
      <c r="BQ9" s="1271"/>
      <c r="BR9" s="1271"/>
      <c r="BS9" s="1271"/>
      <c r="BT9" s="1271"/>
      <c r="BU9" s="1271"/>
      <c r="BV9" s="1271"/>
      <c r="BW9" s="1271"/>
      <c r="BX9" s="1271"/>
      <c r="BY9" s="1271"/>
      <c r="BZ9" s="1271"/>
      <c r="CA9" s="1343"/>
      <c r="CB9" s="1343"/>
      <c r="CC9" s="1343"/>
      <c r="CD9" s="1343"/>
      <c r="CE9" s="1343"/>
      <c r="CF9" s="1343"/>
      <c r="CG9" s="1271"/>
      <c r="CH9" s="1271"/>
      <c r="CI9" s="1271"/>
      <c r="CJ9" s="1271"/>
      <c r="CK9" s="1271"/>
      <c r="CL9" s="1271"/>
      <c r="CM9" s="1271"/>
    </row>
    <row r="10" spans="1:91">
      <c r="A10" s="1285">
        <v>3</v>
      </c>
      <c r="B10" s="1338" t="s">
        <v>2628</v>
      </c>
      <c r="C10" s="1371" t="s">
        <v>2632</v>
      </c>
      <c r="D10" s="1301" t="s">
        <v>2633</v>
      </c>
      <c r="E10" s="1337"/>
      <c r="F10" s="1341">
        <f>+'RUMAS C- 26'!C4</f>
        <v>102.75100000000002</v>
      </c>
      <c r="G10" s="1380"/>
      <c r="H10" s="1361">
        <f>+'RUMAS C- 26'!D4</f>
        <v>0.27772714620782268</v>
      </c>
      <c r="I10" s="1361"/>
      <c r="J10" s="1347">
        <f>+'RUMAS C- 26'!G4</f>
        <v>978.39327315273283</v>
      </c>
      <c r="K10" s="1342">
        <f>+'RUMAS C- 26'!P4</f>
        <v>412.17437518048945</v>
      </c>
      <c r="L10" s="1342">
        <f>+'RUMAS C- 26'!H4</f>
        <v>912.22562549596205</v>
      </c>
      <c r="M10" s="1347">
        <f>+'RUMAS C- 26'!R4</f>
        <v>370.95693766244045</v>
      </c>
      <c r="N10" s="1370"/>
      <c r="P10" s="1316"/>
      <c r="Q10" s="1378"/>
      <c r="R10" s="1378"/>
      <c r="S10" s="1276"/>
      <c r="T10" s="1379"/>
      <c r="U10" s="1276"/>
      <c r="V10" s="1378"/>
      <c r="W10" s="1316"/>
      <c r="X10" s="1316"/>
      <c r="Y10" s="1316"/>
      <c r="Z10" s="1316"/>
      <c r="AA10" s="1316"/>
      <c r="AB10" s="1316"/>
      <c r="AC10" s="1316"/>
      <c r="AD10" s="1316"/>
      <c r="AE10" s="1316"/>
      <c r="AF10" s="1316"/>
      <c r="AG10" s="1316"/>
      <c r="AH10" s="1316"/>
      <c r="AI10" s="1316"/>
      <c r="AJ10" s="1316"/>
      <c r="AK10" s="1271"/>
      <c r="AL10" s="1271"/>
      <c r="AM10" s="1271"/>
      <c r="AN10" s="1271"/>
      <c r="AO10" s="1271"/>
      <c r="AP10" s="1271"/>
      <c r="AQ10" s="1271"/>
      <c r="AR10" s="1271"/>
      <c r="AS10" s="1271"/>
      <c r="AT10" s="1271"/>
      <c r="AU10" s="1271"/>
      <c r="AV10" s="1271"/>
      <c r="AW10" s="1271"/>
      <c r="AX10" s="1271"/>
      <c r="AY10" s="1271"/>
      <c r="AZ10" s="1271"/>
      <c r="BA10" s="1271"/>
      <c r="BB10" s="1271"/>
      <c r="BC10" s="1271"/>
      <c r="BD10" s="1271"/>
      <c r="BE10" s="1271"/>
      <c r="BF10" s="1271"/>
      <c r="BG10" s="1271"/>
      <c r="BH10" s="1271"/>
      <c r="BI10" s="1271"/>
      <c r="BJ10" s="1271"/>
      <c r="BK10" s="1271"/>
      <c r="BL10" s="1271"/>
      <c r="BM10" s="1271"/>
      <c r="BN10" s="1271"/>
      <c r="BO10" s="1271"/>
      <c r="BP10" s="1271"/>
      <c r="BQ10" s="1271"/>
      <c r="BR10" s="1271"/>
      <c r="BS10" s="1271"/>
      <c r="BT10" s="1271"/>
      <c r="BU10" s="1271"/>
      <c r="BV10" s="1271"/>
      <c r="BW10" s="1271"/>
      <c r="BX10" s="1271"/>
      <c r="BY10" s="1271"/>
      <c r="BZ10" s="1271"/>
      <c r="CA10" s="1343"/>
      <c r="CB10" s="1343"/>
      <c r="CC10" s="1343"/>
      <c r="CD10" s="1343"/>
      <c r="CE10" s="1343"/>
      <c r="CF10" s="1343"/>
      <c r="CG10" s="1271"/>
      <c r="CH10" s="1271"/>
      <c r="CI10" s="1271"/>
      <c r="CJ10" s="1271"/>
      <c r="CK10" s="1271"/>
      <c r="CL10" s="1271"/>
      <c r="CM10" s="1271"/>
    </row>
    <row r="11" spans="1:91">
      <c r="A11" s="1285">
        <v>4</v>
      </c>
      <c r="B11" s="1338" t="s">
        <v>2628</v>
      </c>
      <c r="C11" s="1371" t="s">
        <v>2632</v>
      </c>
      <c r="D11" s="1301" t="s">
        <v>2634</v>
      </c>
      <c r="E11" s="1337"/>
      <c r="F11" s="1341"/>
      <c r="G11" s="1380"/>
      <c r="H11" s="1361"/>
      <c r="I11" s="1361"/>
      <c r="J11" s="1347"/>
      <c r="K11" s="1342"/>
      <c r="L11" s="1342"/>
      <c r="M11" s="1347">
        <f>+'RUMAS C- 26'!R5</f>
        <v>574.63648873349462</v>
      </c>
      <c r="N11" s="1370"/>
      <c r="P11" s="1316"/>
      <c r="Q11" s="1378"/>
      <c r="R11" s="1378"/>
      <c r="S11" s="1276"/>
      <c r="T11" s="1379"/>
      <c r="U11" s="1276"/>
      <c r="V11" s="1378"/>
      <c r="W11" s="1316"/>
      <c r="X11" s="1316"/>
      <c r="Y11" s="1316"/>
      <c r="Z11" s="1316"/>
      <c r="AA11" s="1316"/>
      <c r="AB11" s="1316"/>
      <c r="AC11" s="1316"/>
      <c r="AD11" s="1316"/>
      <c r="AE11" s="1316"/>
      <c r="AF11" s="1316"/>
      <c r="AG11" s="1316"/>
      <c r="AH11" s="1316"/>
      <c r="AI11" s="1316"/>
      <c r="AJ11" s="1316"/>
      <c r="AK11" s="1271"/>
      <c r="AL11" s="1271"/>
      <c r="AM11" s="1271"/>
      <c r="AN11" s="1271"/>
      <c r="AO11" s="1271"/>
      <c r="AP11" s="1271"/>
      <c r="AQ11" s="1271"/>
      <c r="AR11" s="1271"/>
      <c r="AS11" s="1271"/>
      <c r="AT11" s="1271"/>
      <c r="AU11" s="1271"/>
      <c r="AV11" s="1271"/>
      <c r="AW11" s="1271"/>
      <c r="AX11" s="1271"/>
      <c r="AY11" s="1271"/>
      <c r="AZ11" s="1271"/>
      <c r="BA11" s="1271"/>
      <c r="BB11" s="1271"/>
      <c r="BC11" s="1271"/>
      <c r="BD11" s="1271"/>
      <c r="BE11" s="1271"/>
      <c r="BF11" s="1271"/>
      <c r="BG11" s="1271"/>
      <c r="BH11" s="1271"/>
      <c r="BI11" s="1271"/>
      <c r="BJ11" s="1271"/>
      <c r="BK11" s="1271"/>
      <c r="BL11" s="1271"/>
      <c r="BM11" s="1271"/>
      <c r="BN11" s="1271"/>
      <c r="BO11" s="1271"/>
      <c r="BP11" s="1271"/>
      <c r="BQ11" s="1271"/>
      <c r="BR11" s="1271"/>
      <c r="BS11" s="1271"/>
      <c r="BT11" s="1271"/>
      <c r="BU11" s="1271"/>
      <c r="BV11" s="1271"/>
      <c r="BW11" s="1271"/>
      <c r="BX11" s="1271"/>
      <c r="BY11" s="1271"/>
      <c r="BZ11" s="1271"/>
      <c r="CA11" s="1343"/>
      <c r="CB11" s="1343"/>
      <c r="CC11" s="1343"/>
      <c r="CD11" s="1343"/>
      <c r="CE11" s="1343"/>
      <c r="CF11" s="1343"/>
      <c r="CG11" s="1271"/>
      <c r="CH11" s="1271"/>
      <c r="CI11" s="1271"/>
      <c r="CJ11" s="1271"/>
      <c r="CK11" s="1271"/>
      <c r="CL11" s="1271"/>
      <c r="CM11" s="1271"/>
    </row>
    <row r="12" spans="1:91">
      <c r="A12" s="1285">
        <v>5</v>
      </c>
      <c r="B12" s="1338" t="s">
        <v>2628</v>
      </c>
      <c r="C12" s="1371" t="s">
        <v>2632</v>
      </c>
      <c r="D12" s="1301" t="s">
        <v>2670</v>
      </c>
      <c r="E12" s="1337"/>
      <c r="F12" s="1341">
        <f>+'RUMAS C- 26'!C6</f>
        <v>100.84600000000002</v>
      </c>
      <c r="G12" s="1380"/>
      <c r="H12" s="1361">
        <f>+'RUMAS C- 26'!D6</f>
        <v>0.30537992582749929</v>
      </c>
      <c r="I12" s="1361"/>
      <c r="J12" s="1347">
        <f>+'RUMAS C- 26'!G6</f>
        <v>1055.8646045612891</v>
      </c>
      <c r="K12" s="1342">
        <f>+'RUMAS C- 26'!P6</f>
        <v>414.90530919483615</v>
      </c>
      <c r="L12" s="1342">
        <f>+'RUMAS C- 26'!H6</f>
        <v>891.05889735513506</v>
      </c>
      <c r="M12" s="1347">
        <f>+'RUMAS C- 26'!R6</f>
        <v>373.41477827535249</v>
      </c>
      <c r="N12" s="1410" t="s">
        <v>2691</v>
      </c>
      <c r="P12" s="1316"/>
      <c r="Q12" s="1378"/>
      <c r="R12" s="1378"/>
      <c r="S12" s="1276"/>
      <c r="T12" s="1379"/>
      <c r="U12" s="1276"/>
      <c r="V12" s="1378"/>
      <c r="W12" s="1316"/>
      <c r="X12" s="1316"/>
      <c r="Y12" s="1316"/>
      <c r="Z12" s="1316"/>
      <c r="AA12" s="1316"/>
      <c r="AB12" s="1316"/>
      <c r="AC12" s="1316"/>
      <c r="AD12" s="1316"/>
      <c r="AE12" s="1316"/>
      <c r="AF12" s="1316"/>
      <c r="AG12" s="1316"/>
      <c r="AH12" s="1316"/>
      <c r="AI12" s="1316"/>
      <c r="AJ12" s="1316"/>
      <c r="AK12" s="1271"/>
      <c r="AL12" s="1271"/>
      <c r="AM12" s="1271"/>
      <c r="AN12" s="1271"/>
      <c r="AO12" s="1271"/>
      <c r="AP12" s="1271"/>
      <c r="AQ12" s="1271"/>
      <c r="AR12" s="1271"/>
      <c r="AS12" s="1271"/>
      <c r="AT12" s="1271"/>
      <c r="AU12" s="1271"/>
      <c r="AV12" s="1271"/>
      <c r="AW12" s="1271"/>
      <c r="AX12" s="1271"/>
      <c r="AY12" s="1271"/>
      <c r="AZ12" s="1271"/>
      <c r="BA12" s="1271"/>
      <c r="BB12" s="1271"/>
      <c r="BC12" s="1271"/>
      <c r="BD12" s="1271"/>
      <c r="BE12" s="1271"/>
      <c r="BF12" s="1271"/>
      <c r="BG12" s="1271"/>
      <c r="BH12" s="1271"/>
      <c r="BI12" s="1271"/>
      <c r="BJ12" s="1271"/>
      <c r="BK12" s="1271"/>
      <c r="BL12" s="1271"/>
      <c r="BM12" s="1271"/>
      <c r="BN12" s="1271"/>
      <c r="BO12" s="1271"/>
      <c r="BP12" s="1271"/>
      <c r="BQ12" s="1271"/>
      <c r="BR12" s="1271"/>
      <c r="BS12" s="1271"/>
      <c r="BT12" s="1271"/>
      <c r="BU12" s="1271"/>
      <c r="BV12" s="1271"/>
      <c r="BW12" s="1271"/>
      <c r="BX12" s="1271"/>
      <c r="BY12" s="1271"/>
      <c r="BZ12" s="1271"/>
      <c r="CA12" s="1343"/>
      <c r="CB12" s="1343"/>
      <c r="CC12" s="1343"/>
      <c r="CD12" s="1343"/>
      <c r="CE12" s="1343"/>
      <c r="CF12" s="1343"/>
      <c r="CG12" s="1271"/>
      <c r="CH12" s="1271"/>
      <c r="CI12" s="1271"/>
      <c r="CJ12" s="1271"/>
      <c r="CK12" s="1271"/>
      <c r="CL12" s="1271"/>
      <c r="CM12" s="1271"/>
    </row>
    <row r="13" spans="1:91">
      <c r="A13" s="1285">
        <v>6</v>
      </c>
      <c r="B13" s="1338" t="s">
        <v>2628</v>
      </c>
      <c r="C13" s="1371" t="s">
        <v>2632</v>
      </c>
      <c r="D13" s="1301" t="s">
        <v>2671</v>
      </c>
      <c r="E13" s="1337"/>
      <c r="F13" s="1341">
        <f>+'RUMAS C- 26'!C7</f>
        <v>104.40899999999999</v>
      </c>
      <c r="G13" s="1380"/>
      <c r="H13" s="1361">
        <f>+'RUMAS C- 26'!D7</f>
        <v>0.23445658899137051</v>
      </c>
      <c r="I13" s="1361"/>
      <c r="J13" s="1347">
        <f>+'RUMAS C- 26'!G7</f>
        <v>839.28497395263298</v>
      </c>
      <c r="K13" s="1342">
        <f>+'RUMAS C- 26'!P7</f>
        <v>4020.0065598646815</v>
      </c>
      <c r="L13" s="1342">
        <f>+'RUMAS C- 26'!H7</f>
        <v>756.6343127663763</v>
      </c>
      <c r="M13" s="1347">
        <f>+'RUMAS C- 26'!R7</f>
        <v>3618.0059038782133</v>
      </c>
      <c r="N13" s="1411">
        <f>SUM(M10:M14)</f>
        <v>6781.763810061886</v>
      </c>
      <c r="P13" s="1316"/>
      <c r="Q13" s="1378"/>
      <c r="R13" s="1378"/>
      <c r="S13" s="1276"/>
      <c r="T13" s="1379"/>
      <c r="U13" s="1276"/>
      <c r="V13" s="1378"/>
      <c r="W13" s="1316"/>
      <c r="X13" s="1316"/>
      <c r="Y13" s="1316"/>
      <c r="Z13" s="1316"/>
      <c r="AA13" s="1316"/>
      <c r="AB13" s="1316"/>
      <c r="AC13" s="1316"/>
      <c r="AD13" s="1316"/>
      <c r="AE13" s="1316"/>
      <c r="AF13" s="1316"/>
      <c r="AG13" s="1316"/>
      <c r="AH13" s="1316"/>
      <c r="AI13" s="1316"/>
      <c r="AJ13" s="1316"/>
      <c r="AK13" s="1271"/>
      <c r="AL13" s="1271"/>
      <c r="AM13" s="1271"/>
      <c r="AN13" s="1271"/>
      <c r="AO13" s="1271"/>
      <c r="AP13" s="1271"/>
      <c r="AQ13" s="1271"/>
      <c r="AR13" s="1271"/>
      <c r="AS13" s="1271"/>
      <c r="AT13" s="1271"/>
      <c r="AU13" s="1271"/>
      <c r="AV13" s="1271"/>
      <c r="AW13" s="1271"/>
      <c r="AX13" s="1271"/>
      <c r="AY13" s="1271"/>
      <c r="AZ13" s="1271"/>
      <c r="BA13" s="1271"/>
      <c r="BB13" s="1271"/>
      <c r="BC13" s="1271"/>
      <c r="BD13" s="1271"/>
      <c r="BE13" s="1271"/>
      <c r="BF13" s="1271"/>
      <c r="BG13" s="1271"/>
      <c r="BH13" s="1271"/>
      <c r="BI13" s="1271"/>
      <c r="BJ13" s="1271"/>
      <c r="BK13" s="1271"/>
      <c r="BL13" s="1271"/>
      <c r="BM13" s="1271"/>
      <c r="BN13" s="1271"/>
      <c r="BO13" s="1271"/>
      <c r="BP13" s="1271"/>
      <c r="BQ13" s="1271"/>
      <c r="BR13" s="1271"/>
      <c r="BS13" s="1271"/>
      <c r="BT13" s="1271"/>
      <c r="BU13" s="1271"/>
      <c r="BV13" s="1271"/>
      <c r="BW13" s="1271"/>
      <c r="BX13" s="1271"/>
      <c r="BY13" s="1271"/>
      <c r="BZ13" s="1271"/>
      <c r="CA13" s="1343"/>
      <c r="CB13" s="1343"/>
      <c r="CC13" s="1343"/>
      <c r="CD13" s="1343"/>
      <c r="CE13" s="1343"/>
      <c r="CF13" s="1343"/>
      <c r="CG13" s="1271"/>
      <c r="CH13" s="1271"/>
      <c r="CI13" s="1271"/>
      <c r="CJ13" s="1271"/>
      <c r="CK13" s="1271"/>
      <c r="CL13" s="1271"/>
      <c r="CM13" s="1271"/>
    </row>
    <row r="14" spans="1:91">
      <c r="A14" s="1285">
        <v>7</v>
      </c>
      <c r="B14" s="1338" t="s">
        <v>2628</v>
      </c>
      <c r="C14" s="1371" t="s">
        <v>2632</v>
      </c>
      <c r="D14" s="1301" t="s">
        <v>2672</v>
      </c>
      <c r="E14" s="1337"/>
      <c r="F14" s="1341">
        <f>+'RUMAS C- 26'!C8</f>
        <v>103.61199999999997</v>
      </c>
      <c r="G14" s="1380"/>
      <c r="H14" s="1361">
        <f>+'RUMAS C- 26'!D8</f>
        <v>0.2521791780874803</v>
      </c>
      <c r="I14" s="1361"/>
      <c r="J14" s="1347">
        <f>+'RUMAS C- 26'!G8</f>
        <v>895.83567014157154</v>
      </c>
      <c r="K14" s="1342">
        <f>+'RUMAS C- 26'!P8</f>
        <v>2049.7218905693176</v>
      </c>
      <c r="L14" s="1342">
        <f>+'RUMAS C- 26'!H8</f>
        <v>850.90068222226864</v>
      </c>
      <c r="M14" s="1347">
        <f>+'RUMAS C- 26'!R8</f>
        <v>1844.7497015123859</v>
      </c>
      <c r="N14" s="1410" t="s">
        <v>2692</v>
      </c>
      <c r="P14" s="1316"/>
      <c r="Q14" s="1378"/>
      <c r="R14" s="1378"/>
      <c r="S14" s="1276"/>
      <c r="T14" s="1379"/>
      <c r="U14" s="1276"/>
      <c r="V14" s="1378"/>
      <c r="W14" s="1316"/>
      <c r="X14" s="1316"/>
      <c r="Y14" s="1316"/>
      <c r="Z14" s="1316"/>
      <c r="AA14" s="1316"/>
      <c r="AB14" s="1316"/>
      <c r="AC14" s="1316"/>
      <c r="AD14" s="1316"/>
      <c r="AE14" s="1316"/>
      <c r="AF14" s="1316"/>
      <c r="AG14" s="1316"/>
      <c r="AH14" s="1316"/>
      <c r="AI14" s="1316"/>
      <c r="AJ14" s="1316"/>
      <c r="AK14" s="1271"/>
      <c r="AL14" s="1271"/>
      <c r="AM14" s="1271"/>
      <c r="AN14" s="1271"/>
      <c r="AO14" s="1271"/>
      <c r="AP14" s="1271"/>
      <c r="AQ14" s="1271"/>
      <c r="AR14" s="1271"/>
      <c r="AS14" s="1271"/>
      <c r="AT14" s="1271"/>
      <c r="AU14" s="1271"/>
      <c r="AV14" s="1271"/>
      <c r="AW14" s="1271"/>
      <c r="AX14" s="1271"/>
      <c r="AY14" s="1271"/>
      <c r="AZ14" s="1271"/>
      <c r="BA14" s="1271"/>
      <c r="BB14" s="1271"/>
      <c r="BC14" s="1271"/>
      <c r="BD14" s="1271"/>
      <c r="BE14" s="1271"/>
      <c r="BF14" s="1271"/>
      <c r="BG14" s="1271"/>
      <c r="BH14" s="1271"/>
      <c r="BI14" s="1271"/>
      <c r="BJ14" s="1271"/>
      <c r="BK14" s="1271"/>
      <c r="BL14" s="1271"/>
      <c r="BM14" s="1271"/>
      <c r="BN14" s="1271"/>
      <c r="BO14" s="1271"/>
      <c r="BP14" s="1271"/>
      <c r="BQ14" s="1271"/>
      <c r="BR14" s="1271"/>
      <c r="BS14" s="1271"/>
      <c r="BT14" s="1271"/>
      <c r="BU14" s="1271"/>
      <c r="BV14" s="1271"/>
      <c r="BW14" s="1271"/>
      <c r="BX14" s="1271"/>
      <c r="BY14" s="1271"/>
      <c r="BZ14" s="1271"/>
      <c r="CA14" s="1343"/>
      <c r="CB14" s="1343"/>
      <c r="CC14" s="1343"/>
      <c r="CD14" s="1343"/>
      <c r="CE14" s="1343"/>
      <c r="CF14" s="1343"/>
      <c r="CG14" s="1271"/>
      <c r="CH14" s="1271"/>
      <c r="CI14" s="1271"/>
      <c r="CJ14" s="1271"/>
      <c r="CK14" s="1271"/>
      <c r="CL14" s="1271"/>
      <c r="CM14" s="1271"/>
    </row>
    <row r="15" spans="1:91">
      <c r="A15" s="1285">
        <v>8</v>
      </c>
      <c r="B15" s="1338" t="s">
        <v>2628</v>
      </c>
      <c r="C15" s="1371" t="s">
        <v>2632</v>
      </c>
      <c r="D15" s="1301" t="s">
        <v>2673</v>
      </c>
      <c r="E15" s="1337"/>
      <c r="F15" s="1341">
        <f>+'RUMAS C- 26'!C9</f>
        <v>82.117000000000004</v>
      </c>
      <c r="G15" s="1380"/>
      <c r="H15" s="1361">
        <f>+'RUMAS C- 26'!D9</f>
        <v>0.27448049733916247</v>
      </c>
      <c r="I15" s="1361"/>
      <c r="J15" s="1347">
        <f>+'RUMAS C- 26'!G9</f>
        <v>772.77601823379598</v>
      </c>
      <c r="K15" s="1342">
        <f>+'RUMAS C- 26'!P9</f>
        <v>0</v>
      </c>
      <c r="L15" s="1342">
        <f>+'RUMAS C- 26'!H9</f>
        <v>751.68194996044554</v>
      </c>
      <c r="M15" s="1347">
        <f>+'RUMAS C- 26'!R9</f>
        <v>0</v>
      </c>
      <c r="N15" s="1413">
        <f>SUM(L10:L15)</f>
        <v>4162.501467800188</v>
      </c>
      <c r="O15" s="1416">
        <f>+N15+L43+L44+L45+L47+L48</f>
        <v>5025.1334321001887</v>
      </c>
      <c r="P15" s="1316"/>
      <c r="Q15" s="1378"/>
      <c r="R15" s="1378"/>
      <c r="S15" s="1276"/>
      <c r="T15" s="1379"/>
      <c r="U15" s="1276"/>
      <c r="V15" s="1378"/>
      <c r="W15" s="1316"/>
      <c r="X15" s="1316"/>
      <c r="Y15" s="1316"/>
      <c r="Z15" s="1316"/>
      <c r="AA15" s="1316"/>
      <c r="AB15" s="1316"/>
      <c r="AC15" s="1316"/>
      <c r="AD15" s="1316"/>
      <c r="AE15" s="1316"/>
      <c r="AF15" s="1316"/>
      <c r="AG15" s="1316"/>
      <c r="AH15" s="1316"/>
      <c r="AI15" s="1316"/>
      <c r="AJ15" s="1316"/>
      <c r="AK15" s="1271"/>
      <c r="AL15" s="1271"/>
      <c r="AM15" s="1271"/>
      <c r="AN15" s="1271"/>
      <c r="AO15" s="1271"/>
      <c r="AP15" s="1271"/>
      <c r="AQ15" s="1271"/>
      <c r="AR15" s="1271"/>
      <c r="AS15" s="1271"/>
      <c r="AT15" s="1271"/>
      <c r="AU15" s="1271"/>
      <c r="AV15" s="1271"/>
      <c r="AW15" s="1271"/>
      <c r="AX15" s="1271"/>
      <c r="AY15" s="1271"/>
      <c r="AZ15" s="1271"/>
      <c r="BA15" s="1271"/>
      <c r="BB15" s="1271"/>
      <c r="BC15" s="1271"/>
      <c r="BD15" s="1271"/>
      <c r="BE15" s="1271"/>
      <c r="BF15" s="1271"/>
      <c r="BG15" s="1271"/>
      <c r="BH15" s="1271"/>
      <c r="BI15" s="1271"/>
      <c r="BJ15" s="1271"/>
      <c r="BK15" s="1271"/>
      <c r="BL15" s="1271"/>
      <c r="BM15" s="1271"/>
      <c r="BN15" s="1271"/>
      <c r="BO15" s="1271"/>
      <c r="BP15" s="1271"/>
      <c r="BQ15" s="1271"/>
      <c r="BR15" s="1271"/>
      <c r="BS15" s="1271"/>
      <c r="BT15" s="1271"/>
      <c r="BU15" s="1271"/>
      <c r="BV15" s="1271"/>
      <c r="BW15" s="1271"/>
      <c r="BX15" s="1271"/>
      <c r="BY15" s="1271"/>
      <c r="BZ15" s="1271"/>
      <c r="CA15" s="1343"/>
      <c r="CB15" s="1343"/>
      <c r="CC15" s="1343"/>
      <c r="CD15" s="1343"/>
      <c r="CE15" s="1343"/>
      <c r="CF15" s="1343"/>
      <c r="CG15" s="1271"/>
      <c r="CH15" s="1271"/>
      <c r="CI15" s="1271"/>
      <c r="CJ15" s="1271"/>
      <c r="CK15" s="1271"/>
      <c r="CL15" s="1271"/>
      <c r="CM15" s="1271"/>
    </row>
    <row r="16" spans="1:91" ht="14.4" customHeight="1">
      <c r="A16" s="1285">
        <v>9</v>
      </c>
      <c r="B16" s="1390" t="s">
        <v>2635</v>
      </c>
      <c r="C16" s="1377" t="s">
        <v>2636</v>
      </c>
      <c r="D16" s="1330" t="s">
        <v>2637</v>
      </c>
      <c r="E16" s="1339"/>
      <c r="F16" s="1324">
        <v>0</v>
      </c>
      <c r="G16" s="1376"/>
      <c r="H16" s="1375">
        <v>0</v>
      </c>
      <c r="I16" s="1375"/>
      <c r="J16" s="1374">
        <f>+F16*H16*34.285*0.97</f>
        <v>0</v>
      </c>
      <c r="K16" s="1374">
        <f t="shared" si="0"/>
        <v>0</v>
      </c>
      <c r="L16" s="1374">
        <f t="shared" si="1"/>
        <v>0</v>
      </c>
      <c r="M16" s="1374">
        <f t="shared" si="1"/>
        <v>0</v>
      </c>
      <c r="N16" s="1370"/>
      <c r="O16" s="1373"/>
      <c r="P16" s="1269"/>
      <c r="Q16" s="1273"/>
      <c r="R16" s="1273"/>
      <c r="S16" s="1276"/>
      <c r="T16" s="1372"/>
      <c r="U16" s="1276"/>
      <c r="V16" s="1372"/>
      <c r="W16" s="1317"/>
      <c r="X16" s="1271"/>
      <c r="Y16" s="1271"/>
      <c r="Z16" s="1271"/>
      <c r="AA16" s="1271"/>
      <c r="AB16" s="1271"/>
      <c r="AC16" s="1271"/>
      <c r="AD16" s="1316"/>
      <c r="AE16" s="1316"/>
      <c r="AF16" s="1316"/>
      <c r="AG16" s="1316"/>
      <c r="AH16" s="1316"/>
      <c r="AI16" s="1316"/>
      <c r="AJ16" s="1316"/>
      <c r="AK16" s="1271"/>
      <c r="AL16" s="1271"/>
      <c r="AM16" s="1271"/>
      <c r="AN16" s="1271"/>
      <c r="AO16" s="1271"/>
      <c r="AP16" s="1271"/>
      <c r="AQ16" s="1271"/>
      <c r="AR16" s="1271"/>
      <c r="AS16" s="1271"/>
      <c r="AT16" s="1271"/>
      <c r="AU16" s="1271"/>
      <c r="AV16" s="1271"/>
      <c r="AW16" s="1271"/>
      <c r="AX16" s="1271"/>
      <c r="AY16" s="1271"/>
      <c r="AZ16" s="1271"/>
      <c r="BA16" s="1271"/>
      <c r="BB16" s="1271"/>
      <c r="BC16" s="1271"/>
      <c r="BD16" s="1271"/>
      <c r="BE16" s="1271"/>
      <c r="BF16" s="1271"/>
      <c r="BG16" s="1271"/>
      <c r="BH16" s="1271"/>
      <c r="BI16" s="1271"/>
      <c r="BJ16" s="1271"/>
      <c r="BK16" s="1271"/>
      <c r="BL16" s="1271"/>
      <c r="BM16" s="1271"/>
      <c r="BN16" s="1271"/>
      <c r="BO16" s="1271"/>
      <c r="BP16" s="1271"/>
      <c r="BQ16" s="1271"/>
      <c r="BR16" s="1271"/>
      <c r="BS16" s="1271"/>
      <c r="BT16" s="1271"/>
      <c r="BU16" s="1271"/>
      <c r="BV16" s="1271"/>
      <c r="BW16" s="1271"/>
      <c r="BX16" s="1271"/>
      <c r="BY16" s="1333"/>
      <c r="CA16" s="1343"/>
      <c r="CB16" s="1343"/>
      <c r="CC16" s="1343"/>
      <c r="CD16" s="1343"/>
      <c r="CE16" s="1343"/>
      <c r="CF16" s="1343"/>
      <c r="CI16" s="1318"/>
      <c r="CJ16" s="1318"/>
      <c r="CK16" s="1271"/>
      <c r="CL16" s="1271"/>
      <c r="CM16" s="1271"/>
    </row>
    <row r="17" spans="1:91" ht="14.4" customHeight="1">
      <c r="A17" s="1285">
        <v>10</v>
      </c>
      <c r="B17" s="1391" t="s">
        <v>2635</v>
      </c>
      <c r="C17" s="1371" t="s">
        <v>2638</v>
      </c>
      <c r="D17" s="1301" t="s">
        <v>2639</v>
      </c>
      <c r="E17" s="1337"/>
      <c r="F17" s="1341"/>
      <c r="G17" s="1337"/>
      <c r="H17" s="1361"/>
      <c r="I17" s="1361"/>
      <c r="J17" s="1342">
        <v>0</v>
      </c>
      <c r="K17" s="1360">
        <f t="shared" si="0"/>
        <v>0</v>
      </c>
      <c r="L17" s="1359">
        <f t="shared" si="1"/>
        <v>0</v>
      </c>
      <c r="M17" s="1359">
        <f t="shared" si="1"/>
        <v>0</v>
      </c>
      <c r="N17" s="1370"/>
      <c r="S17" s="1271"/>
      <c r="T17" s="1271"/>
      <c r="U17" s="1276"/>
      <c r="V17" s="1271"/>
      <c r="W17" s="1271"/>
      <c r="X17" s="1271"/>
      <c r="Y17" s="1352"/>
      <c r="Z17" s="1349"/>
      <c r="AA17" s="1271"/>
      <c r="AB17" s="1271"/>
      <c r="AC17" s="1271"/>
      <c r="AD17" s="1316"/>
      <c r="AE17" s="1316"/>
      <c r="AF17" s="1316"/>
      <c r="AG17" s="1316"/>
      <c r="AH17" s="1316"/>
      <c r="AI17" s="1316"/>
      <c r="AJ17" s="1316"/>
      <c r="AK17" s="1271"/>
      <c r="AL17" s="1271"/>
      <c r="AM17" s="1271"/>
      <c r="AN17" s="1271"/>
      <c r="AO17" s="1271"/>
      <c r="AP17" s="1271"/>
      <c r="AQ17" s="1271"/>
      <c r="AR17" s="1271"/>
      <c r="AS17" s="1271"/>
      <c r="AT17" s="1271"/>
      <c r="AU17" s="1271"/>
      <c r="AV17" s="1271"/>
      <c r="AW17" s="1271"/>
      <c r="AX17" s="1271"/>
      <c r="AY17" s="1271"/>
      <c r="AZ17" s="1271"/>
      <c r="BA17" s="1271"/>
      <c r="BB17" s="1271"/>
      <c r="BC17" s="1271"/>
      <c r="BD17" s="1271"/>
      <c r="BE17" s="1271"/>
      <c r="BF17" s="1271"/>
      <c r="BG17" s="1271"/>
      <c r="BH17" s="1271"/>
      <c r="BI17" s="1271"/>
      <c r="BJ17" s="1271"/>
      <c r="BK17" s="1271"/>
      <c r="BL17" s="1271"/>
      <c r="BM17" s="1271"/>
      <c r="BN17" s="1271"/>
      <c r="BO17" s="1271"/>
      <c r="BP17" s="1271"/>
      <c r="BQ17" s="1271"/>
      <c r="BR17" s="1271"/>
      <c r="BS17" s="1271"/>
      <c r="BT17" s="1271"/>
      <c r="BU17" s="1271"/>
      <c r="BV17" s="1271"/>
      <c r="BW17" s="1271"/>
      <c r="BX17" s="1271"/>
      <c r="BY17" s="1333"/>
      <c r="CA17" s="1343"/>
      <c r="CB17" s="1343"/>
      <c r="CC17" s="1343"/>
      <c r="CD17" s="1343"/>
      <c r="CE17" s="1343"/>
      <c r="CF17" s="1343"/>
      <c r="CI17" s="1318"/>
      <c r="CJ17" s="1318"/>
      <c r="CK17" s="1271"/>
      <c r="CL17" s="1271"/>
      <c r="CM17" s="1271"/>
    </row>
    <row r="18" spans="1:91" ht="14.4" customHeight="1">
      <c r="A18" s="1285">
        <v>11</v>
      </c>
      <c r="B18" s="1392" t="s">
        <v>2635</v>
      </c>
      <c r="C18" s="1369" t="s">
        <v>2640</v>
      </c>
      <c r="D18" s="1327" t="s">
        <v>2639</v>
      </c>
      <c r="E18" s="1332"/>
      <c r="F18" s="1357"/>
      <c r="G18" s="1332"/>
      <c r="H18" s="1368"/>
      <c r="I18" s="1368"/>
      <c r="J18" s="1342">
        <v>0</v>
      </c>
      <c r="K18" s="1355">
        <f t="shared" si="0"/>
        <v>0</v>
      </c>
      <c r="L18" s="1354">
        <f t="shared" si="1"/>
        <v>0</v>
      </c>
      <c r="M18" s="1354">
        <f t="shared" si="1"/>
        <v>0</v>
      </c>
      <c r="N18" s="1367"/>
      <c r="S18" s="1271"/>
      <c r="T18" s="1271"/>
      <c r="U18" s="1276"/>
      <c r="V18" s="1271"/>
      <c r="W18" s="1271"/>
      <c r="X18" s="1271"/>
      <c r="Y18" s="1352"/>
      <c r="Z18" s="1349"/>
      <c r="AA18" s="1271"/>
      <c r="AB18" s="1271"/>
      <c r="AC18" s="1271"/>
      <c r="AD18" s="1316"/>
      <c r="AE18" s="1316"/>
      <c r="AF18" s="1316"/>
      <c r="AG18" s="1316"/>
      <c r="AH18" s="1316"/>
      <c r="AI18" s="1316"/>
      <c r="AJ18" s="1316"/>
      <c r="AK18" s="1271"/>
      <c r="AL18" s="1271"/>
      <c r="AM18" s="1271"/>
      <c r="AN18" s="1271"/>
      <c r="AO18" s="1271"/>
      <c r="AP18" s="1271"/>
      <c r="AQ18" s="1271"/>
      <c r="AR18" s="1271"/>
      <c r="AS18" s="1271"/>
      <c r="AT18" s="1271"/>
      <c r="AU18" s="1271"/>
      <c r="AV18" s="1271"/>
      <c r="AW18" s="1271"/>
      <c r="AX18" s="1271"/>
      <c r="AY18" s="1271"/>
      <c r="AZ18" s="1271"/>
      <c r="BA18" s="1271"/>
      <c r="BB18" s="1271"/>
      <c r="BC18" s="1271"/>
      <c r="BD18" s="1271"/>
      <c r="BE18" s="1271"/>
      <c r="BF18" s="1271"/>
      <c r="BG18" s="1271"/>
      <c r="BH18" s="1271"/>
      <c r="BI18" s="1271"/>
      <c r="BJ18" s="1271"/>
      <c r="BK18" s="1271"/>
      <c r="BL18" s="1271"/>
      <c r="BM18" s="1271"/>
      <c r="BN18" s="1271"/>
      <c r="BO18" s="1271"/>
      <c r="BP18" s="1271"/>
      <c r="BQ18" s="1271"/>
      <c r="BR18" s="1271"/>
      <c r="BS18" s="1271"/>
      <c r="BT18" s="1271"/>
      <c r="BU18" s="1271"/>
      <c r="BV18" s="1271"/>
      <c r="BW18" s="1271"/>
      <c r="BX18" s="1271"/>
      <c r="BY18" s="1333"/>
      <c r="CA18" s="1343"/>
      <c r="CB18" s="1343"/>
      <c r="CC18" s="1343"/>
      <c r="CD18" s="1343"/>
      <c r="CE18" s="1343"/>
      <c r="CF18" s="1343"/>
      <c r="CI18" s="1344"/>
      <c r="CJ18" s="1344"/>
      <c r="CK18" s="1271"/>
      <c r="CL18" s="1271"/>
      <c r="CM18" s="1271"/>
    </row>
    <row r="19" spans="1:91" ht="14.4" customHeight="1">
      <c r="A19" s="1285">
        <v>12</v>
      </c>
      <c r="B19" s="1393" t="s">
        <v>2641</v>
      </c>
      <c r="C19" s="1366" t="s">
        <v>2642</v>
      </c>
      <c r="D19" s="1366" t="s">
        <v>2639</v>
      </c>
      <c r="E19" s="1337"/>
      <c r="F19" s="1336"/>
      <c r="G19" s="1337"/>
      <c r="H19" s="1365"/>
      <c r="I19" s="1365"/>
      <c r="J19" s="1342">
        <v>0</v>
      </c>
      <c r="K19" s="1364">
        <f t="shared" si="0"/>
        <v>0</v>
      </c>
      <c r="L19" s="1363">
        <f t="shared" ref="L19:L32" si="2">+J19/31.10347</f>
        <v>0</v>
      </c>
      <c r="M19" s="1363">
        <v>0</v>
      </c>
      <c r="N19" s="1362"/>
      <c r="S19" s="1271"/>
      <c r="T19" s="1271"/>
      <c r="U19" s="1276"/>
      <c r="V19" s="1271"/>
      <c r="W19" s="1271"/>
      <c r="X19" s="1271"/>
      <c r="Y19" s="1352"/>
      <c r="Z19" s="1349"/>
      <c r="AA19" s="1271"/>
      <c r="AB19" s="1271"/>
      <c r="AC19" s="1271"/>
      <c r="AD19" s="1316"/>
      <c r="AE19" s="1316"/>
      <c r="AF19" s="1316"/>
      <c r="AG19" s="1316"/>
      <c r="AH19" s="1316"/>
      <c r="AI19" s="1316"/>
      <c r="AJ19" s="1316"/>
      <c r="AK19" s="1271"/>
      <c r="AL19" s="1271"/>
      <c r="AM19" s="1271"/>
      <c r="AN19" s="1271"/>
      <c r="AO19" s="1271"/>
      <c r="AP19" s="1271"/>
      <c r="AQ19" s="1271"/>
      <c r="AR19" s="1271"/>
      <c r="AS19" s="1271"/>
      <c r="AT19" s="1271"/>
      <c r="AU19" s="1271"/>
      <c r="AV19" s="1271"/>
      <c r="AW19" s="1271"/>
      <c r="AX19" s="1271"/>
      <c r="AY19" s="1271"/>
      <c r="AZ19" s="1271"/>
      <c r="BA19" s="1271"/>
      <c r="BB19" s="1271"/>
      <c r="BC19" s="1271"/>
      <c r="BD19" s="1271"/>
      <c r="BE19" s="1271"/>
      <c r="BF19" s="1271"/>
      <c r="BG19" s="1271"/>
      <c r="BH19" s="1271"/>
      <c r="BI19" s="1271"/>
      <c r="BJ19" s="1271"/>
      <c r="BK19" s="1271"/>
      <c r="BL19" s="1271"/>
      <c r="BM19" s="1271"/>
      <c r="BN19" s="1271"/>
      <c r="BO19" s="1271"/>
      <c r="BP19" s="1271"/>
      <c r="BQ19" s="1271"/>
      <c r="BR19" s="1271"/>
      <c r="BS19" s="1271"/>
      <c r="BT19" s="1271"/>
      <c r="BU19" s="1271"/>
      <c r="BV19" s="1271"/>
      <c r="BW19" s="1271"/>
      <c r="BX19" s="1271"/>
      <c r="BY19" s="1333"/>
      <c r="CA19" s="1343"/>
      <c r="CB19" s="1343"/>
      <c r="CC19" s="1343"/>
      <c r="CD19" s="1343"/>
      <c r="CE19" s="1343"/>
      <c r="CF19" s="1343"/>
      <c r="CI19" s="1344"/>
      <c r="CJ19" s="1344"/>
      <c r="CK19" s="1271"/>
      <c r="CL19" s="1271"/>
      <c r="CM19" s="1271"/>
    </row>
    <row r="20" spans="1:91" ht="14.4" customHeight="1">
      <c r="A20" s="1285">
        <v>13</v>
      </c>
      <c r="B20" s="1391" t="s">
        <v>2635</v>
      </c>
      <c r="C20" s="1301" t="s">
        <v>2643</v>
      </c>
      <c r="D20" s="1301" t="s">
        <v>2639</v>
      </c>
      <c r="E20" s="1337"/>
      <c r="F20" s="1341"/>
      <c r="G20" s="1337"/>
      <c r="H20" s="1361"/>
      <c r="I20" s="1361"/>
      <c r="J20" s="1342">
        <v>0</v>
      </c>
      <c r="K20" s="1360">
        <f t="shared" si="0"/>
        <v>0</v>
      </c>
      <c r="L20" s="1359">
        <f t="shared" si="2"/>
        <v>0</v>
      </c>
      <c r="M20" s="1359">
        <f t="shared" ref="M20:M48" si="3">+K20/31.10347</f>
        <v>0</v>
      </c>
      <c r="N20" s="1358"/>
      <c r="S20" s="1271"/>
      <c r="T20" s="1271"/>
      <c r="U20" s="1276"/>
      <c r="V20" s="1271"/>
      <c r="W20" s="1271"/>
      <c r="X20" s="1271"/>
      <c r="Y20" s="1352"/>
      <c r="Z20" s="1349"/>
      <c r="AA20" s="1271"/>
      <c r="AB20" s="1271"/>
      <c r="AC20" s="1271"/>
      <c r="AD20" s="1316"/>
      <c r="AE20" s="1316"/>
      <c r="AF20" s="1316"/>
      <c r="AG20" s="1316"/>
      <c r="AH20" s="1316"/>
      <c r="AI20" s="1316"/>
      <c r="AJ20" s="1316"/>
      <c r="AK20" s="1271"/>
      <c r="AL20" s="1271"/>
      <c r="AM20" s="1271"/>
      <c r="AN20" s="1271"/>
      <c r="AO20" s="1271"/>
      <c r="AP20" s="1271"/>
      <c r="AQ20" s="1271"/>
      <c r="AR20" s="1271"/>
      <c r="AS20" s="1271"/>
      <c r="AT20" s="1271"/>
      <c r="AU20" s="1271"/>
      <c r="AV20" s="1271"/>
      <c r="AW20" s="1271"/>
      <c r="AX20" s="1271"/>
      <c r="AY20" s="1271"/>
      <c r="AZ20" s="1271"/>
      <c r="BA20" s="1271"/>
      <c r="BB20" s="1271"/>
      <c r="BC20" s="1271"/>
      <c r="BD20" s="1271"/>
      <c r="BE20" s="1271"/>
      <c r="BF20" s="1271"/>
      <c r="BG20" s="1271"/>
      <c r="BH20" s="1271"/>
      <c r="BI20" s="1271"/>
      <c r="BJ20" s="1271"/>
      <c r="BK20" s="1271"/>
      <c r="BL20" s="1271"/>
      <c r="BM20" s="1271"/>
      <c r="BN20" s="1271"/>
      <c r="BO20" s="1271"/>
      <c r="BP20" s="1271"/>
      <c r="BQ20" s="1271"/>
      <c r="BR20" s="1271"/>
      <c r="BS20" s="1271"/>
      <c r="BT20" s="1271"/>
      <c r="BU20" s="1271"/>
      <c r="BV20" s="1271"/>
      <c r="BW20" s="1271"/>
      <c r="BX20" s="1271"/>
      <c r="BY20" s="1333"/>
      <c r="CA20" s="1343"/>
      <c r="CB20" s="1343"/>
      <c r="CC20" s="1343"/>
      <c r="CD20" s="1343"/>
      <c r="CE20" s="1343"/>
      <c r="CF20" s="1343"/>
      <c r="CI20" s="1344"/>
      <c r="CJ20" s="1344"/>
      <c r="CK20" s="1271"/>
      <c r="CL20" s="1271"/>
      <c r="CM20" s="1271"/>
    </row>
    <row r="21" spans="1:91" ht="14.4" customHeight="1">
      <c r="A21" s="1285">
        <v>14</v>
      </c>
      <c r="B21" s="1392" t="s">
        <v>2635</v>
      </c>
      <c r="C21" s="1327" t="s">
        <v>2644</v>
      </c>
      <c r="D21" s="1327" t="s">
        <v>2639</v>
      </c>
      <c r="E21" s="1332"/>
      <c r="F21" s="1357"/>
      <c r="G21" s="1332"/>
      <c r="H21" s="1356"/>
      <c r="I21" s="1356"/>
      <c r="J21" s="1342">
        <v>0</v>
      </c>
      <c r="K21" s="1355">
        <f t="shared" si="0"/>
        <v>0</v>
      </c>
      <c r="L21" s="1354">
        <f t="shared" si="2"/>
        <v>0</v>
      </c>
      <c r="M21" s="1354">
        <f t="shared" si="3"/>
        <v>0</v>
      </c>
      <c r="N21" s="1353"/>
      <c r="S21" s="1271"/>
      <c r="T21" s="1271"/>
      <c r="U21" s="1276"/>
      <c r="V21" s="1271"/>
      <c r="W21" s="1271"/>
      <c r="X21" s="1271"/>
      <c r="Y21" s="1352"/>
      <c r="Z21" s="1349"/>
      <c r="AA21" s="1271"/>
      <c r="AB21" s="1271"/>
      <c r="AC21" s="1271"/>
      <c r="AD21" s="1316"/>
      <c r="AE21" s="1316"/>
      <c r="AF21" s="1316"/>
      <c r="AG21" s="1316"/>
      <c r="AH21" s="1316"/>
      <c r="AI21" s="1316"/>
      <c r="AJ21" s="1316"/>
      <c r="AK21" s="1271"/>
      <c r="AL21" s="1271"/>
      <c r="AM21" s="1271"/>
      <c r="AN21" s="1271"/>
      <c r="AO21" s="1271"/>
      <c r="AP21" s="1271"/>
      <c r="AQ21" s="1271"/>
      <c r="AR21" s="1271"/>
      <c r="AS21" s="1271"/>
      <c r="AT21" s="1271"/>
      <c r="AU21" s="1271"/>
      <c r="AV21" s="1271"/>
      <c r="AW21" s="1271"/>
      <c r="AX21" s="1271"/>
      <c r="AY21" s="1271"/>
      <c r="AZ21" s="1271"/>
      <c r="BA21" s="1271"/>
      <c r="BB21" s="1271"/>
      <c r="BC21" s="1271"/>
      <c r="BD21" s="1271"/>
      <c r="BE21" s="1271"/>
      <c r="BF21" s="1271"/>
      <c r="BG21" s="1271"/>
      <c r="BH21" s="1271"/>
      <c r="BI21" s="1271"/>
      <c r="BJ21" s="1271"/>
      <c r="BK21" s="1271"/>
      <c r="BL21" s="1271"/>
      <c r="BM21" s="1271"/>
      <c r="BN21" s="1271"/>
      <c r="BO21" s="1271"/>
      <c r="BP21" s="1271"/>
      <c r="BQ21" s="1271"/>
      <c r="BR21" s="1271"/>
      <c r="BS21" s="1271"/>
      <c r="BT21" s="1271"/>
      <c r="BU21" s="1271"/>
      <c r="BV21" s="1271"/>
      <c r="BW21" s="1271"/>
      <c r="BX21" s="1271"/>
      <c r="BY21" s="1333"/>
      <c r="CA21" s="1343"/>
      <c r="CB21" s="1343"/>
      <c r="CC21" s="1343"/>
      <c r="CD21" s="1343"/>
      <c r="CE21" s="1343"/>
      <c r="CF21" s="1343"/>
      <c r="CI21" s="1344"/>
      <c r="CJ21" s="1344"/>
      <c r="CK21" s="1271"/>
      <c r="CL21" s="1271"/>
      <c r="CM21" s="1271"/>
    </row>
    <row r="22" spans="1:91" ht="14.4" customHeight="1">
      <c r="A22" s="1285">
        <v>15</v>
      </c>
      <c r="B22" s="1394" t="s">
        <v>2645</v>
      </c>
      <c r="C22" s="1307" t="s">
        <v>2646</v>
      </c>
      <c r="D22" s="1307" t="s">
        <v>2647</v>
      </c>
      <c r="E22" s="2028"/>
      <c r="F22" s="1336"/>
      <c r="G22" s="1348"/>
      <c r="H22" s="1336"/>
      <c r="I22" s="1336"/>
      <c r="J22" s="1347">
        <f>+F22*H22*34.285</f>
        <v>0</v>
      </c>
      <c r="K22" s="1347">
        <f>+F22*I22*34.28569*0.99</f>
        <v>0</v>
      </c>
      <c r="L22" s="1347">
        <f t="shared" si="2"/>
        <v>0</v>
      </c>
      <c r="M22" s="1347">
        <f t="shared" si="3"/>
        <v>0</v>
      </c>
      <c r="N22" s="1351"/>
      <c r="S22" s="1271"/>
      <c r="T22" s="1349"/>
      <c r="U22" s="1276"/>
      <c r="V22" s="1349"/>
      <c r="W22" s="1349"/>
      <c r="X22" s="1350"/>
      <c r="Y22" s="1350"/>
      <c r="Z22" s="1349"/>
      <c r="AA22" s="1271"/>
      <c r="AB22" s="1271"/>
      <c r="AC22" s="1271"/>
      <c r="AD22" s="1316"/>
      <c r="AE22" s="1316"/>
      <c r="AF22" s="1316"/>
      <c r="AG22" s="1316"/>
      <c r="AH22" s="1316"/>
      <c r="AI22" s="1316"/>
      <c r="AJ22" s="1316"/>
      <c r="AK22" s="1271"/>
      <c r="AL22" s="1271"/>
      <c r="AM22" s="1271"/>
      <c r="AN22" s="1271"/>
      <c r="AO22" s="1271"/>
      <c r="AP22" s="1271"/>
      <c r="AQ22" s="1271"/>
      <c r="AR22" s="1271"/>
      <c r="AS22" s="1271"/>
      <c r="AT22" s="1271"/>
      <c r="AU22" s="1271"/>
      <c r="AV22" s="1271"/>
      <c r="AW22" s="1271"/>
      <c r="AX22" s="1271"/>
      <c r="AY22" s="1271"/>
      <c r="AZ22" s="1271"/>
      <c r="BA22" s="1271"/>
      <c r="BB22" s="1271"/>
      <c r="BC22" s="1271"/>
      <c r="BD22" s="1271"/>
      <c r="BE22" s="1271"/>
      <c r="BF22" s="1271"/>
      <c r="BG22" s="1271"/>
      <c r="BH22" s="1271"/>
      <c r="BI22" s="1271"/>
      <c r="BJ22" s="1271"/>
      <c r="BK22" s="1271"/>
      <c r="BL22" s="1271"/>
      <c r="BM22" s="1271"/>
      <c r="BN22" s="1271"/>
      <c r="BO22" s="1271"/>
      <c r="BP22" s="1271"/>
      <c r="BQ22" s="1271"/>
      <c r="BR22" s="1271"/>
      <c r="BS22" s="1271"/>
      <c r="BT22" s="1271"/>
      <c r="BU22" s="1271"/>
      <c r="BV22" s="1271"/>
      <c r="BW22" s="1271"/>
      <c r="BX22" s="1271"/>
      <c r="BY22" s="1333"/>
      <c r="CA22" s="1343"/>
      <c r="CB22" s="1343"/>
      <c r="CC22" s="1343"/>
      <c r="CD22" s="1343"/>
      <c r="CE22" s="1343"/>
      <c r="CF22" s="1343"/>
      <c r="CI22" s="1344"/>
      <c r="CJ22" s="1344"/>
      <c r="CK22" s="1271"/>
      <c r="CL22" s="1271"/>
      <c r="CM22" s="1271"/>
    </row>
    <row r="23" spans="1:91" ht="14.4" customHeight="1">
      <c r="A23" s="1285">
        <v>16</v>
      </c>
      <c r="B23" s="1395" t="s">
        <v>2645</v>
      </c>
      <c r="C23" s="1301" t="s">
        <v>2648</v>
      </c>
      <c r="D23" s="1301" t="s">
        <v>2647</v>
      </c>
      <c r="E23" s="2028"/>
      <c r="F23" s="1341"/>
      <c r="G23" s="1348"/>
      <c r="H23" s="1336"/>
      <c r="I23" s="1336"/>
      <c r="J23" s="1347">
        <f>+F23*H23*34.285</f>
        <v>0</v>
      </c>
      <c r="K23" s="1342">
        <f>+F23*I23*34.28569*0.99</f>
        <v>0</v>
      </c>
      <c r="L23" s="1342">
        <f t="shared" si="2"/>
        <v>0</v>
      </c>
      <c r="M23" s="1342">
        <f t="shared" si="3"/>
        <v>0</v>
      </c>
      <c r="N23" s="1285"/>
      <c r="S23" s="1271"/>
      <c r="T23" s="1271"/>
      <c r="U23" s="1276"/>
      <c r="V23" s="1345"/>
      <c r="W23" s="1345"/>
      <c r="X23" s="1271"/>
      <c r="Y23" s="1271"/>
      <c r="Z23" s="1271"/>
      <c r="AA23" s="1271"/>
      <c r="AB23" s="1271"/>
      <c r="AC23" s="1271"/>
      <c r="AD23" s="1271"/>
      <c r="AE23" s="1271"/>
      <c r="AF23" s="1271"/>
      <c r="AG23" s="1271"/>
      <c r="AH23" s="1271"/>
      <c r="AI23" s="1271"/>
      <c r="AJ23" s="1316"/>
      <c r="AK23" s="1271"/>
      <c r="AL23" s="1271"/>
      <c r="AM23" s="1271"/>
      <c r="AN23" s="1271"/>
      <c r="AO23" s="1271"/>
      <c r="AP23" s="1271"/>
      <c r="AQ23" s="1271"/>
      <c r="AR23" s="1271"/>
      <c r="AS23" s="1271"/>
      <c r="AT23" s="1271"/>
      <c r="AU23" s="1271"/>
      <c r="AV23" s="1271"/>
      <c r="AW23" s="1271"/>
      <c r="AX23" s="1271"/>
      <c r="AY23" s="1271"/>
      <c r="AZ23" s="1271"/>
      <c r="BA23" s="1271"/>
      <c r="BB23" s="1271"/>
      <c r="BC23" s="1271"/>
      <c r="BD23" s="1271"/>
      <c r="BE23" s="1271"/>
      <c r="BF23" s="1271"/>
      <c r="BG23" s="1271"/>
      <c r="BH23" s="1271"/>
      <c r="BI23" s="1271"/>
      <c r="BJ23" s="1271"/>
      <c r="BK23" s="1271"/>
      <c r="BL23" s="1271"/>
      <c r="BM23" s="1271"/>
      <c r="BN23" s="1271"/>
      <c r="BO23" s="1271"/>
      <c r="BP23" s="1271"/>
      <c r="BQ23" s="1271"/>
      <c r="BR23" s="1271"/>
      <c r="BS23" s="1271"/>
      <c r="BT23" s="1271"/>
      <c r="BU23" s="1271"/>
      <c r="BV23" s="1271"/>
      <c r="BW23" s="1271"/>
      <c r="BX23" s="1271"/>
      <c r="BY23" s="1333"/>
      <c r="CA23" s="1343"/>
      <c r="CB23" s="1343"/>
      <c r="CC23" s="1343"/>
      <c r="CD23" s="1343"/>
      <c r="CE23" s="1343"/>
      <c r="CF23" s="1343"/>
      <c r="CI23" s="1344"/>
      <c r="CJ23" s="1344"/>
      <c r="CK23" s="1271"/>
      <c r="CL23" s="1271"/>
      <c r="CM23" s="1271"/>
    </row>
    <row r="24" spans="1:91" ht="14.4" customHeight="1">
      <c r="A24" s="1285">
        <v>17</v>
      </c>
      <c r="B24" s="1395" t="s">
        <v>2645</v>
      </c>
      <c r="C24" s="1301" t="s">
        <v>2649</v>
      </c>
      <c r="D24" s="1301" t="s">
        <v>2647</v>
      </c>
      <c r="E24" s="2028"/>
      <c r="F24" s="1341"/>
      <c r="G24" s="1348"/>
      <c r="H24" s="1336"/>
      <c r="I24" s="1336"/>
      <c r="J24" s="1347">
        <f>+F24*H24*34.285</f>
        <v>0</v>
      </c>
      <c r="K24" s="1342">
        <f>+F24*I24*34.28569*0.99</f>
        <v>0</v>
      </c>
      <c r="L24" s="1342">
        <f t="shared" si="2"/>
        <v>0</v>
      </c>
      <c r="M24" s="1342">
        <f t="shared" si="3"/>
        <v>0</v>
      </c>
      <c r="N24" s="1346"/>
      <c r="S24" s="1271"/>
      <c r="T24" s="1345"/>
      <c r="U24" s="1276"/>
      <c r="V24" s="1271"/>
      <c r="W24" s="1345"/>
      <c r="X24" s="1271"/>
      <c r="Y24" s="1271"/>
      <c r="Z24" s="1271"/>
      <c r="AA24" s="1271"/>
      <c r="AB24" s="1271"/>
      <c r="AC24" s="1271"/>
      <c r="AD24" s="1271"/>
      <c r="AE24" s="1271"/>
      <c r="AF24" s="1271"/>
      <c r="AG24" s="1271"/>
      <c r="AH24" s="1271"/>
      <c r="AI24" s="1271"/>
      <c r="AJ24" s="1316"/>
      <c r="AK24" s="1271"/>
      <c r="AL24" s="1271"/>
      <c r="AM24" s="1271"/>
      <c r="AN24" s="1271"/>
      <c r="AO24" s="1271"/>
      <c r="AP24" s="1271"/>
      <c r="AQ24" s="1271"/>
      <c r="AR24" s="1271"/>
      <c r="AS24" s="1271"/>
      <c r="AT24" s="1271"/>
      <c r="AU24" s="1271"/>
      <c r="AV24" s="1271"/>
      <c r="AW24" s="1271"/>
      <c r="AX24" s="1271"/>
      <c r="AY24" s="1271"/>
      <c r="AZ24" s="1271"/>
      <c r="BA24" s="1271"/>
      <c r="BB24" s="1271"/>
      <c r="BC24" s="1271"/>
      <c r="BD24" s="1271"/>
      <c r="BE24" s="1271"/>
      <c r="BF24" s="1271"/>
      <c r="BG24" s="1271"/>
      <c r="BH24" s="1271"/>
      <c r="BI24" s="1271"/>
      <c r="BJ24" s="1271"/>
      <c r="BK24" s="1271"/>
      <c r="BL24" s="1271"/>
      <c r="BM24" s="1271"/>
      <c r="BN24" s="1271"/>
      <c r="BO24" s="1271"/>
      <c r="BP24" s="1271"/>
      <c r="BQ24" s="1271"/>
      <c r="BR24" s="1271"/>
      <c r="BS24" s="1271"/>
      <c r="BT24" s="1271"/>
      <c r="BU24" s="1271"/>
      <c r="BV24" s="1271"/>
      <c r="BW24" s="1271"/>
      <c r="BX24" s="1271"/>
      <c r="BY24" s="1333"/>
      <c r="CA24" s="1343"/>
      <c r="CB24" s="1343"/>
      <c r="CC24" s="1343"/>
      <c r="CD24" s="1343"/>
      <c r="CE24" s="1343"/>
      <c r="CF24" s="1343"/>
      <c r="CI24" s="1344"/>
      <c r="CJ24" s="1344"/>
      <c r="CK24" s="1271"/>
      <c r="CL24" s="1271"/>
      <c r="CM24" s="1271"/>
    </row>
    <row r="25" spans="1:91" ht="14.4" customHeight="1">
      <c r="A25" s="1285">
        <v>18</v>
      </c>
      <c r="B25" s="1396" t="s">
        <v>2645</v>
      </c>
      <c r="C25" s="1330" t="s">
        <v>2646</v>
      </c>
      <c r="D25" s="1330" t="s">
        <v>2650</v>
      </c>
      <c r="E25" s="1342"/>
      <c r="F25" s="2026"/>
      <c r="G25" s="1339"/>
      <c r="H25" s="1336"/>
      <c r="I25" s="1336"/>
      <c r="J25" s="1336">
        <f>+(H25*E25)</f>
        <v>0</v>
      </c>
      <c r="K25" s="1336">
        <f>+(I25*E25)*0.99</f>
        <v>0</v>
      </c>
      <c r="L25" s="1336">
        <f t="shared" si="2"/>
        <v>0</v>
      </c>
      <c r="M25" s="1336">
        <f t="shared" si="3"/>
        <v>0</v>
      </c>
      <c r="N25" s="1285"/>
      <c r="S25" s="1271"/>
      <c r="T25" s="1317"/>
      <c r="U25" s="1276"/>
      <c r="V25" s="1271"/>
      <c r="W25" s="1271"/>
      <c r="X25" s="1271"/>
      <c r="Y25" s="1271"/>
      <c r="Z25" s="1271"/>
      <c r="AA25" s="1271"/>
      <c r="AB25" s="1271"/>
      <c r="AC25" s="1271"/>
      <c r="AD25" s="1271"/>
      <c r="AE25" s="1271"/>
      <c r="AF25" s="1271"/>
      <c r="AG25" s="1271"/>
      <c r="AH25" s="1271"/>
      <c r="AI25" s="1271"/>
      <c r="AJ25" s="1316"/>
      <c r="BP25" s="1271"/>
      <c r="BQ25" s="1271"/>
      <c r="BR25" s="1271"/>
      <c r="BS25" s="1271"/>
      <c r="BT25" s="1271"/>
      <c r="BU25" s="1271"/>
      <c r="BV25" s="1271"/>
      <c r="BW25" s="1271"/>
      <c r="BX25" s="1271"/>
      <c r="BY25" s="1271"/>
      <c r="CA25" s="1343"/>
      <c r="CB25" s="1343"/>
      <c r="CC25" s="1343"/>
      <c r="CD25" s="1343"/>
      <c r="CE25" s="1343"/>
      <c r="CF25" s="1343"/>
      <c r="CI25" s="1318"/>
      <c r="CJ25" s="1318"/>
      <c r="CK25" s="1271"/>
      <c r="CL25" s="1271"/>
      <c r="CM25" s="1271"/>
    </row>
    <row r="26" spans="1:91" ht="14.4" customHeight="1">
      <c r="A26" s="1285">
        <v>19</v>
      </c>
      <c r="B26" s="1395" t="s">
        <v>2645</v>
      </c>
      <c r="C26" s="1301" t="s">
        <v>2648</v>
      </c>
      <c r="D26" s="1301" t="s">
        <v>2650</v>
      </c>
      <c r="E26" s="1342"/>
      <c r="F26" s="2027"/>
      <c r="G26" s="1337"/>
      <c r="H26" s="1336"/>
      <c r="I26" s="1336"/>
      <c r="J26" s="1336">
        <f>+(H26*E26)</f>
        <v>0</v>
      </c>
      <c r="K26" s="1341">
        <f>+(I26*E26)*0.99</f>
        <v>0</v>
      </c>
      <c r="L26" s="1341">
        <f t="shared" si="2"/>
        <v>0</v>
      </c>
      <c r="M26" s="1341">
        <f t="shared" si="3"/>
        <v>0</v>
      </c>
      <c r="N26" s="1285"/>
      <c r="O26" s="1320"/>
      <c r="P26" s="1269"/>
      <c r="Q26" s="1273"/>
      <c r="R26" s="1271"/>
      <c r="S26" s="1317"/>
      <c r="T26" s="1317"/>
      <c r="U26" s="1276"/>
      <c r="V26" s="1271"/>
      <c r="W26" s="1271"/>
      <c r="X26" s="1271"/>
      <c r="Y26" s="1271"/>
      <c r="Z26" s="1271"/>
      <c r="AA26" s="1271"/>
      <c r="AB26" s="1271"/>
      <c r="AC26" s="1271"/>
      <c r="AD26" s="1271"/>
      <c r="AE26" s="1271"/>
      <c r="AF26" s="1271"/>
      <c r="AG26" s="1271"/>
      <c r="AH26" s="1271"/>
      <c r="AI26" s="1271"/>
      <c r="AJ26" s="1316"/>
      <c r="BP26" s="1271"/>
      <c r="BQ26" s="1271"/>
      <c r="BR26" s="1271"/>
      <c r="BS26" s="1271"/>
      <c r="BT26" s="1271"/>
      <c r="BU26" s="1271"/>
      <c r="BV26" s="1271"/>
      <c r="BW26" s="1271"/>
      <c r="BX26" s="1271"/>
      <c r="BY26" s="1271"/>
      <c r="CI26" s="1318"/>
      <c r="CJ26" s="1318"/>
      <c r="CK26" s="1271"/>
      <c r="CL26" s="1271"/>
      <c r="CM26" s="1271"/>
    </row>
    <row r="27" spans="1:91" ht="14.4" customHeight="1">
      <c r="A27" s="1285">
        <v>20</v>
      </c>
      <c r="B27" s="1395" t="s">
        <v>2645</v>
      </c>
      <c r="C27" s="1301" t="s">
        <v>2649</v>
      </c>
      <c r="D27" s="1301" t="s">
        <v>2650</v>
      </c>
      <c r="E27" s="1342"/>
      <c r="F27" s="2027"/>
      <c r="G27" s="1337"/>
      <c r="H27" s="1336"/>
      <c r="I27" s="1336"/>
      <c r="J27" s="1336">
        <f>+(H27*E27)</f>
        <v>0</v>
      </c>
      <c r="K27" s="1341">
        <f>+(I27*E27)*0.99</f>
        <v>0</v>
      </c>
      <c r="L27" s="1341">
        <f t="shared" si="2"/>
        <v>0</v>
      </c>
      <c r="M27" s="1341">
        <f t="shared" si="3"/>
        <v>0</v>
      </c>
      <c r="N27" s="1340"/>
      <c r="O27" s="1320"/>
      <c r="P27" s="1269"/>
      <c r="Q27" s="1273"/>
      <c r="R27" s="1271"/>
      <c r="S27" s="1317"/>
      <c r="T27" s="1317"/>
      <c r="U27" s="1276"/>
      <c r="V27" s="1271"/>
      <c r="W27" s="1271"/>
      <c r="X27" s="1271"/>
      <c r="Y27" s="1271"/>
      <c r="Z27" s="1271"/>
      <c r="AA27" s="1271"/>
      <c r="AB27" s="1271"/>
      <c r="AC27" s="1271"/>
      <c r="AD27" s="1271"/>
      <c r="AE27" s="1271"/>
      <c r="AF27" s="1271"/>
      <c r="AG27" s="1271"/>
      <c r="AH27" s="1271"/>
      <c r="AI27" s="1271"/>
      <c r="AJ27" s="1316"/>
      <c r="BX27" s="1271"/>
      <c r="BY27" s="1271"/>
      <c r="BZ27" s="1318"/>
      <c r="CA27" s="1318"/>
      <c r="CB27" s="1318"/>
      <c r="CC27" s="1318"/>
      <c r="CD27" s="1318"/>
      <c r="CE27" s="1318"/>
      <c r="CF27" s="1318"/>
      <c r="CG27" s="1318"/>
      <c r="CH27" s="1318"/>
      <c r="CI27" s="1318"/>
      <c r="CJ27" s="1318"/>
      <c r="CK27" s="1271"/>
      <c r="CL27" s="1271"/>
      <c r="CM27" s="1271"/>
    </row>
    <row r="28" spans="1:91" ht="14.4" customHeight="1">
      <c r="A28" s="1285">
        <v>21</v>
      </c>
      <c r="B28" s="1390" t="s">
        <v>2645</v>
      </c>
      <c r="C28" s="1330" t="s">
        <v>2646</v>
      </c>
      <c r="D28" s="1330" t="s">
        <v>2651</v>
      </c>
      <c r="E28" s="1339"/>
      <c r="F28" s="1339"/>
      <c r="G28" s="1342"/>
      <c r="H28" s="1336"/>
      <c r="I28" s="1336"/>
      <c r="J28" s="1324">
        <f>G28*H28*0.95</f>
        <v>0</v>
      </c>
      <c r="K28" s="1323">
        <f>G28*I28*0.95</f>
        <v>0</v>
      </c>
      <c r="L28" s="1323">
        <f t="shared" si="2"/>
        <v>0</v>
      </c>
      <c r="M28" s="1323">
        <f t="shared" si="3"/>
        <v>0</v>
      </c>
      <c r="N28" s="1277"/>
      <c r="O28" s="1320"/>
      <c r="P28" s="1319"/>
      <c r="Q28" s="1318"/>
      <c r="S28" s="1317"/>
      <c r="T28" s="1317"/>
      <c r="U28" s="1276"/>
      <c r="V28" s="1271"/>
      <c r="W28" s="1271"/>
      <c r="X28" s="1271"/>
      <c r="Y28" s="1271"/>
      <c r="Z28" s="1271"/>
      <c r="AA28" s="1271"/>
      <c r="AB28" s="1271"/>
      <c r="AC28" s="1271"/>
      <c r="AD28" s="1271"/>
      <c r="AE28" s="1271"/>
      <c r="AF28" s="1271"/>
      <c r="AG28" s="1271"/>
      <c r="AH28" s="1271"/>
      <c r="AI28" s="1271"/>
      <c r="AJ28" s="1316"/>
      <c r="BX28" s="1271"/>
      <c r="BY28" s="1271"/>
      <c r="BZ28" s="1271"/>
      <c r="CA28" s="1271"/>
      <c r="CB28" s="1271"/>
      <c r="CC28" s="1271"/>
      <c r="CD28" s="1271"/>
      <c r="CE28" s="1271"/>
      <c r="CF28" s="1271"/>
      <c r="CG28" s="1271"/>
      <c r="CH28" s="1271"/>
      <c r="CI28" s="1271"/>
      <c r="CJ28" s="1271"/>
      <c r="CK28" s="1271"/>
      <c r="CL28" s="1271"/>
    </row>
    <row r="29" spans="1:91" ht="14.4" customHeight="1">
      <c r="A29" s="1285">
        <v>22</v>
      </c>
      <c r="B29" s="1391" t="s">
        <v>2645</v>
      </c>
      <c r="C29" s="1301" t="s">
        <v>2648</v>
      </c>
      <c r="D29" s="1301" t="s">
        <v>2651</v>
      </c>
      <c r="E29" s="1337"/>
      <c r="F29" s="1337"/>
      <c r="G29" s="1342"/>
      <c r="H29" s="1336"/>
      <c r="I29" s="1336"/>
      <c r="J29" s="1336">
        <f>G29*H29*0.95</f>
        <v>0</v>
      </c>
      <c r="K29" s="1297">
        <f>G29*I29*0.95</f>
        <v>0</v>
      </c>
      <c r="L29" s="1297">
        <f t="shared" si="2"/>
        <v>0</v>
      </c>
      <c r="M29" s="1297">
        <f t="shared" si="3"/>
        <v>0</v>
      </c>
      <c r="N29" s="1335"/>
      <c r="O29" s="1320"/>
      <c r="P29" s="1319"/>
      <c r="Q29" s="1334"/>
      <c r="R29" s="1333"/>
      <c r="S29" s="1271"/>
      <c r="T29" s="1317"/>
      <c r="U29" s="1276"/>
      <c r="V29" s="1271"/>
      <c r="W29" s="1271"/>
      <c r="X29" s="1271"/>
      <c r="Y29" s="1271"/>
      <c r="Z29" s="1271"/>
      <c r="AA29" s="1271"/>
      <c r="AB29" s="1271"/>
      <c r="AC29" s="1271"/>
      <c r="AD29" s="1271"/>
      <c r="AE29" s="1271"/>
      <c r="AF29" s="1271"/>
      <c r="AG29" s="1271"/>
      <c r="AH29" s="1271"/>
      <c r="AI29" s="1271"/>
      <c r="AJ29" s="1316"/>
      <c r="BX29" s="1271"/>
      <c r="BY29" s="1271"/>
      <c r="BZ29" s="1271"/>
      <c r="CA29" s="1271"/>
      <c r="CB29" s="1271"/>
      <c r="CC29" s="1271"/>
      <c r="CD29" s="1271"/>
      <c r="CE29" s="1271"/>
      <c r="CF29" s="1271"/>
      <c r="CG29" s="1271"/>
      <c r="CH29" s="1271"/>
      <c r="CI29" s="1271"/>
      <c r="CJ29" s="1271"/>
      <c r="CK29" s="1271"/>
      <c r="CL29" s="1271"/>
    </row>
    <row r="30" spans="1:91" ht="14.4" customHeight="1">
      <c r="A30" s="1285">
        <v>23</v>
      </c>
      <c r="B30" s="1392" t="s">
        <v>2645</v>
      </c>
      <c r="C30" s="1327" t="s">
        <v>2649</v>
      </c>
      <c r="D30" s="1327" t="s">
        <v>2651</v>
      </c>
      <c r="E30" s="1332"/>
      <c r="F30" s="1332"/>
      <c r="G30" s="1342"/>
      <c r="H30" s="1336"/>
      <c r="I30" s="1336"/>
      <c r="J30" s="1331">
        <f>G30*H30*0.95</f>
        <v>0</v>
      </c>
      <c r="K30" s="1322">
        <f>G30*I30*0.95</f>
        <v>0</v>
      </c>
      <c r="L30" s="1322">
        <f t="shared" si="2"/>
        <v>0</v>
      </c>
      <c r="M30" s="1322">
        <f t="shared" si="3"/>
        <v>0</v>
      </c>
      <c r="N30" s="1321"/>
      <c r="O30" s="1320"/>
      <c r="P30" s="1319"/>
      <c r="Q30" s="1318"/>
      <c r="S30" s="1271"/>
      <c r="T30" s="1317"/>
      <c r="U30" s="1276"/>
      <c r="V30" s="1271"/>
      <c r="W30" s="1271"/>
      <c r="X30" s="1271"/>
      <c r="Y30" s="1271"/>
      <c r="Z30" s="1271"/>
      <c r="AA30" s="1271"/>
      <c r="AB30" s="1271"/>
      <c r="AC30" s="1271"/>
      <c r="AD30" s="1271"/>
      <c r="AE30" s="1271"/>
      <c r="AF30" s="1271"/>
      <c r="AG30" s="1271"/>
      <c r="AH30" s="1271"/>
      <c r="AI30" s="1271"/>
      <c r="AJ30" s="1316"/>
      <c r="BX30" s="1271"/>
      <c r="BY30" s="1271"/>
      <c r="BZ30" s="1271"/>
      <c r="CA30" s="1271"/>
      <c r="CB30" s="1271"/>
      <c r="CC30" s="1271"/>
      <c r="CD30" s="1271"/>
      <c r="CE30" s="1271"/>
      <c r="CF30" s="1271"/>
      <c r="CG30" s="1271"/>
      <c r="CH30" s="1271"/>
      <c r="CI30" s="1271"/>
      <c r="CJ30" s="1271"/>
      <c r="CK30" s="1271"/>
      <c r="CL30" s="1271"/>
    </row>
    <row r="31" spans="1:91" ht="14.4" customHeight="1">
      <c r="A31" s="1285">
        <v>24</v>
      </c>
      <c r="B31" s="1390" t="s">
        <v>2652</v>
      </c>
      <c r="C31" s="1330" t="s">
        <v>2653</v>
      </c>
      <c r="D31" s="1330" t="s">
        <v>2651</v>
      </c>
      <c r="E31" s="1329"/>
      <c r="F31" s="1329"/>
      <c r="G31" s="1342"/>
      <c r="H31" s="1336"/>
      <c r="I31" s="1336"/>
      <c r="J31" s="1324">
        <f>G31*H31</f>
        <v>0</v>
      </c>
      <c r="K31" s="1323">
        <f>G31*I31*0.99</f>
        <v>0</v>
      </c>
      <c r="L31" s="1323">
        <f t="shared" si="2"/>
        <v>0</v>
      </c>
      <c r="M31" s="1323">
        <f t="shared" si="3"/>
        <v>0</v>
      </c>
      <c r="N31" s="1328"/>
      <c r="O31" s="1320"/>
      <c r="P31" s="1319"/>
      <c r="Q31" s="1318"/>
      <c r="S31" s="1271"/>
      <c r="T31" s="1317"/>
      <c r="U31" s="1276"/>
      <c r="V31" s="1271"/>
      <c r="W31" s="1271"/>
      <c r="X31" s="1271"/>
      <c r="Y31" s="1271"/>
      <c r="Z31" s="1271"/>
      <c r="AA31" s="1271"/>
      <c r="AB31" s="1271"/>
      <c r="AC31" s="1271"/>
      <c r="AD31" s="1271"/>
      <c r="AE31" s="1271"/>
      <c r="AF31" s="1271"/>
      <c r="AG31" s="1271"/>
      <c r="AH31" s="1271"/>
      <c r="AI31" s="1271"/>
      <c r="AJ31" s="1316"/>
      <c r="BX31" s="1271"/>
      <c r="BY31" s="1271"/>
      <c r="BZ31" s="1271"/>
      <c r="CA31" s="1271"/>
      <c r="CB31" s="1271"/>
      <c r="CC31" s="1271"/>
      <c r="CD31" s="1271"/>
      <c r="CE31" s="1271"/>
      <c r="CF31" s="1271"/>
      <c r="CG31" s="1271"/>
      <c r="CH31" s="1271"/>
      <c r="CI31" s="1271"/>
      <c r="CJ31" s="1271"/>
      <c r="CK31" s="1271"/>
      <c r="CL31" s="1271"/>
    </row>
    <row r="32" spans="1:91" ht="14.4" customHeight="1">
      <c r="A32" s="1285">
        <v>25</v>
      </c>
      <c r="B32" s="1392" t="s">
        <v>2652</v>
      </c>
      <c r="C32" s="1327" t="s">
        <v>2654</v>
      </c>
      <c r="D32" s="1327" t="s">
        <v>2651</v>
      </c>
      <c r="E32" s="1326"/>
      <c r="F32" s="1326"/>
      <c r="G32" s="1305"/>
      <c r="H32" s="1325"/>
      <c r="I32" s="1325"/>
      <c r="J32" s="1324">
        <f>G32*H32</f>
        <v>0</v>
      </c>
      <c r="K32" s="1322">
        <f>G32*I32*0.99</f>
        <v>0</v>
      </c>
      <c r="L32" s="1323">
        <f t="shared" si="2"/>
        <v>0</v>
      </c>
      <c r="M32" s="1322">
        <f t="shared" si="3"/>
        <v>0</v>
      </c>
      <c r="N32" s="1321"/>
      <c r="O32" s="1320"/>
      <c r="P32" s="1319"/>
      <c r="Q32" s="1318"/>
      <c r="S32" s="1271"/>
      <c r="T32" s="1317"/>
      <c r="U32" s="1276"/>
      <c r="V32" s="1271"/>
      <c r="W32" s="1271"/>
      <c r="X32" s="1271"/>
      <c r="Y32" s="1271"/>
      <c r="Z32" s="1271"/>
      <c r="AA32" s="1271"/>
      <c r="AB32" s="1271"/>
      <c r="AC32" s="1271"/>
      <c r="AD32" s="1271"/>
      <c r="AE32" s="1271"/>
      <c r="AF32" s="1271"/>
      <c r="AG32" s="1271"/>
      <c r="AH32" s="1271"/>
      <c r="AI32" s="1271"/>
      <c r="AJ32" s="1316"/>
      <c r="BX32" s="1271"/>
      <c r="BY32" s="1271"/>
      <c r="BZ32" s="1271"/>
      <c r="CA32" s="1271"/>
      <c r="CB32" s="1271"/>
      <c r="CC32" s="1271"/>
      <c r="CD32" s="1271"/>
      <c r="CE32" s="1271"/>
      <c r="CF32" s="1271"/>
      <c r="CG32" s="1271"/>
      <c r="CH32" s="1271"/>
      <c r="CI32" s="1271"/>
      <c r="CJ32" s="1271"/>
      <c r="CK32" s="1271"/>
      <c r="CL32" s="1271"/>
    </row>
    <row r="33" spans="1:35" ht="14.4" customHeight="1">
      <c r="A33" s="1285">
        <v>26</v>
      </c>
      <c r="B33" s="1314" t="s">
        <v>2655</v>
      </c>
      <c r="C33" s="1307" t="s">
        <v>2656</v>
      </c>
      <c r="D33" s="1307" t="s">
        <v>2693</v>
      </c>
      <c r="E33" s="2025"/>
      <c r="F33" s="2025"/>
      <c r="G33" s="1297"/>
      <c r="H33" s="1312"/>
      <c r="I33" s="1312"/>
      <c r="J33" s="1296"/>
      <c r="K33" s="1296"/>
      <c r="L33" s="1296"/>
      <c r="M33" s="1296"/>
      <c r="N33" s="1309"/>
      <c r="O33" s="1271"/>
      <c r="P33" s="1269"/>
      <c r="Q33" s="1273"/>
      <c r="R33" s="1271"/>
      <c r="S33" s="1271"/>
      <c r="T33" s="1271"/>
      <c r="U33" s="1276"/>
      <c r="V33" s="1271"/>
      <c r="W33" s="1271"/>
      <c r="X33" s="1271"/>
      <c r="Y33" s="1271"/>
      <c r="Z33" s="1271"/>
      <c r="AA33" s="1271"/>
      <c r="AB33" s="1271"/>
      <c r="AC33" s="1271"/>
      <c r="AD33" s="1271"/>
      <c r="AE33" s="1271"/>
      <c r="AF33" s="1271"/>
      <c r="AG33" s="1271"/>
      <c r="AH33" s="1271"/>
      <c r="AI33" s="1271"/>
    </row>
    <row r="34" spans="1:35" ht="14.4" customHeight="1">
      <c r="A34" s="1285">
        <v>27</v>
      </c>
      <c r="B34" s="1314" t="s">
        <v>2655</v>
      </c>
      <c r="C34" s="1301" t="s">
        <v>2657</v>
      </c>
      <c r="D34" s="1307" t="s">
        <v>2693</v>
      </c>
      <c r="E34" s="2025"/>
      <c r="F34" s="2025"/>
      <c r="G34" s="1297"/>
      <c r="H34" s="1312"/>
      <c r="I34" s="1312"/>
      <c r="J34" s="1296"/>
      <c r="K34" s="1296"/>
      <c r="L34" s="1297"/>
      <c r="M34" s="1297"/>
      <c r="N34" s="1315"/>
      <c r="O34" s="1271"/>
      <c r="P34" s="1269"/>
      <c r="Q34" s="1273"/>
      <c r="R34" s="1271"/>
      <c r="S34" s="1271"/>
      <c r="T34" s="1271"/>
      <c r="U34" s="1276"/>
      <c r="V34" s="1271"/>
      <c r="W34" s="1271"/>
      <c r="X34" s="1271"/>
      <c r="Y34" s="1271"/>
      <c r="Z34" s="1271"/>
      <c r="AA34" s="1271"/>
      <c r="AB34" s="1271"/>
      <c r="AC34" s="1271"/>
      <c r="AD34" s="1271"/>
      <c r="AE34" s="1271"/>
      <c r="AF34" s="1271"/>
      <c r="AG34" s="1271"/>
      <c r="AH34" s="1271"/>
      <c r="AI34" s="1271"/>
    </row>
    <row r="35" spans="1:35" ht="14.4" customHeight="1">
      <c r="A35" s="1285">
        <v>28</v>
      </c>
      <c r="B35" s="1314" t="s">
        <v>2655</v>
      </c>
      <c r="C35" s="1301" t="s">
        <v>2658</v>
      </c>
      <c r="D35" s="1307" t="s">
        <v>2693</v>
      </c>
      <c r="E35" s="2025"/>
      <c r="F35" s="2025"/>
      <c r="G35" s="1297"/>
      <c r="H35" s="1312"/>
      <c r="I35" s="1312"/>
      <c r="J35" s="1296"/>
      <c r="K35" s="1296"/>
      <c r="L35" s="1297"/>
      <c r="M35" s="1297"/>
      <c r="N35" s="1303"/>
      <c r="O35" s="1271"/>
      <c r="P35" s="1269"/>
      <c r="Q35" s="1273"/>
      <c r="R35" s="1271"/>
      <c r="S35" s="1271"/>
      <c r="T35" s="1271"/>
      <c r="U35" s="1276"/>
      <c r="V35" s="1271"/>
      <c r="W35" s="1271"/>
      <c r="X35" s="1271"/>
      <c r="Y35" s="1271"/>
      <c r="Z35" s="1271"/>
      <c r="AA35" s="1271"/>
      <c r="AB35" s="1271"/>
      <c r="AC35" s="1271"/>
      <c r="AD35" s="1271"/>
      <c r="AE35" s="1271"/>
      <c r="AF35" s="1271"/>
      <c r="AG35" s="1271"/>
      <c r="AH35" s="1271"/>
      <c r="AI35" s="1271"/>
    </row>
    <row r="36" spans="1:35" ht="14.4" customHeight="1">
      <c r="A36" s="1285">
        <v>29</v>
      </c>
      <c r="B36" s="1314" t="s">
        <v>2655</v>
      </c>
      <c r="C36" s="1313" t="s">
        <v>2659</v>
      </c>
      <c r="D36" s="1307" t="s">
        <v>2693</v>
      </c>
      <c r="E36" s="2025"/>
      <c r="F36" s="2025"/>
      <c r="G36" s="1297"/>
      <c r="H36" s="1312"/>
      <c r="I36" s="1311"/>
      <c r="J36" s="1296"/>
      <c r="K36" s="1296"/>
      <c r="L36" s="1310"/>
      <c r="M36" s="1310"/>
      <c r="N36" s="1309"/>
      <c r="O36" s="1271"/>
      <c r="P36" s="1269"/>
      <c r="Q36" s="1273"/>
      <c r="R36" s="1271"/>
      <c r="S36" s="1271"/>
      <c r="T36" s="1271"/>
      <c r="U36" s="1276"/>
      <c r="V36" s="1271"/>
      <c r="W36" s="1271"/>
      <c r="X36" s="1271"/>
      <c r="Y36" s="1271"/>
      <c r="Z36" s="1271"/>
      <c r="AA36" s="1271"/>
      <c r="AB36" s="1271"/>
      <c r="AC36" s="1271"/>
      <c r="AD36" s="1271"/>
      <c r="AE36" s="1271"/>
      <c r="AF36" s="1271"/>
      <c r="AG36" s="1271"/>
      <c r="AH36" s="1271"/>
      <c r="AI36" s="1271"/>
    </row>
    <row r="37" spans="1:35" ht="14.4" customHeight="1">
      <c r="A37" s="1407">
        <v>30</v>
      </c>
      <c r="B37" s="1397" t="s">
        <v>2660</v>
      </c>
      <c r="C37" s="1398" t="s">
        <v>2661</v>
      </c>
      <c r="D37" s="1399" t="s">
        <v>2675</v>
      </c>
      <c r="E37" s="1400"/>
      <c r="F37" s="1401"/>
      <c r="G37" s="1402">
        <v>4098</v>
      </c>
      <c r="H37" s="1403">
        <v>0.13</v>
      </c>
      <c r="I37" s="1403">
        <v>99.326999999999998</v>
      </c>
      <c r="J37" s="1404"/>
      <c r="K37" s="1404"/>
      <c r="L37" s="1402">
        <f t="shared" ref="L37:L42" si="4">+G37*H37/100</f>
        <v>5.3273999999999999</v>
      </c>
      <c r="M37" s="1402">
        <f t="shared" ref="M37:M42" si="5">+G37*I37/100</f>
        <v>4070.4204599999998</v>
      </c>
      <c r="N37" s="1405" t="s">
        <v>2679</v>
      </c>
      <c r="O37" s="1271"/>
      <c r="P37" s="1269"/>
      <c r="Q37" s="1273"/>
      <c r="R37" s="1271"/>
      <c r="S37" s="1271"/>
      <c r="T37" s="1271"/>
      <c r="U37" s="1276"/>
      <c r="V37" s="1271"/>
      <c r="W37" s="1271"/>
      <c r="X37" s="1271"/>
      <c r="Y37" s="1271"/>
      <c r="Z37" s="1271"/>
      <c r="AA37" s="1271"/>
      <c r="AB37" s="1271"/>
      <c r="AC37" s="1271"/>
      <c r="AD37" s="1271"/>
      <c r="AE37" s="1271"/>
      <c r="AF37" s="1271"/>
      <c r="AG37" s="1271"/>
      <c r="AH37" s="1271"/>
      <c r="AI37" s="1271"/>
    </row>
    <row r="38" spans="1:35" ht="14.4" customHeight="1">
      <c r="A38" s="1407">
        <v>31</v>
      </c>
      <c r="B38" s="1397" t="s">
        <v>2660</v>
      </c>
      <c r="C38" s="1398" t="s">
        <v>2661</v>
      </c>
      <c r="D38" s="1399" t="s">
        <v>2676</v>
      </c>
      <c r="E38" s="1400"/>
      <c r="F38" s="1401"/>
      <c r="G38" s="1402">
        <v>6470</v>
      </c>
      <c r="H38" s="1403">
        <v>0.128</v>
      </c>
      <c r="I38" s="1403">
        <v>98.76</v>
      </c>
      <c r="J38" s="1404"/>
      <c r="K38" s="1404"/>
      <c r="L38" s="1402">
        <f t="shared" si="4"/>
        <v>8.2815999999999992</v>
      </c>
      <c r="M38" s="1402">
        <f t="shared" si="5"/>
        <v>6389.7720000000008</v>
      </c>
      <c r="N38" s="1409">
        <f>SUM(L37:L46)</f>
        <v>159.59385589999999</v>
      </c>
      <c r="R38" s="1271"/>
      <c r="S38" s="1271"/>
      <c r="T38" s="1271"/>
      <c r="U38" s="1276"/>
      <c r="V38" s="1271"/>
      <c r="W38" s="1271"/>
      <c r="X38" s="1271"/>
      <c r="Y38" s="1271"/>
      <c r="Z38" s="1271"/>
      <c r="AA38" s="1271"/>
      <c r="AB38" s="1271"/>
      <c r="AC38" s="1271"/>
      <c r="AD38" s="1271"/>
      <c r="AE38" s="1271"/>
      <c r="AF38" s="1271"/>
      <c r="AG38" s="1271"/>
      <c r="AH38" s="1271"/>
      <c r="AI38" s="1271"/>
    </row>
    <row r="39" spans="1:35" ht="14.4" customHeight="1">
      <c r="A39" s="1407">
        <v>32</v>
      </c>
      <c r="B39" s="1397" t="s">
        <v>2660</v>
      </c>
      <c r="C39" s="1398" t="s">
        <v>2661</v>
      </c>
      <c r="D39" s="1399" t="s">
        <v>2677</v>
      </c>
      <c r="E39" s="1400"/>
      <c r="F39" s="1401"/>
      <c r="G39" s="1402">
        <v>449.67</v>
      </c>
      <c r="H39" s="1403">
        <v>0.63900000000000001</v>
      </c>
      <c r="I39" s="1403">
        <v>98.587999999999994</v>
      </c>
      <c r="J39" s="1404"/>
      <c r="K39" s="1404"/>
      <c r="L39" s="1402">
        <f t="shared" si="4"/>
        <v>2.8733913000000002</v>
      </c>
      <c r="M39" s="1402">
        <f t="shared" si="5"/>
        <v>443.3206596</v>
      </c>
      <c r="N39" s="1405" t="s">
        <v>2680</v>
      </c>
      <c r="O39" s="1271"/>
      <c r="P39" s="1269"/>
      <c r="Q39" s="1273"/>
      <c r="R39" s="1271"/>
      <c r="S39" s="1271"/>
      <c r="T39" s="1271"/>
      <c r="U39" s="1276"/>
      <c r="V39" s="1271"/>
      <c r="W39" s="1271"/>
      <c r="X39" s="1271"/>
      <c r="Y39" s="1271"/>
      <c r="Z39" s="1271"/>
      <c r="AA39" s="1271"/>
      <c r="AB39" s="1271"/>
      <c r="AC39" s="1271"/>
      <c r="AD39" s="1271"/>
      <c r="AE39" s="1271"/>
      <c r="AF39" s="1271"/>
      <c r="AG39" s="1271"/>
      <c r="AH39" s="1271"/>
      <c r="AI39" s="1271"/>
    </row>
    <row r="40" spans="1:35" ht="14.4" customHeight="1">
      <c r="A40" s="1407">
        <v>33</v>
      </c>
      <c r="B40" s="1397" t="s">
        <v>2660</v>
      </c>
      <c r="C40" s="1398" t="s">
        <v>2661</v>
      </c>
      <c r="D40" s="1399" t="s">
        <v>2678</v>
      </c>
      <c r="E40" s="1400"/>
      <c r="F40" s="1401"/>
      <c r="G40" s="1402">
        <v>5571.57</v>
      </c>
      <c r="H40" s="1403">
        <v>2.8000000000000001E-2</v>
      </c>
      <c r="I40" s="1403">
        <v>98.284999999999997</v>
      </c>
      <c r="J40" s="1404"/>
      <c r="K40" s="1404"/>
      <c r="L40" s="1402">
        <f t="shared" si="4"/>
        <v>1.5600396000000001</v>
      </c>
      <c r="M40" s="1402">
        <f t="shared" si="5"/>
        <v>5476.0175744999988</v>
      </c>
      <c r="N40" s="1409">
        <f>SUM(M37:M46)</f>
        <v>26511.454963299995</v>
      </c>
      <c r="R40" s="1271"/>
      <c r="S40" s="1271"/>
      <c r="T40" s="1271"/>
      <c r="U40" s="1276"/>
      <c r="V40" s="1271"/>
      <c r="W40" s="1271"/>
      <c r="X40" s="1271"/>
      <c r="Y40" s="1271"/>
      <c r="Z40" s="1271"/>
      <c r="AA40" s="1271"/>
      <c r="AB40" s="1271"/>
      <c r="AC40" s="1271"/>
      <c r="AD40" s="1271"/>
      <c r="AE40" s="1271"/>
      <c r="AF40" s="1271"/>
      <c r="AG40" s="1271"/>
      <c r="AH40" s="1271"/>
      <c r="AI40" s="1271"/>
    </row>
    <row r="41" spans="1:35" ht="14.4" customHeight="1">
      <c r="A41" s="1407">
        <v>34</v>
      </c>
      <c r="B41" s="1397" t="s">
        <v>2660</v>
      </c>
      <c r="C41" s="1398" t="s">
        <v>2661</v>
      </c>
      <c r="D41" s="1399" t="s">
        <v>2678</v>
      </c>
      <c r="E41" s="1400"/>
      <c r="F41" s="1401"/>
      <c r="G41" s="1402">
        <v>5997.82</v>
      </c>
      <c r="H41" s="1403">
        <v>2.5999999999999999E-2</v>
      </c>
      <c r="I41" s="1403">
        <v>98.444000000000003</v>
      </c>
      <c r="J41" s="1404"/>
      <c r="K41" s="1404"/>
      <c r="L41" s="1402">
        <f t="shared" si="4"/>
        <v>1.5594331999999997</v>
      </c>
      <c r="M41" s="1402">
        <f t="shared" si="5"/>
        <v>5904.4939208000005</v>
      </c>
      <c r="N41" s="1406"/>
      <c r="R41" s="1271"/>
      <c r="S41" s="1271"/>
      <c r="T41" s="1271"/>
      <c r="U41" s="1276"/>
      <c r="V41" s="1271"/>
      <c r="W41" s="1271"/>
      <c r="X41" s="1271"/>
      <c r="Y41" s="1271"/>
      <c r="Z41" s="1271"/>
      <c r="AA41" s="1271"/>
      <c r="AB41" s="1271"/>
      <c r="AC41" s="1271"/>
      <c r="AD41" s="1271"/>
      <c r="AE41" s="1271"/>
      <c r="AF41" s="1271"/>
      <c r="AG41" s="1271"/>
      <c r="AH41" s="1271"/>
      <c r="AI41" s="1271"/>
    </row>
    <row r="42" spans="1:35" ht="14.4" customHeight="1">
      <c r="A42" s="1407">
        <v>35</v>
      </c>
      <c r="B42" s="1397" t="s">
        <v>2660</v>
      </c>
      <c r="C42" s="1398" t="s">
        <v>2661</v>
      </c>
      <c r="D42" s="1399" t="s">
        <v>2678</v>
      </c>
      <c r="E42" s="1400"/>
      <c r="F42" s="1401"/>
      <c r="G42" s="1402">
        <v>4063.03</v>
      </c>
      <c r="H42" s="1403">
        <v>2.5000000000000001E-2</v>
      </c>
      <c r="I42" s="1403">
        <v>98.899000000000001</v>
      </c>
      <c r="J42" s="1404"/>
      <c r="K42" s="1404"/>
      <c r="L42" s="1402">
        <f t="shared" si="4"/>
        <v>1.0157575000000001</v>
      </c>
      <c r="M42" s="1402">
        <f t="shared" si="5"/>
        <v>4018.2960397000002</v>
      </c>
      <c r="N42" s="1406"/>
      <c r="R42" s="1271"/>
      <c r="S42" s="1271"/>
      <c r="T42" s="1271"/>
      <c r="U42" s="1276"/>
      <c r="V42" s="1271"/>
      <c r="W42" s="1271"/>
      <c r="X42" s="1271"/>
      <c r="Y42" s="1271"/>
      <c r="Z42" s="1271"/>
      <c r="AA42" s="1271"/>
      <c r="AB42" s="1271"/>
      <c r="AC42" s="1271"/>
      <c r="AD42" s="1271"/>
      <c r="AE42" s="1271"/>
      <c r="AF42" s="1271"/>
      <c r="AG42" s="1271"/>
      <c r="AH42" s="1271"/>
      <c r="AI42" s="1271"/>
    </row>
    <row r="43" spans="1:35" ht="14.4" customHeight="1">
      <c r="A43" s="1407">
        <v>36</v>
      </c>
      <c r="B43" s="1397" t="s">
        <v>2660</v>
      </c>
      <c r="C43" s="1398" t="s">
        <v>2661</v>
      </c>
      <c r="D43" s="1399" t="s">
        <v>2681</v>
      </c>
      <c r="E43" s="1400"/>
      <c r="F43" s="1401"/>
      <c r="G43" s="1402">
        <v>225.41</v>
      </c>
      <c r="H43" s="1403">
        <v>27.920999999999999</v>
      </c>
      <c r="I43" s="1403">
        <v>62.475000000000001</v>
      </c>
      <c r="J43" s="1402"/>
      <c r="K43" s="1402"/>
      <c r="L43" s="1412">
        <f t="shared" ref="L43:L45" si="6">+G43*H43/100</f>
        <v>62.936726099999994</v>
      </c>
      <c r="M43" s="1402">
        <f t="shared" ref="M43:M45" si="7">+G43*I43/100</f>
        <v>140.82489750000002</v>
      </c>
      <c r="N43" s="1405"/>
      <c r="O43" s="1271"/>
      <c r="P43" s="1269"/>
      <c r="Q43" s="1273"/>
      <c r="R43" s="1271"/>
      <c r="S43" s="1271"/>
      <c r="T43" s="1271"/>
      <c r="U43" s="1276"/>
      <c r="V43" s="1271"/>
      <c r="W43" s="1271"/>
      <c r="X43" s="1271"/>
      <c r="Y43" s="1271"/>
      <c r="Z43" s="1271"/>
      <c r="AA43" s="1271"/>
      <c r="AB43" s="1271"/>
      <c r="AC43" s="1271"/>
      <c r="AD43" s="1271"/>
      <c r="AE43" s="1271"/>
      <c r="AF43" s="1271"/>
      <c r="AG43" s="1271"/>
      <c r="AH43" s="1271"/>
      <c r="AI43" s="1271"/>
    </row>
    <row r="44" spans="1:35" ht="14.4" customHeight="1">
      <c r="A44" s="1407">
        <v>37</v>
      </c>
      <c r="B44" s="1397" t="s">
        <v>2660</v>
      </c>
      <c r="C44" s="1398" t="s">
        <v>2661</v>
      </c>
      <c r="D44" s="1399" t="s">
        <v>2682</v>
      </c>
      <c r="E44" s="1400"/>
      <c r="F44" s="1401"/>
      <c r="G44" s="1402">
        <v>80.5</v>
      </c>
      <c r="H44" s="1403">
        <v>61.598999999999997</v>
      </c>
      <c r="I44" s="1403">
        <v>9.5419999999999998</v>
      </c>
      <c r="J44" s="1402"/>
      <c r="K44" s="1402"/>
      <c r="L44" s="1412">
        <f t="shared" si="6"/>
        <v>49.587195000000001</v>
      </c>
      <c r="M44" s="1402">
        <f t="shared" si="7"/>
        <v>7.6813099999999999</v>
      </c>
      <c r="N44" s="1405"/>
      <c r="O44" s="1271"/>
      <c r="P44" s="1269"/>
      <c r="Q44" s="1273"/>
      <c r="R44" s="1271"/>
      <c r="S44" s="1271"/>
      <c r="T44" s="1271"/>
      <c r="U44" s="1276"/>
      <c r="V44" s="1271"/>
      <c r="W44" s="1271"/>
      <c r="X44" s="1271"/>
      <c r="Y44" s="1271"/>
      <c r="Z44" s="1271"/>
      <c r="AA44" s="1271"/>
      <c r="AB44" s="1271"/>
      <c r="AC44" s="1271"/>
      <c r="AD44" s="1271"/>
      <c r="AE44" s="1271"/>
      <c r="AF44" s="1271"/>
      <c r="AG44" s="1271"/>
      <c r="AH44" s="1271"/>
      <c r="AI44" s="1271"/>
    </row>
    <row r="45" spans="1:35" ht="14.4" customHeight="1">
      <c r="A45" s="1407">
        <v>38</v>
      </c>
      <c r="B45" s="1397" t="s">
        <v>2660</v>
      </c>
      <c r="C45" s="1398" t="s">
        <v>2661</v>
      </c>
      <c r="D45" s="1399" t="s">
        <v>2683</v>
      </c>
      <c r="E45" s="1400"/>
      <c r="F45" s="1401"/>
      <c r="G45" s="1402">
        <v>180.92</v>
      </c>
      <c r="H45" s="1403">
        <v>14.621</v>
      </c>
      <c r="I45" s="1403">
        <v>33.511000000000003</v>
      </c>
      <c r="J45" s="1402"/>
      <c r="K45" s="1402"/>
      <c r="L45" s="1412">
        <f t="shared" si="6"/>
        <v>26.452313199999999</v>
      </c>
      <c r="M45" s="1402">
        <f t="shared" si="7"/>
        <v>60.628101200000003</v>
      </c>
      <c r="N45" s="1405"/>
      <c r="O45" s="1271"/>
      <c r="P45" s="1269"/>
      <c r="Q45" s="1273"/>
      <c r="R45" s="1271"/>
      <c r="S45" s="1271"/>
      <c r="T45" s="1271"/>
      <c r="U45" s="1276"/>
      <c r="V45" s="1271"/>
      <c r="W45" s="1271"/>
      <c r="X45" s="1271"/>
      <c r="Y45" s="1271"/>
      <c r="Z45" s="1271"/>
      <c r="AA45" s="1271"/>
      <c r="AB45" s="1271"/>
      <c r="AC45" s="1271"/>
      <c r="AD45" s="1271"/>
      <c r="AE45" s="1271"/>
      <c r="AF45" s="1271"/>
      <c r="AG45" s="1271"/>
      <c r="AH45" s="1271"/>
      <c r="AI45" s="1271"/>
    </row>
    <row r="46" spans="1:35" ht="14.4" customHeight="1">
      <c r="A46" s="1407">
        <v>39</v>
      </c>
      <c r="B46" s="1397" t="s">
        <v>2660</v>
      </c>
      <c r="C46" s="1398" t="s">
        <v>2661</v>
      </c>
      <c r="D46" s="1399" t="s">
        <v>2684</v>
      </c>
      <c r="E46" s="1400"/>
      <c r="F46" s="1401"/>
      <c r="G46" s="1402">
        <v>2405.8000000000002</v>
      </c>
      <c r="H46" s="1403" t="s">
        <v>2685</v>
      </c>
      <c r="I46" s="1403" t="s">
        <v>2685</v>
      </c>
      <c r="J46" s="1402"/>
      <c r="K46" s="1402"/>
      <c r="L46" s="1408"/>
      <c r="M46" s="1408"/>
      <c r="N46" s="1406"/>
      <c r="R46" s="1271"/>
      <c r="S46" s="1271"/>
      <c r="T46" s="1271"/>
      <c r="U46" s="1276"/>
      <c r="V46" s="1271"/>
      <c r="W46" s="1271"/>
      <c r="X46" s="1271"/>
      <c r="Y46" s="1271"/>
      <c r="Z46" s="1271"/>
      <c r="AA46" s="1271"/>
      <c r="AB46" s="1271"/>
      <c r="AC46" s="1271"/>
      <c r="AD46" s="1271"/>
      <c r="AE46" s="1271"/>
      <c r="AF46" s="1271"/>
      <c r="AG46" s="1271"/>
      <c r="AH46" s="1271"/>
      <c r="AI46" s="1271"/>
    </row>
    <row r="47" spans="1:35" ht="14.4" customHeight="1">
      <c r="A47" s="1407">
        <v>40</v>
      </c>
      <c r="B47" s="1308" t="s">
        <v>2662</v>
      </c>
      <c r="C47" s="1307" t="s">
        <v>2687</v>
      </c>
      <c r="D47" s="1307" t="s">
        <v>2686</v>
      </c>
      <c r="E47" s="1300"/>
      <c r="F47" s="1299"/>
      <c r="G47" s="1306">
        <v>1636.47</v>
      </c>
      <c r="H47" s="1304">
        <v>0.25900000000000001</v>
      </c>
      <c r="I47" s="1304"/>
      <c r="K47" s="1296">
        <f>G47*I47</f>
        <v>0</v>
      </c>
      <c r="L47" s="1414">
        <f>+H47*G47</f>
        <v>423.84573</v>
      </c>
      <c r="M47" s="1296">
        <f t="shared" si="3"/>
        <v>0</v>
      </c>
      <c r="N47" s="1303"/>
      <c r="R47" s="1271"/>
      <c r="S47" s="1271"/>
      <c r="T47" s="1271"/>
      <c r="U47" s="1276"/>
      <c r="V47" s="1271"/>
      <c r="W47" s="1271"/>
      <c r="X47" s="1271"/>
      <c r="Y47" s="1271"/>
      <c r="Z47" s="1271"/>
      <c r="AA47" s="1271"/>
      <c r="AB47" s="1271"/>
      <c r="AC47" s="1271"/>
      <c r="AD47" s="1271"/>
      <c r="AE47" s="1271"/>
      <c r="AF47" s="1271"/>
      <c r="AG47" s="1271"/>
      <c r="AH47" s="1271"/>
      <c r="AI47" s="1271"/>
    </row>
    <row r="48" spans="1:35" ht="14.4" customHeight="1">
      <c r="A48" s="1407">
        <v>41</v>
      </c>
      <c r="B48" s="1302" t="s">
        <v>2688</v>
      </c>
      <c r="C48" s="1301" t="s">
        <v>2689</v>
      </c>
      <c r="D48" s="1301"/>
      <c r="E48" s="1300"/>
      <c r="F48" s="1299"/>
      <c r="G48" s="1305"/>
      <c r="H48" s="1304"/>
      <c r="I48" s="1298"/>
      <c r="J48" s="1297"/>
      <c r="K48" s="1297">
        <f>G48*I48</f>
        <v>0</v>
      </c>
      <c r="L48" s="1415">
        <v>299.81</v>
      </c>
      <c r="M48" s="1297">
        <f t="shared" si="3"/>
        <v>0</v>
      </c>
      <c r="N48" s="1277"/>
      <c r="R48" s="1271"/>
      <c r="S48" s="1271"/>
      <c r="T48" s="1271"/>
      <c r="U48" s="1276"/>
      <c r="V48" s="1271"/>
      <c r="W48" s="1271"/>
      <c r="X48" s="1271"/>
      <c r="Y48" s="1271"/>
      <c r="Z48" s="1271"/>
      <c r="AA48" s="1271"/>
      <c r="AB48" s="1271"/>
      <c r="AC48" s="1271"/>
      <c r="AD48" s="1271"/>
      <c r="AE48" s="1271"/>
      <c r="AF48" s="1271"/>
      <c r="AG48" s="1271"/>
      <c r="AH48" s="1271"/>
      <c r="AI48" s="1271"/>
    </row>
    <row r="49" spans="1:35" ht="14.4" customHeight="1">
      <c r="A49" s="1407">
        <v>42</v>
      </c>
      <c r="B49" s="1302" t="s">
        <v>2688</v>
      </c>
      <c r="C49" s="1301" t="s">
        <v>2690</v>
      </c>
      <c r="D49" s="1301"/>
      <c r="E49" s="1300"/>
      <c r="F49" s="1299"/>
      <c r="G49" s="1305"/>
      <c r="H49" s="1304"/>
      <c r="I49" s="1298"/>
      <c r="J49" s="1297"/>
      <c r="K49" s="1297">
        <v>0</v>
      </c>
      <c r="L49" s="1297">
        <v>31.506</v>
      </c>
      <c r="M49" s="1297">
        <v>0</v>
      </c>
      <c r="N49" s="1277"/>
      <c r="R49" s="1271"/>
      <c r="S49" s="1271"/>
      <c r="T49" s="1271"/>
      <c r="U49" s="1276"/>
      <c r="V49" s="1271"/>
      <c r="W49" s="1271"/>
      <c r="X49" s="1271"/>
      <c r="Y49" s="1271"/>
      <c r="Z49" s="1271"/>
      <c r="AA49" s="1271"/>
      <c r="AB49" s="1271"/>
      <c r="AC49" s="1271"/>
      <c r="AD49" s="1271"/>
      <c r="AE49" s="1271"/>
      <c r="AF49" s="1271"/>
      <c r="AG49" s="1271"/>
      <c r="AH49" s="1271"/>
      <c r="AI49" s="1271"/>
    </row>
    <row r="50" spans="1:35" ht="14.4" customHeight="1">
      <c r="A50" s="1407">
        <v>43</v>
      </c>
      <c r="B50" s="1302" t="s">
        <v>2688</v>
      </c>
      <c r="C50" s="1301"/>
      <c r="D50" s="1301"/>
      <c r="E50" s="1300"/>
      <c r="F50" s="1299"/>
      <c r="G50" s="1305"/>
      <c r="H50" s="1304">
        <v>0.01</v>
      </c>
      <c r="I50" s="1298"/>
      <c r="J50" s="1297"/>
      <c r="K50" s="1297">
        <v>0</v>
      </c>
      <c r="L50" s="1297"/>
      <c r="M50" s="1297">
        <v>0</v>
      </c>
      <c r="N50" s="1277"/>
      <c r="R50" s="1271"/>
      <c r="S50" s="1271"/>
      <c r="T50" s="1271"/>
      <c r="U50" s="1276"/>
      <c r="V50" s="1271"/>
      <c r="W50" s="1271"/>
      <c r="X50" s="1271"/>
      <c r="Y50" s="1271"/>
      <c r="Z50" s="1271"/>
      <c r="AA50" s="1271"/>
      <c r="AB50" s="1271"/>
      <c r="AC50" s="1271"/>
      <c r="AD50" s="1271"/>
      <c r="AE50" s="1271"/>
      <c r="AF50" s="1271"/>
      <c r="AG50" s="1271"/>
      <c r="AH50" s="1271"/>
      <c r="AI50" s="1271"/>
    </row>
    <row r="51" spans="1:35">
      <c r="A51" s="1295"/>
      <c r="B51" s="1294" t="s">
        <v>2663</v>
      </c>
      <c r="C51" s="1293"/>
      <c r="D51" s="1293"/>
      <c r="E51" s="1293"/>
      <c r="F51" s="1293"/>
      <c r="G51" s="1292"/>
      <c r="H51" s="1291"/>
      <c r="I51" s="1291"/>
      <c r="J51" s="1290">
        <f>SUM(J8:J50)</f>
        <v>4542.1545400420227</v>
      </c>
      <c r="K51" s="1290">
        <f>SUM(K16:K50)</f>
        <v>0</v>
      </c>
      <c r="L51" s="1290">
        <f>SUM(L16:L50)</f>
        <v>914.75558590000003</v>
      </c>
      <c r="M51" s="1290">
        <f>SUM(M16:M50)</f>
        <v>26511.454963299995</v>
      </c>
      <c r="N51" s="1289"/>
      <c r="O51" s="1271"/>
      <c r="P51" s="1269"/>
      <c r="Q51" s="1273"/>
      <c r="R51" s="1271"/>
      <c r="S51" s="1271"/>
      <c r="T51" s="1271"/>
      <c r="U51" s="1276"/>
      <c r="V51" s="1271"/>
      <c r="W51" s="1271"/>
      <c r="X51" s="1271"/>
      <c r="Y51" s="1271"/>
      <c r="Z51" s="1271"/>
      <c r="AA51" s="1271"/>
      <c r="AB51" s="1271"/>
      <c r="AC51" s="1271"/>
      <c r="AD51" s="1271"/>
      <c r="AE51" s="1271"/>
      <c r="AF51" s="1271"/>
      <c r="AG51" s="1271"/>
      <c r="AH51" s="1271"/>
      <c r="AI51" s="1271"/>
    </row>
    <row r="52" spans="1:35" ht="15" thickBot="1">
      <c r="A52" s="1288"/>
      <c r="B52" s="1288"/>
      <c r="C52" s="1286"/>
      <c r="D52" s="1286"/>
      <c r="E52" s="1286"/>
      <c r="F52" s="1286"/>
      <c r="G52" s="1286"/>
      <c r="H52" s="1286"/>
      <c r="I52" s="1286"/>
      <c r="J52" s="1287"/>
      <c r="K52" s="1286"/>
      <c r="L52" s="1286"/>
      <c r="M52" s="1286"/>
      <c r="N52" s="1286"/>
      <c r="O52" s="1271"/>
      <c r="P52" s="1269"/>
      <c r="Q52" s="1273"/>
      <c r="R52" s="1271"/>
      <c r="S52" s="1271"/>
      <c r="T52" s="1271"/>
      <c r="U52" s="1276"/>
      <c r="V52" s="1271"/>
      <c r="W52" s="1271"/>
      <c r="X52" s="1271"/>
      <c r="Y52" s="1271"/>
      <c r="Z52" s="1271"/>
      <c r="AA52" s="1271"/>
      <c r="AB52" s="1271"/>
      <c r="AC52" s="1271"/>
      <c r="AD52" s="1271"/>
      <c r="AE52" s="1271"/>
      <c r="AF52" s="1271"/>
      <c r="AG52" s="1271"/>
      <c r="AH52" s="1271"/>
      <c r="AI52" s="1271"/>
    </row>
    <row r="53" spans="1:35" ht="15" thickTop="1">
      <c r="A53" s="1286" t="s">
        <v>2664</v>
      </c>
      <c r="B53" s="1286"/>
      <c r="C53" s="1286"/>
      <c r="D53" s="1286"/>
      <c r="E53" s="1286"/>
      <c r="F53" s="1286"/>
      <c r="G53" s="1286"/>
      <c r="H53" s="1286"/>
      <c r="I53" s="1286"/>
      <c r="J53" s="1287"/>
      <c r="K53" s="1286"/>
      <c r="L53" s="1286"/>
      <c r="M53" s="1286"/>
      <c r="N53" s="1286"/>
      <c r="O53" s="1271"/>
      <c r="P53" s="1269"/>
      <c r="Q53" s="1273"/>
      <c r="R53" s="1271"/>
      <c r="S53" s="1271"/>
      <c r="T53" s="1271"/>
      <c r="U53" s="1276"/>
      <c r="V53" s="1271"/>
      <c r="W53" s="1271"/>
      <c r="X53" s="1271"/>
      <c r="Y53" s="1271"/>
      <c r="Z53" s="1271"/>
      <c r="AA53" s="1271"/>
      <c r="AB53" s="1271"/>
      <c r="AC53" s="1271"/>
      <c r="AD53" s="1271"/>
      <c r="AE53" s="1271"/>
      <c r="AF53" s="1271"/>
      <c r="AG53" s="1271"/>
      <c r="AH53" s="1271"/>
      <c r="AI53" s="1271"/>
    </row>
    <row r="54" spans="1:35">
      <c r="A54" s="1285">
        <v>32</v>
      </c>
      <c r="B54" s="1283" t="s">
        <v>2665</v>
      </c>
      <c r="C54" s="1284" t="s">
        <v>2665</v>
      </c>
      <c r="D54" s="1283" t="s">
        <v>2666</v>
      </c>
      <c r="E54" s="1281"/>
      <c r="F54" s="1282">
        <f>+F16</f>
        <v>0</v>
      </c>
      <c r="G54" s="1281"/>
      <c r="H54" s="1280">
        <v>3.3440364021895375E-2</v>
      </c>
      <c r="I54" s="1280"/>
      <c r="J54" s="1279">
        <f>+F54*H54*34.285</f>
        <v>0</v>
      </c>
      <c r="K54" s="1279"/>
      <c r="L54" s="1278">
        <f>+J54/31.10347</f>
        <v>0</v>
      </c>
      <c r="M54" s="1278">
        <f>+K54/31.10347</f>
        <v>0</v>
      </c>
      <c r="N54" s="1277"/>
      <c r="O54" s="1271"/>
      <c r="P54" s="1269"/>
      <c r="Q54" s="1273"/>
      <c r="R54" s="1271"/>
      <c r="S54" s="1271"/>
      <c r="T54" s="1271"/>
      <c r="U54" s="1276"/>
      <c r="V54" s="1271"/>
      <c r="W54" s="1271"/>
      <c r="X54" s="1271"/>
      <c r="Y54" s="1271"/>
      <c r="Z54" s="1271"/>
      <c r="AA54" s="1271"/>
      <c r="AB54" s="1271"/>
      <c r="AC54" s="1271"/>
      <c r="AD54" s="1271"/>
      <c r="AE54" s="1271"/>
      <c r="AF54" s="1271"/>
      <c r="AG54" s="1271"/>
      <c r="AH54" s="1271"/>
      <c r="AI54" s="1271"/>
    </row>
    <row r="55" spans="1:35">
      <c r="O55" s="1271"/>
      <c r="P55" s="1269"/>
      <c r="Q55" s="1273"/>
      <c r="R55" s="1271"/>
      <c r="S55" s="1271"/>
      <c r="T55" s="1271"/>
      <c r="U55" s="1276"/>
      <c r="V55" s="1271"/>
      <c r="W55" s="1271"/>
      <c r="X55" s="1271"/>
      <c r="Y55" s="1271"/>
      <c r="Z55" s="1271"/>
      <c r="AA55" s="1271"/>
      <c r="AB55" s="1271"/>
      <c r="AC55" s="1271"/>
      <c r="AD55" s="1271"/>
      <c r="AE55" s="1271"/>
      <c r="AF55" s="1271"/>
      <c r="AG55" s="1271"/>
      <c r="AH55" s="1271"/>
      <c r="AI55" s="1271"/>
    </row>
    <row r="56" spans="1:35">
      <c r="O56" s="1271"/>
      <c r="P56" s="1269"/>
      <c r="Q56" s="1273"/>
      <c r="R56" s="1271"/>
      <c r="S56" s="1271"/>
      <c r="T56" s="1271"/>
      <c r="U56" s="1276"/>
      <c r="V56" s="1271"/>
      <c r="W56" s="1271"/>
      <c r="X56" s="1271"/>
      <c r="Y56" s="1271"/>
      <c r="Z56" s="1271"/>
      <c r="AA56" s="1271"/>
      <c r="AB56" s="1271"/>
      <c r="AC56" s="1271"/>
      <c r="AD56" s="1271"/>
      <c r="AE56" s="1271"/>
      <c r="AF56" s="1271"/>
      <c r="AG56" s="1271"/>
      <c r="AH56" s="1271"/>
      <c r="AI56" s="1271"/>
    </row>
    <row r="57" spans="1:35">
      <c r="O57" s="1271"/>
      <c r="P57" s="1269"/>
      <c r="Q57" s="1273"/>
      <c r="R57" s="1271"/>
      <c r="S57" s="1271"/>
      <c r="T57" s="1271"/>
      <c r="U57" s="1271"/>
      <c r="V57" s="1271"/>
      <c r="W57" s="1271"/>
      <c r="X57" s="1271"/>
      <c r="Y57" s="1271"/>
      <c r="Z57" s="1271"/>
      <c r="AA57" s="1271"/>
      <c r="AB57" s="1271"/>
      <c r="AC57" s="1271"/>
      <c r="AD57" s="1271"/>
      <c r="AE57" s="1271"/>
      <c r="AF57" s="1271"/>
      <c r="AG57" s="1271"/>
      <c r="AH57" s="1271"/>
      <c r="AI57" s="1271"/>
    </row>
    <row r="58" spans="1:35">
      <c r="O58" s="1271"/>
      <c r="P58" s="1269"/>
      <c r="Q58" s="1273"/>
      <c r="R58" s="1271"/>
      <c r="S58" s="1271"/>
      <c r="T58" s="1271"/>
      <c r="U58" s="1271"/>
      <c r="V58" s="1271"/>
      <c r="W58" s="1271"/>
      <c r="X58" s="1271"/>
      <c r="Y58" s="1271"/>
      <c r="Z58" s="1271"/>
      <c r="AA58" s="1271"/>
      <c r="AB58" s="1271"/>
      <c r="AC58" s="1271"/>
      <c r="AD58" s="1271"/>
      <c r="AE58" s="1271"/>
      <c r="AF58" s="1271"/>
      <c r="AG58" s="1271"/>
      <c r="AH58" s="1271"/>
      <c r="AI58" s="1271"/>
    </row>
    <row r="59" spans="1:35">
      <c r="E59" s="1265"/>
      <c r="F59" s="1272"/>
      <c r="G59" s="1272"/>
      <c r="H59" s="1272"/>
      <c r="I59" s="1272"/>
      <c r="J59" s="1272"/>
      <c r="K59" s="1275"/>
      <c r="L59" s="1266"/>
      <c r="M59" s="1266"/>
      <c r="O59" s="1271"/>
      <c r="P59" s="1269"/>
      <c r="Q59" s="1273"/>
      <c r="R59" s="1271"/>
      <c r="S59" s="1271"/>
      <c r="T59" s="1271"/>
      <c r="U59" s="1271"/>
      <c r="V59" s="1271"/>
      <c r="W59" s="1271"/>
      <c r="X59" s="1271"/>
      <c r="Y59" s="1271"/>
      <c r="Z59" s="1271"/>
      <c r="AA59" s="1271"/>
      <c r="AB59" s="1271"/>
      <c r="AC59" s="1271"/>
      <c r="AD59" s="1271"/>
      <c r="AE59" s="1271"/>
      <c r="AF59" s="1271"/>
      <c r="AG59" s="1271"/>
      <c r="AH59" s="1271"/>
      <c r="AI59" s="1271"/>
    </row>
    <row r="60" spans="1:35">
      <c r="E60" s="1265"/>
      <c r="F60" s="1272"/>
      <c r="G60" s="1272"/>
      <c r="H60" s="1272"/>
      <c r="I60" s="1272"/>
      <c r="J60" s="1272"/>
      <c r="K60" s="1274"/>
      <c r="L60" s="1266"/>
      <c r="M60" s="1266"/>
      <c r="O60" s="1271"/>
      <c r="P60" s="1269"/>
      <c r="Q60" s="1273"/>
      <c r="R60" s="1271"/>
      <c r="S60" s="1271"/>
      <c r="T60" s="1271"/>
      <c r="U60" s="1271"/>
      <c r="V60" s="1271"/>
      <c r="W60" s="1271"/>
      <c r="X60" s="1271"/>
      <c r="Y60" s="1271"/>
      <c r="Z60" s="1271"/>
      <c r="AA60" s="1271"/>
      <c r="AB60" s="1271"/>
      <c r="AC60" s="1271"/>
      <c r="AD60" s="1271"/>
      <c r="AE60" s="1271"/>
      <c r="AF60" s="1271"/>
      <c r="AG60" s="1271"/>
      <c r="AH60" s="1271"/>
      <c r="AI60" s="1271"/>
    </row>
    <row r="61" spans="1:35">
      <c r="E61" s="1265"/>
      <c r="F61" s="1272"/>
      <c r="G61" s="1272"/>
      <c r="H61" s="1272"/>
      <c r="I61" s="1272"/>
      <c r="J61" s="1272"/>
      <c r="K61" s="1274"/>
      <c r="L61" s="1266"/>
      <c r="M61" s="1266"/>
      <c r="O61" s="1271"/>
      <c r="P61" s="1269"/>
      <c r="Q61" s="1273"/>
      <c r="R61" s="1271"/>
      <c r="S61" s="1271"/>
      <c r="T61" s="1271"/>
      <c r="U61" s="1271"/>
      <c r="V61" s="1271"/>
      <c r="W61" s="1271"/>
      <c r="X61" s="1271"/>
      <c r="Y61" s="1271"/>
      <c r="Z61" s="1271"/>
      <c r="AA61" s="1271"/>
      <c r="AB61" s="1271"/>
      <c r="AC61" s="1271"/>
      <c r="AD61" s="1271"/>
      <c r="AE61" s="1271"/>
      <c r="AF61" s="1271"/>
      <c r="AG61" s="1271"/>
      <c r="AH61" s="1271"/>
      <c r="AI61" s="1271"/>
    </row>
    <row r="62" spans="1:35">
      <c r="E62" s="1265"/>
      <c r="F62" s="1272"/>
      <c r="G62" s="1272"/>
      <c r="H62" s="1272"/>
      <c r="I62" s="1272"/>
      <c r="J62" s="1272"/>
      <c r="K62" s="1274"/>
      <c r="L62" s="1266"/>
      <c r="M62" s="1266"/>
      <c r="O62" s="1271"/>
      <c r="P62" s="1269"/>
      <c r="Q62" s="1273"/>
      <c r="R62" s="1271"/>
      <c r="S62" s="1271"/>
      <c r="T62" s="1271"/>
      <c r="U62" s="1271"/>
      <c r="V62" s="1271"/>
      <c r="W62" s="1271"/>
      <c r="X62" s="1271"/>
      <c r="Y62" s="1271"/>
      <c r="Z62" s="1271"/>
      <c r="AA62" s="1271"/>
      <c r="AB62" s="1271"/>
      <c r="AC62" s="1271"/>
      <c r="AD62" s="1271"/>
      <c r="AE62" s="1271"/>
      <c r="AF62" s="1271"/>
      <c r="AG62" s="1271"/>
      <c r="AH62" s="1271"/>
      <c r="AI62" s="1271"/>
    </row>
    <row r="63" spans="1:35">
      <c r="E63" s="1265"/>
      <c r="F63" s="1272"/>
      <c r="G63" s="1272"/>
      <c r="H63" s="1272"/>
      <c r="I63" s="1272"/>
      <c r="J63" s="1272"/>
      <c r="K63" s="1266"/>
      <c r="L63" s="1266"/>
      <c r="M63" s="1266"/>
      <c r="O63" s="1271"/>
      <c r="P63" s="1269"/>
      <c r="Q63" s="1273"/>
      <c r="R63" s="1271"/>
      <c r="S63" s="1271"/>
      <c r="T63" s="1271"/>
      <c r="U63" s="1271"/>
      <c r="V63" s="1271"/>
      <c r="W63" s="1271"/>
      <c r="X63" s="1271"/>
      <c r="Y63" s="1271"/>
      <c r="Z63" s="1271"/>
      <c r="AA63" s="1271"/>
      <c r="AB63" s="1271"/>
      <c r="AC63" s="1271"/>
      <c r="AD63" s="1271"/>
      <c r="AE63" s="1271"/>
      <c r="AF63" s="1271"/>
      <c r="AG63" s="1271"/>
      <c r="AH63" s="1271"/>
      <c r="AI63" s="1271"/>
    </row>
    <row r="64" spans="1:35">
      <c r="E64" s="1265"/>
      <c r="F64" s="1272"/>
      <c r="G64" s="1272"/>
      <c r="H64" s="1272"/>
      <c r="I64" s="1272"/>
      <c r="J64" s="1272"/>
      <c r="K64" s="1266"/>
      <c r="L64" s="1266"/>
      <c r="M64" s="1266"/>
      <c r="O64" s="1271"/>
      <c r="P64" s="1269"/>
      <c r="Q64" s="1273"/>
      <c r="R64" s="1271"/>
      <c r="S64" s="1271"/>
      <c r="T64" s="1271"/>
      <c r="U64" s="1271"/>
      <c r="V64" s="1271"/>
      <c r="W64" s="1271"/>
      <c r="X64" s="1271"/>
      <c r="Y64" s="1271"/>
      <c r="Z64" s="1271"/>
      <c r="AA64" s="1271"/>
      <c r="AB64" s="1271"/>
      <c r="AC64" s="1271"/>
      <c r="AD64" s="1271"/>
      <c r="AE64" s="1271"/>
      <c r="AF64" s="1271"/>
      <c r="AG64" s="1271"/>
      <c r="AH64" s="1271"/>
      <c r="AI64" s="1271"/>
    </row>
    <row r="65" spans="5:35">
      <c r="E65" s="1265"/>
      <c r="F65" s="1272"/>
      <c r="G65" s="1272"/>
      <c r="H65" s="1272"/>
      <c r="I65" s="1272"/>
      <c r="J65" s="1272"/>
      <c r="K65" s="1266"/>
      <c r="L65" s="1266"/>
      <c r="M65" s="1266"/>
      <c r="O65" s="1271"/>
      <c r="P65" s="1269"/>
      <c r="Q65" s="1273"/>
      <c r="R65" s="1271"/>
      <c r="S65" s="1271"/>
      <c r="T65" s="1271"/>
      <c r="U65" s="1271"/>
      <c r="V65" s="1271"/>
      <c r="W65" s="1271"/>
      <c r="X65" s="1271"/>
      <c r="Y65" s="1271"/>
      <c r="Z65" s="1271"/>
      <c r="AA65" s="1271"/>
      <c r="AB65" s="1271"/>
      <c r="AC65" s="1271"/>
      <c r="AD65" s="1271"/>
      <c r="AE65" s="1271"/>
      <c r="AF65" s="1271"/>
      <c r="AG65" s="1271"/>
      <c r="AH65" s="1271"/>
      <c r="AI65" s="1271"/>
    </row>
    <row r="66" spans="5:35">
      <c r="E66" s="1265"/>
      <c r="F66" s="1272"/>
      <c r="G66" s="1272"/>
      <c r="H66" s="1272"/>
      <c r="I66" s="1272"/>
      <c r="J66" s="1272"/>
      <c r="K66" s="1266"/>
      <c r="L66" s="1266"/>
      <c r="M66" s="1266"/>
      <c r="O66" s="1271"/>
      <c r="P66" s="1271"/>
      <c r="Q66" s="1271"/>
      <c r="R66" s="1271"/>
      <c r="S66" s="1271"/>
      <c r="T66" s="1271"/>
      <c r="U66" s="1271"/>
      <c r="V66" s="1271"/>
      <c r="W66" s="1271"/>
      <c r="X66" s="1271"/>
      <c r="Y66" s="1271"/>
      <c r="Z66" s="1271"/>
      <c r="AA66" s="1271"/>
      <c r="AB66" s="1271"/>
      <c r="AC66" s="1271"/>
      <c r="AD66" s="1271"/>
      <c r="AE66" s="1271"/>
      <c r="AF66" s="1271"/>
      <c r="AG66" s="1271"/>
      <c r="AH66" s="1271"/>
      <c r="AI66" s="1271"/>
    </row>
    <row r="67" spans="5:35">
      <c r="E67" s="1265"/>
      <c r="F67" s="1272"/>
      <c r="G67" s="1272"/>
      <c r="H67" s="1272"/>
      <c r="I67" s="1272"/>
      <c r="J67" s="1272"/>
      <c r="K67" s="1266"/>
      <c r="L67" s="1266"/>
      <c r="M67" s="1266"/>
      <c r="O67" s="1271"/>
      <c r="P67" s="1271"/>
      <c r="Q67" s="1271"/>
      <c r="R67" s="1271"/>
      <c r="S67" s="1271"/>
      <c r="T67" s="1271"/>
      <c r="U67" s="1271"/>
      <c r="V67" s="1271"/>
      <c r="W67" s="1271"/>
      <c r="X67" s="1271"/>
      <c r="Y67" s="1271"/>
      <c r="Z67" s="1271"/>
      <c r="AA67" s="1271"/>
      <c r="AB67" s="1271"/>
      <c r="AC67" s="1271"/>
      <c r="AD67" s="1271"/>
      <c r="AE67" s="1271"/>
      <c r="AF67" s="1271"/>
      <c r="AG67" s="1271"/>
      <c r="AH67" s="1271"/>
      <c r="AI67" s="1271"/>
    </row>
    <row r="68" spans="5:35">
      <c r="E68" s="1265"/>
      <c r="F68" s="1266"/>
      <c r="G68" s="1267"/>
      <c r="H68" s="1266"/>
      <c r="I68" s="1266"/>
      <c r="J68" s="1266"/>
      <c r="K68" s="1266"/>
      <c r="L68" s="1266"/>
      <c r="M68" s="1266"/>
    </row>
    <row r="69" spans="5:35">
      <c r="F69" s="1267"/>
      <c r="G69" s="1267"/>
      <c r="H69" s="1266"/>
      <c r="I69" s="1266"/>
      <c r="J69" s="1266"/>
      <c r="K69" s="1266"/>
      <c r="L69" s="1266"/>
      <c r="M69" s="1266"/>
    </row>
    <row r="70" spans="5:35">
      <c r="F70" s="1267"/>
      <c r="G70" s="1267"/>
      <c r="H70" s="1266"/>
      <c r="I70" s="1266"/>
      <c r="J70" s="1266"/>
      <c r="K70" s="1266"/>
      <c r="L70" s="1266"/>
      <c r="M70" s="1266"/>
    </row>
    <row r="71" spans="5:35">
      <c r="F71" s="1270"/>
      <c r="G71" s="1267"/>
      <c r="H71" s="1269"/>
      <c r="I71" s="1269"/>
      <c r="J71" s="1269"/>
      <c r="K71" s="1269"/>
      <c r="L71" s="1269"/>
      <c r="M71" s="1269"/>
    </row>
    <row r="72" spans="5:35">
      <c r="F72" s="1270"/>
      <c r="G72" s="1266"/>
      <c r="H72" s="1269"/>
      <c r="I72" s="1269"/>
      <c r="J72" s="1269"/>
      <c r="K72" s="1269"/>
      <c r="L72" s="1269"/>
      <c r="M72" s="1269"/>
    </row>
    <row r="73" spans="5:35">
      <c r="E73" s="1265"/>
      <c r="F73" s="1270"/>
      <c r="G73" s="1266"/>
      <c r="H73" s="1269"/>
      <c r="I73" s="1269"/>
      <c r="J73" s="1269"/>
      <c r="K73" s="1269"/>
      <c r="L73" s="1269"/>
      <c r="M73" s="1269"/>
    </row>
    <row r="74" spans="5:35">
      <c r="E74" s="1265"/>
      <c r="F74" s="1267"/>
      <c r="G74" s="1266"/>
      <c r="H74" s="1266"/>
      <c r="I74" s="1266"/>
      <c r="J74" s="1268"/>
      <c r="K74" s="1266"/>
      <c r="L74" s="1266"/>
      <c r="M74" s="1266"/>
    </row>
    <row r="75" spans="5:35">
      <c r="E75" s="1265"/>
      <c r="F75" s="1267"/>
      <c r="G75" s="1266"/>
      <c r="H75" s="1266"/>
      <c r="I75" s="1267"/>
      <c r="J75" s="1268"/>
      <c r="K75" s="1266"/>
      <c r="L75" s="1266"/>
      <c r="M75" s="1266"/>
    </row>
    <row r="76" spans="5:35">
      <c r="E76" s="1265"/>
      <c r="F76" s="1267"/>
      <c r="G76" s="1266"/>
      <c r="H76" s="1266"/>
      <c r="I76" s="1267"/>
      <c r="J76" s="1268"/>
      <c r="K76" s="1266"/>
      <c r="L76" s="1266"/>
      <c r="M76" s="1266"/>
    </row>
    <row r="77" spans="5:35">
      <c r="E77" s="1265"/>
      <c r="F77" s="1267"/>
      <c r="G77" s="1266"/>
      <c r="H77" s="1266"/>
      <c r="I77" s="1267"/>
      <c r="J77" s="1266"/>
      <c r="K77" s="1266"/>
      <c r="L77" s="1266"/>
      <c r="M77" s="1266"/>
    </row>
    <row r="78" spans="5:35">
      <c r="E78" s="1265"/>
      <c r="F78" s="1266"/>
      <c r="G78" s="1266"/>
      <c r="H78" s="1266"/>
      <c r="I78" s="1267"/>
      <c r="J78" s="1266"/>
      <c r="K78" s="1266"/>
      <c r="L78" s="1266"/>
      <c r="M78" s="1266"/>
    </row>
    <row r="79" spans="5:35">
      <c r="E79" s="1265"/>
      <c r="F79" s="1266"/>
      <c r="G79" s="1266"/>
      <c r="H79" s="1266"/>
      <c r="I79" s="1267"/>
      <c r="J79" s="1266"/>
      <c r="K79" s="1266"/>
      <c r="L79" s="1266"/>
      <c r="M79" s="1266"/>
    </row>
    <row r="80" spans="5:35">
      <c r="E80" s="1265"/>
      <c r="F80" s="1266"/>
      <c r="G80" s="1266"/>
      <c r="H80" s="1266"/>
      <c r="I80" s="1267"/>
      <c r="J80" s="1266"/>
      <c r="K80" s="1266"/>
      <c r="L80" s="1266"/>
      <c r="M80" s="1266"/>
    </row>
    <row r="81" spans="5:9">
      <c r="E81" s="1265"/>
      <c r="I81" s="1265"/>
    </row>
    <row r="82" spans="5:9">
      <c r="I82" s="1265"/>
    </row>
    <row r="83" spans="5:9">
      <c r="I83" s="1265"/>
    </row>
  </sheetData>
  <mergeCells count="20">
    <mergeCell ref="F6:F7"/>
    <mergeCell ref="G6:G7"/>
    <mergeCell ref="H6:I6"/>
    <mergeCell ref="F2:I2"/>
    <mergeCell ref="F33:F36"/>
    <mergeCell ref="E33:E36"/>
    <mergeCell ref="F25:F27"/>
    <mergeCell ref="E22:E24"/>
    <mergeCell ref="A1:N1"/>
    <mergeCell ref="A3:C3"/>
    <mergeCell ref="A2:C2"/>
    <mergeCell ref="A4:C4"/>
    <mergeCell ref="L6:M6"/>
    <mergeCell ref="N6:N7"/>
    <mergeCell ref="A6:A7"/>
    <mergeCell ref="B6:B7"/>
    <mergeCell ref="C6:C7"/>
    <mergeCell ref="D6:D7"/>
    <mergeCell ref="J6:K6"/>
    <mergeCell ref="E6:E7"/>
  </mergeCells>
  <phoneticPr fontId="301" type="noConversion"/>
  <conditionalFormatting sqref="F8:F24 E25:E27 K47:L47">
    <cfRule type="cellIs" dxfId="11" priority="27" operator="lessThan">
      <formula>1</formula>
    </cfRule>
  </conditionalFormatting>
  <conditionalFormatting sqref="F54">
    <cfRule type="cellIs" dxfId="10" priority="22" operator="lessThan">
      <formula>1</formula>
    </cfRule>
  </conditionalFormatting>
  <conditionalFormatting sqref="G28:G50 J48:K49">
    <cfRule type="cellIs" dxfId="9" priority="5" operator="lessThan">
      <formula>1</formula>
    </cfRule>
  </conditionalFormatting>
  <conditionalFormatting sqref="H22:I31">
    <cfRule type="cellIs" dxfId="8" priority="1" operator="lessThan">
      <formula>1</formula>
    </cfRule>
  </conditionalFormatting>
  <conditionalFormatting sqref="H47:I50">
    <cfRule type="cellIs" dxfId="7" priority="3" operator="equal">
      <formula>0</formula>
    </cfRule>
  </conditionalFormatting>
  <conditionalFormatting sqref="J17:J21">
    <cfRule type="cellIs" dxfId="6" priority="2" operator="lessThan">
      <formula>1</formula>
    </cfRule>
  </conditionalFormatting>
  <conditionalFormatting sqref="J22:K46">
    <cfRule type="cellIs" dxfId="5" priority="9" operator="lessThan">
      <formula>1</formula>
    </cfRule>
  </conditionalFormatting>
  <conditionalFormatting sqref="J54:K54">
    <cfRule type="cellIs" dxfId="4" priority="21" operator="lessThan">
      <formula>1</formula>
    </cfRule>
  </conditionalFormatting>
  <conditionalFormatting sqref="J8:M16">
    <cfRule type="cellIs" dxfId="3" priority="20" operator="lessThan">
      <formula>1</formula>
    </cfRule>
  </conditionalFormatting>
  <conditionalFormatting sqref="J50:M50">
    <cfRule type="cellIs" dxfId="2" priority="7" operator="lessThan">
      <formula>1</formula>
    </cfRule>
  </conditionalFormatting>
  <conditionalFormatting sqref="L22:M45">
    <cfRule type="cellIs" dxfId="1" priority="25" operator="lessThan">
      <formula>1</formula>
    </cfRule>
  </conditionalFormatting>
  <conditionalFormatting sqref="L47:M49">
    <cfRule type="cellIs" dxfId="0" priority="4" operator="lessThan">
      <formula>1</formula>
    </cfRule>
  </conditionalFormatting>
  <pageMargins left="0.7" right="0.7" top="0.75" bottom="0.75" header="0.3" footer="0.3"/>
  <pageSetup paperSize="9" scale="12" orientation="landscape" r:id="rId1"/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12"/>
  <dimension ref="A1:R963"/>
  <sheetViews>
    <sheetView showGridLines="0" topLeftCell="A25" workbookViewId="0">
      <selection activeCell="B42" sqref="B42"/>
    </sheetView>
  </sheetViews>
  <sheetFormatPr baseColWidth="10" defaultColWidth="14.44140625" defaultRowHeight="15" customHeight="1"/>
  <cols>
    <col min="1" max="1" width="7.88671875" bestFit="1" customWidth="1"/>
    <col min="2" max="2" width="9.6640625" bestFit="1" customWidth="1"/>
    <col min="3" max="3" width="10.5546875" bestFit="1" customWidth="1"/>
    <col min="4" max="4" width="11.6640625" customWidth="1"/>
    <col min="5" max="5" width="14" customWidth="1"/>
    <col min="6" max="6" width="14.88671875" customWidth="1"/>
    <col min="7" max="7" width="12.6640625" customWidth="1"/>
    <col min="8" max="8" width="11.44140625" customWidth="1"/>
    <col min="9" max="10" width="13" customWidth="1"/>
    <col min="11" max="11" width="13.33203125" customWidth="1"/>
    <col min="12" max="12" width="11.5546875" customWidth="1"/>
    <col min="13" max="13" width="12.88671875" customWidth="1"/>
    <col min="14" max="14" width="11.6640625" style="762" bestFit="1" customWidth="1"/>
    <col min="15" max="15" width="15" style="762" bestFit="1" customWidth="1"/>
    <col min="16" max="16" width="24" bestFit="1" customWidth="1"/>
  </cols>
  <sheetData>
    <row r="1" spans="1:16" ht="14.25" customHeight="1">
      <c r="C1" s="57"/>
      <c r="D1" s="57"/>
    </row>
    <row r="2" spans="1:16" ht="14.25" customHeight="1" thickBot="1">
      <c r="A2" s="6"/>
      <c r="C2" s="57"/>
      <c r="D2" s="57"/>
      <c r="I2" s="57">
        <f>SUMPRODUCT(E5:E26,I5:I26)/SUM(E5:E26)</f>
        <v>89.244802095172872</v>
      </c>
      <c r="J2" s="57">
        <f>SUMPRODUCT(E5:E26,J5:J26)/SUM(E5:E26)</f>
        <v>83.227739479371252</v>
      </c>
    </row>
    <row r="3" spans="1:16" ht="14.25" customHeight="1">
      <c r="A3" s="86" t="s">
        <v>872</v>
      </c>
      <c r="B3" s="569" t="s">
        <v>1266</v>
      </c>
      <c r="C3" s="89" t="s">
        <v>873</v>
      </c>
      <c r="D3" s="89" t="s">
        <v>874</v>
      </c>
      <c r="E3" s="87" t="s">
        <v>492</v>
      </c>
      <c r="F3" s="87" t="s">
        <v>875</v>
      </c>
      <c r="G3" s="87" t="s">
        <v>876</v>
      </c>
      <c r="H3" s="87" t="s">
        <v>877</v>
      </c>
      <c r="I3" s="87" t="s">
        <v>878</v>
      </c>
      <c r="J3" s="87" t="s">
        <v>878</v>
      </c>
      <c r="K3" s="570" t="s">
        <v>879</v>
      </c>
      <c r="L3" s="570" t="s">
        <v>36</v>
      </c>
      <c r="M3" s="80"/>
      <c r="N3" s="2042" t="s">
        <v>1267</v>
      </c>
      <c r="O3" s="2043"/>
    </row>
    <row r="4" spans="1:16" ht="14.25" customHeight="1" thickBot="1">
      <c r="A4" s="571" t="s">
        <v>1260</v>
      </c>
      <c r="B4" s="572"/>
      <c r="C4" s="573"/>
      <c r="D4" s="573"/>
      <c r="E4" s="574" t="s">
        <v>880</v>
      </c>
      <c r="F4" s="574" t="s">
        <v>881</v>
      </c>
      <c r="G4" s="574" t="s">
        <v>882</v>
      </c>
      <c r="H4" s="574"/>
      <c r="I4" s="574" t="s">
        <v>883</v>
      </c>
      <c r="J4" s="574" t="s">
        <v>884</v>
      </c>
      <c r="K4" s="575" t="s">
        <v>885</v>
      </c>
      <c r="L4" s="575" t="s">
        <v>28</v>
      </c>
      <c r="M4" s="80" t="s">
        <v>1254</v>
      </c>
      <c r="N4" s="939" t="s">
        <v>883</v>
      </c>
      <c r="O4" s="940" t="s">
        <v>1062</v>
      </c>
    </row>
    <row r="5" spans="1:16" ht="14.25" customHeight="1">
      <c r="A5" s="148" t="s">
        <v>1258</v>
      </c>
      <c r="B5" s="932">
        <v>45405</v>
      </c>
      <c r="C5" s="99">
        <f>+'1.1'!I2</f>
        <v>455.61</v>
      </c>
      <c r="D5" s="99">
        <f>+'1.1'!K2</f>
        <v>411.14610500000003</v>
      </c>
      <c r="E5" s="1041">
        <f t="shared" ref="E5:E13" si="0">100*F5/I5</f>
        <v>4391.5300766330165</v>
      </c>
      <c r="F5" s="99">
        <f>+'1.1'!AH2</f>
        <v>4004.0549634995614</v>
      </c>
      <c r="G5" s="99">
        <f>+'1.1'!AJ3</f>
        <v>3869.4735436651499</v>
      </c>
      <c r="H5" s="99">
        <v>4317.09</v>
      </c>
      <c r="I5" s="576">
        <f>+'1.1'!Q$2</f>
        <v>91.176762850943916</v>
      </c>
      <c r="J5" s="1067">
        <f t="shared" ref="J5:J25" si="1">100*H5/E5</f>
        <v>98.304917071407388</v>
      </c>
      <c r="K5" s="99">
        <f>+'1.1'!AG2</f>
        <v>75.767616156950481</v>
      </c>
      <c r="L5" s="99">
        <f>+'1.1'!AI$3</f>
        <v>128.94725828292292</v>
      </c>
      <c r="M5" s="148">
        <f>+L5+K5</f>
        <v>204.7148744398734</v>
      </c>
      <c r="N5" s="933">
        <v>80</v>
      </c>
      <c r="O5" s="934">
        <v>53</v>
      </c>
      <c r="P5" s="942"/>
    </row>
    <row r="6" spans="1:16" ht="14.25" customHeight="1">
      <c r="A6" s="148" t="s">
        <v>1259</v>
      </c>
      <c r="B6" s="932">
        <v>45418</v>
      </c>
      <c r="C6" s="99">
        <f>+'1.2'!I2</f>
        <v>306.89</v>
      </c>
      <c r="D6" s="99">
        <f>+'1.2'!K2</f>
        <v>278.88074</v>
      </c>
      <c r="E6" s="1041">
        <f t="shared" si="0"/>
        <v>6464.0268626943698</v>
      </c>
      <c r="F6" s="99">
        <f>+'1.2'!AH2</f>
        <v>5725.0020148064195</v>
      </c>
      <c r="G6" s="99">
        <f>+'1.2'!AJ3</f>
        <v>5688.2016990462671</v>
      </c>
      <c r="H6" s="99">
        <f>5567.3</f>
        <v>5567.3</v>
      </c>
      <c r="I6" s="576">
        <f>+'1.2'!Q$2</f>
        <v>88.567113602929766</v>
      </c>
      <c r="J6" s="576">
        <f t="shared" si="1"/>
        <v>86.12742673039277</v>
      </c>
      <c r="K6" s="99">
        <f>+'1.2'!AG2</f>
        <v>109.56616481289898</v>
      </c>
      <c r="L6" s="99">
        <f>+'1.2'!AI$3</f>
        <v>154.63530128119746</v>
      </c>
      <c r="M6" s="148">
        <f t="shared" ref="M6:M15" si="2">+L6+K6</f>
        <v>264.20146609409642</v>
      </c>
      <c r="N6" s="935">
        <v>80</v>
      </c>
      <c r="O6" s="936">
        <v>53</v>
      </c>
      <c r="P6" s="942"/>
    </row>
    <row r="7" spans="1:16" ht="14.4">
      <c r="A7" s="80" t="s">
        <v>886</v>
      </c>
      <c r="B7" s="932">
        <v>45455</v>
      </c>
      <c r="C7" s="99">
        <f>+'2'!I$2</f>
        <v>419.18000000000012</v>
      </c>
      <c r="D7" s="99">
        <f>+'2'!K2</f>
        <v>387.67773200000016</v>
      </c>
      <c r="E7" s="1041">
        <f t="shared" si="0"/>
        <v>8155.0961248089334</v>
      </c>
      <c r="F7" s="99">
        <f>+'2'!AH$2</f>
        <v>7027.6398728199811</v>
      </c>
      <c r="G7" s="99">
        <f>+'2'!AJ$3</f>
        <v>7058.0667789173012</v>
      </c>
      <c r="H7" s="99">
        <f>6655.92</f>
        <v>6655.92</v>
      </c>
      <c r="I7" s="576">
        <f>+'2'!Q$2</f>
        <v>86.174825719600364</v>
      </c>
      <c r="J7" s="576">
        <f t="shared" si="1"/>
        <v>81.616695844353913</v>
      </c>
      <c r="K7" s="99">
        <f>+'2'!AG$2</f>
        <v>71.624345401803197</v>
      </c>
      <c r="L7" s="99">
        <f>+'2'!AI$3</f>
        <v>96.895144385193262</v>
      </c>
      <c r="M7" s="148">
        <f t="shared" si="2"/>
        <v>168.51948978699647</v>
      </c>
      <c r="N7" s="935">
        <v>80</v>
      </c>
      <c r="O7" s="936">
        <v>53</v>
      </c>
      <c r="P7" s="942"/>
    </row>
    <row r="8" spans="1:16" ht="14.25" customHeight="1">
      <c r="A8" s="931" t="s">
        <v>887</v>
      </c>
      <c r="B8" s="932">
        <v>45478</v>
      </c>
      <c r="C8" s="99">
        <f>+'3'!I$2</f>
        <v>562.45999999999992</v>
      </c>
      <c r="D8" s="99">
        <f>+'3'!K$2</f>
        <v>529.82121300000006</v>
      </c>
      <c r="E8" s="1041">
        <f t="shared" si="0"/>
        <v>8601.7644461385826</v>
      </c>
      <c r="F8" s="99">
        <f>+'3'!AH$2</f>
        <v>7512.9672077212044</v>
      </c>
      <c r="G8" s="99">
        <f>+'3'!AJ$3</f>
        <v>7486.1893235003054</v>
      </c>
      <c r="H8" s="98">
        <f>(218.388*31.1035)</f>
        <v>6792.6311580000001</v>
      </c>
      <c r="I8" s="576">
        <f>+'3'!Q$2</f>
        <v>87.342163980017489</v>
      </c>
      <c r="J8" s="576">
        <f t="shared" si="1"/>
        <v>78.967881537947477</v>
      </c>
      <c r="K8" s="99">
        <f>+'3'!AG$2</f>
        <v>67.755043590894644</v>
      </c>
      <c r="L8" s="99">
        <f>+'3'!AI$3</f>
        <v>72.582794871908519</v>
      </c>
      <c r="M8" s="148">
        <f t="shared" si="2"/>
        <v>140.33783846280318</v>
      </c>
      <c r="N8" s="935">
        <v>80</v>
      </c>
      <c r="O8" s="936">
        <v>53</v>
      </c>
      <c r="P8" s="942"/>
    </row>
    <row r="9" spans="1:16" ht="14.25" customHeight="1">
      <c r="A9" s="931" t="s">
        <v>888</v>
      </c>
      <c r="B9" s="932">
        <v>45502</v>
      </c>
      <c r="C9" s="99">
        <f>+'4'!I$2</f>
        <v>376.22</v>
      </c>
      <c r="D9" s="99">
        <f>+'4'!K$2</f>
        <v>358.70790799999997</v>
      </c>
      <c r="E9" s="1041">
        <f t="shared" si="0"/>
        <v>5251.4071921667983</v>
      </c>
      <c r="F9" s="99">
        <f>+'4'!AH$2</f>
        <v>4645.8383092544691</v>
      </c>
      <c r="G9" s="99">
        <f>+'4'!AJ$3</f>
        <v>4604.9024999772082</v>
      </c>
      <c r="H9" s="98">
        <f>4507.98</f>
        <v>4507.9799999999996</v>
      </c>
      <c r="I9" s="576">
        <f>+'4'!Q$2</f>
        <v>88.468445489894236</v>
      </c>
      <c r="J9" s="576">
        <f t="shared" si="1"/>
        <v>85.843276574025268</v>
      </c>
      <c r="K9" s="99">
        <f>+'4'!AG$2</f>
        <v>80.828300714707254</v>
      </c>
      <c r="L9" s="99">
        <f>+'4'!AI$3</f>
        <v>89.807573902782948</v>
      </c>
      <c r="M9" s="148">
        <f t="shared" si="2"/>
        <v>170.6358746174902</v>
      </c>
      <c r="N9" s="935">
        <v>80</v>
      </c>
      <c r="O9" s="936">
        <v>53</v>
      </c>
      <c r="P9" s="942"/>
    </row>
    <row r="10" spans="1:16" s="891" customFormat="1" ht="14.25" customHeight="1">
      <c r="A10" s="710" t="s">
        <v>889</v>
      </c>
      <c r="B10" s="1037">
        <v>45533</v>
      </c>
      <c r="C10" s="920">
        <f>+'5'!I$2</f>
        <v>454.17999999999995</v>
      </c>
      <c r="D10" s="920">
        <f>+'5'!K$2</f>
        <v>430.88805799999989</v>
      </c>
      <c r="E10" s="1041">
        <f t="shared" si="0"/>
        <v>6557.8122162061536</v>
      </c>
      <c r="F10" s="920">
        <f>+'5'!AH$2</f>
        <v>5877.0081645343716</v>
      </c>
      <c r="G10" s="920">
        <f>+'5'!AJ$3</f>
        <v>5730.1008922140099</v>
      </c>
      <c r="H10" s="1038">
        <f>5587.87</f>
        <v>5587.87</v>
      </c>
      <c r="I10" s="576">
        <f>+'5'!Q$2</f>
        <v>89.618427164026926</v>
      </c>
      <c r="J10" s="576">
        <f t="shared" si="1"/>
        <v>85.209362753493309</v>
      </c>
      <c r="K10" s="920">
        <f>+'5'!AG$2</f>
        <v>41.814422397558218</v>
      </c>
      <c r="L10" s="920">
        <f>+'5'!AI$3</f>
        <v>106.7955074515571</v>
      </c>
      <c r="M10" s="1019">
        <f t="shared" si="2"/>
        <v>148.6099298491153</v>
      </c>
      <c r="N10" s="1039">
        <v>80</v>
      </c>
      <c r="O10" s="936">
        <v>53</v>
      </c>
      <c r="P10" s="1040"/>
    </row>
    <row r="11" spans="1:16" ht="14.25" customHeight="1">
      <c r="A11" s="80" t="s">
        <v>890</v>
      </c>
      <c r="B11" s="932">
        <v>45557</v>
      </c>
      <c r="C11" s="99">
        <f>+'6'!I$2</f>
        <v>358.08</v>
      </c>
      <c r="D11" s="99">
        <f>+'6'!K$2</f>
        <v>332.56859400000002</v>
      </c>
      <c r="E11" s="1041">
        <f t="shared" si="0"/>
        <v>6409.1315031530539</v>
      </c>
      <c r="F11" s="99">
        <f>+'6'!AH$2</f>
        <v>5741.423385837963</v>
      </c>
      <c r="G11" s="99">
        <f>+'6'!AJ$3</f>
        <v>5597.8321251708576</v>
      </c>
      <c r="H11" s="1010">
        <v>6309.98</v>
      </c>
      <c r="I11" s="576">
        <f>+'6'!Q$2</f>
        <v>89.581925148725631</v>
      </c>
      <c r="J11" s="1067">
        <f t="shared" si="1"/>
        <v>98.452965068601344</v>
      </c>
      <c r="K11" s="99">
        <f>+'6'!AG$2</f>
        <v>80.733776629402769</v>
      </c>
      <c r="L11" s="99">
        <f>+'6'!AI$3</f>
        <v>106.45880508943384</v>
      </c>
      <c r="M11" s="148">
        <f t="shared" si="2"/>
        <v>187.19258171883661</v>
      </c>
      <c r="N11" s="935">
        <v>80</v>
      </c>
      <c r="O11" s="936">
        <v>53</v>
      </c>
      <c r="P11" s="942"/>
    </row>
    <row r="12" spans="1:16" ht="14.25" customHeight="1">
      <c r="A12" s="80" t="s">
        <v>891</v>
      </c>
      <c r="B12" s="932">
        <v>45581</v>
      </c>
      <c r="C12" s="99">
        <f>+'7'!I$2</f>
        <v>415.74000000000012</v>
      </c>
      <c r="D12" s="99">
        <f>+'7'!K$2</f>
        <v>403.92669999999987</v>
      </c>
      <c r="E12" s="1041">
        <f t="shared" si="0"/>
        <v>5462.0216376759881</v>
      </c>
      <c r="F12" s="99">
        <f>+'7'!AH$2</f>
        <v>4888.9411270202854</v>
      </c>
      <c r="G12" s="99">
        <f>+'7'!AJ$3</f>
        <v>4730.1564963015062</v>
      </c>
      <c r="H12" s="99">
        <v>4730</v>
      </c>
      <c r="I12" s="576">
        <f>+'7'!Q$2</f>
        <v>89.507904789268821</v>
      </c>
      <c r="J12" s="576">
        <f t="shared" si="1"/>
        <v>86.597972578016865</v>
      </c>
      <c r="K12" s="920">
        <f>+'7'!AG$2</f>
        <v>79.817054695015841</v>
      </c>
      <c r="L12" s="920">
        <f>+'7'!AI$3</f>
        <v>94.559928632970284</v>
      </c>
      <c r="M12" s="148">
        <f t="shared" si="2"/>
        <v>174.37698332798612</v>
      </c>
      <c r="N12" s="935">
        <v>80</v>
      </c>
      <c r="O12" s="936">
        <v>53</v>
      </c>
      <c r="P12" s="942"/>
    </row>
    <row r="13" spans="1:16" ht="14.25" customHeight="1">
      <c r="A13" s="80" t="s">
        <v>892</v>
      </c>
      <c r="B13" s="932">
        <v>45588</v>
      </c>
      <c r="C13" s="99">
        <f>+'8'!I$2</f>
        <v>636.85</v>
      </c>
      <c r="D13" s="99">
        <f>+'8'!K$2</f>
        <v>621.16368999999997</v>
      </c>
      <c r="E13" s="1041">
        <f t="shared" si="0"/>
        <v>5733.0831766598776</v>
      </c>
      <c r="F13" s="99">
        <f>+'8'!AH$2</f>
        <v>5135.2667678704929</v>
      </c>
      <c r="G13" s="99">
        <f>+'8'!AJ$3</f>
        <v>5056.3976972304026</v>
      </c>
      <c r="H13" s="1010">
        <v>4263.6499999999996</v>
      </c>
      <c r="I13" s="576">
        <f>+'8'!Q$2</f>
        <v>89.572514642327661</v>
      </c>
      <c r="J13" s="576">
        <f t="shared" si="1"/>
        <v>74.369233248836679</v>
      </c>
      <c r="K13" s="920">
        <f>+'8'!AG$2</f>
        <v>46.110859763679869</v>
      </c>
      <c r="L13" s="920">
        <f>+'8'!AI$3</f>
        <v>48.725017546184034</v>
      </c>
      <c r="M13" s="148">
        <f t="shared" si="2"/>
        <v>94.835877309863903</v>
      </c>
      <c r="N13" s="935">
        <v>80</v>
      </c>
      <c r="O13" s="936">
        <v>53</v>
      </c>
      <c r="P13" s="942"/>
    </row>
    <row r="14" spans="1:16" ht="14.25" customHeight="1">
      <c r="A14" s="80" t="s">
        <v>893</v>
      </c>
      <c r="B14" s="932">
        <v>45601</v>
      </c>
      <c r="C14" s="99">
        <f>+'9'!I$2</f>
        <v>580.23</v>
      </c>
      <c r="D14" s="99">
        <f>+'9'!K$2</f>
        <v>559.14923199999998</v>
      </c>
      <c r="E14" s="1041">
        <f t="shared" ref="E14:E19" si="3">100*F14/I14</f>
        <v>6102.9503103124853</v>
      </c>
      <c r="F14" s="99">
        <f>+'9'!AH$3</f>
        <v>5431.1887259616033</v>
      </c>
      <c r="G14" s="99">
        <f>+'9'!AJ$3</f>
        <v>5304.7175043715079</v>
      </c>
      <c r="H14" s="1010">
        <v>5247.9</v>
      </c>
      <c r="I14" s="576">
        <f>+'9'!Q$2</f>
        <v>88.992838705965369</v>
      </c>
      <c r="J14" s="576">
        <f t="shared" si="1"/>
        <v>85.989558052477335</v>
      </c>
      <c r="K14" s="99">
        <f>+'9'!AG$2</f>
        <v>69.051386869817378</v>
      </c>
      <c r="L14" s="99">
        <f>+'9'!AI$3</f>
        <v>64.714888018394291</v>
      </c>
      <c r="M14" s="148">
        <f t="shared" si="2"/>
        <v>133.76627488821168</v>
      </c>
      <c r="N14" s="935">
        <v>80</v>
      </c>
      <c r="O14" s="936">
        <v>53</v>
      </c>
      <c r="P14" s="942"/>
    </row>
    <row r="15" spans="1:16" ht="14.25" customHeight="1">
      <c r="A15" s="80" t="s">
        <v>894</v>
      </c>
      <c r="B15" s="932">
        <v>45617</v>
      </c>
      <c r="C15" s="99">
        <f>+'10'!I$2</f>
        <v>818.16999999999973</v>
      </c>
      <c r="D15" s="99">
        <f>+'10'!K$2</f>
        <v>782.58881800000006</v>
      </c>
      <c r="E15" s="1041">
        <f>100*F15/I15</f>
        <v>4488.6868794543543</v>
      </c>
      <c r="F15" s="99">
        <f>+'10'!AH$3-3200</f>
        <v>4015.4950167310826</v>
      </c>
      <c r="G15" s="99">
        <f>+'10'!AJ$3-3200</f>
        <v>3910.7365982600531</v>
      </c>
      <c r="H15" s="1010">
        <v>3430.58</v>
      </c>
      <c r="I15" s="576">
        <f>+'10'!Q$2</f>
        <v>89.458122710916442</v>
      </c>
      <c r="J15" s="576">
        <f t="shared" si="1"/>
        <v>76.427251268126369</v>
      </c>
      <c r="K15" s="99">
        <f>+'10'!AG$2</f>
        <v>54.25076401969627</v>
      </c>
      <c r="L15" s="99">
        <f>+'10'!AI$3</f>
        <v>16.33517542460611</v>
      </c>
      <c r="M15" s="148">
        <f t="shared" si="2"/>
        <v>70.585939444302383</v>
      </c>
      <c r="N15" s="935">
        <v>80</v>
      </c>
      <c r="O15" s="936">
        <v>53</v>
      </c>
      <c r="P15" s="942"/>
    </row>
    <row r="16" spans="1:16" ht="14.25" customHeight="1">
      <c r="A16" s="80" t="s">
        <v>895</v>
      </c>
      <c r="B16" s="932"/>
      <c r="C16" s="99">
        <f>+'11'!I$2</f>
        <v>636.51999999999975</v>
      </c>
      <c r="D16" s="99">
        <f>+'11'!K$2</f>
        <v>593.35786600000017</v>
      </c>
      <c r="E16" s="1041">
        <f t="shared" si="3"/>
        <v>6874.8906028566007</v>
      </c>
      <c r="F16" s="99">
        <f>+'11'!AH$3</f>
        <v>6150.651390787355</v>
      </c>
      <c r="G16" s="99">
        <f>+'11'!AJ$3</f>
        <v>6065.3717265003861</v>
      </c>
      <c r="H16" s="1010">
        <f>207*31.1035</f>
        <v>6438.4245000000001</v>
      </c>
      <c r="I16" s="576">
        <f>+'11'!Q$2</f>
        <v>89.465443831668892</v>
      </c>
      <c r="J16" s="576">
        <f t="shared" si="1"/>
        <v>93.651301117791689</v>
      </c>
      <c r="K16" s="99">
        <f>+'11'!AG$2</f>
        <v>55.315999517068747</v>
      </c>
      <c r="L16" s="99">
        <f>+'11'!AI$3</f>
        <v>27.702108724732472</v>
      </c>
      <c r="M16" s="148">
        <f t="shared" ref="M16:M21" si="4">+L16+K16</f>
        <v>83.018108241801215</v>
      </c>
      <c r="N16" s="935">
        <v>80</v>
      </c>
      <c r="O16" s="936">
        <v>53</v>
      </c>
      <c r="P16" s="942" t="s">
        <v>1672</v>
      </c>
    </row>
    <row r="17" spans="1:18" ht="14.25" customHeight="1">
      <c r="A17" s="80" t="s">
        <v>896</v>
      </c>
      <c r="B17" s="932">
        <v>45645</v>
      </c>
      <c r="C17" s="99">
        <f>+'12'!I$2</f>
        <v>507.82</v>
      </c>
      <c r="D17" s="99">
        <f>+'12'!K$2</f>
        <v>486.93731000000002</v>
      </c>
      <c r="E17" s="1041">
        <f t="shared" si="3"/>
        <v>5786.6266275270436</v>
      </c>
      <c r="F17" s="99">
        <f>+'12'!AH$3</f>
        <v>5176.5365254445505</v>
      </c>
      <c r="G17" s="99">
        <f>+'12'!AJ$3</f>
        <v>5036.8652194306233</v>
      </c>
      <c r="H17" s="1011">
        <v>4565.8900000000003</v>
      </c>
      <c r="I17" s="576">
        <f>+'12'!Q$2</f>
        <v>89.456895332069848</v>
      </c>
      <c r="J17" s="576">
        <f t="shared" si="1"/>
        <v>78.904174986511379</v>
      </c>
      <c r="K17" s="99">
        <f>+'12'!AG$2</f>
        <v>72.859839375462258</v>
      </c>
      <c r="L17" s="99">
        <f>+'12'!AI$3</f>
        <v>26.980994194211235</v>
      </c>
      <c r="M17" s="148">
        <f t="shared" si="4"/>
        <v>99.840833569673492</v>
      </c>
      <c r="N17" s="935">
        <v>80</v>
      </c>
      <c r="O17" s="936">
        <v>53</v>
      </c>
    </row>
    <row r="18" spans="1:18" ht="14.25" customHeight="1">
      <c r="A18" s="140" t="s">
        <v>897</v>
      </c>
      <c r="B18" s="932">
        <v>45659</v>
      </c>
      <c r="C18" s="99">
        <f>+'14'!I$2</f>
        <v>746.87000000000035</v>
      </c>
      <c r="D18" s="99">
        <f>+'14'!K$2</f>
        <v>694.49367400000006</v>
      </c>
      <c r="E18" s="1041">
        <f t="shared" si="3"/>
        <v>6303.5369822452658</v>
      </c>
      <c r="F18" s="99">
        <f>+'14'!AH$3</f>
        <v>5640.3564460945472</v>
      </c>
      <c r="G18" s="99">
        <f>+'14'!AJ$3</f>
        <v>5677.9796738281184</v>
      </c>
      <c r="H18" s="993">
        <v>5222</v>
      </c>
      <c r="I18" s="576">
        <f>+'14'!Q$2</f>
        <v>89.479231453410151</v>
      </c>
      <c r="J18" s="576">
        <f t="shared" si="1"/>
        <v>82.842379043835933</v>
      </c>
      <c r="K18" s="99">
        <f>+'14'!AG$2</f>
        <v>33.416716120295384</v>
      </c>
      <c r="L18" s="99">
        <f>+'14'!AI$3</f>
        <v>21.137859713346916</v>
      </c>
      <c r="M18" s="148">
        <f t="shared" si="4"/>
        <v>54.554575833642303</v>
      </c>
      <c r="N18" s="935">
        <v>80</v>
      </c>
      <c r="O18" s="936">
        <v>53</v>
      </c>
      <c r="P18" s="847"/>
      <c r="R18" s="942"/>
    </row>
    <row r="19" spans="1:18" ht="14.25" customHeight="1">
      <c r="A19" s="80" t="s">
        <v>898</v>
      </c>
      <c r="B19" s="932">
        <v>45672</v>
      </c>
      <c r="C19" s="99">
        <f>+'15'!I$2</f>
        <v>789.85000000000014</v>
      </c>
      <c r="D19" s="99">
        <f>+'15'!K$2</f>
        <v>720.82536499999992</v>
      </c>
      <c r="E19" s="1041">
        <f t="shared" si="3"/>
        <v>7309.8375998180018</v>
      </c>
      <c r="F19" s="99">
        <f>+'15'!AH$3</f>
        <v>6549.0316852765509</v>
      </c>
      <c r="G19" s="99">
        <f>+'15'!AJ$3</f>
        <v>6471.6969231021294</v>
      </c>
      <c r="H19" s="993">
        <v>5588.5</v>
      </c>
      <c r="I19" s="576">
        <f>+'15'!Q$2</f>
        <v>89.592027125740884</v>
      </c>
      <c r="J19" s="576">
        <f t="shared" si="1"/>
        <v>76.451766864685766</v>
      </c>
      <c r="K19" s="99">
        <f>+'15'!AG$2</f>
        <v>51.386364293815632</v>
      </c>
      <c r="L19" s="99">
        <f>+'15'!AI$3</f>
        <v>39.391495756183673</v>
      </c>
      <c r="M19" s="148">
        <f t="shared" si="4"/>
        <v>90.777860049999305</v>
      </c>
      <c r="N19" s="935">
        <v>80</v>
      </c>
      <c r="O19" s="936">
        <v>53</v>
      </c>
      <c r="P19" s="847"/>
      <c r="R19" s="942"/>
    </row>
    <row r="20" spans="1:18" ht="14.25" customHeight="1">
      <c r="A20" s="80" t="s">
        <v>899</v>
      </c>
      <c r="B20" s="932"/>
      <c r="C20" s="99">
        <f>+'16'!I$2</f>
        <v>692.66000000000008</v>
      </c>
      <c r="D20" s="99">
        <f>+'16'!K$2</f>
        <v>646.028369</v>
      </c>
      <c r="E20" s="1041">
        <f t="shared" ref="E20" si="5">100*F20/I20</f>
        <v>8099.5772558734752</v>
      </c>
      <c r="F20" s="99">
        <f>+'16'!AH$3</f>
        <v>7252.5242295186381</v>
      </c>
      <c r="G20" s="99">
        <f>+'16'!AJ$3</f>
        <v>7203.0419385277273</v>
      </c>
      <c r="H20" s="993">
        <f>7521*0.9351</f>
        <v>7032.8870999999999</v>
      </c>
      <c r="I20" s="576">
        <f>+'16'!Q$2</f>
        <v>89.542009421039978</v>
      </c>
      <c r="J20" s="576">
        <f t="shared" si="1"/>
        <v>86.830298394895166</v>
      </c>
      <c r="K20" s="99">
        <f>+'16'!AG$2</f>
        <v>52.861630046642063</v>
      </c>
      <c r="L20" s="99">
        <f>+'16'!AI$3</f>
        <v>84.00269405864131</v>
      </c>
      <c r="M20" s="148">
        <f t="shared" si="4"/>
        <v>136.86432410528337</v>
      </c>
      <c r="N20" s="935">
        <v>80</v>
      </c>
      <c r="O20" s="936">
        <v>53</v>
      </c>
      <c r="R20" s="847">
        <f t="shared" ref="R20:R25" si="6">+M20*D20</f>
        <v>88418.236076023604</v>
      </c>
    </row>
    <row r="21" spans="1:18" ht="14.25" customHeight="1">
      <c r="A21" s="80" t="s">
        <v>900</v>
      </c>
      <c r="B21" s="932">
        <v>45693</v>
      </c>
      <c r="C21" s="99">
        <f>+'17'!I$2</f>
        <v>702.80000000000007</v>
      </c>
      <c r="D21" s="99">
        <f>+'17'!K$2</f>
        <v>667.44741700000009</v>
      </c>
      <c r="E21" s="1041">
        <f t="shared" ref="E21:E22" si="7">100*F21/I21</f>
        <v>8345.4416137650114</v>
      </c>
      <c r="F21" s="99">
        <f>+'17'!AH$3</f>
        <v>7503.7464930160495</v>
      </c>
      <c r="G21" s="99">
        <f>+'17'!AJ$3</f>
        <v>7351.0089451677241</v>
      </c>
      <c r="H21" s="1065">
        <f>(6663.33*0.9385)</f>
        <v>6253.5352050000001</v>
      </c>
      <c r="I21" s="576">
        <f>+'17'!Q$2</f>
        <v>89.914312990211727</v>
      </c>
      <c r="J21" s="576">
        <f t="shared" si="1"/>
        <v>74.933544495541</v>
      </c>
      <c r="K21" s="99">
        <f>+'17'!AG$2</f>
        <v>68.047619920805602</v>
      </c>
      <c r="L21" s="99">
        <f>+'17'!AI$3</f>
        <v>92.393031012866814</v>
      </c>
      <c r="M21" s="148">
        <f t="shared" si="4"/>
        <v>160.44065093367243</v>
      </c>
      <c r="N21" s="935">
        <v>80</v>
      </c>
      <c r="O21" s="936">
        <v>53</v>
      </c>
      <c r="P21" s="847" t="s">
        <v>1828</v>
      </c>
      <c r="Q21" s="706"/>
      <c r="R21" s="847">
        <f t="shared" si="6"/>
        <v>107085.69804747832</v>
      </c>
    </row>
    <row r="22" spans="1:18" ht="14.25" customHeight="1">
      <c r="A22" s="80" t="s">
        <v>1870</v>
      </c>
      <c r="B22" s="932">
        <v>45714</v>
      </c>
      <c r="C22" s="99">
        <f>+'18'!I$2</f>
        <v>629.55999999999995</v>
      </c>
      <c r="D22" s="99">
        <f>+'18'!K$2</f>
        <v>604.60735499999998</v>
      </c>
      <c r="E22" s="1041">
        <f t="shared" si="7"/>
        <v>7542.3940038095989</v>
      </c>
      <c r="F22" s="99">
        <f>+'18'!AH$3</f>
        <v>6791.7303449336014</v>
      </c>
      <c r="G22" s="99">
        <f>+'18'!AJ$3</f>
        <v>6638.7725352580346</v>
      </c>
      <c r="H22" s="1065">
        <v>6138.5641919999998</v>
      </c>
      <c r="I22" s="576">
        <f>+'18'!Q$2</f>
        <v>90.047408574825923</v>
      </c>
      <c r="J22" s="576">
        <f t="shared" si="1"/>
        <v>81.387477091484001</v>
      </c>
      <c r="K22" s="99">
        <f>+'18'!AG$2</f>
        <v>66.03892225509918</v>
      </c>
      <c r="L22" s="99">
        <f>+'18'!AI$3</f>
        <v>61.117475436563829</v>
      </c>
      <c r="M22" s="148">
        <f t="shared" ref="M22" si="8">+L22+K22</f>
        <v>127.15639769166302</v>
      </c>
      <c r="N22" s="935">
        <v>80</v>
      </c>
      <c r="O22" s="936">
        <v>53</v>
      </c>
      <c r="P22" s="1072" t="s">
        <v>1871</v>
      </c>
      <c r="Q22" s="706"/>
      <c r="R22" s="847">
        <f t="shared" si="6"/>
        <v>76879.693279684478</v>
      </c>
    </row>
    <row r="23" spans="1:18" ht="14.25" customHeight="1">
      <c r="A23" s="80" t="s">
        <v>2012</v>
      </c>
      <c r="B23" s="932">
        <v>45735</v>
      </c>
      <c r="C23" s="99">
        <f>+'19'!I$2</f>
        <v>506.49</v>
      </c>
      <c r="D23" s="99">
        <f>+'19'!K$2</f>
        <v>474.261348</v>
      </c>
      <c r="E23" s="1041">
        <f t="shared" ref="E23" si="9">100*F23/I23</f>
        <v>7404.9742784774144</v>
      </c>
      <c r="F23" s="99">
        <f>+'19'!AH$3</f>
        <v>6647.391843913827</v>
      </c>
      <c r="G23" s="99">
        <f>+'19'!AJ$3</f>
        <v>6628.6087261337125</v>
      </c>
      <c r="H23" s="1065">
        <v>6604.43</v>
      </c>
      <c r="I23" s="576">
        <f>+'19'!Q$2</f>
        <v>89.769276623073452</v>
      </c>
      <c r="J23" s="576">
        <f t="shared" si="1"/>
        <v>89.18910115860632</v>
      </c>
      <c r="K23" s="99">
        <f>+'19'!AG$2</f>
        <v>51.895949846478331</v>
      </c>
      <c r="L23" s="99">
        <f>+'19'!AI$3</f>
        <v>104.63258230536252</v>
      </c>
      <c r="M23" s="148">
        <f t="shared" ref="M23" si="10">+L23+K23</f>
        <v>156.52853215184086</v>
      </c>
      <c r="N23" s="935">
        <v>80</v>
      </c>
      <c r="O23" s="936">
        <v>53</v>
      </c>
      <c r="P23" s="1072"/>
      <c r="Q23" s="706"/>
      <c r="R23" s="847">
        <f t="shared" si="6"/>
        <v>74235.43265879339</v>
      </c>
    </row>
    <row r="24" spans="1:18" ht="14.25" customHeight="1">
      <c r="A24" s="80" t="s">
        <v>2026</v>
      </c>
      <c r="B24" s="932"/>
      <c r="C24" s="99">
        <f>+'20'!I$2</f>
        <v>553.66000000000008</v>
      </c>
      <c r="D24" s="99">
        <f>+'20'!K$2</f>
        <v>503.19969700000007</v>
      </c>
      <c r="E24" s="1041">
        <f t="shared" ref="E24" si="11">100*F24/I24</f>
        <v>5730.7792895207986</v>
      </c>
      <c r="F24" s="99">
        <f>+'20'!AH$3</f>
        <v>5160.9102776478039</v>
      </c>
      <c r="G24" s="99">
        <f>+'20'!AJ$3</f>
        <v>5107.5689471926662</v>
      </c>
      <c r="H24" s="1065">
        <v>4866.1400000000003</v>
      </c>
      <c r="I24" s="576">
        <f>+'20'!Q$2</f>
        <v>90.055994427929775</v>
      </c>
      <c r="J24" s="576">
        <f t="shared" si="1"/>
        <v>84.912361027376122</v>
      </c>
      <c r="K24" s="99">
        <f>+'20'!AG$2</f>
        <v>47.984680928562447</v>
      </c>
      <c r="L24" s="99">
        <f>+'20'!AI$3</f>
        <v>73.196758207167704</v>
      </c>
      <c r="M24" s="148">
        <f t="shared" ref="M24" si="12">+L24+K24</f>
        <v>121.18143913573016</v>
      </c>
      <c r="N24" s="935">
        <v>80</v>
      </c>
      <c r="O24" s="936">
        <v>53</v>
      </c>
      <c r="P24" s="1072"/>
      <c r="Q24" s="706"/>
      <c r="R24" s="847">
        <f t="shared" si="6"/>
        <v>60978.463455123368</v>
      </c>
    </row>
    <row r="25" spans="1:18" ht="14.25" customHeight="1">
      <c r="A25" s="80" t="s">
        <v>2074</v>
      </c>
      <c r="B25" s="932"/>
      <c r="C25" s="99">
        <f>+'21'!I$2</f>
        <v>694.28000000000031</v>
      </c>
      <c r="D25" s="99">
        <f>+'21'!K$2</f>
        <v>651.11548000000016</v>
      </c>
      <c r="E25" s="1041">
        <f t="shared" ref="E25" si="13">100*F25/I25</f>
        <v>6411.7036100501782</v>
      </c>
      <c r="F25" s="99">
        <f>+'21'!AH$3</f>
        <v>5768.9923871779229</v>
      </c>
      <c r="G25" s="99">
        <f>+'21'!AJ$3</f>
        <v>5607.6950835738598</v>
      </c>
      <c r="H25" s="1065">
        <v>4256.34</v>
      </c>
      <c r="I25" s="576">
        <f>+'21'!Q$2</f>
        <v>89.975967980415973</v>
      </c>
      <c r="J25" s="576">
        <f t="shared" si="1"/>
        <v>66.383916956615053</v>
      </c>
      <c r="K25" s="99">
        <f>+'21'!AG$2</f>
        <v>63.401455926465701</v>
      </c>
      <c r="L25" s="99">
        <f>+'21'!AI$3</f>
        <v>41.798874916534949</v>
      </c>
      <c r="M25" s="148">
        <f t="shared" ref="M25" si="14">+L25+K25</f>
        <v>105.20033084300064</v>
      </c>
      <c r="N25" s="935">
        <v>80</v>
      </c>
      <c r="O25" s="936">
        <v>53</v>
      </c>
      <c r="P25" s="1072"/>
      <c r="Q25" s="706"/>
      <c r="R25" s="847">
        <f t="shared" si="6"/>
        <v>68497.563912999191</v>
      </c>
    </row>
    <row r="26" spans="1:18" ht="14.25" customHeight="1" thickBot="1">
      <c r="C26" s="577"/>
      <c r="D26" s="577"/>
      <c r="E26" s="1042"/>
      <c r="F26" s="577"/>
      <c r="G26" s="578"/>
      <c r="H26" s="578"/>
      <c r="I26" s="578"/>
      <c r="J26" s="578"/>
      <c r="K26" s="578"/>
      <c r="L26" s="578"/>
      <c r="N26" s="937"/>
      <c r="O26" s="938"/>
      <c r="R26" s="847"/>
    </row>
    <row r="27" spans="1:18" ht="14.25" customHeight="1">
      <c r="C27" s="57"/>
      <c r="D27" s="57"/>
      <c r="E27" s="847"/>
      <c r="M27" s="148"/>
      <c r="N27" s="930"/>
    </row>
    <row r="28" spans="1:18" ht="14.25" customHeight="1" thickBot="1">
      <c r="C28" s="57"/>
      <c r="D28" s="57"/>
      <c r="H28" s="706"/>
    </row>
    <row r="29" spans="1:18" ht="14.25" customHeight="1">
      <c r="A29" s="86" t="s">
        <v>872</v>
      </c>
      <c r="B29" s="569" t="s">
        <v>1266</v>
      </c>
      <c r="C29" s="89" t="s">
        <v>873</v>
      </c>
      <c r="D29" s="89" t="s">
        <v>874</v>
      </c>
      <c r="E29" s="87" t="s">
        <v>492</v>
      </c>
      <c r="F29" s="87" t="s">
        <v>875</v>
      </c>
      <c r="G29" s="87" t="s">
        <v>876</v>
      </c>
      <c r="H29" s="87" t="s">
        <v>877</v>
      </c>
      <c r="I29" s="87" t="s">
        <v>878</v>
      </c>
      <c r="J29" s="87" t="s">
        <v>4432</v>
      </c>
      <c r="K29" s="570" t="s">
        <v>879</v>
      </c>
      <c r="L29" s="570" t="s">
        <v>36</v>
      </c>
      <c r="M29" s="80"/>
      <c r="N29" s="2042" t="s">
        <v>1267</v>
      </c>
      <c r="O29" s="2043"/>
    </row>
    <row r="30" spans="1:18" ht="14.25" customHeight="1" thickBot="1">
      <c r="A30" s="571" t="s">
        <v>1260</v>
      </c>
      <c r="B30" s="572"/>
      <c r="C30" s="573"/>
      <c r="D30" s="573"/>
      <c r="E30" s="574" t="s">
        <v>880</v>
      </c>
      <c r="F30" s="574" t="s">
        <v>881</v>
      </c>
      <c r="G30" s="574" t="s">
        <v>882</v>
      </c>
      <c r="H30" s="574"/>
      <c r="I30" s="574" t="s">
        <v>883</v>
      </c>
      <c r="J30" s="574" t="s">
        <v>4433</v>
      </c>
      <c r="K30" s="575" t="s">
        <v>885</v>
      </c>
      <c r="L30" s="575" t="s">
        <v>28</v>
      </c>
      <c r="M30" s="80" t="s">
        <v>1254</v>
      </c>
      <c r="N30" s="939" t="s">
        <v>883</v>
      </c>
      <c r="O30" s="940" t="s">
        <v>1062</v>
      </c>
    </row>
    <row r="31" spans="1:18" ht="14.25" customHeight="1" thickBot="1">
      <c r="A31" s="148" t="s">
        <v>4387</v>
      </c>
      <c r="B31" s="932"/>
      <c r="C31" s="99">
        <f>+'27'!$I$2</f>
        <v>564.87000000000023</v>
      </c>
      <c r="D31" s="99">
        <f>+'27'!$K$2</f>
        <v>522.673</v>
      </c>
      <c r="E31" s="1041">
        <f>+'27'!$E$1</f>
        <v>4916.8419999999978</v>
      </c>
      <c r="F31" s="99">
        <f>+'27'!$E$2</f>
        <v>4586.8629999999994</v>
      </c>
      <c r="G31" s="99">
        <f>+'27'!$AK$3</f>
        <v>4264.4150721874967</v>
      </c>
      <c r="H31" s="99"/>
      <c r="I31" s="576">
        <f>+'27'!$G$2</f>
        <v>93.498373485320982</v>
      </c>
      <c r="J31" s="1645">
        <f>+'27'!BC27</f>
        <v>-520.49400000000048</v>
      </c>
      <c r="K31" s="99" t="e">
        <f>+'27'!$AG$2</f>
        <v>#N/A</v>
      </c>
      <c r="L31" s="99" t="e">
        <f>+'27'!$AJ$3</f>
        <v>#N/A</v>
      </c>
      <c r="M31" s="148" t="e">
        <f>+L31+K31</f>
        <v>#N/A</v>
      </c>
      <c r="N31" s="933">
        <v>80</v>
      </c>
      <c r="O31" s="934">
        <v>53</v>
      </c>
    </row>
    <row r="32" spans="1:18" ht="14.25" customHeight="1">
      <c r="A32" s="148" t="s">
        <v>4387</v>
      </c>
      <c r="B32" s="932"/>
      <c r="C32" s="99">
        <f>+'28'!$I$2</f>
        <v>557.80999999999995</v>
      </c>
      <c r="D32" s="99">
        <f>+'28'!$K$2</f>
        <v>523.20699999999977</v>
      </c>
      <c r="E32" s="1041">
        <f>+'28'!$E$1</f>
        <v>5138.9480000000012</v>
      </c>
      <c r="F32" s="99">
        <f>+'28'!$E$2</f>
        <v>4707.2520000000004</v>
      </c>
      <c r="G32" s="99">
        <f>+'28'!$AK$3</f>
        <v>4330.5685892312977</v>
      </c>
      <c r="H32" s="99"/>
      <c r="I32" s="576">
        <f>+'28'!$G$2</f>
        <v>91.878145467886554</v>
      </c>
      <c r="J32" s="1645">
        <f>+'28'!BC29</f>
        <v>96.868999999998948</v>
      </c>
      <c r="K32" s="99" t="e">
        <f>+'28'!$AG$2</f>
        <v>#N/A</v>
      </c>
      <c r="L32" s="99" t="e">
        <f>+'28'!$AJ$3</f>
        <v>#N/A</v>
      </c>
      <c r="M32" s="148" t="e">
        <f>+L32+K32</f>
        <v>#N/A</v>
      </c>
      <c r="N32" s="933">
        <v>80</v>
      </c>
      <c r="O32" s="934">
        <v>53</v>
      </c>
    </row>
    <row r="33" spans="1:15" ht="14.25" customHeight="1">
      <c r="A33" s="148" t="s">
        <v>4388</v>
      </c>
      <c r="B33" s="932"/>
      <c r="C33" s="99">
        <f>+'29'!$I$2</f>
        <v>552.74</v>
      </c>
      <c r="D33" s="99">
        <f>+'29'!$K$2</f>
        <v>530.51699999999994</v>
      </c>
      <c r="E33" s="1041">
        <f>+'29'!$E$1</f>
        <v>5431.2429999999977</v>
      </c>
      <c r="F33" s="99">
        <f>+'29'!$E$2</f>
        <v>4955.7179999999971</v>
      </c>
      <c r="G33" s="99">
        <f>+'29'!$AK$3</f>
        <v>4510.2494918566645</v>
      </c>
      <c r="H33" s="99"/>
      <c r="I33" s="576">
        <f>+'29'!$G$2</f>
        <v>91.806464560735705</v>
      </c>
      <c r="J33" s="1645">
        <f>+'29'!BD28</f>
        <v>-23.127999999998366</v>
      </c>
      <c r="K33" s="99" t="e">
        <f>+'29'!$AG$2</f>
        <v>#N/A</v>
      </c>
      <c r="L33" s="99" t="e">
        <f>+'29'!$AJ$3</f>
        <v>#N/A</v>
      </c>
      <c r="M33" s="148" t="e">
        <f t="shared" ref="M33:M39" si="15">+L33+K33</f>
        <v>#N/A</v>
      </c>
      <c r="N33" s="935">
        <v>80</v>
      </c>
      <c r="O33" s="936">
        <v>53</v>
      </c>
    </row>
    <row r="34" spans="1:15" ht="14.25" customHeight="1">
      <c r="A34" s="148" t="s">
        <v>4389</v>
      </c>
      <c r="B34" s="932"/>
      <c r="C34" s="99">
        <f>+'30'!$I$2</f>
        <v>548.95000000000016</v>
      </c>
      <c r="D34" s="99">
        <f>+'30'!$K$2</f>
        <v>521.29800000000023</v>
      </c>
      <c r="E34" s="1041">
        <f>+'30'!$E$1</f>
        <v>5588.6090000000022</v>
      </c>
      <c r="F34" s="99">
        <f>+'30'!$E$2</f>
        <v>4807.2480000000032</v>
      </c>
      <c r="G34" s="99">
        <f>+'30'!$AK$3</f>
        <v>4439.8201254417054</v>
      </c>
      <c r="H34" s="99"/>
      <c r="I34" s="576">
        <f>+'30'!$G$2</f>
        <v>87.880387069691324</v>
      </c>
      <c r="J34" s="1645">
        <f>+'30'!BC29</f>
        <v>0.57799999999946294</v>
      </c>
      <c r="K34" s="99">
        <f>+'30'!$AG$2</f>
        <v>148.68720678549002</v>
      </c>
      <c r="L34" s="99">
        <f>+'30'!$AJ$3</f>
        <v>-7.3809934699272777</v>
      </c>
      <c r="M34" s="148">
        <f t="shared" si="15"/>
        <v>141.30621331556273</v>
      </c>
      <c r="N34" s="935">
        <v>80</v>
      </c>
      <c r="O34" s="936">
        <v>53</v>
      </c>
    </row>
    <row r="35" spans="1:15" ht="14.25" customHeight="1">
      <c r="A35" s="148" t="s">
        <v>4390</v>
      </c>
      <c r="B35" s="932"/>
      <c r="C35" s="99">
        <f>+'31'!$I$2</f>
        <v>555.12999999999988</v>
      </c>
      <c r="D35" s="99">
        <f>+'31'!$K$2</f>
        <v>507.57999999999987</v>
      </c>
      <c r="E35" s="1041">
        <f>+'31'!$E$1</f>
        <v>5543.3019999999997</v>
      </c>
      <c r="F35" s="99">
        <f>+'31'!$E$2</f>
        <v>5021.5089999999991</v>
      </c>
      <c r="G35" s="99" t="e">
        <f>+'31'!$AK$3</f>
        <v>#N/A</v>
      </c>
      <c r="H35" s="99"/>
      <c r="I35" s="576">
        <f>+'31'!$G$2</f>
        <v>91.244492988063982</v>
      </c>
      <c r="J35" s="1645">
        <f>+'31'!BC28</f>
        <v>190.33000000000044</v>
      </c>
      <c r="K35" s="99" t="e">
        <f>+'31'!$AG$2</f>
        <v>#N/A</v>
      </c>
      <c r="L35" s="99" t="e">
        <f>+'31'!$AJ$3</f>
        <v>#N/A</v>
      </c>
      <c r="M35" s="148" t="e">
        <f t="shared" si="15"/>
        <v>#N/A</v>
      </c>
      <c r="N35" s="935">
        <v>80</v>
      </c>
      <c r="O35" s="936">
        <v>53</v>
      </c>
    </row>
    <row r="36" spans="1:15" ht="14.25" customHeight="1">
      <c r="A36" s="148" t="s">
        <v>4391</v>
      </c>
      <c r="B36" s="932"/>
      <c r="C36" s="99">
        <f>+'32'!$I$2</f>
        <v>558.0899999999998</v>
      </c>
      <c r="D36" s="99">
        <f>+'32'!$K$2</f>
        <v>524.9580000000002</v>
      </c>
      <c r="E36" s="1041">
        <f>+'32'!$E$1</f>
        <v>5110.3369999999986</v>
      </c>
      <c r="F36" s="99">
        <f>+'32'!$E$2</f>
        <v>4806.4919999999993</v>
      </c>
      <c r="G36" s="99">
        <f>+'32'!$AK$3</f>
        <v>4396.0971963641568</v>
      </c>
      <c r="H36" s="99"/>
      <c r="I36" s="576">
        <f>+'32'!$G$2</f>
        <v>94.265165114183091</v>
      </c>
      <c r="J36" s="1645">
        <f>+'32'!BC28</f>
        <v>138.07199999999932</v>
      </c>
      <c r="K36" s="99">
        <f>+'32'!$AG$2</f>
        <v>159.20740543719302</v>
      </c>
      <c r="L36" s="99">
        <f>+'32'!$AJ$3</f>
        <v>65.737165879015649</v>
      </c>
      <c r="M36" s="148">
        <f t="shared" si="15"/>
        <v>224.94457131620868</v>
      </c>
      <c r="N36" s="935">
        <v>80</v>
      </c>
      <c r="O36" s="936">
        <v>53</v>
      </c>
    </row>
    <row r="37" spans="1:15" ht="14.25" customHeight="1">
      <c r="A37" s="148" t="s">
        <v>4392</v>
      </c>
      <c r="B37" s="1037"/>
      <c r="C37" s="99">
        <f>+'33'!$I$2</f>
        <v>568.4</v>
      </c>
      <c r="D37" s="99">
        <f>+'33'!$K$2</f>
        <v>529.26400000000012</v>
      </c>
      <c r="E37" s="1041">
        <f>+'33'!$E$1</f>
        <v>5636.9210000000003</v>
      </c>
      <c r="F37" s="99">
        <f>+'33'!$E$2</f>
        <v>5082.3840000000009</v>
      </c>
      <c r="G37" s="99">
        <f>+'33'!$AK$3</f>
        <v>4666.420633384435</v>
      </c>
      <c r="H37" s="99"/>
      <c r="I37" s="576">
        <f>+'33'!$G$2</f>
        <v>90.90871498690376</v>
      </c>
      <c r="J37" s="1645">
        <f>+'33'!BC28</f>
        <v>95.066000000000201</v>
      </c>
      <c r="K37" s="99">
        <f>+'33'!$AG$2</f>
        <v>174.01432800519927</v>
      </c>
      <c r="L37" s="99">
        <f>+'33'!$AJ$3</f>
        <v>92.812454346646362</v>
      </c>
      <c r="M37" s="1019">
        <f t="shared" si="15"/>
        <v>266.82678235184562</v>
      </c>
      <c r="N37" s="1039">
        <v>80</v>
      </c>
      <c r="O37" s="936">
        <v>53</v>
      </c>
    </row>
    <row r="38" spans="1:15" ht="14.25" customHeight="1">
      <c r="A38" s="148" t="s">
        <v>4393</v>
      </c>
      <c r="B38" s="932"/>
      <c r="C38" s="99">
        <f>+'34'!$I$2</f>
        <v>468.81000000000006</v>
      </c>
      <c r="D38" s="99">
        <f>+'34'!$K$2</f>
        <v>434.39799999999991</v>
      </c>
      <c r="E38" s="1041">
        <f>+'34'!$E$1</f>
        <v>4738.3649999999989</v>
      </c>
      <c r="F38" s="99">
        <f>+'34'!$E$2</f>
        <v>4321.2350000000015</v>
      </c>
      <c r="G38" s="99">
        <f>+'34'!$AK$3</f>
        <v>3950.0038991037782</v>
      </c>
      <c r="H38" s="99"/>
      <c r="I38" s="576">
        <f>+'34'!$G$2</f>
        <v>91.478242548715826</v>
      </c>
      <c r="J38" s="1645">
        <f>+'34'!BC28</f>
        <v>197.16600000000005</v>
      </c>
      <c r="K38" s="99">
        <f>+'34'!$AG$2</f>
        <v>169.12385403872094</v>
      </c>
      <c r="L38" s="99">
        <f>+'34'!$AJ$3</f>
        <v>92.323917342597596</v>
      </c>
      <c r="M38" s="148">
        <f t="shared" si="15"/>
        <v>261.44777138131855</v>
      </c>
      <c r="N38" s="935">
        <v>80</v>
      </c>
      <c r="O38" s="936">
        <v>53</v>
      </c>
    </row>
    <row r="39" spans="1:15" ht="14.25" customHeight="1">
      <c r="A39" s="148" t="s">
        <v>4394</v>
      </c>
      <c r="B39" s="932"/>
      <c r="C39" s="99">
        <f>+'35'!$I$2</f>
        <v>494.81999999999982</v>
      </c>
      <c r="D39" s="99">
        <f>+'35'!$K$2</f>
        <v>452.23200000000008</v>
      </c>
      <c r="E39" s="1041">
        <f>+'35'!$E$1</f>
        <v>5065.8650000000007</v>
      </c>
      <c r="F39" s="99">
        <f>+'35'!$E$2</f>
        <v>4578.6610000000028</v>
      </c>
      <c r="G39" s="99">
        <f>+'35'!$AK$3</f>
        <v>4131.8916427875347</v>
      </c>
      <c r="H39" s="99"/>
      <c r="I39" s="576">
        <f>+'35'!$G$2</f>
        <v>90.999091223394743</v>
      </c>
      <c r="J39" s="1645">
        <f>+'35'!BC28</f>
        <v>211.45199999999966</v>
      </c>
      <c r="K39" s="99">
        <f>+'35'!$AG$2</f>
        <v>201.22673759017206</v>
      </c>
      <c r="L39" s="99">
        <f>+'35'!$AJ$3</f>
        <v>106.33385397947863</v>
      </c>
      <c r="M39" s="148">
        <f t="shared" si="15"/>
        <v>307.56059156965068</v>
      </c>
      <c r="N39" s="935">
        <v>80</v>
      </c>
      <c r="O39" s="936">
        <v>53</v>
      </c>
    </row>
    <row r="40" spans="1:15" ht="14.25" customHeight="1">
      <c r="A40" s="148" t="s">
        <v>4395</v>
      </c>
      <c r="B40" s="932"/>
      <c r="C40" s="99">
        <f>+'36'!$I$2</f>
        <v>411.37999999999988</v>
      </c>
      <c r="D40" s="99">
        <f>+'36'!$K$2</f>
        <v>379.85199999999992</v>
      </c>
      <c r="E40" s="1041">
        <f>+'36'!$E$1</f>
        <v>4356.5090000000009</v>
      </c>
      <c r="F40" s="99">
        <f>+'36'!$E$2</f>
        <v>4034.2220000000011</v>
      </c>
      <c r="G40" s="99">
        <f>+'36'!$AK$3</f>
        <v>3679.0129287495674</v>
      </c>
      <c r="H40" s="99"/>
      <c r="I40" s="576">
        <f>+'36'!$G$2</f>
        <v>92.900969495481377</v>
      </c>
      <c r="J40" s="1645">
        <f>+'36'!BC34</f>
        <v>229.31200000000081</v>
      </c>
      <c r="K40" s="99">
        <f>+'36'!$AG$2</f>
        <v>202.50194091254633</v>
      </c>
      <c r="L40" s="99">
        <f>+'36'!$AJ$3</f>
        <v>257.68251897839866</v>
      </c>
      <c r="M40" s="148">
        <f t="shared" ref="M40" si="16">+L40+K40</f>
        <v>460.18445989094499</v>
      </c>
      <c r="N40" s="935">
        <v>80</v>
      </c>
      <c r="O40" s="936">
        <v>53</v>
      </c>
    </row>
    <row r="41" spans="1:15" ht="14.25" customHeight="1">
      <c r="A41" s="148" t="s">
        <v>4396</v>
      </c>
      <c r="B41" s="932"/>
      <c r="C41" s="99">
        <f>+'37'!$I$2</f>
        <v>594.27999999999975</v>
      </c>
      <c r="D41" s="99">
        <f>+'37'!$K$2</f>
        <v>527.09500000000003</v>
      </c>
      <c r="E41" s="1041">
        <f>+'37'!$E$1</f>
        <v>6059.9109999999991</v>
      </c>
      <c r="F41" s="99">
        <f>+'37'!$E$2</f>
        <v>5522.8720000000003</v>
      </c>
      <c r="G41" s="99" t="e">
        <f>+'37'!$AK$3</f>
        <v>#N/A</v>
      </c>
      <c r="H41" s="99"/>
      <c r="I41" s="576">
        <f>+'37'!$G$2</f>
        <v>91.582635384271029</v>
      </c>
      <c r="J41" s="1645">
        <f>+'37'!BC34</f>
        <v>120.82099999999988</v>
      </c>
      <c r="K41" s="99" t="e">
        <f>+'37'!$AG$2</f>
        <v>#N/A</v>
      </c>
      <c r="L41" s="99" t="e">
        <f>+'37'!$AJ$3</f>
        <v>#N/A</v>
      </c>
      <c r="M41" s="148" t="e">
        <f t="shared" ref="M41" si="17">+L41+K41</f>
        <v>#N/A</v>
      </c>
      <c r="N41" s="935">
        <v>80</v>
      </c>
      <c r="O41" s="936">
        <v>53</v>
      </c>
    </row>
    <row r="42" spans="1:15" ht="14.25" customHeight="1">
      <c r="A42" s="148" t="s">
        <v>4397</v>
      </c>
      <c r="B42" s="932"/>
      <c r="C42" s="99">
        <f>+'38'!$I$2</f>
        <v>509.91000000000008</v>
      </c>
      <c r="D42" s="99">
        <f>+'38'!$K$2</f>
        <v>452.48100000000005</v>
      </c>
      <c r="E42" s="1041">
        <f>+'38'!$E$1</f>
        <v>5181.5019999999986</v>
      </c>
      <c r="F42" s="99">
        <f>+'38'!$E$2</f>
        <v>4808.4369999999981</v>
      </c>
      <c r="G42" s="99">
        <f>+'38'!$AK$3</f>
        <v>4385.644662994564</v>
      </c>
      <c r="H42" s="99"/>
      <c r="I42" s="576">
        <f>+'38'!$G$2</f>
        <v>93.230598325401843</v>
      </c>
      <c r="J42" s="1645">
        <f>+'38'!BC34</f>
        <v>-121.2570000000004</v>
      </c>
      <c r="K42" s="99">
        <f>+'38'!$AG$2</f>
        <v>206.74201559487406</v>
      </c>
      <c r="L42" s="99">
        <f>+'38'!$AJ$3</f>
        <v>178.79084731360717</v>
      </c>
      <c r="M42" s="148">
        <f t="shared" ref="M42" si="18">+L42+K42</f>
        <v>385.53286290848121</v>
      </c>
      <c r="N42" s="935">
        <v>80</v>
      </c>
      <c r="O42" s="936">
        <v>53</v>
      </c>
    </row>
    <row r="43" spans="1:15" ht="14.25" customHeight="1">
      <c r="A43" s="148" t="s">
        <v>4398</v>
      </c>
      <c r="B43" s="932"/>
      <c r="C43" s="99"/>
      <c r="D43" s="99"/>
      <c r="E43" s="1041"/>
      <c r="F43" s="99"/>
      <c r="G43" s="99"/>
      <c r="H43" s="99"/>
      <c r="I43" s="576"/>
      <c r="J43" s="1645"/>
      <c r="K43" s="99"/>
      <c r="L43" s="99"/>
      <c r="M43" s="148"/>
      <c r="N43" s="935"/>
      <c r="O43" s="936"/>
    </row>
    <row r="44" spans="1:15" ht="14.25" customHeight="1">
      <c r="A44" s="148" t="s">
        <v>4399</v>
      </c>
      <c r="B44" s="932"/>
      <c r="C44" s="99"/>
      <c r="D44" s="99"/>
      <c r="E44" s="1041"/>
      <c r="F44" s="99"/>
      <c r="G44" s="99"/>
      <c r="H44" s="99"/>
      <c r="I44" s="576"/>
      <c r="J44" s="1645"/>
      <c r="K44" s="99"/>
      <c r="L44" s="99"/>
      <c r="M44" s="148"/>
      <c r="N44" s="935"/>
      <c r="O44" s="936"/>
    </row>
    <row r="45" spans="1:15" ht="14.25" customHeight="1">
      <c r="A45" s="148" t="s">
        <v>4400</v>
      </c>
      <c r="B45" s="932"/>
      <c r="C45" s="99"/>
      <c r="D45" s="99"/>
      <c r="E45" s="1041"/>
      <c r="F45" s="99"/>
      <c r="G45" s="99"/>
      <c r="H45" s="99"/>
      <c r="I45" s="576"/>
      <c r="J45" s="1645"/>
      <c r="K45" s="99"/>
      <c r="L45" s="99"/>
      <c r="M45" s="148"/>
      <c r="N45" s="935"/>
      <c r="O45" s="936"/>
    </row>
    <row r="46" spans="1:15" ht="14.25" customHeight="1">
      <c r="A46" s="148" t="s">
        <v>4401</v>
      </c>
      <c r="B46" s="932"/>
      <c r="C46" s="99"/>
      <c r="D46" s="99"/>
      <c r="E46" s="1041"/>
      <c r="F46" s="99"/>
      <c r="G46" s="99"/>
      <c r="H46" s="99"/>
      <c r="I46" s="576"/>
      <c r="J46" s="1645"/>
      <c r="K46" s="99"/>
      <c r="L46" s="99"/>
      <c r="M46" s="148"/>
      <c r="N46" s="935"/>
      <c r="O46" s="936"/>
    </row>
    <row r="47" spans="1:15" ht="14.25" customHeight="1">
      <c r="A47" s="148" t="s">
        <v>4402</v>
      </c>
      <c r="B47" s="932"/>
      <c r="C47" s="99"/>
      <c r="D47" s="99"/>
      <c r="E47" s="1041"/>
      <c r="F47" s="99"/>
      <c r="G47" s="99"/>
      <c r="H47" s="99"/>
      <c r="I47" s="576"/>
      <c r="J47" s="1645"/>
      <c r="K47" s="99"/>
      <c r="L47" s="99"/>
      <c r="M47" s="148"/>
      <c r="N47" s="935"/>
      <c r="O47" s="936"/>
    </row>
    <row r="48" spans="1:15" ht="14.25" customHeight="1">
      <c r="A48" s="148" t="s">
        <v>4403</v>
      </c>
      <c r="B48" s="932"/>
      <c r="C48" s="99"/>
      <c r="D48" s="99"/>
      <c r="E48" s="1041"/>
      <c r="F48" s="99"/>
      <c r="G48" s="99"/>
      <c r="H48" s="99"/>
      <c r="I48" s="576"/>
      <c r="J48" s="1645"/>
      <c r="K48" s="99"/>
      <c r="L48" s="99"/>
      <c r="M48" s="148"/>
      <c r="N48" s="935"/>
      <c r="O48" s="936"/>
    </row>
    <row r="49" spans="1:15" ht="14.25" customHeight="1">
      <c r="A49" s="148" t="s">
        <v>4404</v>
      </c>
      <c r="B49" s="932"/>
      <c r="C49" s="99"/>
      <c r="D49" s="99"/>
      <c r="E49" s="1041"/>
      <c r="F49" s="99"/>
      <c r="G49" s="99"/>
      <c r="H49" s="99"/>
      <c r="I49" s="576"/>
      <c r="J49" s="1645"/>
      <c r="K49" s="99"/>
      <c r="L49" s="99"/>
      <c r="M49" s="148"/>
      <c r="N49" s="935"/>
      <c r="O49" s="936"/>
    </row>
    <row r="50" spans="1:15" ht="14.25" customHeight="1">
      <c r="A50" s="148" t="s">
        <v>4405</v>
      </c>
      <c r="B50" s="932"/>
      <c r="C50" s="99"/>
      <c r="D50" s="99"/>
      <c r="E50" s="1041"/>
      <c r="F50" s="99"/>
      <c r="G50" s="99"/>
      <c r="H50" s="99"/>
      <c r="I50" s="576"/>
      <c r="J50" s="1645"/>
      <c r="K50" s="99"/>
      <c r="L50" s="99"/>
      <c r="M50" s="148"/>
      <c r="N50" s="935"/>
      <c r="O50" s="936"/>
    </row>
    <row r="51" spans="1:15" ht="14.25" customHeight="1">
      <c r="A51" s="148" t="s">
        <v>4406</v>
      </c>
      <c r="B51" s="932"/>
      <c r="C51" s="99"/>
      <c r="D51" s="99"/>
      <c r="E51" s="1041"/>
      <c r="F51" s="99"/>
      <c r="G51" s="99"/>
      <c r="H51" s="99"/>
      <c r="I51" s="576"/>
      <c r="J51" s="1645"/>
      <c r="K51" s="99"/>
      <c r="L51" s="99"/>
      <c r="M51" s="148"/>
      <c r="N51" s="935"/>
      <c r="O51" s="936"/>
    </row>
    <row r="52" spans="1:15" ht="14.25" customHeight="1">
      <c r="A52" s="148" t="s">
        <v>4407</v>
      </c>
      <c r="B52" s="932"/>
      <c r="C52" s="99"/>
      <c r="D52" s="99"/>
      <c r="E52" s="1041"/>
      <c r="F52" s="99"/>
      <c r="G52" s="99"/>
      <c r="H52" s="99"/>
      <c r="I52" s="576"/>
      <c r="J52" s="1645"/>
      <c r="K52" s="99"/>
      <c r="L52" s="99"/>
      <c r="M52" s="148"/>
      <c r="N52" s="935"/>
      <c r="O52" s="936"/>
    </row>
    <row r="53" spans="1:15" ht="14.25" customHeight="1" thickBot="1">
      <c r="A53" s="148" t="s">
        <v>4408</v>
      </c>
      <c r="C53" s="577"/>
      <c r="D53" s="577"/>
      <c r="E53" s="1042"/>
      <c r="F53" s="577"/>
      <c r="G53" s="578"/>
      <c r="H53" s="578"/>
      <c r="I53" s="578"/>
      <c r="J53" s="1646"/>
      <c r="K53" s="578"/>
      <c r="L53" s="578"/>
      <c r="N53" s="937"/>
      <c r="O53" s="938"/>
    </row>
    <row r="54" spans="1:15" ht="14.25" customHeight="1">
      <c r="C54" s="57"/>
      <c r="D54" s="57"/>
    </row>
    <row r="55" spans="1:15" ht="14.25" customHeight="1">
      <c r="C55" s="57"/>
      <c r="D55" s="57"/>
    </row>
    <row r="56" spans="1:15" ht="14.25" customHeight="1">
      <c r="C56" s="57"/>
      <c r="D56" s="57"/>
    </row>
    <row r="57" spans="1:15" ht="14.25" customHeight="1">
      <c r="C57" s="57"/>
      <c r="D57" s="57"/>
    </row>
    <row r="58" spans="1:15" ht="14.25" customHeight="1">
      <c r="C58" s="57"/>
      <c r="D58" s="57"/>
    </row>
    <row r="59" spans="1:15" ht="14.25" customHeight="1">
      <c r="C59" s="57"/>
      <c r="D59" s="57"/>
    </row>
    <row r="60" spans="1:15" ht="14.25" customHeight="1">
      <c r="C60" s="57"/>
      <c r="D60" s="57"/>
    </row>
    <row r="61" spans="1:15" ht="14.25" customHeight="1">
      <c r="C61" s="57"/>
      <c r="D61" s="57"/>
    </row>
    <row r="62" spans="1:15" ht="14.25" customHeight="1">
      <c r="C62" s="57"/>
      <c r="D62" s="57"/>
    </row>
    <row r="63" spans="1:15" ht="14.25" customHeight="1">
      <c r="C63" s="57"/>
      <c r="D63" s="57"/>
    </row>
    <row r="64" spans="1:15" ht="14.25" customHeight="1">
      <c r="C64" s="57"/>
      <c r="D64" s="57"/>
    </row>
    <row r="65" spans="3:4" ht="14.25" customHeight="1">
      <c r="C65" s="57"/>
      <c r="D65" s="57"/>
    </row>
    <row r="66" spans="3:4" ht="14.25" customHeight="1">
      <c r="C66" s="57"/>
      <c r="D66" s="57"/>
    </row>
    <row r="67" spans="3:4" ht="14.25" customHeight="1">
      <c r="C67" s="57"/>
      <c r="D67" s="57"/>
    </row>
    <row r="68" spans="3:4" ht="14.25" customHeight="1">
      <c r="C68" s="57"/>
      <c r="D68" s="57"/>
    </row>
    <row r="69" spans="3:4" ht="14.25" customHeight="1">
      <c r="C69" s="57"/>
      <c r="D69" s="57"/>
    </row>
    <row r="70" spans="3:4" ht="14.25" customHeight="1">
      <c r="C70" s="57"/>
      <c r="D70" s="57"/>
    </row>
    <row r="71" spans="3:4" ht="14.25" customHeight="1">
      <c r="C71" s="57"/>
      <c r="D71" s="57"/>
    </row>
    <row r="72" spans="3:4" ht="14.25" customHeight="1">
      <c r="C72" s="57"/>
      <c r="D72" s="57"/>
    </row>
    <row r="73" spans="3:4" ht="14.25" customHeight="1">
      <c r="C73" s="57"/>
      <c r="D73" s="57"/>
    </row>
    <row r="74" spans="3:4" ht="14.25" customHeight="1">
      <c r="C74" s="57"/>
      <c r="D74" s="57"/>
    </row>
    <row r="75" spans="3:4" ht="14.25" customHeight="1">
      <c r="C75" s="57"/>
      <c r="D75" s="57"/>
    </row>
    <row r="76" spans="3:4" ht="14.25" customHeight="1">
      <c r="C76" s="57"/>
      <c r="D76" s="57"/>
    </row>
    <row r="77" spans="3:4" ht="14.25" customHeight="1">
      <c r="C77" s="57"/>
      <c r="D77" s="57"/>
    </row>
    <row r="78" spans="3:4" ht="14.25" customHeight="1">
      <c r="C78" s="57"/>
      <c r="D78" s="57"/>
    </row>
    <row r="79" spans="3:4" ht="14.25" customHeight="1">
      <c r="C79" s="57"/>
      <c r="D79" s="57"/>
    </row>
    <row r="80" spans="3:4" ht="14.25" customHeight="1">
      <c r="C80" s="57"/>
      <c r="D80" s="57"/>
    </row>
    <row r="81" spans="3:4" ht="14.25" customHeight="1">
      <c r="C81" s="57"/>
      <c r="D81" s="57"/>
    </row>
    <row r="82" spans="3:4" ht="14.25" customHeight="1">
      <c r="C82" s="57"/>
      <c r="D82" s="57"/>
    </row>
    <row r="83" spans="3:4" ht="14.25" customHeight="1">
      <c r="C83" s="57"/>
      <c r="D83" s="57"/>
    </row>
    <row r="84" spans="3:4" ht="14.25" customHeight="1">
      <c r="C84" s="57"/>
      <c r="D84" s="57"/>
    </row>
    <row r="85" spans="3:4" ht="14.25" customHeight="1">
      <c r="C85" s="57"/>
      <c r="D85" s="57"/>
    </row>
    <row r="86" spans="3:4" ht="14.25" customHeight="1">
      <c r="C86" s="57"/>
      <c r="D86" s="57"/>
    </row>
    <row r="87" spans="3:4" ht="14.25" customHeight="1">
      <c r="C87" s="57"/>
      <c r="D87" s="57"/>
    </row>
    <row r="88" spans="3:4" ht="14.25" customHeight="1">
      <c r="C88" s="57"/>
      <c r="D88" s="57"/>
    </row>
    <row r="89" spans="3:4" ht="14.25" customHeight="1">
      <c r="C89" s="57"/>
      <c r="D89" s="57"/>
    </row>
    <row r="90" spans="3:4" ht="14.25" customHeight="1">
      <c r="C90" s="57"/>
      <c r="D90" s="57"/>
    </row>
    <row r="91" spans="3:4" ht="14.25" customHeight="1">
      <c r="C91" s="57"/>
      <c r="D91" s="57"/>
    </row>
    <row r="92" spans="3:4" ht="14.25" customHeight="1">
      <c r="C92" s="57"/>
      <c r="D92" s="57"/>
    </row>
    <row r="93" spans="3:4" ht="14.25" customHeight="1">
      <c r="C93" s="57"/>
      <c r="D93" s="57"/>
    </row>
    <row r="94" spans="3:4" ht="14.25" customHeight="1">
      <c r="C94" s="57"/>
      <c r="D94" s="57"/>
    </row>
    <row r="95" spans="3:4" ht="14.25" customHeight="1">
      <c r="C95" s="57"/>
      <c r="D95" s="57"/>
    </row>
    <row r="96" spans="3:4" ht="14.25" customHeight="1">
      <c r="C96" s="57"/>
      <c r="D96" s="57"/>
    </row>
    <row r="97" spans="3:4" ht="14.25" customHeight="1">
      <c r="C97" s="57"/>
      <c r="D97" s="57"/>
    </row>
    <row r="98" spans="3:4" ht="14.25" customHeight="1">
      <c r="C98" s="57"/>
      <c r="D98" s="57"/>
    </row>
    <row r="99" spans="3:4" ht="14.25" customHeight="1">
      <c r="C99" s="57"/>
      <c r="D99" s="57"/>
    </row>
    <row r="100" spans="3:4" ht="14.25" customHeight="1">
      <c r="C100" s="57"/>
      <c r="D100" s="57"/>
    </row>
    <row r="101" spans="3:4" ht="14.25" customHeight="1">
      <c r="C101" s="57"/>
      <c r="D101" s="57"/>
    </row>
    <row r="102" spans="3:4" ht="14.25" customHeight="1">
      <c r="C102" s="57"/>
      <c r="D102" s="57"/>
    </row>
    <row r="103" spans="3:4" ht="14.25" customHeight="1">
      <c r="C103" s="57"/>
      <c r="D103" s="57"/>
    </row>
    <row r="104" spans="3:4" ht="14.25" customHeight="1">
      <c r="C104" s="57"/>
      <c r="D104" s="57"/>
    </row>
    <row r="105" spans="3:4" ht="14.25" customHeight="1">
      <c r="C105" s="57"/>
      <c r="D105" s="57"/>
    </row>
    <row r="106" spans="3:4" ht="14.25" customHeight="1">
      <c r="C106" s="57"/>
      <c r="D106" s="57"/>
    </row>
    <row r="107" spans="3:4" ht="14.25" customHeight="1">
      <c r="C107" s="57"/>
      <c r="D107" s="57"/>
    </row>
    <row r="108" spans="3:4" ht="14.25" customHeight="1">
      <c r="C108" s="57"/>
      <c r="D108" s="57"/>
    </row>
    <row r="109" spans="3:4" ht="14.25" customHeight="1">
      <c r="C109" s="57"/>
      <c r="D109" s="57"/>
    </row>
    <row r="110" spans="3:4" ht="14.25" customHeight="1">
      <c r="C110" s="57"/>
      <c r="D110" s="57"/>
    </row>
    <row r="111" spans="3:4" ht="14.25" customHeight="1">
      <c r="C111" s="57"/>
      <c r="D111" s="57"/>
    </row>
    <row r="112" spans="3:4" ht="14.25" customHeight="1">
      <c r="C112" s="57"/>
      <c r="D112" s="57"/>
    </row>
    <row r="113" spans="3:4" ht="14.25" customHeight="1">
      <c r="C113" s="57"/>
      <c r="D113" s="57"/>
    </row>
    <row r="114" spans="3:4" ht="14.25" customHeight="1">
      <c r="C114" s="57"/>
      <c r="D114" s="57"/>
    </row>
    <row r="115" spans="3:4" ht="14.25" customHeight="1">
      <c r="C115" s="57"/>
      <c r="D115" s="57"/>
    </row>
    <row r="116" spans="3:4" ht="14.25" customHeight="1">
      <c r="C116" s="57"/>
      <c r="D116" s="57"/>
    </row>
    <row r="117" spans="3:4" ht="14.25" customHeight="1">
      <c r="C117" s="57"/>
      <c r="D117" s="57"/>
    </row>
    <row r="118" spans="3:4" ht="14.25" customHeight="1">
      <c r="C118" s="57"/>
      <c r="D118" s="57"/>
    </row>
    <row r="119" spans="3:4" ht="14.25" customHeight="1">
      <c r="C119" s="57"/>
      <c r="D119" s="57"/>
    </row>
    <row r="120" spans="3:4" ht="14.25" customHeight="1">
      <c r="C120" s="57"/>
      <c r="D120" s="57"/>
    </row>
    <row r="121" spans="3:4" ht="14.25" customHeight="1">
      <c r="C121" s="57"/>
      <c r="D121" s="57"/>
    </row>
    <row r="122" spans="3:4" ht="14.25" customHeight="1">
      <c r="C122" s="57"/>
      <c r="D122" s="57"/>
    </row>
    <row r="123" spans="3:4" ht="14.25" customHeight="1">
      <c r="C123" s="57"/>
      <c r="D123" s="57"/>
    </row>
    <row r="124" spans="3:4" ht="14.25" customHeight="1">
      <c r="C124" s="57"/>
      <c r="D124" s="57"/>
    </row>
    <row r="125" spans="3:4" ht="14.25" customHeight="1">
      <c r="C125" s="57"/>
      <c r="D125" s="57"/>
    </row>
    <row r="126" spans="3:4" ht="14.25" customHeight="1">
      <c r="C126" s="57"/>
      <c r="D126" s="57"/>
    </row>
    <row r="127" spans="3:4" ht="14.25" customHeight="1">
      <c r="C127" s="57"/>
      <c r="D127" s="57"/>
    </row>
    <row r="128" spans="3:4" ht="14.25" customHeight="1">
      <c r="C128" s="57"/>
      <c r="D128" s="57"/>
    </row>
    <row r="129" spans="3:4" ht="14.25" customHeight="1">
      <c r="C129" s="57"/>
      <c r="D129" s="57"/>
    </row>
    <row r="130" spans="3:4" ht="14.25" customHeight="1">
      <c r="C130" s="57"/>
      <c r="D130" s="57"/>
    </row>
    <row r="131" spans="3:4" ht="14.25" customHeight="1">
      <c r="C131" s="57"/>
      <c r="D131" s="57"/>
    </row>
    <row r="132" spans="3:4" ht="14.25" customHeight="1">
      <c r="C132" s="57"/>
      <c r="D132" s="57"/>
    </row>
    <row r="133" spans="3:4" ht="14.25" customHeight="1">
      <c r="C133" s="57"/>
      <c r="D133" s="57"/>
    </row>
    <row r="134" spans="3:4" ht="14.25" customHeight="1">
      <c r="C134" s="57"/>
      <c r="D134" s="57"/>
    </row>
    <row r="135" spans="3:4" ht="14.25" customHeight="1">
      <c r="C135" s="57"/>
      <c r="D135" s="57"/>
    </row>
    <row r="136" spans="3:4" ht="14.25" customHeight="1">
      <c r="C136" s="57"/>
      <c r="D136" s="57"/>
    </row>
    <row r="137" spans="3:4" ht="14.25" customHeight="1">
      <c r="C137" s="57"/>
      <c r="D137" s="57"/>
    </row>
    <row r="138" spans="3:4" ht="14.25" customHeight="1">
      <c r="C138" s="57"/>
      <c r="D138" s="57"/>
    </row>
    <row r="139" spans="3:4" ht="14.25" customHeight="1">
      <c r="C139" s="57"/>
      <c r="D139" s="57"/>
    </row>
    <row r="140" spans="3:4" ht="14.25" customHeight="1">
      <c r="C140" s="57"/>
      <c r="D140" s="57"/>
    </row>
    <row r="141" spans="3:4" ht="14.25" customHeight="1">
      <c r="C141" s="57"/>
      <c r="D141" s="57"/>
    </row>
    <row r="142" spans="3:4" ht="14.25" customHeight="1">
      <c r="C142" s="57"/>
      <c r="D142" s="57"/>
    </row>
    <row r="143" spans="3:4" ht="14.25" customHeight="1">
      <c r="C143" s="57"/>
      <c r="D143" s="57"/>
    </row>
    <row r="144" spans="3:4" ht="14.25" customHeight="1">
      <c r="C144" s="57"/>
      <c r="D144" s="57"/>
    </row>
    <row r="145" spans="3:4" ht="14.25" customHeight="1">
      <c r="C145" s="57"/>
      <c r="D145" s="57"/>
    </row>
    <row r="146" spans="3:4" ht="14.25" customHeight="1">
      <c r="C146" s="57"/>
      <c r="D146" s="57"/>
    </row>
    <row r="147" spans="3:4" ht="14.25" customHeight="1">
      <c r="C147" s="57"/>
      <c r="D147" s="57"/>
    </row>
    <row r="148" spans="3:4" ht="14.25" customHeight="1">
      <c r="C148" s="57"/>
      <c r="D148" s="57"/>
    </row>
    <row r="149" spans="3:4" ht="14.25" customHeight="1">
      <c r="C149" s="57"/>
      <c r="D149" s="57"/>
    </row>
    <row r="150" spans="3:4" ht="14.25" customHeight="1">
      <c r="C150" s="57"/>
      <c r="D150" s="57"/>
    </row>
    <row r="151" spans="3:4" ht="14.25" customHeight="1">
      <c r="C151" s="57"/>
      <c r="D151" s="57"/>
    </row>
    <row r="152" spans="3:4" ht="14.25" customHeight="1">
      <c r="C152" s="57"/>
      <c r="D152" s="57"/>
    </row>
    <row r="153" spans="3:4" ht="14.25" customHeight="1">
      <c r="C153" s="57"/>
      <c r="D153" s="57"/>
    </row>
    <row r="154" spans="3:4" ht="14.25" customHeight="1">
      <c r="C154" s="57"/>
      <c r="D154" s="57"/>
    </row>
    <row r="155" spans="3:4" ht="14.25" customHeight="1">
      <c r="C155" s="57"/>
      <c r="D155" s="57"/>
    </row>
    <row r="156" spans="3:4" ht="14.25" customHeight="1">
      <c r="C156" s="57"/>
      <c r="D156" s="57"/>
    </row>
    <row r="157" spans="3:4" ht="14.25" customHeight="1">
      <c r="C157" s="57"/>
      <c r="D157" s="57"/>
    </row>
    <row r="158" spans="3:4" ht="14.25" customHeight="1">
      <c r="C158" s="57"/>
      <c r="D158" s="57"/>
    </row>
    <row r="159" spans="3:4" ht="14.25" customHeight="1">
      <c r="C159" s="57"/>
      <c r="D159" s="57"/>
    </row>
    <row r="160" spans="3:4" ht="14.25" customHeight="1">
      <c r="C160" s="57"/>
      <c r="D160" s="57"/>
    </row>
    <row r="161" spans="3:4" ht="14.25" customHeight="1">
      <c r="C161" s="57"/>
      <c r="D161" s="57"/>
    </row>
    <row r="162" spans="3:4" ht="14.25" customHeight="1">
      <c r="C162" s="57"/>
      <c r="D162" s="57"/>
    </row>
    <row r="163" spans="3:4" ht="14.25" customHeight="1">
      <c r="C163" s="57"/>
      <c r="D163" s="57"/>
    </row>
    <row r="164" spans="3:4" ht="14.25" customHeight="1">
      <c r="C164" s="57"/>
      <c r="D164" s="57"/>
    </row>
    <row r="165" spans="3:4" ht="14.25" customHeight="1">
      <c r="C165" s="57"/>
      <c r="D165" s="57"/>
    </row>
    <row r="166" spans="3:4" ht="14.25" customHeight="1">
      <c r="C166" s="57"/>
      <c r="D166" s="57"/>
    </row>
    <row r="167" spans="3:4" ht="14.25" customHeight="1">
      <c r="C167" s="57"/>
      <c r="D167" s="57"/>
    </row>
    <row r="168" spans="3:4" ht="14.25" customHeight="1">
      <c r="C168" s="57"/>
      <c r="D168" s="57"/>
    </row>
    <row r="169" spans="3:4" ht="14.25" customHeight="1">
      <c r="C169" s="57"/>
      <c r="D169" s="57"/>
    </row>
    <row r="170" spans="3:4" ht="14.25" customHeight="1">
      <c r="C170" s="57"/>
      <c r="D170" s="57"/>
    </row>
    <row r="171" spans="3:4" ht="14.25" customHeight="1">
      <c r="C171" s="57"/>
      <c r="D171" s="57"/>
    </row>
    <row r="172" spans="3:4" ht="14.25" customHeight="1">
      <c r="C172" s="57"/>
      <c r="D172" s="57"/>
    </row>
    <row r="173" spans="3:4" ht="14.25" customHeight="1">
      <c r="C173" s="57"/>
      <c r="D173" s="57"/>
    </row>
    <row r="174" spans="3:4" ht="14.25" customHeight="1">
      <c r="C174" s="57"/>
      <c r="D174" s="57"/>
    </row>
    <row r="175" spans="3:4" ht="14.25" customHeight="1">
      <c r="C175" s="57"/>
      <c r="D175" s="57"/>
    </row>
    <row r="176" spans="3:4" ht="14.25" customHeight="1">
      <c r="C176" s="57"/>
      <c r="D176" s="57"/>
    </row>
    <row r="177" spans="3:4" ht="14.25" customHeight="1">
      <c r="C177" s="57"/>
      <c r="D177" s="57"/>
    </row>
    <row r="178" spans="3:4" ht="14.25" customHeight="1">
      <c r="C178" s="57"/>
      <c r="D178" s="57"/>
    </row>
    <row r="179" spans="3:4" ht="14.25" customHeight="1">
      <c r="C179" s="57"/>
      <c r="D179" s="57"/>
    </row>
    <row r="180" spans="3:4" ht="14.25" customHeight="1">
      <c r="C180" s="57"/>
      <c r="D180" s="57"/>
    </row>
    <row r="181" spans="3:4" ht="14.25" customHeight="1">
      <c r="C181" s="57"/>
      <c r="D181" s="57"/>
    </row>
    <row r="182" spans="3:4" ht="14.25" customHeight="1">
      <c r="C182" s="57"/>
      <c r="D182" s="57"/>
    </row>
    <row r="183" spans="3:4" ht="14.25" customHeight="1">
      <c r="C183" s="57"/>
      <c r="D183" s="57"/>
    </row>
    <row r="184" spans="3:4" ht="14.25" customHeight="1">
      <c r="C184" s="57"/>
      <c r="D184" s="57"/>
    </row>
    <row r="185" spans="3:4" ht="14.25" customHeight="1">
      <c r="C185" s="57"/>
      <c r="D185" s="57"/>
    </row>
    <row r="186" spans="3:4" ht="14.25" customHeight="1">
      <c r="C186" s="57"/>
      <c r="D186" s="57"/>
    </row>
    <row r="187" spans="3:4" ht="15.75" customHeight="1"/>
    <row r="188" spans="3:4" ht="15.75" customHeight="1"/>
    <row r="189" spans="3:4" ht="15.75" customHeight="1"/>
    <row r="190" spans="3:4" ht="15.75" customHeight="1"/>
    <row r="191" spans="3:4" ht="15.75" customHeight="1"/>
    <row r="192" spans="3:4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</sheetData>
  <mergeCells count="2">
    <mergeCell ref="N3:O3"/>
    <mergeCell ref="N29:O29"/>
  </mergeCells>
  <phoneticPr fontId="270" type="noConversion"/>
  <pageMargins left="0.7" right="0.7" top="0.75" bottom="0.75" header="0" footer="0"/>
  <pageSetup orientation="landscape" r:id="rId1"/>
  <ignoredErrors>
    <ignoredError sqref="C33" formula="1"/>
  </ignoredError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14">
    <tabColor rgb="FF00B050"/>
    <pageSetUpPr fitToPage="1"/>
  </sheetPr>
  <dimension ref="A1:AM185"/>
  <sheetViews>
    <sheetView showGridLines="0" workbookViewId="0">
      <pane xSplit="1" ySplit="3" topLeftCell="B102" activePane="bottomRight" state="frozen"/>
      <selection pane="topRight" activeCell="B1" sqref="B1"/>
      <selection pane="bottomLeft" activeCell="A4" sqref="A4"/>
      <selection pane="bottomRight" activeCell="A112" sqref="A112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style="773" customWidth="1"/>
    <col min="34" max="34" width="20.33203125" customWidth="1"/>
    <col min="35" max="35" width="14.44140625" customWidth="1"/>
    <col min="36" max="36" width="17.5546875" customWidth="1"/>
    <col min="37" max="37" width="5.109375" customWidth="1"/>
    <col min="38" max="38" width="14.44140625" customWidth="1"/>
  </cols>
  <sheetData>
    <row r="1" spans="1:39" ht="15" customHeight="1" thickBot="1">
      <c r="D1" s="845"/>
      <c r="F1" s="79"/>
      <c r="G1" s="80"/>
      <c r="H1" s="81"/>
      <c r="I1" s="843"/>
      <c r="K1" s="703"/>
      <c r="L1" s="1007"/>
      <c r="AB1" s="83"/>
      <c r="AC1" s="758"/>
      <c r="AD1" s="83"/>
      <c r="AE1" s="83">
        <f>225*31.1035</f>
        <v>6998.2875000000004</v>
      </c>
      <c r="AF1" s="83"/>
      <c r="AG1" s="768" t="s">
        <v>34</v>
      </c>
      <c r="AH1" s="701" t="s">
        <v>1001</v>
      </c>
      <c r="AI1" s="699" t="s">
        <v>36</v>
      </c>
      <c r="AJ1" s="87" t="s">
        <v>37</v>
      </c>
      <c r="AK1" s="88"/>
      <c r="AL1" s="89" t="s">
        <v>38</v>
      </c>
    </row>
    <row r="2" spans="1:39" ht="15" customHeight="1" thickBot="1">
      <c r="D2" s="845"/>
      <c r="G2" s="90"/>
      <c r="H2" s="90"/>
      <c r="I2" s="91">
        <f>SUBTOTAL(9,I4:I9463)</f>
        <v>692.66000000000008</v>
      </c>
      <c r="J2" s="81"/>
      <c r="K2" s="91">
        <f>SUBTOTAL(9,K4:K9463)</f>
        <v>646.028369</v>
      </c>
      <c r="L2" s="93">
        <f>SUMPRODUCT(L5:L294,K5:K294)/K2</f>
        <v>0.36568411747565222</v>
      </c>
      <c r="M2" s="6"/>
      <c r="P2" s="6"/>
      <c r="Q2" s="94">
        <f>+SUMPRODUCT(Q5:Q182,AH5:AH182)/SUM(AH5:AH182)</f>
        <v>89.542009421039978</v>
      </c>
      <c r="R2" s="89">
        <f>+SUMPRODUCT(R5:R182,AH5:AH182)/SUM(AH5:AH182)</f>
        <v>2626.4131111872894</v>
      </c>
      <c r="S2" s="6"/>
      <c r="AB2" s="83"/>
      <c r="AC2" s="83"/>
      <c r="AD2" s="83"/>
      <c r="AE2" s="83"/>
      <c r="AF2" s="83"/>
      <c r="AG2" s="769">
        <f>SUMPRODUCT($AG5:$AG182,$K5:$K182)/SUM($K5:$K182)</f>
        <v>52.861630046642063</v>
      </c>
      <c r="AH2" s="702"/>
      <c r="AI2" s="252">
        <v>2758</v>
      </c>
      <c r="AJ2" s="98"/>
      <c r="AK2" s="88"/>
      <c r="AL2" s="99"/>
    </row>
    <row r="3" spans="1:39" ht="15" customHeight="1" thickBot="1">
      <c r="A3" s="678" t="s">
        <v>11</v>
      </c>
      <c r="B3" s="678" t="s">
        <v>39</v>
      </c>
      <c r="C3" s="678" t="s">
        <v>40</v>
      </c>
      <c r="D3" s="678" t="s">
        <v>41</v>
      </c>
      <c r="E3" s="678" t="s">
        <v>1025</v>
      </c>
      <c r="F3" s="678" t="s">
        <v>43</v>
      </c>
      <c r="G3" s="679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18">
        <f>SUBTOTAL(9,AH5:AH9464)</f>
        <v>7252.5242295186381</v>
      </c>
      <c r="AI3" s="700">
        <f>SUMPRODUCT(K5:K182,AI5:AI182)/K2</f>
        <v>84.00269405864131</v>
      </c>
      <c r="AJ3" s="118">
        <f>SUBTOTAL(9,AJ5:AJ9464)</f>
        <v>7203.0419385277273</v>
      </c>
      <c r="AK3" s="88"/>
      <c r="AL3" s="118">
        <f>SUBTOTAL(9,AL5:AL9464)</f>
        <v>470996.54749755329</v>
      </c>
    </row>
    <row r="4" spans="1:39" s="677" customFormat="1" ht="15.75" customHeight="1">
      <c r="A4" s="720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4"/>
      <c r="AJ4" s="675"/>
      <c r="AK4" s="676"/>
      <c r="AL4" s="732"/>
    </row>
    <row r="5" spans="1:39" ht="15.75" customHeight="1">
      <c r="A5" s="857" t="s">
        <v>1274</v>
      </c>
      <c r="B5" s="595">
        <v>45625</v>
      </c>
      <c r="C5" s="595">
        <v>45622</v>
      </c>
      <c r="D5" t="s">
        <v>66</v>
      </c>
      <c r="E5">
        <v>10457401928</v>
      </c>
      <c r="F5" s="945" t="s">
        <v>1279</v>
      </c>
      <c r="G5" s="80" t="s">
        <v>68</v>
      </c>
      <c r="H5" s="944" t="s">
        <v>69</v>
      </c>
      <c r="I5" s="596">
        <v>17.940000000000001</v>
      </c>
      <c r="J5" s="596">
        <v>7.3</v>
      </c>
      <c r="K5" s="138">
        <f t="shared" ref="K5:K7" si="0">+I5-(I5*(J5/100))</f>
        <v>16.630380000000002</v>
      </c>
      <c r="L5" s="139">
        <v>0.26</v>
      </c>
      <c r="M5" s="139">
        <v>0.249</v>
      </c>
      <c r="N5" s="598">
        <v>0.28799999999999998</v>
      </c>
      <c r="O5" s="139">
        <f t="shared" ref="O5:O23" si="1">+ROUND((M5+N5)/2,3)</f>
        <v>0.26900000000000002</v>
      </c>
      <c r="P5" s="629">
        <v>90</v>
      </c>
      <c r="Q5" s="760">
        <v>89.29</v>
      </c>
      <c r="R5" s="706">
        <v>2622.1</v>
      </c>
      <c r="S5" s="765">
        <v>120</v>
      </c>
      <c r="U5" s="886">
        <v>100</v>
      </c>
      <c r="V5" s="715">
        <v>1.1023000000000001</v>
      </c>
      <c r="Y5" s="751"/>
      <c r="Z5" s="143">
        <f t="shared" ref="Z5:Z9" si="2"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 t="shared" ref="AA5:AA23" si="3">+Y5+Z5</f>
        <v>30</v>
      </c>
      <c r="AB5" s="145">
        <f>+((O5*P5*(R5-U5)/100)-S5-AA5+T5)*V5</f>
        <v>507.71983194300003</v>
      </c>
      <c r="AC5" s="145">
        <f>+(S5-T5)*V5-'data 1'!$F$4</f>
        <v>52.27600000000001</v>
      </c>
      <c r="AD5" s="145">
        <f t="shared" ref="AD5:AD23" si="4">+(Q5-P5)*(R5-U5)*L5*V5/100</f>
        <v>-5.1320845921799547</v>
      </c>
      <c r="AE5" s="145">
        <f t="shared" ref="AE5:AE23" si="5">+(Y5*V5-70)+V5*(Z5-IF(D5="UNTUCA",IF(+((W5-3)*2.5+(X5-3)*3.1)&gt;0,+((W5-3)*1.5+(X5-3)*3.1),0),IF(+((W5-3)*1.5+(X5-3)*3.1)&gt;0,+((W5-3)*1.5+(X5-3)*3.1),0)))</f>
        <v>-36.930999999999997</v>
      </c>
      <c r="AF5" s="145">
        <f t="shared" ref="AF5:AF23" si="6">(L5-O5)*(R5-U5)*Q5*V5/100</f>
        <v>-22.341248640963023</v>
      </c>
      <c r="AG5" s="772">
        <f t="shared" ref="AG5:AG9" si="7">+IF(D5="RONALD WILLIAN GARIBAY ESCUDERO",AC5+AD5+AE5+AF5+70,AC5+AD5+AE5+AF5)</f>
        <v>-12.128333233142968</v>
      </c>
      <c r="AH5" s="146">
        <f t="shared" ref="AH5:AH23" si="8">31.1035*L5*Q5*1.1023*K5/100</f>
        <v>132.36934292968326</v>
      </c>
      <c r="AI5" s="156">
        <f t="shared" ref="AI5:AI23" si="9">+((+$AI$2-R5+U5)*L5*Q5*V5)/100</f>
        <v>60.367601255780031</v>
      </c>
      <c r="AJ5" s="156">
        <f t="shared" ref="AJ5:AJ23" si="10">31.1035*1.1023*K5*P5*O5/100</f>
        <v>138.04034357916001</v>
      </c>
      <c r="AK5" s="88"/>
      <c r="AL5" s="716">
        <f>+IF(AB5*K5&gt;0,AB5*K5,0)</f>
        <v>8443.5737387482295</v>
      </c>
      <c r="AM5" s="596">
        <f>+AH5/(Q5/100)</f>
        <v>148.24654824692939</v>
      </c>
    </row>
    <row r="6" spans="1:39" ht="15.75" customHeight="1">
      <c r="A6" s="857" t="s">
        <v>1275</v>
      </c>
      <c r="B6" s="595">
        <v>45625</v>
      </c>
      <c r="C6" s="595">
        <v>45622</v>
      </c>
      <c r="D6" t="s">
        <v>66</v>
      </c>
      <c r="E6">
        <v>10457401928</v>
      </c>
      <c r="F6" s="945" t="s">
        <v>1279</v>
      </c>
      <c r="G6" s="80" t="s">
        <v>68</v>
      </c>
      <c r="H6" s="944" t="s">
        <v>69</v>
      </c>
      <c r="I6" s="596">
        <v>13.83</v>
      </c>
      <c r="J6" s="596">
        <v>7.1</v>
      </c>
      <c r="K6" s="138">
        <f t="shared" si="0"/>
        <v>12.84807</v>
      </c>
      <c r="L6" s="139">
        <v>0.26800000000000002</v>
      </c>
      <c r="M6" s="139">
        <v>0.26800000000000002</v>
      </c>
      <c r="N6" s="159">
        <v>0.26800000000000002</v>
      </c>
      <c r="O6" s="139">
        <f t="shared" si="1"/>
        <v>0.26800000000000002</v>
      </c>
      <c r="P6" s="629">
        <v>90</v>
      </c>
      <c r="Q6" s="760">
        <v>89.71</v>
      </c>
      <c r="R6" s="706">
        <v>2622.1</v>
      </c>
      <c r="S6" s="765">
        <v>120</v>
      </c>
      <c r="U6" s="886">
        <v>100</v>
      </c>
      <c r="V6" s="715">
        <v>1.1023000000000001</v>
      </c>
      <c r="Y6" s="751"/>
      <c r="Z6" s="143">
        <f t="shared" si="2"/>
        <v>30</v>
      </c>
      <c r="AA6" s="144">
        <f t="shared" si="3"/>
        <v>30</v>
      </c>
      <c r="AB6" s="145">
        <f>+((O6*P6*(R6-U6)/100)-S6-AA6+T6)*V6</f>
        <v>505.21773219599999</v>
      </c>
      <c r="AC6" s="145">
        <f>+(S6-T6)*V6-'data 1'!$F$4</f>
        <v>52.27600000000001</v>
      </c>
      <c r="AD6" s="145">
        <f t="shared" si="4"/>
        <v>-2.1607021370760471</v>
      </c>
      <c r="AE6" s="145">
        <f t="shared" si="5"/>
        <v>-36.930999999999997</v>
      </c>
      <c r="AF6" s="145">
        <f t="shared" si="6"/>
        <v>0</v>
      </c>
      <c r="AG6" s="772">
        <f t="shared" si="7"/>
        <v>13.18429786292397</v>
      </c>
      <c r="AH6" s="146">
        <f t="shared" si="8"/>
        <v>105.90649960500936</v>
      </c>
      <c r="AI6" s="156">
        <f t="shared" si="9"/>
        <v>62.517758570596023</v>
      </c>
      <c r="AJ6" s="156">
        <f t="shared" si="10"/>
        <v>106.24885703322752</v>
      </c>
      <c r="AK6" s="88"/>
      <c r="AL6" s="716">
        <f>+IF(AB6*K6&gt;0,AB6*K6,0)</f>
        <v>6491.0727884954613</v>
      </c>
      <c r="AM6" s="596">
        <f t="shared" ref="AM6:AM69" si="11">+AH6/(Q6/100)</f>
        <v>118.05428559247505</v>
      </c>
    </row>
    <row r="7" spans="1:39" ht="15.75" customHeight="1">
      <c r="A7" s="857" t="s">
        <v>1280</v>
      </c>
      <c r="B7" s="1025"/>
      <c r="C7" s="595">
        <v>45624</v>
      </c>
      <c r="D7" t="s">
        <v>93</v>
      </c>
      <c r="E7" s="871">
        <v>20169040237</v>
      </c>
      <c r="F7" s="946" t="s">
        <v>210</v>
      </c>
      <c r="G7" s="80"/>
      <c r="H7" t="s">
        <v>69</v>
      </c>
      <c r="I7" s="596">
        <v>2.33</v>
      </c>
      <c r="J7" s="596">
        <v>1.02</v>
      </c>
      <c r="K7" s="138">
        <f t="shared" si="0"/>
        <v>2.3062339999999999</v>
      </c>
      <c r="L7" s="139">
        <v>7.2999999999999995E-2</v>
      </c>
      <c r="M7" s="708">
        <v>6.3E-2</v>
      </c>
      <c r="N7" s="159">
        <v>6.3E-2</v>
      </c>
      <c r="O7" s="139">
        <f t="shared" si="1"/>
        <v>6.3E-2</v>
      </c>
      <c r="P7" s="629">
        <v>90</v>
      </c>
      <c r="Q7" s="760">
        <v>85.24</v>
      </c>
      <c r="R7" s="706">
        <v>2641.85</v>
      </c>
      <c r="S7" s="765">
        <f t="shared" ref="S7:S9" si="12">IF((90+ROUNDDOWN(O7,1)*100)&lt;95,95,(90+ROUNDDOWN(O7,1)*100))</f>
        <v>95</v>
      </c>
      <c r="U7" s="886">
        <v>100</v>
      </c>
      <c r="V7" s="715">
        <v>1.1023000000000001</v>
      </c>
      <c r="Y7" s="163">
        <v>20</v>
      </c>
      <c r="Z7" s="143">
        <f t="shared" si="2"/>
        <v>30</v>
      </c>
      <c r="AA7" s="144">
        <f t="shared" si="3"/>
        <v>50</v>
      </c>
      <c r="AB7" s="145">
        <v>0</v>
      </c>
      <c r="AC7" s="145">
        <f>+(S7-T7)*V7-'data 1'!$F$4</f>
        <v>24.718500000000006</v>
      </c>
      <c r="AD7" s="145">
        <f t="shared" si="4"/>
        <v>-9.735976984874009</v>
      </c>
      <c r="AE7" s="145">
        <f t="shared" si="5"/>
        <v>-14.884999999999998</v>
      </c>
      <c r="AF7" s="145">
        <f t="shared" si="6"/>
        <v>23.88323581761999</v>
      </c>
      <c r="AG7" s="772">
        <f t="shared" si="7"/>
        <v>23.980758832745991</v>
      </c>
      <c r="AH7" s="146">
        <f t="shared" si="8"/>
        <v>4.9201545054353772</v>
      </c>
      <c r="AI7" s="156">
        <f t="shared" si="9"/>
        <v>14.825909625054004</v>
      </c>
      <c r="AJ7" s="156">
        <f t="shared" si="10"/>
        <v>4.4832762362866809</v>
      </c>
      <c r="AK7" s="88"/>
      <c r="AL7" s="716">
        <v>0</v>
      </c>
      <c r="AM7" s="596">
        <f t="shared" si="11"/>
        <v>5.7721193165595706</v>
      </c>
    </row>
    <row r="8" spans="1:39" ht="15.75" customHeight="1">
      <c r="A8" s="857" t="s">
        <v>1302</v>
      </c>
      <c r="B8" s="595">
        <v>45644</v>
      </c>
      <c r="C8" s="595">
        <v>45626</v>
      </c>
      <c r="D8" t="s">
        <v>1152</v>
      </c>
      <c r="E8">
        <v>20606534923</v>
      </c>
      <c r="F8" t="s">
        <v>1303</v>
      </c>
      <c r="G8" s="80">
        <v>11</v>
      </c>
      <c r="H8" t="s">
        <v>69</v>
      </c>
      <c r="I8">
        <v>0.85</v>
      </c>
      <c r="J8" s="596">
        <v>1.2</v>
      </c>
      <c r="K8">
        <v>0.84</v>
      </c>
      <c r="L8" s="139">
        <v>0.28899999999999998</v>
      </c>
      <c r="M8" s="139">
        <v>0.27700000000000002</v>
      </c>
      <c r="N8" s="159">
        <v>0.27700000000000002</v>
      </c>
      <c r="O8" s="139">
        <f t="shared" si="1"/>
        <v>0.27700000000000002</v>
      </c>
      <c r="P8" s="629">
        <v>90</v>
      </c>
      <c r="Q8" s="760">
        <v>89.45</v>
      </c>
      <c r="R8" s="706">
        <v>2651.05</v>
      </c>
      <c r="S8" s="765">
        <f t="shared" si="12"/>
        <v>110</v>
      </c>
      <c r="U8" s="886">
        <v>130</v>
      </c>
      <c r="V8" s="715">
        <v>1.1023000000000001</v>
      </c>
      <c r="Z8" s="143">
        <f t="shared" si="2"/>
        <v>30</v>
      </c>
      <c r="AA8" s="144">
        <f t="shared" si="3"/>
        <v>30</v>
      </c>
      <c r="AB8" s="145">
        <f>+((O8*P8*(R8-U8)/100)-S8-AA8+T8)*V8</f>
        <v>538.47108635950019</v>
      </c>
      <c r="AC8" s="145">
        <f>+(S8-T8)*V8-'data 1'!$F$4</f>
        <v>41.253</v>
      </c>
      <c r="AD8" s="145">
        <f t="shared" si="4"/>
        <v>-4.4171464531424762</v>
      </c>
      <c r="AE8" s="145">
        <f t="shared" si="5"/>
        <v>-36.930999999999997</v>
      </c>
      <c r="AF8" s="145">
        <f t="shared" si="6"/>
        <v>29.829285956609887</v>
      </c>
      <c r="AG8" s="772">
        <f t="shared" si="7"/>
        <v>29.734139503467411</v>
      </c>
      <c r="AH8" s="146">
        <f t="shared" si="8"/>
        <v>7.4450315582996005</v>
      </c>
      <c r="AI8" s="156">
        <f t="shared" si="9"/>
        <v>67.520353617342451</v>
      </c>
      <c r="AJ8" s="156">
        <f t="shared" si="10"/>
        <v>7.1797716823266011</v>
      </c>
      <c r="AK8" s="88"/>
      <c r="AL8" s="716">
        <f>+IF(AB8*K8&gt;0,AB8*K8,0)</f>
        <v>452.31571254198013</v>
      </c>
      <c r="AM8" s="596">
        <f t="shared" si="11"/>
        <v>8.3231208030179982</v>
      </c>
    </row>
    <row r="9" spans="1:39" ht="15.75" customHeight="1">
      <c r="A9" s="1031" t="s">
        <v>1306</v>
      </c>
      <c r="B9" s="595">
        <v>45644</v>
      </c>
      <c r="C9" s="595">
        <v>45626</v>
      </c>
      <c r="D9" t="s">
        <v>1152</v>
      </c>
      <c r="E9">
        <v>20606534923</v>
      </c>
      <c r="F9" t="s">
        <v>1303</v>
      </c>
      <c r="G9" s="80">
        <v>25</v>
      </c>
      <c r="H9" t="s">
        <v>116</v>
      </c>
      <c r="I9">
        <v>2.2599999999999998</v>
      </c>
      <c r="J9" s="596">
        <v>15.53</v>
      </c>
      <c r="K9">
        <v>1.909</v>
      </c>
      <c r="L9" s="139">
        <v>0.35399999999999998</v>
      </c>
      <c r="M9" s="139">
        <v>0.33900000000000002</v>
      </c>
      <c r="N9" s="159">
        <v>0.33900000000000002</v>
      </c>
      <c r="O9" s="139">
        <f t="shared" si="1"/>
        <v>0.33900000000000002</v>
      </c>
      <c r="P9" s="629">
        <v>90</v>
      </c>
      <c r="Q9" s="760">
        <v>89</v>
      </c>
      <c r="R9" s="706">
        <v>2651.05</v>
      </c>
      <c r="S9" s="765">
        <f t="shared" si="12"/>
        <v>120</v>
      </c>
      <c r="U9" s="886">
        <v>130</v>
      </c>
      <c r="V9" s="715">
        <v>1.1023000000000001</v>
      </c>
      <c r="Z9" s="143">
        <f t="shared" si="2"/>
        <v>30</v>
      </c>
      <c r="AA9" s="144">
        <f t="shared" si="3"/>
        <v>30</v>
      </c>
      <c r="AB9" s="145">
        <f>+((O9*P9*(R9-U9)/100)-S9-AA9+T9)*V9</f>
        <v>682.51368691650021</v>
      </c>
      <c r="AC9" s="145">
        <f>+(S9-T9)*V9-'data 1'!$F$4</f>
        <v>52.27600000000001</v>
      </c>
      <c r="AD9" s="145">
        <f t="shared" si="4"/>
        <v>-9.8374950891000008</v>
      </c>
      <c r="AE9" s="145">
        <f t="shared" si="5"/>
        <v>-36.930999999999997</v>
      </c>
      <c r="AF9" s="145">
        <f t="shared" si="6"/>
        <v>37.099028090249902</v>
      </c>
      <c r="AG9" s="772">
        <f t="shared" si="7"/>
        <v>42.606533001149913</v>
      </c>
      <c r="AH9" s="146">
        <f t="shared" si="8"/>
        <v>20.620930871393998</v>
      </c>
      <c r="AI9" s="156">
        <f t="shared" si="9"/>
        <v>82.290516674099948</v>
      </c>
      <c r="AJ9" s="156">
        <f t="shared" si="10"/>
        <v>19.969040845751</v>
      </c>
      <c r="AK9" s="88"/>
      <c r="AL9" s="716">
        <f>+IF(AB9*K9&gt;0,AB9*K9,0)</f>
        <v>1302.918628323599</v>
      </c>
      <c r="AM9" s="596">
        <f t="shared" si="11"/>
        <v>23.169585248757301</v>
      </c>
    </row>
    <row r="10" spans="1:39" ht="15.75" customHeight="1">
      <c r="A10" s="857" t="s">
        <v>1381</v>
      </c>
      <c r="B10" s="595">
        <v>45641</v>
      </c>
      <c r="C10" s="595">
        <v>45639</v>
      </c>
      <c r="D10" t="s">
        <v>1403</v>
      </c>
      <c r="E10">
        <v>10479968131</v>
      </c>
      <c r="G10" s="80">
        <v>220</v>
      </c>
      <c r="H10" t="s">
        <v>69</v>
      </c>
      <c r="I10" s="596">
        <v>16.53</v>
      </c>
      <c r="J10" s="596">
        <v>1.3</v>
      </c>
      <c r="K10" s="138">
        <f t="shared" ref="K10:K23" si="13">+I10-(I10*(J10/100))</f>
        <v>16.315110000000001</v>
      </c>
      <c r="L10" s="139">
        <v>0.376</v>
      </c>
      <c r="M10" s="139">
        <v>0.36</v>
      </c>
      <c r="N10" s="159">
        <v>0.36</v>
      </c>
      <c r="O10" s="139">
        <f t="shared" si="1"/>
        <v>0.36</v>
      </c>
      <c r="P10" s="629">
        <v>90</v>
      </c>
      <c r="Q10" s="760">
        <v>89.8</v>
      </c>
      <c r="R10" s="954">
        <v>2659.05</v>
      </c>
      <c r="S10" s="765">
        <f>IF((90+ROUNDDOWN(O10,1)*100)&lt;95,95,(90+ROUNDDOWN(O10,1)*100))</f>
        <v>120</v>
      </c>
      <c r="U10" s="953">
        <v>100</v>
      </c>
      <c r="V10" s="715">
        <v>1.1023000000000001</v>
      </c>
      <c r="Y10">
        <v>10</v>
      </c>
      <c r="Z10" s="143">
        <f>IF(IF(D10="UNTUCA",IF(+((W10-3)*1.5+(X10-3)*3.1)&gt;0,+((W10-3)*1.5+(X10-3)*3.1),0),IF(+((W10-3)*1.5+(X10-3)*3.1)&gt;0,+((W10-3)*1.5+(X10-3)*3.1),0))&lt;30,30,IF(D10="UNTUCA",IF(+((W10-3)*1.5+(X10-3)*3.1)&gt;0,+((W10-3)*1.5+(X10-3)*3.1),0),IF(+((W10-3)*1.5+(X10-3)*3.1)&gt;0,+((W10-3)*1.5+(X10-3)*3.1),0)))</f>
        <v>30</v>
      </c>
      <c r="AA10" s="144">
        <f t="shared" si="3"/>
        <v>40</v>
      </c>
      <c r="AB10" s="145">
        <f t="shared" ref="AB10:AB23" si="14">+((O10*P10*(R10-U10)/100)-S10-AA10+T10)*V10</f>
        <v>737.58442406000006</v>
      </c>
      <c r="AC10" s="145">
        <f>+(S10-T10)*V10-'data 1'!$F$4</f>
        <v>52.27600000000001</v>
      </c>
      <c r="AD10" s="145">
        <f t="shared" si="4"/>
        <v>-2.1212722928800307</v>
      </c>
      <c r="AE10" s="145">
        <f t="shared" si="5"/>
        <v>-25.908000000000001</v>
      </c>
      <c r="AF10" s="145">
        <f t="shared" si="6"/>
        <v>40.529840829920033</v>
      </c>
      <c r="AG10" s="772">
        <f>+IF(D10="RONALD WILLIAN GARIBAY ESCUDERO",AC10+AD10+AE10+AF10+70,AC10+AD10+AE10+AF10)+70-53</f>
        <v>81.776568537040021</v>
      </c>
      <c r="AH10" s="146">
        <f t="shared" si="8"/>
        <v>188.87012037395641</v>
      </c>
      <c r="AI10" s="156">
        <f t="shared" si="9"/>
        <v>74.047079220079937</v>
      </c>
      <c r="AJ10" s="156">
        <f t="shared" si="10"/>
        <v>181.2358402868131</v>
      </c>
      <c r="AK10" s="88"/>
      <c r="AL10" s="716">
        <f t="shared" ref="AL10:AL23" si="15">+IF(AB10*K10&gt;0,AB10*K10,0)</f>
        <v>12033.771012825548</v>
      </c>
      <c r="AM10" s="596">
        <f t="shared" si="11"/>
        <v>210.32307391309178</v>
      </c>
    </row>
    <row r="11" spans="1:39" ht="15.75" customHeight="1">
      <c r="A11" s="857" t="s">
        <v>1386</v>
      </c>
      <c r="B11" s="595">
        <v>45643</v>
      </c>
      <c r="C11" s="595">
        <v>45640</v>
      </c>
      <c r="D11" t="s">
        <v>119</v>
      </c>
      <c r="E11">
        <v>10082235774</v>
      </c>
      <c r="G11" s="80">
        <v>45</v>
      </c>
      <c r="H11" t="s">
        <v>69</v>
      </c>
      <c r="I11" s="596">
        <v>4.3499999999999996</v>
      </c>
      <c r="J11" s="596">
        <v>1.6</v>
      </c>
      <c r="K11" s="138">
        <f t="shared" si="13"/>
        <v>4.2803999999999993</v>
      </c>
      <c r="L11" s="139">
        <v>0.51100000000000001</v>
      </c>
      <c r="M11" s="139">
        <v>0.503</v>
      </c>
      <c r="N11" s="159">
        <v>0.503</v>
      </c>
      <c r="O11" s="139">
        <f t="shared" si="1"/>
        <v>0.503</v>
      </c>
      <c r="P11" s="629">
        <v>90</v>
      </c>
      <c r="Q11" s="760">
        <v>89.56</v>
      </c>
      <c r="R11" s="954">
        <v>2659.05</v>
      </c>
      <c r="S11" s="765">
        <v>120</v>
      </c>
      <c r="U11" s="953">
        <v>80</v>
      </c>
      <c r="V11" s="715">
        <v>1.1023000000000001</v>
      </c>
      <c r="Z11" s="160">
        <v>10</v>
      </c>
      <c r="AA11" s="144">
        <f t="shared" si="3"/>
        <v>10</v>
      </c>
      <c r="AB11" s="145">
        <f t="shared" si="14"/>
        <v>1143.6758611505002</v>
      </c>
      <c r="AC11" s="145">
        <f>+(S11-T11)*V11-'data 1'!$F$4</f>
        <v>52.27600000000001</v>
      </c>
      <c r="AD11" s="145">
        <f t="shared" si="4"/>
        <v>-6.3919467148459681</v>
      </c>
      <c r="AE11" s="145">
        <f t="shared" si="5"/>
        <v>-58.977000000000004</v>
      </c>
      <c r="AF11" s="145">
        <f t="shared" si="6"/>
        <v>20.368715452112021</v>
      </c>
      <c r="AG11" s="772">
        <f t="shared" ref="AG11:AG18" si="16">+IF(D11="RONALD WILLIAN GARIBAY ESCUDERO",AC11+AD11+AE11+AF11+70,AC11+AD11+AE11+AF11)+70</f>
        <v>77.275768737266048</v>
      </c>
      <c r="AH11" s="146">
        <f t="shared" si="8"/>
        <v>67.16274065124955</v>
      </c>
      <c r="AI11" s="156">
        <f t="shared" si="9"/>
        <v>90.274791735785911</v>
      </c>
      <c r="AJ11" s="156">
        <f t="shared" si="10"/>
        <v>66.436067726673897</v>
      </c>
      <c r="AK11" s="88"/>
      <c r="AL11" s="716">
        <f t="shared" si="15"/>
        <v>4895.3901560685999</v>
      </c>
      <c r="AM11" s="596">
        <f t="shared" si="11"/>
        <v>74.991894429711422</v>
      </c>
    </row>
    <row r="12" spans="1:39" ht="15.75" customHeight="1">
      <c r="A12" s="857" t="s">
        <v>1387</v>
      </c>
      <c r="B12" s="595">
        <v>45643</v>
      </c>
      <c r="C12" s="595">
        <v>45640</v>
      </c>
      <c r="D12" t="s">
        <v>119</v>
      </c>
      <c r="E12">
        <v>10082235774</v>
      </c>
      <c r="G12" s="80">
        <v>45</v>
      </c>
      <c r="H12" t="s">
        <v>69</v>
      </c>
      <c r="I12" s="596">
        <v>4.37</v>
      </c>
      <c r="J12" s="596">
        <v>1.7</v>
      </c>
      <c r="K12" s="138">
        <f t="shared" si="13"/>
        <v>4.2957099999999997</v>
      </c>
      <c r="L12" s="139">
        <v>0.629</v>
      </c>
      <c r="M12" s="139">
        <v>0.61899999999999999</v>
      </c>
      <c r="N12" s="159">
        <v>0.61899999999999999</v>
      </c>
      <c r="O12" s="139">
        <f t="shared" si="1"/>
        <v>0.61899999999999999</v>
      </c>
      <c r="P12" s="629">
        <v>90</v>
      </c>
      <c r="Q12" s="760">
        <v>89.38</v>
      </c>
      <c r="R12" s="954">
        <v>2659.05</v>
      </c>
      <c r="S12" s="765">
        <v>125</v>
      </c>
      <c r="U12" s="953">
        <v>80</v>
      </c>
      <c r="V12" s="715">
        <v>1.1023000000000001</v>
      </c>
      <c r="Z12" s="160">
        <v>10</v>
      </c>
      <c r="AA12" s="144">
        <f t="shared" si="3"/>
        <v>10</v>
      </c>
      <c r="AB12" s="145">
        <f t="shared" si="14"/>
        <v>1434.9617446365003</v>
      </c>
      <c r="AC12" s="145">
        <f>+(S12-T12)*V12-'data 1'!$F$4</f>
        <v>57.787499999999994</v>
      </c>
      <c r="AD12" s="145">
        <f t="shared" si="4"/>
        <v>-11.086690001137082</v>
      </c>
      <c r="AE12" s="145">
        <f t="shared" si="5"/>
        <v>-58.977000000000004</v>
      </c>
      <c r="AF12" s="145">
        <f t="shared" si="6"/>
        <v>25.409722352470027</v>
      </c>
      <c r="AG12" s="772">
        <f t="shared" si="16"/>
        <v>83.133532351332931</v>
      </c>
      <c r="AH12" s="146">
        <f t="shared" si="8"/>
        <v>82.800892849626123</v>
      </c>
      <c r="AI12" s="156">
        <f t="shared" si="9"/>
        <v>110.89769153831689</v>
      </c>
      <c r="AJ12" s="156">
        <f t="shared" si="10"/>
        <v>82.049734963677892</v>
      </c>
      <c r="AK12" s="88"/>
      <c r="AL12" s="716">
        <f t="shared" si="15"/>
        <v>6164.1795160524598</v>
      </c>
      <c r="AM12" s="596">
        <f t="shared" si="11"/>
        <v>92.639173024867006</v>
      </c>
    </row>
    <row r="13" spans="1:39" ht="15.75" customHeight="1">
      <c r="A13" s="857" t="s">
        <v>1388</v>
      </c>
      <c r="B13" s="595">
        <v>45643</v>
      </c>
      <c r="C13" s="595">
        <v>45640</v>
      </c>
      <c r="D13" t="s">
        <v>119</v>
      </c>
      <c r="E13">
        <v>10082235774</v>
      </c>
      <c r="G13" s="80">
        <v>45</v>
      </c>
      <c r="H13" t="s">
        <v>69</v>
      </c>
      <c r="I13" s="596">
        <v>4.68</v>
      </c>
      <c r="J13" s="596">
        <v>1.5</v>
      </c>
      <c r="K13" s="138">
        <f t="shared" si="13"/>
        <v>4.6097999999999999</v>
      </c>
      <c r="L13" s="139">
        <v>0.72199999999999998</v>
      </c>
      <c r="M13" s="139">
        <v>0.71099999999999997</v>
      </c>
      <c r="N13" s="159">
        <v>0.71099999999999997</v>
      </c>
      <c r="O13" s="139">
        <f t="shared" si="1"/>
        <v>0.71099999999999997</v>
      </c>
      <c r="P13" s="629">
        <v>90</v>
      </c>
      <c r="Q13" s="760">
        <v>89.77</v>
      </c>
      <c r="R13" s="954">
        <v>2659.05</v>
      </c>
      <c r="S13" s="765">
        <v>130</v>
      </c>
      <c r="U13" s="953">
        <v>80</v>
      </c>
      <c r="V13" s="715">
        <v>1.1023000000000001</v>
      </c>
      <c r="Z13" s="160">
        <v>10</v>
      </c>
      <c r="AA13" s="144">
        <f t="shared" si="3"/>
        <v>10</v>
      </c>
      <c r="AB13" s="145">
        <f t="shared" si="14"/>
        <v>1664.8412729185002</v>
      </c>
      <c r="AC13" s="145">
        <f>+(S13-T13)*V13-'data 1'!$F$4</f>
        <v>63.299000000000007</v>
      </c>
      <c r="AD13" s="145">
        <f t="shared" si="4"/>
        <v>-4.7208978449890813</v>
      </c>
      <c r="AE13" s="145">
        <f t="shared" si="5"/>
        <v>-58.977000000000004</v>
      </c>
      <c r="AF13" s="145">
        <f t="shared" si="6"/>
        <v>28.07265443208053</v>
      </c>
      <c r="AG13" s="772">
        <f t="shared" si="16"/>
        <v>97.673756587091447</v>
      </c>
      <c r="AH13" s="146">
        <f t="shared" si="8"/>
        <v>102.43764262790022</v>
      </c>
      <c r="AI13" s="156">
        <f t="shared" si="9"/>
        <v>127.84976464794885</v>
      </c>
      <c r="AJ13" s="156">
        <f t="shared" si="10"/>
        <v>101.13541549486631</v>
      </c>
      <c r="AK13" s="88"/>
      <c r="AL13" s="716">
        <f t="shared" si="15"/>
        <v>7674.5852998997016</v>
      </c>
      <c r="AM13" s="596">
        <f t="shared" si="11"/>
        <v>114.11122048334659</v>
      </c>
    </row>
    <row r="14" spans="1:39" ht="15.75" customHeight="1">
      <c r="A14" s="857" t="s">
        <v>1389</v>
      </c>
      <c r="B14" s="595">
        <v>45643</v>
      </c>
      <c r="C14" s="595">
        <v>45640</v>
      </c>
      <c r="D14" t="s">
        <v>119</v>
      </c>
      <c r="E14">
        <v>10082235774</v>
      </c>
      <c r="G14" s="80">
        <v>41</v>
      </c>
      <c r="H14" t="s">
        <v>69</v>
      </c>
      <c r="I14" s="596">
        <v>3.41</v>
      </c>
      <c r="J14" s="596">
        <v>1.75</v>
      </c>
      <c r="K14" s="138">
        <f t="shared" si="13"/>
        <v>3.3503250000000002</v>
      </c>
      <c r="L14" s="139">
        <v>0.626</v>
      </c>
      <c r="M14" s="139">
        <v>0.61599999999999999</v>
      </c>
      <c r="N14" s="159">
        <v>0.61599999999999999</v>
      </c>
      <c r="O14" s="139">
        <f t="shared" si="1"/>
        <v>0.61599999999999999</v>
      </c>
      <c r="P14" s="629">
        <v>90</v>
      </c>
      <c r="Q14" s="760">
        <v>89.64</v>
      </c>
      <c r="R14" s="954">
        <v>2659.05</v>
      </c>
      <c r="S14" s="765">
        <v>125</v>
      </c>
      <c r="U14" s="953">
        <v>80</v>
      </c>
      <c r="V14" s="715">
        <v>1.1023000000000001</v>
      </c>
      <c r="Z14" s="160">
        <v>10</v>
      </c>
      <c r="AA14" s="144">
        <f t="shared" si="3"/>
        <v>10</v>
      </c>
      <c r="AB14" s="145">
        <f t="shared" si="14"/>
        <v>1427.2859502360002</v>
      </c>
      <c r="AC14" s="145">
        <f>+(S14-T14)*V14-'data 1'!$F$4</f>
        <v>57.787499999999994</v>
      </c>
      <c r="AD14" s="145">
        <f t="shared" si="4"/>
        <v>-6.4067297262839915</v>
      </c>
      <c r="AE14" s="145">
        <f t="shared" si="5"/>
        <v>-58.977000000000004</v>
      </c>
      <c r="AF14" s="145">
        <f t="shared" si="6"/>
        <v>25.483637409660027</v>
      </c>
      <c r="AG14" s="772">
        <f t="shared" si="16"/>
        <v>87.887407683376026</v>
      </c>
      <c r="AH14" s="146">
        <f t="shared" si="8"/>
        <v>64.457311672157743</v>
      </c>
      <c r="AI14" s="156">
        <f t="shared" si="9"/>
        <v>110.6898225490439</v>
      </c>
      <c r="AJ14" s="156">
        <f t="shared" si="10"/>
        <v>63.68237164320086</v>
      </c>
      <c r="AK14" s="88"/>
      <c r="AL14" s="716">
        <f t="shared" si="15"/>
        <v>4781.8718012244281</v>
      </c>
      <c r="AM14" s="596">
        <f t="shared" si="11"/>
        <v>71.906862641853806</v>
      </c>
    </row>
    <row r="15" spans="1:39" ht="15.75" customHeight="1">
      <c r="A15" s="857" t="s">
        <v>1390</v>
      </c>
      <c r="B15" s="595">
        <v>45643</v>
      </c>
      <c r="C15" s="595">
        <v>45640</v>
      </c>
      <c r="D15" t="s">
        <v>119</v>
      </c>
      <c r="E15">
        <v>10082235774</v>
      </c>
      <c r="G15" s="80">
        <v>39</v>
      </c>
      <c r="H15" t="s">
        <v>69</v>
      </c>
      <c r="I15" s="596">
        <v>3.6</v>
      </c>
      <c r="J15" s="596">
        <v>1.9</v>
      </c>
      <c r="K15" s="138">
        <f t="shared" si="13"/>
        <v>3.5316000000000001</v>
      </c>
      <c r="L15" s="139">
        <v>0.40899999999999997</v>
      </c>
      <c r="M15" s="139">
        <v>0.40200000000000002</v>
      </c>
      <c r="N15" s="159">
        <v>0.40200000000000002</v>
      </c>
      <c r="O15" s="139">
        <f t="shared" si="1"/>
        <v>0.40200000000000002</v>
      </c>
      <c r="P15" s="629">
        <v>90</v>
      </c>
      <c r="Q15" s="760">
        <v>89.52</v>
      </c>
      <c r="R15" s="954">
        <v>2659.05</v>
      </c>
      <c r="S15" s="765">
        <v>115</v>
      </c>
      <c r="U15" s="953">
        <v>80</v>
      </c>
      <c r="V15" s="715">
        <v>1.1023000000000001</v>
      </c>
      <c r="Z15" s="160">
        <v>10</v>
      </c>
      <c r="AA15" s="144">
        <f t="shared" si="3"/>
        <v>10</v>
      </c>
      <c r="AB15" s="145">
        <f t="shared" si="14"/>
        <v>890.76894966700013</v>
      </c>
      <c r="AC15" s="145">
        <f>+(S15-T15)*V15-'data 1'!$F$4</f>
        <v>46.764500000000012</v>
      </c>
      <c r="AD15" s="145">
        <f t="shared" si="4"/>
        <v>-5.5811553952080466</v>
      </c>
      <c r="AE15" s="145">
        <f t="shared" si="5"/>
        <v>-58.977000000000004</v>
      </c>
      <c r="AF15" s="145">
        <f t="shared" si="6"/>
        <v>17.814665937515876</v>
      </c>
      <c r="AG15" s="772">
        <f t="shared" si="16"/>
        <v>70.021010542307835</v>
      </c>
      <c r="AH15" s="146">
        <f t="shared" si="8"/>
        <v>44.332677231497712</v>
      </c>
      <c r="AI15" s="156">
        <f t="shared" si="9"/>
        <v>72.222894810827924</v>
      </c>
      <c r="AJ15" s="156">
        <f t="shared" si="10"/>
        <v>43.807567615044078</v>
      </c>
      <c r="AK15" s="88"/>
      <c r="AL15" s="716">
        <f t="shared" si="15"/>
        <v>3145.8396226439777</v>
      </c>
      <c r="AM15" s="596">
        <f t="shared" si="11"/>
        <v>49.522651062888421</v>
      </c>
    </row>
    <row r="16" spans="1:39" ht="15.75" customHeight="1">
      <c r="A16" s="857" t="s">
        <v>1391</v>
      </c>
      <c r="B16" s="595">
        <v>45643</v>
      </c>
      <c r="C16" s="595">
        <v>45640</v>
      </c>
      <c r="D16" t="s">
        <v>119</v>
      </c>
      <c r="E16">
        <v>10082235774</v>
      </c>
      <c r="G16" s="80">
        <v>42</v>
      </c>
      <c r="H16" t="s">
        <v>69</v>
      </c>
      <c r="I16" s="596">
        <v>3.45</v>
      </c>
      <c r="J16" s="596">
        <v>1.8</v>
      </c>
      <c r="K16" s="138">
        <f t="shared" si="13"/>
        <v>3.3879000000000001</v>
      </c>
      <c r="L16" s="139">
        <v>0.49399999999999999</v>
      </c>
      <c r="M16" s="139">
        <v>0.48599999999999999</v>
      </c>
      <c r="N16" s="159">
        <v>0.48599999999999999</v>
      </c>
      <c r="O16" s="139">
        <f t="shared" si="1"/>
        <v>0.48599999999999999</v>
      </c>
      <c r="P16" s="629">
        <v>90</v>
      </c>
      <c r="Q16" s="760">
        <v>89.39</v>
      </c>
      <c r="R16" s="954">
        <v>2659.05</v>
      </c>
      <c r="S16" s="765">
        <v>115</v>
      </c>
      <c r="U16" s="953">
        <v>80</v>
      </c>
      <c r="V16" s="715">
        <v>1.1023000000000001</v>
      </c>
      <c r="Z16" s="160">
        <v>10</v>
      </c>
      <c r="AA16" s="144">
        <f t="shared" si="3"/>
        <v>10</v>
      </c>
      <c r="AB16" s="145">
        <f t="shared" si="14"/>
        <v>1105.6911928810002</v>
      </c>
      <c r="AC16" s="145">
        <f>+(S16-T16)*V16-'data 1'!$F$4</f>
        <v>46.764500000000012</v>
      </c>
      <c r="AD16" s="145">
        <f t="shared" si="4"/>
        <v>-8.5667551283209935</v>
      </c>
      <c r="AE16" s="145">
        <f t="shared" si="5"/>
        <v>-58.977000000000004</v>
      </c>
      <c r="AF16" s="145">
        <f t="shared" si="6"/>
        <v>20.33005219142802</v>
      </c>
      <c r="AG16" s="772">
        <f t="shared" si="16"/>
        <v>69.550797063107041</v>
      </c>
      <c r="AH16" s="146">
        <f t="shared" si="8"/>
        <v>51.29269737945441</v>
      </c>
      <c r="AI16" s="156">
        <f t="shared" si="9"/>
        <v>87.105864697760921</v>
      </c>
      <c r="AJ16" s="156">
        <f t="shared" si="10"/>
        <v>50.806400904767855</v>
      </c>
      <c r="AK16" s="88"/>
      <c r="AL16" s="716">
        <f t="shared" si="15"/>
        <v>3745.9711923615409</v>
      </c>
      <c r="AM16" s="596">
        <f t="shared" si="11"/>
        <v>57.380800290249923</v>
      </c>
    </row>
    <row r="17" spans="1:39" ht="15.75" customHeight="1">
      <c r="A17" s="857" t="s">
        <v>1392</v>
      </c>
      <c r="B17" s="595">
        <v>45643</v>
      </c>
      <c r="C17" s="595">
        <v>45640</v>
      </c>
      <c r="D17" t="s">
        <v>119</v>
      </c>
      <c r="E17">
        <v>10082235774</v>
      </c>
      <c r="G17" s="80">
        <v>35</v>
      </c>
      <c r="H17" t="s">
        <v>69</v>
      </c>
      <c r="I17" s="596">
        <v>2.99</v>
      </c>
      <c r="J17" s="596">
        <v>1.5</v>
      </c>
      <c r="K17" s="138">
        <f t="shared" si="13"/>
        <v>2.9451500000000004</v>
      </c>
      <c r="L17" s="139">
        <v>0.73199999999999998</v>
      </c>
      <c r="M17" s="139">
        <v>0.72099999999999997</v>
      </c>
      <c r="N17" s="159">
        <v>0.72099999999999997</v>
      </c>
      <c r="O17" s="139">
        <f t="shared" si="1"/>
        <v>0.72099999999999997</v>
      </c>
      <c r="P17" s="629">
        <v>90</v>
      </c>
      <c r="Q17" s="760">
        <v>89.41</v>
      </c>
      <c r="R17" s="954">
        <v>2659.05</v>
      </c>
      <c r="S17" s="765">
        <v>130</v>
      </c>
      <c r="U17" s="953">
        <v>80</v>
      </c>
      <c r="V17" s="715">
        <v>1.1023000000000001</v>
      </c>
      <c r="Z17" s="160">
        <v>10</v>
      </c>
      <c r="AA17" s="144">
        <f t="shared" si="3"/>
        <v>10</v>
      </c>
      <c r="AB17" s="145">
        <f t="shared" si="14"/>
        <v>1690.4272542535002</v>
      </c>
      <c r="AC17" s="145">
        <f>+(S17-T17)*V17-'data 1'!$F$4</f>
        <v>63.299000000000007</v>
      </c>
      <c r="AD17" s="145">
        <f t="shared" si="4"/>
        <v>-12.277859576622072</v>
      </c>
      <c r="AE17" s="145">
        <f t="shared" si="5"/>
        <v>-58.977000000000004</v>
      </c>
      <c r="AF17" s="145">
        <f t="shared" si="6"/>
        <v>27.960076114206526</v>
      </c>
      <c r="AG17" s="772">
        <f t="shared" si="16"/>
        <v>90.004216537584455</v>
      </c>
      <c r="AH17" s="146">
        <f t="shared" si="8"/>
        <v>66.086638806337376</v>
      </c>
      <c r="AI17" s="156">
        <f t="shared" si="9"/>
        <v>129.10072645870187</v>
      </c>
      <c r="AJ17" s="156">
        <f t="shared" si="10"/>
        <v>65.523073728370377</v>
      </c>
      <c r="AK17" s="88"/>
      <c r="AL17" s="716">
        <f t="shared" si="15"/>
        <v>4978.5618278646971</v>
      </c>
      <c r="AM17" s="596">
        <f t="shared" si="11"/>
        <v>73.914146970514906</v>
      </c>
    </row>
    <row r="18" spans="1:39" ht="15.75" customHeight="1">
      <c r="A18" s="857" t="s">
        <v>1393</v>
      </c>
      <c r="B18" s="595">
        <v>45643</v>
      </c>
      <c r="C18" s="595">
        <v>45640</v>
      </c>
      <c r="D18" t="s">
        <v>119</v>
      </c>
      <c r="E18">
        <v>10082235774</v>
      </c>
      <c r="G18" s="80">
        <v>32</v>
      </c>
      <c r="H18" t="s">
        <v>69</v>
      </c>
      <c r="I18" s="596">
        <v>3.13</v>
      </c>
      <c r="J18" s="596">
        <v>1.85</v>
      </c>
      <c r="K18" s="138">
        <f t="shared" si="13"/>
        <v>3.072095</v>
      </c>
      <c r="L18" s="139">
        <v>0.51600000000000001</v>
      </c>
      <c r="M18" s="139">
        <v>0.50800000000000001</v>
      </c>
      <c r="N18" s="159">
        <v>0.50800000000000001</v>
      </c>
      <c r="O18" s="139">
        <f t="shared" si="1"/>
        <v>0.50800000000000001</v>
      </c>
      <c r="P18" s="629">
        <v>90</v>
      </c>
      <c r="Q18" s="760">
        <v>89.88</v>
      </c>
      <c r="R18" s="954">
        <v>2659.05</v>
      </c>
      <c r="S18" s="765">
        <v>120</v>
      </c>
      <c r="U18" s="953">
        <v>80</v>
      </c>
      <c r="V18" s="715">
        <v>1.1023000000000001</v>
      </c>
      <c r="Z18" s="160">
        <v>10</v>
      </c>
      <c r="AA18" s="144">
        <f t="shared" si="3"/>
        <v>10</v>
      </c>
      <c r="AB18" s="145">
        <f t="shared" si="14"/>
        <v>1156.4688518180003</v>
      </c>
      <c r="AC18" s="145">
        <f>+(S18-T18)*V18-'data 1'!$F$4</f>
        <v>52.27600000000001</v>
      </c>
      <c r="AD18" s="145">
        <f t="shared" si="4"/>
        <v>-1.760315515848067</v>
      </c>
      <c r="AE18" s="145">
        <f t="shared" si="5"/>
        <v>-58.977000000000004</v>
      </c>
      <c r="AF18" s="145">
        <f t="shared" si="6"/>
        <v>20.441493354576018</v>
      </c>
      <c r="AG18" s="772">
        <f t="shared" si="16"/>
        <v>81.980177838727954</v>
      </c>
      <c r="AH18" s="146">
        <f t="shared" si="8"/>
        <v>48.849089818630688</v>
      </c>
      <c r="AI18" s="156">
        <f t="shared" si="9"/>
        <v>91.483816796567922</v>
      </c>
      <c r="AJ18" s="156">
        <f t="shared" si="10"/>
        <v>48.155947518909691</v>
      </c>
      <c r="AK18" s="88"/>
      <c r="AL18" s="716">
        <f t="shared" si="15"/>
        <v>3552.7821773258197</v>
      </c>
      <c r="AM18" s="596">
        <f t="shared" si="11"/>
        <v>54.349232107955821</v>
      </c>
    </row>
    <row r="19" spans="1:39" ht="15.75" customHeight="1">
      <c r="A19" s="857" t="s">
        <v>1394</v>
      </c>
      <c r="B19" s="595">
        <v>45643</v>
      </c>
      <c r="C19" s="595">
        <v>45641</v>
      </c>
      <c r="D19" t="s">
        <v>129</v>
      </c>
      <c r="E19" s="79">
        <v>10423109730</v>
      </c>
      <c r="G19" s="80">
        <v>12</v>
      </c>
      <c r="H19" t="s">
        <v>69</v>
      </c>
      <c r="I19" s="596">
        <v>0.88</v>
      </c>
      <c r="J19" s="596">
        <v>1.1000000000000001</v>
      </c>
      <c r="K19" s="138">
        <f t="shared" si="13"/>
        <v>0.87031999999999998</v>
      </c>
      <c r="L19" s="139">
        <v>0.53900000000000003</v>
      </c>
      <c r="M19" s="139">
        <v>0.51700000000000002</v>
      </c>
      <c r="N19" s="159">
        <v>0.51700000000000002</v>
      </c>
      <c r="O19" s="139">
        <f t="shared" si="1"/>
        <v>0.51700000000000002</v>
      </c>
      <c r="P19" s="629">
        <v>90</v>
      </c>
      <c r="Q19" s="760">
        <v>89.46</v>
      </c>
      <c r="R19" s="954">
        <v>2659.05</v>
      </c>
      <c r="S19" s="802">
        <v>130</v>
      </c>
      <c r="U19" s="953">
        <v>100</v>
      </c>
      <c r="V19" s="715">
        <v>1.1023000000000001</v>
      </c>
      <c r="Z19" s="143">
        <f t="shared" ref="Z19:Z24" si="17">IF(IF(D19="UNTUCA",IF(+((W19-3)*1.5+(X19-3)*3.1)&gt;0,+((W19-3)*1.5+(X19-3)*3.1),0),IF(+((W19-3)*1.5+(X19-3)*3.1)&gt;0,+((W19-3)*1.5+(X19-3)*3.1),0))&lt;30,30,IF(D19="UNTUCA",IF(+((W19-3)*1.5+(X19-3)*3.1)&gt;0,+((W19-3)*1.5+(X19-3)*3.1),0),IF(+((W19-3)*1.5+(X19-3)*3.1)&gt;0,+((W19-3)*1.5+(X19-3)*3.1),0)))</f>
        <v>30</v>
      </c>
      <c r="AA19" s="144">
        <f t="shared" si="3"/>
        <v>30</v>
      </c>
      <c r="AB19" s="145">
        <f t="shared" si="14"/>
        <v>1136.1692312195003</v>
      </c>
      <c r="AC19" s="145">
        <f>+(S19-T19)*V19-'data 1'!$F$4</f>
        <v>63.299000000000007</v>
      </c>
      <c r="AD19" s="145">
        <f t="shared" si="4"/>
        <v>-8.2103392761390968</v>
      </c>
      <c r="AE19" s="145">
        <f t="shared" si="5"/>
        <v>-36.930999999999997</v>
      </c>
      <c r="AF19" s="145">
        <f t="shared" si="6"/>
        <v>55.51753224817805</v>
      </c>
      <c r="AG19" s="772">
        <f>+IF(D19="RONALD WILLIAN GARIBAY ESCUDERO",AC19+AD19+AE19+AF19+70,AC19+AD19+AE19+AF19)</f>
        <v>143.67519297203896</v>
      </c>
      <c r="AH19" s="146">
        <f t="shared" si="8"/>
        <v>14.388174358780734</v>
      </c>
      <c r="AI19" s="156">
        <f t="shared" si="9"/>
        <v>105.74538187959892</v>
      </c>
      <c r="AJ19" s="156">
        <f t="shared" si="10"/>
        <v>13.884207179047642</v>
      </c>
      <c r="AK19" s="88"/>
      <c r="AL19" s="716">
        <f t="shared" si="15"/>
        <v>988.83080531495546</v>
      </c>
      <c r="AM19" s="596">
        <f t="shared" si="11"/>
        <v>16.083360562017365</v>
      </c>
    </row>
    <row r="20" spans="1:39" ht="15.75" customHeight="1">
      <c r="A20" s="857" t="s">
        <v>1395</v>
      </c>
      <c r="B20" s="595">
        <v>45643</v>
      </c>
      <c r="C20" s="595">
        <v>45641</v>
      </c>
      <c r="D20" t="s">
        <v>129</v>
      </c>
      <c r="E20" s="79">
        <v>10423109730</v>
      </c>
      <c r="G20" s="80">
        <v>18</v>
      </c>
      <c r="H20" t="s">
        <v>69</v>
      </c>
      <c r="I20" s="596">
        <v>1.92</v>
      </c>
      <c r="J20" s="596">
        <v>1</v>
      </c>
      <c r="K20" s="138">
        <f t="shared" si="13"/>
        <v>1.9007999999999998</v>
      </c>
      <c r="L20" s="139">
        <v>0.65600000000000003</v>
      </c>
      <c r="M20" s="139">
        <v>0.629</v>
      </c>
      <c r="N20" s="159">
        <v>0.629</v>
      </c>
      <c r="O20" s="139">
        <f t="shared" si="1"/>
        <v>0.629</v>
      </c>
      <c r="P20" s="629">
        <v>90</v>
      </c>
      <c r="Q20" s="760">
        <v>89.71</v>
      </c>
      <c r="R20" s="954">
        <v>2659.05</v>
      </c>
      <c r="S20" s="802">
        <v>140</v>
      </c>
      <c r="U20" s="953">
        <v>100</v>
      </c>
      <c r="V20" s="715">
        <v>1.1023000000000001</v>
      </c>
      <c r="Z20" s="143">
        <f t="shared" si="17"/>
        <v>30</v>
      </c>
      <c r="AA20" s="144">
        <f t="shared" si="3"/>
        <v>30</v>
      </c>
      <c r="AB20" s="145">
        <f t="shared" si="14"/>
        <v>1409.4869853714999</v>
      </c>
      <c r="AC20" s="145">
        <f>+(S20-T20)*V20-'data 1'!$F$4</f>
        <v>74.322000000000003</v>
      </c>
      <c r="AD20" s="145">
        <f t="shared" si="4"/>
        <v>-5.3663675664561161</v>
      </c>
      <c r="AE20" s="145">
        <f t="shared" si="5"/>
        <v>-36.930999999999997</v>
      </c>
      <c r="AF20" s="145">
        <f t="shared" si="6"/>
        <v>68.325559968685553</v>
      </c>
      <c r="AG20" s="772">
        <f>+IF(D20="RONALD WILLIAN GARIBAY ESCUDERO",AC20+AD20+AE20+AF20+70,AC20+AD20+AE20+AF20)</f>
        <v>170.35019240222942</v>
      </c>
      <c r="AH20" s="146">
        <f t="shared" si="8"/>
        <v>38.352191801603979</v>
      </c>
      <c r="AI20" s="156">
        <f t="shared" si="9"/>
        <v>129.0590449462959</v>
      </c>
      <c r="AJ20" s="156">
        <f t="shared" si="10"/>
        <v>36.892547699239586</v>
      </c>
      <c r="AK20" s="88"/>
      <c r="AL20" s="716">
        <f t="shared" si="15"/>
        <v>2679.1528617941467</v>
      </c>
      <c r="AM20" s="596">
        <f t="shared" si="11"/>
        <v>42.751300637168633</v>
      </c>
    </row>
    <row r="21" spans="1:39" ht="15.75" customHeight="1">
      <c r="A21" s="857" t="s">
        <v>1396</v>
      </c>
      <c r="B21" s="595">
        <v>45643</v>
      </c>
      <c r="C21" s="595">
        <v>45641</v>
      </c>
      <c r="D21" t="s">
        <v>129</v>
      </c>
      <c r="E21" s="79">
        <v>10423109730</v>
      </c>
      <c r="G21" s="80" t="s">
        <v>68</v>
      </c>
      <c r="H21" t="s">
        <v>69</v>
      </c>
      <c r="I21" s="596">
        <v>4.3899999999999997</v>
      </c>
      <c r="J21" s="596">
        <v>1</v>
      </c>
      <c r="K21" s="138">
        <f t="shared" si="13"/>
        <v>4.3460999999999999</v>
      </c>
      <c r="L21" s="139">
        <v>0.34300000000000003</v>
      </c>
      <c r="M21" s="139">
        <v>0.32900000000000001</v>
      </c>
      <c r="N21" s="598">
        <v>0.373</v>
      </c>
      <c r="O21" s="139">
        <f t="shared" si="1"/>
        <v>0.35099999999999998</v>
      </c>
      <c r="P21" s="629">
        <v>90</v>
      </c>
      <c r="Q21" s="760">
        <v>89.63</v>
      </c>
      <c r="R21" s="954">
        <v>2659.05</v>
      </c>
      <c r="S21" s="802">
        <v>110</v>
      </c>
      <c r="U21" s="953">
        <v>100</v>
      </c>
      <c r="V21" s="715">
        <v>1.1023000000000001</v>
      </c>
      <c r="Z21" s="143">
        <f t="shared" si="17"/>
        <v>30</v>
      </c>
      <c r="AA21" s="144">
        <f t="shared" si="3"/>
        <v>30</v>
      </c>
      <c r="AB21" s="145">
        <f t="shared" si="14"/>
        <v>736.78161345849992</v>
      </c>
      <c r="AC21" s="145">
        <f>+(S21-T21)*V21-'data 1'!$F$4</f>
        <v>41.253</v>
      </c>
      <c r="AD21" s="145">
        <f t="shared" si="4"/>
        <v>-3.5799290783165447</v>
      </c>
      <c r="AE21" s="145">
        <f t="shared" si="5"/>
        <v>-36.930999999999997</v>
      </c>
      <c r="AF21" s="145">
        <f t="shared" si="6"/>
        <v>-20.226556979875877</v>
      </c>
      <c r="AG21" s="772">
        <f>+IF(D21="RONALD WILLIAN GARIBAY ESCUDERO",AC21+AD21+AE21+AF21+70,AC21+AD21+AE21+AF21)</f>
        <v>50.515513941807583</v>
      </c>
      <c r="AH21" s="146">
        <f t="shared" si="8"/>
        <v>45.809579004964505</v>
      </c>
      <c r="AI21" s="156">
        <f t="shared" si="9"/>
        <v>67.420391078876449</v>
      </c>
      <c r="AJ21" s="156">
        <f t="shared" si="10"/>
        <v>47.071540328796765</v>
      </c>
      <c r="AK21" s="88"/>
      <c r="AL21" s="716">
        <f t="shared" si="15"/>
        <v>3202.1265702519863</v>
      </c>
      <c r="AM21" s="596">
        <f t="shared" si="11"/>
        <v>51.109649676408019</v>
      </c>
    </row>
    <row r="22" spans="1:39" ht="15.75" customHeight="1">
      <c r="A22" s="857" t="s">
        <v>1397</v>
      </c>
      <c r="B22" s="595">
        <v>45646</v>
      </c>
      <c r="C22" s="595">
        <v>45641</v>
      </c>
      <c r="D22" s="704" t="s">
        <v>1177</v>
      </c>
      <c r="E22" s="6">
        <v>20606094010</v>
      </c>
      <c r="G22" s="80">
        <v>59</v>
      </c>
      <c r="H22" t="s">
        <v>69</v>
      </c>
      <c r="I22" s="596">
        <v>4.8899999999999997</v>
      </c>
      <c r="J22" s="596">
        <v>1.1000000000000001</v>
      </c>
      <c r="K22" s="138">
        <f t="shared" si="13"/>
        <v>4.8362099999999995</v>
      </c>
      <c r="L22" s="139">
        <v>0.19900000000000001</v>
      </c>
      <c r="M22" s="139">
        <v>0.192</v>
      </c>
      <c r="N22" s="159">
        <v>0.192</v>
      </c>
      <c r="O22" s="139">
        <f t="shared" si="1"/>
        <v>0.192</v>
      </c>
      <c r="P22" s="629">
        <v>90</v>
      </c>
      <c r="Q22" s="760">
        <v>89.41</v>
      </c>
      <c r="R22" s="954">
        <v>2659.05</v>
      </c>
      <c r="S22" s="802">
        <v>95</v>
      </c>
      <c r="U22" s="953">
        <v>100</v>
      </c>
      <c r="V22" s="715">
        <v>1.1023000000000001</v>
      </c>
      <c r="Y22">
        <v>15</v>
      </c>
      <c r="Z22" s="143">
        <f t="shared" si="17"/>
        <v>30</v>
      </c>
      <c r="AA22" s="144">
        <f t="shared" si="3"/>
        <v>45</v>
      </c>
      <c r="AB22" s="145">
        <f t="shared" si="14"/>
        <v>333.1192928320001</v>
      </c>
      <c r="AC22" s="145">
        <f>+(S22-T22)*V22-'data 1'!$F$4</f>
        <v>24.718500000000006</v>
      </c>
      <c r="AD22" s="145">
        <f t="shared" si="4"/>
        <v>-3.3119492008915201</v>
      </c>
      <c r="AE22" s="145">
        <f t="shared" si="5"/>
        <v>-20.396499999999996</v>
      </c>
      <c r="AF22" s="145">
        <f t="shared" si="6"/>
        <v>17.654796408840514</v>
      </c>
      <c r="AG22" s="772">
        <f>+IF(D22="RONALD WILLIAN GARIBAY ESCUDERO",AC22+AD22+AE22+AF22+70,AC22+AD22+AE22+AF22)+70-53</f>
        <v>35.664847207949009</v>
      </c>
      <c r="AH22" s="146">
        <f t="shared" si="8"/>
        <v>29.502131284312</v>
      </c>
      <c r="AI22" s="156">
        <f t="shared" si="9"/>
        <v>39.01960980845147</v>
      </c>
      <c r="AJ22" s="156">
        <f t="shared" si="10"/>
        <v>28.652198954334999</v>
      </c>
      <c r="AK22" s="88"/>
      <c r="AL22" s="716">
        <f t="shared" si="15"/>
        <v>1611.034855187047</v>
      </c>
      <c r="AM22" s="596">
        <f t="shared" si="11"/>
        <v>32.996455971716813</v>
      </c>
    </row>
    <row r="23" spans="1:39" ht="15.75" customHeight="1">
      <c r="A23" s="857" t="s">
        <v>1398</v>
      </c>
      <c r="B23" s="595">
        <v>45643</v>
      </c>
      <c r="C23" s="595">
        <v>45641</v>
      </c>
      <c r="D23" t="s">
        <v>1177</v>
      </c>
      <c r="E23" s="6">
        <v>20606094010</v>
      </c>
      <c r="G23" s="80">
        <v>41</v>
      </c>
      <c r="H23" t="s">
        <v>69</v>
      </c>
      <c r="I23" s="596">
        <v>3.47</v>
      </c>
      <c r="J23" s="596">
        <v>1</v>
      </c>
      <c r="K23" s="138">
        <f t="shared" si="13"/>
        <v>3.4353000000000002</v>
      </c>
      <c r="L23" s="139">
        <v>0.247</v>
      </c>
      <c r="M23" s="139">
        <v>0.23699999999999999</v>
      </c>
      <c r="N23" s="159">
        <v>0.23699999999999999</v>
      </c>
      <c r="O23" s="139">
        <f t="shared" si="1"/>
        <v>0.23699999999999999</v>
      </c>
      <c r="P23" s="629">
        <v>90</v>
      </c>
      <c r="Q23" s="760">
        <v>89.35</v>
      </c>
      <c r="R23" s="954">
        <v>2659.05</v>
      </c>
      <c r="S23" s="765">
        <f>IF((90+ROUNDDOWN(O23,1)*100)&lt;95,95,(90+ROUNDDOWN(O23,1)*100))</f>
        <v>110</v>
      </c>
      <c r="U23" s="953">
        <v>120</v>
      </c>
      <c r="V23" s="715">
        <v>1.1023000000000001</v>
      </c>
      <c r="Y23">
        <v>15</v>
      </c>
      <c r="Z23" s="143">
        <f t="shared" si="17"/>
        <v>30</v>
      </c>
      <c r="AA23" s="144">
        <f t="shared" si="3"/>
        <v>45</v>
      </c>
      <c r="AB23" s="145">
        <f t="shared" si="14"/>
        <v>426.12643403949994</v>
      </c>
      <c r="AC23" s="145">
        <f>+(S23-T23)*V23-'data 1'!$F$4</f>
        <v>41.253</v>
      </c>
      <c r="AD23" s="145">
        <f t="shared" si="4"/>
        <v>-4.4934650754825398</v>
      </c>
      <c r="AE23" s="145">
        <f t="shared" si="5"/>
        <v>-20.396499999999996</v>
      </c>
      <c r="AF23" s="145">
        <f t="shared" si="6"/>
        <v>25.007231672025021</v>
      </c>
      <c r="AG23" s="772">
        <f>+IF(D23="RONALD WILLIAN GARIBAY ESCUDERO",AC23+AD23+AE23+AF23+70,AC23+AD23+AE23+AF23)+70-53</f>
        <v>58.370266596542479</v>
      </c>
      <c r="AH23" s="146">
        <f t="shared" si="8"/>
        <v>25.99352920722939</v>
      </c>
      <c r="AI23" s="156">
        <f t="shared" si="9"/>
        <v>53.264305292282458</v>
      </c>
      <c r="AJ23" s="156">
        <f t="shared" si="10"/>
        <v>25.122600608089598</v>
      </c>
      <c r="AK23" s="88"/>
      <c r="AL23" s="716">
        <f t="shared" si="15"/>
        <v>1463.8721388558943</v>
      </c>
      <c r="AM23" s="596">
        <f t="shared" si="11"/>
        <v>29.091806611336754</v>
      </c>
    </row>
    <row r="24" spans="1:39" ht="15.75" customHeight="1">
      <c r="A24" s="857" t="s">
        <v>1399</v>
      </c>
      <c r="B24" s="595">
        <v>45644</v>
      </c>
      <c r="C24" s="595">
        <v>45641</v>
      </c>
      <c r="D24" t="s">
        <v>1177</v>
      </c>
      <c r="E24" s="6">
        <v>20606094010</v>
      </c>
      <c r="G24" s="80">
        <v>110</v>
      </c>
      <c r="H24" t="s">
        <v>69</v>
      </c>
      <c r="I24" s="596">
        <v>8.5399999999999991</v>
      </c>
      <c r="J24" s="596">
        <v>1.2</v>
      </c>
      <c r="K24" s="138">
        <f>+I24-(I24*(J24/100))</f>
        <v>8.4375199999999992</v>
      </c>
      <c r="L24" s="139">
        <v>0.47</v>
      </c>
      <c r="M24" s="139">
        <v>0.45100000000000001</v>
      </c>
      <c r="N24" s="598">
        <v>0.49199999999999999</v>
      </c>
      <c r="O24" s="139">
        <f>+ROUND((M24+N24)/2,3)</f>
        <v>0.47199999999999998</v>
      </c>
      <c r="P24" s="629">
        <v>90</v>
      </c>
      <c r="Q24" s="760">
        <v>89.19</v>
      </c>
      <c r="R24" s="954">
        <v>2659.05</v>
      </c>
      <c r="S24" s="765">
        <f>IF((90+ROUNDDOWN(O24,1)*100)&lt;95,95,(90+ROUNDDOWN(O24,1)*100))</f>
        <v>130</v>
      </c>
      <c r="U24" s="953">
        <v>120</v>
      </c>
      <c r="V24" s="715">
        <v>1.1023000000000001</v>
      </c>
      <c r="Y24">
        <v>15</v>
      </c>
      <c r="Z24" s="143">
        <f t="shared" si="17"/>
        <v>30</v>
      </c>
      <c r="AA24" s="144">
        <f>+Y24+Z24</f>
        <v>45</v>
      </c>
      <c r="AB24" s="145">
        <f>+((O24*P24*(R24-U24)/100)-S24-AA24+T24)*V24</f>
        <v>996.02553741200006</v>
      </c>
      <c r="AC24" s="145">
        <f>+(S24-T24)*V24-'data 1'!$F$4</f>
        <v>63.299000000000007</v>
      </c>
      <c r="AD24" s="145">
        <f>+(Q24-P24)*(R24-U24)*L24*V24/100</f>
        <v>-10.655011860705031</v>
      </c>
      <c r="AE24" s="145">
        <f>+(Y24*V24-70)+V24*(Z24-IF(D24="UNTUCA",IF(+((W24-3)*2.5+(X24-3)*3.1)&gt;0,+((W24-3)*1.5+(X24-3)*3.1),0),IF(+((W24-3)*1.5+(X24-3)*3.1)&gt;0,+((W24-3)*1.5+(X24-3)*3.1),0)))</f>
        <v>-20.396499999999996</v>
      </c>
      <c r="AF24" s="145">
        <f>(L24-O24)*(R24-U24)*Q24*V24/100</f>
        <v>-4.9924901909970041</v>
      </c>
      <c r="AG24" s="772">
        <f>+IF(D24="RONALD WILLIAN GARIBAY ESCUDERO",AC24+AD24+AE24+AF24+70,AC24+AD24+AE24+AF24)+70-53</f>
        <v>44.254997948297984</v>
      </c>
      <c r="AH24" s="146">
        <f>31.1035*L24*Q24*1.1023*K24/100</f>
        <v>121.26567999601176</v>
      </c>
      <c r="AI24" s="156">
        <f>+((+$AI$2-R24+U24)*L24*Q24*V24)/100</f>
        <v>101.17163739190491</v>
      </c>
      <c r="AJ24" s="156">
        <f>31.1035*1.1023*K24*P24*O24/100</f>
        <v>122.88769340686936</v>
      </c>
      <c r="AK24" s="88"/>
      <c r="AL24" s="716">
        <f>+IF(AB24*K24&gt;0,AB24*K24,0)</f>
        <v>8403.9853924244981</v>
      </c>
      <c r="AM24" s="596">
        <f t="shared" si="11"/>
        <v>135.96331426842892</v>
      </c>
    </row>
    <row r="25" spans="1:39" ht="15.75" customHeight="1">
      <c r="A25" s="857" t="s">
        <v>1450</v>
      </c>
      <c r="B25" s="595">
        <v>45639</v>
      </c>
      <c r="C25" s="595">
        <v>45636</v>
      </c>
      <c r="D25" t="s">
        <v>1229</v>
      </c>
      <c r="E25">
        <v>20610873309</v>
      </c>
      <c r="G25" s="80">
        <v>95</v>
      </c>
      <c r="H25" t="s">
        <v>69</v>
      </c>
      <c r="I25" s="596">
        <v>7.96</v>
      </c>
      <c r="J25" s="596">
        <v>1.5</v>
      </c>
      <c r="K25" s="138">
        <v>7.8406000000000002</v>
      </c>
      <c r="L25" s="139">
        <v>0.436</v>
      </c>
      <c r="M25" s="139">
        <v>0.41899999999999998</v>
      </c>
      <c r="N25" s="159">
        <v>0.41899999999999998</v>
      </c>
      <c r="O25" s="139">
        <v>0.41899999999999998</v>
      </c>
      <c r="P25" s="629">
        <v>90</v>
      </c>
      <c r="Q25" s="760">
        <v>89.57</v>
      </c>
      <c r="R25" s="954">
        <v>2689.6</v>
      </c>
      <c r="S25" s="765">
        <v>130</v>
      </c>
      <c r="U25" s="953">
        <v>120</v>
      </c>
      <c r="V25" s="715">
        <v>1.1023000000000001</v>
      </c>
      <c r="Y25">
        <v>10</v>
      </c>
      <c r="Z25" s="143">
        <v>30</v>
      </c>
      <c r="AA25" s="144">
        <v>40</v>
      </c>
      <c r="AB25" s="145">
        <v>880.73346716799995</v>
      </c>
      <c r="AC25" s="145">
        <v>63.299000000000007</v>
      </c>
      <c r="AD25" s="145">
        <v>-5.3103149059840833</v>
      </c>
      <c r="AE25" s="145">
        <v>-25.908000000000001</v>
      </c>
      <c r="AF25" s="145">
        <v>43.129738661152032</v>
      </c>
      <c r="AG25" s="772">
        <v>92.210423755167938</v>
      </c>
      <c r="AH25" s="146">
        <v>104.98020850319743</v>
      </c>
      <c r="AI25" s="156">
        <v>30.305505328384044</v>
      </c>
      <c r="AJ25" s="156">
        <v>101.37127290775541</v>
      </c>
      <c r="AK25" s="88"/>
      <c r="AL25" s="716">
        <v>6905.4788226774208</v>
      </c>
      <c r="AM25" s="596">
        <f t="shared" si="11"/>
        <v>117.20465390554587</v>
      </c>
    </row>
    <row r="26" spans="1:39" ht="15.75" customHeight="1">
      <c r="A26" s="857" t="s">
        <v>1451</v>
      </c>
      <c r="B26" s="595">
        <v>45639</v>
      </c>
      <c r="C26" s="595">
        <v>45636</v>
      </c>
      <c r="D26" t="s">
        <v>1229</v>
      </c>
      <c r="E26">
        <v>20610873309</v>
      </c>
      <c r="G26" s="80">
        <v>77</v>
      </c>
      <c r="H26" t="s">
        <v>69</v>
      </c>
      <c r="I26" s="596">
        <v>6.84</v>
      </c>
      <c r="J26" s="596">
        <v>1.4</v>
      </c>
      <c r="K26" s="138">
        <v>6.7442399999999996</v>
      </c>
      <c r="L26" s="139">
        <v>0.44900000000000001</v>
      </c>
      <c r="M26" s="139">
        <v>0.43099999999999999</v>
      </c>
      <c r="N26" s="159">
        <v>0.43099999999999999</v>
      </c>
      <c r="O26" s="139">
        <v>0.43099999999999999</v>
      </c>
      <c r="P26" s="629">
        <v>90</v>
      </c>
      <c r="Q26" s="760">
        <v>89.63</v>
      </c>
      <c r="R26" s="954">
        <v>2689.6</v>
      </c>
      <c r="S26" s="765">
        <v>130</v>
      </c>
      <c r="U26" s="953">
        <v>120</v>
      </c>
      <c r="V26" s="715">
        <v>1.1023000000000001</v>
      </c>
      <c r="Y26">
        <v>10</v>
      </c>
      <c r="Z26" s="143">
        <v>30</v>
      </c>
      <c r="AA26" s="144">
        <v>40</v>
      </c>
      <c r="AB26" s="145">
        <v>911.32414403200005</v>
      </c>
      <c r="AC26" s="145">
        <v>63.299000000000007</v>
      </c>
      <c r="AD26" s="145">
        <v>-4.7055825439040584</v>
      </c>
      <c r="AE26" s="145">
        <v>-25.908000000000001</v>
      </c>
      <c r="AF26" s="145">
        <v>45.697372788672034</v>
      </c>
      <c r="AG26" s="772">
        <v>95.382790244767989</v>
      </c>
      <c r="AH26" s="146">
        <v>93.055452084007342</v>
      </c>
      <c r="AI26" s="156">
        <v>31.230015802304042</v>
      </c>
      <c r="AJ26" s="156">
        <v>89.693684686354572</v>
      </c>
      <c r="AK26" s="88"/>
      <c r="AL26" s="716">
        <v>6146.1887451463754</v>
      </c>
      <c r="AM26" s="596">
        <f t="shared" si="11"/>
        <v>103.82176959054708</v>
      </c>
    </row>
    <row r="27" spans="1:39" ht="15.75" customHeight="1">
      <c r="A27" s="857" t="s">
        <v>1400</v>
      </c>
      <c r="B27" s="595">
        <v>45643</v>
      </c>
      <c r="C27" s="595">
        <v>45641</v>
      </c>
      <c r="D27" t="s">
        <v>1229</v>
      </c>
      <c r="E27">
        <v>20610873309</v>
      </c>
      <c r="G27" s="80">
        <v>30</v>
      </c>
      <c r="H27" t="s">
        <v>69</v>
      </c>
      <c r="I27" s="596">
        <v>2.5499999999999998</v>
      </c>
      <c r="J27" s="596">
        <v>1.2</v>
      </c>
      <c r="K27" s="138">
        <f t="shared" ref="K27:K44" si="18">+I27-(I27*(J27/100))</f>
        <v>2.5193999999999996</v>
      </c>
      <c r="L27" s="139">
        <v>0.49299999999999999</v>
      </c>
      <c r="M27" s="139">
        <v>0.47299999999999998</v>
      </c>
      <c r="N27" s="598">
        <v>0.52300000000000002</v>
      </c>
      <c r="O27" s="139">
        <f t="shared" ref="O27:O44" si="19">+ROUND((M27+N27)/2,3)</f>
        <v>0.498</v>
      </c>
      <c r="P27" s="629">
        <v>90</v>
      </c>
      <c r="Q27" s="760">
        <v>89.42</v>
      </c>
      <c r="R27" s="954">
        <v>2659.05</v>
      </c>
      <c r="S27" s="765">
        <f>IF((90+ROUNDDOWN(O27,1)*100)&lt;95,95,(90+ROUNDDOWN(O27,1)*100))</f>
        <v>130</v>
      </c>
      <c r="U27" s="953">
        <v>120</v>
      </c>
      <c r="V27" s="715">
        <v>1.1023000000000001</v>
      </c>
      <c r="Y27">
        <v>10</v>
      </c>
      <c r="Z27" s="143">
        <f t="shared" ref="Z27:Z49" si="20">IF(IF(D27="UNTUCA",IF(+((W27-3)*1.5+(X27-3)*3.1)&gt;0,+((W27-3)*1.5+(X27-3)*3.1),0),IF(+((W27-3)*1.5+(X27-3)*3.1)&gt;0,+((W27-3)*1.5+(X27-3)*3.1),0))&lt;30,30,IF(D27="UNTUCA",IF(+((W27-3)*1.5+(X27-3)*3.1)&gt;0,+((W27-3)*1.5+(X27-3)*3.1),0),IF(+((W27-3)*1.5+(X27-3)*3.1)&gt;0,+((W27-3)*1.5+(X27-3)*3.1),0)))</f>
        <v>30</v>
      </c>
      <c r="AA27" s="144">
        <f t="shared" ref="AA27:AA44" si="21">+Y27+Z27</f>
        <v>40</v>
      </c>
      <c r="AB27" s="145">
        <f t="shared" ref="AB27:AB42" si="22">+((O27*P27*(R27-U27)/100)-S27-AA27+T27)*V27</f>
        <v>1067.0288360830002</v>
      </c>
      <c r="AC27" s="145">
        <f>+(S27-T27)*V27-'data 1'!$F$4</f>
        <v>63.299000000000007</v>
      </c>
      <c r="AD27" s="145">
        <f t="shared" ref="AD27:AD44" si="23">+(Q27-P27)*(R27-U27)*L27*V27/100</f>
        <v>-8.0028738940109765</v>
      </c>
      <c r="AE27" s="145">
        <f t="shared" ref="AE27:AE44" si="24">+(Y27*V27-70)+V27*(Z27-IF(D27="UNTUCA",IF(+((W27-3)*2.5+(X27-3)*3.1)&gt;0,+((W27-3)*1.5+(X27-3)*3.1),0),IF(+((W27-3)*1.5+(X27-3)*3.1)&gt;0,+((W27-3)*1.5+(X27-3)*3.1),0)))</f>
        <v>-25.908000000000001</v>
      </c>
      <c r="AF27" s="145">
        <f t="shared" ref="AF27:AF44" si="25">(L27-O27)*(R27-U27)*Q27*V27/100</f>
        <v>-12.513411617865012</v>
      </c>
      <c r="AG27" s="772">
        <f t="shared" ref="AG27:AG41" si="26">+IF(D27="RONALD WILLIAN GARIBAY ESCUDERO",AC27+AD27+AE27+AF27+70,AC27+AD27+AE27+AF27)+70-53</f>
        <v>33.874714488124027</v>
      </c>
      <c r="AH27" s="146">
        <f t="shared" ref="AH27:AH44" si="27">31.1035*L27*Q27*1.1023*K27/100</f>
        <v>38.079196784147449</v>
      </c>
      <c r="AI27" s="156">
        <f t="shared" ref="AI27:AI44" si="28">+((+$AI$2-R27+U27)*L27*Q27*V27)/100</f>
        <v>106.39625502055091</v>
      </c>
      <c r="AJ27" s="156">
        <f t="shared" ref="AJ27:AJ44" si="29">31.1035*1.1023*K27*P27*O27/100</f>
        <v>38.714891501950795</v>
      </c>
      <c r="AK27" s="88"/>
      <c r="AL27" s="716">
        <f t="shared" ref="AL27:AL44" si="30">+IF(AB27*K27&gt;0,AB27*K27,0)</f>
        <v>2688.2724496275105</v>
      </c>
      <c r="AM27" s="596">
        <f t="shared" si="11"/>
        <v>42.584653080012806</v>
      </c>
    </row>
    <row r="28" spans="1:39" ht="15.75" customHeight="1">
      <c r="A28" s="857" t="s">
        <v>1401</v>
      </c>
      <c r="B28" s="595">
        <v>45643</v>
      </c>
      <c r="C28" s="595">
        <v>45641</v>
      </c>
      <c r="D28" t="s">
        <v>1229</v>
      </c>
      <c r="E28">
        <v>20610873309</v>
      </c>
      <c r="G28" s="80">
        <v>25</v>
      </c>
      <c r="H28" t="s">
        <v>69</v>
      </c>
      <c r="I28" s="596">
        <v>2.19</v>
      </c>
      <c r="J28" s="596">
        <v>1.1000000000000001</v>
      </c>
      <c r="K28" s="138">
        <f t="shared" si="18"/>
        <v>2.1659099999999998</v>
      </c>
      <c r="L28" s="139">
        <v>0.82099999999999995</v>
      </c>
      <c r="M28" s="139">
        <v>0.78800000000000003</v>
      </c>
      <c r="N28" s="598">
        <v>0.88600000000000001</v>
      </c>
      <c r="O28" s="139">
        <f t="shared" si="19"/>
        <v>0.83699999999999997</v>
      </c>
      <c r="P28" s="629">
        <v>90</v>
      </c>
      <c r="Q28" s="760">
        <v>89.17</v>
      </c>
      <c r="R28" s="954">
        <v>2659.05</v>
      </c>
      <c r="S28" s="765">
        <f>IF((90+ROUNDDOWN(O28,1)*100)&lt;95,95,(90+ROUNDDOWN(O28,1)*100))</f>
        <v>170</v>
      </c>
      <c r="U28" s="953">
        <v>120</v>
      </c>
      <c r="V28" s="715">
        <v>1.1023000000000001</v>
      </c>
      <c r="Y28">
        <v>10</v>
      </c>
      <c r="Z28" s="143">
        <f t="shared" si="20"/>
        <v>30</v>
      </c>
      <c r="AA28" s="144">
        <f t="shared" si="21"/>
        <v>40</v>
      </c>
      <c r="AB28" s="145">
        <f t="shared" si="22"/>
        <v>1876.8491341395004</v>
      </c>
      <c r="AC28" s="145">
        <f>+(S28-T28)*V28-'data 1'!$F$4</f>
        <v>107.39100000000002</v>
      </c>
      <c r="AD28" s="145">
        <f t="shared" si="23"/>
        <v>-19.071827507854458</v>
      </c>
      <c r="AE28" s="145">
        <f t="shared" si="24"/>
        <v>-25.908000000000001</v>
      </c>
      <c r="AF28" s="145">
        <f t="shared" si="25"/>
        <v>-39.93096538456804</v>
      </c>
      <c r="AG28" s="772">
        <f t="shared" si="26"/>
        <v>39.480207107577513</v>
      </c>
      <c r="AH28" s="146">
        <f t="shared" si="27"/>
        <v>54.363999458422903</v>
      </c>
      <c r="AI28" s="156">
        <f t="shared" si="28"/>
        <v>176.68784779373436</v>
      </c>
      <c r="AJ28" s="156">
        <f t="shared" si="29"/>
        <v>55.939353537475164</v>
      </c>
      <c r="AK28" s="88"/>
      <c r="AL28" s="716">
        <f t="shared" si="30"/>
        <v>4065.086308124085</v>
      </c>
      <c r="AM28" s="596">
        <f t="shared" si="11"/>
        <v>60.966692226559267</v>
      </c>
    </row>
    <row r="29" spans="1:39" ht="15.75" customHeight="1">
      <c r="A29" s="857" t="s">
        <v>1405</v>
      </c>
      <c r="B29" s="595">
        <v>45643</v>
      </c>
      <c r="C29" s="595">
        <v>45641</v>
      </c>
      <c r="D29" s="963" t="s">
        <v>1229</v>
      </c>
      <c r="E29">
        <v>20610873309</v>
      </c>
      <c r="G29" s="80">
        <v>72</v>
      </c>
      <c r="H29" t="s">
        <v>69</v>
      </c>
      <c r="I29" s="596">
        <v>6.53</v>
      </c>
      <c r="J29" s="596">
        <v>1</v>
      </c>
      <c r="K29" s="138">
        <f t="shared" si="18"/>
        <v>6.4647000000000006</v>
      </c>
      <c r="L29" s="139">
        <v>0.13100000000000001</v>
      </c>
      <c r="M29" s="139">
        <v>0.121</v>
      </c>
      <c r="N29" s="159">
        <v>0.121</v>
      </c>
      <c r="O29" s="139">
        <f t="shared" si="19"/>
        <v>0.121</v>
      </c>
      <c r="P29" s="629">
        <v>85</v>
      </c>
      <c r="Q29" s="760">
        <v>89.85</v>
      </c>
      <c r="R29" s="954">
        <v>2659.05</v>
      </c>
      <c r="S29" s="765">
        <f>IF((90+ROUNDDOWN(O29,1)*100)&lt;95,95,(90+ROUNDDOWN(O29,1)*100))</f>
        <v>100</v>
      </c>
      <c r="U29" s="953">
        <v>120</v>
      </c>
      <c r="V29" s="715">
        <v>1.1023000000000001</v>
      </c>
      <c r="Y29">
        <v>10</v>
      </c>
      <c r="Z29" s="143">
        <f t="shared" si="20"/>
        <v>30</v>
      </c>
      <c r="AA29" s="144">
        <f t="shared" si="21"/>
        <v>40</v>
      </c>
      <c r="AB29" s="145">
        <f t="shared" si="22"/>
        <v>133.53404672275002</v>
      </c>
      <c r="AC29" s="145">
        <f>+(S29-T29)*V29-'data 1'!$F$4</f>
        <v>30.230000000000004</v>
      </c>
      <c r="AD29" s="145">
        <f t="shared" si="23"/>
        <v>17.782142857102485</v>
      </c>
      <c r="AE29" s="145">
        <f t="shared" si="24"/>
        <v>-25.908000000000001</v>
      </c>
      <c r="AF29" s="145">
        <f t="shared" si="25"/>
        <v>25.147171412775023</v>
      </c>
      <c r="AG29" s="772">
        <f t="shared" si="26"/>
        <v>64.251314269877511</v>
      </c>
      <c r="AH29" s="146">
        <f t="shared" si="27"/>
        <v>26.08836261114693</v>
      </c>
      <c r="AI29" s="156">
        <f t="shared" si="28"/>
        <v>28.40757317454748</v>
      </c>
      <c r="AJ29" s="156">
        <f t="shared" si="29"/>
        <v>22.796162344844983</v>
      </c>
      <c r="AK29" s="88"/>
      <c r="AL29" s="716">
        <f t="shared" si="30"/>
        <v>863.25755184856212</v>
      </c>
      <c r="AM29" s="596">
        <f t="shared" si="11"/>
        <v>29.035462004615393</v>
      </c>
    </row>
    <row r="30" spans="1:39" ht="15.75" customHeight="1">
      <c r="A30" s="857" t="s">
        <v>1413</v>
      </c>
      <c r="B30" s="717">
        <v>45646</v>
      </c>
      <c r="C30" s="595">
        <v>45643</v>
      </c>
      <c r="D30" t="s">
        <v>1152</v>
      </c>
      <c r="E30">
        <v>20606534923</v>
      </c>
      <c r="G30" s="80">
        <v>64</v>
      </c>
      <c r="H30" t="s">
        <v>69</v>
      </c>
      <c r="I30" s="596">
        <v>6.28</v>
      </c>
      <c r="J30" s="596">
        <v>1.2</v>
      </c>
      <c r="K30" s="138">
        <f t="shared" si="18"/>
        <v>6.2046400000000004</v>
      </c>
      <c r="L30" s="139">
        <v>0.3115</v>
      </c>
      <c r="M30" s="139">
        <v>0.29903999999999997</v>
      </c>
      <c r="N30" s="159">
        <v>0.29903999999999997</v>
      </c>
      <c r="O30" s="645">
        <f t="shared" si="19"/>
        <v>0.29899999999999999</v>
      </c>
      <c r="P30" s="629">
        <v>90</v>
      </c>
      <c r="Q30" s="760">
        <v>89.16</v>
      </c>
      <c r="R30" s="706">
        <v>2636.35</v>
      </c>
      <c r="S30" s="765">
        <f>IF((80+ROUNDDOWN(O30,1)*100)&lt;95,95,(80+ROUNDDOWN(O30,1)*100))</f>
        <v>100</v>
      </c>
      <c r="U30" s="953">
        <v>120</v>
      </c>
      <c r="V30" s="715">
        <v>1.1023000000000001</v>
      </c>
      <c r="Y30">
        <v>120</v>
      </c>
      <c r="Z30" s="143">
        <f t="shared" si="20"/>
        <v>30</v>
      </c>
      <c r="AA30" s="144">
        <f t="shared" si="21"/>
        <v>150</v>
      </c>
      <c r="AB30" s="145">
        <f t="shared" si="22"/>
        <v>470.84720800549997</v>
      </c>
      <c r="AC30" s="145">
        <f>+(S30-T30)*V30-'data 1'!$F$4</f>
        <v>30.230000000000004</v>
      </c>
      <c r="AD30" s="145">
        <f t="shared" si="23"/>
        <v>-7.2578533982430304</v>
      </c>
      <c r="AE30" s="145">
        <f t="shared" si="24"/>
        <v>95.345000000000013</v>
      </c>
      <c r="AF30" s="145">
        <f t="shared" si="25"/>
        <v>30.913695682725027</v>
      </c>
      <c r="AG30" s="772">
        <f t="shared" si="26"/>
        <v>166.23084228448201</v>
      </c>
      <c r="AH30" s="146">
        <f t="shared" si="27"/>
        <v>59.08180683526998</v>
      </c>
      <c r="AI30" s="156">
        <f t="shared" si="28"/>
        <v>73.980066556053032</v>
      </c>
      <c r="AJ30" s="156">
        <f t="shared" si="29"/>
        <v>57.245236688749543</v>
      </c>
      <c r="AK30" s="88"/>
      <c r="AL30" s="716">
        <f t="shared" si="30"/>
        <v>2921.4374206792454</v>
      </c>
      <c r="AM30" s="596">
        <f t="shared" si="11"/>
        <v>66.264924669436951</v>
      </c>
    </row>
    <row r="31" spans="1:39" ht="15.75" customHeight="1">
      <c r="A31" s="857" t="s">
        <v>1414</v>
      </c>
      <c r="B31" s="717">
        <v>45646</v>
      </c>
      <c r="C31" s="595">
        <v>45643</v>
      </c>
      <c r="D31" t="s">
        <v>1152</v>
      </c>
      <c r="E31">
        <v>20606534923</v>
      </c>
      <c r="G31" s="80">
        <v>47</v>
      </c>
      <c r="H31" t="s">
        <v>69</v>
      </c>
      <c r="I31" s="596">
        <v>4.0999999999999996</v>
      </c>
      <c r="J31" s="596">
        <v>1.1000000000000001</v>
      </c>
      <c r="K31" s="138">
        <f t="shared" si="18"/>
        <v>4.0548999999999999</v>
      </c>
      <c r="L31" s="139">
        <v>0.64149999999999996</v>
      </c>
      <c r="M31" s="139">
        <v>0.61583999999999994</v>
      </c>
      <c r="N31" s="159">
        <v>0.61583999999999994</v>
      </c>
      <c r="O31" s="645">
        <f t="shared" si="19"/>
        <v>0.61599999999999999</v>
      </c>
      <c r="P31" s="629">
        <v>90</v>
      </c>
      <c r="Q31" s="760">
        <v>89.75</v>
      </c>
      <c r="R31" s="706">
        <v>2636.35</v>
      </c>
      <c r="S31" s="765">
        <f>IF((80+ROUNDDOWN(O31,1)*100)&lt;95,95,(80+ROUNDDOWN(O31,1)*100))</f>
        <v>140</v>
      </c>
      <c r="U31" s="953">
        <v>120</v>
      </c>
      <c r="V31" s="715">
        <v>1.1023000000000001</v>
      </c>
      <c r="Y31">
        <v>120</v>
      </c>
      <c r="Z31" s="143">
        <f t="shared" si="20"/>
        <v>30</v>
      </c>
      <c r="AA31" s="144">
        <f t="shared" si="21"/>
        <v>150</v>
      </c>
      <c r="AB31" s="145">
        <f t="shared" si="22"/>
        <v>1218.1125322119999</v>
      </c>
      <c r="AC31" s="145">
        <f>+(S31-T31)*V31-'data 1'!$F$4</f>
        <v>74.322000000000003</v>
      </c>
      <c r="AD31" s="145">
        <f t="shared" si="23"/>
        <v>-4.4484378152687496</v>
      </c>
      <c r="AE31" s="145">
        <f t="shared" si="24"/>
        <v>95.345000000000013</v>
      </c>
      <c r="AF31" s="145">
        <f t="shared" si="25"/>
        <v>63.481253281181168</v>
      </c>
      <c r="AG31" s="772">
        <f t="shared" si="26"/>
        <v>245.69981546591242</v>
      </c>
      <c r="AH31" s="146">
        <f t="shared" si="27"/>
        <v>80.042443027946305</v>
      </c>
      <c r="AI31" s="156">
        <f t="shared" si="28"/>
        <v>153.36198633076879</v>
      </c>
      <c r="AJ31" s="156">
        <f t="shared" si="29"/>
        <v>77.074805810187115</v>
      </c>
      <c r="AK31" s="88"/>
      <c r="AL31" s="716">
        <f t="shared" si="30"/>
        <v>4939.3245068664382</v>
      </c>
      <c r="AM31" s="596">
        <f t="shared" si="11"/>
        <v>89.183780532530704</v>
      </c>
    </row>
    <row r="32" spans="1:39" ht="15.75" customHeight="1">
      <c r="A32" s="857" t="s">
        <v>1415</v>
      </c>
      <c r="B32" s="717">
        <v>45646</v>
      </c>
      <c r="C32" s="595">
        <v>45643</v>
      </c>
      <c r="D32" t="s">
        <v>1152</v>
      </c>
      <c r="E32">
        <v>20606534923</v>
      </c>
      <c r="G32" s="80">
        <v>49</v>
      </c>
      <c r="H32" t="s">
        <v>69</v>
      </c>
      <c r="I32" s="596">
        <v>4.17</v>
      </c>
      <c r="J32" s="596">
        <v>1.3</v>
      </c>
      <c r="K32" s="138">
        <f t="shared" si="18"/>
        <v>4.1157899999999996</v>
      </c>
      <c r="L32" s="139">
        <v>0.59099999999999997</v>
      </c>
      <c r="M32" s="139">
        <v>0.56735999999999998</v>
      </c>
      <c r="N32" s="159">
        <v>0.56735999999999998</v>
      </c>
      <c r="O32" s="645">
        <f t="shared" si="19"/>
        <v>0.56699999999999995</v>
      </c>
      <c r="P32" s="629">
        <v>90</v>
      </c>
      <c r="Q32" s="760">
        <v>89.41</v>
      </c>
      <c r="R32" s="706">
        <v>2636.35</v>
      </c>
      <c r="S32" s="765">
        <f>IF((80+ROUNDDOWN(O32,1)*100)&lt;95,95,(80+ROUNDDOWN(O32,1)*100))</f>
        <v>130</v>
      </c>
      <c r="U32" s="953">
        <v>120</v>
      </c>
      <c r="V32" s="715">
        <v>1.1023000000000001</v>
      </c>
      <c r="Y32">
        <v>120</v>
      </c>
      <c r="Z32" s="143">
        <f t="shared" si="20"/>
        <v>30</v>
      </c>
      <c r="AA32" s="144">
        <f t="shared" si="21"/>
        <v>150</v>
      </c>
      <c r="AB32" s="145">
        <f t="shared" si="22"/>
        <v>1106.8121603314999</v>
      </c>
      <c r="AC32" s="145">
        <f>+(S32-T32)*V32-'data 1'!$F$4</f>
        <v>63.299000000000007</v>
      </c>
      <c r="AD32" s="145">
        <f t="shared" si="23"/>
        <v>-9.6718676963745551</v>
      </c>
      <c r="AE32" s="145">
        <f t="shared" si="24"/>
        <v>95.345000000000013</v>
      </c>
      <c r="AF32" s="145">
        <f t="shared" si="25"/>
        <v>59.520722067132048</v>
      </c>
      <c r="AG32" s="772">
        <f t="shared" si="26"/>
        <v>225.49285437075753</v>
      </c>
      <c r="AH32" s="146">
        <f t="shared" si="27"/>
        <v>74.565142588062727</v>
      </c>
      <c r="AI32" s="156">
        <f t="shared" si="28"/>
        <v>140.75381753541456</v>
      </c>
      <c r="AJ32" s="156">
        <f t="shared" si="29"/>
        <v>72.00917665116252</v>
      </c>
      <c r="AK32" s="88"/>
      <c r="AL32" s="716">
        <f t="shared" si="30"/>
        <v>4555.4064213707834</v>
      </c>
      <c r="AM32" s="596">
        <f t="shared" si="11"/>
        <v>83.396871253844907</v>
      </c>
    </row>
    <row r="33" spans="1:39" ht="15.75" customHeight="1">
      <c r="A33" s="857" t="s">
        <v>1416</v>
      </c>
      <c r="B33" s="717">
        <v>45646</v>
      </c>
      <c r="C33" s="595">
        <v>45643</v>
      </c>
      <c r="D33" t="s">
        <v>1152</v>
      </c>
      <c r="E33">
        <v>20606534923</v>
      </c>
      <c r="G33" s="80">
        <v>50</v>
      </c>
      <c r="H33" t="s">
        <v>69</v>
      </c>
      <c r="I33" s="596">
        <v>4.2300000000000004</v>
      </c>
      <c r="J33" s="596">
        <v>1.1000000000000001</v>
      </c>
      <c r="K33" s="138">
        <f t="shared" si="18"/>
        <v>4.1834700000000007</v>
      </c>
      <c r="L33" s="139">
        <v>0.51449999999999996</v>
      </c>
      <c r="M33" s="139">
        <v>0.49391999999999991</v>
      </c>
      <c r="N33" s="159">
        <v>0.49391999999999991</v>
      </c>
      <c r="O33" s="645">
        <f t="shared" si="19"/>
        <v>0.49399999999999999</v>
      </c>
      <c r="P33" s="629">
        <v>90</v>
      </c>
      <c r="Q33" s="760">
        <v>89.66</v>
      </c>
      <c r="R33" s="706">
        <v>2636.35</v>
      </c>
      <c r="S33" s="765">
        <f>IF((80+ROUNDDOWN(O33,1)*100)&lt;95,95,(80+ROUNDDOWN(O33,1)*100))</f>
        <v>120</v>
      </c>
      <c r="U33" s="953">
        <v>120</v>
      </c>
      <c r="V33" s="715">
        <v>1.1023000000000001</v>
      </c>
      <c r="Y33">
        <v>120</v>
      </c>
      <c r="Z33" s="143">
        <f t="shared" si="20"/>
        <v>30</v>
      </c>
      <c r="AA33" s="144">
        <f t="shared" si="21"/>
        <v>150</v>
      </c>
      <c r="AB33" s="145">
        <f t="shared" si="22"/>
        <v>935.59830018299999</v>
      </c>
      <c r="AC33" s="145">
        <f>+(S33-T33)*V33-'data 1'!$F$4</f>
        <v>52.27600000000001</v>
      </c>
      <c r="AD33" s="145">
        <f t="shared" si="23"/>
        <v>-4.8521604179265481</v>
      </c>
      <c r="AE33" s="145">
        <f t="shared" si="24"/>
        <v>95.345000000000013</v>
      </c>
      <c r="AF33" s="145">
        <f t="shared" si="25"/>
        <v>50.982772611681405</v>
      </c>
      <c r="AG33" s="772">
        <f t="shared" si="26"/>
        <v>210.75161219375491</v>
      </c>
      <c r="AH33" s="146">
        <f t="shared" si="27"/>
        <v>66.165232341319268</v>
      </c>
      <c r="AI33" s="156">
        <f t="shared" si="28"/>
        <v>122.87703419305653</v>
      </c>
      <c r="AJ33" s="156">
        <f t="shared" si="29"/>
        <v>63.769819336824206</v>
      </c>
      <c r="AK33" s="88"/>
      <c r="AL33" s="716">
        <f t="shared" si="30"/>
        <v>3914.0474208665755</v>
      </c>
      <c r="AM33" s="596">
        <f t="shared" si="11"/>
        <v>73.795708611777016</v>
      </c>
    </row>
    <row r="34" spans="1:39" ht="15.75" customHeight="1">
      <c r="A34" s="857" t="s">
        <v>1417</v>
      </c>
      <c r="B34" s="717">
        <v>45646</v>
      </c>
      <c r="C34" s="595">
        <v>45643</v>
      </c>
      <c r="D34" t="s">
        <v>1152</v>
      </c>
      <c r="E34">
        <v>20606534923</v>
      </c>
      <c r="G34" s="80">
        <v>50</v>
      </c>
      <c r="H34" t="s">
        <v>69</v>
      </c>
      <c r="I34" s="596">
        <v>4.16</v>
      </c>
      <c r="J34" s="596">
        <v>1.2</v>
      </c>
      <c r="K34" s="138">
        <f t="shared" si="18"/>
        <v>4.11008</v>
      </c>
      <c r="L34" s="139">
        <v>0.21750000000000003</v>
      </c>
      <c r="M34" s="139">
        <v>0.20771250000000002</v>
      </c>
      <c r="N34" s="159">
        <v>0.20771250000000002</v>
      </c>
      <c r="O34" s="645">
        <f t="shared" si="19"/>
        <v>0.20799999999999999</v>
      </c>
      <c r="P34" s="629">
        <v>90</v>
      </c>
      <c r="Q34" s="760">
        <v>89.33</v>
      </c>
      <c r="R34" s="706">
        <v>2636.35</v>
      </c>
      <c r="S34" s="765">
        <f>IF((80+ROUNDDOWN(O34,1)*100)&lt;95,95,(80+ROUNDDOWN(O34,1)*100))</f>
        <v>100</v>
      </c>
      <c r="U34" s="953">
        <v>120</v>
      </c>
      <c r="V34" s="715">
        <v>1.1023000000000001</v>
      </c>
      <c r="Y34">
        <v>120</v>
      </c>
      <c r="Z34" s="143">
        <f t="shared" si="20"/>
        <v>30</v>
      </c>
      <c r="AA34" s="144">
        <f t="shared" si="21"/>
        <v>150</v>
      </c>
      <c r="AB34" s="145">
        <f t="shared" si="22"/>
        <v>243.67523165599997</v>
      </c>
      <c r="AC34" s="145">
        <f>+(S34-T34)*V34-'data 1'!$F$4</f>
        <v>30.230000000000004</v>
      </c>
      <c r="AD34" s="145">
        <f t="shared" si="23"/>
        <v>-4.0420801286362611</v>
      </c>
      <c r="AE34" s="145">
        <f t="shared" si="24"/>
        <v>95.345000000000013</v>
      </c>
      <c r="AF34" s="145">
        <f t="shared" si="25"/>
        <v>23.539205146441841</v>
      </c>
      <c r="AG34" s="772">
        <f t="shared" si="26"/>
        <v>162.0721250178056</v>
      </c>
      <c r="AH34" s="146">
        <f t="shared" si="27"/>
        <v>27.378896484588555</v>
      </c>
      <c r="AI34" s="156">
        <f t="shared" si="28"/>
        <v>51.753914280236287</v>
      </c>
      <c r="AJ34" s="156">
        <f t="shared" si="29"/>
        <v>26.379416740537035</v>
      </c>
      <c r="AK34" s="88"/>
      <c r="AL34" s="716">
        <f t="shared" si="30"/>
        <v>1001.5246961246924</v>
      </c>
      <c r="AM34" s="596">
        <f t="shared" si="11"/>
        <v>30.649162078348322</v>
      </c>
    </row>
    <row r="35" spans="1:39" ht="15.75" customHeight="1">
      <c r="A35" s="857" t="s">
        <v>1418</v>
      </c>
      <c r="B35" s="595">
        <v>45652</v>
      </c>
      <c r="C35" s="595">
        <v>45643</v>
      </c>
      <c r="D35" t="s">
        <v>1152</v>
      </c>
      <c r="E35">
        <v>20606534923</v>
      </c>
      <c r="G35" s="80">
        <v>1</v>
      </c>
      <c r="H35" t="s">
        <v>69</v>
      </c>
      <c r="I35" s="596">
        <v>0.1</v>
      </c>
      <c r="J35" s="596">
        <v>1</v>
      </c>
      <c r="K35" s="138">
        <f t="shared" si="18"/>
        <v>9.9000000000000005E-2</v>
      </c>
      <c r="L35" s="139">
        <v>0.25133333333333335</v>
      </c>
      <c r="M35" s="139">
        <v>0.24128000000000002</v>
      </c>
      <c r="N35" s="159">
        <v>0.24128000000000002</v>
      </c>
      <c r="O35" s="645">
        <f t="shared" si="19"/>
        <v>0.24099999999999999</v>
      </c>
      <c r="P35" s="629">
        <v>90</v>
      </c>
      <c r="Q35" s="760">
        <v>89.11</v>
      </c>
      <c r="R35" s="706">
        <v>2636.35</v>
      </c>
      <c r="S35" s="765">
        <f>IF((90+ROUNDDOWN(O35,1)*100)&lt;95,95,(90+ROUNDDOWN(O35,1)*100))</f>
        <v>110</v>
      </c>
      <c r="U35" s="953">
        <v>120</v>
      </c>
      <c r="V35" s="715">
        <v>1.1023000000000001</v>
      </c>
      <c r="Y35">
        <v>10</v>
      </c>
      <c r="Z35" s="143">
        <f t="shared" si="20"/>
        <v>30</v>
      </c>
      <c r="AA35" s="144">
        <f t="shared" si="21"/>
        <v>40</v>
      </c>
      <c r="AB35" s="145">
        <f t="shared" si="22"/>
        <v>436.28627802449995</v>
      </c>
      <c r="AC35" s="145">
        <f>+(S35-T35)*V35-'data 1'!$F$4</f>
        <v>41.253</v>
      </c>
      <c r="AD35" s="145">
        <f t="shared" si="23"/>
        <v>-6.2045594810376716</v>
      </c>
      <c r="AE35" s="145">
        <f t="shared" si="24"/>
        <v>-25.908000000000001</v>
      </c>
      <c r="AF35" s="145">
        <f t="shared" si="25"/>
        <v>25.540990605926904</v>
      </c>
      <c r="AG35" s="772">
        <f t="shared" si="26"/>
        <v>51.68143112488923</v>
      </c>
      <c r="AH35" s="146">
        <f t="shared" si="27"/>
        <v>0.76018763058749528</v>
      </c>
      <c r="AI35" s="156">
        <f t="shared" si="28"/>
        <v>59.657237876691028</v>
      </c>
      <c r="AJ35" s="156">
        <f t="shared" si="29"/>
        <v>0.73621356613645506</v>
      </c>
      <c r="AK35" s="88"/>
      <c r="AL35" s="716">
        <f t="shared" si="30"/>
        <v>43.192341524425494</v>
      </c>
      <c r="AM35" s="596">
        <f t="shared" si="11"/>
        <v>0.85308902546010024</v>
      </c>
    </row>
    <row r="36" spans="1:39" ht="15.75" customHeight="1">
      <c r="A36" s="857" t="s">
        <v>1419</v>
      </c>
      <c r="B36" s="595">
        <v>45646</v>
      </c>
      <c r="C36" s="595">
        <v>45643</v>
      </c>
      <c r="D36" t="s">
        <v>1152</v>
      </c>
      <c r="E36">
        <v>20606534923</v>
      </c>
      <c r="G36" s="80">
        <v>19</v>
      </c>
      <c r="H36" t="s">
        <v>69</v>
      </c>
      <c r="I36" s="596">
        <v>1.41</v>
      </c>
      <c r="J36" s="596">
        <v>16.5</v>
      </c>
      <c r="K36" s="138">
        <f t="shared" si="18"/>
        <v>1.1773499999999999</v>
      </c>
      <c r="L36" s="139">
        <v>1.5036666666666667</v>
      </c>
      <c r="M36" s="139">
        <v>1.4435199999999999</v>
      </c>
      <c r="N36" s="159">
        <v>1.4435199999999999</v>
      </c>
      <c r="O36" s="645">
        <f t="shared" si="19"/>
        <v>1.444</v>
      </c>
      <c r="P36" s="629">
        <v>90</v>
      </c>
      <c r="Q36" s="760">
        <v>89.63</v>
      </c>
      <c r="R36" s="706">
        <v>2636.35</v>
      </c>
      <c r="S36" s="802">
        <v>210</v>
      </c>
      <c r="U36" s="953">
        <v>120</v>
      </c>
      <c r="V36" s="715">
        <v>1.1023000000000001</v>
      </c>
      <c r="Y36">
        <v>20</v>
      </c>
      <c r="Z36" s="143">
        <f t="shared" si="20"/>
        <v>30</v>
      </c>
      <c r="AA36" s="144">
        <f t="shared" si="21"/>
        <v>50</v>
      </c>
      <c r="AB36" s="145">
        <f t="shared" si="22"/>
        <v>3318.1968774580005</v>
      </c>
      <c r="AC36" s="145">
        <f>+(S36-T36)*V36-'data 1'!$F$4</f>
        <v>151.483</v>
      </c>
      <c r="AD36" s="145">
        <f t="shared" si="23"/>
        <v>-15.432068806091356</v>
      </c>
      <c r="AE36" s="145">
        <f t="shared" si="24"/>
        <v>-14.884999999999998</v>
      </c>
      <c r="AF36" s="145">
        <f t="shared" si="25"/>
        <v>148.33923235640304</v>
      </c>
      <c r="AG36" s="772">
        <f t="shared" si="26"/>
        <v>286.50516355031169</v>
      </c>
      <c r="AH36" s="146">
        <f t="shared" si="27"/>
        <v>54.40259627852263</v>
      </c>
      <c r="AI36" s="156">
        <f t="shared" si="28"/>
        <v>358.99762519746469</v>
      </c>
      <c r="AJ36" s="156">
        <f t="shared" si="29"/>
        <v>52.459525746219477</v>
      </c>
      <c r="AK36" s="88"/>
      <c r="AL36" s="716">
        <f t="shared" si="30"/>
        <v>3906.6790936751763</v>
      </c>
      <c r="AM36" s="596">
        <f t="shared" si="11"/>
        <v>60.696860736943691</v>
      </c>
    </row>
    <row r="37" spans="1:39" ht="15.75" customHeight="1">
      <c r="A37" s="857" t="s">
        <v>1420</v>
      </c>
      <c r="B37" s="595">
        <v>45646</v>
      </c>
      <c r="C37" s="595">
        <v>45643</v>
      </c>
      <c r="D37" t="s">
        <v>93</v>
      </c>
      <c r="E37" s="79">
        <v>20169040237</v>
      </c>
      <c r="G37" s="80">
        <v>63</v>
      </c>
      <c r="H37" t="s">
        <v>69</v>
      </c>
      <c r="I37" s="596">
        <v>6.03</v>
      </c>
      <c r="J37" s="596">
        <v>1.75</v>
      </c>
      <c r="K37" s="138">
        <f t="shared" si="18"/>
        <v>5.9244750000000002</v>
      </c>
      <c r="L37" s="139">
        <v>0.13100000000000001</v>
      </c>
      <c r="M37" s="139">
        <v>0.12052000000000002</v>
      </c>
      <c r="N37" s="159">
        <v>0.12052000000000002</v>
      </c>
      <c r="O37" s="645">
        <f t="shared" si="19"/>
        <v>0.121</v>
      </c>
      <c r="P37" s="629">
        <v>85</v>
      </c>
      <c r="Q37" s="760">
        <v>89.46</v>
      </c>
      <c r="R37" s="706">
        <v>2636.35</v>
      </c>
      <c r="S37" s="802">
        <v>95</v>
      </c>
      <c r="U37" s="953">
        <v>120</v>
      </c>
      <c r="V37" s="715">
        <v>1.1023000000000001</v>
      </c>
      <c r="Y37">
        <v>20</v>
      </c>
      <c r="Z37" s="143">
        <f t="shared" si="20"/>
        <v>30</v>
      </c>
      <c r="AA37" s="144">
        <f t="shared" si="21"/>
        <v>50</v>
      </c>
      <c r="AB37" s="145">
        <f t="shared" si="22"/>
        <v>125.44901242425001</v>
      </c>
      <c r="AC37" s="145">
        <f>+(S37-T37)*V37-'data 1'!$F$4</f>
        <v>24.718500000000006</v>
      </c>
      <c r="AD37" s="145">
        <f t="shared" si="23"/>
        <v>16.20604382197298</v>
      </c>
      <c r="AE37" s="145">
        <f t="shared" si="24"/>
        <v>-14.884999999999998</v>
      </c>
      <c r="AF37" s="145">
        <f t="shared" si="25"/>
        <v>24.814169724330021</v>
      </c>
      <c r="AG37" s="772">
        <f t="shared" si="26"/>
        <v>67.853713546303013</v>
      </c>
      <c r="AH37" s="146">
        <f t="shared" si="27"/>
        <v>23.804503626233462</v>
      </c>
      <c r="AI37" s="156">
        <f t="shared" si="28"/>
        <v>31.216686030117017</v>
      </c>
      <c r="AJ37" s="156">
        <f t="shared" si="29"/>
        <v>20.891192771199815</v>
      </c>
      <c r="AK37" s="88"/>
      <c r="AL37" s="716">
        <f t="shared" si="30"/>
        <v>743.21953788215865</v>
      </c>
      <c r="AM37" s="596">
        <f t="shared" si="11"/>
        <v>26.60910309214561</v>
      </c>
    </row>
    <row r="38" spans="1:39" ht="15.75" customHeight="1">
      <c r="A38" s="857" t="s">
        <v>1421</v>
      </c>
      <c r="B38" s="595">
        <v>45646</v>
      </c>
      <c r="C38" s="595">
        <v>45643</v>
      </c>
      <c r="D38" t="s">
        <v>93</v>
      </c>
      <c r="E38" s="79">
        <v>20169040237</v>
      </c>
      <c r="G38" s="80">
        <v>62</v>
      </c>
      <c r="H38" t="s">
        <v>69</v>
      </c>
      <c r="I38" s="596">
        <v>5.87</v>
      </c>
      <c r="J38" s="596">
        <v>2.8</v>
      </c>
      <c r="K38" s="138">
        <f t="shared" si="18"/>
        <v>5.7056399999999998</v>
      </c>
      <c r="L38" s="139">
        <v>0.12</v>
      </c>
      <c r="M38" s="139">
        <v>0.1104</v>
      </c>
      <c r="N38" s="159">
        <v>0.1104</v>
      </c>
      <c r="O38" s="645">
        <f t="shared" si="19"/>
        <v>0.11</v>
      </c>
      <c r="P38" s="629">
        <v>85</v>
      </c>
      <c r="Q38" s="760">
        <v>89.75</v>
      </c>
      <c r="R38" s="706">
        <v>2636.35</v>
      </c>
      <c r="S38" s="802">
        <v>95</v>
      </c>
      <c r="U38" s="953">
        <v>120</v>
      </c>
      <c r="V38" s="715">
        <v>1.1023000000000001</v>
      </c>
      <c r="Y38">
        <v>20</v>
      </c>
      <c r="Z38" s="143">
        <f t="shared" si="20"/>
        <v>30</v>
      </c>
      <c r="AA38" s="144">
        <f t="shared" si="21"/>
        <v>50</v>
      </c>
      <c r="AB38" s="145">
        <f t="shared" si="22"/>
        <v>99.514238567499987</v>
      </c>
      <c r="AC38" s="145">
        <f>+(S38-T38)*V38-'data 1'!$F$4</f>
        <v>24.718500000000006</v>
      </c>
      <c r="AD38" s="145">
        <f t="shared" si="23"/>
        <v>15.810503848500002</v>
      </c>
      <c r="AE38" s="145">
        <f t="shared" si="24"/>
        <v>-14.884999999999998</v>
      </c>
      <c r="AF38" s="145">
        <f t="shared" si="25"/>
        <v>24.894609129874983</v>
      </c>
      <c r="AG38" s="772">
        <f t="shared" si="26"/>
        <v>67.538612978374999</v>
      </c>
      <c r="AH38" s="146">
        <f t="shared" si="27"/>
        <v>21.068282774706937</v>
      </c>
      <c r="AI38" s="156">
        <f t="shared" si="28"/>
        <v>28.688134621500009</v>
      </c>
      <c r="AJ38" s="156">
        <f t="shared" si="29"/>
        <v>18.290477617781786</v>
      </c>
      <c r="AK38" s="88"/>
      <c r="AL38" s="716">
        <f t="shared" si="30"/>
        <v>567.79242014027056</v>
      </c>
      <c r="AM38" s="596">
        <f t="shared" si="11"/>
        <v>23.474409776832243</v>
      </c>
    </row>
    <row r="39" spans="1:39" ht="15.75" customHeight="1">
      <c r="A39" s="857" t="s">
        <v>1422</v>
      </c>
      <c r="B39" s="595">
        <v>45657</v>
      </c>
      <c r="C39" s="595">
        <v>45643</v>
      </c>
      <c r="D39" t="s">
        <v>1152</v>
      </c>
      <c r="E39">
        <v>20606534923</v>
      </c>
      <c r="F39" s="989" t="s">
        <v>1522</v>
      </c>
      <c r="G39" s="80">
        <v>50</v>
      </c>
      <c r="H39" t="s">
        <v>69</v>
      </c>
      <c r="I39" s="596">
        <v>4.3099999999999996</v>
      </c>
      <c r="J39" s="596">
        <v>8.85</v>
      </c>
      <c r="K39" s="138">
        <f t="shared" si="18"/>
        <v>3.9285649999999999</v>
      </c>
      <c r="L39" s="139">
        <v>0.126</v>
      </c>
      <c r="M39" s="139">
        <v>0.11592000000000001</v>
      </c>
      <c r="N39" s="598">
        <v>0.17299999999999999</v>
      </c>
      <c r="O39" s="645">
        <f t="shared" si="19"/>
        <v>0.14399999999999999</v>
      </c>
      <c r="P39" s="629">
        <v>85</v>
      </c>
      <c r="Q39" s="760">
        <v>89.23</v>
      </c>
      <c r="R39" s="706">
        <v>2636.35</v>
      </c>
      <c r="S39" s="765">
        <f>IF((90+ROUNDDOWN(O39,1)*100)&lt;95,95,(90+ROUNDDOWN(O39,1)*100))</f>
        <v>100</v>
      </c>
      <c r="U39" s="953">
        <v>100</v>
      </c>
      <c r="V39" s="715">
        <v>1.1023000000000001</v>
      </c>
      <c r="Y39">
        <v>30</v>
      </c>
      <c r="Z39" s="143">
        <f t="shared" si="20"/>
        <v>30</v>
      </c>
      <c r="AA39" s="144">
        <f t="shared" si="21"/>
        <v>60</v>
      </c>
      <c r="AB39" s="145">
        <f t="shared" si="22"/>
        <v>165.84019725199997</v>
      </c>
      <c r="AC39" s="145">
        <f>+(S39-T39)*V39-'data 1'!$F$4</f>
        <v>30.230000000000004</v>
      </c>
      <c r="AD39" s="145">
        <f t="shared" si="23"/>
        <v>14.901154000929013</v>
      </c>
      <c r="AE39" s="145">
        <f t="shared" si="24"/>
        <v>-3.8619999999999948</v>
      </c>
      <c r="AF39" s="145">
        <f t="shared" si="25"/>
        <v>-44.904760942346975</v>
      </c>
      <c r="AG39" s="772">
        <f t="shared" si="26"/>
        <v>13.364393058582039</v>
      </c>
      <c r="AH39" s="146">
        <f t="shared" si="27"/>
        <v>15.143436839512503</v>
      </c>
      <c r="AI39" s="156">
        <f t="shared" si="28"/>
        <v>27.469387836891016</v>
      </c>
      <c r="AJ39" s="156">
        <f t="shared" si="29"/>
        <v>16.486346761768942</v>
      </c>
      <c r="AK39" s="88"/>
      <c r="AL39" s="716">
        <f t="shared" si="30"/>
        <v>651.51399451730322</v>
      </c>
      <c r="AM39" s="596">
        <f t="shared" si="11"/>
        <v>16.971239313585681</v>
      </c>
    </row>
    <row r="40" spans="1:39" ht="15.75" customHeight="1">
      <c r="A40" s="857" t="s">
        <v>1423</v>
      </c>
      <c r="B40" s="595">
        <v>45657</v>
      </c>
      <c r="C40" s="595">
        <v>45643</v>
      </c>
      <c r="D40" t="s">
        <v>1152</v>
      </c>
      <c r="E40">
        <v>20606534923</v>
      </c>
      <c r="F40" s="989" t="s">
        <v>1522</v>
      </c>
      <c r="G40" s="80">
        <v>50</v>
      </c>
      <c r="H40" t="s">
        <v>69</v>
      </c>
      <c r="I40" s="596">
        <v>4.1399999999999997</v>
      </c>
      <c r="J40" s="596">
        <v>10</v>
      </c>
      <c r="K40" s="138">
        <f t="shared" si="18"/>
        <v>3.7259999999999995</v>
      </c>
      <c r="L40" s="139">
        <v>0.13150000000000001</v>
      </c>
      <c r="M40" s="139">
        <v>0.12163750000000001</v>
      </c>
      <c r="N40" s="598">
        <v>0.187</v>
      </c>
      <c r="O40" s="645">
        <f t="shared" si="19"/>
        <v>0.154</v>
      </c>
      <c r="P40" s="629">
        <v>85</v>
      </c>
      <c r="Q40" s="760">
        <v>89.74</v>
      </c>
      <c r="R40" s="706">
        <v>2636.35</v>
      </c>
      <c r="S40" s="765">
        <f>IF((90+ROUNDDOWN(O40,1)*100)&lt;95,95,(90+ROUNDDOWN(O40,1)*100))</f>
        <v>100</v>
      </c>
      <c r="U40" s="953">
        <v>100</v>
      </c>
      <c r="V40" s="715">
        <v>1.1023000000000001</v>
      </c>
      <c r="Y40">
        <v>30</v>
      </c>
      <c r="Z40" s="143">
        <f t="shared" si="20"/>
        <v>30</v>
      </c>
      <c r="AA40" s="144">
        <f t="shared" si="21"/>
        <v>60</v>
      </c>
      <c r="AB40" s="145">
        <f t="shared" si="22"/>
        <v>189.60465539450001</v>
      </c>
      <c r="AC40" s="145">
        <f>+(S40-T40)*V40-'data 1'!$F$4</f>
        <v>30.230000000000004</v>
      </c>
      <c r="AD40" s="145">
        <f t="shared" si="23"/>
        <v>17.426616946825483</v>
      </c>
      <c r="AE40" s="145">
        <f t="shared" si="24"/>
        <v>-3.8619999999999948</v>
      </c>
      <c r="AF40" s="145">
        <f t="shared" si="25"/>
        <v>-56.451771362857478</v>
      </c>
      <c r="AG40" s="772">
        <f t="shared" si="26"/>
        <v>4.342845583968014</v>
      </c>
      <c r="AH40" s="146">
        <f t="shared" si="27"/>
        <v>15.075222746749983</v>
      </c>
      <c r="AI40" s="156">
        <f t="shared" si="28"/>
        <v>28.832304840839512</v>
      </c>
      <c r="AJ40" s="156">
        <f t="shared" si="29"/>
        <v>16.722128883945867</v>
      </c>
      <c r="AK40" s="88"/>
      <c r="AL40" s="716">
        <f t="shared" si="30"/>
        <v>706.46694599990701</v>
      </c>
      <c r="AM40" s="596">
        <f t="shared" si="11"/>
        <v>16.798777297470451</v>
      </c>
    </row>
    <row r="41" spans="1:39" ht="15.75" customHeight="1">
      <c r="A41" s="857" t="s">
        <v>1424</v>
      </c>
      <c r="B41" s="595">
        <v>45657</v>
      </c>
      <c r="C41" s="595">
        <v>45643</v>
      </c>
      <c r="D41" t="s">
        <v>1152</v>
      </c>
      <c r="E41">
        <v>20606534923</v>
      </c>
      <c r="F41" s="989" t="s">
        <v>1522</v>
      </c>
      <c r="G41" s="80">
        <v>50</v>
      </c>
      <c r="H41" t="s">
        <v>69</v>
      </c>
      <c r="I41" s="596">
        <v>3.97</v>
      </c>
      <c r="J41" s="596">
        <v>9.25</v>
      </c>
      <c r="K41" s="138">
        <f t="shared" si="18"/>
        <v>3.6027750000000003</v>
      </c>
      <c r="L41" s="139">
        <v>0.13600000000000001</v>
      </c>
      <c r="M41" s="139">
        <v>0.12580000000000002</v>
      </c>
      <c r="N41" s="598">
        <v>0.20699999999999999</v>
      </c>
      <c r="O41" s="645">
        <f t="shared" si="19"/>
        <v>0.16600000000000001</v>
      </c>
      <c r="P41" s="629">
        <v>85</v>
      </c>
      <c r="Q41" s="760">
        <v>89.51</v>
      </c>
      <c r="R41" s="706">
        <v>2636.35</v>
      </c>
      <c r="S41" s="765">
        <f>IF((90+ROUNDDOWN(O41,1)*100)&lt;95,95,(90+ROUNDDOWN(O41,1)*100))</f>
        <v>100</v>
      </c>
      <c r="U41" s="953">
        <v>100</v>
      </c>
      <c r="V41" s="715">
        <v>1.1023000000000001</v>
      </c>
      <c r="Y41">
        <v>30</v>
      </c>
      <c r="Z41" s="143">
        <f t="shared" si="20"/>
        <v>30</v>
      </c>
      <c r="AA41" s="144">
        <f t="shared" si="21"/>
        <v>60</v>
      </c>
      <c r="AB41" s="145">
        <f t="shared" si="22"/>
        <v>218.12200516550007</v>
      </c>
      <c r="AC41" s="145">
        <f>+(S41-T41)*V41-'data 1'!$F$4</f>
        <v>30.230000000000004</v>
      </c>
      <c r="AD41" s="145">
        <f t="shared" si="23"/>
        <v>17.148432995628024</v>
      </c>
      <c r="AE41" s="145">
        <f t="shared" si="24"/>
        <v>-3.8619999999999948</v>
      </c>
      <c r="AF41" s="145">
        <f t="shared" si="25"/>
        <v>-75.076117000064997</v>
      </c>
      <c r="AG41" s="772">
        <f t="shared" si="26"/>
        <v>-14.55968400443696</v>
      </c>
      <c r="AH41" s="146">
        <f t="shared" si="27"/>
        <v>15.03684334531289</v>
      </c>
      <c r="AI41" s="156">
        <f t="shared" si="28"/>
        <v>29.742536864612021</v>
      </c>
      <c r="AJ41" s="156">
        <f t="shared" si="29"/>
        <v>17.429030243282451</v>
      </c>
      <c r="AK41" s="88"/>
      <c r="AL41" s="716">
        <f t="shared" si="30"/>
        <v>785.84450716013453</v>
      </c>
      <c r="AM41" s="596">
        <f t="shared" si="11"/>
        <v>16.799065294730074</v>
      </c>
    </row>
    <row r="42" spans="1:39" ht="15.75" customHeight="1">
      <c r="A42" s="857" t="s">
        <v>1426</v>
      </c>
      <c r="B42" s="1016">
        <v>45657</v>
      </c>
      <c r="C42" s="595">
        <v>45643</v>
      </c>
      <c r="D42" t="s">
        <v>1433</v>
      </c>
      <c r="E42">
        <v>10473108823</v>
      </c>
      <c r="G42" s="80" t="s">
        <v>1434</v>
      </c>
      <c r="H42" t="s">
        <v>69</v>
      </c>
      <c r="I42" s="596">
        <v>35.659999999999997</v>
      </c>
      <c r="J42" s="596">
        <v>25.2</v>
      </c>
      <c r="K42" s="138">
        <f t="shared" si="18"/>
        <v>26.673679999999997</v>
      </c>
      <c r="L42" s="139">
        <v>0.36399999999999999</v>
      </c>
      <c r="M42" s="139">
        <v>0.34899999999999998</v>
      </c>
      <c r="N42" s="159">
        <v>0.34899999999999998</v>
      </c>
      <c r="O42" s="645">
        <f t="shared" si="19"/>
        <v>0.34899999999999998</v>
      </c>
      <c r="P42" s="999">
        <v>90</v>
      </c>
      <c r="Q42" s="760">
        <v>89.56</v>
      </c>
      <c r="R42" s="706">
        <v>2636.35</v>
      </c>
      <c r="S42" s="802">
        <v>100</v>
      </c>
      <c r="U42" s="953">
        <v>90</v>
      </c>
      <c r="V42" s="715">
        <v>1.1023000000000001</v>
      </c>
      <c r="Z42" s="143">
        <f t="shared" si="20"/>
        <v>30</v>
      </c>
      <c r="AA42" s="144">
        <f t="shared" si="21"/>
        <v>30</v>
      </c>
      <c r="AB42" s="145">
        <f t="shared" si="22"/>
        <v>738.32994813049982</v>
      </c>
      <c r="AC42" s="145">
        <f>+(S42-T42)*V42-'data 1'!$F$4</f>
        <v>30.230000000000004</v>
      </c>
      <c r="AD42" s="145">
        <f t="shared" si="23"/>
        <v>-4.4954375145679766</v>
      </c>
      <c r="AE42" s="145">
        <f t="shared" si="24"/>
        <v>-36.930999999999997</v>
      </c>
      <c r="AF42" s="145">
        <f t="shared" si="25"/>
        <v>37.707110121570032</v>
      </c>
      <c r="AG42" s="772">
        <f>+IF(D42="RONALD WILLIAN GARIBAY ESCUDERO",AC42+AD42+AE42+AF42+70,AC42+AD42+AE42+AF42)+70-10</f>
        <v>86.510672607002064</v>
      </c>
      <c r="AH42" s="146">
        <f t="shared" si="27"/>
        <v>298.13123183606558</v>
      </c>
      <c r="AI42" s="156">
        <f t="shared" si="28"/>
        <v>76.056011887128037</v>
      </c>
      <c r="AJ42" s="156">
        <f t="shared" si="29"/>
        <v>287.24993717671066</v>
      </c>
      <c r="AK42" s="88"/>
      <c r="AL42" s="716">
        <f t="shared" si="30"/>
        <v>19693.976770849549</v>
      </c>
      <c r="AM42" s="596">
        <f t="shared" si="11"/>
        <v>332.88435890583469</v>
      </c>
    </row>
    <row r="43" spans="1:39" ht="15.75" customHeight="1">
      <c r="A43" s="857" t="s">
        <v>1452</v>
      </c>
      <c r="B43" s="595">
        <v>45656</v>
      </c>
      <c r="C43" s="595">
        <v>45645</v>
      </c>
      <c r="D43" t="s">
        <v>66</v>
      </c>
      <c r="E43">
        <v>10457401928</v>
      </c>
      <c r="F43" t="s">
        <v>1024</v>
      </c>
      <c r="G43" s="80">
        <v>173</v>
      </c>
      <c r="H43" s="1003" t="s">
        <v>69</v>
      </c>
      <c r="I43" s="596">
        <v>12.77</v>
      </c>
      <c r="J43" s="596">
        <v>6</v>
      </c>
      <c r="K43" s="138">
        <f t="shared" si="18"/>
        <v>12.0038</v>
      </c>
      <c r="L43" s="139">
        <v>9.9000000000000005E-2</v>
      </c>
      <c r="M43" s="139">
        <v>8.8999999999999996E-2</v>
      </c>
      <c r="N43" s="159">
        <v>8.8999999999999996E-2</v>
      </c>
      <c r="O43" s="645">
        <f t="shared" si="19"/>
        <v>8.8999999999999996E-2</v>
      </c>
      <c r="P43" s="629">
        <v>90</v>
      </c>
      <c r="Q43" s="760">
        <v>89.78</v>
      </c>
      <c r="R43" s="706">
        <v>2592.4499999999998</v>
      </c>
      <c r="S43" s="765">
        <f>IF((90+ROUNDDOWN(O43,1)*100)&lt;95,95,(90+ROUNDDOWN(O43,1)*100))</f>
        <v>95</v>
      </c>
      <c r="U43" s="953">
        <v>100</v>
      </c>
      <c r="V43" s="715">
        <v>1.1023000000000001</v>
      </c>
      <c r="Z43" s="143">
        <f t="shared" si="20"/>
        <v>30</v>
      </c>
      <c r="AA43" s="144">
        <f t="shared" si="21"/>
        <v>30</v>
      </c>
      <c r="AB43" s="145">
        <v>0</v>
      </c>
      <c r="AC43" s="145">
        <f>+(S43-T43)*V43-'data 1'!$F$4</f>
        <v>24.718500000000006</v>
      </c>
      <c r="AD43" s="145">
        <f t="shared" si="23"/>
        <v>-0.59838973890299696</v>
      </c>
      <c r="AE43" s="145">
        <f t="shared" si="24"/>
        <v>-36.930999999999997</v>
      </c>
      <c r="AF43" s="145">
        <f t="shared" si="25"/>
        <v>24.666405307030022</v>
      </c>
      <c r="AG43" s="772">
        <f>+IF(D43="RONALD WILLIAN GARIBAY ESCUDERO",AC43+AD43+AE43+AF43+70,AC43+AD43+AE43+AF43)+82</f>
        <v>93.855515568127032</v>
      </c>
      <c r="AH43" s="146">
        <f t="shared" si="27"/>
        <v>36.579908583579929</v>
      </c>
      <c r="AI43" s="156">
        <f t="shared" si="28"/>
        <v>26.017221167883022</v>
      </c>
      <c r="AJ43" s="156">
        <f t="shared" si="29"/>
        <v>32.965550780074658</v>
      </c>
      <c r="AK43" s="88"/>
      <c r="AL43" s="716">
        <f t="shared" si="30"/>
        <v>0</v>
      </c>
      <c r="AM43" s="596">
        <f t="shared" si="11"/>
        <v>40.743939166384415</v>
      </c>
    </row>
    <row r="44" spans="1:39" ht="15.75" customHeight="1">
      <c r="A44" s="857" t="s">
        <v>1453</v>
      </c>
      <c r="B44" s="595">
        <v>45656</v>
      </c>
      <c r="C44" s="595">
        <v>45645</v>
      </c>
      <c r="D44" t="s">
        <v>66</v>
      </c>
      <c r="E44">
        <v>10457401928</v>
      </c>
      <c r="F44" t="s">
        <v>1024</v>
      </c>
      <c r="G44" s="80">
        <v>90</v>
      </c>
      <c r="H44" t="s">
        <v>69</v>
      </c>
      <c r="I44" s="596">
        <v>7.73</v>
      </c>
      <c r="J44" s="596">
        <v>8.1</v>
      </c>
      <c r="K44" s="138">
        <f t="shared" si="18"/>
        <v>7.1038700000000006</v>
      </c>
      <c r="L44" s="139">
        <v>0.33700000000000002</v>
      </c>
      <c r="M44" s="139">
        <v>0.373</v>
      </c>
      <c r="N44" s="159">
        <v>0.32400000000000001</v>
      </c>
      <c r="O44" s="645">
        <f t="shared" si="19"/>
        <v>0.34899999999999998</v>
      </c>
      <c r="P44" s="629">
        <v>90</v>
      </c>
      <c r="Q44" s="760">
        <v>89.88</v>
      </c>
      <c r="R44" s="706">
        <v>2592.4499999999998</v>
      </c>
      <c r="S44" s="765">
        <f>IF((90+ROUNDDOWN(O44,1)*100)&lt;95,95,(90+ROUNDDOWN(O44,1)*100))</f>
        <v>120</v>
      </c>
      <c r="U44" s="953">
        <v>100</v>
      </c>
      <c r="V44" s="715">
        <v>1.1023000000000001</v>
      </c>
      <c r="Z44" s="143">
        <f t="shared" si="20"/>
        <v>30</v>
      </c>
      <c r="AA44" s="144">
        <f t="shared" si="21"/>
        <v>30</v>
      </c>
      <c r="AB44" s="145">
        <f>+((O44*P44*(R44-U44)/100)-S44-AA44+T44)*V44</f>
        <v>697.62202015349999</v>
      </c>
      <c r="AC44" s="145">
        <f>+(S44-T44)*V44-'data 1'!$F$4</f>
        <v>52.27600000000001</v>
      </c>
      <c r="AD44" s="145">
        <f t="shared" si="23"/>
        <v>-1.1110597355940421</v>
      </c>
      <c r="AE44" s="145">
        <f t="shared" si="24"/>
        <v>-36.930999999999997</v>
      </c>
      <c r="AF44" s="145">
        <f t="shared" si="25"/>
        <v>-29.632655500055886</v>
      </c>
      <c r="AG44" s="772">
        <f>+IF(D44="RONALD WILLIAN GARIBAY ESCUDERO",AC44+AD44+AE44+AF44+70,AC44+AD44+AE44+AF44)+70-53</f>
        <v>1.6012847643500834</v>
      </c>
      <c r="AH44" s="146">
        <f t="shared" si="27"/>
        <v>73.772931147551375</v>
      </c>
      <c r="AI44" s="156">
        <f t="shared" si="28"/>
        <v>88.66231726913405</v>
      </c>
      <c r="AJ44" s="156">
        <f t="shared" si="29"/>
        <v>76.501862930481281</v>
      </c>
      <c r="AK44" s="88"/>
      <c r="AL44" s="716">
        <f t="shared" si="30"/>
        <v>4955.8161403078448</v>
      </c>
      <c r="AM44" s="596">
        <f t="shared" si="11"/>
        <v>82.079362647475946</v>
      </c>
    </row>
    <row r="45" spans="1:39" ht="15.75" customHeight="1">
      <c r="A45" s="857" t="s">
        <v>1621</v>
      </c>
      <c r="B45" s="135"/>
      <c r="C45" s="595"/>
      <c r="E45" s="653"/>
      <c r="F45" s="869"/>
      <c r="G45" s="80"/>
      <c r="I45" s="596"/>
      <c r="J45" s="596"/>
      <c r="K45" s="138"/>
      <c r="L45" s="139"/>
      <c r="M45" s="139"/>
      <c r="N45" s="598"/>
      <c r="O45" s="645"/>
      <c r="P45" s="727"/>
      <c r="Q45" s="760"/>
      <c r="R45" s="706"/>
      <c r="S45" s="802"/>
      <c r="U45" s="947"/>
      <c r="V45" s="715"/>
      <c r="Z45" s="143"/>
      <c r="AA45" s="144"/>
      <c r="AB45" s="145"/>
      <c r="AC45" s="145"/>
      <c r="AD45" s="145"/>
      <c r="AE45" s="145"/>
      <c r="AF45" s="145"/>
      <c r="AG45" s="772"/>
      <c r="AH45" s="146"/>
      <c r="AI45" s="156"/>
      <c r="AJ45" s="156"/>
      <c r="AK45" s="88"/>
      <c r="AL45" s="716"/>
      <c r="AM45" s="596"/>
    </row>
    <row r="46" spans="1:39" ht="15.6" customHeight="1">
      <c r="A46" s="857" t="s">
        <v>1622</v>
      </c>
      <c r="B46" s="595"/>
      <c r="C46" s="595"/>
      <c r="E46" s="653"/>
      <c r="G46" s="80"/>
      <c r="I46" s="596"/>
      <c r="J46" s="596"/>
      <c r="K46" s="138"/>
      <c r="L46" s="139"/>
      <c r="M46" s="139"/>
      <c r="N46" s="598"/>
      <c r="O46" s="645"/>
      <c r="P46" s="629"/>
      <c r="R46" s="706"/>
      <c r="S46" s="802"/>
      <c r="U46" s="947"/>
      <c r="V46" s="715"/>
      <c r="Z46" s="143"/>
      <c r="AA46" s="144"/>
      <c r="AB46" s="145"/>
      <c r="AC46" s="145"/>
      <c r="AD46" s="145"/>
      <c r="AE46" s="145"/>
      <c r="AF46" s="145"/>
      <c r="AG46" s="772"/>
      <c r="AH46" s="146"/>
      <c r="AI46" s="156"/>
      <c r="AJ46" s="156"/>
      <c r="AK46" s="88"/>
      <c r="AL46" s="716"/>
      <c r="AM46" s="596"/>
    </row>
    <row r="47" spans="1:39" ht="15.75" customHeight="1">
      <c r="A47" s="857" t="s">
        <v>1457</v>
      </c>
      <c r="B47" s="595">
        <v>45657</v>
      </c>
      <c r="C47" s="595">
        <v>45646</v>
      </c>
      <c r="D47" t="s">
        <v>1152</v>
      </c>
      <c r="E47">
        <v>20606534923</v>
      </c>
      <c r="G47" s="80">
        <v>50</v>
      </c>
      <c r="H47" t="s">
        <v>69</v>
      </c>
      <c r="I47" s="596">
        <v>4.5999999999999996</v>
      </c>
      <c r="J47" s="596">
        <v>5.3</v>
      </c>
      <c r="K47" s="138">
        <f t="shared" ref="K47:K102" si="31">+I47-(I47*(J47/100))</f>
        <v>4.3561999999999994</v>
      </c>
      <c r="L47" s="139">
        <v>0.1</v>
      </c>
      <c r="M47" s="139">
        <v>0.09</v>
      </c>
      <c r="N47" s="159">
        <v>0.13100000000000001</v>
      </c>
      <c r="O47" s="645">
        <f t="shared" ref="O47:O94" si="32">+ROUND((M47+N47)/2,3)</f>
        <v>0.111</v>
      </c>
      <c r="P47" s="629">
        <v>85</v>
      </c>
      <c r="Q47">
        <v>89.77</v>
      </c>
      <c r="R47" s="706">
        <v>2616.4499999999998</v>
      </c>
      <c r="S47" s="765">
        <f>IF((90+ROUNDDOWN(O47,1)*100)&lt;95,95,(90+ROUNDDOWN(O47,1)*100))</f>
        <v>100</v>
      </c>
      <c r="U47" s="947">
        <v>130</v>
      </c>
      <c r="V47" s="715">
        <v>1.1023000000000001</v>
      </c>
      <c r="Y47">
        <v>25</v>
      </c>
      <c r="Z47" s="143">
        <f t="shared" si="20"/>
        <v>30</v>
      </c>
      <c r="AA47" s="144">
        <f t="shared" ref="AA47:AA102" si="33">+Y47+Z47</f>
        <v>55</v>
      </c>
      <c r="AB47" s="145">
        <f>+((O47*P47*(R47-U47)/100)-S47-AA47+T47)*V47</f>
        <v>87.739285332249992</v>
      </c>
      <c r="AC47" s="145">
        <f>+(S47-T47)*V47-'data 1'!$F$4</f>
        <v>30.230000000000004</v>
      </c>
      <c r="AD47" s="145">
        <f t="shared" ref="AD47:AD102" si="34">+(Q47-P47)*(R47-U47)*L47*V47/100</f>
        <v>13.073681992949989</v>
      </c>
      <c r="AE47" s="145">
        <f t="shared" ref="AE47:AE102" si="35">+(Y47*V47-70)+V47*(Z47-IF(D47="UNTUCA",IF(+((W47-3)*2.5+(X47-3)*3.1)&gt;0,+((W47-3)*1.5+(X47-3)*3.1),0),IF(+((W47-3)*1.5+(X47-3)*3.1)&gt;0,+((W47-3)*1.5+(X47-3)*3.1),0)))</f>
        <v>-9.3734999999999928</v>
      </c>
      <c r="AF47" s="145">
        <f t="shared" ref="AF47:AF102" si="36">(L47-O47)*(R47-U47)*Q47*V47/100</f>
        <v>-27.064714376474491</v>
      </c>
      <c r="AG47" s="772">
        <f>+IF(D47="RONALD WILLIAN GARIBAY ESCUDERO",AC47+AD47+AE47+AF47+70,AC47+AD47+AE47+AF47)</f>
        <v>6.865467616475506</v>
      </c>
      <c r="AH47" s="146">
        <f t="shared" ref="AH47:AH102" si="37">31.1035*L47*Q47*1.1023*K47/100</f>
        <v>13.407509246399515</v>
      </c>
      <c r="AI47" s="156">
        <f t="shared" ref="AI47:AI102" si="38">+((+$AI$2-R47+U47)*L47*Q47*V47)/100</f>
        <v>26.870815050050023</v>
      </c>
      <c r="AJ47" s="156">
        <f t="shared" ref="AJ47:AJ102" si="39">31.1035*1.1023*K47*P47*O47/100</f>
        <v>14.091550600398731</v>
      </c>
      <c r="AK47" s="88"/>
      <c r="AL47" s="716">
        <f t="shared" ref="AL47:AL102" si="40">+IF(AB47*K47&gt;0,AB47*K47,0)</f>
        <v>382.20987476434738</v>
      </c>
      <c r="AM47" s="596">
        <f t="shared" si="11"/>
        <v>14.935400742341001</v>
      </c>
    </row>
    <row r="48" spans="1:39" ht="15.75" customHeight="1">
      <c r="A48" s="857" t="s">
        <v>1458</v>
      </c>
      <c r="B48" s="135">
        <v>45657</v>
      </c>
      <c r="C48" s="595">
        <v>45646</v>
      </c>
      <c r="D48" t="s">
        <v>1152</v>
      </c>
      <c r="E48">
        <v>20606534923</v>
      </c>
      <c r="F48" s="869"/>
      <c r="G48" s="80">
        <v>48</v>
      </c>
      <c r="H48" t="s">
        <v>69</v>
      </c>
      <c r="I48" s="596">
        <v>4.6900000000000004</v>
      </c>
      <c r="J48" s="596">
        <v>5</v>
      </c>
      <c r="K48" s="138">
        <f t="shared" si="31"/>
        <v>4.4555000000000007</v>
      </c>
      <c r="L48" s="139">
        <v>0.11799999999999999</v>
      </c>
      <c r="M48" s="139">
        <v>0.108</v>
      </c>
      <c r="N48" s="159">
        <v>0.124</v>
      </c>
      <c r="O48" s="645">
        <f t="shared" si="32"/>
        <v>0.11600000000000001</v>
      </c>
      <c r="P48" s="727">
        <v>85</v>
      </c>
      <c r="Q48" s="760">
        <v>89.63</v>
      </c>
      <c r="R48" s="706">
        <v>2616.4499999999998</v>
      </c>
      <c r="S48" s="765">
        <f>IF((90+ROUNDDOWN(O48,1)*100)&lt;95,95,(90+ROUNDDOWN(O48,1)*100))</f>
        <v>100</v>
      </c>
      <c r="U48" s="947">
        <v>130</v>
      </c>
      <c r="V48" s="715">
        <v>1.1023000000000001</v>
      </c>
      <c r="Y48">
        <v>25</v>
      </c>
      <c r="Z48" s="143">
        <f t="shared" si="20"/>
        <v>30</v>
      </c>
      <c r="AA48" s="144">
        <f t="shared" si="33"/>
        <v>55</v>
      </c>
      <c r="AB48" s="145">
        <f>+((O48*P48*(R48-U48)/100)-S48-AA48+T48)*V48</f>
        <v>99.387744131000005</v>
      </c>
      <c r="AC48" s="145">
        <f>+(S48-T48)*V48-'data 1'!$F$4</f>
        <v>30.230000000000004</v>
      </c>
      <c r="AD48" s="145">
        <f t="shared" si="34"/>
        <v>14.974162306138986</v>
      </c>
      <c r="AE48" s="145">
        <f t="shared" si="35"/>
        <v>-9.3734999999999928</v>
      </c>
      <c r="AF48" s="145">
        <f t="shared" si="36"/>
        <v>4.9131828806209699</v>
      </c>
      <c r="AG48" s="772">
        <f>+IF(D48="RONALD WILLIAN GARIBAY ESCUDERO",AC48+AD48+AE48+AF48+70,AC48+AD48+AE48+AF48)</f>
        <v>40.74384518675997</v>
      </c>
      <c r="AH48" s="146">
        <f t="shared" si="37"/>
        <v>16.156263252326479</v>
      </c>
      <c r="AI48" s="156">
        <f t="shared" si="38"/>
        <v>31.658112514921019</v>
      </c>
      <c r="AJ48" s="156">
        <f t="shared" si="39"/>
        <v>15.061992680638021</v>
      </c>
      <c r="AK48" s="88"/>
      <c r="AL48" s="716">
        <f t="shared" si="40"/>
        <v>442.82209397567061</v>
      </c>
      <c r="AM48" s="596">
        <f t="shared" si="11"/>
        <v>18.025508481899454</v>
      </c>
    </row>
    <row r="49" spans="1:39" ht="15.75" customHeight="1">
      <c r="A49" s="857" t="s">
        <v>1459</v>
      </c>
      <c r="B49" s="135">
        <v>45657</v>
      </c>
      <c r="C49" s="595">
        <v>45646</v>
      </c>
      <c r="D49" t="s">
        <v>1152</v>
      </c>
      <c r="E49">
        <v>20606534923</v>
      </c>
      <c r="F49" s="869"/>
      <c r="G49" s="80">
        <v>50</v>
      </c>
      <c r="H49" t="s">
        <v>69</v>
      </c>
      <c r="I49" s="596">
        <v>4.57</v>
      </c>
      <c r="J49" s="596">
        <v>5.5</v>
      </c>
      <c r="K49" s="138">
        <f t="shared" si="31"/>
        <v>4.3186499999999999</v>
      </c>
      <c r="L49" s="139">
        <v>7.0999999999999994E-2</v>
      </c>
      <c r="M49" s="139">
        <v>6.0999999999999999E-2</v>
      </c>
      <c r="N49" s="159">
        <v>6.0999999999999999E-2</v>
      </c>
      <c r="O49" s="645">
        <f t="shared" si="32"/>
        <v>6.0999999999999999E-2</v>
      </c>
      <c r="P49" s="727">
        <v>85</v>
      </c>
      <c r="Q49" s="760">
        <v>88.16</v>
      </c>
      <c r="R49" s="706">
        <v>2616.4499999999998</v>
      </c>
      <c r="S49" s="765">
        <f>IF((90+ROUNDDOWN(O49,1)*100)&lt;95,95,(90+ROUNDDOWN(O49,1)*100))</f>
        <v>95</v>
      </c>
      <c r="U49" s="947">
        <v>100</v>
      </c>
      <c r="V49" s="715">
        <v>1.1023000000000001</v>
      </c>
      <c r="Y49">
        <v>20</v>
      </c>
      <c r="Z49" s="143">
        <f t="shared" si="20"/>
        <v>30</v>
      </c>
      <c r="AA49" s="144">
        <f t="shared" si="33"/>
        <v>50</v>
      </c>
      <c r="AB49" s="145">
        <v>0</v>
      </c>
      <c r="AC49" s="145">
        <f>+(S49-T49)*V49-'data 1'!$F$4</f>
        <v>24.718500000000006</v>
      </c>
      <c r="AD49" s="145">
        <f t="shared" si="34"/>
        <v>6.2234835286059935</v>
      </c>
      <c r="AE49" s="145">
        <f t="shared" si="35"/>
        <v>-14.884999999999998</v>
      </c>
      <c r="AF49" s="145">
        <f t="shared" si="36"/>
        <v>24.454551073359983</v>
      </c>
      <c r="AG49" s="772">
        <f>+IF(D49="RONALD WILLIAN GARIBAY ESCUDERO",AC49+AD49+AE49+AF49+70,AC49+AD49+AE49+AF49)+6</f>
        <v>46.511534601965984</v>
      </c>
      <c r="AH49" s="146">
        <f t="shared" si="37"/>
        <v>9.2680209768104405</v>
      </c>
      <c r="AI49" s="156">
        <f t="shared" si="38"/>
        <v>16.666207301384009</v>
      </c>
      <c r="AJ49" s="156">
        <f t="shared" si="39"/>
        <v>7.6772527486455688</v>
      </c>
      <c r="AK49" s="88"/>
      <c r="AL49" s="716">
        <f t="shared" si="40"/>
        <v>0</v>
      </c>
      <c r="AM49" s="596">
        <f t="shared" si="11"/>
        <v>10.512727968251408</v>
      </c>
    </row>
    <row r="50" spans="1:39" ht="15.75" customHeight="1">
      <c r="A50" s="857" t="s">
        <v>1466</v>
      </c>
      <c r="B50" s="595">
        <v>45650</v>
      </c>
      <c r="C50" s="595">
        <v>45646</v>
      </c>
      <c r="D50" t="s">
        <v>119</v>
      </c>
      <c r="E50">
        <v>10082235774</v>
      </c>
      <c r="G50" s="80">
        <v>35</v>
      </c>
      <c r="H50" t="s">
        <v>69</v>
      </c>
      <c r="I50" s="596">
        <v>3.85</v>
      </c>
      <c r="J50" s="596">
        <v>1.1000000000000001</v>
      </c>
      <c r="K50" s="138">
        <f t="shared" si="31"/>
        <v>3.8076500000000002</v>
      </c>
      <c r="L50" s="139">
        <v>0.83199999999999996</v>
      </c>
      <c r="M50" s="139">
        <v>0.81899999999999995</v>
      </c>
      <c r="N50" s="159">
        <v>0.81899999999999995</v>
      </c>
      <c r="O50" s="139">
        <f t="shared" si="32"/>
        <v>0.81899999999999995</v>
      </c>
      <c r="P50" s="629">
        <v>90</v>
      </c>
      <c r="Q50" s="760">
        <v>89</v>
      </c>
      <c r="R50" s="706">
        <v>2616.4499999999998</v>
      </c>
      <c r="S50" s="802">
        <v>140</v>
      </c>
      <c r="U50" s="947">
        <v>80</v>
      </c>
      <c r="V50" s="715">
        <v>1.1023000000000001</v>
      </c>
      <c r="Z50" s="160">
        <v>10</v>
      </c>
      <c r="AA50" s="144">
        <f t="shared" si="33"/>
        <v>10</v>
      </c>
      <c r="AB50" s="145">
        <f t="shared" ref="AB50:AB61" si="41">+((O50*P50*(R50-U50)/100)-S50-AA50+T50)*V50</f>
        <v>1895.5341442784995</v>
      </c>
      <c r="AC50" s="145">
        <f>+(S50-T50)*V50-'data 1'!$F$4</f>
        <v>74.322000000000003</v>
      </c>
      <c r="AD50" s="145">
        <f t="shared" si="34"/>
        <v>-23.2621279072</v>
      </c>
      <c r="AE50" s="145">
        <f t="shared" si="35"/>
        <v>-58.977000000000004</v>
      </c>
      <c r="AF50" s="145">
        <f t="shared" si="36"/>
        <v>32.348896620950029</v>
      </c>
      <c r="AG50" s="772">
        <f t="shared" ref="AG50:AG58" si="42">+IF(D50="RONALD WILLIAN GARIBAY ESCUDERO",AC50+AD50+AE50+AF50+70,AC50+AD50+AE50+AF50)+70</f>
        <v>94.431768713750031</v>
      </c>
      <c r="AH50" s="146">
        <f t="shared" si="37"/>
        <v>96.667263222099152</v>
      </c>
      <c r="AI50" s="156">
        <f t="shared" si="38"/>
        <v>180.83600109120016</v>
      </c>
      <c r="AJ50" s="156">
        <f t="shared" si="39"/>
        <v>96.226015180706185</v>
      </c>
      <c r="AK50" s="88"/>
      <c r="AL50" s="716">
        <f t="shared" si="40"/>
        <v>7217.5305844620289</v>
      </c>
      <c r="AM50" s="596">
        <f t="shared" si="11"/>
        <v>108.61490249674061</v>
      </c>
    </row>
    <row r="51" spans="1:39" ht="15.75" customHeight="1">
      <c r="A51" s="857" t="s">
        <v>1467</v>
      </c>
      <c r="B51" s="595">
        <v>45650</v>
      </c>
      <c r="C51" s="595">
        <v>45646</v>
      </c>
      <c r="D51" t="s">
        <v>119</v>
      </c>
      <c r="E51">
        <v>10082235774</v>
      </c>
      <c r="G51" s="80">
        <v>39</v>
      </c>
      <c r="H51" t="s">
        <v>69</v>
      </c>
      <c r="I51" s="596">
        <v>3.83</v>
      </c>
      <c r="J51" s="596">
        <v>1.1000000000000001</v>
      </c>
      <c r="K51" s="138">
        <f t="shared" si="31"/>
        <v>3.7878699999999998</v>
      </c>
      <c r="L51" s="139">
        <v>0.42399999999999999</v>
      </c>
      <c r="M51" s="139">
        <v>0.41799999999999998</v>
      </c>
      <c r="N51" s="159">
        <v>0.41799999999999998</v>
      </c>
      <c r="O51" s="139">
        <f t="shared" si="32"/>
        <v>0.41799999999999998</v>
      </c>
      <c r="P51" s="629">
        <v>90</v>
      </c>
      <c r="Q51" s="760">
        <v>89.46</v>
      </c>
      <c r="R51" s="706">
        <v>2616.4499999999998</v>
      </c>
      <c r="S51" s="802">
        <v>115</v>
      </c>
      <c r="U51" s="947">
        <v>80</v>
      </c>
      <c r="V51" s="715">
        <v>1.1023000000000001</v>
      </c>
      <c r="Z51" s="160">
        <v>10</v>
      </c>
      <c r="AA51" s="144">
        <f t="shared" si="33"/>
        <v>10</v>
      </c>
      <c r="AB51" s="145">
        <f t="shared" si="41"/>
        <v>914.04092772699983</v>
      </c>
      <c r="AC51" s="145">
        <f>+(S51-T51)*V51-'data 1'!$F$4</f>
        <v>46.764500000000012</v>
      </c>
      <c r="AD51" s="145">
        <f t="shared" si="34"/>
        <v>-6.4015586606160726</v>
      </c>
      <c r="AE51" s="145">
        <f t="shared" si="35"/>
        <v>-58.977000000000004</v>
      </c>
      <c r="AF51" s="145">
        <f t="shared" si="36"/>
        <v>15.007427614746014</v>
      </c>
      <c r="AG51" s="772">
        <f t="shared" si="42"/>
        <v>66.393368954129954</v>
      </c>
      <c r="AH51" s="146">
        <f t="shared" si="37"/>
        <v>49.26050789490472</v>
      </c>
      <c r="AI51" s="156">
        <f t="shared" si="38"/>
        <v>92.633124335976063</v>
      </c>
      <c r="AJ51" s="156">
        <f t="shared" si="39"/>
        <v>48.856564623757116</v>
      </c>
      <c r="AK51" s="88"/>
      <c r="AL51" s="716">
        <f t="shared" si="40"/>
        <v>3462.2682089092705</v>
      </c>
      <c r="AM51" s="596">
        <f t="shared" si="11"/>
        <v>55.064283361172279</v>
      </c>
    </row>
    <row r="52" spans="1:39" ht="15.75" customHeight="1">
      <c r="A52" s="857" t="s">
        <v>1468</v>
      </c>
      <c r="B52" s="595">
        <v>45650</v>
      </c>
      <c r="C52" s="595">
        <v>45646</v>
      </c>
      <c r="D52" t="s">
        <v>119</v>
      </c>
      <c r="E52">
        <v>10082235774</v>
      </c>
      <c r="G52" s="80">
        <v>40</v>
      </c>
      <c r="H52" t="s">
        <v>69</v>
      </c>
      <c r="I52" s="596">
        <v>3.95</v>
      </c>
      <c r="J52" s="596">
        <v>1.9</v>
      </c>
      <c r="K52" s="138">
        <f t="shared" si="31"/>
        <v>3.8749500000000001</v>
      </c>
      <c r="L52" s="139">
        <v>0.41899999999999998</v>
      </c>
      <c r="M52" s="139">
        <v>0.41299999999999998</v>
      </c>
      <c r="N52" s="159">
        <v>0.41299999999999998</v>
      </c>
      <c r="O52" s="139">
        <f t="shared" si="32"/>
        <v>0.41299999999999998</v>
      </c>
      <c r="P52" s="629">
        <v>90</v>
      </c>
      <c r="Q52" s="760">
        <v>89.37</v>
      </c>
      <c r="R52" s="706">
        <v>2616.4499999999998</v>
      </c>
      <c r="S52" s="802">
        <v>115</v>
      </c>
      <c r="U52" s="947">
        <v>80</v>
      </c>
      <c r="V52" s="715">
        <v>1.1023000000000001</v>
      </c>
      <c r="Z52" s="160">
        <v>10</v>
      </c>
      <c r="AA52" s="144">
        <f t="shared" si="33"/>
        <v>10</v>
      </c>
      <c r="AB52" s="145">
        <f t="shared" si="41"/>
        <v>901.45924796949987</v>
      </c>
      <c r="AC52" s="145">
        <f>+(S52-T52)*V52-'data 1'!$F$4</f>
        <v>46.764500000000012</v>
      </c>
      <c r="AD52" s="145">
        <f t="shared" si="34"/>
        <v>-7.3804133457494459</v>
      </c>
      <c r="AE52" s="145">
        <f t="shared" si="35"/>
        <v>-58.977000000000004</v>
      </c>
      <c r="AF52" s="145">
        <f t="shared" si="36"/>
        <v>14.992329599037014</v>
      </c>
      <c r="AG52" s="772">
        <f t="shared" si="42"/>
        <v>65.399416253287569</v>
      </c>
      <c r="AH52" s="146">
        <f t="shared" si="37"/>
        <v>49.748610266590497</v>
      </c>
      <c r="AI52" s="156">
        <f t="shared" si="38"/>
        <v>91.448659274269573</v>
      </c>
      <c r="AJ52" s="156">
        <f t="shared" si="39"/>
        <v>49.381892916529971</v>
      </c>
      <c r="AK52" s="88"/>
      <c r="AL52" s="716">
        <f t="shared" si="40"/>
        <v>3493.1095129194136</v>
      </c>
      <c r="AM52" s="596">
        <f t="shared" si="11"/>
        <v>55.665894893801607</v>
      </c>
    </row>
    <row r="53" spans="1:39" ht="15.75" customHeight="1">
      <c r="A53" s="857" t="s">
        <v>1469</v>
      </c>
      <c r="B53" s="595">
        <v>45650</v>
      </c>
      <c r="C53" s="595">
        <v>45646</v>
      </c>
      <c r="D53" t="s">
        <v>119</v>
      </c>
      <c r="E53">
        <v>10082235774</v>
      </c>
      <c r="G53" s="80">
        <v>36</v>
      </c>
      <c r="H53" t="s">
        <v>69</v>
      </c>
      <c r="I53" s="596">
        <v>3.76</v>
      </c>
      <c r="J53" s="596">
        <v>1.8</v>
      </c>
      <c r="K53" s="138">
        <f t="shared" si="31"/>
        <v>3.6923199999999996</v>
      </c>
      <c r="L53" s="139">
        <v>0.57999999999999996</v>
      </c>
      <c r="M53" s="139">
        <v>0.57099999999999995</v>
      </c>
      <c r="N53" s="159">
        <v>0.57099999999999995</v>
      </c>
      <c r="O53" s="139">
        <f t="shared" si="32"/>
        <v>0.57099999999999995</v>
      </c>
      <c r="P53" s="629">
        <v>90</v>
      </c>
      <c r="Q53" s="760">
        <v>89</v>
      </c>
      <c r="R53" s="706">
        <v>2616.4499999999998</v>
      </c>
      <c r="S53" s="802">
        <v>120</v>
      </c>
      <c r="U53" s="947">
        <v>80</v>
      </c>
      <c r="V53" s="715">
        <v>1.1023000000000001</v>
      </c>
      <c r="Z53" s="160">
        <v>10</v>
      </c>
      <c r="AA53" s="144">
        <f t="shared" si="33"/>
        <v>10</v>
      </c>
      <c r="AB53" s="145">
        <f t="shared" si="41"/>
        <v>1293.5288283064999</v>
      </c>
      <c r="AC53" s="145">
        <f>+(S53-T53)*V53-'data 1'!$F$4</f>
        <v>52.27600000000001</v>
      </c>
      <c r="AD53" s="145">
        <f t="shared" si="34"/>
        <v>-16.216387243</v>
      </c>
      <c r="AE53" s="145">
        <f t="shared" si="35"/>
        <v>-58.977000000000004</v>
      </c>
      <c r="AF53" s="145">
        <f t="shared" si="36"/>
        <v>22.395389968350017</v>
      </c>
      <c r="AG53" s="772">
        <f t="shared" si="42"/>
        <v>69.478002725350024</v>
      </c>
      <c r="AH53" s="146">
        <f t="shared" si="37"/>
        <v>65.347112511265365</v>
      </c>
      <c r="AI53" s="156">
        <f t="shared" si="38"/>
        <v>126.06355845300011</v>
      </c>
      <c r="AJ53" s="156">
        <f t="shared" si="39"/>
        <v>65.05594947605438</v>
      </c>
      <c r="AK53" s="88"/>
      <c r="AL53" s="716">
        <f t="shared" si="40"/>
        <v>4776.1223633326554</v>
      </c>
      <c r="AM53" s="596">
        <f t="shared" si="11"/>
        <v>73.423721922770071</v>
      </c>
    </row>
    <row r="54" spans="1:39" ht="15.75" customHeight="1">
      <c r="A54" s="857" t="s">
        <v>1470</v>
      </c>
      <c r="B54" s="595">
        <v>45650</v>
      </c>
      <c r="C54" s="595">
        <v>45646</v>
      </c>
      <c r="D54" t="s">
        <v>119</v>
      </c>
      <c r="E54">
        <v>10082235774</v>
      </c>
      <c r="G54" s="80">
        <v>28</v>
      </c>
      <c r="H54" t="s">
        <v>69</v>
      </c>
      <c r="I54" s="596">
        <v>2.4700000000000002</v>
      </c>
      <c r="J54" s="596">
        <v>1</v>
      </c>
      <c r="K54" s="138">
        <f t="shared" si="31"/>
        <v>2.4453</v>
      </c>
      <c r="L54" s="139">
        <v>1.089</v>
      </c>
      <c r="M54" s="139">
        <v>1.0720000000000001</v>
      </c>
      <c r="N54" s="159">
        <v>1.0720000000000001</v>
      </c>
      <c r="O54" s="139">
        <f t="shared" si="32"/>
        <v>1.0720000000000001</v>
      </c>
      <c r="P54" s="629">
        <v>90</v>
      </c>
      <c r="Q54" s="760">
        <v>89.52</v>
      </c>
      <c r="R54" s="706">
        <v>2616.4499999999998</v>
      </c>
      <c r="S54" s="802">
        <v>160</v>
      </c>
      <c r="U54" s="947">
        <v>80</v>
      </c>
      <c r="V54" s="715">
        <v>1.1023000000000001</v>
      </c>
      <c r="Z54" s="160">
        <v>10</v>
      </c>
      <c r="AA54" s="144">
        <f t="shared" si="33"/>
        <v>10</v>
      </c>
      <c r="AB54" s="145">
        <f t="shared" si="41"/>
        <v>2510.1211400080001</v>
      </c>
      <c r="AC54" s="145">
        <f>+(S54-T54)*V54-'data 1'!$F$4</f>
        <v>96.367999999999995</v>
      </c>
      <c r="AD54" s="145">
        <f t="shared" si="34"/>
        <v>-14.614879206312123</v>
      </c>
      <c r="AE54" s="145">
        <f t="shared" si="35"/>
        <v>-58.977000000000004</v>
      </c>
      <c r="AF54" s="145">
        <f t="shared" si="36"/>
        <v>42.549563382563754</v>
      </c>
      <c r="AG54" s="772">
        <f t="shared" si="42"/>
        <v>135.32568417625163</v>
      </c>
      <c r="AH54" s="146">
        <f t="shared" si="37"/>
        <v>81.731443712542855</v>
      </c>
      <c r="AI54" s="156">
        <f t="shared" si="38"/>
        <v>238.07813678233219</v>
      </c>
      <c r="AJ54" s="156">
        <f t="shared" si="39"/>
        <v>80.886959707832006</v>
      </c>
      <c r="AK54" s="88"/>
      <c r="AL54" s="716">
        <f t="shared" si="40"/>
        <v>6137.9992236615626</v>
      </c>
      <c r="AM54" s="596">
        <f t="shared" si="11"/>
        <v>91.299646685146172</v>
      </c>
    </row>
    <row r="55" spans="1:39" ht="15.75" customHeight="1">
      <c r="A55" s="857" t="s">
        <v>1471</v>
      </c>
      <c r="B55" s="595">
        <v>45650</v>
      </c>
      <c r="C55" s="595">
        <v>45646</v>
      </c>
      <c r="D55" t="s">
        <v>119</v>
      </c>
      <c r="E55">
        <v>10082235774</v>
      </c>
      <c r="G55" s="80">
        <v>42</v>
      </c>
      <c r="H55" t="s">
        <v>69</v>
      </c>
      <c r="I55" s="596">
        <v>4.0199999999999996</v>
      </c>
      <c r="J55" s="596">
        <v>1.9</v>
      </c>
      <c r="K55" s="138">
        <f t="shared" si="31"/>
        <v>3.9436199999999997</v>
      </c>
      <c r="L55" s="139">
        <v>0.32700000000000001</v>
      </c>
      <c r="M55" s="139">
        <v>0.32200000000000001</v>
      </c>
      <c r="N55" s="159">
        <v>0.32200000000000001</v>
      </c>
      <c r="O55" s="139">
        <f t="shared" si="32"/>
        <v>0.32200000000000001</v>
      </c>
      <c r="P55" s="629">
        <v>90</v>
      </c>
      <c r="Q55" s="760">
        <v>89.43</v>
      </c>
      <c r="R55" s="706">
        <v>2616.4499999999998</v>
      </c>
      <c r="S55" s="802">
        <v>110</v>
      </c>
      <c r="U55" s="947">
        <v>80</v>
      </c>
      <c r="V55" s="715">
        <v>1.1023000000000001</v>
      </c>
      <c r="Z55" s="160">
        <v>10</v>
      </c>
      <c r="AA55" s="144">
        <f t="shared" si="33"/>
        <v>10</v>
      </c>
      <c r="AB55" s="145">
        <f t="shared" si="41"/>
        <v>677.98417638299998</v>
      </c>
      <c r="AC55" s="145">
        <f>+(S55-T55)*V55-'data 1'!$F$4</f>
        <v>41.253</v>
      </c>
      <c r="AD55" s="145">
        <f t="shared" si="34"/>
        <v>-5.2113317555564382</v>
      </c>
      <c r="AE55" s="145">
        <f t="shared" si="35"/>
        <v>-58.977000000000004</v>
      </c>
      <c r="AF55" s="145">
        <f t="shared" si="36"/>
        <v>12.501995785702512</v>
      </c>
      <c r="AG55" s="772">
        <f t="shared" si="42"/>
        <v>59.566664030146072</v>
      </c>
      <c r="AH55" s="146">
        <f t="shared" si="37"/>
        <v>39.539858715524062</v>
      </c>
      <c r="AI55" s="156">
        <f t="shared" si="38"/>
        <v>71.417154951796576</v>
      </c>
      <c r="AJ55" s="156">
        <f t="shared" si="39"/>
        <v>39.183435477900538</v>
      </c>
      <c r="AK55" s="88"/>
      <c r="AL55" s="716">
        <f t="shared" si="40"/>
        <v>2673.7119576675263</v>
      </c>
      <c r="AM55" s="596">
        <f t="shared" si="11"/>
        <v>44.213193241109309</v>
      </c>
    </row>
    <row r="56" spans="1:39" ht="15.75" customHeight="1">
      <c r="A56" s="857" t="s">
        <v>1472</v>
      </c>
      <c r="B56" s="595">
        <v>45650</v>
      </c>
      <c r="C56" s="595">
        <v>45646</v>
      </c>
      <c r="D56" t="s">
        <v>119</v>
      </c>
      <c r="E56">
        <v>10082235774</v>
      </c>
      <c r="G56" s="80">
        <v>37</v>
      </c>
      <c r="H56" t="s">
        <v>69</v>
      </c>
      <c r="I56" s="596">
        <v>3.21</v>
      </c>
      <c r="J56" s="596">
        <v>1.7</v>
      </c>
      <c r="K56" s="138">
        <f t="shared" si="31"/>
        <v>3.15543</v>
      </c>
      <c r="L56" s="139">
        <v>1.1399999999999999</v>
      </c>
      <c r="M56" s="139">
        <v>1.123</v>
      </c>
      <c r="N56" s="159">
        <v>1.123</v>
      </c>
      <c r="O56" s="139">
        <f t="shared" si="32"/>
        <v>1.123</v>
      </c>
      <c r="P56" s="629">
        <v>90</v>
      </c>
      <c r="Q56" s="760">
        <v>89</v>
      </c>
      <c r="R56" s="706">
        <v>2616.4499999999998</v>
      </c>
      <c r="S56" s="802">
        <v>170</v>
      </c>
      <c r="U56" s="947">
        <v>80</v>
      </c>
      <c r="V56" s="715">
        <v>1.1023000000000001</v>
      </c>
      <c r="Z56" s="160">
        <v>10</v>
      </c>
      <c r="AA56" s="144">
        <f t="shared" si="33"/>
        <v>10</v>
      </c>
      <c r="AB56" s="145">
        <f t="shared" si="41"/>
        <v>2627.4312735344997</v>
      </c>
      <c r="AC56" s="145">
        <f>+(S56-T56)*V56-'data 1'!$F$4</f>
        <v>107.39100000000002</v>
      </c>
      <c r="AD56" s="145">
        <f t="shared" si="34"/>
        <v>-31.873588718999994</v>
      </c>
      <c r="AE56" s="145">
        <f t="shared" si="35"/>
        <v>-58.977000000000004</v>
      </c>
      <c r="AF56" s="145">
        <f t="shared" si="36"/>
        <v>42.30240327354975</v>
      </c>
      <c r="AG56" s="772">
        <f t="shared" si="42"/>
        <v>128.84281455454976</v>
      </c>
      <c r="AH56" s="146">
        <f t="shared" si="37"/>
        <v>109.76464508802481</v>
      </c>
      <c r="AI56" s="156">
        <f t="shared" si="38"/>
        <v>247.78009764900017</v>
      </c>
      <c r="AJ56" s="156">
        <f t="shared" si="39"/>
        <v>109.34272303416785</v>
      </c>
      <c r="AK56" s="88"/>
      <c r="AL56" s="716">
        <f t="shared" si="40"/>
        <v>8290.6754634489662</v>
      </c>
      <c r="AM56" s="596">
        <f t="shared" si="11"/>
        <v>123.33106189665709</v>
      </c>
    </row>
    <row r="57" spans="1:39" ht="15.75" customHeight="1">
      <c r="A57" s="857" t="s">
        <v>1473</v>
      </c>
      <c r="B57" s="595">
        <v>45650</v>
      </c>
      <c r="C57" s="595">
        <v>45646</v>
      </c>
      <c r="D57" t="s">
        <v>119</v>
      </c>
      <c r="E57">
        <v>10082235774</v>
      </c>
      <c r="G57" s="80">
        <v>38</v>
      </c>
      <c r="H57" t="s">
        <v>69</v>
      </c>
      <c r="I57" s="596">
        <v>3.2</v>
      </c>
      <c r="J57" s="596">
        <v>1.1000000000000001</v>
      </c>
      <c r="K57" s="138">
        <f t="shared" si="31"/>
        <v>3.1648000000000001</v>
      </c>
      <c r="L57" s="139">
        <v>0.50600000000000001</v>
      </c>
      <c r="M57" s="139">
        <v>0.498</v>
      </c>
      <c r="N57" s="159">
        <v>0.498</v>
      </c>
      <c r="O57" s="139">
        <f t="shared" si="32"/>
        <v>0.498</v>
      </c>
      <c r="P57" s="629">
        <v>90</v>
      </c>
      <c r="Q57" s="760">
        <v>89</v>
      </c>
      <c r="R57" s="706">
        <v>2616.4499999999998</v>
      </c>
      <c r="S57" s="802">
        <v>115</v>
      </c>
      <c r="U57" s="947">
        <v>80</v>
      </c>
      <c r="V57" s="715">
        <v>1.1023000000000001</v>
      </c>
      <c r="Z57" s="160">
        <v>10</v>
      </c>
      <c r="AA57" s="144">
        <f t="shared" si="33"/>
        <v>10</v>
      </c>
      <c r="AB57" s="145">
        <f t="shared" si="41"/>
        <v>1115.347803847</v>
      </c>
      <c r="AC57" s="145">
        <f>+(S57-T57)*V57-'data 1'!$F$4</f>
        <v>46.764500000000012</v>
      </c>
      <c r="AD57" s="145">
        <f t="shared" si="34"/>
        <v>-14.147399905099999</v>
      </c>
      <c r="AE57" s="145">
        <f t="shared" si="35"/>
        <v>-58.977000000000004</v>
      </c>
      <c r="AF57" s="145">
        <f t="shared" si="36"/>
        <v>19.907013305200017</v>
      </c>
      <c r="AG57" s="772">
        <f t="shared" si="42"/>
        <v>63.547113400100024</v>
      </c>
      <c r="AH57" s="146">
        <f t="shared" si="37"/>
        <v>48.864770419962227</v>
      </c>
      <c r="AI57" s="156">
        <f t="shared" si="38"/>
        <v>109.97958720210011</v>
      </c>
      <c r="AJ57" s="156">
        <f t="shared" si="39"/>
        <v>48.632566732306849</v>
      </c>
      <c r="AK57" s="88"/>
      <c r="AL57" s="716">
        <f t="shared" si="40"/>
        <v>3529.8527296149859</v>
      </c>
      <c r="AM57" s="596">
        <f t="shared" si="11"/>
        <v>54.904236426923852</v>
      </c>
    </row>
    <row r="58" spans="1:39" ht="15.75" customHeight="1">
      <c r="A58" s="857" t="s">
        <v>1474</v>
      </c>
      <c r="B58" s="595">
        <v>45650</v>
      </c>
      <c r="C58" s="595">
        <v>45646</v>
      </c>
      <c r="D58" t="s">
        <v>119</v>
      </c>
      <c r="E58">
        <v>10082235774</v>
      </c>
      <c r="G58" s="80">
        <v>57</v>
      </c>
      <c r="H58" t="s">
        <v>69</v>
      </c>
      <c r="I58" s="596">
        <v>5</v>
      </c>
      <c r="J58" s="596">
        <v>1.5</v>
      </c>
      <c r="K58" s="138">
        <f t="shared" si="31"/>
        <v>4.9249999999999998</v>
      </c>
      <c r="L58" s="139">
        <v>1.0660000000000001</v>
      </c>
      <c r="M58" s="139">
        <v>1.05</v>
      </c>
      <c r="N58" s="159">
        <v>1.05</v>
      </c>
      <c r="O58" s="139">
        <f t="shared" si="32"/>
        <v>1.05</v>
      </c>
      <c r="P58" s="629">
        <v>90</v>
      </c>
      <c r="Q58" s="760">
        <v>89</v>
      </c>
      <c r="R58" s="706">
        <v>2616.4499999999998</v>
      </c>
      <c r="S58" s="802">
        <v>160</v>
      </c>
      <c r="U58" s="947">
        <v>80</v>
      </c>
      <c r="V58" s="715">
        <v>1.1023000000000001</v>
      </c>
      <c r="Z58" s="160">
        <v>10</v>
      </c>
      <c r="AA58" s="144">
        <f t="shared" si="33"/>
        <v>10</v>
      </c>
      <c r="AB58" s="145">
        <f t="shared" si="41"/>
        <v>2454.7617490749999</v>
      </c>
      <c r="AC58" s="145">
        <f>+(S58-T58)*V58-'data 1'!$F$4</f>
        <v>96.367999999999995</v>
      </c>
      <c r="AD58" s="145">
        <f t="shared" si="34"/>
        <v>-29.804601381099999</v>
      </c>
      <c r="AE58" s="145">
        <f t="shared" si="35"/>
        <v>-58.977000000000004</v>
      </c>
      <c r="AF58" s="145">
        <f t="shared" si="36"/>
        <v>39.814026610400035</v>
      </c>
      <c r="AG58" s="772">
        <f t="shared" si="42"/>
        <v>117.40042522930003</v>
      </c>
      <c r="AH58" s="146">
        <f t="shared" si="37"/>
        <v>160.20000136339323</v>
      </c>
      <c r="AI58" s="156">
        <f t="shared" si="38"/>
        <v>231.6961263981002</v>
      </c>
      <c r="AJ58" s="156">
        <f t="shared" si="39"/>
        <v>159.56848165820625</v>
      </c>
      <c r="AK58" s="88"/>
      <c r="AL58" s="716">
        <f t="shared" si="40"/>
        <v>12089.701614194373</v>
      </c>
      <c r="AM58" s="596">
        <f t="shared" si="11"/>
        <v>180.00000153190251</v>
      </c>
    </row>
    <row r="59" spans="1:39" ht="15.75" customHeight="1">
      <c r="A59" s="857" t="s">
        <v>1475</v>
      </c>
      <c r="B59" s="595">
        <v>45656</v>
      </c>
      <c r="C59" s="595">
        <v>45646</v>
      </c>
      <c r="D59" t="s">
        <v>66</v>
      </c>
      <c r="E59">
        <v>10457401928</v>
      </c>
      <c r="F59" t="s">
        <v>1024</v>
      </c>
      <c r="G59" s="80">
        <v>85</v>
      </c>
      <c r="H59" t="s">
        <v>69</v>
      </c>
      <c r="I59" s="596">
        <v>7.45</v>
      </c>
      <c r="J59" s="596">
        <v>7</v>
      </c>
      <c r="K59" s="138">
        <f t="shared" si="31"/>
        <v>6.9284999999999997</v>
      </c>
      <c r="L59" s="139">
        <v>0.36899999999999999</v>
      </c>
      <c r="M59" s="1000">
        <v>0.35424</v>
      </c>
      <c r="N59" s="159">
        <v>0.35424</v>
      </c>
      <c r="O59" s="139">
        <f t="shared" si="32"/>
        <v>0.35399999999999998</v>
      </c>
      <c r="P59" s="629">
        <v>90</v>
      </c>
      <c r="Q59" s="760">
        <v>89.53</v>
      </c>
      <c r="R59" s="706">
        <v>2616.4499999999998</v>
      </c>
      <c r="S59" s="765">
        <f t="shared" ref="S59:S70" si="43">IF((90+ROUNDDOWN(O59,1)*100)&lt;95,95,(90+ROUNDDOWN(O59,1)*100))</f>
        <v>120</v>
      </c>
      <c r="U59" s="947">
        <v>100</v>
      </c>
      <c r="V59" s="715">
        <v>1.1023000000000001</v>
      </c>
      <c r="Z59" s="143">
        <f t="shared" ref="Z59:Z102" si="44">IF(IF(D59="UNTUCA",IF(+((W59-3)*1.5+(X59-3)*3.1)&gt;0,+((W59-3)*1.5+(X59-3)*3.1),0),IF(+((W59-3)*1.5+(X59-3)*3.1)&gt;0,+((W59-3)*1.5+(X59-3)*3.1),0))&lt;30,30,IF(D59="UNTUCA",IF(+((W59-3)*1.5+(X59-3)*3.1)&gt;0,+((W59-3)*1.5+(X59-3)*3.1),0),IF(+((W59-3)*1.5+(X59-3)*3.1)&gt;0,+((W59-3)*1.5+(X59-3)*3.1),0)))</f>
        <v>30</v>
      </c>
      <c r="AA59" s="144">
        <f t="shared" si="33"/>
        <v>30</v>
      </c>
      <c r="AB59" s="145">
        <f t="shared" si="41"/>
        <v>718.41407123099998</v>
      </c>
      <c r="AC59" s="145">
        <f>+(S59-T59)*V59-'data 1'!$F$4</f>
        <v>52.27600000000001</v>
      </c>
      <c r="AD59" s="145">
        <f t="shared" si="34"/>
        <v>-4.8107450007404884</v>
      </c>
      <c r="AE59" s="145">
        <f t="shared" si="35"/>
        <v>-36.930999999999997</v>
      </c>
      <c r="AF59" s="145">
        <f t="shared" si="36"/>
        <v>37.251859532632537</v>
      </c>
      <c r="AG59" s="772">
        <f>+IF(D59="RONALD WILLIAN GARIBAY ESCUDERO",AC59+AD59+AE59+AF59+70,AC59+AD59+AE59+AF59)+70-53</f>
        <v>64.786114531892053</v>
      </c>
      <c r="AH59" s="146">
        <f t="shared" si="37"/>
        <v>78.477153350431138</v>
      </c>
      <c r="AI59" s="156">
        <f t="shared" si="38"/>
        <v>87.963357938620575</v>
      </c>
      <c r="AJ59" s="156">
        <f t="shared" si="39"/>
        <v>75.682254717869796</v>
      </c>
      <c r="AK59" s="88"/>
      <c r="AL59" s="716">
        <f t="shared" si="40"/>
        <v>4977.5318925239835</v>
      </c>
      <c r="AM59" s="596">
        <f t="shared" si="11"/>
        <v>87.654588797532824</v>
      </c>
    </row>
    <row r="60" spans="1:39" ht="15.75" customHeight="1">
      <c r="A60" s="857" t="s">
        <v>1476</v>
      </c>
      <c r="B60" s="595">
        <v>45656</v>
      </c>
      <c r="C60" s="595">
        <v>45646</v>
      </c>
      <c r="D60" t="s">
        <v>66</v>
      </c>
      <c r="E60">
        <v>10457401928</v>
      </c>
      <c r="F60" t="s">
        <v>1024</v>
      </c>
      <c r="G60" s="80" t="s">
        <v>1434</v>
      </c>
      <c r="H60" t="s">
        <v>69</v>
      </c>
      <c r="I60" s="596">
        <v>12.26</v>
      </c>
      <c r="J60" s="596">
        <v>6.5</v>
      </c>
      <c r="K60" s="138">
        <f t="shared" si="31"/>
        <v>11.463099999999999</v>
      </c>
      <c r="L60" s="139">
        <v>0.113</v>
      </c>
      <c r="M60" s="159">
        <v>0.10283</v>
      </c>
      <c r="N60" s="598">
        <v>0.13300000000000001</v>
      </c>
      <c r="O60" s="139">
        <f t="shared" si="32"/>
        <v>0.11799999999999999</v>
      </c>
      <c r="P60" s="629">
        <v>85</v>
      </c>
      <c r="Q60" s="760">
        <v>89.49</v>
      </c>
      <c r="R60" s="706">
        <v>2616.4499999999998</v>
      </c>
      <c r="S60" s="765">
        <f t="shared" si="43"/>
        <v>100</v>
      </c>
      <c r="U60" s="947">
        <v>100</v>
      </c>
      <c r="V60" s="715">
        <v>1.1023000000000001</v>
      </c>
      <c r="Z60" s="143">
        <f t="shared" si="44"/>
        <v>30</v>
      </c>
      <c r="AA60" s="144">
        <f t="shared" si="33"/>
        <v>30</v>
      </c>
      <c r="AB60" s="145">
        <f t="shared" si="41"/>
        <v>134.92144835049999</v>
      </c>
      <c r="AC60" s="145">
        <f>+(S60-T60)*V60-'data 1'!$F$4</f>
        <v>30.230000000000004</v>
      </c>
      <c r="AD60" s="145">
        <f t="shared" si="34"/>
        <v>14.073849339939484</v>
      </c>
      <c r="AE60" s="145">
        <f t="shared" si="35"/>
        <v>-36.930999999999997</v>
      </c>
      <c r="AF60" s="145">
        <f t="shared" si="36"/>
        <v>-12.411738745207476</v>
      </c>
      <c r="AG60" s="772">
        <f>+IF(D60="RONALD WILLIAN GARIBAY ESCUDERO",AC60+AD60+AE60+AF60+70,AC60+AD60+AE60+AF60)+70-53</f>
        <v>11.96111059473202</v>
      </c>
      <c r="AH60" s="146">
        <f t="shared" si="37"/>
        <v>39.743316189439668</v>
      </c>
      <c r="AI60" s="156">
        <f t="shared" si="38"/>
        <v>26.92525349689052</v>
      </c>
      <c r="AJ60" s="156">
        <f t="shared" si="39"/>
        <v>39.419588225122283</v>
      </c>
      <c r="AK60" s="88"/>
      <c r="AL60" s="716">
        <f t="shared" si="40"/>
        <v>1546.6180545866162</v>
      </c>
      <c r="AM60" s="596">
        <f t="shared" si="11"/>
        <v>44.410901988422921</v>
      </c>
    </row>
    <row r="61" spans="1:39" ht="15.75" customHeight="1">
      <c r="A61" s="857" t="s">
        <v>1477</v>
      </c>
      <c r="B61" s="595">
        <v>45656</v>
      </c>
      <c r="C61" s="595">
        <v>45647</v>
      </c>
      <c r="D61" t="s">
        <v>1484</v>
      </c>
      <c r="E61">
        <v>10761932735</v>
      </c>
      <c r="G61" s="80">
        <v>19</v>
      </c>
      <c r="H61" t="s">
        <v>116</v>
      </c>
      <c r="I61" s="596">
        <v>1.72</v>
      </c>
      <c r="J61" s="596">
        <v>10</v>
      </c>
      <c r="K61" s="138">
        <f t="shared" si="31"/>
        <v>1.548</v>
      </c>
      <c r="L61" s="139">
        <v>0.25750000000000001</v>
      </c>
      <c r="M61" s="159">
        <v>0.2472</v>
      </c>
      <c r="N61" s="598">
        <v>0.25900000000000001</v>
      </c>
      <c r="O61" s="139">
        <f t="shared" si="32"/>
        <v>0.253</v>
      </c>
      <c r="P61" s="629">
        <v>90</v>
      </c>
      <c r="Q61" s="760">
        <v>89</v>
      </c>
      <c r="R61" s="706">
        <v>2616.4499999999998</v>
      </c>
      <c r="S61" s="765">
        <f t="shared" si="43"/>
        <v>110</v>
      </c>
      <c r="U61" s="947">
        <v>100</v>
      </c>
      <c r="V61" s="715">
        <v>1.1023000000000001</v>
      </c>
      <c r="Z61" s="143">
        <f t="shared" si="44"/>
        <v>30</v>
      </c>
      <c r="AA61" s="144">
        <f t="shared" si="33"/>
        <v>30</v>
      </c>
      <c r="AB61" s="145">
        <f t="shared" si="41"/>
        <v>477.29112152949995</v>
      </c>
      <c r="AC61" s="145">
        <f>+(S61-T61)*V61-'data 1'!$F$4</f>
        <v>41.253</v>
      </c>
      <c r="AD61" s="145">
        <f t="shared" si="34"/>
        <v>-7.1427483001250005</v>
      </c>
      <c r="AE61" s="145">
        <f t="shared" si="35"/>
        <v>-36.930999999999997</v>
      </c>
      <c r="AF61" s="145">
        <f t="shared" si="36"/>
        <v>11.109400754175009</v>
      </c>
      <c r="AG61" s="772">
        <f>+IF(D61="RONALD WILLIAN GARIBAY ESCUDERO",AC61+AD61+AE61+AF61+70,AC61+AD61+AE61+AF61)+70-53</f>
        <v>25.288652454050009</v>
      </c>
      <c r="AH61" s="146">
        <f t="shared" si="37"/>
        <v>12.163183692243347</v>
      </c>
      <c r="AI61" s="156">
        <f t="shared" si="38"/>
        <v>61.020264983875059</v>
      </c>
      <c r="AJ61" s="156">
        <f t="shared" si="39"/>
        <v>12.084899865708783</v>
      </c>
      <c r="AK61" s="88"/>
      <c r="AL61" s="716">
        <f t="shared" si="40"/>
        <v>738.84665612766594</v>
      </c>
      <c r="AM61" s="596">
        <f t="shared" si="11"/>
        <v>13.666498530610502</v>
      </c>
    </row>
    <row r="62" spans="1:39" ht="15.75" customHeight="1">
      <c r="A62" s="857" t="s">
        <v>1478</v>
      </c>
      <c r="B62" s="595">
        <v>45656</v>
      </c>
      <c r="C62" s="595">
        <v>45647</v>
      </c>
      <c r="D62" t="s">
        <v>1484</v>
      </c>
      <c r="E62">
        <v>10761932735</v>
      </c>
      <c r="G62" s="80" t="s">
        <v>1434</v>
      </c>
      <c r="H62" t="s">
        <v>116</v>
      </c>
      <c r="I62" s="596">
        <v>7.19</v>
      </c>
      <c r="J62" s="596">
        <v>14.6</v>
      </c>
      <c r="K62" s="138">
        <f t="shared" si="31"/>
        <v>6.1402600000000005</v>
      </c>
      <c r="L62" s="139">
        <v>8.0500000000000002E-2</v>
      </c>
      <c r="M62" s="159">
        <v>7.084E-2</v>
      </c>
      <c r="N62" s="159">
        <v>7.084E-2</v>
      </c>
      <c r="O62" s="139">
        <f t="shared" si="32"/>
        <v>7.0999999999999994E-2</v>
      </c>
      <c r="P62" s="629">
        <v>90</v>
      </c>
      <c r="Q62" s="760">
        <v>89</v>
      </c>
      <c r="R62" s="706">
        <v>2616.4499999999998</v>
      </c>
      <c r="S62" s="765">
        <f t="shared" si="43"/>
        <v>95</v>
      </c>
      <c r="U62" s="947">
        <v>130</v>
      </c>
      <c r="V62" s="715">
        <v>1.1023000000000001</v>
      </c>
      <c r="Y62">
        <v>10</v>
      </c>
      <c r="Z62" s="143">
        <f t="shared" si="44"/>
        <v>30</v>
      </c>
      <c r="AA62" s="144">
        <f t="shared" si="33"/>
        <v>40</v>
      </c>
      <c r="AB62" s="145">
        <v>0</v>
      </c>
      <c r="AC62" s="145">
        <f>+(S62-T62)*V62-'data 1'!$F$4</f>
        <v>24.718500000000006</v>
      </c>
      <c r="AD62" s="145">
        <f t="shared" si="34"/>
        <v>-2.2063551371750001</v>
      </c>
      <c r="AE62" s="145">
        <f t="shared" si="35"/>
        <v>-25.908000000000001</v>
      </c>
      <c r="AF62" s="145">
        <f t="shared" si="36"/>
        <v>23.17358097492502</v>
      </c>
      <c r="AG62" s="772">
        <f>+IF(D62="RONALD WILLIAN GARIBAY ESCUDERO",AC62+AD62+AE62+AF62+70,AC62+AD62+AE62+AF62)+26</f>
        <v>45.777725837750026</v>
      </c>
      <c r="AH62" s="146">
        <f t="shared" si="37"/>
        <v>15.082791146734399</v>
      </c>
      <c r="AI62" s="156">
        <f t="shared" si="38"/>
        <v>21.445466684425018</v>
      </c>
      <c r="AJ62" s="156">
        <f t="shared" si="39"/>
        <v>13.452304477302365</v>
      </c>
      <c r="AK62" s="88"/>
      <c r="AL62" s="716">
        <f t="shared" si="40"/>
        <v>0</v>
      </c>
      <c r="AM62" s="596">
        <f t="shared" si="11"/>
        <v>16.946956344645393</v>
      </c>
    </row>
    <row r="63" spans="1:39" ht="15.75" customHeight="1">
      <c r="A63" s="857" t="s">
        <v>1479</v>
      </c>
      <c r="B63" s="595">
        <v>45656</v>
      </c>
      <c r="C63" s="595">
        <v>45647</v>
      </c>
      <c r="D63" t="s">
        <v>1484</v>
      </c>
      <c r="E63">
        <v>10761932735</v>
      </c>
      <c r="G63" s="80">
        <v>15</v>
      </c>
      <c r="H63" t="s">
        <v>116</v>
      </c>
      <c r="I63" s="596">
        <v>1.24</v>
      </c>
      <c r="J63" s="596">
        <v>18.3</v>
      </c>
      <c r="K63" s="138">
        <f t="shared" si="31"/>
        <v>1.01308</v>
      </c>
      <c r="L63" s="139">
        <v>0.26</v>
      </c>
      <c r="M63" s="159">
        <v>0.25480000000000003</v>
      </c>
      <c r="N63" s="159">
        <v>0.25480000000000003</v>
      </c>
      <c r="O63" s="139">
        <f t="shared" si="32"/>
        <v>0.255</v>
      </c>
      <c r="P63" s="629">
        <v>90</v>
      </c>
      <c r="Q63" s="760">
        <v>89</v>
      </c>
      <c r="R63" s="706">
        <v>2616.4499999999998</v>
      </c>
      <c r="S63" s="765">
        <f t="shared" si="43"/>
        <v>110</v>
      </c>
      <c r="U63" s="947">
        <v>100</v>
      </c>
      <c r="V63" s="715">
        <v>1.1023000000000001</v>
      </c>
      <c r="Z63" s="143">
        <f t="shared" si="44"/>
        <v>30</v>
      </c>
      <c r="AA63" s="144">
        <f t="shared" si="33"/>
        <v>30</v>
      </c>
      <c r="AB63" s="145">
        <f>+((O63*P63*(R63-U63)/100)-S63-AA63+T63)*V63</f>
        <v>482.28411063249996</v>
      </c>
      <c r="AC63" s="145">
        <f>+(S63-T63)*V63-'data 1'!$F$4</f>
        <v>41.253</v>
      </c>
      <c r="AD63" s="145">
        <f t="shared" si="34"/>
        <v>-7.2120953709999993</v>
      </c>
      <c r="AE63" s="145">
        <f t="shared" si="35"/>
        <v>-36.930999999999997</v>
      </c>
      <c r="AF63" s="145">
        <f t="shared" si="36"/>
        <v>12.343778615750011</v>
      </c>
      <c r="AG63" s="772">
        <f>+IF(D63="RONALD WILLIAN GARIBAY ESCUDERO",AC63+AD63+AE63+AF63+70,AC63+AD63+AE63+AF63)+70-53</f>
        <v>26.45368324475001</v>
      </c>
      <c r="AH63" s="146">
        <f t="shared" si="37"/>
        <v>8.0374107902055911</v>
      </c>
      <c r="AI63" s="156">
        <f t="shared" si="38"/>
        <v>61.612694741000048</v>
      </c>
      <c r="AJ63" s="156">
        <f t="shared" si="39"/>
        <v>7.9714164924467745</v>
      </c>
      <c r="AK63" s="88"/>
      <c r="AL63" s="716">
        <f t="shared" si="40"/>
        <v>488.59238679957303</v>
      </c>
      <c r="AM63" s="596">
        <f t="shared" si="11"/>
        <v>9.0307986406804392</v>
      </c>
    </row>
    <row r="64" spans="1:39" ht="15.75" customHeight="1">
      <c r="A64" s="857" t="s">
        <v>1480</v>
      </c>
      <c r="B64" s="595">
        <v>45656</v>
      </c>
      <c r="C64" s="595">
        <v>45647</v>
      </c>
      <c r="D64" t="s">
        <v>1484</v>
      </c>
      <c r="E64">
        <v>10761932735</v>
      </c>
      <c r="G64" s="80">
        <v>66</v>
      </c>
      <c r="H64" t="s">
        <v>116</v>
      </c>
      <c r="I64" s="596">
        <v>5.51</v>
      </c>
      <c r="J64" s="596">
        <v>16.399999999999999</v>
      </c>
      <c r="K64" s="138">
        <f t="shared" si="31"/>
        <v>4.6063599999999996</v>
      </c>
      <c r="L64" s="139">
        <v>8.2000000000000003E-2</v>
      </c>
      <c r="M64" s="139">
        <v>7.1999999999999995E-2</v>
      </c>
      <c r="N64" s="139">
        <v>7.1999999999999995E-2</v>
      </c>
      <c r="O64" s="139">
        <f t="shared" si="32"/>
        <v>7.1999999999999995E-2</v>
      </c>
      <c r="P64" s="629">
        <v>90</v>
      </c>
      <c r="Q64" s="760">
        <v>89</v>
      </c>
      <c r="R64" s="706">
        <v>2616.4499999999998</v>
      </c>
      <c r="S64" s="765">
        <f t="shared" si="43"/>
        <v>95</v>
      </c>
      <c r="U64" s="947">
        <v>130</v>
      </c>
      <c r="V64" s="715">
        <v>1.1023000000000001</v>
      </c>
      <c r="Y64">
        <v>10</v>
      </c>
      <c r="Z64" s="143">
        <f t="shared" si="44"/>
        <v>30</v>
      </c>
      <c r="AA64" s="144">
        <f t="shared" si="33"/>
        <v>40</v>
      </c>
      <c r="AB64" s="145">
        <v>0</v>
      </c>
      <c r="AC64" s="145">
        <f>+(S64-T64)*V64-'data 1'!$F$4</f>
        <v>24.718500000000006</v>
      </c>
      <c r="AD64" s="145">
        <f t="shared" si="34"/>
        <v>-2.2474673447</v>
      </c>
      <c r="AE64" s="145">
        <f t="shared" si="35"/>
        <v>-25.908000000000001</v>
      </c>
      <c r="AF64" s="145">
        <f t="shared" si="36"/>
        <v>24.393243131500022</v>
      </c>
      <c r="AG64" s="772">
        <f>+IF(D64="RONALD WILLIAN GARIBAY ESCUDERO",AC64+AD64+AE64+AF64+70,AC64+AD64+AE64+AF64)+23</f>
        <v>43.956275786800028</v>
      </c>
      <c r="AH64" s="146">
        <f t="shared" si="37"/>
        <v>11.525792710351894</v>
      </c>
      <c r="AI64" s="156">
        <f t="shared" si="38"/>
        <v>21.845071653700021</v>
      </c>
      <c r="AJ64" s="156">
        <f t="shared" si="39"/>
        <v>10.233918438350269</v>
      </c>
      <c r="AK64" s="88"/>
      <c r="AL64" s="716">
        <f t="shared" si="40"/>
        <v>0</v>
      </c>
      <c r="AM64" s="596">
        <f t="shared" si="11"/>
        <v>12.950328888035836</v>
      </c>
    </row>
    <row r="65" spans="1:39" ht="15.75" customHeight="1">
      <c r="A65" s="857" t="s">
        <v>1481</v>
      </c>
      <c r="B65" s="595">
        <v>45656</v>
      </c>
      <c r="C65" s="595">
        <v>45647</v>
      </c>
      <c r="D65" t="s">
        <v>1484</v>
      </c>
      <c r="E65">
        <v>10761932735</v>
      </c>
      <c r="G65" s="80" t="s">
        <v>1434</v>
      </c>
      <c r="H65" t="s">
        <v>116</v>
      </c>
      <c r="I65" s="596">
        <v>4.6900000000000004</v>
      </c>
      <c r="J65" s="596">
        <v>20.7</v>
      </c>
      <c r="K65" s="138">
        <f t="shared" si="31"/>
        <v>3.7191700000000001</v>
      </c>
      <c r="L65" s="139">
        <v>8.7499999999999994E-2</v>
      </c>
      <c r="M65" s="139">
        <v>0.125</v>
      </c>
      <c r="N65" s="159">
        <v>0.125</v>
      </c>
      <c r="O65" s="139">
        <f t="shared" si="32"/>
        <v>0.125</v>
      </c>
      <c r="P65" s="629">
        <v>85</v>
      </c>
      <c r="Q65" s="760">
        <v>89</v>
      </c>
      <c r="R65" s="706">
        <v>2616.4499999999998</v>
      </c>
      <c r="S65" s="765">
        <f t="shared" si="43"/>
        <v>100</v>
      </c>
      <c r="U65" s="947">
        <v>100</v>
      </c>
      <c r="V65" s="715">
        <v>1.1023000000000001</v>
      </c>
      <c r="Z65" s="143">
        <f t="shared" si="44"/>
        <v>30</v>
      </c>
      <c r="AA65" s="144">
        <f t="shared" si="33"/>
        <v>30</v>
      </c>
      <c r="AB65" s="145">
        <f t="shared" ref="AB65:AB102" si="45">+((O65*P65*(R65-U65)/100)-S65-AA65+T65)*V65</f>
        <v>151.42605121874996</v>
      </c>
      <c r="AC65" s="145">
        <f>+(S65-T65)*V65-'data 1'!$F$4</f>
        <v>30.230000000000004</v>
      </c>
      <c r="AD65" s="145">
        <f t="shared" si="34"/>
        <v>9.7085899224999999</v>
      </c>
      <c r="AE65" s="145">
        <f t="shared" si="35"/>
        <v>-36.930999999999997</v>
      </c>
      <c r="AF65" s="145">
        <f t="shared" si="36"/>
        <v>-92.578339618125028</v>
      </c>
      <c r="AG65" s="772">
        <f>+IF(D65="RONALD WILLIAN GARIBAY ESCUDERO",AC65+AD65+AE65+AF65+70,AC65+AD65+AE65+AF65)+70-53</f>
        <v>-72.570749695625025</v>
      </c>
      <c r="AH65" s="146">
        <f t="shared" si="37"/>
        <v>9.9300894122314034</v>
      </c>
      <c r="AI65" s="156">
        <f t="shared" si="38"/>
        <v>20.735041499375015</v>
      </c>
      <c r="AJ65" s="156">
        <f t="shared" si="39"/>
        <v>13.54827608410384</v>
      </c>
      <c r="AK65" s="88"/>
      <c r="AL65" s="716">
        <f t="shared" si="40"/>
        <v>563.17922691123829</v>
      </c>
      <c r="AM65" s="596">
        <f t="shared" si="11"/>
        <v>11.157403833967869</v>
      </c>
    </row>
    <row r="66" spans="1:39" ht="15.75" customHeight="1">
      <c r="A66" s="857" t="s">
        <v>1482</v>
      </c>
      <c r="B66" s="1016">
        <v>45666</v>
      </c>
      <c r="C66" s="595">
        <v>45647</v>
      </c>
      <c r="D66" t="s">
        <v>1485</v>
      </c>
      <c r="E66">
        <v>10315432397</v>
      </c>
      <c r="G66" s="80" t="s">
        <v>1434</v>
      </c>
      <c r="H66" t="s">
        <v>69</v>
      </c>
      <c r="I66" s="596">
        <v>20.45</v>
      </c>
      <c r="J66" s="596">
        <v>22.3</v>
      </c>
      <c r="K66" s="138">
        <f t="shared" si="31"/>
        <v>15.88965</v>
      </c>
      <c r="L66" s="139">
        <v>0.1285</v>
      </c>
      <c r="M66" s="159">
        <v>0.12336</v>
      </c>
      <c r="N66" s="159">
        <v>0.13500000000000001</v>
      </c>
      <c r="O66" s="139">
        <f t="shared" si="32"/>
        <v>0.129</v>
      </c>
      <c r="P66" s="629">
        <v>85</v>
      </c>
      <c r="Q66" s="760">
        <v>89.75</v>
      </c>
      <c r="R66" s="706">
        <v>2616.4499999999998</v>
      </c>
      <c r="S66" s="802">
        <v>110</v>
      </c>
      <c r="U66" s="947">
        <v>90</v>
      </c>
      <c r="V66" s="715">
        <v>1.1023000000000001</v>
      </c>
      <c r="Z66" s="143">
        <f t="shared" si="44"/>
        <v>30</v>
      </c>
      <c r="AA66" s="144">
        <f t="shared" si="33"/>
        <v>30</v>
      </c>
      <c r="AB66" s="145">
        <f t="shared" si="45"/>
        <v>151.04292480774998</v>
      </c>
      <c r="AC66" s="145">
        <f>+(S66-T66)*V66-'data 1'!$F$4</f>
        <v>41.253</v>
      </c>
      <c r="AD66" s="145">
        <f t="shared" si="34"/>
        <v>16.998368990381252</v>
      </c>
      <c r="AE66" s="145">
        <f t="shared" si="35"/>
        <v>-36.930999999999997</v>
      </c>
      <c r="AF66" s="145">
        <f t="shared" si="36"/>
        <v>-1.2497264934562511</v>
      </c>
      <c r="AG66" s="772">
        <f>+IF(D66="RONALD WILLIAN GARIBAY ESCUDERO",AC66+AD66+AE66+AF66+70,AC66+AD66+AE66+AF66)+70-53</f>
        <v>37.070642496925004</v>
      </c>
      <c r="AH66" s="146">
        <f t="shared" si="37"/>
        <v>62.829121217133682</v>
      </c>
      <c r="AI66" s="156">
        <f t="shared" si="38"/>
        <v>29.43622932449378</v>
      </c>
      <c r="AJ66" s="156">
        <f t="shared" si="39"/>
        <v>59.735435799475027</v>
      </c>
      <c r="AK66" s="88"/>
      <c r="AL66" s="716">
        <f t="shared" si="40"/>
        <v>2400.0192101714647</v>
      </c>
      <c r="AM66" s="596">
        <f t="shared" si="11"/>
        <v>70.004591885385722</v>
      </c>
    </row>
    <row r="67" spans="1:39" ht="15.75" customHeight="1">
      <c r="A67" s="857" t="s">
        <v>1483</v>
      </c>
      <c r="B67" s="595">
        <v>45660</v>
      </c>
      <c r="C67" s="595">
        <v>45647</v>
      </c>
      <c r="D67" t="s">
        <v>1484</v>
      </c>
      <c r="E67">
        <v>10761932735</v>
      </c>
      <c r="F67" t="s">
        <v>159</v>
      </c>
      <c r="G67" s="80">
        <v>48</v>
      </c>
      <c r="H67" t="s">
        <v>69</v>
      </c>
      <c r="I67" s="596">
        <v>4.47</v>
      </c>
      <c r="J67" s="596">
        <v>8.5</v>
      </c>
      <c r="K67" s="138">
        <f t="shared" si="31"/>
        <v>4.0900499999999997</v>
      </c>
      <c r="L67" s="139">
        <v>0.19900000000000001</v>
      </c>
      <c r="M67" s="139">
        <v>0.21</v>
      </c>
      <c r="N67" s="159">
        <v>0.21</v>
      </c>
      <c r="O67" s="139">
        <f t="shared" si="32"/>
        <v>0.21</v>
      </c>
      <c r="P67" s="629">
        <v>90</v>
      </c>
      <c r="Q67" s="760">
        <v>89.88</v>
      </c>
      <c r="R67" s="706">
        <v>2616.4499999999998</v>
      </c>
      <c r="S67" s="765">
        <f t="shared" si="43"/>
        <v>110</v>
      </c>
      <c r="U67" s="947">
        <v>130</v>
      </c>
      <c r="V67" s="715">
        <v>1.1023000000000001</v>
      </c>
      <c r="Y67">
        <v>10</v>
      </c>
      <c r="Z67" s="143">
        <f t="shared" si="44"/>
        <v>30</v>
      </c>
      <c r="AA67" s="144">
        <f t="shared" si="33"/>
        <v>40</v>
      </c>
      <c r="AB67" s="145">
        <f t="shared" si="45"/>
        <v>352.66881481499991</v>
      </c>
      <c r="AC67" s="145">
        <f>+(S67-T67)*V67-'data 1'!$F$4</f>
        <v>41.253</v>
      </c>
      <c r="AD67" s="145">
        <f t="shared" si="34"/>
        <v>-0.65450634379802475</v>
      </c>
      <c r="AE67" s="145">
        <f t="shared" si="35"/>
        <v>-25.908000000000001</v>
      </c>
      <c r="AF67" s="145">
        <f t="shared" si="36"/>
        <v>-27.097878223877956</v>
      </c>
      <c r="AG67" s="772">
        <f>+IF(D67="RONALD WILLIAN GARIBAY ESCUDERO",AC67+AD67+AE67+AF67+70,AC67+AD67+AE67+AF67)+70-53</f>
        <v>4.5926154323240169</v>
      </c>
      <c r="AH67" s="146">
        <f t="shared" si="37"/>
        <v>25.081518521055074</v>
      </c>
      <c r="AI67" s="156">
        <f t="shared" si="38"/>
        <v>53.538445191378031</v>
      </c>
      <c r="AJ67" s="156">
        <f t="shared" si="39"/>
        <v>26.503271813447569</v>
      </c>
      <c r="AK67" s="88"/>
      <c r="AL67" s="716">
        <f t="shared" si="40"/>
        <v>1442.4330860340904</v>
      </c>
      <c r="AM67" s="596">
        <f t="shared" si="11"/>
        <v>27.9055613273866</v>
      </c>
    </row>
    <row r="68" spans="1:39" ht="15.75" customHeight="1">
      <c r="A68" s="857" t="s">
        <v>1486</v>
      </c>
      <c r="B68" s="595">
        <v>45660</v>
      </c>
      <c r="C68" s="595">
        <v>45647</v>
      </c>
      <c r="D68" t="s">
        <v>1484</v>
      </c>
      <c r="E68">
        <v>10761932735</v>
      </c>
      <c r="F68" t="s">
        <v>159</v>
      </c>
      <c r="G68" s="80">
        <v>131</v>
      </c>
      <c r="H68" t="s">
        <v>116</v>
      </c>
      <c r="I68" s="596">
        <v>12.25</v>
      </c>
      <c r="J68" s="596">
        <v>12.1</v>
      </c>
      <c r="K68" s="138">
        <f t="shared" si="31"/>
        <v>10.767749999999999</v>
      </c>
      <c r="L68" s="139">
        <v>0.439</v>
      </c>
      <c r="M68" s="139">
        <v>0.42143999999999998</v>
      </c>
      <c r="N68" s="598">
        <v>0.45200000000000001</v>
      </c>
      <c r="O68" s="139">
        <f t="shared" si="32"/>
        <v>0.437</v>
      </c>
      <c r="P68" s="629">
        <v>90</v>
      </c>
      <c r="Q68" s="760">
        <v>89.71</v>
      </c>
      <c r="R68" s="706">
        <v>2616.4499999999998</v>
      </c>
      <c r="S68" s="765">
        <f t="shared" si="43"/>
        <v>130</v>
      </c>
      <c r="U68" s="947">
        <v>120</v>
      </c>
      <c r="V68" s="715">
        <v>1.1023000000000001</v>
      </c>
      <c r="Y68">
        <v>15</v>
      </c>
      <c r="Z68" s="143">
        <f t="shared" si="44"/>
        <v>30</v>
      </c>
      <c r="AA68" s="144">
        <f t="shared" si="33"/>
        <v>45</v>
      </c>
      <c r="AB68" s="145">
        <f t="shared" si="45"/>
        <v>889.39492720549993</v>
      </c>
      <c r="AC68" s="145">
        <f>+(S68-T68)*V68-'data 1'!$F$4</f>
        <v>63.299000000000007</v>
      </c>
      <c r="AD68" s="145">
        <f t="shared" si="34"/>
        <v>-3.5033634746385758</v>
      </c>
      <c r="AE68" s="145">
        <f t="shared" si="35"/>
        <v>-20.396499999999996</v>
      </c>
      <c r="AF68" s="145">
        <f t="shared" si="36"/>
        <v>4.9373456493570034</v>
      </c>
      <c r="AG68" s="772">
        <f>+IF(D68="RONALD WILLIAN GARIBAY ESCUDERO",AC68+AD68+AE68+AF68+70,AC68+AD68+AE68+AF68)</f>
        <v>44.336482174718441</v>
      </c>
      <c r="AH68" s="146">
        <f t="shared" si="37"/>
        <v>145.3916314971726</v>
      </c>
      <c r="AI68" s="156">
        <f t="shared" si="38"/>
        <v>113.54288074359857</v>
      </c>
      <c r="AJ68" s="156">
        <f t="shared" si="39"/>
        <v>145.1971124060799</v>
      </c>
      <c r="AK68" s="88"/>
      <c r="AL68" s="716">
        <f t="shared" si="40"/>
        <v>9576.7822274170212</v>
      </c>
      <c r="AM68" s="596">
        <f t="shared" si="11"/>
        <v>162.06847786999512</v>
      </c>
    </row>
    <row r="69" spans="1:39" ht="15.75" customHeight="1">
      <c r="A69" s="857" t="s">
        <v>1487</v>
      </c>
      <c r="B69" s="595">
        <v>45660</v>
      </c>
      <c r="C69" s="595">
        <v>45647</v>
      </c>
      <c r="D69" t="s">
        <v>1484</v>
      </c>
      <c r="E69">
        <v>10761932735</v>
      </c>
      <c r="F69" t="s">
        <v>159</v>
      </c>
      <c r="G69" s="80">
        <v>80</v>
      </c>
      <c r="H69" t="s">
        <v>69</v>
      </c>
      <c r="I69" s="596">
        <v>7.59</v>
      </c>
      <c r="J69" s="596">
        <v>8.6999999999999993</v>
      </c>
      <c r="K69" s="138">
        <f t="shared" si="31"/>
        <v>6.9296699999999998</v>
      </c>
      <c r="L69" s="139">
        <v>0.74849999999999994</v>
      </c>
      <c r="M69" s="139">
        <v>0.71855999999999987</v>
      </c>
      <c r="N69" s="598">
        <v>0.88500000000000001</v>
      </c>
      <c r="O69" s="139">
        <f t="shared" si="32"/>
        <v>0.80200000000000005</v>
      </c>
      <c r="P69" s="629">
        <v>90</v>
      </c>
      <c r="Q69" s="760">
        <v>89.69</v>
      </c>
      <c r="R69" s="706">
        <v>2616.4499999999998</v>
      </c>
      <c r="S69" s="765">
        <f t="shared" si="43"/>
        <v>170</v>
      </c>
      <c r="U69" s="947">
        <v>120</v>
      </c>
      <c r="V69" s="715">
        <v>1.1023000000000001</v>
      </c>
      <c r="Y69">
        <v>15</v>
      </c>
      <c r="Z69" s="143">
        <f t="shared" si="44"/>
        <v>30</v>
      </c>
      <c r="AA69" s="144">
        <f t="shared" si="33"/>
        <v>45</v>
      </c>
      <c r="AB69" s="145">
        <f t="shared" si="45"/>
        <v>1749.2813275030001</v>
      </c>
      <c r="AC69" s="145">
        <f>+(S69-T69)*V69-'data 1'!$F$4</f>
        <v>107.39100000000002</v>
      </c>
      <c r="AD69" s="145">
        <f t="shared" si="34"/>
        <v>-6.3852246000922968</v>
      </c>
      <c r="AE69" s="145">
        <f t="shared" si="35"/>
        <v>-20.396499999999996</v>
      </c>
      <c r="AF69" s="145">
        <f t="shared" si="36"/>
        <v>-132.0445514661655</v>
      </c>
      <c r="AG69" s="772">
        <f>+IF(D69="RONALD WILLIAN GARIBAY ESCUDERO",AC69+AD69+AE69+AF69+70,AC69+AD69+AE69+AF69)</f>
        <v>-51.435276066257785</v>
      </c>
      <c r="AH69" s="146">
        <f t="shared" si="37"/>
        <v>159.49881154566958</v>
      </c>
      <c r="AI69" s="156">
        <f t="shared" si="38"/>
        <v>193.54874537415236</v>
      </c>
      <c r="AJ69" s="156">
        <f t="shared" si="39"/>
        <v>171.48988157109451</v>
      </c>
      <c r="AK69" s="88"/>
      <c r="AL69" s="716">
        <f t="shared" si="40"/>
        <v>12121.942336757715</v>
      </c>
      <c r="AM69" s="596">
        <f t="shared" si="11"/>
        <v>177.83343911881991</v>
      </c>
    </row>
    <row r="70" spans="1:39" ht="15.75" customHeight="1">
      <c r="A70" s="857" t="s">
        <v>1488</v>
      </c>
      <c r="B70" s="595">
        <v>45660</v>
      </c>
      <c r="C70" s="595">
        <v>45647</v>
      </c>
      <c r="D70" t="s">
        <v>1484</v>
      </c>
      <c r="E70">
        <v>10761932735</v>
      </c>
      <c r="F70" t="s">
        <v>159</v>
      </c>
      <c r="G70" s="80" t="s">
        <v>1434</v>
      </c>
      <c r="H70" t="s">
        <v>69</v>
      </c>
      <c r="I70" s="596">
        <v>19.420000000000002</v>
      </c>
      <c r="J70" s="596">
        <v>6.4</v>
      </c>
      <c r="K70" s="138">
        <f t="shared" si="31"/>
        <v>18.177120000000002</v>
      </c>
      <c r="L70" s="139">
        <v>0.1895</v>
      </c>
      <c r="M70" s="139">
        <v>0.17299999999999999</v>
      </c>
      <c r="N70" s="598">
        <v>0.20799999999999999</v>
      </c>
      <c r="O70" s="139">
        <f t="shared" si="32"/>
        <v>0.191</v>
      </c>
      <c r="P70" s="629">
        <v>90</v>
      </c>
      <c r="Q70" s="760">
        <v>89.56</v>
      </c>
      <c r="R70" s="706">
        <v>2616.4499999999998</v>
      </c>
      <c r="S70" s="765">
        <f t="shared" si="43"/>
        <v>100</v>
      </c>
      <c r="U70" s="947">
        <v>120</v>
      </c>
      <c r="V70" s="715">
        <v>1.1023000000000001</v>
      </c>
      <c r="Y70">
        <v>15</v>
      </c>
      <c r="Z70" s="143">
        <f t="shared" si="44"/>
        <v>30</v>
      </c>
      <c r="AA70" s="144">
        <f t="shared" si="33"/>
        <v>45</v>
      </c>
      <c r="AB70" s="145">
        <f t="shared" si="45"/>
        <v>313.20725193649997</v>
      </c>
      <c r="AC70" s="145">
        <f>+(S70-T70)*V70-'data 1'!$F$4</f>
        <v>30.230000000000004</v>
      </c>
      <c r="AD70" s="145">
        <f t="shared" si="34"/>
        <v>-2.2944815530229881</v>
      </c>
      <c r="AE70" s="145">
        <f t="shared" si="35"/>
        <v>-20.396499999999996</v>
      </c>
      <c r="AF70" s="145">
        <f t="shared" si="36"/>
        <v>-3.6968176041390031</v>
      </c>
      <c r="AG70" s="772">
        <f>+IF(D70="RONALD WILLIAN GARIBAY ESCUDERO",AC70+AD70+AE70+AF70+70,AC70+AD70+AE70+AF70)</f>
        <v>3.8422008428380181</v>
      </c>
      <c r="AH70" s="146">
        <f t="shared" si="37"/>
        <v>105.76876729321918</v>
      </c>
      <c r="AI70" s="156">
        <f t="shared" si="38"/>
        <v>48.930294646853035</v>
      </c>
      <c r="AJ70" s="156">
        <f t="shared" si="39"/>
        <v>107.12973244572042</v>
      </c>
      <c r="AK70" s="88"/>
      <c r="AL70" s="716">
        <f t="shared" si="40"/>
        <v>5693.2058033199928</v>
      </c>
      <c r="AM70" s="596">
        <f t="shared" ref="AM70:AM111" si="46">+AH70/(Q70/100)</f>
        <v>118.09822163155334</v>
      </c>
    </row>
    <row r="71" spans="1:39" ht="15.75" customHeight="1">
      <c r="A71" s="857" t="s">
        <v>1489</v>
      </c>
      <c r="B71" s="595">
        <v>45652</v>
      </c>
      <c r="C71" s="595">
        <v>45648</v>
      </c>
      <c r="D71" t="s">
        <v>1403</v>
      </c>
      <c r="E71">
        <v>10479968131</v>
      </c>
      <c r="G71" s="80">
        <v>30</v>
      </c>
      <c r="H71" t="s">
        <v>69</v>
      </c>
      <c r="I71" s="596">
        <v>2.88</v>
      </c>
      <c r="J71" s="596">
        <v>1.9</v>
      </c>
      <c r="K71" s="138">
        <f t="shared" si="31"/>
        <v>2.8252799999999998</v>
      </c>
      <c r="L71" s="139">
        <v>0.378</v>
      </c>
      <c r="M71" s="139">
        <v>0.36287999999999998</v>
      </c>
      <c r="N71" s="159">
        <v>0.36287999999999998</v>
      </c>
      <c r="O71" s="139">
        <f t="shared" si="32"/>
        <v>0.36299999999999999</v>
      </c>
      <c r="P71" s="629">
        <v>90</v>
      </c>
      <c r="Q71" s="760">
        <v>89.78</v>
      </c>
      <c r="R71" s="706">
        <v>2613.8000000000002</v>
      </c>
      <c r="S71" s="802">
        <v>125</v>
      </c>
      <c r="U71" s="947">
        <v>120</v>
      </c>
      <c r="V71" s="715">
        <v>1.1023000000000001</v>
      </c>
      <c r="Y71">
        <v>10</v>
      </c>
      <c r="Z71" s="143">
        <f t="shared" si="44"/>
        <v>30</v>
      </c>
      <c r="AA71" s="144">
        <f t="shared" si="33"/>
        <v>40</v>
      </c>
      <c r="AB71" s="145">
        <f t="shared" si="45"/>
        <v>716.19127225800014</v>
      </c>
      <c r="AC71" s="145">
        <f>+(S71-T71)*V71-'data 1'!$F$4</f>
        <v>57.787499999999994</v>
      </c>
      <c r="AD71" s="145">
        <f t="shared" si="34"/>
        <v>-2.2859983293839887</v>
      </c>
      <c r="AE71" s="145">
        <f t="shared" si="35"/>
        <v>-25.908000000000001</v>
      </c>
      <c r="AF71" s="145">
        <f t="shared" si="36"/>
        <v>37.019648270580042</v>
      </c>
      <c r="AG71" s="772">
        <f t="shared" ref="AG71:AG78" si="47">+IF(D71="RONALD WILLIAN GARIBAY ESCUDERO",AC71+AD71+AE71+AF71+70,AC71+AD71+AE71+AF71)+70-53</f>
        <v>83.613149941196042</v>
      </c>
      <c r="AH71" s="146">
        <f t="shared" si="37"/>
        <v>32.87319873832908</v>
      </c>
      <c r="AI71" s="156">
        <f t="shared" si="38"/>
        <v>98.833465009943936</v>
      </c>
      <c r="AJ71" s="156">
        <f t="shared" si="39"/>
        <v>31.646063769673631</v>
      </c>
      <c r="AK71" s="88"/>
      <c r="AL71" s="716">
        <f t="shared" si="40"/>
        <v>2023.4408776850826</v>
      </c>
      <c r="AM71" s="596">
        <f t="shared" si="46"/>
        <v>36.615280394663706</v>
      </c>
    </row>
    <row r="72" spans="1:39" ht="15.75" customHeight="1">
      <c r="A72" s="857" t="s">
        <v>1490</v>
      </c>
      <c r="B72" s="595">
        <v>45652</v>
      </c>
      <c r="C72" s="595">
        <v>45648</v>
      </c>
      <c r="D72" t="s">
        <v>1403</v>
      </c>
      <c r="E72">
        <v>10479968131</v>
      </c>
      <c r="G72" s="80">
        <v>55</v>
      </c>
      <c r="H72" t="s">
        <v>69</v>
      </c>
      <c r="I72" s="596">
        <v>5.47</v>
      </c>
      <c r="J72" s="596">
        <v>1.6</v>
      </c>
      <c r="K72" s="138">
        <f t="shared" si="31"/>
        <v>5.3824800000000002</v>
      </c>
      <c r="L72" s="139">
        <v>0.27400000000000002</v>
      </c>
      <c r="M72" s="139">
        <v>0.26304</v>
      </c>
      <c r="N72" s="159">
        <v>0.29899999999999999</v>
      </c>
      <c r="O72" s="139">
        <f t="shared" si="32"/>
        <v>0.28100000000000003</v>
      </c>
      <c r="P72" s="629">
        <v>90</v>
      </c>
      <c r="Q72" s="760">
        <v>89.86</v>
      </c>
      <c r="R72" s="706">
        <v>2613.8000000000002</v>
      </c>
      <c r="S72" s="765">
        <f>IF((90+ROUNDDOWN(O72,1)*100)&lt;95,95,(90+ROUNDDOWN(O72,1)*100))</f>
        <v>110</v>
      </c>
      <c r="U72" s="947">
        <v>120</v>
      </c>
      <c r="V72" s="715">
        <v>1.1023000000000001</v>
      </c>
      <c r="Y72">
        <v>10</v>
      </c>
      <c r="Z72" s="143">
        <f t="shared" si="44"/>
        <v>30</v>
      </c>
      <c r="AA72" s="144">
        <f t="shared" si="33"/>
        <v>40</v>
      </c>
      <c r="AB72" s="145">
        <f t="shared" si="45"/>
        <v>529.85579064600006</v>
      </c>
      <c r="AC72" s="145">
        <f>+(S72-T72)*V72-'data 1'!$F$4</f>
        <v>41.253</v>
      </c>
      <c r="AD72" s="145">
        <f t="shared" si="34"/>
        <v>-1.0544840778640043</v>
      </c>
      <c r="AE72" s="145">
        <f t="shared" si="35"/>
        <v>-25.908000000000001</v>
      </c>
      <c r="AF72" s="145">
        <f t="shared" si="36"/>
        <v>-17.291229787748019</v>
      </c>
      <c r="AG72" s="772">
        <f t="shared" si="47"/>
        <v>13.999286134387972</v>
      </c>
      <c r="AH72" s="146">
        <f t="shared" si="37"/>
        <v>45.436876751863558</v>
      </c>
      <c r="AI72" s="156">
        <f t="shared" si="38"/>
        <v>71.705026025623951</v>
      </c>
      <c r="AJ72" s="156">
        <f t="shared" si="39"/>
        <v>46.670271072707962</v>
      </c>
      <c r="AK72" s="88"/>
      <c r="AL72" s="716">
        <f t="shared" si="40"/>
        <v>2851.9381960362825</v>
      </c>
      <c r="AM72" s="596">
        <f t="shared" si="46"/>
        <v>50.56407383915375</v>
      </c>
    </row>
    <row r="73" spans="1:39" ht="15.75" customHeight="1">
      <c r="A73" s="857" t="s">
        <v>1493</v>
      </c>
      <c r="B73" s="595">
        <v>45652</v>
      </c>
      <c r="C73" s="595">
        <v>45649</v>
      </c>
      <c r="D73" t="s">
        <v>1403</v>
      </c>
      <c r="E73">
        <v>10479968131</v>
      </c>
      <c r="G73" s="80">
        <v>98</v>
      </c>
      <c r="H73" t="s">
        <v>69</v>
      </c>
      <c r="I73" s="596">
        <v>8.1</v>
      </c>
      <c r="J73" s="596">
        <v>1.4</v>
      </c>
      <c r="K73" s="138">
        <f t="shared" si="31"/>
        <v>7.9865999999999993</v>
      </c>
      <c r="L73" s="139">
        <v>0.14200000000000002</v>
      </c>
      <c r="M73" s="139">
        <v>0.13206000000000001</v>
      </c>
      <c r="N73" s="159">
        <v>0.13206000000000001</v>
      </c>
      <c r="O73" s="139">
        <f t="shared" si="32"/>
        <v>0.13200000000000001</v>
      </c>
      <c r="P73" s="629">
        <v>90</v>
      </c>
      <c r="Q73" s="760">
        <v>89.59</v>
      </c>
      <c r="R73" s="706">
        <v>2613.8000000000002</v>
      </c>
      <c r="S73" s="765">
        <f>IF((90+ROUNDDOWN(O73,1)*100)&lt;95,95,(90+ROUNDDOWN(O73,1)*100))</f>
        <v>100</v>
      </c>
      <c r="U73" s="947">
        <v>130</v>
      </c>
      <c r="V73" s="715">
        <v>1.1023000000000001</v>
      </c>
      <c r="Y73">
        <v>10</v>
      </c>
      <c r="Z73" s="143">
        <f t="shared" si="44"/>
        <v>30</v>
      </c>
      <c r="AA73" s="144">
        <f t="shared" si="33"/>
        <v>40</v>
      </c>
      <c r="AB73" s="145">
        <f t="shared" si="45"/>
        <v>170.93965751200008</v>
      </c>
      <c r="AC73" s="145">
        <f>+(S73-T73)*V73-'data 1'!$F$4</f>
        <v>30.230000000000004</v>
      </c>
      <c r="AD73" s="145">
        <f t="shared" si="34"/>
        <v>-1.5940011532279872</v>
      </c>
      <c r="AE73" s="145">
        <f t="shared" si="35"/>
        <v>-25.908000000000001</v>
      </c>
      <c r="AF73" s="145">
        <f t="shared" si="36"/>
        <v>24.528781057660023</v>
      </c>
      <c r="AG73" s="772">
        <f t="shared" si="47"/>
        <v>44.256779904432037</v>
      </c>
      <c r="AH73" s="146">
        <f t="shared" si="37"/>
        <v>34.835246182964099</v>
      </c>
      <c r="AI73" s="156">
        <f t="shared" si="38"/>
        <v>38.45166401374798</v>
      </c>
      <c r="AJ73" s="156">
        <f t="shared" si="39"/>
        <v>32.530253207775452</v>
      </c>
      <c r="AK73" s="88"/>
      <c r="AL73" s="716">
        <f t="shared" si="40"/>
        <v>1365.2266686853397</v>
      </c>
      <c r="AM73" s="596">
        <f t="shared" si="46"/>
        <v>38.882962588418458</v>
      </c>
    </row>
    <row r="74" spans="1:39" ht="15.75" customHeight="1">
      <c r="A74" s="857" t="s">
        <v>1494</v>
      </c>
      <c r="B74" s="1016">
        <v>45663</v>
      </c>
      <c r="C74" s="595">
        <v>45649</v>
      </c>
      <c r="D74" t="s">
        <v>1205</v>
      </c>
      <c r="E74">
        <v>20601620147</v>
      </c>
      <c r="G74" s="80" t="s">
        <v>1434</v>
      </c>
      <c r="H74" t="s">
        <v>69</v>
      </c>
      <c r="I74" s="596">
        <v>25.54</v>
      </c>
      <c r="J74" s="596">
        <v>1.8</v>
      </c>
      <c r="K74" s="138">
        <f t="shared" si="31"/>
        <v>25.080279999999998</v>
      </c>
      <c r="L74" s="139">
        <v>0.28899999999999998</v>
      </c>
      <c r="M74" s="139">
        <v>0.27700000000000002</v>
      </c>
      <c r="N74" s="159">
        <v>0.34499999999999997</v>
      </c>
      <c r="O74" s="139">
        <f t="shared" si="32"/>
        <v>0.311</v>
      </c>
      <c r="P74" s="629">
        <v>90</v>
      </c>
      <c r="Q74" s="760">
        <v>89</v>
      </c>
      <c r="R74" s="706">
        <v>2609.1</v>
      </c>
      <c r="S74" s="765">
        <v>110</v>
      </c>
      <c r="U74" s="947">
        <v>90</v>
      </c>
      <c r="V74" s="715">
        <v>1.1023000000000001</v>
      </c>
      <c r="Y74">
        <v>10</v>
      </c>
      <c r="Z74" s="143">
        <f t="shared" si="44"/>
        <v>30</v>
      </c>
      <c r="AA74" s="144">
        <f t="shared" si="33"/>
        <v>40</v>
      </c>
      <c r="AB74" s="145">
        <f t="shared" si="45"/>
        <v>611.88242000700006</v>
      </c>
      <c r="AC74" s="145">
        <f>+(S74-T74)*V74-'data 1'!$F$4</f>
        <v>41.253</v>
      </c>
      <c r="AD74" s="145">
        <f t="shared" si="34"/>
        <v>-8.024963357699999</v>
      </c>
      <c r="AE74" s="145">
        <f t="shared" si="35"/>
        <v>-25.908000000000001</v>
      </c>
      <c r="AF74" s="145">
        <f t="shared" si="36"/>
        <v>-54.369820949400044</v>
      </c>
      <c r="AG74" s="772">
        <f t="shared" si="47"/>
        <v>-30.049784307100047</v>
      </c>
      <c r="AH74" s="146">
        <f t="shared" si="37"/>
        <v>221.17156927384457</v>
      </c>
      <c r="AI74" s="156">
        <f t="shared" si="38"/>
        <v>67.733545078700033</v>
      </c>
      <c r="AJ74" s="156">
        <f t="shared" si="39"/>
        <v>240.68240830352289</v>
      </c>
      <c r="AK74" s="88"/>
      <c r="AL74" s="716">
        <f t="shared" si="40"/>
        <v>15346.182420853163</v>
      </c>
      <c r="AM74" s="596">
        <f t="shared" si="46"/>
        <v>248.50738120656692</v>
      </c>
    </row>
    <row r="75" spans="1:39" ht="15.75" customHeight="1">
      <c r="A75" s="857" t="s">
        <v>1496</v>
      </c>
      <c r="B75" s="595">
        <v>45652</v>
      </c>
      <c r="C75" s="595">
        <v>45649</v>
      </c>
      <c r="D75" t="s">
        <v>1152</v>
      </c>
      <c r="E75">
        <v>20606534923</v>
      </c>
      <c r="G75" s="80">
        <v>69</v>
      </c>
      <c r="H75" t="s">
        <v>69</v>
      </c>
      <c r="I75" s="596">
        <v>6.97</v>
      </c>
      <c r="J75" s="596">
        <v>1.5</v>
      </c>
      <c r="K75" s="138">
        <f t="shared" si="31"/>
        <v>6.8654500000000001</v>
      </c>
      <c r="L75" s="139">
        <v>0.60899999999999999</v>
      </c>
      <c r="M75" s="139">
        <v>0.58399999999999996</v>
      </c>
      <c r="N75" s="159">
        <v>0.58399999999999996</v>
      </c>
      <c r="O75" s="139">
        <f t="shared" si="32"/>
        <v>0.58399999999999996</v>
      </c>
      <c r="P75" s="629">
        <v>90</v>
      </c>
      <c r="Q75" s="760">
        <v>89.76</v>
      </c>
      <c r="R75" s="706">
        <v>2613.8000000000002</v>
      </c>
      <c r="S75" s="802">
        <v>130</v>
      </c>
      <c r="U75" s="947">
        <v>120</v>
      </c>
      <c r="V75" s="715">
        <v>1.1023000000000001</v>
      </c>
      <c r="Y75">
        <v>20</v>
      </c>
      <c r="Z75" s="143">
        <f t="shared" si="44"/>
        <v>30</v>
      </c>
      <c r="AA75" s="144">
        <f t="shared" si="33"/>
        <v>50</v>
      </c>
      <c r="AB75" s="145">
        <f t="shared" si="45"/>
        <v>1246.4161129440001</v>
      </c>
      <c r="AC75" s="145">
        <f>+(S75-T75)*V75-'data 1'!$F$4</f>
        <v>63.299000000000007</v>
      </c>
      <c r="AD75" s="145">
        <f t="shared" si="34"/>
        <v>-4.0178152455839147</v>
      </c>
      <c r="AE75" s="145">
        <f t="shared" si="35"/>
        <v>-14.884999999999998</v>
      </c>
      <c r="AF75" s="145">
        <f t="shared" si="36"/>
        <v>61.685669205600071</v>
      </c>
      <c r="AG75" s="772">
        <f t="shared" si="47"/>
        <v>123.08185396001616</v>
      </c>
      <c r="AH75" s="146">
        <f t="shared" si="37"/>
        <v>128.67027063351881</v>
      </c>
      <c r="AI75" s="156">
        <f t="shared" si="38"/>
        <v>159.19622209814389</v>
      </c>
      <c r="AJ75" s="156">
        <f t="shared" si="39"/>
        <v>123.71815489906579</v>
      </c>
      <c r="AK75" s="88"/>
      <c r="AL75" s="716">
        <f t="shared" si="40"/>
        <v>8557.2075026113853</v>
      </c>
      <c r="AM75" s="596">
        <f t="shared" si="46"/>
        <v>143.34923198921436</v>
      </c>
    </row>
    <row r="76" spans="1:39" ht="15.75" customHeight="1">
      <c r="A76" s="857" t="s">
        <v>1497</v>
      </c>
      <c r="B76" s="595">
        <v>45652</v>
      </c>
      <c r="C76" s="595">
        <v>45649</v>
      </c>
      <c r="D76" t="s">
        <v>1152</v>
      </c>
      <c r="E76">
        <v>20606534923</v>
      </c>
      <c r="G76" s="80">
        <v>13</v>
      </c>
      <c r="H76" t="s">
        <v>69</v>
      </c>
      <c r="I76" s="596">
        <v>1.31</v>
      </c>
      <c r="J76" s="596">
        <v>1.65</v>
      </c>
      <c r="K76" s="138">
        <f t="shared" si="31"/>
        <v>1.2883850000000001</v>
      </c>
      <c r="L76" s="139">
        <v>0.33100000000000002</v>
      </c>
      <c r="M76" s="139">
        <v>0.317</v>
      </c>
      <c r="N76" s="159">
        <v>0.317</v>
      </c>
      <c r="O76" s="139">
        <f t="shared" si="32"/>
        <v>0.317</v>
      </c>
      <c r="P76" s="629">
        <v>90</v>
      </c>
      <c r="Q76" s="760">
        <v>89.88</v>
      </c>
      <c r="R76" s="706">
        <v>2613.8000000000002</v>
      </c>
      <c r="S76" s="802">
        <v>110</v>
      </c>
      <c r="U76" s="947">
        <v>120</v>
      </c>
      <c r="V76" s="715">
        <v>1.1023000000000001</v>
      </c>
      <c r="Y76">
        <v>20</v>
      </c>
      <c r="Z76" s="143">
        <f t="shared" si="44"/>
        <v>30</v>
      </c>
      <c r="AA76" s="144">
        <f t="shared" si="33"/>
        <v>50</v>
      </c>
      <c r="AB76" s="145">
        <f t="shared" si="45"/>
        <v>607.89766062199999</v>
      </c>
      <c r="AC76" s="145">
        <f>+(S76-T76)*V76-'data 1'!$F$4</f>
        <v>41.253</v>
      </c>
      <c r="AD76" s="145">
        <f t="shared" si="34"/>
        <v>-1.0918693319280415</v>
      </c>
      <c r="AE76" s="145">
        <f t="shared" si="35"/>
        <v>-14.884999999999998</v>
      </c>
      <c r="AF76" s="145">
        <f t="shared" si="36"/>
        <v>34.590156539568028</v>
      </c>
      <c r="AG76" s="772">
        <f t="shared" si="47"/>
        <v>76.866287207639999</v>
      </c>
      <c r="AH76" s="146">
        <f t="shared" si="37"/>
        <v>13.141525639415891</v>
      </c>
      <c r="AI76" s="156">
        <f t="shared" si="38"/>
        <v>86.641044287447926</v>
      </c>
      <c r="AJ76" s="156">
        <f t="shared" si="39"/>
        <v>12.602494043502629</v>
      </c>
      <c r="AK76" s="88"/>
      <c r="AL76" s="716">
        <f t="shared" si="40"/>
        <v>783.20622748047549</v>
      </c>
      <c r="AM76" s="596">
        <f t="shared" si="46"/>
        <v>14.621190075006554</v>
      </c>
    </row>
    <row r="77" spans="1:39" ht="15.75" customHeight="1">
      <c r="A77" s="857" t="s">
        <v>1498</v>
      </c>
      <c r="B77" s="595">
        <v>45652</v>
      </c>
      <c r="C77" s="595">
        <v>45649</v>
      </c>
      <c r="D77" t="s">
        <v>1152</v>
      </c>
      <c r="E77">
        <v>20606534923</v>
      </c>
      <c r="G77" s="80">
        <v>30</v>
      </c>
      <c r="H77" t="s">
        <v>69</v>
      </c>
      <c r="I77" s="596">
        <v>2.77</v>
      </c>
      <c r="J77" s="596">
        <v>1.7</v>
      </c>
      <c r="K77" s="138">
        <f t="shared" si="31"/>
        <v>2.7229100000000002</v>
      </c>
      <c r="L77" s="139">
        <v>0.45200000000000001</v>
      </c>
      <c r="M77" s="139">
        <v>0.433</v>
      </c>
      <c r="N77" s="159">
        <v>0.433</v>
      </c>
      <c r="O77" s="139">
        <f t="shared" si="32"/>
        <v>0.433</v>
      </c>
      <c r="P77" s="629">
        <v>90</v>
      </c>
      <c r="Q77" s="760">
        <v>89.54</v>
      </c>
      <c r="R77" s="706">
        <v>2613.8000000000002</v>
      </c>
      <c r="S77" s="802">
        <v>120</v>
      </c>
      <c r="U77" s="947">
        <v>120</v>
      </c>
      <c r="V77" s="715">
        <v>1.1023000000000001</v>
      </c>
      <c r="Y77">
        <v>20</v>
      </c>
      <c r="Z77" s="143">
        <f t="shared" si="44"/>
        <v>30</v>
      </c>
      <c r="AA77" s="144">
        <f t="shared" si="33"/>
        <v>50</v>
      </c>
      <c r="AB77" s="145">
        <f t="shared" si="45"/>
        <v>883.861463878</v>
      </c>
      <c r="AC77" s="145">
        <f>+(S77-T77)*V77-'data 1'!$F$4</f>
        <v>52.27600000000001</v>
      </c>
      <c r="AD77" s="145">
        <f t="shared" si="34"/>
        <v>-5.7155456066079227</v>
      </c>
      <c r="AE77" s="145">
        <f t="shared" si="35"/>
        <v>-14.884999999999998</v>
      </c>
      <c r="AF77" s="145">
        <f t="shared" si="36"/>
        <v>46.766203918324052</v>
      </c>
      <c r="AG77" s="772">
        <f t="shared" si="47"/>
        <v>95.441658311716139</v>
      </c>
      <c r="AH77" s="146">
        <f t="shared" si="37"/>
        <v>37.783125517514051</v>
      </c>
      <c r="AI77" s="156">
        <f t="shared" si="38"/>
        <v>117.86589153732794</v>
      </c>
      <c r="AJ77" s="156">
        <f t="shared" si="39"/>
        <v>36.380843322545381</v>
      </c>
      <c r="AK77" s="88"/>
      <c r="AL77" s="716">
        <f t="shared" si="40"/>
        <v>2406.6752186080453</v>
      </c>
      <c r="AM77" s="596">
        <f t="shared" si="46"/>
        <v>42.196923740801928</v>
      </c>
    </row>
    <row r="78" spans="1:39" ht="15.75" customHeight="1">
      <c r="A78" s="857" t="s">
        <v>1499</v>
      </c>
      <c r="B78" s="595">
        <v>45652</v>
      </c>
      <c r="C78" s="595">
        <v>45649</v>
      </c>
      <c r="D78" t="s">
        <v>1152</v>
      </c>
      <c r="E78">
        <v>20606534923</v>
      </c>
      <c r="G78" s="80">
        <v>17</v>
      </c>
      <c r="H78" t="s">
        <v>69</v>
      </c>
      <c r="I78" s="596">
        <v>1.83</v>
      </c>
      <c r="J78" s="596">
        <v>2.5</v>
      </c>
      <c r="K78" s="138">
        <f t="shared" si="31"/>
        <v>1.7842500000000001</v>
      </c>
      <c r="L78" s="139">
        <v>0.32300000000000001</v>
      </c>
      <c r="M78" s="139">
        <v>0.31</v>
      </c>
      <c r="N78" s="159">
        <v>0.31</v>
      </c>
      <c r="O78" s="139">
        <f t="shared" si="32"/>
        <v>0.31</v>
      </c>
      <c r="P78" s="629">
        <v>90</v>
      </c>
      <c r="Q78" s="760">
        <v>89.63</v>
      </c>
      <c r="R78" s="706">
        <v>2613.8000000000002</v>
      </c>
      <c r="S78" s="765">
        <f>IF((90+ROUNDDOWN(O78,1)*100)&lt;95,95,(90+ROUNDDOWN(O78,1)*100))</f>
        <v>120</v>
      </c>
      <c r="U78" s="947">
        <v>130</v>
      </c>
      <c r="V78" s="715">
        <v>1.1023000000000001</v>
      </c>
      <c r="Y78">
        <v>10</v>
      </c>
      <c r="Z78" s="143">
        <f t="shared" si="44"/>
        <v>30</v>
      </c>
      <c r="AA78" s="144">
        <f t="shared" si="33"/>
        <v>40</v>
      </c>
      <c r="AB78" s="145">
        <f t="shared" si="45"/>
        <v>587.50407446000008</v>
      </c>
      <c r="AC78" s="145">
        <f>+(S78-T78)*V78-'data 1'!$F$4</f>
        <v>52.27600000000001</v>
      </c>
      <c r="AD78" s="145">
        <f t="shared" si="34"/>
        <v>-3.2720556135740408</v>
      </c>
      <c r="AE78" s="145">
        <f t="shared" si="35"/>
        <v>-25.908000000000001</v>
      </c>
      <c r="AF78" s="145">
        <f t="shared" si="36"/>
        <v>31.901652417206027</v>
      </c>
      <c r="AG78" s="772">
        <f t="shared" si="47"/>
        <v>71.997596803631993</v>
      </c>
      <c r="AH78" s="146">
        <f t="shared" si="37"/>
        <v>17.710086951515297</v>
      </c>
      <c r="AI78" s="156">
        <f t="shared" si="38"/>
        <v>87.503047098233949</v>
      </c>
      <c r="AJ78" s="156">
        <f t="shared" si="39"/>
        <v>17.06746331227129</v>
      </c>
      <c r="AK78" s="88"/>
      <c r="AL78" s="716">
        <f t="shared" si="40"/>
        <v>1048.2541448552552</v>
      </c>
      <c r="AM78" s="596">
        <f t="shared" si="46"/>
        <v>19.759106271912639</v>
      </c>
    </row>
    <row r="79" spans="1:39" ht="15.75" customHeight="1">
      <c r="A79" s="857" t="s">
        <v>1502</v>
      </c>
      <c r="B79" s="595">
        <v>45652</v>
      </c>
      <c r="C79" s="595">
        <v>45649</v>
      </c>
      <c r="D79" t="s">
        <v>93</v>
      </c>
      <c r="E79" s="871">
        <v>20169040237</v>
      </c>
      <c r="F79" t="s">
        <v>1525</v>
      </c>
      <c r="G79" s="80">
        <v>37</v>
      </c>
      <c r="H79" t="s">
        <v>69</v>
      </c>
      <c r="I79" s="596">
        <v>3.23</v>
      </c>
      <c r="J79" s="596">
        <v>1.2</v>
      </c>
      <c r="K79" s="138">
        <f t="shared" si="31"/>
        <v>3.1912400000000001</v>
      </c>
      <c r="L79" s="139">
        <v>0.49099999999999999</v>
      </c>
      <c r="M79" s="159">
        <v>0.47099999999999997</v>
      </c>
      <c r="N79" s="159">
        <v>0.53300000000000003</v>
      </c>
      <c r="O79" s="139">
        <f t="shared" si="32"/>
        <v>0.502</v>
      </c>
      <c r="P79" s="629">
        <v>90</v>
      </c>
      <c r="Q79" s="760">
        <v>89.67</v>
      </c>
      <c r="R79" s="706">
        <v>2613.8000000000002</v>
      </c>
      <c r="S79" s="802">
        <v>120</v>
      </c>
      <c r="U79" s="947">
        <v>120</v>
      </c>
      <c r="V79" s="715">
        <v>1.1023000000000001</v>
      </c>
      <c r="Y79">
        <v>20</v>
      </c>
      <c r="Z79" s="143">
        <f t="shared" si="44"/>
        <v>30</v>
      </c>
      <c r="AA79" s="144">
        <f t="shared" si="33"/>
        <v>50</v>
      </c>
      <c r="AB79" s="145">
        <f t="shared" si="45"/>
        <v>1054.5691313320001</v>
      </c>
      <c r="AC79" s="145">
        <f>+(S79-T79)*V79-'data 1'!$F$4</f>
        <v>52.27600000000001</v>
      </c>
      <c r="AD79" s="145">
        <f t="shared" si="34"/>
        <v>-4.4540681735219776</v>
      </c>
      <c r="AE79" s="145">
        <f t="shared" si="35"/>
        <v>-14.884999999999998</v>
      </c>
      <c r="AF79" s="145">
        <f t="shared" si="36"/>
        <v>-27.114480184638026</v>
      </c>
      <c r="AG79" s="772">
        <f>+IF(D79="RONALD WILLIAN GARIBAY ESCUDERO",AC79+AD79+AE79+AF79+70,AC79+AD79+AE79+AF79)</f>
        <v>5.8224516418400114</v>
      </c>
      <c r="AH79" s="146">
        <f t="shared" si="37"/>
        <v>48.172279563322547</v>
      </c>
      <c r="AI79" s="156">
        <f t="shared" si="38"/>
        <v>128.22162677650192</v>
      </c>
      <c r="AJ79" s="156">
        <f t="shared" si="39"/>
        <v>49.432749015476126</v>
      </c>
      <c r="AK79" s="88"/>
      <c r="AL79" s="716">
        <f t="shared" si="40"/>
        <v>3365.383194671932</v>
      </c>
      <c r="AM79" s="596">
        <f t="shared" si="46"/>
        <v>53.721734764494862</v>
      </c>
    </row>
    <row r="80" spans="1:39" ht="15.75" customHeight="1">
      <c r="A80" s="857" t="s">
        <v>1503</v>
      </c>
      <c r="B80" s="595">
        <v>45652</v>
      </c>
      <c r="C80" s="595">
        <v>45649</v>
      </c>
      <c r="D80" t="s">
        <v>1152</v>
      </c>
      <c r="E80">
        <v>20606534923</v>
      </c>
      <c r="F80" t="s">
        <v>1538</v>
      </c>
      <c r="G80" s="80">
        <v>15</v>
      </c>
      <c r="H80" t="s">
        <v>69</v>
      </c>
      <c r="I80" s="596">
        <v>1.35</v>
      </c>
      <c r="J80" s="596">
        <v>1.5</v>
      </c>
      <c r="K80" s="138">
        <f t="shared" si="31"/>
        <v>1.32975</v>
      </c>
      <c r="L80" s="139">
        <v>0.193</v>
      </c>
      <c r="M80" s="159">
        <v>0.192</v>
      </c>
      <c r="N80" s="159">
        <v>0.192</v>
      </c>
      <c r="O80" s="139">
        <f t="shared" si="32"/>
        <v>0.192</v>
      </c>
      <c r="P80" s="629">
        <v>90</v>
      </c>
      <c r="Q80" s="760">
        <v>89.67</v>
      </c>
      <c r="R80" s="706">
        <v>2613.8000000000002</v>
      </c>
      <c r="S80" s="765">
        <f>IF((90+ROUNDDOWN(O80,1)*100)&lt;95,95,(90+ROUNDDOWN(O80,1)*100))</f>
        <v>100</v>
      </c>
      <c r="U80" s="947">
        <v>100</v>
      </c>
      <c r="V80" s="715">
        <v>1.1023000000000001</v>
      </c>
      <c r="Y80">
        <v>30</v>
      </c>
      <c r="Z80" s="143">
        <f t="shared" si="44"/>
        <v>30</v>
      </c>
      <c r="AA80" s="144">
        <f t="shared" si="33"/>
        <v>60</v>
      </c>
      <c r="AB80" s="145">
        <f t="shared" si="45"/>
        <v>302.45418867200004</v>
      </c>
      <c r="AC80" s="145">
        <f>+(S80-T80)*V80-'data 1'!$F$4</f>
        <v>30.230000000000004</v>
      </c>
      <c r="AD80" s="145">
        <f t="shared" si="34"/>
        <v>-1.7648255322059909</v>
      </c>
      <c r="AE80" s="145">
        <f t="shared" si="35"/>
        <v>-3.8619999999999948</v>
      </c>
      <c r="AF80" s="145">
        <f t="shared" si="36"/>
        <v>2.4847213922580025</v>
      </c>
      <c r="AG80" s="772">
        <f>+IF(D80="RONALD WILLIAN GARIBAY ESCUDERO",AC80+AD80+AE80+AF80+70,AC80+AD80+AE80+AF80)</f>
        <v>27.087895860052022</v>
      </c>
      <c r="AH80" s="146">
        <f t="shared" si="37"/>
        <v>7.8901188851606605</v>
      </c>
      <c r="AI80" s="156">
        <f t="shared" si="38"/>
        <v>46.585412542745971</v>
      </c>
      <c r="AJ80" s="156">
        <f t="shared" si="39"/>
        <v>7.8781238944394412</v>
      </c>
      <c r="AK80" s="88"/>
      <c r="AL80" s="716">
        <f t="shared" si="40"/>
        <v>402.18845738659206</v>
      </c>
      <c r="AM80" s="596">
        <f t="shared" si="46"/>
        <v>8.7990619885810855</v>
      </c>
    </row>
    <row r="81" spans="1:39" ht="15.75" customHeight="1">
      <c r="A81" s="857" t="s">
        <v>1504</v>
      </c>
      <c r="B81" s="595">
        <v>45652</v>
      </c>
      <c r="C81" s="595">
        <v>45649</v>
      </c>
      <c r="D81" t="s">
        <v>1152</v>
      </c>
      <c r="E81">
        <v>20606534923</v>
      </c>
      <c r="G81" s="80">
        <v>45</v>
      </c>
      <c r="H81" t="s">
        <v>69</v>
      </c>
      <c r="I81" s="596">
        <v>4.4000000000000004</v>
      </c>
      <c r="J81" s="596">
        <v>1.4</v>
      </c>
      <c r="K81" s="138">
        <f t="shared" si="31"/>
        <v>4.3384</v>
      </c>
      <c r="L81" s="139">
        <v>0.55600000000000005</v>
      </c>
      <c r="M81" s="159">
        <v>0.53400000000000003</v>
      </c>
      <c r="N81" s="159">
        <v>0.53400000000000003</v>
      </c>
      <c r="O81" s="139">
        <f t="shared" si="32"/>
        <v>0.53400000000000003</v>
      </c>
      <c r="P81" s="629">
        <v>90</v>
      </c>
      <c r="Q81" s="760">
        <v>89.59</v>
      </c>
      <c r="R81" s="706">
        <v>2613.8000000000002</v>
      </c>
      <c r="S81" s="802">
        <v>130</v>
      </c>
      <c r="U81" s="947">
        <v>120</v>
      </c>
      <c r="V81" s="715">
        <v>1.1023000000000001</v>
      </c>
      <c r="Y81">
        <v>20</v>
      </c>
      <c r="Z81" s="143">
        <f t="shared" si="44"/>
        <v>30</v>
      </c>
      <c r="AA81" s="144">
        <f t="shared" si="33"/>
        <v>50</v>
      </c>
      <c r="AB81" s="145">
        <f t="shared" si="45"/>
        <v>1122.7149046440002</v>
      </c>
      <c r="AC81" s="145">
        <f>+(S81-T81)*V81-'data 1'!$F$4</f>
        <v>63.299000000000007</v>
      </c>
      <c r="AD81" s="145">
        <f t="shared" si="34"/>
        <v>-6.2664283209039491</v>
      </c>
      <c r="AE81" s="145">
        <f t="shared" si="35"/>
        <v>-14.884999999999998</v>
      </c>
      <c r="AF81" s="145">
        <f t="shared" si="36"/>
        <v>54.180579452252061</v>
      </c>
      <c r="AG81" s="772">
        <f t="shared" ref="AG81:AG87" si="48">+IF(D81="RONALD WILLIAN GARIBAY ESCUDERO",AC81+AD81+AE81+AF81+70,AC81+AD81+AE81+AF81)+70-53</f>
        <v>113.32815113134814</v>
      </c>
      <c r="AH81" s="146">
        <f t="shared" si="37"/>
        <v>74.092285047820724</v>
      </c>
      <c r="AI81" s="156">
        <f t="shared" si="38"/>
        <v>145.06643849026392</v>
      </c>
      <c r="AJ81" s="156">
        <f t="shared" si="39"/>
        <v>71.486235444247271</v>
      </c>
      <c r="AK81" s="88"/>
      <c r="AL81" s="716">
        <f t="shared" si="40"/>
        <v>4870.7863423075305</v>
      </c>
      <c r="AM81" s="596">
        <f t="shared" si="46"/>
        <v>82.701512498962742</v>
      </c>
    </row>
    <row r="82" spans="1:39" ht="15.75" customHeight="1">
      <c r="A82" s="857" t="s">
        <v>1505</v>
      </c>
      <c r="B82" s="595">
        <v>45652</v>
      </c>
      <c r="C82" s="595">
        <v>45649</v>
      </c>
      <c r="D82" t="s">
        <v>1152</v>
      </c>
      <c r="E82">
        <v>20606534923</v>
      </c>
      <c r="G82" s="80">
        <v>54</v>
      </c>
      <c r="H82" t="s">
        <v>69</v>
      </c>
      <c r="I82" s="596">
        <v>4.62</v>
      </c>
      <c r="J82" s="596">
        <v>1.6</v>
      </c>
      <c r="K82" s="138">
        <f t="shared" si="31"/>
        <v>4.5460799999999999</v>
      </c>
      <c r="L82" s="139">
        <v>1.17</v>
      </c>
      <c r="M82" s="159">
        <v>1.123</v>
      </c>
      <c r="N82" s="159">
        <v>1.123</v>
      </c>
      <c r="O82" s="139">
        <f t="shared" si="32"/>
        <v>1.123</v>
      </c>
      <c r="P82" s="629">
        <v>90</v>
      </c>
      <c r="Q82" s="760">
        <v>89.89</v>
      </c>
      <c r="R82" s="706">
        <v>2613.8000000000002</v>
      </c>
      <c r="S82" s="802">
        <v>190</v>
      </c>
      <c r="U82" s="947">
        <v>120</v>
      </c>
      <c r="V82" s="715">
        <v>1.1023000000000001</v>
      </c>
      <c r="Y82">
        <v>20</v>
      </c>
      <c r="Z82" s="143">
        <f t="shared" si="44"/>
        <v>30</v>
      </c>
      <c r="AA82" s="144">
        <f t="shared" si="33"/>
        <v>50</v>
      </c>
      <c r="AB82" s="145">
        <f t="shared" si="45"/>
        <v>2513.777138418</v>
      </c>
      <c r="AC82" s="145">
        <f>+(S82-T82)*V82-'data 1'!$F$4</f>
        <v>129.43700000000001</v>
      </c>
      <c r="AD82" s="145">
        <f t="shared" si="34"/>
        <v>-3.5378545573799824</v>
      </c>
      <c r="AE82" s="145">
        <f t="shared" si="35"/>
        <v>-14.884999999999998</v>
      </c>
      <c r="AF82" s="145">
        <f t="shared" si="36"/>
        <v>116.13701685824184</v>
      </c>
      <c r="AG82" s="772">
        <f t="shared" si="48"/>
        <v>244.15116230086187</v>
      </c>
      <c r="AH82" s="146">
        <f t="shared" si="37"/>
        <v>163.92431798392178</v>
      </c>
      <c r="AI82" s="156">
        <f t="shared" si="38"/>
        <v>306.28791598157977</v>
      </c>
      <c r="AJ82" s="156">
        <f t="shared" si="39"/>
        <v>157.53186295724191</v>
      </c>
      <c r="AK82" s="88"/>
      <c r="AL82" s="716">
        <f t="shared" si="40"/>
        <v>11427.831973419301</v>
      </c>
      <c r="AM82" s="596">
        <f t="shared" si="46"/>
        <v>182.36101678042249</v>
      </c>
    </row>
    <row r="83" spans="1:39" ht="15.75" customHeight="1">
      <c r="A83" s="857" t="s">
        <v>1506</v>
      </c>
      <c r="B83" s="595">
        <v>45652</v>
      </c>
      <c r="C83" s="595">
        <v>45649</v>
      </c>
      <c r="D83" t="s">
        <v>1152</v>
      </c>
      <c r="E83">
        <v>20606534923</v>
      </c>
      <c r="G83" s="80">
        <v>53</v>
      </c>
      <c r="H83" t="s">
        <v>69</v>
      </c>
      <c r="I83" s="596">
        <v>4.55</v>
      </c>
      <c r="J83" s="596">
        <v>1.2</v>
      </c>
      <c r="K83" s="138">
        <f t="shared" si="31"/>
        <v>4.4954000000000001</v>
      </c>
      <c r="L83" s="139">
        <v>1.623</v>
      </c>
      <c r="M83" s="159">
        <v>1.5580000000000001</v>
      </c>
      <c r="N83" s="159">
        <v>1.5580000000000001</v>
      </c>
      <c r="O83" s="139">
        <f t="shared" si="32"/>
        <v>1.5580000000000001</v>
      </c>
      <c r="P83" s="629">
        <v>90</v>
      </c>
      <c r="Q83" s="760">
        <v>89.43</v>
      </c>
      <c r="R83" s="706">
        <v>2613.8000000000002</v>
      </c>
      <c r="S83" s="802">
        <v>230</v>
      </c>
      <c r="U83" s="947">
        <v>120</v>
      </c>
      <c r="V83" s="715">
        <v>1.1023000000000001</v>
      </c>
      <c r="Y83">
        <v>20</v>
      </c>
      <c r="Z83" s="143">
        <f t="shared" si="44"/>
        <v>30</v>
      </c>
      <c r="AA83" s="144">
        <f t="shared" si="33"/>
        <v>50</v>
      </c>
      <c r="AB83" s="145">
        <f t="shared" si="45"/>
        <v>3545.8856506280003</v>
      </c>
      <c r="AC83" s="145">
        <f>+(S83-T83)*V83-'data 1'!$F$4</f>
        <v>173.52900000000002</v>
      </c>
      <c r="AD83" s="145">
        <f t="shared" si="34"/>
        <v>-25.430494402313698</v>
      </c>
      <c r="AE83" s="145">
        <f t="shared" si="35"/>
        <v>-14.884999999999998</v>
      </c>
      <c r="AF83" s="145">
        <f t="shared" si="36"/>
        <v>159.79309750832988</v>
      </c>
      <c r="AG83" s="772">
        <f t="shared" si="48"/>
        <v>310.0066031060162</v>
      </c>
      <c r="AH83" s="146">
        <f t="shared" si="37"/>
        <v>223.70678742225769</v>
      </c>
      <c r="AI83" s="156">
        <f t="shared" si="38"/>
        <v>422.70206675657374</v>
      </c>
      <c r="AJ83" s="156">
        <f t="shared" si="39"/>
        <v>216.11622518952598</v>
      </c>
      <c r="AK83" s="88"/>
      <c r="AL83" s="716">
        <f t="shared" si="40"/>
        <v>15940.174353833114</v>
      </c>
      <c r="AM83" s="596">
        <f t="shared" si="46"/>
        <v>250.14736377307131</v>
      </c>
    </row>
    <row r="84" spans="1:39" ht="15.75" customHeight="1">
      <c r="A84" s="857" t="s">
        <v>1507</v>
      </c>
      <c r="B84" s="595">
        <v>45652</v>
      </c>
      <c r="C84" s="595">
        <v>45650</v>
      </c>
      <c r="D84" t="s">
        <v>1229</v>
      </c>
      <c r="E84">
        <v>20610873309</v>
      </c>
      <c r="G84" s="80">
        <v>70</v>
      </c>
      <c r="H84" t="s">
        <v>69</v>
      </c>
      <c r="I84" s="596">
        <v>6.24</v>
      </c>
      <c r="J84" s="596">
        <v>1.7</v>
      </c>
      <c r="K84" s="138">
        <f t="shared" si="31"/>
        <v>6.1339199999999998</v>
      </c>
      <c r="L84" s="139">
        <v>0.17299999999999999</v>
      </c>
      <c r="M84" s="159">
        <v>0.16300000000000001</v>
      </c>
      <c r="N84" s="159">
        <v>0.16300000000000001</v>
      </c>
      <c r="O84" s="139">
        <f t="shared" si="32"/>
        <v>0.16300000000000001</v>
      </c>
      <c r="P84" s="629">
        <v>90</v>
      </c>
      <c r="Q84" s="760">
        <v>89.67</v>
      </c>
      <c r="R84" s="706">
        <v>2613.8000000000002</v>
      </c>
      <c r="S84" s="765">
        <f t="shared" ref="S84:S93" si="49">IF((90+ROUNDDOWN(O84,1)*100)&lt;95,95,(90+ROUNDDOWN(O84,1)*100))</f>
        <v>100</v>
      </c>
      <c r="U84" s="947">
        <v>120</v>
      </c>
      <c r="V84" s="715">
        <v>1.1023000000000001</v>
      </c>
      <c r="Y84">
        <v>20</v>
      </c>
      <c r="Z84" s="143">
        <f t="shared" si="44"/>
        <v>30</v>
      </c>
      <c r="AA84" s="144">
        <f t="shared" si="33"/>
        <v>50</v>
      </c>
      <c r="AB84" s="145">
        <f t="shared" si="45"/>
        <v>237.92093905800002</v>
      </c>
      <c r="AC84" s="145">
        <f>+(S84-T84)*V84-'data 1'!$F$4</f>
        <v>30.230000000000004</v>
      </c>
      <c r="AD84" s="145">
        <f t="shared" si="34"/>
        <v>-1.5693559959659922</v>
      </c>
      <c r="AE84" s="145">
        <f t="shared" si="35"/>
        <v>-14.884999999999998</v>
      </c>
      <c r="AF84" s="145">
        <f t="shared" si="36"/>
        <v>24.649527440579959</v>
      </c>
      <c r="AG84" s="772">
        <f t="shared" si="48"/>
        <v>55.425171444613966</v>
      </c>
      <c r="AH84" s="146">
        <f t="shared" si="37"/>
        <v>32.624243481612758</v>
      </c>
      <c r="AI84" s="156">
        <f t="shared" si="38"/>
        <v>45.177884790905971</v>
      </c>
      <c r="AJ84" s="156">
        <f t="shared" si="39"/>
        <v>30.851571489505137</v>
      </c>
      <c r="AK84" s="88"/>
      <c r="AL84" s="716">
        <f t="shared" si="40"/>
        <v>1459.3880065066473</v>
      </c>
      <c r="AM84" s="596">
        <f t="shared" si="46"/>
        <v>36.382562151904487</v>
      </c>
    </row>
    <row r="85" spans="1:39" ht="15.75" customHeight="1">
      <c r="A85" s="857" t="s">
        <v>1508</v>
      </c>
      <c r="B85" s="595">
        <v>45660</v>
      </c>
      <c r="C85" s="595">
        <v>45650</v>
      </c>
      <c r="D85" t="s">
        <v>1229</v>
      </c>
      <c r="E85">
        <v>20610873309</v>
      </c>
      <c r="G85" s="80">
        <v>25</v>
      </c>
      <c r="H85" t="s">
        <v>69</v>
      </c>
      <c r="I85" s="596">
        <v>2.08</v>
      </c>
      <c r="J85" s="596">
        <v>1.5</v>
      </c>
      <c r="K85" s="138">
        <f t="shared" si="31"/>
        <v>2.0488</v>
      </c>
      <c r="L85" s="139">
        <v>1.4350000000000001</v>
      </c>
      <c r="M85" s="159">
        <v>1.4350000000000001</v>
      </c>
      <c r="N85" s="598">
        <v>1.4350000000000001</v>
      </c>
      <c r="O85" s="139">
        <f t="shared" si="32"/>
        <v>1.4350000000000001</v>
      </c>
      <c r="P85" s="629">
        <v>90</v>
      </c>
      <c r="Q85" s="760">
        <v>89.73</v>
      </c>
      <c r="R85" s="706">
        <v>2613.8000000000002</v>
      </c>
      <c r="S85" s="765">
        <f t="shared" si="49"/>
        <v>230</v>
      </c>
      <c r="U85" s="947">
        <v>130</v>
      </c>
      <c r="V85" s="715">
        <v>1.1023000000000001</v>
      </c>
      <c r="Y85">
        <v>30</v>
      </c>
      <c r="Z85" s="143">
        <f t="shared" si="44"/>
        <v>30</v>
      </c>
      <c r="AA85" s="144">
        <f t="shared" si="33"/>
        <v>60</v>
      </c>
      <c r="AB85" s="145">
        <f t="shared" si="45"/>
        <v>3216.3214737100006</v>
      </c>
      <c r="AC85" s="145">
        <f>+(S85-T85)*V85-'data 1'!$F$4</f>
        <v>173.52900000000002</v>
      </c>
      <c r="AD85" s="145">
        <f t="shared" si="34"/>
        <v>-10.607965421129846</v>
      </c>
      <c r="AE85" s="145">
        <f t="shared" si="35"/>
        <v>-3.8619999999999948</v>
      </c>
      <c r="AF85" s="145">
        <f t="shared" si="36"/>
        <v>0</v>
      </c>
      <c r="AG85" s="772">
        <f t="shared" si="48"/>
        <v>176.05903457887018</v>
      </c>
      <c r="AH85" s="146">
        <f t="shared" si="37"/>
        <v>90.447840769762649</v>
      </c>
      <c r="AI85" s="156">
        <f t="shared" si="38"/>
        <v>389.18565720782971</v>
      </c>
      <c r="AJ85" s="156">
        <f t="shared" si="39"/>
        <v>90.720000772078862</v>
      </c>
      <c r="AK85" s="88"/>
      <c r="AL85" s="716">
        <f t="shared" si="40"/>
        <v>6589.5994353370488</v>
      </c>
      <c r="AM85" s="596">
        <f t="shared" si="46"/>
        <v>100.80000085786543</v>
      </c>
    </row>
    <row r="86" spans="1:39" ht="15.75" customHeight="1">
      <c r="A86" s="857" t="s">
        <v>1509</v>
      </c>
      <c r="B86" s="595">
        <v>45660</v>
      </c>
      <c r="C86" s="595">
        <v>45650</v>
      </c>
      <c r="D86" t="s">
        <v>1521</v>
      </c>
      <c r="E86">
        <v>10404377324</v>
      </c>
      <c r="G86" s="80" t="s">
        <v>1434</v>
      </c>
      <c r="H86" t="s">
        <v>69</v>
      </c>
      <c r="I86" s="596">
        <v>13.46</v>
      </c>
      <c r="J86" s="596">
        <v>1.1000000000000001</v>
      </c>
      <c r="K86" s="138">
        <f t="shared" si="31"/>
        <v>13.311940000000002</v>
      </c>
      <c r="L86" s="139">
        <v>0.19</v>
      </c>
      <c r="M86" s="159">
        <v>0.18</v>
      </c>
      <c r="N86" s="598">
        <v>0.215</v>
      </c>
      <c r="O86" s="139">
        <f t="shared" si="32"/>
        <v>0.19800000000000001</v>
      </c>
      <c r="P86" s="629">
        <v>90</v>
      </c>
      <c r="Q86" s="760">
        <v>89.55</v>
      </c>
      <c r="R86" s="706">
        <v>2613.8000000000002</v>
      </c>
      <c r="S86" s="765">
        <f t="shared" si="49"/>
        <v>100</v>
      </c>
      <c r="U86" s="1001">
        <v>130</v>
      </c>
      <c r="V86" s="715">
        <v>1.1023000000000001</v>
      </c>
      <c r="Y86">
        <v>20</v>
      </c>
      <c r="Z86" s="143">
        <f t="shared" si="44"/>
        <v>30</v>
      </c>
      <c r="AA86" s="144">
        <f t="shared" si="33"/>
        <v>50</v>
      </c>
      <c r="AB86" s="145">
        <f t="shared" si="45"/>
        <v>322.54748626800006</v>
      </c>
      <c r="AC86" s="145">
        <f>+(S86-T86)*V86-'data 1'!$F$4</f>
        <v>30.230000000000004</v>
      </c>
      <c r="AD86" s="145">
        <f t="shared" si="34"/>
        <v>-2.340898292700015</v>
      </c>
      <c r="AE86" s="145">
        <f t="shared" si="35"/>
        <v>-14.884999999999998</v>
      </c>
      <c r="AF86" s="145">
        <f t="shared" si="36"/>
        <v>-19.614263589360018</v>
      </c>
      <c r="AG86" s="772">
        <f t="shared" si="48"/>
        <v>10.389838117939973</v>
      </c>
      <c r="AH86" s="146">
        <f t="shared" si="37"/>
        <v>77.655033590860654</v>
      </c>
      <c r="AI86" s="156">
        <f t="shared" si="38"/>
        <v>51.426438545699966</v>
      </c>
      <c r="AJ86" s="156">
        <f t="shared" si="39"/>
        <v>81.331376096220112</v>
      </c>
      <c r="AK86" s="88"/>
      <c r="AL86" s="716">
        <f t="shared" si="40"/>
        <v>4293.7327843504409</v>
      </c>
      <c r="AM86" s="596">
        <f t="shared" si="46"/>
        <v>86.716955433680241</v>
      </c>
    </row>
    <row r="87" spans="1:39" ht="15.75" customHeight="1">
      <c r="A87" s="857" t="s">
        <v>1510</v>
      </c>
      <c r="B87" s="595">
        <v>45652</v>
      </c>
      <c r="C87" s="595">
        <v>45650</v>
      </c>
      <c r="D87" t="s">
        <v>145</v>
      </c>
      <c r="E87">
        <v>10437450094</v>
      </c>
      <c r="G87" s="80">
        <v>81</v>
      </c>
      <c r="H87" t="s">
        <v>69</v>
      </c>
      <c r="I87" s="596">
        <v>8.61</v>
      </c>
      <c r="J87" s="596">
        <v>1.3</v>
      </c>
      <c r="K87" s="138">
        <f t="shared" si="31"/>
        <v>8.4980700000000002</v>
      </c>
      <c r="L87" s="139">
        <v>0.37</v>
      </c>
      <c r="M87" s="988">
        <v>0.37</v>
      </c>
      <c r="N87" s="988">
        <v>0.35499999999999998</v>
      </c>
      <c r="O87" s="139">
        <f t="shared" si="32"/>
        <v>0.36299999999999999</v>
      </c>
      <c r="P87" s="629">
        <v>90</v>
      </c>
      <c r="Q87" s="760">
        <v>89.64</v>
      </c>
      <c r="R87" s="706">
        <v>2613.8000000000002</v>
      </c>
      <c r="S87" s="765">
        <f t="shared" si="49"/>
        <v>120</v>
      </c>
      <c r="U87" s="947">
        <v>120</v>
      </c>
      <c r="V87" s="715">
        <v>1.1023000000000001</v>
      </c>
      <c r="Y87">
        <v>20</v>
      </c>
      <c r="Z87" s="143">
        <f t="shared" si="44"/>
        <v>30</v>
      </c>
      <c r="AA87" s="144">
        <f t="shared" si="33"/>
        <v>50</v>
      </c>
      <c r="AB87" s="145">
        <f t="shared" si="45"/>
        <v>710.67977225800018</v>
      </c>
      <c r="AC87" s="145">
        <f>+(S87-T87)*V87-'data 1'!$F$4</f>
        <v>52.27600000000001</v>
      </c>
      <c r="AD87" s="145">
        <f t="shared" si="34"/>
        <v>-3.6615557656799949</v>
      </c>
      <c r="AE87" s="145">
        <f t="shared" si="35"/>
        <v>-14.884999999999998</v>
      </c>
      <c r="AF87" s="145">
        <f t="shared" si="36"/>
        <v>17.248896485352017</v>
      </c>
      <c r="AG87" s="772">
        <f t="shared" si="48"/>
        <v>67.978340719672033</v>
      </c>
      <c r="AH87" s="146">
        <f t="shared" si="37"/>
        <v>96.634664975481243</v>
      </c>
      <c r="AI87" s="156">
        <f t="shared" si="38"/>
        <v>96.590895536879941</v>
      </c>
      <c r="AJ87" s="156">
        <f t="shared" si="39"/>
        <v>95.187190345434942</v>
      </c>
      <c r="AK87" s="88"/>
      <c r="AL87" s="716">
        <f t="shared" si="40"/>
        <v>6039.4064522325434</v>
      </c>
      <c r="AM87" s="596">
        <f t="shared" si="46"/>
        <v>107.80306222164351</v>
      </c>
    </row>
    <row r="88" spans="1:39" ht="15.75" customHeight="1">
      <c r="A88" s="857" t="s">
        <v>1511</v>
      </c>
      <c r="B88" s="595">
        <v>45652</v>
      </c>
      <c r="C88" s="595">
        <v>45650</v>
      </c>
      <c r="D88" t="s">
        <v>1152</v>
      </c>
      <c r="E88">
        <v>20606534923</v>
      </c>
      <c r="G88" s="80">
        <v>13</v>
      </c>
      <c r="H88" t="s">
        <v>69</v>
      </c>
      <c r="I88" s="596">
        <v>1.06</v>
      </c>
      <c r="J88" s="596">
        <v>1.2</v>
      </c>
      <c r="K88" s="138">
        <f t="shared" si="31"/>
        <v>1.04728</v>
      </c>
      <c r="L88" s="139">
        <v>0.84099999999999997</v>
      </c>
      <c r="M88" s="159">
        <v>0.80700000000000005</v>
      </c>
      <c r="N88" s="159">
        <v>0.80700000000000005</v>
      </c>
      <c r="O88" s="139">
        <f t="shared" si="32"/>
        <v>0.80700000000000005</v>
      </c>
      <c r="P88" s="629">
        <v>90</v>
      </c>
      <c r="Q88" s="760">
        <v>89.78</v>
      </c>
      <c r="R88" s="706">
        <v>2613.8000000000002</v>
      </c>
      <c r="S88" s="765">
        <f t="shared" si="49"/>
        <v>170</v>
      </c>
      <c r="U88" s="947">
        <v>130</v>
      </c>
      <c r="V88" s="715">
        <v>1.1023000000000001</v>
      </c>
      <c r="Y88">
        <v>10</v>
      </c>
      <c r="Z88" s="143">
        <f t="shared" si="44"/>
        <v>30</v>
      </c>
      <c r="AA88" s="144">
        <f t="shared" si="33"/>
        <v>40</v>
      </c>
      <c r="AB88" s="145">
        <f t="shared" si="45"/>
        <v>1757.0484970620005</v>
      </c>
      <c r="AC88" s="145">
        <f>+(S88-T88)*V88-'data 1'!$F$4</f>
        <v>107.39100000000002</v>
      </c>
      <c r="AD88" s="145">
        <f t="shared" si="34"/>
        <v>-5.0656491475479744</v>
      </c>
      <c r="AE88" s="145">
        <f t="shared" si="35"/>
        <v>-25.908000000000001</v>
      </c>
      <c r="AF88" s="145">
        <f t="shared" si="36"/>
        <v>83.574723467047804</v>
      </c>
      <c r="AG88" s="772">
        <f t="shared" ref="AG88:AG93" si="50">+IF(D88="RONALD WILLIAN GARIBAY ESCUDERO",AC88+AD88+AE88+AF88+70,AC88+AD88+AE88+AF88)</f>
        <v>159.99207431949986</v>
      </c>
      <c r="AH88" s="146">
        <f t="shared" si="37"/>
        <v>27.111121042517631</v>
      </c>
      <c r="AI88" s="156">
        <f t="shared" si="38"/>
        <v>228.21430038286783</v>
      </c>
      <c r="AJ88" s="156">
        <f t="shared" si="39"/>
        <v>26.078819189384006</v>
      </c>
      <c r="AK88" s="88"/>
      <c r="AL88" s="716">
        <f t="shared" si="40"/>
        <v>1840.1217500030918</v>
      </c>
      <c r="AM88" s="596">
        <f t="shared" si="46"/>
        <v>30.197283406680363</v>
      </c>
    </row>
    <row r="89" spans="1:39" ht="15.75" customHeight="1">
      <c r="A89" s="857" t="s">
        <v>1512</v>
      </c>
      <c r="B89" s="595">
        <v>45652</v>
      </c>
      <c r="C89" s="595">
        <v>45650</v>
      </c>
      <c r="D89" t="s">
        <v>1152</v>
      </c>
      <c r="E89">
        <v>20606534923</v>
      </c>
      <c r="G89" s="80">
        <v>42</v>
      </c>
      <c r="H89" t="s">
        <v>69</v>
      </c>
      <c r="I89" s="596">
        <v>3.59</v>
      </c>
      <c r="J89" s="596">
        <v>1.5</v>
      </c>
      <c r="K89" s="138">
        <f t="shared" si="31"/>
        <v>3.5361499999999997</v>
      </c>
      <c r="L89" s="139">
        <v>0.61899999999999999</v>
      </c>
      <c r="M89" s="159">
        <v>0.59399999999999997</v>
      </c>
      <c r="N89" s="159">
        <v>0.59399999999999997</v>
      </c>
      <c r="O89" s="139">
        <f t="shared" si="32"/>
        <v>0.59399999999999997</v>
      </c>
      <c r="P89" s="629">
        <v>90</v>
      </c>
      <c r="Q89" s="760">
        <v>89.91</v>
      </c>
      <c r="R89" s="706">
        <v>2613.8000000000002</v>
      </c>
      <c r="S89" s="765">
        <f t="shared" si="49"/>
        <v>140</v>
      </c>
      <c r="U89" s="947">
        <v>130</v>
      </c>
      <c r="V89" s="715">
        <v>1.1023000000000001</v>
      </c>
      <c r="Y89">
        <v>20</v>
      </c>
      <c r="Z89" s="143">
        <f t="shared" si="44"/>
        <v>30</v>
      </c>
      <c r="AA89" s="144">
        <f t="shared" si="33"/>
        <v>50</v>
      </c>
      <c r="AB89" s="145">
        <f t="shared" si="45"/>
        <v>1254.2404588040001</v>
      </c>
      <c r="AC89" s="145">
        <f>+(S89-T89)*V89-'data 1'!$F$4</f>
        <v>74.322000000000003</v>
      </c>
      <c r="AD89" s="145">
        <f t="shared" si="34"/>
        <v>-1.5252800454540583</v>
      </c>
      <c r="AE89" s="145">
        <f t="shared" si="35"/>
        <v>-14.884999999999998</v>
      </c>
      <c r="AF89" s="145">
        <f t="shared" si="36"/>
        <v>61.540984063350059</v>
      </c>
      <c r="AG89" s="772">
        <f t="shared" si="50"/>
        <v>119.45270401789601</v>
      </c>
      <c r="AH89" s="146">
        <f t="shared" si="37"/>
        <v>67.474301133344156</v>
      </c>
      <c r="AI89" s="156">
        <f t="shared" si="38"/>
        <v>168.21545884331391</v>
      </c>
      <c r="AJ89" s="156">
        <f t="shared" si="39"/>
        <v>64.813981789877801</v>
      </c>
      <c r="AK89" s="88"/>
      <c r="AL89" s="716">
        <f t="shared" si="40"/>
        <v>4435.1823983997647</v>
      </c>
      <c r="AM89" s="596">
        <f t="shared" si="46"/>
        <v>75.04649219591164</v>
      </c>
    </row>
    <row r="90" spans="1:39" ht="15.75" customHeight="1">
      <c r="A90" s="857" t="s">
        <v>1513</v>
      </c>
      <c r="B90" s="595">
        <v>45652</v>
      </c>
      <c r="C90" s="595">
        <v>45650</v>
      </c>
      <c r="D90" t="s">
        <v>1152</v>
      </c>
      <c r="E90">
        <v>20606534923</v>
      </c>
      <c r="G90" s="80">
        <v>42</v>
      </c>
      <c r="H90" t="s">
        <v>69</v>
      </c>
      <c r="I90" s="596">
        <v>3.62</v>
      </c>
      <c r="J90" s="596">
        <v>1.6</v>
      </c>
      <c r="K90" s="138">
        <f t="shared" si="31"/>
        <v>3.5620799999999999</v>
      </c>
      <c r="L90" s="139">
        <v>0.66800000000000004</v>
      </c>
      <c r="M90" s="159">
        <v>0.64100000000000001</v>
      </c>
      <c r="N90" s="159">
        <v>0.64100000000000001</v>
      </c>
      <c r="O90" s="139">
        <f t="shared" si="32"/>
        <v>0.64100000000000001</v>
      </c>
      <c r="P90" s="629">
        <v>90</v>
      </c>
      <c r="Q90" s="760">
        <v>89.71</v>
      </c>
      <c r="R90" s="706">
        <v>2613.8000000000002</v>
      </c>
      <c r="S90" s="765">
        <f t="shared" si="49"/>
        <v>150</v>
      </c>
      <c r="U90" s="947">
        <v>130</v>
      </c>
      <c r="V90" s="715">
        <v>1.1023000000000001</v>
      </c>
      <c r="Y90">
        <v>20</v>
      </c>
      <c r="Z90" s="143">
        <f t="shared" si="44"/>
        <v>30</v>
      </c>
      <c r="AA90" s="144">
        <f t="shared" si="33"/>
        <v>50</v>
      </c>
      <c r="AB90" s="145">
        <f t="shared" si="45"/>
        <v>1359.030321706</v>
      </c>
      <c r="AC90" s="145">
        <f>+(S90-T90)*V90-'data 1'!$F$4</f>
        <v>85.344999999999999</v>
      </c>
      <c r="AD90" s="145">
        <f t="shared" si="34"/>
        <v>-5.3038458159281152</v>
      </c>
      <c r="AE90" s="145">
        <f t="shared" si="35"/>
        <v>-14.884999999999998</v>
      </c>
      <c r="AF90" s="145">
        <f t="shared" si="36"/>
        <v>66.316416580458053</v>
      </c>
      <c r="AG90" s="772">
        <f t="shared" si="50"/>
        <v>131.47257076452993</v>
      </c>
      <c r="AH90" s="146">
        <f t="shared" si="37"/>
        <v>73.186344797164381</v>
      </c>
      <c r="AI90" s="156">
        <f t="shared" si="38"/>
        <v>181.12757681344789</v>
      </c>
      <c r="AJ90" s="156">
        <f t="shared" si="39"/>
        <v>70.455236523081581</v>
      </c>
      <c r="AK90" s="88"/>
      <c r="AL90" s="716">
        <f t="shared" si="40"/>
        <v>4840.9747283425086</v>
      </c>
      <c r="AM90" s="596">
        <f t="shared" si="46"/>
        <v>81.581033103516205</v>
      </c>
    </row>
    <row r="91" spans="1:39" ht="15.75" customHeight="1">
      <c r="A91" s="857" t="s">
        <v>1514</v>
      </c>
      <c r="B91" s="595">
        <v>45652</v>
      </c>
      <c r="C91" s="595">
        <v>45650</v>
      </c>
      <c r="D91" t="s">
        <v>1152</v>
      </c>
      <c r="E91">
        <v>20606534923</v>
      </c>
      <c r="G91" s="80">
        <v>43</v>
      </c>
      <c r="H91" t="s">
        <v>69</v>
      </c>
      <c r="I91" s="596">
        <v>3.79</v>
      </c>
      <c r="J91" s="596">
        <v>1.7</v>
      </c>
      <c r="K91" s="138">
        <f t="shared" si="31"/>
        <v>3.7255699999999998</v>
      </c>
      <c r="L91" s="139">
        <v>0.38500000000000001</v>
      </c>
      <c r="M91" s="159">
        <v>0.37</v>
      </c>
      <c r="N91" s="159">
        <v>0.37</v>
      </c>
      <c r="O91" s="139">
        <f t="shared" si="32"/>
        <v>0.37</v>
      </c>
      <c r="P91" s="629">
        <v>90</v>
      </c>
      <c r="Q91" s="760">
        <v>89.73</v>
      </c>
      <c r="R91" s="706">
        <v>2613.8000000000002</v>
      </c>
      <c r="S91" s="765">
        <f t="shared" si="49"/>
        <v>120</v>
      </c>
      <c r="U91" s="947">
        <v>130</v>
      </c>
      <c r="V91" s="715">
        <v>1.1023000000000001</v>
      </c>
      <c r="Y91">
        <v>20</v>
      </c>
      <c r="Z91" s="143">
        <f t="shared" si="44"/>
        <v>30</v>
      </c>
      <c r="AA91" s="144">
        <f t="shared" si="33"/>
        <v>50</v>
      </c>
      <c r="AB91" s="145">
        <f t="shared" si="45"/>
        <v>724.32728241999996</v>
      </c>
      <c r="AC91" s="145">
        <f>+(S91-T91)*V91-'data 1'!$F$4</f>
        <v>52.27600000000001</v>
      </c>
      <c r="AD91" s="145">
        <f t="shared" si="34"/>
        <v>-2.8460395032299588</v>
      </c>
      <c r="AE91" s="145">
        <f t="shared" si="35"/>
        <v>-14.884999999999998</v>
      </c>
      <c r="AF91" s="145">
        <f t="shared" si="36"/>
        <v>36.850667334030035</v>
      </c>
      <c r="AG91" s="772">
        <f t="shared" si="50"/>
        <v>71.395627830800095</v>
      </c>
      <c r="AH91" s="146">
        <f t="shared" si="37"/>
        <v>44.126572407675297</v>
      </c>
      <c r="AI91" s="156">
        <f t="shared" si="38"/>
        <v>104.41566412892995</v>
      </c>
      <c r="AJ91" s="156">
        <f t="shared" si="39"/>
        <v>42.534960181427024</v>
      </c>
      <c r="AK91" s="88"/>
      <c r="AL91" s="716">
        <f t="shared" si="40"/>
        <v>2698.5319935654793</v>
      </c>
      <c r="AM91" s="596">
        <f t="shared" si="46"/>
        <v>49.17705606561384</v>
      </c>
    </row>
    <row r="92" spans="1:39" ht="15.75" customHeight="1">
      <c r="A92" s="857" t="s">
        <v>1515</v>
      </c>
      <c r="B92" s="595">
        <v>45652</v>
      </c>
      <c r="C92" s="595">
        <v>45650</v>
      </c>
      <c r="D92" t="s">
        <v>1152</v>
      </c>
      <c r="E92">
        <v>20606534923</v>
      </c>
      <c r="G92" s="80">
        <v>42</v>
      </c>
      <c r="H92" t="s">
        <v>69</v>
      </c>
      <c r="I92" s="596">
        <v>4.1500000000000004</v>
      </c>
      <c r="J92" s="596">
        <v>1.8</v>
      </c>
      <c r="K92" s="138">
        <f t="shared" si="31"/>
        <v>4.0753000000000004</v>
      </c>
      <c r="L92" s="139">
        <v>0.83799999999999997</v>
      </c>
      <c r="M92" s="159">
        <v>0.80400000000000005</v>
      </c>
      <c r="N92" s="159">
        <v>0.80400000000000005</v>
      </c>
      <c r="O92" s="139">
        <f t="shared" si="32"/>
        <v>0.80400000000000005</v>
      </c>
      <c r="P92" s="629">
        <v>90</v>
      </c>
      <c r="Q92" s="760">
        <v>89.68</v>
      </c>
      <c r="R92" s="706">
        <v>2613.8000000000002</v>
      </c>
      <c r="S92" s="765">
        <f t="shared" si="49"/>
        <v>170</v>
      </c>
      <c r="U92" s="947">
        <v>130</v>
      </c>
      <c r="V92" s="715">
        <v>1.1023000000000001</v>
      </c>
      <c r="Y92">
        <v>20</v>
      </c>
      <c r="Z92" s="143">
        <f t="shared" si="44"/>
        <v>30</v>
      </c>
      <c r="AA92" s="144">
        <f t="shared" si="33"/>
        <v>50</v>
      </c>
      <c r="AB92" s="145">
        <f t="shared" si="45"/>
        <v>1738.6331866640003</v>
      </c>
      <c r="AC92" s="145">
        <f>+(S92-T92)*V92-'data 1'!$F$4</f>
        <v>107.39100000000002</v>
      </c>
      <c r="AD92" s="145">
        <f t="shared" si="34"/>
        <v>-7.341933171583845</v>
      </c>
      <c r="AE92" s="145">
        <f t="shared" si="35"/>
        <v>-14.884999999999998</v>
      </c>
      <c r="AF92" s="145">
        <f t="shared" si="36"/>
        <v>83.481635113887819</v>
      </c>
      <c r="AG92" s="772">
        <f t="shared" si="50"/>
        <v>168.64570194230399</v>
      </c>
      <c r="AH92" s="146">
        <f t="shared" si="37"/>
        <v>105.00458721065537</v>
      </c>
      <c r="AI92" s="156">
        <f t="shared" si="38"/>
        <v>227.14693240214388</v>
      </c>
      <c r="AJ92" s="156">
        <f t="shared" si="39"/>
        <v>101.10373785343141</v>
      </c>
      <c r="AK92" s="88"/>
      <c r="AL92" s="716">
        <f t="shared" si="40"/>
        <v>7085.4518256118008</v>
      </c>
      <c r="AM92" s="596">
        <f t="shared" si="46"/>
        <v>117.08807672909832</v>
      </c>
    </row>
    <row r="93" spans="1:39" ht="15.75" customHeight="1">
      <c r="A93" s="857" t="s">
        <v>1516</v>
      </c>
      <c r="B93" s="595">
        <v>45652</v>
      </c>
      <c r="C93" s="595">
        <v>45650</v>
      </c>
      <c r="D93" t="s">
        <v>1152</v>
      </c>
      <c r="E93">
        <v>20606534923</v>
      </c>
      <c r="G93" s="80">
        <v>69</v>
      </c>
      <c r="H93" t="s">
        <v>69</v>
      </c>
      <c r="I93" s="596">
        <v>6.85</v>
      </c>
      <c r="J93" s="596">
        <v>1.5</v>
      </c>
      <c r="K93" s="138">
        <f t="shared" si="31"/>
        <v>6.7472499999999993</v>
      </c>
      <c r="L93" s="139">
        <v>0.24</v>
      </c>
      <c r="M93" s="159">
        <v>0.23</v>
      </c>
      <c r="N93" s="159">
        <v>0.23</v>
      </c>
      <c r="O93" s="139">
        <f t="shared" si="32"/>
        <v>0.23</v>
      </c>
      <c r="P93" s="629">
        <v>90</v>
      </c>
      <c r="Q93" s="760">
        <v>89.84</v>
      </c>
      <c r="R93" s="706">
        <v>2613.8000000000002</v>
      </c>
      <c r="S93" s="765">
        <f t="shared" si="49"/>
        <v>110</v>
      </c>
      <c r="U93" s="947">
        <v>130</v>
      </c>
      <c r="V93" s="715">
        <v>1.1023000000000001</v>
      </c>
      <c r="Y93">
        <v>20</v>
      </c>
      <c r="Z93" s="143">
        <f t="shared" si="44"/>
        <v>30</v>
      </c>
      <c r="AA93" s="144">
        <f t="shared" si="33"/>
        <v>50</v>
      </c>
      <c r="AB93" s="145">
        <f t="shared" si="45"/>
        <v>390.37579718000006</v>
      </c>
      <c r="AC93" s="145">
        <f>+(S93-T93)*V93-'data 1'!$F$4</f>
        <v>41.253</v>
      </c>
      <c r="AD93" s="145">
        <f t="shared" si="34"/>
        <v>-1.0513508121599777</v>
      </c>
      <c r="AE93" s="145">
        <f t="shared" si="35"/>
        <v>-14.884999999999998</v>
      </c>
      <c r="AF93" s="145">
        <f t="shared" si="36"/>
        <v>24.597228376159954</v>
      </c>
      <c r="AG93" s="772">
        <f t="shared" si="50"/>
        <v>49.913877563999975</v>
      </c>
      <c r="AH93" s="146">
        <f t="shared" si="37"/>
        <v>49.878898735942478</v>
      </c>
      <c r="AI93" s="156">
        <f t="shared" si="38"/>
        <v>65.170078306559958</v>
      </c>
      <c r="AJ93" s="156">
        <f t="shared" si="39"/>
        <v>47.885741495715038</v>
      </c>
      <c r="AK93" s="88"/>
      <c r="AL93" s="716">
        <f t="shared" si="40"/>
        <v>2633.9630975227551</v>
      </c>
      <c r="AM93" s="596">
        <f t="shared" si="46"/>
        <v>55.519700284886994</v>
      </c>
    </row>
    <row r="94" spans="1:39" ht="15.75" customHeight="1">
      <c r="A94" s="857" t="s">
        <v>1518</v>
      </c>
      <c r="B94" s="595">
        <v>45652</v>
      </c>
      <c r="C94" s="595">
        <v>45650</v>
      </c>
      <c r="D94" t="s">
        <v>1152</v>
      </c>
      <c r="E94">
        <v>20606534923</v>
      </c>
      <c r="F94" t="s">
        <v>349</v>
      </c>
      <c r="G94" s="80">
        <v>6</v>
      </c>
      <c r="H94" t="s">
        <v>69</v>
      </c>
      <c r="I94" s="596">
        <v>0.51</v>
      </c>
      <c r="J94" s="596">
        <v>1</v>
      </c>
      <c r="K94" s="138">
        <f t="shared" si="31"/>
        <v>0.50490000000000002</v>
      </c>
      <c r="L94" s="139">
        <v>0.40300000000000002</v>
      </c>
      <c r="M94" s="159">
        <v>0.38600000000000001</v>
      </c>
      <c r="N94" s="159">
        <v>0.38600000000000001</v>
      </c>
      <c r="O94" s="139">
        <f t="shared" si="32"/>
        <v>0.38600000000000001</v>
      </c>
      <c r="P94" s="629">
        <v>90</v>
      </c>
      <c r="Q94" s="760">
        <v>89.64</v>
      </c>
      <c r="R94" s="706">
        <v>2613.8000000000002</v>
      </c>
      <c r="S94" s="765">
        <f>IF((90+ROUNDDOWN(O94,1)*100)&lt;95,95,(90+ROUNDDOWN(O94,1)*100))</f>
        <v>120</v>
      </c>
      <c r="U94" s="947">
        <v>120</v>
      </c>
      <c r="V94" s="715">
        <v>1.1023000000000001</v>
      </c>
      <c r="Y94">
        <v>20</v>
      </c>
      <c r="Z94" s="143">
        <f t="shared" si="44"/>
        <v>30</v>
      </c>
      <c r="AA94" s="144">
        <f t="shared" si="33"/>
        <v>50</v>
      </c>
      <c r="AB94" s="145">
        <f t="shared" si="45"/>
        <v>767.58232807600007</v>
      </c>
      <c r="AC94" s="145">
        <f>+(S94-T94)*V94-'data 1'!$F$4</f>
        <v>52.27600000000001</v>
      </c>
      <c r="AD94" s="145">
        <f t="shared" si="34"/>
        <v>-3.9881269555919943</v>
      </c>
      <c r="AE94" s="145">
        <f t="shared" si="35"/>
        <v>-14.884999999999998</v>
      </c>
      <c r="AF94" s="145">
        <f t="shared" si="36"/>
        <v>41.890177178712044</v>
      </c>
      <c r="AG94" s="772">
        <f>+IF(D94="RONALD WILLIAN GARIBAY ESCUDERO",AC94+AD94+AE94+AF94+70,AC94+AD94+AE94+AF94)+70-53</f>
        <v>92.293050223120076</v>
      </c>
      <c r="AH94" s="146">
        <f t="shared" si="37"/>
        <v>6.2534737904993163</v>
      </c>
      <c r="AI94" s="156">
        <f t="shared" si="38"/>
        <v>105.20575919287194</v>
      </c>
      <c r="AJ94" s="156">
        <f t="shared" si="39"/>
        <v>6.013734548946994</v>
      </c>
      <c r="AK94" s="88"/>
      <c r="AL94" s="716">
        <f t="shared" si="40"/>
        <v>387.55231744557244</v>
      </c>
      <c r="AM94" s="596">
        <f t="shared" si="46"/>
        <v>6.9762090478573366</v>
      </c>
    </row>
    <row r="95" spans="1:39" ht="15.75" customHeight="1">
      <c r="A95" s="857" t="s">
        <v>1519</v>
      </c>
      <c r="B95" s="595">
        <v>45652</v>
      </c>
      <c r="C95" s="595">
        <v>45650</v>
      </c>
      <c r="D95" t="s">
        <v>1152</v>
      </c>
      <c r="E95">
        <v>20606534923</v>
      </c>
      <c r="F95" s="989" t="s">
        <v>1523</v>
      </c>
      <c r="G95" s="80">
        <v>22</v>
      </c>
      <c r="H95" t="s">
        <v>69</v>
      </c>
      <c r="I95" s="596">
        <v>2.14</v>
      </c>
      <c r="J95" s="596">
        <v>1.8</v>
      </c>
      <c r="K95" s="138">
        <f t="shared" si="31"/>
        <v>2.10148</v>
      </c>
      <c r="L95" s="139">
        <v>0.41399999999999998</v>
      </c>
      <c r="M95" s="159">
        <v>0.39700000000000002</v>
      </c>
      <c r="N95" s="159">
        <v>0.39700000000000002</v>
      </c>
      <c r="O95" s="139">
        <f>+ROUND((M95+N95)/2,3)</f>
        <v>0.39700000000000002</v>
      </c>
      <c r="P95" s="629">
        <v>90</v>
      </c>
      <c r="Q95" s="760">
        <v>89.52</v>
      </c>
      <c r="R95" s="706">
        <v>2613.8000000000002</v>
      </c>
      <c r="S95" s="765">
        <f>IF((90+ROUNDDOWN(O95,1)*100)&lt;95,95,(90+ROUNDDOWN(O95,1)*100))</f>
        <v>120</v>
      </c>
      <c r="U95" s="947">
        <v>120</v>
      </c>
      <c r="V95" s="715">
        <v>1.1023000000000001</v>
      </c>
      <c r="Y95">
        <v>20</v>
      </c>
      <c r="Z95" s="143">
        <f t="shared" si="44"/>
        <v>30</v>
      </c>
      <c r="AA95" s="144">
        <f t="shared" si="33"/>
        <v>50</v>
      </c>
      <c r="AB95" s="145">
        <f t="shared" si="45"/>
        <v>794.79659390200027</v>
      </c>
      <c r="AC95" s="145">
        <f>+(S95-T95)*V95-'data 1'!$F$4</f>
        <v>52.27600000000001</v>
      </c>
      <c r="AD95" s="145">
        <f t="shared" si="34"/>
        <v>-5.4626453585280466</v>
      </c>
      <c r="AE95" s="145">
        <f t="shared" si="35"/>
        <v>-14.884999999999998</v>
      </c>
      <c r="AF95" s="145">
        <f t="shared" si="36"/>
        <v>41.834099297615914</v>
      </c>
      <c r="AG95" s="772">
        <f>+IF(D95="RONALD WILLIAN GARIBAY ESCUDERO",AC95+AD95+AE95+AF95+70,AC95+AD95+AE95+AF95)+70-53</f>
        <v>90.762453939087891</v>
      </c>
      <c r="AH95" s="146">
        <f t="shared" si="37"/>
        <v>26.702673468446946</v>
      </c>
      <c r="AI95" s="156">
        <f t="shared" si="38"/>
        <v>107.93269851004793</v>
      </c>
      <c r="AJ95" s="156">
        <f t="shared" si="39"/>
        <v>25.743485465898893</v>
      </c>
      <c r="AK95" s="88"/>
      <c r="AL95" s="716">
        <f t="shared" si="40"/>
        <v>1670.2491461531756</v>
      </c>
      <c r="AM95" s="596">
        <f t="shared" si="46"/>
        <v>29.828723713635998</v>
      </c>
    </row>
    <row r="96" spans="1:39" ht="15.75" customHeight="1">
      <c r="A96" s="857" t="s">
        <v>1520</v>
      </c>
      <c r="B96" s="595">
        <v>45652</v>
      </c>
      <c r="C96" s="595">
        <v>45650</v>
      </c>
      <c r="D96" t="s">
        <v>1152</v>
      </c>
      <c r="E96">
        <v>20606534923</v>
      </c>
      <c r="F96" s="989" t="s">
        <v>1524</v>
      </c>
      <c r="G96" s="80">
        <v>13</v>
      </c>
      <c r="H96" t="s">
        <v>69</v>
      </c>
      <c r="I96" s="596">
        <v>1.1399999999999999</v>
      </c>
      <c r="J96" s="596">
        <v>1.6</v>
      </c>
      <c r="K96" s="138">
        <f t="shared" si="31"/>
        <v>1.1217599999999999</v>
      </c>
      <c r="L96" s="139">
        <v>0.34799999999999998</v>
      </c>
      <c r="M96" s="159">
        <v>0.33400000000000002</v>
      </c>
      <c r="N96" s="159">
        <v>0.33400000000000002</v>
      </c>
      <c r="O96" s="139">
        <f>+ROUND((M96+N96)/2,3)</f>
        <v>0.33400000000000002</v>
      </c>
      <c r="P96" s="629">
        <v>90</v>
      </c>
      <c r="Q96" s="760">
        <v>89.39</v>
      </c>
      <c r="R96" s="706">
        <v>2613.8000000000002</v>
      </c>
      <c r="S96" s="765">
        <f>IF((90+ROUNDDOWN(O96,1)*100)&lt;95,95,(90+ROUNDDOWN(O96,1)*100))</f>
        <v>120</v>
      </c>
      <c r="U96" s="947">
        <v>120</v>
      </c>
      <c r="V96" s="715">
        <v>1.1023000000000001</v>
      </c>
      <c r="Y96">
        <v>20</v>
      </c>
      <c r="Z96" s="143">
        <f t="shared" si="44"/>
        <v>30</v>
      </c>
      <c r="AA96" s="144">
        <f t="shared" si="33"/>
        <v>50</v>
      </c>
      <c r="AB96" s="145">
        <f t="shared" si="45"/>
        <v>638.93307144400023</v>
      </c>
      <c r="AC96" s="145">
        <f>+(S96-T96)*V96-'data 1'!$F$4</f>
        <v>52.27600000000001</v>
      </c>
      <c r="AD96" s="145">
        <f t="shared" si="34"/>
        <v>-5.8353983328719963</v>
      </c>
      <c r="AE96" s="145">
        <f t="shared" si="35"/>
        <v>-14.884999999999998</v>
      </c>
      <c r="AF96" s="145">
        <f t="shared" si="36"/>
        <v>34.401580919803898</v>
      </c>
      <c r="AG96" s="772">
        <f>+IF(D96="RONALD WILLIAN GARIBAY ESCUDERO",AC96+AD96+AE96+AF96+70,AC96+AD96+AE96+AF96)+70-53</f>
        <v>82.957182586931907</v>
      </c>
      <c r="AH96" s="146">
        <f t="shared" si="37"/>
        <v>11.964021925795645</v>
      </c>
      <c r="AI96" s="156">
        <f t="shared" si="38"/>
        <v>90.594285035351945</v>
      </c>
      <c r="AJ96" s="156">
        <f t="shared" si="39"/>
        <v>11.56106905582978</v>
      </c>
      <c r="AK96" s="88"/>
      <c r="AL96" s="716">
        <f t="shared" si="40"/>
        <v>716.72956222302162</v>
      </c>
      <c r="AM96" s="596">
        <f t="shared" si="46"/>
        <v>13.38407196084086</v>
      </c>
    </row>
    <row r="97" spans="1:39" ht="15.75" customHeight="1">
      <c r="A97" s="857" t="s">
        <v>1527</v>
      </c>
      <c r="B97" s="595">
        <v>45649</v>
      </c>
      <c r="C97" s="595">
        <v>45634</v>
      </c>
      <c r="D97" t="s">
        <v>66</v>
      </c>
      <c r="E97">
        <v>10457401928</v>
      </c>
      <c r="G97" s="80">
        <v>190</v>
      </c>
      <c r="H97" t="s">
        <v>69</v>
      </c>
      <c r="I97" s="596">
        <v>16.61</v>
      </c>
      <c r="J97" s="596">
        <v>12</v>
      </c>
      <c r="K97" s="138">
        <f t="shared" si="31"/>
        <v>14.6168</v>
      </c>
      <c r="L97" s="840">
        <v>0.378</v>
      </c>
      <c r="M97" s="840">
        <v>0.378</v>
      </c>
      <c r="N97" s="840">
        <v>0.378</v>
      </c>
      <c r="O97" s="840">
        <v>0.378</v>
      </c>
      <c r="P97" s="629">
        <v>90</v>
      </c>
      <c r="Q97" s="760">
        <v>89.43</v>
      </c>
      <c r="R97" s="706">
        <v>2637.3</v>
      </c>
      <c r="S97" s="802">
        <v>114</v>
      </c>
      <c r="U97" s="947">
        <v>103</v>
      </c>
      <c r="V97" s="715">
        <v>1.1023000000000001</v>
      </c>
      <c r="Z97" s="143">
        <f t="shared" si="44"/>
        <v>30</v>
      </c>
      <c r="AA97" s="144">
        <f t="shared" si="33"/>
        <v>30</v>
      </c>
      <c r="AB97" s="145">
        <f t="shared" si="45"/>
        <v>791.63753437800017</v>
      </c>
      <c r="AC97" s="145">
        <f>+(S97-T97)*V97-'data 1'!$F$4</f>
        <v>45.662200000000013</v>
      </c>
      <c r="AD97" s="145">
        <f t="shared" si="34"/>
        <v>-6.0190019843939293</v>
      </c>
      <c r="AE97" s="145">
        <f t="shared" si="35"/>
        <v>-36.930999999999997</v>
      </c>
      <c r="AF97" s="145">
        <f t="shared" si="36"/>
        <v>0</v>
      </c>
      <c r="AG97" s="772">
        <f>+IF(D97="RONALD WILLIAN GARIBAY ESCUDERO",AC97+AD97+AE97+AF97+70,AC97+AD97+AE97+AF97)</f>
        <v>2.7121980156060843</v>
      </c>
      <c r="AH97" s="146">
        <f t="shared" si="37"/>
        <v>169.40897097340942</v>
      </c>
      <c r="AI97" s="156">
        <f t="shared" si="38"/>
        <v>83.356759316753937</v>
      </c>
      <c r="AJ97" s="156">
        <f t="shared" si="39"/>
        <v>170.48873294875145</v>
      </c>
      <c r="AK97" s="88"/>
      <c r="AL97" s="716">
        <f t="shared" si="40"/>
        <v>11571.207512496352</v>
      </c>
      <c r="AM97" s="596">
        <f t="shared" si="46"/>
        <v>189.43192549861277</v>
      </c>
    </row>
    <row r="98" spans="1:39" ht="15.75" customHeight="1">
      <c r="A98" s="857" t="s">
        <v>1528</v>
      </c>
      <c r="B98" s="595">
        <v>45649</v>
      </c>
      <c r="C98" s="595">
        <v>45634</v>
      </c>
      <c r="D98" t="s">
        <v>66</v>
      </c>
      <c r="E98">
        <v>10457401928</v>
      </c>
      <c r="G98" s="80">
        <v>61</v>
      </c>
      <c r="H98" t="s">
        <v>69</v>
      </c>
      <c r="I98" s="596">
        <v>5.6</v>
      </c>
      <c r="J98" s="596">
        <v>9.25</v>
      </c>
      <c r="K98" s="138">
        <f t="shared" si="31"/>
        <v>5.0819999999999999</v>
      </c>
      <c r="L98" s="840">
        <v>0.73699999999999999</v>
      </c>
      <c r="M98" s="840">
        <v>0.73699999999999999</v>
      </c>
      <c r="N98" s="840">
        <v>0.73699999999999999</v>
      </c>
      <c r="O98" s="840">
        <v>0.73699999999999999</v>
      </c>
      <c r="P98" s="629">
        <v>90</v>
      </c>
      <c r="Q98" s="760">
        <v>89.16</v>
      </c>
      <c r="R98" s="706">
        <v>2637.3</v>
      </c>
      <c r="S98" s="802">
        <v>153</v>
      </c>
      <c r="U98" s="947">
        <v>103</v>
      </c>
      <c r="V98" s="715">
        <v>1.1023000000000001</v>
      </c>
      <c r="Z98" s="143">
        <f t="shared" si="44"/>
        <v>30</v>
      </c>
      <c r="AA98" s="144">
        <f t="shared" si="33"/>
        <v>30</v>
      </c>
      <c r="AB98" s="145">
        <f t="shared" si="45"/>
        <v>1651.2467117369999</v>
      </c>
      <c r="AC98" s="145">
        <f>+(S98-T98)*V98-'data 1'!$F$4</f>
        <v>88.651900000000012</v>
      </c>
      <c r="AD98" s="145">
        <f t="shared" si="34"/>
        <v>-17.294364376212073</v>
      </c>
      <c r="AE98" s="145">
        <f t="shared" si="35"/>
        <v>-36.930999999999997</v>
      </c>
      <c r="AF98" s="145">
        <f t="shared" si="36"/>
        <v>0</v>
      </c>
      <c r="AG98" s="772">
        <f>+IF(D98="RONALD WILLIAN GARIBAY ESCUDERO",AC98+AD98+AE98+AF98+70,AC98+AD98+AE98+AF98)</f>
        <v>34.426535623787942</v>
      </c>
      <c r="AH98" s="146">
        <f t="shared" si="37"/>
        <v>114.49361756700975</v>
      </c>
      <c r="AI98" s="156">
        <f t="shared" si="38"/>
        <v>162.03295009849188</v>
      </c>
      <c r="AJ98" s="156">
        <f t="shared" si="39"/>
        <v>115.57229229509733</v>
      </c>
      <c r="AK98" s="88"/>
      <c r="AL98" s="716">
        <f t="shared" si="40"/>
        <v>8391.6357890474337</v>
      </c>
      <c r="AM98" s="596">
        <f t="shared" si="46"/>
        <v>128.4136581056637</v>
      </c>
    </row>
    <row r="99" spans="1:39" ht="15.75" customHeight="1">
      <c r="A99" s="1031" t="s">
        <v>1535</v>
      </c>
      <c r="B99" s="595">
        <v>45660</v>
      </c>
      <c r="C99" s="595">
        <v>45652</v>
      </c>
      <c r="D99" t="s">
        <v>1402</v>
      </c>
      <c r="E99">
        <v>20606526599</v>
      </c>
      <c r="G99" s="80">
        <v>127</v>
      </c>
      <c r="H99" t="s">
        <v>69</v>
      </c>
      <c r="I99" s="596">
        <v>10.97</v>
      </c>
      <c r="J99" s="596">
        <v>1.5</v>
      </c>
      <c r="K99" s="138">
        <f t="shared" si="31"/>
        <v>10.80545</v>
      </c>
      <c r="L99" s="139">
        <v>0.41099999999999998</v>
      </c>
      <c r="M99" s="139">
        <v>0.39500000000000002</v>
      </c>
      <c r="N99" s="159">
        <v>0.39500000000000002</v>
      </c>
      <c r="O99" s="139">
        <f t="shared" ref="O99:O102" si="51">+ROUND((M99+N99)/2,3)</f>
        <v>0.39500000000000002</v>
      </c>
      <c r="P99" s="629">
        <v>90</v>
      </c>
      <c r="Q99" s="760">
        <v>89.7</v>
      </c>
      <c r="R99" s="706">
        <v>2615.9499999999998</v>
      </c>
      <c r="S99" s="765">
        <f>IF((90+ROUNDDOWN(O99,1)*100)&lt;95,95,(90+ROUNDDOWN(O99,1)*100))</f>
        <v>120</v>
      </c>
      <c r="U99" s="996">
        <v>120</v>
      </c>
      <c r="V99" s="715">
        <v>1.1023000000000001</v>
      </c>
      <c r="Y99">
        <v>20</v>
      </c>
      <c r="Z99" s="143">
        <f t="shared" si="44"/>
        <v>30</v>
      </c>
      <c r="AA99" s="144">
        <f t="shared" si="33"/>
        <v>50</v>
      </c>
      <c r="AB99" s="145">
        <f t="shared" si="45"/>
        <v>790.69106101750015</v>
      </c>
      <c r="AC99" s="145">
        <f>+(S99-T99)*V99-'data 1'!$F$4</f>
        <v>52.27600000000001</v>
      </c>
      <c r="AD99" s="145">
        <f t="shared" si="34"/>
        <v>-3.3923352496049675</v>
      </c>
      <c r="AE99" s="145">
        <f t="shared" si="35"/>
        <v>-14.884999999999998</v>
      </c>
      <c r="AF99" s="145">
        <f t="shared" si="36"/>
        <v>39.486452151119899</v>
      </c>
      <c r="AG99" s="772">
        <f>+IF(D99="RONALD WILLIAN GARIBAY ESCUDERO",AC99+AD99+AE99+AF99+70,AC99+AD99+AE99+AF99)+70-53</f>
        <v>90.485116901514942</v>
      </c>
      <c r="AH99" s="146">
        <f t="shared" si="37"/>
        <v>136.57971189407846</v>
      </c>
      <c r="AI99" s="156">
        <f t="shared" si="38"/>
        <v>106.49230721590507</v>
      </c>
      <c r="AJ99" s="156">
        <f t="shared" si="39"/>
        <v>131.70174596138219</v>
      </c>
      <c r="AK99" s="88"/>
      <c r="AL99" s="716">
        <f t="shared" si="40"/>
        <v>8543.7727252715467</v>
      </c>
      <c r="AM99" s="596">
        <f t="shared" si="46"/>
        <v>152.26277803130262</v>
      </c>
    </row>
    <row r="100" spans="1:39" ht="15.75" customHeight="1">
      <c r="A100" s="857" t="s">
        <v>1536</v>
      </c>
      <c r="B100" s="595">
        <v>45654</v>
      </c>
      <c r="C100" s="595">
        <v>45652</v>
      </c>
      <c r="D100" t="s">
        <v>1402</v>
      </c>
      <c r="E100">
        <v>20606526599</v>
      </c>
      <c r="G100" s="80">
        <v>16</v>
      </c>
      <c r="H100" t="s">
        <v>69</v>
      </c>
      <c r="I100" s="596">
        <v>1.29</v>
      </c>
      <c r="J100" s="596">
        <v>1.1000000000000001</v>
      </c>
      <c r="K100" s="138">
        <f t="shared" si="31"/>
        <v>1.2758100000000001</v>
      </c>
      <c r="L100" s="139">
        <v>0.30099999999999999</v>
      </c>
      <c r="M100" s="139">
        <v>0.28799999999999998</v>
      </c>
      <c r="N100" s="159">
        <v>0.28799999999999998</v>
      </c>
      <c r="O100" s="139">
        <f t="shared" si="51"/>
        <v>0.28799999999999998</v>
      </c>
      <c r="P100" s="629">
        <v>90</v>
      </c>
      <c r="Q100" s="760">
        <v>89.88</v>
      </c>
      <c r="R100" s="706">
        <v>2615.9499999999998</v>
      </c>
      <c r="S100" s="765">
        <f>IF((90+ROUNDDOWN(O100,1)*100)&lt;95,95,(90+ROUNDDOWN(O100,1)*100))</f>
        <v>110</v>
      </c>
      <c r="U100" s="996">
        <v>120</v>
      </c>
      <c r="V100" s="715">
        <v>1.1023000000000001</v>
      </c>
      <c r="Y100">
        <v>20</v>
      </c>
      <c r="Z100" s="143">
        <f t="shared" si="44"/>
        <v>30</v>
      </c>
      <c r="AA100" s="144">
        <f t="shared" si="33"/>
        <v>50</v>
      </c>
      <c r="AB100" s="145">
        <f t="shared" si="45"/>
        <v>536.76524955199989</v>
      </c>
      <c r="AC100" s="145">
        <f>+(S100-T100)*V100-'data 1'!$F$4</f>
        <v>41.253</v>
      </c>
      <c r="AD100" s="145">
        <f t="shared" si="34"/>
        <v>-0.9937643894220376</v>
      </c>
      <c r="AE100" s="145">
        <f t="shared" si="35"/>
        <v>-14.884999999999998</v>
      </c>
      <c r="AF100" s="145">
        <f t="shared" si="36"/>
        <v>32.147122457814028</v>
      </c>
      <c r="AG100" s="772">
        <f>+IF(D100="RONALD WILLIAN GARIBAY ESCUDERO",AC100+AD100+AE100+AF100+70,AC100+AD100+AE100+AF100)+70-53</f>
        <v>74.52135806839199</v>
      </c>
      <c r="AH100" s="146">
        <f t="shared" si="37"/>
        <v>11.83381104671108</v>
      </c>
      <c r="AI100" s="156">
        <f t="shared" si="38"/>
        <v>78.147219586842041</v>
      </c>
      <c r="AJ100" s="156">
        <f t="shared" si="39"/>
        <v>11.337833328555874</v>
      </c>
      <c r="AK100" s="88"/>
      <c r="AL100" s="716">
        <f t="shared" si="40"/>
        <v>684.81047303093703</v>
      </c>
      <c r="AM100" s="596">
        <f t="shared" si="46"/>
        <v>13.166233919349223</v>
      </c>
    </row>
    <row r="101" spans="1:39" ht="15.75" customHeight="1">
      <c r="A101" s="857" t="s">
        <v>1537</v>
      </c>
      <c r="B101" s="1002">
        <v>45660</v>
      </c>
      <c r="C101" s="595">
        <v>45652</v>
      </c>
      <c r="D101" t="s">
        <v>1402</v>
      </c>
      <c r="E101">
        <v>20606526599</v>
      </c>
      <c r="G101" s="80">
        <v>22</v>
      </c>
      <c r="H101" t="s">
        <v>69</v>
      </c>
      <c r="I101" s="596">
        <v>1.84</v>
      </c>
      <c r="J101" s="596">
        <v>1.1000000000000001</v>
      </c>
      <c r="K101" s="138">
        <f t="shared" si="31"/>
        <v>1.81976</v>
      </c>
      <c r="L101" s="139">
        <v>0.40100000000000002</v>
      </c>
      <c r="M101" s="139">
        <v>0.40100000000000002</v>
      </c>
      <c r="N101" s="159">
        <v>0.40100000000000002</v>
      </c>
      <c r="O101" s="139">
        <f t="shared" si="51"/>
        <v>0.40100000000000002</v>
      </c>
      <c r="P101" s="629">
        <v>90</v>
      </c>
      <c r="Q101" s="760">
        <v>89.86</v>
      </c>
      <c r="R101" s="706">
        <v>2615.9499999999998</v>
      </c>
      <c r="S101" s="765">
        <f>IF((90+ROUNDDOWN(O101,1)*100)&lt;95,95,(90+ROUNDDOWN(O101,1)*100))</f>
        <v>130</v>
      </c>
      <c r="U101" s="996">
        <v>120</v>
      </c>
      <c r="V101" s="715">
        <v>1.1023000000000001</v>
      </c>
      <c r="Y101">
        <v>20</v>
      </c>
      <c r="Z101" s="143">
        <f t="shared" si="44"/>
        <v>30</v>
      </c>
      <c r="AA101" s="144">
        <f t="shared" si="33"/>
        <v>50</v>
      </c>
      <c r="AB101" s="145">
        <f t="shared" si="45"/>
        <v>794.52500371650012</v>
      </c>
      <c r="AC101" s="145">
        <f>+(S101-T101)*V101-'data 1'!$F$4</f>
        <v>63.299000000000007</v>
      </c>
      <c r="AD101" s="145">
        <f t="shared" si="34"/>
        <v>-1.5445717835590065</v>
      </c>
      <c r="AE101" s="145">
        <f t="shared" si="35"/>
        <v>-14.884999999999998</v>
      </c>
      <c r="AF101" s="145">
        <f t="shared" si="36"/>
        <v>0</v>
      </c>
      <c r="AG101" s="772">
        <f>+IF(D101="RONALD WILLIAN GARIBAY ESCUDERO",AC101+AD101+AE101+AF101+70,AC101+AD101+AE101+AF101)+70-53</f>
        <v>63.869428216441008</v>
      </c>
      <c r="AH101" s="146">
        <f t="shared" si="37"/>
        <v>22.481949645621299</v>
      </c>
      <c r="AI101" s="156">
        <f t="shared" si="38"/>
        <v>104.08658462229909</v>
      </c>
      <c r="AJ101" s="156">
        <f t="shared" si="39"/>
        <v>22.516976052814567</v>
      </c>
      <c r="AK101" s="88"/>
      <c r="AL101" s="716">
        <f t="shared" si="40"/>
        <v>1445.8448207631384</v>
      </c>
      <c r="AM101" s="596">
        <f t="shared" si="46"/>
        <v>25.018862280905076</v>
      </c>
    </row>
    <row r="102" spans="1:39" ht="15.75" customHeight="1">
      <c r="A102" s="857" t="s">
        <v>1540</v>
      </c>
      <c r="B102" s="595">
        <v>45660</v>
      </c>
      <c r="C102" s="595">
        <v>45655</v>
      </c>
      <c r="D102" t="s">
        <v>66</v>
      </c>
      <c r="E102">
        <v>10457401928</v>
      </c>
      <c r="F102" s="1003" t="s">
        <v>1564</v>
      </c>
      <c r="G102" s="80">
        <v>57</v>
      </c>
      <c r="H102" t="s">
        <v>69</v>
      </c>
      <c r="I102" s="596">
        <v>36.51</v>
      </c>
      <c r="J102" s="596">
        <v>16.5</v>
      </c>
      <c r="K102" s="138">
        <f t="shared" si="31"/>
        <v>30.485849999999999</v>
      </c>
      <c r="L102" s="139">
        <v>0.52200000000000002</v>
      </c>
      <c r="M102" s="139">
        <v>0.501</v>
      </c>
      <c r="N102" s="159">
        <v>0.501</v>
      </c>
      <c r="O102" s="139">
        <f t="shared" si="51"/>
        <v>0.501</v>
      </c>
      <c r="P102" s="629">
        <v>90</v>
      </c>
      <c r="Q102" s="760">
        <v>89.74</v>
      </c>
      <c r="R102" s="706">
        <v>2615.9499999999998</v>
      </c>
      <c r="S102" s="802">
        <v>130</v>
      </c>
      <c r="U102" s="997">
        <v>100</v>
      </c>
      <c r="V102" s="715">
        <v>1.1023000000000001</v>
      </c>
      <c r="Z102" s="143">
        <f t="shared" si="44"/>
        <v>30</v>
      </c>
      <c r="AA102" s="144">
        <f t="shared" si="33"/>
        <v>30</v>
      </c>
      <c r="AB102" s="145">
        <f t="shared" si="45"/>
        <v>1074.1272567665001</v>
      </c>
      <c r="AC102" s="145">
        <f>+(S102-T102)*V102-'data 1'!$F$4</f>
        <v>63.299000000000007</v>
      </c>
      <c r="AD102" s="145">
        <f t="shared" si="34"/>
        <v>-3.7639657628820737</v>
      </c>
      <c r="AE102" s="145">
        <f t="shared" si="35"/>
        <v>-36.930999999999997</v>
      </c>
      <c r="AF102" s="145">
        <f t="shared" si="36"/>
        <v>52.264544936499043</v>
      </c>
      <c r="AG102" s="772">
        <f>+IF(D102="RONALD WILLIAN GARIBAY ESCUDERO",AC102+AD102+AE102+AF102+70,AC102+AD102+AE102+AF102)</f>
        <v>74.868579173616979</v>
      </c>
      <c r="AH102" s="146">
        <f t="shared" si="37"/>
        <v>489.6254073895127</v>
      </c>
      <c r="AI102" s="156">
        <f t="shared" si="38"/>
        <v>124.9860268474021</v>
      </c>
      <c r="AJ102" s="156">
        <f t="shared" si="39"/>
        <v>471.28933605539737</v>
      </c>
      <c r="AK102" s="88"/>
      <c r="AL102" s="716">
        <f t="shared" si="40"/>
        <v>32745.682430695004</v>
      </c>
      <c r="AM102" s="596">
        <f t="shared" si="46"/>
        <v>545.60442098229635</v>
      </c>
    </row>
    <row r="103" spans="1:39" ht="15.75" customHeight="1">
      <c r="A103" s="857" t="s">
        <v>1555</v>
      </c>
      <c r="B103" s="595">
        <v>45660</v>
      </c>
      <c r="C103" s="595">
        <v>45657</v>
      </c>
      <c r="D103" t="s">
        <v>119</v>
      </c>
      <c r="E103">
        <v>10082235774</v>
      </c>
      <c r="G103" s="80">
        <v>73</v>
      </c>
      <c r="H103" t="s">
        <v>69</v>
      </c>
      <c r="I103" s="596">
        <v>7.2</v>
      </c>
      <c r="J103" s="596">
        <v>1.3</v>
      </c>
      <c r="K103" s="138">
        <f t="shared" ref="K103:K109" si="52">+I103-(I103*(J103/100))</f>
        <v>7.1063999999999998</v>
      </c>
      <c r="L103" s="139">
        <v>0.309</v>
      </c>
      <c r="M103" s="139">
        <v>0.30399999999999999</v>
      </c>
      <c r="N103" s="159">
        <v>0.30399999999999999</v>
      </c>
      <c r="O103" s="139">
        <f t="shared" ref="O103:O110" si="53">+ROUND((M103+N103)/2,3)</f>
        <v>0.30399999999999999</v>
      </c>
      <c r="P103" s="629">
        <v>90</v>
      </c>
      <c r="Q103" s="760">
        <v>89.56</v>
      </c>
      <c r="R103" s="706">
        <v>2609.1</v>
      </c>
      <c r="S103" s="802">
        <v>110</v>
      </c>
      <c r="U103" s="947">
        <v>80</v>
      </c>
      <c r="V103" s="715">
        <v>1.1023000000000001</v>
      </c>
      <c r="Z103" s="160">
        <v>10</v>
      </c>
      <c r="AA103" s="144">
        <f t="shared" ref="AA103:AA109" si="54">+Y103+Z103</f>
        <v>10</v>
      </c>
      <c r="AB103" s="145">
        <f t="shared" ref="AB103:AB107" si="55">+((O103*P103*(R103-U103)/100)-S103-AA103+T103)*V103</f>
        <v>630.47344804799991</v>
      </c>
      <c r="AC103" s="145">
        <f>+(S103-T103)*V103-'data 1'!$F$4</f>
        <v>41.253</v>
      </c>
      <c r="AD103" s="145">
        <f t="shared" ref="AD103:AD109" si="56">+(Q103-P103)*(R103-U103)*L103*V103/100</f>
        <v>-3.7903294940279806</v>
      </c>
      <c r="AE103" s="145">
        <f t="shared" ref="AE103:AE109" si="57">+(Y103*V103-70)+V103*(Z103-IF(D103="UNTUCA",IF(+((W103-3)*2.5+(X103-3)*3.1)&gt;0,+((W103-3)*1.5+(X103-3)*3.1),0),IF(+((W103-3)*1.5+(X103-3)*3.1)&gt;0,+((W103-3)*1.5+(X103-3)*3.1),0)))</f>
        <v>-58.977000000000004</v>
      </c>
      <c r="AF103" s="145">
        <f t="shared" ref="AF103:AF109" si="58">(L103-O103)*(R103-U103)*Q103*V103/100</f>
        <v>12.48388899254001</v>
      </c>
      <c r="AG103" s="772">
        <f t="shared" ref="AG103:AG107" si="59">+IF(D103="RONALD WILLIAN GARIBAY ESCUDERO",AC103+AD103+AE103+AF103+70,AC103+AD103+AE103+AF103)+70</f>
        <v>60.969559498512027</v>
      </c>
      <c r="AH103" s="146">
        <f t="shared" ref="AH103:AH109" si="60">31.1035*L103*Q103*1.1023*K103/100</f>
        <v>67.426603394916683</v>
      </c>
      <c r="AI103" s="156">
        <f t="shared" ref="AI103:AI109" si="61">+((+$AI$2-R103+U103)*L103*Q103*V103)/100</f>
        <v>69.82616083438802</v>
      </c>
      <c r="AJ103" s="156">
        <f t="shared" ref="AJ103:AJ109" si="62">31.1035*1.1023*K103*P103*O103/100</f>
        <v>66.661458496299076</v>
      </c>
      <c r="AK103" s="88"/>
      <c r="AL103" s="716">
        <f t="shared" ref="AL103:AL109" si="63">+IF(AB103*K103&gt;0,AB103*K103,0)</f>
        <v>4480.396511208306</v>
      </c>
      <c r="AM103" s="596">
        <f t="shared" si="46"/>
        <v>75.286515626302673</v>
      </c>
    </row>
    <row r="104" spans="1:39" ht="15.75" customHeight="1">
      <c r="A104" s="857" t="s">
        <v>1557</v>
      </c>
      <c r="B104" s="595">
        <v>45660</v>
      </c>
      <c r="C104" s="595">
        <v>45657</v>
      </c>
      <c r="D104" t="s">
        <v>119</v>
      </c>
      <c r="E104">
        <v>10082235774</v>
      </c>
      <c r="G104" s="80">
        <v>72</v>
      </c>
      <c r="H104" t="s">
        <v>69</v>
      </c>
      <c r="I104" s="596">
        <v>7.09</v>
      </c>
      <c r="J104" s="596">
        <v>1.4</v>
      </c>
      <c r="K104" s="138">
        <f t="shared" si="52"/>
        <v>6.9907399999999997</v>
      </c>
      <c r="L104" s="139">
        <v>0.35799999999999998</v>
      </c>
      <c r="M104" s="139">
        <v>0.35199999999999998</v>
      </c>
      <c r="N104" s="159">
        <v>0.35199999999999998</v>
      </c>
      <c r="O104" s="139">
        <f t="shared" si="53"/>
        <v>0.35199999999999998</v>
      </c>
      <c r="P104" s="629">
        <v>90</v>
      </c>
      <c r="Q104" s="760">
        <v>89.68</v>
      </c>
      <c r="R104" s="706">
        <v>2609.1</v>
      </c>
      <c r="S104" s="802">
        <v>110</v>
      </c>
      <c r="U104" s="947">
        <v>80</v>
      </c>
      <c r="V104" s="715">
        <v>1.1023000000000001</v>
      </c>
      <c r="Z104" s="160">
        <v>10</v>
      </c>
      <c r="AA104" s="144">
        <f t="shared" si="54"/>
        <v>10</v>
      </c>
      <c r="AB104" s="145">
        <f t="shared" si="55"/>
        <v>750.90757142399991</v>
      </c>
      <c r="AC104" s="145">
        <f>+(S104-T104)*V104-'data 1'!$F$4</f>
        <v>41.253</v>
      </c>
      <c r="AD104" s="145">
        <f t="shared" si="56"/>
        <v>-3.1937345310079319</v>
      </c>
      <c r="AE104" s="145">
        <f t="shared" si="57"/>
        <v>-58.977000000000004</v>
      </c>
      <c r="AF104" s="145">
        <f t="shared" si="58"/>
        <v>15.000739144944014</v>
      </c>
      <c r="AG104" s="772">
        <f t="shared" si="59"/>
        <v>64.083004613936083</v>
      </c>
      <c r="AH104" s="146">
        <f t="shared" si="60"/>
        <v>76.950393608497819</v>
      </c>
      <c r="AI104" s="156">
        <f t="shared" si="61"/>
        <v>81.007312885968034</v>
      </c>
      <c r="AJ104" s="156">
        <f t="shared" si="62"/>
        <v>75.930698022428942</v>
      </c>
      <c r="AK104" s="88"/>
      <c r="AL104" s="716">
        <f t="shared" si="63"/>
        <v>5249.3995958566129</v>
      </c>
      <c r="AM104" s="596">
        <f t="shared" si="46"/>
        <v>85.805523649083199</v>
      </c>
    </row>
    <row r="105" spans="1:39" ht="15.75" customHeight="1">
      <c r="A105" s="857" t="s">
        <v>1558</v>
      </c>
      <c r="B105" s="595">
        <v>45660</v>
      </c>
      <c r="C105" s="595">
        <v>45657</v>
      </c>
      <c r="D105" t="s">
        <v>119</v>
      </c>
      <c r="E105">
        <v>10082235774</v>
      </c>
      <c r="G105" s="80">
        <v>75</v>
      </c>
      <c r="H105" t="s">
        <v>69</v>
      </c>
      <c r="I105" s="596">
        <v>7.19</v>
      </c>
      <c r="J105" s="596">
        <v>1.7</v>
      </c>
      <c r="K105" s="138">
        <f t="shared" si="52"/>
        <v>7.0677700000000003</v>
      </c>
      <c r="L105" s="139">
        <v>0.30299999999999999</v>
      </c>
      <c r="M105" s="139">
        <v>0.29799999999999999</v>
      </c>
      <c r="N105" s="159">
        <v>0.29799999999999999</v>
      </c>
      <c r="O105" s="139">
        <f t="shared" si="53"/>
        <v>0.29799999999999999</v>
      </c>
      <c r="P105" s="629">
        <v>90</v>
      </c>
      <c r="Q105" s="760">
        <v>89.73</v>
      </c>
      <c r="R105" s="706">
        <v>2609.1</v>
      </c>
      <c r="S105" s="802">
        <v>105</v>
      </c>
      <c r="U105" s="947">
        <v>80</v>
      </c>
      <c r="V105" s="715">
        <v>1.1023000000000001</v>
      </c>
      <c r="Z105" s="160">
        <v>10</v>
      </c>
      <c r="AA105" s="144">
        <f t="shared" si="54"/>
        <v>10</v>
      </c>
      <c r="AB105" s="145">
        <f t="shared" si="55"/>
        <v>620.93068262600002</v>
      </c>
      <c r="AC105" s="145">
        <f>+(S105-T105)*V105-'data 1'!$F$4</f>
        <v>35.741500000000002</v>
      </c>
      <c r="AD105" s="145">
        <f t="shared" si="56"/>
        <v>-2.2807212114329665</v>
      </c>
      <c r="AE105" s="145">
        <f t="shared" si="57"/>
        <v>-58.977000000000004</v>
      </c>
      <c r="AF105" s="145">
        <f t="shared" si="58"/>
        <v>12.507585521445012</v>
      </c>
      <c r="AG105" s="772">
        <f t="shared" si="59"/>
        <v>56.991364310012045</v>
      </c>
      <c r="AH105" s="146">
        <f t="shared" si="60"/>
        <v>65.882758352595104</v>
      </c>
      <c r="AI105" s="156">
        <f t="shared" si="61"/>
        <v>68.600281264893042</v>
      </c>
      <c r="AJ105" s="156">
        <f t="shared" si="62"/>
        <v>64.99055578972343</v>
      </c>
      <c r="AK105" s="88"/>
      <c r="AL105" s="716">
        <f t="shared" si="63"/>
        <v>4388.5952507435641</v>
      </c>
      <c r="AM105" s="596">
        <f t="shared" si="46"/>
        <v>73.423334840739003</v>
      </c>
    </row>
    <row r="106" spans="1:39" ht="15.75" customHeight="1">
      <c r="A106" s="857" t="s">
        <v>1559</v>
      </c>
      <c r="B106" s="595">
        <v>45660</v>
      </c>
      <c r="C106" s="595">
        <v>45657</v>
      </c>
      <c r="D106" t="s">
        <v>119</v>
      </c>
      <c r="E106">
        <v>10082235774</v>
      </c>
      <c r="G106" s="80">
        <v>67</v>
      </c>
      <c r="H106" t="s">
        <v>69</v>
      </c>
      <c r="I106" s="596">
        <v>7.12</v>
      </c>
      <c r="J106" s="596">
        <v>1.6</v>
      </c>
      <c r="K106" s="138">
        <f t="shared" si="52"/>
        <v>7.0060799999999999</v>
      </c>
      <c r="L106" s="139">
        <v>0.375</v>
      </c>
      <c r="M106" s="139">
        <v>0.36899999999999999</v>
      </c>
      <c r="N106" s="159">
        <v>0.36899999999999999</v>
      </c>
      <c r="O106" s="139">
        <f t="shared" si="53"/>
        <v>0.36899999999999999</v>
      </c>
      <c r="P106" s="629">
        <v>90</v>
      </c>
      <c r="Q106" s="760">
        <v>89.59</v>
      </c>
      <c r="R106" s="706">
        <v>2609.1</v>
      </c>
      <c r="S106" s="802">
        <v>110</v>
      </c>
      <c r="U106" s="947">
        <v>80</v>
      </c>
      <c r="V106" s="715">
        <v>1.1023000000000001</v>
      </c>
      <c r="Z106" s="160">
        <v>10</v>
      </c>
      <c r="AA106" s="144">
        <f t="shared" si="54"/>
        <v>10</v>
      </c>
      <c r="AB106" s="145">
        <f t="shared" si="55"/>
        <v>793.561323453</v>
      </c>
      <c r="AC106" s="145">
        <f>+(S106-T106)*V106-'data 1'!$F$4</f>
        <v>41.253</v>
      </c>
      <c r="AD106" s="145">
        <f t="shared" si="56"/>
        <v>-4.2862839048749644</v>
      </c>
      <c r="AE106" s="145">
        <f t="shared" si="57"/>
        <v>-58.977000000000004</v>
      </c>
      <c r="AF106" s="145">
        <f t="shared" si="58"/>
        <v>14.985684879522013</v>
      </c>
      <c r="AG106" s="772">
        <f t="shared" si="59"/>
        <v>62.975400974647044</v>
      </c>
      <c r="AH106" s="146">
        <f t="shared" si="60"/>
        <v>80.700265895707986</v>
      </c>
      <c r="AI106" s="156">
        <f t="shared" si="61"/>
        <v>84.768872052375045</v>
      </c>
      <c r="AJ106" s="156">
        <f t="shared" si="62"/>
        <v>79.772469558253135</v>
      </c>
      <c r="AK106" s="88"/>
      <c r="AL106" s="716">
        <f t="shared" si="63"/>
        <v>5559.7541170175946</v>
      </c>
      <c r="AM106" s="596">
        <f t="shared" si="46"/>
        <v>90.077314316004006</v>
      </c>
    </row>
    <row r="107" spans="1:39" ht="15.75" customHeight="1">
      <c r="A107" s="857" t="s">
        <v>1560</v>
      </c>
      <c r="B107" s="595">
        <v>45660</v>
      </c>
      <c r="C107" s="595">
        <v>45657</v>
      </c>
      <c r="D107" t="s">
        <v>119</v>
      </c>
      <c r="E107">
        <v>10082235774</v>
      </c>
      <c r="G107" s="80">
        <v>53</v>
      </c>
      <c r="H107" t="s">
        <v>69</v>
      </c>
      <c r="I107" s="596">
        <v>5.12</v>
      </c>
      <c r="J107" s="596">
        <v>1.8</v>
      </c>
      <c r="K107" s="138">
        <f t="shared" si="52"/>
        <v>5.0278400000000003</v>
      </c>
      <c r="L107" s="139">
        <v>0.55900000000000005</v>
      </c>
      <c r="M107" s="139">
        <v>0.55100000000000005</v>
      </c>
      <c r="N107" s="159">
        <v>0.55100000000000005</v>
      </c>
      <c r="O107" s="139">
        <f t="shared" si="53"/>
        <v>0.55100000000000005</v>
      </c>
      <c r="P107" s="629">
        <v>90</v>
      </c>
      <c r="Q107" s="760">
        <v>89.67</v>
      </c>
      <c r="R107" s="706">
        <v>2609.1</v>
      </c>
      <c r="S107" s="802">
        <v>120</v>
      </c>
      <c r="U107" s="947">
        <v>80</v>
      </c>
      <c r="V107" s="715">
        <v>1.1023000000000001</v>
      </c>
      <c r="Z107" s="160">
        <v>10</v>
      </c>
      <c r="AA107" s="144">
        <f t="shared" si="54"/>
        <v>10</v>
      </c>
      <c r="AB107" s="145">
        <f t="shared" si="55"/>
        <v>1239.1843745870003</v>
      </c>
      <c r="AC107" s="145">
        <f>+(S107-T107)*V107-'data 1'!$F$4</f>
        <v>52.27600000000001</v>
      </c>
      <c r="AD107" s="145">
        <f t="shared" si="56"/>
        <v>-5.142704337770974</v>
      </c>
      <c r="AE107" s="145">
        <f t="shared" si="57"/>
        <v>-58.977000000000004</v>
      </c>
      <c r="AF107" s="145">
        <f t="shared" si="58"/>
        <v>19.998755265048018</v>
      </c>
      <c r="AG107" s="772">
        <f t="shared" si="59"/>
        <v>78.155050927277046</v>
      </c>
      <c r="AH107" s="146">
        <f t="shared" si="60"/>
        <v>86.407113155133558</v>
      </c>
      <c r="AI107" s="156">
        <f t="shared" si="61"/>
        <v>126.47496786479107</v>
      </c>
      <c r="AJ107" s="156">
        <f t="shared" si="62"/>
        <v>85.483958800297444</v>
      </c>
      <c r="AK107" s="88"/>
      <c r="AL107" s="716">
        <f t="shared" si="63"/>
        <v>6230.4207659235044</v>
      </c>
      <c r="AM107" s="596">
        <f t="shared" si="46"/>
        <v>96.361228008401426</v>
      </c>
    </row>
    <row r="108" spans="1:39" ht="15.75" customHeight="1">
      <c r="A108" s="857" t="s">
        <v>1562</v>
      </c>
      <c r="B108" s="595">
        <v>45660</v>
      </c>
      <c r="C108" s="595">
        <v>45658</v>
      </c>
      <c r="D108" t="s">
        <v>66</v>
      </c>
      <c r="E108">
        <v>10457401928</v>
      </c>
      <c r="G108" s="80" t="s">
        <v>1434</v>
      </c>
      <c r="H108" t="s">
        <v>69</v>
      </c>
      <c r="I108" s="596">
        <v>18.77</v>
      </c>
      <c r="J108" s="596">
        <v>8.75</v>
      </c>
      <c r="K108" s="138">
        <f t="shared" si="52"/>
        <v>17.127624999999998</v>
      </c>
      <c r="L108" s="139">
        <v>0.19</v>
      </c>
      <c r="M108" s="139">
        <v>0.182</v>
      </c>
      <c r="N108" s="598">
        <v>0.23300000000000001</v>
      </c>
      <c r="O108" s="139">
        <f t="shared" si="53"/>
        <v>0.20799999999999999</v>
      </c>
      <c r="P108" s="629">
        <v>90</v>
      </c>
      <c r="Q108" s="760">
        <v>89.88</v>
      </c>
      <c r="R108" s="706">
        <v>2609.1</v>
      </c>
      <c r="S108" s="765">
        <f t="shared" ref="S108:S109" si="64">IF((90+ROUNDDOWN(O108,1)*100)&lt;95,95,(90+ROUNDDOWN(O108,1)*100))</f>
        <v>110</v>
      </c>
      <c r="U108" s="1004">
        <v>100</v>
      </c>
      <c r="V108" s="715">
        <v>1.1023000000000001</v>
      </c>
      <c r="Y108">
        <v>30</v>
      </c>
      <c r="Z108" s="143">
        <f t="shared" ref="Z108:Z109" si="65">IF(IF(D108="UNTUCA",IF(+((W108-3)*1.5+(X108-3)*3.1)&gt;0,+((W108-3)*1.5+(X108-3)*3.1),0),IF(+((W108-3)*1.5+(X108-3)*3.1)&gt;0,+((W108-3)*1.5+(X108-3)*3.1),0))&lt;30,30,IF(D108="UNTUCA",IF(+((W108-3)*1.5+(X108-3)*3.1)&gt;0,+((W108-3)*1.5+(X108-3)*3.1),0),IF(+((W108-3)*1.5+(X108-3)*3.1)&gt;0,+((W108-3)*1.5+(X108-3)*3.1),0)))</f>
        <v>30</v>
      </c>
      <c r="AA108" s="144">
        <f t="shared" si="54"/>
        <v>60</v>
      </c>
      <c r="AB108" s="145">
        <f t="shared" ref="AB108:AB109" si="66">+((O108*P108*(R108-U108)/100)-S108-AA108+T108)*V108</f>
        <v>330.36319009599998</v>
      </c>
      <c r="AC108" s="145">
        <f>+(S108-T108)*V108-'data 1'!$F$4</f>
        <v>41.253</v>
      </c>
      <c r="AD108" s="145">
        <f t="shared" si="56"/>
        <v>-0.63059805204002395</v>
      </c>
      <c r="AE108" s="145">
        <f t="shared" si="57"/>
        <v>-3.8619999999999948</v>
      </c>
      <c r="AF108" s="145">
        <f t="shared" si="58"/>
        <v>-44.745910197911968</v>
      </c>
      <c r="AG108" s="772">
        <f t="shared" ref="AG108:AG109" si="67">+IF(D108="RONALD WILLIAN GARIBAY ESCUDERO",AC108+AD108+AE108+AF108+70,AC108+AD108+AE108+AF108)+70-53</f>
        <v>9.0144917500480162</v>
      </c>
      <c r="AH108" s="146">
        <f t="shared" si="60"/>
        <v>100.2819752670337</v>
      </c>
      <c r="AI108" s="156">
        <f t="shared" si="61"/>
        <v>46.853427726840017</v>
      </c>
      <c r="AJ108" s="156">
        <f t="shared" si="62"/>
        <v>109.92894485037776</v>
      </c>
      <c r="AK108" s="88"/>
      <c r="AL108" s="716">
        <f t="shared" si="63"/>
        <v>5658.3368337680013</v>
      </c>
      <c r="AM108" s="596">
        <f t="shared" si="46"/>
        <v>111.57318120497743</v>
      </c>
    </row>
    <row r="109" spans="1:39" ht="15.75" customHeight="1">
      <c r="A109" s="857" t="s">
        <v>1563</v>
      </c>
      <c r="B109" s="595">
        <v>45660</v>
      </c>
      <c r="C109" s="595">
        <v>45658</v>
      </c>
      <c r="D109" t="s">
        <v>66</v>
      </c>
      <c r="E109">
        <v>10457401928</v>
      </c>
      <c r="G109" s="80" t="s">
        <v>1434</v>
      </c>
      <c r="H109" t="s">
        <v>69</v>
      </c>
      <c r="I109" s="596">
        <v>17.64</v>
      </c>
      <c r="J109" s="596">
        <v>9.5500000000000007</v>
      </c>
      <c r="K109" s="138">
        <f t="shared" si="52"/>
        <v>15.95538</v>
      </c>
      <c r="L109" s="139">
        <v>0.17499999999999999</v>
      </c>
      <c r="M109" s="139">
        <v>0.16800000000000001</v>
      </c>
      <c r="N109" s="598">
        <v>0.23</v>
      </c>
      <c r="O109" s="139">
        <f t="shared" si="53"/>
        <v>0.19900000000000001</v>
      </c>
      <c r="P109" s="629">
        <v>90</v>
      </c>
      <c r="Q109" s="760">
        <v>89.69</v>
      </c>
      <c r="R109" s="706">
        <v>2609.1</v>
      </c>
      <c r="S109" s="765">
        <f t="shared" si="64"/>
        <v>100</v>
      </c>
      <c r="U109" s="1004">
        <v>100</v>
      </c>
      <c r="V109" s="715">
        <v>1.1023000000000001</v>
      </c>
      <c r="Y109">
        <v>30</v>
      </c>
      <c r="Z109" s="143">
        <f t="shared" si="65"/>
        <v>30</v>
      </c>
      <c r="AA109" s="144">
        <f t="shared" si="54"/>
        <v>60</v>
      </c>
      <c r="AB109" s="145">
        <f t="shared" si="66"/>
        <v>318.98336456300007</v>
      </c>
      <c r="AC109" s="145">
        <f>+(S109-T109)*V109-'data 1'!$F$4</f>
        <v>30.230000000000004</v>
      </c>
      <c r="AD109" s="145">
        <f t="shared" si="56"/>
        <v>-1.5004361545250109</v>
      </c>
      <c r="AE109" s="145">
        <f t="shared" si="57"/>
        <v>-3.8619999999999948</v>
      </c>
      <c r="AF109" s="145">
        <f t="shared" si="58"/>
        <v>-59.535093986808057</v>
      </c>
      <c r="AG109" s="772">
        <f t="shared" si="67"/>
        <v>-17.66753014133306</v>
      </c>
      <c r="AH109" s="146">
        <f t="shared" si="60"/>
        <v>85.861464934499438</v>
      </c>
      <c r="AI109" s="156">
        <f t="shared" si="61"/>
        <v>43.063247385025015</v>
      </c>
      <c r="AJ109" s="156">
        <f t="shared" si="62"/>
        <v>97.974218306030949</v>
      </c>
      <c r="AK109" s="88"/>
      <c r="AL109" s="716">
        <f t="shared" si="63"/>
        <v>5089.5007952812002</v>
      </c>
      <c r="AM109" s="596">
        <f t="shared" si="46"/>
        <v>95.731369087411565</v>
      </c>
    </row>
    <row r="110" spans="1:39" ht="15.75" customHeight="1">
      <c r="A110" s="857" t="s">
        <v>1802</v>
      </c>
      <c r="B110" s="135">
        <v>45649</v>
      </c>
      <c r="C110" s="595">
        <v>45646</v>
      </c>
      <c r="D110" t="s">
        <v>1335</v>
      </c>
      <c r="E110" s="653"/>
      <c r="F110" s="869"/>
      <c r="G110" s="80" t="s">
        <v>1434</v>
      </c>
      <c r="H110" t="s">
        <v>69</v>
      </c>
      <c r="I110" s="596">
        <v>12.36</v>
      </c>
      <c r="J110" s="596">
        <v>4.0999999999999996</v>
      </c>
      <c r="K110" s="138">
        <f t="shared" ref="K110:K111" si="68">+I110-(I110*(J110/100))</f>
        <v>11.85324</v>
      </c>
      <c r="L110" s="139">
        <v>0.157</v>
      </c>
      <c r="M110" s="139">
        <v>0.14299999999999999</v>
      </c>
      <c r="N110" s="598">
        <v>0.19500000000000001</v>
      </c>
      <c r="O110" s="645">
        <f t="shared" si="53"/>
        <v>0.16900000000000001</v>
      </c>
      <c r="P110" s="727">
        <v>90</v>
      </c>
      <c r="Q110" s="760">
        <v>89.45</v>
      </c>
      <c r="R110" s="706">
        <v>2616.4499999999998</v>
      </c>
      <c r="S110" s="802">
        <v>105</v>
      </c>
      <c r="U110" s="947">
        <v>100</v>
      </c>
      <c r="V110" s="715">
        <v>1.1023000000000001</v>
      </c>
      <c r="Z110" s="143">
        <f t="shared" ref="Z110:Z111" si="69">IF(IF(D110="UNTUCA",IF(+((W110-3)*1.5+(X110-3)*3.1)&gt;0,+((W110-3)*1.5+(X110-3)*3.1),0),IF(+((W110-3)*1.5+(X110-3)*3.1)&gt;0,+((W110-3)*1.5+(X110-3)*3.1),0))&lt;30,30,IF(D110="UNTUCA",IF(+((W110-3)*1.5+(X110-3)*3.1)&gt;0,+((W110-3)*1.5+(X110-3)*3.1),0),IF(+((W110-3)*1.5+(X110-3)*3.1)&gt;0,+((W110-3)*1.5+(X110-3)*3.1),0)))</f>
        <v>30</v>
      </c>
      <c r="AA110" s="144">
        <f t="shared" ref="AA110:AA111" si="70">+Y110+Z110</f>
        <v>30</v>
      </c>
      <c r="AB110" s="145">
        <f>+((O110*P110*(R110-U110)/100)-S110-AA110+T110)*V110</f>
        <v>273.09707920350002</v>
      </c>
      <c r="AC110" s="145">
        <f>+(S110-T110)*V110-'data 1'!$F$4</f>
        <v>35.741500000000002</v>
      </c>
      <c r="AD110" s="145">
        <f t="shared" ref="AD110:AD111" si="71">+(Q110-P110)*(R110-U110)*L110*V110/100</f>
        <v>-2.3952478280224878</v>
      </c>
      <c r="AE110" s="145">
        <f t="shared" ref="AE110:AE111" si="72">+(Y110*V110-70)+V110*(Z110-IF(D110="UNTUCA",IF(+((W110-3)*2.5+(X110-3)*3.1)&gt;0,+((W110-3)*1.5+(X110-3)*3.1),0),IF(+((W110-3)*1.5+(X110-3)*3.1)&gt;0,+((W110-3)*1.5+(X110-3)*3.1),0)))</f>
        <v>-36.930999999999997</v>
      </c>
      <c r="AF110" s="145">
        <f t="shared" ref="AF110:AF111" si="73">(L110-O110)*(R110-U110)*Q110*V110/100</f>
        <v>-29.774858350890021</v>
      </c>
      <c r="AG110" s="772">
        <f>+IF(D110="RONALD WILLIAN GARIBAY ESCUDERO",AC110+AD110+AE110+AF110+70,AC110+AD110+AE110+AF110)</f>
        <v>-33.359606178912507</v>
      </c>
      <c r="AH110" s="146">
        <f t="shared" ref="AH110:AH111" si="74">31.1035*L110*Q110*1.1023*K110/100</f>
        <v>57.07240114224571</v>
      </c>
      <c r="AI110" s="156">
        <f t="shared" ref="AI110:AI111" si="75">+((+$AI$2-R110+U110)*L110*Q110*V110)/100</f>
        <v>37.392701836622528</v>
      </c>
      <c r="AJ110" s="156">
        <f t="shared" ref="AJ110:AJ111" si="76">31.1035*1.1023*K110*P110*O110/100</f>
        <v>61.812365116871852</v>
      </c>
      <c r="AK110" s="88"/>
      <c r="AL110" s="716">
        <f t="shared" ref="AL110:AL111" si="77">+IF(AB110*K110&gt;0,AB110*K110,0)</f>
        <v>3237.0852230980945</v>
      </c>
      <c r="AM110" s="596">
        <f t="shared" si="46"/>
        <v>63.803690488815768</v>
      </c>
    </row>
    <row r="111" spans="1:39" ht="15.6" customHeight="1">
      <c r="A111" s="857" t="s">
        <v>1803</v>
      </c>
      <c r="B111" s="595">
        <v>45649</v>
      </c>
      <c r="C111" s="595">
        <v>45646</v>
      </c>
      <c r="D111" t="s">
        <v>1335</v>
      </c>
      <c r="E111" s="653"/>
      <c r="G111" s="80" t="s">
        <v>1434</v>
      </c>
      <c r="H111" t="s">
        <v>69</v>
      </c>
      <c r="I111" s="596">
        <v>16.89</v>
      </c>
      <c r="J111" s="596">
        <v>6.1</v>
      </c>
      <c r="K111" s="138">
        <f t="shared" si="68"/>
        <v>15.85971</v>
      </c>
      <c r="L111" s="139">
        <v>0.154</v>
      </c>
      <c r="M111" s="139">
        <v>0.14000000000000001</v>
      </c>
      <c r="N111" s="598">
        <v>0.20799999999999999</v>
      </c>
      <c r="O111" s="645">
        <f t="shared" ref="O111" si="78">+ROUND((M111+N111)/2,3)</f>
        <v>0.17399999999999999</v>
      </c>
      <c r="P111" s="629">
        <v>90</v>
      </c>
      <c r="Q111">
        <v>89.71</v>
      </c>
      <c r="R111" s="706">
        <v>2616.4499999999998</v>
      </c>
      <c r="S111" s="802">
        <v>105</v>
      </c>
      <c r="U111" s="947">
        <v>100</v>
      </c>
      <c r="V111" s="715">
        <v>1.1023000000000001</v>
      </c>
      <c r="Z111" s="143">
        <f t="shared" si="69"/>
        <v>30</v>
      </c>
      <c r="AA111" s="144">
        <f t="shared" si="70"/>
        <v>30</v>
      </c>
      <c r="AB111" s="145">
        <f>+((O111*P111*(R111-U111)/100)-S111-AA111+T111)*V111</f>
        <v>285.57955196099999</v>
      </c>
      <c r="AC111" s="145">
        <f>+(S111-T111)*V111-'data 1'!$F$4</f>
        <v>35.741500000000002</v>
      </c>
      <c r="AD111" s="145">
        <f t="shared" si="71"/>
        <v>-1.2388160741110266</v>
      </c>
      <c r="AE111" s="145">
        <f t="shared" si="72"/>
        <v>-36.930999999999997</v>
      </c>
      <c r="AF111" s="145">
        <f t="shared" si="73"/>
        <v>-49.769005825569963</v>
      </c>
      <c r="AG111" s="772">
        <f>+IF(D111="RONALD WILLIAN GARIBAY ESCUDERO",AC111+AD111+AE111+AF111+70,AC111+AD111+AE111+AF111)</f>
        <v>-52.197321899680986</v>
      </c>
      <c r="AH111" s="146">
        <f t="shared" si="74"/>
        <v>75.121783234260633</v>
      </c>
      <c r="AI111" s="156">
        <f t="shared" si="75"/>
        <v>36.784802340671028</v>
      </c>
      <c r="AJ111" s="156">
        <f t="shared" si="76"/>
        <v>85.15223841385891</v>
      </c>
      <c r="AK111" s="88"/>
      <c r="AL111" s="716">
        <f t="shared" si="77"/>
        <v>4529.2088760313909</v>
      </c>
      <c r="AM111" s="596">
        <f t="shared" si="46"/>
        <v>83.738472003411701</v>
      </c>
    </row>
    <row r="112" spans="1:39" ht="15.75" customHeight="1">
      <c r="B112" s="595"/>
      <c r="C112" s="595"/>
      <c r="G112" s="80"/>
      <c r="N112" s="159"/>
      <c r="P112" s="629"/>
      <c r="Q112" s="760"/>
      <c r="R112" s="706"/>
      <c r="AH112" s="80"/>
      <c r="AI112" s="80"/>
      <c r="AJ112" s="80"/>
      <c r="AL112" s="80"/>
    </row>
    <row r="113" spans="2:38" ht="15.75" customHeight="1">
      <c r="B113" s="595"/>
      <c r="C113" s="595"/>
      <c r="G113" s="80"/>
      <c r="N113" s="159"/>
      <c r="P113" s="629"/>
      <c r="Q113" s="760"/>
      <c r="R113" s="706"/>
      <c r="AH113" s="80"/>
      <c r="AI113" s="80"/>
      <c r="AJ113" s="80"/>
      <c r="AL113" s="80"/>
    </row>
    <row r="114" spans="2:38" ht="15.75" customHeight="1">
      <c r="B114" s="595"/>
      <c r="C114" s="595"/>
      <c r="G114" s="80"/>
      <c r="N114" s="159"/>
      <c r="P114" s="629"/>
      <c r="Q114" s="760"/>
      <c r="AH114" s="80"/>
      <c r="AI114" s="80"/>
      <c r="AJ114" s="80"/>
      <c r="AL114" s="80"/>
    </row>
    <row r="115" spans="2:38" ht="15.75" customHeight="1">
      <c r="B115" s="595"/>
      <c r="C115" s="595"/>
      <c r="G115" s="80"/>
      <c r="N115" s="159"/>
      <c r="P115" s="629"/>
      <c r="Q115" s="760"/>
      <c r="AH115" s="80"/>
      <c r="AI115" s="80"/>
      <c r="AJ115" s="80"/>
      <c r="AL115" s="80"/>
    </row>
    <row r="116" spans="2:38" ht="15.75" customHeight="1">
      <c r="B116" s="595"/>
      <c r="C116" s="595"/>
      <c r="G116" s="80"/>
      <c r="N116" s="159"/>
      <c r="P116" s="629"/>
      <c r="Q116" s="760"/>
      <c r="AH116" s="80"/>
      <c r="AI116" s="80"/>
      <c r="AJ116" s="80"/>
      <c r="AL116" s="80"/>
    </row>
    <row r="117" spans="2:38" ht="15.75" customHeight="1">
      <c r="B117" s="595"/>
      <c r="C117" s="595"/>
      <c r="G117" s="80"/>
      <c r="N117" s="159"/>
      <c r="P117" s="629"/>
      <c r="Q117" s="760"/>
      <c r="AH117" s="80"/>
      <c r="AI117" s="80"/>
      <c r="AJ117" s="80"/>
      <c r="AL117" s="80"/>
    </row>
    <row r="118" spans="2:38" ht="15.75" customHeight="1">
      <c r="B118" s="595"/>
      <c r="C118" s="595"/>
      <c r="G118" s="80"/>
      <c r="N118" s="159"/>
      <c r="P118" s="629"/>
      <c r="Q118" s="760"/>
      <c r="AH118" s="80"/>
      <c r="AI118" s="80"/>
      <c r="AJ118" s="80"/>
      <c r="AL118" s="80"/>
    </row>
    <row r="119" spans="2:38" ht="15.75" customHeight="1">
      <c r="B119" s="595"/>
      <c r="C119" s="595"/>
      <c r="G119" s="80"/>
      <c r="N119" s="159"/>
      <c r="P119" s="629"/>
      <c r="Q119" s="760"/>
      <c r="AH119" s="80"/>
      <c r="AI119" s="80"/>
      <c r="AJ119" s="80"/>
      <c r="AL119" s="80"/>
    </row>
    <row r="120" spans="2:38" ht="15.75" customHeight="1">
      <c r="B120" s="595"/>
      <c r="C120" s="595"/>
      <c r="G120" s="80"/>
      <c r="N120" s="159"/>
      <c r="P120" s="629"/>
      <c r="Q120" s="760"/>
      <c r="AH120" s="80"/>
      <c r="AI120" s="80"/>
      <c r="AJ120" s="80"/>
      <c r="AL120" s="80"/>
    </row>
    <row r="121" spans="2:38" ht="15.75" customHeight="1">
      <c r="B121" s="595"/>
      <c r="C121" s="595"/>
      <c r="G121" s="80"/>
      <c r="N121" s="159"/>
      <c r="P121" s="629"/>
      <c r="Q121" s="760"/>
      <c r="AH121" s="80"/>
      <c r="AI121" s="80"/>
      <c r="AJ121" s="80"/>
      <c r="AL121" s="80"/>
    </row>
    <row r="122" spans="2:38" ht="15.75" customHeight="1">
      <c r="B122" s="595"/>
      <c r="C122" s="595"/>
      <c r="G122" s="80"/>
      <c r="N122" s="159"/>
      <c r="P122" s="629"/>
      <c r="Q122" s="760"/>
      <c r="AH122" s="80"/>
      <c r="AI122" s="80"/>
      <c r="AJ122" s="80"/>
      <c r="AL122" s="80"/>
    </row>
    <row r="123" spans="2:38" ht="15.75" customHeight="1">
      <c r="B123" s="595"/>
      <c r="C123" s="595"/>
      <c r="G123" s="80"/>
      <c r="N123" s="159"/>
      <c r="P123" s="629"/>
      <c r="Q123" s="760"/>
      <c r="AH123" s="80"/>
      <c r="AI123" s="80"/>
      <c r="AJ123" s="80"/>
      <c r="AL123" s="80"/>
    </row>
    <row r="124" spans="2:38" ht="15.75" customHeight="1">
      <c r="B124" s="595"/>
      <c r="C124" s="595"/>
      <c r="G124" s="80"/>
      <c r="N124" s="159"/>
      <c r="Q124" s="760"/>
      <c r="AH124" s="80"/>
      <c r="AI124" s="80"/>
      <c r="AJ124" s="80"/>
      <c r="AL124" s="80"/>
    </row>
    <row r="125" spans="2:38" ht="15.75" customHeight="1">
      <c r="B125" s="595"/>
      <c r="C125" s="595"/>
      <c r="G125" s="80"/>
      <c r="Q125" s="760"/>
      <c r="AH125" s="80"/>
      <c r="AI125" s="80"/>
      <c r="AJ125" s="80"/>
      <c r="AL125" s="80"/>
    </row>
    <row r="126" spans="2:38" ht="15.75" customHeight="1">
      <c r="B126" s="595"/>
      <c r="C126" s="595"/>
      <c r="G126" s="80"/>
      <c r="Q126" s="760"/>
      <c r="AH126" s="80"/>
      <c r="AI126" s="80"/>
      <c r="AJ126" s="80"/>
      <c r="AL126" s="80"/>
    </row>
    <row r="127" spans="2:38" ht="15.75" customHeight="1">
      <c r="B127" s="595"/>
      <c r="C127" s="595"/>
      <c r="G127" s="80"/>
      <c r="AH127" s="80"/>
      <c r="AI127" s="80"/>
      <c r="AJ127" s="80"/>
      <c r="AL127" s="80"/>
    </row>
    <row r="128" spans="2:38" ht="15.75" customHeight="1">
      <c r="B128" s="595"/>
      <c r="C128" s="595"/>
      <c r="G128" s="80"/>
      <c r="AH128" s="80"/>
      <c r="AI128" s="80"/>
      <c r="AJ128" s="80"/>
      <c r="AL128" s="80"/>
    </row>
    <row r="129" spans="2:38" ht="15.75" customHeight="1">
      <c r="B129" s="595"/>
      <c r="C129" s="595"/>
      <c r="G129" s="80"/>
      <c r="AH129" s="80"/>
      <c r="AI129" s="80"/>
      <c r="AJ129" s="80"/>
      <c r="AL129" s="80"/>
    </row>
    <row r="130" spans="2:38" ht="15.75" customHeight="1">
      <c r="B130" s="595"/>
      <c r="C130" s="595"/>
      <c r="G130" s="80"/>
      <c r="AH130" s="80"/>
      <c r="AI130" s="80"/>
      <c r="AJ130" s="80"/>
      <c r="AL130" s="80"/>
    </row>
    <row r="131" spans="2:38" ht="15.75" customHeight="1">
      <c r="B131" s="595"/>
      <c r="C131" s="595"/>
      <c r="G131" s="80"/>
      <c r="AH131" s="80"/>
      <c r="AI131" s="80"/>
      <c r="AJ131" s="80"/>
      <c r="AL131" s="80"/>
    </row>
    <row r="132" spans="2:38" ht="15.75" customHeight="1">
      <c r="B132" s="595"/>
      <c r="C132" s="595"/>
      <c r="G132" s="80"/>
      <c r="AH132" s="80"/>
      <c r="AI132" s="80"/>
      <c r="AJ132" s="80"/>
      <c r="AL132" s="80"/>
    </row>
    <row r="133" spans="2:38" ht="15.75" customHeight="1">
      <c r="B133" s="595"/>
      <c r="C133" s="595"/>
      <c r="G133" s="80"/>
      <c r="AH133" s="80"/>
      <c r="AI133" s="80"/>
      <c r="AJ133" s="80"/>
      <c r="AL133" s="80"/>
    </row>
    <row r="134" spans="2:38" ht="15.75" customHeight="1">
      <c r="B134" s="595"/>
      <c r="C134" s="595"/>
      <c r="G134" s="80"/>
      <c r="AH134" s="80"/>
      <c r="AI134" s="80"/>
      <c r="AJ134" s="80"/>
      <c r="AL134" s="80"/>
    </row>
    <row r="135" spans="2:38" ht="15.75" customHeight="1">
      <c r="B135" s="595"/>
      <c r="C135" s="595"/>
      <c r="G135" s="80"/>
      <c r="AH135" s="80"/>
      <c r="AI135" s="80"/>
      <c r="AJ135" s="80"/>
      <c r="AL135" s="80"/>
    </row>
    <row r="136" spans="2:38" ht="15.75" customHeight="1">
      <c r="B136" s="595"/>
      <c r="C136" s="595"/>
      <c r="G136" s="80"/>
      <c r="AH136" s="80"/>
      <c r="AI136" s="80"/>
      <c r="AJ136" s="80"/>
      <c r="AL136" s="80"/>
    </row>
    <row r="137" spans="2:38" ht="15.75" customHeight="1">
      <c r="B137" s="595"/>
      <c r="C137" s="595"/>
      <c r="G137" s="80"/>
      <c r="AH137" s="80"/>
      <c r="AI137" s="80"/>
      <c r="AJ137" s="80"/>
      <c r="AL137" s="80"/>
    </row>
    <row r="138" spans="2:38" ht="15.75" customHeight="1">
      <c r="B138" s="595"/>
      <c r="C138" s="595"/>
      <c r="G138" s="80"/>
      <c r="AH138" s="80"/>
      <c r="AI138" s="80"/>
      <c r="AJ138" s="80"/>
      <c r="AL138" s="80"/>
    </row>
    <row r="139" spans="2:38" ht="15.75" customHeight="1">
      <c r="B139" s="595"/>
      <c r="C139" s="595"/>
      <c r="G139" s="80"/>
      <c r="AH139" s="80"/>
      <c r="AI139" s="80"/>
      <c r="AJ139" s="80"/>
      <c r="AL139" s="80"/>
    </row>
    <row r="140" spans="2:38" ht="15.75" customHeight="1">
      <c r="B140" s="595"/>
      <c r="C140" s="595"/>
      <c r="G140" s="80"/>
      <c r="AH140" s="80"/>
      <c r="AI140" s="80"/>
      <c r="AJ140" s="80"/>
      <c r="AL140" s="80"/>
    </row>
    <row r="141" spans="2:38" ht="15.75" customHeight="1">
      <c r="B141" s="595"/>
      <c r="C141" s="595"/>
      <c r="G141" s="80"/>
      <c r="AH141" s="80"/>
      <c r="AI141" s="80"/>
      <c r="AJ141" s="80"/>
      <c r="AL141" s="80"/>
    </row>
    <row r="142" spans="2:38" ht="15.75" customHeight="1">
      <c r="B142" s="595"/>
      <c r="C142" s="595"/>
      <c r="G142" s="80"/>
      <c r="AH142" s="80"/>
      <c r="AI142" s="80"/>
      <c r="AJ142" s="80"/>
      <c r="AL142" s="80"/>
    </row>
    <row r="143" spans="2:38" ht="15.75" customHeight="1">
      <c r="B143" s="595"/>
      <c r="C143" s="595"/>
      <c r="G143" s="80"/>
      <c r="AH143" s="80"/>
      <c r="AI143" s="80"/>
      <c r="AJ143" s="80"/>
      <c r="AL143" s="80"/>
    </row>
    <row r="144" spans="2:38" ht="15.75" customHeight="1">
      <c r="B144" s="595"/>
      <c r="C144" s="595"/>
      <c r="G144" s="80"/>
      <c r="AH144" s="80"/>
      <c r="AI144" s="80"/>
      <c r="AJ144" s="80"/>
      <c r="AL144" s="80"/>
    </row>
    <row r="145" spans="2:38" ht="15.75" customHeight="1">
      <c r="B145" s="595"/>
      <c r="C145" s="595"/>
      <c r="G145" s="80"/>
      <c r="AH145" s="80"/>
      <c r="AI145" s="80"/>
      <c r="AJ145" s="80"/>
      <c r="AL145" s="80"/>
    </row>
    <row r="146" spans="2:38" ht="15.75" customHeight="1">
      <c r="B146" s="595"/>
      <c r="C146" s="595"/>
      <c r="G146" s="80"/>
      <c r="AH146" s="80"/>
      <c r="AI146" s="80"/>
      <c r="AJ146" s="80"/>
      <c r="AL146" s="80"/>
    </row>
    <row r="147" spans="2:38" ht="15.75" customHeight="1">
      <c r="B147" s="595"/>
      <c r="C147" s="595"/>
      <c r="G147" s="80"/>
      <c r="AH147" s="80"/>
      <c r="AI147" s="80"/>
      <c r="AJ147" s="80"/>
      <c r="AL147" s="80"/>
    </row>
    <row r="148" spans="2:38" ht="15.75" customHeight="1">
      <c r="B148" s="595"/>
      <c r="C148" s="595"/>
      <c r="G148" s="80"/>
      <c r="AH148" s="80"/>
      <c r="AI148" s="80"/>
      <c r="AJ148" s="80"/>
      <c r="AL148" s="80"/>
    </row>
    <row r="149" spans="2:38" ht="15.75" customHeight="1">
      <c r="B149" s="595"/>
      <c r="C149" s="595"/>
      <c r="G149" s="80"/>
      <c r="AH149" s="80"/>
      <c r="AI149" s="80"/>
      <c r="AJ149" s="80"/>
      <c r="AL149" s="80"/>
    </row>
    <row r="150" spans="2:38" ht="15.75" customHeight="1">
      <c r="B150" s="595"/>
      <c r="C150" s="595"/>
      <c r="G150" s="80"/>
      <c r="AH150" s="80"/>
      <c r="AI150" s="80"/>
      <c r="AJ150" s="80"/>
      <c r="AL150" s="80"/>
    </row>
    <row r="151" spans="2:38" ht="15.75" customHeight="1">
      <c r="B151" s="595"/>
      <c r="C151" s="595"/>
      <c r="G151" s="80"/>
      <c r="AH151" s="80"/>
      <c r="AI151" s="80"/>
      <c r="AJ151" s="80"/>
      <c r="AL151" s="80"/>
    </row>
    <row r="152" spans="2:38" ht="15.75" customHeight="1">
      <c r="B152" s="595"/>
      <c r="C152" s="595"/>
      <c r="G152" s="80"/>
      <c r="AH152" s="80"/>
      <c r="AI152" s="80"/>
      <c r="AJ152" s="80"/>
      <c r="AL152" s="80"/>
    </row>
    <row r="153" spans="2:38" ht="15.75" customHeight="1">
      <c r="B153" s="595"/>
      <c r="C153" s="595"/>
      <c r="G153" s="80"/>
      <c r="AH153" s="80"/>
      <c r="AI153" s="80"/>
      <c r="AJ153" s="80"/>
      <c r="AL153" s="80"/>
    </row>
    <row r="154" spans="2:38" ht="15.75" customHeight="1">
      <c r="B154" s="595"/>
      <c r="C154" s="595"/>
      <c r="G154" s="80"/>
      <c r="AH154" s="80"/>
      <c r="AI154" s="80"/>
      <c r="AJ154" s="80"/>
      <c r="AL154" s="80"/>
    </row>
    <row r="155" spans="2:38" ht="15.75" customHeight="1">
      <c r="B155" s="595"/>
      <c r="C155" s="595"/>
      <c r="G155" s="80"/>
      <c r="AH155" s="80"/>
      <c r="AI155" s="80"/>
      <c r="AJ155" s="80"/>
      <c r="AL155" s="80"/>
    </row>
    <row r="156" spans="2:38" ht="15.75" customHeight="1">
      <c r="B156" s="595"/>
      <c r="C156" s="595"/>
      <c r="G156" s="80"/>
      <c r="AH156" s="80"/>
      <c r="AI156" s="80"/>
      <c r="AJ156" s="80"/>
      <c r="AL156" s="80"/>
    </row>
    <row r="157" spans="2:38" ht="15.75" customHeight="1">
      <c r="B157" s="595"/>
      <c r="C157" s="595"/>
      <c r="G157" s="80"/>
      <c r="AH157" s="80"/>
      <c r="AI157" s="80"/>
      <c r="AJ157" s="80"/>
      <c r="AL157" s="80"/>
    </row>
    <row r="158" spans="2:38" ht="15.75" customHeight="1">
      <c r="B158" s="595"/>
      <c r="C158" s="595"/>
      <c r="G158" s="80"/>
      <c r="AH158" s="80"/>
      <c r="AI158" s="80"/>
      <c r="AJ158" s="80"/>
      <c r="AL158" s="80"/>
    </row>
    <row r="159" spans="2:38" ht="15.75" customHeight="1">
      <c r="B159" s="595"/>
      <c r="C159" s="595"/>
      <c r="G159" s="80"/>
      <c r="AH159" s="80"/>
      <c r="AI159" s="80"/>
      <c r="AJ159" s="80"/>
      <c r="AL159" s="80"/>
    </row>
    <row r="160" spans="2:38" ht="15.75" customHeight="1">
      <c r="B160" s="595"/>
      <c r="C160" s="595"/>
      <c r="G160" s="80"/>
      <c r="AH160" s="80"/>
      <c r="AI160" s="80"/>
      <c r="AJ160" s="80"/>
      <c r="AL160" s="80"/>
    </row>
    <row r="161" spans="2:38" ht="15.75" customHeight="1">
      <c r="B161" s="595"/>
      <c r="C161" s="595"/>
      <c r="G161" s="80"/>
      <c r="AH161" s="80"/>
      <c r="AI161" s="80"/>
      <c r="AJ161" s="80"/>
      <c r="AL161" s="80"/>
    </row>
    <row r="162" spans="2:38" ht="15.75" customHeight="1">
      <c r="B162" s="595"/>
      <c r="C162" s="595"/>
      <c r="G162" s="80"/>
      <c r="AH162" s="80"/>
      <c r="AI162" s="80"/>
      <c r="AJ162" s="80"/>
      <c r="AL162" s="80"/>
    </row>
    <row r="163" spans="2:38" ht="15.75" customHeight="1">
      <c r="B163" s="595"/>
      <c r="C163" s="595"/>
      <c r="G163" s="80"/>
      <c r="AH163" s="80"/>
      <c r="AI163" s="80"/>
      <c r="AJ163" s="80"/>
      <c r="AL163" s="80"/>
    </row>
    <row r="164" spans="2:38" ht="15.75" customHeight="1">
      <c r="B164" s="595"/>
      <c r="C164" s="595"/>
      <c r="G164" s="80"/>
      <c r="AH164" s="80"/>
      <c r="AI164" s="80"/>
      <c r="AJ164" s="80"/>
      <c r="AL164" s="80"/>
    </row>
    <row r="165" spans="2:38" ht="15.75" customHeight="1">
      <c r="B165" s="595"/>
      <c r="C165" s="595"/>
      <c r="G165" s="80"/>
      <c r="AH165" s="80"/>
      <c r="AI165" s="80"/>
      <c r="AJ165" s="80"/>
      <c r="AL165" s="80"/>
    </row>
    <row r="166" spans="2:38" ht="15.75" customHeight="1">
      <c r="B166" s="595"/>
      <c r="C166" s="595"/>
      <c r="G166" s="80"/>
      <c r="AH166" s="80"/>
      <c r="AI166" s="80"/>
      <c r="AJ166" s="80"/>
      <c r="AL166" s="80"/>
    </row>
    <row r="167" spans="2:38" ht="15.75" customHeight="1">
      <c r="B167" s="595"/>
      <c r="C167" s="595"/>
      <c r="G167" s="80"/>
      <c r="AH167" s="80"/>
      <c r="AI167" s="80"/>
      <c r="AJ167" s="80"/>
      <c r="AL167" s="80"/>
    </row>
    <row r="168" spans="2:38" ht="15.75" customHeight="1">
      <c r="B168" s="595"/>
      <c r="C168" s="595"/>
      <c r="G168" s="80"/>
      <c r="AH168" s="80"/>
      <c r="AI168" s="80"/>
      <c r="AJ168" s="80"/>
      <c r="AL168" s="80"/>
    </row>
    <row r="169" spans="2:38" ht="15.75" customHeight="1">
      <c r="B169" s="595"/>
      <c r="C169" s="595"/>
      <c r="G169" s="80"/>
      <c r="AH169" s="80"/>
      <c r="AI169" s="80"/>
      <c r="AJ169" s="80"/>
      <c r="AL169" s="80"/>
    </row>
    <row r="170" spans="2:38" ht="15.75" customHeight="1">
      <c r="B170" s="595"/>
      <c r="C170" s="595"/>
      <c r="G170" s="80"/>
      <c r="AH170" s="80"/>
      <c r="AI170" s="80"/>
      <c r="AJ170" s="80"/>
      <c r="AL170" s="80"/>
    </row>
    <row r="171" spans="2:38" ht="15.75" customHeight="1">
      <c r="B171" s="595"/>
      <c r="C171" s="595"/>
      <c r="G171" s="80"/>
      <c r="AH171" s="80"/>
      <c r="AI171" s="80"/>
      <c r="AJ171" s="80"/>
      <c r="AL171" s="80"/>
    </row>
    <row r="172" spans="2:38" ht="15.75" customHeight="1">
      <c r="B172" s="595"/>
      <c r="C172" s="595"/>
      <c r="G172" s="80"/>
      <c r="AH172" s="80"/>
      <c r="AI172" s="80"/>
      <c r="AJ172" s="80"/>
      <c r="AL172" s="80"/>
    </row>
    <row r="173" spans="2:38" ht="15.75" customHeight="1">
      <c r="B173" s="595"/>
      <c r="C173" s="595"/>
      <c r="G173" s="80"/>
      <c r="AH173" s="80"/>
      <c r="AI173" s="80"/>
      <c r="AJ173" s="80"/>
      <c r="AL173" s="80"/>
    </row>
    <row r="174" spans="2:38" ht="15.75" customHeight="1">
      <c r="B174" s="595"/>
      <c r="C174" s="595"/>
      <c r="G174" s="80"/>
      <c r="AH174" s="80"/>
      <c r="AI174" s="80"/>
      <c r="AJ174" s="80"/>
      <c r="AL174" s="80"/>
    </row>
    <row r="175" spans="2:38" ht="15.75" customHeight="1">
      <c r="B175" s="595"/>
      <c r="C175" s="595"/>
      <c r="G175" s="80"/>
      <c r="AH175" s="80"/>
      <c r="AI175" s="80"/>
      <c r="AJ175" s="80"/>
      <c r="AL175" s="80"/>
    </row>
    <row r="176" spans="2:38" ht="15.75" customHeight="1">
      <c r="B176" s="595"/>
      <c r="C176" s="595"/>
      <c r="G176" s="80"/>
      <c r="AH176" s="80"/>
      <c r="AI176" s="80"/>
      <c r="AJ176" s="80"/>
      <c r="AL176" s="80"/>
    </row>
    <row r="177" spans="2:38" ht="15.75" customHeight="1">
      <c r="B177" s="595"/>
      <c r="C177" s="595"/>
      <c r="G177" s="80"/>
      <c r="AH177" s="80"/>
      <c r="AI177" s="80"/>
      <c r="AJ177" s="80"/>
      <c r="AL177" s="80"/>
    </row>
    <row r="178" spans="2:38" ht="15.75" customHeight="1">
      <c r="B178" s="595"/>
      <c r="C178" s="595"/>
      <c r="G178" s="80"/>
      <c r="AH178" s="80"/>
      <c r="AI178" s="80"/>
      <c r="AJ178" s="80"/>
      <c r="AL178" s="80"/>
    </row>
    <row r="179" spans="2:38" ht="15" customHeight="1">
      <c r="B179" s="595"/>
      <c r="C179" s="595"/>
    </row>
    <row r="180" spans="2:38" ht="15" customHeight="1">
      <c r="B180" s="595"/>
      <c r="C180" s="595"/>
    </row>
    <row r="181" spans="2:38" ht="15" customHeight="1">
      <c r="B181" s="595"/>
      <c r="C181" s="595"/>
    </row>
    <row r="182" spans="2:38" ht="15" customHeight="1">
      <c r="B182" s="595"/>
      <c r="C182" s="595"/>
    </row>
    <row r="183" spans="2:38" ht="15" customHeight="1">
      <c r="B183" s="595"/>
      <c r="C183" s="595"/>
    </row>
    <row r="184" spans="2:38" ht="15" customHeight="1">
      <c r="B184" s="595"/>
      <c r="C184" s="595"/>
    </row>
    <row r="185" spans="2:38" ht="15" customHeight="1">
      <c r="B185" s="595"/>
      <c r="C185" s="595"/>
    </row>
  </sheetData>
  <autoFilter ref="A3:AL4" xr:uid="{00000000-0009-0000-0000-000017000000}">
    <sortState xmlns:xlrd2="http://schemas.microsoft.com/office/spreadsheetml/2017/richdata2" ref="A4:AL19">
      <sortCondition ref="A3:A4"/>
    </sortState>
  </autoFilter>
  <pageMargins left="0.7" right="0.7" top="0.75" bottom="0.75" header="0" footer="0"/>
  <pageSetup scale="17" fitToHeight="0" orientation="portrait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15">
    <tabColor rgb="FF00B050"/>
    <pageSetUpPr fitToPage="1"/>
  </sheetPr>
  <dimension ref="A1:AN249"/>
  <sheetViews>
    <sheetView showGridLines="0" workbookViewId="0">
      <pane xSplit="1" ySplit="3" topLeftCell="B38" activePane="bottomRight" state="frozen"/>
      <selection pane="topRight" activeCell="B1" sqref="B1"/>
      <selection pane="bottomLeft" activeCell="A4" sqref="A4"/>
      <selection pane="bottomRight" activeCell="D53" sqref="D53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style="773" customWidth="1"/>
    <col min="34" max="34" width="20.33203125" customWidth="1"/>
    <col min="35" max="35" width="14.44140625" customWidth="1"/>
    <col min="36" max="36" width="17.5546875" customWidth="1"/>
    <col min="37" max="37" width="5.109375" customWidth="1"/>
    <col min="38" max="38" width="14.44140625" customWidth="1"/>
  </cols>
  <sheetData>
    <row r="1" spans="1:40" ht="15" customHeight="1" thickBot="1">
      <c r="D1" s="845"/>
      <c r="F1" s="79"/>
      <c r="G1" s="80"/>
      <c r="H1" s="81"/>
      <c r="I1" s="843"/>
      <c r="K1" s="703">
        <v>720.82600000000002</v>
      </c>
      <c r="L1" s="1007"/>
      <c r="AB1" s="83"/>
      <c r="AC1" s="758"/>
      <c r="AD1" s="83"/>
      <c r="AE1" s="83"/>
      <c r="AF1" s="83"/>
      <c r="AG1" s="768" t="s">
        <v>34</v>
      </c>
      <c r="AH1" s="701" t="s">
        <v>1001</v>
      </c>
      <c r="AI1" s="699" t="s">
        <v>36</v>
      </c>
      <c r="AJ1" s="87" t="s">
        <v>37</v>
      </c>
      <c r="AK1" s="88"/>
      <c r="AL1" s="89" t="s">
        <v>38</v>
      </c>
    </row>
    <row r="2" spans="1:40" ht="15" customHeight="1" thickBot="1">
      <c r="D2" s="845"/>
      <c r="G2" s="90"/>
      <c r="H2" s="90"/>
      <c r="I2" s="91">
        <f>SUBTOTAL(9,I4:I9527)</f>
        <v>789.85000000000014</v>
      </c>
      <c r="J2" s="81"/>
      <c r="K2" s="91">
        <f>SUBTOTAL(9,K4:K9527)</f>
        <v>720.82536499999992</v>
      </c>
      <c r="L2" s="93">
        <f>SUMPRODUCT(L5:L358,K5:K358)/K2</f>
        <v>0.2957831903015789</v>
      </c>
      <c r="M2" s="6"/>
      <c r="P2" s="6"/>
      <c r="Q2" s="94">
        <f>+SUMPRODUCT(Q5:Q246,AH5:AH246)/SUM(AH5:AH246)</f>
        <v>89.592027125740884</v>
      </c>
      <c r="R2" s="89">
        <f>+SUMPRODUCT(R5:R246,AH5:AH246)/SUM(AH5:AH246)</f>
        <v>2653.3713470018274</v>
      </c>
      <c r="S2" s="6"/>
      <c r="AB2" s="83"/>
      <c r="AC2" s="83">
        <f>SUMPRODUCT($AG5:$AG246,$K5:$K246)/SUM($K5:$K246)</f>
        <v>51.386364293815632</v>
      </c>
      <c r="AD2" s="83">
        <f>SUMPRODUCT($AD5:$AD246,$K5:$K246)/SUM($K5:$K246)</f>
        <v>1.1776238975470421</v>
      </c>
      <c r="AE2" s="83">
        <f>SUMPRODUCT($AE5:$AE246,$K5:$K246)/SUM($K5:$K246)</f>
        <v>-33.732862627760753</v>
      </c>
      <c r="AF2" s="83">
        <f>SUMPRODUCT($AF5:$AF246,$K5:$K246)/SUM($K5:$K246)</f>
        <v>7.5795374601669536</v>
      </c>
      <c r="AG2" s="769">
        <f>SUMPRODUCT($AG5:$AG246,$K5:$K246)/SUM($K5:$K246)</f>
        <v>51.386364293815632</v>
      </c>
      <c r="AH2" s="702"/>
      <c r="AI2" s="252">
        <v>2689</v>
      </c>
      <c r="AJ2" s="98"/>
      <c r="AK2" s="88"/>
      <c r="AL2" s="99"/>
    </row>
    <row r="3" spans="1:40" ht="15" customHeight="1" thickBot="1">
      <c r="A3" s="678" t="s">
        <v>11</v>
      </c>
      <c r="B3" s="678" t="s">
        <v>39</v>
      </c>
      <c r="C3" s="678" t="s">
        <v>40</v>
      </c>
      <c r="D3" s="678" t="s">
        <v>41</v>
      </c>
      <c r="E3" s="678" t="s">
        <v>1025</v>
      </c>
      <c r="F3" s="678" t="s">
        <v>43</v>
      </c>
      <c r="G3" s="679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18">
        <f>SUBTOTAL(9,AH5:AH9528)</f>
        <v>6549.0316852765509</v>
      </c>
      <c r="AI3" s="700">
        <f>SUMPRODUCT(K5:K246,AI5:AI246)/K2</f>
        <v>39.391495756183673</v>
      </c>
      <c r="AJ3" s="118">
        <f>SUBTOTAL(9,AJ5:AJ9528)</f>
        <v>6471.6969231021294</v>
      </c>
      <c r="AK3" s="88"/>
      <c r="AL3" s="118">
        <f>SUBTOTAL(9,AL5:AL9528)</f>
        <v>416021.64665377344</v>
      </c>
    </row>
    <row r="4" spans="1:40" s="677" customFormat="1" ht="15.75" customHeight="1">
      <c r="A4" s="720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4"/>
      <c r="AJ4" s="675"/>
      <c r="AK4" s="676"/>
      <c r="AL4" s="732"/>
    </row>
    <row r="5" spans="1:40" ht="15.75" customHeight="1">
      <c r="A5" s="991" t="s">
        <v>1305</v>
      </c>
      <c r="B5" s="595">
        <v>45644</v>
      </c>
      <c r="C5" s="595">
        <v>45626</v>
      </c>
      <c r="D5" t="s">
        <v>1152</v>
      </c>
      <c r="E5">
        <v>20606534923</v>
      </c>
      <c r="F5" t="s">
        <v>1303</v>
      </c>
      <c r="G5" s="80">
        <v>84</v>
      </c>
      <c r="H5" t="s">
        <v>108</v>
      </c>
      <c r="I5">
        <v>7.74</v>
      </c>
      <c r="J5" s="596">
        <v>11</v>
      </c>
      <c r="K5">
        <v>6.8890000000000002</v>
      </c>
      <c r="L5" s="149">
        <v>0.23799999999999999</v>
      </c>
      <c r="M5" s="149">
        <v>0.23799999999999999</v>
      </c>
      <c r="N5" s="149">
        <v>0.23799999999999999</v>
      </c>
      <c r="O5" s="139">
        <f>+ROUND((M5+N5)/2,3)</f>
        <v>0.23799999999999999</v>
      </c>
      <c r="P5" s="629">
        <v>90</v>
      </c>
      <c r="Q5" s="760">
        <v>89.74</v>
      </c>
      <c r="R5" s="706">
        <v>2651.05</v>
      </c>
      <c r="S5" s="765">
        <f>IF((90+ROUNDDOWN(O5,1)*100)&lt;95,95,(90+ROUNDDOWN(O5,1)*100))</f>
        <v>110</v>
      </c>
      <c r="U5" s="886">
        <v>130</v>
      </c>
      <c r="V5" s="715">
        <v>1.1023000000000001</v>
      </c>
      <c r="Z5" s="143">
        <f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 t="shared" ref="AA5:AA15" si="0">+Y5+Z5</f>
        <v>30</v>
      </c>
      <c r="AB5" s="145">
        <f>+((O5*P5*(R5-U5)/100)-S5-AA5+T5)*V5</f>
        <v>440.92982149300002</v>
      </c>
      <c r="AC5" s="145">
        <f>+(S5-T5)*V5-'data 1'!$F$4</f>
        <v>41.253</v>
      </c>
      <c r="AD5" s="145">
        <f t="shared" ref="AD5:AD15" si="1">+(Q5-P5)*(R5-U5)*L5*V5/100</f>
        <v>-1.719616373202034</v>
      </c>
      <c r="AE5" s="145">
        <f t="shared" ref="AE5:AE15" si="2">+(Y5*V5-70)+V5*(Z5-IF(D5="UNTUCA",IF(+((W5-3)*2.5+(X5-3)*3.1)&gt;0,+((W5-3)*1.5+(X5-3)*3.1),0),IF(+((W5-3)*1.5+(X5-3)*3.1)&gt;0,+((W5-3)*1.5+(X5-3)*3.1),0)))</f>
        <v>-36.930999999999997</v>
      </c>
      <c r="AF5" s="145">
        <f t="shared" ref="AF5:AF15" si="3">(L5-O5)*(R5-U5)*Q5*V5/100</f>
        <v>0</v>
      </c>
      <c r="AG5" s="772">
        <f>+IF(D5="RONALD WILLIAN GARIBAY ESCUDERO",AC5+AD5+AE5+AF5+70,AC5+AD5+AE5+AF5)</f>
        <v>2.6023836267979661</v>
      </c>
      <c r="AH5" s="146">
        <f t="shared" ref="AH5:AH15" si="4">31.1035*L5*Q5*1.1023*K5/100</f>
        <v>50.446178965530123</v>
      </c>
      <c r="AI5" s="156">
        <f t="shared" ref="AI5:AI15" si="5">+((+$AI$2-R5+U5)*L5*Q5*V5)/100</f>
        <v>39.540562007841956</v>
      </c>
      <c r="AJ5" s="156">
        <f t="shared" ref="AJ5:AJ15" si="6">31.1035*1.1023*K5*P5*O5/100</f>
        <v>50.59233459881559</v>
      </c>
      <c r="AK5" s="88"/>
      <c r="AL5" s="716">
        <f t="shared" ref="AL5:AL15" si="7">+IF(AB5*K5&gt;0,AB5*K5,0)</f>
        <v>3037.5655402652774</v>
      </c>
      <c r="AM5" s="596"/>
    </row>
    <row r="6" spans="1:40" ht="15.75" customHeight="1">
      <c r="A6" s="991" t="s">
        <v>1307</v>
      </c>
      <c r="B6" s="595"/>
      <c r="C6" s="595">
        <v>45626</v>
      </c>
      <c r="D6" t="s">
        <v>1152</v>
      </c>
      <c r="E6">
        <v>20606534923</v>
      </c>
      <c r="F6" t="s">
        <v>1308</v>
      </c>
      <c r="G6" s="80">
        <v>82</v>
      </c>
      <c r="H6" t="s">
        <v>108</v>
      </c>
      <c r="I6">
        <v>6.87</v>
      </c>
      <c r="J6" s="596">
        <v>15.6</v>
      </c>
      <c r="K6">
        <v>5.798</v>
      </c>
      <c r="L6" s="139">
        <v>6.3E-2</v>
      </c>
      <c r="M6" s="708">
        <v>5.2999999999999999E-2</v>
      </c>
      <c r="N6" s="159">
        <v>5.2999999999999999E-2</v>
      </c>
      <c r="O6" s="139">
        <f>+ROUND((M6+N6)/2,3)</f>
        <v>5.2999999999999999E-2</v>
      </c>
      <c r="P6" s="629">
        <v>90</v>
      </c>
      <c r="Q6" s="760">
        <v>85.7</v>
      </c>
      <c r="R6" s="706">
        <v>2651.05</v>
      </c>
      <c r="S6" s="765">
        <f>IF((90+ROUNDDOWN(O6,1)*100)&lt;95,95,(90+ROUNDDOWN(O6,1)*100))</f>
        <v>95</v>
      </c>
      <c r="U6" s="886">
        <v>100</v>
      </c>
      <c r="V6" s="715">
        <v>1.1023000000000001</v>
      </c>
      <c r="Z6" s="143">
        <f>IF(IF(D6="UNTUCA",IF(+((W6-3)*1.5+(X6-3)*3.1)&gt;0,+((W6-3)*1.5+(X6-3)*3.1),0),IF(+((W6-3)*1.5+(X6-3)*3.1)&gt;0,+((W6-3)*1.5+(X6-3)*3.1),0))&lt;30,30,IF(D6="UNTUCA",IF(+((W6-3)*1.5+(X6-3)*3.1)&gt;0,+((W6-3)*1.5+(X6-3)*3.1),0),IF(+((W6-3)*1.5+(X6-3)*3.1)&gt;0,+((W6-3)*1.5+(X6-3)*3.1),0)))</f>
        <v>30</v>
      </c>
      <c r="AA6" s="144">
        <f t="shared" si="0"/>
        <v>30</v>
      </c>
      <c r="AB6" s="145">
        <v>0</v>
      </c>
      <c r="AC6" s="145">
        <f>+(S6-T6)*V6-'data 1'!$F$4</f>
        <v>24.718500000000006</v>
      </c>
      <c r="AD6" s="145">
        <f t="shared" si="1"/>
        <v>-7.6177687222349961</v>
      </c>
      <c r="AE6" s="145">
        <f t="shared" si="2"/>
        <v>-36.930999999999997</v>
      </c>
      <c r="AF6" s="145">
        <f t="shared" si="3"/>
        <v>24.099032096550008</v>
      </c>
      <c r="AG6" s="772">
        <f>+IF(D6="RONALD WILLIAN GARIBAY ESCUDERO",AC6+AD6+AE6+AF6+70,AC6+AD6+AE6+AF6)</f>
        <v>4.2687633743150215</v>
      </c>
      <c r="AH6" s="146">
        <f t="shared" si="4"/>
        <v>10.732691635231376</v>
      </c>
      <c r="AI6" s="156">
        <f t="shared" si="5"/>
        <v>8.20999482943499</v>
      </c>
      <c r="AJ6" s="156">
        <f t="shared" si="6"/>
        <v>9.482124631893031</v>
      </c>
      <c r="AK6" s="88"/>
      <c r="AL6" s="716">
        <f t="shared" si="7"/>
        <v>0</v>
      </c>
      <c r="AM6" s="596"/>
    </row>
    <row r="7" spans="1:40" ht="15.75" customHeight="1">
      <c r="A7" s="991" t="s">
        <v>1309</v>
      </c>
      <c r="B7" s="595"/>
      <c r="C7" s="595">
        <v>45626</v>
      </c>
      <c r="D7" t="s">
        <v>1152</v>
      </c>
      <c r="E7">
        <v>20606534923</v>
      </c>
      <c r="F7" t="s">
        <v>1308</v>
      </c>
      <c r="G7" s="80">
        <v>100</v>
      </c>
      <c r="H7" t="s">
        <v>108</v>
      </c>
      <c r="I7">
        <v>8.32</v>
      </c>
      <c r="J7" s="596">
        <v>15.75</v>
      </c>
      <c r="K7">
        <v>7.01</v>
      </c>
      <c r="L7" s="139">
        <v>6.6000000000000003E-2</v>
      </c>
      <c r="M7" s="708">
        <v>5.5E-2</v>
      </c>
      <c r="N7" s="159">
        <v>5.5E-2</v>
      </c>
      <c r="O7" s="139">
        <f>+ROUND((M7+N7)/2,3)</f>
        <v>5.5E-2</v>
      </c>
      <c r="P7" s="629">
        <v>90</v>
      </c>
      <c r="Q7" s="760">
        <v>86.2</v>
      </c>
      <c r="R7" s="706">
        <v>2651.05</v>
      </c>
      <c r="S7" s="765">
        <f>IF((90+ROUNDDOWN(O7,1)*100)&lt;95,95,(90+ROUNDDOWN(O7,1)*100))</f>
        <v>95</v>
      </c>
      <c r="U7" s="886">
        <v>100</v>
      </c>
      <c r="V7" s="715">
        <v>1.1023000000000001</v>
      </c>
      <c r="Z7" s="143">
        <f>IF(IF(D7="UNTUCA",IF(+((W7-3)*1.5+(X7-3)*3.1)&gt;0,+((W7-3)*1.5+(X7-3)*3.1),0),IF(+((W7-3)*1.5+(X7-3)*3.1)&gt;0,+((W7-3)*1.5+(X7-3)*3.1),0))&lt;30,30,IF(D7="UNTUCA",IF(+((W7-3)*1.5+(X7-3)*3.1)&gt;0,+((W7-3)*1.5+(X7-3)*3.1),0),IF(+((W7-3)*1.5+(X7-3)*3.1)&gt;0,+((W7-3)*1.5+(X7-3)*3.1),0)))</f>
        <v>30</v>
      </c>
      <c r="AA7" s="144">
        <f t="shared" si="0"/>
        <v>30</v>
      </c>
      <c r="AB7" s="145">
        <v>0</v>
      </c>
      <c r="AC7" s="145">
        <f>+(S7-T7)*V7-'data 1'!$F$4</f>
        <v>24.718500000000006</v>
      </c>
      <c r="AD7" s="145">
        <f t="shared" si="1"/>
        <v>-7.052552216819997</v>
      </c>
      <c r="AE7" s="145">
        <f t="shared" si="2"/>
        <v>-36.930999999999997</v>
      </c>
      <c r="AF7" s="145">
        <f t="shared" si="3"/>
        <v>26.66359653903001</v>
      </c>
      <c r="AG7" s="772">
        <f>+IF(D7="RONALD WILLIAN GARIBAY ESCUDERO",AC7+AD7+AE7+AF7+70,AC7+AD7+AE7+AF7)</f>
        <v>7.3985443222100216</v>
      </c>
      <c r="AH7" s="146">
        <f t="shared" si="4"/>
        <v>13.673455721553607</v>
      </c>
      <c r="AI7" s="156">
        <f t="shared" si="5"/>
        <v>8.6511275182199885</v>
      </c>
      <c r="AJ7" s="156">
        <f t="shared" si="6"/>
        <v>11.89685822640975</v>
      </c>
      <c r="AK7" s="88"/>
      <c r="AL7" s="716">
        <f t="shared" si="7"/>
        <v>0</v>
      </c>
      <c r="AM7" s="596"/>
    </row>
    <row r="8" spans="1:40" ht="15.75" customHeight="1">
      <c r="A8" s="991" t="s">
        <v>1310</v>
      </c>
      <c r="B8" s="595"/>
      <c r="C8" s="595">
        <v>45626</v>
      </c>
      <c r="D8" t="s">
        <v>1152</v>
      </c>
      <c r="E8">
        <v>20606534923</v>
      </c>
      <c r="F8" t="s">
        <v>1308</v>
      </c>
      <c r="G8" s="80">
        <v>100</v>
      </c>
      <c r="H8" t="s">
        <v>108</v>
      </c>
      <c r="I8">
        <v>8.5399999999999991</v>
      </c>
      <c r="J8" s="596">
        <v>14.95</v>
      </c>
      <c r="K8">
        <v>7.2629999999999999</v>
      </c>
      <c r="L8" s="139">
        <v>6.6000000000000003E-2</v>
      </c>
      <c r="M8" s="708">
        <v>5.5E-2</v>
      </c>
      <c r="N8" s="159">
        <v>5.5E-2</v>
      </c>
      <c r="O8" s="139">
        <f>+ROUND((M8+N8)/2,3)</f>
        <v>5.5E-2</v>
      </c>
      <c r="P8" s="629">
        <v>90</v>
      </c>
      <c r="Q8" s="760">
        <v>89.16</v>
      </c>
      <c r="R8" s="706">
        <v>2651.05</v>
      </c>
      <c r="S8" s="765">
        <f>IF((90+ROUNDDOWN(O8,1)*100)&lt;95,95,(90+ROUNDDOWN(O8,1)*100))</f>
        <v>95</v>
      </c>
      <c r="U8" s="886">
        <v>100</v>
      </c>
      <c r="V8" s="715">
        <v>1.1023000000000001</v>
      </c>
      <c r="Z8" s="143">
        <f>IF(IF(D8="UNTUCA",IF(+((W8-3)*1.5+(X8-3)*3.1)&gt;0,+((W8-3)*1.5+(X8-3)*3.1),0),IF(+((W8-3)*1.5+(X8-3)*3.1)&gt;0,+((W8-3)*1.5+(X8-3)*3.1),0))&lt;30,30,IF(D8="UNTUCA",IF(+((W8-3)*1.5+(X8-3)*3.1)&gt;0,+((W8-3)*1.5+(X8-3)*3.1),0),IF(+((W8-3)*1.5+(X8-3)*3.1)&gt;0,+((W8-3)*1.5+(X8-3)*3.1),0)))</f>
        <v>30</v>
      </c>
      <c r="AA8" s="144">
        <f t="shared" si="0"/>
        <v>30</v>
      </c>
      <c r="AB8" s="145">
        <v>0</v>
      </c>
      <c r="AC8" s="145">
        <f>+(S8-T8)*V8-'data 1'!$F$4</f>
        <v>24.718500000000006</v>
      </c>
      <c r="AD8" s="145">
        <f t="shared" si="1"/>
        <v>-1.5589852268760067</v>
      </c>
      <c r="AE8" s="145">
        <f t="shared" si="2"/>
        <v>-36.930999999999997</v>
      </c>
      <c r="AF8" s="145">
        <f t="shared" si="3"/>
        <v>27.579191037354008</v>
      </c>
      <c r="AG8" s="772">
        <f>+IF(D8="RONALD WILLIAN GARIBAY ESCUDERO",AC8+AD8+AE8+AF8+70,AC8+AD8+AE8+AF8)</f>
        <v>13.807705810478009</v>
      </c>
      <c r="AH8" s="146">
        <f t="shared" si="4"/>
        <v>14.653423750007788</v>
      </c>
      <c r="AI8" s="156">
        <f t="shared" si="5"/>
        <v>8.9481963981959876</v>
      </c>
      <c r="AJ8" s="156">
        <f t="shared" si="6"/>
        <v>12.326231283653927</v>
      </c>
      <c r="AK8" s="88"/>
      <c r="AL8" s="716">
        <f t="shared" si="7"/>
        <v>0</v>
      </c>
      <c r="AM8" s="596"/>
      <c r="AN8" s="1033"/>
    </row>
    <row r="9" spans="1:40" ht="15.75" customHeight="1">
      <c r="A9" s="991" t="s">
        <v>1311</v>
      </c>
      <c r="B9" s="595">
        <v>45641</v>
      </c>
      <c r="C9" s="595">
        <v>45627</v>
      </c>
      <c r="D9" t="s">
        <v>1029</v>
      </c>
      <c r="E9">
        <v>10421580605</v>
      </c>
      <c r="F9" t="s">
        <v>1312</v>
      </c>
      <c r="G9" s="80" t="s">
        <v>68</v>
      </c>
      <c r="H9" t="s">
        <v>69</v>
      </c>
      <c r="I9">
        <v>33.6</v>
      </c>
      <c r="J9" s="596">
        <v>14.55</v>
      </c>
      <c r="K9">
        <v>28.710999999999999</v>
      </c>
      <c r="L9" s="139">
        <v>0.161</v>
      </c>
      <c r="M9" s="139">
        <v>0.14299999999999999</v>
      </c>
      <c r="N9" s="598">
        <v>0.18</v>
      </c>
      <c r="O9" s="139">
        <v>0.161</v>
      </c>
      <c r="P9" s="665">
        <v>90</v>
      </c>
      <c r="Q9" s="760">
        <v>89.71</v>
      </c>
      <c r="R9" s="706">
        <v>2642.15</v>
      </c>
      <c r="S9" s="802">
        <v>85</v>
      </c>
      <c r="U9" s="886">
        <v>90</v>
      </c>
      <c r="V9" s="715">
        <v>1.1023000000000001</v>
      </c>
      <c r="Z9" s="160">
        <v>15</v>
      </c>
      <c r="AA9" s="144">
        <f t="shared" si="0"/>
        <v>15</v>
      </c>
      <c r="AB9" s="145">
        <f t="shared" ref="AB9:AB15" si="8">+((O9*P9*(R9-U9)/100)-S9-AA9+T9)*V9</f>
        <v>297.4077435305</v>
      </c>
      <c r="AC9" s="145">
        <f>+(S9-T9)*V9-'data 1'!$F$4</f>
        <v>13.69550000000001</v>
      </c>
      <c r="AD9" s="145">
        <f t="shared" si="1"/>
        <v>-1.3134993958205283</v>
      </c>
      <c r="AE9" s="145">
        <f t="shared" si="2"/>
        <v>-53.465499999999999</v>
      </c>
      <c r="AF9" s="145">
        <f t="shared" si="3"/>
        <v>0</v>
      </c>
      <c r="AG9" s="772">
        <f>+IF(D9="RONALD WILLIAN GARIBAY ESCUDERO",AC9+AD9+AE9+AF9+70,AC9+AD9+AE9+AF9)+70-10</f>
        <v>18.916500604179483</v>
      </c>
      <c r="AH9" s="146">
        <f t="shared" si="4"/>
        <v>142.17528947162828</v>
      </c>
      <c r="AI9" s="156">
        <f t="shared" si="5"/>
        <v>21.787697748890487</v>
      </c>
      <c r="AJ9" s="156">
        <f t="shared" si="6"/>
        <v>142.6348907863844</v>
      </c>
      <c r="AK9" s="88"/>
      <c r="AL9" s="716">
        <f t="shared" si="7"/>
        <v>8538.8737245041848</v>
      </c>
      <c r="AM9" s="596"/>
    </row>
    <row r="10" spans="1:40" ht="15.75" customHeight="1">
      <c r="A10" s="991" t="s">
        <v>1313</v>
      </c>
      <c r="B10" s="717">
        <v>45631</v>
      </c>
      <c r="C10" s="595">
        <v>45627</v>
      </c>
      <c r="D10" t="s">
        <v>1029</v>
      </c>
      <c r="E10">
        <v>10421580605</v>
      </c>
      <c r="F10" t="s">
        <v>1312</v>
      </c>
      <c r="G10" s="80" t="s">
        <v>68</v>
      </c>
      <c r="H10" t="s">
        <v>69</v>
      </c>
      <c r="I10">
        <v>29.84</v>
      </c>
      <c r="J10" s="596">
        <v>13.25</v>
      </c>
      <c r="K10">
        <v>25.885999999999999</v>
      </c>
      <c r="L10" s="139">
        <v>0.23799999999999999</v>
      </c>
      <c r="M10" s="139">
        <v>0.22800000000000001</v>
      </c>
      <c r="N10" s="159">
        <v>0.24</v>
      </c>
      <c r="O10" s="139">
        <f t="shared" ref="O10:O15" si="9">+ROUND((M10+N10)/2,3)</f>
        <v>0.23400000000000001</v>
      </c>
      <c r="P10" s="629">
        <v>90</v>
      </c>
      <c r="Q10" s="760">
        <v>89.71</v>
      </c>
      <c r="R10" s="706">
        <v>2642.15</v>
      </c>
      <c r="S10" s="802">
        <v>85</v>
      </c>
      <c r="U10" s="886">
        <v>90</v>
      </c>
      <c r="V10" s="715">
        <v>1.1023000000000001</v>
      </c>
      <c r="Y10" s="891"/>
      <c r="Z10" s="160">
        <v>15</v>
      </c>
      <c r="AA10" s="144">
        <f t="shared" si="0"/>
        <v>15</v>
      </c>
      <c r="AB10" s="145">
        <f t="shared" si="8"/>
        <v>482.2372794170002</v>
      </c>
      <c r="AC10" s="145">
        <f>+(S10-T10)*V10-'data 1'!$F$4</f>
        <v>13.69550000000001</v>
      </c>
      <c r="AD10" s="145">
        <f t="shared" si="1"/>
        <v>-1.9416947590390419</v>
      </c>
      <c r="AE10" s="145">
        <f t="shared" si="2"/>
        <v>-53.465499999999999</v>
      </c>
      <c r="AF10" s="145">
        <f t="shared" si="3"/>
        <v>10.095012276637938</v>
      </c>
      <c r="AG10" s="772">
        <f>+IF(D10="RONALD WILLIAN GARIBAY ESCUDERO",AC10+AD10+AE10+AF10+70,AC10+AD10+AE10+AF10)+70-10</f>
        <v>28.383317517598904</v>
      </c>
      <c r="AH10" s="146">
        <f t="shared" si="4"/>
        <v>189.49241461904066</v>
      </c>
      <c r="AI10" s="156">
        <f t="shared" si="5"/>
        <v>32.207901020098973</v>
      </c>
      <c r="AJ10" s="156">
        <f t="shared" si="6"/>
        <v>186.9099334961204</v>
      </c>
      <c r="AK10" s="88"/>
      <c r="AL10" s="716">
        <f t="shared" si="7"/>
        <v>12483.194214988467</v>
      </c>
      <c r="AM10" s="596"/>
    </row>
    <row r="11" spans="1:40" ht="15.75" customHeight="1">
      <c r="A11" s="991" t="s">
        <v>1315</v>
      </c>
      <c r="B11" s="595">
        <v>45635</v>
      </c>
      <c r="C11" s="595">
        <v>45630</v>
      </c>
      <c r="D11" t="s">
        <v>66</v>
      </c>
      <c r="E11">
        <v>10457401928</v>
      </c>
      <c r="G11" s="80">
        <v>66</v>
      </c>
      <c r="H11" t="s">
        <v>69</v>
      </c>
      <c r="I11" s="596">
        <v>4.84</v>
      </c>
      <c r="J11" s="596">
        <v>10.15</v>
      </c>
      <c r="K11" s="138">
        <f>+I11-(I11*(J11/100))</f>
        <v>4.3487399999999994</v>
      </c>
      <c r="L11" s="139">
        <v>0.80700000000000005</v>
      </c>
      <c r="M11" s="139">
        <v>0.77400000000000002</v>
      </c>
      <c r="N11" s="598">
        <v>0.82699999999999996</v>
      </c>
      <c r="O11" s="139">
        <f t="shared" si="9"/>
        <v>0.80100000000000005</v>
      </c>
      <c r="P11" s="629">
        <v>90</v>
      </c>
      <c r="Q11" s="760">
        <v>89.78</v>
      </c>
      <c r="R11" s="706">
        <v>2648.65</v>
      </c>
      <c r="S11" s="765">
        <f>IF((90+ROUNDDOWN(O11,1)*100)&lt;95,95,(90+ROUNDDOWN(O11,1)*100))</f>
        <v>170</v>
      </c>
      <c r="U11" s="947">
        <v>130</v>
      </c>
      <c r="V11" s="715">
        <v>1.1023000000000001</v>
      </c>
      <c r="Y11">
        <v>15</v>
      </c>
      <c r="Z11" s="143">
        <f>IF(IF(D11="UNTUCA",IF(+((W11-3)*1.5+(X11-3)*3.1)&gt;0,+((W11-3)*1.5+(X11-3)*3.1),0),IF(+((W11-3)*1.5+(X11-3)*3.1)&gt;0,+((W11-3)*1.5+(X11-3)*3.1),0))&lt;30,30,IF(D11="UNTUCA",IF(+((W11-3)*1.5+(X11-3)*3.1)&gt;0,+((W11-3)*1.5+(X11-3)*3.1),0),IF(+((W11-3)*1.5+(X11-3)*3.1)&gt;0,+((W11-3)*1.5+(X11-3)*3.1),0)))</f>
        <v>30</v>
      </c>
      <c r="AA11" s="144">
        <f t="shared" si="0"/>
        <v>45</v>
      </c>
      <c r="AB11" s="145">
        <f t="shared" si="8"/>
        <v>1764.4458615055005</v>
      </c>
      <c r="AC11" s="145">
        <f>+(S11-T11)*V11-'data 1'!$F$4</f>
        <v>107.39100000000002</v>
      </c>
      <c r="AD11" s="145">
        <f t="shared" si="1"/>
        <v>-4.9290570367829751</v>
      </c>
      <c r="AE11" s="145">
        <f t="shared" si="2"/>
        <v>-20.396499999999996</v>
      </c>
      <c r="AF11" s="145">
        <f t="shared" si="3"/>
        <v>14.955415368786015</v>
      </c>
      <c r="AG11" s="772">
        <f>+IF(D11="RONALD WILLIAN GARIBAY ESCUDERO",AC11+AD11+AE11+AF11+70,AC11+AD11+AE11+AF11)+70-20</f>
        <v>147.02085833200306</v>
      </c>
      <c r="AH11" s="146">
        <f t="shared" si="4"/>
        <v>108.02534155815489</v>
      </c>
      <c r="AI11" s="156">
        <f t="shared" si="5"/>
        <v>136.04891453190294</v>
      </c>
      <c r="AJ11" s="156">
        <f t="shared" si="6"/>
        <v>107.48492008314673</v>
      </c>
      <c r="AK11" s="88"/>
      <c r="AL11" s="716">
        <f t="shared" si="7"/>
        <v>7673.1162957634288</v>
      </c>
      <c r="AM11" s="596"/>
    </row>
    <row r="12" spans="1:40" ht="15.75" customHeight="1">
      <c r="A12" s="991" t="s">
        <v>1316</v>
      </c>
      <c r="B12" s="595">
        <v>45635</v>
      </c>
      <c r="C12" s="595">
        <v>45630</v>
      </c>
      <c r="D12" t="s">
        <v>66</v>
      </c>
      <c r="E12">
        <v>10457401928</v>
      </c>
      <c r="G12" s="80">
        <v>76</v>
      </c>
      <c r="H12" t="s">
        <v>69</v>
      </c>
      <c r="I12" s="596">
        <v>5.15</v>
      </c>
      <c r="J12" s="596">
        <v>13.35</v>
      </c>
      <c r="K12" s="138">
        <f>+I12-(I12*(J12/100))</f>
        <v>4.4624750000000004</v>
      </c>
      <c r="L12" s="139">
        <v>0.23799999999999999</v>
      </c>
      <c r="M12" s="139">
        <v>0.22800000000000001</v>
      </c>
      <c r="N12" s="159">
        <v>0.22800000000000001</v>
      </c>
      <c r="O12" s="139">
        <f t="shared" si="9"/>
        <v>0.22800000000000001</v>
      </c>
      <c r="P12" s="948">
        <v>90</v>
      </c>
      <c r="Q12" s="760">
        <v>89.61</v>
      </c>
      <c r="R12" s="706">
        <v>2648.65</v>
      </c>
      <c r="S12" s="765">
        <f>IF((90+ROUNDDOWN(O12,1)*100)&lt;95,95,(90+ROUNDDOWN(O12,1)*100))</f>
        <v>110</v>
      </c>
      <c r="U12" s="947">
        <v>130</v>
      </c>
      <c r="V12" s="715">
        <v>1.1023000000000001</v>
      </c>
      <c r="Y12">
        <v>15</v>
      </c>
      <c r="Z12" s="143">
        <f>IF(IF(D12="UNTUCA",IF(+((W12-3)*1.5+(X12-3)*3.1)&gt;0,+((W12-3)*1.5+(X12-3)*3.1),0),IF(+((W12-3)*1.5+(X12-3)*3.1)&gt;0,+((W12-3)*1.5+(X12-3)*3.1),0))&lt;30,30,IF(D12="UNTUCA",IF(+((W12-3)*1.5+(X12-3)*3.1)&gt;0,+((W12-3)*1.5+(X12-3)*3.1),0),IF(+((W12-3)*1.5+(X12-3)*3.1)&gt;0,+((W12-3)*1.5+(X12-3)*3.1),0)))</f>
        <v>30</v>
      </c>
      <c r="AA12" s="144">
        <f t="shared" si="0"/>
        <v>45</v>
      </c>
      <c r="AB12" s="145">
        <f t="shared" si="8"/>
        <v>398.84188005400006</v>
      </c>
      <c r="AC12" s="145">
        <f>+(S12-T12)*V12-'data 1'!$F$4</f>
        <v>41.253</v>
      </c>
      <c r="AD12" s="145">
        <f t="shared" si="1"/>
        <v>-2.5769689881390034</v>
      </c>
      <c r="AE12" s="145">
        <f t="shared" si="2"/>
        <v>-20.396499999999996</v>
      </c>
      <c r="AF12" s="145">
        <f t="shared" si="3"/>
        <v>24.878495047094951</v>
      </c>
      <c r="AG12" s="772">
        <f>+IF(D12="RONALD WILLIAN GARIBAY ESCUDERO",AC12+AD12+AE12+AF12+70,AC12+AD12+AE12+AF12)+70-20</f>
        <v>93.158026058955954</v>
      </c>
      <c r="AH12" s="146">
        <f t="shared" si="4"/>
        <v>32.630092110521304</v>
      </c>
      <c r="AI12" s="156">
        <f t="shared" si="5"/>
        <v>40.047497200598976</v>
      </c>
      <c r="AJ12" s="156">
        <f t="shared" si="6"/>
        <v>31.395125380284558</v>
      </c>
      <c r="AK12" s="88"/>
      <c r="AL12" s="716">
        <f t="shared" si="7"/>
        <v>1779.8219186939741</v>
      </c>
      <c r="AM12" s="596"/>
    </row>
    <row r="13" spans="1:40" ht="15.75" customHeight="1">
      <c r="A13" s="991" t="s">
        <v>1317</v>
      </c>
      <c r="B13" s="595">
        <v>45635</v>
      </c>
      <c r="C13" s="595">
        <v>45630</v>
      </c>
      <c r="D13" t="s">
        <v>66</v>
      </c>
      <c r="E13">
        <v>10457401928</v>
      </c>
      <c r="G13" s="80">
        <v>16</v>
      </c>
      <c r="H13" t="s">
        <v>69</v>
      </c>
      <c r="I13" s="596">
        <v>1.1299999999999999</v>
      </c>
      <c r="J13" s="596">
        <v>13.5</v>
      </c>
      <c r="K13" s="138">
        <f>+I13-(I13*(J13/100))</f>
        <v>0.97744999999999993</v>
      </c>
      <c r="L13" s="139">
        <v>0.14699999999999999</v>
      </c>
      <c r="M13" s="139">
        <v>0.13600000000000001</v>
      </c>
      <c r="N13" s="159">
        <v>0.13600000000000001</v>
      </c>
      <c r="O13" s="139">
        <f t="shared" si="9"/>
        <v>0.13600000000000001</v>
      </c>
      <c r="P13" s="948">
        <v>85</v>
      </c>
      <c r="Q13" s="760">
        <v>89.35</v>
      </c>
      <c r="R13" s="706">
        <v>2648.65</v>
      </c>
      <c r="S13" s="765">
        <f>IF((90+ROUNDDOWN(O13,1)*100)&lt;95,95,(90+ROUNDDOWN(O13,1)*100))</f>
        <v>100</v>
      </c>
      <c r="U13" s="947">
        <v>130</v>
      </c>
      <c r="V13" s="715">
        <v>1.1023000000000001</v>
      </c>
      <c r="Y13">
        <v>15</v>
      </c>
      <c r="Z13" s="143">
        <f>IF(IF(D13="UNTUCA",IF(+((W13-3)*1.5+(X13-3)*3.1)&gt;0,+((W13-3)*1.5+(X13-3)*3.1),0),IF(+((W13-3)*1.5+(X13-3)*3.1)&gt;0,+((W13-3)*1.5+(X13-3)*3.1),0))&lt;30,30,IF(D13="UNTUCA",IF(+((W13-3)*1.5+(X13-3)*3.1)&gt;0,+((W13-3)*1.5+(X13-3)*3.1),0),IF(+((W13-3)*1.5+(X13-3)*3.1)&gt;0,+((W13-3)*1.5+(X13-3)*3.1),0)))</f>
        <v>30</v>
      </c>
      <c r="AA13" s="144">
        <f t="shared" si="0"/>
        <v>45</v>
      </c>
      <c r="AB13" s="145">
        <f t="shared" si="8"/>
        <v>161.10769266200001</v>
      </c>
      <c r="AC13" s="145">
        <f>+(S13-T13)*V13-'data 1'!$F$4</f>
        <v>30.230000000000004</v>
      </c>
      <c r="AD13" s="145">
        <f t="shared" si="1"/>
        <v>17.753100834577477</v>
      </c>
      <c r="AE13" s="145">
        <f t="shared" si="2"/>
        <v>-20.396499999999996</v>
      </c>
      <c r="AF13" s="145">
        <f t="shared" si="3"/>
        <v>27.286942146007458</v>
      </c>
      <c r="AG13" s="772">
        <f>+IF(D13="RONALD WILLIAN GARIBAY ESCUDERO",AC13+AD13+AE13+AF13+70,AC13+AD13+AE13+AF13)+70-20</f>
        <v>104.87354298058494</v>
      </c>
      <c r="AH13" s="146">
        <f t="shared" si="4"/>
        <v>4.4016500549841897</v>
      </c>
      <c r="AI13" s="156">
        <f t="shared" si="5"/>
        <v>24.663450564322488</v>
      </c>
      <c r="AJ13" s="156">
        <f t="shared" si="6"/>
        <v>3.8740163947190212</v>
      </c>
      <c r="AK13" s="88"/>
      <c r="AL13" s="716">
        <f t="shared" si="7"/>
        <v>157.47471419247191</v>
      </c>
      <c r="AM13" s="596"/>
    </row>
    <row r="14" spans="1:40" ht="15.75" customHeight="1">
      <c r="A14" s="991" t="s">
        <v>1318</v>
      </c>
      <c r="B14" s="595">
        <v>45635</v>
      </c>
      <c r="C14" s="595">
        <v>45630</v>
      </c>
      <c r="D14" t="s">
        <v>66</v>
      </c>
      <c r="E14">
        <v>10457401928</v>
      </c>
      <c r="G14" s="80">
        <v>79</v>
      </c>
      <c r="H14" t="s">
        <v>69</v>
      </c>
      <c r="I14" s="596">
        <v>5.96</v>
      </c>
      <c r="J14" s="596">
        <v>11</v>
      </c>
      <c r="K14" s="138">
        <f>+I14-(I14*(J14/100))</f>
        <v>5.3044000000000002</v>
      </c>
      <c r="L14" s="139">
        <v>0.307</v>
      </c>
      <c r="M14" s="139">
        <v>0.29399999999999998</v>
      </c>
      <c r="N14" s="598">
        <v>0.30299999999999999</v>
      </c>
      <c r="O14" s="139">
        <f t="shared" si="9"/>
        <v>0.29899999999999999</v>
      </c>
      <c r="P14" s="629">
        <v>90</v>
      </c>
      <c r="Q14" s="760">
        <v>89.6</v>
      </c>
      <c r="R14" s="706">
        <v>2648.65</v>
      </c>
      <c r="S14" s="765">
        <f>IF((90+ROUNDDOWN(O14,1)*100)&lt;95,95,(90+ROUNDDOWN(O14,1)*100))</f>
        <v>110</v>
      </c>
      <c r="U14" s="947">
        <v>130</v>
      </c>
      <c r="V14" s="715">
        <v>1.1023000000000001</v>
      </c>
      <c r="Y14">
        <v>15</v>
      </c>
      <c r="Z14" s="143">
        <f>IF(IF(D14="UNTUCA",IF(+((W14-3)*1.5+(X14-3)*3.1)&gt;0,+((W14-3)*1.5+(X14-3)*3.1),0),IF(+((W14-3)*1.5+(X14-3)*3.1)&gt;0,+((W14-3)*1.5+(X14-3)*3.1),0))&lt;30,30,IF(D14="UNTUCA",IF(+((W14-3)*1.5+(X14-3)*3.1)&gt;0,+((W14-3)*1.5+(X14-3)*3.1),0),IF(+((W14-3)*1.5+(X14-3)*3.1)&gt;0,+((W14-3)*1.5+(X14-3)*3.1),0)))</f>
        <v>30</v>
      </c>
      <c r="AA14" s="144">
        <f t="shared" si="0"/>
        <v>45</v>
      </c>
      <c r="AB14" s="145">
        <f t="shared" si="8"/>
        <v>576.24795454450009</v>
      </c>
      <c r="AC14" s="145">
        <f>+(S14-T14)*V14-'data 1'!$F$4</f>
        <v>41.253</v>
      </c>
      <c r="AD14" s="145">
        <f t="shared" si="1"/>
        <v>-3.4093060950600487</v>
      </c>
      <c r="AE14" s="145">
        <f t="shared" si="2"/>
        <v>-20.396499999999996</v>
      </c>
      <c r="AF14" s="145">
        <f t="shared" si="3"/>
        <v>19.900574991360017</v>
      </c>
      <c r="AG14" s="772">
        <f>+IF(D14="RONALD WILLIAN GARIBAY ESCUDERO",AC14+AD14+AE14+AF14+70,AC14+AD14+AE14+AF14)</f>
        <v>37.347768896299975</v>
      </c>
      <c r="AH14" s="146">
        <f t="shared" si="4"/>
        <v>50.025532568106321</v>
      </c>
      <c r="AI14" s="156">
        <f t="shared" si="5"/>
        <v>51.652141304959969</v>
      </c>
      <c r="AJ14" s="156">
        <f t="shared" si="6"/>
        <v>48.939444269418225</v>
      </c>
      <c r="AK14" s="88"/>
      <c r="AL14" s="716">
        <f t="shared" si="7"/>
        <v>3056.6496500858466</v>
      </c>
      <c r="AM14" s="596"/>
    </row>
    <row r="15" spans="1:40" ht="15.75" customHeight="1">
      <c r="A15" s="991" t="s">
        <v>1319</v>
      </c>
      <c r="B15" s="595">
        <v>45635</v>
      </c>
      <c r="C15" s="595">
        <v>45630</v>
      </c>
      <c r="D15" t="s">
        <v>66</v>
      </c>
      <c r="E15">
        <v>10457401928</v>
      </c>
      <c r="G15" s="80">
        <v>62</v>
      </c>
      <c r="H15" s="704" t="s">
        <v>69</v>
      </c>
      <c r="I15" s="596">
        <v>4.92</v>
      </c>
      <c r="J15" s="596">
        <v>3.9</v>
      </c>
      <c r="K15" s="138">
        <f>+I15-(I15*(J15/100))</f>
        <v>4.7281199999999997</v>
      </c>
      <c r="L15" s="139">
        <v>0.81899999999999995</v>
      </c>
      <c r="M15" s="708">
        <v>0.78600000000000003</v>
      </c>
      <c r="N15" s="598">
        <v>0.88100000000000001</v>
      </c>
      <c r="O15" s="139">
        <f t="shared" si="9"/>
        <v>0.83399999999999996</v>
      </c>
      <c r="P15" s="629">
        <v>90</v>
      </c>
      <c r="Q15" s="760">
        <v>89.43</v>
      </c>
      <c r="R15" s="706">
        <v>2648.65</v>
      </c>
      <c r="S15" s="765">
        <f>IF((90+ROUNDDOWN(O15,1)*100)&lt;95,95,(90+ROUNDDOWN(O15,1)*100))</f>
        <v>170</v>
      </c>
      <c r="U15" s="947">
        <v>130</v>
      </c>
      <c r="V15" s="715">
        <v>1.1023000000000001</v>
      </c>
      <c r="Y15">
        <v>15</v>
      </c>
      <c r="Z15" s="143">
        <f>IF(IF(D15="UNTUCA",IF(+((W15-3)*1.5+(X15-3)*3.1)&gt;0,+((W15-3)*1.5+(X15-3)*3.1),0),IF(+((W15-3)*1.5+(X15-3)*3.1)&gt;0,+((W15-3)*1.5+(X15-3)*3.1),0))&lt;30,30,IF(D15="UNTUCA",IF(+((W15-3)*1.5+(X15-3)*3.1)&gt;0,+((W15-3)*1.5+(X15-3)*3.1),0),IF(+((W15-3)*1.5+(X15-3)*3.1)&gt;0,+((W15-3)*1.5+(X15-3)*3.1),0)))</f>
        <v>30</v>
      </c>
      <c r="AA15" s="144">
        <f t="shared" si="0"/>
        <v>45</v>
      </c>
      <c r="AB15" s="145">
        <f t="shared" si="8"/>
        <v>1846.9022059870003</v>
      </c>
      <c r="AC15" s="145">
        <f>+(S15-T15)*V15-'data 1'!$F$4</f>
        <v>107.39100000000002</v>
      </c>
      <c r="AD15" s="145">
        <f t="shared" si="1"/>
        <v>-12.960638146228346</v>
      </c>
      <c r="AE15" s="145">
        <f t="shared" si="2"/>
        <v>-20.396499999999996</v>
      </c>
      <c r="AF15" s="145">
        <f t="shared" si="3"/>
        <v>-37.242782257477543</v>
      </c>
      <c r="AG15" s="772">
        <f>+IF(D15="RONALD WILLIAN GARIBAY ESCUDERO",AC15+AD15+AE15+AF15+70,AC15+AD15+AE15+AF15)</f>
        <v>36.791079596294125</v>
      </c>
      <c r="AH15" s="146">
        <f t="shared" si="4"/>
        <v>118.73115490285551</v>
      </c>
      <c r="AI15" s="156">
        <f t="shared" si="5"/>
        <v>137.53368450671843</v>
      </c>
      <c r="AJ15" s="156">
        <f t="shared" si="6"/>
        <v>121.67633496759267</v>
      </c>
      <c r="AK15" s="88"/>
      <c r="AL15" s="716">
        <f t="shared" si="7"/>
        <v>8732.3752581712561</v>
      </c>
      <c r="AM15" s="596"/>
    </row>
    <row r="16" spans="1:40" ht="15.75" customHeight="1">
      <c r="A16" s="747" t="s">
        <v>1533</v>
      </c>
      <c r="B16" s="595"/>
      <c r="C16" s="595"/>
      <c r="E16" s="6"/>
      <c r="F16" s="869"/>
      <c r="G16" s="80"/>
      <c r="I16" s="596"/>
      <c r="J16" s="596"/>
      <c r="K16" s="596"/>
      <c r="L16" s="596"/>
      <c r="M16" s="596"/>
      <c r="N16" s="598"/>
      <c r="O16" s="139"/>
      <c r="P16" s="629"/>
      <c r="Q16" s="760"/>
      <c r="R16" s="706"/>
      <c r="S16" s="765"/>
      <c r="U16" s="947"/>
      <c r="V16" s="715"/>
      <c r="Z16" s="143"/>
      <c r="AA16" s="144"/>
      <c r="AB16" s="145"/>
      <c r="AC16" s="145"/>
      <c r="AD16" s="145"/>
      <c r="AE16" s="145"/>
      <c r="AF16" s="145"/>
      <c r="AG16" s="772"/>
      <c r="AH16" s="146"/>
      <c r="AI16" s="156"/>
      <c r="AJ16" s="156"/>
      <c r="AK16" s="88"/>
      <c r="AL16" s="716"/>
      <c r="AM16" s="596"/>
    </row>
    <row r="17" spans="1:39" ht="15.75" customHeight="1">
      <c r="A17" s="991" t="s">
        <v>1320</v>
      </c>
      <c r="B17" s="595">
        <v>45646</v>
      </c>
      <c r="C17" s="595">
        <v>45631</v>
      </c>
      <c r="D17" t="s">
        <v>66</v>
      </c>
      <c r="E17">
        <v>10457401928</v>
      </c>
      <c r="G17" s="80" t="s">
        <v>703</v>
      </c>
      <c r="H17" t="s">
        <v>69</v>
      </c>
      <c r="I17" s="596">
        <v>32.69</v>
      </c>
      <c r="J17" s="596">
        <v>4.4000000000000004</v>
      </c>
      <c r="K17" s="138">
        <f>+I17-(I17*(J17/100))</f>
        <v>31.251639999999998</v>
      </c>
      <c r="L17" s="139">
        <v>0.08</v>
      </c>
      <c r="M17" s="708">
        <v>7.3999999999999996E-2</v>
      </c>
      <c r="N17" s="598">
        <v>0.14399999999999999</v>
      </c>
      <c r="O17" s="139">
        <f>+ROUND((M17+N17)/2,3)</f>
        <v>0.109</v>
      </c>
      <c r="P17" s="629">
        <v>85</v>
      </c>
      <c r="Q17" s="760">
        <v>89.67</v>
      </c>
      <c r="R17" s="706">
        <v>2640.15</v>
      </c>
      <c r="S17" s="765">
        <v>105</v>
      </c>
      <c r="U17" s="947">
        <v>100</v>
      </c>
      <c r="V17" s="715">
        <v>1.1023000000000001</v>
      </c>
      <c r="Y17">
        <v>25</v>
      </c>
      <c r="Z17" s="143">
        <f>IF(IF(D17="UNTUCA",IF(+((W17-3)*1.5+(X17-3)*3.1)&gt;0,+((W17-3)*1.5+(X17-3)*3.1),0),IF(+((W17-3)*1.5+(X17-3)*3.1)&gt;0,+((W17-3)*1.5+(X17-3)*3.1),0))&lt;30,30,IF(D17="UNTUCA",IF(+((W17-3)*1.5+(X17-3)*3.1)&gt;0,+((W17-3)*1.5+(X17-3)*3.1),0),IF(+((W17-3)*1.5+(X17-3)*3.1)&gt;0,+((W17-3)*1.5+(X17-3)*3.1),0)))</f>
        <v>30</v>
      </c>
      <c r="AA17" s="144">
        <f>+Y17+Z17</f>
        <v>55</v>
      </c>
      <c r="AB17" s="145">
        <f>+((O17*P17*(R17-U17)/100)-S17-AA17+T17)*V17</f>
        <v>83.05268051425</v>
      </c>
      <c r="AC17" s="145">
        <f>+(S17-T17)*V17-'data 1'!$F$4</f>
        <v>35.741500000000002</v>
      </c>
      <c r="AD17" s="145">
        <f>+(Q17-P17)*(R17-U17)*L17*V17/100</f>
        <v>10.460827440920006</v>
      </c>
      <c r="AE17" s="145">
        <f>+(Y17*V17-70)+V17*(Z17-IF(D17="UNTUCA",IF(+((W17-3)*2.5+(X17-3)*3.1)&gt;0,+((W17-3)*1.5+(X17-3)*3.1),0),IF(+((W17-3)*1.5+(X17-3)*3.1)&gt;0,+((W17-3)*1.5+(X17-3)*3.1),0)))</f>
        <v>-9.3734999999999928</v>
      </c>
      <c r="AF17" s="145">
        <f>(L17-O17)*(R17-U17)*Q17*V17/100</f>
        <v>-72.812231001583498</v>
      </c>
      <c r="AG17" s="772">
        <f>+IF(D17="RONALD WILLIAN GARIBAY ESCUDERO",AC17+AD17+AE17+AF17+70,AC17+AD17+AE17+AF17)</f>
        <v>-35.983403560663483</v>
      </c>
      <c r="AH17" s="146">
        <f>31.1035*L17*Q17*1.1023*K17/100</f>
        <v>76.86330223550685</v>
      </c>
      <c r="AI17" s="156">
        <f>+((+$AI$2-R17+U17)*L17*Q17*V17)/100</f>
        <v>11.770253138279992</v>
      </c>
      <c r="AJ17" s="156">
        <f>31.1035*1.1023*K17*P17*O17/100</f>
        <v>99.272122116088269</v>
      </c>
      <c r="AK17" s="88"/>
      <c r="AL17" s="716">
        <f>+IF(AB17*K17&gt;0,AB17*K17,0)</f>
        <v>2595.5324724663556</v>
      </c>
      <c r="AM17" s="596"/>
    </row>
    <row r="18" spans="1:39" ht="15.75" customHeight="1">
      <c r="A18" s="747" t="s">
        <v>1534</v>
      </c>
      <c r="B18" s="595"/>
      <c r="C18" s="595"/>
      <c r="E18" s="640"/>
      <c r="G18" s="80"/>
      <c r="I18" s="596"/>
      <c r="J18" s="596"/>
      <c r="K18" s="138"/>
      <c r="L18" s="139"/>
      <c r="M18" s="139"/>
      <c r="N18" s="598"/>
      <c r="O18" s="139"/>
      <c r="P18" s="665"/>
      <c r="Q18" s="760"/>
      <c r="R18" s="706"/>
      <c r="S18" s="802"/>
      <c r="U18" s="947"/>
      <c r="V18" s="715"/>
      <c r="Z18" s="143"/>
      <c r="AA18" s="144"/>
      <c r="AB18" s="145"/>
      <c r="AC18" s="145"/>
      <c r="AD18" s="145"/>
      <c r="AE18" s="145"/>
      <c r="AF18" s="145"/>
      <c r="AG18" s="772"/>
      <c r="AH18" s="146"/>
      <c r="AI18" s="156"/>
      <c r="AJ18" s="156"/>
      <c r="AK18" s="88"/>
      <c r="AL18" s="716"/>
      <c r="AM18" s="596"/>
    </row>
    <row r="19" spans="1:39" ht="15.75" customHeight="1">
      <c r="A19" s="991" t="s">
        <v>1321</v>
      </c>
      <c r="B19" s="595">
        <v>45633</v>
      </c>
      <c r="C19" s="595">
        <v>45631</v>
      </c>
      <c r="D19" t="s">
        <v>154</v>
      </c>
      <c r="E19" s="640">
        <v>10416085884</v>
      </c>
      <c r="G19" s="80" t="s">
        <v>68</v>
      </c>
      <c r="H19" t="s">
        <v>69</v>
      </c>
      <c r="I19" s="596">
        <v>28.55</v>
      </c>
      <c r="J19" s="596">
        <v>6.75</v>
      </c>
      <c r="K19" s="138">
        <f>+I19-(I19*(J19/100))</f>
        <v>26.622875000000001</v>
      </c>
      <c r="L19" s="139">
        <v>0.126</v>
      </c>
      <c r="M19" s="139">
        <v>0.11600000000000001</v>
      </c>
      <c r="N19" s="598">
        <v>0.13700000000000001</v>
      </c>
      <c r="O19" s="139">
        <f>+ROUND((M19+N19)/2,3)</f>
        <v>0.127</v>
      </c>
      <c r="P19" s="665">
        <v>85</v>
      </c>
      <c r="Q19" s="760">
        <v>89.55</v>
      </c>
      <c r="R19" s="706">
        <v>2640.15</v>
      </c>
      <c r="S19" s="802">
        <v>110</v>
      </c>
      <c r="U19" s="947">
        <v>130</v>
      </c>
      <c r="V19" s="715">
        <v>1.1023000000000001</v>
      </c>
      <c r="Z19" s="143">
        <f>IF(IF(D19="UNTUCA",IF(+((W19-3)*1.5+(X19-3)*3.1)&gt;0,+((W19-3)*1.5+(X19-3)*3.1),0),IF(+((W19-3)*1.5+(X19-3)*3.1)&gt;0,+((W19-3)*1.5+(X19-3)*3.1),0))&lt;30,30,IF(D19="UNTUCA",IF(+((W19-3)*1.5+(X19-3)*3.1)&gt;0,+((W19-3)*1.5+(X19-3)*3.1),0),IF(+((W19-3)*1.5+(X19-3)*3.1)&gt;0,+((W19-3)*1.5+(X19-3)*3.1),0)))</f>
        <v>30</v>
      </c>
      <c r="AA19" s="144">
        <f>+Y19+Z19</f>
        <v>30</v>
      </c>
      <c r="AB19" s="145">
        <f>+((O19*P19*(R19-U19)/100)-S19-AA19+T19)*V19</f>
        <v>144.36899434275</v>
      </c>
      <c r="AC19" s="145">
        <f>+(S19-T19)*V19-'data 1'!$F$4</f>
        <v>41.253</v>
      </c>
      <c r="AD19" s="145">
        <f>+(Q19-P19)*(R19-U19)*L19*V19/100</f>
        <v>15.862857531884993</v>
      </c>
      <c r="AE19" s="145">
        <f>+(Y19*V19-70)+V19*(Z19-IF(D19="UNTUCA",IF(+((W19-3)*2.5+(X19-3)*3.1)&gt;0,+((W19-3)*1.5+(X19-3)*3.1),0),IF(+((W19-3)*1.5+(X19-3)*3.1)&gt;0,+((W19-3)*1.5+(X19-3)*3.1),0)))</f>
        <v>-36.930999999999997</v>
      </c>
      <c r="AF19" s="145">
        <f>(L19-O19)*(R19-U19)*Q19*V19/100</f>
        <v>-2.4777932879475024</v>
      </c>
      <c r="AG19" s="772">
        <f>+IF(D19="RONALD WILLIAN GARIBAY ESCUDERO",AC19+AD19+AE19+AF19+70,AC19+AD19+AE19+AF19)+70-53</f>
        <v>34.707064243937495</v>
      </c>
      <c r="AH19" s="146">
        <f>31.1035*L19*Q19*1.1023*K19/100</f>
        <v>102.99120931786203</v>
      </c>
      <c r="AI19" s="156">
        <f>+((+$AI$2-R19+U19)*L19*Q19*V19)/100</f>
        <v>22.244614673714992</v>
      </c>
      <c r="AJ19" s="156">
        <f>31.1035*1.1023*K19*P19*O19/100</f>
        <v>98.534126061198435</v>
      </c>
      <c r="AK19" s="88"/>
      <c r="AL19" s="716">
        <f>+IF(AB19*K19&gt;0,AB19*K19,0)</f>
        <v>3843.5176902627404</v>
      </c>
      <c r="AM19" s="596"/>
    </row>
    <row r="20" spans="1:39" ht="15.75" customHeight="1">
      <c r="A20" s="991" t="s">
        <v>1322</v>
      </c>
      <c r="B20" s="595">
        <v>45644</v>
      </c>
      <c r="C20" s="595">
        <v>45631</v>
      </c>
      <c r="D20" t="s">
        <v>145</v>
      </c>
      <c r="E20" s="6">
        <v>10437450094</v>
      </c>
      <c r="G20" s="80">
        <v>15</v>
      </c>
      <c r="H20" t="s">
        <v>69</v>
      </c>
      <c r="I20" s="596">
        <v>1.38</v>
      </c>
      <c r="J20" s="596">
        <v>1.4</v>
      </c>
      <c r="K20" s="138">
        <f>+I20-(I20*(J20/100))</f>
        <v>1.3606799999999999</v>
      </c>
      <c r="L20" s="139">
        <v>0.25800000000000001</v>
      </c>
      <c r="M20" s="736">
        <v>0.23200000000000001</v>
      </c>
      <c r="N20" s="736">
        <v>0.23200000000000001</v>
      </c>
      <c r="O20" s="139">
        <f>+ROUND((M20+N20)/2,3)</f>
        <v>0.23200000000000001</v>
      </c>
      <c r="P20" s="629">
        <v>90</v>
      </c>
      <c r="Q20" s="760">
        <v>89.38</v>
      </c>
      <c r="R20" s="706">
        <v>2640.15</v>
      </c>
      <c r="S20" s="765">
        <f>IF((90+ROUNDDOWN(O20,1)*100)&lt;95,95,(90+ROUNDDOWN(O20,1)*100))</f>
        <v>110</v>
      </c>
      <c r="U20" s="947">
        <v>120</v>
      </c>
      <c r="V20" s="715">
        <v>1.1023000000000001</v>
      </c>
      <c r="Y20">
        <v>10</v>
      </c>
      <c r="Z20" s="143">
        <f>IF(IF(D20="UNTUCA",IF(+((W20-3)*1.5+(X20-3)*3.1)&gt;0,+((W20-3)*1.5+(X20-3)*3.1),0),IF(+((W20-3)*1.5+(X20-3)*3.1)&gt;0,+((W20-3)*1.5+(X20-3)*3.1),0))&lt;30,30,IF(D20="UNTUCA",IF(+((W20-3)*1.5+(X20-3)*3.1)&gt;0,+((W20-3)*1.5+(X20-3)*3.1),0),IF(+((W20-3)*1.5+(X20-3)*3.1)&gt;0,+((W20-3)*1.5+(X20-3)*3.1),0)))</f>
        <v>30</v>
      </c>
      <c r="AA20" s="144">
        <f>+Y20+Z20</f>
        <v>40</v>
      </c>
      <c r="AB20" s="145">
        <f>+((O20*P20*(R20-U20)/100)-S20-AA20+T20)*V20</f>
        <v>414.69332883600015</v>
      </c>
      <c r="AC20" s="145">
        <f>+(S20-T20)*V20-'data 1'!$F$4</f>
        <v>41.253</v>
      </c>
      <c r="AD20" s="145">
        <f>+(Q20-P20)*(R20-U20)*L20*V20/100</f>
        <v>-4.4436269674620332</v>
      </c>
      <c r="AE20" s="145">
        <f>+(Y20*V20-70)+V20*(Z20-IF(D20="UNTUCA",IF(+((W20-3)*2.5+(X20-3)*3.1)&gt;0,+((W20-3)*1.5+(X20-3)*3.1),0),IF(+((W20-3)*1.5+(X20-3)*3.1)&gt;0,+((W20-3)*1.5+(X20-3)*3.1),0)))</f>
        <v>-25.908000000000001</v>
      </c>
      <c r="AF20" s="145">
        <f>(L20-O20)*(R20-U20)*Q20*V20/100</f>
        <v>64.556488104186002</v>
      </c>
      <c r="AG20" s="772">
        <f>+IF(D20="RONALD WILLIAN GARIBAY ESCUDERO",AC20+AD20+AE20+AF20+70,AC20+AD20+AE20+AF20)+70-53</f>
        <v>92.457861136723977</v>
      </c>
      <c r="AH20" s="146">
        <f>31.1035*L20*Q20*1.1023*K20/100</f>
        <v>10.75784114239487</v>
      </c>
      <c r="AI20" s="156">
        <f>+((+$AI$2-R20+U20)*L20*Q20*V20)/100</f>
        <v>42.920120112341976</v>
      </c>
      <c r="AJ20" s="156">
        <f>31.1035*1.1023*K20*P20*O20/100</f>
        <v>9.7408210503192922</v>
      </c>
      <c r="AK20" s="88"/>
      <c r="AL20" s="1019">
        <f>+IF(AB20*K20&gt;0,AB20*K20,0)</f>
        <v>564.2649186805686</v>
      </c>
      <c r="AM20" s="596"/>
    </row>
    <row r="21" spans="1:39" ht="15.75" customHeight="1">
      <c r="A21" s="991" t="s">
        <v>1323</v>
      </c>
      <c r="B21" s="595">
        <v>45639</v>
      </c>
      <c r="C21" s="595">
        <v>45631</v>
      </c>
      <c r="D21" t="s">
        <v>145</v>
      </c>
      <c r="E21" s="6">
        <v>10437450094</v>
      </c>
      <c r="G21" s="80">
        <v>23</v>
      </c>
      <c r="H21" t="s">
        <v>69</v>
      </c>
      <c r="I21" s="596">
        <v>2.19</v>
      </c>
      <c r="J21" s="596">
        <v>1.7</v>
      </c>
      <c r="K21" s="138">
        <f>+I21-(I21*(J21/100))</f>
        <v>2.1527699999999999</v>
      </c>
      <c r="L21" s="139">
        <v>0.121</v>
      </c>
      <c r="M21" s="708">
        <v>0.113</v>
      </c>
      <c r="N21" s="159">
        <v>0.17699999999999999</v>
      </c>
      <c r="O21" s="139">
        <f>+ROUND((M21+N21)/2,3)</f>
        <v>0.14499999999999999</v>
      </c>
      <c r="P21" s="629">
        <v>85</v>
      </c>
      <c r="Q21" s="760">
        <v>89.62</v>
      </c>
      <c r="R21" s="706">
        <v>2640.15</v>
      </c>
      <c r="S21" s="765">
        <f>IF((90+ROUNDDOWN(O21,1)*100)&lt;95,95,(90+ROUNDDOWN(O21,1)*100))</f>
        <v>100</v>
      </c>
      <c r="U21" s="947">
        <v>100</v>
      </c>
      <c r="V21" s="715">
        <v>1.1023000000000001</v>
      </c>
      <c r="Y21">
        <v>32</v>
      </c>
      <c r="Z21" s="143">
        <f>IF(IF(D21="UNTUCA",IF(+((W21-3)*1.5+(X21-3)*3.1)&gt;0,+((W21-3)*1.5+(X21-3)*3.1),0),IF(+((W21-3)*1.5+(X21-3)*3.1)&gt;0,+((W21-3)*1.5+(X21-3)*3.1),0))&lt;30,30,IF(D21="UNTUCA",IF(+((W21-3)*1.5+(X21-3)*3.1)&gt;0,+((W21-3)*1.5+(X21-3)*3.1),0),IF(+((W21-3)*1.5+(X21-3)*3.1)&gt;0,+((W21-3)*1.5+(X21-3)*3.1),0)))</f>
        <v>30</v>
      </c>
      <c r="AA21" s="144">
        <f>+Y21+Z21</f>
        <v>62</v>
      </c>
      <c r="AB21" s="145">
        <f>+((O21*P21*(R21-U21)/100)-S21-AA21+T21)*V21</f>
        <v>166.52830527125002</v>
      </c>
      <c r="AC21" s="145">
        <f>+(S21-T21)*V21-'data 1'!$F$4</f>
        <v>30.230000000000004</v>
      </c>
      <c r="AD21" s="145">
        <f>+(Q21-P21)*(R21-U21)*L21*V21/100</f>
        <v>15.652601060019014</v>
      </c>
      <c r="AE21" s="145">
        <f>+(Y21*V21-70)+V21*(Z21-IF(D21="UNTUCA",IF(+((W21-3)*2.5+(X21-3)*3.1)&gt;0,+((W21-3)*1.5+(X21-3)*3.1),0),IF(+((W21-3)*1.5+(X21-3)*3.1)&gt;0,+((W21-3)*1.5+(X21-3)*3.1),0)))</f>
        <v>-1.6573999999999955</v>
      </c>
      <c r="AF21" s="145">
        <f>(L21-O21)*(R21-U21)*Q21*V21/100</f>
        <v>-60.224797982135989</v>
      </c>
      <c r="AG21" s="772">
        <f>+IF(D21="RONALD WILLIAN GARIBAY ESCUDERO",AC21+AD21+AE21+AF21+70,AC21+AD21+AE21+AF21)+70-53</f>
        <v>1.0004030778830355</v>
      </c>
      <c r="AH21" s="146">
        <f>31.1035*L21*Q21*1.1023*K21/100</f>
        <v>8.0038144477362589</v>
      </c>
      <c r="AI21" s="156">
        <f>+((+$AI$2-R21+U21)*L21*Q21*V21)/100</f>
        <v>17.79258119167099</v>
      </c>
      <c r="AJ21" s="156">
        <f>31.1035*1.1023*K21*P21*O21/100</f>
        <v>9.0969043830931131</v>
      </c>
      <c r="AK21" s="88"/>
      <c r="AL21" s="1019">
        <f>+IF(AB21*K21&gt;0,AB21*K21,0)</f>
        <v>358.49713973878886</v>
      </c>
      <c r="AM21" s="596"/>
    </row>
    <row r="22" spans="1:39" ht="15.75" customHeight="1">
      <c r="A22" s="747" t="s">
        <v>1570</v>
      </c>
      <c r="B22" s="595"/>
      <c r="C22" s="595"/>
      <c r="E22" s="6"/>
      <c r="G22" s="80"/>
      <c r="I22" s="596"/>
      <c r="J22" s="596"/>
      <c r="K22" s="138"/>
      <c r="L22" s="139"/>
      <c r="M22" s="139"/>
      <c r="N22" s="159"/>
      <c r="O22" s="139"/>
      <c r="P22" s="629"/>
      <c r="Q22" s="760"/>
      <c r="R22" s="706"/>
      <c r="S22" s="706"/>
      <c r="U22" s="947"/>
      <c r="V22" s="715"/>
      <c r="Z22" s="143"/>
      <c r="AA22" s="144"/>
      <c r="AB22" s="145"/>
      <c r="AC22" s="145"/>
      <c r="AD22" s="145"/>
      <c r="AE22" s="145"/>
      <c r="AF22" s="145"/>
      <c r="AG22" s="772"/>
      <c r="AH22" s="146"/>
      <c r="AI22" s="156"/>
      <c r="AJ22" s="156"/>
      <c r="AK22" s="88"/>
      <c r="AL22" s="716"/>
      <c r="AM22" s="596"/>
    </row>
    <row r="23" spans="1:39" ht="15.75" customHeight="1">
      <c r="A23" s="991" t="s">
        <v>1325</v>
      </c>
      <c r="B23" s="595">
        <v>45650</v>
      </c>
      <c r="C23" s="595">
        <v>45633</v>
      </c>
      <c r="D23" t="s">
        <v>119</v>
      </c>
      <c r="E23">
        <v>10082235774</v>
      </c>
      <c r="G23" s="80">
        <v>48</v>
      </c>
      <c r="H23" t="s">
        <v>69</v>
      </c>
      <c r="I23" s="596">
        <v>4.5199999999999996</v>
      </c>
      <c r="J23" s="596">
        <v>1.85</v>
      </c>
      <c r="K23" s="138">
        <f t="shared" ref="K23:K31" si="10">+I23-(I23*(J23/100))</f>
        <v>4.4363799999999998</v>
      </c>
      <c r="L23" s="139">
        <v>0.32700000000000001</v>
      </c>
      <c r="M23" s="139">
        <v>0.32200000000000001</v>
      </c>
      <c r="N23" s="598">
        <v>0.34799999999999998</v>
      </c>
      <c r="O23" s="139">
        <f t="shared" ref="O23:O31" si="11">+ROUND((M23+N23)/2,3)</f>
        <v>0.33500000000000002</v>
      </c>
      <c r="P23" s="629">
        <v>90</v>
      </c>
      <c r="Q23" s="760">
        <v>89.75</v>
      </c>
      <c r="R23" s="706">
        <v>2637.3</v>
      </c>
      <c r="S23" s="802">
        <v>110</v>
      </c>
      <c r="U23" s="949">
        <v>80</v>
      </c>
      <c r="V23" s="715">
        <v>1.1023000000000001</v>
      </c>
      <c r="Z23" s="160">
        <v>10</v>
      </c>
      <c r="AA23" s="144">
        <f t="shared" ref="AA23:AA31" si="12">+Y23+Z23</f>
        <v>10</v>
      </c>
      <c r="AB23" s="145">
        <f t="shared" ref="AB23:AB31" si="13">+((O23*P23*(R23-U23)/100)-S23-AA23+T23)*V23</f>
        <v>717.62590468500025</v>
      </c>
      <c r="AC23" s="145">
        <f>+(S23-T23)*V23-'data 1'!$F$4</f>
        <v>41.253</v>
      </c>
      <c r="AD23" s="145">
        <f t="shared" ref="AD23:AD31" si="14">+(Q23-P23)*(R23-U23)*L23*V23/100</f>
        <v>-2.3044603883250003</v>
      </c>
      <c r="AE23" s="145">
        <f t="shared" ref="AE23:AE31" si="15">+(Y23*V23-70)+V23*(Z23-IF(D23="UNTUCA",IF(+((W23-3)*2.5+(X23-3)*3.1)&gt;0,+((W23-3)*1.5+(X23-3)*3.1),0),IF(+((W23-3)*1.5+(X23-3)*3.1)&gt;0,+((W23-3)*1.5+(X23-3)*3.1),0)))</f>
        <v>-58.977000000000004</v>
      </c>
      <c r="AF23" s="145">
        <f t="shared" ref="AF23:AF31" si="16">(L23-O23)*(R23-U23)*Q23*V23/100</f>
        <v>-20.239786652200021</v>
      </c>
      <c r="AG23" s="772">
        <f t="shared" ref="AG23:AG30" si="17">+IF(D23="RONALD WILLIAN GARIBAY ESCUDERO",AC23+AD23+AE23+AF23+70,AC23+AD23+AE23+AF23)+70</f>
        <v>29.731752959474974</v>
      </c>
      <c r="AH23" s="146">
        <f t="shared" ref="AH23:AH31" si="18">31.1035*L23*Q23*1.1023*K23/100</f>
        <v>44.63957158456337</v>
      </c>
      <c r="AI23" s="156">
        <f t="shared" ref="AI23:AI31" si="19">+((+$AI$2-R23+U23)*L23*Q23*V23)/100</f>
        <v>42.605708559074948</v>
      </c>
      <c r="AJ23" s="156">
        <f t="shared" ref="AJ23:AJ31" si="20">31.1035*1.1023*K23*P23*O23/100</f>
        <v>45.859057465933596</v>
      </c>
      <c r="AK23" s="88"/>
      <c r="AL23" s="716">
        <f t="shared" ref="AL23:AL31" si="21">+IF(AB23*K23&gt;0,AB23*K23,0)</f>
        <v>3183.6612110264414</v>
      </c>
      <c r="AM23" s="596"/>
    </row>
    <row r="24" spans="1:39" ht="15.75" customHeight="1">
      <c r="A24" s="991" t="s">
        <v>1326</v>
      </c>
      <c r="B24" s="595">
        <v>45650</v>
      </c>
      <c r="C24" s="595">
        <v>45633</v>
      </c>
      <c r="D24" t="s">
        <v>119</v>
      </c>
      <c r="E24">
        <v>10082235774</v>
      </c>
      <c r="G24" s="80">
        <v>43</v>
      </c>
      <c r="H24" t="s">
        <v>69</v>
      </c>
      <c r="I24" s="596">
        <v>3.76</v>
      </c>
      <c r="J24" s="596">
        <v>1.75</v>
      </c>
      <c r="K24" s="138">
        <f t="shared" si="10"/>
        <v>3.6941999999999999</v>
      </c>
      <c r="L24" s="139">
        <v>0.97399999999999998</v>
      </c>
      <c r="M24" s="139">
        <v>0.95899999999999996</v>
      </c>
      <c r="N24" s="598">
        <v>1.0149999999999999</v>
      </c>
      <c r="O24" s="139">
        <f t="shared" si="11"/>
        <v>0.98699999999999999</v>
      </c>
      <c r="P24" s="629">
        <v>90</v>
      </c>
      <c r="Q24" s="760">
        <v>89.46</v>
      </c>
      <c r="R24" s="706">
        <v>2637.3</v>
      </c>
      <c r="S24" s="802">
        <v>150</v>
      </c>
      <c r="U24" s="949">
        <v>80</v>
      </c>
      <c r="V24" s="715">
        <v>1.1023000000000001</v>
      </c>
      <c r="Z24" s="160">
        <v>10</v>
      </c>
      <c r="AA24" s="144">
        <f t="shared" si="12"/>
        <v>10</v>
      </c>
      <c r="AB24" s="145">
        <f t="shared" si="13"/>
        <v>2327.6713430570003</v>
      </c>
      <c r="AC24" s="145">
        <f>+(S24-T24)*V24-'data 1'!$F$4</f>
        <v>85.344999999999999</v>
      </c>
      <c r="AD24" s="145">
        <f t="shared" si="14"/>
        <v>-14.826348450684174</v>
      </c>
      <c r="AE24" s="145">
        <f t="shared" si="15"/>
        <v>-58.977000000000004</v>
      </c>
      <c r="AF24" s="145">
        <f t="shared" si="16"/>
        <v>-32.783380335342031</v>
      </c>
      <c r="AG24" s="772">
        <f t="shared" si="17"/>
        <v>48.758271213973785</v>
      </c>
      <c r="AH24" s="146">
        <f t="shared" si="18"/>
        <v>110.36143121559788</v>
      </c>
      <c r="AI24" s="156">
        <f t="shared" si="19"/>
        <v>126.49502146856385</v>
      </c>
      <c r="AJ24" s="156">
        <f t="shared" si="20"/>
        <v>112.50948463862757</v>
      </c>
      <c r="AK24" s="88"/>
      <c r="AL24" s="716">
        <f t="shared" si="21"/>
        <v>8598.8834755211701</v>
      </c>
      <c r="AM24" s="596"/>
    </row>
    <row r="25" spans="1:39" ht="15.75" customHeight="1">
      <c r="A25" s="991" t="s">
        <v>1327</v>
      </c>
      <c r="B25" s="595">
        <v>45650</v>
      </c>
      <c r="C25" s="595">
        <v>45633</v>
      </c>
      <c r="D25" t="s">
        <v>119</v>
      </c>
      <c r="E25">
        <v>10082235774</v>
      </c>
      <c r="G25" s="80">
        <v>49</v>
      </c>
      <c r="H25" t="s">
        <v>69</v>
      </c>
      <c r="I25" s="596">
        <v>4.5199999999999996</v>
      </c>
      <c r="J25" s="596">
        <v>1.95</v>
      </c>
      <c r="K25" s="138">
        <f t="shared" si="10"/>
        <v>4.4318599999999995</v>
      </c>
      <c r="L25" s="139">
        <v>0.49399999999999999</v>
      </c>
      <c r="M25" s="139">
        <v>0.48599999999999999</v>
      </c>
      <c r="N25" s="598">
        <v>0.66900000000000004</v>
      </c>
      <c r="O25" s="139">
        <f t="shared" si="11"/>
        <v>0.57799999999999996</v>
      </c>
      <c r="P25" s="629">
        <v>90</v>
      </c>
      <c r="Q25" s="760">
        <v>89.62</v>
      </c>
      <c r="R25" s="706">
        <v>2637.3</v>
      </c>
      <c r="S25" s="842">
        <v>120</v>
      </c>
      <c r="U25" s="949">
        <v>80</v>
      </c>
      <c r="V25" s="715">
        <v>1.1023000000000001</v>
      </c>
      <c r="Z25" s="160">
        <v>10</v>
      </c>
      <c r="AA25" s="144">
        <f t="shared" si="12"/>
        <v>10</v>
      </c>
      <c r="AB25" s="145">
        <f t="shared" si="13"/>
        <v>1323.0989131580004</v>
      </c>
      <c r="AC25" s="145">
        <f>+(S25-T25)*V25-'data 1'!$F$4</f>
        <v>52.27600000000001</v>
      </c>
      <c r="AD25" s="145">
        <f t="shared" si="14"/>
        <v>-5.2916612121879369</v>
      </c>
      <c r="AE25" s="145">
        <f t="shared" si="15"/>
        <v>-58.977000000000004</v>
      </c>
      <c r="AF25" s="145">
        <f t="shared" si="16"/>
        <v>-212.20993468063193</v>
      </c>
      <c r="AG25" s="772">
        <f t="shared" si="17"/>
        <v>-154.20259589281986</v>
      </c>
      <c r="AH25" s="146">
        <f t="shared" si="18"/>
        <v>67.270861671634293</v>
      </c>
      <c r="AI25" s="156">
        <f t="shared" si="19"/>
        <v>64.271357199347918</v>
      </c>
      <c r="AJ25" s="156">
        <f t="shared" si="20"/>
        <v>79.043370347278611</v>
      </c>
      <c r="AK25" s="88"/>
      <c r="AL25" s="716">
        <f t="shared" si="21"/>
        <v>5863.7891492684148</v>
      </c>
      <c r="AM25" s="596"/>
    </row>
    <row r="26" spans="1:39" ht="15.75" customHeight="1">
      <c r="A26" s="991" t="s">
        <v>1328</v>
      </c>
      <c r="B26" s="595">
        <v>45650</v>
      </c>
      <c r="C26" s="595">
        <v>45633</v>
      </c>
      <c r="D26" t="s">
        <v>119</v>
      </c>
      <c r="E26">
        <v>10082235774</v>
      </c>
      <c r="G26" s="80">
        <v>47</v>
      </c>
      <c r="H26" t="s">
        <v>69</v>
      </c>
      <c r="I26" s="596">
        <v>4.3499999999999996</v>
      </c>
      <c r="J26" s="596">
        <v>1.7</v>
      </c>
      <c r="K26" s="138">
        <f t="shared" si="10"/>
        <v>4.2760499999999997</v>
      </c>
      <c r="L26" s="139">
        <v>0.45200000000000001</v>
      </c>
      <c r="M26" s="139">
        <v>0.44500000000000001</v>
      </c>
      <c r="N26" s="598">
        <v>0.49</v>
      </c>
      <c r="O26" s="139">
        <f t="shared" si="11"/>
        <v>0.46800000000000003</v>
      </c>
      <c r="P26" s="629">
        <v>90</v>
      </c>
      <c r="Q26" s="760">
        <v>89.32</v>
      </c>
      <c r="R26" s="706">
        <v>2637.3</v>
      </c>
      <c r="S26" s="802">
        <v>115</v>
      </c>
      <c r="U26" s="949">
        <v>80</v>
      </c>
      <c r="V26" s="715">
        <v>1.1023000000000001</v>
      </c>
      <c r="Z26" s="160">
        <v>10</v>
      </c>
      <c r="AA26" s="144">
        <f t="shared" si="12"/>
        <v>10</v>
      </c>
      <c r="AB26" s="145">
        <f t="shared" si="13"/>
        <v>1049.5381459480002</v>
      </c>
      <c r="AC26" s="145">
        <f>+(S26-T26)*V26-'data 1'!$F$4</f>
        <v>46.764500000000012</v>
      </c>
      <c r="AD26" s="145">
        <f t="shared" si="14"/>
        <v>-8.6642072777440884</v>
      </c>
      <c r="AE26" s="145">
        <f t="shared" si="15"/>
        <v>-58.977000000000004</v>
      </c>
      <c r="AF26" s="145">
        <f t="shared" si="16"/>
        <v>-40.28563217324804</v>
      </c>
      <c r="AG26" s="772">
        <f t="shared" si="17"/>
        <v>8.8376605490078788</v>
      </c>
      <c r="AH26" s="146">
        <f t="shared" si="18"/>
        <v>59.188726151980717</v>
      </c>
      <c r="AI26" s="156">
        <f t="shared" si="19"/>
        <v>58.610136331823924</v>
      </c>
      <c r="AJ26" s="156">
        <f t="shared" si="20"/>
        <v>61.750461340190498</v>
      </c>
      <c r="AK26" s="88"/>
      <c r="AL26" s="716">
        <f t="shared" si="21"/>
        <v>4487.8775889809458</v>
      </c>
      <c r="AM26" s="596"/>
    </row>
    <row r="27" spans="1:39" ht="15.75" customHeight="1">
      <c r="A27" s="991" t="s">
        <v>1329</v>
      </c>
      <c r="B27" s="595">
        <v>45650</v>
      </c>
      <c r="C27" s="595">
        <v>45633</v>
      </c>
      <c r="D27" t="s">
        <v>119</v>
      </c>
      <c r="E27">
        <v>10082235774</v>
      </c>
      <c r="G27" s="80">
        <v>50</v>
      </c>
      <c r="H27" t="s">
        <v>69</v>
      </c>
      <c r="I27" s="596">
        <v>4.55</v>
      </c>
      <c r="J27" s="596">
        <v>1.75</v>
      </c>
      <c r="K27" s="138">
        <f t="shared" si="10"/>
        <v>4.4703749999999998</v>
      </c>
      <c r="L27" s="139">
        <v>0.498</v>
      </c>
      <c r="M27" s="139">
        <v>0.49</v>
      </c>
      <c r="N27" s="598">
        <v>0.52800000000000002</v>
      </c>
      <c r="O27" s="139">
        <f t="shared" si="11"/>
        <v>0.50900000000000001</v>
      </c>
      <c r="P27" s="629">
        <v>90</v>
      </c>
      <c r="Q27" s="760">
        <v>89.41</v>
      </c>
      <c r="R27" s="706">
        <v>2637.3</v>
      </c>
      <c r="S27" s="842">
        <v>120</v>
      </c>
      <c r="U27" s="949">
        <v>80</v>
      </c>
      <c r="V27" s="715">
        <v>1.1023000000000001</v>
      </c>
      <c r="Z27" s="160">
        <v>10</v>
      </c>
      <c r="AA27" s="144">
        <f t="shared" si="12"/>
        <v>10</v>
      </c>
      <c r="AB27" s="145">
        <f t="shared" si="13"/>
        <v>1148.0444909990001</v>
      </c>
      <c r="AC27" s="145">
        <f>+(S27-T27)*V27-'data 1'!$F$4</f>
        <v>52.27600000000001</v>
      </c>
      <c r="AD27" s="145">
        <f t="shared" si="14"/>
        <v>-8.2825266213780484</v>
      </c>
      <c r="AE27" s="145">
        <f t="shared" si="15"/>
        <v>-58.977000000000004</v>
      </c>
      <c r="AF27" s="145">
        <f t="shared" si="16"/>
        <v>-27.724279345829029</v>
      </c>
      <c r="AG27" s="772">
        <f t="shared" si="17"/>
        <v>27.292194032792935</v>
      </c>
      <c r="AH27" s="146">
        <f t="shared" si="18"/>
        <v>68.244626717980267</v>
      </c>
      <c r="AI27" s="156">
        <f t="shared" si="19"/>
        <v>64.639951217837904</v>
      </c>
      <c r="AJ27" s="156">
        <f t="shared" si="20"/>
        <v>70.212318908800995</v>
      </c>
      <c r="AK27" s="88"/>
      <c r="AL27" s="716">
        <f t="shared" si="21"/>
        <v>5132.189391449655</v>
      </c>
      <c r="AM27" s="596"/>
    </row>
    <row r="28" spans="1:39" ht="15.75" customHeight="1">
      <c r="A28" s="991" t="s">
        <v>1330</v>
      </c>
      <c r="B28" s="595">
        <v>45650</v>
      </c>
      <c r="C28" s="595">
        <v>45633</v>
      </c>
      <c r="D28" t="s">
        <v>119</v>
      </c>
      <c r="E28">
        <v>10082235774</v>
      </c>
      <c r="G28" s="80">
        <v>51</v>
      </c>
      <c r="H28" t="s">
        <v>69</v>
      </c>
      <c r="I28" s="596">
        <v>4.3499999999999996</v>
      </c>
      <c r="J28" s="596">
        <v>1.7</v>
      </c>
      <c r="K28" s="138">
        <f t="shared" si="10"/>
        <v>4.2760499999999997</v>
      </c>
      <c r="L28" s="139">
        <v>0.44400000000000001</v>
      </c>
      <c r="M28" s="139">
        <v>0.437</v>
      </c>
      <c r="N28" s="159">
        <v>0.437</v>
      </c>
      <c r="O28" s="139">
        <f t="shared" si="11"/>
        <v>0.437</v>
      </c>
      <c r="P28" s="629">
        <v>90</v>
      </c>
      <c r="Q28" s="760">
        <v>89.29</v>
      </c>
      <c r="R28" s="706">
        <v>2637.3</v>
      </c>
      <c r="S28" s="802">
        <v>115</v>
      </c>
      <c r="U28" s="949">
        <v>80</v>
      </c>
      <c r="V28" s="715">
        <v>1.1023000000000001</v>
      </c>
      <c r="Z28" s="160">
        <v>10</v>
      </c>
      <c r="AA28" s="144">
        <f t="shared" si="12"/>
        <v>10</v>
      </c>
      <c r="AB28" s="145">
        <f t="shared" si="13"/>
        <v>970.890507007</v>
      </c>
      <c r="AC28" s="145">
        <f>+(S28-T28)*V28-'data 1'!$F$4</f>
        <v>46.764500000000012</v>
      </c>
      <c r="AD28" s="145">
        <f t="shared" si="14"/>
        <v>-8.8863375267959217</v>
      </c>
      <c r="AE28" s="145">
        <f t="shared" si="15"/>
        <v>-58.977000000000004</v>
      </c>
      <c r="AF28" s="145">
        <f t="shared" si="16"/>
        <v>17.61904436103702</v>
      </c>
      <c r="AG28" s="772">
        <f t="shared" si="17"/>
        <v>66.520206834241108</v>
      </c>
      <c r="AH28" s="146">
        <f t="shared" si="18"/>
        <v>58.121610154822676</v>
      </c>
      <c r="AI28" s="156">
        <f t="shared" si="19"/>
        <v>57.553451754515919</v>
      </c>
      <c r="AJ28" s="156">
        <f t="shared" si="20"/>
        <v>57.660153003553944</v>
      </c>
      <c r="AK28" s="88"/>
      <c r="AL28" s="716">
        <f t="shared" si="21"/>
        <v>4151.5763524872818</v>
      </c>
      <c r="AM28" s="596"/>
    </row>
    <row r="29" spans="1:39" ht="15.75" customHeight="1">
      <c r="A29" s="991" t="s">
        <v>1331</v>
      </c>
      <c r="B29" s="595">
        <v>45650</v>
      </c>
      <c r="C29" s="595">
        <v>45633</v>
      </c>
      <c r="D29" s="891" t="s">
        <v>119</v>
      </c>
      <c r="E29">
        <v>10082235774</v>
      </c>
      <c r="G29" s="80">
        <v>53</v>
      </c>
      <c r="H29" t="s">
        <v>69</v>
      </c>
      <c r="I29" s="596">
        <v>4.47</v>
      </c>
      <c r="J29" s="596">
        <v>1.95</v>
      </c>
      <c r="K29" s="138">
        <f t="shared" si="10"/>
        <v>4.382835</v>
      </c>
      <c r="L29" s="139">
        <v>0.53700000000000003</v>
      </c>
      <c r="M29" s="139">
        <v>0.52800000000000002</v>
      </c>
      <c r="N29" s="159">
        <v>0.52800000000000002</v>
      </c>
      <c r="O29" s="139">
        <f t="shared" si="11"/>
        <v>0.52800000000000002</v>
      </c>
      <c r="P29" s="629">
        <v>90</v>
      </c>
      <c r="Q29" s="760">
        <v>89.84</v>
      </c>
      <c r="R29" s="706">
        <v>2637.3</v>
      </c>
      <c r="S29" s="802">
        <v>120</v>
      </c>
      <c r="U29" s="949">
        <v>80</v>
      </c>
      <c r="V29" s="715">
        <v>1.1023000000000001</v>
      </c>
      <c r="Z29" s="160">
        <v>10</v>
      </c>
      <c r="AA29" s="144">
        <f t="shared" si="12"/>
        <v>10</v>
      </c>
      <c r="AB29" s="145">
        <f t="shared" si="13"/>
        <v>1196.2478826080003</v>
      </c>
      <c r="AC29" s="145">
        <f>+(S29-T29)*V29-'data 1'!$F$4</f>
        <v>52.27600000000001</v>
      </c>
      <c r="AD29" s="145">
        <f t="shared" si="14"/>
        <v>-2.4220090099679488</v>
      </c>
      <c r="AE29" s="145">
        <f t="shared" si="15"/>
        <v>-58.977000000000004</v>
      </c>
      <c r="AF29" s="145">
        <f t="shared" si="16"/>
        <v>22.792593169224027</v>
      </c>
      <c r="AG29" s="772">
        <f t="shared" si="17"/>
        <v>83.66958415925609</v>
      </c>
      <c r="AH29" s="146">
        <f t="shared" si="18"/>
        <v>72.495027571048709</v>
      </c>
      <c r="AI29" s="156">
        <f t="shared" si="19"/>
        <v>70.037334838727915</v>
      </c>
      <c r="AJ29" s="156">
        <f t="shared" si="20"/>
        <v>71.406972838454664</v>
      </c>
      <c r="AK29" s="88"/>
      <c r="AL29" s="716">
        <f t="shared" si="21"/>
        <v>5242.9570885702351</v>
      </c>
      <c r="AM29" s="596"/>
    </row>
    <row r="30" spans="1:39" ht="15.75" customHeight="1">
      <c r="A30" s="991" t="s">
        <v>1332</v>
      </c>
      <c r="B30" s="595">
        <v>45650</v>
      </c>
      <c r="C30" s="595">
        <v>45633</v>
      </c>
      <c r="D30" t="s">
        <v>119</v>
      </c>
      <c r="E30">
        <v>10082235774</v>
      </c>
      <c r="G30" s="80">
        <v>57</v>
      </c>
      <c r="H30" t="s">
        <v>69</v>
      </c>
      <c r="I30" s="596">
        <v>5.0599999999999996</v>
      </c>
      <c r="J30" s="596">
        <v>1.75</v>
      </c>
      <c r="K30" s="138">
        <f t="shared" si="10"/>
        <v>4.9714499999999999</v>
      </c>
      <c r="L30" s="139">
        <v>0.25</v>
      </c>
      <c r="M30" s="139">
        <v>0.246</v>
      </c>
      <c r="N30" s="598">
        <v>0.26900000000000002</v>
      </c>
      <c r="O30" s="139">
        <f t="shared" si="11"/>
        <v>0.25800000000000001</v>
      </c>
      <c r="P30" s="629">
        <v>85</v>
      </c>
      <c r="Q30" s="760">
        <v>89.38</v>
      </c>
      <c r="R30" s="706">
        <v>2637.3</v>
      </c>
      <c r="S30" s="802">
        <v>105</v>
      </c>
      <c r="U30" s="949">
        <v>80</v>
      </c>
      <c r="V30" s="715">
        <v>1.1023000000000001</v>
      </c>
      <c r="Z30" s="160">
        <v>10</v>
      </c>
      <c r="AA30" s="144">
        <f t="shared" si="12"/>
        <v>10</v>
      </c>
      <c r="AB30" s="145">
        <f t="shared" si="13"/>
        <v>491.42285554699998</v>
      </c>
      <c r="AC30" s="145">
        <f>+(S30-T30)*V30-'data 1'!$F$4</f>
        <v>35.741500000000002</v>
      </c>
      <c r="AD30" s="145">
        <f t="shared" si="14"/>
        <v>30.867084100499973</v>
      </c>
      <c r="AE30" s="145">
        <f t="shared" si="15"/>
        <v>-58.977000000000004</v>
      </c>
      <c r="AF30" s="145">
        <f t="shared" si="16"/>
        <v>-20.156346863216019</v>
      </c>
      <c r="AG30" s="772">
        <f t="shared" si="17"/>
        <v>57.475237237283949</v>
      </c>
      <c r="AH30" s="146">
        <f t="shared" si="18"/>
        <v>38.086626251510992</v>
      </c>
      <c r="AI30" s="156">
        <f t="shared" si="19"/>
        <v>32.438886739499956</v>
      </c>
      <c r="AJ30" s="156">
        <f t="shared" si="20"/>
        <v>37.37926666796313</v>
      </c>
      <c r="AK30" s="88"/>
      <c r="AL30" s="716">
        <f t="shared" si="21"/>
        <v>2443.0841552091329</v>
      </c>
      <c r="AM30" s="596"/>
    </row>
    <row r="31" spans="1:39" ht="15.75" customHeight="1">
      <c r="A31" s="991" t="s">
        <v>1333</v>
      </c>
      <c r="B31" s="595">
        <v>45642</v>
      </c>
      <c r="C31" s="595">
        <v>45633</v>
      </c>
      <c r="D31" t="s">
        <v>66</v>
      </c>
      <c r="E31">
        <v>10457401928</v>
      </c>
      <c r="G31" s="80">
        <v>47</v>
      </c>
      <c r="H31" t="s">
        <v>116</v>
      </c>
      <c r="I31" s="596">
        <v>3.61</v>
      </c>
      <c r="J31" s="596">
        <v>22.55</v>
      </c>
      <c r="K31" s="138">
        <f t="shared" si="10"/>
        <v>2.7959449999999997</v>
      </c>
      <c r="L31" s="139">
        <v>0.309</v>
      </c>
      <c r="M31" s="139">
        <v>0.29699999999999999</v>
      </c>
      <c r="N31" s="159">
        <v>0.29699999999999999</v>
      </c>
      <c r="O31" s="139">
        <f t="shared" si="11"/>
        <v>0.29699999999999999</v>
      </c>
      <c r="P31" s="629">
        <v>90</v>
      </c>
      <c r="Q31" s="760">
        <v>89.82</v>
      </c>
      <c r="R31" s="706">
        <v>2637.3</v>
      </c>
      <c r="S31" s="765">
        <f>IF((90+ROUNDDOWN(O31,1)*100)&lt;95,95,(90+ROUNDDOWN(O31,1)*100))</f>
        <v>110</v>
      </c>
      <c r="U31" s="947">
        <v>100</v>
      </c>
      <c r="V31" s="715">
        <v>1.1023000000000001</v>
      </c>
      <c r="Y31">
        <v>10</v>
      </c>
      <c r="Z31" s="143">
        <f>IF(IF(D31="UNTUCA",IF(+((W31-3)*1.5+(X31-3)*3.1)&gt;0,+((W31-3)*1.5+(X31-3)*3.1),0),IF(+((W31-3)*1.5+(X31-3)*3.1)&gt;0,+((W31-3)*1.5+(X31-3)*3.1),0))&lt;30,30,IF(D31="UNTUCA",IF(+((W31-3)*1.5+(X31-3)*3.1)&gt;0,+((W31-3)*1.5+(X31-3)*3.1),0),IF(+((W31-3)*1.5+(X31-3)*3.1)&gt;0,+((W31-3)*1.5+(X31-3)*3.1),0)))</f>
        <v>30</v>
      </c>
      <c r="AA31" s="144">
        <f t="shared" si="12"/>
        <v>40</v>
      </c>
      <c r="AB31" s="145">
        <f t="shared" si="13"/>
        <v>582.25722566700017</v>
      </c>
      <c r="AC31" s="145">
        <f>+(S31-T31)*V31-'data 1'!$F$4</f>
        <v>41.253</v>
      </c>
      <c r="AD31" s="145">
        <f t="shared" si="14"/>
        <v>-1.5556167523980591</v>
      </c>
      <c r="AE31" s="145">
        <f t="shared" si="15"/>
        <v>-25.908000000000001</v>
      </c>
      <c r="AF31" s="145">
        <f t="shared" si="16"/>
        <v>30.145738230936026</v>
      </c>
      <c r="AG31" s="772">
        <f>+IF(D31="RONALD WILLIAN GARIBAY ESCUDERO",AC31+AD31+AE31+AF31+70,AC31+AD31+AE31+AF31)+70-53</f>
        <v>60.935121478537965</v>
      </c>
      <c r="AH31" s="146">
        <f t="shared" si="18"/>
        <v>26.605365123976345</v>
      </c>
      <c r="AI31" s="156">
        <f t="shared" si="19"/>
        <v>46.410571713257944</v>
      </c>
      <c r="AJ31" s="156">
        <f t="shared" si="20"/>
        <v>25.623393848606518</v>
      </c>
      <c r="AK31" s="88"/>
      <c r="AL31" s="716">
        <f t="shared" si="21"/>
        <v>1627.9591788175205</v>
      </c>
      <c r="AM31" s="596"/>
    </row>
    <row r="32" spans="1:39" ht="15.75" customHeight="1">
      <c r="A32" s="747" t="s">
        <v>1529</v>
      </c>
      <c r="B32" s="595"/>
      <c r="C32" s="595"/>
      <c r="G32" s="80"/>
      <c r="I32" s="596"/>
      <c r="J32" s="596"/>
      <c r="K32" s="138"/>
      <c r="L32" s="840"/>
      <c r="M32" s="840"/>
      <c r="N32" s="840"/>
      <c r="O32" s="840"/>
      <c r="P32" s="629"/>
      <c r="Q32" s="760"/>
      <c r="R32" s="706"/>
      <c r="S32" s="802"/>
      <c r="U32" s="947"/>
      <c r="V32" s="715"/>
      <c r="Z32" s="143"/>
      <c r="AA32" s="144"/>
      <c r="AB32" s="145"/>
      <c r="AC32" s="145"/>
      <c r="AD32" s="145"/>
      <c r="AE32" s="145"/>
      <c r="AF32" s="145"/>
      <c r="AG32" s="772"/>
      <c r="AH32" s="146"/>
      <c r="AI32" s="156"/>
      <c r="AJ32" s="156"/>
      <c r="AK32" s="88"/>
      <c r="AL32" s="716"/>
      <c r="AM32" s="596"/>
    </row>
    <row r="33" spans="1:39" ht="15.75" customHeight="1">
      <c r="A33" s="747" t="s">
        <v>1530</v>
      </c>
      <c r="B33" s="595"/>
      <c r="C33" s="595"/>
      <c r="G33" s="80"/>
      <c r="I33" s="596"/>
      <c r="J33" s="596"/>
      <c r="K33" s="138"/>
      <c r="L33" s="840"/>
      <c r="M33" s="840"/>
      <c r="N33" s="840"/>
      <c r="O33" s="840"/>
      <c r="P33" s="629"/>
      <c r="Q33" s="760"/>
      <c r="R33" s="706"/>
      <c r="S33" s="802"/>
      <c r="U33" s="947"/>
      <c r="V33" s="715"/>
      <c r="Z33" s="143"/>
      <c r="AA33" s="144"/>
      <c r="AB33" s="145"/>
      <c r="AC33" s="145"/>
      <c r="AD33" s="145"/>
      <c r="AE33" s="145"/>
      <c r="AF33" s="145"/>
      <c r="AG33" s="772"/>
      <c r="AH33" s="146"/>
      <c r="AI33" s="156"/>
      <c r="AJ33" s="156"/>
      <c r="AK33" s="88"/>
      <c r="AL33" s="716"/>
      <c r="AM33" s="596"/>
    </row>
    <row r="34" spans="1:39" ht="15.75" customHeight="1">
      <c r="A34" s="991" t="s">
        <v>1334</v>
      </c>
      <c r="B34" s="595">
        <v>45641</v>
      </c>
      <c r="C34" s="595">
        <v>45634</v>
      </c>
      <c r="D34" t="s">
        <v>154</v>
      </c>
      <c r="E34" s="640">
        <v>10416085884</v>
      </c>
      <c r="G34" s="80" t="s">
        <v>68</v>
      </c>
      <c r="H34" t="s">
        <v>69</v>
      </c>
      <c r="I34" s="596">
        <v>30.35</v>
      </c>
      <c r="J34" s="596">
        <v>7</v>
      </c>
      <c r="K34" s="138">
        <f t="shared" ref="K34:K40" si="22">+I34-(I34*(J34/100))</f>
        <v>28.2255</v>
      </c>
      <c r="L34" s="139">
        <v>0.16</v>
      </c>
      <c r="M34" s="139">
        <v>0.15</v>
      </c>
      <c r="N34" s="598">
        <v>0.16200000000000001</v>
      </c>
      <c r="O34" s="139">
        <f t="shared" ref="O34:O40" si="23">+ROUND((M34+N34)/2,3)</f>
        <v>0.156</v>
      </c>
      <c r="P34" s="629">
        <v>90</v>
      </c>
      <c r="Q34" s="760">
        <v>89.73</v>
      </c>
      <c r="R34" s="706">
        <v>2637.3</v>
      </c>
      <c r="S34" s="842">
        <v>85</v>
      </c>
      <c r="U34" s="947">
        <v>90</v>
      </c>
      <c r="V34" s="715">
        <v>1.1023000000000001</v>
      </c>
      <c r="Z34" s="155">
        <v>15</v>
      </c>
      <c r="AA34" s="144">
        <f t="shared" ref="AA34:AA40" si="24">+Y34+Z34</f>
        <v>15</v>
      </c>
      <c r="AB34" s="145">
        <f t="shared" ref="AB34:AB40" si="25">+((O34*P34*(R34-U34)/100)-S34-AA34+T34)*V34</f>
        <v>283.99758611600004</v>
      </c>
      <c r="AC34" s="145">
        <f>+(S34-T34)*V34-'data 1'!$F$4</f>
        <v>13.69550000000001</v>
      </c>
      <c r="AD34" s="145">
        <f t="shared" ref="AD34:AD40" si="26">+(Q34-P34)*(R34-U34)*L34*V34/100</f>
        <v>-1.2130079572799826</v>
      </c>
      <c r="AE34" s="145">
        <f t="shared" ref="AE34:AE40" si="27">+(Y34*V34-70)+V34*(Z34-IF(D34="UNTUCA",IF(+((W34-3)*2.5+(X34-3)*3.1)&gt;0,+((W34-3)*1.5+(X34-3)*3.1),0),IF(+((W34-3)*1.5+(X34-3)*3.1)&gt;0,+((W34-3)*1.5+(X34-3)*3.1),0)))</f>
        <v>-53.465499999999999</v>
      </c>
      <c r="AF34" s="145">
        <f t="shared" ref="AF34:AF40" si="28">(L34-O34)*(R34-U34)*Q34*V34/100</f>
        <v>10.07807444506801</v>
      </c>
      <c r="AG34" s="772">
        <f>+IF(D34="RONALD WILLIAN GARIBAY ESCUDERO",AC34+AD34+AE34+AF34+70,AC34+AD34+AE34+AF34)+70-10</f>
        <v>29.095066487788039</v>
      </c>
      <c r="AH34" s="146">
        <f t="shared" ref="AH34:AH40" si="29">31.1035*L34*Q34*1.1023*K34/100</f>
        <v>138.93394373914455</v>
      </c>
      <c r="AI34" s="156">
        <f t="shared" ref="AI34:AI40" si="30">+((+$AI$2-R34+U34)*L34*Q34*V34)/100</f>
        <v>22.424734406879974</v>
      </c>
      <c r="AJ34" s="156">
        <f t="shared" ref="AJ34:AJ40" si="31">31.1035*1.1023*K34*P34*O34/100</f>
        <v>135.86819974490064</v>
      </c>
      <c r="AK34" s="88"/>
      <c r="AL34" s="716">
        <f t="shared" ref="AL34:AL40" si="32">+IF(AB34*K34&gt;0,AB34*K34,0)</f>
        <v>8015.9738669171593</v>
      </c>
      <c r="AM34" s="596"/>
    </row>
    <row r="35" spans="1:39" ht="15.75" customHeight="1">
      <c r="A35" s="991" t="s">
        <v>1336</v>
      </c>
      <c r="B35" s="595">
        <v>45637</v>
      </c>
      <c r="C35" s="595">
        <v>45634</v>
      </c>
      <c r="D35" t="s">
        <v>1342</v>
      </c>
      <c r="E35">
        <v>20611739509</v>
      </c>
      <c r="G35" s="80">
        <v>25</v>
      </c>
      <c r="H35" t="s">
        <v>69</v>
      </c>
      <c r="I35" s="596">
        <v>2.02</v>
      </c>
      <c r="J35" s="596">
        <v>2.15</v>
      </c>
      <c r="K35" s="138">
        <f t="shared" si="22"/>
        <v>1.9765699999999999</v>
      </c>
      <c r="L35" s="139">
        <v>0.57399999999999995</v>
      </c>
      <c r="M35" s="139">
        <v>0.55100000000000005</v>
      </c>
      <c r="N35" s="159">
        <v>0.55100000000000005</v>
      </c>
      <c r="O35" s="139">
        <f t="shared" si="23"/>
        <v>0.55100000000000005</v>
      </c>
      <c r="P35" s="629">
        <v>90</v>
      </c>
      <c r="Q35" s="760">
        <v>89.22</v>
      </c>
      <c r="R35" s="706">
        <v>2670.45</v>
      </c>
      <c r="S35" s="802">
        <v>130</v>
      </c>
      <c r="U35" s="950">
        <v>100</v>
      </c>
      <c r="V35" s="715">
        <v>1.1023000000000001</v>
      </c>
      <c r="Y35">
        <v>10</v>
      </c>
      <c r="Z35" s="143">
        <f t="shared" ref="Z35:Z40" si="33">IF(IF(D35="UNTUCA",IF(+((W35-3)*1.5+(X35-3)*3.1)&gt;0,+((W35-3)*1.5+(X35-3)*3.1),0),IF(+((W35-3)*1.5+(X35-3)*3.1)&gt;0,+((W35-3)*1.5+(X35-3)*3.1),0))&lt;30,30,IF(D35="UNTUCA",IF(+((W35-3)*1.5+(X35-3)*3.1)&gt;0,+((W35-3)*1.5+(X35-3)*3.1),0),IF(+((W35-3)*1.5+(X35-3)*3.1)&gt;0,+((W35-3)*1.5+(X35-3)*3.1),0)))</f>
        <v>30</v>
      </c>
      <c r="AA35" s="144">
        <f t="shared" si="24"/>
        <v>40</v>
      </c>
      <c r="AB35" s="145">
        <f t="shared" si="25"/>
        <v>1217.6955486565003</v>
      </c>
      <c r="AC35" s="145">
        <f>+(S35-T35)*V35-'data 1'!$F$4</f>
        <v>63.299000000000007</v>
      </c>
      <c r="AD35" s="145">
        <f t="shared" si="26"/>
        <v>-12.685729977102019</v>
      </c>
      <c r="AE35" s="145">
        <f t="shared" si="27"/>
        <v>-25.908000000000001</v>
      </c>
      <c r="AF35" s="145">
        <f t="shared" si="28"/>
        <v>58.143212402420758</v>
      </c>
      <c r="AG35" s="772">
        <f>+IF(D35="RONALD WILLIAN GARIBAY ESCUDERO",AC35+AD35+AE35+AF35+70,AC35+AD35+AE35+AF35)</f>
        <v>82.848482425318736</v>
      </c>
      <c r="AH35" s="146">
        <f t="shared" si="29"/>
        <v>34.705266207739548</v>
      </c>
      <c r="AI35" s="156">
        <f t="shared" si="30"/>
        <v>66.923011697262112</v>
      </c>
      <c r="AJ35" s="156">
        <f t="shared" si="31"/>
        <v>33.605888104216504</v>
      </c>
      <c r="AK35" s="88"/>
      <c r="AL35" s="716">
        <f t="shared" si="32"/>
        <v>2406.8604906079786</v>
      </c>
      <c r="AM35" s="596"/>
    </row>
    <row r="36" spans="1:39" ht="15.75" customHeight="1">
      <c r="A36" s="991" t="s">
        <v>1337</v>
      </c>
      <c r="B36" s="595">
        <v>45639</v>
      </c>
      <c r="C36" s="595">
        <v>45634</v>
      </c>
      <c r="D36" t="s">
        <v>145</v>
      </c>
      <c r="E36" s="6">
        <v>10437450094</v>
      </c>
      <c r="G36" s="80">
        <v>30</v>
      </c>
      <c r="H36" t="s">
        <v>69</v>
      </c>
      <c r="I36" s="596">
        <v>2.5499999999999998</v>
      </c>
      <c r="J36" s="596">
        <v>1.1000000000000001</v>
      </c>
      <c r="K36" s="138">
        <f t="shared" si="22"/>
        <v>2.5219499999999999</v>
      </c>
      <c r="L36" s="139">
        <v>0.11600000000000001</v>
      </c>
      <c r="M36" s="139">
        <v>0.106</v>
      </c>
      <c r="N36" s="159">
        <v>0.106</v>
      </c>
      <c r="O36" s="139">
        <f t="shared" si="23"/>
        <v>0.106</v>
      </c>
      <c r="P36" s="629">
        <v>85</v>
      </c>
      <c r="Q36" s="760">
        <v>89.79</v>
      </c>
      <c r="R36" s="706">
        <v>2670.45</v>
      </c>
      <c r="S36" s="802">
        <v>95</v>
      </c>
      <c r="U36" s="950">
        <v>100</v>
      </c>
      <c r="V36" s="715">
        <v>1.1023000000000001</v>
      </c>
      <c r="Y36">
        <v>10</v>
      </c>
      <c r="Z36" s="143">
        <f t="shared" si="33"/>
        <v>30</v>
      </c>
      <c r="AA36" s="144">
        <f t="shared" si="24"/>
        <v>40</v>
      </c>
      <c r="AB36" s="145">
        <f t="shared" si="25"/>
        <v>106.4794738535</v>
      </c>
      <c r="AC36" s="145">
        <f>+(S36-T36)*V36-'data 1'!$F$4</f>
        <v>24.718500000000006</v>
      </c>
      <c r="AD36" s="145">
        <f t="shared" si="26"/>
        <v>15.74354284927402</v>
      </c>
      <c r="AE36" s="145">
        <f t="shared" si="27"/>
        <v>-25.908000000000001</v>
      </c>
      <c r="AF36" s="145">
        <f t="shared" si="28"/>
        <v>25.441161767265022</v>
      </c>
      <c r="AG36" s="772">
        <f>+IF(D36="RONALD WILLIAN GARIBAY ESCUDERO",AC36+AD36+AE36+AF36+70,AC36+AD36+AE36+AF36)+70-53</f>
        <v>56.995204616539041</v>
      </c>
      <c r="AH36" s="146">
        <f t="shared" si="29"/>
        <v>9.0059908646195588</v>
      </c>
      <c r="AI36" s="156">
        <f t="shared" si="30"/>
        <v>13.610915146806024</v>
      </c>
      <c r="AJ36" s="156">
        <f t="shared" si="31"/>
        <v>7.7905896987820435</v>
      </c>
      <c r="AK36" s="88"/>
      <c r="AL36" s="1019">
        <f t="shared" si="32"/>
        <v>268.53590908483432</v>
      </c>
      <c r="AM36" s="596"/>
    </row>
    <row r="37" spans="1:39" ht="15.75" customHeight="1">
      <c r="A37" s="991" t="s">
        <v>1338</v>
      </c>
      <c r="B37" s="595">
        <v>45639</v>
      </c>
      <c r="C37" s="595">
        <v>45634</v>
      </c>
      <c r="D37" t="s">
        <v>145</v>
      </c>
      <c r="E37" s="6">
        <v>10437450094</v>
      </c>
      <c r="G37" s="80">
        <v>35</v>
      </c>
      <c r="H37" t="s">
        <v>69</v>
      </c>
      <c r="I37" s="596">
        <v>3.16</v>
      </c>
      <c r="J37" s="596">
        <v>1.4</v>
      </c>
      <c r="K37" s="138">
        <f t="shared" si="22"/>
        <v>3.1157600000000003</v>
      </c>
      <c r="L37" s="951">
        <v>0.29499999999999998</v>
      </c>
      <c r="M37" s="951">
        <v>0.29499999999999998</v>
      </c>
      <c r="N37" s="952">
        <v>0.29499999999999998</v>
      </c>
      <c r="O37" s="139">
        <f t="shared" si="23"/>
        <v>0.29499999999999998</v>
      </c>
      <c r="P37" s="629">
        <v>90</v>
      </c>
      <c r="Q37" s="760">
        <v>89.82</v>
      </c>
      <c r="R37" s="706">
        <v>2670.45</v>
      </c>
      <c r="S37" s="802">
        <v>100</v>
      </c>
      <c r="U37" s="950">
        <v>110</v>
      </c>
      <c r="V37" s="715">
        <v>1.1023000000000001</v>
      </c>
      <c r="Y37">
        <v>10</v>
      </c>
      <c r="Z37" s="143">
        <f t="shared" si="33"/>
        <v>30</v>
      </c>
      <c r="AA37" s="144">
        <f t="shared" si="24"/>
        <v>40</v>
      </c>
      <c r="AB37" s="145">
        <f t="shared" si="25"/>
        <v>595.02096129249992</v>
      </c>
      <c r="AC37" s="145">
        <f>+(S37-T37)*V37-'data 1'!$F$4</f>
        <v>30.230000000000004</v>
      </c>
      <c r="AD37" s="145">
        <f t="shared" si="26"/>
        <v>-1.4986859225850566</v>
      </c>
      <c r="AE37" s="145">
        <f t="shared" si="27"/>
        <v>-25.908000000000001</v>
      </c>
      <c r="AF37" s="145">
        <f t="shared" si="28"/>
        <v>0</v>
      </c>
      <c r="AG37" s="772">
        <f>+IF(D37="RONALD WILLIAN GARIBAY ESCUDERO",AC37+AD37+AE37+AF37+70,AC37+AD37+AE37+AF37)+70-53</f>
        <v>19.823314077414949</v>
      </c>
      <c r="AH37" s="146">
        <f t="shared" si="29"/>
        <v>28.305324201466227</v>
      </c>
      <c r="AI37" s="156">
        <f t="shared" si="30"/>
        <v>37.546283504385059</v>
      </c>
      <c r="AJ37" s="156">
        <f t="shared" si="31"/>
        <v>28.362048298062358</v>
      </c>
      <c r="AK37" s="88"/>
      <c r="AL37" s="1019">
        <f t="shared" si="32"/>
        <v>1853.9425103567198</v>
      </c>
      <c r="AM37" s="596"/>
    </row>
    <row r="38" spans="1:39" ht="15.75" customHeight="1">
      <c r="A38" s="991" t="s">
        <v>1339</v>
      </c>
      <c r="B38" s="595">
        <v>45638</v>
      </c>
      <c r="C38" s="595">
        <v>45634</v>
      </c>
      <c r="D38" t="s">
        <v>145</v>
      </c>
      <c r="E38" s="6">
        <v>10437450094</v>
      </c>
      <c r="G38" s="80">
        <v>71</v>
      </c>
      <c r="H38" t="s">
        <v>69</v>
      </c>
      <c r="I38" s="596">
        <v>6.73</v>
      </c>
      <c r="J38" s="596">
        <v>1.9</v>
      </c>
      <c r="K38" s="138">
        <f t="shared" si="22"/>
        <v>6.6021300000000007</v>
      </c>
      <c r="L38" s="139">
        <v>0.63400000000000001</v>
      </c>
      <c r="M38" s="139">
        <v>0.60899999999999999</v>
      </c>
      <c r="N38" s="159">
        <v>0.65200000000000002</v>
      </c>
      <c r="O38" s="139">
        <f t="shared" si="23"/>
        <v>0.63100000000000001</v>
      </c>
      <c r="P38" s="629">
        <v>90</v>
      </c>
      <c r="Q38" s="760">
        <v>89.19</v>
      </c>
      <c r="R38" s="706">
        <v>2670.45</v>
      </c>
      <c r="S38" s="765">
        <f>IF((90+ROUNDDOWN(O38,1)*100)&lt;95,95,(90+ROUNDDOWN(O38,1)*100))</f>
        <v>150</v>
      </c>
      <c r="U38" s="950">
        <v>100</v>
      </c>
      <c r="V38" s="715">
        <v>1.1023000000000001</v>
      </c>
      <c r="Y38">
        <v>10</v>
      </c>
      <c r="Z38" s="143">
        <f t="shared" si="33"/>
        <v>30</v>
      </c>
      <c r="AA38" s="144">
        <f t="shared" si="24"/>
        <v>40</v>
      </c>
      <c r="AB38" s="145">
        <f t="shared" si="25"/>
        <v>1399.6548551764997</v>
      </c>
      <c r="AC38" s="145">
        <f>+(S38-T38)*V38-'data 1'!$F$4</f>
        <v>85.344999999999999</v>
      </c>
      <c r="AD38" s="145">
        <f t="shared" si="26"/>
        <v>-14.550678487539042</v>
      </c>
      <c r="AE38" s="145">
        <f t="shared" si="27"/>
        <v>-25.908000000000001</v>
      </c>
      <c r="AF38" s="145">
        <f t="shared" si="28"/>
        <v>7.5813472035495071</v>
      </c>
      <c r="AG38" s="772">
        <f>+IF(D38="RONALD WILLIAN GARIBAY ESCUDERO",AC38+AD38+AE38+AF38+70,AC38+AD38+AE38+AF38)</f>
        <v>52.467668716010458</v>
      </c>
      <c r="AH38" s="146">
        <f t="shared" si="29"/>
        <v>127.99663805995124</v>
      </c>
      <c r="AI38" s="156">
        <f t="shared" si="30"/>
        <v>73.893593568159119</v>
      </c>
      <c r="AJ38" s="156">
        <f t="shared" si="31"/>
        <v>128.54790689681778</v>
      </c>
      <c r="AK38" s="88"/>
      <c r="AL38" s="716">
        <f t="shared" si="32"/>
        <v>9240.7033090064251</v>
      </c>
      <c r="AM38" s="596"/>
    </row>
    <row r="39" spans="1:39" ht="15.75" customHeight="1">
      <c r="A39" s="991" t="s">
        <v>1340</v>
      </c>
      <c r="B39" s="595">
        <v>45638</v>
      </c>
      <c r="C39" s="595">
        <v>45635</v>
      </c>
      <c r="D39" t="s">
        <v>129</v>
      </c>
      <c r="E39" s="79">
        <v>10423109730</v>
      </c>
      <c r="G39" s="80">
        <v>275</v>
      </c>
      <c r="H39" t="s">
        <v>69</v>
      </c>
      <c r="I39" s="596">
        <v>30.03</v>
      </c>
      <c r="J39" s="596">
        <v>1.5</v>
      </c>
      <c r="K39" s="138">
        <f t="shared" si="22"/>
        <v>29.579550000000001</v>
      </c>
      <c r="L39" s="139">
        <v>0.52900000000000003</v>
      </c>
      <c r="M39" s="139">
        <v>0.50700000000000001</v>
      </c>
      <c r="N39" s="159">
        <v>0.50700000000000001</v>
      </c>
      <c r="O39" s="139">
        <f t="shared" si="23"/>
        <v>0.50700000000000001</v>
      </c>
      <c r="P39" s="629">
        <v>90</v>
      </c>
      <c r="Q39" s="760">
        <v>89.45</v>
      </c>
      <c r="R39" s="706">
        <v>2671.9</v>
      </c>
      <c r="S39" s="802">
        <v>130</v>
      </c>
      <c r="U39" s="950">
        <v>100</v>
      </c>
      <c r="V39" s="715">
        <v>1.1023000000000001</v>
      </c>
      <c r="Y39">
        <v>10</v>
      </c>
      <c r="Z39" s="143">
        <f t="shared" si="33"/>
        <v>30</v>
      </c>
      <c r="AA39" s="144">
        <f t="shared" si="24"/>
        <v>40</v>
      </c>
      <c r="AB39" s="145">
        <f t="shared" si="25"/>
        <v>1106.2219503310002</v>
      </c>
      <c r="AC39" s="145">
        <f>+(S39-T39)*V39-'data 1'!$F$4</f>
        <v>63.299000000000007</v>
      </c>
      <c r="AD39" s="145">
        <f t="shared" si="26"/>
        <v>-8.2484481240149599</v>
      </c>
      <c r="AE39" s="145">
        <f t="shared" si="27"/>
        <v>-25.908000000000001</v>
      </c>
      <c r="AF39" s="145">
        <f t="shared" si="28"/>
        <v>55.790070676230052</v>
      </c>
      <c r="AG39" s="772">
        <f>+IF(D39="RONALD WILLIAN GARIBAY ESCUDERO",AC39+AD39+AE39+AF39+60,AC39+AD39+AE39+AF39)</f>
        <v>144.93262255221509</v>
      </c>
      <c r="AH39" s="146">
        <f t="shared" si="29"/>
        <v>479.88441847433364</v>
      </c>
      <c r="AI39" s="156">
        <f t="shared" si="30"/>
        <v>61.079112702364952</v>
      </c>
      <c r="AJ39" s="156">
        <f t="shared" si="31"/>
        <v>462.75497954806451</v>
      </c>
      <c r="AK39" s="88"/>
      <c r="AL39" s="716">
        <f t="shared" si="32"/>
        <v>32721.547490913341</v>
      </c>
      <c r="AM39" s="596"/>
    </row>
    <row r="40" spans="1:39" ht="15.75" customHeight="1">
      <c r="A40" s="991" t="s">
        <v>1341</v>
      </c>
      <c r="B40" s="595">
        <v>45641</v>
      </c>
      <c r="C40" s="595">
        <v>45636</v>
      </c>
      <c r="D40" t="s">
        <v>154</v>
      </c>
      <c r="E40" s="640">
        <v>10416085884</v>
      </c>
      <c r="G40" s="80" t="s">
        <v>68</v>
      </c>
      <c r="H40" t="s">
        <v>69</v>
      </c>
      <c r="I40" s="596">
        <v>30.71</v>
      </c>
      <c r="J40" s="596">
        <v>9.5</v>
      </c>
      <c r="K40" s="138">
        <f t="shared" si="22"/>
        <v>27.792550000000002</v>
      </c>
      <c r="L40" s="139">
        <v>0.13500000000000001</v>
      </c>
      <c r="M40" s="139">
        <v>0.125</v>
      </c>
      <c r="N40" s="159">
        <v>0.14099999999999999</v>
      </c>
      <c r="O40" s="139">
        <f t="shared" si="23"/>
        <v>0.13300000000000001</v>
      </c>
      <c r="P40" s="955">
        <v>85</v>
      </c>
      <c r="Q40" s="760">
        <v>89.87</v>
      </c>
      <c r="R40" s="706">
        <v>2689.6</v>
      </c>
      <c r="S40" s="802">
        <v>110</v>
      </c>
      <c r="U40" s="953">
        <v>90</v>
      </c>
      <c r="V40" s="715">
        <v>1.1023000000000001</v>
      </c>
      <c r="Z40" s="143">
        <f t="shared" si="33"/>
        <v>30</v>
      </c>
      <c r="AA40" s="144">
        <f t="shared" si="24"/>
        <v>30</v>
      </c>
      <c r="AB40" s="145">
        <f t="shared" si="25"/>
        <v>169.62719299399998</v>
      </c>
      <c r="AC40" s="145">
        <f>+(S40-T40)*V40-'data 1'!$F$4</f>
        <v>41.253</v>
      </c>
      <c r="AD40" s="145">
        <f t="shared" si="26"/>
        <v>18.83948668146002</v>
      </c>
      <c r="AE40" s="145">
        <f t="shared" si="27"/>
        <v>-36.930999999999997</v>
      </c>
      <c r="AF40" s="145">
        <f t="shared" si="28"/>
        <v>5.1505199423920054</v>
      </c>
      <c r="AG40" s="772">
        <f>+IF(D40="RONALD WILLIAN GARIBAY ESCUDERO",AC40+AD40+AE40+AF40+70,AC40+AD40+AE40+AF40)+70-53</f>
        <v>45.312006623852028</v>
      </c>
      <c r="AH40" s="146">
        <f t="shared" si="29"/>
        <v>115.60749078788746</v>
      </c>
      <c r="AI40" s="156">
        <f t="shared" si="30"/>
        <v>11.955998073690013</v>
      </c>
      <c r="AJ40" s="156">
        <f t="shared" si="31"/>
        <v>107.72289878442258</v>
      </c>
      <c r="AK40" s="88"/>
      <c r="AL40" s="716">
        <f t="shared" si="32"/>
        <v>4714.3722426453942</v>
      </c>
      <c r="AM40" s="596"/>
    </row>
    <row r="41" spans="1:39" ht="15.75" customHeight="1">
      <c r="A41" s="747" t="s">
        <v>1411</v>
      </c>
      <c r="B41" s="595"/>
      <c r="C41" s="595"/>
      <c r="G41" s="80"/>
      <c r="I41" s="596"/>
      <c r="J41" s="596"/>
      <c r="K41" s="138"/>
      <c r="L41" s="139"/>
      <c r="M41" s="139"/>
      <c r="N41" s="159"/>
      <c r="O41" s="139"/>
      <c r="P41" s="629"/>
      <c r="Q41" s="760"/>
      <c r="R41" s="706"/>
      <c r="S41" s="765"/>
      <c r="U41" s="953"/>
      <c r="V41" s="715"/>
      <c r="Z41" s="143"/>
      <c r="AA41" s="144"/>
      <c r="AB41" s="145"/>
      <c r="AC41" s="145"/>
      <c r="AD41" s="145"/>
      <c r="AE41" s="145"/>
      <c r="AF41" s="145"/>
      <c r="AG41" s="772"/>
      <c r="AH41" s="146"/>
      <c r="AI41" s="156"/>
      <c r="AJ41" s="156"/>
      <c r="AK41" s="88"/>
      <c r="AL41" s="716"/>
      <c r="AM41" s="596"/>
    </row>
    <row r="42" spans="1:39" ht="15.75" customHeight="1">
      <c r="A42" s="747" t="s">
        <v>1412</v>
      </c>
      <c r="B42" s="595"/>
      <c r="C42" s="595"/>
      <c r="G42" s="80"/>
      <c r="I42" s="596"/>
      <c r="J42" s="596"/>
      <c r="K42" s="138"/>
      <c r="L42" s="139"/>
      <c r="M42" s="139"/>
      <c r="N42" s="159"/>
      <c r="O42" s="139"/>
      <c r="P42" s="629"/>
      <c r="Q42" s="760"/>
      <c r="R42" s="706"/>
      <c r="S42" s="765"/>
      <c r="U42" s="953"/>
      <c r="V42" s="715"/>
      <c r="Z42" s="143"/>
      <c r="AA42" s="144"/>
      <c r="AB42" s="145"/>
      <c r="AC42" s="145"/>
      <c r="AD42" s="145"/>
      <c r="AE42" s="145"/>
      <c r="AF42" s="145"/>
      <c r="AG42" s="772"/>
      <c r="AH42" s="146"/>
      <c r="AI42" s="156"/>
      <c r="AJ42" s="156"/>
      <c r="AK42" s="88"/>
      <c r="AL42" s="716"/>
      <c r="AM42" s="596"/>
    </row>
    <row r="43" spans="1:39" ht="15.75" customHeight="1">
      <c r="A43" s="991" t="s">
        <v>1345</v>
      </c>
      <c r="B43" s="595">
        <v>45641</v>
      </c>
      <c r="C43" s="595">
        <v>45636</v>
      </c>
      <c r="D43" t="s">
        <v>1352</v>
      </c>
      <c r="E43">
        <v>20606526599</v>
      </c>
      <c r="G43" s="80">
        <v>87</v>
      </c>
      <c r="H43" t="s">
        <v>69</v>
      </c>
      <c r="I43" s="596">
        <v>7.39</v>
      </c>
      <c r="J43" s="596">
        <v>1.5</v>
      </c>
      <c r="K43" s="138">
        <f t="shared" ref="K43:K79" si="34">+I43-(I43*(J43/100))</f>
        <v>7.2791499999999996</v>
      </c>
      <c r="L43" s="139">
        <v>0.42</v>
      </c>
      <c r="M43" s="139">
        <v>0.40300000000000002</v>
      </c>
      <c r="N43" s="159">
        <v>0.40300000000000002</v>
      </c>
      <c r="O43" s="139">
        <f t="shared" ref="O43:O79" si="35">+ROUND((M43+N43)/2,3)</f>
        <v>0.40300000000000002</v>
      </c>
      <c r="P43" s="629">
        <v>90</v>
      </c>
      <c r="Q43" s="760">
        <v>89.42</v>
      </c>
      <c r="R43" s="706">
        <v>2689.6</v>
      </c>
      <c r="S43" s="765">
        <f>IF((90+ROUNDDOWN(O43,1)*100)&lt;95,95,(90+ROUNDDOWN(O43,1)*100))</f>
        <v>130</v>
      </c>
      <c r="U43" s="953">
        <v>120</v>
      </c>
      <c r="V43" s="715">
        <v>1.1023000000000001</v>
      </c>
      <c r="Y43">
        <v>10</v>
      </c>
      <c r="Z43" s="143">
        <f t="shared" ref="Z43:Z77" si="36">IF(IF(D43="UNTUCA",IF(+((W43-3)*1.5+(X43-3)*3.1)&gt;0,+((W43-3)*1.5+(X43-3)*3.1),0),IF(+((W43-3)*1.5+(X43-3)*3.1)&gt;0,+((W43-3)*1.5+(X43-3)*3.1),0))&lt;30,30,IF(D43="UNTUCA",IF(+((W43-3)*1.5+(X43-3)*3.1)&gt;0,+((W43-3)*1.5+(X43-3)*3.1),0),IF(+((W43-3)*1.5+(X43-3)*3.1)&gt;0,+((W43-3)*1.5+(X43-3)*3.1),0)))</f>
        <v>30</v>
      </c>
      <c r="AA43" s="144">
        <f t="shared" ref="AA43:AA79" si="37">+Y43+Z43</f>
        <v>40</v>
      </c>
      <c r="AB43" s="145">
        <f t="shared" ref="AB43:AB79" si="38">+((O43*P43*(R43-U43)/100)-S43-AA43+T43)*V43</f>
        <v>839.94589801600023</v>
      </c>
      <c r="AC43" s="145">
        <f>+(S43-T43)*V43-'data 1'!$F$4</f>
        <v>63.299000000000007</v>
      </c>
      <c r="AD43" s="145">
        <f t="shared" ref="AD43:AD79" si="39">+(Q43-P43)*(R43-U43)*L43*V43/100</f>
        <v>-6.8998971148799795</v>
      </c>
      <c r="AE43" s="145">
        <f t="shared" ref="AE43:AE79" si="40">+(Y43*V43-70)+V43*(Z43-IF(D43="UNTUCA",IF(+((W43-3)*2.5+(X43-3)*3.1)&gt;0,+((W43-3)*1.5+(X43-3)*3.1),0),IF(+((W43-3)*1.5+(X43-3)*3.1)&gt;0,+((W43-3)*1.5+(X43-3)*3.1),0)))</f>
        <v>-25.908000000000001</v>
      </c>
      <c r="AF43" s="145">
        <f t="shared" ref="AF43:AF79" si="41">(L43-O43)*(R43-U43)*Q43*V43/100</f>
        <v>43.057510674111903</v>
      </c>
      <c r="AG43" s="772">
        <f>+IF(D43="RONALD WILLIAN GARIBAY ESCUDERO",AC43+AD43+AE43+AF43+70,AC43+AD43+AE43+AF43)+70-53</f>
        <v>90.548613559231939</v>
      </c>
      <c r="AH43" s="146">
        <f t="shared" ref="AH43:AH79" si="42">31.1035*L43*Q43*1.1023*K43/100</f>
        <v>93.728937533146279</v>
      </c>
      <c r="AI43" s="156">
        <f t="shared" ref="AI43:AI79" si="43">+((+$AI$2-R43+U43)*L43*Q43*V43)/100</f>
        <v>49.42971314568004</v>
      </c>
      <c r="AJ43" s="156">
        <f t="shared" ref="AJ43:AJ79" si="44">31.1035*1.1023*K43*P43*O43/100</f>
        <v>90.518488575241932</v>
      </c>
      <c r="AK43" s="88"/>
      <c r="AL43" s="716">
        <f t="shared" ref="AL43:AL79" si="45">+IF(AB43*K43&gt;0,AB43*K43,0)</f>
        <v>6114.0921835431673</v>
      </c>
      <c r="AM43" s="596"/>
    </row>
    <row r="44" spans="1:39" ht="15.75" customHeight="1">
      <c r="A44" s="991" t="s">
        <v>1346</v>
      </c>
      <c r="B44" s="595">
        <v>45641</v>
      </c>
      <c r="C44" s="595">
        <v>45637</v>
      </c>
      <c r="D44" t="s">
        <v>1205</v>
      </c>
      <c r="E44" s="6">
        <v>20601620147</v>
      </c>
      <c r="G44" s="80" t="s">
        <v>68</v>
      </c>
      <c r="H44" t="s">
        <v>69</v>
      </c>
      <c r="I44" s="596">
        <v>32.200000000000003</v>
      </c>
      <c r="J44" s="596">
        <v>2.2999999999999998</v>
      </c>
      <c r="K44" s="138">
        <f t="shared" si="34"/>
        <v>31.459400000000002</v>
      </c>
      <c r="L44" s="139">
        <v>0.108</v>
      </c>
      <c r="M44" s="139">
        <v>8.8999999999999996E-2</v>
      </c>
      <c r="N44" s="139">
        <v>0.108</v>
      </c>
      <c r="O44" s="139">
        <f t="shared" si="35"/>
        <v>9.9000000000000005E-2</v>
      </c>
      <c r="P44" s="629">
        <v>85</v>
      </c>
      <c r="Q44" s="760">
        <v>89.71</v>
      </c>
      <c r="R44" s="706">
        <v>2705.45</v>
      </c>
      <c r="S44" s="802">
        <v>110</v>
      </c>
      <c r="U44" s="953">
        <v>90</v>
      </c>
      <c r="V44" s="715">
        <v>1.1023000000000001</v>
      </c>
      <c r="Z44" s="143">
        <f t="shared" si="36"/>
        <v>30</v>
      </c>
      <c r="AA44" s="144">
        <f t="shared" si="37"/>
        <v>30</v>
      </c>
      <c r="AB44" s="145">
        <f t="shared" si="38"/>
        <v>88.283336520250032</v>
      </c>
      <c r="AC44" s="145">
        <f>+(S44-T44)*V44-'data 1'!$F$4</f>
        <v>41.253</v>
      </c>
      <c r="AD44" s="145">
        <f t="shared" si="39"/>
        <v>14.665297989437979</v>
      </c>
      <c r="AE44" s="145">
        <f t="shared" si="40"/>
        <v>-36.930999999999997</v>
      </c>
      <c r="AF44" s="145">
        <f t="shared" si="41"/>
        <v>23.277138758536481</v>
      </c>
      <c r="AG44" s="772">
        <f>+IF(D44="RONALD WILLIAN GARIBAY ESCUDERO",AC44+AD44+AE44+AF44+70,AC44+AD44+AE44+AF44)+70-53</f>
        <v>59.264436747974457</v>
      </c>
      <c r="AH44" s="146">
        <f t="shared" si="42"/>
        <v>104.50188320774845</v>
      </c>
      <c r="AI44" s="156">
        <f t="shared" si="43"/>
        <v>7.855016409522019</v>
      </c>
      <c r="AJ44" s="156">
        <f t="shared" si="44"/>
        <v>90.763999553417321</v>
      </c>
      <c r="AK44" s="88"/>
      <c r="AL44" s="716">
        <f t="shared" si="45"/>
        <v>2777.3407969251539</v>
      </c>
      <c r="AM44" s="596"/>
    </row>
    <row r="45" spans="1:39" ht="15.75" customHeight="1">
      <c r="A45" s="991" t="s">
        <v>1347</v>
      </c>
      <c r="B45" s="595">
        <v>45639</v>
      </c>
      <c r="C45" s="595">
        <v>45637</v>
      </c>
      <c r="D45" t="s">
        <v>1177</v>
      </c>
      <c r="E45" s="6">
        <v>20606094010</v>
      </c>
      <c r="G45" s="80">
        <v>100</v>
      </c>
      <c r="H45" t="s">
        <v>69</v>
      </c>
      <c r="I45" s="596">
        <v>8.4499999999999993</v>
      </c>
      <c r="J45" s="596">
        <v>1.4</v>
      </c>
      <c r="K45" s="138">
        <f t="shared" si="34"/>
        <v>8.3316999999999997</v>
      </c>
      <c r="L45" s="139">
        <v>0.36099999999999999</v>
      </c>
      <c r="M45" s="139">
        <v>0.34699999999999998</v>
      </c>
      <c r="N45" s="159">
        <v>0.41199999999999998</v>
      </c>
      <c r="O45" s="139">
        <f t="shared" si="35"/>
        <v>0.38</v>
      </c>
      <c r="P45" s="629">
        <v>90</v>
      </c>
      <c r="Q45" s="760">
        <v>89.33</v>
      </c>
      <c r="R45" s="706">
        <v>2705.45</v>
      </c>
      <c r="S45" s="765">
        <f>IF((90+ROUNDDOWN(O45,1)*100)&lt;95,95,(90+ROUNDDOWN(O45,1)*100))</f>
        <v>120</v>
      </c>
      <c r="U45" s="953">
        <v>120</v>
      </c>
      <c r="V45" s="715">
        <v>1.1023000000000001</v>
      </c>
      <c r="Y45">
        <v>20</v>
      </c>
      <c r="Z45" s="143">
        <f t="shared" si="36"/>
        <v>30</v>
      </c>
      <c r="AA45" s="144">
        <f t="shared" si="37"/>
        <v>50</v>
      </c>
      <c r="AB45" s="145">
        <f t="shared" si="38"/>
        <v>787.28900496999995</v>
      </c>
      <c r="AC45" s="145">
        <f>+(S45-T45)*V45-'data 1'!$F$4</f>
        <v>52.27600000000001</v>
      </c>
      <c r="AD45" s="145">
        <f t="shared" si="39"/>
        <v>-6.8931535907045181</v>
      </c>
      <c r="AE45" s="145">
        <f t="shared" si="40"/>
        <v>-14.884999999999998</v>
      </c>
      <c r="AF45" s="145">
        <f t="shared" si="41"/>
        <v>-48.371202691094538</v>
      </c>
      <c r="AG45" s="772">
        <f>+IF(D45="RONALD WILLIAN GARIBAY ESCUDERO",AC45+AD45+AE45+AF45+70,AC45+AD45+AE45+AF45)+70-53</f>
        <v>-0.87335628179904035</v>
      </c>
      <c r="AH45" s="146">
        <f t="shared" si="42"/>
        <v>92.118578797105243</v>
      </c>
      <c r="AI45" s="156">
        <f t="shared" si="43"/>
        <v>36.809036235314558</v>
      </c>
      <c r="AJ45" s="156">
        <f t="shared" si="44"/>
        <v>97.694204124735279</v>
      </c>
      <c r="AK45" s="88"/>
      <c r="AL45" s="716">
        <f t="shared" si="45"/>
        <v>6559.4558027085486</v>
      </c>
      <c r="AM45" s="596"/>
    </row>
    <row r="46" spans="1:39" ht="15.75" customHeight="1">
      <c r="A46" s="991" t="s">
        <v>1348</v>
      </c>
      <c r="B46" s="595">
        <v>45639</v>
      </c>
      <c r="C46" s="595">
        <v>45637</v>
      </c>
      <c r="D46" t="s">
        <v>129</v>
      </c>
      <c r="E46" s="79">
        <v>10423109730</v>
      </c>
      <c r="G46" s="80">
        <v>16</v>
      </c>
      <c r="H46" t="s">
        <v>69</v>
      </c>
      <c r="I46" s="596">
        <v>1.92</v>
      </c>
      <c r="J46" s="596">
        <v>1.2</v>
      </c>
      <c r="K46" s="138">
        <f t="shared" si="34"/>
        <v>1.89696</v>
      </c>
      <c r="L46" s="139">
        <v>0.56299999999999994</v>
      </c>
      <c r="M46" s="139">
        <v>0.54</v>
      </c>
      <c r="N46" s="598">
        <v>0.59499999999999997</v>
      </c>
      <c r="O46" s="139">
        <f t="shared" si="35"/>
        <v>0.56799999999999995</v>
      </c>
      <c r="P46" s="629">
        <v>90</v>
      </c>
      <c r="Q46" s="760">
        <v>89.62</v>
      </c>
      <c r="R46" s="706">
        <v>2705.45</v>
      </c>
      <c r="S46" s="842">
        <v>130</v>
      </c>
      <c r="U46" s="953">
        <v>100</v>
      </c>
      <c r="V46" s="715">
        <v>1.1023000000000001</v>
      </c>
      <c r="Z46" s="143">
        <f t="shared" si="36"/>
        <v>30</v>
      </c>
      <c r="AA46" s="144">
        <f t="shared" si="37"/>
        <v>30</v>
      </c>
      <c r="AB46" s="145">
        <f t="shared" si="38"/>
        <v>1291.7920278919999</v>
      </c>
      <c r="AC46" s="145">
        <f>+(S46-T46)*V46-'data 1'!$F$4</f>
        <v>63.299000000000007</v>
      </c>
      <c r="AD46" s="145">
        <f t="shared" si="39"/>
        <v>-6.1443301323789248</v>
      </c>
      <c r="AE46" s="145">
        <f t="shared" si="40"/>
        <v>-36.930999999999997</v>
      </c>
      <c r="AF46" s="145">
        <f t="shared" si="41"/>
        <v>-12.869376144335012</v>
      </c>
      <c r="AG46" s="772">
        <f>+IF(D46="RONALD WILLIAN GARIBAY ESCUDERO",AC46+AD46+AE46+AF46+70,AC46+AD46+AE46+AF46)</f>
        <v>77.354293723286077</v>
      </c>
      <c r="AH46" s="146">
        <f t="shared" si="42"/>
        <v>32.815617204771726</v>
      </c>
      <c r="AI46" s="156">
        <f t="shared" si="43"/>
        <v>46.468600830699096</v>
      </c>
      <c r="AJ46" s="156">
        <f t="shared" si="44"/>
        <v>33.247430566475671</v>
      </c>
      <c r="AK46" s="88"/>
      <c r="AL46" s="716">
        <f t="shared" si="45"/>
        <v>2450.477805230008</v>
      </c>
      <c r="AM46" s="596"/>
    </row>
    <row r="47" spans="1:39" ht="15.75" customHeight="1">
      <c r="A47" s="991" t="s">
        <v>1349</v>
      </c>
      <c r="B47" s="595">
        <v>45639</v>
      </c>
      <c r="C47" s="595">
        <v>45637</v>
      </c>
      <c r="D47" t="s">
        <v>145</v>
      </c>
      <c r="E47" s="6">
        <v>10437450094</v>
      </c>
      <c r="G47" s="80">
        <v>68</v>
      </c>
      <c r="H47" t="s">
        <v>69</v>
      </c>
      <c r="I47" s="596">
        <v>6.09</v>
      </c>
      <c r="J47" s="596">
        <v>1.3</v>
      </c>
      <c r="K47" s="138">
        <f t="shared" si="34"/>
        <v>6.0108299999999995</v>
      </c>
      <c r="L47" s="139">
        <v>0.46600000000000003</v>
      </c>
      <c r="M47" s="139">
        <v>0.44700000000000001</v>
      </c>
      <c r="N47" s="598">
        <v>0.48599999999999999</v>
      </c>
      <c r="O47" s="139">
        <f t="shared" si="35"/>
        <v>0.46700000000000003</v>
      </c>
      <c r="P47" s="629">
        <v>90</v>
      </c>
      <c r="Q47" s="760">
        <v>89.78</v>
      </c>
      <c r="R47" s="706">
        <v>2705.45</v>
      </c>
      <c r="S47" s="765">
        <f>IF((90+ROUNDDOWN(O47,1)*100)&lt;95,95,(90+ROUNDDOWN(O47,1)*100))</f>
        <v>130</v>
      </c>
      <c r="U47" s="953">
        <v>100</v>
      </c>
      <c r="V47" s="715">
        <v>1.1023000000000001</v>
      </c>
      <c r="Y47">
        <v>10</v>
      </c>
      <c r="Z47" s="143">
        <f t="shared" si="36"/>
        <v>30</v>
      </c>
      <c r="AA47" s="144">
        <f t="shared" si="37"/>
        <v>40</v>
      </c>
      <c r="AB47" s="145">
        <f t="shared" si="38"/>
        <v>1019.7053609604999</v>
      </c>
      <c r="AC47" s="145">
        <f>+(S47-T47)*V47-'data 1'!$F$4</f>
        <v>63.299000000000007</v>
      </c>
      <c r="AD47" s="145">
        <f t="shared" si="39"/>
        <v>-2.9443616208819852</v>
      </c>
      <c r="AE47" s="145">
        <f t="shared" si="40"/>
        <v>-25.908000000000001</v>
      </c>
      <c r="AF47" s="145">
        <f t="shared" si="41"/>
        <v>-2.5784704089230019</v>
      </c>
      <c r="AG47" s="772">
        <f>+IF(D47="RONALD WILLIAN GARIBAY ESCUDERO",AC47+AD47+AE47+AF47+70,AC47+AD47+AE47+AF47)+70-53</f>
        <v>48.868167970195017</v>
      </c>
      <c r="AH47" s="146">
        <f t="shared" si="42"/>
        <v>86.220201271895974</v>
      </c>
      <c r="AI47" s="156">
        <f t="shared" si="43"/>
        <v>38.531132987442085</v>
      </c>
      <c r="AJ47" s="156">
        <f t="shared" si="44"/>
        <v>86.616953493800011</v>
      </c>
      <c r="AK47" s="88"/>
      <c r="AL47" s="1019">
        <f t="shared" si="45"/>
        <v>6129.2755748222007</v>
      </c>
      <c r="AM47" s="596"/>
    </row>
    <row r="48" spans="1:39" ht="15.75" customHeight="1">
      <c r="A48" s="991" t="s">
        <v>1350</v>
      </c>
      <c r="B48" s="595">
        <v>45639</v>
      </c>
      <c r="C48" s="595">
        <v>45637</v>
      </c>
      <c r="D48" t="s">
        <v>145</v>
      </c>
      <c r="E48" s="79">
        <v>10423109730</v>
      </c>
      <c r="G48" s="80">
        <v>32</v>
      </c>
      <c r="H48" t="s">
        <v>69</v>
      </c>
      <c r="I48" s="596">
        <v>3.12</v>
      </c>
      <c r="J48" s="596">
        <v>1.4</v>
      </c>
      <c r="K48" s="138">
        <f t="shared" si="34"/>
        <v>3.0763199999999999</v>
      </c>
      <c r="L48" s="139">
        <v>0.81799999999999995</v>
      </c>
      <c r="M48" s="139">
        <v>0.78500000000000003</v>
      </c>
      <c r="N48" s="159">
        <v>0.78500000000000003</v>
      </c>
      <c r="O48" s="139">
        <f t="shared" si="35"/>
        <v>0.78500000000000003</v>
      </c>
      <c r="P48" s="629">
        <v>90</v>
      </c>
      <c r="Q48" s="760">
        <v>89.81</v>
      </c>
      <c r="R48" s="706">
        <v>2705.45</v>
      </c>
      <c r="S48" s="765">
        <f>IF((90+ROUNDDOWN(O48,1)*100)&lt;95,95,(90+ROUNDDOWN(O48,1)*100))</f>
        <v>160</v>
      </c>
      <c r="U48" s="953">
        <v>120</v>
      </c>
      <c r="V48" s="715">
        <v>1.1023000000000001</v>
      </c>
      <c r="Y48">
        <v>10</v>
      </c>
      <c r="Z48" s="143">
        <f t="shared" si="36"/>
        <v>30</v>
      </c>
      <c r="AA48" s="144">
        <f t="shared" si="37"/>
        <v>40</v>
      </c>
      <c r="AB48" s="145">
        <f t="shared" si="38"/>
        <v>1793.0236944775002</v>
      </c>
      <c r="AC48" s="145">
        <f>+(S48-T48)*V48-'data 1'!$F$4</f>
        <v>96.367999999999995</v>
      </c>
      <c r="AD48" s="145">
        <f t="shared" si="39"/>
        <v>-4.4293791336969468</v>
      </c>
      <c r="AE48" s="145">
        <f t="shared" si="40"/>
        <v>-25.908000000000001</v>
      </c>
      <c r="AF48" s="145">
        <f t="shared" si="41"/>
        <v>84.464572255255291</v>
      </c>
      <c r="AG48" s="772">
        <f>+IF(D48="RONALD WILLIAN GARIBAY ESCUDERO",AC48+AD48+AE48+AF48+70,AC48+AD48+AE48+AF48)+70-53</f>
        <v>167.49519312155834</v>
      </c>
      <c r="AH48" s="146">
        <f t="shared" si="42"/>
        <v>77.485167875389422</v>
      </c>
      <c r="AI48" s="156">
        <f t="shared" si="43"/>
        <v>83.854796765957161</v>
      </c>
      <c r="AJ48" s="156">
        <f t="shared" si="44"/>
        <v>74.516550838462038</v>
      </c>
      <c r="AK48" s="88"/>
      <c r="AL48" s="1019">
        <f t="shared" si="45"/>
        <v>5515.914651795023</v>
      </c>
      <c r="AM48" s="596"/>
    </row>
    <row r="49" spans="1:39" ht="15.75" customHeight="1">
      <c r="A49" s="991" t="s">
        <v>1351</v>
      </c>
      <c r="B49" s="595">
        <v>45640</v>
      </c>
      <c r="C49" s="595">
        <v>45637</v>
      </c>
      <c r="D49" t="s">
        <v>129</v>
      </c>
      <c r="E49" s="79">
        <v>10423109730</v>
      </c>
      <c r="G49" s="80" t="s">
        <v>1434</v>
      </c>
      <c r="H49" t="s">
        <v>69</v>
      </c>
      <c r="I49" s="596">
        <v>32.54</v>
      </c>
      <c r="J49" s="596">
        <v>1.4</v>
      </c>
      <c r="K49" s="138">
        <f t="shared" si="34"/>
        <v>32.084440000000001</v>
      </c>
      <c r="L49" s="139">
        <v>0.435</v>
      </c>
      <c r="M49" s="139">
        <v>0.41799999999999998</v>
      </c>
      <c r="N49" s="159">
        <v>0.41799999999999998</v>
      </c>
      <c r="O49" s="139">
        <f t="shared" si="35"/>
        <v>0.41799999999999998</v>
      </c>
      <c r="P49" s="629">
        <v>90</v>
      </c>
      <c r="Q49" s="760">
        <v>89.72</v>
      </c>
      <c r="R49" s="706">
        <v>2705.45</v>
      </c>
      <c r="S49" s="765">
        <v>120</v>
      </c>
      <c r="U49" s="953">
        <v>100</v>
      </c>
      <c r="V49" s="715">
        <v>1.1023000000000001</v>
      </c>
      <c r="Z49" s="143">
        <f t="shared" si="36"/>
        <v>30</v>
      </c>
      <c r="AA49" s="144">
        <f t="shared" si="37"/>
        <v>30</v>
      </c>
      <c r="AB49" s="145">
        <f t="shared" si="38"/>
        <v>915.0967106669998</v>
      </c>
      <c r="AC49" s="145">
        <f>+(S49-T49)*V49-'data 1'!$F$4</f>
        <v>52.27600000000001</v>
      </c>
      <c r="AD49" s="145">
        <f t="shared" si="39"/>
        <v>-3.4980808176300142</v>
      </c>
      <c r="AE49" s="145">
        <f t="shared" si="40"/>
        <v>-36.930999999999997</v>
      </c>
      <c r="AF49" s="145">
        <f t="shared" si="41"/>
        <v>43.80470267883404</v>
      </c>
      <c r="AG49" s="772">
        <f>+IF(D49="RONALD WILLIAN GARIBAY ESCUDERO",AC49+AD49+AE49+AF49+70,AC49+AD49+AE49+AF49)</f>
        <v>125.65162186120403</v>
      </c>
      <c r="AH49" s="146">
        <f t="shared" si="42"/>
        <v>429.32092329727368</v>
      </c>
      <c r="AI49" s="156">
        <f t="shared" si="43"/>
        <v>35.94386575053008</v>
      </c>
      <c r="AJ49" s="156">
        <f t="shared" si="44"/>
        <v>413.83033638352362</v>
      </c>
      <c r="AK49" s="88"/>
      <c r="AL49" s="716">
        <f t="shared" si="45"/>
        <v>29360.365507592716</v>
      </c>
      <c r="AM49" s="596"/>
    </row>
    <row r="50" spans="1:39" ht="15.75" customHeight="1">
      <c r="A50" s="991" t="s">
        <v>1355</v>
      </c>
      <c r="B50" s="595">
        <v>45652</v>
      </c>
      <c r="C50" s="595">
        <v>45638</v>
      </c>
      <c r="D50" t="s">
        <v>1029</v>
      </c>
      <c r="E50">
        <v>10421580605</v>
      </c>
      <c r="G50" s="80" t="s">
        <v>1434</v>
      </c>
      <c r="H50" t="s">
        <v>69</v>
      </c>
      <c r="I50" s="596">
        <v>33.479999999999997</v>
      </c>
      <c r="J50" s="596">
        <v>18.7</v>
      </c>
      <c r="K50" s="138">
        <f t="shared" si="34"/>
        <v>27.219239999999999</v>
      </c>
      <c r="L50" s="139">
        <v>0.108</v>
      </c>
      <c r="M50" s="139">
        <v>9.8000000000000004E-2</v>
      </c>
      <c r="N50" s="598">
        <v>0.10299999999999999</v>
      </c>
      <c r="O50" s="139">
        <f t="shared" si="35"/>
        <v>0.10100000000000001</v>
      </c>
      <c r="P50" s="629">
        <v>85</v>
      </c>
      <c r="Q50" s="760">
        <v>89.63</v>
      </c>
      <c r="R50" s="954">
        <v>2684.35</v>
      </c>
      <c r="S50" s="765">
        <v>110</v>
      </c>
      <c r="U50" s="953">
        <v>90</v>
      </c>
      <c r="V50" s="715">
        <v>1.1023000000000001</v>
      </c>
      <c r="Z50" s="143">
        <f t="shared" si="36"/>
        <v>30</v>
      </c>
      <c r="AA50" s="144">
        <f t="shared" si="37"/>
        <v>30</v>
      </c>
      <c r="AB50" s="145">
        <f t="shared" si="38"/>
        <v>91.187709629250023</v>
      </c>
      <c r="AC50" s="145">
        <f>+(S50-T50)*V50-'data 1'!$F$4</f>
        <v>41.253</v>
      </c>
      <c r="AD50" s="145">
        <f t="shared" si="39"/>
        <v>14.299903925801987</v>
      </c>
      <c r="AE50" s="145">
        <f t="shared" si="40"/>
        <v>-36.930999999999997</v>
      </c>
      <c r="AF50" s="145">
        <f t="shared" si="41"/>
        <v>17.942370054570482</v>
      </c>
      <c r="AG50" s="772">
        <f>+IF(D50="RONALD WILLIAN GARIBAY ESCUDERO",AC50+AD50+AE50+AF50+70,AC50+AD50+AE50+AF50)+70-53</f>
        <v>53.564273980372462</v>
      </c>
      <c r="AH50" s="146">
        <f t="shared" si="42"/>
        <v>90.33628281284706</v>
      </c>
      <c r="AI50" s="156">
        <f t="shared" si="43"/>
        <v>10.099446609078008</v>
      </c>
      <c r="AJ50" s="156">
        <f t="shared" si="44"/>
        <v>80.117126370169146</v>
      </c>
      <c r="AK50" s="88"/>
      <c r="AL50" s="1019">
        <f t="shared" si="45"/>
        <v>2482.0601534488674</v>
      </c>
      <c r="AM50" s="596"/>
    </row>
    <row r="51" spans="1:39" ht="15.75" customHeight="1">
      <c r="A51" s="991" t="s">
        <v>1356</v>
      </c>
      <c r="B51" s="595">
        <v>45644</v>
      </c>
      <c r="C51" s="595">
        <v>45638</v>
      </c>
      <c r="D51" t="s">
        <v>1403</v>
      </c>
      <c r="E51">
        <v>10479968131</v>
      </c>
      <c r="G51" s="80">
        <v>73</v>
      </c>
      <c r="H51" t="s">
        <v>116</v>
      </c>
      <c r="I51" s="596">
        <v>5.76</v>
      </c>
      <c r="J51" s="596">
        <v>9.9499999999999993</v>
      </c>
      <c r="K51" s="138">
        <f t="shared" si="34"/>
        <v>5.1868799999999995</v>
      </c>
      <c r="L51" s="139">
        <v>0.45700000000000002</v>
      </c>
      <c r="M51" s="139">
        <v>0.438</v>
      </c>
      <c r="N51" s="159">
        <v>0.438</v>
      </c>
      <c r="O51" s="139">
        <f t="shared" si="35"/>
        <v>0.438</v>
      </c>
      <c r="P51" s="629">
        <v>90</v>
      </c>
      <c r="Q51" s="760">
        <v>89.42</v>
      </c>
      <c r="R51" s="954">
        <v>2684.35</v>
      </c>
      <c r="S51" s="765">
        <f>IF((90+ROUNDDOWN(O51,1)*100)&lt;95,95,(90+ROUNDDOWN(O51,1)*100))</f>
        <v>130</v>
      </c>
      <c r="U51" s="953">
        <v>120</v>
      </c>
      <c r="V51" s="715">
        <v>1.1023000000000001</v>
      </c>
      <c r="Y51">
        <v>10</v>
      </c>
      <c r="Z51" s="143">
        <f t="shared" si="36"/>
        <v>30</v>
      </c>
      <c r="AA51" s="144">
        <f t="shared" si="37"/>
        <v>40</v>
      </c>
      <c r="AB51" s="145">
        <f t="shared" si="38"/>
        <v>926.88744057100007</v>
      </c>
      <c r="AC51" s="145">
        <f>+(S51-T51)*V51-'data 1'!$F$4</f>
        <v>63.299000000000007</v>
      </c>
      <c r="AD51" s="145">
        <f t="shared" si="39"/>
        <v>-7.4924059730529793</v>
      </c>
      <c r="AE51" s="145">
        <f t="shared" si="40"/>
        <v>-25.908000000000001</v>
      </c>
      <c r="AF51" s="145">
        <f t="shared" si="41"/>
        <v>48.02477891834905</v>
      </c>
      <c r="AG51" s="772">
        <f>+IF(D51="RONALD WILLIAN GARIBAY ESCUDERO",AC51+AD51+AE51+AF51+70,AC51+AD51+AE51+AF51)+70-53</f>
        <v>94.92337294529608</v>
      </c>
      <c r="AH51" s="146">
        <f t="shared" si="42"/>
        <v>72.671836501367437</v>
      </c>
      <c r="AI51" s="156">
        <f t="shared" si="43"/>
        <v>56.149120220733046</v>
      </c>
      <c r="AJ51" s="156">
        <f t="shared" si="44"/>
        <v>70.102239104814657</v>
      </c>
      <c r="AK51" s="88"/>
      <c r="AL51" s="716">
        <f t="shared" si="45"/>
        <v>4807.6539277489082</v>
      </c>
      <c r="AM51" s="596"/>
    </row>
    <row r="52" spans="1:39" ht="15.75" customHeight="1">
      <c r="A52" s="991" t="s">
        <v>1357</v>
      </c>
      <c r="B52" s="595">
        <v>45644</v>
      </c>
      <c r="C52" s="595">
        <v>45638</v>
      </c>
      <c r="D52" t="s">
        <v>1403</v>
      </c>
      <c r="E52">
        <v>10479968131</v>
      </c>
      <c r="G52" s="80">
        <v>52</v>
      </c>
      <c r="H52" t="s">
        <v>108</v>
      </c>
      <c r="I52" s="596">
        <v>3.85</v>
      </c>
      <c r="J52" s="596">
        <v>17.75</v>
      </c>
      <c r="K52" s="138">
        <f t="shared" si="34"/>
        <v>3.1666250000000002</v>
      </c>
      <c r="L52" s="139">
        <v>0.44700000000000001</v>
      </c>
      <c r="M52" s="139">
        <v>0.42899999999999999</v>
      </c>
      <c r="N52" s="159">
        <v>0.42899999999999999</v>
      </c>
      <c r="O52" s="139">
        <f t="shared" si="35"/>
        <v>0.42899999999999999</v>
      </c>
      <c r="P52" s="629">
        <v>90</v>
      </c>
      <c r="Q52" s="760">
        <v>89.71</v>
      </c>
      <c r="R52" s="954">
        <v>2684.35</v>
      </c>
      <c r="S52" s="765">
        <f>IF((90+ROUNDDOWN(O52,1)*100)&lt;95,95,(90+ROUNDDOWN(O52,1)*100))</f>
        <v>130</v>
      </c>
      <c r="U52" s="953">
        <v>120</v>
      </c>
      <c r="V52" s="715">
        <v>1.1023000000000001</v>
      </c>
      <c r="Y52">
        <v>10</v>
      </c>
      <c r="Z52" s="143">
        <f t="shared" si="36"/>
        <v>30</v>
      </c>
      <c r="AA52" s="144">
        <f t="shared" si="37"/>
        <v>40</v>
      </c>
      <c r="AB52" s="145">
        <f t="shared" si="38"/>
        <v>903.99130823049995</v>
      </c>
      <c r="AC52" s="145">
        <f>+(S52-T52)*V52-'data 1'!$F$4</f>
        <v>63.299000000000007</v>
      </c>
      <c r="AD52" s="145">
        <f t="shared" si="39"/>
        <v>-3.6642291793815787</v>
      </c>
      <c r="AE52" s="145">
        <f t="shared" si="40"/>
        <v>-25.908000000000001</v>
      </c>
      <c r="AF52" s="145">
        <f t="shared" si="41"/>
        <v>45.644711828139037</v>
      </c>
      <c r="AG52" s="772">
        <f>+IF(D52="RONALD WILLIAN GARIBAY ESCUDERO",AC52+AD52+AE52+AF52+70,AC52+AD52+AE52+AF52)+70-53</f>
        <v>96.371482648757478</v>
      </c>
      <c r="AH52" s="146">
        <f t="shared" si="42"/>
        <v>43.536557445643993</v>
      </c>
      <c r="AI52" s="156">
        <f t="shared" si="43"/>
        <v>55.098588081271544</v>
      </c>
      <c r="AJ52" s="156">
        <f t="shared" si="44"/>
        <v>41.918478133152249</v>
      </c>
      <c r="AK52" s="88"/>
      <c r="AL52" s="716">
        <f t="shared" si="45"/>
        <v>2862.6014764254073</v>
      </c>
      <c r="AM52" s="596"/>
    </row>
    <row r="53" spans="1:39" ht="15.75" customHeight="1">
      <c r="A53" s="991" t="s">
        <v>1358</v>
      </c>
      <c r="B53" s="595">
        <v>45644</v>
      </c>
      <c r="C53" s="595">
        <v>45638</v>
      </c>
      <c r="D53" t="s">
        <v>1403</v>
      </c>
      <c r="E53">
        <v>10479968131</v>
      </c>
      <c r="G53" s="80">
        <v>27</v>
      </c>
      <c r="H53" t="s">
        <v>108</v>
      </c>
      <c r="I53" s="596">
        <v>2.0499999999999998</v>
      </c>
      <c r="J53" s="596">
        <v>16.899999999999999</v>
      </c>
      <c r="K53" s="138">
        <f t="shared" si="34"/>
        <v>1.7035499999999999</v>
      </c>
      <c r="L53" s="139">
        <v>0.35499999999999998</v>
      </c>
      <c r="M53" s="139">
        <v>0.34</v>
      </c>
      <c r="N53" s="159">
        <v>0.34</v>
      </c>
      <c r="O53" s="139">
        <f t="shared" si="35"/>
        <v>0.34</v>
      </c>
      <c r="P53" s="629">
        <v>90</v>
      </c>
      <c r="Q53" s="760">
        <v>89.33</v>
      </c>
      <c r="R53" s="954">
        <v>2684.35</v>
      </c>
      <c r="S53" s="765">
        <f>IF((90+ROUNDDOWN(O53,1)*100)&lt;95,95,(90+ROUNDDOWN(O53,1)*100))</f>
        <v>120</v>
      </c>
      <c r="U53" s="953">
        <v>120</v>
      </c>
      <c r="V53" s="715">
        <v>1.1023000000000001</v>
      </c>
      <c r="Y53">
        <v>10</v>
      </c>
      <c r="Z53" s="143">
        <f t="shared" si="36"/>
        <v>30</v>
      </c>
      <c r="AA53" s="144">
        <f t="shared" si="37"/>
        <v>40</v>
      </c>
      <c r="AB53" s="145">
        <f t="shared" si="38"/>
        <v>688.59699953000006</v>
      </c>
      <c r="AC53" s="145">
        <f>+(S53-T53)*V53-'data 1'!$F$4</f>
        <v>52.27600000000001</v>
      </c>
      <c r="AD53" s="145">
        <f t="shared" si="39"/>
        <v>-6.7232655273925159</v>
      </c>
      <c r="AE53" s="145">
        <f t="shared" si="40"/>
        <v>-25.908000000000001</v>
      </c>
      <c r="AF53" s="145">
        <f t="shared" si="41"/>
        <v>37.876138925497393</v>
      </c>
      <c r="AG53" s="772">
        <f>+IF(D53="RONALD WILLIAN GARIBAY ESCUDERO",AC53+AD53+AE53+AF53+70,AC53+AD53+AE53+AF53)+70-53</f>
        <v>74.520873398104897</v>
      </c>
      <c r="AH53" s="146">
        <f t="shared" si="42"/>
        <v>18.522075116633793</v>
      </c>
      <c r="AI53" s="156">
        <f t="shared" si="43"/>
        <v>43.57303162094253</v>
      </c>
      <c r="AJ53" s="156">
        <f t="shared" si="44"/>
        <v>17.872503080648713</v>
      </c>
      <c r="AK53" s="88"/>
      <c r="AL53" s="716">
        <f t="shared" si="45"/>
        <v>1173.0594185493314</v>
      </c>
      <c r="AM53" s="596"/>
    </row>
    <row r="54" spans="1:39" ht="15.75" customHeight="1">
      <c r="A54" s="991" t="s">
        <v>1359</v>
      </c>
      <c r="B54" s="595">
        <v>45644</v>
      </c>
      <c r="C54" s="595">
        <v>45638</v>
      </c>
      <c r="D54" t="s">
        <v>1403</v>
      </c>
      <c r="E54">
        <v>10479968131</v>
      </c>
      <c r="G54" s="80">
        <v>25</v>
      </c>
      <c r="H54" t="s">
        <v>108</v>
      </c>
      <c r="I54" s="596">
        <v>1.92</v>
      </c>
      <c r="J54" s="596">
        <v>16.5</v>
      </c>
      <c r="K54" s="138">
        <f t="shared" si="34"/>
        <v>1.6032</v>
      </c>
      <c r="L54" s="139">
        <v>0.48099999999999998</v>
      </c>
      <c r="M54" s="139">
        <v>0.46200000000000002</v>
      </c>
      <c r="N54" s="159">
        <v>0.46200000000000002</v>
      </c>
      <c r="O54" s="139">
        <f t="shared" si="35"/>
        <v>0.46200000000000002</v>
      </c>
      <c r="P54" s="629">
        <v>90</v>
      </c>
      <c r="Q54" s="760">
        <v>89.62</v>
      </c>
      <c r="R54" s="954">
        <v>2684.35</v>
      </c>
      <c r="S54" s="765">
        <f>IF((90+ROUNDDOWN(O54,1)*100)&lt;95,95,(90+ROUNDDOWN(O54,1)*100))</f>
        <v>130</v>
      </c>
      <c r="U54" s="953">
        <v>120</v>
      </c>
      <c r="V54" s="715">
        <v>1.1023000000000001</v>
      </c>
      <c r="Y54">
        <v>10</v>
      </c>
      <c r="Z54" s="143">
        <f t="shared" si="36"/>
        <v>30</v>
      </c>
      <c r="AA54" s="144">
        <f t="shared" si="37"/>
        <v>40</v>
      </c>
      <c r="AB54" s="145">
        <f t="shared" si="38"/>
        <v>987.94379347900008</v>
      </c>
      <c r="AC54" s="145">
        <f>+(S54-T54)*V54-'data 1'!$F$4</f>
        <v>63.299000000000007</v>
      </c>
      <c r="AD54" s="145">
        <f t="shared" si="39"/>
        <v>-5.1666111965389385</v>
      </c>
      <c r="AE54" s="145">
        <f t="shared" si="40"/>
        <v>-25.908000000000001</v>
      </c>
      <c r="AF54" s="145">
        <f t="shared" si="41"/>
        <v>48.132192872538909</v>
      </c>
      <c r="AG54" s="772">
        <f>+IF(D54="RONALD WILLIAN GARIBAY ESCUDERO",AC54+AD54+AE54+AF54+70,AC54+AD54+AE54+AF54)+70-53</f>
        <v>97.356581675999962</v>
      </c>
      <c r="AH54" s="146">
        <f t="shared" si="42"/>
        <v>23.694458575802155</v>
      </c>
      <c r="AI54" s="156">
        <f t="shared" si="43"/>
        <v>59.230050947379048</v>
      </c>
      <c r="AJ54" s="156">
        <f t="shared" si="44"/>
        <v>22.855001727827812</v>
      </c>
      <c r="AK54" s="88"/>
      <c r="AL54" s="716">
        <f t="shared" si="45"/>
        <v>1583.8714897055329</v>
      </c>
      <c r="AM54" s="596"/>
    </row>
    <row r="55" spans="1:39" ht="15.75" customHeight="1">
      <c r="A55" s="991" t="s">
        <v>1360</v>
      </c>
      <c r="B55" s="595">
        <v>45647</v>
      </c>
      <c r="C55" s="595">
        <v>45638</v>
      </c>
      <c r="D55" t="s">
        <v>1404</v>
      </c>
      <c r="E55">
        <v>20612275603</v>
      </c>
      <c r="G55" s="80">
        <v>13</v>
      </c>
      <c r="H55" t="s">
        <v>69</v>
      </c>
      <c r="I55" s="596">
        <v>1.28</v>
      </c>
      <c r="J55" s="596">
        <v>1.2</v>
      </c>
      <c r="K55" s="138">
        <f t="shared" si="34"/>
        <v>1.26464</v>
      </c>
      <c r="L55" s="139">
        <v>0.193</v>
      </c>
      <c r="M55" s="139">
        <v>0.183</v>
      </c>
      <c r="N55" s="159">
        <v>0.183</v>
      </c>
      <c r="O55" s="139">
        <f t="shared" si="35"/>
        <v>0.183</v>
      </c>
      <c r="P55" s="629">
        <v>90</v>
      </c>
      <c r="Q55" s="760">
        <v>89.25</v>
      </c>
      <c r="R55" s="954">
        <v>2684.35</v>
      </c>
      <c r="S55" s="802">
        <v>95</v>
      </c>
      <c r="U55" s="953">
        <v>100</v>
      </c>
      <c r="V55" s="715">
        <v>1.1023000000000001</v>
      </c>
      <c r="Z55" s="143">
        <f t="shared" si="36"/>
        <v>30</v>
      </c>
      <c r="AA55" s="144">
        <f t="shared" si="37"/>
        <v>30</v>
      </c>
      <c r="AB55" s="145">
        <f t="shared" si="38"/>
        <v>331.39816712349995</v>
      </c>
      <c r="AC55" s="145">
        <f>+(S55-T55)*V55-'data 1'!$F$4</f>
        <v>24.718500000000006</v>
      </c>
      <c r="AD55" s="145">
        <f t="shared" si="39"/>
        <v>-4.1235352347375001</v>
      </c>
      <c r="AE55" s="145">
        <f t="shared" si="40"/>
        <v>-36.930999999999997</v>
      </c>
      <c r="AF55" s="145">
        <f t="shared" si="41"/>
        <v>25.424906369625024</v>
      </c>
      <c r="AG55" s="772">
        <f>+IF(D55="RONALD WILLIAN GARIBAY ESCUDERO",AC55+AD55+AE55+AF55+70,AC55+AD55+AE55+AF55)+70-20</f>
        <v>59.08887113488754</v>
      </c>
      <c r="AH55" s="146">
        <f t="shared" si="42"/>
        <v>7.4686398456596912</v>
      </c>
      <c r="AI55" s="156">
        <f t="shared" si="43"/>
        <v>19.870306852987518</v>
      </c>
      <c r="AJ55" s="156">
        <f t="shared" si="44"/>
        <v>7.1411734667430151</v>
      </c>
      <c r="AK55" s="88"/>
      <c r="AL55" s="716">
        <f t="shared" si="45"/>
        <v>419.09937807106297</v>
      </c>
      <c r="AM55" s="596"/>
    </row>
    <row r="56" spans="1:39" ht="15.75" customHeight="1">
      <c r="A56" s="991" t="s">
        <v>1361</v>
      </c>
      <c r="B56" s="595">
        <v>45647</v>
      </c>
      <c r="C56" s="595">
        <v>45638</v>
      </c>
      <c r="D56" t="s">
        <v>1404</v>
      </c>
      <c r="E56">
        <v>20612275603</v>
      </c>
      <c r="G56" s="80">
        <v>28</v>
      </c>
      <c r="H56" t="s">
        <v>69</v>
      </c>
      <c r="I56" s="596">
        <v>2.91</v>
      </c>
      <c r="J56" s="596">
        <v>1.1000000000000001</v>
      </c>
      <c r="K56" s="138">
        <f t="shared" si="34"/>
        <v>2.87799</v>
      </c>
      <c r="L56" s="139">
        <v>0.10199999999999999</v>
      </c>
      <c r="M56" s="139">
        <v>9.0999999999999998E-2</v>
      </c>
      <c r="N56" s="159">
        <v>9.0999999999999998E-2</v>
      </c>
      <c r="O56" s="139">
        <f t="shared" si="35"/>
        <v>9.0999999999999998E-2</v>
      </c>
      <c r="P56" s="629">
        <v>80</v>
      </c>
      <c r="Q56" s="760">
        <v>89.42</v>
      </c>
      <c r="R56" s="954">
        <v>2684.35</v>
      </c>
      <c r="S56" s="802">
        <v>110</v>
      </c>
      <c r="U56" s="953">
        <v>100</v>
      </c>
      <c r="V56" s="715">
        <v>1.1023000000000001</v>
      </c>
      <c r="Z56" s="143">
        <f t="shared" si="36"/>
        <v>30</v>
      </c>
      <c r="AA56" s="144">
        <f t="shared" si="37"/>
        <v>30</v>
      </c>
      <c r="AB56" s="145">
        <f t="shared" si="38"/>
        <v>53.065471564000006</v>
      </c>
      <c r="AC56" s="145">
        <f>+(S56-T56)*V56-'data 1'!$F$4</f>
        <v>41.253</v>
      </c>
      <c r="AD56" s="145">
        <f t="shared" si="39"/>
        <v>27.371727771642007</v>
      </c>
      <c r="AE56" s="145">
        <f t="shared" si="40"/>
        <v>-36.930999999999997</v>
      </c>
      <c r="AF56" s="145">
        <f t="shared" si="41"/>
        <v>28.020668238980992</v>
      </c>
      <c r="AG56" s="772">
        <f>+IF(D56="RONALD WILLIAN GARIBAY ESCUDERO",AC56+AD56+AE56+AF56+70,AC56+AD56+AE56+AF56)+70-20</f>
        <v>109.71439601062298</v>
      </c>
      <c r="AH56" s="146">
        <f t="shared" si="42"/>
        <v>8.9998068138397933</v>
      </c>
      <c r="AI56" s="156">
        <f t="shared" si="43"/>
        <v>10.52140837183801</v>
      </c>
      <c r="AJ56" s="156">
        <f t="shared" si="44"/>
        <v>7.1833946878526209</v>
      </c>
      <c r="AK56" s="88"/>
      <c r="AL56" s="716">
        <f t="shared" si="45"/>
        <v>152.72189650647638</v>
      </c>
      <c r="AM56" s="596"/>
    </row>
    <row r="57" spans="1:39" ht="15.75" customHeight="1">
      <c r="A57" s="991" t="s">
        <v>1362</v>
      </c>
      <c r="B57" s="595">
        <v>45647</v>
      </c>
      <c r="C57" s="595">
        <v>45638</v>
      </c>
      <c r="D57" t="s">
        <v>1404</v>
      </c>
      <c r="E57">
        <v>20612275603</v>
      </c>
      <c r="G57" s="80">
        <v>14</v>
      </c>
      <c r="H57" t="s">
        <v>69</v>
      </c>
      <c r="I57" s="596">
        <v>1.32</v>
      </c>
      <c r="J57" s="596">
        <v>1.2</v>
      </c>
      <c r="K57" s="138">
        <f t="shared" si="34"/>
        <v>1.30416</v>
      </c>
      <c r="L57" s="139">
        <v>0.161</v>
      </c>
      <c r="M57" s="139">
        <v>0.151</v>
      </c>
      <c r="N57" s="159">
        <v>0.151</v>
      </c>
      <c r="O57" s="139">
        <f t="shared" si="35"/>
        <v>0.151</v>
      </c>
      <c r="P57" s="629">
        <v>90</v>
      </c>
      <c r="Q57" s="760">
        <v>89.71</v>
      </c>
      <c r="R57" s="954">
        <v>2684.35</v>
      </c>
      <c r="S57" s="802">
        <v>95</v>
      </c>
      <c r="U57" s="953">
        <v>100</v>
      </c>
      <c r="V57" s="715">
        <v>1.1023000000000001</v>
      </c>
      <c r="Z57" s="143">
        <f t="shared" si="36"/>
        <v>30</v>
      </c>
      <c r="AA57" s="144">
        <f t="shared" si="37"/>
        <v>30</v>
      </c>
      <c r="AB57" s="145">
        <f t="shared" si="38"/>
        <v>249.35477177950003</v>
      </c>
      <c r="AC57" s="145">
        <f>+(S57-T57)*V57-'data 1'!$F$4</f>
        <v>24.718500000000006</v>
      </c>
      <c r="AD57" s="145">
        <f t="shared" si="39"/>
        <v>-1.3300715724345287</v>
      </c>
      <c r="AE57" s="145">
        <f t="shared" si="40"/>
        <v>-36.930999999999997</v>
      </c>
      <c r="AF57" s="145">
        <f t="shared" si="41"/>
        <v>25.555947903855028</v>
      </c>
      <c r="AG57" s="772">
        <f>+IF(D57="RONALD WILLIAN GARIBAY ESCUDERO",AC57+AD57+AE57+AF57+70,AC57+AD57+AE57+AF57)+70-20</f>
        <v>62.013376331420503</v>
      </c>
      <c r="AH57" s="146">
        <f t="shared" si="42"/>
        <v>6.4581284356977724</v>
      </c>
      <c r="AI57" s="156">
        <f t="shared" si="43"/>
        <v>16.661180631504511</v>
      </c>
      <c r="AJ57" s="156">
        <f t="shared" si="44"/>
        <v>6.0765825452152384</v>
      </c>
      <c r="AK57" s="88"/>
      <c r="AL57" s="716">
        <f t="shared" si="45"/>
        <v>325.19851916395277</v>
      </c>
      <c r="AM57" s="596"/>
    </row>
    <row r="58" spans="1:39" ht="15.75" customHeight="1">
      <c r="A58" s="991" t="s">
        <v>1363</v>
      </c>
      <c r="B58" s="595">
        <v>45642</v>
      </c>
      <c r="C58" s="595">
        <v>45639</v>
      </c>
      <c r="D58" t="s">
        <v>324</v>
      </c>
      <c r="E58">
        <v>20603329059</v>
      </c>
      <c r="G58" s="80">
        <v>165</v>
      </c>
      <c r="H58" t="s">
        <v>108</v>
      </c>
      <c r="I58" s="596">
        <v>5.91</v>
      </c>
      <c r="J58" s="596">
        <v>16.75</v>
      </c>
      <c r="K58" s="138">
        <f t="shared" si="34"/>
        <v>4.9200749999999998</v>
      </c>
      <c r="L58" s="139">
        <v>0.27600000000000002</v>
      </c>
      <c r="M58" s="139">
        <v>0.26500000000000001</v>
      </c>
      <c r="N58" s="598">
        <v>0.29399999999999998</v>
      </c>
      <c r="O58" s="139">
        <f t="shared" si="35"/>
        <v>0.28000000000000003</v>
      </c>
      <c r="P58" s="629">
        <v>90</v>
      </c>
      <c r="Q58" s="760">
        <v>89.63</v>
      </c>
      <c r="R58" s="954">
        <v>2659.05</v>
      </c>
      <c r="S58" s="802">
        <f t="shared" ref="S58:S75" si="46">IF((80+ROUNDDOWN(O58,1)*100)&lt;95,95,(80+ROUNDDOWN(O58,1)*100))</f>
        <v>100</v>
      </c>
      <c r="U58" s="953">
        <v>100</v>
      </c>
      <c r="V58" s="715">
        <v>1.1023000000000001</v>
      </c>
      <c r="Z58" s="143">
        <f t="shared" si="36"/>
        <v>30</v>
      </c>
      <c r="AA58" s="144">
        <f t="shared" si="37"/>
        <v>30</v>
      </c>
      <c r="AB58" s="145">
        <f t="shared" si="38"/>
        <v>567.55288538000013</v>
      </c>
      <c r="AC58" s="145">
        <f>+(S58-T58)*V58-'data 1'!$F$4</f>
        <v>30.230000000000004</v>
      </c>
      <c r="AD58" s="145">
        <f t="shared" si="39"/>
        <v>-2.8806426402780363</v>
      </c>
      <c r="AE58" s="145">
        <f t="shared" si="40"/>
        <v>-36.930999999999997</v>
      </c>
      <c r="AF58" s="145">
        <f t="shared" si="41"/>
        <v>-10.113278489938009</v>
      </c>
      <c r="AG58" s="772">
        <f t="shared" ref="AG58:AG75" si="47">+IF(D58="RONALD WILLIAN GARIBAY ESCUDERO",AC58+AD58+AE58+AF58+70,AC58+AD58+AE58+AF58)+70-28-3</f>
        <v>19.305078869783962</v>
      </c>
      <c r="AH58" s="146">
        <f t="shared" si="42"/>
        <v>41.729508625310736</v>
      </c>
      <c r="AI58" s="156">
        <f t="shared" si="43"/>
        <v>35.435500378637947</v>
      </c>
      <c r="AJ58" s="156">
        <f t="shared" si="44"/>
        <v>42.509043513746157</v>
      </c>
      <c r="AK58" s="88"/>
      <c r="AL58" s="716">
        <f t="shared" si="45"/>
        <v>2792.402762536004</v>
      </c>
      <c r="AM58" s="596"/>
    </row>
    <row r="59" spans="1:39" ht="15.75" customHeight="1">
      <c r="A59" s="991" t="s">
        <v>1364</v>
      </c>
      <c r="B59" s="595">
        <v>45642</v>
      </c>
      <c r="C59" s="595">
        <v>45639</v>
      </c>
      <c r="D59" t="s">
        <v>324</v>
      </c>
      <c r="E59">
        <v>20603329059</v>
      </c>
      <c r="G59" s="80">
        <v>90</v>
      </c>
      <c r="H59" t="s">
        <v>108</v>
      </c>
      <c r="I59" s="596">
        <v>3.28</v>
      </c>
      <c r="J59" s="596">
        <v>16.95</v>
      </c>
      <c r="K59" s="138">
        <f t="shared" si="34"/>
        <v>2.72404</v>
      </c>
      <c r="L59" s="139">
        <v>0.216</v>
      </c>
      <c r="M59" s="139">
        <v>0.20599999999999999</v>
      </c>
      <c r="N59" s="139">
        <v>0.20599999999999999</v>
      </c>
      <c r="O59" s="139">
        <f t="shared" si="35"/>
        <v>0.20599999999999999</v>
      </c>
      <c r="P59" s="629">
        <v>90</v>
      </c>
      <c r="Q59" s="760">
        <v>89.72</v>
      </c>
      <c r="R59" s="954">
        <v>2659.05</v>
      </c>
      <c r="S59" s="802">
        <f t="shared" si="46"/>
        <v>100</v>
      </c>
      <c r="U59" s="953">
        <v>100</v>
      </c>
      <c r="V59" s="715">
        <v>1.1023000000000001</v>
      </c>
      <c r="Z59" s="143">
        <f t="shared" si="36"/>
        <v>30</v>
      </c>
      <c r="AA59" s="144">
        <f t="shared" si="37"/>
        <v>30</v>
      </c>
      <c r="AB59" s="145">
        <f t="shared" si="38"/>
        <v>379.68488710100007</v>
      </c>
      <c r="AC59" s="145">
        <f>+(S59-T59)*V59-'data 1'!$F$4</f>
        <v>30.230000000000004</v>
      </c>
      <c r="AD59" s="145">
        <f t="shared" si="39"/>
        <v>-1.7060445249120071</v>
      </c>
      <c r="AE59" s="145">
        <f t="shared" si="40"/>
        <v>-36.930999999999997</v>
      </c>
      <c r="AF59" s="145">
        <f t="shared" si="41"/>
        <v>25.308583792180023</v>
      </c>
      <c r="AG59" s="772">
        <f t="shared" si="47"/>
        <v>55.901539267268021</v>
      </c>
      <c r="AH59" s="146">
        <f t="shared" si="42"/>
        <v>18.099457833380701</v>
      </c>
      <c r="AI59" s="156">
        <f t="shared" si="43"/>
        <v>27.759977342351963</v>
      </c>
      <c r="AJ59" s="156">
        <f t="shared" si="44"/>
        <v>17.315390073174058</v>
      </c>
      <c r="AK59" s="88"/>
      <c r="AL59" s="716">
        <f t="shared" si="45"/>
        <v>1034.2768198586082</v>
      </c>
      <c r="AM59" s="596"/>
    </row>
    <row r="60" spans="1:39" ht="15.75" customHeight="1">
      <c r="A60" s="991" t="s">
        <v>1365</v>
      </c>
      <c r="B60" s="595">
        <v>45642</v>
      </c>
      <c r="C60" s="595">
        <v>45639</v>
      </c>
      <c r="D60" t="s">
        <v>324</v>
      </c>
      <c r="E60">
        <v>20603329059</v>
      </c>
      <c r="G60" s="80">
        <v>134</v>
      </c>
      <c r="H60" t="s">
        <v>108</v>
      </c>
      <c r="I60" s="596">
        <v>4.95</v>
      </c>
      <c r="J60" s="596">
        <v>17.149999999999999</v>
      </c>
      <c r="K60" s="138">
        <f t="shared" si="34"/>
        <v>4.1010749999999998</v>
      </c>
      <c r="L60" s="139">
        <v>0.23400000000000001</v>
      </c>
      <c r="M60" s="139">
        <v>0.224</v>
      </c>
      <c r="N60" s="139">
        <v>0.224</v>
      </c>
      <c r="O60" s="139">
        <f t="shared" si="35"/>
        <v>0.224</v>
      </c>
      <c r="P60" s="629">
        <v>90</v>
      </c>
      <c r="Q60" s="760">
        <v>89.82</v>
      </c>
      <c r="R60" s="954">
        <v>2659.05</v>
      </c>
      <c r="S60" s="802">
        <f t="shared" si="46"/>
        <v>100</v>
      </c>
      <c r="U60" s="953">
        <v>100</v>
      </c>
      <c r="V60" s="715">
        <v>1.1023000000000001</v>
      </c>
      <c r="Z60" s="143">
        <f t="shared" si="36"/>
        <v>30</v>
      </c>
      <c r="AA60" s="144">
        <f t="shared" si="37"/>
        <v>30</v>
      </c>
      <c r="AB60" s="145">
        <f t="shared" si="38"/>
        <v>425.38250830400005</v>
      </c>
      <c r="AC60" s="145">
        <f>+(S60-T60)*V60-'data 1'!$F$4</f>
        <v>30.230000000000004</v>
      </c>
      <c r="AD60" s="145">
        <f t="shared" si="39"/>
        <v>-1.1881381512780451</v>
      </c>
      <c r="AE60" s="145">
        <f t="shared" si="40"/>
        <v>-36.930999999999997</v>
      </c>
      <c r="AF60" s="145">
        <f t="shared" si="41"/>
        <v>25.336792200330024</v>
      </c>
      <c r="AG60" s="772">
        <f t="shared" si="47"/>
        <v>56.447654049051977</v>
      </c>
      <c r="AH60" s="146">
        <f t="shared" si="42"/>
        <v>29.552599559668419</v>
      </c>
      <c r="AI60" s="156">
        <f t="shared" si="43"/>
        <v>30.106827856637956</v>
      </c>
      <c r="AJ60" s="156">
        <f t="shared" si="44"/>
        <v>28.346360675906194</v>
      </c>
      <c r="AK60" s="88"/>
      <c r="AL60" s="716">
        <f t="shared" si="45"/>
        <v>1744.5255702428269</v>
      </c>
      <c r="AM60" s="596"/>
    </row>
    <row r="61" spans="1:39" ht="15.75" customHeight="1">
      <c r="A61" s="991" t="s">
        <v>1366</v>
      </c>
      <c r="B61" s="595">
        <v>45642</v>
      </c>
      <c r="C61" s="595">
        <v>45639</v>
      </c>
      <c r="D61" t="s">
        <v>324</v>
      </c>
      <c r="E61">
        <v>20603329059</v>
      </c>
      <c r="G61" s="80">
        <v>40</v>
      </c>
      <c r="H61" t="s">
        <v>108</v>
      </c>
      <c r="I61" s="596">
        <v>3.27</v>
      </c>
      <c r="J61" s="596">
        <v>16.399999999999999</v>
      </c>
      <c r="K61" s="138">
        <f t="shared" si="34"/>
        <v>2.7337199999999999</v>
      </c>
      <c r="L61" s="139">
        <v>0.255</v>
      </c>
      <c r="M61" s="139">
        <v>0.245</v>
      </c>
      <c r="N61" s="139">
        <v>0.245</v>
      </c>
      <c r="O61" s="139">
        <f t="shared" si="35"/>
        <v>0.245</v>
      </c>
      <c r="P61" s="629">
        <v>90</v>
      </c>
      <c r="Q61" s="760">
        <v>89.54</v>
      </c>
      <c r="R61" s="954">
        <v>2659.05</v>
      </c>
      <c r="S61" s="802">
        <f t="shared" si="46"/>
        <v>100</v>
      </c>
      <c r="U61" s="953">
        <v>100</v>
      </c>
      <c r="V61" s="715">
        <v>1.1023000000000001</v>
      </c>
      <c r="Z61" s="143">
        <f t="shared" si="36"/>
        <v>30</v>
      </c>
      <c r="AA61" s="144">
        <f t="shared" si="37"/>
        <v>30</v>
      </c>
      <c r="AB61" s="145">
        <f t="shared" si="38"/>
        <v>478.69639970750006</v>
      </c>
      <c r="AC61" s="145">
        <f>+(S61-T61)*V61-'data 1'!$F$4</f>
        <v>30.230000000000004</v>
      </c>
      <c r="AD61" s="145">
        <f t="shared" si="39"/>
        <v>-3.3088462759949557</v>
      </c>
      <c r="AE61" s="145">
        <f t="shared" si="40"/>
        <v>-36.930999999999997</v>
      </c>
      <c r="AF61" s="145">
        <f t="shared" si="41"/>
        <v>25.257808657510022</v>
      </c>
      <c r="AG61" s="772">
        <f t="shared" si="47"/>
        <v>54.247962381515066</v>
      </c>
      <c r="AH61" s="146">
        <f t="shared" si="42"/>
        <v>21.400325047454047</v>
      </c>
      <c r="AI61" s="156">
        <f t="shared" si="43"/>
        <v>32.706446530394956</v>
      </c>
      <c r="AJ61" s="156">
        <f t="shared" si="44"/>
        <v>20.666726549920142</v>
      </c>
      <c r="AK61" s="88"/>
      <c r="AL61" s="716">
        <f t="shared" si="45"/>
        <v>1308.621921808387</v>
      </c>
      <c r="AM61" s="596"/>
    </row>
    <row r="62" spans="1:39" ht="15.75" customHeight="1">
      <c r="A62" s="991" t="s">
        <v>1367</v>
      </c>
      <c r="B62" s="595">
        <v>45642</v>
      </c>
      <c r="C62" s="595">
        <v>45639</v>
      </c>
      <c r="D62" t="s">
        <v>324</v>
      </c>
      <c r="E62">
        <v>20603329059</v>
      </c>
      <c r="G62" s="80">
        <v>90</v>
      </c>
      <c r="H62" t="s">
        <v>108</v>
      </c>
      <c r="I62" s="596">
        <v>2.71</v>
      </c>
      <c r="J62" s="596">
        <v>16.8</v>
      </c>
      <c r="K62" s="138">
        <f t="shared" si="34"/>
        <v>2.2547199999999998</v>
      </c>
      <c r="L62" s="139">
        <v>0.40200000000000002</v>
      </c>
      <c r="M62" s="139">
        <v>0.38500000000000001</v>
      </c>
      <c r="N62" s="598">
        <v>0.46700000000000003</v>
      </c>
      <c r="O62" s="139">
        <f t="shared" si="35"/>
        <v>0.42599999999999999</v>
      </c>
      <c r="P62" s="629">
        <v>90</v>
      </c>
      <c r="Q62" s="760">
        <v>89.23</v>
      </c>
      <c r="R62" s="954">
        <v>2659.05</v>
      </c>
      <c r="S62" s="802">
        <f t="shared" si="46"/>
        <v>120</v>
      </c>
      <c r="U62" s="953">
        <v>100</v>
      </c>
      <c r="V62" s="715">
        <v>1.1023000000000001</v>
      </c>
      <c r="Z62" s="143">
        <f t="shared" si="36"/>
        <v>30</v>
      </c>
      <c r="AA62" s="144">
        <f t="shared" si="37"/>
        <v>30</v>
      </c>
      <c r="AB62" s="145">
        <f t="shared" si="38"/>
        <v>916.16536847100008</v>
      </c>
      <c r="AC62" s="145">
        <f>+(S62-T62)*V62-'data 1'!$F$4</f>
        <v>52.27600000000001</v>
      </c>
      <c r="AD62" s="145">
        <f t="shared" si="39"/>
        <v>-8.7316306587509569</v>
      </c>
      <c r="AE62" s="145">
        <f t="shared" si="40"/>
        <v>-36.930999999999997</v>
      </c>
      <c r="AF62" s="145">
        <f t="shared" si="41"/>
        <v>-60.408870221387922</v>
      </c>
      <c r="AG62" s="772">
        <f t="shared" si="47"/>
        <v>-14.795500880138867</v>
      </c>
      <c r="AH62" s="146">
        <f t="shared" si="42"/>
        <v>27.7292825148579</v>
      </c>
      <c r="AI62" s="156">
        <f t="shared" si="43"/>
        <v>51.382240471370935</v>
      </c>
      <c r="AJ62" s="156">
        <f t="shared" si="44"/>
        <v>29.6383344852464</v>
      </c>
      <c r="AK62" s="88"/>
      <c r="AL62" s="716">
        <f t="shared" si="45"/>
        <v>2065.6963795989332</v>
      </c>
      <c r="AM62" s="596"/>
    </row>
    <row r="63" spans="1:39" ht="15.75" customHeight="1">
      <c r="A63" s="991" t="s">
        <v>1368</v>
      </c>
      <c r="B63" s="595">
        <v>45642</v>
      </c>
      <c r="C63" s="595">
        <v>45639</v>
      </c>
      <c r="D63" t="s">
        <v>324</v>
      </c>
      <c r="E63">
        <v>20603329059</v>
      </c>
      <c r="G63" s="80">
        <v>84</v>
      </c>
      <c r="H63" t="s">
        <v>108</v>
      </c>
      <c r="I63" s="596">
        <v>2.9</v>
      </c>
      <c r="J63" s="596">
        <v>16</v>
      </c>
      <c r="K63" s="138">
        <f t="shared" si="34"/>
        <v>2.4359999999999999</v>
      </c>
      <c r="L63" s="139">
        <v>0.20300000000000001</v>
      </c>
      <c r="M63" s="139">
        <v>0.193</v>
      </c>
      <c r="N63" s="598">
        <v>0.217</v>
      </c>
      <c r="O63" s="139">
        <f t="shared" si="35"/>
        <v>0.20499999999999999</v>
      </c>
      <c r="P63" s="629">
        <v>90</v>
      </c>
      <c r="Q63" s="760">
        <v>89.17</v>
      </c>
      <c r="R63" s="954">
        <v>2659.05</v>
      </c>
      <c r="S63" s="802">
        <f t="shared" si="46"/>
        <v>100</v>
      </c>
      <c r="U63" s="953">
        <v>100</v>
      </c>
      <c r="V63" s="715">
        <v>1.1023000000000001</v>
      </c>
      <c r="Z63" s="143">
        <f t="shared" si="36"/>
        <v>30</v>
      </c>
      <c r="AA63" s="144">
        <f t="shared" si="37"/>
        <v>30</v>
      </c>
      <c r="AB63" s="145">
        <f t="shared" si="38"/>
        <v>377.14613036750006</v>
      </c>
      <c r="AC63" s="145">
        <f>+(S63-T63)*V63-'data 1'!$F$4</f>
        <v>30.230000000000004</v>
      </c>
      <c r="AD63" s="145">
        <f t="shared" si="39"/>
        <v>-4.7528346891934907</v>
      </c>
      <c r="AE63" s="145">
        <f t="shared" si="40"/>
        <v>-36.930999999999997</v>
      </c>
      <c r="AF63" s="145">
        <f t="shared" si="41"/>
        <v>-5.0306875094709342</v>
      </c>
      <c r="AG63" s="772">
        <f t="shared" si="47"/>
        <v>22.515477801335578</v>
      </c>
      <c r="AH63" s="146">
        <f t="shared" si="42"/>
        <v>15.11823729745368</v>
      </c>
      <c r="AI63" s="156">
        <f t="shared" si="43"/>
        <v>25.929306167663466</v>
      </c>
      <c r="AJ63" s="156">
        <f t="shared" si="44"/>
        <v>15.409293375968099</v>
      </c>
      <c r="AK63" s="88"/>
      <c r="AL63" s="716">
        <f t="shared" si="45"/>
        <v>918.72797357523018</v>
      </c>
      <c r="AM63" s="596"/>
    </row>
    <row r="64" spans="1:39" ht="15.75" customHeight="1">
      <c r="A64" s="991" t="s">
        <v>1369</v>
      </c>
      <c r="B64" s="595">
        <v>45642</v>
      </c>
      <c r="C64" s="595">
        <v>45639</v>
      </c>
      <c r="D64" t="s">
        <v>324</v>
      </c>
      <c r="E64">
        <v>20603329059</v>
      </c>
      <c r="G64" s="80">
        <v>162</v>
      </c>
      <c r="H64" t="s">
        <v>108</v>
      </c>
      <c r="I64" s="596">
        <v>4.9800000000000004</v>
      </c>
      <c r="J64" s="596">
        <v>16.5</v>
      </c>
      <c r="K64" s="138">
        <f t="shared" si="34"/>
        <v>4.1583000000000006</v>
      </c>
      <c r="L64" s="139">
        <v>0.23799999999999999</v>
      </c>
      <c r="M64" s="139">
        <v>0.22800000000000001</v>
      </c>
      <c r="N64" s="598">
        <v>0.26300000000000001</v>
      </c>
      <c r="O64" s="139">
        <f t="shared" si="35"/>
        <v>0.246</v>
      </c>
      <c r="P64" s="629">
        <v>90</v>
      </c>
      <c r="Q64" s="760">
        <v>89.41</v>
      </c>
      <c r="R64" s="954">
        <v>2659.05</v>
      </c>
      <c r="S64" s="802">
        <f t="shared" si="46"/>
        <v>100</v>
      </c>
      <c r="U64" s="953">
        <v>100</v>
      </c>
      <c r="V64" s="715">
        <v>1.1023000000000001</v>
      </c>
      <c r="Z64" s="143">
        <f t="shared" si="36"/>
        <v>30</v>
      </c>
      <c r="AA64" s="144">
        <f t="shared" si="37"/>
        <v>30</v>
      </c>
      <c r="AB64" s="145">
        <f t="shared" si="38"/>
        <v>481.23515644100013</v>
      </c>
      <c r="AC64" s="145">
        <f>+(S64-T64)*V64-'data 1'!$F$4</f>
        <v>30.230000000000004</v>
      </c>
      <c r="AD64" s="145">
        <f t="shared" si="39"/>
        <v>-3.9610246724230236</v>
      </c>
      <c r="AE64" s="145">
        <f t="shared" si="40"/>
        <v>-36.930999999999997</v>
      </c>
      <c r="AF64" s="145">
        <f t="shared" si="41"/>
        <v>-20.176910181532016</v>
      </c>
      <c r="AG64" s="772">
        <f t="shared" si="47"/>
        <v>8.1610651460449688</v>
      </c>
      <c r="AH64" s="146">
        <f t="shared" si="42"/>
        <v>30.338069329003098</v>
      </c>
      <c r="AI64" s="156">
        <f t="shared" si="43"/>
        <v>30.481697103682958</v>
      </c>
      <c r="AJ64" s="156">
        <f t="shared" si="44"/>
        <v>31.564760909008946</v>
      </c>
      <c r="AK64" s="88"/>
      <c r="AL64" s="716">
        <f t="shared" si="45"/>
        <v>2001.1201510286112</v>
      </c>
      <c r="AM64" s="596"/>
    </row>
    <row r="65" spans="1:39" ht="15.75" customHeight="1">
      <c r="A65" s="991" t="s">
        <v>1370</v>
      </c>
      <c r="B65" s="595">
        <v>45642</v>
      </c>
      <c r="C65" s="595">
        <v>45639</v>
      </c>
      <c r="D65" t="s">
        <v>324</v>
      </c>
      <c r="E65">
        <v>20603329059</v>
      </c>
      <c r="G65" s="80">
        <v>180</v>
      </c>
      <c r="H65" t="s">
        <v>108</v>
      </c>
      <c r="I65" s="596">
        <v>5.49</v>
      </c>
      <c r="J65" s="596">
        <v>16.7</v>
      </c>
      <c r="K65" s="138">
        <f t="shared" si="34"/>
        <v>4.5731700000000002</v>
      </c>
      <c r="L65" s="139">
        <v>0.23799999999999999</v>
      </c>
      <c r="M65" s="139">
        <v>0.22800000000000001</v>
      </c>
      <c r="N65" s="139">
        <v>0.22800000000000001</v>
      </c>
      <c r="O65" s="139">
        <f t="shared" si="35"/>
        <v>0.22800000000000001</v>
      </c>
      <c r="P65" s="629">
        <v>90</v>
      </c>
      <c r="Q65" s="760">
        <v>89.52</v>
      </c>
      <c r="R65" s="954">
        <v>2659.05</v>
      </c>
      <c r="S65" s="802">
        <f t="shared" si="46"/>
        <v>100</v>
      </c>
      <c r="U65" s="953">
        <v>100</v>
      </c>
      <c r="V65" s="715">
        <v>1.1023000000000001</v>
      </c>
      <c r="Z65" s="143">
        <f t="shared" si="36"/>
        <v>30</v>
      </c>
      <c r="AA65" s="144">
        <f t="shared" si="37"/>
        <v>30</v>
      </c>
      <c r="AB65" s="145">
        <f t="shared" si="38"/>
        <v>435.53753523800009</v>
      </c>
      <c r="AC65" s="145">
        <f>+(S65-T65)*V65-'data 1'!$F$4</f>
        <v>30.230000000000004</v>
      </c>
      <c r="AD65" s="145">
        <f t="shared" si="39"/>
        <v>-3.2225285470560272</v>
      </c>
      <c r="AE65" s="145">
        <f t="shared" si="40"/>
        <v>-36.930999999999997</v>
      </c>
      <c r="AF65" s="145">
        <f t="shared" si="41"/>
        <v>25.252166975879955</v>
      </c>
      <c r="AG65" s="772">
        <f t="shared" si="47"/>
        <v>54.328638428823936</v>
      </c>
      <c r="AH65" s="146">
        <f t="shared" si="42"/>
        <v>33.405920690120496</v>
      </c>
      <c r="AI65" s="156">
        <f t="shared" si="43"/>
        <v>30.519198352775955</v>
      </c>
      <c r="AJ65" s="156">
        <f t="shared" si="44"/>
        <v>32.173904735680523</v>
      </c>
      <c r="AK65" s="88"/>
      <c r="AL65" s="716">
        <f t="shared" si="45"/>
        <v>1991.7871900243649</v>
      </c>
      <c r="AM65" s="596"/>
    </row>
    <row r="66" spans="1:39" ht="15.75" customHeight="1">
      <c r="A66" s="991" t="s">
        <v>1371</v>
      </c>
      <c r="B66" s="595">
        <v>45642</v>
      </c>
      <c r="C66" s="595">
        <v>45639</v>
      </c>
      <c r="D66" t="s">
        <v>324</v>
      </c>
      <c r="E66">
        <v>20603329059</v>
      </c>
      <c r="G66" s="80">
        <v>72</v>
      </c>
      <c r="H66" t="s">
        <v>108</v>
      </c>
      <c r="I66" s="596">
        <v>2.2000000000000002</v>
      </c>
      <c r="J66" s="596">
        <v>16.05</v>
      </c>
      <c r="K66" s="138">
        <f t="shared" si="34"/>
        <v>1.8469000000000002</v>
      </c>
      <c r="L66" s="139">
        <v>0.23599999999999999</v>
      </c>
      <c r="M66" s="139">
        <v>0.22600000000000001</v>
      </c>
      <c r="N66" s="139">
        <v>0.22600000000000001</v>
      </c>
      <c r="O66" s="139">
        <f t="shared" si="35"/>
        <v>0.22600000000000001</v>
      </c>
      <c r="P66" s="629">
        <v>90</v>
      </c>
      <c r="Q66" s="760">
        <v>89.43</v>
      </c>
      <c r="R66" s="954">
        <v>2659.05</v>
      </c>
      <c r="S66" s="802">
        <f t="shared" si="46"/>
        <v>100</v>
      </c>
      <c r="U66" s="953">
        <v>100</v>
      </c>
      <c r="V66" s="715">
        <v>1.1023000000000001</v>
      </c>
      <c r="Z66" s="143">
        <f t="shared" si="36"/>
        <v>30</v>
      </c>
      <c r="AA66" s="144">
        <f t="shared" si="37"/>
        <v>30</v>
      </c>
      <c r="AB66" s="145">
        <f t="shared" si="38"/>
        <v>430.46002177100013</v>
      </c>
      <c r="AC66" s="145">
        <f>+(S66-T66)*V66-'data 1'!$F$4</f>
        <v>30.230000000000004</v>
      </c>
      <c r="AD66" s="145">
        <f t="shared" si="39"/>
        <v>-3.7945950643379551</v>
      </c>
      <c r="AE66" s="145">
        <f t="shared" si="40"/>
        <v>-36.930999999999997</v>
      </c>
      <c r="AF66" s="145">
        <f t="shared" si="41"/>
        <v>25.226779408544957</v>
      </c>
      <c r="AG66" s="772">
        <f t="shared" si="47"/>
        <v>53.731184344207009</v>
      </c>
      <c r="AH66" s="146">
        <f t="shared" si="42"/>
        <v>13.364345181232785</v>
      </c>
      <c r="AI66" s="156">
        <f t="shared" si="43"/>
        <v>30.232309499897962</v>
      </c>
      <c r="AJ66" s="156">
        <f t="shared" si="44"/>
        <v>12.879630360753456</v>
      </c>
      <c r="AK66" s="88"/>
      <c r="AL66" s="716">
        <f t="shared" si="45"/>
        <v>795.01661420886023</v>
      </c>
      <c r="AM66" s="596"/>
    </row>
    <row r="67" spans="1:39" ht="15.75" customHeight="1">
      <c r="A67" s="991" t="s">
        <v>1372</v>
      </c>
      <c r="B67" s="595">
        <v>45642</v>
      </c>
      <c r="C67" s="595">
        <v>45639</v>
      </c>
      <c r="D67" t="s">
        <v>324</v>
      </c>
      <c r="E67">
        <v>20603329059</v>
      </c>
      <c r="G67" s="80">
        <v>64</v>
      </c>
      <c r="H67" t="s">
        <v>108</v>
      </c>
      <c r="I67" s="596">
        <v>3.87</v>
      </c>
      <c r="J67" s="596">
        <v>15.75</v>
      </c>
      <c r="K67" s="138">
        <f t="shared" si="34"/>
        <v>3.260475</v>
      </c>
      <c r="L67" s="139">
        <v>0.27900000000000003</v>
      </c>
      <c r="M67" s="139">
        <v>0.26800000000000002</v>
      </c>
      <c r="N67" s="139">
        <v>0.26800000000000002</v>
      </c>
      <c r="O67" s="139">
        <f t="shared" si="35"/>
        <v>0.26800000000000002</v>
      </c>
      <c r="P67" s="629">
        <v>90</v>
      </c>
      <c r="Q67" s="760">
        <v>89.58</v>
      </c>
      <c r="R67" s="954">
        <v>2659.05</v>
      </c>
      <c r="S67" s="802">
        <f t="shared" si="46"/>
        <v>100</v>
      </c>
      <c r="U67" s="953">
        <v>100</v>
      </c>
      <c r="V67" s="715">
        <v>1.1023000000000001</v>
      </c>
      <c r="Z67" s="143">
        <f t="shared" si="36"/>
        <v>30</v>
      </c>
      <c r="AA67" s="144">
        <f t="shared" si="37"/>
        <v>30</v>
      </c>
      <c r="AB67" s="145">
        <f t="shared" si="38"/>
        <v>537.08780457800015</v>
      </c>
      <c r="AC67" s="145">
        <f>+(S67-T67)*V67-'data 1'!$F$4</f>
        <v>30.230000000000004</v>
      </c>
      <c r="AD67" s="145">
        <f t="shared" si="39"/>
        <v>-3.305461267017014</v>
      </c>
      <c r="AE67" s="145">
        <f t="shared" si="40"/>
        <v>-36.930999999999997</v>
      </c>
      <c r="AF67" s="145">
        <f t="shared" si="41"/>
        <v>27.796001222847025</v>
      </c>
      <c r="AG67" s="772">
        <f t="shared" si="47"/>
        <v>56.789539955830008</v>
      </c>
      <c r="AH67" s="146">
        <f t="shared" si="42"/>
        <v>27.938636369067698</v>
      </c>
      <c r="AI67" s="156">
        <f t="shared" si="43"/>
        <v>35.800686339056959</v>
      </c>
      <c r="AJ67" s="156">
        <f t="shared" si="44"/>
        <v>26.962940125280493</v>
      </c>
      <c r="AK67" s="88"/>
      <c r="AL67" s="716">
        <f t="shared" si="45"/>
        <v>1751.1613596314551</v>
      </c>
      <c r="AM67" s="596"/>
    </row>
    <row r="68" spans="1:39" ht="15.75" customHeight="1">
      <c r="A68" s="991" t="s">
        <v>1373</v>
      </c>
      <c r="B68" s="595">
        <v>45642</v>
      </c>
      <c r="C68" s="595">
        <v>45639</v>
      </c>
      <c r="D68" t="s">
        <v>324</v>
      </c>
      <c r="E68">
        <v>20603329059</v>
      </c>
      <c r="G68" s="80">
        <v>71</v>
      </c>
      <c r="H68" t="s">
        <v>108</v>
      </c>
      <c r="I68" s="596">
        <v>5.72</v>
      </c>
      <c r="J68" s="596">
        <v>16.5</v>
      </c>
      <c r="K68" s="138">
        <f t="shared" si="34"/>
        <v>4.7761999999999993</v>
      </c>
      <c r="L68" s="139">
        <v>0.30099999999999999</v>
      </c>
      <c r="M68" s="139">
        <v>0.28899999999999998</v>
      </c>
      <c r="N68" s="598">
        <v>0.32400000000000001</v>
      </c>
      <c r="O68" s="139">
        <f t="shared" si="35"/>
        <v>0.307</v>
      </c>
      <c r="P68" s="629">
        <v>90</v>
      </c>
      <c r="Q68" s="760">
        <v>89.66</v>
      </c>
      <c r="R68" s="954">
        <v>2659.05</v>
      </c>
      <c r="S68" s="802">
        <f t="shared" si="46"/>
        <v>110</v>
      </c>
      <c r="U68" s="953">
        <v>100</v>
      </c>
      <c r="V68" s="715">
        <v>1.1023000000000001</v>
      </c>
      <c r="Z68" s="143">
        <f t="shared" si="36"/>
        <v>30</v>
      </c>
      <c r="AA68" s="144">
        <f t="shared" si="37"/>
        <v>30</v>
      </c>
      <c r="AB68" s="145">
        <f t="shared" si="38"/>
        <v>625.0763171845</v>
      </c>
      <c r="AC68" s="145">
        <f>+(S68-T68)*V68-'data 1'!$F$4</f>
        <v>41.253</v>
      </c>
      <c r="AD68" s="145">
        <f t="shared" si="39"/>
        <v>-2.8868484900710292</v>
      </c>
      <c r="AE68" s="145">
        <f t="shared" si="40"/>
        <v>-36.930999999999997</v>
      </c>
      <c r="AF68" s="145">
        <f t="shared" si="41"/>
        <v>-15.174995248374016</v>
      </c>
      <c r="AG68" s="772">
        <f t="shared" si="47"/>
        <v>25.260156261554954</v>
      </c>
      <c r="AH68" s="146">
        <f t="shared" si="42"/>
        <v>44.193337781582784</v>
      </c>
      <c r="AI68" s="156">
        <f t="shared" si="43"/>
        <v>38.658172654590949</v>
      </c>
      <c r="AJ68" s="156">
        <f t="shared" si="44"/>
        <v>45.245194392738476</v>
      </c>
      <c r="AK68" s="88"/>
      <c r="AL68" s="716">
        <f t="shared" si="45"/>
        <v>2985.4895061366083</v>
      </c>
      <c r="AM68" s="596"/>
    </row>
    <row r="69" spans="1:39" ht="15.75" customHeight="1">
      <c r="A69" s="991" t="s">
        <v>1374</v>
      </c>
      <c r="B69" s="595">
        <v>45642</v>
      </c>
      <c r="C69" s="595">
        <v>45639</v>
      </c>
      <c r="D69" t="s">
        <v>324</v>
      </c>
      <c r="E69">
        <v>20603329059</v>
      </c>
      <c r="G69" s="80">
        <v>108</v>
      </c>
      <c r="H69" t="s">
        <v>108</v>
      </c>
      <c r="I69" s="596">
        <v>3.54</v>
      </c>
      <c r="J69" s="596">
        <v>16.05</v>
      </c>
      <c r="K69" s="138">
        <f t="shared" si="34"/>
        <v>2.9718299999999997</v>
      </c>
      <c r="L69" s="139">
        <v>0.34899999999999998</v>
      </c>
      <c r="M69" s="139">
        <v>0.33500000000000002</v>
      </c>
      <c r="N69" s="139">
        <v>0.33500000000000002</v>
      </c>
      <c r="O69" s="139">
        <f t="shared" si="35"/>
        <v>0.33500000000000002</v>
      </c>
      <c r="P69" s="629">
        <v>90</v>
      </c>
      <c r="Q69" s="760">
        <v>89.31</v>
      </c>
      <c r="R69" s="954">
        <v>2659.05</v>
      </c>
      <c r="S69" s="802">
        <f t="shared" si="46"/>
        <v>110</v>
      </c>
      <c r="U69" s="953">
        <v>100</v>
      </c>
      <c r="V69" s="715">
        <v>1.1023000000000001</v>
      </c>
      <c r="Z69" s="143">
        <f t="shared" si="36"/>
        <v>30</v>
      </c>
      <c r="AA69" s="144">
        <f t="shared" si="37"/>
        <v>30</v>
      </c>
      <c r="AB69" s="145">
        <f t="shared" si="38"/>
        <v>696.16150572250024</v>
      </c>
      <c r="AC69" s="145">
        <f>+(S69-T69)*V69-'data 1'!$F$4</f>
        <v>41.253</v>
      </c>
      <c r="AD69" s="145">
        <f t="shared" si="39"/>
        <v>-6.7928667666014784</v>
      </c>
      <c r="AE69" s="145">
        <f t="shared" si="40"/>
        <v>-36.930999999999997</v>
      </c>
      <c r="AF69" s="145">
        <f t="shared" si="41"/>
        <v>35.270101046270902</v>
      </c>
      <c r="AG69" s="772">
        <f t="shared" si="47"/>
        <v>71.799234279669434</v>
      </c>
      <c r="AH69" s="146">
        <f t="shared" si="42"/>
        <v>31.758395152589809</v>
      </c>
      <c r="AI69" s="156">
        <f t="shared" si="43"/>
        <v>44.647958679031433</v>
      </c>
      <c r="AJ69" s="156">
        <f t="shared" si="44"/>
        <v>30.719938947742399</v>
      </c>
      <c r="AK69" s="88"/>
      <c r="AL69" s="716">
        <f t="shared" si="45"/>
        <v>2068.8736475512978</v>
      </c>
      <c r="AM69" s="596"/>
    </row>
    <row r="70" spans="1:39" ht="15.75" customHeight="1">
      <c r="A70" s="991" t="s">
        <v>1375</v>
      </c>
      <c r="B70" s="595">
        <v>45642</v>
      </c>
      <c r="C70" s="595">
        <v>45639</v>
      </c>
      <c r="D70" t="s">
        <v>324</v>
      </c>
      <c r="E70">
        <v>20603329059</v>
      </c>
      <c r="G70" s="80">
        <v>177</v>
      </c>
      <c r="H70" t="s">
        <v>108</v>
      </c>
      <c r="I70" s="596">
        <v>5.39</v>
      </c>
      <c r="J70" s="596">
        <v>15.75</v>
      </c>
      <c r="K70" s="138">
        <f t="shared" si="34"/>
        <v>4.5410749999999993</v>
      </c>
      <c r="L70" s="139">
        <v>0.38900000000000001</v>
      </c>
      <c r="M70" s="139">
        <v>0.373</v>
      </c>
      <c r="N70" s="139">
        <v>0.373</v>
      </c>
      <c r="O70" s="139">
        <f t="shared" si="35"/>
        <v>0.373</v>
      </c>
      <c r="P70" s="629">
        <v>90</v>
      </c>
      <c r="Q70" s="760">
        <v>89.77</v>
      </c>
      <c r="R70" s="954">
        <v>2659.05</v>
      </c>
      <c r="S70" s="802">
        <f t="shared" si="46"/>
        <v>110</v>
      </c>
      <c r="U70" s="953">
        <v>100</v>
      </c>
      <c r="V70" s="715">
        <v>1.1023000000000001</v>
      </c>
      <c r="Z70" s="143">
        <f t="shared" si="36"/>
        <v>30</v>
      </c>
      <c r="AA70" s="144">
        <f t="shared" si="37"/>
        <v>30</v>
      </c>
      <c r="AB70" s="145">
        <f t="shared" si="38"/>
        <v>792.63426159550011</v>
      </c>
      <c r="AC70" s="145">
        <f>+(S70-T70)*V70-'data 1'!$F$4</f>
        <v>41.253</v>
      </c>
      <c r="AD70" s="145">
        <f t="shared" si="39"/>
        <v>-2.5238062771805443</v>
      </c>
      <c r="AE70" s="145">
        <f t="shared" si="40"/>
        <v>-36.930999999999997</v>
      </c>
      <c r="AF70" s="145">
        <f t="shared" si="41"/>
        <v>40.516300794008039</v>
      </c>
      <c r="AG70" s="772">
        <f t="shared" si="47"/>
        <v>81.314494516827494</v>
      </c>
      <c r="AH70" s="146">
        <f t="shared" si="42"/>
        <v>54.368652644220738</v>
      </c>
      <c r="AI70" s="156">
        <f t="shared" si="43"/>
        <v>50.021523834590425</v>
      </c>
      <c r="AJ70" s="156">
        <f t="shared" si="44"/>
        <v>52.265978473593904</v>
      </c>
      <c r="AK70" s="88"/>
      <c r="AL70" s="716">
        <f t="shared" si="45"/>
        <v>3599.4116294747851</v>
      </c>
      <c r="AM70" s="596"/>
    </row>
    <row r="71" spans="1:39" ht="15.75" customHeight="1">
      <c r="A71" s="991" t="s">
        <v>1376</v>
      </c>
      <c r="B71" s="595">
        <v>45642</v>
      </c>
      <c r="C71" s="595">
        <v>45639</v>
      </c>
      <c r="D71" t="s">
        <v>324</v>
      </c>
      <c r="E71">
        <v>20603329059</v>
      </c>
      <c r="G71" s="80">
        <v>82</v>
      </c>
      <c r="H71" t="s">
        <v>108</v>
      </c>
      <c r="I71" s="596">
        <v>2.8</v>
      </c>
      <c r="J71" s="596">
        <v>16.850000000000001</v>
      </c>
      <c r="K71" s="138">
        <f t="shared" si="34"/>
        <v>2.3281999999999998</v>
      </c>
      <c r="L71" s="139">
        <v>0.32500000000000001</v>
      </c>
      <c r="M71" s="139">
        <v>0.312</v>
      </c>
      <c r="N71" s="139">
        <v>0.312</v>
      </c>
      <c r="O71" s="139">
        <f t="shared" si="35"/>
        <v>0.312</v>
      </c>
      <c r="P71" s="629">
        <v>90</v>
      </c>
      <c r="Q71" s="760">
        <v>89.43</v>
      </c>
      <c r="R71" s="954">
        <v>2659.05</v>
      </c>
      <c r="S71" s="802">
        <f t="shared" si="46"/>
        <v>110</v>
      </c>
      <c r="U71" s="953">
        <v>100</v>
      </c>
      <c r="V71" s="715">
        <v>1.1023000000000001</v>
      </c>
      <c r="Z71" s="143">
        <f t="shared" si="36"/>
        <v>30</v>
      </c>
      <c r="AA71" s="144">
        <f t="shared" si="37"/>
        <v>30</v>
      </c>
      <c r="AB71" s="145">
        <f t="shared" si="38"/>
        <v>637.77010085200004</v>
      </c>
      <c r="AC71" s="145">
        <f>+(S71-T71)*V71-'data 1'!$F$4</f>
        <v>41.253</v>
      </c>
      <c r="AD71" s="145">
        <f t="shared" si="39"/>
        <v>-5.2256076097874393</v>
      </c>
      <c r="AE71" s="145">
        <f t="shared" si="40"/>
        <v>-36.930999999999997</v>
      </c>
      <c r="AF71" s="145">
        <f t="shared" si="41"/>
        <v>32.794813231108535</v>
      </c>
      <c r="AG71" s="772">
        <f t="shared" si="47"/>
        <v>70.891205621321092</v>
      </c>
      <c r="AH71" s="146">
        <f t="shared" si="42"/>
        <v>23.200425281019463</v>
      </c>
      <c r="AI71" s="156">
        <f t="shared" si="43"/>
        <v>41.633477065537448</v>
      </c>
      <c r="AJ71" s="156">
        <f t="shared" si="44"/>
        <v>22.414365920609203</v>
      </c>
      <c r="AK71" s="88"/>
      <c r="AL71" s="716">
        <f t="shared" si="45"/>
        <v>1484.8563488036264</v>
      </c>
      <c r="AM71" s="596"/>
    </row>
    <row r="72" spans="1:39" ht="15.75" customHeight="1">
      <c r="A72" s="991" t="s">
        <v>1377</v>
      </c>
      <c r="B72" s="595">
        <v>45642</v>
      </c>
      <c r="C72" s="595">
        <v>45639</v>
      </c>
      <c r="D72" t="s">
        <v>324</v>
      </c>
      <c r="E72">
        <v>20603329059</v>
      </c>
      <c r="G72" s="80">
        <v>181</v>
      </c>
      <c r="H72" t="s">
        <v>108</v>
      </c>
      <c r="I72" s="596">
        <v>4.87</v>
      </c>
      <c r="J72" s="596">
        <v>16.399999999999999</v>
      </c>
      <c r="K72" s="138">
        <f t="shared" si="34"/>
        <v>4.0713200000000001</v>
      </c>
      <c r="L72" s="139">
        <v>0.27500000000000002</v>
      </c>
      <c r="M72" s="139">
        <v>0.26400000000000001</v>
      </c>
      <c r="N72" s="598">
        <v>0.29699999999999999</v>
      </c>
      <c r="O72" s="139">
        <f t="shared" si="35"/>
        <v>0.28100000000000003</v>
      </c>
      <c r="P72" s="629">
        <v>90</v>
      </c>
      <c r="Q72" s="760">
        <v>89.37</v>
      </c>
      <c r="R72" s="954">
        <v>2659.05</v>
      </c>
      <c r="S72" s="802">
        <f t="shared" si="46"/>
        <v>100</v>
      </c>
      <c r="U72" s="953">
        <v>100</v>
      </c>
      <c r="V72" s="715">
        <v>1.1023000000000001</v>
      </c>
      <c r="Z72" s="143">
        <f t="shared" si="36"/>
        <v>30</v>
      </c>
      <c r="AA72" s="144">
        <f t="shared" si="37"/>
        <v>30</v>
      </c>
      <c r="AB72" s="145">
        <f t="shared" si="38"/>
        <v>570.09164211350026</v>
      </c>
      <c r="AC72" s="145">
        <f>+(S72-T72)*V72-'data 1'!$F$4</f>
        <v>30.230000000000004</v>
      </c>
      <c r="AD72" s="145">
        <f t="shared" si="39"/>
        <v>-4.8871067119874656</v>
      </c>
      <c r="AE72" s="145">
        <f t="shared" si="40"/>
        <v>-36.930999999999997</v>
      </c>
      <c r="AF72" s="145">
        <f t="shared" si="41"/>
        <v>-15.125912618193015</v>
      </c>
      <c r="AG72" s="772">
        <f t="shared" si="47"/>
        <v>12.28598066981953</v>
      </c>
      <c r="AH72" s="146">
        <f t="shared" si="42"/>
        <v>34.305895446865996</v>
      </c>
      <c r="AI72" s="156">
        <f t="shared" si="43"/>
        <v>35.204691506737461</v>
      </c>
      <c r="AJ72" s="156">
        <f t="shared" si="44"/>
        <v>35.301498198551108</v>
      </c>
      <c r="AK72" s="88"/>
      <c r="AL72" s="716">
        <f t="shared" si="45"/>
        <v>2321.0255043695361</v>
      </c>
      <c r="AM72" s="596"/>
    </row>
    <row r="73" spans="1:39" ht="15.75" customHeight="1">
      <c r="A73" s="991" t="s">
        <v>1378</v>
      </c>
      <c r="B73" s="595">
        <v>45642</v>
      </c>
      <c r="C73" s="595">
        <v>45639</v>
      </c>
      <c r="D73" t="s">
        <v>324</v>
      </c>
      <c r="E73">
        <v>20603329059</v>
      </c>
      <c r="G73" s="80">
        <v>83</v>
      </c>
      <c r="H73" t="s">
        <v>108</v>
      </c>
      <c r="I73" s="596">
        <v>2.44</v>
      </c>
      <c r="J73" s="596">
        <v>16.7</v>
      </c>
      <c r="K73" s="138">
        <f t="shared" si="34"/>
        <v>2.0325199999999999</v>
      </c>
      <c r="L73" s="139">
        <v>0.56499999999999995</v>
      </c>
      <c r="M73" s="139">
        <v>0.54200000000000004</v>
      </c>
      <c r="N73" s="598">
        <v>0.59499999999999997</v>
      </c>
      <c r="O73" s="139">
        <f t="shared" si="35"/>
        <v>0.56899999999999995</v>
      </c>
      <c r="P73" s="629">
        <v>90</v>
      </c>
      <c r="Q73" s="760">
        <v>89.1</v>
      </c>
      <c r="R73" s="954">
        <v>2659.05</v>
      </c>
      <c r="S73" s="802">
        <f t="shared" si="46"/>
        <v>130</v>
      </c>
      <c r="U73" s="953">
        <v>100</v>
      </c>
      <c r="V73" s="715">
        <v>1.1023000000000001</v>
      </c>
      <c r="Z73" s="143">
        <f t="shared" si="36"/>
        <v>30</v>
      </c>
      <c r="AA73" s="144">
        <f t="shared" si="37"/>
        <v>30</v>
      </c>
      <c r="AB73" s="145">
        <f t="shared" si="38"/>
        <v>1268.1845813615</v>
      </c>
      <c r="AC73" s="145">
        <f>+(S73-T73)*V73-'data 1'!$F$4</f>
        <v>63.299000000000007</v>
      </c>
      <c r="AD73" s="145">
        <f t="shared" si="39"/>
        <v>-14.343975544275089</v>
      </c>
      <c r="AE73" s="145">
        <f t="shared" si="40"/>
        <v>-36.930999999999997</v>
      </c>
      <c r="AF73" s="145">
        <f t="shared" si="41"/>
        <v>-10.053476664660009</v>
      </c>
      <c r="AG73" s="772">
        <f t="shared" si="47"/>
        <v>40.970547791064917</v>
      </c>
      <c r="AH73" s="146">
        <f t="shared" si="42"/>
        <v>35.080845251272699</v>
      </c>
      <c r="AI73" s="156">
        <f t="shared" si="43"/>
        <v>72.111120367274893</v>
      </c>
      <c r="AJ73" s="156">
        <f t="shared" si="44"/>
        <v>35.686065876417565</v>
      </c>
      <c r="AK73" s="88"/>
      <c r="AL73" s="716">
        <f t="shared" si="45"/>
        <v>2577.6105253088758</v>
      </c>
      <c r="AM73" s="596"/>
    </row>
    <row r="74" spans="1:39" ht="15.75" customHeight="1">
      <c r="A74" s="991" t="s">
        <v>1379</v>
      </c>
      <c r="B74" s="595">
        <v>45642</v>
      </c>
      <c r="C74" s="595">
        <v>45639</v>
      </c>
      <c r="D74" t="s">
        <v>324</v>
      </c>
      <c r="E74">
        <v>20603329059</v>
      </c>
      <c r="G74" s="80">
        <v>46</v>
      </c>
      <c r="H74" t="s">
        <v>108</v>
      </c>
      <c r="I74" s="596">
        <v>2.75</v>
      </c>
      <c r="J74" s="596">
        <v>16</v>
      </c>
      <c r="K74" s="138">
        <f t="shared" si="34"/>
        <v>2.31</v>
      </c>
      <c r="L74" s="139">
        <v>0.21199999999999999</v>
      </c>
      <c r="M74" s="139">
        <v>0.20200000000000001</v>
      </c>
      <c r="N74" s="139">
        <v>0.20200000000000001</v>
      </c>
      <c r="O74" s="139">
        <f t="shared" si="35"/>
        <v>0.20200000000000001</v>
      </c>
      <c r="P74" s="629">
        <v>90</v>
      </c>
      <c r="Q74" s="760">
        <v>89.29</v>
      </c>
      <c r="R74" s="954">
        <v>2659.05</v>
      </c>
      <c r="S74" s="802">
        <f t="shared" si="46"/>
        <v>100</v>
      </c>
      <c r="U74" s="953">
        <v>100</v>
      </c>
      <c r="V74" s="715">
        <v>1.1023000000000001</v>
      </c>
      <c r="Z74" s="143">
        <f t="shared" si="36"/>
        <v>30</v>
      </c>
      <c r="AA74" s="144">
        <f t="shared" si="37"/>
        <v>30</v>
      </c>
      <c r="AB74" s="145">
        <f t="shared" si="38"/>
        <v>369.52986016700004</v>
      </c>
      <c r="AC74" s="145">
        <f>+(S74-T74)*V74-'data 1'!$F$4</f>
        <v>30.230000000000004</v>
      </c>
      <c r="AD74" s="145">
        <f t="shared" si="39"/>
        <v>-4.2459295947379632</v>
      </c>
      <c r="AE74" s="145">
        <f t="shared" si="40"/>
        <v>-36.930999999999997</v>
      </c>
      <c r="AF74" s="145">
        <f t="shared" si="41"/>
        <v>25.187287637134958</v>
      </c>
      <c r="AG74" s="772">
        <f t="shared" si="47"/>
        <v>53.240358042397006</v>
      </c>
      <c r="AH74" s="146">
        <f t="shared" si="42"/>
        <v>14.992005506586898</v>
      </c>
      <c r="AI74" s="156">
        <f t="shared" si="43"/>
        <v>27.115322562297965</v>
      </c>
      <c r="AJ74" s="156">
        <f t="shared" si="44"/>
        <v>14.398422994701903</v>
      </c>
      <c r="AK74" s="88"/>
      <c r="AL74" s="716">
        <f t="shared" si="45"/>
        <v>853.61397698577014</v>
      </c>
      <c r="AM74" s="596"/>
    </row>
    <row r="75" spans="1:39" ht="15.75" customHeight="1">
      <c r="A75" s="991" t="s">
        <v>1380</v>
      </c>
      <c r="B75" s="595">
        <v>45642</v>
      </c>
      <c r="C75" s="595">
        <v>45639</v>
      </c>
      <c r="D75" t="s">
        <v>324</v>
      </c>
      <c r="E75">
        <v>20603329059</v>
      </c>
      <c r="G75" s="80">
        <v>140</v>
      </c>
      <c r="H75" t="s">
        <v>108</v>
      </c>
      <c r="I75" s="596">
        <v>4.24</v>
      </c>
      <c r="J75" s="596">
        <v>16.8</v>
      </c>
      <c r="K75" s="138">
        <f t="shared" si="34"/>
        <v>3.5276800000000001</v>
      </c>
      <c r="L75" s="139">
        <v>0.29499999999999998</v>
      </c>
      <c r="M75" s="139">
        <v>0.28299999999999997</v>
      </c>
      <c r="N75" s="139">
        <v>0.28299999999999997</v>
      </c>
      <c r="O75" s="139">
        <f t="shared" si="35"/>
        <v>0.28299999999999997</v>
      </c>
      <c r="P75" s="629">
        <v>90</v>
      </c>
      <c r="Q75" s="760">
        <v>89.65</v>
      </c>
      <c r="R75" s="954">
        <v>2659.05</v>
      </c>
      <c r="S75" s="802">
        <f t="shared" si="46"/>
        <v>100</v>
      </c>
      <c r="U75" s="953">
        <v>100</v>
      </c>
      <c r="V75" s="715">
        <v>1.1023000000000001</v>
      </c>
      <c r="Z75" s="143">
        <f t="shared" si="36"/>
        <v>30</v>
      </c>
      <c r="AA75" s="144">
        <f t="shared" si="37"/>
        <v>30</v>
      </c>
      <c r="AB75" s="145">
        <f t="shared" si="38"/>
        <v>575.16915558050005</v>
      </c>
      <c r="AC75" s="145">
        <f>+(S75-T75)*V75-'data 1'!$F$4</f>
        <v>30.230000000000004</v>
      </c>
      <c r="AD75" s="145">
        <f t="shared" si="39"/>
        <v>-2.9125181414874528</v>
      </c>
      <c r="AE75" s="145">
        <f t="shared" si="40"/>
        <v>-36.930999999999997</v>
      </c>
      <c r="AF75" s="145">
        <f t="shared" si="41"/>
        <v>30.346605487770034</v>
      </c>
      <c r="AG75" s="772">
        <f t="shared" si="47"/>
        <v>59.733087346282588</v>
      </c>
      <c r="AH75" s="146">
        <f t="shared" si="42"/>
        <v>31.986782849915475</v>
      </c>
      <c r="AI75" s="156">
        <f t="shared" si="43"/>
        <v>37.88335215623745</v>
      </c>
      <c r="AJ75" s="156">
        <f t="shared" si="44"/>
        <v>30.805424454322257</v>
      </c>
      <c r="AK75" s="88"/>
      <c r="AL75" s="716">
        <f t="shared" si="45"/>
        <v>2029.0127267582184</v>
      </c>
      <c r="AM75" s="596"/>
    </row>
    <row r="76" spans="1:39" ht="15.75" customHeight="1">
      <c r="A76" s="991" t="s">
        <v>1382</v>
      </c>
      <c r="B76" s="595">
        <v>45644</v>
      </c>
      <c r="C76" s="595">
        <v>45640</v>
      </c>
      <c r="D76" t="s">
        <v>129</v>
      </c>
      <c r="E76" s="79">
        <v>10423109730</v>
      </c>
      <c r="G76" s="80">
        <v>20</v>
      </c>
      <c r="H76" t="s">
        <v>69</v>
      </c>
      <c r="I76" s="596">
        <v>2.0699999999999998</v>
      </c>
      <c r="J76" s="596">
        <v>1</v>
      </c>
      <c r="K76" s="138">
        <f t="shared" si="34"/>
        <v>2.0492999999999997</v>
      </c>
      <c r="L76" s="139">
        <v>0.41099999999999998</v>
      </c>
      <c r="M76" s="139">
        <v>0.39400000000000002</v>
      </c>
      <c r="N76" s="598">
        <v>0.45400000000000001</v>
      </c>
      <c r="O76" s="139">
        <f t="shared" si="35"/>
        <v>0.42399999999999999</v>
      </c>
      <c r="P76" s="629">
        <v>90</v>
      </c>
      <c r="Q76" s="760">
        <v>89.74</v>
      </c>
      <c r="R76" s="954">
        <v>2659.05</v>
      </c>
      <c r="S76" s="802">
        <v>120</v>
      </c>
      <c r="U76" s="953">
        <v>100</v>
      </c>
      <c r="V76" s="715">
        <v>1.1023000000000001</v>
      </c>
      <c r="Z76" s="143">
        <f t="shared" si="36"/>
        <v>30</v>
      </c>
      <c r="AA76" s="144">
        <f t="shared" si="37"/>
        <v>30</v>
      </c>
      <c r="AB76" s="145">
        <f t="shared" si="38"/>
        <v>911.08785500399995</v>
      </c>
      <c r="AC76" s="145">
        <f>+(S76-T76)*V76-'data 1'!$F$4</f>
        <v>52.27600000000001</v>
      </c>
      <c r="AD76" s="145">
        <f t="shared" si="39"/>
        <v>-3.0143504949090594</v>
      </c>
      <c r="AE76" s="145">
        <f t="shared" si="40"/>
        <v>-36.930999999999997</v>
      </c>
      <c r="AF76" s="145">
        <f t="shared" si="41"/>
        <v>-32.908493115953029</v>
      </c>
      <c r="AG76" s="772">
        <f>+IF(D76="RONALD WILLIAN GARIBAY ESCUDERO",AC76+AD76+AE76+AF76+70,AC76+AD76+AE76+AF76)</f>
        <v>49.422156389137925</v>
      </c>
      <c r="AH76" s="146">
        <f t="shared" si="42"/>
        <v>25.914479862378958</v>
      </c>
      <c r="AI76" s="156">
        <f t="shared" si="43"/>
        <v>52.832842645988919</v>
      </c>
      <c r="AJ76" s="156">
        <f t="shared" si="44"/>
        <v>26.81161505089808</v>
      </c>
      <c r="AK76" s="88"/>
      <c r="AL76" s="716">
        <f t="shared" si="45"/>
        <v>1867.0923412596967</v>
      </c>
      <c r="AM76" s="596"/>
    </row>
    <row r="77" spans="1:39" ht="15.75" customHeight="1">
      <c r="A77" s="991" t="s">
        <v>1383</v>
      </c>
      <c r="B77" s="595">
        <v>45644</v>
      </c>
      <c r="C77" s="595">
        <v>45640</v>
      </c>
      <c r="D77" t="s">
        <v>129</v>
      </c>
      <c r="E77" s="79">
        <v>10423109730</v>
      </c>
      <c r="G77" s="80">
        <v>32</v>
      </c>
      <c r="H77" t="s">
        <v>69</v>
      </c>
      <c r="I77" s="596">
        <v>3.44</v>
      </c>
      <c r="J77" s="596">
        <v>1.1000000000000001</v>
      </c>
      <c r="K77" s="138">
        <f t="shared" si="34"/>
        <v>3.4021599999999999</v>
      </c>
      <c r="L77" s="139">
        <v>0.13600000000000001</v>
      </c>
      <c r="M77" s="139">
        <v>0.126</v>
      </c>
      <c r="N77" s="598">
        <v>0.157</v>
      </c>
      <c r="O77" s="139">
        <f t="shared" si="35"/>
        <v>0.14199999999999999</v>
      </c>
      <c r="P77" s="629">
        <v>90</v>
      </c>
      <c r="Q77" s="760">
        <v>89.85</v>
      </c>
      <c r="R77" s="954">
        <v>2659.05</v>
      </c>
      <c r="S77" s="802">
        <v>95</v>
      </c>
      <c r="U77" s="953">
        <v>100</v>
      </c>
      <c r="V77" s="715">
        <v>1.1023000000000001</v>
      </c>
      <c r="Z77" s="143">
        <f t="shared" si="36"/>
        <v>30</v>
      </c>
      <c r="AA77" s="144">
        <f t="shared" si="37"/>
        <v>30</v>
      </c>
      <c r="AB77" s="145">
        <f t="shared" si="38"/>
        <v>222.71595615699999</v>
      </c>
      <c r="AC77" s="145">
        <f>+(S77-T77)*V77-'data 1'!$F$4</f>
        <v>24.718500000000006</v>
      </c>
      <c r="AD77" s="145">
        <f t="shared" si="39"/>
        <v>-0.57545152626002194</v>
      </c>
      <c r="AE77" s="145">
        <f t="shared" si="40"/>
        <v>-36.930999999999997</v>
      </c>
      <c r="AF77" s="145">
        <f t="shared" si="41"/>
        <v>-15.207152833664942</v>
      </c>
      <c r="AG77" s="772">
        <f>+IF(D77="RONALD WILLIAN GARIBAY ESCUDERO",AC77+AD77+AE77+AF77+70,AC77+AD77+AE77+AF77)</f>
        <v>42.004895640075048</v>
      </c>
      <c r="AH77" s="146">
        <f t="shared" si="42"/>
        <v>14.25347614625734</v>
      </c>
      <c r="AI77" s="156">
        <f t="shared" si="43"/>
        <v>17.503829771459976</v>
      </c>
      <c r="AJ77" s="156">
        <f t="shared" si="44"/>
        <v>14.907151228286425</v>
      </c>
      <c r="AK77" s="88"/>
      <c r="AL77" s="716">
        <f t="shared" si="45"/>
        <v>757.71531739909904</v>
      </c>
      <c r="AM77" s="596"/>
    </row>
    <row r="78" spans="1:39" ht="15.75" customHeight="1">
      <c r="A78" s="991" t="s">
        <v>1384</v>
      </c>
      <c r="B78" s="595">
        <v>45643</v>
      </c>
      <c r="C78" s="595">
        <v>45640</v>
      </c>
      <c r="D78" t="s">
        <v>119</v>
      </c>
      <c r="E78">
        <v>10082235774</v>
      </c>
      <c r="G78" s="80">
        <v>52</v>
      </c>
      <c r="H78" t="s">
        <v>69</v>
      </c>
      <c r="I78" s="596">
        <v>4.83</v>
      </c>
      <c r="J78" s="596">
        <v>1.4</v>
      </c>
      <c r="K78" s="138">
        <f t="shared" si="34"/>
        <v>4.7623800000000003</v>
      </c>
      <c r="L78" s="139">
        <v>0.61199999999999999</v>
      </c>
      <c r="M78" s="139">
        <v>0.60299999999999998</v>
      </c>
      <c r="N78" s="159">
        <v>0.60299999999999998</v>
      </c>
      <c r="O78" s="139">
        <f t="shared" si="35"/>
        <v>0.60299999999999998</v>
      </c>
      <c r="P78" s="629">
        <v>90</v>
      </c>
      <c r="Q78" s="760">
        <v>89.16</v>
      </c>
      <c r="R78" s="954">
        <v>2659.05</v>
      </c>
      <c r="S78" s="765">
        <v>125</v>
      </c>
      <c r="U78" s="953">
        <v>80</v>
      </c>
      <c r="V78" s="715">
        <v>1.1023000000000001</v>
      </c>
      <c r="Z78" s="160">
        <v>10</v>
      </c>
      <c r="AA78" s="144">
        <f t="shared" si="37"/>
        <v>10</v>
      </c>
      <c r="AB78" s="145">
        <f t="shared" si="38"/>
        <v>1394.0241745005001</v>
      </c>
      <c r="AC78" s="145">
        <f>+(S78-T78)*V78-'data 1'!$F$4</f>
        <v>57.787499999999994</v>
      </c>
      <c r="AD78" s="145">
        <f t="shared" si="39"/>
        <v>-14.614712538552062</v>
      </c>
      <c r="AE78" s="145">
        <f t="shared" si="40"/>
        <v>-58.977000000000004</v>
      </c>
      <c r="AF78" s="145">
        <f t="shared" si="41"/>
        <v>22.812460958286021</v>
      </c>
      <c r="AG78" s="772">
        <f>+IF(D78="RONALD WILLIAN GARIBAY ESCUDERO",AC78+AD78+AE78+AF78+70,AC78+AD78+AE78+AF78)+70</f>
        <v>77.008248419733945</v>
      </c>
      <c r="AH78" s="146">
        <f t="shared" si="42"/>
        <v>89.09525946269801</v>
      </c>
      <c r="AI78" s="156">
        <f t="shared" si="43"/>
        <v>66.132740970791886</v>
      </c>
      <c r="AJ78" s="156">
        <f t="shared" si="44"/>
        <v>88.612081149564091</v>
      </c>
      <c r="AK78" s="88"/>
      <c r="AL78" s="716">
        <f t="shared" si="45"/>
        <v>6638.8728481576918</v>
      </c>
      <c r="AM78" s="596"/>
    </row>
    <row r="79" spans="1:39" ht="15.75" customHeight="1">
      <c r="A79" s="991" t="s">
        <v>1385</v>
      </c>
      <c r="B79" s="595">
        <v>45643</v>
      </c>
      <c r="C79" s="595">
        <v>45640</v>
      </c>
      <c r="D79" t="s">
        <v>119</v>
      </c>
      <c r="E79">
        <v>10082235774</v>
      </c>
      <c r="G79" s="80">
        <v>44</v>
      </c>
      <c r="H79" t="s">
        <v>69</v>
      </c>
      <c r="I79" s="596">
        <v>4.37</v>
      </c>
      <c r="J79" s="596">
        <v>1.8</v>
      </c>
      <c r="K79" s="138">
        <f t="shared" si="34"/>
        <v>4.2913399999999999</v>
      </c>
      <c r="L79" s="139">
        <v>0.80600000000000005</v>
      </c>
      <c r="M79" s="139">
        <v>0.79400000000000004</v>
      </c>
      <c r="N79" s="159">
        <v>0.79400000000000004</v>
      </c>
      <c r="O79" s="139">
        <f t="shared" si="35"/>
        <v>0.79400000000000004</v>
      </c>
      <c r="P79" s="629">
        <v>90</v>
      </c>
      <c r="Q79" s="760">
        <v>89.74</v>
      </c>
      <c r="R79" s="954">
        <v>2659.05</v>
      </c>
      <c r="S79" s="765">
        <v>130</v>
      </c>
      <c r="U79" s="953">
        <v>80</v>
      </c>
      <c r="V79" s="715">
        <v>1.1023000000000001</v>
      </c>
      <c r="Z79" s="160">
        <v>10</v>
      </c>
      <c r="AA79" s="144">
        <f t="shared" si="37"/>
        <v>10</v>
      </c>
      <c r="AB79" s="145">
        <f t="shared" si="38"/>
        <v>1877.2049179990006</v>
      </c>
      <c r="AC79" s="145">
        <f>+(S79-T79)*V79-'data 1'!$F$4</f>
        <v>63.299000000000007</v>
      </c>
      <c r="AD79" s="145">
        <f t="shared" si="39"/>
        <v>-5.9575536095141173</v>
      </c>
      <c r="AE79" s="145">
        <f t="shared" si="40"/>
        <v>-58.977000000000004</v>
      </c>
      <c r="AF79" s="145">
        <f t="shared" si="41"/>
        <v>30.614479533372027</v>
      </c>
      <c r="AG79" s="772">
        <f>+IF(D79="RONALD WILLIAN GARIBAY ESCUDERO",AC79+AD79+AE79+AF79+70,AC79+AD79+AE79+AF79)+70</f>
        <v>98.978925923857915</v>
      </c>
      <c r="AH79" s="146">
        <f t="shared" si="42"/>
        <v>106.41996237297194</v>
      </c>
      <c r="AI79" s="156">
        <f t="shared" si="43"/>
        <v>87.662963491193835</v>
      </c>
      <c r="AJ79" s="156">
        <f t="shared" si="44"/>
        <v>105.13928176259643</v>
      </c>
      <c r="AK79" s="88"/>
      <c r="AL79" s="716">
        <f t="shared" si="45"/>
        <v>8055.7245528058311</v>
      </c>
      <c r="AM79" s="596"/>
    </row>
    <row r="80" spans="1:39" ht="15.75" customHeight="1">
      <c r="A80" s="747" t="s">
        <v>1531</v>
      </c>
      <c r="B80" s="595"/>
      <c r="C80" s="595"/>
      <c r="G80" s="80"/>
      <c r="I80" s="596"/>
      <c r="J80" s="596"/>
      <c r="K80" s="138"/>
      <c r="L80" s="139"/>
      <c r="M80" s="139"/>
      <c r="N80" s="598"/>
      <c r="O80" s="139"/>
      <c r="P80" s="629"/>
      <c r="Q80" s="760"/>
      <c r="R80" s="954"/>
      <c r="S80" s="765"/>
      <c r="V80" s="715"/>
      <c r="Z80" s="143"/>
      <c r="AA80" s="144"/>
      <c r="AB80" s="145"/>
      <c r="AC80" s="145"/>
      <c r="AD80" s="145"/>
      <c r="AE80" s="145"/>
      <c r="AF80" s="145"/>
      <c r="AG80" s="772"/>
      <c r="AH80" s="146"/>
      <c r="AI80" s="156"/>
      <c r="AJ80" s="156"/>
      <c r="AK80" s="88"/>
      <c r="AL80" s="716"/>
      <c r="AM80" s="596"/>
    </row>
    <row r="81" spans="1:39" ht="15.75" customHeight="1">
      <c r="A81" s="747" t="s">
        <v>1532</v>
      </c>
      <c r="B81" s="595"/>
      <c r="C81" s="595"/>
      <c r="G81" s="80"/>
      <c r="I81" s="596"/>
      <c r="J81" s="596"/>
      <c r="K81" s="138"/>
      <c r="L81" s="139"/>
      <c r="M81" s="139"/>
      <c r="N81" s="598"/>
      <c r="O81" s="139"/>
      <c r="P81" s="629"/>
      <c r="Q81" s="760"/>
      <c r="R81" s="954"/>
      <c r="S81" s="765"/>
      <c r="T81" s="665"/>
      <c r="V81" s="715"/>
      <c r="Z81" s="143"/>
      <c r="AA81" s="144"/>
      <c r="AB81" s="145"/>
      <c r="AC81" s="145"/>
      <c r="AD81" s="145"/>
      <c r="AE81" s="145"/>
      <c r="AF81" s="145"/>
      <c r="AG81" s="772"/>
      <c r="AH81" s="146"/>
      <c r="AI81" s="156"/>
      <c r="AJ81" s="156"/>
      <c r="AK81" s="88"/>
      <c r="AL81" s="716"/>
      <c r="AM81" s="596"/>
    </row>
    <row r="82" spans="1:39" ht="15.75" customHeight="1">
      <c r="A82" s="991" t="s">
        <v>1406</v>
      </c>
      <c r="B82" s="595">
        <v>45646</v>
      </c>
      <c r="C82" s="595">
        <v>45642</v>
      </c>
      <c r="D82" t="s">
        <v>1177</v>
      </c>
      <c r="E82" s="6">
        <v>20606094010</v>
      </c>
      <c r="G82" s="80">
        <v>105</v>
      </c>
      <c r="H82" t="s">
        <v>69</v>
      </c>
      <c r="I82" s="596">
        <v>8.7899999999999991</v>
      </c>
      <c r="J82" s="596">
        <v>1.2</v>
      </c>
      <c r="K82" s="138">
        <f t="shared" ref="K82:K105" si="48">+I82-(I82*(J82/100))</f>
        <v>8.6845199999999991</v>
      </c>
      <c r="L82" s="139">
        <v>0.28000000000000003</v>
      </c>
      <c r="M82" s="139">
        <v>0.26900000000000002</v>
      </c>
      <c r="N82" s="598">
        <v>0.36799999999999999</v>
      </c>
      <c r="O82" s="645">
        <f t="shared" ref="O82:O92" si="49">+ROUND((M82+N82)/2,3)</f>
        <v>0.31900000000000001</v>
      </c>
      <c r="P82" s="629">
        <v>89</v>
      </c>
      <c r="Q82" s="760">
        <v>89.69</v>
      </c>
      <c r="R82" s="954">
        <v>2654.2</v>
      </c>
      <c r="S82" s="987">
        <f>IF((90+ROUNDDOWN(O82,1)*100)&lt;95,95,(90+ROUNDDOWN(O82,1)*100))</f>
        <v>120</v>
      </c>
      <c r="U82" s="953">
        <v>100</v>
      </c>
      <c r="V82" s="715">
        <v>1.1023000000000001</v>
      </c>
      <c r="Y82">
        <v>30</v>
      </c>
      <c r="Z82" s="143">
        <f t="shared" ref="Z82:Z101" si="50">IF(IF(D82="UNTUCA",IF(+((W82-3)*1.5+(X82-3)*3.1)&gt;0,+((W82-3)*1.5+(X82-3)*3.1),0),IF(+((W82-3)*1.5+(X82-3)*3.1)&gt;0,+((W82-3)*1.5+(X82-3)*3.1),0))&lt;30,30,IF(D82="UNTUCA",IF(+((W82-3)*1.5+(X82-3)*3.1)&gt;0,+((W82-3)*1.5+(X82-3)*3.1),0),IF(+((W82-3)*1.5+(X82-3)*3.1)&gt;0,+((W82-3)*1.5+(X82-3)*3.1),0)))</f>
        <v>30</v>
      </c>
      <c r="AA82" s="144">
        <f t="shared" ref="AA82:AA105" si="51">+Y82+Z82</f>
        <v>60</v>
      </c>
      <c r="AB82" s="145">
        <f t="shared" ref="AB82:AB105" si="52">+((O82*P82*(R82-U82)/100)-S82-AA82+T82)*V82</f>
        <v>600.93308892059997</v>
      </c>
      <c r="AC82" s="145">
        <f>+(S82-T82)*V82-'data 1'!$F$4</f>
        <v>52.27600000000001</v>
      </c>
      <c r="AD82" s="145">
        <f t="shared" ref="AD82:AD105" si="53">+(Q82-P82)*(R82-U82)*L82*V82/100</f>
        <v>5.4395356831199821</v>
      </c>
      <c r="AE82" s="145">
        <f t="shared" ref="AE82:AE105" si="54">+(Y82*V82-70)+V82*(Z82-IF(D82="UNTUCA",IF(+((W82-3)*2.5+(X82-3)*3.1)&gt;0,+((W82-3)*1.5+(X82-3)*3.1),0),IF(+((W82-3)*1.5+(X82-3)*3.1)&gt;0,+((W82-3)*1.5+(X82-3)*3.1),0)))</f>
        <v>-3.8619999999999948</v>
      </c>
      <c r="AF82" s="145">
        <f t="shared" ref="AF82:AF105" si="55">(L82-O82)*(R82-U82)*Q82*V82/100</f>
        <v>-98.483469261605933</v>
      </c>
      <c r="AG82" s="772">
        <f>+IF(D82="RONALD WILLIAN GARIBAY ESCUDERO",AC82+AD82+AE82+AF82+70,AC82+AD82+AE82+AF82)+70-53</f>
        <v>-27.629933578485932</v>
      </c>
      <c r="AH82" s="146">
        <f t="shared" ref="AH82:AH105" si="56">31.1035*L82*Q82*1.1023*K82/100</f>
        <v>74.775089977470586</v>
      </c>
      <c r="AI82" s="156">
        <f t="shared" ref="AI82:AI105" si="57">+((+$AI$2-R82+U82)*L82*Q82*V82)/100</f>
        <v>37.315713925280058</v>
      </c>
      <c r="AJ82" s="156">
        <f t="shared" ref="AJ82:AJ105" si="58">31.1035*1.1023*K82*P82*O82/100</f>
        <v>84.534809564307508</v>
      </c>
      <c r="AK82" s="88"/>
      <c r="AL82" s="716">
        <f t="shared" ref="AL82:AL105" si="59">+IF(AB82*K82&gt;0,AB82*K82,0)</f>
        <v>5218.8154293927282</v>
      </c>
      <c r="AM82" s="596"/>
    </row>
    <row r="83" spans="1:39" ht="15.75" customHeight="1">
      <c r="A83" s="991" t="s">
        <v>1425</v>
      </c>
      <c r="B83" s="595">
        <v>45649</v>
      </c>
      <c r="C83" s="595">
        <v>45643</v>
      </c>
      <c r="D83" t="s">
        <v>154</v>
      </c>
      <c r="E83" s="640">
        <v>10416085884</v>
      </c>
      <c r="G83" s="80" t="s">
        <v>1434</v>
      </c>
      <c r="H83" t="s">
        <v>69</v>
      </c>
      <c r="I83" s="596">
        <v>32.32</v>
      </c>
      <c r="J83" s="596">
        <v>12.35</v>
      </c>
      <c r="K83" s="138">
        <f t="shared" si="48"/>
        <v>28.328479999999999</v>
      </c>
      <c r="L83" s="139">
        <v>0.13700000000000001</v>
      </c>
      <c r="M83" s="139">
        <v>0.12741000000000002</v>
      </c>
      <c r="N83" s="598">
        <v>0.13300000000000001</v>
      </c>
      <c r="O83" s="645">
        <f t="shared" si="49"/>
        <v>0.13</v>
      </c>
      <c r="P83" s="629">
        <v>85</v>
      </c>
      <c r="Q83" s="760">
        <v>89.72</v>
      </c>
      <c r="R83" s="706">
        <v>2636.35</v>
      </c>
      <c r="S83" s="802">
        <v>110</v>
      </c>
      <c r="U83" s="953">
        <v>90</v>
      </c>
      <c r="V83" s="715">
        <v>1.1023000000000001</v>
      </c>
      <c r="Z83" s="143">
        <f t="shared" si="50"/>
        <v>30</v>
      </c>
      <c r="AA83" s="144">
        <f t="shared" si="51"/>
        <v>30</v>
      </c>
      <c r="AB83" s="145">
        <f t="shared" si="52"/>
        <v>155.83399735249998</v>
      </c>
      <c r="AC83" s="145">
        <f>+(S83-T83)*V83-'data 1'!$F$4</f>
        <v>41.253</v>
      </c>
      <c r="AD83" s="145">
        <f t="shared" si="53"/>
        <v>18.150160554571997</v>
      </c>
      <c r="AE83" s="145">
        <f t="shared" si="54"/>
        <v>-36.930999999999997</v>
      </c>
      <c r="AF83" s="145">
        <f t="shared" si="55"/>
        <v>17.628088016042014</v>
      </c>
      <c r="AG83" s="772">
        <f>+IF(D83="RONALD WILLIAN GARIBAY ESCUDERO",AC83+AD83+AE83+AF83+70,AC83+AD83+AE83+AF83)+70-53</f>
        <v>57.100248570614013</v>
      </c>
      <c r="AH83" s="146">
        <f t="shared" si="56"/>
        <v>119.38291360407956</v>
      </c>
      <c r="AI83" s="156">
        <f t="shared" si="57"/>
        <v>19.327755162258018</v>
      </c>
      <c r="AJ83" s="156">
        <f t="shared" si="58"/>
        <v>107.32344872816638</v>
      </c>
      <c r="AK83" s="88"/>
      <c r="AL83" s="716">
        <f t="shared" si="59"/>
        <v>4414.5402773203487</v>
      </c>
      <c r="AM83" s="596"/>
    </row>
    <row r="84" spans="1:39" ht="15.75" customHeight="1">
      <c r="A84" s="991" t="s">
        <v>1427</v>
      </c>
      <c r="B84" s="595">
        <v>45647</v>
      </c>
      <c r="C84" s="595">
        <v>45644</v>
      </c>
      <c r="D84" t="s">
        <v>324</v>
      </c>
      <c r="E84">
        <v>20603329059</v>
      </c>
      <c r="G84" s="80">
        <v>12</v>
      </c>
      <c r="H84" t="s">
        <v>108</v>
      </c>
      <c r="I84" s="596">
        <v>0.77</v>
      </c>
      <c r="J84" s="596">
        <v>1.1000000000000001</v>
      </c>
      <c r="K84" s="138">
        <f t="shared" si="48"/>
        <v>0.76153000000000004</v>
      </c>
      <c r="L84" s="139">
        <v>0.72350000000000003</v>
      </c>
      <c r="M84" s="139">
        <v>0.69455999999999996</v>
      </c>
      <c r="N84" s="159">
        <v>0.69455999999999996</v>
      </c>
      <c r="O84" s="645">
        <f t="shared" si="49"/>
        <v>0.69499999999999995</v>
      </c>
      <c r="P84" s="629">
        <v>90</v>
      </c>
      <c r="Q84" s="760">
        <v>89.45</v>
      </c>
      <c r="R84" s="706">
        <v>2636.65</v>
      </c>
      <c r="S84" s="802">
        <f>IF((80+ROUNDDOWN(O84,1)*100)&lt;95,95,(80+ROUNDDOWN(O84,1)*100))</f>
        <v>140</v>
      </c>
      <c r="U84" s="953">
        <v>100</v>
      </c>
      <c r="V84" s="715">
        <v>1.1023000000000001</v>
      </c>
      <c r="Z84" s="143">
        <f t="shared" si="50"/>
        <v>30</v>
      </c>
      <c r="AA84" s="144">
        <f t="shared" si="51"/>
        <v>30</v>
      </c>
      <c r="AB84" s="145">
        <f t="shared" si="52"/>
        <v>1561.6003840225001</v>
      </c>
      <c r="AC84" s="145">
        <f>+(S84-T84)*V84-'data 1'!$F$4</f>
        <v>74.322000000000003</v>
      </c>
      <c r="AD84" s="145">
        <f t="shared" si="53"/>
        <v>-11.126577082128692</v>
      </c>
      <c r="AE84" s="145">
        <f t="shared" si="54"/>
        <v>-36.930999999999997</v>
      </c>
      <c r="AF84" s="145">
        <f t="shared" si="55"/>
        <v>71.282933014758953</v>
      </c>
      <c r="AG84" s="772">
        <f>+IF(D84="RONALD WILLIAN GARIBAY ESCUDERO",AC84+AD84+AE84+AF84+70,AC84+AD84+AE84+AF84)+70-28</f>
        <v>139.54735593263027</v>
      </c>
      <c r="AH84" s="146">
        <f t="shared" si="56"/>
        <v>16.897208632209743</v>
      </c>
      <c r="AI84" s="156">
        <f t="shared" si="57"/>
        <v>108.6828820054037</v>
      </c>
      <c r="AJ84" s="156">
        <f t="shared" si="58"/>
        <v>16.33139940185367</v>
      </c>
      <c r="AK84" s="88"/>
      <c r="AL84" s="716">
        <f t="shared" si="59"/>
        <v>1189.2055404446546</v>
      </c>
      <c r="AM84" s="596"/>
    </row>
    <row r="85" spans="1:39" ht="15.75" customHeight="1">
      <c r="A85" s="991" t="s">
        <v>1428</v>
      </c>
      <c r="B85" s="595">
        <v>45647</v>
      </c>
      <c r="C85" s="595">
        <v>45644</v>
      </c>
      <c r="D85" t="s">
        <v>324</v>
      </c>
      <c r="E85">
        <v>20603329059</v>
      </c>
      <c r="G85" s="80">
        <v>20</v>
      </c>
      <c r="H85" t="s">
        <v>108</v>
      </c>
      <c r="I85" s="596">
        <v>1.41</v>
      </c>
      <c r="J85" s="596">
        <v>1.3</v>
      </c>
      <c r="K85" s="138">
        <f t="shared" si="48"/>
        <v>1.39167</v>
      </c>
      <c r="L85" s="139">
        <v>0.5625</v>
      </c>
      <c r="M85" s="139">
        <v>0.54</v>
      </c>
      <c r="N85" s="159">
        <v>0.54</v>
      </c>
      <c r="O85" s="645">
        <f t="shared" si="49"/>
        <v>0.54</v>
      </c>
      <c r="P85" s="629">
        <v>90</v>
      </c>
      <c r="Q85" s="760">
        <v>89.76</v>
      </c>
      <c r="R85" s="706">
        <v>2636.65</v>
      </c>
      <c r="S85" s="802">
        <f>IF((80+ROUNDDOWN(O85,1)*100)&lt;95,95,(80+ROUNDDOWN(O85,1)*100))</f>
        <v>130</v>
      </c>
      <c r="U85" s="953">
        <v>100</v>
      </c>
      <c r="V85" s="715">
        <v>1.1023000000000001</v>
      </c>
      <c r="Z85" s="143">
        <f t="shared" si="50"/>
        <v>30</v>
      </c>
      <c r="AA85" s="144">
        <f t="shared" si="51"/>
        <v>30</v>
      </c>
      <c r="AB85" s="145">
        <f t="shared" si="52"/>
        <v>1182.56055737</v>
      </c>
      <c r="AC85" s="145">
        <f>+(S85-T85)*V85-'data 1'!$F$4</f>
        <v>63.299000000000007</v>
      </c>
      <c r="AD85" s="145">
        <f t="shared" si="53"/>
        <v>-3.7748015482499202</v>
      </c>
      <c r="AE85" s="145">
        <f t="shared" si="54"/>
        <v>-36.930999999999997</v>
      </c>
      <c r="AF85" s="145">
        <f t="shared" si="55"/>
        <v>56.471031161819923</v>
      </c>
      <c r="AG85" s="772">
        <f>+IF(D85="RONALD WILLIAN GARIBAY ESCUDERO",AC85+AD85+AE85+AF85+70,AC85+AD85+AE85+AF85)+70-28</f>
        <v>121.06422961357001</v>
      </c>
      <c r="AH85" s="146">
        <f t="shared" si="56"/>
        <v>24.090771329110723</v>
      </c>
      <c r="AI85" s="156">
        <f t="shared" si="57"/>
        <v>84.790585984499955</v>
      </c>
      <c r="AJ85" s="156">
        <f t="shared" si="58"/>
        <v>23.188977749946144</v>
      </c>
      <c r="AK85" s="88"/>
      <c r="AL85" s="716">
        <f t="shared" si="59"/>
        <v>1645.7340508751079</v>
      </c>
      <c r="AM85" s="596"/>
    </row>
    <row r="86" spans="1:39" ht="15.75" customHeight="1">
      <c r="A86" s="991" t="s">
        <v>1429</v>
      </c>
      <c r="B86" s="595">
        <v>45647</v>
      </c>
      <c r="C86" s="595">
        <v>45644</v>
      </c>
      <c r="D86" t="s">
        <v>324</v>
      </c>
      <c r="E86">
        <v>20603329059</v>
      </c>
      <c r="G86" s="80">
        <v>13</v>
      </c>
      <c r="H86" t="s">
        <v>108</v>
      </c>
      <c r="I86" s="596">
        <v>0.92</v>
      </c>
      <c r="J86" s="596">
        <v>1.1000000000000001</v>
      </c>
      <c r="K86" s="138">
        <f t="shared" si="48"/>
        <v>0.90988000000000002</v>
      </c>
      <c r="L86" s="139">
        <v>0.997</v>
      </c>
      <c r="M86" s="139">
        <v>0.95711999999999997</v>
      </c>
      <c r="N86" s="159">
        <v>0.95711999999999997</v>
      </c>
      <c r="O86" s="645">
        <f t="shared" si="49"/>
        <v>0.95699999999999996</v>
      </c>
      <c r="P86" s="629">
        <v>90</v>
      </c>
      <c r="Q86" s="760">
        <v>89.88</v>
      </c>
      <c r="R86" s="706">
        <v>2636.65</v>
      </c>
      <c r="S86" s="802">
        <f>IF((80+ROUNDDOWN(O86,1)*100)&lt;95,95,(80+ROUNDDOWN(O86,1)*100))</f>
        <v>170</v>
      </c>
      <c r="U86" s="953">
        <v>100</v>
      </c>
      <c r="V86" s="715">
        <v>1.1023000000000001</v>
      </c>
      <c r="Z86" s="143">
        <f t="shared" si="50"/>
        <v>30</v>
      </c>
      <c r="AA86" s="144">
        <f t="shared" si="51"/>
        <v>30</v>
      </c>
      <c r="AB86" s="145">
        <f t="shared" si="52"/>
        <v>2187.8633877835</v>
      </c>
      <c r="AC86" s="145">
        <f>+(S86-T86)*V86-'data 1'!$F$4</f>
        <v>107.39100000000002</v>
      </c>
      <c r="AD86" s="145">
        <f t="shared" si="53"/>
        <v>-3.3453130165381268</v>
      </c>
      <c r="AE86" s="145">
        <f t="shared" si="54"/>
        <v>-36.930999999999997</v>
      </c>
      <c r="AF86" s="145">
        <f t="shared" si="55"/>
        <v>100.52715945384008</v>
      </c>
      <c r="AG86" s="772">
        <f>+IF(D86="RONALD WILLIAN GARIBAY ESCUDERO",AC86+AD86+AE86+AF86+70,AC86+AD86+AE86+AF86)+70-28</f>
        <v>209.64184643730198</v>
      </c>
      <c r="AH86" s="146">
        <f t="shared" si="56"/>
        <v>27.95447949853272</v>
      </c>
      <c r="AI86" s="156">
        <f t="shared" si="57"/>
        <v>150.48752098795791</v>
      </c>
      <c r="AJ86" s="156">
        <f t="shared" si="58"/>
        <v>26.86876070142586</v>
      </c>
      <c r="AK86" s="88"/>
      <c r="AL86" s="716">
        <f t="shared" si="59"/>
        <v>1990.6931392764511</v>
      </c>
      <c r="AM86" s="596"/>
    </row>
    <row r="87" spans="1:39" ht="15.75" customHeight="1">
      <c r="A87" s="991" t="s">
        <v>1430</v>
      </c>
      <c r="B87" s="595">
        <v>45647</v>
      </c>
      <c r="C87" s="595">
        <v>45644</v>
      </c>
      <c r="D87" t="s">
        <v>324</v>
      </c>
      <c r="E87">
        <v>20603329059</v>
      </c>
      <c r="G87" s="80">
        <v>13</v>
      </c>
      <c r="H87" t="s">
        <v>108</v>
      </c>
      <c r="I87" s="596">
        <v>0.87</v>
      </c>
      <c r="J87" s="596">
        <v>1.2</v>
      </c>
      <c r="K87" s="138">
        <f t="shared" si="48"/>
        <v>0.85955999999999999</v>
      </c>
      <c r="L87" s="139">
        <v>0.31900000000000001</v>
      </c>
      <c r="M87" s="139">
        <v>0.30624000000000001</v>
      </c>
      <c r="N87" s="159">
        <v>0.30624000000000001</v>
      </c>
      <c r="O87" s="645">
        <f t="shared" si="49"/>
        <v>0.30599999999999999</v>
      </c>
      <c r="P87" s="629">
        <v>90</v>
      </c>
      <c r="Q87" s="760">
        <v>89.41</v>
      </c>
      <c r="R87" s="706">
        <v>2636.65</v>
      </c>
      <c r="S87" s="802">
        <f>IF((80+ROUNDDOWN(O87,1)*100)&lt;95,95,(80+ROUNDDOWN(O87,1)*100))</f>
        <v>110</v>
      </c>
      <c r="U87" s="953">
        <v>100</v>
      </c>
      <c r="V87" s="715">
        <v>1.1023000000000001</v>
      </c>
      <c r="Z87" s="143">
        <f t="shared" si="50"/>
        <v>30</v>
      </c>
      <c r="AA87" s="144">
        <f t="shared" si="51"/>
        <v>30</v>
      </c>
      <c r="AB87" s="145">
        <f t="shared" si="52"/>
        <v>615.73751584299998</v>
      </c>
      <c r="AC87" s="145">
        <f>+(S87-T87)*V87-'data 1'!$F$4</f>
        <v>41.253</v>
      </c>
      <c r="AD87" s="145">
        <f t="shared" si="53"/>
        <v>-5.2626325881195317</v>
      </c>
      <c r="AE87" s="145">
        <f t="shared" si="54"/>
        <v>-36.930999999999997</v>
      </c>
      <c r="AF87" s="145">
        <f t="shared" si="55"/>
        <v>32.500482100573528</v>
      </c>
      <c r="AG87" s="772">
        <f>+IF(D87="RONALD WILLIAN GARIBAY ESCUDERO",AC87+AD87+AE87+AF87+70,AC87+AD87+AE87+AF87)+70-28</f>
        <v>73.559849512454008</v>
      </c>
      <c r="AH87" s="146">
        <f t="shared" si="56"/>
        <v>8.4054708122559081</v>
      </c>
      <c r="AI87" s="156">
        <f t="shared" si="57"/>
        <v>47.898183549749476</v>
      </c>
      <c r="AJ87" s="156">
        <f t="shared" si="58"/>
        <v>8.1161338811318533</v>
      </c>
      <c r="AK87" s="88"/>
      <c r="AL87" s="716">
        <f t="shared" si="59"/>
        <v>529.26333911800907</v>
      </c>
      <c r="AM87" s="596"/>
    </row>
    <row r="88" spans="1:39" ht="15.75" customHeight="1">
      <c r="A88" s="991" t="s">
        <v>1431</v>
      </c>
      <c r="B88" s="595">
        <v>45647</v>
      </c>
      <c r="C88" s="595">
        <v>45644</v>
      </c>
      <c r="D88" t="s">
        <v>324</v>
      </c>
      <c r="E88">
        <v>20603329059</v>
      </c>
      <c r="G88" s="80">
        <v>42</v>
      </c>
      <c r="H88" t="s">
        <v>108</v>
      </c>
      <c r="I88" s="596">
        <v>2.41</v>
      </c>
      <c r="J88" s="596">
        <v>1.2</v>
      </c>
      <c r="K88" s="138">
        <f t="shared" si="48"/>
        <v>2.3810800000000003</v>
      </c>
      <c r="L88" s="139">
        <v>0.66500000000000004</v>
      </c>
      <c r="M88" s="139">
        <v>0.63800000000000001</v>
      </c>
      <c r="N88" s="159">
        <v>0.63800000000000001</v>
      </c>
      <c r="O88" s="645">
        <f t="shared" si="49"/>
        <v>0.63800000000000001</v>
      </c>
      <c r="P88" s="629">
        <v>90</v>
      </c>
      <c r="Q88" s="760">
        <v>89.38</v>
      </c>
      <c r="R88" s="706">
        <v>2636.65</v>
      </c>
      <c r="S88" s="802">
        <f>IF((80+ROUNDDOWN(O88,1)*100)&lt;95,95,(80+ROUNDDOWN(O88,1)*100))</f>
        <v>140</v>
      </c>
      <c r="U88" s="953">
        <v>100</v>
      </c>
      <c r="V88" s="715">
        <v>1.1023000000000001</v>
      </c>
      <c r="Z88" s="143">
        <f t="shared" si="50"/>
        <v>30</v>
      </c>
      <c r="AA88" s="144">
        <f t="shared" si="51"/>
        <v>30</v>
      </c>
      <c r="AB88" s="145">
        <f t="shared" si="52"/>
        <v>1418.157925189</v>
      </c>
      <c r="AC88" s="145">
        <f>+(S88-T88)*V88-'data 1'!$F$4</f>
        <v>74.322000000000003</v>
      </c>
      <c r="AD88" s="145">
        <f t="shared" si="53"/>
        <v>-11.528523543285086</v>
      </c>
      <c r="AE88" s="145">
        <f t="shared" si="54"/>
        <v>-36.930999999999997</v>
      </c>
      <c r="AF88" s="145">
        <f t="shared" si="55"/>
        <v>67.47835247651706</v>
      </c>
      <c r="AG88" s="772">
        <f>+IF(D88="RONALD WILLIAN GARIBAY ESCUDERO",AC88+AD88+AE88+AF88+70,AC88+AD88+AE88+AF88)+70-28</f>
        <v>135.34082893323199</v>
      </c>
      <c r="AH88" s="146">
        <f t="shared" si="56"/>
        <v>48.52271042310818</v>
      </c>
      <c r="AI88" s="156">
        <f t="shared" si="57"/>
        <v>99.816942217684954</v>
      </c>
      <c r="AJ88" s="156">
        <f t="shared" si="58"/>
        <v>46.875535770981585</v>
      </c>
      <c r="AK88" s="88"/>
      <c r="AL88" s="716">
        <f t="shared" si="59"/>
        <v>3376.7474725090246</v>
      </c>
      <c r="AM88" s="596"/>
    </row>
    <row r="89" spans="1:39" ht="15.75" customHeight="1">
      <c r="A89" s="991" t="s">
        <v>1432</v>
      </c>
      <c r="B89" s="595">
        <v>45649</v>
      </c>
      <c r="C89" s="595">
        <v>45644</v>
      </c>
      <c r="D89" t="s">
        <v>1403</v>
      </c>
      <c r="E89">
        <v>10479968131</v>
      </c>
      <c r="G89" s="80">
        <v>154</v>
      </c>
      <c r="H89" t="s">
        <v>69</v>
      </c>
      <c r="I89" s="596">
        <v>12.47</v>
      </c>
      <c r="J89" s="596">
        <v>1.2</v>
      </c>
      <c r="K89" s="138">
        <f t="shared" si="48"/>
        <v>12.320360000000001</v>
      </c>
      <c r="L89" s="139">
        <v>0.34799999999999998</v>
      </c>
      <c r="M89" s="139">
        <v>0.33400000000000002</v>
      </c>
      <c r="N89" s="159">
        <v>0.33400000000000002</v>
      </c>
      <c r="O89" s="645">
        <f t="shared" si="49"/>
        <v>0.33400000000000002</v>
      </c>
      <c r="P89" s="629">
        <v>90</v>
      </c>
      <c r="Q89" s="760">
        <v>89.74</v>
      </c>
      <c r="R89" s="706">
        <v>2636.65</v>
      </c>
      <c r="S89" s="765">
        <f>IF((90+ROUNDDOWN(O89,1)*100)&lt;95,95,(90+ROUNDDOWN(O89,1)*100))</f>
        <v>120</v>
      </c>
      <c r="U89" s="953">
        <v>120</v>
      </c>
      <c r="V89" s="715">
        <v>1.1023000000000001</v>
      </c>
      <c r="Y89">
        <v>10</v>
      </c>
      <c r="Z89" s="143">
        <f t="shared" si="50"/>
        <v>30</v>
      </c>
      <c r="AA89" s="144">
        <f t="shared" si="51"/>
        <v>40</v>
      </c>
      <c r="AB89" s="145">
        <f t="shared" si="52"/>
        <v>657.52745047700023</v>
      </c>
      <c r="AC89" s="145">
        <f>+(S89-T89)*V89-'data 1'!$F$4</f>
        <v>52.27600000000001</v>
      </c>
      <c r="AD89" s="145">
        <f t="shared" si="53"/>
        <v>-2.5100086613160495</v>
      </c>
      <c r="AE89" s="145">
        <f t="shared" si="54"/>
        <v>-25.908000000000001</v>
      </c>
      <c r="AF89" s="145">
        <f t="shared" si="55"/>
        <v>34.852724157061893</v>
      </c>
      <c r="AG89" s="772">
        <f>+IF(D89="RONALD WILLIAN GARIBAY ESCUDERO",AC89+AD89+AE89+AF89+70,AC89+AD89+AE89+AF89)+70-53</f>
        <v>75.710715495745859</v>
      </c>
      <c r="AH89" s="146">
        <f t="shared" si="56"/>
        <v>131.91609187399962</v>
      </c>
      <c r="AI89" s="156">
        <f t="shared" si="57"/>
        <v>59.330280870755971</v>
      </c>
      <c r="AJ89" s="156">
        <f t="shared" si="58"/>
        <v>126.97594204881884</v>
      </c>
      <c r="AK89" s="88"/>
      <c r="AL89" s="716">
        <f t="shared" si="59"/>
        <v>8100.9748997588149</v>
      </c>
      <c r="AM89" s="596"/>
    </row>
    <row r="90" spans="1:39" ht="15.75" customHeight="1">
      <c r="A90" s="991" t="s">
        <v>1454</v>
      </c>
      <c r="B90" s="595">
        <v>45649</v>
      </c>
      <c r="C90" s="595">
        <v>45645</v>
      </c>
      <c r="D90" t="s">
        <v>1402</v>
      </c>
      <c r="E90">
        <v>20606526599</v>
      </c>
      <c r="G90" s="80" t="s">
        <v>1434</v>
      </c>
      <c r="H90" t="s">
        <v>108</v>
      </c>
      <c r="I90" s="596">
        <v>31.53</v>
      </c>
      <c r="J90" s="596">
        <v>15</v>
      </c>
      <c r="K90" s="138">
        <f t="shared" si="48"/>
        <v>26.8005</v>
      </c>
      <c r="L90" s="139">
        <v>0.21299999999999999</v>
      </c>
      <c r="M90" s="139">
        <v>0.20300000000000001</v>
      </c>
      <c r="N90" s="159">
        <v>0.20300000000000001</v>
      </c>
      <c r="O90" s="645">
        <f t="shared" si="49"/>
        <v>0.20300000000000001</v>
      </c>
      <c r="P90" s="629">
        <v>90</v>
      </c>
      <c r="Q90" s="760">
        <v>89.85</v>
      </c>
      <c r="R90" s="706">
        <v>2592.4499999999998</v>
      </c>
      <c r="S90" s="802">
        <v>100</v>
      </c>
      <c r="U90" s="953">
        <v>120</v>
      </c>
      <c r="V90" s="715">
        <v>1.1023000000000001</v>
      </c>
      <c r="Y90">
        <v>10</v>
      </c>
      <c r="Z90" s="143">
        <f t="shared" si="50"/>
        <v>30</v>
      </c>
      <c r="AA90" s="144">
        <f t="shared" si="51"/>
        <v>40</v>
      </c>
      <c r="AB90" s="145">
        <f t="shared" si="52"/>
        <v>343.60522471449997</v>
      </c>
      <c r="AC90" s="145">
        <f>+(S90-T90)*V90-'data 1'!$F$4</f>
        <v>30.230000000000004</v>
      </c>
      <c r="AD90" s="145">
        <f t="shared" si="53"/>
        <v>-0.87075943238253306</v>
      </c>
      <c r="AE90" s="145">
        <f t="shared" si="54"/>
        <v>-25.908000000000001</v>
      </c>
      <c r="AF90" s="145">
        <f t="shared" si="55"/>
        <v>24.487553990474954</v>
      </c>
      <c r="AG90" s="772">
        <f>+IF(D90="RONALD WILLIAN GARIBAY ESCUDERO",AC90+AD90+AE90+AF90+70,AC90+AD90+AE90+AF90)+70-53</f>
        <v>44.938794558092425</v>
      </c>
      <c r="AH90" s="146">
        <f t="shared" si="56"/>
        <v>175.85294694379488</v>
      </c>
      <c r="AI90" s="156">
        <f t="shared" si="57"/>
        <v>45.683111931232546</v>
      </c>
      <c r="AJ90" s="156">
        <f t="shared" si="58"/>
        <v>167.87673460269639</v>
      </c>
      <c r="AK90" s="88"/>
      <c r="AL90" s="716">
        <f t="shared" si="59"/>
        <v>9208.7918249609556</v>
      </c>
      <c r="AM90" s="596"/>
    </row>
    <row r="91" spans="1:39" ht="15.75" customHeight="1">
      <c r="A91" s="991" t="s">
        <v>1455</v>
      </c>
      <c r="B91" s="595">
        <v>45653</v>
      </c>
      <c r="C91" s="595">
        <v>45645</v>
      </c>
      <c r="D91" t="s">
        <v>145</v>
      </c>
      <c r="E91" s="6">
        <v>10437450094</v>
      </c>
      <c r="G91" s="80">
        <v>50</v>
      </c>
      <c r="H91" t="s">
        <v>69</v>
      </c>
      <c r="I91" s="596">
        <v>4.37</v>
      </c>
      <c r="J91" s="596">
        <v>1.4</v>
      </c>
      <c r="K91" s="138">
        <f t="shared" si="48"/>
        <v>4.3088199999999999</v>
      </c>
      <c r="L91" s="139">
        <v>0.121</v>
      </c>
      <c r="M91" s="139">
        <v>0.11600000000000001</v>
      </c>
      <c r="N91" s="159">
        <v>0.11600000000000001</v>
      </c>
      <c r="O91" s="995">
        <f t="shared" si="49"/>
        <v>0.11600000000000001</v>
      </c>
      <c r="P91" s="665">
        <v>85</v>
      </c>
      <c r="Q91" s="760">
        <v>89</v>
      </c>
      <c r="R91" s="706">
        <v>2592.4499999999998</v>
      </c>
      <c r="S91" s="765">
        <f>IF((90+ROUNDDOWN(O91,1)*100)&lt;95,95,(90+ROUNDDOWN(O91,1)*100))</f>
        <v>100</v>
      </c>
      <c r="U91" s="953">
        <v>100</v>
      </c>
      <c r="V91" s="715">
        <v>1.1023000000000001</v>
      </c>
      <c r="Y91">
        <v>10</v>
      </c>
      <c r="Z91" s="143">
        <f t="shared" si="50"/>
        <v>30</v>
      </c>
      <c r="AA91" s="144">
        <f t="shared" si="51"/>
        <v>40</v>
      </c>
      <c r="AB91" s="145">
        <f t="shared" si="52"/>
        <v>116.57436481100001</v>
      </c>
      <c r="AC91" s="145">
        <f>+(S91-T91)*V91-'data 1'!$F$4</f>
        <v>30.230000000000004</v>
      </c>
      <c r="AD91" s="145">
        <f t="shared" si="53"/>
        <v>13.297549753399998</v>
      </c>
      <c r="AE91" s="145">
        <f t="shared" si="54"/>
        <v>-25.908000000000001</v>
      </c>
      <c r="AF91" s="145">
        <f t="shared" si="55"/>
        <v>12.226052975749976</v>
      </c>
      <c r="AG91" s="772">
        <f>+IF(D91="RONALD WILLIAN GARIBAY ESCUDERO",AC91+AD91+AE91+AF91+70,AC91+AD91+AE91+AF91)+70-53</f>
        <v>46.845602729149974</v>
      </c>
      <c r="AH91" s="146">
        <f t="shared" si="56"/>
        <v>15.908996934282252</v>
      </c>
      <c r="AI91" s="156">
        <f t="shared" si="57"/>
        <v>23.331799329850025</v>
      </c>
      <c r="AJ91" s="156">
        <f t="shared" si="58"/>
        <v>14.566135181727459</v>
      </c>
      <c r="AK91" s="88"/>
      <c r="AL91" s="1019">
        <f t="shared" si="59"/>
        <v>502.29795458493305</v>
      </c>
      <c r="AM91" s="596"/>
    </row>
    <row r="92" spans="1:39" ht="15.75" customHeight="1">
      <c r="A92" s="991" t="s">
        <v>1456</v>
      </c>
      <c r="B92" s="595">
        <v>45649</v>
      </c>
      <c r="C92" s="595">
        <v>45645</v>
      </c>
      <c r="D92" t="s">
        <v>1402</v>
      </c>
      <c r="E92">
        <v>20606526599</v>
      </c>
      <c r="G92" s="80">
        <v>150</v>
      </c>
      <c r="H92" t="s">
        <v>69</v>
      </c>
      <c r="I92" s="596">
        <v>12.58</v>
      </c>
      <c r="J92" s="596">
        <v>1</v>
      </c>
      <c r="K92" s="138">
        <f t="shared" si="48"/>
        <v>12.4542</v>
      </c>
      <c r="L92" s="139">
        <v>0.38400000000000001</v>
      </c>
      <c r="M92" s="139">
        <v>0.36899999999999999</v>
      </c>
      <c r="N92" s="159">
        <v>0.36899999999999999</v>
      </c>
      <c r="O92" s="645">
        <f t="shared" si="49"/>
        <v>0.36899999999999999</v>
      </c>
      <c r="P92" s="629">
        <v>90</v>
      </c>
      <c r="Q92" s="760">
        <v>89.86</v>
      </c>
      <c r="R92" s="706">
        <v>2592.4499999999998</v>
      </c>
      <c r="S92" s="802">
        <v>110</v>
      </c>
      <c r="U92" s="953">
        <v>120</v>
      </c>
      <c r="V92" s="715">
        <v>1.1023000000000001</v>
      </c>
      <c r="Y92">
        <v>10</v>
      </c>
      <c r="Z92" s="143">
        <f t="shared" si="50"/>
        <v>30</v>
      </c>
      <c r="AA92" s="144">
        <f t="shared" si="51"/>
        <v>40</v>
      </c>
      <c r="AB92" s="145">
        <f t="shared" si="52"/>
        <v>739.75424098350004</v>
      </c>
      <c r="AC92" s="145">
        <f>+(S92-T92)*V92-'data 1'!$F$4</f>
        <v>41.253</v>
      </c>
      <c r="AD92" s="145">
        <f t="shared" si="53"/>
        <v>-1.4651651669760062</v>
      </c>
      <c r="AE92" s="145">
        <f t="shared" si="54"/>
        <v>-25.908000000000001</v>
      </c>
      <c r="AF92" s="145">
        <f t="shared" si="55"/>
        <v>36.735419058165029</v>
      </c>
      <c r="AG92" s="772">
        <f>+IF(D92="RONALD WILLIAN GARIBAY ESCUDERO",AC92+AD92+AE92+AF92+70,AC92+AD92+AE92+AF92)+70-53</f>
        <v>67.615253891189013</v>
      </c>
      <c r="AH92" s="146">
        <f t="shared" si="56"/>
        <v>147.34063716682974</v>
      </c>
      <c r="AI92" s="156">
        <f t="shared" si="57"/>
        <v>82.367452496256064</v>
      </c>
      <c r="AJ92" s="156">
        <f t="shared" si="58"/>
        <v>141.80573021895216</v>
      </c>
      <c r="AK92" s="88"/>
      <c r="AL92" s="716">
        <f t="shared" si="59"/>
        <v>9213.0472680567054</v>
      </c>
      <c r="AM92" s="596"/>
    </row>
    <row r="93" spans="1:39" ht="15.75" customHeight="1">
      <c r="A93" s="991" t="s">
        <v>1447</v>
      </c>
      <c r="B93" s="135">
        <v>45646</v>
      </c>
      <c r="C93" s="595">
        <v>45631</v>
      </c>
      <c r="D93" t="s">
        <v>1445</v>
      </c>
      <c r="E93" s="6">
        <v>20604990000</v>
      </c>
      <c r="F93" s="869" t="s">
        <v>1221</v>
      </c>
      <c r="G93" s="80" t="s">
        <v>1434</v>
      </c>
      <c r="H93" t="s">
        <v>108</v>
      </c>
      <c r="I93" s="596">
        <v>38.159999999999997</v>
      </c>
      <c r="J93" s="596">
        <v>8.6</v>
      </c>
      <c r="K93" s="138">
        <f t="shared" si="48"/>
        <v>34.878239999999998</v>
      </c>
      <c r="L93" s="964">
        <v>0.12</v>
      </c>
      <c r="M93" s="878">
        <v>9.6000000000000002E-2</v>
      </c>
      <c r="N93" s="598">
        <v>0.17899999999999999</v>
      </c>
      <c r="O93" s="139">
        <v>0.12</v>
      </c>
      <c r="P93" s="629">
        <v>90</v>
      </c>
      <c r="Q93" s="760">
        <v>89.88</v>
      </c>
      <c r="R93" s="706">
        <v>2640.15</v>
      </c>
      <c r="S93" s="765">
        <f>IF((90+ROUNDDOWN(O93,1)*100)&lt;95,95,(90+ROUNDDOWN(O93,1)*100))</f>
        <v>100</v>
      </c>
      <c r="U93" s="947">
        <v>130</v>
      </c>
      <c r="V93" s="715">
        <v>1.1023000000000001</v>
      </c>
      <c r="Y93">
        <v>10</v>
      </c>
      <c r="Z93" s="143">
        <f t="shared" si="50"/>
        <v>30</v>
      </c>
      <c r="AA93" s="144">
        <f t="shared" si="51"/>
        <v>40</v>
      </c>
      <c r="AB93" s="145">
        <f t="shared" si="52"/>
        <v>144.50734126000003</v>
      </c>
      <c r="AC93" s="145">
        <f>+(S93-T93)*V93-'data 1'!$F$4</f>
        <v>30.230000000000004</v>
      </c>
      <c r="AD93" s="145">
        <f t="shared" si="53"/>
        <v>-0.39843912168001516</v>
      </c>
      <c r="AE93" s="145">
        <f t="shared" si="54"/>
        <v>-25.908000000000001</v>
      </c>
      <c r="AF93" s="145">
        <f t="shared" si="55"/>
        <v>0</v>
      </c>
      <c r="AG93" s="772">
        <f>+IF(D93="RONALD WILLIAN GARIBAY ESCUDERO",AC93+AD93+AE93+AF93+70,AC93+AD93+AE93+AF93)+70-20</f>
        <v>53.923560878319989</v>
      </c>
      <c r="AH93" s="146">
        <f t="shared" si="56"/>
        <v>128.97571401833369</v>
      </c>
      <c r="AI93" s="156">
        <f t="shared" si="57"/>
        <v>21.26341726487999</v>
      </c>
      <c r="AJ93" s="156">
        <f t="shared" si="58"/>
        <v>129.14791123331145</v>
      </c>
      <c r="AK93" s="88"/>
      <c r="AL93" s="716">
        <f t="shared" si="59"/>
        <v>5040.1617302281829</v>
      </c>
      <c r="AM93" s="596"/>
    </row>
    <row r="94" spans="1:39" ht="15.75" customHeight="1">
      <c r="A94" s="991" t="s">
        <v>1446</v>
      </c>
      <c r="B94" s="135">
        <v>45646</v>
      </c>
      <c r="C94" s="595">
        <v>45632</v>
      </c>
      <c r="D94" t="s">
        <v>1445</v>
      </c>
      <c r="E94" s="6">
        <v>20604990000</v>
      </c>
      <c r="F94" s="869" t="s">
        <v>1221</v>
      </c>
      <c r="G94" s="80" t="s">
        <v>1434</v>
      </c>
      <c r="H94" t="s">
        <v>108</v>
      </c>
      <c r="I94" s="596">
        <v>33.97</v>
      </c>
      <c r="J94" s="596">
        <v>7.5</v>
      </c>
      <c r="K94" s="138">
        <f t="shared" si="48"/>
        <v>31.422249999999998</v>
      </c>
      <c r="L94" s="964">
        <v>0.12</v>
      </c>
      <c r="M94" s="708">
        <v>9.7000000000000003E-2</v>
      </c>
      <c r="N94" s="598">
        <v>0.161</v>
      </c>
      <c r="O94" s="139">
        <v>0.12</v>
      </c>
      <c r="P94" s="629">
        <v>90</v>
      </c>
      <c r="Q94" s="760">
        <v>89.76</v>
      </c>
      <c r="R94" s="706">
        <v>2637.3</v>
      </c>
      <c r="S94" s="765">
        <f>IF((90+ROUNDDOWN(O94,1)*100)&lt;95,95,(90+ROUNDDOWN(O94,1)*100))</f>
        <v>100</v>
      </c>
      <c r="U94" s="947">
        <v>130</v>
      </c>
      <c r="V94" s="715">
        <v>1.1023000000000001</v>
      </c>
      <c r="Y94">
        <v>10</v>
      </c>
      <c r="Z94" s="143">
        <f t="shared" si="50"/>
        <v>30</v>
      </c>
      <c r="AA94" s="144">
        <f t="shared" si="51"/>
        <v>40</v>
      </c>
      <c r="AB94" s="145">
        <f t="shared" si="52"/>
        <v>144.16805332000004</v>
      </c>
      <c r="AC94" s="145">
        <f>+(S94-T94)*V94-'data 1'!$F$4</f>
        <v>30.230000000000004</v>
      </c>
      <c r="AD94" s="145">
        <f t="shared" si="53"/>
        <v>-0.7959734755199831</v>
      </c>
      <c r="AE94" s="145">
        <f t="shared" si="54"/>
        <v>-25.908000000000001</v>
      </c>
      <c r="AF94" s="145">
        <f t="shared" si="55"/>
        <v>0</v>
      </c>
      <c r="AG94" s="772">
        <f>+IF(D94="RONALD WILLIAN GARIBAY ESCUDERO",AC94+AD94+AE94+AF94+70,AC94+AD94+AE94+AF94)+70-53</f>
        <v>20.526026524480017</v>
      </c>
      <c r="AH94" s="146">
        <f t="shared" si="56"/>
        <v>116.04072642066377</v>
      </c>
      <c r="AI94" s="156">
        <f t="shared" si="57"/>
        <v>21.57341136191998</v>
      </c>
      <c r="AJ94" s="156">
        <f t="shared" si="58"/>
        <v>116.35099574264413</v>
      </c>
      <c r="AK94" s="88"/>
      <c r="AL94" s="716">
        <f t="shared" si="59"/>
        <v>4530.084613434371</v>
      </c>
      <c r="AM94" s="596"/>
    </row>
    <row r="95" spans="1:39" ht="15.75" customHeight="1">
      <c r="A95" s="991" t="s">
        <v>1460</v>
      </c>
      <c r="B95" s="135">
        <v>45652</v>
      </c>
      <c r="C95" s="595">
        <v>45646</v>
      </c>
      <c r="D95" t="s">
        <v>93</v>
      </c>
      <c r="E95" s="871">
        <v>20169040237</v>
      </c>
      <c r="F95" s="990" t="s">
        <v>234</v>
      </c>
      <c r="G95" s="80">
        <v>20</v>
      </c>
      <c r="H95" t="s">
        <v>108</v>
      </c>
      <c r="I95" s="596">
        <v>1.47</v>
      </c>
      <c r="J95" s="596">
        <v>20</v>
      </c>
      <c r="K95" s="138">
        <f t="shared" si="48"/>
        <v>1.1759999999999999</v>
      </c>
      <c r="L95" s="139">
        <v>1.145</v>
      </c>
      <c r="M95" s="139">
        <v>1.099</v>
      </c>
      <c r="N95" s="159">
        <v>1.2030000000000001</v>
      </c>
      <c r="O95" s="645">
        <f t="shared" ref="O95:O105" si="60">+ROUND((M95+N95)/2,3)</f>
        <v>1.151</v>
      </c>
      <c r="P95" s="727">
        <v>90</v>
      </c>
      <c r="Q95" s="760">
        <v>89.74</v>
      </c>
      <c r="R95" s="706">
        <v>2616.4499999999998</v>
      </c>
      <c r="S95" s="802">
        <v>180</v>
      </c>
      <c r="U95" s="947">
        <v>130</v>
      </c>
      <c r="V95" s="715">
        <v>1.1023000000000001</v>
      </c>
      <c r="Y95">
        <v>30</v>
      </c>
      <c r="Z95" s="143">
        <f t="shared" si="50"/>
        <v>30</v>
      </c>
      <c r="AA95" s="144">
        <f t="shared" si="51"/>
        <v>60</v>
      </c>
      <c r="AB95" s="145">
        <f t="shared" si="52"/>
        <v>2574.6570516765</v>
      </c>
      <c r="AC95" s="145">
        <f>+(S95-T95)*V95-'data 1'!$F$4</f>
        <v>118.41400000000002</v>
      </c>
      <c r="AD95" s="145">
        <f t="shared" si="53"/>
        <v>-8.1594027867951624</v>
      </c>
      <c r="AE95" s="145">
        <f t="shared" si="54"/>
        <v>-3.8619999999999948</v>
      </c>
      <c r="AF95" s="145">
        <f t="shared" si="55"/>
        <v>-14.757638013174009</v>
      </c>
      <c r="AG95" s="772">
        <f>+IF(D95="RONALD WILLIAN GARIBAY ESCUDERO",AC95+AD95+AE95+AF95+70,AC95+AD95+AE95+AF95)</f>
        <v>91.634959200030835</v>
      </c>
      <c r="AH95" s="146">
        <f t="shared" si="56"/>
        <v>41.429333147512978</v>
      </c>
      <c r="AI95" s="156">
        <f t="shared" si="57"/>
        <v>229.41594901739521</v>
      </c>
      <c r="AJ95" s="156">
        <f t="shared" si="58"/>
        <v>41.767090573650123</v>
      </c>
      <c r="AK95" s="88"/>
      <c r="AL95" s="716">
        <f t="shared" si="59"/>
        <v>3027.7966927715638</v>
      </c>
      <c r="AM95" s="596"/>
    </row>
    <row r="96" spans="1:39" ht="15.75" customHeight="1">
      <c r="A96" s="991" t="s">
        <v>1461</v>
      </c>
      <c r="B96" s="135">
        <v>45652</v>
      </c>
      <c r="C96" s="595">
        <v>45646</v>
      </c>
      <c r="D96" t="s">
        <v>93</v>
      </c>
      <c r="E96" s="871">
        <v>20169040237</v>
      </c>
      <c r="F96" s="990" t="s">
        <v>234</v>
      </c>
      <c r="G96" s="80">
        <v>41</v>
      </c>
      <c r="H96" t="s">
        <v>108</v>
      </c>
      <c r="I96" s="596">
        <v>3.72</v>
      </c>
      <c r="J96" s="596">
        <v>26.15</v>
      </c>
      <c r="K96" s="138">
        <f t="shared" si="48"/>
        <v>2.74722</v>
      </c>
      <c r="L96" s="139">
        <v>1.0029999999999999</v>
      </c>
      <c r="M96" s="139">
        <v>0.96299999999999997</v>
      </c>
      <c r="N96" s="159">
        <v>1.1060000000000001</v>
      </c>
      <c r="O96" s="645">
        <f t="shared" si="60"/>
        <v>1.0349999999999999</v>
      </c>
      <c r="P96" s="727">
        <v>90</v>
      </c>
      <c r="Q96" s="760">
        <v>89.67</v>
      </c>
      <c r="R96" s="706">
        <v>2616.4499999999998</v>
      </c>
      <c r="S96" s="802">
        <v>170</v>
      </c>
      <c r="U96" s="947">
        <v>130</v>
      </c>
      <c r="V96" s="715">
        <v>1.1023000000000001</v>
      </c>
      <c r="Y96">
        <v>30</v>
      </c>
      <c r="Z96" s="143">
        <f t="shared" si="50"/>
        <v>30</v>
      </c>
      <c r="AA96" s="144">
        <f t="shared" si="51"/>
        <v>60</v>
      </c>
      <c r="AB96" s="145">
        <f t="shared" si="52"/>
        <v>2299.5390873024999</v>
      </c>
      <c r="AC96" s="145">
        <f>+(S96-T96)*V96-'data 1'!$F$4</f>
        <v>107.39100000000002</v>
      </c>
      <c r="AD96" s="145">
        <f t="shared" si="53"/>
        <v>-9.0718197124664517</v>
      </c>
      <c r="AE96" s="145">
        <f t="shared" si="54"/>
        <v>-3.8619999999999948</v>
      </c>
      <c r="AF96" s="145">
        <f t="shared" si="55"/>
        <v>-78.646008507024064</v>
      </c>
      <c r="AG96" s="772">
        <f>+IF(D96="RONALD WILLIAN GARIBAY ESCUDERO",AC96+AD96+AE96+AF96+70,AC96+AD96+AE96+AF96)</f>
        <v>15.811171780509511</v>
      </c>
      <c r="AH96" s="146">
        <f t="shared" si="56"/>
        <v>84.713107204506457</v>
      </c>
      <c r="AI96" s="156">
        <f t="shared" si="57"/>
        <v>200.80760559943667</v>
      </c>
      <c r="AJ96" s="156">
        <f t="shared" si="58"/>
        <v>87.737522751248619</v>
      </c>
      <c r="AK96" s="88"/>
      <c r="AL96" s="716">
        <f t="shared" si="59"/>
        <v>6317.3397714191733</v>
      </c>
      <c r="AM96" s="596"/>
    </row>
    <row r="97" spans="1:39" ht="15.75" customHeight="1">
      <c r="A97" s="991" t="s">
        <v>1462</v>
      </c>
      <c r="B97" s="135">
        <v>45652</v>
      </c>
      <c r="C97" s="595">
        <v>45646</v>
      </c>
      <c r="D97" t="s">
        <v>93</v>
      </c>
      <c r="E97" s="871">
        <v>20169040237</v>
      </c>
      <c r="F97" s="869"/>
      <c r="G97" s="80">
        <v>53</v>
      </c>
      <c r="H97" t="s">
        <v>108</v>
      </c>
      <c r="I97" s="596">
        <v>4.2</v>
      </c>
      <c r="J97" s="596">
        <v>28.3</v>
      </c>
      <c r="K97" s="138">
        <f t="shared" si="48"/>
        <v>3.0114000000000001</v>
      </c>
      <c r="L97" s="139">
        <v>1.226</v>
      </c>
      <c r="M97" s="139">
        <v>1.1759999999999999</v>
      </c>
      <c r="N97" s="159">
        <v>1.476</v>
      </c>
      <c r="O97" s="645">
        <f t="shared" si="60"/>
        <v>1.3260000000000001</v>
      </c>
      <c r="P97" s="727">
        <v>90</v>
      </c>
      <c r="Q97" s="760">
        <v>89.52</v>
      </c>
      <c r="R97" s="706">
        <v>2616.4499999999998</v>
      </c>
      <c r="S97" s="765">
        <f>IF((90+ROUNDDOWN(O97,1)*100)&lt;95,95,(90+ROUNDDOWN(O97,1)*100))</f>
        <v>220</v>
      </c>
      <c r="U97" s="947">
        <v>130</v>
      </c>
      <c r="V97" s="715">
        <v>1.1023000000000001</v>
      </c>
      <c r="Y97">
        <v>30</v>
      </c>
      <c r="Z97" s="143">
        <f t="shared" si="50"/>
        <v>30</v>
      </c>
      <c r="AA97" s="144">
        <f t="shared" si="51"/>
        <v>60</v>
      </c>
      <c r="AB97" s="145">
        <f t="shared" si="52"/>
        <v>2962.243230689</v>
      </c>
      <c r="AC97" s="145">
        <f>+(S97-T97)*V97-'data 1'!$F$4</f>
        <v>162.506</v>
      </c>
      <c r="AD97" s="145">
        <f t="shared" si="53"/>
        <v>-16.129141256208133</v>
      </c>
      <c r="AE97" s="145">
        <f t="shared" si="54"/>
        <v>-3.8619999999999948</v>
      </c>
      <c r="AF97" s="145">
        <f t="shared" si="55"/>
        <v>-245.35765450920019</v>
      </c>
      <c r="AG97" s="772">
        <f>+IF(D97="RONALD WILLIAN GARIBAY ESCUDERO",AC97+AD97+AE97+AF97+70,AC97+AD97+AE97+AF97)+70-53</f>
        <v>-85.842795765408312</v>
      </c>
      <c r="AH97" s="146">
        <f t="shared" si="56"/>
        <v>113.31517114187972</v>
      </c>
      <c r="AI97" s="156">
        <f t="shared" si="57"/>
        <v>245.04316805464822</v>
      </c>
      <c r="AJ97" s="156">
        <f t="shared" si="58"/>
        <v>123.21499077253713</v>
      </c>
      <c r="AK97" s="88"/>
      <c r="AL97" s="716">
        <f t="shared" si="59"/>
        <v>8920.4992648968546</v>
      </c>
      <c r="AM97" s="596"/>
    </row>
    <row r="98" spans="1:39" ht="15.75" customHeight="1">
      <c r="A98" s="991" t="s">
        <v>1463</v>
      </c>
      <c r="B98" s="135">
        <v>45652</v>
      </c>
      <c r="C98" s="595">
        <v>45646</v>
      </c>
      <c r="D98" t="s">
        <v>93</v>
      </c>
      <c r="E98" s="871">
        <v>20169040237</v>
      </c>
      <c r="F98" s="869"/>
      <c r="G98" s="80">
        <v>50</v>
      </c>
      <c r="H98" t="s">
        <v>108</v>
      </c>
      <c r="I98" s="596">
        <v>3.98</v>
      </c>
      <c r="J98" s="596">
        <v>26</v>
      </c>
      <c r="K98" s="138">
        <f t="shared" si="48"/>
        <v>2.9451999999999998</v>
      </c>
      <c r="L98" s="139">
        <v>1.0649999999999999</v>
      </c>
      <c r="M98" s="139">
        <v>1.022</v>
      </c>
      <c r="N98" s="159">
        <v>1.0900000000000001</v>
      </c>
      <c r="O98" s="645">
        <f t="shared" si="60"/>
        <v>1.056</v>
      </c>
      <c r="P98" s="727">
        <v>90</v>
      </c>
      <c r="Q98" s="760">
        <v>89.15</v>
      </c>
      <c r="R98" s="706">
        <v>2616.4499999999998</v>
      </c>
      <c r="S98" s="765">
        <f>IF((90+ROUNDDOWN(O98,1)*100)&lt;95,95,(90+ROUNDDOWN(O98,1)*100))</f>
        <v>190</v>
      </c>
      <c r="U98" s="947">
        <v>130</v>
      </c>
      <c r="V98" s="715">
        <v>1.1023000000000001</v>
      </c>
      <c r="Y98">
        <v>30</v>
      </c>
      <c r="Z98" s="143">
        <f t="shared" si="50"/>
        <v>30</v>
      </c>
      <c r="AA98" s="144">
        <f t="shared" si="51"/>
        <v>60</v>
      </c>
      <c r="AB98" s="145">
        <f t="shared" si="52"/>
        <v>2329.2944687839999</v>
      </c>
      <c r="AC98" s="145">
        <f>+(S98-T98)*V98-'data 1'!$F$4</f>
        <v>129.43700000000001</v>
      </c>
      <c r="AD98" s="145">
        <f t="shared" si="53"/>
        <v>-24.811217241337328</v>
      </c>
      <c r="AE98" s="145">
        <f t="shared" si="54"/>
        <v>-3.8619999999999948</v>
      </c>
      <c r="AF98" s="145">
        <f t="shared" si="55"/>
        <v>21.99091980512225</v>
      </c>
      <c r="AG98" s="772">
        <f>+IF(D98="RONALD WILLIAN GARIBAY ESCUDERO",AC98+AD98+AE98+AF98+70,AC98+AD98+AE98+AF98)+70-53</f>
        <v>139.75470256378492</v>
      </c>
      <c r="AH98" s="146">
        <f t="shared" si="56"/>
        <v>95.872668668618118</v>
      </c>
      <c r="AI98" s="156">
        <f t="shared" si="57"/>
        <v>211.98396459708769</v>
      </c>
      <c r="AJ98" s="156">
        <f t="shared" si="58"/>
        <v>95.968849570570953</v>
      </c>
      <c r="AK98" s="88"/>
      <c r="AL98" s="716">
        <f t="shared" si="59"/>
        <v>6860.2380694626363</v>
      </c>
      <c r="AM98" s="596"/>
    </row>
    <row r="99" spans="1:39" ht="15.6" customHeight="1">
      <c r="A99" s="991" t="s">
        <v>1464</v>
      </c>
      <c r="B99" s="595">
        <v>45650</v>
      </c>
      <c r="C99" s="595">
        <v>45646</v>
      </c>
      <c r="D99" t="s">
        <v>93</v>
      </c>
      <c r="E99" s="871">
        <v>20169040237</v>
      </c>
      <c r="G99" s="80">
        <v>21</v>
      </c>
      <c r="H99" t="s">
        <v>108</v>
      </c>
      <c r="I99" s="596">
        <v>1.92</v>
      </c>
      <c r="J99" s="596">
        <v>26.15</v>
      </c>
      <c r="K99" s="138">
        <f t="shared" si="48"/>
        <v>1.4179200000000001</v>
      </c>
      <c r="L99" s="139">
        <v>0.88800000000000001</v>
      </c>
      <c r="M99" s="139">
        <v>0.85199999999999998</v>
      </c>
      <c r="N99" s="159">
        <v>0.85199999999999998</v>
      </c>
      <c r="O99" s="645">
        <f t="shared" si="60"/>
        <v>0.85199999999999998</v>
      </c>
      <c r="P99" s="629">
        <v>90</v>
      </c>
      <c r="Q99" s="760">
        <v>89.74</v>
      </c>
      <c r="R99" s="706">
        <v>2616.4499999999998</v>
      </c>
      <c r="S99" s="802">
        <v>160</v>
      </c>
      <c r="U99" s="947">
        <v>130</v>
      </c>
      <c r="V99" s="715">
        <v>1.1023000000000001</v>
      </c>
      <c r="Y99">
        <v>20</v>
      </c>
      <c r="Z99" s="143">
        <f t="shared" si="50"/>
        <v>30</v>
      </c>
      <c r="AA99" s="144">
        <f t="shared" si="51"/>
        <v>50</v>
      </c>
      <c r="AB99" s="145">
        <f t="shared" si="52"/>
        <v>1870.173048678</v>
      </c>
      <c r="AC99" s="145">
        <f>+(S99-T99)*V99-'data 1'!$F$4</f>
        <v>96.367999999999995</v>
      </c>
      <c r="AD99" s="145">
        <f t="shared" si="53"/>
        <v>-6.3279909822481253</v>
      </c>
      <c r="AE99" s="145">
        <f t="shared" si="54"/>
        <v>-14.884999999999998</v>
      </c>
      <c r="AF99" s="145">
        <f t="shared" si="55"/>
        <v>88.545828079044071</v>
      </c>
      <c r="AG99" s="772">
        <f>+IF(D99="RONALD WILLIAN GARIBAY ESCUDERO",AC99+AD99+AE99+AF99+70,AC99+AD99+AE99+AF99)+70-53</f>
        <v>180.70083709679594</v>
      </c>
      <c r="AH99" s="146">
        <f t="shared" si="56"/>
        <v>38.74001893042152</v>
      </c>
      <c r="AI99" s="156">
        <f t="shared" si="57"/>
        <v>177.92258753488815</v>
      </c>
      <c r="AJ99" s="156">
        <f t="shared" si="58"/>
        <v>37.277167216612781</v>
      </c>
      <c r="AK99" s="88"/>
      <c r="AL99" s="716">
        <f t="shared" si="59"/>
        <v>2651.75576918151</v>
      </c>
      <c r="AM99" s="596"/>
    </row>
    <row r="100" spans="1:39" ht="15.75" customHeight="1">
      <c r="A100" s="991" t="s">
        <v>1448</v>
      </c>
      <c r="B100" s="595">
        <v>45642</v>
      </c>
      <c r="C100" s="595">
        <v>45641</v>
      </c>
      <c r="D100" t="s">
        <v>1402</v>
      </c>
      <c r="E100">
        <v>20606526599</v>
      </c>
      <c r="G100" s="80">
        <v>69</v>
      </c>
      <c r="H100" t="s">
        <v>69</v>
      </c>
      <c r="I100" s="596">
        <v>5.54</v>
      </c>
      <c r="J100" s="596">
        <v>1.2</v>
      </c>
      <c r="K100" s="138">
        <f t="shared" si="48"/>
        <v>5.4735199999999997</v>
      </c>
      <c r="L100" s="139">
        <v>0.6</v>
      </c>
      <c r="M100" s="139">
        <v>0.57599999999999996</v>
      </c>
      <c r="N100" s="598">
        <v>0.623</v>
      </c>
      <c r="O100" s="139">
        <f t="shared" si="60"/>
        <v>0.6</v>
      </c>
      <c r="P100" s="629">
        <v>90</v>
      </c>
      <c r="Q100" s="760">
        <v>89.66</v>
      </c>
      <c r="R100" s="706">
        <v>2659.05</v>
      </c>
      <c r="S100" s="765">
        <f>IF((90+ROUNDDOWN(O100,1)*100)&lt;95,95,(90+ROUNDDOWN(O100,1)*100))</f>
        <v>150</v>
      </c>
      <c r="U100" s="947"/>
      <c r="V100" s="715">
        <v>1.1023000000000001</v>
      </c>
      <c r="Y100">
        <v>10</v>
      </c>
      <c r="Z100" s="143">
        <f t="shared" si="50"/>
        <v>30</v>
      </c>
      <c r="AA100" s="144">
        <f t="shared" si="51"/>
        <v>40</v>
      </c>
      <c r="AB100" s="145">
        <f t="shared" si="52"/>
        <v>1373.3412401000003</v>
      </c>
      <c r="AC100" s="145">
        <f>+(S100-T100)*V100-'data 1'!$F$4</f>
        <v>85.344999999999999</v>
      </c>
      <c r="AD100" s="145">
        <f t="shared" si="53"/>
        <v>-5.9793844626000601</v>
      </c>
      <c r="AE100" s="145">
        <f t="shared" si="54"/>
        <v>-25.908000000000001</v>
      </c>
      <c r="AF100" s="145">
        <f t="shared" si="55"/>
        <v>0</v>
      </c>
      <c r="AG100" s="772">
        <f>+IF(D100="RONALD WILLIAN GARIBAY ESCUDERO",AC100+AD100+AE100+AF100+70,AC100+AD100+AE100+AF100)+70-53</f>
        <v>70.457615537399931</v>
      </c>
      <c r="AH100" s="146">
        <f t="shared" si="56"/>
        <v>100.95451890300858</v>
      </c>
      <c r="AI100" s="156">
        <f t="shared" si="57"/>
        <v>17.76014957459989</v>
      </c>
      <c r="AJ100" s="156">
        <f t="shared" si="58"/>
        <v>101.33734888769543</v>
      </c>
      <c r="AK100" s="88"/>
      <c r="AL100" s="716">
        <f t="shared" si="59"/>
        <v>7517.010744512153</v>
      </c>
      <c r="AM100" s="596"/>
    </row>
    <row r="101" spans="1:39" ht="15.75" customHeight="1">
      <c r="A101" s="991" t="s">
        <v>1449</v>
      </c>
      <c r="B101" s="595">
        <v>45642</v>
      </c>
      <c r="C101" s="595">
        <v>45641</v>
      </c>
      <c r="D101" t="s">
        <v>1402</v>
      </c>
      <c r="E101">
        <v>20606526599</v>
      </c>
      <c r="G101" s="80">
        <v>250</v>
      </c>
      <c r="H101" t="s">
        <v>69</v>
      </c>
      <c r="I101" s="596">
        <v>20.56</v>
      </c>
      <c r="J101" s="596">
        <v>1.7</v>
      </c>
      <c r="K101" s="138">
        <f t="shared" si="48"/>
        <v>20.21048</v>
      </c>
      <c r="L101" s="139">
        <v>0.49099999999999999</v>
      </c>
      <c r="M101" s="139">
        <v>0.47099999999999997</v>
      </c>
      <c r="N101" s="598">
        <v>0.51900000000000002</v>
      </c>
      <c r="O101" s="139">
        <f t="shared" si="60"/>
        <v>0.495</v>
      </c>
      <c r="P101" s="629">
        <v>90</v>
      </c>
      <c r="Q101" s="760">
        <v>89.73</v>
      </c>
      <c r="R101" s="706">
        <v>2659.05</v>
      </c>
      <c r="S101" s="765">
        <f>IF((90+ROUNDDOWN(O101,1)*100)&lt;95,95,(90+ROUNDDOWN(O101,1)*100))</f>
        <v>130</v>
      </c>
      <c r="T101" s="665"/>
      <c r="U101" s="947"/>
      <c r="V101" s="715">
        <v>1.1023000000000001</v>
      </c>
      <c r="Y101">
        <v>10</v>
      </c>
      <c r="Z101" s="143">
        <f t="shared" si="50"/>
        <v>30</v>
      </c>
      <c r="AA101" s="144">
        <f t="shared" si="51"/>
        <v>40</v>
      </c>
      <c r="AB101" s="145">
        <f t="shared" si="52"/>
        <v>1118.4010480825</v>
      </c>
      <c r="AC101" s="145">
        <f>+(S101-T101)*V101-'data 1'!$F$4</f>
        <v>63.299000000000007</v>
      </c>
      <c r="AD101" s="145">
        <f t="shared" si="53"/>
        <v>-3.8857205794454432</v>
      </c>
      <c r="AE101" s="145">
        <f t="shared" si="54"/>
        <v>-25.908000000000001</v>
      </c>
      <c r="AF101" s="145">
        <f t="shared" si="55"/>
        <v>-10.520199369198011</v>
      </c>
      <c r="AG101" s="772">
        <f>+IF(D101="RONALD WILLIAN GARIBAY ESCUDERO",AC101+AD101+AE101+AF101+70,AC101+AD101+AE101+AF101)+70-53</f>
        <v>39.985080051356562</v>
      </c>
      <c r="AH101" s="146">
        <f t="shared" si="56"/>
        <v>305.28457210882067</v>
      </c>
      <c r="AI101" s="156">
        <f t="shared" si="57"/>
        <v>14.545069274155413</v>
      </c>
      <c r="AJ101" s="156">
        <f t="shared" si="58"/>
        <v>308.69770859189839</v>
      </c>
      <c r="AK101" s="88"/>
      <c r="AL101" s="716">
        <f t="shared" si="59"/>
        <v>22603.422014250405</v>
      </c>
      <c r="AM101" s="596"/>
    </row>
    <row r="102" spans="1:39" ht="15.75" customHeight="1">
      <c r="A102" s="991" t="s">
        <v>1465</v>
      </c>
      <c r="B102" s="595">
        <v>45650</v>
      </c>
      <c r="C102" s="595">
        <v>45646</v>
      </c>
      <c r="D102" t="s">
        <v>119</v>
      </c>
      <c r="E102">
        <v>10082235774</v>
      </c>
      <c r="G102" s="80">
        <v>41</v>
      </c>
      <c r="H102" t="s">
        <v>69</v>
      </c>
      <c r="I102" s="596">
        <v>3.91</v>
      </c>
      <c r="J102" s="596">
        <v>1.5</v>
      </c>
      <c r="K102" s="138">
        <f t="shared" si="48"/>
        <v>3.8513500000000001</v>
      </c>
      <c r="L102" s="139">
        <v>0.33</v>
      </c>
      <c r="M102" s="139">
        <v>0.32500000000000001</v>
      </c>
      <c r="N102" s="159">
        <v>0.32500000000000001</v>
      </c>
      <c r="O102" s="139">
        <f t="shared" si="60"/>
        <v>0.32500000000000001</v>
      </c>
      <c r="P102" s="629">
        <v>90</v>
      </c>
      <c r="Q102" s="760">
        <v>89.76</v>
      </c>
      <c r="R102" s="706">
        <v>2616.4499999999998</v>
      </c>
      <c r="S102" s="802">
        <v>110</v>
      </c>
      <c r="U102" s="947">
        <v>80</v>
      </c>
      <c r="V102" s="715">
        <v>1.1023000000000001</v>
      </c>
      <c r="Z102" s="160">
        <v>10</v>
      </c>
      <c r="AA102" s="144">
        <f t="shared" si="51"/>
        <v>10</v>
      </c>
      <c r="AB102" s="145">
        <f t="shared" si="52"/>
        <v>685.5331842375</v>
      </c>
      <c r="AC102" s="145">
        <f>+(S102-T102)*V102-'data 1'!$F$4</f>
        <v>41.253</v>
      </c>
      <c r="AD102" s="145">
        <f t="shared" si="53"/>
        <v>-2.2143756373199528</v>
      </c>
      <c r="AE102" s="145">
        <f t="shared" si="54"/>
        <v>-58.977000000000004</v>
      </c>
      <c r="AF102" s="145">
        <f t="shared" si="55"/>
        <v>12.54812861148001</v>
      </c>
      <c r="AG102" s="772">
        <f>+IF(D102="RONALD WILLIAN GARIBAY ESCUDERO",AC102+AD102+AE102+AF102+70,AC102+AD102+AE102+AF102)+70</f>
        <v>62.609752974160052</v>
      </c>
      <c r="AH102" s="146">
        <f t="shared" si="56"/>
        <v>39.112794028932193</v>
      </c>
      <c r="AI102" s="156">
        <f t="shared" si="57"/>
        <v>49.809112459920058</v>
      </c>
      <c r="AJ102" s="156">
        <f t="shared" si="58"/>
        <v>38.623171060412503</v>
      </c>
      <c r="AK102" s="88"/>
      <c r="AL102" s="716">
        <f t="shared" si="59"/>
        <v>2640.2282291130955</v>
      </c>
      <c r="AM102" s="596"/>
    </row>
    <row r="103" spans="1:39" ht="15.75" customHeight="1">
      <c r="A103" s="991" t="s">
        <v>1500</v>
      </c>
      <c r="B103" s="595">
        <v>0</v>
      </c>
      <c r="C103" s="595">
        <v>45649</v>
      </c>
      <c r="D103" t="s">
        <v>93</v>
      </c>
      <c r="E103" s="871">
        <v>20169040237</v>
      </c>
      <c r="G103" s="80">
        <v>23</v>
      </c>
      <c r="H103" t="s">
        <v>108</v>
      </c>
      <c r="I103" s="596">
        <v>2.02</v>
      </c>
      <c r="J103" s="596">
        <v>21.35</v>
      </c>
      <c r="K103" s="138">
        <f t="shared" si="48"/>
        <v>1.58873</v>
      </c>
      <c r="L103" s="139">
        <v>2.1909999999999998</v>
      </c>
      <c r="M103" s="139">
        <v>2.1030000000000002</v>
      </c>
      <c r="N103" s="159">
        <v>2.1030000000000002</v>
      </c>
      <c r="O103" s="139">
        <f t="shared" si="60"/>
        <v>2.1030000000000002</v>
      </c>
      <c r="P103" s="629">
        <v>90</v>
      </c>
      <c r="Q103" s="760">
        <v>89.46</v>
      </c>
      <c r="R103" s="706">
        <v>2613.8000000000002</v>
      </c>
      <c r="S103" s="802">
        <v>280</v>
      </c>
      <c r="U103" s="947">
        <v>130</v>
      </c>
      <c r="V103" s="715">
        <v>1.1023000000000001</v>
      </c>
      <c r="Y103">
        <v>30</v>
      </c>
      <c r="Z103" s="143">
        <f>IF(IF(D103="UNTUCA",IF(+((W103-3)*1.5+(X103-3)*3.1)&gt;0,+((W103-3)*1.5+(X103-3)*3.1),0),IF(+((W103-3)*1.5+(X103-3)*3.1)&gt;0,+((W103-3)*1.5+(X103-3)*3.1),0))&lt;30,30,IF(D103="UNTUCA",IF(+((W103-3)*1.5+(X103-3)*3.1)&gt;0,+((W103-3)*1.5+(X103-3)*3.1),0),IF(+((W103-3)*1.5+(X103-3)*3.1)&gt;0,+((W103-3)*1.5+(X103-3)*3.1),0)))</f>
        <v>30</v>
      </c>
      <c r="AA103" s="144">
        <f t="shared" si="51"/>
        <v>60</v>
      </c>
      <c r="AB103" s="145">
        <f t="shared" si="52"/>
        <v>4807.227588998001</v>
      </c>
      <c r="AC103" s="145">
        <f>+(S103-T103)*V103-'data 1'!$F$4</f>
        <v>228.64400000000001</v>
      </c>
      <c r="AD103" s="145">
        <f t="shared" si="53"/>
        <v>-32.39310416403638</v>
      </c>
      <c r="AE103" s="145">
        <f t="shared" si="54"/>
        <v>-3.8619999999999948</v>
      </c>
      <c r="AF103" s="145">
        <f t="shared" si="55"/>
        <v>215.54005837795114</v>
      </c>
      <c r="AG103" s="772">
        <f>+IF(D103="RONALD WILLIAN GARIBAY ESCUDERO",AC103+AD103+AE103+AF103+70,AC103+AD103+AE103+AF103)+70-53</f>
        <v>424.92895421391478</v>
      </c>
      <c r="AH103" s="146">
        <f t="shared" si="56"/>
        <v>106.76537678849053</v>
      </c>
      <c r="AI103" s="156">
        <f t="shared" si="57"/>
        <v>443.35175836845565</v>
      </c>
      <c r="AJ103" s="156">
        <f t="shared" si="58"/>
        <v>103.09579401842161</v>
      </c>
      <c r="AK103" s="88"/>
      <c r="AL103" s="716">
        <f t="shared" si="59"/>
        <v>7637.3866874687938</v>
      </c>
      <c r="AM103" s="596"/>
    </row>
    <row r="104" spans="1:39" ht="15.75" customHeight="1">
      <c r="A104" s="991" t="s">
        <v>1501</v>
      </c>
      <c r="B104" s="595">
        <v>45652</v>
      </c>
      <c r="C104" s="595">
        <v>45649</v>
      </c>
      <c r="D104" t="s">
        <v>93</v>
      </c>
      <c r="E104" s="871">
        <v>20169040237</v>
      </c>
      <c r="G104" s="80">
        <v>31</v>
      </c>
      <c r="H104" t="s">
        <v>108</v>
      </c>
      <c r="I104" s="596">
        <v>2.97</v>
      </c>
      <c r="J104" s="596">
        <v>19.100000000000001</v>
      </c>
      <c r="K104" s="138">
        <f t="shared" si="48"/>
        <v>2.40273</v>
      </c>
      <c r="L104" s="139">
        <v>1.843</v>
      </c>
      <c r="M104" s="139">
        <v>1.7689999999999999</v>
      </c>
      <c r="N104" s="159">
        <v>1.7689999999999999</v>
      </c>
      <c r="O104" s="139">
        <f t="shared" si="60"/>
        <v>1.7689999999999999</v>
      </c>
      <c r="P104" s="629">
        <v>90</v>
      </c>
      <c r="Q104" s="760">
        <v>89.37</v>
      </c>
      <c r="R104" s="706">
        <v>2613.8000000000002</v>
      </c>
      <c r="S104" s="802">
        <v>250</v>
      </c>
      <c r="U104" s="947">
        <v>130</v>
      </c>
      <c r="V104" s="715">
        <v>1.1023000000000001</v>
      </c>
      <c r="Y104">
        <v>30</v>
      </c>
      <c r="Z104" s="143">
        <f>IF(IF(D104="UNTUCA",IF(+((W104-3)*1.5+(X104-3)*3.1)&gt;0,+((W104-3)*1.5+(X104-3)*3.1),0),IF(+((W104-3)*1.5+(X104-3)*3.1)&gt;0,+((W104-3)*1.5+(X104-3)*3.1),0))&lt;30,30,IF(D104="UNTUCA",IF(+((W104-3)*1.5+(X104-3)*3.1)&gt;0,+((W104-3)*1.5+(X104-3)*3.1),0),IF(+((W104-3)*1.5+(X104-3)*3.1)&gt;0,+((W104-3)*1.5+(X104-3)*3.1),0)))</f>
        <v>30</v>
      </c>
      <c r="AA104" s="144">
        <f t="shared" si="51"/>
        <v>60</v>
      </c>
      <c r="AB104" s="145">
        <f t="shared" si="52"/>
        <v>4017.286031354</v>
      </c>
      <c r="AC104" s="145">
        <f>+(S104-T104)*V104-'data 1'!$F$4</f>
        <v>195.57499999999999</v>
      </c>
      <c r="AD104" s="145">
        <f t="shared" si="53"/>
        <v>-31.789398814865773</v>
      </c>
      <c r="AE104" s="145">
        <f t="shared" si="54"/>
        <v>-3.8619999999999948</v>
      </c>
      <c r="AF104" s="145">
        <f t="shared" si="55"/>
        <v>181.06725088861219</v>
      </c>
      <c r="AG104" s="772">
        <f>+IF(D104="RONALD WILLIAN GARIBAY ESCUDERO",AC104+AD104+AE104+AF104+70,AC104+AD104+AE104+AF104)+70-53</f>
        <v>357.9908520737464</v>
      </c>
      <c r="AH104" s="146">
        <f t="shared" si="56"/>
        <v>135.68477954424438</v>
      </c>
      <c r="AI104" s="156">
        <f t="shared" si="57"/>
        <v>372.55831182363568</v>
      </c>
      <c r="AJ104" s="156">
        <f t="shared" si="58"/>
        <v>131.15485829661031</v>
      </c>
      <c r="AK104" s="88"/>
      <c r="AL104" s="716">
        <f t="shared" si="59"/>
        <v>9652.453666115196</v>
      </c>
      <c r="AM104" s="596"/>
    </row>
    <row r="105" spans="1:39" ht="15.75" customHeight="1">
      <c r="A105" s="991" t="s">
        <v>1517</v>
      </c>
      <c r="B105" s="595">
        <v>45652</v>
      </c>
      <c r="C105" s="595">
        <v>45650</v>
      </c>
      <c r="D105" t="s">
        <v>1152</v>
      </c>
      <c r="E105">
        <v>20606534923</v>
      </c>
      <c r="F105" t="s">
        <v>349</v>
      </c>
      <c r="G105" s="80">
        <v>26</v>
      </c>
      <c r="H105" t="s">
        <v>108</v>
      </c>
      <c r="I105" s="596">
        <v>2.23</v>
      </c>
      <c r="J105" s="596">
        <v>26.15</v>
      </c>
      <c r="K105" s="138">
        <f t="shared" si="48"/>
        <v>1.646855</v>
      </c>
      <c r="L105" s="139">
        <v>1.6950000000000001</v>
      </c>
      <c r="M105" s="159">
        <v>1.627</v>
      </c>
      <c r="N105" s="159">
        <v>1.627</v>
      </c>
      <c r="O105" s="139">
        <f t="shared" si="60"/>
        <v>1.627</v>
      </c>
      <c r="P105" s="629">
        <v>90</v>
      </c>
      <c r="Q105" s="760">
        <v>89.77</v>
      </c>
      <c r="R105" s="706">
        <v>2613.8000000000002</v>
      </c>
      <c r="S105" s="802">
        <v>240</v>
      </c>
      <c r="U105" s="947">
        <v>120</v>
      </c>
      <c r="V105" s="715">
        <v>1.1023000000000001</v>
      </c>
      <c r="Y105">
        <v>20</v>
      </c>
      <c r="Z105" s="143">
        <f>IF(IF(D105="UNTUCA",IF(+((W105-3)*1.5+(X105-3)*3.1)&gt;0,+((W105-3)*1.5+(X105-3)*3.1),0),IF(+((W105-3)*1.5+(X105-3)*3.1)&gt;0,+((W105-3)*1.5+(X105-3)*3.1),0))&lt;30,30,IF(D105="UNTUCA",IF(+((W105-3)*1.5+(X105-3)*3.1)&gt;0,+((W105-3)*1.5+(X105-3)*3.1),0),IF(+((W105-3)*1.5+(X105-3)*3.1)&gt;0,+((W105-3)*1.5+(X105-3)*3.1),0)))</f>
        <v>30</v>
      </c>
      <c r="AA105" s="144">
        <f t="shared" si="51"/>
        <v>50</v>
      </c>
      <c r="AB105" s="145">
        <f t="shared" si="52"/>
        <v>3705.5703180820005</v>
      </c>
      <c r="AC105" s="145">
        <f>+(S105-T105)*V105-'data 1'!$F$4</f>
        <v>184.55200000000002</v>
      </c>
      <c r="AD105" s="145">
        <f t="shared" si="53"/>
        <v>-10.716648012390188</v>
      </c>
      <c r="AE105" s="145">
        <f t="shared" si="54"/>
        <v>-14.884999999999998</v>
      </c>
      <c r="AF105" s="145">
        <f t="shared" si="55"/>
        <v>167.80371286626414</v>
      </c>
      <c r="AG105" s="772">
        <f>+IF(D105="RONALD WILLIAN GARIBAY ESCUDERO",AC105+AD105+AE105+AF105+70,AC105+AD105+AE105+AF105)+70-53</f>
        <v>343.75406485387396</v>
      </c>
      <c r="AH105" s="146">
        <f t="shared" si="56"/>
        <v>85.914280955339223</v>
      </c>
      <c r="AI105" s="156">
        <f t="shared" si="57"/>
        <v>327.40141228943969</v>
      </c>
      <c r="AJ105" s="156">
        <f t="shared" si="58"/>
        <v>82.678862765910267</v>
      </c>
      <c r="AK105" s="88"/>
      <c r="AL105" s="716">
        <f t="shared" si="59"/>
        <v>6102.5370061849326</v>
      </c>
      <c r="AM105" s="596"/>
    </row>
    <row r="106" spans="1:39" ht="15.75" customHeight="1">
      <c r="B106" s="595"/>
      <c r="C106" s="595"/>
      <c r="G106" s="80"/>
      <c r="L106" s="139"/>
      <c r="M106" s="139"/>
      <c r="N106" s="159"/>
      <c r="P106" s="629"/>
      <c r="Q106" s="760"/>
      <c r="R106" s="706"/>
      <c r="AH106" s="80"/>
      <c r="AI106" s="80"/>
      <c r="AJ106" s="80"/>
      <c r="AL106" s="80"/>
    </row>
    <row r="107" spans="1:39" ht="15.75" customHeight="1">
      <c r="B107" s="595"/>
      <c r="C107" s="595"/>
      <c r="G107" s="80"/>
      <c r="L107" s="139"/>
      <c r="M107" s="139"/>
      <c r="N107" s="159"/>
      <c r="P107" s="629"/>
      <c r="Q107" s="760"/>
      <c r="R107" s="706"/>
      <c r="AH107" s="80"/>
      <c r="AI107" s="80"/>
      <c r="AJ107" s="80"/>
      <c r="AL107" s="80"/>
    </row>
    <row r="108" spans="1:39" ht="15.75" customHeight="1">
      <c r="B108" s="595"/>
      <c r="C108" s="595"/>
      <c r="G108" s="80"/>
      <c r="L108" s="139"/>
      <c r="M108" s="139"/>
      <c r="N108" s="159"/>
      <c r="P108" s="629"/>
      <c r="Q108" s="760"/>
      <c r="R108" s="706"/>
      <c r="AH108" s="80"/>
      <c r="AI108" s="80"/>
      <c r="AJ108" s="80"/>
      <c r="AL108" s="80"/>
    </row>
    <row r="109" spans="1:39" ht="15.75" customHeight="1">
      <c r="B109" s="595"/>
      <c r="C109" s="595"/>
      <c r="G109" s="80"/>
      <c r="L109" s="139"/>
      <c r="M109" s="139"/>
      <c r="N109" s="159"/>
      <c r="P109" s="629"/>
      <c r="Q109" s="760"/>
      <c r="R109" s="706"/>
      <c r="AH109" s="80"/>
      <c r="AI109" s="80"/>
      <c r="AJ109" s="80"/>
      <c r="AL109" s="80"/>
    </row>
    <row r="110" spans="1:39" ht="15.75" customHeight="1">
      <c r="B110" s="595"/>
      <c r="C110" s="595"/>
      <c r="G110" s="80"/>
      <c r="L110" s="139"/>
      <c r="M110" s="139"/>
      <c r="N110" s="159"/>
      <c r="P110" s="629"/>
      <c r="Q110" s="760"/>
      <c r="R110" s="706"/>
      <c r="AH110" s="80"/>
      <c r="AI110" s="80"/>
      <c r="AJ110" s="80"/>
      <c r="AL110" s="80"/>
    </row>
    <row r="111" spans="1:39" ht="15.75" customHeight="1">
      <c r="B111" s="595"/>
      <c r="C111" s="595"/>
      <c r="G111" s="80"/>
      <c r="L111" s="139"/>
      <c r="M111" s="139"/>
      <c r="N111" s="159"/>
      <c r="P111" s="629"/>
      <c r="Q111" s="760"/>
      <c r="R111" s="706"/>
      <c r="AH111" s="80"/>
      <c r="AI111" s="80"/>
      <c r="AJ111" s="80"/>
      <c r="AL111" s="80"/>
    </row>
    <row r="112" spans="1:39" ht="15.75" customHeight="1">
      <c r="B112" s="595"/>
      <c r="C112" s="595"/>
      <c r="G112" s="80"/>
      <c r="L112" s="139"/>
      <c r="M112" s="139"/>
      <c r="N112" s="159"/>
      <c r="P112" s="629"/>
      <c r="Q112" s="760"/>
      <c r="R112" s="706"/>
      <c r="AH112" s="80"/>
      <c r="AI112" s="80"/>
      <c r="AJ112" s="80"/>
      <c r="AL112" s="80"/>
    </row>
    <row r="113" spans="2:38" ht="15.75" customHeight="1">
      <c r="B113" s="595"/>
      <c r="C113" s="595"/>
      <c r="G113" s="80"/>
      <c r="L113" s="139"/>
      <c r="M113" s="139"/>
      <c r="N113" s="159"/>
      <c r="P113" s="629"/>
      <c r="Q113" s="760"/>
      <c r="R113" s="706"/>
      <c r="AH113" s="80"/>
      <c r="AI113" s="80"/>
      <c r="AJ113" s="80"/>
      <c r="AL113" s="80"/>
    </row>
    <row r="114" spans="2:38" ht="15.75" customHeight="1">
      <c r="B114" s="595"/>
      <c r="C114" s="595"/>
      <c r="G114" s="80"/>
      <c r="L114" s="139"/>
      <c r="M114" s="139"/>
      <c r="N114" s="159"/>
      <c r="P114" s="629"/>
      <c r="Q114" s="760"/>
      <c r="R114" s="706"/>
      <c r="AH114" s="80"/>
      <c r="AI114" s="80"/>
      <c r="AJ114" s="80"/>
      <c r="AL114" s="80"/>
    </row>
    <row r="115" spans="2:38" ht="15.75" customHeight="1">
      <c r="B115" s="595"/>
      <c r="C115" s="595"/>
      <c r="G115" s="80"/>
      <c r="L115" s="139"/>
      <c r="M115" s="139"/>
      <c r="N115" s="159"/>
      <c r="P115" s="629"/>
      <c r="Q115" s="760"/>
      <c r="R115" s="706"/>
      <c r="AH115" s="80"/>
      <c r="AI115" s="80"/>
      <c r="AJ115" s="80"/>
      <c r="AL115" s="80"/>
    </row>
    <row r="116" spans="2:38" ht="15.75" customHeight="1">
      <c r="B116" s="595"/>
      <c r="C116" s="595"/>
      <c r="G116" s="80"/>
      <c r="L116" s="139"/>
      <c r="M116" s="139"/>
      <c r="N116" s="159"/>
      <c r="P116" s="629"/>
      <c r="Q116" s="760"/>
      <c r="R116" s="706"/>
      <c r="AH116" s="80"/>
      <c r="AI116" s="80"/>
      <c r="AJ116" s="80"/>
      <c r="AL116" s="80"/>
    </row>
    <row r="117" spans="2:38" ht="15.75" customHeight="1">
      <c r="B117" s="595"/>
      <c r="C117" s="595"/>
      <c r="G117" s="80"/>
      <c r="L117" s="139"/>
      <c r="M117" s="139"/>
      <c r="N117" s="159"/>
      <c r="P117" s="629"/>
      <c r="Q117" s="760"/>
      <c r="R117" s="706"/>
      <c r="AH117" s="80"/>
      <c r="AI117" s="80"/>
      <c r="AJ117" s="80"/>
      <c r="AL117" s="80"/>
    </row>
    <row r="118" spans="2:38" ht="15.75" customHeight="1">
      <c r="B118" s="595"/>
      <c r="C118" s="595"/>
      <c r="G118" s="80"/>
      <c r="L118" s="139"/>
      <c r="M118" s="139"/>
      <c r="N118" s="159"/>
      <c r="P118" s="629"/>
      <c r="Q118" s="760"/>
      <c r="R118" s="706"/>
      <c r="AH118" s="80"/>
      <c r="AI118" s="80"/>
      <c r="AJ118" s="80"/>
      <c r="AL118" s="80"/>
    </row>
    <row r="119" spans="2:38" ht="15.75" customHeight="1">
      <c r="B119" s="595"/>
      <c r="C119" s="595"/>
      <c r="G119" s="80"/>
      <c r="L119" s="139"/>
      <c r="M119" s="139"/>
      <c r="N119" s="159"/>
      <c r="P119" s="629"/>
      <c r="Q119" s="760"/>
      <c r="R119" s="706"/>
      <c r="AH119" s="80"/>
      <c r="AI119" s="80"/>
      <c r="AJ119" s="80"/>
      <c r="AL119" s="80"/>
    </row>
    <row r="120" spans="2:38" ht="15.75" customHeight="1">
      <c r="B120" s="595"/>
      <c r="C120" s="595"/>
      <c r="G120" s="80"/>
      <c r="L120" s="139"/>
      <c r="M120" s="139"/>
      <c r="N120" s="159"/>
      <c r="P120" s="629"/>
      <c r="Q120" s="760"/>
      <c r="R120" s="706"/>
      <c r="AH120" s="80"/>
      <c r="AI120" s="80"/>
      <c r="AJ120" s="80"/>
      <c r="AL120" s="80"/>
    </row>
    <row r="121" spans="2:38" ht="15.75" customHeight="1">
      <c r="B121" s="595"/>
      <c r="C121" s="595"/>
      <c r="G121" s="80"/>
      <c r="L121" s="139"/>
      <c r="M121" s="139"/>
      <c r="N121" s="159"/>
      <c r="P121" s="629"/>
      <c r="Q121" s="760"/>
      <c r="R121" s="706"/>
      <c r="AH121" s="80"/>
      <c r="AI121" s="80"/>
      <c r="AJ121" s="80"/>
      <c r="AL121" s="80"/>
    </row>
    <row r="122" spans="2:38" ht="15.75" customHeight="1">
      <c r="B122" s="595"/>
      <c r="C122" s="595"/>
      <c r="G122" s="80"/>
      <c r="L122" s="139"/>
      <c r="M122" s="139"/>
      <c r="N122" s="159"/>
      <c r="P122" s="629"/>
      <c r="Q122" s="760"/>
      <c r="R122" s="706"/>
      <c r="AH122" s="80"/>
      <c r="AI122" s="80"/>
      <c r="AJ122" s="80"/>
      <c r="AL122" s="80"/>
    </row>
    <row r="123" spans="2:38" ht="15.75" customHeight="1">
      <c r="B123" s="595"/>
      <c r="C123" s="595"/>
      <c r="G123" s="80"/>
      <c r="L123" s="139"/>
      <c r="M123" s="139"/>
      <c r="N123" s="159"/>
      <c r="P123" s="629"/>
      <c r="Q123" s="760"/>
      <c r="R123" s="706"/>
      <c r="AH123" s="80"/>
      <c r="AI123" s="80"/>
      <c r="AJ123" s="80"/>
      <c r="AL123" s="80"/>
    </row>
    <row r="124" spans="2:38" ht="15.75" customHeight="1">
      <c r="B124" s="595"/>
      <c r="C124" s="595"/>
      <c r="G124" s="80"/>
      <c r="L124" s="139"/>
      <c r="M124" s="139"/>
      <c r="N124" s="159"/>
      <c r="P124" s="629"/>
      <c r="Q124" s="760"/>
      <c r="R124" s="706"/>
      <c r="AH124" s="80"/>
      <c r="AI124" s="80"/>
      <c r="AJ124" s="80"/>
      <c r="AL124" s="80"/>
    </row>
    <row r="125" spans="2:38" ht="15.75" customHeight="1">
      <c r="B125" s="595"/>
      <c r="C125" s="595"/>
      <c r="G125" s="80"/>
      <c r="L125" s="139"/>
      <c r="M125" s="139"/>
      <c r="N125" s="159"/>
      <c r="P125" s="629"/>
      <c r="Q125" s="760"/>
      <c r="R125" s="706"/>
      <c r="AH125" s="80"/>
      <c r="AI125" s="80"/>
      <c r="AJ125" s="80"/>
      <c r="AL125" s="80"/>
    </row>
    <row r="126" spans="2:38" ht="15.75" customHeight="1">
      <c r="B126" s="595"/>
      <c r="C126" s="595"/>
      <c r="G126" s="80"/>
      <c r="L126" s="139"/>
      <c r="M126" s="139"/>
      <c r="N126" s="159"/>
      <c r="P126" s="629"/>
      <c r="Q126" s="760"/>
      <c r="R126" s="706"/>
      <c r="AH126" s="80"/>
      <c r="AI126" s="80"/>
      <c r="AJ126" s="80"/>
      <c r="AL126" s="80"/>
    </row>
    <row r="127" spans="2:38" ht="15.75" customHeight="1">
      <c r="B127" s="595"/>
      <c r="C127" s="595"/>
      <c r="G127" s="80"/>
      <c r="L127" s="139"/>
      <c r="M127" s="139"/>
      <c r="N127" s="159"/>
      <c r="P127" s="629"/>
      <c r="Q127" s="760"/>
      <c r="R127" s="706"/>
      <c r="AH127" s="80"/>
      <c r="AI127" s="80"/>
      <c r="AJ127" s="80"/>
      <c r="AL127" s="80"/>
    </row>
    <row r="128" spans="2:38" ht="15.75" customHeight="1">
      <c r="B128" s="595"/>
      <c r="C128" s="595"/>
      <c r="G128" s="80"/>
      <c r="L128" s="139"/>
      <c r="M128" s="139"/>
      <c r="N128" s="159"/>
      <c r="P128" s="629"/>
      <c r="Q128" s="760"/>
      <c r="R128" s="706"/>
      <c r="AH128" s="80"/>
      <c r="AI128" s="80"/>
      <c r="AJ128" s="80"/>
      <c r="AL128" s="80"/>
    </row>
    <row r="129" spans="2:38" ht="15.75" customHeight="1">
      <c r="B129" s="595"/>
      <c r="C129" s="595"/>
      <c r="G129" s="80"/>
      <c r="L129" s="139"/>
      <c r="M129" s="139"/>
      <c r="N129" s="159"/>
      <c r="P129" s="629"/>
      <c r="Q129" s="760"/>
      <c r="R129" s="706"/>
      <c r="AH129" s="80"/>
      <c r="AI129" s="80"/>
      <c r="AJ129" s="80"/>
      <c r="AL129" s="80"/>
    </row>
    <row r="130" spans="2:38" ht="15.75" customHeight="1">
      <c r="B130" s="595"/>
      <c r="C130" s="595"/>
      <c r="G130" s="80"/>
      <c r="L130" s="139"/>
      <c r="M130" s="139"/>
      <c r="N130" s="159"/>
      <c r="P130" s="629"/>
      <c r="Q130" s="760"/>
      <c r="R130" s="706"/>
      <c r="AH130" s="80"/>
      <c r="AI130" s="80"/>
      <c r="AJ130" s="80"/>
      <c r="AL130" s="80"/>
    </row>
    <row r="131" spans="2:38" ht="15.75" customHeight="1">
      <c r="B131" s="595"/>
      <c r="C131" s="595"/>
      <c r="G131" s="80"/>
      <c r="L131" s="139"/>
      <c r="M131" s="139"/>
      <c r="N131" s="159"/>
      <c r="P131" s="629"/>
      <c r="Q131" s="760"/>
      <c r="R131" s="706"/>
      <c r="AH131" s="80"/>
      <c r="AI131" s="80"/>
      <c r="AJ131" s="80"/>
      <c r="AL131" s="80"/>
    </row>
    <row r="132" spans="2:38" ht="15.75" customHeight="1">
      <c r="B132" s="595"/>
      <c r="C132" s="595"/>
      <c r="G132" s="80"/>
      <c r="L132" s="139"/>
      <c r="M132" s="139"/>
      <c r="N132" s="159"/>
      <c r="P132" s="629"/>
      <c r="Q132" s="760"/>
      <c r="R132" s="706"/>
      <c r="AH132" s="80"/>
      <c r="AI132" s="80"/>
      <c r="AJ132" s="80"/>
      <c r="AL132" s="80"/>
    </row>
    <row r="133" spans="2:38" ht="15.75" customHeight="1">
      <c r="B133" s="595"/>
      <c r="C133" s="595"/>
      <c r="G133" s="80"/>
      <c r="L133" s="139"/>
      <c r="M133" s="139"/>
      <c r="N133" s="159"/>
      <c r="P133" s="629"/>
      <c r="Q133" s="760"/>
      <c r="R133" s="706"/>
      <c r="AH133" s="80"/>
      <c r="AI133" s="80"/>
      <c r="AJ133" s="80"/>
      <c r="AL133" s="80"/>
    </row>
    <row r="134" spans="2:38" ht="15.75" customHeight="1">
      <c r="B134" s="595"/>
      <c r="C134" s="595"/>
      <c r="G134" s="80"/>
      <c r="L134" s="139"/>
      <c r="M134" s="139"/>
      <c r="N134" s="159"/>
      <c r="P134" s="629"/>
      <c r="Q134" s="760"/>
      <c r="R134" s="706"/>
      <c r="AH134" s="80"/>
      <c r="AI134" s="80"/>
      <c r="AJ134" s="80"/>
      <c r="AL134" s="80"/>
    </row>
    <row r="135" spans="2:38" ht="15.75" customHeight="1">
      <c r="B135" s="595"/>
      <c r="C135" s="595"/>
      <c r="G135" s="80"/>
      <c r="L135" s="139"/>
      <c r="M135" s="139"/>
      <c r="N135" s="159"/>
      <c r="P135" s="629"/>
      <c r="Q135" s="760"/>
      <c r="R135" s="706"/>
      <c r="AH135" s="80"/>
      <c r="AI135" s="80"/>
      <c r="AJ135" s="80"/>
      <c r="AL135" s="80"/>
    </row>
    <row r="136" spans="2:38" ht="15.75" customHeight="1">
      <c r="B136" s="595"/>
      <c r="C136" s="595"/>
      <c r="G136" s="80"/>
      <c r="L136" s="139"/>
      <c r="M136" s="139"/>
      <c r="N136" s="159"/>
      <c r="P136" s="629"/>
      <c r="Q136" s="760"/>
      <c r="R136" s="706"/>
      <c r="AH136" s="80"/>
      <c r="AI136" s="80"/>
      <c r="AJ136" s="80"/>
      <c r="AL136" s="80"/>
    </row>
    <row r="137" spans="2:38" ht="15.75" customHeight="1">
      <c r="B137" s="595"/>
      <c r="C137" s="595"/>
      <c r="G137" s="80"/>
      <c r="L137" s="139"/>
      <c r="M137" s="139"/>
      <c r="N137" s="159"/>
      <c r="P137" s="629"/>
      <c r="Q137" s="760"/>
      <c r="R137" s="706"/>
      <c r="AH137" s="80"/>
      <c r="AI137" s="80"/>
      <c r="AJ137" s="80"/>
      <c r="AL137" s="80"/>
    </row>
    <row r="138" spans="2:38" ht="15.75" customHeight="1">
      <c r="B138" s="595"/>
      <c r="C138" s="595"/>
      <c r="G138" s="80"/>
      <c r="L138" s="139"/>
      <c r="M138" s="139"/>
      <c r="N138" s="159"/>
      <c r="P138" s="629"/>
      <c r="Q138" s="760"/>
      <c r="R138" s="706"/>
      <c r="AH138" s="80"/>
      <c r="AI138" s="80"/>
      <c r="AJ138" s="80"/>
      <c r="AL138" s="80"/>
    </row>
    <row r="139" spans="2:38" ht="15.75" customHeight="1">
      <c r="B139" s="595"/>
      <c r="C139" s="595"/>
      <c r="G139" s="80"/>
      <c r="L139" s="139"/>
      <c r="M139" s="139"/>
      <c r="N139" s="159"/>
      <c r="P139" s="629"/>
      <c r="Q139" s="760"/>
      <c r="R139" s="706"/>
      <c r="AH139" s="80"/>
      <c r="AI139" s="80"/>
      <c r="AJ139" s="80"/>
      <c r="AL139" s="80"/>
    </row>
    <row r="140" spans="2:38" ht="15.75" customHeight="1">
      <c r="B140" s="595"/>
      <c r="C140" s="595"/>
      <c r="G140" s="80"/>
      <c r="M140" s="139"/>
      <c r="N140" s="159"/>
      <c r="P140" s="629"/>
      <c r="Q140" s="760"/>
      <c r="R140" s="706"/>
      <c r="AH140" s="80"/>
      <c r="AI140" s="80"/>
      <c r="AJ140" s="80"/>
      <c r="AL140" s="80"/>
    </row>
    <row r="141" spans="2:38" ht="15.75" customHeight="1">
      <c r="B141" s="595"/>
      <c r="C141" s="595"/>
      <c r="G141" s="80"/>
      <c r="M141" s="139"/>
      <c r="N141" s="159"/>
      <c r="P141" s="629"/>
      <c r="Q141" s="760"/>
      <c r="R141" s="706"/>
      <c r="AH141" s="80"/>
      <c r="AI141" s="80"/>
      <c r="AJ141" s="80"/>
      <c r="AL141" s="80"/>
    </row>
    <row r="142" spans="2:38" ht="15.75" customHeight="1">
      <c r="B142" s="595"/>
      <c r="C142" s="595"/>
      <c r="G142" s="80"/>
      <c r="M142" s="139"/>
      <c r="N142" s="159"/>
      <c r="P142" s="629"/>
      <c r="Q142" s="760"/>
      <c r="R142" s="706"/>
      <c r="AH142" s="80"/>
      <c r="AI142" s="80"/>
      <c r="AJ142" s="80"/>
      <c r="AL142" s="80"/>
    </row>
    <row r="143" spans="2:38" ht="15.75" customHeight="1">
      <c r="B143" s="595"/>
      <c r="C143" s="595"/>
      <c r="G143" s="80"/>
      <c r="M143" s="139"/>
      <c r="N143" s="159"/>
      <c r="P143" s="629"/>
      <c r="Q143" s="760"/>
      <c r="R143" s="706"/>
      <c r="AH143" s="80"/>
      <c r="AI143" s="80"/>
      <c r="AJ143" s="80"/>
      <c r="AL143" s="80"/>
    </row>
    <row r="144" spans="2:38" ht="15.75" customHeight="1">
      <c r="B144" s="595"/>
      <c r="G144" s="80"/>
      <c r="M144" s="139"/>
      <c r="N144" s="159"/>
      <c r="P144" s="629"/>
      <c r="Q144" s="760"/>
      <c r="R144" s="706"/>
      <c r="AH144" s="80"/>
      <c r="AI144" s="80"/>
      <c r="AJ144" s="80"/>
      <c r="AL144" s="80"/>
    </row>
    <row r="145" spans="2:38" ht="15.75" customHeight="1">
      <c r="B145" s="595"/>
      <c r="G145" s="80"/>
      <c r="M145" s="139"/>
      <c r="N145" s="159"/>
      <c r="P145" s="629"/>
      <c r="Q145" s="760"/>
      <c r="R145" s="706"/>
      <c r="AH145" s="80"/>
      <c r="AI145" s="80"/>
      <c r="AJ145" s="80"/>
      <c r="AL145" s="80"/>
    </row>
    <row r="146" spans="2:38" ht="15.75" customHeight="1">
      <c r="B146" s="595"/>
      <c r="G146" s="80"/>
      <c r="M146" s="139"/>
      <c r="N146" s="159"/>
      <c r="P146" s="629"/>
      <c r="Q146" s="760"/>
      <c r="R146" s="706"/>
      <c r="AH146" s="80"/>
      <c r="AI146" s="80"/>
      <c r="AJ146" s="80"/>
      <c r="AL146" s="80"/>
    </row>
    <row r="147" spans="2:38" ht="15.75" customHeight="1">
      <c r="B147" s="595"/>
      <c r="G147" s="80"/>
      <c r="M147" s="139"/>
      <c r="N147" s="159"/>
      <c r="P147" s="629"/>
      <c r="Q147" s="760"/>
      <c r="R147" s="706"/>
      <c r="AH147" s="80"/>
      <c r="AI147" s="80"/>
      <c r="AJ147" s="80"/>
      <c r="AL147" s="80"/>
    </row>
    <row r="148" spans="2:38" ht="15.75" customHeight="1">
      <c r="B148" s="595"/>
      <c r="G148" s="80"/>
      <c r="M148" s="139"/>
      <c r="N148" s="159"/>
      <c r="P148" s="629"/>
      <c r="Q148" s="760"/>
      <c r="R148" s="706"/>
      <c r="AH148" s="80"/>
      <c r="AI148" s="80"/>
      <c r="AJ148" s="80"/>
      <c r="AL148" s="80"/>
    </row>
    <row r="149" spans="2:38" ht="15.75" customHeight="1">
      <c r="B149" s="595"/>
      <c r="G149" s="80"/>
      <c r="M149" s="139"/>
      <c r="N149" s="159"/>
      <c r="P149" s="629"/>
      <c r="Q149" s="760"/>
      <c r="R149" s="706"/>
      <c r="AH149" s="80"/>
      <c r="AI149" s="80"/>
      <c r="AJ149" s="80"/>
      <c r="AL149" s="80"/>
    </row>
    <row r="150" spans="2:38" ht="15.75" customHeight="1">
      <c r="B150" s="595"/>
      <c r="G150" s="80"/>
      <c r="M150" s="139"/>
      <c r="N150" s="159"/>
      <c r="P150" s="629"/>
      <c r="Q150" s="760"/>
      <c r="R150" s="706"/>
      <c r="AH150" s="80"/>
      <c r="AI150" s="80"/>
      <c r="AJ150" s="80"/>
      <c r="AL150" s="80"/>
    </row>
    <row r="151" spans="2:38" ht="15.75" customHeight="1">
      <c r="B151" s="595"/>
      <c r="G151" s="80"/>
      <c r="M151" s="139"/>
      <c r="N151" s="159"/>
      <c r="P151" s="629"/>
      <c r="Q151" s="760"/>
      <c r="R151" s="706"/>
      <c r="AH151" s="80"/>
      <c r="AI151" s="80"/>
      <c r="AJ151" s="80"/>
      <c r="AL151" s="80"/>
    </row>
    <row r="152" spans="2:38" ht="15.75" customHeight="1">
      <c r="B152" s="595"/>
      <c r="G152" s="80"/>
      <c r="M152" s="139"/>
      <c r="N152" s="159"/>
      <c r="P152" s="629"/>
      <c r="Q152" s="760"/>
      <c r="R152" s="706"/>
      <c r="AH152" s="80"/>
      <c r="AI152" s="80"/>
      <c r="AJ152" s="80"/>
      <c r="AL152" s="80"/>
    </row>
    <row r="153" spans="2:38" ht="15.75" customHeight="1">
      <c r="B153" s="595"/>
      <c r="G153" s="80"/>
      <c r="M153" s="139"/>
      <c r="N153" s="159"/>
      <c r="P153" s="629"/>
      <c r="Q153" s="760"/>
      <c r="R153" s="706"/>
      <c r="AH153" s="80"/>
      <c r="AI153" s="80"/>
      <c r="AJ153" s="80"/>
      <c r="AL153" s="80"/>
    </row>
    <row r="154" spans="2:38" ht="15.75" customHeight="1">
      <c r="B154" s="595"/>
      <c r="G154" s="80"/>
      <c r="M154" s="139"/>
      <c r="N154" s="159"/>
      <c r="P154" s="629"/>
      <c r="Q154" s="760"/>
      <c r="R154" s="706"/>
      <c r="AH154" s="80"/>
      <c r="AI154" s="80"/>
      <c r="AJ154" s="80"/>
      <c r="AL154" s="80"/>
    </row>
    <row r="155" spans="2:38" ht="15.75" customHeight="1">
      <c r="B155" s="595"/>
      <c r="G155" s="80"/>
      <c r="M155" s="139"/>
      <c r="N155" s="159"/>
      <c r="P155" s="629"/>
      <c r="Q155" s="760"/>
      <c r="R155" s="706"/>
      <c r="AH155" s="80"/>
      <c r="AI155" s="80"/>
      <c r="AJ155" s="80"/>
      <c r="AL155" s="80"/>
    </row>
    <row r="156" spans="2:38" ht="15.75" customHeight="1">
      <c r="B156" s="595"/>
      <c r="G156" s="80"/>
      <c r="M156" s="139"/>
      <c r="N156" s="159"/>
      <c r="P156" s="629"/>
      <c r="Q156" s="760"/>
      <c r="R156" s="706"/>
      <c r="AH156" s="80"/>
      <c r="AI156" s="80"/>
      <c r="AJ156" s="80"/>
      <c r="AL156" s="80"/>
    </row>
    <row r="157" spans="2:38" ht="15.75" customHeight="1">
      <c r="B157" s="595"/>
      <c r="G157" s="80"/>
      <c r="M157" s="139"/>
      <c r="N157" s="159"/>
      <c r="P157" s="629"/>
      <c r="Q157" s="760"/>
      <c r="R157" s="706"/>
      <c r="AH157" s="80"/>
      <c r="AI157" s="80"/>
      <c r="AJ157" s="80"/>
      <c r="AL157" s="80"/>
    </row>
    <row r="158" spans="2:38" ht="15.75" customHeight="1">
      <c r="B158" s="595"/>
      <c r="G158" s="80"/>
      <c r="M158" s="139"/>
      <c r="N158" s="159"/>
      <c r="P158" s="629"/>
      <c r="Q158" s="760"/>
      <c r="R158" s="706"/>
      <c r="AH158" s="80"/>
      <c r="AI158" s="80"/>
      <c r="AJ158" s="80"/>
      <c r="AL158" s="80"/>
    </row>
    <row r="159" spans="2:38" ht="15.75" customHeight="1">
      <c r="B159" s="595"/>
      <c r="G159" s="80"/>
      <c r="M159" s="139"/>
      <c r="N159" s="159"/>
      <c r="P159" s="629"/>
      <c r="Q159" s="760"/>
      <c r="R159" s="706"/>
      <c r="AH159" s="80"/>
      <c r="AI159" s="80"/>
      <c r="AJ159" s="80"/>
      <c r="AL159" s="80"/>
    </row>
    <row r="160" spans="2:38" ht="15.75" customHeight="1">
      <c r="B160" s="595"/>
      <c r="G160" s="80"/>
      <c r="M160" s="139"/>
      <c r="N160" s="159"/>
      <c r="P160" s="629"/>
      <c r="Q160" s="760"/>
      <c r="R160" s="706"/>
      <c r="AH160" s="80"/>
      <c r="AI160" s="80"/>
      <c r="AJ160" s="80"/>
      <c r="AL160" s="80"/>
    </row>
    <row r="161" spans="2:38" ht="15.75" customHeight="1">
      <c r="B161" s="595"/>
      <c r="G161" s="80"/>
      <c r="M161" s="139"/>
      <c r="N161" s="159"/>
      <c r="P161" s="629"/>
      <c r="Q161" s="760"/>
      <c r="R161" s="706"/>
      <c r="AH161" s="80"/>
      <c r="AI161" s="80"/>
      <c r="AJ161" s="80"/>
      <c r="AL161" s="80"/>
    </row>
    <row r="162" spans="2:38" ht="15.75" customHeight="1">
      <c r="B162" s="595"/>
      <c r="G162" s="80"/>
      <c r="M162" s="139"/>
      <c r="N162" s="159"/>
      <c r="P162" s="629"/>
      <c r="Q162" s="760"/>
      <c r="R162" s="706"/>
      <c r="AH162" s="80"/>
      <c r="AI162" s="80"/>
      <c r="AJ162" s="80"/>
      <c r="AL162" s="80"/>
    </row>
    <row r="163" spans="2:38" ht="15.75" customHeight="1">
      <c r="B163" s="595"/>
      <c r="G163" s="80"/>
      <c r="M163" s="139"/>
      <c r="N163" s="159"/>
      <c r="P163" s="629"/>
      <c r="Q163" s="760"/>
      <c r="R163" s="706"/>
      <c r="AH163" s="80"/>
      <c r="AI163" s="80"/>
      <c r="AJ163" s="80"/>
      <c r="AL163" s="80"/>
    </row>
    <row r="164" spans="2:38" ht="15.75" customHeight="1">
      <c r="B164" s="595"/>
      <c r="G164" s="80"/>
      <c r="M164" s="139"/>
      <c r="N164" s="159"/>
      <c r="P164" s="629"/>
      <c r="Q164" s="760"/>
      <c r="R164" s="706"/>
      <c r="AH164" s="80"/>
      <c r="AI164" s="80"/>
      <c r="AJ164" s="80"/>
      <c r="AL164" s="80"/>
    </row>
    <row r="165" spans="2:38" ht="15.75" customHeight="1">
      <c r="B165" s="595"/>
      <c r="G165" s="80"/>
      <c r="M165" s="139"/>
      <c r="N165" s="159"/>
      <c r="P165" s="629"/>
      <c r="Q165" s="760"/>
      <c r="R165" s="706"/>
      <c r="AH165" s="80"/>
      <c r="AI165" s="80"/>
      <c r="AJ165" s="80"/>
      <c r="AL165" s="80"/>
    </row>
    <row r="166" spans="2:38" ht="15.75" customHeight="1">
      <c r="B166" s="595"/>
      <c r="G166" s="80"/>
      <c r="M166" s="139"/>
      <c r="N166" s="159"/>
      <c r="P166" s="629"/>
      <c r="Q166" s="760"/>
      <c r="R166" s="706"/>
      <c r="AH166" s="80"/>
      <c r="AI166" s="80"/>
      <c r="AJ166" s="80"/>
      <c r="AL166" s="80"/>
    </row>
    <row r="167" spans="2:38" ht="15.75" customHeight="1">
      <c r="B167" s="595"/>
      <c r="G167" s="80"/>
      <c r="M167" s="139"/>
      <c r="N167" s="159"/>
      <c r="P167" s="629"/>
      <c r="Q167" s="760"/>
      <c r="R167" s="706"/>
      <c r="AH167" s="80"/>
      <c r="AI167" s="80"/>
      <c r="AJ167" s="80"/>
      <c r="AL167" s="80"/>
    </row>
    <row r="168" spans="2:38" ht="15.75" customHeight="1">
      <c r="B168" s="595"/>
      <c r="G168" s="80"/>
      <c r="M168" s="139"/>
      <c r="N168" s="159"/>
      <c r="P168" s="629"/>
      <c r="Q168" s="760"/>
      <c r="R168" s="706"/>
      <c r="AH168" s="80"/>
      <c r="AI168" s="80"/>
      <c r="AJ168" s="80"/>
      <c r="AL168" s="80"/>
    </row>
    <row r="169" spans="2:38" ht="15.75" customHeight="1">
      <c r="B169" s="595"/>
      <c r="G169" s="80"/>
      <c r="M169" s="139"/>
      <c r="N169" s="159"/>
      <c r="P169" s="629"/>
      <c r="Q169" s="760"/>
      <c r="R169" s="706"/>
      <c r="AH169" s="80"/>
      <c r="AI169" s="80"/>
      <c r="AJ169" s="80"/>
      <c r="AL169" s="80"/>
    </row>
    <row r="170" spans="2:38" ht="15.75" customHeight="1">
      <c r="B170" s="595"/>
      <c r="G170" s="80"/>
      <c r="M170" s="139"/>
      <c r="N170" s="159"/>
      <c r="P170" s="629"/>
      <c r="Q170" s="760"/>
      <c r="R170" s="706"/>
      <c r="AH170" s="80"/>
      <c r="AI170" s="80"/>
      <c r="AJ170" s="80"/>
      <c r="AL170" s="80"/>
    </row>
    <row r="171" spans="2:38" ht="15.75" customHeight="1">
      <c r="B171" s="595"/>
      <c r="G171" s="80"/>
      <c r="M171" s="139"/>
      <c r="N171" s="159"/>
      <c r="P171" s="629"/>
      <c r="Q171" s="760"/>
      <c r="R171" s="706"/>
      <c r="AH171" s="80"/>
      <c r="AI171" s="80"/>
      <c r="AJ171" s="80"/>
      <c r="AL171" s="80"/>
    </row>
    <row r="172" spans="2:38" ht="15.75" customHeight="1">
      <c r="B172" s="595"/>
      <c r="G172" s="80"/>
      <c r="M172" s="139"/>
      <c r="N172" s="159"/>
      <c r="P172" s="629"/>
      <c r="Q172" s="760"/>
      <c r="R172" s="706"/>
      <c r="AH172" s="80"/>
      <c r="AI172" s="80"/>
      <c r="AJ172" s="80"/>
      <c r="AL172" s="80"/>
    </row>
    <row r="173" spans="2:38" ht="15.75" customHeight="1">
      <c r="B173" s="595"/>
      <c r="G173" s="80"/>
      <c r="M173" s="139"/>
      <c r="N173" s="159"/>
      <c r="P173" s="629"/>
      <c r="Q173" s="760"/>
      <c r="R173" s="706"/>
      <c r="AH173" s="80"/>
      <c r="AI173" s="80"/>
      <c r="AJ173" s="80"/>
      <c r="AL173" s="80"/>
    </row>
    <row r="174" spans="2:38" ht="15.75" customHeight="1">
      <c r="B174" s="595"/>
      <c r="G174" s="80"/>
      <c r="N174" s="159"/>
      <c r="P174" s="629"/>
      <c r="Q174" s="760"/>
      <c r="R174" s="706"/>
      <c r="AH174" s="80"/>
      <c r="AI174" s="80"/>
      <c r="AJ174" s="80"/>
      <c r="AL174" s="80"/>
    </row>
    <row r="175" spans="2:38" ht="15.75" customHeight="1">
      <c r="B175" s="595"/>
      <c r="G175" s="80"/>
      <c r="N175" s="159"/>
      <c r="P175" s="629"/>
      <c r="Q175" s="760"/>
      <c r="R175" s="706"/>
      <c r="AH175" s="80"/>
      <c r="AI175" s="80"/>
      <c r="AJ175" s="80"/>
      <c r="AL175" s="80"/>
    </row>
    <row r="176" spans="2:38" ht="15.75" customHeight="1">
      <c r="B176" s="595"/>
      <c r="G176" s="80"/>
      <c r="N176" s="159"/>
      <c r="P176" s="629"/>
      <c r="Q176" s="760"/>
      <c r="R176" s="706"/>
      <c r="AH176" s="80"/>
      <c r="AI176" s="80"/>
      <c r="AJ176" s="80"/>
      <c r="AL176" s="80"/>
    </row>
    <row r="177" spans="2:38" ht="15.75" customHeight="1">
      <c r="B177" s="595"/>
      <c r="G177" s="80"/>
      <c r="N177" s="159"/>
      <c r="P177" s="629"/>
      <c r="Q177" s="760"/>
      <c r="R177" s="706"/>
      <c r="AH177" s="80"/>
      <c r="AI177" s="80"/>
      <c r="AJ177" s="80"/>
      <c r="AL177" s="80"/>
    </row>
    <row r="178" spans="2:38" ht="15.75" customHeight="1">
      <c r="B178" s="595"/>
      <c r="G178" s="80"/>
      <c r="N178" s="159"/>
      <c r="P178" s="629"/>
      <c r="Q178" s="760"/>
      <c r="AH178" s="80"/>
      <c r="AI178" s="80"/>
      <c r="AJ178" s="80"/>
      <c r="AL178" s="80"/>
    </row>
    <row r="179" spans="2:38" ht="15.75" customHeight="1">
      <c r="B179" s="595"/>
      <c r="G179" s="80"/>
      <c r="N179" s="159"/>
      <c r="P179" s="629"/>
      <c r="Q179" s="760"/>
      <c r="AH179" s="80"/>
      <c r="AI179" s="80"/>
      <c r="AJ179" s="80"/>
      <c r="AL179" s="80"/>
    </row>
    <row r="180" spans="2:38" ht="15.75" customHeight="1">
      <c r="B180" s="595"/>
      <c r="G180" s="80"/>
      <c r="N180" s="159"/>
      <c r="P180" s="629"/>
      <c r="Q180" s="760"/>
      <c r="AH180" s="80"/>
      <c r="AI180" s="80"/>
      <c r="AJ180" s="80"/>
      <c r="AL180" s="80"/>
    </row>
    <row r="181" spans="2:38" ht="15.75" customHeight="1">
      <c r="B181" s="595"/>
      <c r="G181" s="80"/>
      <c r="N181" s="159"/>
      <c r="P181" s="629"/>
      <c r="Q181" s="760"/>
      <c r="AH181" s="80"/>
      <c r="AI181" s="80"/>
      <c r="AJ181" s="80"/>
      <c r="AL181" s="80"/>
    </row>
    <row r="182" spans="2:38" ht="15.75" customHeight="1">
      <c r="B182" s="595"/>
      <c r="G182" s="80"/>
      <c r="N182" s="159"/>
      <c r="P182" s="629"/>
      <c r="Q182" s="760"/>
      <c r="AH182" s="80"/>
      <c r="AI182" s="80"/>
      <c r="AJ182" s="80"/>
      <c r="AL182" s="80"/>
    </row>
    <row r="183" spans="2:38" ht="15.75" customHeight="1">
      <c r="B183" s="595"/>
      <c r="G183" s="80"/>
      <c r="N183" s="159"/>
      <c r="P183" s="629"/>
      <c r="Q183" s="760"/>
      <c r="AH183" s="80"/>
      <c r="AI183" s="80"/>
      <c r="AJ183" s="80"/>
      <c r="AL183" s="80"/>
    </row>
    <row r="184" spans="2:38" ht="15.75" customHeight="1">
      <c r="B184" s="595"/>
      <c r="G184" s="80"/>
      <c r="N184" s="159"/>
      <c r="P184" s="629"/>
      <c r="Q184" s="760"/>
      <c r="AH184" s="80"/>
      <c r="AI184" s="80"/>
      <c r="AJ184" s="80"/>
      <c r="AL184" s="80"/>
    </row>
    <row r="185" spans="2:38" ht="15.75" customHeight="1">
      <c r="B185" s="595"/>
      <c r="G185" s="80"/>
      <c r="N185" s="159"/>
      <c r="P185" s="629"/>
      <c r="Q185" s="760"/>
      <c r="AH185" s="80"/>
      <c r="AI185" s="80"/>
      <c r="AJ185" s="80"/>
      <c r="AL185" s="80"/>
    </row>
    <row r="186" spans="2:38" ht="15.75" customHeight="1">
      <c r="B186" s="595"/>
      <c r="G186" s="80"/>
      <c r="N186" s="159"/>
      <c r="P186" s="629"/>
      <c r="Q186" s="760"/>
      <c r="AH186" s="80"/>
      <c r="AI186" s="80"/>
      <c r="AJ186" s="80"/>
      <c r="AL186" s="80"/>
    </row>
    <row r="187" spans="2:38" ht="15.75" customHeight="1">
      <c r="B187" s="595"/>
      <c r="G187" s="80"/>
      <c r="N187" s="159"/>
      <c r="P187" s="629"/>
      <c r="Q187" s="760"/>
      <c r="AH187" s="80"/>
      <c r="AI187" s="80"/>
      <c r="AJ187" s="80"/>
      <c r="AL187" s="80"/>
    </row>
    <row r="188" spans="2:38" ht="15.75" customHeight="1">
      <c r="B188" s="595"/>
      <c r="G188" s="80"/>
      <c r="N188" s="159"/>
      <c r="Q188" s="760"/>
      <c r="AH188" s="80"/>
      <c r="AI188" s="80"/>
      <c r="AJ188" s="80"/>
      <c r="AL188" s="80"/>
    </row>
    <row r="189" spans="2:38" ht="15.75" customHeight="1">
      <c r="B189" s="595"/>
      <c r="G189" s="80"/>
      <c r="Q189" s="760"/>
      <c r="AH189" s="80"/>
      <c r="AI189" s="80"/>
      <c r="AJ189" s="80"/>
      <c r="AL189" s="80"/>
    </row>
    <row r="190" spans="2:38" ht="15.75" customHeight="1">
      <c r="B190" s="595"/>
      <c r="G190" s="80"/>
      <c r="Q190" s="760"/>
      <c r="AH190" s="80"/>
      <c r="AI190" s="80"/>
      <c r="AJ190" s="80"/>
      <c r="AL190" s="80"/>
    </row>
    <row r="191" spans="2:38" ht="15.75" customHeight="1">
      <c r="B191" s="595"/>
      <c r="G191" s="80"/>
      <c r="AH191" s="80"/>
      <c r="AI191" s="80"/>
      <c r="AJ191" s="80"/>
      <c r="AL191" s="80"/>
    </row>
    <row r="192" spans="2:38" ht="15.75" customHeight="1">
      <c r="B192" s="595"/>
      <c r="G192" s="80"/>
      <c r="AH192" s="80"/>
      <c r="AI192" s="80"/>
      <c r="AJ192" s="80"/>
      <c r="AL192" s="80"/>
    </row>
    <row r="193" spans="2:38" ht="15.75" customHeight="1">
      <c r="B193" s="595"/>
      <c r="G193" s="80"/>
      <c r="AH193" s="80"/>
      <c r="AI193" s="80"/>
      <c r="AJ193" s="80"/>
      <c r="AL193" s="80"/>
    </row>
    <row r="194" spans="2:38" ht="15.75" customHeight="1">
      <c r="B194" s="595"/>
      <c r="G194" s="80"/>
      <c r="AH194" s="80"/>
      <c r="AI194" s="80"/>
      <c r="AJ194" s="80"/>
      <c r="AL194" s="80"/>
    </row>
    <row r="195" spans="2:38" ht="15.75" customHeight="1">
      <c r="B195" s="595"/>
      <c r="G195" s="80"/>
      <c r="AH195" s="80"/>
      <c r="AI195" s="80"/>
      <c r="AJ195" s="80"/>
      <c r="AL195" s="80"/>
    </row>
    <row r="196" spans="2:38" ht="15.75" customHeight="1">
      <c r="B196" s="595"/>
      <c r="G196" s="80"/>
      <c r="AH196" s="80"/>
      <c r="AI196" s="80"/>
      <c r="AJ196" s="80"/>
      <c r="AL196" s="80"/>
    </row>
    <row r="197" spans="2:38" ht="15.75" customHeight="1">
      <c r="B197" s="595"/>
      <c r="G197" s="80"/>
      <c r="AH197" s="80"/>
      <c r="AI197" s="80"/>
      <c r="AJ197" s="80"/>
      <c r="AL197" s="80"/>
    </row>
    <row r="198" spans="2:38" ht="15.75" customHeight="1">
      <c r="B198" s="595"/>
      <c r="G198" s="80"/>
      <c r="AH198" s="80"/>
      <c r="AI198" s="80"/>
      <c r="AJ198" s="80"/>
      <c r="AL198" s="80"/>
    </row>
    <row r="199" spans="2:38" ht="15.75" customHeight="1">
      <c r="B199" s="595"/>
      <c r="G199" s="80"/>
      <c r="AH199" s="80"/>
      <c r="AI199" s="80"/>
      <c r="AJ199" s="80"/>
      <c r="AL199" s="80"/>
    </row>
    <row r="200" spans="2:38" ht="15.75" customHeight="1">
      <c r="B200" s="595"/>
      <c r="G200" s="80"/>
      <c r="AH200" s="80"/>
      <c r="AI200" s="80"/>
      <c r="AJ200" s="80"/>
      <c r="AL200" s="80"/>
    </row>
    <row r="201" spans="2:38" ht="15.75" customHeight="1">
      <c r="B201" s="595"/>
      <c r="G201" s="80"/>
      <c r="AH201" s="80"/>
      <c r="AI201" s="80"/>
      <c r="AJ201" s="80"/>
      <c r="AL201" s="80"/>
    </row>
    <row r="202" spans="2:38" ht="15.75" customHeight="1">
      <c r="B202" s="595"/>
      <c r="G202" s="80"/>
      <c r="AH202" s="80"/>
      <c r="AI202" s="80"/>
      <c r="AJ202" s="80"/>
      <c r="AL202" s="80"/>
    </row>
    <row r="203" spans="2:38" ht="15.75" customHeight="1">
      <c r="B203" s="595"/>
      <c r="G203" s="80"/>
      <c r="AH203" s="80"/>
      <c r="AI203" s="80"/>
      <c r="AJ203" s="80"/>
      <c r="AL203" s="80"/>
    </row>
    <row r="204" spans="2:38" ht="15.75" customHeight="1">
      <c r="B204" s="595"/>
      <c r="G204" s="80"/>
      <c r="AH204" s="80"/>
      <c r="AI204" s="80"/>
      <c r="AJ204" s="80"/>
      <c r="AL204" s="80"/>
    </row>
    <row r="205" spans="2:38" ht="15.75" customHeight="1">
      <c r="B205" s="595"/>
      <c r="G205" s="80"/>
      <c r="AH205" s="80"/>
      <c r="AI205" s="80"/>
      <c r="AJ205" s="80"/>
      <c r="AL205" s="80"/>
    </row>
    <row r="206" spans="2:38" ht="15.75" customHeight="1">
      <c r="B206" s="595"/>
      <c r="G206" s="80"/>
      <c r="AH206" s="80"/>
      <c r="AI206" s="80"/>
      <c r="AJ206" s="80"/>
      <c r="AL206" s="80"/>
    </row>
    <row r="207" spans="2:38" ht="15.75" customHeight="1">
      <c r="B207" s="595"/>
      <c r="G207" s="80"/>
      <c r="AH207" s="80"/>
      <c r="AI207" s="80"/>
      <c r="AJ207" s="80"/>
      <c r="AL207" s="80"/>
    </row>
    <row r="208" spans="2:38" ht="15.75" customHeight="1">
      <c r="B208" s="595"/>
      <c r="G208" s="80"/>
      <c r="AH208" s="80"/>
      <c r="AI208" s="80"/>
      <c r="AJ208" s="80"/>
      <c r="AL208" s="80"/>
    </row>
    <row r="209" spans="2:38" ht="15.75" customHeight="1">
      <c r="B209" s="595"/>
      <c r="G209" s="80"/>
      <c r="AH209" s="80"/>
      <c r="AI209" s="80"/>
      <c r="AJ209" s="80"/>
      <c r="AL209" s="80"/>
    </row>
    <row r="210" spans="2:38" ht="15.75" customHeight="1">
      <c r="B210" s="595"/>
      <c r="G210" s="80"/>
      <c r="AH210" s="80"/>
      <c r="AI210" s="80"/>
      <c r="AJ210" s="80"/>
      <c r="AL210" s="80"/>
    </row>
    <row r="211" spans="2:38" ht="15.75" customHeight="1">
      <c r="B211" s="595"/>
      <c r="G211" s="80"/>
      <c r="AH211" s="80"/>
      <c r="AI211" s="80"/>
      <c r="AJ211" s="80"/>
      <c r="AL211" s="80"/>
    </row>
    <row r="212" spans="2:38" ht="15.75" customHeight="1">
      <c r="B212" s="595"/>
      <c r="G212" s="80"/>
      <c r="AH212" s="80"/>
      <c r="AI212" s="80"/>
      <c r="AJ212" s="80"/>
      <c r="AL212" s="80"/>
    </row>
    <row r="213" spans="2:38" ht="15.75" customHeight="1">
      <c r="B213" s="595"/>
      <c r="G213" s="80"/>
      <c r="AH213" s="80"/>
      <c r="AI213" s="80"/>
      <c r="AJ213" s="80"/>
      <c r="AL213" s="80"/>
    </row>
    <row r="214" spans="2:38" ht="15.75" customHeight="1">
      <c r="B214" s="595"/>
      <c r="G214" s="80"/>
      <c r="AH214" s="80"/>
      <c r="AI214" s="80"/>
      <c r="AJ214" s="80"/>
      <c r="AL214" s="80"/>
    </row>
    <row r="215" spans="2:38" ht="15.75" customHeight="1">
      <c r="B215" s="595"/>
      <c r="G215" s="80"/>
      <c r="AH215" s="80"/>
      <c r="AI215" s="80"/>
      <c r="AJ215" s="80"/>
      <c r="AL215" s="80"/>
    </row>
    <row r="216" spans="2:38" ht="15.75" customHeight="1">
      <c r="B216" s="595"/>
      <c r="G216" s="80"/>
      <c r="AH216" s="80"/>
      <c r="AI216" s="80"/>
      <c r="AJ216" s="80"/>
      <c r="AL216" s="80"/>
    </row>
    <row r="217" spans="2:38" ht="15.75" customHeight="1">
      <c r="B217" s="595"/>
      <c r="G217" s="80"/>
      <c r="AH217" s="80"/>
      <c r="AI217" s="80"/>
      <c r="AJ217" s="80"/>
      <c r="AL217" s="80"/>
    </row>
    <row r="218" spans="2:38" ht="15.75" customHeight="1">
      <c r="B218" s="595"/>
      <c r="G218" s="80"/>
      <c r="AH218" s="80"/>
      <c r="AI218" s="80"/>
      <c r="AJ218" s="80"/>
      <c r="AL218" s="80"/>
    </row>
    <row r="219" spans="2:38" ht="15.75" customHeight="1">
      <c r="B219" s="595"/>
      <c r="G219" s="80"/>
      <c r="AH219" s="80"/>
      <c r="AI219" s="80"/>
      <c r="AJ219" s="80"/>
      <c r="AL219" s="80"/>
    </row>
    <row r="220" spans="2:38" ht="15.75" customHeight="1">
      <c r="B220" s="595"/>
      <c r="G220" s="80"/>
      <c r="AH220" s="80"/>
      <c r="AI220" s="80"/>
      <c r="AJ220" s="80"/>
      <c r="AL220" s="80"/>
    </row>
    <row r="221" spans="2:38" ht="15.75" customHeight="1">
      <c r="B221" s="595"/>
      <c r="G221" s="80"/>
      <c r="AH221" s="80"/>
      <c r="AI221" s="80"/>
      <c r="AJ221" s="80"/>
      <c r="AL221" s="80"/>
    </row>
    <row r="222" spans="2:38" ht="15.75" customHeight="1">
      <c r="B222" s="595"/>
      <c r="G222" s="80"/>
      <c r="AH222" s="80"/>
      <c r="AI222" s="80"/>
      <c r="AJ222" s="80"/>
      <c r="AL222" s="80"/>
    </row>
    <row r="223" spans="2:38" ht="15.75" customHeight="1">
      <c r="B223" s="595"/>
      <c r="G223" s="80"/>
      <c r="AH223" s="80"/>
      <c r="AI223" s="80"/>
      <c r="AJ223" s="80"/>
      <c r="AL223" s="80"/>
    </row>
    <row r="224" spans="2:38" ht="15.75" customHeight="1">
      <c r="B224" s="595"/>
      <c r="G224" s="80"/>
      <c r="AH224" s="80"/>
      <c r="AI224" s="80"/>
      <c r="AJ224" s="80"/>
      <c r="AL224" s="80"/>
    </row>
    <row r="225" spans="2:38" ht="15.75" customHeight="1">
      <c r="B225" s="595"/>
      <c r="G225" s="80"/>
      <c r="AH225" s="80"/>
      <c r="AI225" s="80"/>
      <c r="AJ225" s="80"/>
      <c r="AL225" s="80"/>
    </row>
    <row r="226" spans="2:38" ht="15.75" customHeight="1">
      <c r="B226" s="595"/>
      <c r="G226" s="80"/>
      <c r="AH226" s="80"/>
      <c r="AI226" s="80"/>
      <c r="AJ226" s="80"/>
      <c r="AL226" s="80"/>
    </row>
    <row r="227" spans="2:38" ht="15.75" customHeight="1">
      <c r="B227" s="595"/>
      <c r="G227" s="80"/>
      <c r="AH227" s="80"/>
      <c r="AI227" s="80"/>
      <c r="AJ227" s="80"/>
      <c r="AL227" s="80"/>
    </row>
    <row r="228" spans="2:38" ht="15.75" customHeight="1">
      <c r="B228" s="595"/>
      <c r="G228" s="80"/>
      <c r="AH228" s="80"/>
      <c r="AI228" s="80"/>
      <c r="AJ228" s="80"/>
      <c r="AL228" s="80"/>
    </row>
    <row r="229" spans="2:38" ht="15.75" customHeight="1">
      <c r="B229" s="595"/>
      <c r="G229" s="80"/>
      <c r="AH229" s="80"/>
      <c r="AI229" s="80"/>
      <c r="AJ229" s="80"/>
      <c r="AL229" s="80"/>
    </row>
    <row r="230" spans="2:38" ht="15.75" customHeight="1">
      <c r="B230" s="595"/>
      <c r="G230" s="80"/>
      <c r="AH230" s="80"/>
      <c r="AI230" s="80"/>
      <c r="AJ230" s="80"/>
      <c r="AL230" s="80"/>
    </row>
    <row r="231" spans="2:38" ht="15.75" customHeight="1">
      <c r="B231" s="595"/>
      <c r="G231" s="80"/>
      <c r="AH231" s="80"/>
      <c r="AI231" s="80"/>
      <c r="AJ231" s="80"/>
      <c r="AL231" s="80"/>
    </row>
    <row r="232" spans="2:38" ht="15.75" customHeight="1">
      <c r="B232" s="595"/>
      <c r="G232" s="80"/>
      <c r="AH232" s="80"/>
      <c r="AI232" s="80"/>
      <c r="AJ232" s="80"/>
      <c r="AL232" s="80"/>
    </row>
    <row r="233" spans="2:38" ht="15.75" customHeight="1">
      <c r="B233" s="595"/>
      <c r="G233" s="80"/>
      <c r="AH233" s="80"/>
      <c r="AI233" s="80"/>
      <c r="AJ233" s="80"/>
      <c r="AL233" s="80"/>
    </row>
    <row r="234" spans="2:38" ht="15.75" customHeight="1">
      <c r="B234" s="595"/>
      <c r="G234" s="80"/>
      <c r="AH234" s="80"/>
      <c r="AI234" s="80"/>
      <c r="AJ234" s="80"/>
      <c r="AL234" s="80"/>
    </row>
    <row r="235" spans="2:38" ht="15.75" customHeight="1">
      <c r="B235" s="595"/>
      <c r="G235" s="80"/>
      <c r="AH235" s="80"/>
      <c r="AI235" s="80"/>
      <c r="AJ235" s="80"/>
      <c r="AL235" s="80"/>
    </row>
    <row r="236" spans="2:38" ht="15.75" customHeight="1">
      <c r="B236" s="595"/>
      <c r="G236" s="80"/>
      <c r="AH236" s="80"/>
      <c r="AI236" s="80"/>
      <c r="AJ236" s="80"/>
      <c r="AL236" s="80"/>
    </row>
    <row r="237" spans="2:38" ht="15.75" customHeight="1">
      <c r="B237" s="595"/>
      <c r="G237" s="80"/>
      <c r="AH237" s="80"/>
      <c r="AI237" s="80"/>
      <c r="AJ237" s="80"/>
      <c r="AL237" s="80"/>
    </row>
    <row r="238" spans="2:38" ht="15.75" customHeight="1">
      <c r="B238" s="595"/>
      <c r="G238" s="80"/>
      <c r="AH238" s="80"/>
      <c r="AI238" s="80"/>
      <c r="AJ238" s="80"/>
      <c r="AL238" s="80"/>
    </row>
    <row r="239" spans="2:38" ht="15.75" customHeight="1">
      <c r="B239" s="595"/>
      <c r="G239" s="80"/>
      <c r="AH239" s="80"/>
      <c r="AI239" s="80"/>
      <c r="AJ239" s="80"/>
      <c r="AL239" s="80"/>
    </row>
    <row r="240" spans="2:38" ht="15.75" customHeight="1">
      <c r="B240" s="595"/>
      <c r="G240" s="80"/>
      <c r="AH240" s="80"/>
      <c r="AI240" s="80"/>
      <c r="AJ240" s="80"/>
      <c r="AL240" s="80"/>
    </row>
    <row r="241" spans="2:38" ht="15.75" customHeight="1">
      <c r="B241" s="595"/>
      <c r="G241" s="80"/>
      <c r="AH241" s="80"/>
      <c r="AI241" s="80"/>
      <c r="AJ241" s="80"/>
      <c r="AL241" s="80"/>
    </row>
    <row r="242" spans="2:38" ht="15.75" customHeight="1">
      <c r="B242" s="595"/>
      <c r="G242" s="80"/>
      <c r="AH242" s="80"/>
      <c r="AI242" s="80"/>
      <c r="AJ242" s="80"/>
      <c r="AL242" s="80"/>
    </row>
    <row r="243" spans="2:38" ht="15" customHeight="1">
      <c r="B243" s="595"/>
    </row>
    <row r="244" spans="2:38" ht="15" customHeight="1">
      <c r="B244" s="595"/>
    </row>
    <row r="245" spans="2:38" ht="15" customHeight="1">
      <c r="B245" s="595"/>
    </row>
    <row r="246" spans="2:38" ht="15" customHeight="1">
      <c r="B246" s="595"/>
    </row>
    <row r="247" spans="2:38" ht="15" customHeight="1">
      <c r="B247" s="595"/>
    </row>
    <row r="248" spans="2:38" ht="15" customHeight="1">
      <c r="B248" s="595"/>
    </row>
    <row r="249" spans="2:38" ht="15" customHeight="1">
      <c r="B249" s="595"/>
    </row>
  </sheetData>
  <autoFilter ref="A3:AL4" xr:uid="{00000000-0009-0000-0000-000018000000}">
    <sortState xmlns:xlrd2="http://schemas.microsoft.com/office/spreadsheetml/2017/richdata2" ref="A4:AL19">
      <sortCondition ref="A3:A4"/>
    </sortState>
  </autoFilter>
  <pageMargins left="0.7" right="0.7" top="0.75" bottom="0.75" header="0" footer="0"/>
  <pageSetup scale="16" fitToHeight="0" orientation="portrait" horizontalDpi="360" verticalDpi="360" r:id="rId1"/>
  <ignoredErrors>
    <ignoredError sqref="AG93 AG102 AG49 AG46 AI3" formula="1"/>
  </ignoredError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16">
    <tabColor rgb="FF00B050"/>
    <pageSetUpPr fitToPage="1"/>
  </sheetPr>
  <dimension ref="A1:AQ248"/>
  <sheetViews>
    <sheetView showGridLines="0" workbookViewId="0">
      <pane xSplit="1" ySplit="3" topLeftCell="B12" activePane="bottomRight" state="frozen"/>
      <selection pane="topRight" activeCell="B1" sqref="B1"/>
      <selection pane="bottomLeft" activeCell="A4" sqref="A4"/>
      <selection pane="bottomRight" activeCell="E23" sqref="E23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style="773" customWidth="1"/>
    <col min="34" max="34" width="20.33203125" customWidth="1"/>
    <col min="35" max="35" width="14.44140625" customWidth="1"/>
    <col min="36" max="36" width="17.5546875" customWidth="1"/>
    <col min="37" max="37" width="5.109375" customWidth="1"/>
    <col min="38" max="38" width="14.44140625" customWidth="1"/>
    <col min="39" max="40" width="14.44140625" style="762"/>
  </cols>
  <sheetData>
    <row r="1" spans="1:43" ht="15" customHeight="1" thickBot="1">
      <c r="D1" s="845"/>
      <c r="F1" s="79"/>
      <c r="G1" s="80"/>
      <c r="H1" s="81"/>
      <c r="I1" s="843">
        <v>746.87</v>
      </c>
      <c r="AB1" s="83"/>
      <c r="AC1" s="758"/>
      <c r="AD1" s="83"/>
      <c r="AE1" s="83"/>
      <c r="AF1" s="83"/>
      <c r="AG1" s="768" t="s">
        <v>34</v>
      </c>
      <c r="AH1" s="701" t="s">
        <v>1001</v>
      </c>
      <c r="AI1" s="699" t="s">
        <v>36</v>
      </c>
      <c r="AJ1" s="87" t="s">
        <v>37</v>
      </c>
      <c r="AK1" s="88"/>
      <c r="AL1" s="89" t="s">
        <v>38</v>
      </c>
    </row>
    <row r="2" spans="1:43" ht="15" customHeight="1" thickBot="1">
      <c r="D2" s="845"/>
      <c r="G2" s="90"/>
      <c r="H2" s="90"/>
      <c r="I2" s="91">
        <f>SUBTOTAL(9,I4:I9533)</f>
        <v>746.87000000000035</v>
      </c>
      <c r="J2" s="81"/>
      <c r="K2" s="91">
        <f>SUBTOTAL(9,K4:K9533)</f>
        <v>694.49367400000006</v>
      </c>
      <c r="L2" s="93">
        <f>SUMPRODUCT(L5:L364,K5:K364)/K2</f>
        <v>0.26473610756892224</v>
      </c>
      <c r="M2" s="6"/>
      <c r="P2" s="6"/>
      <c r="Q2" s="94">
        <f>+SUMPRODUCT(Q5:Q252,AH5:AH252)/SUM(AH5:AH252)</f>
        <v>89.479231453410151</v>
      </c>
      <c r="R2" s="89">
        <f>+SUMPRODUCT(R5:R252,AH5:AH252)/SUM(AH5:AH252)</f>
        <v>2641.1789801496211</v>
      </c>
      <c r="S2" s="6"/>
      <c r="AB2" s="83"/>
      <c r="AC2" s="1015">
        <f>SUMPRODUCT($AC5:$AC252,$K5:$K252)/SUM($K5:$K252)</f>
        <v>41.572295221599099</v>
      </c>
      <c r="AD2" s="1015">
        <f>SUMPRODUCT($AD5:$AD252,$K5:$K252)/SUM($K5:$K252)</f>
        <v>2.1222010187423601</v>
      </c>
      <c r="AE2" s="1015">
        <f>SUMPRODUCT($AE5:$AE252,$K5:$K252)/SUM($K5:$K252)</f>
        <v>-32.341697293968437</v>
      </c>
      <c r="AF2" s="1015">
        <f>SUMPRODUCT($AF5:$AF252,$K5:$K252)/SUM($K5:$K252)</f>
        <v>-6.2772507486525653</v>
      </c>
      <c r="AG2" s="1012">
        <f>SUMPRODUCT($AG5:$AG252,$K5:$K252)/SUM($K5:$K252)</f>
        <v>33.416716120295384</v>
      </c>
      <c r="AH2" s="702"/>
      <c r="AI2" s="252">
        <v>2617.5</v>
      </c>
      <c r="AJ2" s="98"/>
      <c r="AK2" s="88"/>
      <c r="AL2" s="99"/>
    </row>
    <row r="3" spans="1:43" ht="15" customHeight="1" thickBot="1">
      <c r="A3" s="678" t="s">
        <v>11</v>
      </c>
      <c r="B3" s="678" t="s">
        <v>39</v>
      </c>
      <c r="C3" s="678" t="s">
        <v>40</v>
      </c>
      <c r="D3" s="678" t="s">
        <v>41</v>
      </c>
      <c r="E3" s="678" t="s">
        <v>1025</v>
      </c>
      <c r="F3" s="678" t="s">
        <v>43</v>
      </c>
      <c r="G3" s="679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1013" t="s">
        <v>59</v>
      </c>
      <c r="AD3" s="1014" t="s">
        <v>60</v>
      </c>
      <c r="AE3" s="1014" t="s">
        <v>61</v>
      </c>
      <c r="AF3" s="1014" t="s">
        <v>62</v>
      </c>
      <c r="AG3" s="770" t="s">
        <v>63</v>
      </c>
      <c r="AH3" s="118">
        <f>SUBTOTAL(9,AH5:AH9534)</f>
        <v>5640.3564460945472</v>
      </c>
      <c r="AI3" s="700">
        <f>SUMPRODUCT(K5:K252,AI5:AI252)/K2</f>
        <v>21.137859713346916</v>
      </c>
      <c r="AJ3" s="118">
        <f>SUBTOTAL(9,AJ5:AJ9534)</f>
        <v>5677.9796738281184</v>
      </c>
      <c r="AK3" s="88"/>
      <c r="AL3" s="118">
        <f>SUBTOTAL(9,AL5:AL9534)</f>
        <v>352418.45777176233</v>
      </c>
      <c r="AO3" s="711"/>
    </row>
    <row r="4" spans="1:43" s="677" customFormat="1" ht="15.75" customHeight="1">
      <c r="A4" s="720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4"/>
      <c r="AJ4" s="675"/>
      <c r="AK4" s="676"/>
      <c r="AL4" s="732"/>
      <c r="AM4" s="763"/>
      <c r="AN4" s="763"/>
    </row>
    <row r="5" spans="1:43" s="677" customFormat="1" ht="15.75" customHeight="1">
      <c r="A5" s="991" t="s">
        <v>1058</v>
      </c>
      <c r="B5" s="135"/>
      <c r="C5" s="803" cm="1">
        <v>45595</v>
      </c>
      <c r="D5" t="s">
        <v>230</v>
      </c>
      <c r="E5" s="6">
        <v>20605956905</v>
      </c>
      <c r="F5"/>
      <c r="G5" s="80">
        <v>105</v>
      </c>
      <c r="H5" s="596" t="s">
        <v>108</v>
      </c>
      <c r="I5" s="596">
        <v>6.57</v>
      </c>
      <c r="J5" s="596">
        <v>1.88</v>
      </c>
      <c r="K5" s="138">
        <f t="shared" ref="K5:K36" si="0">+I5-(I5*(J5/100))</f>
        <v>6.4464839999999999</v>
      </c>
      <c r="L5" s="139">
        <v>8.1000000000000003E-2</v>
      </c>
      <c r="M5" s="736">
        <v>7.6999999999999999E-2</v>
      </c>
      <c r="N5" s="159">
        <v>7.6999999999999999E-2</v>
      </c>
      <c r="O5" s="139">
        <f t="shared" ref="O5:O25" si="1">+ROUND((M5+N5)/2,3)</f>
        <v>7.6999999999999999E-2</v>
      </c>
      <c r="P5" s="629">
        <v>90</v>
      </c>
      <c r="Q5" s="597">
        <v>89.52</v>
      </c>
      <c r="R5" s="740">
        <v>2767.8</v>
      </c>
      <c r="S5" s="765">
        <f>IF((90+ROUNDDOWN(O5,1)*100)&lt;95,95,(90+ROUNDDOWN(O5,1)*100))</f>
        <v>95</v>
      </c>
      <c r="T5"/>
      <c r="U5" s="852">
        <v>130</v>
      </c>
      <c r="V5" s="715">
        <v>1.1023000000000001</v>
      </c>
      <c r="W5"/>
      <c r="X5"/>
      <c r="Y5" s="163">
        <v>30</v>
      </c>
      <c r="Z5" s="143">
        <f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 t="shared" ref="AA5:AA36" si="2">+Y5+Z5</f>
        <v>60</v>
      </c>
      <c r="AB5" s="145">
        <f t="shared" ref="AB5:AB36" si="3">+((O5*P5*(R5-U5)/100)-S5-AA5+T5)*V5</f>
        <v>30.643432942000011</v>
      </c>
      <c r="AC5" s="145">
        <f>+(S5-T5)*V5-'data 1'!$F$4</f>
        <v>24.718500000000006</v>
      </c>
      <c r="AD5" s="145">
        <f t="shared" ref="AD5:AD36" si="4">+(Q5-P5)*(R5-U5)*L5*V5/100</f>
        <v>-1.1304931302720096</v>
      </c>
      <c r="AE5" s="145">
        <f t="shared" ref="AE5:AE36" si="5">+(Y5*V5-70)+V5*(Z5-IF(D5="UNTUCA",IF(+((W5-3)*2.5+(X5-3)*3.1)&gt;0,+((W5-3)*1.5+(X5-3)*3.1),0),IF(+((W5-3)*1.5+(X5-3)*3.1)&gt;0,+((W5-3)*1.5+(X5-3)*3.1),0)))</f>
        <v>-3.8619999999999948</v>
      </c>
      <c r="AF5" s="145">
        <f t="shared" ref="AF5:AF36" si="6">(L5-O5)*(R5-U5)*Q5*V5/100</f>
        <v>10.411702162752011</v>
      </c>
      <c r="AG5" s="772">
        <f>+IF(D5="RONALD WILLIAN GARIBAY ESCUDERO",AC5+AD5+AE5+AF5+70,AC5+AD5+AE5+AF5)+70-53</f>
        <v>47.137709032480018</v>
      </c>
      <c r="AH5" s="146">
        <f t="shared" ref="AH5:AH36" si="7">31.1035*L5*Q5*1.1023*K5/100</f>
        <v>16.026440324915004</v>
      </c>
      <c r="AI5" s="156">
        <f t="shared" ref="AI5:AI36" si="8">+((+$AI$2-R5+U5)*L5*Q5*V5)/100</f>
        <v>-1.6225606439280147</v>
      </c>
      <c r="AJ5" s="156">
        <f t="shared" ref="AJ5:AJ36" si="9">31.1035*1.1023*K5*P5*O5/100</f>
        <v>15.316700241019452</v>
      </c>
      <c r="AK5" s="676"/>
      <c r="AL5" s="716">
        <f t="shared" ref="AL5:AL36" si="10">+IF(AB5*K5&gt;0,AB5*K5,0)</f>
        <v>197.54240016567599</v>
      </c>
      <c r="AM5" s="763"/>
      <c r="AN5" s="763"/>
      <c r="AO5" s="596"/>
      <c r="AP5"/>
      <c r="AQ5" s="596"/>
    </row>
    <row r="6" spans="1:43" ht="15.75" customHeight="1">
      <c r="A6" s="991" t="s">
        <v>1059</v>
      </c>
      <c r="B6" s="135"/>
      <c r="C6" s="803" cm="1">
        <v>45595</v>
      </c>
      <c r="D6" t="s">
        <v>230</v>
      </c>
      <c r="E6" s="6">
        <v>20605956905</v>
      </c>
      <c r="G6" s="80">
        <v>87</v>
      </c>
      <c r="H6" s="596" t="s">
        <v>108</v>
      </c>
      <c r="I6" s="596">
        <v>5.3</v>
      </c>
      <c r="J6" s="596">
        <v>5.65</v>
      </c>
      <c r="K6" s="138">
        <f t="shared" si="0"/>
        <v>5.0005499999999996</v>
      </c>
      <c r="L6" s="139">
        <v>6.3E-2</v>
      </c>
      <c r="M6" s="736">
        <v>0.06</v>
      </c>
      <c r="N6" s="159">
        <v>0.06</v>
      </c>
      <c r="O6" s="139">
        <f t="shared" si="1"/>
        <v>0.06</v>
      </c>
      <c r="P6" s="629">
        <v>85</v>
      </c>
      <c r="Q6" s="761">
        <v>89.34</v>
      </c>
      <c r="R6" s="740">
        <v>2767.8</v>
      </c>
      <c r="S6" s="765">
        <f>IF((90+ROUNDDOWN(O6,1)*100)&lt;95,95,(90+ROUNDDOWN(O6,1)*100))</f>
        <v>95</v>
      </c>
      <c r="U6" s="759">
        <v>130</v>
      </c>
      <c r="V6" s="715">
        <v>1.1023000000000001</v>
      </c>
      <c r="Y6" s="163">
        <v>30</v>
      </c>
      <c r="Z6" s="143">
        <f>IF(IF(D6="UNTUCA",IF(+((W6-3)*1.5+(X6-3)*3.1)&gt;0,+((W6-3)*1.5+(X6-3)*3.1),0),IF(+((W6-3)*1.5+(X6-3)*3.1)&gt;0,+((W6-3)*1.5+(X6-3)*3.1),0))&lt;30,30,IF(D6="UNTUCA",IF(+((W6-3)*1.5+(X6-3)*3.1)&gt;0,+((W6-3)*1.5+(X6-3)*3.1),0),IF(+((W6-3)*1.5+(X6-3)*3.1)&gt;0,+((W6-3)*1.5+(X6-3)*3.1),0)))</f>
        <v>30</v>
      </c>
      <c r="AA6" s="144">
        <f t="shared" si="2"/>
        <v>60</v>
      </c>
      <c r="AB6" s="145">
        <f t="shared" si="3"/>
        <v>-22.566506059999988</v>
      </c>
      <c r="AC6" s="145">
        <f>+(S6-T6)*V6-'data 1'!$F$4</f>
        <v>24.718500000000006</v>
      </c>
      <c r="AD6" s="145">
        <f t="shared" si="4"/>
        <v>7.9500882633480083</v>
      </c>
      <c r="AE6" s="145">
        <f t="shared" si="5"/>
        <v>-3.8619999999999948</v>
      </c>
      <c r="AF6" s="145">
        <f t="shared" si="6"/>
        <v>7.7930753285880074</v>
      </c>
      <c r="AG6" s="772">
        <f>+IF(D6="RONALD WILLIAN GARIBAY ESCUDERO",AC6+AD6+AE6+AF6+70,AC6+AD6+AE6+AF6)+70-53</f>
        <v>53.599663591936036</v>
      </c>
      <c r="AH6" s="146">
        <f t="shared" si="7"/>
        <v>9.6496895395199953</v>
      </c>
      <c r="AI6" s="156">
        <f t="shared" si="8"/>
        <v>-1.2594540952980113</v>
      </c>
      <c r="AJ6" s="156">
        <f t="shared" si="9"/>
        <v>8.7437356578848</v>
      </c>
      <c r="AK6" s="676"/>
      <c r="AL6" s="716">
        <f t="shared" si="10"/>
        <v>0</v>
      </c>
      <c r="AO6" s="596"/>
      <c r="AQ6" s="596"/>
    </row>
    <row r="7" spans="1:43" ht="15.75" customHeight="1">
      <c r="A7" s="991" t="s">
        <v>1108</v>
      </c>
      <c r="B7" s="135">
        <v>45615</v>
      </c>
      <c r="C7" s="595">
        <v>45606</v>
      </c>
      <c r="D7" t="s">
        <v>1029</v>
      </c>
      <c r="E7" s="142">
        <v>10421580605</v>
      </c>
      <c r="G7" s="80" t="s">
        <v>68</v>
      </c>
      <c r="H7" t="s">
        <v>69</v>
      </c>
      <c r="I7" s="596">
        <v>33.68</v>
      </c>
      <c r="J7" s="596">
        <v>12.2</v>
      </c>
      <c r="K7" s="138">
        <f t="shared" si="0"/>
        <v>29.57104</v>
      </c>
      <c r="L7" s="139">
        <v>0.14499999999999999</v>
      </c>
      <c r="M7" s="139">
        <v>0.13900000000000001</v>
      </c>
      <c r="N7" s="598">
        <v>0.16700000000000001</v>
      </c>
      <c r="O7" s="139">
        <f t="shared" si="1"/>
        <v>0.153</v>
      </c>
      <c r="P7" s="629">
        <v>90</v>
      </c>
      <c r="Q7" s="760">
        <v>89.66</v>
      </c>
      <c r="R7" s="740">
        <v>2624.75</v>
      </c>
      <c r="S7" s="80">
        <v>85</v>
      </c>
      <c r="U7" s="826">
        <v>90</v>
      </c>
      <c r="V7" s="715">
        <v>1.1023000000000001</v>
      </c>
      <c r="Y7" s="751"/>
      <c r="Z7" s="709">
        <v>15</v>
      </c>
      <c r="AA7" s="144">
        <f t="shared" si="2"/>
        <v>15</v>
      </c>
      <c r="AB7" s="145">
        <f t="shared" si="3"/>
        <v>274.51136317250001</v>
      </c>
      <c r="AC7" s="145">
        <f>+(S7-T7)*V7-'data 1'!$F$4</f>
        <v>13.69550000000001</v>
      </c>
      <c r="AD7" s="145">
        <f t="shared" si="4"/>
        <v>-1.3774690780250141</v>
      </c>
      <c r="AE7" s="145">
        <f t="shared" si="5"/>
        <v>-53.465499999999999</v>
      </c>
      <c r="AF7" s="145">
        <f t="shared" si="6"/>
        <v>-20.041197166040018</v>
      </c>
      <c r="AG7" s="772">
        <f>+IF(D7="RONALD WILLIAN GARIBAY ESCUDERO",AC7+AD7+AE7+AF7+80,AC7+AD7+AE7+AF7)+70-20</f>
        <v>-11.188666244065018</v>
      </c>
      <c r="AH7" s="146">
        <f t="shared" si="7"/>
        <v>131.80819256953941</v>
      </c>
      <c r="AI7" s="156">
        <f t="shared" si="8"/>
        <v>11.858630757274998</v>
      </c>
      <c r="AJ7" s="156">
        <f t="shared" si="9"/>
        <v>139.60777586457331</v>
      </c>
      <c r="AK7" s="88"/>
      <c r="AL7" s="716">
        <f t="shared" si="10"/>
        <v>8117.5865008285245</v>
      </c>
      <c r="AO7" s="596"/>
      <c r="AQ7" s="596"/>
    </row>
    <row r="8" spans="1:43" ht="15.75" customHeight="1">
      <c r="A8" s="991" t="s">
        <v>1112</v>
      </c>
      <c r="B8" s="135">
        <v>45616</v>
      </c>
      <c r="C8" s="595">
        <v>45607</v>
      </c>
      <c r="D8" t="s">
        <v>1152</v>
      </c>
      <c r="E8" s="639">
        <v>20606534923</v>
      </c>
      <c r="F8" t="s">
        <v>354</v>
      </c>
      <c r="G8" s="80">
        <v>150</v>
      </c>
      <c r="H8" t="s">
        <v>108</v>
      </c>
      <c r="I8" s="596">
        <v>12.21</v>
      </c>
      <c r="J8" s="596">
        <v>10.9</v>
      </c>
      <c r="K8" s="138">
        <f t="shared" si="0"/>
        <v>10.879110000000001</v>
      </c>
      <c r="L8" s="139">
        <v>0.23300000000000001</v>
      </c>
      <c r="M8" s="139">
        <v>0.224</v>
      </c>
      <c r="N8" s="159">
        <v>0.224</v>
      </c>
      <c r="O8" s="139">
        <f t="shared" si="1"/>
        <v>0.224</v>
      </c>
      <c r="P8" s="629">
        <v>90</v>
      </c>
      <c r="Q8" s="760">
        <v>89.23</v>
      </c>
      <c r="R8" s="740">
        <v>2624.75</v>
      </c>
      <c r="S8" s="802">
        <v>120</v>
      </c>
      <c r="U8" s="828">
        <v>100</v>
      </c>
      <c r="V8" s="715">
        <v>1.1023000000000001</v>
      </c>
      <c r="Y8" s="163">
        <v>20</v>
      </c>
      <c r="Z8" s="143">
        <f t="shared" ref="Z8:Z13" si="11">IF(IF(D8="UNTUCA",IF(+((W8-3)*1.5+(X8-3)*3.1)&gt;0,+((W8-3)*1.5+(X8-3)*3.1),0),IF(+((W8-3)*1.5+(X8-3)*3.1)&gt;0,+((W8-3)*1.5+(X8-3)*3.1),0))&lt;30,30,IF(D8="UNTUCA",IF(+((W8-3)*1.5+(X8-3)*3.1)&gt;0,+((W8-3)*1.5+(X8-3)*3.1),0),IF(+((W8-3)*1.5+(X8-3)*3.1)&gt;0,+((W8-3)*1.5+(X8-3)*3.1),0)))</f>
        <v>30</v>
      </c>
      <c r="AA8" s="144">
        <f t="shared" si="2"/>
        <v>50</v>
      </c>
      <c r="AB8" s="145">
        <f t="shared" si="3"/>
        <v>373.66823608000004</v>
      </c>
      <c r="AC8" s="145">
        <f>+(S8-T8)*V8-'data 1'!$F$4</f>
        <v>52.27600000000001</v>
      </c>
      <c r="AD8" s="145">
        <f t="shared" si="4"/>
        <v>-4.9930375766424744</v>
      </c>
      <c r="AE8" s="145">
        <f t="shared" si="5"/>
        <v>-14.884999999999998</v>
      </c>
      <c r="AF8" s="145">
        <f t="shared" si="6"/>
        <v>22.349694480097519</v>
      </c>
      <c r="AG8" s="772">
        <f t="shared" ref="AG8:AG13" si="12">+IF(D8="RONALD WILLIAN GARIBAY ESCUDERO",AC8+AD8+AE8+AF8+70,AC8+AD8+AE8+AF8)</f>
        <v>54.747656903455059</v>
      </c>
      <c r="AH8" s="146">
        <f t="shared" si="7"/>
        <v>77.547758878434479</v>
      </c>
      <c r="AI8" s="156">
        <f t="shared" si="8"/>
        <v>21.255950973617502</v>
      </c>
      <c r="AJ8" s="156">
        <f t="shared" si="9"/>
        <v>75.19569281050893</v>
      </c>
      <c r="AK8" s="88"/>
      <c r="AL8" s="716">
        <f t="shared" si="10"/>
        <v>4065.1778438202896</v>
      </c>
      <c r="AO8" s="596"/>
      <c r="AQ8" s="596"/>
    </row>
    <row r="9" spans="1:43" ht="15.75" customHeight="1">
      <c r="A9" s="991" t="s">
        <v>1113</v>
      </c>
      <c r="B9" s="135">
        <v>45616</v>
      </c>
      <c r="C9" s="595">
        <v>45607</v>
      </c>
      <c r="D9" t="s">
        <v>1152</v>
      </c>
      <c r="E9" s="6">
        <v>20606534923</v>
      </c>
      <c r="F9" t="s">
        <v>354</v>
      </c>
      <c r="G9" s="80">
        <v>150</v>
      </c>
      <c r="H9" t="s">
        <v>108</v>
      </c>
      <c r="I9" s="596">
        <v>12.44</v>
      </c>
      <c r="J9" s="596">
        <v>8.1999999999999993</v>
      </c>
      <c r="K9" s="138">
        <f t="shared" si="0"/>
        <v>11.419919999999999</v>
      </c>
      <c r="L9" s="139">
        <v>0.24199999999999999</v>
      </c>
      <c r="M9" s="139">
        <v>0.23200000000000001</v>
      </c>
      <c r="N9" s="598">
        <v>0.25600000000000001</v>
      </c>
      <c r="O9" s="139">
        <f t="shared" si="1"/>
        <v>0.24399999999999999</v>
      </c>
      <c r="P9" s="629">
        <v>90</v>
      </c>
      <c r="Q9" s="760">
        <v>89.55</v>
      </c>
      <c r="R9" s="740">
        <v>2624.75</v>
      </c>
      <c r="S9" s="802">
        <v>120</v>
      </c>
      <c r="U9" s="828">
        <v>100</v>
      </c>
      <c r="V9" s="715">
        <v>1.1023000000000001</v>
      </c>
      <c r="Y9" s="163">
        <v>20</v>
      </c>
      <c r="Z9" s="143">
        <f t="shared" si="11"/>
        <v>30</v>
      </c>
      <c r="AA9" s="144">
        <f t="shared" si="2"/>
        <v>50</v>
      </c>
      <c r="AB9" s="145">
        <f t="shared" si="3"/>
        <v>423.76281073000007</v>
      </c>
      <c r="AC9" s="145">
        <f>+(S9-T9)*V9-'data 1'!$F$4</f>
        <v>52.27600000000001</v>
      </c>
      <c r="AD9" s="145">
        <f t="shared" si="4"/>
        <v>-3.0307217663250183</v>
      </c>
      <c r="AE9" s="145">
        <f t="shared" si="5"/>
        <v>-14.884999999999998</v>
      </c>
      <c r="AF9" s="145">
        <f t="shared" si="6"/>
        <v>-4.9844101776750049</v>
      </c>
      <c r="AG9" s="772">
        <f t="shared" si="12"/>
        <v>29.375868055999991</v>
      </c>
      <c r="AH9" s="146">
        <f t="shared" si="7"/>
        <v>84.85024233155616</v>
      </c>
      <c r="AI9" s="156">
        <f t="shared" si="8"/>
        <v>22.156169649075</v>
      </c>
      <c r="AJ9" s="156">
        <f t="shared" si="9"/>
        <v>85.981390958510332</v>
      </c>
      <c r="AK9" s="88"/>
      <c r="AL9" s="716">
        <f t="shared" si="10"/>
        <v>4839.337397511742</v>
      </c>
      <c r="AO9" s="596"/>
      <c r="AQ9" s="596"/>
    </row>
    <row r="10" spans="1:43" ht="15.75" customHeight="1">
      <c r="A10" s="991" t="s">
        <v>1114</v>
      </c>
      <c r="B10" s="135">
        <v>45616</v>
      </c>
      <c r="C10" s="595">
        <v>45607</v>
      </c>
      <c r="D10" t="s">
        <v>1152</v>
      </c>
      <c r="E10" s="6">
        <v>20606534923</v>
      </c>
      <c r="F10" t="s">
        <v>354</v>
      </c>
      <c r="G10" s="80">
        <v>150</v>
      </c>
      <c r="H10" t="s">
        <v>108</v>
      </c>
      <c r="I10" s="596">
        <v>11.85</v>
      </c>
      <c r="J10" s="596">
        <v>9.1999999999999993</v>
      </c>
      <c r="K10" s="138">
        <f t="shared" si="0"/>
        <v>10.7598</v>
      </c>
      <c r="L10" s="139">
        <v>0.17</v>
      </c>
      <c r="M10" s="139">
        <v>0.16300000000000001</v>
      </c>
      <c r="N10" s="598">
        <v>0.20499999999999999</v>
      </c>
      <c r="O10" s="139">
        <f t="shared" si="1"/>
        <v>0.184</v>
      </c>
      <c r="P10" s="629">
        <v>90</v>
      </c>
      <c r="Q10" s="760">
        <v>89.42</v>
      </c>
      <c r="R10" s="740">
        <v>2624.75</v>
      </c>
      <c r="S10" s="802">
        <v>120</v>
      </c>
      <c r="U10" s="828">
        <v>100</v>
      </c>
      <c r="V10" s="715">
        <v>1.1023000000000001</v>
      </c>
      <c r="Y10" s="163">
        <v>20</v>
      </c>
      <c r="Z10" s="143">
        <f t="shared" si="11"/>
        <v>30</v>
      </c>
      <c r="AA10" s="144">
        <f t="shared" si="2"/>
        <v>50</v>
      </c>
      <c r="AB10" s="145">
        <f t="shared" si="3"/>
        <v>273.47908677999993</v>
      </c>
      <c r="AC10" s="145">
        <f>+(S10-T10)*V10-'data 1'!$F$4</f>
        <v>52.27600000000001</v>
      </c>
      <c r="AD10" s="145">
        <f t="shared" si="4"/>
        <v>-2.7440694780499921</v>
      </c>
      <c r="AE10" s="145">
        <f t="shared" si="5"/>
        <v>-14.884999999999998</v>
      </c>
      <c r="AF10" s="145">
        <f t="shared" si="6"/>
        <v>-34.840220062689966</v>
      </c>
      <c r="AG10" s="772">
        <f t="shared" si="12"/>
        <v>-0.19328954073994709</v>
      </c>
      <c r="AH10" s="146">
        <f t="shared" si="7"/>
        <v>56.078560242596062</v>
      </c>
      <c r="AI10" s="156">
        <f t="shared" si="8"/>
        <v>15.541656736550003</v>
      </c>
      <c r="AJ10" s="156">
        <f t="shared" si="9"/>
        <v>61.090488877168589</v>
      </c>
      <c r="AK10" s="88"/>
      <c r="AL10" s="716">
        <f t="shared" si="10"/>
        <v>2942.5802779354435</v>
      </c>
      <c r="AO10" s="596"/>
      <c r="AQ10" s="596"/>
    </row>
    <row r="11" spans="1:43" ht="15.75" customHeight="1">
      <c r="A11" s="991" t="s">
        <v>1115</v>
      </c>
      <c r="B11" s="135">
        <v>45616</v>
      </c>
      <c r="C11" s="595">
        <v>45607</v>
      </c>
      <c r="D11" t="s">
        <v>1152</v>
      </c>
      <c r="E11" s="6">
        <v>20606534923</v>
      </c>
      <c r="F11" t="s">
        <v>354</v>
      </c>
      <c r="G11" s="80">
        <v>150</v>
      </c>
      <c r="H11" t="s">
        <v>108</v>
      </c>
      <c r="I11" s="596">
        <v>12.09</v>
      </c>
      <c r="J11" s="596">
        <v>9.3000000000000007</v>
      </c>
      <c r="K11" s="138">
        <f t="shared" si="0"/>
        <v>10.965629999999999</v>
      </c>
      <c r="L11" s="139">
        <v>0.20699999999999999</v>
      </c>
      <c r="M11" s="139">
        <v>0.19900000000000001</v>
      </c>
      <c r="N11" s="598">
        <v>0.224</v>
      </c>
      <c r="O11" s="139">
        <f t="shared" si="1"/>
        <v>0.21199999999999999</v>
      </c>
      <c r="P11" s="629">
        <v>90</v>
      </c>
      <c r="Q11" s="760">
        <v>89.33</v>
      </c>
      <c r="R11" s="740">
        <v>2624.75</v>
      </c>
      <c r="S11" s="802">
        <v>120</v>
      </c>
      <c r="U11" s="828">
        <v>100</v>
      </c>
      <c r="V11" s="715">
        <v>1.1023000000000001</v>
      </c>
      <c r="Y11" s="163">
        <v>20</v>
      </c>
      <c r="Z11" s="143">
        <f t="shared" si="11"/>
        <v>30</v>
      </c>
      <c r="AA11" s="144">
        <f t="shared" si="2"/>
        <v>50</v>
      </c>
      <c r="AB11" s="145">
        <f t="shared" si="3"/>
        <v>343.61149129</v>
      </c>
      <c r="AC11" s="145">
        <f>+(S11-T11)*V11-'data 1'!$F$4</f>
        <v>52.27600000000001</v>
      </c>
      <c r="AD11" s="145">
        <f t="shared" si="4"/>
        <v>-3.8597869767825097</v>
      </c>
      <c r="AE11" s="145">
        <f t="shared" si="5"/>
        <v>-14.884999999999998</v>
      </c>
      <c r="AF11" s="145">
        <f t="shared" si="6"/>
        <v>-12.43041209301251</v>
      </c>
      <c r="AG11" s="772">
        <f t="shared" si="12"/>
        <v>21.100800930204993</v>
      </c>
      <c r="AH11" s="146">
        <f t="shared" si="7"/>
        <v>69.520091755652089</v>
      </c>
      <c r="AI11" s="156">
        <f t="shared" si="8"/>
        <v>18.905205614557499</v>
      </c>
      <c r="AJ11" s="156">
        <f t="shared" si="9"/>
        <v>71.733335858727258</v>
      </c>
      <c r="AK11" s="88"/>
      <c r="AL11" s="716">
        <f t="shared" si="10"/>
        <v>3767.9164772343624</v>
      </c>
      <c r="AO11" s="596"/>
      <c r="AQ11" s="596"/>
    </row>
    <row r="12" spans="1:43" ht="15.75" customHeight="1">
      <c r="A12" s="991" t="s">
        <v>1116</v>
      </c>
      <c r="B12" s="135">
        <v>45616</v>
      </c>
      <c r="C12" s="595">
        <v>45607</v>
      </c>
      <c r="D12" t="s">
        <v>1152</v>
      </c>
      <c r="E12" s="6">
        <v>20606534923</v>
      </c>
      <c r="F12" t="s">
        <v>354</v>
      </c>
      <c r="G12" s="80">
        <v>150</v>
      </c>
      <c r="H12" t="s">
        <v>108</v>
      </c>
      <c r="I12" s="596">
        <v>13.51</v>
      </c>
      <c r="J12" s="596">
        <v>19.2</v>
      </c>
      <c r="K12" s="138">
        <f t="shared" si="0"/>
        <v>10.916079999999999</v>
      </c>
      <c r="L12" s="139">
        <v>0.20599999999999999</v>
      </c>
      <c r="M12" s="139">
        <v>0.19800000000000001</v>
      </c>
      <c r="N12" s="598">
        <v>0.219</v>
      </c>
      <c r="O12" s="139">
        <f t="shared" si="1"/>
        <v>0.20899999999999999</v>
      </c>
      <c r="P12" s="629">
        <v>90</v>
      </c>
      <c r="Q12" s="760">
        <v>89.74</v>
      </c>
      <c r="R12" s="740">
        <v>2624.75</v>
      </c>
      <c r="S12" s="802">
        <v>120</v>
      </c>
      <c r="U12" s="828">
        <v>100</v>
      </c>
      <c r="V12" s="715">
        <v>1.1023000000000001</v>
      </c>
      <c r="Y12" s="163">
        <v>20</v>
      </c>
      <c r="Z12" s="143">
        <f t="shared" si="11"/>
        <v>30</v>
      </c>
      <c r="AA12" s="144">
        <f t="shared" si="2"/>
        <v>50</v>
      </c>
      <c r="AB12" s="145">
        <f t="shared" si="3"/>
        <v>336.09730509249994</v>
      </c>
      <c r="AC12" s="145">
        <f>+(S12-T12)*V12-'data 1'!$F$4</f>
        <v>52.27600000000001</v>
      </c>
      <c r="AD12" s="145">
        <f t="shared" si="4"/>
        <v>-1.4905918990300293</v>
      </c>
      <c r="AE12" s="145">
        <f t="shared" si="5"/>
        <v>-14.884999999999998</v>
      </c>
      <c r="AF12" s="145">
        <f t="shared" si="6"/>
        <v>-7.4924785484850052</v>
      </c>
      <c r="AG12" s="772">
        <f t="shared" si="12"/>
        <v>28.40792955248498</v>
      </c>
      <c r="AH12" s="146">
        <f t="shared" si="7"/>
        <v>69.187727242736898</v>
      </c>
      <c r="AI12" s="156">
        <f t="shared" si="8"/>
        <v>18.900226608129998</v>
      </c>
      <c r="AJ12" s="156">
        <f t="shared" si="9"/>
        <v>70.398689495429153</v>
      </c>
      <c r="AK12" s="88"/>
      <c r="AL12" s="716">
        <f t="shared" si="10"/>
        <v>3668.8650701741362</v>
      </c>
      <c r="AO12" s="596"/>
      <c r="AQ12" s="596"/>
    </row>
    <row r="13" spans="1:43" ht="15.75" customHeight="1">
      <c r="A13" s="991" t="s">
        <v>1117</v>
      </c>
      <c r="B13" s="135">
        <v>45616</v>
      </c>
      <c r="C13" s="595">
        <v>45607</v>
      </c>
      <c r="D13" t="s">
        <v>1152</v>
      </c>
      <c r="E13" s="6">
        <v>20606534923</v>
      </c>
      <c r="F13" t="s">
        <v>354</v>
      </c>
      <c r="G13" s="80">
        <v>150</v>
      </c>
      <c r="H13" t="s">
        <v>108</v>
      </c>
      <c r="I13" s="596">
        <v>11.1</v>
      </c>
      <c r="J13" s="596">
        <v>9.6999999999999993</v>
      </c>
      <c r="K13" s="138">
        <f t="shared" si="0"/>
        <v>10.023299999999999</v>
      </c>
      <c r="L13" s="139">
        <v>0.19</v>
      </c>
      <c r="M13" s="139">
        <v>0.182</v>
      </c>
      <c r="N13" s="598">
        <v>0.193</v>
      </c>
      <c r="O13" s="736">
        <f t="shared" si="1"/>
        <v>0.188</v>
      </c>
      <c r="P13" s="629">
        <v>90</v>
      </c>
      <c r="Q13" s="760">
        <v>89.25</v>
      </c>
      <c r="R13" s="740">
        <v>2624.75</v>
      </c>
      <c r="S13" s="802">
        <v>120</v>
      </c>
      <c r="U13" s="828">
        <v>100</v>
      </c>
      <c r="V13" s="715">
        <v>1.1023000000000001</v>
      </c>
      <c r="Y13" s="163">
        <v>20</v>
      </c>
      <c r="Z13" s="143">
        <f t="shared" si="11"/>
        <v>30</v>
      </c>
      <c r="AA13" s="144">
        <f t="shared" si="2"/>
        <v>50</v>
      </c>
      <c r="AB13" s="145">
        <f t="shared" si="3"/>
        <v>283.4980017100001</v>
      </c>
      <c r="AC13" s="145">
        <f>+(S13-T13)*V13-'data 1'!$F$4</f>
        <v>52.27600000000001</v>
      </c>
      <c r="AD13" s="145">
        <f t="shared" si="4"/>
        <v>-3.9658204931250003</v>
      </c>
      <c r="AE13" s="145">
        <f t="shared" si="5"/>
        <v>-14.884999999999998</v>
      </c>
      <c r="AF13" s="145">
        <f t="shared" si="6"/>
        <v>4.9677119861250043</v>
      </c>
      <c r="AG13" s="772">
        <f t="shared" si="12"/>
        <v>38.392891493000015</v>
      </c>
      <c r="AH13" s="146">
        <f t="shared" si="7"/>
        <v>58.274911696798384</v>
      </c>
      <c r="AI13" s="156">
        <f t="shared" si="8"/>
        <v>17.337063961875</v>
      </c>
      <c r="AJ13" s="156">
        <f t="shared" si="9"/>
        <v>58.146041923032797</v>
      </c>
      <c r="AK13" s="88"/>
      <c r="AL13" s="716">
        <f t="shared" si="10"/>
        <v>2841.5855205398439</v>
      </c>
      <c r="AO13" s="596"/>
      <c r="AQ13" s="596"/>
    </row>
    <row r="14" spans="1:43" ht="15.75" customHeight="1">
      <c r="A14" s="991" t="s">
        <v>1119</v>
      </c>
      <c r="B14" s="135">
        <v>45616</v>
      </c>
      <c r="C14" s="595">
        <v>45608</v>
      </c>
      <c r="D14" t="s">
        <v>1048</v>
      </c>
      <c r="E14" s="614">
        <v>20611424541</v>
      </c>
      <c r="G14" s="80" t="s">
        <v>68</v>
      </c>
      <c r="H14" t="s">
        <v>69</v>
      </c>
      <c r="I14" s="596">
        <v>10.39</v>
      </c>
      <c r="J14" s="596">
        <v>2</v>
      </c>
      <c r="K14" s="138">
        <f t="shared" si="0"/>
        <v>10.1822</v>
      </c>
      <c r="L14" s="139">
        <v>0.25800000000000001</v>
      </c>
      <c r="M14" s="139">
        <v>0.248</v>
      </c>
      <c r="N14" s="159">
        <v>0.248</v>
      </c>
      <c r="O14" s="139">
        <f t="shared" si="1"/>
        <v>0.248</v>
      </c>
      <c r="P14" s="629">
        <v>90</v>
      </c>
      <c r="Q14" s="760">
        <v>89.29</v>
      </c>
      <c r="R14" s="706">
        <v>2606.85</v>
      </c>
      <c r="S14" s="842">
        <f>-8+95</f>
        <v>87</v>
      </c>
      <c r="U14" s="828">
        <v>80</v>
      </c>
      <c r="V14" s="715">
        <v>1.1023000000000001</v>
      </c>
      <c r="Y14" s="751"/>
      <c r="Z14" s="709">
        <v>22</v>
      </c>
      <c r="AA14" s="144">
        <f t="shared" si="2"/>
        <v>22</v>
      </c>
      <c r="AB14" s="145">
        <f t="shared" si="3"/>
        <v>501.53869571600006</v>
      </c>
      <c r="AC14" s="145">
        <f>+(S14-T14)*V14-'data 1'!$F$4</f>
        <v>15.900100000000009</v>
      </c>
      <c r="AD14" s="145">
        <f t="shared" si="4"/>
        <v>-5.1021981858089553</v>
      </c>
      <c r="AE14" s="145">
        <f t="shared" si="5"/>
        <v>-45.749399999999994</v>
      </c>
      <c r="AF14" s="145">
        <f t="shared" si="6"/>
        <v>24.870361175395022</v>
      </c>
      <c r="AG14" s="772">
        <f>+IF(D14="RONALD WILLIAN GARIBAY ESCUDERO",AC14+AD14+AE14+AF14+70,AC14+AD14+AE14+AF14)+70+8</f>
        <v>67.918862989586074</v>
      </c>
      <c r="AH14" s="146">
        <f t="shared" si="7"/>
        <v>80.421694856337538</v>
      </c>
      <c r="AI14" s="156">
        <f t="shared" si="8"/>
        <v>23.019195680859028</v>
      </c>
      <c r="AJ14" s="156">
        <f t="shared" si="9"/>
        <v>77.919271374844868</v>
      </c>
      <c r="AK14" s="88"/>
      <c r="AL14" s="716">
        <f t="shared" si="10"/>
        <v>5106.7673075194562</v>
      </c>
      <c r="AO14" s="596"/>
      <c r="AQ14" s="596"/>
    </row>
    <row r="15" spans="1:43" ht="15.75" customHeight="1">
      <c r="A15" s="991" t="s">
        <v>1139</v>
      </c>
      <c r="B15" s="823">
        <v>45609</v>
      </c>
      <c r="C15" s="822">
        <v>45609</v>
      </c>
      <c r="D15" s="821" t="s">
        <v>66</v>
      </c>
      <c r="E15" s="844">
        <v>10457401928</v>
      </c>
      <c r="F15" s="863" t="s">
        <v>1220</v>
      </c>
      <c r="G15" s="713">
        <v>36</v>
      </c>
      <c r="H15" s="596" t="s">
        <v>69</v>
      </c>
      <c r="I15" s="596">
        <v>2.89</v>
      </c>
      <c r="J15" s="596">
        <v>9.32</v>
      </c>
      <c r="K15" s="138">
        <f t="shared" si="0"/>
        <v>2.6206520000000002</v>
      </c>
      <c r="L15" s="714">
        <v>0.14450000000000002</v>
      </c>
      <c r="M15" s="714">
        <v>0.13872000000000001</v>
      </c>
      <c r="N15" s="719">
        <v>0.13872000000000001</v>
      </c>
      <c r="O15" s="714">
        <f t="shared" si="1"/>
        <v>0.13900000000000001</v>
      </c>
      <c r="P15" s="753">
        <v>85</v>
      </c>
      <c r="Q15" s="610">
        <v>89.31</v>
      </c>
      <c r="R15" s="754">
        <v>2742.6</v>
      </c>
      <c r="S15" s="713">
        <v>105</v>
      </c>
      <c r="T15" s="677"/>
      <c r="U15" s="864">
        <v>130</v>
      </c>
      <c r="V15" s="715">
        <v>1.1023000000000001</v>
      </c>
      <c r="W15" s="677"/>
      <c r="X15" s="677"/>
      <c r="Y15" s="751">
        <v>15</v>
      </c>
      <c r="Z15" s="143">
        <f t="shared" ref="Z15:Z20" si="13">IF(IF(D15="UNTUCA",IF(+((W15-3)*1.5+(X15-3)*3.1)&gt;0,+((W15-3)*1.5+(X15-3)*3.1),0),IF(+((W15-3)*1.5+(X15-3)*3.1)&gt;0,+((W15-3)*1.5+(X15-3)*3.1),0))&lt;30,30,IF(D15="UNTUCA",IF(+((W15-3)*1.5+(X15-3)*3.1)&gt;0,+((W15-3)*1.5+(X15-3)*3.1),0),IF(+((W15-3)*1.5+(X15-3)*3.1)&gt;0,+((W15-3)*1.5+(X15-3)*3.1),0)))</f>
        <v>30</v>
      </c>
      <c r="AA15" s="144">
        <f t="shared" si="2"/>
        <v>45</v>
      </c>
      <c r="AB15" s="145">
        <f t="shared" si="3"/>
        <v>174.91151998700002</v>
      </c>
      <c r="AC15" s="145">
        <f>+(S15-T15)*V15-'data 1'!$F$4</f>
        <v>35.741500000000002</v>
      </c>
      <c r="AD15" s="145">
        <f t="shared" si="4"/>
        <v>17.935680013991011</v>
      </c>
      <c r="AE15" s="145">
        <f t="shared" si="5"/>
        <v>-20.396499999999996</v>
      </c>
      <c r="AF15" s="145">
        <f t="shared" si="6"/>
        <v>14.146060423209013</v>
      </c>
      <c r="AG15" s="772">
        <f t="shared" ref="AG15:AG20" si="14">+IF(D15="RONALD WILLIAN GARIBAY ESCUDERO",AC15+AD15+AE15+AF15+70,AC15+AD15+AE15+AF15)</f>
        <v>47.426740437200031</v>
      </c>
      <c r="AH15" s="146">
        <f t="shared" si="7"/>
        <v>11.595416689804066</v>
      </c>
      <c r="AI15" s="156">
        <f t="shared" si="8"/>
        <v>0.69704982724651321</v>
      </c>
      <c r="AJ15" s="156">
        <f t="shared" si="9"/>
        <v>10.61578586076762</v>
      </c>
      <c r="AK15" s="676"/>
      <c r="AL15" s="716">
        <f t="shared" si="10"/>
        <v>458.38222467697159</v>
      </c>
    </row>
    <row r="16" spans="1:43" ht="15.75" customHeight="1">
      <c r="A16" s="991" t="s">
        <v>1141</v>
      </c>
      <c r="B16" s="823">
        <v>45609</v>
      </c>
      <c r="C16" s="822">
        <v>45608</v>
      </c>
      <c r="D16" s="821" t="s">
        <v>66</v>
      </c>
      <c r="E16" s="844">
        <v>10457401928</v>
      </c>
      <c r="F16" s="825" t="s">
        <v>1164</v>
      </c>
      <c r="G16" s="80">
        <v>28</v>
      </c>
      <c r="H16" s="596" t="s">
        <v>69</v>
      </c>
      <c r="I16" s="596">
        <v>2.16</v>
      </c>
      <c r="J16" s="596">
        <v>5.65</v>
      </c>
      <c r="K16" s="138">
        <f t="shared" si="0"/>
        <v>2.03796</v>
      </c>
      <c r="L16" s="139">
        <v>0.47499999999999998</v>
      </c>
      <c r="M16" s="139">
        <v>0.45599999999999996</v>
      </c>
      <c r="N16" s="598">
        <v>0.48699999999999999</v>
      </c>
      <c r="O16" s="139">
        <f t="shared" si="1"/>
        <v>0.47199999999999998</v>
      </c>
      <c r="P16" s="629">
        <v>90</v>
      </c>
      <c r="Q16" s="760">
        <v>89.26</v>
      </c>
      <c r="R16" s="740">
        <v>2742.6</v>
      </c>
      <c r="S16" s="765">
        <f>IF((90+ROUNDDOWN(O16,1)*100)&lt;95,95,(90+ROUNDDOWN(O16,1)*100))</f>
        <v>130</v>
      </c>
      <c r="U16" s="767">
        <v>130</v>
      </c>
      <c r="V16" s="715">
        <v>1.1023000000000001</v>
      </c>
      <c r="Y16" s="163">
        <v>30</v>
      </c>
      <c r="Z16" s="143">
        <f t="shared" si="13"/>
        <v>30</v>
      </c>
      <c r="AA16" s="144">
        <f t="shared" si="2"/>
        <v>60</v>
      </c>
      <c r="AB16" s="145">
        <f t="shared" si="3"/>
        <v>1013.9313427040001</v>
      </c>
      <c r="AC16" s="145">
        <f>+(S16-T16)*V16-'data 1'!$F$4</f>
        <v>63.299000000000007</v>
      </c>
      <c r="AD16" s="145">
        <f t="shared" si="4"/>
        <v>-10.122739464699929</v>
      </c>
      <c r="AE16" s="145">
        <f t="shared" si="5"/>
        <v>-3.8619999999999948</v>
      </c>
      <c r="AF16" s="145">
        <f t="shared" si="6"/>
        <v>7.7117131546440065</v>
      </c>
      <c r="AG16" s="772">
        <f t="shared" si="14"/>
        <v>57.025973689944088</v>
      </c>
      <c r="AH16" s="146">
        <f t="shared" si="7"/>
        <v>29.624785674738817</v>
      </c>
      <c r="AI16" s="156">
        <f t="shared" si="8"/>
        <v>2.2900574609500426</v>
      </c>
      <c r="AJ16" s="156">
        <f t="shared" si="9"/>
        <v>29.681731558024577</v>
      </c>
      <c r="AK16" s="676"/>
      <c r="AL16" s="716">
        <f t="shared" si="10"/>
        <v>2066.3515191770443</v>
      </c>
    </row>
    <row r="17" spans="1:38" ht="15.75" customHeight="1">
      <c r="A17" s="991" t="s">
        <v>1142</v>
      </c>
      <c r="B17" s="823">
        <v>45609</v>
      </c>
      <c r="C17" s="822">
        <v>45608</v>
      </c>
      <c r="D17" s="821" t="s">
        <v>66</v>
      </c>
      <c r="E17" s="844">
        <v>10457401928</v>
      </c>
      <c r="F17" s="825" t="s">
        <v>1165</v>
      </c>
      <c r="G17" s="80">
        <v>83</v>
      </c>
      <c r="H17" s="596" t="s">
        <v>69</v>
      </c>
      <c r="I17" s="596">
        <v>6.73</v>
      </c>
      <c r="J17" s="596">
        <v>4.55</v>
      </c>
      <c r="K17" s="138">
        <f t="shared" si="0"/>
        <v>6.4237850000000005</v>
      </c>
      <c r="L17" s="139">
        <v>0.33900000000000002</v>
      </c>
      <c r="M17" s="139">
        <v>0.32544000000000001</v>
      </c>
      <c r="N17" s="598">
        <v>0.36899999999999999</v>
      </c>
      <c r="O17" s="139">
        <f t="shared" si="1"/>
        <v>0.34699999999999998</v>
      </c>
      <c r="P17" s="629">
        <v>90</v>
      </c>
      <c r="Q17" s="760">
        <v>89.74</v>
      </c>
      <c r="R17" s="740">
        <v>2742.6</v>
      </c>
      <c r="S17" s="765">
        <f>IF((90+ROUNDDOWN(O17,1)*100)&lt;95,95,(90+ROUNDDOWN(O17,1)*100))</f>
        <v>120</v>
      </c>
      <c r="U17" s="767">
        <v>130</v>
      </c>
      <c r="V17" s="715">
        <v>1.1023000000000001</v>
      </c>
      <c r="Y17" s="163">
        <v>30</v>
      </c>
      <c r="Z17" s="143">
        <f t="shared" si="13"/>
        <v>30</v>
      </c>
      <c r="AA17" s="144">
        <f t="shared" si="2"/>
        <v>60</v>
      </c>
      <c r="AB17" s="145">
        <f t="shared" si="3"/>
        <v>700.96908245399993</v>
      </c>
      <c r="AC17" s="145">
        <f>+(S17-T17)*V17-'data 1'!$F$4</f>
        <v>52.27600000000001</v>
      </c>
      <c r="AD17" s="145">
        <f t="shared" si="4"/>
        <v>-2.5383165189720502</v>
      </c>
      <c r="AE17" s="145">
        <f t="shared" si="5"/>
        <v>-3.8619999999999948</v>
      </c>
      <c r="AF17" s="145">
        <f t="shared" si="6"/>
        <v>-20.675155381215873</v>
      </c>
      <c r="AG17" s="772">
        <f t="shared" si="14"/>
        <v>25.20052809981209</v>
      </c>
      <c r="AH17" s="146">
        <f t="shared" si="7"/>
        <v>67.001701181108245</v>
      </c>
      <c r="AI17" s="156">
        <f t="shared" si="8"/>
        <v>1.6431667976220306</v>
      </c>
      <c r="AJ17" s="156">
        <f t="shared" si="9"/>
        <v>68.781564568570445</v>
      </c>
      <c r="AK17" s="676"/>
      <c r="AL17" s="716">
        <f t="shared" si="10"/>
        <v>4502.874677331768</v>
      </c>
    </row>
    <row r="18" spans="1:38" ht="15.75" customHeight="1">
      <c r="A18" s="991" t="s">
        <v>1143</v>
      </c>
      <c r="B18" s="823">
        <v>45609</v>
      </c>
      <c r="C18" s="822">
        <v>45608</v>
      </c>
      <c r="D18" s="821" t="s">
        <v>66</v>
      </c>
      <c r="E18" s="844">
        <v>10457401928</v>
      </c>
      <c r="F18" s="825" t="s">
        <v>1166</v>
      </c>
      <c r="G18" s="80">
        <v>78</v>
      </c>
      <c r="H18" s="596" t="s">
        <v>69</v>
      </c>
      <c r="I18" s="596">
        <v>5.73</v>
      </c>
      <c r="J18" s="596">
        <v>4.7</v>
      </c>
      <c r="K18" s="138">
        <f t="shared" si="0"/>
        <v>5.4606900000000005</v>
      </c>
      <c r="L18" s="139">
        <v>0.20950000000000002</v>
      </c>
      <c r="M18" s="139">
        <v>0.20112000000000002</v>
      </c>
      <c r="N18" s="598">
        <v>0.26700000000000002</v>
      </c>
      <c r="O18" s="139">
        <f t="shared" si="1"/>
        <v>0.23400000000000001</v>
      </c>
      <c r="P18" s="629">
        <v>90</v>
      </c>
      <c r="Q18" s="760">
        <v>89.61</v>
      </c>
      <c r="R18" s="740">
        <v>2742.6</v>
      </c>
      <c r="S18" s="765">
        <f>IF((90+ROUNDDOWN(O18,1)*100)&lt;95,95,(90+ROUNDDOWN(O18,1)*100))</f>
        <v>110</v>
      </c>
      <c r="U18" s="767">
        <v>130</v>
      </c>
      <c r="V18" s="715">
        <v>1.1023000000000001</v>
      </c>
      <c r="Y18" s="163">
        <v>45</v>
      </c>
      <c r="Z18" s="143">
        <f t="shared" si="13"/>
        <v>30</v>
      </c>
      <c r="AA18" s="144">
        <f t="shared" si="2"/>
        <v>75</v>
      </c>
      <c r="AB18" s="145">
        <f t="shared" si="3"/>
        <v>402.57490718800005</v>
      </c>
      <c r="AC18" s="145">
        <f>+(S18-T18)*V18-'data 1'!$F$4</f>
        <v>41.253</v>
      </c>
      <c r="AD18" s="145">
        <f t="shared" si="4"/>
        <v>-2.352996950109004</v>
      </c>
      <c r="AE18" s="145">
        <f t="shared" si="5"/>
        <v>12.672500000000007</v>
      </c>
      <c r="AF18" s="145">
        <f t="shared" si="6"/>
        <v>-63.225939527960982</v>
      </c>
      <c r="AG18" s="772">
        <f t="shared" si="14"/>
        <v>-11.653436478069978</v>
      </c>
      <c r="AH18" s="146">
        <f t="shared" si="7"/>
        <v>35.147715024203983</v>
      </c>
      <c r="AI18" s="156">
        <f t="shared" si="8"/>
        <v>1.0139963508465188</v>
      </c>
      <c r="AJ18" s="156">
        <f t="shared" si="9"/>
        <v>39.428927016260907</v>
      </c>
      <c r="AK18" s="676"/>
      <c r="AL18" s="716">
        <f t="shared" si="10"/>
        <v>2198.3367699324403</v>
      </c>
    </row>
    <row r="19" spans="1:38" ht="15.75" customHeight="1">
      <c r="A19" s="857" t="s">
        <v>1144</v>
      </c>
      <c r="B19" s="823">
        <v>45609</v>
      </c>
      <c r="C19" s="822">
        <v>45609</v>
      </c>
      <c r="D19" s="821" t="s">
        <v>66</v>
      </c>
      <c r="E19" s="844">
        <v>10457401928</v>
      </c>
      <c r="F19">
        <v>671</v>
      </c>
      <c r="G19" s="80" t="s">
        <v>68</v>
      </c>
      <c r="H19" s="596" t="s">
        <v>69</v>
      </c>
      <c r="I19" s="596">
        <v>34.68</v>
      </c>
      <c r="J19" s="596">
        <v>3.45</v>
      </c>
      <c r="K19" s="138">
        <f t="shared" si="0"/>
        <v>33.483539999999998</v>
      </c>
      <c r="L19" s="139">
        <v>0.15550000000000003</v>
      </c>
      <c r="M19" s="139">
        <v>0.14928000000000002</v>
      </c>
      <c r="N19" s="159">
        <v>0.15</v>
      </c>
      <c r="O19" s="139">
        <f t="shared" si="1"/>
        <v>0.15</v>
      </c>
      <c r="P19" s="629">
        <v>85</v>
      </c>
      <c r="Q19" s="760">
        <v>89.63</v>
      </c>
      <c r="R19" s="740">
        <v>2742.55</v>
      </c>
      <c r="S19" s="765">
        <f>IF((90+ROUNDDOWN(O19,1)*100)&lt;95,95,(90+ROUNDDOWN(O19,1)*100))</f>
        <v>100</v>
      </c>
      <c r="U19" s="767">
        <v>100</v>
      </c>
      <c r="V19" s="715">
        <v>1.1023000000000001</v>
      </c>
      <c r="Y19" s="163"/>
      <c r="Z19" s="143">
        <f t="shared" si="13"/>
        <v>30</v>
      </c>
      <c r="AA19" s="144">
        <f t="shared" si="2"/>
        <v>30</v>
      </c>
      <c r="AB19" s="145">
        <f t="shared" si="3"/>
        <v>228.09356528750004</v>
      </c>
      <c r="AC19" s="145">
        <f>+(S19-T19)*V19-'data 1'!$F$4</f>
        <v>30.230000000000004</v>
      </c>
      <c r="AD19" s="145">
        <f t="shared" si="4"/>
        <v>20.971737118997236</v>
      </c>
      <c r="AE19" s="145">
        <f t="shared" si="5"/>
        <v>-36.930999999999997</v>
      </c>
      <c r="AF19" s="145">
        <f t="shared" si="6"/>
        <v>14.359493015447335</v>
      </c>
      <c r="AG19" s="772">
        <f t="shared" si="14"/>
        <v>28.630230134444581</v>
      </c>
      <c r="AH19" s="146">
        <f t="shared" si="7"/>
        <v>160.00156330625353</v>
      </c>
      <c r="AI19" s="156">
        <f t="shared" si="8"/>
        <v>-3.8484985512097789</v>
      </c>
      <c r="AJ19" s="156">
        <f t="shared" si="9"/>
        <v>146.36951067893133</v>
      </c>
      <c r="AK19" s="676"/>
      <c r="AL19" s="716">
        <f t="shared" si="10"/>
        <v>7637.3800170466184</v>
      </c>
    </row>
    <row r="20" spans="1:38" ht="15.75" customHeight="1">
      <c r="A20" s="992" t="s">
        <v>1145</v>
      </c>
      <c r="B20" s="823">
        <v>45609</v>
      </c>
      <c r="C20" s="822">
        <v>45609</v>
      </c>
      <c r="D20" s="821" t="s">
        <v>66</v>
      </c>
      <c r="E20" s="844">
        <v>10457401928</v>
      </c>
      <c r="F20" s="6" t="s">
        <v>1160</v>
      </c>
      <c r="G20" s="80" t="s">
        <v>68</v>
      </c>
      <c r="H20" s="596" t="s">
        <v>69</v>
      </c>
      <c r="I20" s="596">
        <v>38.83</v>
      </c>
      <c r="J20" s="596">
        <v>6.3</v>
      </c>
      <c r="K20" s="138">
        <f t="shared" si="0"/>
        <v>36.383710000000001</v>
      </c>
      <c r="L20" s="139">
        <v>0.14099999999999999</v>
      </c>
      <c r="M20" s="139">
        <v>0.13400000000000001</v>
      </c>
      <c r="N20" s="738">
        <v>0.13400000000000001</v>
      </c>
      <c r="O20" s="139">
        <f t="shared" si="1"/>
        <v>0.13400000000000001</v>
      </c>
      <c r="P20" s="652">
        <v>85</v>
      </c>
      <c r="Q20" s="866">
        <v>89.16</v>
      </c>
      <c r="R20" s="867">
        <v>2712.5</v>
      </c>
      <c r="S20" s="80">
        <v>110</v>
      </c>
      <c r="U20" s="630">
        <v>100</v>
      </c>
      <c r="V20" s="6">
        <v>1.1023000000000001</v>
      </c>
      <c r="Y20" s="163">
        <v>0</v>
      </c>
      <c r="Z20" s="143">
        <f t="shared" si="13"/>
        <v>30</v>
      </c>
      <c r="AA20" s="144">
        <f t="shared" si="2"/>
        <v>30</v>
      </c>
      <c r="AB20" s="145">
        <f t="shared" si="3"/>
        <v>173.68252162500005</v>
      </c>
      <c r="AC20" s="145">
        <f>+(S20-T20)*V20-'data 1'!$F$4</f>
        <v>41.253</v>
      </c>
      <c r="AD20" s="145">
        <f t="shared" si="4"/>
        <v>16.891512923999986</v>
      </c>
      <c r="AE20" s="145">
        <f t="shared" si="5"/>
        <v>-36.930999999999997</v>
      </c>
      <c r="AF20" s="145">
        <f t="shared" si="6"/>
        <v>17.973150310499946</v>
      </c>
      <c r="AG20" s="772">
        <f t="shared" si="14"/>
        <v>39.186663234499932</v>
      </c>
      <c r="AH20" s="146">
        <f t="shared" si="7"/>
        <v>156.82136263932762</v>
      </c>
      <c r="AI20" s="156">
        <f t="shared" si="8"/>
        <v>0.69288152940000003</v>
      </c>
      <c r="AJ20" s="156">
        <f t="shared" si="9"/>
        <v>142.08223326794302</v>
      </c>
      <c r="AK20" s="88"/>
      <c r="AL20" s="148">
        <f t="shared" si="10"/>
        <v>6319.2144988727305</v>
      </c>
    </row>
    <row r="21" spans="1:38" ht="15.75" customHeight="1">
      <c r="A21" s="991" t="s">
        <v>1167</v>
      </c>
      <c r="B21" s="135">
        <v>45641</v>
      </c>
      <c r="C21" s="595">
        <v>45609</v>
      </c>
      <c r="D21" t="s">
        <v>119</v>
      </c>
      <c r="G21" s="80">
        <v>67</v>
      </c>
      <c r="H21" t="s">
        <v>69</v>
      </c>
      <c r="I21" s="596">
        <v>5.89</v>
      </c>
      <c r="J21" s="596">
        <v>1.3</v>
      </c>
      <c r="K21" s="138">
        <f t="shared" si="0"/>
        <v>5.8134299999999994</v>
      </c>
      <c r="L21" s="139">
        <v>0.219</v>
      </c>
      <c r="M21" s="708">
        <v>0.217</v>
      </c>
      <c r="N21" s="708">
        <v>0.217</v>
      </c>
      <c r="O21" s="139">
        <f t="shared" si="1"/>
        <v>0.217</v>
      </c>
      <c r="P21" s="629">
        <v>85</v>
      </c>
      <c r="Q21" s="760">
        <v>89.47</v>
      </c>
      <c r="R21" s="740">
        <v>2598.75</v>
      </c>
      <c r="S21" s="839">
        <v>105</v>
      </c>
      <c r="U21" s="828">
        <v>80</v>
      </c>
      <c r="V21" s="715">
        <v>1.1023000000000001</v>
      </c>
      <c r="Y21" s="751"/>
      <c r="Z21" s="709">
        <v>10</v>
      </c>
      <c r="AA21" s="144">
        <f t="shared" si="2"/>
        <v>10</v>
      </c>
      <c r="AB21" s="145">
        <f t="shared" si="3"/>
        <v>385.34582315625005</v>
      </c>
      <c r="AC21" s="145">
        <f>+(S21-T21)*V21-'data 1'!$F$4</f>
        <v>35.741500000000002</v>
      </c>
      <c r="AD21" s="145">
        <f t="shared" si="4"/>
        <v>27.17918995106249</v>
      </c>
      <c r="AE21" s="145">
        <f t="shared" si="5"/>
        <v>-58.977000000000004</v>
      </c>
      <c r="AF21" s="145">
        <f t="shared" si="6"/>
        <v>4.9681225928750044</v>
      </c>
      <c r="AG21" s="772">
        <f>+IF(D21="RONALD WILLIAN GARIBAY ESCUDERO",AC21+AD21+AE21+AF21+80,AC21+AD21+AE21+AF21)+70</f>
        <v>78.911812543937486</v>
      </c>
      <c r="AH21" s="146">
        <f t="shared" si="7"/>
        <v>39.053779413296745</v>
      </c>
      <c r="AI21" s="156">
        <f t="shared" si="8"/>
        <v>21.328409176012499</v>
      </c>
      <c r="AJ21" s="156">
        <f t="shared" si="9"/>
        <v>36.7637815016313</v>
      </c>
      <c r="AK21" s="88"/>
      <c r="AL21" s="716">
        <f t="shared" si="10"/>
        <v>2240.1809687112386</v>
      </c>
    </row>
    <row r="22" spans="1:38" ht="15.75" customHeight="1">
      <c r="A22" s="991" t="s">
        <v>1168</v>
      </c>
      <c r="B22" s="135">
        <v>45641</v>
      </c>
      <c r="C22" s="595">
        <v>45609</v>
      </c>
      <c r="D22" t="s">
        <v>119</v>
      </c>
      <c r="G22" s="80">
        <v>14</v>
      </c>
      <c r="H22" t="s">
        <v>69</v>
      </c>
      <c r="I22" s="596">
        <v>1.26</v>
      </c>
      <c r="J22" s="596">
        <v>1.1000000000000001</v>
      </c>
      <c r="K22" s="138">
        <f t="shared" si="0"/>
        <v>1.24614</v>
      </c>
      <c r="L22" s="139">
        <v>7.6999999999999999E-2</v>
      </c>
      <c r="M22" s="708">
        <v>7.5999999999999998E-2</v>
      </c>
      <c r="N22" s="708">
        <v>7.5999999999999998E-2</v>
      </c>
      <c r="O22" s="139">
        <f t="shared" si="1"/>
        <v>7.5999999999999998E-2</v>
      </c>
      <c r="P22" s="629">
        <v>85</v>
      </c>
      <c r="Q22" s="760">
        <v>83.55</v>
      </c>
      <c r="R22" s="740">
        <v>2598.75</v>
      </c>
      <c r="S22" s="839">
        <v>95</v>
      </c>
      <c r="U22" s="828">
        <v>80</v>
      </c>
      <c r="V22" s="715">
        <v>1.1023000000000001</v>
      </c>
      <c r="Y22" s="751"/>
      <c r="Z22" s="709">
        <v>10</v>
      </c>
      <c r="AA22" s="144">
        <f t="shared" si="2"/>
        <v>10</v>
      </c>
      <c r="AB22" s="145">
        <f t="shared" si="3"/>
        <v>63.615110875000013</v>
      </c>
      <c r="AC22" s="145">
        <f>+(S22-T22)*V22-'data 1'!$F$4</f>
        <v>24.718500000000006</v>
      </c>
      <c r="AD22" s="145">
        <f t="shared" si="4"/>
        <v>-3.0998708365625065</v>
      </c>
      <c r="AE22" s="145">
        <f t="shared" si="5"/>
        <v>-58.977000000000004</v>
      </c>
      <c r="AF22" s="145">
        <f t="shared" si="6"/>
        <v>2.3196973434375021</v>
      </c>
      <c r="AG22" s="772">
        <f>+IF(D22="RONALD WILLIAN GARIBAY ESCUDERO",AC22+AD22+AE22+AF22+70,AC22+AD22+AE22+AF22)+70</f>
        <v>34.961326506875004</v>
      </c>
      <c r="AH22" s="146">
        <f t="shared" si="7"/>
        <v>2.7486097669565819</v>
      </c>
      <c r="AI22" s="156">
        <f t="shared" si="8"/>
        <v>7.0028381836874996</v>
      </c>
      <c r="AJ22" s="156">
        <f t="shared" si="9"/>
        <v>2.7599958178149047</v>
      </c>
      <c r="AK22" s="88"/>
      <c r="AL22" s="716">
        <f t="shared" si="10"/>
        <v>79.273334265772519</v>
      </c>
    </row>
    <row r="23" spans="1:38" ht="15.75" customHeight="1">
      <c r="A23" s="991" t="s">
        <v>1178</v>
      </c>
      <c r="B23" s="135">
        <v>45642</v>
      </c>
      <c r="C23" s="595">
        <v>45610</v>
      </c>
      <c r="D23" t="s">
        <v>1000</v>
      </c>
      <c r="E23" s="957">
        <v>20611329556</v>
      </c>
      <c r="G23" s="80">
        <v>84</v>
      </c>
      <c r="H23" t="s">
        <v>69</v>
      </c>
      <c r="I23" s="596">
        <v>7.18</v>
      </c>
      <c r="J23" s="596">
        <v>1</v>
      </c>
      <c r="K23" s="138">
        <f t="shared" si="0"/>
        <v>7.1082000000000001</v>
      </c>
      <c r="L23" s="139">
        <v>0.44500000000000001</v>
      </c>
      <c r="M23" s="139">
        <v>0.42699999999999999</v>
      </c>
      <c r="N23" s="598">
        <v>0.53200000000000003</v>
      </c>
      <c r="O23" s="139">
        <f t="shared" si="1"/>
        <v>0.48</v>
      </c>
      <c r="P23" s="629">
        <v>90</v>
      </c>
      <c r="Q23" s="760">
        <v>89.27</v>
      </c>
      <c r="R23" s="740">
        <v>2567.3000000000002</v>
      </c>
      <c r="S23" s="765">
        <f>IF((90+ROUNDDOWN(O23,1)*100)&lt;95,95,(90+ROUNDDOWN(O23,1)*100))</f>
        <v>130</v>
      </c>
      <c r="U23" s="837">
        <v>130</v>
      </c>
      <c r="V23" s="715">
        <v>1.1023000000000001</v>
      </c>
      <c r="Y23" s="163">
        <v>10</v>
      </c>
      <c r="Z23" s="143">
        <f t="shared" ref="Z23:Z32" si="15">IF(IF(D23="UNTUCA",IF(+((W23-3)*1.5+(X23-3)*3.1)&gt;0,+((W23-3)*1.5+(X23-3)*3.1),0),IF(+((W23-3)*1.5+(X23-3)*3.1)&gt;0,+((W23-3)*1.5+(X23-3)*3.1),0))&lt;30,30,IF(D23="UNTUCA",IF(+((W23-3)*1.5+(X23-3)*3.1)&gt;0,+((W23-3)*1.5+(X23-3)*3.1),0),IF(+((W23-3)*1.5+(X23-3)*3.1)&gt;0,+((W23-3)*1.5+(X23-3)*3.1),0)))</f>
        <v>30</v>
      </c>
      <c r="AA23" s="144">
        <f t="shared" si="2"/>
        <v>40</v>
      </c>
      <c r="AB23" s="145">
        <f t="shared" si="3"/>
        <v>973.23566128000016</v>
      </c>
      <c r="AC23" s="145">
        <f>+(S23-T23)*V23-'data 1'!$F$4</f>
        <v>63.299000000000007</v>
      </c>
      <c r="AD23" s="145">
        <f t="shared" si="4"/>
        <v>-8.727536363815048</v>
      </c>
      <c r="AE23" s="145">
        <f t="shared" si="5"/>
        <v>-25.908000000000001</v>
      </c>
      <c r="AF23" s="145">
        <f t="shared" si="6"/>
        <v>-83.94259194065495</v>
      </c>
      <c r="AG23" s="772">
        <f>+IF(D23="RONALD WILLIAN GARIBAY ESCUDERO",AC23+AD23+AE23+AF23+70,AC23+AD23+AE23+AF23)+70-53</f>
        <v>-38.279128304469992</v>
      </c>
      <c r="AH23" s="146">
        <f t="shared" si="7"/>
        <v>96.81312835872022</v>
      </c>
      <c r="AI23" s="156">
        <f t="shared" si="8"/>
        <v>78.907837186689918</v>
      </c>
      <c r="AJ23" s="156">
        <f t="shared" si="9"/>
        <v>105.28159478558831</v>
      </c>
      <c r="AK23" s="88"/>
      <c r="AL23" s="716">
        <f t="shared" si="10"/>
        <v>6917.9537275104976</v>
      </c>
    </row>
    <row r="24" spans="1:38" ht="15.75" customHeight="1">
      <c r="A24" s="991" t="s">
        <v>1179</v>
      </c>
      <c r="B24" s="135">
        <v>45615</v>
      </c>
      <c r="C24" s="595">
        <v>45610</v>
      </c>
      <c r="D24" t="s">
        <v>1176</v>
      </c>
      <c r="E24">
        <v>20611748486</v>
      </c>
      <c r="G24" s="80">
        <v>88</v>
      </c>
      <c r="H24" t="s">
        <v>69</v>
      </c>
      <c r="I24">
        <v>7.46</v>
      </c>
      <c r="J24" s="596">
        <v>1.2</v>
      </c>
      <c r="K24" s="138">
        <f t="shared" si="0"/>
        <v>7.3704799999999997</v>
      </c>
      <c r="L24" s="139">
        <v>0.39600000000000002</v>
      </c>
      <c r="M24" s="139">
        <v>0.38400000000000001</v>
      </c>
      <c r="N24" s="159">
        <v>0.42899999999999999</v>
      </c>
      <c r="O24" s="139">
        <f t="shared" si="1"/>
        <v>0.40699999999999997</v>
      </c>
      <c r="P24" s="629">
        <v>90</v>
      </c>
      <c r="Q24" s="760">
        <v>89.64</v>
      </c>
      <c r="R24" s="740">
        <v>2567.3000000000002</v>
      </c>
      <c r="S24" s="765">
        <f>IF((90+ROUNDDOWN(O24,1)*100)&lt;95,95,(90+ROUNDDOWN(O24,1)*100))</f>
        <v>130</v>
      </c>
      <c r="U24" s="837">
        <v>130</v>
      </c>
      <c r="V24" s="715">
        <v>1.1023000000000001</v>
      </c>
      <c r="Y24" s="163">
        <v>15</v>
      </c>
      <c r="Z24" s="143">
        <f t="shared" si="15"/>
        <v>30</v>
      </c>
      <c r="AA24" s="144">
        <f t="shared" si="2"/>
        <v>45</v>
      </c>
      <c r="AB24" s="145">
        <f t="shared" si="3"/>
        <v>791.21218987700013</v>
      </c>
      <c r="AC24" s="145">
        <f>+(S24-T24)*V24-'data 1'!$F$4</f>
        <v>63.299000000000007</v>
      </c>
      <c r="AD24" s="145">
        <f t="shared" si="4"/>
        <v>-3.8300679822239942</v>
      </c>
      <c r="AE24" s="145">
        <f t="shared" si="5"/>
        <v>-20.396499999999996</v>
      </c>
      <c r="AF24" s="145">
        <f t="shared" si="6"/>
        <v>-26.491303543715894</v>
      </c>
      <c r="AG24" s="772">
        <f>+IF(D24="RONALD WILLIAN GARIBAY ESCUDERO",AC24+AD24+AE24+AF24+70,AC24+AD24+AE24+AF24)+70-53</f>
        <v>29.581128474060122</v>
      </c>
      <c r="AH24" s="146">
        <f t="shared" si="7"/>
        <v>89.701948140708211</v>
      </c>
      <c r="AI24" s="156">
        <f t="shared" si="8"/>
        <v>70.510148257823928</v>
      </c>
      <c r="AJ24" s="156">
        <f t="shared" si="9"/>
        <v>92.563924620878041</v>
      </c>
      <c r="AK24" s="88"/>
      <c r="AL24" s="716">
        <f t="shared" si="10"/>
        <v>5831.6136212446318</v>
      </c>
    </row>
    <row r="25" spans="1:38" ht="15.75" customHeight="1">
      <c r="A25" s="991" t="s">
        <v>1180</v>
      </c>
      <c r="B25" s="135">
        <v>45615</v>
      </c>
      <c r="C25" s="595">
        <v>45610</v>
      </c>
      <c r="D25" t="s">
        <v>1176</v>
      </c>
      <c r="E25">
        <v>20611748486</v>
      </c>
      <c r="G25" s="80">
        <v>36</v>
      </c>
      <c r="H25" t="s">
        <v>69</v>
      </c>
      <c r="I25">
        <v>2.93</v>
      </c>
      <c r="J25" s="596">
        <v>1.1000000000000001</v>
      </c>
      <c r="K25" s="138">
        <f t="shared" si="0"/>
        <v>2.89777</v>
      </c>
      <c r="L25" s="840">
        <v>0.21099999999999999</v>
      </c>
      <c r="M25" s="840">
        <v>0.21099999999999999</v>
      </c>
      <c r="N25" s="840">
        <v>0.21099999999999999</v>
      </c>
      <c r="O25" s="139">
        <f t="shared" si="1"/>
        <v>0.21099999999999999</v>
      </c>
      <c r="P25" s="629">
        <v>90</v>
      </c>
      <c r="Q25" s="760">
        <v>89.15</v>
      </c>
      <c r="R25" s="740">
        <v>2567.3000000000002</v>
      </c>
      <c r="S25" s="765">
        <f>IF((90+ROUNDDOWN(O25,1)*100)&lt;95,95,(90+ROUNDDOWN(O25,1)*100))</f>
        <v>110</v>
      </c>
      <c r="U25" s="837">
        <v>130</v>
      </c>
      <c r="V25" s="715">
        <v>1.1023000000000001</v>
      </c>
      <c r="Y25" s="163">
        <v>10</v>
      </c>
      <c r="Z25" s="143">
        <f t="shared" si="15"/>
        <v>30</v>
      </c>
      <c r="AA25" s="144">
        <f t="shared" si="2"/>
        <v>40</v>
      </c>
      <c r="AB25" s="145">
        <f t="shared" si="3"/>
        <v>344.84713652099998</v>
      </c>
      <c r="AC25" s="145">
        <f>+(S25-T25)*V25-'data 1'!$F$4</f>
        <v>41.253</v>
      </c>
      <c r="AD25" s="145">
        <f t="shared" si="4"/>
        <v>-4.8184812893649687</v>
      </c>
      <c r="AE25" s="145">
        <f t="shared" si="5"/>
        <v>-25.908000000000001</v>
      </c>
      <c r="AF25" s="145">
        <f t="shared" si="6"/>
        <v>0</v>
      </c>
      <c r="AG25" s="772">
        <f>+IF(D25="RONALD WILLIAN GARIBAY ESCUDERO",AC25+AD25+AE25+AF25+70,AC25+AD25+AE25+AF25)+70-53</f>
        <v>27.526518710635031</v>
      </c>
      <c r="AH25" s="146">
        <f t="shared" si="7"/>
        <v>18.688600658264928</v>
      </c>
      <c r="AI25" s="156">
        <f t="shared" si="8"/>
        <v>37.36443304998997</v>
      </c>
      <c r="AJ25" s="156">
        <f t="shared" si="9"/>
        <v>18.866786979740251</v>
      </c>
      <c r="AK25" s="88"/>
      <c r="AL25" s="716">
        <f t="shared" si="10"/>
        <v>999.28768679645805</v>
      </c>
    </row>
    <row r="26" spans="1:38" ht="15.75" customHeight="1">
      <c r="A26" s="991" t="s">
        <v>1181</v>
      </c>
      <c r="B26" s="135">
        <v>45615</v>
      </c>
      <c r="C26" s="595">
        <v>45610</v>
      </c>
      <c r="D26" t="s">
        <v>1177</v>
      </c>
      <c r="E26" s="6">
        <v>20606094010</v>
      </c>
      <c r="G26" s="80">
        <v>100</v>
      </c>
      <c r="H26" t="s">
        <v>69</v>
      </c>
      <c r="I26" s="596">
        <v>8.0299999999999994</v>
      </c>
      <c r="J26" s="596">
        <v>1.2</v>
      </c>
      <c r="K26" s="138">
        <f t="shared" si="0"/>
        <v>7.9336399999999996</v>
      </c>
      <c r="L26" s="139">
        <v>0.316</v>
      </c>
      <c r="M26" s="139">
        <v>0.30299999999999999</v>
      </c>
      <c r="N26" s="159">
        <v>0.40100000000000002</v>
      </c>
      <c r="O26" s="139">
        <v>0.36</v>
      </c>
      <c r="P26" s="629">
        <v>90</v>
      </c>
      <c r="Q26" s="760">
        <v>89.43</v>
      </c>
      <c r="R26" s="740">
        <v>2567.3000000000002</v>
      </c>
      <c r="S26" s="765">
        <v>110</v>
      </c>
      <c r="U26" s="837">
        <v>130</v>
      </c>
      <c r="V26" s="715">
        <v>1.1023000000000001</v>
      </c>
      <c r="Y26" s="163">
        <v>30</v>
      </c>
      <c r="Z26" s="143">
        <f t="shared" si="15"/>
        <v>30</v>
      </c>
      <c r="AA26" s="144">
        <f t="shared" si="2"/>
        <v>60</v>
      </c>
      <c r="AB26" s="145">
        <f t="shared" si="3"/>
        <v>683.07899596000004</v>
      </c>
      <c r="AC26" s="145">
        <f>+(S26-T26)*V26-'data 1'!$F$4</f>
        <v>41.253</v>
      </c>
      <c r="AD26" s="145">
        <f t="shared" si="4"/>
        <v>-4.8391683849479419</v>
      </c>
      <c r="AE26" s="145">
        <f t="shared" si="5"/>
        <v>-3.8619999999999948</v>
      </c>
      <c r="AF26" s="145">
        <f t="shared" si="6"/>
        <v>-105.71696902786798</v>
      </c>
      <c r="AG26" s="772">
        <f>+IF(D26="RONALD WILLIAN GARIBAY ESCUDERO",AC26+AD26+AE26+AF26+70,AC26+AD26+AE26+AF26)+70-53</f>
        <v>-56.165137412815909</v>
      </c>
      <c r="AH26" s="146">
        <f t="shared" si="7"/>
        <v>76.86911349193673</v>
      </c>
      <c r="AI26" s="156">
        <f t="shared" si="8"/>
        <v>56.133860034647938</v>
      </c>
      <c r="AJ26" s="156">
        <f t="shared" si="9"/>
        <v>88.130568039876636</v>
      </c>
      <c r="AK26" s="88"/>
      <c r="AL26" s="716">
        <f t="shared" si="10"/>
        <v>5419.3028455080948</v>
      </c>
    </row>
    <row r="27" spans="1:38" ht="15.75" customHeight="1">
      <c r="A27" s="991" t="s">
        <v>1182</v>
      </c>
      <c r="B27" s="135">
        <v>45368</v>
      </c>
      <c r="C27" s="595">
        <v>45610</v>
      </c>
      <c r="D27" t="s">
        <v>145</v>
      </c>
      <c r="E27" s="6">
        <v>10437450094</v>
      </c>
      <c r="G27" s="80">
        <v>130</v>
      </c>
      <c r="H27" t="s">
        <v>69</v>
      </c>
      <c r="I27" s="596">
        <v>10.46</v>
      </c>
      <c r="J27" s="596">
        <v>1.2</v>
      </c>
      <c r="K27" s="138">
        <f t="shared" si="0"/>
        <v>10.334480000000001</v>
      </c>
      <c r="L27" s="139">
        <v>0.31</v>
      </c>
      <c r="M27" s="139">
        <v>0.29799999999999999</v>
      </c>
      <c r="N27" s="159">
        <v>0.29799999999999999</v>
      </c>
      <c r="O27" s="139">
        <f t="shared" ref="O27:O58" si="16">+ROUND((M27+N27)/2,3)</f>
        <v>0.29799999999999999</v>
      </c>
      <c r="P27" s="629">
        <v>90</v>
      </c>
      <c r="Q27" s="760">
        <v>89.23</v>
      </c>
      <c r="R27" s="740">
        <v>2567.3000000000002</v>
      </c>
      <c r="S27" s="765">
        <f>IF((90+ROUNDDOWN(O27,1)*100)&lt;95,95,(90+ROUNDDOWN(O27,1)*100))</f>
        <v>110</v>
      </c>
      <c r="U27" s="837">
        <v>100</v>
      </c>
      <c r="V27" s="715">
        <v>1.1023000000000001</v>
      </c>
      <c r="Y27" s="163">
        <v>10</v>
      </c>
      <c r="Z27" s="143">
        <f t="shared" si="15"/>
        <v>30</v>
      </c>
      <c r="AA27" s="144">
        <f t="shared" si="2"/>
        <v>40</v>
      </c>
      <c r="AB27" s="145">
        <f t="shared" si="3"/>
        <v>564.07982467800002</v>
      </c>
      <c r="AC27" s="145">
        <f>+(S27-T27)*V27-'data 1'!$F$4</f>
        <v>41.253</v>
      </c>
      <c r="AD27" s="145">
        <f t="shared" si="4"/>
        <v>-6.491935333729967</v>
      </c>
      <c r="AE27" s="145">
        <f t="shared" si="5"/>
        <v>-25.908000000000001</v>
      </c>
      <c r="AF27" s="145">
        <f t="shared" si="6"/>
        <v>29.121511009404031</v>
      </c>
      <c r="AG27" s="772">
        <f>+IF(D27="RONALD WILLIAN GARIBAY ESCUDERO",AC27+AD27+AE27+AF27+70,AC27+AD27+AE27+AF27)+70-40</f>
        <v>67.97457567567406</v>
      </c>
      <c r="AH27" s="146">
        <f t="shared" si="7"/>
        <v>98.009976534009297</v>
      </c>
      <c r="AI27" s="156">
        <f t="shared" si="8"/>
        <v>45.797558586979946</v>
      </c>
      <c r="AJ27" s="156">
        <f t="shared" si="9"/>
        <v>95.029068432869352</v>
      </c>
      <c r="AK27" s="88"/>
      <c r="AL27" s="716">
        <f t="shared" si="10"/>
        <v>5829.4716665382985</v>
      </c>
    </row>
    <row r="28" spans="1:38" ht="15.75" customHeight="1">
      <c r="A28" s="991" t="s">
        <v>1183</v>
      </c>
      <c r="B28" s="135">
        <v>45615</v>
      </c>
      <c r="C28" s="595">
        <v>45610</v>
      </c>
      <c r="D28" t="s">
        <v>129</v>
      </c>
      <c r="E28" s="79">
        <v>10423109730</v>
      </c>
      <c r="G28" s="80">
        <v>300</v>
      </c>
      <c r="H28" t="s">
        <v>108</v>
      </c>
      <c r="I28" s="596">
        <v>27.28</v>
      </c>
      <c r="J28" s="596">
        <v>12.3</v>
      </c>
      <c r="K28" s="138">
        <f t="shared" si="0"/>
        <v>23.92456</v>
      </c>
      <c r="L28" s="139">
        <v>0.13400000000000001</v>
      </c>
      <c r="M28" s="139">
        <v>0.13</v>
      </c>
      <c r="N28" s="159">
        <v>0.16</v>
      </c>
      <c r="O28" s="139">
        <f t="shared" si="16"/>
        <v>0.14499999999999999</v>
      </c>
      <c r="P28" s="629">
        <v>90</v>
      </c>
      <c r="Q28" s="760">
        <v>89.25</v>
      </c>
      <c r="R28" s="740">
        <v>2567.3000000000002</v>
      </c>
      <c r="S28" s="765">
        <f>IF((90+ROUNDDOWN(O28,1)*100)&lt;95,95,(90+ROUNDDOWN(O28,1)*100))</f>
        <v>100</v>
      </c>
      <c r="U28" s="837">
        <v>100</v>
      </c>
      <c r="V28" s="715">
        <v>1.1023000000000001</v>
      </c>
      <c r="Y28" s="163"/>
      <c r="Z28" s="143">
        <f t="shared" si="15"/>
        <v>30</v>
      </c>
      <c r="AA28" s="144">
        <f t="shared" si="2"/>
        <v>30</v>
      </c>
      <c r="AB28" s="145">
        <f t="shared" si="3"/>
        <v>211.622475095</v>
      </c>
      <c r="AC28" s="145">
        <f>+(S28-T28)*V28-'data 1'!$F$4</f>
        <v>30.230000000000004</v>
      </c>
      <c r="AD28" s="145">
        <f t="shared" si="4"/>
        <v>-2.7333033139500005</v>
      </c>
      <c r="AE28" s="145">
        <f t="shared" si="5"/>
        <v>-36.930999999999997</v>
      </c>
      <c r="AF28" s="145">
        <f t="shared" si="6"/>
        <v>-26.70070177582496</v>
      </c>
      <c r="AG28" s="772">
        <f>+IF(D28="RONALD WILLIAN GARIBAY ESCUDERO",AC28+AD28+AE28+AF28+70,AC28+AD28+AE28+AF28)</f>
        <v>33.86499491022505</v>
      </c>
      <c r="AH28" s="146">
        <f t="shared" si="7"/>
        <v>98.099332379533138</v>
      </c>
      <c r="AI28" s="156">
        <f t="shared" si="8"/>
        <v>19.800801188699978</v>
      </c>
      <c r="AJ28" s="156">
        <f t="shared" si="9"/>
        <v>107.04429847007879</v>
      </c>
      <c r="AK28" s="88"/>
      <c r="AL28" s="716">
        <f t="shared" si="10"/>
        <v>5062.9746027588335</v>
      </c>
    </row>
    <row r="29" spans="1:38" ht="15.75" customHeight="1">
      <c r="A29" s="991" t="s">
        <v>1189</v>
      </c>
      <c r="B29" s="135">
        <v>45615</v>
      </c>
      <c r="C29" s="595">
        <v>45611</v>
      </c>
      <c r="D29" t="s">
        <v>145</v>
      </c>
      <c r="E29" s="639">
        <v>10437450094</v>
      </c>
      <c r="G29" s="80">
        <v>35</v>
      </c>
      <c r="H29" t="s">
        <v>69</v>
      </c>
      <c r="I29" s="596">
        <v>2.83</v>
      </c>
      <c r="J29" s="596">
        <v>1.3</v>
      </c>
      <c r="K29" s="138">
        <f t="shared" si="0"/>
        <v>2.7932100000000002</v>
      </c>
      <c r="L29" s="139">
        <v>0.189</v>
      </c>
      <c r="M29" s="139">
        <v>0.183</v>
      </c>
      <c r="N29" s="159">
        <v>0.183</v>
      </c>
      <c r="O29" s="139">
        <f t="shared" si="16"/>
        <v>0.183</v>
      </c>
      <c r="P29" s="629">
        <v>90</v>
      </c>
      <c r="Q29" s="760">
        <v>89.62</v>
      </c>
      <c r="R29" s="706">
        <v>2571.8000000000002</v>
      </c>
      <c r="S29" s="80">
        <f>IF((90+ROUNDDOWN(O29,1)*100)&lt;95,95,(90+ROUNDDOWN(O29,1)*100))</f>
        <v>100</v>
      </c>
      <c r="U29" s="837">
        <v>130</v>
      </c>
      <c r="V29" s="715">
        <v>1.1023000000000001</v>
      </c>
      <c r="Y29" s="163">
        <v>10</v>
      </c>
      <c r="Z29" s="143">
        <f t="shared" si="15"/>
        <v>30</v>
      </c>
      <c r="AA29" s="144">
        <f t="shared" si="2"/>
        <v>40</v>
      </c>
      <c r="AB29" s="145">
        <f t="shared" si="3"/>
        <v>288.98388425800005</v>
      </c>
      <c r="AC29" s="145">
        <f>+(S29-T29)*V29-'data 1'!$F$4</f>
        <v>30.230000000000004</v>
      </c>
      <c r="AD29" s="145">
        <f t="shared" si="4"/>
        <v>-1.933104347747977</v>
      </c>
      <c r="AE29" s="145">
        <f t="shared" si="5"/>
        <v>-25.908000000000001</v>
      </c>
      <c r="AF29" s="145">
        <f t="shared" si="6"/>
        <v>14.473250764008014</v>
      </c>
      <c r="AG29" s="772">
        <f t="shared" ref="AG29:AG41" si="17">+IF(D29="RONALD WILLIAN GARIBAY ESCUDERO",AC29+AD29+AE29+AF29+70,AC29+AD29+AE29+AF29)+70-53</f>
        <v>33.862146416260032</v>
      </c>
      <c r="AH29" s="146">
        <f t="shared" si="7"/>
        <v>16.221066368665461</v>
      </c>
      <c r="AI29" s="156">
        <f t="shared" si="8"/>
        <v>32.804869365197973</v>
      </c>
      <c r="AJ29" s="156">
        <f t="shared" si="9"/>
        <v>15.772707757971641</v>
      </c>
      <c r="AK29" s="88"/>
      <c r="AL29" s="716">
        <f t="shared" si="10"/>
        <v>807.19267534828839</v>
      </c>
    </row>
    <row r="30" spans="1:38" ht="15.75" customHeight="1">
      <c r="A30" s="991" t="s">
        <v>1190</v>
      </c>
      <c r="B30" s="135">
        <v>45615</v>
      </c>
      <c r="C30" s="595">
        <v>45611</v>
      </c>
      <c r="D30" t="s">
        <v>145</v>
      </c>
      <c r="E30" s="6">
        <v>10437450094</v>
      </c>
      <c r="G30" s="80">
        <v>35</v>
      </c>
      <c r="H30" t="s">
        <v>69</v>
      </c>
      <c r="I30" s="596">
        <v>2.74</v>
      </c>
      <c r="J30" s="596">
        <v>1.4</v>
      </c>
      <c r="K30" s="138">
        <f t="shared" si="0"/>
        <v>2.7016400000000003</v>
      </c>
      <c r="L30" s="139">
        <v>0.26500000000000001</v>
      </c>
      <c r="M30" s="139">
        <v>0.254</v>
      </c>
      <c r="N30" s="159">
        <v>0.254</v>
      </c>
      <c r="O30" s="139">
        <f t="shared" si="16"/>
        <v>0.254</v>
      </c>
      <c r="P30" s="629">
        <v>90</v>
      </c>
      <c r="Q30" s="760">
        <v>89.41</v>
      </c>
      <c r="R30" s="706">
        <v>2571.8000000000002</v>
      </c>
      <c r="S30" s="765">
        <f>IF((90+ROUNDDOWN(O30,1)*100)&lt;95,95,(90+ROUNDDOWN(O30,1)*100))</f>
        <v>110</v>
      </c>
      <c r="U30" s="837">
        <v>130</v>
      </c>
      <c r="V30" s="715">
        <v>1.1023000000000001</v>
      </c>
      <c r="Y30" s="163">
        <v>15</v>
      </c>
      <c r="Z30" s="143">
        <f t="shared" si="15"/>
        <v>30</v>
      </c>
      <c r="AA30" s="144">
        <f t="shared" si="2"/>
        <v>45</v>
      </c>
      <c r="AB30" s="145">
        <f t="shared" si="3"/>
        <v>444.442377604</v>
      </c>
      <c r="AC30" s="145">
        <f>+(S30-T30)*V30-'data 1'!$F$4</f>
        <v>41.253</v>
      </c>
      <c r="AD30" s="145">
        <f t="shared" si="4"/>
        <v>-4.2083105648900245</v>
      </c>
      <c r="AE30" s="145">
        <f t="shared" si="5"/>
        <v>-20.396499999999996</v>
      </c>
      <c r="AF30" s="145">
        <f t="shared" si="6"/>
        <v>26.472117196514024</v>
      </c>
      <c r="AG30" s="772">
        <f t="shared" si="17"/>
        <v>60.120306631624004</v>
      </c>
      <c r="AH30" s="146">
        <f t="shared" si="7"/>
        <v>21.946664057560792</v>
      </c>
      <c r="AI30" s="156">
        <f t="shared" si="8"/>
        <v>45.888465764014967</v>
      </c>
      <c r="AJ30" s="156">
        <f t="shared" si="9"/>
        <v>21.174480941342498</v>
      </c>
      <c r="AK30" s="88"/>
      <c r="AL30" s="716">
        <f t="shared" si="10"/>
        <v>1200.7233050300706</v>
      </c>
    </row>
    <row r="31" spans="1:38" ht="15.75" customHeight="1">
      <c r="A31" s="991" t="s">
        <v>1191</v>
      </c>
      <c r="B31" s="135">
        <v>45615</v>
      </c>
      <c r="C31" s="595">
        <v>45611</v>
      </c>
      <c r="D31" t="s">
        <v>145</v>
      </c>
      <c r="E31" s="6">
        <v>10437450094</v>
      </c>
      <c r="G31" s="80">
        <v>35</v>
      </c>
      <c r="H31" t="s">
        <v>69</v>
      </c>
      <c r="I31" s="596">
        <v>2.77</v>
      </c>
      <c r="J31" s="596">
        <v>1.2</v>
      </c>
      <c r="K31" s="138">
        <f t="shared" si="0"/>
        <v>2.7367599999999999</v>
      </c>
      <c r="L31" s="139">
        <v>0.35899999999999999</v>
      </c>
      <c r="M31" s="139">
        <v>0.34399999999999997</v>
      </c>
      <c r="N31" s="159">
        <v>0.34399999999999997</v>
      </c>
      <c r="O31" s="139">
        <f t="shared" si="16"/>
        <v>0.34399999999999997</v>
      </c>
      <c r="P31" s="629">
        <v>90</v>
      </c>
      <c r="Q31" s="760">
        <v>89.27</v>
      </c>
      <c r="R31" s="706">
        <v>2571.8000000000002</v>
      </c>
      <c r="S31" s="765">
        <f>IF((90+ROUNDDOWN(O31,1)*100)&lt;95,95,(90+ROUNDDOWN(O31,1)*100))</f>
        <v>120</v>
      </c>
      <c r="U31" s="837">
        <v>130</v>
      </c>
      <c r="V31" s="715">
        <v>1.1023000000000001</v>
      </c>
      <c r="Y31" s="163">
        <v>15</v>
      </c>
      <c r="Z31" s="143">
        <f t="shared" si="15"/>
        <v>30</v>
      </c>
      <c r="AA31" s="144">
        <f t="shared" si="2"/>
        <v>45</v>
      </c>
      <c r="AB31" s="145">
        <f t="shared" si="3"/>
        <v>651.43866494400004</v>
      </c>
      <c r="AC31" s="145">
        <f>+(S31-T31)*V31-'data 1'!$F$4</f>
        <v>52.27600000000001</v>
      </c>
      <c r="AD31" s="145">
        <f t="shared" si="4"/>
        <v>-7.0538660040980394</v>
      </c>
      <c r="AE31" s="145">
        <f t="shared" si="5"/>
        <v>-20.396499999999996</v>
      </c>
      <c r="AF31" s="145">
        <f t="shared" si="6"/>
        <v>36.041818112670036</v>
      </c>
      <c r="AG31" s="772">
        <f t="shared" si="17"/>
        <v>77.867452108572024</v>
      </c>
      <c r="AH31" s="146">
        <f t="shared" si="7"/>
        <v>30.070854292022599</v>
      </c>
      <c r="AI31" s="156">
        <f t="shared" si="8"/>
        <v>62.068543200922932</v>
      </c>
      <c r="AJ31" s="156">
        <f t="shared" si="9"/>
        <v>29.050040014472689</v>
      </c>
      <c r="AK31" s="88"/>
      <c r="AL31" s="716">
        <f t="shared" si="10"/>
        <v>1782.8312806721415</v>
      </c>
    </row>
    <row r="32" spans="1:38" ht="15.6" customHeight="1">
      <c r="A32" s="991" t="s">
        <v>1192</v>
      </c>
      <c r="B32" s="135">
        <v>45615</v>
      </c>
      <c r="C32" s="595">
        <v>45611</v>
      </c>
      <c r="D32" t="s">
        <v>1177</v>
      </c>
      <c r="E32" s="6">
        <v>20606094010</v>
      </c>
      <c r="G32" s="80">
        <v>100</v>
      </c>
      <c r="H32" t="s">
        <v>69</v>
      </c>
      <c r="I32" s="596">
        <v>8.0299999999999994</v>
      </c>
      <c r="J32" s="596">
        <v>1.1000000000000001</v>
      </c>
      <c r="K32" s="138">
        <f t="shared" si="0"/>
        <v>7.9416699999999993</v>
      </c>
      <c r="L32" s="139">
        <v>1.1379999999999999</v>
      </c>
      <c r="M32" s="139">
        <v>1.0920000000000001</v>
      </c>
      <c r="N32" s="598">
        <v>1.17</v>
      </c>
      <c r="O32" s="139">
        <f t="shared" si="16"/>
        <v>1.131</v>
      </c>
      <c r="P32" s="629">
        <v>90</v>
      </c>
      <c r="Q32" s="760">
        <v>89.12</v>
      </c>
      <c r="R32" s="706">
        <v>2571.8000000000002</v>
      </c>
      <c r="S32" s="841">
        <v>190</v>
      </c>
      <c r="U32" s="837">
        <v>130</v>
      </c>
      <c r="V32" s="715">
        <v>1.1023000000000001</v>
      </c>
      <c r="Y32" s="163">
        <v>10</v>
      </c>
      <c r="Z32" s="143">
        <f t="shared" si="15"/>
        <v>30</v>
      </c>
      <c r="AA32" s="144">
        <f t="shared" si="2"/>
        <v>40</v>
      </c>
      <c r="AB32" s="145">
        <f t="shared" si="3"/>
        <v>2486.2467109060008</v>
      </c>
      <c r="AC32" s="145">
        <f>+(S32-T32)*V32-'data 1'!$F$4</f>
        <v>129.43700000000001</v>
      </c>
      <c r="AD32" s="145">
        <f t="shared" si="4"/>
        <v>-26.954720384415864</v>
      </c>
      <c r="AE32" s="145">
        <f t="shared" si="5"/>
        <v>-25.908000000000001</v>
      </c>
      <c r="AF32" s="145">
        <f t="shared" si="6"/>
        <v>16.791253359775752</v>
      </c>
      <c r="AG32" s="772">
        <f t="shared" si="17"/>
        <v>110.36553297535988</v>
      </c>
      <c r="AH32" s="146">
        <f t="shared" si="7"/>
        <v>276.14573881197401</v>
      </c>
      <c r="AI32" s="156">
        <f t="shared" si="8"/>
        <v>196.42149345481579</v>
      </c>
      <c r="AJ32" s="156">
        <f t="shared" si="9"/>
        <v>277.15710767014275</v>
      </c>
      <c r="AK32" s="88"/>
      <c r="AL32" s="716">
        <f t="shared" si="10"/>
        <v>19744.950916600857</v>
      </c>
    </row>
    <row r="33" spans="1:43" ht="15.75" customHeight="1">
      <c r="A33" s="991" t="s">
        <v>1193</v>
      </c>
      <c r="B33" s="135">
        <v>45615</v>
      </c>
      <c r="C33" s="595">
        <v>45611</v>
      </c>
      <c r="D33" t="s">
        <v>154</v>
      </c>
      <c r="E33" s="640">
        <v>10416085884</v>
      </c>
      <c r="G33" s="80" t="s">
        <v>68</v>
      </c>
      <c r="H33" t="s">
        <v>69</v>
      </c>
      <c r="I33" s="596">
        <v>31.66</v>
      </c>
      <c r="J33" s="596">
        <v>13.5</v>
      </c>
      <c r="K33" s="138">
        <f t="shared" si="0"/>
        <v>27.385899999999999</v>
      </c>
      <c r="L33" s="139">
        <v>0.182</v>
      </c>
      <c r="M33" s="139">
        <v>0.17399999999999999</v>
      </c>
      <c r="N33" s="598">
        <v>0.20799999999999999</v>
      </c>
      <c r="O33" s="139">
        <f t="shared" si="16"/>
        <v>0.191</v>
      </c>
      <c r="P33" s="629">
        <v>90</v>
      </c>
      <c r="Q33" s="760">
        <v>89.5</v>
      </c>
      <c r="R33" s="706">
        <v>2571.8000000000002</v>
      </c>
      <c r="S33" s="802">
        <v>85</v>
      </c>
      <c r="U33" s="837">
        <v>90</v>
      </c>
      <c r="V33" s="715">
        <v>1.1023000000000001</v>
      </c>
      <c r="Y33" s="163"/>
      <c r="Z33" s="709">
        <v>15</v>
      </c>
      <c r="AA33" s="144">
        <f t="shared" si="2"/>
        <v>15</v>
      </c>
      <c r="AB33" s="145">
        <f t="shared" si="3"/>
        <v>360.03479126600007</v>
      </c>
      <c r="AC33" s="145">
        <f>+(S33-T33)*V33-'data 1'!$F$4</f>
        <v>13.69550000000001</v>
      </c>
      <c r="AD33" s="145">
        <f t="shared" si="4"/>
        <v>-2.4894762074000001</v>
      </c>
      <c r="AE33" s="145">
        <f t="shared" si="5"/>
        <v>-53.465499999999999</v>
      </c>
      <c r="AF33" s="145">
        <f t="shared" si="6"/>
        <v>-22.035967967700021</v>
      </c>
      <c r="AG33" s="772">
        <f t="shared" si="17"/>
        <v>-47.295444175100002</v>
      </c>
      <c r="AH33" s="146">
        <f t="shared" si="7"/>
        <v>152.94331901860886</v>
      </c>
      <c r="AI33" s="156">
        <f t="shared" si="8"/>
        <v>24.365429897899968</v>
      </c>
      <c r="AJ33" s="156">
        <f t="shared" si="9"/>
        <v>161.40313425808131</v>
      </c>
      <c r="AK33" s="88"/>
      <c r="AL33" s="716">
        <f t="shared" si="10"/>
        <v>9859.8767901315514</v>
      </c>
    </row>
    <row r="34" spans="1:43" ht="15.75" customHeight="1">
      <c r="A34" s="991" t="s">
        <v>1194</v>
      </c>
      <c r="B34" s="135">
        <v>45615</v>
      </c>
      <c r="C34" s="595">
        <v>45612</v>
      </c>
      <c r="D34" t="s">
        <v>1177</v>
      </c>
      <c r="E34" s="6">
        <v>20606094010</v>
      </c>
      <c r="G34" s="80">
        <v>100</v>
      </c>
      <c r="H34" t="s">
        <v>69</v>
      </c>
      <c r="I34" s="596">
        <v>8.2899999999999991</v>
      </c>
      <c r="J34" s="596">
        <v>1.2</v>
      </c>
      <c r="K34" s="138">
        <f t="shared" si="0"/>
        <v>8.1905199999999994</v>
      </c>
      <c r="L34" s="139">
        <v>0.309</v>
      </c>
      <c r="M34" s="139">
        <v>0.29599999999999999</v>
      </c>
      <c r="N34" s="159">
        <v>0.36399999999999999</v>
      </c>
      <c r="O34" s="139">
        <f t="shared" si="16"/>
        <v>0.33</v>
      </c>
      <c r="P34" s="629">
        <v>90</v>
      </c>
      <c r="Q34" s="760">
        <v>89.45</v>
      </c>
      <c r="R34" s="706">
        <v>2571.8000000000002</v>
      </c>
      <c r="S34" s="765">
        <f>IF((90+ROUNDDOWN(O34,1)*100)&lt;95,95,(90+ROUNDDOWN(O34,1)*100))</f>
        <v>120</v>
      </c>
      <c r="U34" s="837">
        <v>130</v>
      </c>
      <c r="V34" s="715">
        <v>1.1023000000000001</v>
      </c>
      <c r="Y34" s="163">
        <v>30</v>
      </c>
      <c r="Z34" s="143">
        <f>IF(IF(D34="UNTUCA",IF(+((W34-3)*1.5+(X34-3)*3.1)&gt;0,+((W34-3)*1.5+(X34-3)*3.1),0),IF(+((W34-3)*1.5+(X34-3)*3.1)&gt;0,+((W34-3)*1.5+(X34-3)*3.1),0))&lt;30,30,IF(D34="UNTUCA",IF(+((W34-3)*1.5+(X34-3)*3.1)&gt;0,+((W34-3)*1.5+(X34-3)*3.1),0),IF(+((W34-3)*1.5+(X34-3)*3.1)&gt;0,+((W34-3)*1.5+(X34-3)*3.1),0)))</f>
        <v>30</v>
      </c>
      <c r="AA34" s="144">
        <f t="shared" si="2"/>
        <v>60</v>
      </c>
      <c r="AB34" s="145">
        <f t="shared" si="3"/>
        <v>600.99005358000011</v>
      </c>
      <c r="AC34" s="145">
        <f>+(S34-T34)*V34-'data 1'!$F$4</f>
        <v>52.27600000000001</v>
      </c>
      <c r="AD34" s="145">
        <f t="shared" si="4"/>
        <v>-4.5743676399299771</v>
      </c>
      <c r="AE34" s="145">
        <f t="shared" si="5"/>
        <v>-3.8619999999999948</v>
      </c>
      <c r="AF34" s="145">
        <f t="shared" si="6"/>
        <v>-50.560287691830055</v>
      </c>
      <c r="AG34" s="772">
        <f t="shared" si="17"/>
        <v>10.279344668239986</v>
      </c>
      <c r="AH34" s="146">
        <f t="shared" si="7"/>
        <v>77.617449672825714</v>
      </c>
      <c r="AI34" s="156">
        <f t="shared" si="8"/>
        <v>53.531620841054952</v>
      </c>
      <c r="AJ34" s="156">
        <f t="shared" si="9"/>
        <v>83.402101489791946</v>
      </c>
      <c r="AK34" s="88"/>
      <c r="AL34" s="716">
        <f t="shared" si="10"/>
        <v>4922.4210536480623</v>
      </c>
    </row>
    <row r="35" spans="1:43" s="762" customFormat="1" ht="15.75" customHeight="1">
      <c r="A35" s="991" t="s">
        <v>1196</v>
      </c>
      <c r="B35" s="135">
        <v>45605</v>
      </c>
      <c r="C35" s="595">
        <v>45613</v>
      </c>
      <c r="D35" t="s">
        <v>145</v>
      </c>
      <c r="E35" s="6">
        <v>10437450094</v>
      </c>
      <c r="F35"/>
      <c r="G35" s="80">
        <v>35</v>
      </c>
      <c r="H35" t="s">
        <v>69</v>
      </c>
      <c r="I35" s="596">
        <v>3.15</v>
      </c>
      <c r="J35" s="596">
        <v>1.3</v>
      </c>
      <c r="K35" s="138">
        <f t="shared" si="0"/>
        <v>3.1090499999999999</v>
      </c>
      <c r="L35" s="139">
        <v>0.47499999999999998</v>
      </c>
      <c r="M35" s="139">
        <v>0.46</v>
      </c>
      <c r="N35" s="159">
        <v>0.46</v>
      </c>
      <c r="O35" s="139">
        <f t="shared" si="16"/>
        <v>0.46</v>
      </c>
      <c r="P35" s="629">
        <v>90</v>
      </c>
      <c r="Q35" s="760">
        <v>89.61</v>
      </c>
      <c r="R35" s="706">
        <v>2606.85</v>
      </c>
      <c r="S35" s="765">
        <f>IF((90+ROUNDDOWN(O35,1)*100)&lt;95,95,(90+ROUNDDOWN(O35,1)*100))</f>
        <v>130</v>
      </c>
      <c r="T35"/>
      <c r="U35" s="837">
        <v>130</v>
      </c>
      <c r="V35" s="715">
        <v>1.1023000000000001</v>
      </c>
      <c r="W35"/>
      <c r="X35"/>
      <c r="Y35" s="163">
        <v>10</v>
      </c>
      <c r="Z35" s="143">
        <f>IF(IF(D35="UNTUCA",IF(+((W35-3)*1.5+(X35-3)*3.1)&gt;0,+((W35-3)*1.5+(X35-3)*3.1),0),IF(+((W35-3)*1.5+(X35-3)*3.1)&gt;0,+((W35-3)*1.5+(X35-3)*3.1),0))&lt;30,30,IF(D35="UNTUCA",IF(+((W35-3)*1.5+(X35-3)*3.1)&gt;0,+((W35-3)*1.5+(X35-3)*3.1),0),IF(+((W35-3)*1.5+(X35-3)*3.1)&gt;0,+((W35-3)*1.5+(X35-3)*3.1),0)))</f>
        <v>30</v>
      </c>
      <c r="AA35" s="144">
        <f t="shared" si="2"/>
        <v>40</v>
      </c>
      <c r="AB35" s="145">
        <f t="shared" si="3"/>
        <v>942.92494656999997</v>
      </c>
      <c r="AC35" s="145">
        <f>+(S35-T35)*V35-'data 1'!$F$4</f>
        <v>63.299000000000007</v>
      </c>
      <c r="AD35" s="145">
        <f t="shared" si="4"/>
        <v>-5.0577543261375073</v>
      </c>
      <c r="AE35" s="145">
        <f t="shared" si="5"/>
        <v>-25.908000000000001</v>
      </c>
      <c r="AF35" s="145">
        <f t="shared" si="6"/>
        <v>36.698410134832393</v>
      </c>
      <c r="AG35" s="772">
        <f t="shared" si="17"/>
        <v>86.031655808694893</v>
      </c>
      <c r="AH35" s="146">
        <f t="shared" si="7"/>
        <v>45.371889182913975</v>
      </c>
      <c r="AI35" s="156">
        <f t="shared" si="8"/>
        <v>65.991747800512542</v>
      </c>
      <c r="AJ35" s="156">
        <f t="shared" si="9"/>
        <v>44.130324086776945</v>
      </c>
      <c r="AK35" s="88"/>
      <c r="AL35" s="716">
        <f t="shared" si="10"/>
        <v>2931.6008051334584</v>
      </c>
      <c r="AO35"/>
      <c r="AP35"/>
      <c r="AQ35"/>
    </row>
    <row r="36" spans="1:43" s="762" customFormat="1" ht="15.75" customHeight="1">
      <c r="A36" s="991" t="s">
        <v>1197</v>
      </c>
      <c r="B36" s="135">
        <v>45605</v>
      </c>
      <c r="C36" s="595">
        <v>45613</v>
      </c>
      <c r="D36" t="s">
        <v>145</v>
      </c>
      <c r="E36" s="6">
        <v>10437450094</v>
      </c>
      <c r="F36"/>
      <c r="G36" s="80">
        <v>65</v>
      </c>
      <c r="H36" t="s">
        <v>69</v>
      </c>
      <c r="I36" s="596">
        <v>5.52</v>
      </c>
      <c r="J36" s="596">
        <v>1.2</v>
      </c>
      <c r="K36" s="138">
        <f t="shared" si="0"/>
        <v>5.4537599999999999</v>
      </c>
      <c r="L36" s="139">
        <v>0.90200000000000002</v>
      </c>
      <c r="M36" s="139">
        <v>0.88300000000000001</v>
      </c>
      <c r="N36" s="159">
        <v>0.88300000000000001</v>
      </c>
      <c r="O36" s="139">
        <f t="shared" si="16"/>
        <v>0.88300000000000001</v>
      </c>
      <c r="P36" s="629">
        <v>90</v>
      </c>
      <c r="Q36" s="760">
        <v>89.45</v>
      </c>
      <c r="R36" s="706">
        <v>2606.85</v>
      </c>
      <c r="S36" s="765">
        <f>IF((90+ROUNDDOWN(O36,1)*100)&lt;95,95,(90+ROUNDDOWN(O36,1)*100))</f>
        <v>170</v>
      </c>
      <c r="T36"/>
      <c r="U36" s="837">
        <v>130</v>
      </c>
      <c r="V36" s="715">
        <v>1.1023000000000001</v>
      </c>
      <c r="W36"/>
      <c r="X36"/>
      <c r="Y36" s="163">
        <v>10</v>
      </c>
      <c r="Z36" s="143">
        <f>IF(IF(D36="UNTUCA",IF(+((W36-3)*1.5+(X36-3)*3.1)&gt;0,+((W36-3)*1.5+(X36-3)*3.1),0),IF(+((W36-3)*1.5+(X36-3)*3.1)&gt;0,+((W36-3)*1.5+(X36-3)*3.1),0))&lt;30,30,IF(D36="UNTUCA",IF(+((W36-3)*1.5+(X36-3)*3.1)&gt;0,+((W36-3)*1.5+(X36-3)*3.1),0),IF(+((W36-3)*1.5+(X36-3)*3.1)&gt;0,+((W36-3)*1.5+(X36-3)*3.1),0)))</f>
        <v>30</v>
      </c>
      <c r="AA36" s="144">
        <f t="shared" si="2"/>
        <v>40</v>
      </c>
      <c r="AB36" s="145">
        <f t="shared" si="3"/>
        <v>1938.2321756985002</v>
      </c>
      <c r="AC36" s="145">
        <f>+(S36-T36)*V36-'data 1'!$F$4</f>
        <v>107.39100000000002</v>
      </c>
      <c r="AD36" s="145">
        <f t="shared" si="4"/>
        <v>-13.544679736554931</v>
      </c>
      <c r="AE36" s="145">
        <f t="shared" si="5"/>
        <v>-25.908000000000001</v>
      </c>
      <c r="AF36" s="145">
        <f t="shared" si="6"/>
        <v>46.401653792102543</v>
      </c>
      <c r="AG36" s="772">
        <f t="shared" si="17"/>
        <v>131.33997405554763</v>
      </c>
      <c r="AH36" s="146">
        <f t="shared" si="7"/>
        <v>150.8662078220284</v>
      </c>
      <c r="AI36" s="156">
        <f t="shared" si="8"/>
        <v>125.09110426730508</v>
      </c>
      <c r="AJ36" s="156">
        <f t="shared" si="9"/>
        <v>148.59640567221712</v>
      </c>
      <c r="AK36" s="88"/>
      <c r="AL36" s="716">
        <f t="shared" si="10"/>
        <v>10570.653110537452</v>
      </c>
      <c r="AO36"/>
      <c r="AP36"/>
      <c r="AQ36"/>
    </row>
    <row r="37" spans="1:43" s="762" customFormat="1" ht="15.75" customHeight="1">
      <c r="A37" s="991" t="s">
        <v>1198</v>
      </c>
      <c r="B37" s="135">
        <v>45605</v>
      </c>
      <c r="C37" s="595">
        <v>45613</v>
      </c>
      <c r="D37" t="s">
        <v>145</v>
      </c>
      <c r="E37" s="6">
        <v>10437450094</v>
      </c>
      <c r="F37"/>
      <c r="G37" s="80">
        <v>40</v>
      </c>
      <c r="H37" t="s">
        <v>69</v>
      </c>
      <c r="I37" s="596">
        <v>3.71</v>
      </c>
      <c r="J37" s="596">
        <v>1.1000000000000001</v>
      </c>
      <c r="K37" s="138">
        <f t="shared" ref="K37:K59" si="18">+I37-(I37*(J37/100))</f>
        <v>3.66919</v>
      </c>
      <c r="L37" s="139">
        <v>0.20300000000000001</v>
      </c>
      <c r="M37" s="139">
        <v>0.19500000000000001</v>
      </c>
      <c r="N37" s="159">
        <v>0.19500000000000001</v>
      </c>
      <c r="O37" s="139">
        <f t="shared" si="16"/>
        <v>0.19500000000000001</v>
      </c>
      <c r="P37" s="629">
        <v>90</v>
      </c>
      <c r="Q37" s="760">
        <v>89.7</v>
      </c>
      <c r="R37" s="706">
        <v>2606.85</v>
      </c>
      <c r="S37" s="765">
        <f>IF((90+ROUNDDOWN(O37,1)*100)&lt;95,95,(90+ROUNDDOWN(O37,1)*100))</f>
        <v>100</v>
      </c>
      <c r="T37"/>
      <c r="U37" s="837">
        <v>130</v>
      </c>
      <c r="V37" s="715">
        <v>1.1023000000000001</v>
      </c>
      <c r="W37"/>
      <c r="X37"/>
      <c r="Y37" s="163">
        <v>10</v>
      </c>
      <c r="Z37" s="143">
        <f>IF(IF(D37="UNTUCA",IF(+((W37-3)*1.5+(X37-3)*3.1)&gt;0,+((W37-3)*1.5+(X37-3)*3.1),0),IF(+((W37-3)*1.5+(X37-3)*3.1)&gt;0,+((W37-3)*1.5+(X37-3)*3.1),0))&lt;30,30,IF(D37="UNTUCA",IF(+((W37-3)*1.5+(X37-3)*3.1)&gt;0,+((W37-3)*1.5+(X37-3)*3.1),0),IF(+((W37-3)*1.5+(X37-3)*3.1)&gt;0,+((W37-3)*1.5+(X37-3)*3.1),0)))</f>
        <v>30</v>
      </c>
      <c r="AA37" s="144">
        <f t="shared" ref="AA37:AA68" si="19">+Y37+Z37</f>
        <v>40</v>
      </c>
      <c r="AB37" s="145">
        <f t="shared" ref="AB37:AB68" si="20">+((O37*P37*(R37-U37)/100)-S37-AA37+T37)*V37</f>
        <v>324.83367300250001</v>
      </c>
      <c r="AC37" s="145">
        <f>+(S37-T37)*V37-'data 1'!$F$4</f>
        <v>30.230000000000004</v>
      </c>
      <c r="AD37" s="145">
        <f t="shared" ref="AD37:AD68" si="21">+(Q37-P37)*(R37-U37)*L37*V37/100</f>
        <v>-1.6627111387949842</v>
      </c>
      <c r="AE37" s="145">
        <f t="shared" ref="AE37:AE68" si="22">+(Y37*V37-70)+V37*(Z37-IF(D37="UNTUCA",IF(+((W37-3)*2.5+(X37-3)*3.1)&gt;0,+((W37-3)*1.5+(X37-3)*3.1),0),IF(+((W37-3)*1.5+(X37-3)*3.1)&gt;0,+((W37-3)*1.5+(X37-3)*3.1),0)))</f>
        <v>-25.908000000000001</v>
      </c>
      <c r="AF37" s="145">
        <f t="shared" ref="AF37:AF68" si="23">(L37-O37)*(R37-U37)*Q37*V37/100</f>
        <v>19.592143073880017</v>
      </c>
      <c r="AG37" s="772">
        <f t="shared" si="17"/>
        <v>39.251431935085037</v>
      </c>
      <c r="AH37" s="146">
        <f t="shared" ref="AH37:AH68" si="24">31.1035*L37*Q37*1.1023*K37/100</f>
        <v>22.906975506081775</v>
      </c>
      <c r="AI37" s="156">
        <f t="shared" ref="AI37:AI68" si="25">+((+$AI$2-R37+U37)*L37*Q37*V37)/100</f>
        <v>28.231114593045021</v>
      </c>
      <c r="AJ37" s="156">
        <f t="shared" ref="AJ37:AJ68" si="26">31.1035*1.1023*K37*P37*O37/100</f>
        <v>22.077830322846001</v>
      </c>
      <c r="AK37" s="88"/>
      <c r="AL37" s="716">
        <f t="shared" ref="AL37:AL68" si="27">+IF(AB37*K37&gt;0,AB37*K37,0)</f>
        <v>1191.8764646440429</v>
      </c>
      <c r="AO37"/>
      <c r="AP37"/>
      <c r="AQ37"/>
    </row>
    <row r="38" spans="1:43" s="762" customFormat="1" ht="15.75" customHeight="1">
      <c r="A38" s="991" t="s">
        <v>1199</v>
      </c>
      <c r="B38" s="865">
        <v>45616</v>
      </c>
      <c r="C38" s="595">
        <v>45614</v>
      </c>
      <c r="D38" t="s">
        <v>1205</v>
      </c>
      <c r="E38" s="6">
        <v>20601620147</v>
      </c>
      <c r="F38"/>
      <c r="G38" s="80" t="s">
        <v>68</v>
      </c>
      <c r="H38" t="s">
        <v>69</v>
      </c>
      <c r="I38" s="596">
        <v>34.72</v>
      </c>
      <c r="J38" s="596">
        <v>19</v>
      </c>
      <c r="K38" s="138">
        <f t="shared" si="18"/>
        <v>28.123199999999997</v>
      </c>
      <c r="L38" s="139">
        <v>0.44600000000000001</v>
      </c>
      <c r="M38" s="139">
        <v>0.42799999999999999</v>
      </c>
      <c r="N38" s="598">
        <v>0.47499999999999998</v>
      </c>
      <c r="O38" s="139">
        <f t="shared" si="16"/>
        <v>0.45200000000000001</v>
      </c>
      <c r="P38" s="629">
        <v>90</v>
      </c>
      <c r="Q38" s="760">
        <v>89.75</v>
      </c>
      <c r="R38" s="706">
        <v>2606.85</v>
      </c>
      <c r="S38" s="802">
        <v>110</v>
      </c>
      <c r="T38"/>
      <c r="U38" s="837">
        <v>90</v>
      </c>
      <c r="V38" s="715">
        <v>1.1023000000000001</v>
      </c>
      <c r="W38"/>
      <c r="X38"/>
      <c r="Y38" s="163">
        <v>30</v>
      </c>
      <c r="Z38" s="709">
        <v>15</v>
      </c>
      <c r="AA38" s="144">
        <f t="shared" si="19"/>
        <v>45</v>
      </c>
      <c r="AB38" s="145">
        <f t="shared" si="20"/>
        <v>957.73840353399999</v>
      </c>
      <c r="AC38" s="145">
        <f>+(S38-T38)*V38-'data 1'!$F$4</f>
        <v>41.253</v>
      </c>
      <c r="AD38" s="145">
        <f t="shared" si="21"/>
        <v>-3.0933709868250001</v>
      </c>
      <c r="AE38" s="145">
        <f t="shared" si="22"/>
        <v>-20.396499999999996</v>
      </c>
      <c r="AF38" s="145">
        <f t="shared" si="23"/>
        <v>-14.939733420675013</v>
      </c>
      <c r="AG38" s="772">
        <f t="shared" si="17"/>
        <v>19.823395592499992</v>
      </c>
      <c r="AH38" s="146">
        <f t="shared" si="24"/>
        <v>385.96073130828813</v>
      </c>
      <c r="AI38" s="156">
        <f t="shared" si="25"/>
        <v>44.410217751075045</v>
      </c>
      <c r="AJ38" s="156">
        <f t="shared" si="26"/>
        <v>392.24259089451675</v>
      </c>
      <c r="AK38" s="88"/>
      <c r="AL38" s="716">
        <f t="shared" si="27"/>
        <v>26934.668670267387</v>
      </c>
      <c r="AO38"/>
      <c r="AP38"/>
      <c r="AQ38"/>
    </row>
    <row r="39" spans="1:43" s="762" customFormat="1" ht="15.75" customHeight="1">
      <c r="A39" s="991" t="s">
        <v>1200</v>
      </c>
      <c r="B39" s="865">
        <v>45625</v>
      </c>
      <c r="C39" s="595">
        <v>45615</v>
      </c>
      <c r="D39" t="s">
        <v>145</v>
      </c>
      <c r="E39" s="6">
        <v>10437450094</v>
      </c>
      <c r="F39"/>
      <c r="G39" s="80">
        <v>100</v>
      </c>
      <c r="H39" t="s">
        <v>69</v>
      </c>
      <c r="I39" s="596">
        <v>7.8</v>
      </c>
      <c r="J39" s="596">
        <v>1.2</v>
      </c>
      <c r="K39" s="138">
        <f t="shared" si="18"/>
        <v>7.7063999999999995</v>
      </c>
      <c r="L39" s="139">
        <v>0.34100000000000003</v>
      </c>
      <c r="M39" s="139">
        <v>0.32700000000000001</v>
      </c>
      <c r="N39" s="159">
        <v>0.32700000000000001</v>
      </c>
      <c r="O39" s="139">
        <f t="shared" si="16"/>
        <v>0.32700000000000001</v>
      </c>
      <c r="P39" s="629">
        <v>90</v>
      </c>
      <c r="Q39" s="760">
        <v>89.84</v>
      </c>
      <c r="R39" s="706">
        <v>2623.2</v>
      </c>
      <c r="S39" s="765">
        <f>IF((90+ROUNDDOWN(O39,1)*100)&lt;95,95,(90+ROUNDDOWN(O39,1)*100))</f>
        <v>120</v>
      </c>
      <c r="T39"/>
      <c r="U39" s="837">
        <v>100</v>
      </c>
      <c r="V39" s="715">
        <v>1.1023000000000001</v>
      </c>
      <c r="W39"/>
      <c r="X39"/>
      <c r="Y39" s="163">
        <v>10</v>
      </c>
      <c r="Z39" s="143">
        <f>IF(IF(D39="UNTUCA",IF(+((W39-3)*1.5+(X39-3)*3.1)&gt;0,+((W39-3)*1.5+(X39-3)*3.1),0),IF(+((W39-3)*1.5+(X39-3)*3.1)&gt;0,+((W39-3)*1.5+(X39-3)*3.1),0))&lt;30,30,IF(D39="UNTUCA",IF(+((W39-3)*1.5+(X39-3)*3.1)&gt;0,+((W39-3)*1.5+(X39-3)*3.1),0),IF(+((W39-3)*1.5+(X39-3)*3.1)&gt;0,+((W39-3)*1.5+(X39-3)*3.1),0)))</f>
        <v>30</v>
      </c>
      <c r="AA39" s="144">
        <f t="shared" si="19"/>
        <v>40</v>
      </c>
      <c r="AB39" s="145">
        <f t="shared" si="20"/>
        <v>642.17546484800005</v>
      </c>
      <c r="AC39" s="145">
        <f>+(S39-T39)*V39-'data 1'!$F$4</f>
        <v>52.27600000000001</v>
      </c>
      <c r="AD39" s="145">
        <f t="shared" si="21"/>
        <v>-1.5174900252159675</v>
      </c>
      <c r="AE39" s="145">
        <f t="shared" si="22"/>
        <v>-25.908000000000001</v>
      </c>
      <c r="AF39" s="145">
        <f t="shared" si="23"/>
        <v>34.982372692736035</v>
      </c>
      <c r="AG39" s="772">
        <f t="shared" si="17"/>
        <v>76.832882667520067</v>
      </c>
      <c r="AH39" s="146">
        <f t="shared" si="24"/>
        <v>80.944014301854779</v>
      </c>
      <c r="AI39" s="156">
        <f t="shared" si="25"/>
        <v>31.844587117816069</v>
      </c>
      <c r="AJ39" s="156">
        <f t="shared" si="26"/>
        <v>77.759037928085434</v>
      </c>
      <c r="AK39" s="88"/>
      <c r="AL39" s="716">
        <f t="shared" si="27"/>
        <v>4948.8610023046276</v>
      </c>
      <c r="AO39"/>
      <c r="AP39"/>
      <c r="AQ39"/>
    </row>
    <row r="40" spans="1:43" s="762" customFormat="1" ht="15.75" customHeight="1">
      <c r="A40" s="991" t="s">
        <v>1201</v>
      </c>
      <c r="B40" s="638">
        <v>45618</v>
      </c>
      <c r="C40" s="803" cm="1">
        <v>45595</v>
      </c>
      <c r="D40" t="s">
        <v>145</v>
      </c>
      <c r="E40" s="639">
        <v>10437450094</v>
      </c>
      <c r="F40" s="846" t="s">
        <v>1209</v>
      </c>
      <c r="G40" s="80">
        <v>95</v>
      </c>
      <c r="H40" s="596" t="s">
        <v>108</v>
      </c>
      <c r="I40" s="596">
        <v>6.21</v>
      </c>
      <c r="J40" s="596">
        <v>11.5</v>
      </c>
      <c r="K40" s="138">
        <f t="shared" si="18"/>
        <v>5.4958499999999999</v>
      </c>
      <c r="L40" s="139">
        <v>0.85099999999999998</v>
      </c>
      <c r="M40" s="736">
        <v>0.81699999999999995</v>
      </c>
      <c r="N40" s="598">
        <v>0.874</v>
      </c>
      <c r="O40" s="139">
        <f t="shared" si="16"/>
        <v>0.84599999999999997</v>
      </c>
      <c r="P40" s="629">
        <v>90</v>
      </c>
      <c r="Q40" s="827">
        <v>89</v>
      </c>
      <c r="R40" s="740">
        <v>2767.8</v>
      </c>
      <c r="S40" s="765">
        <f>IF((90+ROUNDDOWN(O40,1)*100)&lt;95,95,(90+ROUNDDOWN(O40,1)*100))</f>
        <v>170</v>
      </c>
      <c r="T40"/>
      <c r="U40" s="759">
        <v>130</v>
      </c>
      <c r="V40" s="715">
        <v>1.1023000000000001</v>
      </c>
      <c r="W40"/>
      <c r="X40"/>
      <c r="Y40" s="163">
        <v>30</v>
      </c>
      <c r="Z40" s="143">
        <f>IF(IF(D40="UNTUCA",IF(+((W40-3)*1.5+(X40-3)*3.1)&gt;0,+((W40-3)*1.5+(X40-3)*3.1),0),IF(+((W40-3)*1.5+(X40-3)*3.1)&gt;0,+((W40-3)*1.5+(X40-3)*3.1),0))&lt;30,30,IF(D40="UNTUCA",IF(+((W40-3)*1.5+(X40-3)*3.1)&gt;0,+((W40-3)*1.5+(X40-3)*3.1),0),IF(+((W40-3)*1.5+(X40-3)*3.1)&gt;0,+((W40-3)*1.5+(X40-3)*3.1),0)))</f>
        <v>30</v>
      </c>
      <c r="AA40" s="144">
        <f t="shared" si="19"/>
        <v>60</v>
      </c>
      <c r="AB40" s="145">
        <f t="shared" si="20"/>
        <v>1960.3533801160002</v>
      </c>
      <c r="AC40" s="145">
        <f>+(S40-T40)*V40-'data 1'!$F$4</f>
        <v>107.39100000000002</v>
      </c>
      <c r="AD40" s="145">
        <f t="shared" si="21"/>
        <v>-24.744075459400001</v>
      </c>
      <c r="AE40" s="145">
        <f t="shared" si="22"/>
        <v>-3.8619999999999948</v>
      </c>
      <c r="AF40" s="145">
        <f t="shared" si="23"/>
        <v>12.939028883000013</v>
      </c>
      <c r="AG40" s="772">
        <f t="shared" si="17"/>
        <v>108.72395342360005</v>
      </c>
      <c r="AH40" s="146">
        <f t="shared" si="24"/>
        <v>142.71299055181322</v>
      </c>
      <c r="AI40" s="156">
        <f t="shared" si="25"/>
        <v>-16.947881239100152</v>
      </c>
      <c r="AJ40" s="156">
        <f t="shared" si="26"/>
        <v>143.4685842249707</v>
      </c>
      <c r="AK40" s="676"/>
      <c r="AL40" s="716">
        <f t="shared" si="27"/>
        <v>10773.808124110519</v>
      </c>
      <c r="AO40"/>
      <c r="AP40"/>
      <c r="AQ40"/>
    </row>
    <row r="41" spans="1:43" s="762" customFormat="1" ht="15.75" customHeight="1">
      <c r="A41" s="991" t="s">
        <v>1202</v>
      </c>
      <c r="B41" s="638">
        <v>45618</v>
      </c>
      <c r="C41" s="803">
        <v>45595</v>
      </c>
      <c r="D41" t="s">
        <v>145</v>
      </c>
      <c r="E41" s="6">
        <v>10437450094</v>
      </c>
      <c r="F41" s="846" t="s">
        <v>1210</v>
      </c>
      <c r="G41" s="80">
        <v>75</v>
      </c>
      <c r="H41" s="596" t="s">
        <v>108</v>
      </c>
      <c r="I41" s="596">
        <v>5.27</v>
      </c>
      <c r="J41" s="596">
        <v>14.78</v>
      </c>
      <c r="K41" s="138">
        <f t="shared" si="18"/>
        <v>4.4910939999999995</v>
      </c>
      <c r="L41" s="139">
        <v>0.67800000000000005</v>
      </c>
      <c r="M41" s="736">
        <v>0.65</v>
      </c>
      <c r="N41" s="159">
        <v>0.7</v>
      </c>
      <c r="O41" s="139">
        <f t="shared" si="16"/>
        <v>0.67500000000000004</v>
      </c>
      <c r="P41" s="629">
        <v>90</v>
      </c>
      <c r="Q41" s="761">
        <v>89.31</v>
      </c>
      <c r="R41" s="740">
        <v>2767.8</v>
      </c>
      <c r="S41" s="765">
        <f>IF((90+ROUNDDOWN(O41,1)*100)&lt;95,95,(90+ROUNDDOWN(O41,1)*100))</f>
        <v>150</v>
      </c>
      <c r="T41"/>
      <c r="U41" s="759">
        <v>130</v>
      </c>
      <c r="V41" s="715">
        <v>1.1023000000000001</v>
      </c>
      <c r="W41"/>
      <c r="X41"/>
      <c r="Y41" s="163">
        <v>10</v>
      </c>
      <c r="Z41" s="143">
        <f>IF(IF(D41="UNTUCA",IF(+((W41-3)*1.5+(X41-3)*3.1)&gt;0,+((W41-3)*1.5+(X41-3)*3.1),0),IF(+((W41-3)*1.5+(X41-3)*3.1)&gt;0,+((W41-3)*1.5+(X41-3)*3.1),0))&lt;30,30,IF(D41="UNTUCA",IF(+((W41-3)*1.5+(X41-3)*3.1)&gt;0,+((W41-3)*1.5+(X41-3)*3.1),0),IF(+((W41-3)*1.5+(X41-3)*3.1)&gt;0,+((W41-3)*1.5+(X41-3)*3.1),0)))</f>
        <v>30</v>
      </c>
      <c r="AA41" s="144">
        <f t="shared" si="19"/>
        <v>40</v>
      </c>
      <c r="AB41" s="145">
        <f t="shared" si="20"/>
        <v>1556.9585160500003</v>
      </c>
      <c r="AC41" s="145">
        <f>+(S41-T41)*V41-'data 1'!$F$4</f>
        <v>85.344999999999999</v>
      </c>
      <c r="AD41" s="145">
        <f t="shared" si="21"/>
        <v>-13.602553914707958</v>
      </c>
      <c r="AE41" s="145">
        <f t="shared" si="22"/>
        <v>-25.908000000000001</v>
      </c>
      <c r="AF41" s="145">
        <f t="shared" si="23"/>
        <v>7.7904584463420088</v>
      </c>
      <c r="AG41" s="772">
        <f t="shared" si="17"/>
        <v>70.624904531634058</v>
      </c>
      <c r="AH41" s="146">
        <f t="shared" si="24"/>
        <v>93.237581028522868</v>
      </c>
      <c r="AI41" s="156">
        <f t="shared" si="25"/>
        <v>-13.549573606842126</v>
      </c>
      <c r="AJ41" s="156">
        <f t="shared" si="26"/>
        <v>93.54218208960873</v>
      </c>
      <c r="AK41" s="676"/>
      <c r="AL41" s="716">
        <f t="shared" si="27"/>
        <v>6992.4470496810591</v>
      </c>
      <c r="AO41"/>
      <c r="AP41"/>
      <c r="AQ41"/>
    </row>
    <row r="42" spans="1:43" s="762" customFormat="1" ht="15.75" customHeight="1">
      <c r="A42" s="991" t="s">
        <v>1203</v>
      </c>
      <c r="B42" s="595">
        <v>45617</v>
      </c>
      <c r="C42" s="595">
        <v>45615</v>
      </c>
      <c r="D42" t="s">
        <v>129</v>
      </c>
      <c r="E42" s="79">
        <v>10423109730</v>
      </c>
      <c r="F42"/>
      <c r="G42" s="80" t="s">
        <v>68</v>
      </c>
      <c r="H42" t="s">
        <v>69</v>
      </c>
      <c r="I42" s="596">
        <v>21.52</v>
      </c>
      <c r="J42" s="596">
        <v>1.3</v>
      </c>
      <c r="K42" s="138">
        <f t="shared" si="18"/>
        <v>21.24024</v>
      </c>
      <c r="L42" s="139">
        <v>0.20300000000000001</v>
      </c>
      <c r="M42" s="139">
        <v>0.218</v>
      </c>
      <c r="N42" s="598">
        <v>0.25</v>
      </c>
      <c r="O42" s="139">
        <f t="shared" si="16"/>
        <v>0.23400000000000001</v>
      </c>
      <c r="P42" s="629">
        <v>90</v>
      </c>
      <c r="Q42" s="760">
        <v>89.92</v>
      </c>
      <c r="R42" s="706">
        <v>2623.2</v>
      </c>
      <c r="S42" s="765">
        <f>IF((90+ROUNDDOWN(O42,1)*100)&lt;95,95,(90+ROUNDDOWN(O42,1)*100))</f>
        <v>110</v>
      </c>
      <c r="T42"/>
      <c r="U42" s="837">
        <v>100</v>
      </c>
      <c r="V42" s="715">
        <v>1.1023000000000001</v>
      </c>
      <c r="W42"/>
      <c r="X42"/>
      <c r="Y42" s="163"/>
      <c r="Z42" s="143">
        <f>IF(IF(D42="UNTUCA",IF(+((W42-3)*1.5+(X42-3)*3.1)&gt;0,+((W42-3)*1.5+(X42-3)*3.1),0),IF(+((W42-3)*1.5+(X42-3)*3.1)&gt;0,+((W42-3)*1.5+(X42-3)*3.1),0))&lt;30,30,IF(D42="UNTUCA",IF(+((W42-3)*1.5+(X42-3)*3.1)&gt;0,+((W42-3)*1.5+(X42-3)*3.1),0),IF(+((W42-3)*1.5+(X42-3)*3.1)&gt;0,+((W42-3)*1.5+(X42-3)*3.1),0)))</f>
        <v>30</v>
      </c>
      <c r="AA42" s="144">
        <f t="shared" si="19"/>
        <v>30</v>
      </c>
      <c r="AB42" s="145">
        <f t="shared" si="20"/>
        <v>431.42469961600011</v>
      </c>
      <c r="AC42" s="145">
        <f>+(S42-T42)*V42-'data 1'!$F$4</f>
        <v>41.253</v>
      </c>
      <c r="AD42" s="145">
        <f t="shared" si="21"/>
        <v>-0.45168691366399039</v>
      </c>
      <c r="AE42" s="145">
        <f t="shared" si="22"/>
        <v>-36.930999999999997</v>
      </c>
      <c r="AF42" s="145">
        <f t="shared" si="23"/>
        <v>-77.529944924671994</v>
      </c>
      <c r="AG42" s="772">
        <f>+IF(D42="RONALD WILLIAN GARIBAY ESCUDERO",AC42+AD42+AE42+AF42+70,AC42+AD42+AE42+AF42)</f>
        <v>-3.6596318383359829</v>
      </c>
      <c r="AH42" s="146">
        <f t="shared" si="24"/>
        <v>132.92933284134898</v>
      </c>
      <c r="AI42" s="156">
        <f t="shared" si="25"/>
        <v>18.97421582806404</v>
      </c>
      <c r="AJ42" s="156">
        <f t="shared" si="26"/>
        <v>153.36521076418282</v>
      </c>
      <c r="AK42" s="88"/>
      <c r="AL42" s="716">
        <f t="shared" si="27"/>
        <v>9163.5641617717502</v>
      </c>
      <c r="AO42"/>
      <c r="AP42"/>
      <c r="AQ42"/>
    </row>
    <row r="43" spans="1:43" s="762" customFormat="1" ht="15.75" customHeight="1">
      <c r="A43" s="991" t="s">
        <v>1204</v>
      </c>
      <c r="B43" s="595">
        <v>45621</v>
      </c>
      <c r="C43" s="595">
        <v>45616</v>
      </c>
      <c r="D43" t="s">
        <v>129</v>
      </c>
      <c r="E43" s="79">
        <v>10423109730</v>
      </c>
      <c r="F43"/>
      <c r="G43" s="80">
        <v>96</v>
      </c>
      <c r="H43" t="s">
        <v>69</v>
      </c>
      <c r="I43" s="596">
        <v>11.85</v>
      </c>
      <c r="J43" s="596">
        <v>1.2</v>
      </c>
      <c r="K43" s="138">
        <f t="shared" si="18"/>
        <v>11.707799999999999</v>
      </c>
      <c r="L43" s="139">
        <v>0.63</v>
      </c>
      <c r="M43" s="139">
        <v>0.63</v>
      </c>
      <c r="N43" s="598">
        <v>0.66400000000000003</v>
      </c>
      <c r="O43" s="139">
        <f t="shared" si="16"/>
        <v>0.64700000000000002</v>
      </c>
      <c r="P43" s="629">
        <v>90</v>
      </c>
      <c r="Q43" s="760">
        <v>89.59</v>
      </c>
      <c r="R43" s="706">
        <v>2640.55</v>
      </c>
      <c r="S43" s="765">
        <f>IF((90+ROUNDDOWN(O43,1)*100)&lt;95,95,(90+ROUNDDOWN(O43,1)*100))</f>
        <v>150</v>
      </c>
      <c r="T43"/>
      <c r="U43" s="837">
        <v>100</v>
      </c>
      <c r="V43" s="715">
        <v>1.1023000000000001</v>
      </c>
      <c r="W43"/>
      <c r="X43"/>
      <c r="Y43" s="163"/>
      <c r="Z43" s="143">
        <f>IF(IF(D43="UNTUCA",IF(+((W43-3)*1.5+(X43-3)*3.1)&gt;0,+((W43-3)*1.5+(X43-3)*3.1),0),IF(+((W43-3)*1.5+(X43-3)*3.1)&gt;0,+((W43-3)*1.5+(X43-3)*3.1),0))&lt;30,30,IF(D43="UNTUCA",IF(+((W43-3)*1.5+(X43-3)*3.1)&gt;0,+((W43-3)*1.5+(X43-3)*3.1),0),IF(+((W43-3)*1.5+(X43-3)*3.1)&gt;0,+((W43-3)*1.5+(X43-3)*3.1),0)))</f>
        <v>30</v>
      </c>
      <c r="AA43" s="144">
        <f t="shared" si="19"/>
        <v>30</v>
      </c>
      <c r="AB43" s="145">
        <f t="shared" si="20"/>
        <v>1432.2870247095002</v>
      </c>
      <c r="AC43" s="145">
        <f>+(S43-T43)*V43-'data 1'!$F$4</f>
        <v>85.344999999999999</v>
      </c>
      <c r="AD43" s="145">
        <f t="shared" si="21"/>
        <v>-7.233557868494942</v>
      </c>
      <c r="AE43" s="145">
        <f t="shared" si="22"/>
        <v>-36.930999999999997</v>
      </c>
      <c r="AF43" s="145">
        <f t="shared" si="23"/>
        <v>-42.651667210429544</v>
      </c>
      <c r="AG43" s="772">
        <f>+IF(D43="RONALD WILLIAN GARIBAY ESCUDERO",AC43+AD43+AE43+AF43+70,AC43+AD43+AE43+AF43)</f>
        <v>68.528774921075524</v>
      </c>
      <c r="AH43" s="146">
        <f t="shared" si="24"/>
        <v>226.56063343985986</v>
      </c>
      <c r="AI43" s="156">
        <f t="shared" si="25"/>
        <v>47.874970307744888</v>
      </c>
      <c r="AJ43" s="156">
        <f t="shared" si="26"/>
        <v>233.73898527512532</v>
      </c>
      <c r="AK43" s="88"/>
      <c r="AL43" s="716">
        <f t="shared" si="27"/>
        <v>16768.930027893886</v>
      </c>
      <c r="AO43"/>
      <c r="AP43"/>
      <c r="AQ43"/>
    </row>
    <row r="44" spans="1:43" s="762" customFormat="1" ht="15.75" customHeight="1">
      <c r="A44" s="991" t="s">
        <v>1215</v>
      </c>
      <c r="B44" s="595">
        <v>45619</v>
      </c>
      <c r="C44" s="595">
        <v>45617</v>
      </c>
      <c r="D44" t="s">
        <v>1029</v>
      </c>
      <c r="E44" s="142">
        <v>10421580605</v>
      </c>
      <c r="F44"/>
      <c r="G44" s="80" t="s">
        <v>68</v>
      </c>
      <c r="H44" t="s">
        <v>69</v>
      </c>
      <c r="I44" s="596">
        <v>32.49</v>
      </c>
      <c r="J44" s="596">
        <v>16.399999999999999</v>
      </c>
      <c r="K44" s="138">
        <f t="shared" si="18"/>
        <v>27.161640000000002</v>
      </c>
      <c r="L44" s="139">
        <v>0.161</v>
      </c>
      <c r="M44" s="139">
        <v>0.14499999999999999</v>
      </c>
      <c r="N44" s="598">
        <v>0.17199999999999999</v>
      </c>
      <c r="O44" s="139">
        <f t="shared" si="16"/>
        <v>0.159</v>
      </c>
      <c r="P44" s="629">
        <v>90</v>
      </c>
      <c r="Q44" s="760">
        <v>89.23</v>
      </c>
      <c r="R44" s="706">
        <v>2665.3</v>
      </c>
      <c r="S44" s="802">
        <v>85</v>
      </c>
      <c r="T44"/>
      <c r="U44" s="886">
        <v>90</v>
      </c>
      <c r="V44" s="715">
        <v>1.1023000000000001</v>
      </c>
      <c r="W44"/>
      <c r="X44"/>
      <c r="Y44" s="163"/>
      <c r="Z44" s="709">
        <v>15</v>
      </c>
      <c r="AA44" s="144">
        <f t="shared" si="19"/>
        <v>15</v>
      </c>
      <c r="AB44" s="145">
        <f t="shared" si="20"/>
        <v>295.99558148900007</v>
      </c>
      <c r="AC44" s="145">
        <f>+(S44-T44)*V44-'data 1'!$F$4</f>
        <v>13.69550000000001</v>
      </c>
      <c r="AD44" s="145">
        <f t="shared" si="21"/>
        <v>-3.5192023296429822</v>
      </c>
      <c r="AE44" s="145">
        <f t="shared" si="22"/>
        <v>-53.465499999999999</v>
      </c>
      <c r="AF44" s="145">
        <f t="shared" si="23"/>
        <v>5.0660389428740054</v>
      </c>
      <c r="AG44" s="772">
        <f>+IF(D44="RONALD WILLIAN GARIBAY ESCUDERO",AC44+AD44+AE44+AF44+70,AC44+AD44+AE44+AF44)+70-20</f>
        <v>11.776836613231026</v>
      </c>
      <c r="AH44" s="146">
        <f t="shared" si="24"/>
        <v>133.78327618558288</v>
      </c>
      <c r="AI44" s="156">
        <f t="shared" si="25"/>
        <v>6.6826547947179726</v>
      </c>
      <c r="AJ44" s="156">
        <f t="shared" si="26"/>
        <v>133.26149828558695</v>
      </c>
      <c r="AK44" s="88"/>
      <c r="AL44" s="716">
        <f t="shared" si="27"/>
        <v>8039.725425994885</v>
      </c>
      <c r="AO44"/>
      <c r="AP44"/>
      <c r="AQ44"/>
    </row>
    <row r="45" spans="1:43" s="762" customFormat="1" ht="15.75" customHeight="1">
      <c r="A45" s="991" t="s">
        <v>1216</v>
      </c>
      <c r="B45" s="595">
        <v>45619</v>
      </c>
      <c r="C45" s="595">
        <v>45617</v>
      </c>
      <c r="D45" t="s">
        <v>154</v>
      </c>
      <c r="E45" s="640">
        <v>10416085884</v>
      </c>
      <c r="F45"/>
      <c r="G45" s="80">
        <v>114</v>
      </c>
      <c r="H45" t="s">
        <v>69</v>
      </c>
      <c r="I45" s="596">
        <v>8.09</v>
      </c>
      <c r="J45" s="596">
        <v>4.1500000000000004</v>
      </c>
      <c r="K45" s="138">
        <f t="shared" si="18"/>
        <v>7.7542650000000002</v>
      </c>
      <c r="L45" s="139">
        <v>0.113</v>
      </c>
      <c r="M45" s="139">
        <v>0.108</v>
      </c>
      <c r="N45" s="598">
        <v>0.126</v>
      </c>
      <c r="O45" s="139">
        <f t="shared" si="16"/>
        <v>0.11700000000000001</v>
      </c>
      <c r="P45" s="629">
        <v>85</v>
      </c>
      <c r="Q45" s="760">
        <v>89.46</v>
      </c>
      <c r="R45" s="706">
        <v>2665.3</v>
      </c>
      <c r="S45" s="802">
        <v>110</v>
      </c>
      <c r="T45"/>
      <c r="U45" s="886">
        <v>90</v>
      </c>
      <c r="V45" s="715">
        <v>1.1023000000000001</v>
      </c>
      <c r="W45"/>
      <c r="X45"/>
      <c r="Y45" s="163"/>
      <c r="Z45" s="143">
        <f t="shared" ref="Z45:Z59" si="28">IF(IF(D45="UNTUCA",IF(+((W45-3)*1.5+(X45-3)*3.1)&gt;0,+((W45-3)*1.5+(X45-3)*3.1),0),IF(+((W45-3)*1.5+(X45-3)*3.1)&gt;0,+((W45-3)*1.5+(X45-3)*3.1),0))&lt;30,30,IF(D45="UNTUCA",IF(+((W45-3)*1.5+(X45-3)*3.1)&gt;0,+((W45-3)*1.5+(X45-3)*3.1),0),IF(+((W45-3)*1.5+(X45-3)*3.1)&gt;0,+((W45-3)*1.5+(X45-3)*3.1),0)))</f>
        <v>30</v>
      </c>
      <c r="AA45" s="144">
        <f t="shared" si="19"/>
        <v>30</v>
      </c>
      <c r="AB45" s="145">
        <f t="shared" si="20"/>
        <v>127.99200474550001</v>
      </c>
      <c r="AC45" s="145">
        <f>+(S45-T45)*V45-'data 1'!$F$4</f>
        <v>41.253</v>
      </c>
      <c r="AD45" s="145">
        <f t="shared" si="21"/>
        <v>14.306748326961984</v>
      </c>
      <c r="AE45" s="145">
        <f t="shared" si="22"/>
        <v>-36.930999999999997</v>
      </c>
      <c r="AF45" s="145">
        <f t="shared" si="23"/>
        <v>-10.158194415096011</v>
      </c>
      <c r="AG45" s="772">
        <f>+IF(D45="RONALD WILLIAN GARIBAY ESCUDERO",AC45+AD45+AE45+AF45+70,AC45+AD45+AE45+AF45)+90-53</f>
        <v>45.470553911865977</v>
      </c>
      <c r="AH45" s="146">
        <f t="shared" si="24"/>
        <v>26.875530488335027</v>
      </c>
      <c r="AI45" s="156">
        <f t="shared" si="25"/>
        <v>4.7024002919879804</v>
      </c>
      <c r="AJ45" s="156">
        <f t="shared" si="26"/>
        <v>26.439576565241186</v>
      </c>
      <c r="AK45" s="88"/>
      <c r="AL45" s="716">
        <f t="shared" si="27"/>
        <v>992.48392267786471</v>
      </c>
      <c r="AO45"/>
      <c r="AP45"/>
      <c r="AQ45"/>
    </row>
    <row r="46" spans="1:43" s="762" customFormat="1" ht="15.75" customHeight="1">
      <c r="A46" s="991" t="s">
        <v>1217</v>
      </c>
      <c r="B46" s="595">
        <v>45619</v>
      </c>
      <c r="C46" s="595">
        <v>45617</v>
      </c>
      <c r="D46" t="s">
        <v>154</v>
      </c>
      <c r="E46" s="640">
        <v>10416085884</v>
      </c>
      <c r="F46"/>
      <c r="G46" s="80" t="s">
        <v>68</v>
      </c>
      <c r="H46" t="s">
        <v>69</v>
      </c>
      <c r="I46" s="596">
        <v>19.149999999999999</v>
      </c>
      <c r="J46" s="596">
        <v>9.9499999999999993</v>
      </c>
      <c r="K46" s="138">
        <f t="shared" si="18"/>
        <v>17.244574999999998</v>
      </c>
      <c r="L46" s="139">
        <v>0.127</v>
      </c>
      <c r="M46" s="139">
        <v>0.113</v>
      </c>
      <c r="N46" s="598">
        <v>0.13300000000000001</v>
      </c>
      <c r="O46" s="139">
        <f t="shared" si="16"/>
        <v>0.123</v>
      </c>
      <c r="P46" s="629">
        <v>85</v>
      </c>
      <c r="Q46" s="760">
        <v>89.78</v>
      </c>
      <c r="R46" s="706">
        <v>2665.3</v>
      </c>
      <c r="S46" s="802">
        <v>110</v>
      </c>
      <c r="T46"/>
      <c r="U46" s="886">
        <v>90</v>
      </c>
      <c r="V46" s="715">
        <v>1.1023000000000001</v>
      </c>
      <c r="W46"/>
      <c r="X46"/>
      <c r="Y46" s="163"/>
      <c r="Z46" s="143">
        <f t="shared" si="28"/>
        <v>30</v>
      </c>
      <c r="AA46" s="144">
        <f t="shared" si="19"/>
        <v>30</v>
      </c>
      <c r="AB46" s="145">
        <f t="shared" si="20"/>
        <v>142.4696460145</v>
      </c>
      <c r="AC46" s="145">
        <f>+(S46-T46)*V46-'data 1'!$F$4</f>
        <v>41.253</v>
      </c>
      <c r="AD46" s="145">
        <f t="shared" si="21"/>
        <v>17.232935115214005</v>
      </c>
      <c r="AE46" s="145">
        <f t="shared" si="22"/>
        <v>-36.930999999999997</v>
      </c>
      <c r="AF46" s="145">
        <f t="shared" si="23"/>
        <v>10.19453045592801</v>
      </c>
      <c r="AG46" s="772">
        <f>+IF(D46="RONALD WILLIAN GARIBAY ESCUDERO",AC46+AD46+AE46+AF46+70,AC46+AD46+AE46+AF46)+90-53</f>
        <v>68.749465571142025</v>
      </c>
      <c r="AH46" s="146">
        <f t="shared" si="24"/>
        <v>67.413191283165503</v>
      </c>
      <c r="AI46" s="156">
        <f t="shared" si="25"/>
        <v>5.303903091435977</v>
      </c>
      <c r="AJ46" s="156">
        <f t="shared" si="26"/>
        <v>61.813822665859959</v>
      </c>
      <c r="AK46" s="88"/>
      <c r="AL46" s="716">
        <f t="shared" si="27"/>
        <v>2456.8284959204962</v>
      </c>
      <c r="AO46"/>
      <c r="AP46"/>
      <c r="AQ46"/>
    </row>
    <row r="47" spans="1:43" s="762" customFormat="1" ht="15.75" customHeight="1">
      <c r="A47" s="991" t="s">
        <v>1261</v>
      </c>
      <c r="B47" s="595">
        <v>45622</v>
      </c>
      <c r="C47" s="595">
        <v>45619</v>
      </c>
      <c r="D47" t="s">
        <v>1265</v>
      </c>
      <c r="E47" s="142">
        <v>20606527439</v>
      </c>
      <c r="F47"/>
      <c r="G47" s="80" t="s">
        <v>68</v>
      </c>
      <c r="H47" t="s">
        <v>69</v>
      </c>
      <c r="I47" s="596">
        <v>4.5599999999999996</v>
      </c>
      <c r="J47" s="596">
        <v>5.2</v>
      </c>
      <c r="K47" s="138">
        <f t="shared" si="18"/>
        <v>4.3228799999999996</v>
      </c>
      <c r="L47" s="139">
        <v>0.157</v>
      </c>
      <c r="M47" s="139">
        <v>0.14699999999999999</v>
      </c>
      <c r="N47" s="159">
        <v>0.14699999999999999</v>
      </c>
      <c r="O47" s="139">
        <f t="shared" si="16"/>
        <v>0.14699999999999999</v>
      </c>
      <c r="P47" s="629">
        <v>85</v>
      </c>
      <c r="Q47" s="760">
        <v>89.89</v>
      </c>
      <c r="R47" s="706">
        <v>2694.95</v>
      </c>
      <c r="S47" s="802">
        <v>110</v>
      </c>
      <c r="T47"/>
      <c r="U47" s="886">
        <v>90</v>
      </c>
      <c r="V47" s="715">
        <v>1.1023000000000001</v>
      </c>
      <c r="W47"/>
      <c r="X47"/>
      <c r="Y47" s="163"/>
      <c r="Z47" s="143">
        <f t="shared" si="28"/>
        <v>30</v>
      </c>
      <c r="AA47" s="144">
        <f t="shared" si="19"/>
        <v>30</v>
      </c>
      <c r="AB47" s="145">
        <f t="shared" si="20"/>
        <v>204.46397630574998</v>
      </c>
      <c r="AC47" s="145">
        <f>+(S47-T47)*V47-'data 1'!$F$4</f>
        <v>41.253</v>
      </c>
      <c r="AD47" s="145">
        <f t="shared" si="21"/>
        <v>22.044878558560498</v>
      </c>
      <c r="AE47" s="145">
        <f t="shared" si="22"/>
        <v>-36.930999999999997</v>
      </c>
      <c r="AF47" s="145">
        <f t="shared" si="23"/>
        <v>25.811341664765024</v>
      </c>
      <c r="AG47" s="772">
        <f>+IF(D47="RONALD WILLIAN GARIBAY ESCUDERO",AC47+AD47+AE47+AF47+70,AC47+AD47+AE47+AF47)+70-53</f>
        <v>69.178220223325525</v>
      </c>
      <c r="AH47" s="146">
        <f t="shared" si="24"/>
        <v>20.916705518404115</v>
      </c>
      <c r="AI47" s="156">
        <f t="shared" si="25"/>
        <v>1.9523360160145284</v>
      </c>
      <c r="AJ47" s="156">
        <f t="shared" si="26"/>
        <v>18.519041705783319</v>
      </c>
      <c r="AK47" s="88"/>
      <c r="AL47" s="716">
        <f t="shared" si="27"/>
        <v>883.87323389260041</v>
      </c>
      <c r="AO47"/>
      <c r="AP47"/>
      <c r="AQ47"/>
    </row>
    <row r="48" spans="1:43" s="762" customFormat="1" ht="15.75" customHeight="1">
      <c r="A48" s="991" t="s">
        <v>1262</v>
      </c>
      <c r="B48" s="595">
        <v>45622</v>
      </c>
      <c r="C48" s="595">
        <v>45619</v>
      </c>
      <c r="D48" t="s">
        <v>129</v>
      </c>
      <c r="E48" s="79">
        <v>10423109730</v>
      </c>
      <c r="F48"/>
      <c r="G48" s="80">
        <v>38</v>
      </c>
      <c r="H48" t="s">
        <v>69</v>
      </c>
      <c r="I48" s="596">
        <v>3.72</v>
      </c>
      <c r="J48" s="596">
        <v>1.02</v>
      </c>
      <c r="K48" s="138">
        <f t="shared" si="18"/>
        <v>3.6820560000000002</v>
      </c>
      <c r="L48" s="139">
        <v>0.46800000000000003</v>
      </c>
      <c r="M48" s="139">
        <v>0.45800000000000002</v>
      </c>
      <c r="N48" s="159">
        <v>0.45800000000000002</v>
      </c>
      <c r="O48" s="139">
        <f t="shared" si="16"/>
        <v>0.45800000000000002</v>
      </c>
      <c r="P48" s="629">
        <v>90</v>
      </c>
      <c r="Q48" s="760">
        <v>89.78</v>
      </c>
      <c r="R48" s="706">
        <v>2694.95</v>
      </c>
      <c r="S48" s="765">
        <f t="shared" ref="S48:S59" si="29">IF((90+ROUNDDOWN(O48,1)*100)&lt;95,95,(90+ROUNDDOWN(O48,1)*100))</f>
        <v>130</v>
      </c>
      <c r="T48"/>
      <c r="U48" s="886">
        <v>100</v>
      </c>
      <c r="V48" s="715">
        <v>1.1023000000000001</v>
      </c>
      <c r="W48"/>
      <c r="X48"/>
      <c r="Y48" s="163"/>
      <c r="Z48" s="143">
        <f t="shared" si="28"/>
        <v>30</v>
      </c>
      <c r="AA48" s="144">
        <f t="shared" si="19"/>
        <v>30</v>
      </c>
      <c r="AB48" s="145">
        <f t="shared" si="20"/>
        <v>1002.6943972969999</v>
      </c>
      <c r="AC48" s="145">
        <f>+(S48-T48)*V48-'data 1'!$F$4</f>
        <v>63.299000000000007</v>
      </c>
      <c r="AD48" s="145">
        <f t="shared" si="21"/>
        <v>-2.9450816211959854</v>
      </c>
      <c r="AE48" s="145">
        <f t="shared" si="22"/>
        <v>-36.930999999999997</v>
      </c>
      <c r="AF48" s="145">
        <f t="shared" si="23"/>
        <v>25.680791370530024</v>
      </c>
      <c r="AG48" s="772">
        <f t="shared" ref="AG48:AG59" si="30">+IF(D48="RONALD WILLIAN GARIBAY ESCUDERO",AC48+AD48+AE48+AF48+70,AC48+AD48+AE48+AF48)</f>
        <v>119.10370974933406</v>
      </c>
      <c r="AH48" s="146">
        <f t="shared" si="24"/>
        <v>53.042613306849368</v>
      </c>
      <c r="AI48" s="156">
        <f t="shared" si="25"/>
        <v>10.444118909796087</v>
      </c>
      <c r="AJ48" s="156">
        <f t="shared" si="26"/>
        <v>52.036424281870659</v>
      </c>
      <c r="AK48" s="88"/>
      <c r="AL48" s="716">
        <f t="shared" si="27"/>
        <v>3691.9769217338026</v>
      </c>
      <c r="AO48"/>
      <c r="AP48"/>
      <c r="AQ48"/>
    </row>
    <row r="49" spans="1:43" s="762" customFormat="1" ht="15.75" customHeight="1">
      <c r="A49" s="991" t="s">
        <v>1263</v>
      </c>
      <c r="B49" s="595">
        <v>45622</v>
      </c>
      <c r="C49" s="595">
        <v>45619</v>
      </c>
      <c r="D49" t="s">
        <v>129</v>
      </c>
      <c r="E49" s="79">
        <v>10423109730</v>
      </c>
      <c r="F49"/>
      <c r="G49" s="80">
        <v>37</v>
      </c>
      <c r="H49" t="s">
        <v>69</v>
      </c>
      <c r="I49" s="596">
        <v>4</v>
      </c>
      <c r="J49" s="596">
        <v>1.1200000000000001</v>
      </c>
      <c r="K49" s="138">
        <f t="shared" si="18"/>
        <v>3.9552</v>
      </c>
      <c r="L49" s="139">
        <v>0.20799999999999999</v>
      </c>
      <c r="M49" s="139">
        <v>0.19800000000000001</v>
      </c>
      <c r="N49" s="159">
        <v>0.19800000000000001</v>
      </c>
      <c r="O49" s="139">
        <f t="shared" si="16"/>
        <v>0.19800000000000001</v>
      </c>
      <c r="P49" s="629">
        <v>90</v>
      </c>
      <c r="Q49" s="760">
        <v>89.56</v>
      </c>
      <c r="R49" s="706">
        <v>2694.95</v>
      </c>
      <c r="S49" s="765">
        <f t="shared" si="29"/>
        <v>100</v>
      </c>
      <c r="T49"/>
      <c r="U49" s="886">
        <v>100</v>
      </c>
      <c r="V49" s="715">
        <v>1.1023000000000001</v>
      </c>
      <c r="W49"/>
      <c r="X49"/>
      <c r="Y49" s="163"/>
      <c r="Z49" s="143">
        <f t="shared" si="28"/>
        <v>30</v>
      </c>
      <c r="AA49" s="144">
        <f t="shared" si="19"/>
        <v>30</v>
      </c>
      <c r="AB49" s="145">
        <f t="shared" si="20"/>
        <v>366.42666520699999</v>
      </c>
      <c r="AC49" s="145">
        <f>+(S49-T49)*V49-'data 1'!$F$4</f>
        <v>30.230000000000004</v>
      </c>
      <c r="AD49" s="145">
        <f t="shared" si="21"/>
        <v>-2.6178503299519864</v>
      </c>
      <c r="AE49" s="145">
        <f t="shared" si="22"/>
        <v>-36.930999999999997</v>
      </c>
      <c r="AF49" s="145">
        <f t="shared" si="23"/>
        <v>25.617862276059956</v>
      </c>
      <c r="AG49" s="772">
        <f t="shared" si="30"/>
        <v>86.299011946107981</v>
      </c>
      <c r="AH49" s="146">
        <f t="shared" si="24"/>
        <v>25.261255893085977</v>
      </c>
      <c r="AI49" s="156">
        <f t="shared" si="25"/>
        <v>4.6304561251520377</v>
      </c>
      <c r="AJ49" s="156">
        <f t="shared" si="26"/>
        <v>24.164912006497158</v>
      </c>
      <c r="AK49" s="88"/>
      <c r="AL49" s="716">
        <f t="shared" si="27"/>
        <v>1449.2907462267265</v>
      </c>
      <c r="AO49"/>
      <c r="AP49"/>
      <c r="AQ49"/>
    </row>
    <row r="50" spans="1:43" s="762" customFormat="1" ht="15.75" customHeight="1">
      <c r="A50" s="991" t="s">
        <v>1264</v>
      </c>
      <c r="B50" s="595">
        <v>45622</v>
      </c>
      <c r="C50" s="595">
        <v>45619</v>
      </c>
      <c r="D50" t="s">
        <v>129</v>
      </c>
      <c r="E50" s="79">
        <v>10423109730</v>
      </c>
      <c r="F50"/>
      <c r="G50" s="80">
        <v>22</v>
      </c>
      <c r="H50" t="s">
        <v>69</v>
      </c>
      <c r="I50" s="596">
        <v>2.57</v>
      </c>
      <c r="J50" s="596">
        <v>1.05</v>
      </c>
      <c r="K50" s="138">
        <f t="shared" si="18"/>
        <v>2.543015</v>
      </c>
      <c r="L50" s="139">
        <v>0.75700000000000001</v>
      </c>
      <c r="M50" s="139">
        <v>0.747</v>
      </c>
      <c r="N50" s="149">
        <v>0.79500000000000004</v>
      </c>
      <c r="O50" s="139">
        <f t="shared" si="16"/>
        <v>0.77100000000000002</v>
      </c>
      <c r="P50" s="629">
        <v>90</v>
      </c>
      <c r="Q50" s="760">
        <v>89.81</v>
      </c>
      <c r="R50" s="706">
        <v>2694.95</v>
      </c>
      <c r="S50" s="765">
        <f t="shared" si="29"/>
        <v>160</v>
      </c>
      <c r="T50"/>
      <c r="U50" s="886">
        <v>100</v>
      </c>
      <c r="V50" s="715">
        <v>1.1023000000000001</v>
      </c>
      <c r="W50"/>
      <c r="X50"/>
      <c r="Y50" s="163"/>
      <c r="Z50" s="143">
        <f t="shared" si="28"/>
        <v>30</v>
      </c>
      <c r="AA50" s="144">
        <f t="shared" si="19"/>
        <v>30</v>
      </c>
      <c r="AB50" s="145">
        <f t="shared" si="20"/>
        <v>1775.4038478514999</v>
      </c>
      <c r="AC50" s="145">
        <f>+(S50-T50)*V50-'data 1'!$F$4</f>
        <v>96.367999999999995</v>
      </c>
      <c r="AD50" s="145">
        <f t="shared" si="21"/>
        <v>-4.1141325716454507</v>
      </c>
      <c r="AE50" s="145">
        <f t="shared" si="22"/>
        <v>-36.930999999999997</v>
      </c>
      <c r="AF50" s="145">
        <f t="shared" si="23"/>
        <v>-35.965121654959034</v>
      </c>
      <c r="AG50" s="772">
        <f t="shared" si="30"/>
        <v>89.357745773395507</v>
      </c>
      <c r="AH50" s="146">
        <f t="shared" si="24"/>
        <v>59.275956006722602</v>
      </c>
      <c r="AI50" s="156">
        <f t="shared" si="25"/>
        <v>16.899230495570635</v>
      </c>
      <c r="AJ50" s="156">
        <f t="shared" si="26"/>
        <v>60.499930902218502</v>
      </c>
      <c r="AK50" s="88"/>
      <c r="AL50" s="716">
        <f t="shared" si="27"/>
        <v>4514.8786161440821</v>
      </c>
      <c r="AM50" s="762">
        <v>0.79900000000000004</v>
      </c>
      <c r="AN50" s="994">
        <f>+AM50-L50</f>
        <v>4.2000000000000037E-2</v>
      </c>
      <c r="AO50"/>
      <c r="AP50"/>
      <c r="AQ50"/>
    </row>
    <row r="51" spans="1:43" s="762" customFormat="1" ht="15.75" customHeight="1">
      <c r="A51" s="991" t="s">
        <v>1268</v>
      </c>
      <c r="B51" s="595">
        <v>45628</v>
      </c>
      <c r="C51" s="595">
        <v>45621</v>
      </c>
      <c r="D51" t="s">
        <v>1152</v>
      </c>
      <c r="E51" s="639">
        <v>20606534923</v>
      </c>
      <c r="F51" s="941" t="s">
        <v>1237</v>
      </c>
      <c r="G51" s="80">
        <v>170</v>
      </c>
      <c r="H51" t="s">
        <v>116</v>
      </c>
      <c r="I51" s="596">
        <v>12.46</v>
      </c>
      <c r="J51" s="596">
        <v>12.8</v>
      </c>
      <c r="K51" s="138">
        <f t="shared" si="18"/>
        <v>10.865120000000001</v>
      </c>
      <c r="L51" s="139">
        <v>0.36099999999999999</v>
      </c>
      <c r="M51" s="139">
        <v>0.35599999999999998</v>
      </c>
      <c r="N51" s="139">
        <v>0.35599999999999998</v>
      </c>
      <c r="O51" s="139">
        <f t="shared" si="16"/>
        <v>0.35599999999999998</v>
      </c>
      <c r="P51" s="629">
        <v>89</v>
      </c>
      <c r="Q51" s="760">
        <v>89.56</v>
      </c>
      <c r="R51" s="706">
        <v>2670.4</v>
      </c>
      <c r="S51" s="765">
        <f t="shared" si="29"/>
        <v>120</v>
      </c>
      <c r="T51"/>
      <c r="U51" s="886">
        <v>100</v>
      </c>
      <c r="V51" s="715">
        <v>1.1023000000000001</v>
      </c>
      <c r="W51"/>
      <c r="X51"/>
      <c r="Y51" s="163">
        <v>40</v>
      </c>
      <c r="Z51" s="143">
        <f t="shared" si="28"/>
        <v>30</v>
      </c>
      <c r="AA51" s="144">
        <f t="shared" si="19"/>
        <v>70</v>
      </c>
      <c r="AB51" s="145">
        <f t="shared" si="20"/>
        <v>688.28222233280007</v>
      </c>
      <c r="AC51" s="145">
        <f>+(S51-T51)*V51-'data 1'!$F$4</f>
        <v>52.27600000000001</v>
      </c>
      <c r="AD51" s="145">
        <f t="shared" si="21"/>
        <v>5.7279042414720234</v>
      </c>
      <c r="AE51" s="145">
        <f t="shared" si="22"/>
        <v>7.1610000000000014</v>
      </c>
      <c r="AF51" s="145">
        <f t="shared" si="23"/>
        <v>12.687749897760014</v>
      </c>
      <c r="AG51" s="772">
        <f t="shared" si="30"/>
        <v>77.852654139232058</v>
      </c>
      <c r="AH51" s="146">
        <f t="shared" si="24"/>
        <v>120.43837392631629</v>
      </c>
      <c r="AI51" s="156">
        <f t="shared" si="25"/>
        <v>16.78579834162797</v>
      </c>
      <c r="AJ51" s="156">
        <f t="shared" si="26"/>
        <v>118.02760678804613</v>
      </c>
      <c r="AK51" s="88"/>
      <c r="AL51" s="716">
        <f t="shared" si="27"/>
        <v>7478.2689395125535</v>
      </c>
      <c r="AO51"/>
      <c r="AP51"/>
      <c r="AQ51"/>
    </row>
    <row r="52" spans="1:43" s="762" customFormat="1" ht="15.75" customHeight="1">
      <c r="A52" s="991" t="s">
        <v>1269</v>
      </c>
      <c r="B52" s="595">
        <v>45629</v>
      </c>
      <c r="C52" s="595">
        <v>45621</v>
      </c>
      <c r="D52" s="946" t="s">
        <v>93</v>
      </c>
      <c r="E52" s="871">
        <v>20169040237</v>
      </c>
      <c r="F52" s="941" t="s">
        <v>99</v>
      </c>
      <c r="G52" s="80">
        <v>74</v>
      </c>
      <c r="H52" t="s">
        <v>69</v>
      </c>
      <c r="I52" s="596">
        <v>7.34</v>
      </c>
      <c r="J52" s="596">
        <v>1.23</v>
      </c>
      <c r="K52" s="138">
        <f t="shared" si="18"/>
        <v>7.2497179999999997</v>
      </c>
      <c r="L52" s="139">
        <v>0.14099999999999999</v>
      </c>
      <c r="M52" s="139">
        <v>0.13100000000000001</v>
      </c>
      <c r="N52" s="159">
        <v>0.13100000000000001</v>
      </c>
      <c r="O52" s="139">
        <f t="shared" si="16"/>
        <v>0.13100000000000001</v>
      </c>
      <c r="P52" s="629">
        <v>85</v>
      </c>
      <c r="Q52" s="760">
        <v>89.75</v>
      </c>
      <c r="R52" s="706">
        <v>2670.4</v>
      </c>
      <c r="S52" s="765">
        <f t="shared" si="29"/>
        <v>100</v>
      </c>
      <c r="T52"/>
      <c r="U52" s="886">
        <v>100</v>
      </c>
      <c r="V52" s="715">
        <v>1.1023000000000001</v>
      </c>
      <c r="W52"/>
      <c r="X52"/>
      <c r="Y52" s="163">
        <v>20</v>
      </c>
      <c r="Z52" s="143">
        <f t="shared" si="28"/>
        <v>30</v>
      </c>
      <c r="AA52" s="144">
        <f t="shared" si="19"/>
        <v>50</v>
      </c>
      <c r="AB52" s="145">
        <f t="shared" si="20"/>
        <v>150.14873629200002</v>
      </c>
      <c r="AC52" s="145">
        <f>+(S52-T52)*V52-'data 1'!$F$4</f>
        <v>30.230000000000004</v>
      </c>
      <c r="AD52" s="145">
        <f t="shared" si="21"/>
        <v>18.976374484199997</v>
      </c>
      <c r="AE52" s="145">
        <f t="shared" si="22"/>
        <v>-14.884999999999998</v>
      </c>
      <c r="AF52" s="145">
        <f t="shared" si="23"/>
        <v>25.429333481999951</v>
      </c>
      <c r="AG52" s="772">
        <f t="shared" si="30"/>
        <v>59.750707966199954</v>
      </c>
      <c r="AH52" s="146">
        <f t="shared" si="24"/>
        <v>31.454570023965285</v>
      </c>
      <c r="AI52" s="156">
        <f t="shared" si="25"/>
        <v>6.5701348656749863</v>
      </c>
      <c r="AJ52" s="156">
        <f t="shared" si="26"/>
        <v>27.677088620229835</v>
      </c>
      <c r="AK52" s="88"/>
      <c r="AL52" s="716">
        <f t="shared" si="27"/>
        <v>1088.5359961733657</v>
      </c>
      <c r="AO52"/>
      <c r="AP52"/>
      <c r="AQ52"/>
    </row>
    <row r="53" spans="1:43" s="762" customFormat="1" ht="15.75" customHeight="1">
      <c r="A53" s="991" t="s">
        <v>1270</v>
      </c>
      <c r="B53" s="595">
        <v>45629</v>
      </c>
      <c r="C53" s="595">
        <v>45621</v>
      </c>
      <c r="D53" t="s">
        <v>93</v>
      </c>
      <c r="E53" s="871">
        <v>20169040237</v>
      </c>
      <c r="F53" s="941" t="s">
        <v>99</v>
      </c>
      <c r="G53" s="80">
        <v>80</v>
      </c>
      <c r="H53" t="s">
        <v>69</v>
      </c>
      <c r="I53" s="596">
        <v>7.93</v>
      </c>
      <c r="J53" s="596">
        <v>1.1499999999999999</v>
      </c>
      <c r="K53" s="138">
        <f t="shared" si="18"/>
        <v>7.8388049999999998</v>
      </c>
      <c r="L53" s="139">
        <v>0.183</v>
      </c>
      <c r="M53" s="139">
        <v>0.17299999999999999</v>
      </c>
      <c r="N53" s="159">
        <v>0.17299999999999999</v>
      </c>
      <c r="O53" s="139">
        <f t="shared" si="16"/>
        <v>0.17299999999999999</v>
      </c>
      <c r="P53" s="629">
        <v>90</v>
      </c>
      <c r="Q53" s="760">
        <v>89.88</v>
      </c>
      <c r="R53" s="706">
        <v>2670.4</v>
      </c>
      <c r="S53" s="765">
        <f t="shared" si="29"/>
        <v>100</v>
      </c>
      <c r="T53"/>
      <c r="U53" s="886">
        <v>100</v>
      </c>
      <c r="V53" s="715">
        <v>1.1023000000000001</v>
      </c>
      <c r="W53"/>
      <c r="X53"/>
      <c r="Y53" s="163">
        <v>20</v>
      </c>
      <c r="Z53" s="143">
        <f t="shared" si="28"/>
        <v>30</v>
      </c>
      <c r="AA53" s="144">
        <f t="shared" si="19"/>
        <v>50</v>
      </c>
      <c r="AB53" s="145">
        <f t="shared" si="20"/>
        <v>275.807893944</v>
      </c>
      <c r="AC53" s="145">
        <f>+(S53-T53)*V53-'data 1'!$F$4</f>
        <v>30.230000000000004</v>
      </c>
      <c r="AD53" s="145">
        <f t="shared" si="21"/>
        <v>-0.62220408163202356</v>
      </c>
      <c r="AE53" s="145">
        <f t="shared" si="22"/>
        <v>-14.884999999999998</v>
      </c>
      <c r="AF53" s="145">
        <f t="shared" si="23"/>
        <v>25.466167056960021</v>
      </c>
      <c r="AG53" s="772">
        <f t="shared" si="30"/>
        <v>40.188962975328003</v>
      </c>
      <c r="AH53" s="146">
        <f t="shared" si="24"/>
        <v>44.205171897617646</v>
      </c>
      <c r="AI53" s="156">
        <f t="shared" si="25"/>
        <v>8.5395476857319821</v>
      </c>
      <c r="AJ53" s="156">
        <f t="shared" si="26"/>
        <v>41.845382577249737</v>
      </c>
      <c r="AK53" s="88"/>
      <c r="AL53" s="716">
        <f t="shared" si="27"/>
        <v>2162.004298087697</v>
      </c>
      <c r="AO53"/>
      <c r="AP53"/>
      <c r="AQ53"/>
    </row>
    <row r="54" spans="1:43" s="762" customFormat="1" ht="15.75" customHeight="1">
      <c r="A54" s="991" t="s">
        <v>1271</v>
      </c>
      <c r="B54" s="595">
        <v>45628</v>
      </c>
      <c r="C54" s="595">
        <v>45621</v>
      </c>
      <c r="D54" t="s">
        <v>1152</v>
      </c>
      <c r="E54" s="639">
        <v>20606534923</v>
      </c>
      <c r="F54" s="941" t="s">
        <v>1237</v>
      </c>
      <c r="G54" s="80">
        <v>30</v>
      </c>
      <c r="H54" t="s">
        <v>116</v>
      </c>
      <c r="I54" s="596">
        <v>2.37</v>
      </c>
      <c r="J54" s="596">
        <v>15.35</v>
      </c>
      <c r="K54" s="138">
        <f t="shared" si="18"/>
        <v>2.006205</v>
      </c>
      <c r="L54" s="139">
        <v>0.17499999999999999</v>
      </c>
      <c r="M54" s="139">
        <v>0.16500000000000001</v>
      </c>
      <c r="N54" s="598">
        <v>0.19500000000000001</v>
      </c>
      <c r="O54" s="139">
        <f t="shared" si="16"/>
        <v>0.18</v>
      </c>
      <c r="P54" s="629">
        <v>90</v>
      </c>
      <c r="Q54" s="760">
        <v>89.75</v>
      </c>
      <c r="R54" s="706">
        <v>2670.4</v>
      </c>
      <c r="S54" s="765">
        <f t="shared" si="29"/>
        <v>100</v>
      </c>
      <c r="T54"/>
      <c r="U54" s="886">
        <v>100</v>
      </c>
      <c r="V54" s="715">
        <v>1.1023000000000001</v>
      </c>
      <c r="W54"/>
      <c r="X54"/>
      <c r="Y54" s="163">
        <v>40</v>
      </c>
      <c r="Z54" s="143">
        <f t="shared" si="28"/>
        <v>30</v>
      </c>
      <c r="AA54" s="144">
        <f t="shared" si="19"/>
        <v>70</v>
      </c>
      <c r="AB54" s="145">
        <f t="shared" si="20"/>
        <v>271.61201104000003</v>
      </c>
      <c r="AC54" s="145">
        <f>+(S54-T54)*V54-'data 1'!$F$4</f>
        <v>30.230000000000004</v>
      </c>
      <c r="AD54" s="145">
        <f t="shared" si="21"/>
        <v>-1.2395914649999999</v>
      </c>
      <c r="AE54" s="145">
        <f t="shared" si="22"/>
        <v>7.1610000000000014</v>
      </c>
      <c r="AF54" s="145">
        <f t="shared" si="23"/>
        <v>-12.714666741000014</v>
      </c>
      <c r="AG54" s="772">
        <f t="shared" si="30"/>
        <v>23.436741793999985</v>
      </c>
      <c r="AH54" s="146">
        <f t="shared" si="24"/>
        <v>10.803311128265793</v>
      </c>
      <c r="AI54" s="156">
        <f t="shared" si="25"/>
        <v>8.1544227056249845</v>
      </c>
      <c r="AJ54" s="156">
        <f t="shared" si="26"/>
        <v>11.142929743121741</v>
      </c>
      <c r="AK54" s="88"/>
      <c r="AL54" s="716">
        <f t="shared" si="27"/>
        <v>544.9093746085033</v>
      </c>
      <c r="AM54" s="762">
        <v>0.159</v>
      </c>
      <c r="AN54" s="994">
        <f>+AM54-L54</f>
        <v>-1.5999999999999986E-2</v>
      </c>
      <c r="AO54"/>
      <c r="AP54"/>
      <c r="AQ54"/>
    </row>
    <row r="55" spans="1:43" s="762" customFormat="1" ht="15.75" customHeight="1">
      <c r="A55" s="991" t="s">
        <v>1272</v>
      </c>
      <c r="B55" s="595">
        <v>45628</v>
      </c>
      <c r="C55" s="595">
        <v>45621</v>
      </c>
      <c r="D55" t="s">
        <v>1152</v>
      </c>
      <c r="E55" s="639">
        <v>20606534923</v>
      </c>
      <c r="F55" s="941" t="s">
        <v>1237</v>
      </c>
      <c r="G55" s="80">
        <v>17</v>
      </c>
      <c r="H55" t="s">
        <v>108</v>
      </c>
      <c r="I55" s="596">
        <v>1.73</v>
      </c>
      <c r="J55" s="596">
        <v>17.649999999999999</v>
      </c>
      <c r="K55" s="138">
        <f t="shared" si="18"/>
        <v>1.424655</v>
      </c>
      <c r="L55" s="139">
        <v>0.65300000000000002</v>
      </c>
      <c r="M55" s="139">
        <v>0.61699999999999999</v>
      </c>
      <c r="N55" s="598">
        <v>0.82099999999999995</v>
      </c>
      <c r="O55" s="139">
        <f t="shared" si="16"/>
        <v>0.71899999999999997</v>
      </c>
      <c r="P55" s="629">
        <v>90</v>
      </c>
      <c r="Q55" s="760">
        <v>89.42</v>
      </c>
      <c r="R55" s="706">
        <v>2670.4</v>
      </c>
      <c r="S55" s="765">
        <f t="shared" si="29"/>
        <v>160</v>
      </c>
      <c r="T55"/>
      <c r="U55" s="886">
        <v>100</v>
      </c>
      <c r="V55" s="715">
        <v>1.1023000000000001</v>
      </c>
      <c r="W55"/>
      <c r="X55"/>
      <c r="Y55" s="163">
        <v>40</v>
      </c>
      <c r="Z55" s="143">
        <f t="shared" si="28"/>
        <v>30</v>
      </c>
      <c r="AA55" s="144">
        <f t="shared" si="19"/>
        <v>70</v>
      </c>
      <c r="AB55" s="145">
        <f t="shared" si="20"/>
        <v>1579.933027432</v>
      </c>
      <c r="AC55" s="145">
        <f>+(S55-T55)*V55-'data 1'!$F$4</f>
        <v>96.367999999999995</v>
      </c>
      <c r="AD55" s="145">
        <f t="shared" si="21"/>
        <v>-10.731037061807969</v>
      </c>
      <c r="AE55" s="145">
        <f t="shared" si="22"/>
        <v>7.1610000000000014</v>
      </c>
      <c r="AF55" s="145">
        <f t="shared" si="23"/>
        <v>-167.21649693302388</v>
      </c>
      <c r="AG55" s="772">
        <f t="shared" si="30"/>
        <v>-74.418533994831847</v>
      </c>
      <c r="AH55" s="146">
        <f t="shared" si="24"/>
        <v>28.521123075378309</v>
      </c>
      <c r="AI55" s="156">
        <f t="shared" si="25"/>
        <v>30.315767057957945</v>
      </c>
      <c r="AJ55" s="156">
        <f t="shared" si="26"/>
        <v>31.607502119456402</v>
      </c>
      <c r="AK55" s="88"/>
      <c r="AL55" s="716">
        <f t="shared" si="27"/>
        <v>2250.8594871961359</v>
      </c>
      <c r="AM55" s="762">
        <v>0.78200000000000003</v>
      </c>
      <c r="AN55" s="994">
        <f>+AM55-L55</f>
        <v>0.129</v>
      </c>
      <c r="AO55"/>
      <c r="AP55"/>
      <c r="AQ55"/>
    </row>
    <row r="56" spans="1:43" s="762" customFormat="1" ht="15.75" customHeight="1">
      <c r="A56" s="857" t="s">
        <v>1276</v>
      </c>
      <c r="B56" s="595">
        <v>45629</v>
      </c>
      <c r="C56" s="595">
        <v>45622</v>
      </c>
      <c r="D56" t="s">
        <v>66</v>
      </c>
      <c r="E56">
        <v>10457401928</v>
      </c>
      <c r="F56" s="945" t="s">
        <v>1024</v>
      </c>
      <c r="G56" s="80">
        <v>148</v>
      </c>
      <c r="H56" s="944" t="s">
        <v>69</v>
      </c>
      <c r="I56" s="596">
        <v>13.08</v>
      </c>
      <c r="J56" s="596">
        <v>7.4</v>
      </c>
      <c r="K56" s="138">
        <f t="shared" si="18"/>
        <v>12.112080000000001</v>
      </c>
      <c r="L56" s="139">
        <v>0.434</v>
      </c>
      <c r="M56" s="139">
        <v>0.4</v>
      </c>
      <c r="N56" s="598">
        <v>0.58199999999999996</v>
      </c>
      <c r="O56" s="598">
        <f t="shared" si="16"/>
        <v>0.49099999999999999</v>
      </c>
      <c r="P56" s="629">
        <v>90</v>
      </c>
      <c r="Q56" s="760">
        <v>89.7</v>
      </c>
      <c r="R56" s="706">
        <v>2622.1</v>
      </c>
      <c r="S56" s="765">
        <f t="shared" si="29"/>
        <v>130</v>
      </c>
      <c r="T56"/>
      <c r="U56" s="886">
        <v>130</v>
      </c>
      <c r="V56" s="715">
        <v>1.1023000000000001</v>
      </c>
      <c r="W56"/>
      <c r="X56"/>
      <c r="Y56" s="163">
        <v>20</v>
      </c>
      <c r="Z56" s="143">
        <f t="shared" si="28"/>
        <v>30</v>
      </c>
      <c r="AA56" s="144">
        <f t="shared" si="19"/>
        <v>50</v>
      </c>
      <c r="AB56" s="145">
        <f t="shared" si="20"/>
        <v>1015.5037846769999</v>
      </c>
      <c r="AC56" s="145">
        <f>+(S56-T56)*V56-'data 1'!$F$4</f>
        <v>63.299000000000007</v>
      </c>
      <c r="AD56" s="145">
        <f t="shared" si="21"/>
        <v>-3.5766484626599659</v>
      </c>
      <c r="AE56" s="145">
        <f t="shared" si="22"/>
        <v>-14.884999999999998</v>
      </c>
      <c r="AF56" s="145">
        <f t="shared" si="23"/>
        <v>-140.45350172606999</v>
      </c>
      <c r="AG56" s="772">
        <f t="shared" si="30"/>
        <v>-95.616150188729947</v>
      </c>
      <c r="AH56" s="146">
        <f t="shared" si="24"/>
        <v>161.66275383938057</v>
      </c>
      <c r="AI56" s="156">
        <f t="shared" si="25"/>
        <v>53.812047449160033</v>
      </c>
      <c r="AJ56" s="156">
        <f t="shared" si="26"/>
        <v>183.50664766225938</v>
      </c>
      <c r="AK56" s="88"/>
      <c r="AL56" s="716">
        <f t="shared" si="27"/>
        <v>12299.863080310597</v>
      </c>
      <c r="AM56" s="762">
        <v>0.51300000000000001</v>
      </c>
      <c r="AN56" s="994">
        <f>+AM56-L56</f>
        <v>7.9000000000000015E-2</v>
      </c>
      <c r="AO56"/>
      <c r="AP56"/>
      <c r="AQ56"/>
    </row>
    <row r="57" spans="1:43" s="762" customFormat="1" ht="15.75" customHeight="1">
      <c r="A57" s="857" t="s">
        <v>1277</v>
      </c>
      <c r="B57" s="595">
        <v>45629</v>
      </c>
      <c r="C57" s="595">
        <v>45622</v>
      </c>
      <c r="D57" t="s">
        <v>66</v>
      </c>
      <c r="E57">
        <v>10457401928</v>
      </c>
      <c r="F57" s="945" t="s">
        <v>1024</v>
      </c>
      <c r="G57" s="80">
        <v>147</v>
      </c>
      <c r="H57" s="944" t="s">
        <v>69</v>
      </c>
      <c r="I57" s="596">
        <v>13.18</v>
      </c>
      <c r="J57" s="596">
        <v>8</v>
      </c>
      <c r="K57" s="138">
        <f t="shared" si="18"/>
        <v>12.1256</v>
      </c>
      <c r="L57" s="139">
        <v>0.51500000000000001</v>
      </c>
      <c r="M57" s="139">
        <v>0.47499999999999998</v>
      </c>
      <c r="N57" s="598">
        <v>0.5</v>
      </c>
      <c r="O57" s="139">
        <f t="shared" si="16"/>
        <v>0.48799999999999999</v>
      </c>
      <c r="P57" s="629">
        <v>90</v>
      </c>
      <c r="Q57" s="760">
        <v>89.64</v>
      </c>
      <c r="R57" s="706">
        <v>2622.1</v>
      </c>
      <c r="S57" s="765">
        <f t="shared" si="29"/>
        <v>130</v>
      </c>
      <c r="T57"/>
      <c r="U57" s="886">
        <v>130</v>
      </c>
      <c r="V57" s="715">
        <v>1.1023000000000001</v>
      </c>
      <c r="W57"/>
      <c r="X57"/>
      <c r="Y57" s="163">
        <v>20</v>
      </c>
      <c r="Z57" s="143">
        <f t="shared" si="28"/>
        <v>30</v>
      </c>
      <c r="AA57" s="144">
        <f t="shared" si="19"/>
        <v>50</v>
      </c>
      <c r="AB57" s="145">
        <f t="shared" si="20"/>
        <v>1008.0867717360002</v>
      </c>
      <c r="AC57" s="145">
        <f>+(S57-T57)*V57-'data 1'!$F$4</f>
        <v>63.299000000000007</v>
      </c>
      <c r="AD57" s="145">
        <f t="shared" si="21"/>
        <v>-5.0930155528199927</v>
      </c>
      <c r="AE57" s="145">
        <f t="shared" si="22"/>
        <v>-14.884999999999998</v>
      </c>
      <c r="AF57" s="145">
        <f t="shared" si="23"/>
        <v>66.486104003124055</v>
      </c>
      <c r="AG57" s="772">
        <f t="shared" si="30"/>
        <v>109.80708845030406</v>
      </c>
      <c r="AH57" s="146">
        <f t="shared" si="24"/>
        <v>191.92050767958096</v>
      </c>
      <c r="AI57" s="156">
        <f t="shared" si="25"/>
        <v>63.812597179320043</v>
      </c>
      <c r="AJ57" s="156">
        <f t="shared" si="26"/>
        <v>182.58901186812398</v>
      </c>
      <c r="AK57" s="88"/>
      <c r="AL57" s="716">
        <f t="shared" si="27"/>
        <v>12223.656959362044</v>
      </c>
      <c r="AO57"/>
      <c r="AP57"/>
      <c r="AQ57"/>
    </row>
    <row r="58" spans="1:43" s="762" customFormat="1" ht="15.75" customHeight="1">
      <c r="A58" s="857" t="s">
        <v>1278</v>
      </c>
      <c r="B58" s="595">
        <v>45629</v>
      </c>
      <c r="C58" s="595">
        <v>45622</v>
      </c>
      <c r="D58" t="s">
        <v>66</v>
      </c>
      <c r="E58">
        <v>10457401928</v>
      </c>
      <c r="F58" s="945" t="s">
        <v>1024</v>
      </c>
      <c r="G58" s="80" t="s">
        <v>68</v>
      </c>
      <c r="H58" s="944" t="s">
        <v>69</v>
      </c>
      <c r="I58" s="596">
        <v>13.23</v>
      </c>
      <c r="J58" s="596">
        <v>5.5</v>
      </c>
      <c r="K58" s="138">
        <f t="shared" si="18"/>
        <v>12.50235</v>
      </c>
      <c r="L58" s="139">
        <v>0.25700000000000001</v>
      </c>
      <c r="M58" s="139">
        <v>0.23699999999999999</v>
      </c>
      <c r="N58" s="598">
        <v>0.251</v>
      </c>
      <c r="O58" s="139">
        <f t="shared" si="16"/>
        <v>0.24399999999999999</v>
      </c>
      <c r="P58" s="629">
        <v>90</v>
      </c>
      <c r="Q58" s="760">
        <v>89.24</v>
      </c>
      <c r="R58" s="706">
        <v>2622.1</v>
      </c>
      <c r="S58" s="765">
        <f t="shared" si="29"/>
        <v>110</v>
      </c>
      <c r="T58"/>
      <c r="U58" s="886">
        <v>130</v>
      </c>
      <c r="V58" s="715">
        <v>1.1023000000000001</v>
      </c>
      <c r="W58"/>
      <c r="X58"/>
      <c r="Y58" s="163">
        <v>20</v>
      </c>
      <c r="Z58" s="143">
        <f t="shared" si="28"/>
        <v>30</v>
      </c>
      <c r="AA58" s="144">
        <f t="shared" si="19"/>
        <v>50</v>
      </c>
      <c r="AB58" s="145">
        <f t="shared" si="20"/>
        <v>426.88238586800009</v>
      </c>
      <c r="AC58" s="145">
        <f>+(S58-T58)*V58-'data 1'!$F$4</f>
        <v>41.253</v>
      </c>
      <c r="AD58" s="145">
        <f t="shared" si="21"/>
        <v>-5.365522102356036</v>
      </c>
      <c r="AE58" s="145">
        <f t="shared" si="22"/>
        <v>-14.884999999999998</v>
      </c>
      <c r="AF58" s="145">
        <f t="shared" si="23"/>
        <v>31.868981678196029</v>
      </c>
      <c r="AG58" s="772">
        <f t="shared" si="30"/>
        <v>52.871459575839992</v>
      </c>
      <c r="AH58" s="146">
        <f t="shared" si="24"/>
        <v>98.309029073806414</v>
      </c>
      <c r="AI58" s="156">
        <f t="shared" si="25"/>
        <v>31.702245796056022</v>
      </c>
      <c r="AJ58" s="156">
        <f t="shared" si="26"/>
        <v>94.13108351460707</v>
      </c>
      <c r="AK58" s="88"/>
      <c r="AL58" s="716">
        <f t="shared" si="27"/>
        <v>5337.0329969567911</v>
      </c>
      <c r="AO58"/>
      <c r="AP58"/>
      <c r="AQ58"/>
    </row>
    <row r="59" spans="1:43" s="762" customFormat="1" ht="15.75" customHeight="1">
      <c r="A59" s="857" t="s">
        <v>1281</v>
      </c>
      <c r="B59" s="595">
        <v>45626</v>
      </c>
      <c r="C59" s="595">
        <v>45624</v>
      </c>
      <c r="D59" t="s">
        <v>93</v>
      </c>
      <c r="E59" s="871">
        <v>20169040237</v>
      </c>
      <c r="F59" s="946" t="s">
        <v>446</v>
      </c>
      <c r="G59" s="80"/>
      <c r="H59" t="s">
        <v>108</v>
      </c>
      <c r="I59" s="596">
        <v>1.66</v>
      </c>
      <c r="J59" s="596">
        <v>29.55</v>
      </c>
      <c r="K59" s="138">
        <f t="shared" si="18"/>
        <v>1.16947</v>
      </c>
      <c r="L59" s="139">
        <v>1.425</v>
      </c>
      <c r="M59" s="139">
        <v>1.3680000000000001</v>
      </c>
      <c r="N59" s="159">
        <v>1.3680000000000001</v>
      </c>
      <c r="O59" s="139">
        <f t="shared" ref="O59:O79" si="31">+ROUND((M59+N59)/2,3)</f>
        <v>1.3680000000000001</v>
      </c>
      <c r="P59" s="629">
        <v>90</v>
      </c>
      <c r="Q59" s="760">
        <v>89.21</v>
      </c>
      <c r="R59" s="706">
        <v>2641.85</v>
      </c>
      <c r="S59" s="765">
        <f t="shared" si="29"/>
        <v>220</v>
      </c>
      <c r="T59"/>
      <c r="U59" s="886">
        <v>100</v>
      </c>
      <c r="V59" s="715">
        <v>1.1023000000000001</v>
      </c>
      <c r="W59"/>
      <c r="X59"/>
      <c r="Y59" s="163">
        <v>20</v>
      </c>
      <c r="Z59" s="143">
        <f t="shared" si="28"/>
        <v>30</v>
      </c>
      <c r="AA59" s="144">
        <f t="shared" si="19"/>
        <v>50</v>
      </c>
      <c r="AB59" s="145">
        <f t="shared" si="20"/>
        <v>3152.0552011559998</v>
      </c>
      <c r="AC59" s="145">
        <f>+(S59-T59)*V59-'data 1'!$F$4</f>
        <v>162.506</v>
      </c>
      <c r="AD59" s="145">
        <f t="shared" si="21"/>
        <v>-31.542178228162751</v>
      </c>
      <c r="AE59" s="145">
        <f t="shared" si="22"/>
        <v>-14.884999999999998</v>
      </c>
      <c r="AF59" s="145">
        <f t="shared" si="23"/>
        <v>142.47482125237335</v>
      </c>
      <c r="AG59" s="772">
        <f t="shared" si="30"/>
        <v>258.5536430242106</v>
      </c>
      <c r="AH59" s="146">
        <f t="shared" si="24"/>
        <v>50.971399556756367</v>
      </c>
      <c r="AI59" s="156">
        <f t="shared" si="25"/>
        <v>106.00763447628763</v>
      </c>
      <c r="AJ59" s="156">
        <f t="shared" si="26"/>
        <v>49.365866177600608</v>
      </c>
      <c r="AK59" s="88"/>
      <c r="AL59" s="716">
        <f t="shared" si="27"/>
        <v>3686.2339960959071</v>
      </c>
      <c r="AO59"/>
      <c r="AP59"/>
      <c r="AQ59"/>
    </row>
    <row r="60" spans="1:43" s="762" customFormat="1" ht="15.75" customHeight="1">
      <c r="A60" s="857" t="s">
        <v>1314</v>
      </c>
      <c r="B60" s="595">
        <v>45629</v>
      </c>
      <c r="C60" s="595">
        <v>45626</v>
      </c>
      <c r="D60" t="s">
        <v>119</v>
      </c>
      <c r="E60">
        <v>10082235774</v>
      </c>
      <c r="F60" t="s">
        <v>1289</v>
      </c>
      <c r="G60" s="80">
        <v>51</v>
      </c>
      <c r="H60" t="s">
        <v>69</v>
      </c>
      <c r="I60">
        <v>4.8499999999999996</v>
      </c>
      <c r="J60" s="596">
        <v>3.15</v>
      </c>
      <c r="K60">
        <v>4.6970000000000001</v>
      </c>
      <c r="L60" s="139">
        <v>0.28699999999999998</v>
      </c>
      <c r="M60" s="139">
        <v>0.28199999999999997</v>
      </c>
      <c r="N60" s="159">
        <v>0.28199999999999997</v>
      </c>
      <c r="O60" s="139">
        <f t="shared" si="31"/>
        <v>0.28199999999999997</v>
      </c>
      <c r="P60" s="629">
        <v>90</v>
      </c>
      <c r="Q60" s="760">
        <v>89.6</v>
      </c>
      <c r="R60" s="706">
        <v>2651.05</v>
      </c>
      <c r="S60" s="802">
        <v>105</v>
      </c>
      <c r="T60"/>
      <c r="U60" s="886">
        <v>80</v>
      </c>
      <c r="V60" s="715">
        <v>1.1023000000000001</v>
      </c>
      <c r="W60"/>
      <c r="X60"/>
      <c r="Y60"/>
      <c r="Z60" s="160">
        <v>10</v>
      </c>
      <c r="AA60" s="144">
        <f t="shared" si="19"/>
        <v>10</v>
      </c>
      <c r="AB60" s="145">
        <f t="shared" si="20"/>
        <v>592.52206372700005</v>
      </c>
      <c r="AC60" s="145">
        <f>+(S60-T60)*V60-'data 1'!$F$4</f>
        <v>35.741500000000002</v>
      </c>
      <c r="AD60" s="145">
        <f t="shared" si="21"/>
        <v>-3.2535105404200459</v>
      </c>
      <c r="AE60" s="145">
        <f t="shared" si="22"/>
        <v>-58.977000000000004</v>
      </c>
      <c r="AF60" s="145">
        <f t="shared" si="23"/>
        <v>12.696626499200011</v>
      </c>
      <c r="AG60" s="772">
        <f t="shared" ref="AG60:AG75" si="32">+IF(D60="RONALD WILLIAN GARIBAY ESCUDERO",AC60+AD60+AE60+AF60+70,AC60+AD60+AE60+AF60)+70</f>
        <v>56.207615958779968</v>
      </c>
      <c r="AH60" s="146">
        <f t="shared" si="24"/>
        <v>41.411364038494419</v>
      </c>
      <c r="AI60" s="156">
        <f t="shared" si="25"/>
        <v>13.166654273919946</v>
      </c>
      <c r="AJ60" s="156">
        <f t="shared" si="26"/>
        <v>40.87156309486172</v>
      </c>
      <c r="AK60" s="88"/>
      <c r="AL60" s="716">
        <f t="shared" si="27"/>
        <v>2783.0761333257192</v>
      </c>
      <c r="AO60"/>
      <c r="AP60"/>
      <c r="AQ60"/>
    </row>
    <row r="61" spans="1:43" s="762" customFormat="1" ht="15.75" customHeight="1">
      <c r="A61" s="857" t="s">
        <v>1287</v>
      </c>
      <c r="B61" s="595">
        <v>45629</v>
      </c>
      <c r="C61" s="595">
        <v>45626</v>
      </c>
      <c r="D61" t="s">
        <v>119</v>
      </c>
      <c r="E61">
        <v>10082235774</v>
      </c>
      <c r="F61" t="s">
        <v>1289</v>
      </c>
      <c r="G61" s="80">
        <v>52</v>
      </c>
      <c r="H61" t="s">
        <v>69</v>
      </c>
      <c r="I61">
        <v>4.68</v>
      </c>
      <c r="J61" s="596">
        <v>2.2999999999999998</v>
      </c>
      <c r="K61">
        <v>4.5720000000000001</v>
      </c>
      <c r="L61" s="139">
        <v>0.36299999999999999</v>
      </c>
      <c r="M61" s="139">
        <v>0.35699999999999998</v>
      </c>
      <c r="N61" s="159">
        <v>0.35699999999999998</v>
      </c>
      <c r="O61" s="139">
        <f t="shared" si="31"/>
        <v>0.35699999999999998</v>
      </c>
      <c r="P61" s="629">
        <v>90</v>
      </c>
      <c r="Q61" s="760">
        <v>89.71</v>
      </c>
      <c r="R61" s="706">
        <v>2651.05</v>
      </c>
      <c r="S61" s="802">
        <v>110</v>
      </c>
      <c r="T61"/>
      <c r="U61" s="886">
        <v>80</v>
      </c>
      <c r="V61" s="715">
        <v>1.1023000000000001</v>
      </c>
      <c r="W61"/>
      <c r="X61"/>
      <c r="Y61"/>
      <c r="Z61" s="160">
        <v>10</v>
      </c>
      <c r="AA61" s="144">
        <f t="shared" si="19"/>
        <v>10</v>
      </c>
      <c r="AB61" s="145">
        <f t="shared" si="20"/>
        <v>778.31018173949985</v>
      </c>
      <c r="AC61" s="145">
        <f>+(S61-T61)*V61-'data 1'!$F$4</f>
        <v>41.253</v>
      </c>
      <c r="AD61" s="145">
        <f t="shared" si="21"/>
        <v>-2.9834238204705645</v>
      </c>
      <c r="AE61" s="145">
        <f t="shared" si="22"/>
        <v>-58.977000000000004</v>
      </c>
      <c r="AF61" s="145">
        <f t="shared" si="23"/>
        <v>15.254656650579015</v>
      </c>
      <c r="AG61" s="772">
        <f t="shared" si="32"/>
        <v>64.547232830108442</v>
      </c>
      <c r="AH61" s="146">
        <f t="shared" si="24"/>
        <v>51.046124187157737</v>
      </c>
      <c r="AI61" s="156">
        <f t="shared" si="25"/>
        <v>16.673739322795434</v>
      </c>
      <c r="AJ61" s="156">
        <f t="shared" si="26"/>
        <v>50.364672765085977</v>
      </c>
      <c r="AK61" s="88"/>
      <c r="AL61" s="716">
        <f t="shared" si="27"/>
        <v>3558.4341509129936</v>
      </c>
      <c r="AO61"/>
      <c r="AP61"/>
      <c r="AQ61"/>
    </row>
    <row r="62" spans="1:43" s="762" customFormat="1" ht="15.75" customHeight="1">
      <c r="A62" s="857" t="s">
        <v>1288</v>
      </c>
      <c r="B62" s="595">
        <v>45629</v>
      </c>
      <c r="C62" s="595">
        <v>45626</v>
      </c>
      <c r="D62" t="s">
        <v>119</v>
      </c>
      <c r="E62">
        <v>10082235774</v>
      </c>
      <c r="F62" t="s">
        <v>1289</v>
      </c>
      <c r="G62" s="80">
        <v>56</v>
      </c>
      <c r="H62" t="s">
        <v>69</v>
      </c>
      <c r="I62" s="596">
        <v>5</v>
      </c>
      <c r="J62" s="596">
        <v>1.95</v>
      </c>
      <c r="K62">
        <v>4.9029999999999996</v>
      </c>
      <c r="L62" s="139">
        <v>0.48899999999999999</v>
      </c>
      <c r="M62" s="139">
        <v>0.48099999999999998</v>
      </c>
      <c r="N62" s="159">
        <v>0.48099999999999998</v>
      </c>
      <c r="O62" s="139">
        <f t="shared" si="31"/>
        <v>0.48099999999999998</v>
      </c>
      <c r="P62" s="629">
        <v>90</v>
      </c>
      <c r="Q62" s="760">
        <v>89.38</v>
      </c>
      <c r="R62" s="706">
        <v>2651.05</v>
      </c>
      <c r="S62" s="802">
        <v>115</v>
      </c>
      <c r="T62"/>
      <c r="U62" s="886">
        <v>80</v>
      </c>
      <c r="V62" s="715">
        <v>1.1023000000000001</v>
      </c>
      <c r="W62"/>
      <c r="X62"/>
      <c r="Y62"/>
      <c r="Z62" s="160">
        <v>10</v>
      </c>
      <c r="AA62" s="144">
        <f t="shared" si="19"/>
        <v>10</v>
      </c>
      <c r="AB62" s="145">
        <f t="shared" si="20"/>
        <v>1089.0807168535002</v>
      </c>
      <c r="AC62" s="145">
        <f>+(S62-T62)*V62-'data 1'!$F$4</f>
        <v>46.764500000000012</v>
      </c>
      <c r="AD62" s="145">
        <f t="shared" si="21"/>
        <v>-8.5923286205970637</v>
      </c>
      <c r="AE62" s="145">
        <f t="shared" si="22"/>
        <v>-58.977000000000004</v>
      </c>
      <c r="AF62" s="145">
        <f t="shared" si="23"/>
        <v>20.26472279461602</v>
      </c>
      <c r="AG62" s="772">
        <f t="shared" si="32"/>
        <v>69.459894174018956</v>
      </c>
      <c r="AH62" s="146">
        <f t="shared" si="24"/>
        <v>73.471714080967473</v>
      </c>
      <c r="AI62" s="156">
        <f t="shared" si="25"/>
        <v>22.378693860146914</v>
      </c>
      <c r="AJ62" s="156">
        <f t="shared" si="26"/>
        <v>72.77103441900104</v>
      </c>
      <c r="AK62" s="88"/>
      <c r="AL62" s="716">
        <f t="shared" si="27"/>
        <v>5339.7627547327111</v>
      </c>
      <c r="AO62"/>
      <c r="AP62"/>
      <c r="AQ62"/>
    </row>
    <row r="63" spans="1:43" s="762" customFormat="1" ht="15.75" customHeight="1">
      <c r="A63" s="857" t="s">
        <v>1290</v>
      </c>
      <c r="B63" s="595">
        <v>45629</v>
      </c>
      <c r="C63" s="595">
        <v>45626</v>
      </c>
      <c r="D63" t="s">
        <v>119</v>
      </c>
      <c r="E63">
        <v>10082235774</v>
      </c>
      <c r="F63" t="s">
        <v>1289</v>
      </c>
      <c r="G63" s="80">
        <v>64</v>
      </c>
      <c r="H63" t="s">
        <v>69</v>
      </c>
      <c r="I63">
        <v>5.57</v>
      </c>
      <c r="J63" s="596">
        <v>1.6</v>
      </c>
      <c r="K63">
        <v>5.4809999999999999</v>
      </c>
      <c r="L63" s="139">
        <v>0.30499999999999999</v>
      </c>
      <c r="M63" s="139">
        <v>0.3</v>
      </c>
      <c r="N63" s="159">
        <v>0.3</v>
      </c>
      <c r="O63" s="139">
        <f t="shared" si="31"/>
        <v>0.3</v>
      </c>
      <c r="P63" s="629">
        <v>90</v>
      </c>
      <c r="Q63" s="760">
        <v>89.46</v>
      </c>
      <c r="R63" s="706">
        <v>2651.05</v>
      </c>
      <c r="S63" s="802">
        <v>110</v>
      </c>
      <c r="T63"/>
      <c r="U63" s="886">
        <v>80</v>
      </c>
      <c r="V63" s="715">
        <v>1.1023000000000001</v>
      </c>
      <c r="W63"/>
      <c r="X63"/>
      <c r="Y63"/>
      <c r="Z63" s="160">
        <v>10</v>
      </c>
      <c r="AA63" s="144">
        <f t="shared" si="19"/>
        <v>10</v>
      </c>
      <c r="AB63" s="145">
        <f t="shared" si="20"/>
        <v>632.92247205000012</v>
      </c>
      <c r="AC63" s="145">
        <f>+(S63-T63)*V63-'data 1'!$F$4</f>
        <v>41.253</v>
      </c>
      <c r="AD63" s="145">
        <f t="shared" si="21"/>
        <v>-4.6677106795050545</v>
      </c>
      <c r="AE63" s="145">
        <f t="shared" si="22"/>
        <v>-58.977000000000004</v>
      </c>
      <c r="AF63" s="145">
        <f t="shared" si="23"/>
        <v>12.67678802029501</v>
      </c>
      <c r="AG63" s="772">
        <f t="shared" si="32"/>
        <v>60.285077340789954</v>
      </c>
      <c r="AH63" s="146">
        <f t="shared" si="24"/>
        <v>51.274047872110053</v>
      </c>
      <c r="AI63" s="156">
        <f t="shared" si="25"/>
        <v>13.970574285254946</v>
      </c>
      <c r="AJ63" s="156">
        <f t="shared" si="26"/>
        <v>50.737917213553501</v>
      </c>
      <c r="AK63" s="88"/>
      <c r="AL63" s="716">
        <f t="shared" si="27"/>
        <v>3469.0480693060508</v>
      </c>
      <c r="AO63"/>
      <c r="AP63"/>
      <c r="AQ63"/>
    </row>
    <row r="64" spans="1:43" s="762" customFormat="1" ht="15.75" customHeight="1">
      <c r="A64" s="857" t="s">
        <v>1291</v>
      </c>
      <c r="B64" s="595">
        <v>45629</v>
      </c>
      <c r="C64" s="595">
        <v>45626</v>
      </c>
      <c r="D64" t="s">
        <v>119</v>
      </c>
      <c r="E64">
        <v>10082235774</v>
      </c>
      <c r="F64" t="s">
        <v>1289</v>
      </c>
      <c r="G64" s="80">
        <v>50</v>
      </c>
      <c r="H64" t="s">
        <v>69</v>
      </c>
      <c r="I64">
        <v>4.45</v>
      </c>
      <c r="J64" s="596">
        <v>1.4</v>
      </c>
      <c r="K64">
        <v>4.3879999999999999</v>
      </c>
      <c r="L64" s="139">
        <v>0.70499999999999996</v>
      </c>
      <c r="M64" s="139">
        <v>0.69399999999999995</v>
      </c>
      <c r="N64" s="159">
        <v>0.69399999999999995</v>
      </c>
      <c r="O64" s="139">
        <f t="shared" si="31"/>
        <v>0.69399999999999995</v>
      </c>
      <c r="P64" s="629">
        <v>90</v>
      </c>
      <c r="Q64" s="760">
        <v>89.29</v>
      </c>
      <c r="R64" s="706">
        <v>2651.05</v>
      </c>
      <c r="S64" s="802">
        <v>125</v>
      </c>
      <c r="T64"/>
      <c r="U64" s="886">
        <v>80</v>
      </c>
      <c r="V64" s="715">
        <v>1.1023000000000001</v>
      </c>
      <c r="W64"/>
      <c r="X64"/>
      <c r="Y64"/>
      <c r="Z64" s="160">
        <v>10</v>
      </c>
      <c r="AA64" s="144">
        <f t="shared" si="19"/>
        <v>10</v>
      </c>
      <c r="AB64" s="145">
        <f t="shared" si="20"/>
        <v>1621.3486320090001</v>
      </c>
      <c r="AC64" s="145">
        <f>+(S64-T64)*V64-'data 1'!$F$4</f>
        <v>57.787499999999994</v>
      </c>
      <c r="AD64" s="145">
        <f t="shared" si="21"/>
        <v>-14.185929451282377</v>
      </c>
      <c r="AE64" s="145">
        <f t="shared" si="22"/>
        <v>-58.977000000000004</v>
      </c>
      <c r="AF64" s="145">
        <f t="shared" si="23"/>
        <v>27.835936565288534</v>
      </c>
      <c r="AG64" s="772">
        <f t="shared" si="32"/>
        <v>82.460507114006148</v>
      </c>
      <c r="AH64" s="146">
        <f t="shared" si="24"/>
        <v>94.703848556005084</v>
      </c>
      <c r="AI64" s="156">
        <f t="shared" si="25"/>
        <v>32.231273522407378</v>
      </c>
      <c r="AJ64" s="156">
        <f t="shared" si="26"/>
        <v>93.967499014019637</v>
      </c>
      <c r="AK64" s="88"/>
      <c r="AL64" s="716">
        <f t="shared" si="27"/>
        <v>7114.4777972554921</v>
      </c>
      <c r="AO64"/>
      <c r="AP64"/>
      <c r="AQ64"/>
    </row>
    <row r="65" spans="1:43" s="762" customFormat="1" ht="15.75" customHeight="1">
      <c r="A65" s="857" t="s">
        <v>1292</v>
      </c>
      <c r="B65" s="595">
        <v>45629</v>
      </c>
      <c r="C65" s="595">
        <v>45626</v>
      </c>
      <c r="D65" t="s">
        <v>119</v>
      </c>
      <c r="E65">
        <v>10082235774</v>
      </c>
      <c r="F65" t="s">
        <v>1289</v>
      </c>
      <c r="G65" s="80">
        <v>53</v>
      </c>
      <c r="H65" t="s">
        <v>69</v>
      </c>
      <c r="I65">
        <v>4.74</v>
      </c>
      <c r="J65" s="596">
        <v>1.65</v>
      </c>
      <c r="K65">
        <v>4.6619999999999999</v>
      </c>
      <c r="L65" s="139">
        <v>0.60099999999999998</v>
      </c>
      <c r="M65" s="139">
        <v>0.59099999999999997</v>
      </c>
      <c r="N65" s="159">
        <v>0.59099999999999997</v>
      </c>
      <c r="O65" s="139">
        <f t="shared" si="31"/>
        <v>0.59099999999999997</v>
      </c>
      <c r="P65" s="629">
        <v>90</v>
      </c>
      <c r="Q65" s="760">
        <v>89.33</v>
      </c>
      <c r="R65" s="706">
        <v>2651.05</v>
      </c>
      <c r="S65" s="802">
        <v>120</v>
      </c>
      <c r="T65"/>
      <c r="U65" s="886">
        <v>80</v>
      </c>
      <c r="V65" s="715">
        <v>1.1023000000000001</v>
      </c>
      <c r="W65"/>
      <c r="X65"/>
      <c r="Y65"/>
      <c r="Z65" s="160">
        <v>10</v>
      </c>
      <c r="AA65" s="144">
        <f t="shared" si="19"/>
        <v>10</v>
      </c>
      <c r="AB65" s="145">
        <f t="shared" si="20"/>
        <v>1364.1419899385</v>
      </c>
      <c r="AC65" s="145">
        <f>+(S65-T65)*V65-'data 1'!$F$4</f>
        <v>52.27600000000001</v>
      </c>
      <c r="AD65" s="145">
        <f t="shared" si="21"/>
        <v>-11.411943286680531</v>
      </c>
      <c r="AE65" s="145">
        <f t="shared" si="22"/>
        <v>-58.977000000000004</v>
      </c>
      <c r="AF65" s="145">
        <f t="shared" si="23"/>
        <v>25.316733151195027</v>
      </c>
      <c r="AG65" s="772">
        <f t="shared" si="32"/>
        <v>77.203789864514505</v>
      </c>
      <c r="AH65" s="146">
        <f t="shared" si="24"/>
        <v>85.813011735546098</v>
      </c>
      <c r="AI65" s="156">
        <f t="shared" si="25"/>
        <v>27.488898122505397</v>
      </c>
      <c r="AJ65" s="156">
        <f t="shared" si="26"/>
        <v>85.018087027492271</v>
      </c>
      <c r="AK65" s="88"/>
      <c r="AL65" s="716">
        <f t="shared" si="27"/>
        <v>6359.629957093287</v>
      </c>
      <c r="AO65"/>
      <c r="AP65"/>
      <c r="AQ65"/>
    </row>
    <row r="66" spans="1:43" s="762" customFormat="1" ht="15.75" customHeight="1">
      <c r="A66" s="857" t="s">
        <v>1293</v>
      </c>
      <c r="B66" s="595">
        <v>45629</v>
      </c>
      <c r="C66" s="595">
        <v>45626</v>
      </c>
      <c r="D66" t="s">
        <v>119</v>
      </c>
      <c r="E66">
        <v>10082235774</v>
      </c>
      <c r="F66" t="s">
        <v>1289</v>
      </c>
      <c r="G66" s="80">
        <v>35</v>
      </c>
      <c r="H66" t="s">
        <v>69</v>
      </c>
      <c r="I66">
        <v>3.09</v>
      </c>
      <c r="J66" s="596">
        <v>1.7</v>
      </c>
      <c r="K66">
        <v>3.0369999999999999</v>
      </c>
      <c r="L66" s="139">
        <v>0.51600000000000001</v>
      </c>
      <c r="M66" s="139">
        <v>0.50800000000000001</v>
      </c>
      <c r="N66" s="159">
        <v>0.50800000000000001</v>
      </c>
      <c r="O66" s="139">
        <f t="shared" si="31"/>
        <v>0.50800000000000001</v>
      </c>
      <c r="P66" s="629">
        <v>90</v>
      </c>
      <c r="Q66" s="760">
        <v>89.82</v>
      </c>
      <c r="R66" s="706">
        <v>2651.05</v>
      </c>
      <c r="S66" s="802">
        <v>120</v>
      </c>
      <c r="T66"/>
      <c r="U66" s="886">
        <v>80</v>
      </c>
      <c r="V66" s="715">
        <v>1.1023000000000001</v>
      </c>
      <c r="W66"/>
      <c r="X66"/>
      <c r="Y66"/>
      <c r="Z66" s="160">
        <v>10</v>
      </c>
      <c r="AA66" s="144">
        <f t="shared" si="19"/>
        <v>10</v>
      </c>
      <c r="AB66" s="145">
        <f t="shared" si="20"/>
        <v>1152.4370793380001</v>
      </c>
      <c r="AC66" s="145">
        <f>+(S66-T66)*V66-'data 1'!$F$4</f>
        <v>52.27600000000001</v>
      </c>
      <c r="AD66" s="145">
        <f t="shared" si="21"/>
        <v>-2.6322827438520999</v>
      </c>
      <c r="AE66" s="145">
        <f t="shared" si="22"/>
        <v>-58.977000000000004</v>
      </c>
      <c r="AF66" s="145">
        <f t="shared" si="23"/>
        <v>20.364482002824019</v>
      </c>
      <c r="AG66" s="772">
        <f t="shared" si="32"/>
        <v>81.031199258971924</v>
      </c>
      <c r="AH66" s="146">
        <f t="shared" si="24"/>
        <v>48.258810553851447</v>
      </c>
      <c r="AI66" s="156">
        <f t="shared" si="25"/>
        <v>23.730575909651911</v>
      </c>
      <c r="AJ66" s="156">
        <f t="shared" si="26"/>
        <v>47.605823587789018</v>
      </c>
      <c r="AK66" s="88"/>
      <c r="AL66" s="716">
        <f t="shared" si="27"/>
        <v>3499.9514099495063</v>
      </c>
      <c r="AO66"/>
      <c r="AP66"/>
      <c r="AQ66"/>
    </row>
    <row r="67" spans="1:43" s="762" customFormat="1" ht="15.75" customHeight="1">
      <c r="A67" s="857" t="s">
        <v>1294</v>
      </c>
      <c r="B67" s="595">
        <v>45629</v>
      </c>
      <c r="C67" s="595">
        <v>45626</v>
      </c>
      <c r="D67" t="s">
        <v>119</v>
      </c>
      <c r="E67">
        <v>10082235774</v>
      </c>
      <c r="F67" t="s">
        <v>1289</v>
      </c>
      <c r="G67" s="80">
        <v>47</v>
      </c>
      <c r="H67" t="s">
        <v>69</v>
      </c>
      <c r="I67">
        <v>4.37</v>
      </c>
      <c r="J67" s="596">
        <v>1.95</v>
      </c>
      <c r="K67">
        <v>4.2850000000000001</v>
      </c>
      <c r="L67" s="139">
        <v>0.26300000000000001</v>
      </c>
      <c r="M67" s="139">
        <v>0.25900000000000001</v>
      </c>
      <c r="N67" s="159">
        <v>0.25900000000000001</v>
      </c>
      <c r="O67" s="139">
        <f t="shared" si="31"/>
        <v>0.25900000000000001</v>
      </c>
      <c r="P67" s="629">
        <v>90</v>
      </c>
      <c r="Q67" s="760">
        <v>89.13</v>
      </c>
      <c r="R67" s="706">
        <v>2651.05</v>
      </c>
      <c r="S67" s="802">
        <v>105</v>
      </c>
      <c r="T67"/>
      <c r="U67" s="886">
        <v>80</v>
      </c>
      <c r="V67" s="715">
        <v>1.1023000000000001</v>
      </c>
      <c r="W67"/>
      <c r="X67"/>
      <c r="Y67"/>
      <c r="Z67" s="160">
        <v>10</v>
      </c>
      <c r="AA67" s="144">
        <f t="shared" si="19"/>
        <v>10</v>
      </c>
      <c r="AB67" s="145">
        <f t="shared" si="20"/>
        <v>533.85684753650025</v>
      </c>
      <c r="AC67" s="145">
        <f>+(S67-T67)*V67-'data 1'!$F$4</f>
        <v>35.741500000000002</v>
      </c>
      <c r="AD67" s="145">
        <f t="shared" si="21"/>
        <v>-6.4846319403615347</v>
      </c>
      <c r="AE67" s="145">
        <f t="shared" si="22"/>
        <v>-58.977000000000004</v>
      </c>
      <c r="AF67" s="145">
        <f t="shared" si="23"/>
        <v>10.104020713158009</v>
      </c>
      <c r="AG67" s="772">
        <f t="shared" si="32"/>
        <v>50.383888772796475</v>
      </c>
      <c r="AH67" s="146">
        <f t="shared" si="24"/>
        <v>34.438129162336956</v>
      </c>
      <c r="AI67" s="156">
        <f t="shared" si="25"/>
        <v>12.002319425836454</v>
      </c>
      <c r="AJ67" s="156">
        <f t="shared" si="26"/>
        <v>34.245394144839686</v>
      </c>
      <c r="AK67" s="88"/>
      <c r="AL67" s="716">
        <f t="shared" si="27"/>
        <v>2287.5765916939035</v>
      </c>
      <c r="AO67"/>
      <c r="AP67"/>
      <c r="AQ67"/>
    </row>
    <row r="68" spans="1:43" s="762" customFormat="1" ht="15.75" customHeight="1">
      <c r="A68" s="857" t="s">
        <v>1295</v>
      </c>
      <c r="B68" s="595">
        <v>45629</v>
      </c>
      <c r="C68" s="595">
        <v>45626</v>
      </c>
      <c r="D68" t="s">
        <v>119</v>
      </c>
      <c r="E68">
        <v>10082235774</v>
      </c>
      <c r="F68" t="s">
        <v>1289</v>
      </c>
      <c r="G68" s="80">
        <v>45</v>
      </c>
      <c r="H68" t="s">
        <v>69</v>
      </c>
      <c r="I68">
        <v>4.1100000000000003</v>
      </c>
      <c r="J68" s="596">
        <v>1.04</v>
      </c>
      <c r="K68">
        <v>4.0670000000000002</v>
      </c>
      <c r="L68" s="139">
        <v>0.311</v>
      </c>
      <c r="M68" s="139">
        <v>0.30599999999999999</v>
      </c>
      <c r="N68" s="159">
        <v>0.30599999999999999</v>
      </c>
      <c r="O68" s="139">
        <f t="shared" si="31"/>
        <v>0.30599999999999999</v>
      </c>
      <c r="P68" s="629">
        <v>90</v>
      </c>
      <c r="Q68" s="760">
        <v>89.6</v>
      </c>
      <c r="R68" s="706">
        <v>2651.05</v>
      </c>
      <c r="S68" s="802">
        <v>110</v>
      </c>
      <c r="T68"/>
      <c r="U68" s="886">
        <v>80</v>
      </c>
      <c r="V68" s="715">
        <v>1.1023000000000001</v>
      </c>
      <c r="W68"/>
      <c r="X68"/>
      <c r="Y68"/>
      <c r="Z68" s="160">
        <v>10</v>
      </c>
      <c r="AA68" s="144">
        <f t="shared" si="19"/>
        <v>10</v>
      </c>
      <c r="AB68" s="145">
        <f t="shared" si="20"/>
        <v>648.22644149100006</v>
      </c>
      <c r="AC68" s="145">
        <f>+(S68-T68)*V68-'data 1'!$F$4</f>
        <v>41.253</v>
      </c>
      <c r="AD68" s="145">
        <f t="shared" si="21"/>
        <v>-3.5255811082600501</v>
      </c>
      <c r="AE68" s="145">
        <f t="shared" si="22"/>
        <v>-58.977000000000004</v>
      </c>
      <c r="AF68" s="145">
        <f t="shared" si="23"/>
        <v>12.696626499200011</v>
      </c>
      <c r="AG68" s="772">
        <f t="shared" si="32"/>
        <v>61.447045390939962</v>
      </c>
      <c r="AH68" s="146">
        <f t="shared" si="24"/>
        <v>38.855422919038077</v>
      </c>
      <c r="AI68" s="156">
        <f t="shared" si="25"/>
        <v>14.267698533759944</v>
      </c>
      <c r="AJ68" s="156">
        <f t="shared" si="26"/>
        <v>38.401410599100991</v>
      </c>
      <c r="AK68" s="88"/>
      <c r="AL68" s="716">
        <f t="shared" si="27"/>
        <v>2636.3369375438974</v>
      </c>
      <c r="AO68"/>
      <c r="AP68"/>
      <c r="AQ68"/>
    </row>
    <row r="69" spans="1:43" s="762" customFormat="1" ht="15.75" customHeight="1">
      <c r="A69" s="857" t="s">
        <v>1296</v>
      </c>
      <c r="B69" s="595">
        <v>45629</v>
      </c>
      <c r="C69" s="595">
        <v>45626</v>
      </c>
      <c r="D69" t="s">
        <v>119</v>
      </c>
      <c r="E69">
        <v>10082235774</v>
      </c>
      <c r="F69" t="s">
        <v>1289</v>
      </c>
      <c r="G69" s="80">
        <v>51</v>
      </c>
      <c r="H69" t="s">
        <v>69</v>
      </c>
      <c r="I69">
        <v>4.54</v>
      </c>
      <c r="J69" s="596">
        <v>1.4</v>
      </c>
      <c r="K69">
        <v>4.476</v>
      </c>
      <c r="L69" s="139">
        <v>0.113</v>
      </c>
      <c r="M69" s="139">
        <v>0.111</v>
      </c>
      <c r="N69" s="159">
        <v>0.111</v>
      </c>
      <c r="O69" s="139">
        <f t="shared" si="31"/>
        <v>0.111</v>
      </c>
      <c r="P69" s="629">
        <v>85</v>
      </c>
      <c r="Q69" s="760">
        <v>85.74</v>
      </c>
      <c r="R69" s="706">
        <v>2651.05</v>
      </c>
      <c r="S69" s="802">
        <f>IF((90+ROUNDDOWN(O69,1)*100)&lt;95,95,(90+ROUNDDOWN(O69,1)*100))</f>
        <v>100</v>
      </c>
      <c r="T69"/>
      <c r="U69" s="886">
        <v>80</v>
      </c>
      <c r="V69" s="715">
        <v>1.1023000000000001</v>
      </c>
      <c r="W69"/>
      <c r="X69"/>
      <c r="Y69"/>
      <c r="Z69" s="160">
        <v>10</v>
      </c>
      <c r="AA69" s="144">
        <f t="shared" ref="AA69:AA79" si="33">+Y69+Z69</f>
        <v>10</v>
      </c>
      <c r="AB69" s="145">
        <f t="shared" ref="AB69:AB79" si="34">+((O69*P69*(R69-U69)/100)-S69-AA69+T69)*V69</f>
        <v>146.14135495525002</v>
      </c>
      <c r="AC69" s="145">
        <f>+(S69-T69)*V69-'data 1'!$F$4</f>
        <v>30.230000000000004</v>
      </c>
      <c r="AD69" s="145">
        <f t="shared" ref="AD69:AD79" si="35">+(Q69-P69)*(R69-U69)*L69*V69/100</f>
        <v>2.3698480086229843</v>
      </c>
      <c r="AE69" s="145">
        <f t="shared" ref="AE69:AE79" si="36">+(Y69*V69-70)+V69*(Z69-IF(D69="UNTUCA",IF(+((W69-3)*2.5+(X69-3)*3.1)&gt;0,+((W69-3)*1.5+(X69-3)*3.1),0),IF(+((W69-3)*1.5+(X69-3)*3.1)&gt;0,+((W69-3)*1.5+(X69-3)*3.1),0)))</f>
        <v>-58.977000000000004</v>
      </c>
      <c r="AF69" s="145">
        <f t="shared" ref="AF69:AF79" si="37">(L69-O69)*(R69-U69)*Q69*V69/100</f>
        <v>4.8598605180420043</v>
      </c>
      <c r="AG69" s="772">
        <f t="shared" si="32"/>
        <v>48.482708526664986</v>
      </c>
      <c r="AH69" s="146">
        <f t="shared" ref="AH69:AH79" si="38">31.1035*L69*Q69*1.1023*K69/100</f>
        <v>14.868291593476037</v>
      </c>
      <c r="AI69" s="156">
        <f t="shared" ref="AI69:AI79" si="39">+((+$AI$2-R69+U69)*L69*Q69*V69)/100</f>
        <v>4.9607512261769804</v>
      </c>
      <c r="AJ69" s="156">
        <f t="shared" ref="AJ69:AJ79" si="40">31.1035*1.1023*K69*P69*O69/100</f>
        <v>14.479082798628328</v>
      </c>
      <c r="AK69" s="88"/>
      <c r="AL69" s="716">
        <f t="shared" ref="AL69:AL79" si="41">+IF(AB69*K69&gt;0,AB69*K69,0)</f>
        <v>654.12870477969909</v>
      </c>
      <c r="AO69"/>
      <c r="AP69"/>
      <c r="AQ69"/>
    </row>
    <row r="70" spans="1:43" s="762" customFormat="1" ht="15.75" customHeight="1">
      <c r="A70" s="857" t="s">
        <v>1297</v>
      </c>
      <c r="B70" s="595">
        <v>45629</v>
      </c>
      <c r="C70" s="595">
        <v>45626</v>
      </c>
      <c r="D70" t="s">
        <v>119</v>
      </c>
      <c r="E70">
        <v>10082235774</v>
      </c>
      <c r="F70" t="s">
        <v>1289</v>
      </c>
      <c r="G70" s="80">
        <v>46</v>
      </c>
      <c r="H70" t="s">
        <v>69</v>
      </c>
      <c r="I70">
        <v>4.07</v>
      </c>
      <c r="J70" s="596">
        <v>1.45</v>
      </c>
      <c r="K70">
        <v>4.0110000000000001</v>
      </c>
      <c r="L70" s="139">
        <v>6.8000000000000005E-2</v>
      </c>
      <c r="M70" s="139">
        <v>6.6000000000000003E-2</v>
      </c>
      <c r="N70" s="159">
        <v>6.6000000000000003E-2</v>
      </c>
      <c r="O70" s="139">
        <f t="shared" si="31"/>
        <v>6.6000000000000003E-2</v>
      </c>
      <c r="P70" s="629">
        <v>85</v>
      </c>
      <c r="Q70" s="760">
        <v>89.73</v>
      </c>
      <c r="R70" s="706">
        <v>2651.05</v>
      </c>
      <c r="S70" s="802">
        <v>95</v>
      </c>
      <c r="T70"/>
      <c r="U70" s="886">
        <v>80</v>
      </c>
      <c r="V70" s="715">
        <v>1.1023000000000001</v>
      </c>
      <c r="W70"/>
      <c r="X70"/>
      <c r="Y70"/>
      <c r="Z70" s="160">
        <v>10</v>
      </c>
      <c r="AA70" s="144">
        <f t="shared" si="33"/>
        <v>10</v>
      </c>
      <c r="AB70" s="145">
        <f t="shared" si="34"/>
        <v>43.249738081500034</v>
      </c>
      <c r="AC70" s="145">
        <f>+(S70-T70)*V70-'data 1'!$F$4</f>
        <v>24.718500000000006</v>
      </c>
      <c r="AD70" s="145">
        <f t="shared" si="35"/>
        <v>9.1154976500060094</v>
      </c>
      <c r="AE70" s="145">
        <f t="shared" si="36"/>
        <v>-58.977000000000004</v>
      </c>
      <c r="AF70" s="145">
        <f t="shared" si="37"/>
        <v>5.0860191775590051</v>
      </c>
      <c r="AG70" s="772">
        <f t="shared" si="32"/>
        <v>49.943016827565017</v>
      </c>
      <c r="AH70" s="146">
        <f t="shared" si="38"/>
        <v>8.3908954861216358</v>
      </c>
      <c r="AI70" s="156">
        <f t="shared" si="39"/>
        <v>3.1241516450939883</v>
      </c>
      <c r="AJ70" s="156">
        <f t="shared" si="40"/>
        <v>7.7147985913856552</v>
      </c>
      <c r="AK70" s="88"/>
      <c r="AL70" s="716">
        <f t="shared" si="41"/>
        <v>173.47469944489663</v>
      </c>
      <c r="AO70"/>
      <c r="AP70"/>
      <c r="AQ70"/>
    </row>
    <row r="71" spans="1:43" s="762" customFormat="1" ht="15.75" customHeight="1">
      <c r="A71" s="857" t="s">
        <v>1298</v>
      </c>
      <c r="B71" s="595">
        <v>45629</v>
      </c>
      <c r="C71" s="595">
        <v>45626</v>
      </c>
      <c r="D71" t="s">
        <v>119</v>
      </c>
      <c r="E71">
        <v>10082235774</v>
      </c>
      <c r="F71" t="s">
        <v>1289</v>
      </c>
      <c r="G71" s="80">
        <v>35</v>
      </c>
      <c r="H71" t="s">
        <v>69</v>
      </c>
      <c r="I71">
        <v>3.02</v>
      </c>
      <c r="J71" s="596">
        <v>1.2</v>
      </c>
      <c r="K71">
        <v>2.984</v>
      </c>
      <c r="L71" s="139">
        <v>0.46899999999999997</v>
      </c>
      <c r="M71" s="139">
        <v>0.46100000000000002</v>
      </c>
      <c r="N71" s="159">
        <v>0.46100000000000002</v>
      </c>
      <c r="O71" s="139">
        <f t="shared" si="31"/>
        <v>0.46100000000000002</v>
      </c>
      <c r="P71" s="629">
        <v>90</v>
      </c>
      <c r="Q71" s="760">
        <v>89.49</v>
      </c>
      <c r="R71" s="706">
        <v>2651.05</v>
      </c>
      <c r="S71" s="802">
        <v>115</v>
      </c>
      <c r="T71"/>
      <c r="U71" s="886">
        <v>80</v>
      </c>
      <c r="V71" s="715">
        <v>1.1023000000000001</v>
      </c>
      <c r="W71"/>
      <c r="X71"/>
      <c r="Y71"/>
      <c r="Z71" s="160">
        <v>10</v>
      </c>
      <c r="AA71" s="144">
        <f t="shared" si="33"/>
        <v>10</v>
      </c>
      <c r="AB71" s="145">
        <f t="shared" si="34"/>
        <v>1038.0674853835003</v>
      </c>
      <c r="AC71" s="145">
        <f>+(S71-T71)*V71-'data 1'!$F$4</f>
        <v>46.764500000000012</v>
      </c>
      <c r="AD71" s="145">
        <f t="shared" si="35"/>
        <v>-6.7788082418385684</v>
      </c>
      <c r="AE71" s="145">
        <f t="shared" si="36"/>
        <v>-58.977000000000004</v>
      </c>
      <c r="AF71" s="145">
        <f t="shared" si="37"/>
        <v>20.289662596667878</v>
      </c>
      <c r="AG71" s="772">
        <f t="shared" si="32"/>
        <v>71.298354354829314</v>
      </c>
      <c r="AH71" s="146">
        <f t="shared" si="38"/>
        <v>42.939327547464963</v>
      </c>
      <c r="AI71" s="156">
        <f t="shared" si="39"/>
        <v>21.489824884363411</v>
      </c>
      <c r="AJ71" s="156">
        <f t="shared" si="40"/>
        <v>42.447422385803883</v>
      </c>
      <c r="AK71" s="88"/>
      <c r="AL71" s="716">
        <f t="shared" si="41"/>
        <v>3097.593376384365</v>
      </c>
      <c r="AO71"/>
      <c r="AP71"/>
      <c r="AQ71"/>
    </row>
    <row r="72" spans="1:43" s="762" customFormat="1" ht="15.75" customHeight="1">
      <c r="A72" s="857" t="s">
        <v>1299</v>
      </c>
      <c r="B72" s="595">
        <v>45629</v>
      </c>
      <c r="C72" s="595">
        <v>45626</v>
      </c>
      <c r="D72" t="s">
        <v>119</v>
      </c>
      <c r="E72">
        <v>10082235774</v>
      </c>
      <c r="F72" t="s">
        <v>1289</v>
      </c>
      <c r="G72" s="80">
        <v>53</v>
      </c>
      <c r="H72" t="s">
        <v>69</v>
      </c>
      <c r="I72">
        <v>4.57</v>
      </c>
      <c r="J72" s="596">
        <v>1.4</v>
      </c>
      <c r="K72">
        <v>4.5060000000000002</v>
      </c>
      <c r="L72" s="139">
        <v>0.379</v>
      </c>
      <c r="M72" s="139">
        <v>0.373</v>
      </c>
      <c r="N72" s="159">
        <v>0.373</v>
      </c>
      <c r="O72" s="139">
        <f t="shared" si="31"/>
        <v>0.373</v>
      </c>
      <c r="P72" s="629">
        <v>90</v>
      </c>
      <c r="Q72" s="760">
        <v>89.29</v>
      </c>
      <c r="R72" s="706">
        <v>2651.05</v>
      </c>
      <c r="S72" s="802">
        <v>110</v>
      </c>
      <c r="T72"/>
      <c r="U72" s="886">
        <v>80</v>
      </c>
      <c r="V72" s="715">
        <v>1.1023000000000001</v>
      </c>
      <c r="W72"/>
      <c r="X72"/>
      <c r="Y72"/>
      <c r="Z72" s="160">
        <v>10</v>
      </c>
      <c r="AA72" s="144">
        <f t="shared" si="33"/>
        <v>10</v>
      </c>
      <c r="AB72" s="145">
        <f t="shared" si="34"/>
        <v>819.12076691550021</v>
      </c>
      <c r="AC72" s="145">
        <f>+(S72-T72)*V72-'data 1'!$F$4</f>
        <v>41.253</v>
      </c>
      <c r="AD72" s="145">
        <f t="shared" si="35"/>
        <v>-7.6261946979234345</v>
      </c>
      <c r="AE72" s="145">
        <f t="shared" si="36"/>
        <v>-58.977000000000004</v>
      </c>
      <c r="AF72" s="145">
        <f t="shared" si="37"/>
        <v>15.183238126521019</v>
      </c>
      <c r="AG72" s="772">
        <f t="shared" si="32"/>
        <v>59.833043428597577</v>
      </c>
      <c r="AH72" s="146">
        <f t="shared" si="38"/>
        <v>52.280807833059569</v>
      </c>
      <c r="AI72" s="156">
        <f t="shared" si="39"/>
        <v>17.327166900698433</v>
      </c>
      <c r="AJ72" s="156">
        <f t="shared" si="40"/>
        <v>51.862279086342824</v>
      </c>
      <c r="AK72" s="88"/>
      <c r="AL72" s="716">
        <f t="shared" si="41"/>
        <v>3690.9581757212441</v>
      </c>
      <c r="AO72"/>
      <c r="AP72"/>
      <c r="AQ72"/>
    </row>
    <row r="73" spans="1:43" s="762" customFormat="1" ht="15.75" customHeight="1">
      <c r="A73" s="857" t="s">
        <v>1300</v>
      </c>
      <c r="B73" s="595">
        <v>45629</v>
      </c>
      <c r="C73" s="595">
        <v>45626</v>
      </c>
      <c r="D73" t="s">
        <v>119</v>
      </c>
      <c r="E73">
        <v>10082235774</v>
      </c>
      <c r="F73" t="s">
        <v>1289</v>
      </c>
      <c r="G73" s="80">
        <v>54</v>
      </c>
      <c r="H73" t="s">
        <v>69</v>
      </c>
      <c r="I73">
        <v>4.72</v>
      </c>
      <c r="J73" s="596">
        <v>1.45</v>
      </c>
      <c r="K73">
        <v>4.6520000000000001</v>
      </c>
      <c r="L73" s="139">
        <v>0.22</v>
      </c>
      <c r="M73" s="139">
        <v>0.217</v>
      </c>
      <c r="N73" s="159">
        <v>0.217</v>
      </c>
      <c r="O73" s="139">
        <f t="shared" si="31"/>
        <v>0.217</v>
      </c>
      <c r="P73" s="629">
        <v>85</v>
      </c>
      <c r="Q73" s="760">
        <v>89.75</v>
      </c>
      <c r="R73" s="706">
        <v>2651.05</v>
      </c>
      <c r="S73" s="802">
        <v>105</v>
      </c>
      <c r="T73"/>
      <c r="U73" s="886">
        <v>80</v>
      </c>
      <c r="V73" s="715">
        <v>1.1023000000000001</v>
      </c>
      <c r="W73"/>
      <c r="X73"/>
      <c r="Y73"/>
      <c r="Z73" s="160">
        <v>10</v>
      </c>
      <c r="AA73" s="144">
        <f t="shared" si="33"/>
        <v>10</v>
      </c>
      <c r="AB73" s="145">
        <f t="shared" si="34"/>
        <v>395.97941914675005</v>
      </c>
      <c r="AC73" s="145">
        <f>+(S73-T73)*V73-'data 1'!$F$4</f>
        <v>35.741500000000002</v>
      </c>
      <c r="AD73" s="145">
        <f t="shared" si="35"/>
        <v>29.616014936750005</v>
      </c>
      <c r="AE73" s="145">
        <f t="shared" si="36"/>
        <v>-58.977000000000004</v>
      </c>
      <c r="AF73" s="145">
        <f t="shared" si="37"/>
        <v>7.6307292073875077</v>
      </c>
      <c r="AG73" s="772">
        <f t="shared" si="32"/>
        <v>84.011244144137507</v>
      </c>
      <c r="AH73" s="146">
        <f t="shared" si="38"/>
        <v>31.492411197438074</v>
      </c>
      <c r="AI73" s="156">
        <f t="shared" si="39"/>
        <v>10.10980232074996</v>
      </c>
      <c r="AJ73" s="156">
        <f t="shared" si="40"/>
        <v>29.418968069726276</v>
      </c>
      <c r="AK73" s="88"/>
      <c r="AL73" s="716">
        <f t="shared" si="41"/>
        <v>1842.0962578706813</v>
      </c>
      <c r="AO73"/>
      <c r="AP73"/>
      <c r="AQ73"/>
    </row>
    <row r="74" spans="1:43" s="762" customFormat="1" ht="15.75" customHeight="1">
      <c r="A74" s="857" t="s">
        <v>1301</v>
      </c>
      <c r="B74" s="595">
        <v>45629</v>
      </c>
      <c r="C74" s="595">
        <v>45626</v>
      </c>
      <c r="D74" t="s">
        <v>119</v>
      </c>
      <c r="E74">
        <v>10082235774</v>
      </c>
      <c r="F74" t="s">
        <v>1289</v>
      </c>
      <c r="G74" s="80">
        <v>63</v>
      </c>
      <c r="H74" t="s">
        <v>69</v>
      </c>
      <c r="I74">
        <v>5.57</v>
      </c>
      <c r="J74" s="596">
        <v>1.2</v>
      </c>
      <c r="K74">
        <v>5.5030000000000001</v>
      </c>
      <c r="L74" s="139">
        <v>0.23300000000000001</v>
      </c>
      <c r="M74" s="139">
        <v>0.23</v>
      </c>
      <c r="N74" s="159">
        <v>0.23</v>
      </c>
      <c r="O74" s="139">
        <f t="shared" si="31"/>
        <v>0.23</v>
      </c>
      <c r="P74" s="629">
        <v>85</v>
      </c>
      <c r="Q74" s="760">
        <v>89.55</v>
      </c>
      <c r="R74" s="706">
        <v>2651.05</v>
      </c>
      <c r="S74" s="802">
        <v>105</v>
      </c>
      <c r="T74"/>
      <c r="U74" s="886">
        <v>80</v>
      </c>
      <c r="V74" s="715">
        <v>1.1023000000000001</v>
      </c>
      <c r="W74"/>
      <c r="X74"/>
      <c r="Y74"/>
      <c r="Z74" s="160">
        <v>10</v>
      </c>
      <c r="AA74" s="144">
        <f t="shared" si="33"/>
        <v>10</v>
      </c>
      <c r="AB74" s="145">
        <f t="shared" si="34"/>
        <v>427.29587513250004</v>
      </c>
      <c r="AC74" s="145">
        <f>+(S74-T74)*V74-'data 1'!$F$4</f>
        <v>35.741500000000002</v>
      </c>
      <c r="AD74" s="145">
        <f t="shared" si="35"/>
        <v>30.045376301622483</v>
      </c>
      <c r="AE74" s="145">
        <f t="shared" si="36"/>
        <v>-58.977000000000004</v>
      </c>
      <c r="AF74" s="145">
        <f t="shared" si="37"/>
        <v>7.6137247968975075</v>
      </c>
      <c r="AG74" s="772">
        <f t="shared" si="32"/>
        <v>84.423601098519981</v>
      </c>
      <c r="AH74" s="146">
        <f t="shared" si="38"/>
        <v>39.366798138864311</v>
      </c>
      <c r="AI74" s="156">
        <f t="shared" si="39"/>
        <v>10.683339675502459</v>
      </c>
      <c r="AJ74" s="156">
        <f t="shared" si="40"/>
        <v>36.885471880853828</v>
      </c>
      <c r="AK74" s="88"/>
      <c r="AL74" s="716">
        <f t="shared" si="41"/>
        <v>2351.4092008541479</v>
      </c>
      <c r="AO74"/>
      <c r="AP74"/>
      <c r="AQ74"/>
    </row>
    <row r="75" spans="1:43" s="762" customFormat="1" ht="15.75" customHeight="1">
      <c r="A75" s="857" t="s">
        <v>1304</v>
      </c>
      <c r="B75" s="595">
        <v>45629</v>
      </c>
      <c r="C75" s="595">
        <v>45626</v>
      </c>
      <c r="D75" t="s">
        <v>119</v>
      </c>
      <c r="E75">
        <v>10082235774</v>
      </c>
      <c r="F75" t="s">
        <v>1289</v>
      </c>
      <c r="G75" s="80">
        <v>42</v>
      </c>
      <c r="H75" t="s">
        <v>69</v>
      </c>
      <c r="I75">
        <v>3.69</v>
      </c>
      <c r="J75" s="596">
        <v>1.45</v>
      </c>
      <c r="K75">
        <v>3.6360000000000001</v>
      </c>
      <c r="L75" s="139">
        <v>0.153</v>
      </c>
      <c r="M75" s="139">
        <v>0.15</v>
      </c>
      <c r="N75" s="159">
        <v>0.15</v>
      </c>
      <c r="O75" s="139">
        <f t="shared" si="31"/>
        <v>0.15</v>
      </c>
      <c r="P75" s="629">
        <v>85</v>
      </c>
      <c r="Q75" s="760">
        <v>89.37</v>
      </c>
      <c r="R75" s="706">
        <v>2651.05</v>
      </c>
      <c r="S75" s="802">
        <v>95</v>
      </c>
      <c r="T75"/>
      <c r="U75" s="886">
        <v>80</v>
      </c>
      <c r="V75" s="715">
        <v>1.1023000000000001</v>
      </c>
      <c r="W75"/>
      <c r="X75"/>
      <c r="Y75"/>
      <c r="Z75" s="160">
        <v>10</v>
      </c>
      <c r="AA75" s="144">
        <f t="shared" si="33"/>
        <v>10</v>
      </c>
      <c r="AB75" s="145">
        <f t="shared" si="34"/>
        <v>245.60222291250008</v>
      </c>
      <c r="AC75" s="145">
        <f>+(S75-T75)*V75-'data 1'!$F$4</f>
        <v>24.718500000000006</v>
      </c>
      <c r="AD75" s="145">
        <f t="shared" si="35"/>
        <v>18.948864829531523</v>
      </c>
      <c r="AE75" s="145">
        <f t="shared" si="36"/>
        <v>-58.977000000000004</v>
      </c>
      <c r="AF75" s="145">
        <f t="shared" si="37"/>
        <v>7.5984208274565086</v>
      </c>
      <c r="AG75" s="772">
        <f t="shared" si="32"/>
        <v>62.288785656988033</v>
      </c>
      <c r="AH75" s="146">
        <f t="shared" si="38"/>
        <v>17.045750705158952</v>
      </c>
      <c r="AI75" s="156">
        <f t="shared" si="39"/>
        <v>7.0011392307434734</v>
      </c>
      <c r="AJ75" s="156">
        <f t="shared" si="40"/>
        <v>15.894363046099501</v>
      </c>
      <c r="AK75" s="88"/>
      <c r="AL75" s="716">
        <f t="shared" si="41"/>
        <v>893.00968250985034</v>
      </c>
      <c r="AO75"/>
      <c r="AP75"/>
      <c r="AQ75"/>
    </row>
    <row r="76" spans="1:43" ht="15.75" customHeight="1">
      <c r="A76" s="857" t="s">
        <v>1324</v>
      </c>
      <c r="B76" s="595">
        <v>45633</v>
      </c>
      <c r="C76" s="595">
        <v>45632</v>
      </c>
      <c r="D76" t="s">
        <v>1205</v>
      </c>
      <c r="E76">
        <v>20601620147</v>
      </c>
      <c r="G76" s="80" t="s">
        <v>68</v>
      </c>
      <c r="H76" t="s">
        <v>116</v>
      </c>
      <c r="I76" s="596">
        <v>26.09</v>
      </c>
      <c r="J76" s="596">
        <v>2.95</v>
      </c>
      <c r="K76" s="138">
        <f>+I76-(I76*(J76/100))</f>
        <v>25.320345</v>
      </c>
      <c r="L76" s="139">
        <v>0.14399999999999999</v>
      </c>
      <c r="M76" s="139">
        <v>0.13400000000000001</v>
      </c>
      <c r="N76" s="159">
        <v>0.13400000000000001</v>
      </c>
      <c r="O76" s="139">
        <f t="shared" si="31"/>
        <v>0.13400000000000001</v>
      </c>
      <c r="P76" s="665">
        <v>85</v>
      </c>
      <c r="Q76" s="760">
        <v>89.88</v>
      </c>
      <c r="R76" s="706">
        <v>2637.3</v>
      </c>
      <c r="S76" s="802">
        <v>110</v>
      </c>
      <c r="U76" s="947">
        <v>90</v>
      </c>
      <c r="V76" s="715">
        <v>1.1023000000000001</v>
      </c>
      <c r="Z76" s="143">
        <f>IF(IF(D76="UNTUCA",IF(+((W76-3)*1.5+(X76-3)*3.1)&gt;0,+((W76-3)*1.5+(X76-3)*3.1),0),IF(+((W76-3)*1.5+(X76-3)*3.1)&gt;0,+((W76-3)*1.5+(X76-3)*3.1),0))&lt;30,30,IF(D76="UNTUCA",IF(+((W76-3)*1.5+(X76-3)*3.1)&gt;0,+((W76-3)*1.5+(X76-3)*3.1),0),IF(+((W76-3)*1.5+(X76-3)*3.1)&gt;0,+((W76-3)*1.5+(X76-3)*3.1),0)))</f>
        <v>30</v>
      </c>
      <c r="AA76" s="144">
        <f t="shared" si="33"/>
        <v>30</v>
      </c>
      <c r="AB76" s="145">
        <f t="shared" si="34"/>
        <v>165.49653318100002</v>
      </c>
      <c r="AC76" s="145">
        <f>+(S76-T76)*V76-'data 1'!$F$4</f>
        <v>41.253</v>
      </c>
      <c r="AD76" s="145">
        <f t="shared" si="35"/>
        <v>19.731596105087984</v>
      </c>
      <c r="AE76" s="145">
        <f t="shared" si="36"/>
        <v>-36.930999999999997</v>
      </c>
      <c r="AF76" s="145">
        <f t="shared" si="37"/>
        <v>25.237304444519953</v>
      </c>
      <c r="AG76" s="772">
        <f>+IF(D76="RONALD WILLIAN GARIBAY ESCUDERO",AC76+AD76+AE76+AF76+70,AC76+AD76+AE76+AF76)+70-20</f>
        <v>99.29090054960794</v>
      </c>
      <c r="AH76" s="146">
        <f t="shared" si="38"/>
        <v>112.35806309832877</v>
      </c>
      <c r="AI76" s="156">
        <f t="shared" si="39"/>
        <v>10.015265699711975</v>
      </c>
      <c r="AJ76" s="156">
        <f t="shared" si="40"/>
        <v>98.878623557487529</v>
      </c>
      <c r="AK76" s="88"/>
      <c r="AL76" s="716">
        <f t="shared" si="41"/>
        <v>4190.4293164468681</v>
      </c>
    </row>
    <row r="77" spans="1:43" s="762" customFormat="1" ht="15.75" customHeight="1">
      <c r="A77" s="857" t="s">
        <v>1343</v>
      </c>
      <c r="B77" s="595"/>
      <c r="C77" s="595">
        <v>45637</v>
      </c>
      <c r="D77" t="s">
        <v>1402</v>
      </c>
      <c r="E77"/>
      <c r="F77"/>
      <c r="G77" s="80">
        <v>101</v>
      </c>
      <c r="H77" t="s">
        <v>69</v>
      </c>
      <c r="I77" s="596">
        <v>8.84</v>
      </c>
      <c r="J77" s="596">
        <v>1.1000000000000001</v>
      </c>
      <c r="K77" s="138">
        <f>+I77-(I77*(J77/100))</f>
        <v>8.7427600000000005</v>
      </c>
      <c r="L77" s="139">
        <v>0.13900000000000001</v>
      </c>
      <c r="M77" s="139">
        <v>0.13300000000000001</v>
      </c>
      <c r="N77" s="159">
        <v>0.13300000000000001</v>
      </c>
      <c r="O77" s="139">
        <f t="shared" si="31"/>
        <v>0.13300000000000001</v>
      </c>
      <c r="P77" s="629">
        <v>90</v>
      </c>
      <c r="Q77" s="760">
        <v>89.87</v>
      </c>
      <c r="R77" s="706">
        <v>2705.45</v>
      </c>
      <c r="S77" s="765">
        <f>IF((90+ROUNDDOWN(O77,1)*100)&lt;95,95,(90+ROUNDDOWN(O77,1)*100))</f>
        <v>100</v>
      </c>
      <c r="T77"/>
      <c r="U77" s="953">
        <v>100</v>
      </c>
      <c r="V77" s="715">
        <v>1.1023000000000001</v>
      </c>
      <c r="W77"/>
      <c r="X77"/>
      <c r="Y77">
        <v>10</v>
      </c>
      <c r="Z77" s="143">
        <f>IF(IF(D77="UNTUCA",IF(+((W77-3)*1.5+(X77-3)*3.1)&gt;0,+((W77-3)*1.5+(X77-3)*3.1),0),IF(+((W77-3)*1.5+(X77-3)*3.1)&gt;0,+((W77-3)*1.5+(X77-3)*3.1),0))&lt;30,30,IF(D77="UNTUCA",IF(+((W77-3)*1.5+(X77-3)*3.1)&gt;0,+((W77-3)*1.5+(X77-3)*3.1),0),IF(+((W77-3)*1.5+(X77-3)*3.1)&gt;0,+((W77-3)*1.5+(X77-3)*3.1),0)))</f>
        <v>30</v>
      </c>
      <c r="AA77" s="144">
        <f t="shared" si="33"/>
        <v>40</v>
      </c>
      <c r="AB77" s="145">
        <f t="shared" si="34"/>
        <v>189.4549079395</v>
      </c>
      <c r="AC77" s="145">
        <f>+(S77-T77)*V77-'data 1'!$F$4</f>
        <v>30.230000000000004</v>
      </c>
      <c r="AD77" s="145">
        <f t="shared" si="35"/>
        <v>-0.51896814757448195</v>
      </c>
      <c r="AE77" s="145">
        <f t="shared" si="36"/>
        <v>-25.908000000000001</v>
      </c>
      <c r="AF77" s="145">
        <f t="shared" si="37"/>
        <v>15.486331186227014</v>
      </c>
      <c r="AG77" s="772">
        <f>+IF(D77="RONALD WILLIAN GARIBAY ESCUDERO",AC77+AD77+AE77+AF77+70,AC77+AD77+AE77+AF77)+70-53</f>
        <v>36.289363038652539</v>
      </c>
      <c r="AH77" s="146">
        <f t="shared" si="38"/>
        <v>37.44442516572056</v>
      </c>
      <c r="AI77" s="156">
        <f t="shared" si="39"/>
        <v>1.6592674598995254</v>
      </c>
      <c r="AJ77" s="156">
        <f t="shared" si="40"/>
        <v>35.879945631593763</v>
      </c>
      <c r="AK77" s="88"/>
      <c r="AL77" s="716">
        <f t="shared" si="41"/>
        <v>1656.3587909371431</v>
      </c>
      <c r="AO77"/>
      <c r="AP77"/>
      <c r="AQ77"/>
    </row>
    <row r="78" spans="1:43" s="762" customFormat="1" ht="15.75" customHeight="1">
      <c r="A78" s="857" t="s">
        <v>1344</v>
      </c>
      <c r="B78" s="595"/>
      <c r="C78" s="595">
        <v>45637</v>
      </c>
      <c r="D78" t="s">
        <v>1402</v>
      </c>
      <c r="E78"/>
      <c r="F78"/>
      <c r="G78" s="80">
        <v>64</v>
      </c>
      <c r="H78" t="s">
        <v>69</v>
      </c>
      <c r="I78" s="596">
        <v>5.53</v>
      </c>
      <c r="J78" s="596">
        <v>1.2</v>
      </c>
      <c r="K78" s="138">
        <f>+I78-(I78*(J78/100))</f>
        <v>5.4636399999999998</v>
      </c>
      <c r="L78" s="139">
        <v>0.20799999999999999</v>
      </c>
      <c r="M78" s="139">
        <v>0.19900000000000001</v>
      </c>
      <c r="N78" s="159">
        <v>0.19900000000000001</v>
      </c>
      <c r="O78" s="139">
        <f t="shared" si="31"/>
        <v>0.19900000000000001</v>
      </c>
      <c r="P78" s="629">
        <v>90</v>
      </c>
      <c r="Q78" s="760">
        <v>89.57</v>
      </c>
      <c r="R78" s="706">
        <v>2705.45</v>
      </c>
      <c r="S78" s="765">
        <f>IF((90+ROUNDDOWN(O78,1)*100)&lt;95,95,(90+ROUNDDOWN(O78,1)*100))</f>
        <v>100</v>
      </c>
      <c r="T78"/>
      <c r="U78" s="953">
        <v>100</v>
      </c>
      <c r="V78" s="715">
        <v>1.1023000000000001</v>
      </c>
      <c r="W78"/>
      <c r="X78"/>
      <c r="Y78">
        <v>10</v>
      </c>
      <c r="Z78" s="143">
        <f>IF(IF(D78="UNTUCA",IF(+((W78-3)*1.5+(X78-3)*3.1)&gt;0,+((W78-3)*1.5+(X78-3)*3.1),0),IF(+((W78-3)*1.5+(X78-3)*3.1)&gt;0,+((W78-3)*1.5+(X78-3)*3.1),0))&lt;30,30,IF(D78="UNTUCA",IF(+((W78-3)*1.5+(X78-3)*3.1)&gt;0,+((W78-3)*1.5+(X78-3)*3.1),0),IF(+((W78-3)*1.5+(X78-3)*3.1)&gt;0,+((W78-3)*1.5+(X78-3)*3.1),0)))</f>
        <v>30</v>
      </c>
      <c r="AA78" s="144">
        <f t="shared" si="33"/>
        <v>40</v>
      </c>
      <c r="AB78" s="145">
        <f t="shared" si="34"/>
        <v>360.05096751850004</v>
      </c>
      <c r="AC78" s="145">
        <f>+(S78-T78)*V78-'data 1'!$F$4</f>
        <v>30.230000000000004</v>
      </c>
      <c r="AD78" s="145">
        <f t="shared" si="35"/>
        <v>-2.5687056513040409</v>
      </c>
      <c r="AE78" s="145">
        <f t="shared" si="36"/>
        <v>-25.908000000000001</v>
      </c>
      <c r="AF78" s="145">
        <f t="shared" si="37"/>
        <v>23.151953115895449</v>
      </c>
      <c r="AG78" s="772">
        <f>+IF(D78="RONALD WILLIAN GARIBAY ESCUDERO",AC78+AD78+AE78+AF78+70,AC78+AD78+AE78+AF78)+70-53</f>
        <v>41.905247464591412</v>
      </c>
      <c r="AH78" s="146">
        <f t="shared" si="38"/>
        <v>34.899327181351389</v>
      </c>
      <c r="AI78" s="156">
        <f t="shared" si="39"/>
        <v>2.4746441877040373</v>
      </c>
      <c r="AJ78" s="156">
        <f t="shared" si="40"/>
        <v>33.549552445981405</v>
      </c>
      <c r="AK78" s="88"/>
      <c r="AL78" s="716">
        <f t="shared" si="41"/>
        <v>1967.1888681727776</v>
      </c>
      <c r="AO78"/>
      <c r="AP78"/>
      <c r="AQ78"/>
    </row>
    <row r="79" spans="1:43" ht="15.75" customHeight="1">
      <c r="A79" s="857" t="s">
        <v>1444</v>
      </c>
      <c r="B79" s="135">
        <v>45646</v>
      </c>
      <c r="C79" s="803" cm="1">
        <v>45594</v>
      </c>
      <c r="D79" t="s">
        <v>1445</v>
      </c>
      <c r="E79" s="6">
        <v>20604990000</v>
      </c>
      <c r="F79" s="869" t="s">
        <v>1221</v>
      </c>
      <c r="G79" s="80" t="s">
        <v>1434</v>
      </c>
      <c r="H79" s="596" t="s">
        <v>108</v>
      </c>
      <c r="I79" s="596">
        <v>41.09</v>
      </c>
      <c r="J79" s="596">
        <v>4.5999999999999996</v>
      </c>
      <c r="K79" s="138">
        <f>+I79-(I79*(J79/100))</f>
        <v>39.199860000000001</v>
      </c>
      <c r="L79" s="139">
        <v>9.6000000000000002E-2</v>
      </c>
      <c r="M79" s="139">
        <v>0.09</v>
      </c>
      <c r="N79" s="159">
        <v>0.14699999999999999</v>
      </c>
      <c r="O79" s="139">
        <f t="shared" si="31"/>
        <v>0.11899999999999999</v>
      </c>
      <c r="P79" s="629">
        <v>85</v>
      </c>
      <c r="Q79" s="597">
        <v>89.26</v>
      </c>
      <c r="R79" s="740">
        <v>2769.15</v>
      </c>
      <c r="S79" s="765">
        <f>IF((90+ROUNDDOWN(O79,1)*100)&lt;95,95,(90+ROUNDDOWN(O79,1)*100))</f>
        <v>100</v>
      </c>
      <c r="U79" s="852">
        <v>100</v>
      </c>
      <c r="V79" s="715">
        <v>1.1023000000000001</v>
      </c>
      <c r="Y79" s="163">
        <v>0</v>
      </c>
      <c r="Z79" s="143">
        <f>IF(IF(D79="UNTUCA",IF(+((W79-3)*1.5+(X79-3)*3.1)&gt;0,+((W79-3)*1.5+(X79-3)*3.1),0),IF(+((W79-3)*1.5+(X79-3)*3.1)&gt;0,+((W79-3)*1.5+(X79-3)*3.1),0))&lt;30,30,IF(D79="UNTUCA",IF(+((W79-3)*1.5+(X79-3)*3.1)&gt;0,+((W79-3)*1.5+(X79-3)*3.1),0),IF(+((W79-3)*1.5+(X79-3)*3.1)&gt;0,+((W79-3)*1.5+(X79-3)*3.1),0)))</f>
        <v>30</v>
      </c>
      <c r="AA79" s="144">
        <f t="shared" si="33"/>
        <v>30</v>
      </c>
      <c r="AB79" s="145">
        <f t="shared" si="34"/>
        <v>154.30493915175003</v>
      </c>
      <c r="AC79" s="145">
        <f>+(S79-T79)*V79-'data 1'!$F$4</f>
        <v>30.230000000000004</v>
      </c>
      <c r="AD79" s="145">
        <f t="shared" si="35"/>
        <v>12.032437662432015</v>
      </c>
      <c r="AE79" s="145">
        <f t="shared" si="36"/>
        <v>-36.930999999999997</v>
      </c>
      <c r="AF79" s="145">
        <f t="shared" si="37"/>
        <v>-60.402860603040992</v>
      </c>
      <c r="AG79" s="772">
        <f>+IF(D79="RONALD WILLIAN GARIBAY ESCUDERO",AC79+AD79+AE79+AF79+70,AC79+AD79+AE79+AF79)+70-53</f>
        <v>-38.071422940608969</v>
      </c>
      <c r="AH79" s="146">
        <f t="shared" si="38"/>
        <v>115.16531525752549</v>
      </c>
      <c r="AI79" s="156">
        <f t="shared" si="39"/>
        <v>-4.8786341200320091</v>
      </c>
      <c r="AJ79" s="156">
        <f t="shared" si="40"/>
        <v>135.94382093391383</v>
      </c>
      <c r="AK79" s="676"/>
      <c r="AL79" s="716">
        <f t="shared" si="41"/>
        <v>6048.7320120571203</v>
      </c>
      <c r="AO79" s="596"/>
      <c r="AQ79" s="596"/>
    </row>
    <row r="80" spans="1:43" s="762" customFormat="1" ht="15.75" customHeight="1">
      <c r="A80"/>
      <c r="B80"/>
      <c r="C80"/>
      <c r="D80"/>
      <c r="E80"/>
      <c r="F80"/>
      <c r="G80" s="80"/>
      <c r="H80"/>
      <c r="I80"/>
      <c r="J80"/>
      <c r="K80"/>
      <c r="L80" s="139"/>
      <c r="M80" s="139"/>
      <c r="N80" s="159"/>
      <c r="O80"/>
      <c r="P80" s="629"/>
      <c r="Q80" s="760"/>
      <c r="R80" s="706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 s="773"/>
      <c r="AH80" s="80"/>
      <c r="AI80" s="80"/>
      <c r="AJ80" s="80"/>
      <c r="AK80"/>
      <c r="AL80" s="80"/>
      <c r="AO80"/>
      <c r="AP80"/>
      <c r="AQ80"/>
    </row>
    <row r="81" spans="1:43" s="762" customFormat="1" ht="15.75" customHeight="1">
      <c r="A81"/>
      <c r="B81"/>
      <c r="C81"/>
      <c r="D81"/>
      <c r="E81"/>
      <c r="F81"/>
      <c r="G81" s="80"/>
      <c r="H81"/>
      <c r="I81"/>
      <c r="J81"/>
      <c r="K81"/>
      <c r="L81" s="139"/>
      <c r="M81" s="139"/>
      <c r="N81" s="159"/>
      <c r="O81"/>
      <c r="P81" s="629"/>
      <c r="Q81" s="760"/>
      <c r="R81" s="706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 s="773"/>
      <c r="AH81" s="80"/>
      <c r="AI81" s="80"/>
      <c r="AJ81" s="80"/>
      <c r="AK81"/>
      <c r="AL81" s="80"/>
      <c r="AO81"/>
      <c r="AP81"/>
      <c r="AQ81"/>
    </row>
    <row r="82" spans="1:43" s="762" customFormat="1" ht="15.75" customHeight="1">
      <c r="A82"/>
      <c r="B82"/>
      <c r="C82"/>
      <c r="D82"/>
      <c r="E82"/>
      <c r="F82"/>
      <c r="G82" s="80"/>
      <c r="H82"/>
      <c r="I82"/>
      <c r="J82"/>
      <c r="K82"/>
      <c r="L82" s="139"/>
      <c r="M82" s="139"/>
      <c r="N82" s="159"/>
      <c r="O82"/>
      <c r="P82" s="629"/>
      <c r="Q82" s="760"/>
      <c r="R82" s="706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 s="773"/>
      <c r="AH82" s="80"/>
      <c r="AI82" s="80"/>
      <c r="AJ82" s="80"/>
      <c r="AK82"/>
      <c r="AL82" s="80"/>
      <c r="AO82"/>
      <c r="AP82"/>
      <c r="AQ82"/>
    </row>
    <row r="83" spans="1:43" s="762" customFormat="1" ht="15.75" customHeight="1">
      <c r="A83"/>
      <c r="B83"/>
      <c r="C83"/>
      <c r="D83"/>
      <c r="E83"/>
      <c r="F83"/>
      <c r="G83" s="80"/>
      <c r="H83"/>
      <c r="I83"/>
      <c r="J83"/>
      <c r="K83"/>
      <c r="L83" s="139"/>
      <c r="M83" s="139"/>
      <c r="N83" s="159"/>
      <c r="O83"/>
      <c r="P83" s="629"/>
      <c r="Q83" s="760"/>
      <c r="R83" s="706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 s="773"/>
      <c r="AH83" s="80"/>
      <c r="AI83" s="80"/>
      <c r="AJ83" s="80"/>
      <c r="AK83"/>
      <c r="AL83" s="80"/>
      <c r="AO83"/>
      <c r="AP83"/>
      <c r="AQ83"/>
    </row>
    <row r="84" spans="1:43" s="762" customFormat="1" ht="15.75" customHeight="1">
      <c r="A84"/>
      <c r="B84"/>
      <c r="C84"/>
      <c r="D84"/>
      <c r="E84"/>
      <c r="F84"/>
      <c r="G84" s="80"/>
      <c r="H84"/>
      <c r="I84"/>
      <c r="J84"/>
      <c r="K84"/>
      <c r="L84" s="139"/>
      <c r="M84" s="139"/>
      <c r="N84" s="159"/>
      <c r="O84"/>
      <c r="P84" s="629"/>
      <c r="Q84" s="760"/>
      <c r="R84" s="706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 s="773"/>
      <c r="AH84" s="80"/>
      <c r="AI84" s="80"/>
      <c r="AJ84" s="80"/>
      <c r="AK84"/>
      <c r="AL84" s="80"/>
      <c r="AO84"/>
      <c r="AP84"/>
      <c r="AQ84"/>
    </row>
    <row r="85" spans="1:43" s="762" customFormat="1" ht="15.75" customHeight="1">
      <c r="A85"/>
      <c r="B85"/>
      <c r="C85"/>
      <c r="D85"/>
      <c r="E85"/>
      <c r="F85"/>
      <c r="G85" s="80"/>
      <c r="H85"/>
      <c r="I85"/>
      <c r="J85"/>
      <c r="K85"/>
      <c r="L85" s="139"/>
      <c r="M85" s="139"/>
      <c r="N85" s="159"/>
      <c r="O85"/>
      <c r="P85" s="629"/>
      <c r="Q85" s="760"/>
      <c r="R85" s="706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 s="773"/>
      <c r="AH85" s="80"/>
      <c r="AI85" s="80"/>
      <c r="AJ85" s="80"/>
      <c r="AK85"/>
      <c r="AL85" s="80"/>
      <c r="AO85"/>
      <c r="AP85"/>
      <c r="AQ85"/>
    </row>
    <row r="86" spans="1:43" s="762" customFormat="1" ht="15.75" customHeight="1">
      <c r="A86"/>
      <c r="B86"/>
      <c r="C86"/>
      <c r="D86"/>
      <c r="E86"/>
      <c r="F86"/>
      <c r="G86" s="80"/>
      <c r="H86"/>
      <c r="I86"/>
      <c r="J86"/>
      <c r="K86"/>
      <c r="L86" s="139"/>
      <c r="M86" s="139"/>
      <c r="N86" s="159"/>
      <c r="O86"/>
      <c r="P86" s="629"/>
      <c r="Q86" s="760"/>
      <c r="R86" s="70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 s="773"/>
      <c r="AH86" s="80"/>
      <c r="AI86" s="80"/>
      <c r="AJ86" s="80"/>
      <c r="AK86"/>
      <c r="AL86" s="80"/>
      <c r="AO86"/>
      <c r="AP86"/>
      <c r="AQ86"/>
    </row>
    <row r="87" spans="1:43" s="762" customFormat="1" ht="15.75" customHeight="1">
      <c r="A87"/>
      <c r="B87"/>
      <c r="C87"/>
      <c r="D87"/>
      <c r="E87"/>
      <c r="F87"/>
      <c r="G87" s="80"/>
      <c r="H87"/>
      <c r="I87"/>
      <c r="J87"/>
      <c r="K87"/>
      <c r="L87" s="139"/>
      <c r="M87" s="139"/>
      <c r="N87" s="159"/>
      <c r="O87"/>
      <c r="P87" s="629"/>
      <c r="Q87" s="760"/>
      <c r="R87" s="706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 s="773"/>
      <c r="AH87" s="80"/>
      <c r="AI87" s="80"/>
      <c r="AJ87" s="80"/>
      <c r="AK87"/>
      <c r="AL87" s="80"/>
      <c r="AO87"/>
      <c r="AP87"/>
      <c r="AQ87"/>
    </row>
    <row r="88" spans="1:43" s="762" customFormat="1" ht="15.75" customHeight="1">
      <c r="A88"/>
      <c r="B88"/>
      <c r="C88"/>
      <c r="D88"/>
      <c r="E88"/>
      <c r="F88"/>
      <c r="G88" s="80"/>
      <c r="H88"/>
      <c r="I88"/>
      <c r="J88"/>
      <c r="K88"/>
      <c r="L88" s="139"/>
      <c r="M88" s="139"/>
      <c r="N88" s="159"/>
      <c r="O88"/>
      <c r="P88" s="629"/>
      <c r="Q88" s="760"/>
      <c r="R88" s="706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 s="773"/>
      <c r="AH88" s="80"/>
      <c r="AI88" s="80"/>
      <c r="AJ88" s="80"/>
      <c r="AK88"/>
      <c r="AL88" s="80"/>
      <c r="AO88"/>
      <c r="AP88"/>
      <c r="AQ88"/>
    </row>
    <row r="89" spans="1:43" s="762" customFormat="1" ht="15.75" customHeight="1">
      <c r="A89"/>
      <c r="B89"/>
      <c r="C89"/>
      <c r="D89"/>
      <c r="E89"/>
      <c r="F89"/>
      <c r="G89" s="80"/>
      <c r="H89"/>
      <c r="I89"/>
      <c r="J89"/>
      <c r="K89"/>
      <c r="L89" s="139"/>
      <c r="M89" s="139"/>
      <c r="N89" s="159"/>
      <c r="O89"/>
      <c r="P89" s="629"/>
      <c r="Q89" s="760"/>
      <c r="R89" s="706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 s="773"/>
      <c r="AH89" s="80"/>
      <c r="AI89" s="80"/>
      <c r="AJ89" s="80"/>
      <c r="AK89"/>
      <c r="AL89" s="80"/>
      <c r="AO89"/>
      <c r="AP89"/>
      <c r="AQ89"/>
    </row>
    <row r="90" spans="1:43" s="762" customFormat="1" ht="15.75" customHeight="1">
      <c r="A90"/>
      <c r="B90"/>
      <c r="C90"/>
      <c r="D90"/>
      <c r="E90"/>
      <c r="F90"/>
      <c r="G90" s="80"/>
      <c r="H90"/>
      <c r="I90"/>
      <c r="J90"/>
      <c r="K90"/>
      <c r="L90" s="139"/>
      <c r="M90" s="139"/>
      <c r="N90" s="159"/>
      <c r="O90"/>
      <c r="P90" s="629"/>
      <c r="Q90" s="760"/>
      <c r="R90" s="706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 s="773"/>
      <c r="AH90" s="80"/>
      <c r="AI90" s="80"/>
      <c r="AJ90" s="80"/>
      <c r="AK90"/>
      <c r="AL90" s="80"/>
      <c r="AO90"/>
      <c r="AP90"/>
      <c r="AQ90"/>
    </row>
    <row r="91" spans="1:43" s="762" customFormat="1" ht="15.75" customHeight="1">
      <c r="A91"/>
      <c r="B91"/>
      <c r="C91"/>
      <c r="D91"/>
      <c r="E91"/>
      <c r="F91"/>
      <c r="G91" s="80"/>
      <c r="H91"/>
      <c r="I91"/>
      <c r="J91"/>
      <c r="K91"/>
      <c r="L91" s="139"/>
      <c r="M91" s="139"/>
      <c r="N91" s="159"/>
      <c r="O91"/>
      <c r="P91" s="629"/>
      <c r="Q91" s="760"/>
      <c r="R91" s="706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 s="773"/>
      <c r="AH91" s="80"/>
      <c r="AI91" s="80"/>
      <c r="AJ91" s="80"/>
      <c r="AK91"/>
      <c r="AL91" s="80"/>
      <c r="AO91"/>
      <c r="AP91"/>
      <c r="AQ91"/>
    </row>
    <row r="92" spans="1:43" s="762" customFormat="1" ht="15.75" customHeight="1">
      <c r="A92"/>
      <c r="B92"/>
      <c r="C92"/>
      <c r="D92"/>
      <c r="E92"/>
      <c r="F92"/>
      <c r="G92" s="80"/>
      <c r="H92"/>
      <c r="I92"/>
      <c r="J92"/>
      <c r="K92"/>
      <c r="L92" s="139"/>
      <c r="M92" s="139"/>
      <c r="N92" s="159"/>
      <c r="O92"/>
      <c r="P92" s="629"/>
      <c r="Q92" s="760"/>
      <c r="R92" s="706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 s="773"/>
      <c r="AH92" s="80"/>
      <c r="AI92" s="80"/>
      <c r="AJ92" s="80"/>
      <c r="AK92"/>
      <c r="AL92" s="80"/>
      <c r="AO92"/>
      <c r="AP92"/>
      <c r="AQ92"/>
    </row>
    <row r="93" spans="1:43" s="762" customFormat="1" ht="15.75" customHeight="1">
      <c r="A93"/>
      <c r="B93"/>
      <c r="C93"/>
      <c r="D93"/>
      <c r="E93"/>
      <c r="F93"/>
      <c r="G93" s="80"/>
      <c r="H93"/>
      <c r="I93"/>
      <c r="J93"/>
      <c r="K93"/>
      <c r="L93" s="139"/>
      <c r="M93" s="139"/>
      <c r="N93" s="159"/>
      <c r="O93"/>
      <c r="P93" s="629"/>
      <c r="Q93" s="760"/>
      <c r="R93" s="706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 s="773"/>
      <c r="AH93" s="80"/>
      <c r="AI93" s="80"/>
      <c r="AJ93" s="80"/>
      <c r="AK93"/>
      <c r="AL93" s="80"/>
      <c r="AO93"/>
      <c r="AP93"/>
      <c r="AQ93"/>
    </row>
    <row r="94" spans="1:43" s="762" customFormat="1" ht="15.75" customHeight="1">
      <c r="A94"/>
      <c r="B94"/>
      <c r="C94"/>
      <c r="D94"/>
      <c r="E94"/>
      <c r="F94"/>
      <c r="G94" s="80"/>
      <c r="H94"/>
      <c r="I94"/>
      <c r="J94"/>
      <c r="K94"/>
      <c r="L94" s="139"/>
      <c r="M94" s="139"/>
      <c r="N94" s="159"/>
      <c r="O94"/>
      <c r="P94" s="629"/>
      <c r="Q94" s="760"/>
      <c r="R94" s="706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 s="773"/>
      <c r="AH94" s="80"/>
      <c r="AI94" s="80"/>
      <c r="AJ94" s="80"/>
      <c r="AK94"/>
      <c r="AL94" s="80"/>
      <c r="AO94"/>
      <c r="AP94"/>
      <c r="AQ94"/>
    </row>
    <row r="95" spans="1:43" s="762" customFormat="1" ht="15.75" customHeight="1">
      <c r="A95"/>
      <c r="B95"/>
      <c r="C95"/>
      <c r="D95"/>
      <c r="E95"/>
      <c r="F95"/>
      <c r="G95" s="80"/>
      <c r="H95"/>
      <c r="I95"/>
      <c r="J95"/>
      <c r="K95"/>
      <c r="L95" s="139"/>
      <c r="M95" s="139"/>
      <c r="N95" s="159"/>
      <c r="O95"/>
      <c r="P95" s="629"/>
      <c r="Q95" s="760"/>
      <c r="R95" s="706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 s="773"/>
      <c r="AH95" s="80"/>
      <c r="AI95" s="80"/>
      <c r="AJ95" s="80"/>
      <c r="AK95"/>
      <c r="AL95" s="80"/>
      <c r="AO95"/>
      <c r="AP95"/>
      <c r="AQ95"/>
    </row>
    <row r="96" spans="1:43" s="762" customFormat="1" ht="15.75" customHeight="1">
      <c r="A96"/>
      <c r="B96"/>
      <c r="C96"/>
      <c r="D96"/>
      <c r="E96"/>
      <c r="F96"/>
      <c r="G96" s="80"/>
      <c r="H96"/>
      <c r="I96"/>
      <c r="J96"/>
      <c r="K96"/>
      <c r="L96" s="139"/>
      <c r="M96" s="139"/>
      <c r="N96" s="159"/>
      <c r="O96"/>
      <c r="P96" s="629"/>
      <c r="Q96" s="760"/>
      <c r="R96" s="70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 s="773"/>
      <c r="AH96" s="80"/>
      <c r="AI96" s="80"/>
      <c r="AJ96" s="80"/>
      <c r="AK96"/>
      <c r="AL96" s="80"/>
      <c r="AO96"/>
      <c r="AP96"/>
      <c r="AQ96"/>
    </row>
    <row r="97" spans="1:43" s="762" customFormat="1" ht="15.75" customHeight="1">
      <c r="A97"/>
      <c r="B97"/>
      <c r="C97"/>
      <c r="D97"/>
      <c r="E97"/>
      <c r="F97"/>
      <c r="G97" s="80"/>
      <c r="H97"/>
      <c r="I97"/>
      <c r="J97"/>
      <c r="K97"/>
      <c r="L97" s="139"/>
      <c r="M97" s="139"/>
      <c r="N97" s="159"/>
      <c r="O97"/>
      <c r="P97" s="629"/>
      <c r="Q97" s="760"/>
      <c r="R97" s="706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 s="773"/>
      <c r="AH97" s="80"/>
      <c r="AI97" s="80"/>
      <c r="AJ97" s="80"/>
      <c r="AK97"/>
      <c r="AL97" s="80"/>
      <c r="AO97"/>
      <c r="AP97"/>
      <c r="AQ97"/>
    </row>
    <row r="98" spans="1:43" s="762" customFormat="1" ht="15.75" customHeight="1">
      <c r="A98"/>
      <c r="B98"/>
      <c r="C98"/>
      <c r="D98"/>
      <c r="E98"/>
      <c r="F98"/>
      <c r="G98" s="80"/>
      <c r="H98"/>
      <c r="I98"/>
      <c r="J98"/>
      <c r="K98"/>
      <c r="L98" s="139"/>
      <c r="M98" s="139"/>
      <c r="N98" s="159"/>
      <c r="O98"/>
      <c r="P98" s="629"/>
      <c r="Q98" s="760"/>
      <c r="R98" s="706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 s="773"/>
      <c r="AH98" s="80"/>
      <c r="AI98" s="80"/>
      <c r="AJ98" s="80"/>
      <c r="AK98"/>
      <c r="AL98" s="80"/>
      <c r="AO98"/>
      <c r="AP98"/>
      <c r="AQ98"/>
    </row>
    <row r="99" spans="1:43" s="762" customFormat="1" ht="15.75" customHeight="1">
      <c r="A99"/>
      <c r="B99"/>
      <c r="C99"/>
      <c r="D99"/>
      <c r="E99"/>
      <c r="F99"/>
      <c r="G99" s="80"/>
      <c r="H99"/>
      <c r="I99"/>
      <c r="J99"/>
      <c r="K99"/>
      <c r="L99" s="139"/>
      <c r="M99" s="139"/>
      <c r="N99" s="159"/>
      <c r="O99"/>
      <c r="P99" s="629"/>
      <c r="Q99" s="760"/>
      <c r="R99" s="706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 s="773"/>
      <c r="AH99" s="80"/>
      <c r="AI99" s="80"/>
      <c r="AJ99" s="80"/>
      <c r="AK99"/>
      <c r="AL99" s="80"/>
      <c r="AO99"/>
      <c r="AP99"/>
      <c r="AQ99"/>
    </row>
    <row r="100" spans="1:43" s="762" customFormat="1" ht="15.75" customHeight="1">
      <c r="A100"/>
      <c r="B100"/>
      <c r="C100"/>
      <c r="D100"/>
      <c r="E100"/>
      <c r="F100"/>
      <c r="G100" s="80"/>
      <c r="H100"/>
      <c r="I100"/>
      <c r="J100"/>
      <c r="K100"/>
      <c r="L100" s="139"/>
      <c r="M100" s="139"/>
      <c r="N100" s="159"/>
      <c r="O100"/>
      <c r="P100" s="629"/>
      <c r="Q100" s="760"/>
      <c r="R100" s="706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 s="773"/>
      <c r="AH100" s="80"/>
      <c r="AI100" s="80"/>
      <c r="AJ100" s="80"/>
      <c r="AK100"/>
      <c r="AL100" s="80"/>
      <c r="AO100"/>
      <c r="AP100"/>
      <c r="AQ100"/>
    </row>
    <row r="101" spans="1:43" s="762" customFormat="1" ht="15.75" customHeight="1">
      <c r="A101"/>
      <c r="B101"/>
      <c r="C101"/>
      <c r="D101"/>
      <c r="E101"/>
      <c r="F101"/>
      <c r="G101" s="80"/>
      <c r="H101"/>
      <c r="I101"/>
      <c r="J101"/>
      <c r="K101"/>
      <c r="L101" s="139"/>
      <c r="M101" s="139"/>
      <c r="N101" s="159"/>
      <c r="O101"/>
      <c r="P101" s="629"/>
      <c r="Q101" s="760"/>
      <c r="R101" s="706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 s="773"/>
      <c r="AH101" s="80"/>
      <c r="AI101" s="80"/>
      <c r="AJ101" s="80"/>
      <c r="AK101"/>
      <c r="AL101" s="80"/>
      <c r="AO101"/>
      <c r="AP101"/>
      <c r="AQ101"/>
    </row>
    <row r="102" spans="1:43" s="762" customFormat="1" ht="15.75" customHeight="1">
      <c r="A102"/>
      <c r="B102"/>
      <c r="C102"/>
      <c r="D102"/>
      <c r="E102"/>
      <c r="F102"/>
      <c r="G102" s="80"/>
      <c r="H102"/>
      <c r="I102"/>
      <c r="J102"/>
      <c r="K102"/>
      <c r="L102" s="139"/>
      <c r="M102" s="139"/>
      <c r="N102" s="159"/>
      <c r="O102"/>
      <c r="P102" s="629"/>
      <c r="Q102" s="760"/>
      <c r="R102" s="706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 s="773"/>
      <c r="AH102" s="80"/>
      <c r="AI102" s="80"/>
      <c r="AJ102" s="80"/>
      <c r="AK102"/>
      <c r="AL102" s="80"/>
      <c r="AO102"/>
      <c r="AP102"/>
      <c r="AQ102"/>
    </row>
    <row r="103" spans="1:43" s="762" customFormat="1" ht="15.75" customHeight="1">
      <c r="A103"/>
      <c r="B103"/>
      <c r="C103"/>
      <c r="D103"/>
      <c r="E103"/>
      <c r="F103"/>
      <c r="G103" s="80"/>
      <c r="H103"/>
      <c r="I103"/>
      <c r="J103"/>
      <c r="K103"/>
      <c r="L103" s="139"/>
      <c r="M103" s="139"/>
      <c r="N103" s="159"/>
      <c r="O103"/>
      <c r="P103" s="629"/>
      <c r="Q103" s="760"/>
      <c r="R103" s="706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 s="773"/>
      <c r="AH103" s="80"/>
      <c r="AI103" s="80"/>
      <c r="AJ103" s="80"/>
      <c r="AK103"/>
      <c r="AL103" s="80"/>
      <c r="AO103"/>
      <c r="AP103"/>
      <c r="AQ103"/>
    </row>
    <row r="104" spans="1:43" s="762" customFormat="1" ht="15.75" customHeight="1">
      <c r="A104"/>
      <c r="B104"/>
      <c r="C104"/>
      <c r="D104"/>
      <c r="E104"/>
      <c r="F104"/>
      <c r="G104" s="80"/>
      <c r="H104"/>
      <c r="I104"/>
      <c r="J104"/>
      <c r="K104"/>
      <c r="L104" s="139"/>
      <c r="M104" s="139"/>
      <c r="N104" s="159"/>
      <c r="O104"/>
      <c r="P104" s="629"/>
      <c r="Q104" s="760"/>
      <c r="R104" s="706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 s="773"/>
      <c r="AH104" s="80"/>
      <c r="AI104" s="80"/>
      <c r="AJ104" s="80"/>
      <c r="AK104"/>
      <c r="AL104" s="80"/>
      <c r="AO104"/>
      <c r="AP104"/>
      <c r="AQ104"/>
    </row>
    <row r="105" spans="1:43" s="762" customFormat="1" ht="15.75" customHeight="1">
      <c r="A105"/>
      <c r="B105"/>
      <c r="C105"/>
      <c r="D105"/>
      <c r="E105"/>
      <c r="F105"/>
      <c r="G105" s="80"/>
      <c r="H105"/>
      <c r="I105"/>
      <c r="J105"/>
      <c r="K105"/>
      <c r="L105" s="139"/>
      <c r="M105" s="139"/>
      <c r="N105" s="159"/>
      <c r="O105"/>
      <c r="P105" s="629"/>
      <c r="Q105" s="760"/>
      <c r="R105" s="706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 s="773"/>
      <c r="AH105" s="80"/>
      <c r="AI105" s="80"/>
      <c r="AJ105" s="80"/>
      <c r="AK105"/>
      <c r="AL105" s="80"/>
      <c r="AO105"/>
      <c r="AP105"/>
      <c r="AQ105"/>
    </row>
    <row r="106" spans="1:43" s="762" customFormat="1" ht="15.75" customHeight="1">
      <c r="A106"/>
      <c r="B106"/>
      <c r="C106"/>
      <c r="D106"/>
      <c r="E106"/>
      <c r="F106"/>
      <c r="G106" s="80"/>
      <c r="H106"/>
      <c r="I106"/>
      <c r="J106"/>
      <c r="K106"/>
      <c r="L106" s="139"/>
      <c r="M106" s="139"/>
      <c r="N106" s="159"/>
      <c r="O106"/>
      <c r="P106" s="629"/>
      <c r="Q106" s="760"/>
      <c r="R106" s="7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 s="773"/>
      <c r="AH106" s="80"/>
      <c r="AI106" s="80"/>
      <c r="AJ106" s="80"/>
      <c r="AK106"/>
      <c r="AL106" s="80"/>
      <c r="AO106"/>
      <c r="AP106"/>
      <c r="AQ106"/>
    </row>
    <row r="107" spans="1:43" s="762" customFormat="1" ht="15.75" customHeight="1">
      <c r="A107"/>
      <c r="B107"/>
      <c r="C107"/>
      <c r="D107"/>
      <c r="E107"/>
      <c r="F107"/>
      <c r="G107" s="80"/>
      <c r="H107"/>
      <c r="I107"/>
      <c r="J107"/>
      <c r="K107"/>
      <c r="L107" s="139"/>
      <c r="M107" s="139"/>
      <c r="N107" s="159"/>
      <c r="O107"/>
      <c r="P107" s="629"/>
      <c r="Q107" s="760"/>
      <c r="R107" s="706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 s="773"/>
      <c r="AH107" s="80"/>
      <c r="AI107" s="80"/>
      <c r="AJ107" s="80"/>
      <c r="AK107"/>
      <c r="AL107" s="80"/>
      <c r="AO107"/>
      <c r="AP107"/>
      <c r="AQ107"/>
    </row>
    <row r="108" spans="1:43" s="762" customFormat="1" ht="15.75" customHeight="1">
      <c r="A108"/>
      <c r="B108"/>
      <c r="C108"/>
      <c r="D108"/>
      <c r="E108"/>
      <c r="F108"/>
      <c r="G108" s="80"/>
      <c r="H108"/>
      <c r="I108"/>
      <c r="J108"/>
      <c r="K108"/>
      <c r="L108" s="139"/>
      <c r="M108" s="139"/>
      <c r="N108" s="159"/>
      <c r="O108"/>
      <c r="P108" s="629"/>
      <c r="Q108" s="760"/>
      <c r="R108" s="706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 s="773"/>
      <c r="AH108" s="80"/>
      <c r="AI108" s="80"/>
      <c r="AJ108" s="80"/>
      <c r="AK108"/>
      <c r="AL108" s="80"/>
      <c r="AO108"/>
      <c r="AP108"/>
      <c r="AQ108"/>
    </row>
    <row r="109" spans="1:43" s="762" customFormat="1" ht="15.75" customHeight="1">
      <c r="A109"/>
      <c r="B109"/>
      <c r="C109"/>
      <c r="D109"/>
      <c r="E109"/>
      <c r="F109"/>
      <c r="G109" s="80"/>
      <c r="H109"/>
      <c r="I109"/>
      <c r="J109"/>
      <c r="K109"/>
      <c r="L109" s="139"/>
      <c r="M109" s="139"/>
      <c r="N109" s="159"/>
      <c r="O109"/>
      <c r="P109" s="629"/>
      <c r="Q109" s="760"/>
      <c r="R109" s="706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 s="773"/>
      <c r="AH109" s="80"/>
      <c r="AI109" s="80"/>
      <c r="AJ109" s="80"/>
      <c r="AK109"/>
      <c r="AL109" s="80"/>
      <c r="AO109"/>
      <c r="AP109"/>
      <c r="AQ109"/>
    </row>
    <row r="110" spans="1:43" s="762" customFormat="1" ht="15.75" customHeight="1">
      <c r="A110"/>
      <c r="B110"/>
      <c r="C110"/>
      <c r="D110"/>
      <c r="E110"/>
      <c r="F110"/>
      <c r="G110" s="80"/>
      <c r="H110"/>
      <c r="I110"/>
      <c r="J110"/>
      <c r="K110"/>
      <c r="L110" s="139"/>
      <c r="M110" s="139"/>
      <c r="N110" s="159"/>
      <c r="O110"/>
      <c r="P110" s="629"/>
      <c r="Q110" s="760"/>
      <c r="R110" s="706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 s="773"/>
      <c r="AH110" s="80"/>
      <c r="AI110" s="80"/>
      <c r="AJ110" s="80"/>
      <c r="AK110"/>
      <c r="AL110" s="80"/>
      <c r="AO110"/>
      <c r="AP110"/>
      <c r="AQ110"/>
    </row>
    <row r="111" spans="1:43" s="762" customFormat="1" ht="15.75" customHeight="1">
      <c r="A111"/>
      <c r="B111"/>
      <c r="C111"/>
      <c r="D111"/>
      <c r="E111"/>
      <c r="F111"/>
      <c r="G111" s="80"/>
      <c r="H111"/>
      <c r="I111"/>
      <c r="J111"/>
      <c r="K111"/>
      <c r="L111" s="139"/>
      <c r="M111" s="139"/>
      <c r="N111" s="159"/>
      <c r="O111"/>
      <c r="P111" s="629"/>
      <c r="Q111" s="760"/>
      <c r="R111" s="706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 s="773"/>
      <c r="AH111" s="80"/>
      <c r="AI111" s="80"/>
      <c r="AJ111" s="80"/>
      <c r="AK111"/>
      <c r="AL111" s="80"/>
      <c r="AO111"/>
      <c r="AP111"/>
      <c r="AQ111"/>
    </row>
    <row r="112" spans="1:43" s="762" customFormat="1" ht="15.75" customHeight="1">
      <c r="A112"/>
      <c r="B112"/>
      <c r="C112"/>
      <c r="D112"/>
      <c r="E112"/>
      <c r="F112"/>
      <c r="G112" s="80"/>
      <c r="H112"/>
      <c r="I112"/>
      <c r="J112"/>
      <c r="K112"/>
      <c r="L112" s="139"/>
      <c r="M112" s="139"/>
      <c r="N112" s="159"/>
      <c r="O112"/>
      <c r="P112" s="629"/>
      <c r="Q112" s="760"/>
      <c r="R112" s="706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 s="773"/>
      <c r="AH112" s="80"/>
      <c r="AI112" s="80"/>
      <c r="AJ112" s="80"/>
      <c r="AK112"/>
      <c r="AL112" s="80"/>
      <c r="AO112"/>
      <c r="AP112"/>
      <c r="AQ112"/>
    </row>
    <row r="113" spans="1:43" s="762" customFormat="1" ht="15.75" customHeight="1">
      <c r="A113"/>
      <c r="B113"/>
      <c r="C113"/>
      <c r="D113"/>
      <c r="E113"/>
      <c r="F113"/>
      <c r="G113" s="80"/>
      <c r="H113"/>
      <c r="I113"/>
      <c r="J113"/>
      <c r="K113"/>
      <c r="L113" s="139"/>
      <c r="M113" s="139"/>
      <c r="N113" s="159"/>
      <c r="O113"/>
      <c r="P113" s="629"/>
      <c r="Q113" s="760"/>
      <c r="R113" s="706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 s="773"/>
      <c r="AH113" s="80"/>
      <c r="AI113" s="80"/>
      <c r="AJ113" s="80"/>
      <c r="AK113"/>
      <c r="AL113" s="80"/>
      <c r="AO113"/>
      <c r="AP113"/>
      <c r="AQ113"/>
    </row>
    <row r="114" spans="1:43" s="762" customFormat="1" ht="15.75" customHeight="1">
      <c r="A114"/>
      <c r="B114"/>
      <c r="C114"/>
      <c r="D114"/>
      <c r="E114"/>
      <c r="F114"/>
      <c r="G114" s="80"/>
      <c r="H114"/>
      <c r="I114"/>
      <c r="J114"/>
      <c r="K114"/>
      <c r="L114" s="139"/>
      <c r="M114" s="139"/>
      <c r="N114" s="159"/>
      <c r="O114"/>
      <c r="P114" s="629"/>
      <c r="Q114" s="760"/>
      <c r="R114" s="706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 s="773"/>
      <c r="AH114" s="80"/>
      <c r="AI114" s="80"/>
      <c r="AJ114" s="80"/>
      <c r="AK114"/>
      <c r="AL114" s="80"/>
      <c r="AO114"/>
      <c r="AP114"/>
      <c r="AQ114"/>
    </row>
    <row r="115" spans="1:43" s="762" customFormat="1" ht="15.75" customHeight="1">
      <c r="A115"/>
      <c r="B115"/>
      <c r="C115"/>
      <c r="D115"/>
      <c r="E115"/>
      <c r="F115"/>
      <c r="G115" s="80"/>
      <c r="H115"/>
      <c r="I115"/>
      <c r="J115"/>
      <c r="K115"/>
      <c r="L115" s="139"/>
      <c r="M115" s="139"/>
      <c r="N115" s="159"/>
      <c r="O115"/>
      <c r="P115" s="629"/>
      <c r="Q115" s="760"/>
      <c r="R115" s="706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 s="773"/>
      <c r="AH115" s="80"/>
      <c r="AI115" s="80"/>
      <c r="AJ115" s="80"/>
      <c r="AK115"/>
      <c r="AL115" s="80"/>
      <c r="AO115"/>
      <c r="AP115"/>
      <c r="AQ115"/>
    </row>
    <row r="116" spans="1:43" s="762" customFormat="1" ht="15.75" customHeight="1">
      <c r="A116"/>
      <c r="B116"/>
      <c r="C116"/>
      <c r="D116"/>
      <c r="E116"/>
      <c r="F116"/>
      <c r="G116" s="80"/>
      <c r="H116"/>
      <c r="I116"/>
      <c r="J116"/>
      <c r="K116"/>
      <c r="L116" s="139"/>
      <c r="M116" s="139"/>
      <c r="N116" s="159"/>
      <c r="O116"/>
      <c r="P116" s="629"/>
      <c r="Q116" s="760"/>
      <c r="R116" s="70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 s="773"/>
      <c r="AH116" s="80"/>
      <c r="AI116" s="80"/>
      <c r="AJ116" s="80"/>
      <c r="AK116"/>
      <c r="AL116" s="80"/>
      <c r="AO116"/>
      <c r="AP116"/>
      <c r="AQ116"/>
    </row>
    <row r="117" spans="1:43" s="762" customFormat="1" ht="15.75" customHeight="1">
      <c r="A117"/>
      <c r="B117"/>
      <c r="C117"/>
      <c r="D117"/>
      <c r="E117"/>
      <c r="F117"/>
      <c r="G117" s="80"/>
      <c r="H117"/>
      <c r="I117"/>
      <c r="J117"/>
      <c r="K117"/>
      <c r="L117" s="139"/>
      <c r="M117" s="139"/>
      <c r="N117" s="159"/>
      <c r="O117"/>
      <c r="P117" s="629"/>
      <c r="Q117" s="760"/>
      <c r="R117" s="706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 s="773"/>
      <c r="AH117" s="80"/>
      <c r="AI117" s="80"/>
      <c r="AJ117" s="80"/>
      <c r="AK117"/>
      <c r="AL117" s="80"/>
      <c r="AO117"/>
      <c r="AP117"/>
      <c r="AQ117"/>
    </row>
    <row r="118" spans="1:43" s="762" customFormat="1" ht="15.75" customHeight="1">
      <c r="A118"/>
      <c r="B118"/>
      <c r="C118"/>
      <c r="D118"/>
      <c r="E118"/>
      <c r="F118"/>
      <c r="G118" s="80"/>
      <c r="H118"/>
      <c r="I118"/>
      <c r="J118"/>
      <c r="K118"/>
      <c r="L118" s="139"/>
      <c r="M118" s="139"/>
      <c r="N118" s="159"/>
      <c r="O118"/>
      <c r="P118" s="629"/>
      <c r="Q118" s="760"/>
      <c r="R118" s="706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 s="773"/>
      <c r="AH118" s="80"/>
      <c r="AI118" s="80"/>
      <c r="AJ118" s="80"/>
      <c r="AK118"/>
      <c r="AL118" s="80"/>
      <c r="AO118"/>
      <c r="AP118"/>
      <c r="AQ118"/>
    </row>
    <row r="119" spans="1:43" s="762" customFormat="1" ht="15.75" customHeight="1">
      <c r="A119"/>
      <c r="B119"/>
      <c r="C119"/>
      <c r="D119"/>
      <c r="E119"/>
      <c r="F119"/>
      <c r="G119" s="80"/>
      <c r="H119"/>
      <c r="I119"/>
      <c r="J119"/>
      <c r="K119"/>
      <c r="L119" s="139"/>
      <c r="M119" s="139"/>
      <c r="N119" s="159"/>
      <c r="O119"/>
      <c r="P119" s="629"/>
      <c r="Q119" s="760"/>
      <c r="R119" s="706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 s="773"/>
      <c r="AH119" s="80"/>
      <c r="AI119" s="80"/>
      <c r="AJ119" s="80"/>
      <c r="AK119"/>
      <c r="AL119" s="80"/>
      <c r="AO119"/>
      <c r="AP119"/>
      <c r="AQ119"/>
    </row>
    <row r="120" spans="1:43" s="762" customFormat="1" ht="15.75" customHeight="1">
      <c r="A120"/>
      <c r="B120"/>
      <c r="C120"/>
      <c r="D120"/>
      <c r="E120"/>
      <c r="F120"/>
      <c r="G120" s="80"/>
      <c r="H120"/>
      <c r="I120"/>
      <c r="J120"/>
      <c r="K120"/>
      <c r="L120" s="139"/>
      <c r="M120" s="139"/>
      <c r="N120" s="159"/>
      <c r="O120"/>
      <c r="P120" s="629"/>
      <c r="Q120" s="760"/>
      <c r="R120" s="706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 s="773"/>
      <c r="AH120" s="80"/>
      <c r="AI120" s="80"/>
      <c r="AJ120" s="80"/>
      <c r="AK120"/>
      <c r="AL120" s="80"/>
      <c r="AO120"/>
      <c r="AP120"/>
      <c r="AQ120"/>
    </row>
    <row r="121" spans="1:43" s="762" customFormat="1" ht="15.75" customHeight="1">
      <c r="A121"/>
      <c r="B121"/>
      <c r="C121"/>
      <c r="D121"/>
      <c r="E121"/>
      <c r="F121"/>
      <c r="G121" s="80"/>
      <c r="H121"/>
      <c r="I121"/>
      <c r="J121"/>
      <c r="K121"/>
      <c r="L121" s="139"/>
      <c r="M121" s="139"/>
      <c r="N121" s="159"/>
      <c r="O121"/>
      <c r="P121" s="629"/>
      <c r="Q121" s="760"/>
      <c r="R121" s="706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 s="773"/>
      <c r="AH121" s="80"/>
      <c r="AI121" s="80"/>
      <c r="AJ121" s="80"/>
      <c r="AK121"/>
      <c r="AL121" s="80"/>
      <c r="AO121"/>
      <c r="AP121"/>
      <c r="AQ121"/>
    </row>
    <row r="122" spans="1:43" s="762" customFormat="1" ht="15.75" customHeight="1">
      <c r="A122"/>
      <c r="B122"/>
      <c r="C122"/>
      <c r="D122"/>
      <c r="E122"/>
      <c r="F122"/>
      <c r="G122" s="80"/>
      <c r="H122"/>
      <c r="I122"/>
      <c r="J122"/>
      <c r="K122"/>
      <c r="L122" s="139"/>
      <c r="M122" s="139"/>
      <c r="N122" s="159"/>
      <c r="O122"/>
      <c r="P122" s="629"/>
      <c r="Q122" s="760"/>
      <c r="R122" s="706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 s="773"/>
      <c r="AH122" s="80"/>
      <c r="AI122" s="80"/>
      <c r="AJ122" s="80"/>
      <c r="AK122"/>
      <c r="AL122" s="80"/>
      <c r="AO122"/>
      <c r="AP122"/>
      <c r="AQ122"/>
    </row>
    <row r="123" spans="1:43" s="762" customFormat="1" ht="15.75" customHeight="1">
      <c r="A123"/>
      <c r="B123"/>
      <c r="C123"/>
      <c r="D123"/>
      <c r="E123"/>
      <c r="F123"/>
      <c r="G123" s="80"/>
      <c r="H123"/>
      <c r="I123"/>
      <c r="J123"/>
      <c r="K123"/>
      <c r="L123" s="139"/>
      <c r="M123" s="139"/>
      <c r="N123" s="159"/>
      <c r="O123"/>
      <c r="P123" s="629"/>
      <c r="Q123" s="760"/>
      <c r="R123" s="706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 s="773"/>
      <c r="AH123" s="80"/>
      <c r="AI123" s="80"/>
      <c r="AJ123" s="80"/>
      <c r="AK123"/>
      <c r="AL123" s="80"/>
      <c r="AO123"/>
      <c r="AP123"/>
      <c r="AQ123"/>
    </row>
    <row r="124" spans="1:43" s="762" customFormat="1" ht="15.75" customHeight="1">
      <c r="A124"/>
      <c r="B124"/>
      <c r="C124"/>
      <c r="D124"/>
      <c r="E124"/>
      <c r="F124"/>
      <c r="G124" s="80"/>
      <c r="H124"/>
      <c r="I124"/>
      <c r="J124"/>
      <c r="K124"/>
      <c r="L124" s="139"/>
      <c r="M124" s="139"/>
      <c r="N124" s="159"/>
      <c r="O124"/>
      <c r="P124" s="629"/>
      <c r="Q124" s="760"/>
      <c r="R124" s="706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 s="773"/>
      <c r="AH124" s="80"/>
      <c r="AI124" s="80"/>
      <c r="AJ124" s="80"/>
      <c r="AK124"/>
      <c r="AL124" s="80"/>
      <c r="AO124"/>
      <c r="AP124"/>
      <c r="AQ124"/>
    </row>
    <row r="125" spans="1:43" s="762" customFormat="1" ht="15.75" customHeight="1">
      <c r="A125"/>
      <c r="B125"/>
      <c r="C125"/>
      <c r="D125"/>
      <c r="E125"/>
      <c r="F125"/>
      <c r="G125" s="80"/>
      <c r="H125"/>
      <c r="I125"/>
      <c r="J125"/>
      <c r="K125"/>
      <c r="L125" s="139"/>
      <c r="M125" s="139"/>
      <c r="N125" s="159"/>
      <c r="O125"/>
      <c r="P125" s="629"/>
      <c r="Q125" s="760"/>
      <c r="R125" s="706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 s="773"/>
      <c r="AH125" s="80"/>
      <c r="AI125" s="80"/>
      <c r="AJ125" s="80"/>
      <c r="AK125"/>
      <c r="AL125" s="80"/>
      <c r="AO125"/>
      <c r="AP125"/>
      <c r="AQ125"/>
    </row>
    <row r="126" spans="1:43" s="762" customFormat="1" ht="15.75" customHeight="1">
      <c r="A126"/>
      <c r="B126"/>
      <c r="C126"/>
      <c r="D126"/>
      <c r="E126"/>
      <c r="F126"/>
      <c r="G126" s="80"/>
      <c r="H126"/>
      <c r="I126"/>
      <c r="J126"/>
      <c r="K126"/>
      <c r="L126" s="139"/>
      <c r="M126" s="139"/>
      <c r="N126" s="159"/>
      <c r="O126"/>
      <c r="P126" s="629"/>
      <c r="Q126" s="760"/>
      <c r="R126" s="70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 s="773"/>
      <c r="AH126" s="80"/>
      <c r="AI126" s="80"/>
      <c r="AJ126" s="80"/>
      <c r="AK126"/>
      <c r="AL126" s="80"/>
      <c r="AO126"/>
      <c r="AP126"/>
      <c r="AQ126"/>
    </row>
    <row r="127" spans="1:43" s="762" customFormat="1" ht="15.75" customHeight="1">
      <c r="A127"/>
      <c r="B127"/>
      <c r="C127"/>
      <c r="D127"/>
      <c r="E127"/>
      <c r="F127"/>
      <c r="G127" s="80"/>
      <c r="H127"/>
      <c r="I127"/>
      <c r="J127"/>
      <c r="K127"/>
      <c r="L127" s="139"/>
      <c r="M127" s="139"/>
      <c r="N127" s="159"/>
      <c r="O127"/>
      <c r="P127" s="629"/>
      <c r="Q127" s="760"/>
      <c r="R127" s="706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 s="773"/>
      <c r="AH127" s="80"/>
      <c r="AI127" s="80"/>
      <c r="AJ127" s="80"/>
      <c r="AK127"/>
      <c r="AL127" s="80"/>
      <c r="AO127"/>
      <c r="AP127"/>
      <c r="AQ127"/>
    </row>
    <row r="128" spans="1:43" s="762" customFormat="1" ht="15.75" customHeight="1">
      <c r="A128"/>
      <c r="B128"/>
      <c r="C128"/>
      <c r="D128"/>
      <c r="E128"/>
      <c r="F128"/>
      <c r="G128" s="80"/>
      <c r="H128"/>
      <c r="I128"/>
      <c r="J128"/>
      <c r="K128"/>
      <c r="L128" s="139"/>
      <c r="M128" s="139"/>
      <c r="N128" s="159"/>
      <c r="O128"/>
      <c r="P128" s="629"/>
      <c r="Q128" s="760"/>
      <c r="R128" s="706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 s="773"/>
      <c r="AH128" s="80"/>
      <c r="AI128" s="80"/>
      <c r="AJ128" s="80"/>
      <c r="AK128"/>
      <c r="AL128" s="80"/>
      <c r="AO128"/>
      <c r="AP128"/>
      <c r="AQ128"/>
    </row>
    <row r="129" spans="1:43" s="762" customFormat="1" ht="15.75" customHeight="1">
      <c r="A129"/>
      <c r="B129"/>
      <c r="C129"/>
      <c r="D129"/>
      <c r="E129"/>
      <c r="F129"/>
      <c r="G129" s="80"/>
      <c r="H129"/>
      <c r="I129"/>
      <c r="J129"/>
      <c r="K129"/>
      <c r="L129" s="139"/>
      <c r="M129" s="139"/>
      <c r="N129" s="159"/>
      <c r="O129"/>
      <c r="P129" s="629"/>
      <c r="Q129" s="760"/>
      <c r="R129" s="706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 s="773"/>
      <c r="AH129" s="80"/>
      <c r="AI129" s="80"/>
      <c r="AJ129" s="80"/>
      <c r="AK129"/>
      <c r="AL129" s="80"/>
      <c r="AO129"/>
      <c r="AP129"/>
      <c r="AQ129"/>
    </row>
    <row r="130" spans="1:43" s="762" customFormat="1" ht="15.75" customHeight="1">
      <c r="A130"/>
      <c r="B130"/>
      <c r="C130"/>
      <c r="D130"/>
      <c r="E130"/>
      <c r="F130"/>
      <c r="G130" s="80"/>
      <c r="H130"/>
      <c r="I130"/>
      <c r="J130"/>
      <c r="K130"/>
      <c r="L130" s="139"/>
      <c r="M130" s="139"/>
      <c r="N130" s="159"/>
      <c r="O130"/>
      <c r="P130" s="629"/>
      <c r="Q130" s="760"/>
      <c r="R130" s="706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 s="773"/>
      <c r="AH130" s="80"/>
      <c r="AI130" s="80"/>
      <c r="AJ130" s="80"/>
      <c r="AK130"/>
      <c r="AL130" s="80"/>
      <c r="AO130"/>
      <c r="AP130"/>
      <c r="AQ130"/>
    </row>
    <row r="131" spans="1:43" s="762" customFormat="1" ht="15.75" customHeight="1">
      <c r="A131"/>
      <c r="B131"/>
      <c r="C131"/>
      <c r="D131"/>
      <c r="E131"/>
      <c r="F131"/>
      <c r="G131" s="80"/>
      <c r="H131"/>
      <c r="I131"/>
      <c r="J131"/>
      <c r="K131"/>
      <c r="L131" s="139"/>
      <c r="M131" s="139"/>
      <c r="N131" s="159"/>
      <c r="O131"/>
      <c r="P131" s="629"/>
      <c r="Q131" s="760"/>
      <c r="R131" s="706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 s="773"/>
      <c r="AH131" s="80"/>
      <c r="AI131" s="80"/>
      <c r="AJ131" s="80"/>
      <c r="AK131"/>
      <c r="AL131" s="80"/>
      <c r="AO131"/>
      <c r="AP131"/>
      <c r="AQ131"/>
    </row>
    <row r="132" spans="1:43" s="762" customFormat="1" ht="15.75" customHeight="1">
      <c r="A132"/>
      <c r="B132"/>
      <c r="C132"/>
      <c r="D132"/>
      <c r="E132"/>
      <c r="F132"/>
      <c r="G132" s="80"/>
      <c r="H132"/>
      <c r="I132"/>
      <c r="J132"/>
      <c r="K132"/>
      <c r="L132" s="139"/>
      <c r="M132" s="139"/>
      <c r="N132" s="159"/>
      <c r="O132"/>
      <c r="P132" s="629"/>
      <c r="Q132" s="760"/>
      <c r="R132" s="706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 s="773"/>
      <c r="AH132" s="80"/>
      <c r="AI132" s="80"/>
      <c r="AJ132" s="80"/>
      <c r="AK132"/>
      <c r="AL132" s="80"/>
      <c r="AO132"/>
      <c r="AP132"/>
      <c r="AQ132"/>
    </row>
    <row r="133" spans="1:43" s="762" customFormat="1" ht="15.75" customHeight="1">
      <c r="A133"/>
      <c r="B133"/>
      <c r="C133"/>
      <c r="D133"/>
      <c r="E133"/>
      <c r="F133"/>
      <c r="G133" s="80"/>
      <c r="H133"/>
      <c r="I133"/>
      <c r="J133"/>
      <c r="K133"/>
      <c r="L133" s="139"/>
      <c r="M133" s="139"/>
      <c r="N133" s="159"/>
      <c r="O133"/>
      <c r="P133" s="629"/>
      <c r="Q133" s="760"/>
      <c r="R133" s="706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 s="773"/>
      <c r="AH133" s="80"/>
      <c r="AI133" s="80"/>
      <c r="AJ133" s="80"/>
      <c r="AK133"/>
      <c r="AL133" s="80"/>
      <c r="AO133"/>
      <c r="AP133"/>
      <c r="AQ133"/>
    </row>
    <row r="134" spans="1:43" s="762" customFormat="1" ht="15.75" customHeight="1">
      <c r="A134"/>
      <c r="B134"/>
      <c r="C134"/>
      <c r="D134"/>
      <c r="E134"/>
      <c r="F134"/>
      <c r="G134" s="80"/>
      <c r="H134"/>
      <c r="I134"/>
      <c r="J134"/>
      <c r="K134"/>
      <c r="L134" s="139"/>
      <c r="M134" s="139"/>
      <c r="N134" s="159"/>
      <c r="O134"/>
      <c r="P134" s="629"/>
      <c r="Q134" s="760"/>
      <c r="R134" s="706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 s="773"/>
      <c r="AH134" s="80"/>
      <c r="AI134" s="80"/>
      <c r="AJ134" s="80"/>
      <c r="AK134"/>
      <c r="AL134" s="80"/>
      <c r="AO134"/>
      <c r="AP134"/>
      <c r="AQ134"/>
    </row>
    <row r="135" spans="1:43" s="762" customFormat="1" ht="15.75" customHeight="1">
      <c r="A135"/>
      <c r="B135"/>
      <c r="C135"/>
      <c r="D135"/>
      <c r="E135"/>
      <c r="F135"/>
      <c r="G135" s="80"/>
      <c r="H135"/>
      <c r="I135"/>
      <c r="J135"/>
      <c r="K135"/>
      <c r="L135" s="139"/>
      <c r="M135" s="139"/>
      <c r="N135" s="159"/>
      <c r="O135"/>
      <c r="P135" s="629"/>
      <c r="Q135" s="760"/>
      <c r="R135" s="706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 s="773"/>
      <c r="AH135" s="80"/>
      <c r="AI135" s="80"/>
      <c r="AJ135" s="80"/>
      <c r="AK135"/>
      <c r="AL135" s="80"/>
      <c r="AO135"/>
      <c r="AP135"/>
      <c r="AQ135"/>
    </row>
    <row r="136" spans="1:43" s="762" customFormat="1" ht="15.75" customHeight="1">
      <c r="A136"/>
      <c r="B136"/>
      <c r="C136"/>
      <c r="D136"/>
      <c r="E136"/>
      <c r="F136"/>
      <c r="G136" s="80"/>
      <c r="H136"/>
      <c r="I136"/>
      <c r="J136"/>
      <c r="K136"/>
      <c r="L136" s="139"/>
      <c r="M136" s="139"/>
      <c r="N136" s="159"/>
      <c r="O136"/>
      <c r="P136" s="629"/>
      <c r="Q136" s="760"/>
      <c r="R136" s="70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 s="773"/>
      <c r="AH136" s="80"/>
      <c r="AI136" s="80"/>
      <c r="AJ136" s="80"/>
      <c r="AK136"/>
      <c r="AL136" s="80"/>
      <c r="AO136"/>
      <c r="AP136"/>
      <c r="AQ136"/>
    </row>
    <row r="137" spans="1:43" s="762" customFormat="1" ht="15.75" customHeight="1">
      <c r="A137"/>
      <c r="B137"/>
      <c r="C137"/>
      <c r="D137"/>
      <c r="E137"/>
      <c r="F137"/>
      <c r="G137" s="80"/>
      <c r="H137"/>
      <c r="I137"/>
      <c r="J137"/>
      <c r="K137"/>
      <c r="L137" s="139"/>
      <c r="M137" s="139"/>
      <c r="N137" s="159"/>
      <c r="O137"/>
      <c r="P137" s="629"/>
      <c r="Q137" s="760"/>
      <c r="R137" s="706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 s="773"/>
      <c r="AH137" s="80"/>
      <c r="AI137" s="80"/>
      <c r="AJ137" s="80"/>
      <c r="AK137"/>
      <c r="AL137" s="80"/>
      <c r="AO137"/>
      <c r="AP137"/>
      <c r="AQ137"/>
    </row>
    <row r="138" spans="1:43" s="762" customFormat="1" ht="15.75" customHeight="1">
      <c r="A138"/>
      <c r="B138"/>
      <c r="C138"/>
      <c r="D138"/>
      <c r="E138"/>
      <c r="F138"/>
      <c r="G138" s="80"/>
      <c r="H138"/>
      <c r="I138"/>
      <c r="J138"/>
      <c r="K138"/>
      <c r="L138" s="139"/>
      <c r="M138" s="139"/>
      <c r="N138" s="159"/>
      <c r="O138"/>
      <c r="P138" s="629"/>
      <c r="Q138" s="760"/>
      <c r="R138" s="706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 s="773"/>
      <c r="AH138" s="80"/>
      <c r="AI138" s="80"/>
      <c r="AJ138" s="80"/>
      <c r="AK138"/>
      <c r="AL138" s="80"/>
      <c r="AO138"/>
      <c r="AP138"/>
      <c r="AQ138"/>
    </row>
    <row r="139" spans="1:43" s="762" customFormat="1" ht="15.75" customHeight="1">
      <c r="A139"/>
      <c r="B139"/>
      <c r="C139"/>
      <c r="D139"/>
      <c r="E139"/>
      <c r="F139"/>
      <c r="G139" s="80"/>
      <c r="H139"/>
      <c r="I139"/>
      <c r="J139"/>
      <c r="K139"/>
      <c r="L139" s="139"/>
      <c r="M139" s="139"/>
      <c r="N139" s="159"/>
      <c r="O139"/>
      <c r="P139" s="629"/>
      <c r="Q139" s="760"/>
      <c r="R139" s="706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 s="773"/>
      <c r="AH139" s="80"/>
      <c r="AI139" s="80"/>
      <c r="AJ139" s="80"/>
      <c r="AK139"/>
      <c r="AL139" s="80"/>
      <c r="AO139"/>
      <c r="AP139"/>
      <c r="AQ139"/>
    </row>
    <row r="140" spans="1:43" s="762" customFormat="1" ht="15.75" customHeight="1">
      <c r="A140"/>
      <c r="B140"/>
      <c r="C140"/>
      <c r="D140"/>
      <c r="E140"/>
      <c r="F140"/>
      <c r="G140" s="80"/>
      <c r="H140"/>
      <c r="I140"/>
      <c r="J140"/>
      <c r="K140"/>
      <c r="L140" s="139"/>
      <c r="M140" s="139"/>
      <c r="N140" s="159"/>
      <c r="O140"/>
      <c r="P140" s="629"/>
      <c r="Q140" s="760"/>
      <c r="R140" s="706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 s="773"/>
      <c r="AH140" s="80"/>
      <c r="AI140" s="80"/>
      <c r="AJ140" s="80"/>
      <c r="AK140"/>
      <c r="AL140" s="80"/>
      <c r="AO140"/>
      <c r="AP140"/>
      <c r="AQ140"/>
    </row>
    <row r="141" spans="1:43" s="762" customFormat="1" ht="15.75" customHeight="1">
      <c r="A141"/>
      <c r="B141"/>
      <c r="C141"/>
      <c r="D141"/>
      <c r="E141"/>
      <c r="F141"/>
      <c r="G141" s="80"/>
      <c r="H141"/>
      <c r="I141"/>
      <c r="J141"/>
      <c r="K141"/>
      <c r="L141" s="139"/>
      <c r="M141" s="139"/>
      <c r="N141" s="159"/>
      <c r="O141"/>
      <c r="P141" s="629"/>
      <c r="Q141" s="760"/>
      <c r="R141" s="706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 s="773"/>
      <c r="AH141" s="80"/>
      <c r="AI141" s="80"/>
      <c r="AJ141" s="80"/>
      <c r="AK141"/>
      <c r="AL141" s="80"/>
      <c r="AO141"/>
      <c r="AP141"/>
      <c r="AQ141"/>
    </row>
    <row r="142" spans="1:43" s="762" customFormat="1" ht="15.75" customHeight="1">
      <c r="A142"/>
      <c r="B142"/>
      <c r="C142"/>
      <c r="D142"/>
      <c r="E142"/>
      <c r="F142"/>
      <c r="G142" s="80"/>
      <c r="H142"/>
      <c r="I142"/>
      <c r="J142"/>
      <c r="K142"/>
      <c r="L142" s="139"/>
      <c r="M142" s="139"/>
      <c r="N142" s="159"/>
      <c r="O142"/>
      <c r="P142" s="629"/>
      <c r="Q142" s="760"/>
      <c r="R142" s="706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 s="773"/>
      <c r="AH142" s="80"/>
      <c r="AI142" s="80"/>
      <c r="AJ142" s="80"/>
      <c r="AK142"/>
      <c r="AL142" s="80"/>
      <c r="AO142"/>
      <c r="AP142"/>
      <c r="AQ142"/>
    </row>
    <row r="143" spans="1:43" s="762" customFormat="1" ht="15.75" customHeight="1">
      <c r="A143"/>
      <c r="B143"/>
      <c r="C143"/>
      <c r="D143"/>
      <c r="E143"/>
      <c r="F143"/>
      <c r="G143" s="80"/>
      <c r="H143"/>
      <c r="I143"/>
      <c r="J143"/>
      <c r="K143"/>
      <c r="L143" s="139"/>
      <c r="M143" s="139"/>
      <c r="N143" s="159"/>
      <c r="O143"/>
      <c r="P143" s="629"/>
      <c r="Q143" s="760"/>
      <c r="R143" s="706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 s="773"/>
      <c r="AH143" s="80"/>
      <c r="AI143" s="80"/>
      <c r="AJ143" s="80"/>
      <c r="AK143"/>
      <c r="AL143" s="80"/>
      <c r="AO143"/>
      <c r="AP143"/>
      <c r="AQ143"/>
    </row>
    <row r="144" spans="1:43" s="762" customFormat="1" ht="15.75" customHeight="1">
      <c r="A144"/>
      <c r="B144"/>
      <c r="C144"/>
      <c r="D144"/>
      <c r="E144"/>
      <c r="F144"/>
      <c r="G144" s="80"/>
      <c r="H144"/>
      <c r="I144"/>
      <c r="J144"/>
      <c r="K144"/>
      <c r="L144" s="139"/>
      <c r="M144" s="139"/>
      <c r="N144" s="159"/>
      <c r="O144"/>
      <c r="P144" s="629"/>
      <c r="Q144" s="760"/>
      <c r="R144" s="706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 s="773"/>
      <c r="AH144" s="80"/>
      <c r="AI144" s="80"/>
      <c r="AJ144" s="80"/>
      <c r="AK144"/>
      <c r="AL144" s="80"/>
      <c r="AO144"/>
      <c r="AP144"/>
      <c r="AQ144"/>
    </row>
    <row r="145" spans="1:43" s="762" customFormat="1" ht="15.75" customHeight="1">
      <c r="A145"/>
      <c r="B145"/>
      <c r="C145"/>
      <c r="D145"/>
      <c r="E145"/>
      <c r="F145"/>
      <c r="G145" s="80"/>
      <c r="H145"/>
      <c r="I145"/>
      <c r="J145"/>
      <c r="K145"/>
      <c r="L145" s="139"/>
      <c r="M145" s="139"/>
      <c r="N145" s="159"/>
      <c r="O145"/>
      <c r="P145" s="629"/>
      <c r="Q145" s="760"/>
      <c r="R145" s="706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 s="773"/>
      <c r="AH145" s="80"/>
      <c r="AI145" s="80"/>
      <c r="AJ145" s="80"/>
      <c r="AK145"/>
      <c r="AL145" s="80"/>
      <c r="AO145"/>
      <c r="AP145"/>
      <c r="AQ145"/>
    </row>
    <row r="146" spans="1:43" s="762" customFormat="1" ht="15.75" customHeight="1">
      <c r="A146"/>
      <c r="B146"/>
      <c r="C146"/>
      <c r="D146"/>
      <c r="E146"/>
      <c r="F146"/>
      <c r="G146" s="80"/>
      <c r="H146"/>
      <c r="I146"/>
      <c r="J146"/>
      <c r="K146"/>
      <c r="L146"/>
      <c r="M146" s="139"/>
      <c r="N146" s="159"/>
      <c r="O146"/>
      <c r="P146" s="629"/>
      <c r="Q146" s="760"/>
      <c r="R146" s="70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 s="773"/>
      <c r="AH146" s="80"/>
      <c r="AI146" s="80"/>
      <c r="AJ146" s="80"/>
      <c r="AK146"/>
      <c r="AL146" s="80"/>
      <c r="AO146"/>
      <c r="AP146"/>
      <c r="AQ146"/>
    </row>
    <row r="147" spans="1:43" s="762" customFormat="1" ht="15.75" customHeight="1">
      <c r="A147"/>
      <c r="B147"/>
      <c r="C147"/>
      <c r="D147"/>
      <c r="E147"/>
      <c r="F147"/>
      <c r="G147" s="80"/>
      <c r="H147"/>
      <c r="I147"/>
      <c r="J147"/>
      <c r="K147"/>
      <c r="L147"/>
      <c r="M147" s="139"/>
      <c r="N147" s="159"/>
      <c r="O147"/>
      <c r="P147" s="629"/>
      <c r="Q147" s="760"/>
      <c r="R147" s="706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 s="773"/>
      <c r="AH147" s="80"/>
      <c r="AI147" s="80"/>
      <c r="AJ147" s="80"/>
      <c r="AK147"/>
      <c r="AL147" s="80"/>
      <c r="AO147"/>
      <c r="AP147"/>
      <c r="AQ147"/>
    </row>
    <row r="148" spans="1:43" s="762" customFormat="1" ht="15.75" customHeight="1">
      <c r="A148"/>
      <c r="B148"/>
      <c r="C148"/>
      <c r="D148"/>
      <c r="E148"/>
      <c r="F148"/>
      <c r="G148" s="80"/>
      <c r="H148"/>
      <c r="I148"/>
      <c r="J148"/>
      <c r="K148"/>
      <c r="L148"/>
      <c r="M148" s="139"/>
      <c r="N148" s="159"/>
      <c r="O148"/>
      <c r="P148" s="629"/>
      <c r="Q148" s="760"/>
      <c r="R148" s="706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 s="773"/>
      <c r="AH148" s="80"/>
      <c r="AI148" s="80"/>
      <c r="AJ148" s="80"/>
      <c r="AK148"/>
      <c r="AL148" s="80"/>
      <c r="AO148"/>
      <c r="AP148"/>
      <c r="AQ148"/>
    </row>
    <row r="149" spans="1:43" s="762" customFormat="1" ht="15.75" customHeight="1">
      <c r="A149"/>
      <c r="B149"/>
      <c r="C149"/>
      <c r="D149"/>
      <c r="E149"/>
      <c r="F149"/>
      <c r="G149" s="80"/>
      <c r="H149"/>
      <c r="I149"/>
      <c r="J149"/>
      <c r="K149"/>
      <c r="L149"/>
      <c r="M149" s="139"/>
      <c r="N149" s="159"/>
      <c r="O149"/>
      <c r="P149" s="629"/>
      <c r="Q149" s="760"/>
      <c r="R149" s="706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 s="773"/>
      <c r="AH149" s="80"/>
      <c r="AI149" s="80"/>
      <c r="AJ149" s="80"/>
      <c r="AK149"/>
      <c r="AL149" s="80"/>
      <c r="AO149"/>
      <c r="AP149"/>
      <c r="AQ149"/>
    </row>
    <row r="150" spans="1:43" s="762" customFormat="1" ht="15.75" customHeight="1">
      <c r="A150"/>
      <c r="B150"/>
      <c r="C150"/>
      <c r="D150"/>
      <c r="E150"/>
      <c r="F150"/>
      <c r="G150" s="80"/>
      <c r="H150"/>
      <c r="I150"/>
      <c r="J150"/>
      <c r="K150"/>
      <c r="L150"/>
      <c r="M150" s="139"/>
      <c r="N150" s="159"/>
      <c r="O150"/>
      <c r="P150" s="629"/>
      <c r="Q150" s="760"/>
      <c r="R150" s="706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 s="773"/>
      <c r="AH150" s="80"/>
      <c r="AI150" s="80"/>
      <c r="AJ150" s="80"/>
      <c r="AK150"/>
      <c r="AL150" s="80"/>
      <c r="AO150"/>
      <c r="AP150"/>
      <c r="AQ150"/>
    </row>
    <row r="151" spans="1:43" s="762" customFormat="1" ht="15.75" customHeight="1">
      <c r="A151"/>
      <c r="B151"/>
      <c r="C151"/>
      <c r="D151"/>
      <c r="E151"/>
      <c r="F151"/>
      <c r="G151" s="80"/>
      <c r="H151"/>
      <c r="I151"/>
      <c r="J151"/>
      <c r="K151"/>
      <c r="L151"/>
      <c r="M151" s="139"/>
      <c r="N151" s="159"/>
      <c r="O151"/>
      <c r="P151" s="629"/>
      <c r="Q151" s="760"/>
      <c r="R151" s="706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 s="773"/>
      <c r="AH151" s="80"/>
      <c r="AI151" s="80"/>
      <c r="AJ151" s="80"/>
      <c r="AK151"/>
      <c r="AL151" s="80"/>
      <c r="AO151"/>
      <c r="AP151"/>
      <c r="AQ151"/>
    </row>
    <row r="152" spans="1:43" s="762" customFormat="1" ht="15.75" customHeight="1">
      <c r="A152"/>
      <c r="B152"/>
      <c r="C152"/>
      <c r="D152"/>
      <c r="E152"/>
      <c r="F152"/>
      <c r="G152" s="80"/>
      <c r="H152"/>
      <c r="I152"/>
      <c r="J152"/>
      <c r="K152"/>
      <c r="L152"/>
      <c r="M152" s="139"/>
      <c r="N152" s="159"/>
      <c r="O152"/>
      <c r="P152" s="629"/>
      <c r="Q152" s="760"/>
      <c r="R152" s="706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 s="773"/>
      <c r="AH152" s="80"/>
      <c r="AI152" s="80"/>
      <c r="AJ152" s="80"/>
      <c r="AK152"/>
      <c r="AL152" s="80"/>
      <c r="AO152"/>
      <c r="AP152"/>
      <c r="AQ152"/>
    </row>
    <row r="153" spans="1:43" s="762" customFormat="1" ht="15.75" customHeight="1">
      <c r="A153"/>
      <c r="B153"/>
      <c r="C153"/>
      <c r="D153"/>
      <c r="E153"/>
      <c r="F153"/>
      <c r="G153" s="80"/>
      <c r="H153"/>
      <c r="I153"/>
      <c r="J153"/>
      <c r="K153"/>
      <c r="L153"/>
      <c r="M153" s="139"/>
      <c r="N153" s="159"/>
      <c r="O153"/>
      <c r="P153" s="629"/>
      <c r="Q153" s="760"/>
      <c r="R153" s="706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 s="773"/>
      <c r="AH153" s="80"/>
      <c r="AI153" s="80"/>
      <c r="AJ153" s="80"/>
      <c r="AK153"/>
      <c r="AL153" s="80"/>
      <c r="AO153"/>
      <c r="AP153"/>
      <c r="AQ153"/>
    </row>
    <row r="154" spans="1:43" s="762" customFormat="1" ht="15.75" customHeight="1">
      <c r="A154"/>
      <c r="B154"/>
      <c r="C154"/>
      <c r="D154"/>
      <c r="E154"/>
      <c r="F154"/>
      <c r="G154" s="80"/>
      <c r="H154"/>
      <c r="I154"/>
      <c r="J154"/>
      <c r="K154"/>
      <c r="L154"/>
      <c r="M154" s="139"/>
      <c r="N154" s="159"/>
      <c r="O154"/>
      <c r="P154" s="629"/>
      <c r="Q154" s="760"/>
      <c r="R154" s="706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 s="773"/>
      <c r="AH154" s="80"/>
      <c r="AI154" s="80"/>
      <c r="AJ154" s="80"/>
      <c r="AK154"/>
      <c r="AL154" s="80"/>
      <c r="AO154"/>
      <c r="AP154"/>
      <c r="AQ154"/>
    </row>
    <row r="155" spans="1:43" s="762" customFormat="1" ht="15.75" customHeight="1">
      <c r="A155"/>
      <c r="B155"/>
      <c r="C155"/>
      <c r="D155"/>
      <c r="E155"/>
      <c r="F155"/>
      <c r="G155" s="80"/>
      <c r="H155"/>
      <c r="I155"/>
      <c r="J155"/>
      <c r="K155"/>
      <c r="L155"/>
      <c r="M155" s="139"/>
      <c r="N155" s="159"/>
      <c r="O155"/>
      <c r="P155" s="629"/>
      <c r="Q155" s="760"/>
      <c r="R155" s="706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 s="773"/>
      <c r="AH155" s="80"/>
      <c r="AI155" s="80"/>
      <c r="AJ155" s="80"/>
      <c r="AK155"/>
      <c r="AL155" s="80"/>
      <c r="AO155"/>
      <c r="AP155"/>
      <c r="AQ155"/>
    </row>
    <row r="156" spans="1:43" s="762" customFormat="1" ht="15.75" customHeight="1">
      <c r="A156"/>
      <c r="B156"/>
      <c r="C156"/>
      <c r="D156"/>
      <c r="E156"/>
      <c r="F156"/>
      <c r="G156" s="80"/>
      <c r="H156"/>
      <c r="I156"/>
      <c r="J156"/>
      <c r="K156"/>
      <c r="L156"/>
      <c r="M156" s="139"/>
      <c r="N156" s="159"/>
      <c r="O156"/>
      <c r="P156" s="629"/>
      <c r="Q156" s="760"/>
      <c r="R156" s="70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 s="773"/>
      <c r="AH156" s="80"/>
      <c r="AI156" s="80"/>
      <c r="AJ156" s="80"/>
      <c r="AK156"/>
      <c r="AL156" s="80"/>
      <c r="AO156"/>
      <c r="AP156"/>
      <c r="AQ156"/>
    </row>
    <row r="157" spans="1:43" s="762" customFormat="1" ht="15.75" customHeight="1">
      <c r="A157"/>
      <c r="B157"/>
      <c r="C157"/>
      <c r="D157"/>
      <c r="E157"/>
      <c r="F157"/>
      <c r="G157" s="80"/>
      <c r="H157"/>
      <c r="I157"/>
      <c r="J157"/>
      <c r="K157"/>
      <c r="L157"/>
      <c r="M157" s="139"/>
      <c r="N157" s="159"/>
      <c r="O157"/>
      <c r="P157" s="629"/>
      <c r="Q157" s="760"/>
      <c r="R157" s="706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 s="773"/>
      <c r="AH157" s="80"/>
      <c r="AI157" s="80"/>
      <c r="AJ157" s="80"/>
      <c r="AK157"/>
      <c r="AL157" s="80"/>
      <c r="AO157"/>
      <c r="AP157"/>
      <c r="AQ157"/>
    </row>
    <row r="158" spans="1:43" s="762" customFormat="1" ht="15.75" customHeight="1">
      <c r="A158"/>
      <c r="B158"/>
      <c r="C158"/>
      <c r="D158"/>
      <c r="E158"/>
      <c r="F158"/>
      <c r="G158" s="80"/>
      <c r="H158"/>
      <c r="I158"/>
      <c r="J158"/>
      <c r="K158"/>
      <c r="L158"/>
      <c r="M158" s="139"/>
      <c r="N158" s="159"/>
      <c r="O158"/>
      <c r="P158" s="629"/>
      <c r="Q158" s="760"/>
      <c r="R158" s="706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 s="773"/>
      <c r="AH158" s="80"/>
      <c r="AI158" s="80"/>
      <c r="AJ158" s="80"/>
      <c r="AK158"/>
      <c r="AL158" s="80"/>
      <c r="AO158"/>
      <c r="AP158"/>
      <c r="AQ158"/>
    </row>
    <row r="159" spans="1:43" s="762" customFormat="1" ht="15.75" customHeight="1">
      <c r="A159"/>
      <c r="B159"/>
      <c r="C159"/>
      <c r="D159"/>
      <c r="E159"/>
      <c r="F159"/>
      <c r="G159" s="80"/>
      <c r="H159"/>
      <c r="I159"/>
      <c r="J159"/>
      <c r="K159"/>
      <c r="L159"/>
      <c r="M159" s="139"/>
      <c r="N159" s="159"/>
      <c r="O159"/>
      <c r="P159" s="629"/>
      <c r="Q159" s="760"/>
      <c r="R159" s="706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 s="773"/>
      <c r="AH159" s="80"/>
      <c r="AI159" s="80"/>
      <c r="AJ159" s="80"/>
      <c r="AK159"/>
      <c r="AL159" s="80"/>
      <c r="AO159"/>
      <c r="AP159"/>
      <c r="AQ159"/>
    </row>
    <row r="160" spans="1:43" s="762" customFormat="1" ht="15.75" customHeight="1">
      <c r="A160"/>
      <c r="B160"/>
      <c r="C160"/>
      <c r="D160"/>
      <c r="E160"/>
      <c r="F160"/>
      <c r="G160" s="80"/>
      <c r="H160"/>
      <c r="I160"/>
      <c r="J160"/>
      <c r="K160"/>
      <c r="L160"/>
      <c r="M160" s="139"/>
      <c r="N160" s="159"/>
      <c r="O160"/>
      <c r="P160" s="629"/>
      <c r="Q160" s="760"/>
      <c r="R160" s="706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 s="773"/>
      <c r="AH160" s="80"/>
      <c r="AI160" s="80"/>
      <c r="AJ160" s="80"/>
      <c r="AK160"/>
      <c r="AL160" s="80"/>
      <c r="AO160"/>
      <c r="AP160"/>
      <c r="AQ160"/>
    </row>
    <row r="161" spans="1:43" s="762" customFormat="1" ht="15.75" customHeight="1">
      <c r="A161"/>
      <c r="B161"/>
      <c r="C161"/>
      <c r="D161"/>
      <c r="E161"/>
      <c r="F161"/>
      <c r="G161" s="80"/>
      <c r="H161"/>
      <c r="I161"/>
      <c r="J161"/>
      <c r="K161"/>
      <c r="L161"/>
      <c r="M161" s="139"/>
      <c r="N161" s="159"/>
      <c r="O161"/>
      <c r="P161" s="629"/>
      <c r="Q161" s="760"/>
      <c r="R161" s="706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 s="773"/>
      <c r="AH161" s="80"/>
      <c r="AI161" s="80"/>
      <c r="AJ161" s="80"/>
      <c r="AK161"/>
      <c r="AL161" s="80"/>
      <c r="AO161"/>
      <c r="AP161"/>
      <c r="AQ161"/>
    </row>
    <row r="162" spans="1:43" s="762" customFormat="1" ht="15.75" customHeight="1">
      <c r="A162"/>
      <c r="B162"/>
      <c r="C162"/>
      <c r="D162"/>
      <c r="E162"/>
      <c r="F162"/>
      <c r="G162" s="80"/>
      <c r="H162"/>
      <c r="I162"/>
      <c r="J162"/>
      <c r="K162"/>
      <c r="L162"/>
      <c r="M162" s="139"/>
      <c r="N162" s="159"/>
      <c r="O162"/>
      <c r="P162" s="629"/>
      <c r="Q162" s="760"/>
      <c r="R162" s="706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 s="773"/>
      <c r="AH162" s="80"/>
      <c r="AI162" s="80"/>
      <c r="AJ162" s="80"/>
      <c r="AK162"/>
      <c r="AL162" s="80"/>
      <c r="AO162"/>
      <c r="AP162"/>
      <c r="AQ162"/>
    </row>
    <row r="163" spans="1:43" s="762" customFormat="1" ht="15.75" customHeight="1">
      <c r="A163"/>
      <c r="B163"/>
      <c r="C163"/>
      <c r="D163"/>
      <c r="E163"/>
      <c r="F163"/>
      <c r="G163" s="80"/>
      <c r="H163"/>
      <c r="I163"/>
      <c r="J163"/>
      <c r="K163"/>
      <c r="L163"/>
      <c r="M163" s="139"/>
      <c r="N163" s="159"/>
      <c r="O163"/>
      <c r="P163" s="629"/>
      <c r="Q163" s="760"/>
      <c r="R163" s="706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 s="773"/>
      <c r="AH163" s="80"/>
      <c r="AI163" s="80"/>
      <c r="AJ163" s="80"/>
      <c r="AK163"/>
      <c r="AL163" s="80"/>
      <c r="AO163"/>
      <c r="AP163"/>
      <c r="AQ163"/>
    </row>
    <row r="164" spans="1:43" s="762" customFormat="1" ht="15.75" customHeight="1">
      <c r="A164"/>
      <c r="B164"/>
      <c r="C164"/>
      <c r="D164"/>
      <c r="E164"/>
      <c r="F164"/>
      <c r="G164" s="80"/>
      <c r="H164"/>
      <c r="I164"/>
      <c r="J164"/>
      <c r="K164"/>
      <c r="L164"/>
      <c r="M164" s="139"/>
      <c r="N164" s="159"/>
      <c r="O164"/>
      <c r="P164" s="629"/>
      <c r="Q164" s="760"/>
      <c r="R164" s="706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 s="773"/>
      <c r="AH164" s="80"/>
      <c r="AI164" s="80"/>
      <c r="AJ164" s="80"/>
      <c r="AK164"/>
      <c r="AL164" s="80"/>
      <c r="AO164"/>
      <c r="AP164"/>
      <c r="AQ164"/>
    </row>
    <row r="165" spans="1:43" s="762" customFormat="1" ht="15.75" customHeight="1">
      <c r="A165"/>
      <c r="B165"/>
      <c r="C165"/>
      <c r="D165"/>
      <c r="E165"/>
      <c r="F165"/>
      <c r="G165" s="80"/>
      <c r="H165"/>
      <c r="I165"/>
      <c r="J165"/>
      <c r="K165"/>
      <c r="L165"/>
      <c r="M165" s="139"/>
      <c r="N165" s="159"/>
      <c r="O165"/>
      <c r="P165" s="629"/>
      <c r="Q165" s="760"/>
      <c r="R165" s="706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 s="773"/>
      <c r="AH165" s="80"/>
      <c r="AI165" s="80"/>
      <c r="AJ165" s="80"/>
      <c r="AK165"/>
      <c r="AL165" s="80"/>
      <c r="AO165"/>
      <c r="AP165"/>
      <c r="AQ165"/>
    </row>
    <row r="166" spans="1:43" s="762" customFormat="1" ht="15.75" customHeight="1">
      <c r="A166"/>
      <c r="B166"/>
      <c r="C166"/>
      <c r="D166"/>
      <c r="E166"/>
      <c r="F166"/>
      <c r="G166" s="80"/>
      <c r="H166"/>
      <c r="I166"/>
      <c r="J166"/>
      <c r="K166"/>
      <c r="L166"/>
      <c r="M166" s="139"/>
      <c r="N166" s="159"/>
      <c r="O166"/>
      <c r="P166" s="629"/>
      <c r="Q166" s="760"/>
      <c r="R166" s="70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 s="773"/>
      <c r="AH166" s="80"/>
      <c r="AI166" s="80"/>
      <c r="AJ166" s="80"/>
      <c r="AK166"/>
      <c r="AL166" s="80"/>
      <c r="AO166"/>
      <c r="AP166"/>
      <c r="AQ166"/>
    </row>
    <row r="167" spans="1:43" s="762" customFormat="1" ht="15.75" customHeight="1">
      <c r="A167"/>
      <c r="B167"/>
      <c r="C167"/>
      <c r="D167"/>
      <c r="E167"/>
      <c r="F167"/>
      <c r="G167" s="80"/>
      <c r="H167"/>
      <c r="I167"/>
      <c r="J167"/>
      <c r="K167"/>
      <c r="L167"/>
      <c r="M167" s="139"/>
      <c r="N167" s="159"/>
      <c r="O167"/>
      <c r="P167" s="629"/>
      <c r="Q167" s="760"/>
      <c r="R167" s="706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 s="773"/>
      <c r="AH167" s="80"/>
      <c r="AI167" s="80"/>
      <c r="AJ167" s="80"/>
      <c r="AK167"/>
      <c r="AL167" s="80"/>
      <c r="AO167"/>
      <c r="AP167"/>
      <c r="AQ167"/>
    </row>
    <row r="168" spans="1:43" s="762" customFormat="1" ht="15.75" customHeight="1">
      <c r="A168"/>
      <c r="B168"/>
      <c r="C168"/>
      <c r="D168"/>
      <c r="E168"/>
      <c r="F168"/>
      <c r="G168" s="80"/>
      <c r="H168"/>
      <c r="I168"/>
      <c r="J168"/>
      <c r="K168"/>
      <c r="L168"/>
      <c r="M168" s="139"/>
      <c r="N168" s="159"/>
      <c r="O168"/>
      <c r="P168" s="629"/>
      <c r="Q168" s="760"/>
      <c r="R168" s="706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 s="773"/>
      <c r="AH168" s="80"/>
      <c r="AI168" s="80"/>
      <c r="AJ168" s="80"/>
      <c r="AK168"/>
      <c r="AL168" s="80"/>
      <c r="AO168"/>
      <c r="AP168"/>
      <c r="AQ168"/>
    </row>
    <row r="169" spans="1:43" s="762" customFormat="1" ht="15.75" customHeight="1">
      <c r="A169"/>
      <c r="B169"/>
      <c r="C169"/>
      <c r="D169"/>
      <c r="E169"/>
      <c r="F169"/>
      <c r="G169" s="80"/>
      <c r="H169"/>
      <c r="I169"/>
      <c r="J169"/>
      <c r="K169"/>
      <c r="L169"/>
      <c r="M169" s="139"/>
      <c r="N169" s="159"/>
      <c r="O169"/>
      <c r="P169" s="629"/>
      <c r="Q169" s="760"/>
      <c r="R169" s="706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 s="773"/>
      <c r="AH169" s="80"/>
      <c r="AI169" s="80"/>
      <c r="AJ169" s="80"/>
      <c r="AK169"/>
      <c r="AL169" s="80"/>
      <c r="AO169"/>
      <c r="AP169"/>
      <c r="AQ169"/>
    </row>
    <row r="170" spans="1:43" s="762" customFormat="1" ht="15.75" customHeight="1">
      <c r="A170"/>
      <c r="B170"/>
      <c r="C170"/>
      <c r="D170"/>
      <c r="E170"/>
      <c r="F170"/>
      <c r="G170" s="80"/>
      <c r="H170"/>
      <c r="I170"/>
      <c r="J170"/>
      <c r="K170"/>
      <c r="L170"/>
      <c r="M170" s="139"/>
      <c r="N170" s="159"/>
      <c r="O170"/>
      <c r="P170" s="629"/>
      <c r="Q170" s="760"/>
      <c r="R170" s="706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 s="773"/>
      <c r="AH170" s="80"/>
      <c r="AI170" s="80"/>
      <c r="AJ170" s="80"/>
      <c r="AK170"/>
      <c r="AL170" s="80"/>
      <c r="AO170"/>
      <c r="AP170"/>
      <c r="AQ170"/>
    </row>
    <row r="171" spans="1:43" s="762" customFormat="1" ht="15.75" customHeight="1">
      <c r="A171"/>
      <c r="B171"/>
      <c r="C171"/>
      <c r="D171"/>
      <c r="E171"/>
      <c r="F171"/>
      <c r="G171" s="80"/>
      <c r="H171"/>
      <c r="I171"/>
      <c r="J171"/>
      <c r="K171"/>
      <c r="L171"/>
      <c r="M171" s="139"/>
      <c r="N171" s="159"/>
      <c r="O171"/>
      <c r="P171" s="629"/>
      <c r="Q171" s="760"/>
      <c r="R171" s="706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 s="773"/>
      <c r="AH171" s="80"/>
      <c r="AI171" s="80"/>
      <c r="AJ171" s="80"/>
      <c r="AK171"/>
      <c r="AL171" s="80"/>
      <c r="AO171"/>
      <c r="AP171"/>
      <c r="AQ171"/>
    </row>
    <row r="172" spans="1:43" s="762" customFormat="1" ht="15.75" customHeight="1">
      <c r="A172"/>
      <c r="B172"/>
      <c r="C172"/>
      <c r="D172"/>
      <c r="E172"/>
      <c r="F172"/>
      <c r="G172" s="80"/>
      <c r="H172"/>
      <c r="I172"/>
      <c r="J172"/>
      <c r="K172"/>
      <c r="L172"/>
      <c r="M172" s="139"/>
      <c r="N172" s="159"/>
      <c r="O172"/>
      <c r="P172" s="629"/>
      <c r="Q172" s="760"/>
      <c r="R172" s="706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 s="773"/>
      <c r="AH172" s="80"/>
      <c r="AI172" s="80"/>
      <c r="AJ172" s="80"/>
      <c r="AK172"/>
      <c r="AL172" s="80"/>
      <c r="AO172"/>
      <c r="AP172"/>
      <c r="AQ172"/>
    </row>
    <row r="173" spans="1:43" s="762" customFormat="1" ht="15.75" customHeight="1">
      <c r="A173"/>
      <c r="B173"/>
      <c r="C173"/>
      <c r="D173"/>
      <c r="E173"/>
      <c r="F173"/>
      <c r="G173" s="80"/>
      <c r="H173"/>
      <c r="I173"/>
      <c r="J173"/>
      <c r="K173"/>
      <c r="L173"/>
      <c r="M173" s="139"/>
      <c r="N173" s="159"/>
      <c r="O173"/>
      <c r="P173" s="629"/>
      <c r="Q173" s="760"/>
      <c r="R173" s="706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 s="773"/>
      <c r="AH173" s="80"/>
      <c r="AI173" s="80"/>
      <c r="AJ173" s="80"/>
      <c r="AK173"/>
      <c r="AL173" s="80"/>
      <c r="AO173"/>
      <c r="AP173"/>
      <c r="AQ173"/>
    </row>
    <row r="174" spans="1:43" s="762" customFormat="1" ht="15.75" customHeight="1">
      <c r="A174"/>
      <c r="B174"/>
      <c r="C174"/>
      <c r="D174"/>
      <c r="E174"/>
      <c r="F174"/>
      <c r="G174" s="80"/>
      <c r="H174"/>
      <c r="I174"/>
      <c r="J174"/>
      <c r="K174"/>
      <c r="L174"/>
      <c r="M174" s="139"/>
      <c r="N174" s="159"/>
      <c r="O174"/>
      <c r="P174" s="629"/>
      <c r="Q174" s="760"/>
      <c r="R174" s="706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 s="773"/>
      <c r="AH174" s="80"/>
      <c r="AI174" s="80"/>
      <c r="AJ174" s="80"/>
      <c r="AK174"/>
      <c r="AL174" s="80"/>
      <c r="AO174"/>
      <c r="AP174"/>
      <c r="AQ174"/>
    </row>
    <row r="175" spans="1:43" s="762" customFormat="1" ht="15.75" customHeight="1">
      <c r="A175"/>
      <c r="B175"/>
      <c r="C175"/>
      <c r="D175"/>
      <c r="E175"/>
      <c r="F175"/>
      <c r="G175" s="80"/>
      <c r="H175"/>
      <c r="I175"/>
      <c r="J175"/>
      <c r="K175"/>
      <c r="L175"/>
      <c r="M175" s="139"/>
      <c r="N175" s="159"/>
      <c r="O175"/>
      <c r="P175" s="629"/>
      <c r="Q175" s="760"/>
      <c r="R175" s="706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 s="773"/>
      <c r="AH175" s="80"/>
      <c r="AI175" s="80"/>
      <c r="AJ175" s="80"/>
      <c r="AK175"/>
      <c r="AL175" s="80"/>
      <c r="AO175"/>
      <c r="AP175"/>
      <c r="AQ175"/>
    </row>
    <row r="176" spans="1:43" s="762" customFormat="1" ht="15.75" customHeight="1">
      <c r="A176"/>
      <c r="B176"/>
      <c r="C176"/>
      <c r="D176"/>
      <c r="E176"/>
      <c r="F176"/>
      <c r="G176" s="80"/>
      <c r="H176"/>
      <c r="I176"/>
      <c r="J176"/>
      <c r="K176"/>
      <c r="L176"/>
      <c r="M176" s="139"/>
      <c r="N176" s="159"/>
      <c r="O176"/>
      <c r="P176" s="629"/>
      <c r="Q176" s="760"/>
      <c r="R176" s="70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 s="773"/>
      <c r="AH176" s="80"/>
      <c r="AI176" s="80"/>
      <c r="AJ176" s="80"/>
      <c r="AK176"/>
      <c r="AL176" s="80"/>
      <c r="AO176"/>
      <c r="AP176"/>
      <c r="AQ176"/>
    </row>
    <row r="177" spans="1:43" s="762" customFormat="1" ht="15.75" customHeight="1">
      <c r="A177"/>
      <c r="B177"/>
      <c r="C177"/>
      <c r="D177"/>
      <c r="E177"/>
      <c r="F177"/>
      <c r="G177" s="80"/>
      <c r="H177"/>
      <c r="I177"/>
      <c r="J177"/>
      <c r="K177"/>
      <c r="L177"/>
      <c r="M177" s="139"/>
      <c r="N177" s="159"/>
      <c r="O177"/>
      <c r="P177" s="629"/>
      <c r="Q177" s="760"/>
      <c r="R177" s="706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 s="773"/>
      <c r="AH177" s="80"/>
      <c r="AI177" s="80"/>
      <c r="AJ177" s="80"/>
      <c r="AK177"/>
      <c r="AL177" s="80"/>
      <c r="AO177"/>
      <c r="AP177"/>
      <c r="AQ177"/>
    </row>
    <row r="178" spans="1:43" s="762" customFormat="1" ht="15.75" customHeight="1">
      <c r="A178"/>
      <c r="B178"/>
      <c r="C178"/>
      <c r="D178"/>
      <c r="E178"/>
      <c r="F178"/>
      <c r="G178" s="80"/>
      <c r="H178"/>
      <c r="I178"/>
      <c r="J178"/>
      <c r="K178"/>
      <c r="L178"/>
      <c r="M178" s="139"/>
      <c r="N178" s="159"/>
      <c r="O178"/>
      <c r="P178" s="629"/>
      <c r="Q178" s="760"/>
      <c r="R178" s="706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 s="773"/>
      <c r="AH178" s="80"/>
      <c r="AI178" s="80"/>
      <c r="AJ178" s="80"/>
      <c r="AK178"/>
      <c r="AL178" s="80"/>
      <c r="AO178"/>
      <c r="AP178"/>
      <c r="AQ178"/>
    </row>
    <row r="179" spans="1:43" s="762" customFormat="1" ht="15.75" customHeight="1">
      <c r="A179"/>
      <c r="B179"/>
      <c r="C179"/>
      <c r="D179"/>
      <c r="E179"/>
      <c r="F179"/>
      <c r="G179" s="80"/>
      <c r="H179"/>
      <c r="I179"/>
      <c r="J179"/>
      <c r="K179"/>
      <c r="L179"/>
      <c r="M179" s="139"/>
      <c r="N179" s="159"/>
      <c r="O179"/>
      <c r="P179" s="629"/>
      <c r="Q179" s="760"/>
      <c r="R179" s="706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 s="773"/>
      <c r="AH179" s="80"/>
      <c r="AI179" s="80"/>
      <c r="AJ179" s="80"/>
      <c r="AK179"/>
      <c r="AL179" s="80"/>
      <c r="AO179"/>
      <c r="AP179"/>
      <c r="AQ179"/>
    </row>
    <row r="180" spans="1:43" s="762" customFormat="1" ht="15.75" customHeight="1">
      <c r="A180"/>
      <c r="B180"/>
      <c r="C180"/>
      <c r="D180"/>
      <c r="E180"/>
      <c r="F180"/>
      <c r="G180" s="80"/>
      <c r="H180"/>
      <c r="I180"/>
      <c r="J180"/>
      <c r="K180"/>
      <c r="L180"/>
      <c r="M180"/>
      <c r="N180" s="159"/>
      <c r="O180"/>
      <c r="P180" s="629"/>
      <c r="Q180" s="760"/>
      <c r="R180" s="706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 s="773"/>
      <c r="AH180" s="80"/>
      <c r="AI180" s="80"/>
      <c r="AJ180" s="80"/>
      <c r="AK180"/>
      <c r="AL180" s="80"/>
      <c r="AO180"/>
      <c r="AP180"/>
      <c r="AQ180"/>
    </row>
    <row r="181" spans="1:43" s="762" customFormat="1" ht="15.75" customHeight="1">
      <c r="A181"/>
      <c r="B181"/>
      <c r="C181"/>
      <c r="D181"/>
      <c r="E181"/>
      <c r="F181"/>
      <c r="G181" s="80"/>
      <c r="H181"/>
      <c r="I181"/>
      <c r="J181"/>
      <c r="K181"/>
      <c r="L181"/>
      <c r="M181"/>
      <c r="N181" s="159"/>
      <c r="O181"/>
      <c r="P181" s="629"/>
      <c r="Q181" s="760"/>
      <c r="R181" s="706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 s="773"/>
      <c r="AH181" s="80"/>
      <c r="AI181" s="80"/>
      <c r="AJ181" s="80"/>
      <c r="AK181"/>
      <c r="AL181" s="80"/>
      <c r="AO181"/>
      <c r="AP181"/>
      <c r="AQ181"/>
    </row>
    <row r="182" spans="1:43" s="762" customFormat="1" ht="15.75" customHeight="1">
      <c r="A182"/>
      <c r="B182"/>
      <c r="C182"/>
      <c r="D182"/>
      <c r="E182"/>
      <c r="F182"/>
      <c r="G182" s="80"/>
      <c r="H182"/>
      <c r="I182"/>
      <c r="J182"/>
      <c r="K182"/>
      <c r="L182"/>
      <c r="M182"/>
      <c r="N182" s="159"/>
      <c r="O182"/>
      <c r="P182" s="629"/>
      <c r="Q182" s="760"/>
      <c r="R182" s="706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 s="773"/>
      <c r="AH182" s="80"/>
      <c r="AI182" s="80"/>
      <c r="AJ182" s="80"/>
      <c r="AK182"/>
      <c r="AL182" s="80"/>
      <c r="AO182"/>
      <c r="AP182"/>
      <c r="AQ182"/>
    </row>
    <row r="183" spans="1:43" s="762" customFormat="1" ht="15.75" customHeight="1">
      <c r="A183"/>
      <c r="B183"/>
      <c r="C183"/>
      <c r="D183"/>
      <c r="E183"/>
      <c r="F183"/>
      <c r="G183" s="80"/>
      <c r="H183"/>
      <c r="I183"/>
      <c r="J183"/>
      <c r="K183"/>
      <c r="L183"/>
      <c r="M183"/>
      <c r="N183" s="159"/>
      <c r="O183"/>
      <c r="P183" s="629"/>
      <c r="Q183" s="760"/>
      <c r="R183" s="706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 s="773"/>
      <c r="AH183" s="80"/>
      <c r="AI183" s="80"/>
      <c r="AJ183" s="80"/>
      <c r="AK183"/>
      <c r="AL183" s="80"/>
      <c r="AO183"/>
      <c r="AP183"/>
      <c r="AQ183"/>
    </row>
    <row r="184" spans="1:43" s="762" customFormat="1" ht="15.75" customHeight="1">
      <c r="A184"/>
      <c r="B184"/>
      <c r="C184"/>
      <c r="D184"/>
      <c r="E184"/>
      <c r="F184"/>
      <c r="G184" s="80"/>
      <c r="H184"/>
      <c r="I184"/>
      <c r="J184"/>
      <c r="K184"/>
      <c r="L184"/>
      <c r="M184"/>
      <c r="N184" s="159"/>
      <c r="O184"/>
      <c r="P184" s="629"/>
      <c r="Q184" s="760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 s="773"/>
      <c r="AH184" s="80"/>
      <c r="AI184" s="80"/>
      <c r="AJ184" s="80"/>
      <c r="AK184"/>
      <c r="AL184" s="80"/>
      <c r="AO184"/>
      <c r="AP184"/>
      <c r="AQ184"/>
    </row>
    <row r="185" spans="1:43" s="762" customFormat="1" ht="15.75" customHeight="1">
      <c r="A185"/>
      <c r="B185"/>
      <c r="C185"/>
      <c r="D185"/>
      <c r="E185"/>
      <c r="F185"/>
      <c r="G185" s="80"/>
      <c r="H185"/>
      <c r="I185"/>
      <c r="J185"/>
      <c r="K185"/>
      <c r="L185"/>
      <c r="M185"/>
      <c r="N185" s="159"/>
      <c r="O185"/>
      <c r="P185" s="629"/>
      <c r="Q185" s="760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 s="773"/>
      <c r="AH185" s="80"/>
      <c r="AI185" s="80"/>
      <c r="AJ185" s="80"/>
      <c r="AK185"/>
      <c r="AL185" s="80"/>
      <c r="AO185"/>
      <c r="AP185"/>
      <c r="AQ185"/>
    </row>
    <row r="186" spans="1:43" s="762" customFormat="1" ht="15.75" customHeight="1">
      <c r="A186"/>
      <c r="B186"/>
      <c r="C186"/>
      <c r="D186"/>
      <c r="E186"/>
      <c r="F186"/>
      <c r="G186" s="80"/>
      <c r="H186"/>
      <c r="I186"/>
      <c r="J186"/>
      <c r="K186"/>
      <c r="L186"/>
      <c r="M186"/>
      <c r="N186" s="159"/>
      <c r="O186"/>
      <c r="P186" s="629"/>
      <c r="Q186" s="760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 s="773"/>
      <c r="AH186" s="80"/>
      <c r="AI186" s="80"/>
      <c r="AJ186" s="80"/>
      <c r="AK186"/>
      <c r="AL186" s="80"/>
      <c r="AO186"/>
      <c r="AP186"/>
      <c r="AQ186"/>
    </row>
    <row r="187" spans="1:43" s="762" customFormat="1" ht="15.75" customHeight="1">
      <c r="A187"/>
      <c r="B187"/>
      <c r="C187"/>
      <c r="D187"/>
      <c r="E187"/>
      <c r="F187"/>
      <c r="G187" s="80"/>
      <c r="H187"/>
      <c r="I187"/>
      <c r="J187"/>
      <c r="K187"/>
      <c r="L187"/>
      <c r="M187"/>
      <c r="N187" s="159"/>
      <c r="O187"/>
      <c r="P187" s="629"/>
      <c r="Q187" s="760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 s="773"/>
      <c r="AH187" s="80"/>
      <c r="AI187" s="80"/>
      <c r="AJ187" s="80"/>
      <c r="AK187"/>
      <c r="AL187" s="80"/>
      <c r="AO187"/>
      <c r="AP187"/>
      <c r="AQ187"/>
    </row>
    <row r="188" spans="1:43" s="762" customFormat="1" ht="15.75" customHeight="1">
      <c r="A188"/>
      <c r="B188"/>
      <c r="C188"/>
      <c r="D188"/>
      <c r="E188"/>
      <c r="F188"/>
      <c r="G188" s="80"/>
      <c r="H188"/>
      <c r="I188"/>
      <c r="J188"/>
      <c r="K188"/>
      <c r="L188"/>
      <c r="M188"/>
      <c r="N188" s="159"/>
      <c r="O188"/>
      <c r="P188" s="629"/>
      <c r="Q188" s="760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 s="773"/>
      <c r="AH188" s="80"/>
      <c r="AI188" s="80"/>
      <c r="AJ188" s="80"/>
      <c r="AK188"/>
      <c r="AL188" s="80"/>
      <c r="AO188"/>
      <c r="AP188"/>
      <c r="AQ188"/>
    </row>
    <row r="189" spans="1:43" s="762" customFormat="1" ht="15.75" customHeight="1">
      <c r="A189"/>
      <c r="B189"/>
      <c r="C189"/>
      <c r="D189"/>
      <c r="E189"/>
      <c r="F189"/>
      <c r="G189" s="80"/>
      <c r="H189"/>
      <c r="I189"/>
      <c r="J189"/>
      <c r="K189"/>
      <c r="L189"/>
      <c r="M189"/>
      <c r="N189" s="159"/>
      <c r="O189"/>
      <c r="P189" s="629"/>
      <c r="Q189" s="760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 s="773"/>
      <c r="AH189" s="80"/>
      <c r="AI189" s="80"/>
      <c r="AJ189" s="80"/>
      <c r="AK189"/>
      <c r="AL189" s="80"/>
      <c r="AO189"/>
      <c r="AP189"/>
      <c r="AQ189"/>
    </row>
    <row r="190" spans="1:43" s="762" customFormat="1" ht="15.75" customHeight="1">
      <c r="A190"/>
      <c r="B190"/>
      <c r="C190"/>
      <c r="D190"/>
      <c r="E190"/>
      <c r="F190"/>
      <c r="G190" s="80"/>
      <c r="H190"/>
      <c r="I190"/>
      <c r="J190"/>
      <c r="K190"/>
      <c r="L190"/>
      <c r="M190"/>
      <c r="N190" s="159"/>
      <c r="O190"/>
      <c r="P190" s="629"/>
      <c r="Q190" s="76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 s="773"/>
      <c r="AH190" s="80"/>
      <c r="AI190" s="80"/>
      <c r="AJ190" s="80"/>
      <c r="AK190"/>
      <c r="AL190" s="80"/>
      <c r="AO190"/>
      <c r="AP190"/>
      <c r="AQ190"/>
    </row>
    <row r="191" spans="1:43" s="762" customFormat="1" ht="15.75" customHeight="1">
      <c r="A191"/>
      <c r="B191"/>
      <c r="C191"/>
      <c r="D191"/>
      <c r="E191"/>
      <c r="F191"/>
      <c r="G191" s="80"/>
      <c r="H191"/>
      <c r="I191"/>
      <c r="J191"/>
      <c r="K191"/>
      <c r="L191"/>
      <c r="M191"/>
      <c r="N191" s="159"/>
      <c r="O191"/>
      <c r="P191" s="629"/>
      <c r="Q191" s="760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 s="773"/>
      <c r="AH191" s="80"/>
      <c r="AI191" s="80"/>
      <c r="AJ191" s="80"/>
      <c r="AK191"/>
      <c r="AL191" s="80"/>
      <c r="AO191"/>
      <c r="AP191"/>
      <c r="AQ191"/>
    </row>
    <row r="192" spans="1:43" s="762" customFormat="1" ht="15.75" customHeight="1">
      <c r="A192"/>
      <c r="B192"/>
      <c r="C192"/>
      <c r="D192"/>
      <c r="E192"/>
      <c r="F192"/>
      <c r="G192" s="80"/>
      <c r="H192"/>
      <c r="I192"/>
      <c r="J192"/>
      <c r="K192"/>
      <c r="L192"/>
      <c r="M192"/>
      <c r="N192" s="159"/>
      <c r="O192"/>
      <c r="P192" s="629"/>
      <c r="Q192" s="760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 s="773"/>
      <c r="AH192" s="80"/>
      <c r="AI192" s="80"/>
      <c r="AJ192" s="80"/>
      <c r="AK192"/>
      <c r="AL192" s="80"/>
      <c r="AO192"/>
      <c r="AP192"/>
      <c r="AQ192"/>
    </row>
    <row r="193" spans="1:43" s="762" customFormat="1" ht="15.75" customHeight="1">
      <c r="A193"/>
      <c r="B193"/>
      <c r="C193"/>
      <c r="D193"/>
      <c r="E193"/>
      <c r="F193"/>
      <c r="G193" s="80"/>
      <c r="H193"/>
      <c r="I193"/>
      <c r="J193"/>
      <c r="K193"/>
      <c r="L193"/>
      <c r="M193"/>
      <c r="N193" s="159"/>
      <c r="O193"/>
      <c r="P193" s="629"/>
      <c r="Q193" s="760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 s="773"/>
      <c r="AH193" s="80"/>
      <c r="AI193" s="80"/>
      <c r="AJ193" s="80"/>
      <c r="AK193"/>
      <c r="AL193" s="80"/>
      <c r="AO193"/>
      <c r="AP193"/>
      <c r="AQ193"/>
    </row>
    <row r="194" spans="1:43" s="762" customFormat="1" ht="15.75" customHeight="1">
      <c r="A194"/>
      <c r="B194"/>
      <c r="C194"/>
      <c r="D194"/>
      <c r="E194"/>
      <c r="F194"/>
      <c r="G194" s="80"/>
      <c r="H194"/>
      <c r="I194"/>
      <c r="J194"/>
      <c r="K194"/>
      <c r="L194"/>
      <c r="M194"/>
      <c r="N194" s="159"/>
      <c r="O194"/>
      <c r="P194"/>
      <c r="Q194" s="760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 s="773"/>
      <c r="AH194" s="80"/>
      <c r="AI194" s="80"/>
      <c r="AJ194" s="80"/>
      <c r="AK194"/>
      <c r="AL194" s="80"/>
      <c r="AO194"/>
      <c r="AP194"/>
      <c r="AQ194"/>
    </row>
    <row r="195" spans="1:43" s="762" customFormat="1" ht="15.75" customHeight="1">
      <c r="A195"/>
      <c r="B195"/>
      <c r="C195"/>
      <c r="D195"/>
      <c r="E195"/>
      <c r="F195"/>
      <c r="G195" s="80"/>
      <c r="H195"/>
      <c r="I195"/>
      <c r="J195"/>
      <c r="K195"/>
      <c r="L195"/>
      <c r="M195"/>
      <c r="N195"/>
      <c r="O195"/>
      <c r="P195"/>
      <c r="Q195" s="760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 s="773"/>
      <c r="AH195" s="80"/>
      <c r="AI195" s="80"/>
      <c r="AJ195" s="80"/>
      <c r="AK195"/>
      <c r="AL195" s="80"/>
      <c r="AO195"/>
      <c r="AP195"/>
      <c r="AQ195"/>
    </row>
    <row r="196" spans="1:43" s="762" customFormat="1" ht="15.75" customHeight="1">
      <c r="A196"/>
      <c r="B196"/>
      <c r="C196"/>
      <c r="D196"/>
      <c r="E196"/>
      <c r="F196"/>
      <c r="G196" s="80"/>
      <c r="H196"/>
      <c r="I196"/>
      <c r="J196"/>
      <c r="K196"/>
      <c r="L196"/>
      <c r="M196"/>
      <c r="N196"/>
      <c r="O196"/>
      <c r="P196"/>
      <c r="Q196" s="760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 s="773"/>
      <c r="AH196" s="80"/>
      <c r="AI196" s="80"/>
      <c r="AJ196" s="80"/>
      <c r="AK196"/>
      <c r="AL196" s="80"/>
      <c r="AO196"/>
      <c r="AP196"/>
      <c r="AQ196"/>
    </row>
    <row r="197" spans="1:43" s="762" customFormat="1" ht="15.75" customHeight="1">
      <c r="A197"/>
      <c r="B197"/>
      <c r="C197"/>
      <c r="D197"/>
      <c r="E197"/>
      <c r="F197"/>
      <c r="G197" s="80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 s="773"/>
      <c r="AH197" s="80"/>
      <c r="AI197" s="80"/>
      <c r="AJ197" s="80"/>
      <c r="AK197"/>
      <c r="AL197" s="80"/>
      <c r="AO197"/>
      <c r="AP197"/>
      <c r="AQ197"/>
    </row>
    <row r="198" spans="1:43" s="762" customFormat="1" ht="15.75" customHeight="1">
      <c r="A198"/>
      <c r="B198"/>
      <c r="C198"/>
      <c r="D198"/>
      <c r="E198"/>
      <c r="F198"/>
      <c r="G198" s="80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 s="773"/>
      <c r="AH198" s="80"/>
      <c r="AI198" s="80"/>
      <c r="AJ198" s="80"/>
      <c r="AK198"/>
      <c r="AL198" s="80"/>
      <c r="AO198"/>
      <c r="AP198"/>
      <c r="AQ198"/>
    </row>
    <row r="199" spans="1:43" s="762" customFormat="1" ht="15.75" customHeight="1">
      <c r="A199"/>
      <c r="B199"/>
      <c r="C199"/>
      <c r="D199"/>
      <c r="E199"/>
      <c r="F199"/>
      <c r="G199" s="80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 s="773"/>
      <c r="AH199" s="80"/>
      <c r="AI199" s="80"/>
      <c r="AJ199" s="80"/>
      <c r="AK199"/>
      <c r="AL199" s="80"/>
      <c r="AO199"/>
      <c r="AP199"/>
      <c r="AQ199"/>
    </row>
    <row r="200" spans="1:43" s="762" customFormat="1" ht="15.75" customHeight="1">
      <c r="A200"/>
      <c r="B200"/>
      <c r="C200"/>
      <c r="D200"/>
      <c r="E200"/>
      <c r="F200"/>
      <c r="G200" s="8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 s="773"/>
      <c r="AH200" s="80"/>
      <c r="AI200" s="80"/>
      <c r="AJ200" s="80"/>
      <c r="AK200"/>
      <c r="AL200" s="80"/>
      <c r="AO200"/>
      <c r="AP200"/>
      <c r="AQ200"/>
    </row>
    <row r="201" spans="1:43" s="762" customFormat="1" ht="15.75" customHeight="1">
      <c r="A201"/>
      <c r="B201"/>
      <c r="C201"/>
      <c r="D201"/>
      <c r="E201"/>
      <c r="F201"/>
      <c r="G201" s="80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 s="773"/>
      <c r="AH201" s="80"/>
      <c r="AI201" s="80"/>
      <c r="AJ201" s="80"/>
      <c r="AK201"/>
      <c r="AL201" s="80"/>
      <c r="AO201"/>
      <c r="AP201"/>
      <c r="AQ201"/>
    </row>
    <row r="202" spans="1:43" s="762" customFormat="1" ht="15.75" customHeight="1">
      <c r="A202"/>
      <c r="B202"/>
      <c r="C202"/>
      <c r="D202"/>
      <c r="E202"/>
      <c r="F202"/>
      <c r="G202" s="80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 s="773"/>
      <c r="AH202" s="80"/>
      <c r="AI202" s="80"/>
      <c r="AJ202" s="80"/>
      <c r="AK202"/>
      <c r="AL202" s="80"/>
      <c r="AO202"/>
      <c r="AP202"/>
      <c r="AQ202"/>
    </row>
    <row r="203" spans="1:43" s="762" customFormat="1" ht="15.75" customHeight="1">
      <c r="A203"/>
      <c r="B203"/>
      <c r="C203"/>
      <c r="D203"/>
      <c r="E203"/>
      <c r="F203"/>
      <c r="G203" s="80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 s="773"/>
      <c r="AH203" s="80"/>
      <c r="AI203" s="80"/>
      <c r="AJ203" s="80"/>
      <c r="AK203"/>
      <c r="AL203" s="80"/>
      <c r="AO203"/>
      <c r="AP203"/>
      <c r="AQ203"/>
    </row>
    <row r="204" spans="1:43" s="762" customFormat="1" ht="15.75" customHeight="1">
      <c r="A204"/>
      <c r="B204"/>
      <c r="C204"/>
      <c r="D204"/>
      <c r="E204"/>
      <c r="F204"/>
      <c r="G204" s="80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 s="773"/>
      <c r="AH204" s="80"/>
      <c r="AI204" s="80"/>
      <c r="AJ204" s="80"/>
      <c r="AK204"/>
      <c r="AL204" s="80"/>
      <c r="AO204"/>
      <c r="AP204"/>
      <c r="AQ204"/>
    </row>
    <row r="205" spans="1:43" s="762" customFormat="1" ht="15.75" customHeight="1">
      <c r="A205"/>
      <c r="B205"/>
      <c r="C205"/>
      <c r="D205"/>
      <c r="E205"/>
      <c r="F205"/>
      <c r="G205" s="80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 s="773"/>
      <c r="AH205" s="80"/>
      <c r="AI205" s="80"/>
      <c r="AJ205" s="80"/>
      <c r="AK205"/>
      <c r="AL205" s="80"/>
      <c r="AO205"/>
      <c r="AP205"/>
      <c r="AQ205"/>
    </row>
    <row r="206" spans="1:43" s="762" customFormat="1" ht="15.75" customHeight="1">
      <c r="A206"/>
      <c r="B206"/>
      <c r="C206"/>
      <c r="D206"/>
      <c r="E206"/>
      <c r="F206"/>
      <c r="G206" s="80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 s="773"/>
      <c r="AH206" s="80"/>
      <c r="AI206" s="80"/>
      <c r="AJ206" s="80"/>
      <c r="AK206"/>
      <c r="AL206" s="80"/>
      <c r="AO206"/>
      <c r="AP206"/>
      <c r="AQ206"/>
    </row>
    <row r="207" spans="1:43" s="762" customFormat="1" ht="15.75" customHeight="1">
      <c r="A207"/>
      <c r="B207"/>
      <c r="C207"/>
      <c r="D207"/>
      <c r="E207"/>
      <c r="F207"/>
      <c r="G207" s="80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 s="773"/>
      <c r="AH207" s="80"/>
      <c r="AI207" s="80"/>
      <c r="AJ207" s="80"/>
      <c r="AK207"/>
      <c r="AL207" s="80"/>
      <c r="AO207"/>
      <c r="AP207"/>
      <c r="AQ207"/>
    </row>
    <row r="208" spans="1:43" s="762" customFormat="1" ht="15.75" customHeight="1">
      <c r="A208"/>
      <c r="B208"/>
      <c r="C208"/>
      <c r="D208"/>
      <c r="E208"/>
      <c r="F208"/>
      <c r="G208" s="80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 s="773"/>
      <c r="AH208" s="80"/>
      <c r="AI208" s="80"/>
      <c r="AJ208" s="80"/>
      <c r="AK208"/>
      <c r="AL208" s="80"/>
      <c r="AO208"/>
      <c r="AP208"/>
      <c r="AQ208"/>
    </row>
    <row r="209" spans="1:43" s="762" customFormat="1" ht="15.75" customHeight="1">
      <c r="A209"/>
      <c r="B209"/>
      <c r="C209"/>
      <c r="D209"/>
      <c r="E209"/>
      <c r="F209"/>
      <c r="G209" s="80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 s="773"/>
      <c r="AH209" s="80"/>
      <c r="AI209" s="80"/>
      <c r="AJ209" s="80"/>
      <c r="AK209"/>
      <c r="AL209" s="80"/>
      <c r="AO209"/>
      <c r="AP209"/>
      <c r="AQ209"/>
    </row>
    <row r="210" spans="1:43" s="762" customFormat="1" ht="15.75" customHeight="1">
      <c r="A210"/>
      <c r="B210"/>
      <c r="C210"/>
      <c r="D210"/>
      <c r="E210"/>
      <c r="F210"/>
      <c r="G210" s="8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 s="773"/>
      <c r="AH210" s="80"/>
      <c r="AI210" s="80"/>
      <c r="AJ210" s="80"/>
      <c r="AK210"/>
      <c r="AL210" s="80"/>
      <c r="AO210"/>
      <c r="AP210"/>
      <c r="AQ210"/>
    </row>
    <row r="211" spans="1:43" s="762" customFormat="1" ht="15.75" customHeight="1">
      <c r="A211"/>
      <c r="B211"/>
      <c r="C211"/>
      <c r="D211"/>
      <c r="E211"/>
      <c r="F211"/>
      <c r="G211" s="80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 s="773"/>
      <c r="AH211" s="80"/>
      <c r="AI211" s="80"/>
      <c r="AJ211" s="80"/>
      <c r="AK211"/>
      <c r="AL211" s="80"/>
      <c r="AO211"/>
      <c r="AP211"/>
      <c r="AQ211"/>
    </row>
    <row r="212" spans="1:43" s="762" customFormat="1" ht="15.75" customHeight="1">
      <c r="A212"/>
      <c r="B212"/>
      <c r="C212"/>
      <c r="D212"/>
      <c r="E212"/>
      <c r="F212"/>
      <c r="G212" s="80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 s="773"/>
      <c r="AH212" s="80"/>
      <c r="AI212" s="80"/>
      <c r="AJ212" s="80"/>
      <c r="AK212"/>
      <c r="AL212" s="80"/>
      <c r="AO212"/>
      <c r="AP212"/>
      <c r="AQ212"/>
    </row>
    <row r="213" spans="1:43" s="762" customFormat="1" ht="15.75" customHeight="1">
      <c r="A213"/>
      <c r="B213"/>
      <c r="C213"/>
      <c r="D213"/>
      <c r="E213"/>
      <c r="F213"/>
      <c r="G213" s="80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 s="773"/>
      <c r="AH213" s="80"/>
      <c r="AI213" s="80"/>
      <c r="AJ213" s="80"/>
      <c r="AK213"/>
      <c r="AL213" s="80"/>
      <c r="AO213"/>
      <c r="AP213"/>
      <c r="AQ213"/>
    </row>
    <row r="214" spans="1:43" s="762" customFormat="1" ht="15.75" customHeight="1">
      <c r="A214"/>
      <c r="B214"/>
      <c r="C214"/>
      <c r="D214"/>
      <c r="E214"/>
      <c r="F214"/>
      <c r="G214" s="80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 s="773"/>
      <c r="AH214" s="80"/>
      <c r="AI214" s="80"/>
      <c r="AJ214" s="80"/>
      <c r="AK214"/>
      <c r="AL214" s="80"/>
      <c r="AO214"/>
      <c r="AP214"/>
      <c r="AQ214"/>
    </row>
    <row r="215" spans="1:43" s="762" customFormat="1" ht="15.75" customHeight="1">
      <c r="A215"/>
      <c r="B215"/>
      <c r="C215"/>
      <c r="D215"/>
      <c r="E215"/>
      <c r="F215"/>
      <c r="G215" s="80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 s="773"/>
      <c r="AH215" s="80"/>
      <c r="AI215" s="80"/>
      <c r="AJ215" s="80"/>
      <c r="AK215"/>
      <c r="AL215" s="80"/>
      <c r="AO215"/>
      <c r="AP215"/>
      <c r="AQ215"/>
    </row>
    <row r="216" spans="1:43" s="762" customFormat="1" ht="15.75" customHeight="1">
      <c r="A216"/>
      <c r="B216"/>
      <c r="C216"/>
      <c r="D216"/>
      <c r="E216"/>
      <c r="F216"/>
      <c r="G216" s="80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 s="773"/>
      <c r="AH216" s="80"/>
      <c r="AI216" s="80"/>
      <c r="AJ216" s="80"/>
      <c r="AK216"/>
      <c r="AL216" s="80"/>
      <c r="AO216"/>
      <c r="AP216"/>
      <c r="AQ216"/>
    </row>
    <row r="217" spans="1:43" s="762" customFormat="1" ht="15.75" customHeight="1">
      <c r="A217"/>
      <c r="B217"/>
      <c r="C217"/>
      <c r="D217"/>
      <c r="E217"/>
      <c r="F217"/>
      <c r="G217" s="80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 s="773"/>
      <c r="AH217" s="80"/>
      <c r="AI217" s="80"/>
      <c r="AJ217" s="80"/>
      <c r="AK217"/>
      <c r="AL217" s="80"/>
      <c r="AO217"/>
      <c r="AP217"/>
      <c r="AQ217"/>
    </row>
    <row r="218" spans="1:43" s="762" customFormat="1" ht="15.75" customHeight="1">
      <c r="A218"/>
      <c r="B218"/>
      <c r="C218"/>
      <c r="D218"/>
      <c r="E218"/>
      <c r="F218"/>
      <c r="G218" s="80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 s="773"/>
      <c r="AH218" s="80"/>
      <c r="AI218" s="80"/>
      <c r="AJ218" s="80"/>
      <c r="AK218"/>
      <c r="AL218" s="80"/>
      <c r="AO218"/>
      <c r="AP218"/>
      <c r="AQ218"/>
    </row>
    <row r="219" spans="1:43" s="762" customFormat="1" ht="15.75" customHeight="1">
      <c r="A219"/>
      <c r="B219"/>
      <c r="C219"/>
      <c r="D219"/>
      <c r="E219"/>
      <c r="F219"/>
      <c r="G219" s="80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 s="773"/>
      <c r="AH219" s="80"/>
      <c r="AI219" s="80"/>
      <c r="AJ219" s="80"/>
      <c r="AK219"/>
      <c r="AL219" s="80"/>
      <c r="AO219"/>
      <c r="AP219"/>
      <c r="AQ219"/>
    </row>
    <row r="220" spans="1:43" s="762" customFormat="1" ht="15.75" customHeight="1">
      <c r="A220"/>
      <c r="B220"/>
      <c r="C220"/>
      <c r="D220"/>
      <c r="E220"/>
      <c r="F220"/>
      <c r="G220" s="8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 s="773"/>
      <c r="AH220" s="80"/>
      <c r="AI220" s="80"/>
      <c r="AJ220" s="80"/>
      <c r="AK220"/>
      <c r="AL220" s="80"/>
      <c r="AO220"/>
      <c r="AP220"/>
      <c r="AQ220"/>
    </row>
    <row r="221" spans="1:43" s="762" customFormat="1" ht="15.75" customHeight="1">
      <c r="A221"/>
      <c r="B221"/>
      <c r="C221"/>
      <c r="D221"/>
      <c r="E221"/>
      <c r="F221"/>
      <c r="G221" s="80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 s="773"/>
      <c r="AH221" s="80"/>
      <c r="AI221" s="80"/>
      <c r="AJ221" s="80"/>
      <c r="AK221"/>
      <c r="AL221" s="80"/>
      <c r="AO221"/>
      <c r="AP221"/>
      <c r="AQ221"/>
    </row>
    <row r="222" spans="1:43" s="762" customFormat="1" ht="15.75" customHeight="1">
      <c r="A222"/>
      <c r="B222"/>
      <c r="C222"/>
      <c r="D222"/>
      <c r="E222"/>
      <c r="F222"/>
      <c r="G222" s="80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 s="773"/>
      <c r="AH222" s="80"/>
      <c r="AI222" s="80"/>
      <c r="AJ222" s="80"/>
      <c r="AK222"/>
      <c r="AL222" s="80"/>
      <c r="AO222"/>
      <c r="AP222"/>
      <c r="AQ222"/>
    </row>
    <row r="223" spans="1:43" s="762" customFormat="1" ht="15.75" customHeight="1">
      <c r="A223"/>
      <c r="B223"/>
      <c r="C223"/>
      <c r="D223"/>
      <c r="E223"/>
      <c r="F223"/>
      <c r="G223" s="80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 s="773"/>
      <c r="AH223" s="80"/>
      <c r="AI223" s="80"/>
      <c r="AJ223" s="80"/>
      <c r="AK223"/>
      <c r="AL223" s="80"/>
      <c r="AO223"/>
      <c r="AP223"/>
      <c r="AQ223"/>
    </row>
    <row r="224" spans="1:43" s="762" customFormat="1" ht="15.75" customHeight="1">
      <c r="A224"/>
      <c r="B224"/>
      <c r="C224"/>
      <c r="D224"/>
      <c r="E224"/>
      <c r="F224"/>
      <c r="G224" s="80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 s="773"/>
      <c r="AH224" s="80"/>
      <c r="AI224" s="80"/>
      <c r="AJ224" s="80"/>
      <c r="AK224"/>
      <c r="AL224" s="80"/>
      <c r="AO224"/>
      <c r="AP224"/>
      <c r="AQ224"/>
    </row>
    <row r="225" spans="1:43" s="762" customFormat="1" ht="15.75" customHeight="1">
      <c r="A225"/>
      <c r="B225"/>
      <c r="C225"/>
      <c r="D225"/>
      <c r="E225"/>
      <c r="F225"/>
      <c r="G225" s="80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 s="773"/>
      <c r="AH225" s="80"/>
      <c r="AI225" s="80"/>
      <c r="AJ225" s="80"/>
      <c r="AK225"/>
      <c r="AL225" s="80"/>
      <c r="AO225"/>
      <c r="AP225"/>
      <c r="AQ225"/>
    </row>
    <row r="226" spans="1:43" s="762" customFormat="1" ht="15.75" customHeight="1">
      <c r="A226"/>
      <c r="B226"/>
      <c r="C226"/>
      <c r="D226"/>
      <c r="E226"/>
      <c r="F226"/>
      <c r="G226" s="80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 s="773"/>
      <c r="AH226" s="80"/>
      <c r="AI226" s="80"/>
      <c r="AJ226" s="80"/>
      <c r="AK226"/>
      <c r="AL226" s="80"/>
      <c r="AO226"/>
      <c r="AP226"/>
      <c r="AQ226"/>
    </row>
    <row r="227" spans="1:43" s="762" customFormat="1" ht="15.75" customHeight="1">
      <c r="A227"/>
      <c r="B227"/>
      <c r="C227"/>
      <c r="D227"/>
      <c r="E227"/>
      <c r="F227"/>
      <c r="G227" s="80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 s="773"/>
      <c r="AH227" s="80"/>
      <c r="AI227" s="80"/>
      <c r="AJ227" s="80"/>
      <c r="AK227"/>
      <c r="AL227" s="80"/>
      <c r="AO227"/>
      <c r="AP227"/>
      <c r="AQ227"/>
    </row>
    <row r="228" spans="1:43" s="762" customFormat="1" ht="15.75" customHeight="1">
      <c r="A228"/>
      <c r="B228"/>
      <c r="C228"/>
      <c r="D228"/>
      <c r="E228"/>
      <c r="F228"/>
      <c r="G228" s="80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 s="773"/>
      <c r="AH228" s="80"/>
      <c r="AI228" s="80"/>
      <c r="AJ228" s="80"/>
      <c r="AK228"/>
      <c r="AL228" s="80"/>
      <c r="AO228"/>
      <c r="AP228"/>
      <c r="AQ228"/>
    </row>
    <row r="229" spans="1:43" s="762" customFormat="1" ht="15.75" customHeight="1">
      <c r="A229"/>
      <c r="B229"/>
      <c r="C229"/>
      <c r="D229"/>
      <c r="E229"/>
      <c r="F229"/>
      <c r="G229" s="80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 s="773"/>
      <c r="AH229" s="80"/>
      <c r="AI229" s="80"/>
      <c r="AJ229" s="80"/>
      <c r="AK229"/>
      <c r="AL229" s="80"/>
      <c r="AO229"/>
      <c r="AP229"/>
      <c r="AQ229"/>
    </row>
    <row r="230" spans="1:43" s="762" customFormat="1" ht="15.75" customHeight="1">
      <c r="A230"/>
      <c r="B230"/>
      <c r="C230"/>
      <c r="D230"/>
      <c r="E230"/>
      <c r="F230"/>
      <c r="G230" s="8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 s="773"/>
      <c r="AH230" s="80"/>
      <c r="AI230" s="80"/>
      <c r="AJ230" s="80"/>
      <c r="AK230"/>
      <c r="AL230" s="80"/>
      <c r="AO230"/>
      <c r="AP230"/>
      <c r="AQ230"/>
    </row>
    <row r="231" spans="1:43" s="762" customFormat="1" ht="15.75" customHeight="1">
      <c r="A231"/>
      <c r="B231"/>
      <c r="C231"/>
      <c r="D231"/>
      <c r="E231"/>
      <c r="F231"/>
      <c r="G231" s="80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 s="773"/>
      <c r="AH231" s="80"/>
      <c r="AI231" s="80"/>
      <c r="AJ231" s="80"/>
      <c r="AK231"/>
      <c r="AL231" s="80"/>
      <c r="AO231"/>
      <c r="AP231"/>
      <c r="AQ231"/>
    </row>
    <row r="232" spans="1:43" s="762" customFormat="1" ht="15.75" customHeight="1">
      <c r="A232"/>
      <c r="B232"/>
      <c r="C232"/>
      <c r="D232"/>
      <c r="E232"/>
      <c r="F232"/>
      <c r="G232" s="80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 s="773"/>
      <c r="AH232" s="80"/>
      <c r="AI232" s="80"/>
      <c r="AJ232" s="80"/>
      <c r="AK232"/>
      <c r="AL232" s="80"/>
      <c r="AO232"/>
      <c r="AP232"/>
      <c r="AQ232"/>
    </row>
    <row r="233" spans="1:43" s="762" customFormat="1" ht="15.75" customHeight="1">
      <c r="A233"/>
      <c r="B233"/>
      <c r="C233"/>
      <c r="D233"/>
      <c r="E233"/>
      <c r="F233"/>
      <c r="G233" s="80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 s="773"/>
      <c r="AH233" s="80"/>
      <c r="AI233" s="80"/>
      <c r="AJ233" s="80"/>
      <c r="AK233"/>
      <c r="AL233" s="80"/>
      <c r="AO233"/>
      <c r="AP233"/>
      <c r="AQ233"/>
    </row>
    <row r="234" spans="1:43" s="762" customFormat="1" ht="15.75" customHeight="1">
      <c r="A234"/>
      <c r="B234"/>
      <c r="C234"/>
      <c r="D234"/>
      <c r="E234"/>
      <c r="F234"/>
      <c r="G234" s="80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 s="773"/>
      <c r="AH234" s="80"/>
      <c r="AI234" s="80"/>
      <c r="AJ234" s="80"/>
      <c r="AK234"/>
      <c r="AL234" s="80"/>
      <c r="AO234"/>
      <c r="AP234"/>
      <c r="AQ234"/>
    </row>
    <row r="235" spans="1:43" s="762" customFormat="1" ht="15.75" customHeight="1">
      <c r="A235"/>
      <c r="B235"/>
      <c r="C235"/>
      <c r="D235"/>
      <c r="E235"/>
      <c r="F235"/>
      <c r="G235" s="80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 s="773"/>
      <c r="AH235" s="80"/>
      <c r="AI235" s="80"/>
      <c r="AJ235" s="80"/>
      <c r="AK235"/>
      <c r="AL235" s="80"/>
      <c r="AO235"/>
      <c r="AP235"/>
      <c r="AQ235"/>
    </row>
    <row r="236" spans="1:43" s="762" customFormat="1" ht="15.75" customHeight="1">
      <c r="A236"/>
      <c r="B236"/>
      <c r="C236"/>
      <c r="D236"/>
      <c r="E236"/>
      <c r="F236"/>
      <c r="G236" s="80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 s="773"/>
      <c r="AH236" s="80"/>
      <c r="AI236" s="80"/>
      <c r="AJ236" s="80"/>
      <c r="AK236"/>
      <c r="AL236" s="80"/>
      <c r="AO236"/>
      <c r="AP236"/>
      <c r="AQ236"/>
    </row>
    <row r="237" spans="1:43" s="762" customFormat="1" ht="15.75" customHeight="1">
      <c r="A237"/>
      <c r="B237"/>
      <c r="C237"/>
      <c r="D237"/>
      <c r="E237"/>
      <c r="F237"/>
      <c r="G237" s="80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 s="773"/>
      <c r="AH237" s="80"/>
      <c r="AI237" s="80"/>
      <c r="AJ237" s="80"/>
      <c r="AK237"/>
      <c r="AL237" s="80"/>
      <c r="AO237"/>
      <c r="AP237"/>
      <c r="AQ237"/>
    </row>
    <row r="238" spans="1:43" s="762" customFormat="1" ht="15.75" customHeight="1">
      <c r="A238"/>
      <c r="B238"/>
      <c r="C238"/>
      <c r="D238"/>
      <c r="E238"/>
      <c r="F238"/>
      <c r="G238" s="80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 s="773"/>
      <c r="AH238" s="80"/>
      <c r="AI238" s="80"/>
      <c r="AJ238" s="80"/>
      <c r="AK238"/>
      <c r="AL238" s="80"/>
      <c r="AO238"/>
      <c r="AP238"/>
      <c r="AQ238"/>
    </row>
    <row r="239" spans="1:43" s="762" customFormat="1" ht="15.75" customHeight="1">
      <c r="A239"/>
      <c r="B239"/>
      <c r="C239"/>
      <c r="D239"/>
      <c r="E239"/>
      <c r="F239"/>
      <c r="G239" s="80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 s="773"/>
      <c r="AH239" s="80"/>
      <c r="AI239" s="80"/>
      <c r="AJ239" s="80"/>
      <c r="AK239"/>
      <c r="AL239" s="80"/>
      <c r="AO239"/>
      <c r="AP239"/>
      <c r="AQ239"/>
    </row>
    <row r="240" spans="1:43" s="762" customFormat="1" ht="15.75" customHeight="1">
      <c r="A240"/>
      <c r="B240"/>
      <c r="C240"/>
      <c r="D240"/>
      <c r="E240"/>
      <c r="F240"/>
      <c r="G240" s="8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 s="773"/>
      <c r="AH240" s="80"/>
      <c r="AI240" s="80"/>
      <c r="AJ240" s="80"/>
      <c r="AK240"/>
      <c r="AL240" s="80"/>
      <c r="AO240"/>
      <c r="AP240"/>
      <c r="AQ240"/>
    </row>
    <row r="241" spans="1:43" s="762" customFormat="1" ht="15.75" customHeight="1">
      <c r="A241"/>
      <c r="B241"/>
      <c r="C241"/>
      <c r="D241"/>
      <c r="E241"/>
      <c r="F241"/>
      <c r="G241" s="80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 s="773"/>
      <c r="AH241" s="80"/>
      <c r="AI241" s="80"/>
      <c r="AJ241" s="80"/>
      <c r="AK241"/>
      <c r="AL241" s="80"/>
      <c r="AO241"/>
      <c r="AP241"/>
      <c r="AQ241"/>
    </row>
    <row r="242" spans="1:43" s="762" customFormat="1" ht="15.75" customHeight="1">
      <c r="A242"/>
      <c r="B242"/>
      <c r="C242"/>
      <c r="D242"/>
      <c r="E242"/>
      <c r="F242"/>
      <c r="G242" s="80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 s="773"/>
      <c r="AH242" s="80"/>
      <c r="AI242" s="80"/>
      <c r="AJ242" s="80"/>
      <c r="AK242"/>
      <c r="AL242" s="80"/>
      <c r="AO242"/>
      <c r="AP242"/>
      <c r="AQ242"/>
    </row>
    <row r="243" spans="1:43" s="762" customFormat="1" ht="15.75" customHeight="1">
      <c r="A243"/>
      <c r="B243"/>
      <c r="C243"/>
      <c r="D243"/>
      <c r="E243"/>
      <c r="F243"/>
      <c r="G243" s="80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 s="773"/>
      <c r="AH243" s="80"/>
      <c r="AI243" s="80"/>
      <c r="AJ243" s="80"/>
      <c r="AK243"/>
      <c r="AL243" s="80"/>
      <c r="AO243"/>
      <c r="AP243"/>
      <c r="AQ243"/>
    </row>
    <row r="244" spans="1:43" s="762" customFormat="1" ht="15.75" customHeight="1">
      <c r="A244"/>
      <c r="B244"/>
      <c r="C244"/>
      <c r="D244"/>
      <c r="E244"/>
      <c r="F244"/>
      <c r="G244" s="80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 s="773"/>
      <c r="AH244" s="80"/>
      <c r="AI244" s="80"/>
      <c r="AJ244" s="80"/>
      <c r="AK244"/>
      <c r="AL244" s="80"/>
      <c r="AO244"/>
      <c r="AP244"/>
      <c r="AQ244"/>
    </row>
    <row r="245" spans="1:43" s="762" customFormat="1" ht="15.75" customHeight="1">
      <c r="A245"/>
      <c r="B245"/>
      <c r="C245"/>
      <c r="D245"/>
      <c r="E245"/>
      <c r="F245"/>
      <c r="G245" s="80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 s="773"/>
      <c r="AH245" s="80"/>
      <c r="AI245" s="80"/>
      <c r="AJ245" s="80"/>
      <c r="AK245"/>
      <c r="AL245" s="80"/>
      <c r="AO245"/>
      <c r="AP245"/>
      <c r="AQ245"/>
    </row>
    <row r="246" spans="1:43" s="762" customFormat="1" ht="15.75" customHeight="1">
      <c r="A246"/>
      <c r="B246"/>
      <c r="C246"/>
      <c r="D246"/>
      <c r="E246"/>
      <c r="F246"/>
      <c r="G246" s="80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 s="773"/>
      <c r="AH246" s="80"/>
      <c r="AI246" s="80"/>
      <c r="AJ246" s="80"/>
      <c r="AK246"/>
      <c r="AL246" s="80"/>
      <c r="AO246"/>
      <c r="AP246"/>
      <c r="AQ246"/>
    </row>
    <row r="247" spans="1:43" s="762" customFormat="1" ht="15.75" customHeight="1">
      <c r="A247"/>
      <c r="B247"/>
      <c r="C247"/>
      <c r="D247"/>
      <c r="E247"/>
      <c r="F247"/>
      <c r="G247" s="80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 s="773"/>
      <c r="AH247" s="80"/>
      <c r="AI247" s="80"/>
      <c r="AJ247" s="80"/>
      <c r="AK247"/>
      <c r="AL247" s="80"/>
      <c r="AO247"/>
      <c r="AP247"/>
      <c r="AQ247"/>
    </row>
    <row r="248" spans="1:43" s="762" customFormat="1" ht="15.75" customHeight="1">
      <c r="A248"/>
      <c r="B248"/>
      <c r="C248"/>
      <c r="D248"/>
      <c r="E248"/>
      <c r="F248"/>
      <c r="G248" s="80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 s="773"/>
      <c r="AH248" s="80"/>
      <c r="AI248" s="80"/>
      <c r="AJ248" s="80"/>
      <c r="AK248"/>
      <c r="AL248" s="80"/>
      <c r="AO248"/>
      <c r="AP248"/>
      <c r="AQ248"/>
    </row>
  </sheetData>
  <autoFilter ref="A3:AL23" xr:uid="{00000000-0009-0000-0000-000019000000}">
    <sortState xmlns:xlrd2="http://schemas.microsoft.com/office/spreadsheetml/2017/richdata2" ref="A4:AL49">
      <sortCondition ref="A3:A23"/>
    </sortState>
  </autoFilter>
  <pageMargins left="0.7" right="0.7" top="0.75" bottom="0.75" header="0" footer="0"/>
  <pageSetup scale="15" orientation="portrait" r:id="rId1"/>
  <ignoredErrors>
    <ignoredError sqref="AI3 AG14" formula="1"/>
  </ignoredError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17">
    <tabColor rgb="FF00B050"/>
    <pageSetUpPr fitToPage="1"/>
  </sheetPr>
  <dimension ref="A1:AQ270"/>
  <sheetViews>
    <sheetView showGridLines="0" workbookViewId="0">
      <pane xSplit="1" ySplit="3" topLeftCell="B12" activePane="bottomRight" state="frozen"/>
      <selection pane="topRight" activeCell="B1" sqref="B1"/>
      <selection pane="bottomLeft" activeCell="A4" sqref="A4"/>
      <selection pane="bottomRight" activeCell="C12" sqref="C12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style="773" customWidth="1"/>
    <col min="34" max="34" width="20.33203125" customWidth="1"/>
    <col min="35" max="35" width="14.44140625" customWidth="1"/>
    <col min="36" max="36" width="17.5546875" customWidth="1"/>
    <col min="37" max="37" width="5.109375" customWidth="1"/>
    <col min="38" max="38" width="14.44140625" customWidth="1"/>
    <col min="39" max="40" width="14.44140625" style="762"/>
  </cols>
  <sheetData>
    <row r="1" spans="1:43" ht="15" customHeight="1" thickBot="1">
      <c r="D1" s="845"/>
      <c r="F1" s="79"/>
      <c r="G1" s="80"/>
      <c r="H1" s="81"/>
      <c r="I1" s="843">
        <v>507.82</v>
      </c>
      <c r="AB1" s="83"/>
      <c r="AC1" s="758"/>
      <c r="AD1" s="83"/>
      <c r="AE1" s="83"/>
      <c r="AF1" s="83"/>
      <c r="AG1" s="768" t="s">
        <v>34</v>
      </c>
      <c r="AH1" s="701" t="s">
        <v>1001</v>
      </c>
      <c r="AI1" s="699" t="s">
        <v>36</v>
      </c>
      <c r="AJ1" s="87" t="s">
        <v>37</v>
      </c>
      <c r="AK1" s="88"/>
      <c r="AL1" s="89" t="s">
        <v>38</v>
      </c>
    </row>
    <row r="2" spans="1:43" ht="15" customHeight="1" thickBot="1">
      <c r="D2" s="845"/>
      <c r="G2" s="90"/>
      <c r="H2" s="90"/>
      <c r="I2" s="91">
        <f>SUBTOTAL(9,I4:I9555)</f>
        <v>507.82</v>
      </c>
      <c r="J2" s="81"/>
      <c r="K2" s="91">
        <f>SUBTOTAL(9,K4:K9555)</f>
        <v>486.93731000000002</v>
      </c>
      <c r="L2" s="93">
        <f>SUMPRODUCT(L5:L386,K5:K386)/K2</f>
        <v>0.3466137733828612</v>
      </c>
      <c r="M2" s="6"/>
      <c r="P2" s="6"/>
      <c r="Q2" s="94">
        <f>+SUMPRODUCT(Q5:Q274,AH5:AH274)/SUM(AH5:AH274)</f>
        <v>89.456895332069848</v>
      </c>
      <c r="R2" s="89">
        <f>+SUMPRODUCT(R5:R274,AH5:AH274)/SUM(AH5:AH274)</f>
        <v>2643.9924003181291</v>
      </c>
      <c r="S2" s="6"/>
      <c r="AB2" s="83"/>
      <c r="AC2" s="83"/>
      <c r="AD2" s="83"/>
      <c r="AE2" s="83"/>
      <c r="AF2" s="83"/>
      <c r="AG2" s="769">
        <f>SUMPRODUCT($AG5:$AG274,$K5:$K274)/SUM($K5:$K274)</f>
        <v>72.859839375462258</v>
      </c>
      <c r="AH2" s="702"/>
      <c r="AI2" s="252">
        <v>2635</v>
      </c>
      <c r="AJ2" s="98"/>
      <c r="AK2" s="88"/>
      <c r="AL2" s="99"/>
    </row>
    <row r="3" spans="1:43" ht="15" customHeight="1" thickBot="1">
      <c r="A3" s="678" t="s">
        <v>11</v>
      </c>
      <c r="B3" s="678" t="s">
        <v>39</v>
      </c>
      <c r="C3" s="678" t="s">
        <v>40</v>
      </c>
      <c r="D3" s="678" t="s">
        <v>41</v>
      </c>
      <c r="E3" s="678" t="s">
        <v>1025</v>
      </c>
      <c r="F3" s="678" t="s">
        <v>43</v>
      </c>
      <c r="G3" s="679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18">
        <f>SUBTOTAL(9,AH5:AH9556)</f>
        <v>5176.5365254445505</v>
      </c>
      <c r="AI3" s="700">
        <f>SUMPRODUCT(K5:K274,AI5:AI274)/K2</f>
        <v>26.980994194211235</v>
      </c>
      <c r="AJ3" s="118">
        <f>SUBTOTAL(9,AJ5:AJ9556)</f>
        <v>5036.8652194306233</v>
      </c>
      <c r="AK3" s="88"/>
      <c r="AL3" s="118">
        <f>SUBTOTAL(9,AL5:AL9556)</f>
        <v>344211.2373366321</v>
      </c>
      <c r="AO3" s="711"/>
    </row>
    <row r="4" spans="1:43" s="677" customFormat="1" ht="15.75" customHeight="1">
      <c r="A4" s="720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4"/>
      <c r="AJ4" s="675"/>
      <c r="AK4" s="676"/>
      <c r="AL4" s="732"/>
      <c r="AM4" s="763"/>
      <c r="AN4" s="763"/>
    </row>
    <row r="5" spans="1:43" ht="15.75" customHeight="1">
      <c r="A5" s="857" t="s">
        <v>1005</v>
      </c>
      <c r="B5" s="135">
        <v>45594</v>
      </c>
      <c r="C5" s="803" cm="1">
        <v>45588</v>
      </c>
      <c r="D5" t="s">
        <v>145</v>
      </c>
      <c r="E5" s="6">
        <v>10437450094</v>
      </c>
      <c r="F5" t="s">
        <v>1030</v>
      </c>
      <c r="G5" s="80">
        <v>21</v>
      </c>
      <c r="H5" s="596" t="s">
        <v>69</v>
      </c>
      <c r="I5" s="596">
        <v>1.77</v>
      </c>
      <c r="J5" s="596">
        <v>2.2999999999999998</v>
      </c>
      <c r="K5" s="138">
        <f t="shared" ref="K5:K35" si="0">+I5-(I5*(J5/100))</f>
        <v>1.72929</v>
      </c>
      <c r="L5" s="139">
        <v>0.35199999999999998</v>
      </c>
      <c r="M5" s="139">
        <v>0.33700000000000002</v>
      </c>
      <c r="N5" s="159">
        <v>0.33700000000000002</v>
      </c>
      <c r="O5" s="139">
        <f t="shared" ref="O5:O34" si="1">+ROUND((M5+N5)/2,3)</f>
        <v>0.33700000000000002</v>
      </c>
      <c r="P5" s="727">
        <v>90</v>
      </c>
      <c r="Q5" s="665">
        <v>89.12</v>
      </c>
      <c r="R5" s="729">
        <v>2736.45</v>
      </c>
      <c r="S5" s="710">
        <v>100</v>
      </c>
      <c r="U5" s="599">
        <v>130</v>
      </c>
      <c r="V5" s="6">
        <v>1.1023000000000001</v>
      </c>
      <c r="Y5" s="163">
        <v>30</v>
      </c>
      <c r="Z5" s="143">
        <f t="shared" ref="Z5:Z10" si="2"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 t="shared" ref="AA5:AA35" si="3">+Y5+Z5</f>
        <v>60</v>
      </c>
      <c r="AB5" s="145">
        <f t="shared" ref="AB5:AB10" si="4">+((O5*P5*(R5-U5)/100)-S5-AA5+T5)*V5</f>
        <v>695.04014695550006</v>
      </c>
      <c r="AC5" s="145">
        <f>+(S5-T5)*V5-'data 1'!$F$4</f>
        <v>30.230000000000004</v>
      </c>
      <c r="AD5" s="145">
        <f t="shared" ref="AD5:AD35" si="5">+(Q5-P5)*(R5-U5)*L5*V5/100</f>
        <v>-8.8996830728959537</v>
      </c>
      <c r="AE5" s="145">
        <f t="shared" ref="AE5:AE35" si="6">+(Y5*V5-70)+V5*(Z5-IF(D5="UNTUCA",IF(+((W5-3)*2.5+(X5-3)*3.1)&gt;0,+((W5-3)*1.5+(X5-3)*3.1),0),IF(+((W5-3)*1.5+(X5-3)*3.1)&gt;0,+((W5-3)*1.5+(X5-3)*3.1),0)))</f>
        <v>-3.8619999999999948</v>
      </c>
      <c r="AF5" s="145">
        <f t="shared" ref="AF5:AF35" si="7">(L5-O5)*(R5-U5)*Q5*V5/100</f>
        <v>38.407464914279892</v>
      </c>
      <c r="AG5" s="772">
        <f>+IF(D5="RONALD WILLIAN GARIBAY ESCUDERO",AC5+AD5+AE5+AF5+70,AC5+AD5+AE5+AF5)+70-53</f>
        <v>72.87578184138394</v>
      </c>
      <c r="AH5" s="146">
        <f t="shared" ref="AH5:AH35" si="8">31.1035*L5*Q5*1.1023*K5/100</f>
        <v>18.599220393007723</v>
      </c>
      <c r="AI5" s="156">
        <f t="shared" ref="AI5:AI35" si="9">+((+$AI$2-R5+U5)*L5*Q5*V5)/100</f>
        <v>9.872423140096064</v>
      </c>
      <c r="AJ5" s="156">
        <f t="shared" ref="AJ5:AJ35" si="10">31.1035*1.1023*K5*P5*O5/100</f>
        <v>17.982468560008599</v>
      </c>
      <c r="AK5" s="88"/>
      <c r="AL5" s="148">
        <f t="shared" ref="AL5:AL35" si="11">+IF(AB5*K5&gt;0,AB5*K5,0)</f>
        <v>1201.9259757286768</v>
      </c>
      <c r="AO5" s="596"/>
      <c r="AQ5" s="596"/>
    </row>
    <row r="6" spans="1:43" ht="15.75" customHeight="1">
      <c r="A6" s="857" t="s">
        <v>1065</v>
      </c>
      <c r="B6" s="135">
        <v>45603</v>
      </c>
      <c r="C6" s="803" cm="1">
        <v>45598</v>
      </c>
      <c r="D6" t="s">
        <v>154</v>
      </c>
      <c r="E6" s="640">
        <v>10416085884</v>
      </c>
      <c r="G6" s="80" t="s">
        <v>68</v>
      </c>
      <c r="H6" s="596" t="s">
        <v>69</v>
      </c>
      <c r="I6" s="596">
        <v>23.54</v>
      </c>
      <c r="J6" s="596">
        <v>6.35</v>
      </c>
      <c r="K6" s="138">
        <f t="shared" si="0"/>
        <v>22.045209999999997</v>
      </c>
      <c r="L6" s="139">
        <v>0.14200000000000002</v>
      </c>
      <c r="M6" s="139">
        <v>0.14000000000000001</v>
      </c>
      <c r="N6" s="159">
        <v>0.14499999999999999</v>
      </c>
      <c r="O6" s="139">
        <f t="shared" si="1"/>
        <v>0.14299999999999999</v>
      </c>
      <c r="P6" s="629">
        <v>85</v>
      </c>
      <c r="Q6" s="761">
        <v>89.51</v>
      </c>
      <c r="R6" s="740">
        <v>2744.3</v>
      </c>
      <c r="S6" s="80">
        <v>110</v>
      </c>
      <c r="U6" s="766">
        <v>90</v>
      </c>
      <c r="V6" s="715">
        <v>1.1023000000000001</v>
      </c>
      <c r="Y6" s="163"/>
      <c r="Z6" s="143">
        <f t="shared" si="2"/>
        <v>30</v>
      </c>
      <c r="AA6" s="144">
        <f t="shared" si="3"/>
        <v>30</v>
      </c>
      <c r="AB6" s="145">
        <f t="shared" si="4"/>
        <v>201.31323087950005</v>
      </c>
      <c r="AC6" s="145">
        <f>+(S6-T6)*V6-'data 1'!$F$4</f>
        <v>41.253</v>
      </c>
      <c r="AD6" s="145">
        <f t="shared" si="5"/>
        <v>18.737631802538026</v>
      </c>
      <c r="AE6" s="145">
        <f t="shared" si="6"/>
        <v>-36.930999999999997</v>
      </c>
      <c r="AF6" s="145">
        <f t="shared" si="7"/>
        <v>-2.6189148100389303</v>
      </c>
      <c r="AG6" s="772">
        <f>+IF(D6="RONALD WILLIAN GARIBAY ESCUDERO",AC6+AD6+AE6+AF6+70,AC6+AD6+AE6+AF6)</f>
        <v>20.440716992499098</v>
      </c>
      <c r="AH6" s="146">
        <f t="shared" si="8"/>
        <v>96.068986933688279</v>
      </c>
      <c r="AI6" s="156">
        <f t="shared" si="9"/>
        <v>-2.7040643214380258</v>
      </c>
      <c r="AJ6" s="156">
        <f t="shared" si="10"/>
        <v>91.870963837464146</v>
      </c>
      <c r="AK6" s="676"/>
      <c r="AL6" s="716">
        <f t="shared" si="11"/>
        <v>4437.9924505170629</v>
      </c>
      <c r="AO6" s="596"/>
      <c r="AQ6" s="596"/>
    </row>
    <row r="7" spans="1:43" ht="15.75" customHeight="1">
      <c r="A7" s="857" t="s">
        <v>1076</v>
      </c>
      <c r="B7" s="135">
        <v>45604</v>
      </c>
      <c r="C7" s="803" cm="1">
        <v>45601</v>
      </c>
      <c r="D7" s="804" t="s">
        <v>1060</v>
      </c>
      <c r="E7" s="639">
        <v>20606094010</v>
      </c>
      <c r="F7" s="825" t="s">
        <v>1156</v>
      </c>
      <c r="G7" s="80">
        <v>110</v>
      </c>
      <c r="H7" s="596" t="s">
        <v>69</v>
      </c>
      <c r="I7" s="596">
        <v>9.4700000000000006</v>
      </c>
      <c r="J7" s="596">
        <v>1.3</v>
      </c>
      <c r="K7" s="138">
        <f t="shared" si="0"/>
        <v>9.3468900000000001</v>
      </c>
      <c r="L7" s="139">
        <v>0.378</v>
      </c>
      <c r="M7" s="139">
        <v>0.36665999999999999</v>
      </c>
      <c r="N7" s="159">
        <v>0.36699999999999999</v>
      </c>
      <c r="O7" s="139">
        <f t="shared" si="1"/>
        <v>0.36699999999999999</v>
      </c>
      <c r="P7" s="629">
        <v>90</v>
      </c>
      <c r="Q7" s="760">
        <v>89</v>
      </c>
      <c r="R7" s="819">
        <v>2742.6</v>
      </c>
      <c r="S7" s="765">
        <f>IF((90+ROUNDDOWN(O7,1)*100)&lt;95,95,(90+ROUNDDOWN(O7,1)*100))</f>
        <v>120</v>
      </c>
      <c r="U7" s="767">
        <v>130</v>
      </c>
      <c r="V7" s="715">
        <v>1.1023000000000001</v>
      </c>
      <c r="Y7" s="163">
        <v>10</v>
      </c>
      <c r="Z7" s="143">
        <f t="shared" si="2"/>
        <v>30</v>
      </c>
      <c r="AA7" s="144">
        <f t="shared" si="3"/>
        <v>40</v>
      </c>
      <c r="AB7" s="145">
        <f t="shared" si="4"/>
        <v>774.852724094</v>
      </c>
      <c r="AC7" s="145">
        <f>+(S7-T7)*V7-'data 1'!$F$4</f>
        <v>52.27600000000001</v>
      </c>
      <c r="AD7" s="145">
        <f t="shared" si="5"/>
        <v>-10.885904744399999</v>
      </c>
      <c r="AE7" s="145">
        <f t="shared" si="6"/>
        <v>-25.908000000000001</v>
      </c>
      <c r="AF7" s="145">
        <f t="shared" si="7"/>
        <v>28.193917314200021</v>
      </c>
      <c r="AG7" s="772">
        <f>+IF(D7="RONALD WILLIAN GARIBAY ESCUDERO",AC7+AD7+AE7+AF7+70,AC7+AD7+AE7+AF7)</f>
        <v>43.676012569800029</v>
      </c>
      <c r="AH7" s="146">
        <f t="shared" si="8"/>
        <v>107.80974217408175</v>
      </c>
      <c r="AI7" s="156">
        <f t="shared" si="9"/>
        <v>8.306721158400034</v>
      </c>
      <c r="AJ7" s="156">
        <f t="shared" si="10"/>
        <v>105.84851625973249</v>
      </c>
      <c r="AK7" s="676"/>
      <c r="AL7" s="716">
        <f t="shared" si="11"/>
        <v>7242.4631783069681</v>
      </c>
      <c r="AO7" s="596"/>
      <c r="AQ7" s="596"/>
    </row>
    <row r="8" spans="1:43" ht="15.75" customHeight="1">
      <c r="A8" s="857" t="s">
        <v>1088</v>
      </c>
      <c r="B8" s="135">
        <v>45604</v>
      </c>
      <c r="C8" s="803" cm="1">
        <v>45601</v>
      </c>
      <c r="D8" t="s">
        <v>1152</v>
      </c>
      <c r="E8" s="639">
        <v>20606534923</v>
      </c>
      <c r="F8" t="s">
        <v>1157</v>
      </c>
      <c r="G8" s="80">
        <v>7</v>
      </c>
      <c r="H8" s="596" t="s">
        <v>69</v>
      </c>
      <c r="I8" s="596">
        <v>0.61</v>
      </c>
      <c r="J8" s="596">
        <v>1</v>
      </c>
      <c r="K8" s="138">
        <f t="shared" si="0"/>
        <v>0.60389999999999999</v>
      </c>
      <c r="L8" s="139">
        <v>0.65599999999999992</v>
      </c>
      <c r="M8" s="139">
        <v>0.62975999999999988</v>
      </c>
      <c r="N8" s="159">
        <v>0.62975999999999988</v>
      </c>
      <c r="O8" s="139">
        <f t="shared" si="1"/>
        <v>0.63</v>
      </c>
      <c r="P8" s="629">
        <v>90</v>
      </c>
      <c r="Q8" s="760">
        <v>89.26</v>
      </c>
      <c r="R8" s="740">
        <v>2732.55</v>
      </c>
      <c r="S8" s="765">
        <f>IF((90+ROUNDDOWN(O8,1)*100)&lt;95,95,(90+ROUNDDOWN(O8,1)*100))</f>
        <v>150</v>
      </c>
      <c r="U8" s="767">
        <v>130</v>
      </c>
      <c r="V8" s="715">
        <v>1.1023000000000001</v>
      </c>
      <c r="Y8" s="163">
        <v>30</v>
      </c>
      <c r="Z8" s="143">
        <f t="shared" si="2"/>
        <v>30</v>
      </c>
      <c r="AA8" s="144">
        <f t="shared" si="3"/>
        <v>60</v>
      </c>
      <c r="AB8" s="145">
        <f t="shared" si="4"/>
        <v>1395.1214204550001</v>
      </c>
      <c r="AC8" s="145">
        <f>+(S8-T8)*V8-'data 1'!$F$4</f>
        <v>85.344999999999999</v>
      </c>
      <c r="AD8" s="145">
        <f t="shared" si="5"/>
        <v>-13.926258375055902</v>
      </c>
      <c r="AE8" s="145">
        <f t="shared" si="6"/>
        <v>-3.8619999999999948</v>
      </c>
      <c r="AF8" s="145">
        <f t="shared" si="7"/>
        <v>66.577750878573795</v>
      </c>
      <c r="AG8" s="772">
        <f>+IF(D8="RONALD WILLIAN GARIBAY ESCUDERO",AC8+AD8+AE8+AF8+70,AC8+AD8+AE8+AF8)</f>
        <v>134.13449250351789</v>
      </c>
      <c r="AH8" s="146">
        <f t="shared" si="8"/>
        <v>12.123689936838229</v>
      </c>
      <c r="AI8" s="156">
        <f t="shared" si="9"/>
        <v>20.944752387855882</v>
      </c>
      <c r="AJ8" s="156">
        <f t="shared" si="10"/>
        <v>11.739704293204966</v>
      </c>
      <c r="AK8" s="676"/>
      <c r="AL8" s="716">
        <f t="shared" si="11"/>
        <v>842.5138258127746</v>
      </c>
      <c r="AO8" s="596"/>
      <c r="AQ8" s="596"/>
    </row>
    <row r="9" spans="1:43" ht="15.75" customHeight="1">
      <c r="A9" s="857" t="s">
        <v>1097</v>
      </c>
      <c r="B9" s="135">
        <v>45609</v>
      </c>
      <c r="C9" s="803" cm="1">
        <v>45601</v>
      </c>
      <c r="D9" s="800" t="s">
        <v>1060</v>
      </c>
      <c r="E9" s="6">
        <v>20606094010</v>
      </c>
      <c r="F9" s="818" t="s">
        <v>1030</v>
      </c>
      <c r="G9" s="80">
        <v>20</v>
      </c>
      <c r="H9" s="596" t="s">
        <v>69</v>
      </c>
      <c r="I9" s="596">
        <v>1.95</v>
      </c>
      <c r="J9" s="596">
        <v>1.2</v>
      </c>
      <c r="K9" s="138">
        <f t="shared" si="0"/>
        <v>1.9265999999999999</v>
      </c>
      <c r="L9" s="139">
        <v>0.36449999999999999</v>
      </c>
      <c r="M9" s="139">
        <v>0.34991999999999995</v>
      </c>
      <c r="N9" s="159">
        <v>0.34991999999999995</v>
      </c>
      <c r="O9" s="139">
        <f t="shared" si="1"/>
        <v>0.35</v>
      </c>
      <c r="P9" s="629">
        <v>90</v>
      </c>
      <c r="Q9" s="760">
        <v>89.36</v>
      </c>
      <c r="R9" s="740">
        <v>2742.55</v>
      </c>
      <c r="S9" s="802">
        <v>115</v>
      </c>
      <c r="U9" s="767">
        <v>130</v>
      </c>
      <c r="V9" s="715">
        <v>1.1023000000000001</v>
      </c>
      <c r="Y9" s="163">
        <v>30</v>
      </c>
      <c r="Z9" s="143">
        <f t="shared" si="2"/>
        <v>30</v>
      </c>
      <c r="AA9" s="144">
        <f t="shared" si="3"/>
        <v>60</v>
      </c>
      <c r="AB9" s="145">
        <f t="shared" si="4"/>
        <v>714.23886747500012</v>
      </c>
      <c r="AC9" s="145">
        <f>+(S9-T9)*V9-'data 1'!$F$4</f>
        <v>46.764500000000012</v>
      </c>
      <c r="AD9" s="145">
        <f t="shared" si="5"/>
        <v>-6.718029784272006</v>
      </c>
      <c r="AE9" s="145">
        <f t="shared" si="6"/>
        <v>-3.8619999999999948</v>
      </c>
      <c r="AF9" s="145">
        <f t="shared" si="7"/>
        <v>37.31432421157804</v>
      </c>
      <c r="AG9" s="772">
        <f>+IF(D9="RONALD WILLIAN GARIBAY ESCUDERO",AC9+AD9+AE9+AF9+70,AC9+AD9+AE9+AF9)+70-53</f>
        <v>90.498794427306052</v>
      </c>
      <c r="AH9" s="146">
        <f t="shared" si="8"/>
        <v>21.514998393331457</v>
      </c>
      <c r="AI9" s="156">
        <f t="shared" si="9"/>
        <v>8.060404661621936</v>
      </c>
      <c r="AJ9" s="156">
        <f t="shared" si="10"/>
        <v>20.807082014395945</v>
      </c>
      <c r="AK9" s="676"/>
      <c r="AL9" s="716">
        <f t="shared" si="11"/>
        <v>1376.0526020773352</v>
      </c>
      <c r="AO9" s="596"/>
      <c r="AQ9" s="596"/>
    </row>
    <row r="10" spans="1:43" ht="15.75" customHeight="1">
      <c r="A10" s="857" t="s">
        <v>1107</v>
      </c>
      <c r="B10" s="135">
        <v>45607</v>
      </c>
      <c r="C10" s="595">
        <v>45604</v>
      </c>
      <c r="D10" t="s">
        <v>129</v>
      </c>
      <c r="E10" s="79">
        <v>10423109730</v>
      </c>
      <c r="F10" t="s">
        <v>1159</v>
      </c>
      <c r="G10" s="80">
        <v>280</v>
      </c>
      <c r="H10" s="596" t="s">
        <v>69</v>
      </c>
      <c r="I10" s="596">
        <v>30.99</v>
      </c>
      <c r="J10" s="596">
        <v>1.2</v>
      </c>
      <c r="K10" s="138">
        <f t="shared" si="0"/>
        <v>30.618119999999998</v>
      </c>
      <c r="L10" s="139">
        <v>0.5</v>
      </c>
      <c r="M10" s="139">
        <v>0.48</v>
      </c>
      <c r="N10" s="159">
        <v>0.48</v>
      </c>
      <c r="O10" s="139">
        <f t="shared" si="1"/>
        <v>0.48</v>
      </c>
      <c r="P10" s="629">
        <v>90</v>
      </c>
      <c r="Q10" s="760">
        <v>89.52</v>
      </c>
      <c r="R10" s="740">
        <v>2681.15</v>
      </c>
      <c r="S10" s="765">
        <f>IF((90+ROUNDDOWN(O10,1)*100)&lt;95,95,(90+ROUNDDOWN(O10,1)*100))</f>
        <v>130</v>
      </c>
      <c r="U10" s="820">
        <v>100</v>
      </c>
      <c r="V10" s="715">
        <v>1.1023000000000001</v>
      </c>
      <c r="Y10" s="163">
        <v>30</v>
      </c>
      <c r="Z10" s="143">
        <f t="shared" si="2"/>
        <v>30</v>
      </c>
      <c r="AA10" s="144">
        <f t="shared" si="3"/>
        <v>60</v>
      </c>
      <c r="AB10" s="145">
        <f t="shared" si="4"/>
        <v>1019.6901106399998</v>
      </c>
      <c r="AC10" s="145">
        <f>+(S10-T10)*V10-'data 1'!$F$4</f>
        <v>63.299000000000007</v>
      </c>
      <c r="AD10" s="145">
        <f t="shared" si="5"/>
        <v>-6.8284839480000565</v>
      </c>
      <c r="AE10" s="145">
        <f t="shared" si="6"/>
        <v>-3.8619999999999948</v>
      </c>
      <c r="AF10" s="145">
        <f t="shared" si="7"/>
        <v>50.940490252080046</v>
      </c>
      <c r="AG10" s="772">
        <f>+IF(D10="RONALD WILLIAN GARIBAY ESCUDERO",AC10+AD10+AE10+AF10+70,AC10+AD10+AE10+AF10)</f>
        <v>173.54900630408</v>
      </c>
      <c r="AH10" s="146">
        <f t="shared" si="8"/>
        <v>469.86994660131217</v>
      </c>
      <c r="AI10" s="156">
        <f t="shared" si="9"/>
        <v>26.569023497999957</v>
      </c>
      <c r="AJ10" s="156">
        <f t="shared" si="10"/>
        <v>453.49378224255327</v>
      </c>
      <c r="AK10" s="676"/>
      <c r="AL10" s="716">
        <f t="shared" si="11"/>
        <v>31220.994170388789</v>
      </c>
      <c r="AO10" s="596"/>
      <c r="AQ10" s="596"/>
    </row>
    <row r="11" spans="1:43" ht="15.75" customHeight="1">
      <c r="A11" s="857" t="s">
        <v>1109</v>
      </c>
      <c r="B11" s="135">
        <v>45612</v>
      </c>
      <c r="C11" s="595">
        <v>45606</v>
      </c>
      <c r="D11" t="s">
        <v>154</v>
      </c>
      <c r="E11" s="142">
        <v>10416085884</v>
      </c>
      <c r="G11" s="80">
        <v>78</v>
      </c>
      <c r="H11" t="s">
        <v>69</v>
      </c>
      <c r="I11" s="596">
        <v>7.24</v>
      </c>
      <c r="J11" s="596">
        <v>7.25</v>
      </c>
      <c r="K11" s="138">
        <f t="shared" si="0"/>
        <v>6.7151000000000005</v>
      </c>
      <c r="L11" s="139">
        <v>3.5000000000000003E-2</v>
      </c>
      <c r="M11" s="139">
        <v>3.4000000000000002E-2</v>
      </c>
      <c r="N11" s="159">
        <v>3.4000000000000002E-2</v>
      </c>
      <c r="O11" s="139">
        <f t="shared" si="1"/>
        <v>3.4000000000000002E-2</v>
      </c>
      <c r="P11" s="629">
        <v>85</v>
      </c>
      <c r="Q11" s="827">
        <v>89</v>
      </c>
      <c r="R11" s="740">
        <v>2624.75</v>
      </c>
      <c r="S11" s="802">
        <v>110</v>
      </c>
      <c r="U11" s="826">
        <v>90</v>
      </c>
      <c r="V11" s="715">
        <v>1.1023000000000001</v>
      </c>
      <c r="Y11" s="751"/>
      <c r="Z11" s="709">
        <v>15</v>
      </c>
      <c r="AA11" s="144">
        <f t="shared" si="3"/>
        <v>15</v>
      </c>
      <c r="AB11" s="664">
        <v>0</v>
      </c>
      <c r="AC11" s="145">
        <f>+(S11-T11)*V11-'data 1'!$F$4</f>
        <v>41.253</v>
      </c>
      <c r="AD11" s="145">
        <f t="shared" si="5"/>
        <v>3.9116768950000007</v>
      </c>
      <c r="AE11" s="145">
        <f t="shared" si="6"/>
        <v>-53.465499999999999</v>
      </c>
      <c r="AF11" s="145">
        <f t="shared" si="7"/>
        <v>2.4867088832500022</v>
      </c>
      <c r="AG11" s="664">
        <v>0</v>
      </c>
      <c r="AH11" s="146">
        <f t="shared" si="8"/>
        <v>7.1716585595253903</v>
      </c>
      <c r="AI11" s="156">
        <f t="shared" si="9"/>
        <v>3.4422486612500007</v>
      </c>
      <c r="AJ11" s="156">
        <f t="shared" si="10"/>
        <v>6.6536414886126405</v>
      </c>
      <c r="AK11" s="88"/>
      <c r="AL11" s="716">
        <f t="shared" si="11"/>
        <v>0</v>
      </c>
      <c r="AO11" s="596"/>
      <c r="AQ11" s="596"/>
    </row>
    <row r="12" spans="1:43" ht="15.75" customHeight="1">
      <c r="A12" s="857" t="s">
        <v>1110</v>
      </c>
      <c r="B12" s="135">
        <v>45612</v>
      </c>
      <c r="C12" s="595">
        <v>45606</v>
      </c>
      <c r="D12" t="s">
        <v>154</v>
      </c>
      <c r="E12" s="142">
        <v>10416085884</v>
      </c>
      <c r="G12" s="80">
        <v>10</v>
      </c>
      <c r="H12" t="s">
        <v>69</v>
      </c>
      <c r="I12" s="596">
        <v>0.93</v>
      </c>
      <c r="J12" s="596">
        <v>6.4</v>
      </c>
      <c r="K12" s="138">
        <f t="shared" si="0"/>
        <v>0.87048000000000003</v>
      </c>
      <c r="L12" s="139">
        <v>0.316</v>
      </c>
      <c r="M12" s="139">
        <v>0.30299999999999999</v>
      </c>
      <c r="N12" s="159">
        <v>0.30299999999999999</v>
      </c>
      <c r="O12" s="139">
        <f t="shared" si="1"/>
        <v>0.30299999999999999</v>
      </c>
      <c r="P12" s="629">
        <v>90</v>
      </c>
      <c r="Q12" s="760">
        <v>89.41</v>
      </c>
      <c r="R12" s="740">
        <v>2624.75</v>
      </c>
      <c r="S12" s="802">
        <v>100</v>
      </c>
      <c r="U12" s="826">
        <v>90</v>
      </c>
      <c r="V12" s="715">
        <v>1.1023000000000001</v>
      </c>
      <c r="Y12" s="751"/>
      <c r="Z12" s="709">
        <v>15</v>
      </c>
      <c r="AA12" s="144">
        <f t="shared" si="3"/>
        <v>15</v>
      </c>
      <c r="AB12" s="145">
        <f t="shared" ref="AB12:AB35" si="12">+((O12*P12*(R12-U12)/100)-S12-AA12+T12)*V12</f>
        <v>635.17427804750002</v>
      </c>
      <c r="AC12" s="145">
        <f>+(S12-T12)*V12-'data 1'!$F$4</f>
        <v>30.230000000000004</v>
      </c>
      <c r="AD12" s="145">
        <f t="shared" si="5"/>
        <v>-5.2092360021700301</v>
      </c>
      <c r="AE12" s="145">
        <f t="shared" si="6"/>
        <v>-53.465499999999999</v>
      </c>
      <c r="AF12" s="145">
        <f t="shared" si="7"/>
        <v>32.476138609752532</v>
      </c>
      <c r="AG12" s="772">
        <f>+IF(D12="RONALD WILLIAN GARIBAY ESCUDERO",AC12+AD12+AE12+AF12+70,AC12+AD12+AE12+AF12)+70-53</f>
        <v>21.031402607582507</v>
      </c>
      <c r="AH12" s="146">
        <f t="shared" si="8"/>
        <v>8.4322028195157266</v>
      </c>
      <c r="AI12" s="156">
        <f t="shared" si="9"/>
        <v>31.221758935970001</v>
      </c>
      <c r="AJ12" s="156">
        <f t="shared" si="10"/>
        <v>8.1386618496286438</v>
      </c>
      <c r="AK12" s="88"/>
      <c r="AL12" s="716">
        <f t="shared" si="11"/>
        <v>552.90650555478783</v>
      </c>
      <c r="AO12" s="596"/>
      <c r="AQ12" s="596"/>
    </row>
    <row r="13" spans="1:43" ht="15.75" customHeight="1">
      <c r="A13" s="857" t="s">
        <v>1111</v>
      </c>
      <c r="B13" s="135">
        <v>45612</v>
      </c>
      <c r="C13" s="595">
        <v>45606</v>
      </c>
      <c r="D13" t="s">
        <v>154</v>
      </c>
      <c r="E13" s="142">
        <v>10416085884</v>
      </c>
      <c r="G13" s="80" t="s">
        <v>68</v>
      </c>
      <c r="H13" t="s">
        <v>69</v>
      </c>
      <c r="I13" s="596">
        <v>26.01</v>
      </c>
      <c r="J13" s="596">
        <v>10.5</v>
      </c>
      <c r="K13" s="138">
        <f t="shared" si="0"/>
        <v>23.278950000000002</v>
      </c>
      <c r="L13" s="139">
        <v>0.13300000000000001</v>
      </c>
      <c r="M13" s="139">
        <v>0.127</v>
      </c>
      <c r="N13" s="149">
        <v>0.13</v>
      </c>
      <c r="O13" s="139">
        <f t="shared" si="1"/>
        <v>0.129</v>
      </c>
      <c r="P13" s="629">
        <v>85</v>
      </c>
      <c r="Q13" s="760">
        <v>89.67</v>
      </c>
      <c r="R13" s="740">
        <v>2624.75</v>
      </c>
      <c r="S13" s="802">
        <v>110</v>
      </c>
      <c r="U13" s="826">
        <v>90</v>
      </c>
      <c r="V13" s="715">
        <v>1.1023000000000001</v>
      </c>
      <c r="Y13" s="868"/>
      <c r="Z13" s="143">
        <f>IF(IF(D13="UNTUCA",IF(+((W13-3)*1.5+(X13-3)*3.1)&gt;0,+((W13-3)*1.5+(X13-3)*3.1),0),IF(+((W13-3)*1.5+(X13-3)*3.1)&gt;0,+((W13-3)*1.5+(X13-3)*3.1),0))&lt;30,30,IF(D13="UNTUCA",IF(+((W13-3)*1.5+(X13-3)*3.1)&gt;0,+((W13-3)*1.5+(X13-3)*3.1),0),IF(+((W13-3)*1.5+(X13-3)*3.1)&gt;0,+((W13-3)*1.5+(X13-3)*3.1),0)))</f>
        <v>30</v>
      </c>
      <c r="AA13" s="144">
        <f t="shared" si="3"/>
        <v>30</v>
      </c>
      <c r="AB13" s="145">
        <f t="shared" si="12"/>
        <v>152.04612252625</v>
      </c>
      <c r="AC13" s="145">
        <f>+(S13-T13)*V13-'data 1'!$F$4</f>
        <v>41.253</v>
      </c>
      <c r="AD13" s="145">
        <f t="shared" si="5"/>
        <v>17.354154544667509</v>
      </c>
      <c r="AE13" s="145">
        <f t="shared" si="6"/>
        <v>-36.930999999999997</v>
      </c>
      <c r="AF13" s="145">
        <f t="shared" si="7"/>
        <v>10.021716204990009</v>
      </c>
      <c r="AG13" s="772">
        <f>+IF(D13="RONALD WILLIAN GARIBAY ESCUDERO",AC13+AD13+AE13+AF13+70,AC13+AD13+AE13+AF13)+70-53</f>
        <v>48.697870749657511</v>
      </c>
      <c r="AH13" s="146">
        <f t="shared" si="8"/>
        <v>95.185603440934827</v>
      </c>
      <c r="AI13" s="156">
        <f t="shared" si="9"/>
        <v>13.179016430632503</v>
      </c>
      <c r="AJ13" s="156">
        <f t="shared" si="10"/>
        <v>87.514717014168951</v>
      </c>
      <c r="AK13" s="88"/>
      <c r="AL13" s="716">
        <f t="shared" si="11"/>
        <v>3539.4740839824476</v>
      </c>
      <c r="AO13" s="596"/>
      <c r="AQ13" s="596"/>
    </row>
    <row r="14" spans="1:43" ht="15.75" customHeight="1">
      <c r="A14" s="857" t="s">
        <v>1118</v>
      </c>
      <c r="B14" s="135">
        <v>45616</v>
      </c>
      <c r="C14" s="595">
        <v>45608</v>
      </c>
      <c r="D14" t="s">
        <v>1048</v>
      </c>
      <c r="E14" s="715">
        <v>20611424541</v>
      </c>
      <c r="G14" s="80" t="s">
        <v>68</v>
      </c>
      <c r="H14" t="s">
        <v>69</v>
      </c>
      <c r="I14" s="596">
        <v>11.93</v>
      </c>
      <c r="J14" s="596">
        <v>3.45</v>
      </c>
      <c r="K14" s="138">
        <f t="shared" si="0"/>
        <v>11.518414999999999</v>
      </c>
      <c r="L14" s="139">
        <v>0.39200000000000002</v>
      </c>
      <c r="M14" s="139">
        <v>0.38</v>
      </c>
      <c r="N14" s="159">
        <v>0.38</v>
      </c>
      <c r="O14" s="139">
        <f t="shared" si="1"/>
        <v>0.38</v>
      </c>
      <c r="P14" s="629">
        <v>90</v>
      </c>
      <c r="Q14" s="760">
        <v>89.56</v>
      </c>
      <c r="R14" s="706">
        <v>2606.85</v>
      </c>
      <c r="S14" s="842">
        <f>-8+100</f>
        <v>92</v>
      </c>
      <c r="U14" s="828">
        <v>80</v>
      </c>
      <c r="V14" s="715">
        <v>1.1023000000000001</v>
      </c>
      <c r="Y14" s="751"/>
      <c r="Z14" s="709">
        <v>22</v>
      </c>
      <c r="AA14" s="144">
        <f t="shared" si="3"/>
        <v>22</v>
      </c>
      <c r="AB14" s="145">
        <f t="shared" si="12"/>
        <v>826.92639021000014</v>
      </c>
      <c r="AC14" s="145">
        <f>+(S14-T14)*V14-'data 1'!$F$4</f>
        <v>21.411600000000007</v>
      </c>
      <c r="AD14" s="145">
        <f t="shared" si="5"/>
        <v>-4.8041660830239756</v>
      </c>
      <c r="AE14" s="145">
        <f t="shared" si="6"/>
        <v>-45.749399999999994</v>
      </c>
      <c r="AF14" s="145">
        <f t="shared" si="7"/>
        <v>29.934678645336032</v>
      </c>
      <c r="AG14" s="772">
        <f t="shared" ref="AG14:AG30" si="13">+IF(D14="RONALD WILLIAN GARIBAY ESCUDERO",AC14+AD14+AE14+AF14+70,AC14+AD14+AE14+AF14)+70+8</f>
        <v>78.792712562312062</v>
      </c>
      <c r="AH14" s="146">
        <f t="shared" si="8"/>
        <v>138.6442756088405</v>
      </c>
      <c r="AI14" s="156">
        <f t="shared" si="9"/>
        <v>41.852989368624037</v>
      </c>
      <c r="AJ14" s="156">
        <f t="shared" si="10"/>
        <v>135.06035817461174</v>
      </c>
      <c r="AK14" s="88"/>
      <c r="AL14" s="716">
        <f t="shared" si="11"/>
        <v>9524.8813368907176</v>
      </c>
      <c r="AO14" s="596"/>
      <c r="AQ14" s="596"/>
    </row>
    <row r="15" spans="1:43" ht="15.75" customHeight="1">
      <c r="A15" s="857" t="s">
        <v>1120</v>
      </c>
      <c r="B15" s="135">
        <v>45616</v>
      </c>
      <c r="C15" s="595">
        <v>45608</v>
      </c>
      <c r="D15" t="s">
        <v>1048</v>
      </c>
      <c r="E15" s="614">
        <v>20611424541</v>
      </c>
      <c r="G15" s="80" t="s">
        <v>68</v>
      </c>
      <c r="H15" t="s">
        <v>69</v>
      </c>
      <c r="I15" s="596">
        <v>14.54</v>
      </c>
      <c r="J15" s="596">
        <v>2</v>
      </c>
      <c r="K15" s="138">
        <f t="shared" si="0"/>
        <v>14.249199999999998</v>
      </c>
      <c r="L15" s="139">
        <v>0.25800000000000001</v>
      </c>
      <c r="M15" s="139">
        <v>0.248</v>
      </c>
      <c r="N15" s="159">
        <v>0.248</v>
      </c>
      <c r="O15" s="139">
        <f t="shared" si="1"/>
        <v>0.248</v>
      </c>
      <c r="P15" s="629">
        <v>90</v>
      </c>
      <c r="Q15" s="760">
        <v>89.29</v>
      </c>
      <c r="R15" s="706">
        <v>2606.85</v>
      </c>
      <c r="S15" s="842">
        <f>-8+95</f>
        <v>87</v>
      </c>
      <c r="U15" s="828">
        <v>80</v>
      </c>
      <c r="V15" s="715">
        <v>1.1023000000000001</v>
      </c>
      <c r="Y15" s="751"/>
      <c r="Z15" s="709">
        <v>22</v>
      </c>
      <c r="AA15" s="144">
        <f t="shared" si="3"/>
        <v>22</v>
      </c>
      <c r="AB15" s="145">
        <f t="shared" si="12"/>
        <v>501.53869571600006</v>
      </c>
      <c r="AC15" s="145">
        <f>+(S15-T15)*V15-'data 1'!$F$4</f>
        <v>15.900100000000009</v>
      </c>
      <c r="AD15" s="145">
        <f t="shared" si="5"/>
        <v>-5.1021981858089553</v>
      </c>
      <c r="AE15" s="145">
        <f t="shared" si="6"/>
        <v>-45.749399999999994</v>
      </c>
      <c r="AF15" s="145">
        <f t="shared" si="7"/>
        <v>24.870361175395022</v>
      </c>
      <c r="AG15" s="772">
        <f t="shared" si="13"/>
        <v>67.918862989586074</v>
      </c>
      <c r="AH15" s="146">
        <f t="shared" si="8"/>
        <v>112.54393101166005</v>
      </c>
      <c r="AI15" s="156">
        <f t="shared" si="9"/>
        <v>27.463055850909026</v>
      </c>
      <c r="AJ15" s="156">
        <f t="shared" si="10"/>
        <v>109.04198323293978</v>
      </c>
      <c r="AK15" s="88"/>
      <c r="AL15" s="716">
        <f t="shared" si="11"/>
        <v>7146.5251829964272</v>
      </c>
    </row>
    <row r="16" spans="1:43" ht="15.75" customHeight="1">
      <c r="A16" s="857" t="s">
        <v>1121</v>
      </c>
      <c r="B16" s="135">
        <v>45616</v>
      </c>
      <c r="C16" s="595">
        <v>45608</v>
      </c>
      <c r="D16" t="s">
        <v>1048</v>
      </c>
      <c r="E16" s="715">
        <v>20611424541</v>
      </c>
      <c r="G16" s="80" t="s">
        <v>68</v>
      </c>
      <c r="H16" t="s">
        <v>69</v>
      </c>
      <c r="I16" s="596">
        <v>10.87</v>
      </c>
      <c r="J16" s="596">
        <v>3.45</v>
      </c>
      <c r="K16" s="138">
        <f t="shared" si="0"/>
        <v>10.494985</v>
      </c>
      <c r="L16" s="139">
        <v>0.39200000000000002</v>
      </c>
      <c r="M16" s="139">
        <v>0.38</v>
      </c>
      <c r="N16" s="159">
        <v>0.38</v>
      </c>
      <c r="O16" s="139">
        <f t="shared" si="1"/>
        <v>0.38</v>
      </c>
      <c r="P16" s="629">
        <v>90</v>
      </c>
      <c r="Q16" s="760">
        <v>89.56</v>
      </c>
      <c r="R16" s="706">
        <v>2606.85</v>
      </c>
      <c r="S16" s="842">
        <f>-8+100</f>
        <v>92</v>
      </c>
      <c r="U16" s="828">
        <v>80</v>
      </c>
      <c r="V16" s="715">
        <v>1.1023000000000001</v>
      </c>
      <c r="Y16" s="751"/>
      <c r="Z16" s="709">
        <v>22</v>
      </c>
      <c r="AA16" s="144">
        <f t="shared" si="3"/>
        <v>22</v>
      </c>
      <c r="AB16" s="145">
        <f t="shared" si="12"/>
        <v>826.92639021000014</v>
      </c>
      <c r="AC16" s="145">
        <f>+(S16-T16)*V16-'data 1'!$F$4</f>
        <v>21.411600000000007</v>
      </c>
      <c r="AD16" s="145">
        <f t="shared" si="5"/>
        <v>-4.8041660830239756</v>
      </c>
      <c r="AE16" s="145">
        <f t="shared" si="6"/>
        <v>-45.749399999999994</v>
      </c>
      <c r="AF16" s="145">
        <f t="shared" si="7"/>
        <v>29.934678645336032</v>
      </c>
      <c r="AG16" s="772">
        <f t="shared" si="13"/>
        <v>78.792712562312062</v>
      </c>
      <c r="AH16" s="146">
        <f t="shared" si="8"/>
        <v>126.32550510210363</v>
      </c>
      <c r="AI16" s="156">
        <f t="shared" si="9"/>
        <v>41.852989368624037</v>
      </c>
      <c r="AJ16" s="156">
        <f t="shared" si="10"/>
        <v>123.06002458994381</v>
      </c>
      <c r="AK16" s="88"/>
      <c r="AL16" s="716">
        <f t="shared" si="11"/>
        <v>8678.5800613580977</v>
      </c>
    </row>
    <row r="17" spans="1:43" ht="15.75" customHeight="1">
      <c r="A17" s="857" t="s">
        <v>1122</v>
      </c>
      <c r="B17" s="135">
        <v>45616</v>
      </c>
      <c r="C17" s="595">
        <v>45608</v>
      </c>
      <c r="D17" t="s">
        <v>1048</v>
      </c>
      <c r="E17" s="614">
        <v>20611424541</v>
      </c>
      <c r="G17" s="80" t="s">
        <v>68</v>
      </c>
      <c r="H17" t="s">
        <v>69</v>
      </c>
      <c r="I17" s="596">
        <v>25.63</v>
      </c>
      <c r="J17" s="596">
        <v>2</v>
      </c>
      <c r="K17" s="138">
        <f t="shared" si="0"/>
        <v>25.1174</v>
      </c>
      <c r="L17" s="139">
        <v>0.40300000000000002</v>
      </c>
      <c r="M17" s="139">
        <v>0.39100000000000001</v>
      </c>
      <c r="N17" s="159">
        <v>0.39100000000000001</v>
      </c>
      <c r="O17" s="139">
        <f t="shared" si="1"/>
        <v>0.39100000000000001</v>
      </c>
      <c r="P17" s="629">
        <v>90</v>
      </c>
      <c r="Q17" s="760">
        <v>89.47</v>
      </c>
      <c r="R17" s="706">
        <v>2606.85</v>
      </c>
      <c r="S17" s="842">
        <f>-8+100</f>
        <v>92</v>
      </c>
      <c r="U17" s="828">
        <v>80</v>
      </c>
      <c r="V17" s="715">
        <v>1.1023000000000001</v>
      </c>
      <c r="Y17" s="751"/>
      <c r="Z17" s="709">
        <v>22</v>
      </c>
      <c r="AA17" s="144">
        <f t="shared" si="3"/>
        <v>22</v>
      </c>
      <c r="AB17" s="145">
        <f t="shared" si="12"/>
        <v>854.50132308449997</v>
      </c>
      <c r="AC17" s="145">
        <f>+(S17-T17)*V17-'data 1'!$F$4</f>
        <v>21.411600000000007</v>
      </c>
      <c r="AD17" s="145">
        <f t="shared" si="5"/>
        <v>-5.9492221340045139</v>
      </c>
      <c r="AE17" s="145">
        <f t="shared" si="6"/>
        <v>-45.749399999999994</v>
      </c>
      <c r="AF17" s="145">
        <f t="shared" si="7"/>
        <v>29.904596900382032</v>
      </c>
      <c r="AG17" s="772">
        <f t="shared" si="13"/>
        <v>77.61757476637753</v>
      </c>
      <c r="AH17" s="146">
        <f t="shared" si="8"/>
        <v>310.50331033700104</v>
      </c>
      <c r="AI17" s="156">
        <f t="shared" si="9"/>
        <v>42.984196673554543</v>
      </c>
      <c r="AJ17" s="156">
        <f t="shared" si="10"/>
        <v>303.04213566350796</v>
      </c>
      <c r="AK17" s="88"/>
      <c r="AL17" s="716">
        <f t="shared" si="11"/>
        <v>21462.851532442619</v>
      </c>
    </row>
    <row r="18" spans="1:43" ht="15.75" customHeight="1">
      <c r="A18" s="857" t="s">
        <v>1123</v>
      </c>
      <c r="B18" s="135">
        <v>45616</v>
      </c>
      <c r="C18" s="595">
        <v>45608</v>
      </c>
      <c r="D18" t="s">
        <v>1048</v>
      </c>
      <c r="E18" s="614">
        <v>20611424541</v>
      </c>
      <c r="G18" s="80" t="s">
        <v>68</v>
      </c>
      <c r="H18" t="s">
        <v>69</v>
      </c>
      <c r="I18" s="596">
        <v>24.65</v>
      </c>
      <c r="J18" s="596">
        <v>2</v>
      </c>
      <c r="K18" s="138">
        <f t="shared" si="0"/>
        <v>24.157</v>
      </c>
      <c r="L18" s="139">
        <v>0.32500000000000001</v>
      </c>
      <c r="M18" s="139">
        <v>0.312</v>
      </c>
      <c r="N18" s="159">
        <v>0.312</v>
      </c>
      <c r="O18" s="139">
        <f t="shared" si="1"/>
        <v>0.312</v>
      </c>
      <c r="P18" s="629">
        <v>90</v>
      </c>
      <c r="Q18" s="760">
        <v>89.53</v>
      </c>
      <c r="R18" s="706">
        <v>2606.85</v>
      </c>
      <c r="S18" s="842">
        <f>-8+100</f>
        <v>92</v>
      </c>
      <c r="U18" s="828">
        <v>80</v>
      </c>
      <c r="V18" s="715">
        <v>1.1023000000000001</v>
      </c>
      <c r="Y18" s="751"/>
      <c r="Z18" s="709">
        <v>22</v>
      </c>
      <c r="AA18" s="144">
        <f t="shared" si="3"/>
        <v>22</v>
      </c>
      <c r="AB18" s="145">
        <f t="shared" si="12"/>
        <v>656.46316880399991</v>
      </c>
      <c r="AC18" s="145">
        <f>+(S18-T18)*V18-'data 1'!$F$4</f>
        <v>21.411600000000007</v>
      </c>
      <c r="AD18" s="145">
        <f t="shared" si="5"/>
        <v>-4.2546171682624898</v>
      </c>
      <c r="AE18" s="145">
        <f t="shared" si="6"/>
        <v>-45.749399999999994</v>
      </c>
      <c r="AF18" s="145">
        <f t="shared" si="7"/>
        <v>32.41837234676953</v>
      </c>
      <c r="AG18" s="772">
        <f t="shared" si="13"/>
        <v>81.825955178507058</v>
      </c>
      <c r="AH18" s="146">
        <f t="shared" si="8"/>
        <v>240.99277028176451</v>
      </c>
      <c r="AI18" s="156">
        <f t="shared" si="9"/>
        <v>34.687921417012532</v>
      </c>
      <c r="AJ18" s="156">
        <f t="shared" si="10"/>
        <v>232.56757904997707</v>
      </c>
      <c r="AK18" s="88"/>
      <c r="AL18" s="716">
        <f t="shared" si="11"/>
        <v>15858.180768798225</v>
      </c>
    </row>
    <row r="19" spans="1:43" ht="15.75" customHeight="1">
      <c r="A19" s="857" t="s">
        <v>1124</v>
      </c>
      <c r="B19" s="135">
        <v>45616</v>
      </c>
      <c r="C19" s="595">
        <v>45608</v>
      </c>
      <c r="D19" t="s">
        <v>1048</v>
      </c>
      <c r="E19" s="614">
        <v>20611424541</v>
      </c>
      <c r="G19" s="80" t="s">
        <v>68</v>
      </c>
      <c r="H19" t="s">
        <v>69</v>
      </c>
      <c r="I19" s="596">
        <v>25.86</v>
      </c>
      <c r="J19" s="596">
        <v>2.5</v>
      </c>
      <c r="K19" s="138">
        <f t="shared" si="0"/>
        <v>25.2135</v>
      </c>
      <c r="L19" s="139">
        <v>0.26</v>
      </c>
      <c r="M19" s="139">
        <v>0.25</v>
      </c>
      <c r="N19" s="159">
        <v>0.25</v>
      </c>
      <c r="O19" s="139">
        <f t="shared" si="1"/>
        <v>0.25</v>
      </c>
      <c r="P19" s="629">
        <v>90</v>
      </c>
      <c r="Q19" s="760">
        <v>89.28</v>
      </c>
      <c r="R19" s="706">
        <v>2606.85</v>
      </c>
      <c r="S19" s="842">
        <f>-8+95</f>
        <v>87</v>
      </c>
      <c r="U19" s="828">
        <v>80</v>
      </c>
      <c r="V19" s="715">
        <v>1.1023000000000001</v>
      </c>
      <c r="Y19" s="751"/>
      <c r="Z19" s="709">
        <v>22</v>
      </c>
      <c r="AA19" s="144">
        <f t="shared" si="3"/>
        <v>22</v>
      </c>
      <c r="AB19" s="145">
        <f t="shared" si="12"/>
        <v>506.55231987500002</v>
      </c>
      <c r="AC19" s="145">
        <f>+(S19-T19)*V19-'data 1'!$F$4</f>
        <v>15.900100000000009</v>
      </c>
      <c r="AD19" s="145">
        <f t="shared" si="5"/>
        <v>-5.2141691253599927</v>
      </c>
      <c r="AE19" s="145">
        <f t="shared" si="6"/>
        <v>-45.749399999999994</v>
      </c>
      <c r="AF19" s="145">
        <f t="shared" si="7"/>
        <v>24.867575828640025</v>
      </c>
      <c r="AG19" s="772">
        <f t="shared" si="13"/>
        <v>67.804106703280041</v>
      </c>
      <c r="AH19" s="146">
        <f t="shared" si="8"/>
        <v>200.66412472373722</v>
      </c>
      <c r="AI19" s="156">
        <f t="shared" si="9"/>
        <v>27.672848199360029</v>
      </c>
      <c r="AJ19" s="156">
        <f t="shared" si="10"/>
        <v>194.5022921097019</v>
      </c>
      <c r="AK19" s="88"/>
      <c r="AL19" s="716">
        <f t="shared" si="11"/>
        <v>12771.956917168312</v>
      </c>
    </row>
    <row r="20" spans="1:43" ht="15.75" customHeight="1">
      <c r="A20" s="857" t="s">
        <v>1125</v>
      </c>
      <c r="B20" s="135">
        <v>45616</v>
      </c>
      <c r="C20" s="595">
        <v>45608</v>
      </c>
      <c r="D20" t="s">
        <v>1048</v>
      </c>
      <c r="E20" s="715">
        <v>20611424541</v>
      </c>
      <c r="G20" s="80" t="s">
        <v>68</v>
      </c>
      <c r="H20" t="s">
        <v>69</v>
      </c>
      <c r="I20" s="596">
        <v>19.57</v>
      </c>
      <c r="J20" s="596">
        <v>2.6</v>
      </c>
      <c r="K20" s="138">
        <f t="shared" si="0"/>
        <v>19.06118</v>
      </c>
      <c r="L20" s="139">
        <v>0.371</v>
      </c>
      <c r="M20" s="139">
        <v>0.35599999999999998</v>
      </c>
      <c r="N20" s="159">
        <v>0.35599999999999998</v>
      </c>
      <c r="O20" s="139">
        <f t="shared" si="1"/>
        <v>0.35599999999999998</v>
      </c>
      <c r="P20" s="629">
        <v>90</v>
      </c>
      <c r="Q20" s="760">
        <v>89.93</v>
      </c>
      <c r="R20" s="706">
        <v>2606.85</v>
      </c>
      <c r="S20" s="842">
        <f>-8+100</f>
        <v>92</v>
      </c>
      <c r="U20" s="828">
        <v>80</v>
      </c>
      <c r="V20" s="715">
        <v>1.1023000000000001</v>
      </c>
      <c r="Y20" s="751"/>
      <c r="Z20" s="709">
        <v>22</v>
      </c>
      <c r="AA20" s="144">
        <f t="shared" si="3"/>
        <v>22</v>
      </c>
      <c r="AB20" s="145">
        <f t="shared" si="12"/>
        <v>766.76290030199993</v>
      </c>
      <c r="AC20" s="145">
        <f>+(S20-T20)*V20-'data 1'!$F$4</f>
        <v>21.411600000000007</v>
      </c>
      <c r="AD20" s="145">
        <f t="shared" si="5"/>
        <v>-0.72335455227342949</v>
      </c>
      <c r="AE20" s="145">
        <f t="shared" si="6"/>
        <v>-45.749399999999994</v>
      </c>
      <c r="AF20" s="145">
        <f t="shared" si="7"/>
        <v>37.572935051572536</v>
      </c>
      <c r="AG20" s="772">
        <f t="shared" si="13"/>
        <v>90.511780499299121</v>
      </c>
      <c r="AH20" s="146">
        <f t="shared" si="8"/>
        <v>218.04059317186949</v>
      </c>
      <c r="AI20" s="156">
        <f t="shared" si="9"/>
        <v>39.774509645923537</v>
      </c>
      <c r="AJ20" s="156">
        <f t="shared" si="10"/>
        <v>209.38779293828404</v>
      </c>
      <c r="AK20" s="88"/>
      <c r="AL20" s="716">
        <f t="shared" si="11"/>
        <v>14615.405659978474</v>
      </c>
    </row>
    <row r="21" spans="1:43" ht="15.75" customHeight="1">
      <c r="A21" s="857" t="s">
        <v>1126</v>
      </c>
      <c r="B21" s="135">
        <v>45616</v>
      </c>
      <c r="C21" s="595">
        <v>45608</v>
      </c>
      <c r="D21" t="s">
        <v>1048</v>
      </c>
      <c r="E21" s="715">
        <v>20611424541</v>
      </c>
      <c r="G21" s="80" t="s">
        <v>68</v>
      </c>
      <c r="H21" t="s">
        <v>69</v>
      </c>
      <c r="I21" s="596">
        <v>16.399999999999999</v>
      </c>
      <c r="J21" s="596">
        <v>1.1000000000000001</v>
      </c>
      <c r="K21" s="138">
        <f t="shared" si="0"/>
        <v>16.2196</v>
      </c>
      <c r="L21" s="139">
        <v>0.443</v>
      </c>
      <c r="M21" s="139">
        <v>0.42499999999999999</v>
      </c>
      <c r="N21" s="159">
        <v>0.42499999999999999</v>
      </c>
      <c r="O21" s="139">
        <f t="shared" si="1"/>
        <v>0.42499999999999999</v>
      </c>
      <c r="P21" s="629">
        <v>90</v>
      </c>
      <c r="Q21" s="760">
        <v>89.8</v>
      </c>
      <c r="R21" s="706">
        <v>2606.85</v>
      </c>
      <c r="S21" s="842">
        <f>-8+110</f>
        <v>102</v>
      </c>
      <c r="U21" s="828">
        <v>80</v>
      </c>
      <c r="V21" s="715">
        <v>1.1023000000000001</v>
      </c>
      <c r="Y21" s="751"/>
      <c r="Z21" s="709">
        <v>22</v>
      </c>
      <c r="AA21" s="144">
        <f t="shared" si="3"/>
        <v>22</v>
      </c>
      <c r="AB21" s="145">
        <f t="shared" si="12"/>
        <v>928.70993378750006</v>
      </c>
      <c r="AC21" s="145">
        <f>+(S21-T21)*V21-'data 1'!$F$4</f>
        <v>32.434600000000003</v>
      </c>
      <c r="AD21" s="145">
        <f t="shared" si="5"/>
        <v>-2.4678172249300352</v>
      </c>
      <c r="AE21" s="145">
        <f t="shared" si="6"/>
        <v>-45.749399999999994</v>
      </c>
      <c r="AF21" s="145">
        <f t="shared" si="7"/>
        <v>45.022344947820038</v>
      </c>
      <c r="AG21" s="772">
        <f t="shared" si="13"/>
        <v>107.23972772289001</v>
      </c>
      <c r="AH21" s="146">
        <f t="shared" si="8"/>
        <v>221.22248772419752</v>
      </c>
      <c r="AI21" s="156">
        <f t="shared" si="9"/>
        <v>47.424896753430041</v>
      </c>
      <c r="AJ21" s="156">
        <f t="shared" si="10"/>
        <v>212.70644460603589</v>
      </c>
      <c r="AK21" s="88"/>
      <c r="AL21" s="716">
        <f t="shared" si="11"/>
        <v>15063.303642059736</v>
      </c>
    </row>
    <row r="22" spans="1:43" s="762" customFormat="1" ht="15.75" customHeight="1">
      <c r="A22" s="857" t="s">
        <v>1127</v>
      </c>
      <c r="B22" s="135">
        <v>45616</v>
      </c>
      <c r="C22" s="595">
        <v>45608</v>
      </c>
      <c r="D22" t="s">
        <v>1048</v>
      </c>
      <c r="E22" s="715">
        <v>20611424541</v>
      </c>
      <c r="F22"/>
      <c r="G22" s="80" t="s">
        <v>68</v>
      </c>
      <c r="H22" t="s">
        <v>69</v>
      </c>
      <c r="I22" s="596">
        <v>17.079999999999998</v>
      </c>
      <c r="J22" s="596">
        <v>2.9</v>
      </c>
      <c r="K22" s="138">
        <f t="shared" si="0"/>
        <v>16.584679999999999</v>
      </c>
      <c r="L22" s="139">
        <v>0.36299999999999999</v>
      </c>
      <c r="M22" s="139">
        <v>0.34799999999999998</v>
      </c>
      <c r="N22" s="159">
        <v>0.34799999999999998</v>
      </c>
      <c r="O22" s="139">
        <f t="shared" si="1"/>
        <v>0.34799999999999998</v>
      </c>
      <c r="P22" s="629">
        <v>90</v>
      </c>
      <c r="Q22" s="760">
        <v>89.52</v>
      </c>
      <c r="R22" s="706">
        <v>2606.85</v>
      </c>
      <c r="S22" s="842">
        <f>-8+100</f>
        <v>92</v>
      </c>
      <c r="T22"/>
      <c r="U22" s="828">
        <v>80</v>
      </c>
      <c r="V22" s="715">
        <v>1.1023000000000001</v>
      </c>
      <c r="W22"/>
      <c r="X22"/>
      <c r="Y22" s="751"/>
      <c r="Z22" s="709">
        <v>22</v>
      </c>
      <c r="AA22" s="144">
        <f t="shared" si="3"/>
        <v>22</v>
      </c>
      <c r="AB22" s="145">
        <f t="shared" si="12"/>
        <v>746.70840366599998</v>
      </c>
      <c r="AC22" s="145">
        <f>+(S22-T22)*V22-'data 1'!$F$4</f>
        <v>21.411600000000007</v>
      </c>
      <c r="AD22" s="145">
        <f t="shared" si="5"/>
        <v>-4.8531881859120398</v>
      </c>
      <c r="AE22" s="145">
        <f t="shared" si="6"/>
        <v>-45.749399999999994</v>
      </c>
      <c r="AF22" s="145">
        <f t="shared" si="7"/>
        <v>37.401636226140027</v>
      </c>
      <c r="AG22" s="772">
        <f t="shared" si="13"/>
        <v>86.210648040227994</v>
      </c>
      <c r="AH22" s="146">
        <f t="shared" si="8"/>
        <v>184.77485242581486</v>
      </c>
      <c r="AI22" s="156">
        <f t="shared" si="9"/>
        <v>38.73941246221203</v>
      </c>
      <c r="AJ22" s="156">
        <f t="shared" si="10"/>
        <v>178.08933774672514</v>
      </c>
      <c r="AK22" s="88"/>
      <c r="AL22" s="716">
        <f t="shared" si="11"/>
        <v>12383.919928111436</v>
      </c>
      <c r="AO22"/>
      <c r="AP22"/>
      <c r="AQ22"/>
    </row>
    <row r="23" spans="1:43" s="762" customFormat="1" ht="15.75" customHeight="1">
      <c r="A23" s="857" t="s">
        <v>1128</v>
      </c>
      <c r="B23" s="135">
        <v>45641</v>
      </c>
      <c r="C23" s="595">
        <v>45608</v>
      </c>
      <c r="D23" t="s">
        <v>1060</v>
      </c>
      <c r="E23" s="6">
        <v>20606094010</v>
      </c>
      <c r="F23"/>
      <c r="G23" s="80">
        <v>55</v>
      </c>
      <c r="H23" t="s">
        <v>69</v>
      </c>
      <c r="I23" s="596">
        <v>4.43</v>
      </c>
      <c r="J23" s="596">
        <v>1.1000000000000001</v>
      </c>
      <c r="K23" s="138">
        <f t="shared" si="0"/>
        <v>4.3812699999999998</v>
      </c>
      <c r="L23" s="139">
        <v>0.52500000000000002</v>
      </c>
      <c r="M23" s="139">
        <v>0.504</v>
      </c>
      <c r="N23" s="159">
        <v>0.504</v>
      </c>
      <c r="O23" s="139">
        <f t="shared" si="1"/>
        <v>0.504</v>
      </c>
      <c r="P23" s="629">
        <v>90</v>
      </c>
      <c r="Q23" s="760">
        <v>89.4</v>
      </c>
      <c r="R23" s="706">
        <v>2606.85</v>
      </c>
      <c r="S23" s="839">
        <f>130</f>
        <v>130</v>
      </c>
      <c r="T23"/>
      <c r="U23" s="828">
        <v>100</v>
      </c>
      <c r="V23" s="715">
        <v>1.1023000000000001</v>
      </c>
      <c r="W23"/>
      <c r="X23"/>
      <c r="Y23" s="163">
        <v>10</v>
      </c>
      <c r="Z23" s="143">
        <f>IF(IF(D23="UNTUCA",IF(+((W23-3)*1.5+(X23-3)*3.1)&gt;0,+((W23-3)*1.5+(X23-3)*3.1),0),IF(+((W23-3)*1.5+(X23-3)*3.1)&gt;0,+((W23-3)*1.5+(X23-3)*3.1),0))&lt;30,30,IF(D23="UNTUCA",IF(+((W23-3)*1.5+(X23-3)*3.1)&gt;0,+((W23-3)*1.5+(X23-3)*3.1),0),IF(+((W23-3)*1.5+(X23-3)*3.1)&gt;0,+((W23-3)*1.5+(X23-3)*3.1),0)))</f>
        <v>30</v>
      </c>
      <c r="AA23" s="144">
        <f t="shared" si="3"/>
        <v>40</v>
      </c>
      <c r="AB23" s="145">
        <f t="shared" si="12"/>
        <v>1066.0422224680001</v>
      </c>
      <c r="AC23" s="145">
        <f>+(S23-T23)*V23-'data 1'!$F$4</f>
        <v>63.299000000000007</v>
      </c>
      <c r="AD23" s="145">
        <f t="shared" si="5"/>
        <v>-8.7043973782499187</v>
      </c>
      <c r="AE23" s="145">
        <f t="shared" si="6"/>
        <v>-25.908000000000001</v>
      </c>
      <c r="AF23" s="145">
        <f t="shared" si="7"/>
        <v>51.87820837437004</v>
      </c>
      <c r="AG23" s="772">
        <f t="shared" si="13"/>
        <v>158.56481099612012</v>
      </c>
      <c r="AH23" s="146">
        <f t="shared" si="8"/>
        <v>70.502725985490855</v>
      </c>
      <c r="AI23" s="156">
        <f t="shared" si="9"/>
        <v>66.300261315750049</v>
      </c>
      <c r="AJ23" s="156">
        <f t="shared" si="10"/>
        <v>68.136862697387144</v>
      </c>
      <c r="AK23" s="88"/>
      <c r="AL23" s="716">
        <f t="shared" si="11"/>
        <v>4670.6188080323745</v>
      </c>
      <c r="AO23"/>
      <c r="AP23"/>
      <c r="AQ23"/>
    </row>
    <row r="24" spans="1:43" s="762" customFormat="1" ht="15.75" customHeight="1">
      <c r="A24" s="857" t="s">
        <v>1129</v>
      </c>
      <c r="B24" s="135">
        <v>45616</v>
      </c>
      <c r="C24" s="595">
        <v>45608</v>
      </c>
      <c r="D24" t="s">
        <v>1048</v>
      </c>
      <c r="E24" s="715">
        <v>20611424541</v>
      </c>
      <c r="F24"/>
      <c r="G24" s="80" t="s">
        <v>68</v>
      </c>
      <c r="H24" t="s">
        <v>69</v>
      </c>
      <c r="I24" s="596">
        <v>19.28</v>
      </c>
      <c r="J24" s="596">
        <v>3.4</v>
      </c>
      <c r="K24" s="138">
        <f t="shared" si="0"/>
        <v>18.624480000000002</v>
      </c>
      <c r="L24" s="139">
        <v>0.35899999999999999</v>
      </c>
      <c r="M24" s="139">
        <v>0.34499999999999997</v>
      </c>
      <c r="N24" s="159">
        <v>0.34499999999999997</v>
      </c>
      <c r="O24" s="139">
        <f t="shared" si="1"/>
        <v>0.34499999999999997</v>
      </c>
      <c r="P24" s="629">
        <v>90</v>
      </c>
      <c r="Q24" s="760">
        <v>89.48</v>
      </c>
      <c r="R24" s="706">
        <v>2606.85</v>
      </c>
      <c r="S24" s="842">
        <f>-8+100</f>
        <v>92</v>
      </c>
      <c r="T24"/>
      <c r="U24" s="828">
        <v>80</v>
      </c>
      <c r="V24" s="715">
        <v>1.1023000000000001</v>
      </c>
      <c r="W24"/>
      <c r="X24"/>
      <c r="Y24" s="751"/>
      <c r="Z24" s="709">
        <v>22</v>
      </c>
      <c r="AA24" s="144">
        <f t="shared" si="3"/>
        <v>22</v>
      </c>
      <c r="AB24" s="145">
        <f t="shared" si="12"/>
        <v>739.18796742749998</v>
      </c>
      <c r="AC24" s="145">
        <f>+(S24-T24)*V24-'data 1'!$F$4</f>
        <v>21.411600000000007</v>
      </c>
      <c r="AD24" s="145">
        <f t="shared" si="5"/>
        <v>-5.199685322233961</v>
      </c>
      <c r="AE24" s="145">
        <f t="shared" si="6"/>
        <v>-45.749399999999994</v>
      </c>
      <c r="AF24" s="145">
        <f t="shared" si="7"/>
        <v>34.892595869236033</v>
      </c>
      <c r="AG24" s="772">
        <f t="shared" si="13"/>
        <v>83.355110547002084</v>
      </c>
      <c r="AH24" s="146">
        <f t="shared" si="8"/>
        <v>205.12266449606167</v>
      </c>
      <c r="AI24" s="156">
        <f t="shared" si="9"/>
        <v>38.295412790334034</v>
      </c>
      <c r="AJ24" s="156">
        <f t="shared" si="10"/>
        <v>198.26900621114856</v>
      </c>
      <c r="AK24" s="88"/>
      <c r="AL24" s="716">
        <f t="shared" si="11"/>
        <v>13766.991515594127</v>
      </c>
      <c r="AO24"/>
      <c r="AP24"/>
      <c r="AQ24"/>
    </row>
    <row r="25" spans="1:43" s="762" customFormat="1" ht="15.75" customHeight="1">
      <c r="A25" s="857" t="s">
        <v>1130</v>
      </c>
      <c r="B25" s="135">
        <v>45616</v>
      </c>
      <c r="C25" s="595">
        <v>45608</v>
      </c>
      <c r="D25" t="s">
        <v>1048</v>
      </c>
      <c r="E25" s="715">
        <v>20611424541</v>
      </c>
      <c r="F25"/>
      <c r="G25" s="80" t="s">
        <v>68</v>
      </c>
      <c r="H25" t="s">
        <v>69</v>
      </c>
      <c r="I25" s="596">
        <v>20.5</v>
      </c>
      <c r="J25" s="596">
        <v>3.6</v>
      </c>
      <c r="K25" s="138">
        <f t="shared" si="0"/>
        <v>19.762</v>
      </c>
      <c r="L25" s="139">
        <v>0.36399999999999999</v>
      </c>
      <c r="M25" s="139">
        <v>0.34899999999999998</v>
      </c>
      <c r="N25" s="159">
        <v>0.34899999999999998</v>
      </c>
      <c r="O25" s="139">
        <f t="shared" si="1"/>
        <v>0.34899999999999998</v>
      </c>
      <c r="P25" s="629">
        <v>90</v>
      </c>
      <c r="Q25" s="760">
        <v>89.36</v>
      </c>
      <c r="R25" s="706">
        <v>2606.85</v>
      </c>
      <c r="S25" s="842">
        <f>-8+100</f>
        <v>92</v>
      </c>
      <c r="T25"/>
      <c r="U25" s="828">
        <v>80</v>
      </c>
      <c r="V25" s="715">
        <v>1.1023000000000001</v>
      </c>
      <c r="W25"/>
      <c r="X25"/>
      <c r="Y25" s="751"/>
      <c r="Z25" s="709">
        <v>22</v>
      </c>
      <c r="AA25" s="144">
        <f t="shared" si="3"/>
        <v>22</v>
      </c>
      <c r="AB25" s="145">
        <f t="shared" si="12"/>
        <v>749.2152157454999</v>
      </c>
      <c r="AC25" s="145">
        <f>+(S25-T25)*V25-'data 1'!$F$4</f>
        <v>21.411600000000007</v>
      </c>
      <c r="AD25" s="145">
        <f t="shared" si="5"/>
        <v>-6.4887438004480051</v>
      </c>
      <c r="AE25" s="145">
        <f t="shared" si="6"/>
        <v>-45.749399999999994</v>
      </c>
      <c r="AF25" s="145">
        <f t="shared" si="7"/>
        <v>37.334787904020033</v>
      </c>
      <c r="AG25" s="772">
        <f t="shared" si="13"/>
        <v>84.508244103572039</v>
      </c>
      <c r="AH25" s="146">
        <f t="shared" si="8"/>
        <v>220.38625649490186</v>
      </c>
      <c r="AI25" s="156">
        <f t="shared" si="9"/>
        <v>38.776702521648033</v>
      </c>
      <c r="AJ25" s="156">
        <f t="shared" si="10"/>
        <v>212.81777611811179</v>
      </c>
      <c r="AK25" s="88"/>
      <c r="AL25" s="716">
        <f t="shared" si="11"/>
        <v>14805.99109356257</v>
      </c>
      <c r="AO25"/>
      <c r="AP25"/>
      <c r="AQ25"/>
    </row>
    <row r="26" spans="1:43" s="762" customFormat="1" ht="15.75" customHeight="1">
      <c r="A26" s="857" t="s">
        <v>1131</v>
      </c>
      <c r="B26" s="135">
        <v>45616</v>
      </c>
      <c r="C26" s="595">
        <v>45608</v>
      </c>
      <c r="D26" t="s">
        <v>1048</v>
      </c>
      <c r="E26" s="614">
        <v>20611424541</v>
      </c>
      <c r="F26"/>
      <c r="G26" s="80" t="s">
        <v>68</v>
      </c>
      <c r="H26" t="s">
        <v>69</v>
      </c>
      <c r="I26" s="596">
        <v>34.86</v>
      </c>
      <c r="J26" s="596">
        <v>2.9</v>
      </c>
      <c r="K26" s="138">
        <f t="shared" si="0"/>
        <v>33.849060000000001</v>
      </c>
      <c r="L26" s="139">
        <v>0.441</v>
      </c>
      <c r="M26" s="139">
        <v>0.42299999999999999</v>
      </c>
      <c r="N26" s="159">
        <v>0.47499999999999998</v>
      </c>
      <c r="O26" s="139">
        <f t="shared" si="1"/>
        <v>0.44900000000000001</v>
      </c>
      <c r="P26" s="629">
        <v>90</v>
      </c>
      <c r="Q26" s="760">
        <v>89.17</v>
      </c>
      <c r="R26" s="706">
        <v>2606.85</v>
      </c>
      <c r="S26" s="842">
        <f>-8+110</f>
        <v>102</v>
      </c>
      <c r="T26"/>
      <c r="U26" s="828">
        <v>80</v>
      </c>
      <c r="V26" s="715">
        <v>1.1023000000000001</v>
      </c>
      <c r="W26"/>
      <c r="X26"/>
      <c r="Y26" s="751"/>
      <c r="Z26" s="709">
        <v>22</v>
      </c>
      <c r="AA26" s="144">
        <f t="shared" si="3"/>
        <v>22</v>
      </c>
      <c r="AB26" s="145">
        <f t="shared" si="12"/>
        <v>988.87342369550026</v>
      </c>
      <c r="AC26" s="145">
        <f>+(S26-T26)*V26-'data 1'!$F$4</f>
        <v>32.434600000000003</v>
      </c>
      <c r="AD26" s="145">
        <f t="shared" si="5"/>
        <v>-10.195204727326479</v>
      </c>
      <c r="AE26" s="145">
        <f t="shared" si="6"/>
        <v>-45.749399999999994</v>
      </c>
      <c r="AF26" s="145">
        <f t="shared" si="7"/>
        <v>-19.86954961146802</v>
      </c>
      <c r="AG26" s="772">
        <f t="shared" si="13"/>
        <v>34.620445661205508</v>
      </c>
      <c r="AH26" s="146">
        <f t="shared" si="8"/>
        <v>456.36574438978664</v>
      </c>
      <c r="AI26" s="156">
        <f t="shared" si="9"/>
        <v>46.879577319676542</v>
      </c>
      <c r="AJ26" s="156">
        <f t="shared" si="10"/>
        <v>468.969428335727</v>
      </c>
      <c r="AK26" s="88"/>
      <c r="AL26" s="716">
        <f t="shared" si="11"/>
        <v>33472.435851074413</v>
      </c>
      <c r="AO26"/>
      <c r="AP26"/>
      <c r="AQ26"/>
    </row>
    <row r="27" spans="1:43" s="762" customFormat="1" ht="15.75" customHeight="1">
      <c r="A27" s="857" t="s">
        <v>1132</v>
      </c>
      <c r="B27" s="135">
        <v>45616</v>
      </c>
      <c r="C27" s="595">
        <v>45608</v>
      </c>
      <c r="D27" t="s">
        <v>1048</v>
      </c>
      <c r="E27" s="614">
        <v>20611424541</v>
      </c>
      <c r="F27"/>
      <c r="G27" s="80" t="s">
        <v>68</v>
      </c>
      <c r="H27" t="s">
        <v>69</v>
      </c>
      <c r="I27" s="596">
        <v>12.69</v>
      </c>
      <c r="J27" s="596">
        <v>2.5</v>
      </c>
      <c r="K27" s="138">
        <f t="shared" si="0"/>
        <v>12.37275</v>
      </c>
      <c r="L27" s="139">
        <v>0.26100000000000001</v>
      </c>
      <c r="M27" s="139">
        <v>0.25</v>
      </c>
      <c r="N27" s="159">
        <v>0.25</v>
      </c>
      <c r="O27" s="139">
        <f t="shared" si="1"/>
        <v>0.25</v>
      </c>
      <c r="P27" s="629">
        <v>90</v>
      </c>
      <c r="Q27" s="760">
        <v>89.35</v>
      </c>
      <c r="R27" s="706">
        <v>2606.85</v>
      </c>
      <c r="S27" s="842">
        <f>-8+95</f>
        <v>87</v>
      </c>
      <c r="T27"/>
      <c r="U27" s="828">
        <v>80</v>
      </c>
      <c r="V27" s="715">
        <v>1.1023000000000001</v>
      </c>
      <c r="W27"/>
      <c r="X27"/>
      <c r="Y27" s="751"/>
      <c r="Z27" s="709">
        <v>22</v>
      </c>
      <c r="AA27" s="144">
        <f t="shared" si="3"/>
        <v>22</v>
      </c>
      <c r="AB27" s="145">
        <f t="shared" si="12"/>
        <v>506.55231987500002</v>
      </c>
      <c r="AC27" s="145">
        <f>+(S27-T27)*V27-'data 1'!$F$4</f>
        <v>15.900100000000009</v>
      </c>
      <c r="AD27" s="145">
        <f t="shared" si="5"/>
        <v>-4.7253407698575414</v>
      </c>
      <c r="AE27" s="145">
        <f t="shared" si="6"/>
        <v>-45.749399999999994</v>
      </c>
      <c r="AF27" s="145">
        <f t="shared" si="7"/>
        <v>27.375780581517525</v>
      </c>
      <c r="AG27" s="772">
        <f t="shared" si="13"/>
        <v>70.801139811659993</v>
      </c>
      <c r="AH27" s="146">
        <f t="shared" si="8"/>
        <v>98.925982276855137</v>
      </c>
      <c r="AI27" s="156">
        <f t="shared" si="9"/>
        <v>27.801062582107523</v>
      </c>
      <c r="AJ27" s="156">
        <f t="shared" si="10"/>
        <v>95.446020374018445</v>
      </c>
      <c r="AK27" s="88"/>
      <c r="AL27" s="716">
        <f t="shared" si="11"/>
        <v>6267.4452157334063</v>
      </c>
      <c r="AO27"/>
      <c r="AP27"/>
      <c r="AQ27"/>
    </row>
    <row r="28" spans="1:43" s="762" customFormat="1" ht="15.75" customHeight="1">
      <c r="A28" s="857" t="s">
        <v>1133</v>
      </c>
      <c r="B28" s="135">
        <v>45616</v>
      </c>
      <c r="C28" s="595">
        <v>45608</v>
      </c>
      <c r="D28" t="s">
        <v>1048</v>
      </c>
      <c r="E28" s="614">
        <v>20611424541</v>
      </c>
      <c r="F28"/>
      <c r="G28" s="80" t="s">
        <v>68</v>
      </c>
      <c r="H28" t="s">
        <v>69</v>
      </c>
      <c r="I28" s="596">
        <v>15.38</v>
      </c>
      <c r="J28" s="596">
        <v>2.2000000000000002</v>
      </c>
      <c r="K28" s="138">
        <f t="shared" si="0"/>
        <v>15.041640000000001</v>
      </c>
      <c r="L28" s="139">
        <v>0.29399999999999998</v>
      </c>
      <c r="M28" s="139">
        <v>0.28499999999999998</v>
      </c>
      <c r="N28" s="159">
        <v>0.28499999999999998</v>
      </c>
      <c r="O28" s="139">
        <f t="shared" si="1"/>
        <v>0.28499999999999998</v>
      </c>
      <c r="P28" s="629">
        <v>90</v>
      </c>
      <c r="Q28" s="760">
        <v>89.6</v>
      </c>
      <c r="R28" s="706">
        <v>2606.85</v>
      </c>
      <c r="S28" s="842">
        <f>-8+95</f>
        <v>87</v>
      </c>
      <c r="T28"/>
      <c r="U28" s="828">
        <v>80</v>
      </c>
      <c r="V28" s="715">
        <v>1.1023000000000001</v>
      </c>
      <c r="W28"/>
      <c r="X28"/>
      <c r="Y28" s="751"/>
      <c r="Z28" s="709">
        <v>22</v>
      </c>
      <c r="AA28" s="144">
        <f t="shared" si="3"/>
        <v>22</v>
      </c>
      <c r="AB28" s="145">
        <f t="shared" si="12"/>
        <v>594.29074265749989</v>
      </c>
      <c r="AC28" s="145">
        <f>+(S28-T28)*V28-'data 1'!$F$4</f>
        <v>15.900100000000009</v>
      </c>
      <c r="AD28" s="145">
        <f t="shared" si="5"/>
        <v>-3.2755677838800468</v>
      </c>
      <c r="AE28" s="145">
        <f t="shared" si="6"/>
        <v>-45.749399999999994</v>
      </c>
      <c r="AF28" s="145">
        <f t="shared" si="7"/>
        <v>22.461036232320016</v>
      </c>
      <c r="AG28" s="772">
        <f t="shared" si="13"/>
        <v>67.336168448439977</v>
      </c>
      <c r="AH28" s="146">
        <f t="shared" si="8"/>
        <v>135.84998650197647</v>
      </c>
      <c r="AI28" s="156">
        <f t="shared" si="9"/>
        <v>31.403761562880021</v>
      </c>
      <c r="AJ28" s="156">
        <f t="shared" si="10"/>
        <v>132.2792210951051</v>
      </c>
      <c r="AK28" s="88"/>
      <c r="AL28" s="716">
        <f t="shared" si="11"/>
        <v>8939.1074063867582</v>
      </c>
      <c r="AO28"/>
      <c r="AP28"/>
      <c r="AQ28"/>
    </row>
    <row r="29" spans="1:43" s="762" customFormat="1" ht="15.75" customHeight="1">
      <c r="A29" s="857" t="s">
        <v>1134</v>
      </c>
      <c r="B29" s="135">
        <v>45616</v>
      </c>
      <c r="C29" s="595">
        <v>45608</v>
      </c>
      <c r="D29" t="s">
        <v>1048</v>
      </c>
      <c r="E29" s="614">
        <v>20611424541</v>
      </c>
      <c r="F29"/>
      <c r="G29" s="80" t="s">
        <v>68</v>
      </c>
      <c r="H29" t="s">
        <v>69</v>
      </c>
      <c r="I29" s="596">
        <v>23.34</v>
      </c>
      <c r="J29" s="596">
        <v>2.15</v>
      </c>
      <c r="K29" s="138">
        <f t="shared" si="0"/>
        <v>22.838190000000001</v>
      </c>
      <c r="L29" s="139">
        <v>0.26500000000000001</v>
      </c>
      <c r="M29" s="139">
        <v>0.254</v>
      </c>
      <c r="N29" s="159">
        <v>0.254</v>
      </c>
      <c r="O29" s="139">
        <f t="shared" si="1"/>
        <v>0.254</v>
      </c>
      <c r="P29" s="629">
        <v>90</v>
      </c>
      <c r="Q29" s="760">
        <v>89.47</v>
      </c>
      <c r="R29" s="706">
        <v>2606.85</v>
      </c>
      <c r="S29" s="842">
        <f>-8+95</f>
        <v>87</v>
      </c>
      <c r="T29"/>
      <c r="U29" s="828">
        <v>80</v>
      </c>
      <c r="V29" s="715">
        <v>1.1023000000000001</v>
      </c>
      <c r="W29"/>
      <c r="X29"/>
      <c r="Y29" s="751"/>
      <c r="Z29" s="709">
        <v>22</v>
      </c>
      <c r="AA29" s="144">
        <f t="shared" si="3"/>
        <v>22</v>
      </c>
      <c r="AB29" s="145">
        <f t="shared" si="12"/>
        <v>516.57956819299989</v>
      </c>
      <c r="AC29" s="145">
        <f>+(S29-T29)*V29-'data 1'!$F$4</f>
        <v>15.900100000000009</v>
      </c>
      <c r="AD29" s="145">
        <f t="shared" si="5"/>
        <v>-3.9120195173975087</v>
      </c>
      <c r="AE29" s="145">
        <f t="shared" si="6"/>
        <v>-45.749399999999994</v>
      </c>
      <c r="AF29" s="145">
        <f t="shared" si="7"/>
        <v>27.412547158683523</v>
      </c>
      <c r="AG29" s="772">
        <f t="shared" si="13"/>
        <v>71.651227641286027</v>
      </c>
      <c r="AH29" s="146">
        <f t="shared" si="8"/>
        <v>185.64961899050388</v>
      </c>
      <c r="AI29" s="156">
        <f t="shared" si="9"/>
        <v>28.265042477647526</v>
      </c>
      <c r="AJ29" s="156">
        <f t="shared" si="10"/>
        <v>178.9975048081013</v>
      </c>
      <c r="AK29" s="88"/>
      <c r="AL29" s="716">
        <f t="shared" si="11"/>
        <v>11797.742328509688</v>
      </c>
      <c r="AO29"/>
      <c r="AP29"/>
      <c r="AQ29"/>
    </row>
    <row r="30" spans="1:43" s="762" customFormat="1" ht="15.75" customHeight="1">
      <c r="A30" s="857" t="s">
        <v>1135</v>
      </c>
      <c r="B30" s="135">
        <v>45616</v>
      </c>
      <c r="C30" s="595">
        <v>45608</v>
      </c>
      <c r="D30" t="s">
        <v>1048</v>
      </c>
      <c r="E30" s="614">
        <v>20611424541</v>
      </c>
      <c r="F30"/>
      <c r="G30" s="80" t="s">
        <v>68</v>
      </c>
      <c r="H30" t="s">
        <v>69</v>
      </c>
      <c r="I30" s="596">
        <v>21.38</v>
      </c>
      <c r="J30" s="596">
        <v>3.1</v>
      </c>
      <c r="K30" s="138">
        <f t="shared" si="0"/>
        <v>20.717219999999998</v>
      </c>
      <c r="L30" s="139">
        <v>0.45700000000000002</v>
      </c>
      <c r="M30" s="139">
        <v>0.443</v>
      </c>
      <c r="N30" s="159">
        <v>0.443</v>
      </c>
      <c r="O30" s="139">
        <f t="shared" si="1"/>
        <v>0.443</v>
      </c>
      <c r="P30" s="629">
        <v>90</v>
      </c>
      <c r="Q30" s="760">
        <v>89.78</v>
      </c>
      <c r="R30" s="706">
        <v>2606.85</v>
      </c>
      <c r="S30" s="842">
        <f>-8+110</f>
        <v>102</v>
      </c>
      <c r="T30"/>
      <c r="U30" s="828">
        <v>80</v>
      </c>
      <c r="V30" s="715">
        <v>1.1023000000000001</v>
      </c>
      <c r="W30"/>
      <c r="X30"/>
      <c r="Y30" s="751"/>
      <c r="Z30" s="709">
        <v>22</v>
      </c>
      <c r="AA30" s="144">
        <f t="shared" si="3"/>
        <v>22</v>
      </c>
      <c r="AB30" s="145">
        <f t="shared" si="12"/>
        <v>973.83255121849982</v>
      </c>
      <c r="AC30" s="145">
        <f>+(S30-T30)*V30-'data 1'!$F$4</f>
        <v>32.434600000000003</v>
      </c>
      <c r="AD30" s="145">
        <f t="shared" si="5"/>
        <v>-2.8003876274769857</v>
      </c>
      <c r="AE30" s="145">
        <f t="shared" si="6"/>
        <v>-45.749399999999994</v>
      </c>
      <c r="AF30" s="145">
        <f t="shared" si="7"/>
        <v>35.009580432946031</v>
      </c>
      <c r="AG30" s="772">
        <f t="shared" si="13"/>
        <v>96.894392805469053</v>
      </c>
      <c r="AH30" s="146">
        <f t="shared" si="8"/>
        <v>291.43140384635996</v>
      </c>
      <c r="AI30" s="156">
        <f t="shared" si="9"/>
        <v>48.912755819277052</v>
      </c>
      <c r="AJ30" s="156">
        <f t="shared" si="10"/>
        <v>283.19578350176596</v>
      </c>
      <c r="AK30" s="88"/>
      <c r="AL30" s="716">
        <f t="shared" si="11"/>
        <v>20175.103206754928</v>
      </c>
      <c r="AO30"/>
      <c r="AP30"/>
      <c r="AQ30"/>
    </row>
    <row r="31" spans="1:43" s="762" customFormat="1" ht="15.75" customHeight="1">
      <c r="A31" s="857" t="s">
        <v>1136</v>
      </c>
      <c r="B31" s="823">
        <v>45609</v>
      </c>
      <c r="C31" s="822">
        <v>45608</v>
      </c>
      <c r="D31" s="821" t="s">
        <v>66</v>
      </c>
      <c r="E31" s="844">
        <v>10457401928</v>
      </c>
      <c r="F31" s="824" t="s">
        <v>1161</v>
      </c>
      <c r="G31" s="713" t="s">
        <v>68</v>
      </c>
      <c r="H31" s="596" t="s">
        <v>69</v>
      </c>
      <c r="I31" s="596">
        <v>37.200000000000003</v>
      </c>
      <c r="J31" s="596">
        <v>10</v>
      </c>
      <c r="K31" s="138">
        <f t="shared" si="0"/>
        <v>33.480000000000004</v>
      </c>
      <c r="L31" s="714">
        <v>0.55200000000000005</v>
      </c>
      <c r="M31" s="714">
        <v>0.52400000000000002</v>
      </c>
      <c r="N31" s="755">
        <v>0.55200000000000005</v>
      </c>
      <c r="O31" s="714">
        <f t="shared" si="1"/>
        <v>0.53800000000000003</v>
      </c>
      <c r="P31" s="753">
        <v>90</v>
      </c>
      <c r="Q31" s="610">
        <v>89.25</v>
      </c>
      <c r="R31" s="754">
        <v>2736.45</v>
      </c>
      <c r="S31" s="713">
        <v>140</v>
      </c>
      <c r="T31" s="677"/>
      <c r="U31" s="864">
        <v>100</v>
      </c>
      <c r="V31" s="715">
        <v>1.1023000000000001</v>
      </c>
      <c r="W31" s="677"/>
      <c r="X31" s="677"/>
      <c r="Y31" s="751"/>
      <c r="Z31" s="143">
        <f>IF(IF(D31="UNTUCA",IF(+((W31-3)*1.5+(X31-3)*3.1)&gt;0,+((W31-3)*1.5+(X31-3)*3.1),0),IF(+((W31-3)*1.5+(X31-3)*3.1)&gt;0,+((W31-3)*1.5+(X31-3)*3.1),0))&lt;30,30,IF(D31="UNTUCA",IF(+((W31-3)*1.5+(X31-3)*3.1)&gt;0,+((W31-3)*1.5+(X31-3)*3.1),0),IF(+((W31-3)*1.5+(X31-3)*3.1)&gt;0,+((W31-3)*1.5+(X31-3)*3.1),0)))</f>
        <v>30</v>
      </c>
      <c r="AA31" s="144">
        <f t="shared" si="3"/>
        <v>30</v>
      </c>
      <c r="AB31" s="145">
        <f t="shared" si="12"/>
        <v>1219.771107907</v>
      </c>
      <c r="AC31" s="145">
        <f>+(S31-T31)*V31-'data 1'!$F$4</f>
        <v>74.322000000000003</v>
      </c>
      <c r="AD31" s="145">
        <f t="shared" si="5"/>
        <v>-12.0314975769</v>
      </c>
      <c r="AE31" s="145">
        <f t="shared" si="6"/>
        <v>-36.930999999999997</v>
      </c>
      <c r="AF31" s="145">
        <f t="shared" si="7"/>
        <v>36.312454643325026</v>
      </c>
      <c r="AG31" s="772">
        <f>+IF(D31="RONALD WILLIAN GARIBAY ESCUDERO",AC31+AD31+AE31+AF31+70,AC31+AD31+AE31+AF31)</f>
        <v>61.67195706642503</v>
      </c>
      <c r="AH31" s="146">
        <f t="shared" si="8"/>
        <v>565.51199498435142</v>
      </c>
      <c r="AI31" s="156">
        <f t="shared" si="9"/>
        <v>-0.78743572109990123</v>
      </c>
      <c r="AJ31" s="156">
        <f t="shared" si="10"/>
        <v>555.800974244759</v>
      </c>
      <c r="AK31" s="676"/>
      <c r="AL31" s="716">
        <f t="shared" si="11"/>
        <v>40837.936692726362</v>
      </c>
      <c r="AO31"/>
      <c r="AP31"/>
      <c r="AQ31"/>
    </row>
    <row r="32" spans="1:43" s="762" customFormat="1" ht="15.75" customHeight="1">
      <c r="A32" s="857" t="s">
        <v>1218</v>
      </c>
      <c r="B32" s="823">
        <v>45609</v>
      </c>
      <c r="C32" s="822">
        <v>45608</v>
      </c>
      <c r="D32" s="821" t="s">
        <v>66</v>
      </c>
      <c r="E32" s="844">
        <v>10457401928</v>
      </c>
      <c r="F32" s="863" t="s">
        <v>1219</v>
      </c>
      <c r="G32" s="713" t="s">
        <v>68</v>
      </c>
      <c r="H32" s="596" t="s">
        <v>69</v>
      </c>
      <c r="I32" s="596">
        <v>17.41</v>
      </c>
      <c r="J32" s="596">
        <v>7</v>
      </c>
      <c r="K32" s="138">
        <f t="shared" si="0"/>
        <v>16.191299999999998</v>
      </c>
      <c r="L32" s="714">
        <v>0.27</v>
      </c>
      <c r="M32" s="714">
        <v>0.25080000000000002</v>
      </c>
      <c r="N32" s="719">
        <v>0.25700000000000001</v>
      </c>
      <c r="O32" s="714">
        <f t="shared" si="1"/>
        <v>0.254</v>
      </c>
      <c r="P32" s="753">
        <v>90</v>
      </c>
      <c r="Q32" s="610">
        <v>89.25</v>
      </c>
      <c r="R32" s="754">
        <v>2732</v>
      </c>
      <c r="S32" s="713">
        <v>110</v>
      </c>
      <c r="T32" s="677"/>
      <c r="U32" s="864">
        <v>100</v>
      </c>
      <c r="V32" s="715">
        <v>1.1023000000000001</v>
      </c>
      <c r="W32" s="677"/>
      <c r="X32" s="677"/>
      <c r="Y32" s="751"/>
      <c r="Z32" s="143">
        <f>IF(IF(D32="UNTUCA",IF(+((W32-3)*1.5+(X32-3)*3.1)&gt;0,+((W32-3)*1.5+(X32-3)*3.1),0),IF(+((W32-3)*1.5+(X32-3)*3.1)&gt;0,+((W32-3)*1.5+(X32-3)*3.1),0))&lt;30,30,IF(D32="UNTUCA",IF(+((W32-3)*1.5+(X32-3)*3.1)&gt;0,+((W32-3)*1.5+(X32-3)*3.1),0),IF(+((W32-3)*1.5+(X32-3)*3.1)&gt;0,+((W32-3)*1.5+(X32-3)*3.1),0)))</f>
        <v>30</v>
      </c>
      <c r="AA32" s="144">
        <f t="shared" si="3"/>
        <v>30</v>
      </c>
      <c r="AB32" s="145">
        <f t="shared" si="12"/>
        <v>508.90457296000005</v>
      </c>
      <c r="AC32" s="145">
        <f>+(S32-T32)*V32-'data 1'!$F$4</f>
        <v>41.253</v>
      </c>
      <c r="AD32" s="145">
        <f t="shared" si="5"/>
        <v>-5.8750385400000003</v>
      </c>
      <c r="AE32" s="145">
        <f t="shared" si="6"/>
        <v>-36.930999999999997</v>
      </c>
      <c r="AF32" s="145">
        <f t="shared" si="7"/>
        <v>41.429901408000042</v>
      </c>
      <c r="AG32" s="772">
        <f>+IF(D32="RONALD WILLIAN GARIBAY ESCUDERO",AC32+AD32+AE32+AF32+70,AC32+AD32+AE32+AF32)</f>
        <v>39.876862868000046</v>
      </c>
      <c r="AH32" s="146">
        <f t="shared" si="8"/>
        <v>133.77124772659721</v>
      </c>
      <c r="AI32" s="156">
        <f t="shared" si="9"/>
        <v>0.79688022749999998</v>
      </c>
      <c r="AJ32" s="156">
        <f t="shared" si="10"/>
        <v>126.9015758078644</v>
      </c>
      <c r="AK32" s="676"/>
      <c r="AL32" s="716">
        <f t="shared" si="11"/>
        <v>8239.8266121672477</v>
      </c>
      <c r="AO32"/>
      <c r="AP32"/>
      <c r="AQ32"/>
    </row>
    <row r="33" spans="1:43" s="762" customFormat="1" ht="15.75" customHeight="1">
      <c r="A33" s="857" t="s">
        <v>1137</v>
      </c>
      <c r="B33" s="823">
        <v>45609</v>
      </c>
      <c r="C33" s="822">
        <v>45609</v>
      </c>
      <c r="D33" s="821" t="s">
        <v>66</v>
      </c>
      <c r="E33" s="844">
        <v>10457401928</v>
      </c>
      <c r="F33" s="824" t="s">
        <v>1162</v>
      </c>
      <c r="G33" s="713" t="s">
        <v>68</v>
      </c>
      <c r="H33" s="596" t="s">
        <v>69</v>
      </c>
      <c r="I33" s="596">
        <v>20.13</v>
      </c>
      <c r="J33" s="596">
        <v>10</v>
      </c>
      <c r="K33" s="138">
        <f t="shared" si="0"/>
        <v>18.116999999999997</v>
      </c>
      <c r="L33" s="714">
        <v>0.186</v>
      </c>
      <c r="M33" s="714">
        <v>0.17599999999999999</v>
      </c>
      <c r="N33" s="755">
        <v>0.183</v>
      </c>
      <c r="O33" s="714">
        <f t="shared" si="1"/>
        <v>0.18</v>
      </c>
      <c r="P33" s="753">
        <v>85</v>
      </c>
      <c r="Q33" s="610">
        <v>89.37</v>
      </c>
      <c r="R33" s="754">
        <v>2732</v>
      </c>
      <c r="S33" s="713">
        <v>100</v>
      </c>
      <c r="T33" s="677"/>
      <c r="U33" s="864">
        <v>100</v>
      </c>
      <c r="V33" s="715">
        <v>1.1023000000000001</v>
      </c>
      <c r="W33" s="677"/>
      <c r="X33" s="677"/>
      <c r="Y33" s="751"/>
      <c r="Z33" s="143">
        <f>IF(IF(D33="UNTUCA",IF(+((W33-3)*1.5+(X33-3)*3.1)&gt;0,+((W33-3)*1.5+(X33-3)*3.1),0),IF(+((W33-3)*1.5+(X33-3)*3.1)&gt;0,+((W33-3)*1.5+(X33-3)*3.1),0))&lt;30,30,IF(D33="UNTUCA",IF(+((W33-3)*1.5+(X33-3)*3.1)&gt;0,+((W33-3)*1.5+(X33-3)*3.1),0),IF(+((W33-3)*1.5+(X33-3)*3.1)&gt;0,+((W33-3)*1.5+(X33-3)*3.1),0)))</f>
        <v>30</v>
      </c>
      <c r="AA33" s="144">
        <f t="shared" si="3"/>
        <v>30</v>
      </c>
      <c r="AB33" s="145">
        <f t="shared" si="12"/>
        <v>300.59280079999996</v>
      </c>
      <c r="AC33" s="145">
        <f>+(S33-T33)*V33-'data 1'!$F$4</f>
        <v>30.230000000000004</v>
      </c>
      <c r="AD33" s="145">
        <f t="shared" si="5"/>
        <v>23.581969511520025</v>
      </c>
      <c r="AE33" s="145">
        <f t="shared" si="6"/>
        <v>-36.930999999999997</v>
      </c>
      <c r="AF33" s="145">
        <f t="shared" si="7"/>
        <v>15.557102053920016</v>
      </c>
      <c r="AG33" s="772">
        <f>+IF(D33="RONALD WILLIAN GARIBAY ESCUDERO",AC33+AD33+AE33+AF33+70,AC33+AD33+AE33+AF33)</f>
        <v>32.438071565440055</v>
      </c>
      <c r="AH33" s="146">
        <f t="shared" si="8"/>
        <v>103.25237635935099</v>
      </c>
      <c r="AI33" s="156">
        <f t="shared" si="9"/>
        <v>0.54970003458000005</v>
      </c>
      <c r="AJ33" s="156">
        <f t="shared" si="10"/>
        <v>95.03570142118302</v>
      </c>
      <c r="AK33" s="676"/>
      <c r="AL33" s="716">
        <f t="shared" si="11"/>
        <v>5445.8397720935982</v>
      </c>
      <c r="AO33"/>
      <c r="AP33"/>
      <c r="AQ33"/>
    </row>
    <row r="34" spans="1:43" s="762" customFormat="1" ht="15.75" customHeight="1">
      <c r="A34" s="857" t="s">
        <v>1140</v>
      </c>
      <c r="B34" s="823">
        <v>45609</v>
      </c>
      <c r="C34" s="822">
        <v>45608</v>
      </c>
      <c r="D34" s="821" t="s">
        <v>66</v>
      </c>
      <c r="E34" s="844">
        <v>10457401928</v>
      </c>
      <c r="F34" s="825" t="s">
        <v>1163</v>
      </c>
      <c r="G34" s="80">
        <v>55</v>
      </c>
      <c r="H34" s="596" t="s">
        <v>69</v>
      </c>
      <c r="I34" s="596">
        <v>4.0199999999999996</v>
      </c>
      <c r="J34" s="596">
        <v>5.3</v>
      </c>
      <c r="K34" s="138">
        <f t="shared" si="0"/>
        <v>3.8069399999999995</v>
      </c>
      <c r="L34" s="139">
        <v>0.5</v>
      </c>
      <c r="M34" s="139">
        <v>0.48</v>
      </c>
      <c r="N34" s="598">
        <v>0.55700000000000005</v>
      </c>
      <c r="O34" s="139">
        <f t="shared" si="1"/>
        <v>0.51900000000000002</v>
      </c>
      <c r="P34" s="629">
        <v>90</v>
      </c>
      <c r="Q34" s="760">
        <v>89.45</v>
      </c>
      <c r="R34" s="740">
        <v>2742.6</v>
      </c>
      <c r="S34" s="802">
        <v>145</v>
      </c>
      <c r="T34"/>
      <c r="U34" s="767">
        <v>130</v>
      </c>
      <c r="V34" s="715">
        <v>1.1023000000000001</v>
      </c>
      <c r="W34"/>
      <c r="X34"/>
      <c r="Y34" s="163">
        <v>40</v>
      </c>
      <c r="Z34" s="143">
        <f>IF(IF(D34="UNTUCA",IF(+((W34-3)*1.5+(X34-3)*3.1)&gt;0,+((W34-3)*1.5+(X34-3)*3.1),0),IF(+((W34-3)*1.5+(X34-3)*3.1)&gt;0,+((W34-3)*1.5+(X34-3)*3.1),0))&lt;30,30,IF(D34="UNTUCA",IF(+((W34-3)*1.5+(X34-3)*3.1)&gt;0,+((W34-3)*1.5+(X34-3)*3.1),0),IF(+((W34-3)*1.5+(X34-3)*3.1)&gt;0,+((W34-3)*1.5+(X34-3)*3.1),0)))</f>
        <v>30</v>
      </c>
      <c r="AA34" s="144">
        <f t="shared" si="3"/>
        <v>70</v>
      </c>
      <c r="AB34" s="145">
        <f t="shared" si="12"/>
        <v>1108.1923005580002</v>
      </c>
      <c r="AC34" s="145">
        <f>+(S34-T34)*V34-'data 1'!$F$4</f>
        <v>79.833500000000015</v>
      </c>
      <c r="AD34" s="145">
        <f t="shared" si="5"/>
        <v>-7.9196396949999599</v>
      </c>
      <c r="AE34" s="145">
        <f t="shared" si="6"/>
        <v>7.1610000000000014</v>
      </c>
      <c r="AF34" s="145">
        <f t="shared" si="7"/>
        <v>-48.944813249590055</v>
      </c>
      <c r="AG34" s="772">
        <f>+IF(D34="RONALD WILLIAN GARIBAY ESCUDERO",AC34+AD34+AE34+AF34+70,AC34+AD34+AE34+AF34)</f>
        <v>30.130047055410003</v>
      </c>
      <c r="AH34" s="146">
        <f t="shared" si="8"/>
        <v>58.37615019062671</v>
      </c>
      <c r="AI34" s="156">
        <f t="shared" si="9"/>
        <v>11.043282320000046</v>
      </c>
      <c r="AJ34" s="156">
        <f t="shared" si="10"/>
        <v>60.967020132010582</v>
      </c>
      <c r="AK34" s="676"/>
      <c r="AL34" s="716">
        <f t="shared" si="11"/>
        <v>4218.8215966862726</v>
      </c>
      <c r="AO34"/>
      <c r="AP34"/>
      <c r="AQ34"/>
    </row>
    <row r="35" spans="1:43" s="762" customFormat="1" ht="15.75" customHeight="1">
      <c r="A35" s="857" t="s">
        <v>1195</v>
      </c>
      <c r="B35" s="135">
        <v>45618</v>
      </c>
      <c r="C35" s="803" cm="1">
        <v>45595</v>
      </c>
      <c r="D35" t="s">
        <v>1000</v>
      </c>
      <c r="E35" s="639">
        <v>20611329556</v>
      </c>
      <c r="F35" s="846" t="s">
        <v>1208</v>
      </c>
      <c r="G35" s="80" t="s">
        <v>68</v>
      </c>
      <c r="H35" s="596" t="s">
        <v>116</v>
      </c>
      <c r="I35" s="596">
        <v>8.16</v>
      </c>
      <c r="J35" s="596">
        <v>1.9</v>
      </c>
      <c r="K35" s="138">
        <f t="shared" si="0"/>
        <v>8.0049600000000005</v>
      </c>
      <c r="L35" s="139">
        <v>0.247</v>
      </c>
      <c r="M35" s="736">
        <v>0.23699999999999999</v>
      </c>
      <c r="N35" s="159">
        <v>0.23699999999999999</v>
      </c>
      <c r="O35" s="139">
        <f>+ROUND((M35+N35)/2,3)</f>
        <v>0.23699999999999999</v>
      </c>
      <c r="P35" s="629">
        <v>90</v>
      </c>
      <c r="Q35" s="761">
        <v>89.84</v>
      </c>
      <c r="R35" s="740">
        <v>2767.8</v>
      </c>
      <c r="S35" s="765">
        <f>IF((90+ROUNDDOWN(O35,1)*100)&lt;95,95,(90+ROUNDDOWN(O35,1)*100))</f>
        <v>110</v>
      </c>
      <c r="T35"/>
      <c r="U35" s="759">
        <v>100</v>
      </c>
      <c r="V35" s="715">
        <v>1.1023000000000001</v>
      </c>
      <c r="W35"/>
      <c r="X35"/>
      <c r="Y35" s="163">
        <v>15</v>
      </c>
      <c r="Z35" s="143">
        <f>IF(IF(D35="UNTUCA",IF(+((W35-3)*1.5+(X35-3)*3.1)&gt;0,+((W35-3)*1.5+(X35-3)*3.1),0),IF(+((W35-3)*1.5+(X35-3)*3.1)&gt;0,+((W35-3)*1.5+(X35-3)*3.1),0))&lt;30,30,IF(D35="UNTUCA",IF(+((W35-3)*1.5+(X35-3)*3.1)&gt;0,+((W35-3)*1.5+(X35-3)*3.1),0),IF(+((W35-3)*1.5+(X35-3)*3.1)&gt;0,+((W35-3)*1.5+(X35-3)*3.1),0)))</f>
        <v>30</v>
      </c>
      <c r="AA35" s="144">
        <f t="shared" si="3"/>
        <v>45</v>
      </c>
      <c r="AB35" s="145">
        <f t="shared" si="12"/>
        <v>456.39821000200004</v>
      </c>
      <c r="AC35" s="145">
        <f>+(S35-T35)*V35-'data 1'!$F$4</f>
        <v>41.253</v>
      </c>
      <c r="AD35" s="145">
        <f t="shared" si="5"/>
        <v>-1.1621709394879753</v>
      </c>
      <c r="AE35" s="145">
        <f t="shared" si="6"/>
        <v>-20.396499999999996</v>
      </c>
      <c r="AF35" s="145">
        <f t="shared" si="7"/>
        <v>26.419392004960027</v>
      </c>
      <c r="AG35" s="772">
        <f>+IF(D35="RONALD WILLIAN GARIBAY ESCUDERO",AC35+AD35+AE35+AF35+70,AC35+AD35+AE35+AF35)+70-53</f>
        <v>63.113721065472049</v>
      </c>
      <c r="AH35" s="146">
        <f t="shared" si="8"/>
        <v>60.902473562464785</v>
      </c>
      <c r="AI35" s="156">
        <f t="shared" si="9"/>
        <v>-8.0230656821120458</v>
      </c>
      <c r="AJ35" s="156">
        <f t="shared" si="10"/>
        <v>58.540859011944484</v>
      </c>
      <c r="AK35" s="676"/>
      <c r="AL35" s="716">
        <f t="shared" si="11"/>
        <v>3653.4494151376107</v>
      </c>
      <c r="AO35"/>
      <c r="AP35"/>
      <c r="AQ35"/>
    </row>
    <row r="36" spans="1:43" s="762" customFormat="1" ht="15.75" customHeight="1">
      <c r="A36"/>
      <c r="B36"/>
      <c r="C36"/>
      <c r="D36"/>
      <c r="E36"/>
      <c r="F36"/>
      <c r="G36" s="80"/>
      <c r="H36"/>
      <c r="I36"/>
      <c r="J36"/>
      <c r="K36"/>
      <c r="L36" s="139"/>
      <c r="M36" s="139"/>
      <c r="N36" s="159"/>
      <c r="O36"/>
      <c r="P36" s="629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 s="773"/>
      <c r="AH36" s="80"/>
      <c r="AI36" s="80"/>
      <c r="AJ36" s="80"/>
      <c r="AK36"/>
      <c r="AL36" s="80"/>
      <c r="AO36"/>
      <c r="AP36"/>
      <c r="AQ36"/>
    </row>
    <row r="37" spans="1:43" s="762" customFormat="1" ht="15.75" customHeight="1">
      <c r="A37"/>
      <c r="B37"/>
      <c r="C37"/>
      <c r="D37"/>
      <c r="E37"/>
      <c r="F37"/>
      <c r="G37" s="80"/>
      <c r="H37"/>
      <c r="I37"/>
      <c r="J37"/>
      <c r="K37"/>
      <c r="L37" s="139"/>
      <c r="M37" s="139"/>
      <c r="N37" s="159"/>
      <c r="O37"/>
      <c r="P37" s="629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 s="773"/>
      <c r="AH37" s="80"/>
      <c r="AI37" s="80"/>
      <c r="AJ37" s="80"/>
      <c r="AK37"/>
      <c r="AL37" s="80"/>
      <c r="AO37"/>
      <c r="AP37"/>
      <c r="AQ37"/>
    </row>
    <row r="38" spans="1:43" s="762" customFormat="1" ht="15.75" customHeight="1">
      <c r="A38"/>
      <c r="B38"/>
      <c r="C38"/>
      <c r="D38"/>
      <c r="E38"/>
      <c r="F38"/>
      <c r="G38" s="80"/>
      <c r="H38"/>
      <c r="I38"/>
      <c r="J38"/>
      <c r="K38"/>
      <c r="L38" s="139"/>
      <c r="M38" s="139"/>
      <c r="N38" s="159"/>
      <c r="O38"/>
      <c r="P38" s="629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 s="773"/>
      <c r="AH38" s="80"/>
      <c r="AI38" s="80"/>
      <c r="AJ38" s="80"/>
      <c r="AK38"/>
      <c r="AL38" s="80"/>
      <c r="AO38"/>
      <c r="AP38"/>
      <c r="AQ38"/>
    </row>
    <row r="39" spans="1:43" s="762" customFormat="1" ht="15.75" customHeight="1">
      <c r="A39"/>
      <c r="B39"/>
      <c r="C39"/>
      <c r="D39"/>
      <c r="E39"/>
      <c r="F39"/>
      <c r="G39" s="80"/>
      <c r="H39"/>
      <c r="I39"/>
      <c r="J39"/>
      <c r="K39"/>
      <c r="L39" s="139"/>
      <c r="M39" s="139"/>
      <c r="N39" s="159"/>
      <c r="O39"/>
      <c r="P39" s="62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 s="773"/>
      <c r="AH39" s="80"/>
      <c r="AI39" s="80"/>
      <c r="AJ39" s="80"/>
      <c r="AK39"/>
      <c r="AL39" s="80"/>
      <c r="AO39"/>
      <c r="AP39"/>
      <c r="AQ39"/>
    </row>
    <row r="40" spans="1:43" s="762" customFormat="1" ht="15.75" customHeight="1">
      <c r="A40"/>
      <c r="B40"/>
      <c r="C40"/>
      <c r="D40"/>
      <c r="E40"/>
      <c r="F40"/>
      <c r="G40" s="80"/>
      <c r="H40"/>
      <c r="I40"/>
      <c r="J40"/>
      <c r="K40"/>
      <c r="L40" s="139"/>
      <c r="M40" s="139"/>
      <c r="N40" s="159"/>
      <c r="O40"/>
      <c r="P40" s="629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 s="773"/>
      <c r="AH40" s="80"/>
      <c r="AI40" s="80"/>
      <c r="AJ40" s="80"/>
      <c r="AK40"/>
      <c r="AL40" s="80"/>
      <c r="AO40"/>
      <c r="AP40"/>
      <c r="AQ40"/>
    </row>
    <row r="41" spans="1:43" s="762" customFormat="1" ht="15.75" customHeight="1">
      <c r="A41"/>
      <c r="B41"/>
      <c r="C41"/>
      <c r="D41"/>
      <c r="E41"/>
      <c r="F41"/>
      <c r="G41" s="80"/>
      <c r="H41"/>
      <c r="I41"/>
      <c r="J41"/>
      <c r="K41"/>
      <c r="L41" s="139"/>
      <c r="M41" s="139"/>
      <c r="N41" s="159"/>
      <c r="O41"/>
      <c r="P41" s="629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 s="773"/>
      <c r="AH41" s="80"/>
      <c r="AI41" s="80"/>
      <c r="AJ41" s="80"/>
      <c r="AK41"/>
      <c r="AL41" s="80"/>
      <c r="AO41"/>
      <c r="AP41"/>
      <c r="AQ41"/>
    </row>
    <row r="42" spans="1:43" s="762" customFormat="1" ht="15.75" customHeight="1">
      <c r="A42"/>
      <c r="B42"/>
      <c r="C42"/>
      <c r="D42"/>
      <c r="E42"/>
      <c r="F42"/>
      <c r="G42" s="80"/>
      <c r="H42"/>
      <c r="I42"/>
      <c r="J42"/>
      <c r="K42"/>
      <c r="L42" s="139"/>
      <c r="M42" s="139"/>
      <c r="N42" s="159"/>
      <c r="O42"/>
      <c r="P42" s="629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 s="773"/>
      <c r="AH42" s="80"/>
      <c r="AI42" s="80"/>
      <c r="AJ42" s="80"/>
      <c r="AK42"/>
      <c r="AL42" s="80"/>
      <c r="AO42"/>
      <c r="AP42"/>
      <c r="AQ42"/>
    </row>
    <row r="43" spans="1:43" s="762" customFormat="1" ht="15.75" customHeight="1">
      <c r="A43"/>
      <c r="B43"/>
      <c r="C43"/>
      <c r="D43"/>
      <c r="E43"/>
      <c r="F43"/>
      <c r="G43" s="80"/>
      <c r="H43"/>
      <c r="I43"/>
      <c r="J43"/>
      <c r="K43"/>
      <c r="L43" s="139"/>
      <c r="M43" s="139"/>
      <c r="N43" s="159"/>
      <c r="O43"/>
      <c r="P43" s="629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 s="773"/>
      <c r="AH43" s="80"/>
      <c r="AI43" s="80"/>
      <c r="AJ43" s="80"/>
      <c r="AK43"/>
      <c r="AL43" s="80"/>
      <c r="AO43"/>
      <c r="AP43"/>
      <c r="AQ43"/>
    </row>
    <row r="44" spans="1:43" s="762" customFormat="1" ht="15.75" customHeight="1">
      <c r="A44"/>
      <c r="B44"/>
      <c r="C44"/>
      <c r="D44"/>
      <c r="E44"/>
      <c r="F44"/>
      <c r="G44" s="80"/>
      <c r="H44"/>
      <c r="I44"/>
      <c r="J44"/>
      <c r="K44"/>
      <c r="L44" s="139"/>
      <c r="M44" s="139"/>
      <c r="N44" s="159"/>
      <c r="O44"/>
      <c r="P44" s="629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 s="773"/>
      <c r="AH44" s="80"/>
      <c r="AI44" s="80"/>
      <c r="AJ44" s="80"/>
      <c r="AK44"/>
      <c r="AL44" s="80"/>
      <c r="AO44"/>
      <c r="AP44"/>
      <c r="AQ44"/>
    </row>
    <row r="45" spans="1:43" s="762" customFormat="1" ht="15.75" customHeight="1">
      <c r="A45"/>
      <c r="B45"/>
      <c r="C45"/>
      <c r="D45"/>
      <c r="E45"/>
      <c r="F45"/>
      <c r="G45" s="80"/>
      <c r="H45"/>
      <c r="I45"/>
      <c r="J45"/>
      <c r="K45"/>
      <c r="L45" s="139"/>
      <c r="M45" s="139"/>
      <c r="N45" s="159"/>
      <c r="O45"/>
      <c r="P45" s="629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 s="773"/>
      <c r="AH45" s="80"/>
      <c r="AI45" s="80"/>
      <c r="AJ45" s="80"/>
      <c r="AK45"/>
      <c r="AL45" s="80"/>
      <c r="AO45"/>
      <c r="AP45"/>
      <c r="AQ45"/>
    </row>
    <row r="46" spans="1:43" s="762" customFormat="1" ht="15.75" customHeight="1">
      <c r="A46"/>
      <c r="B46"/>
      <c r="C46"/>
      <c r="D46"/>
      <c r="E46"/>
      <c r="F46"/>
      <c r="G46" s="80"/>
      <c r="H46"/>
      <c r="I46"/>
      <c r="J46"/>
      <c r="K46"/>
      <c r="L46" s="139"/>
      <c r="M46" s="139"/>
      <c r="N46" s="159"/>
      <c r="O46"/>
      <c r="P46" s="629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 s="773"/>
      <c r="AH46" s="80"/>
      <c r="AI46" s="80"/>
      <c r="AJ46" s="80"/>
      <c r="AK46"/>
      <c r="AL46" s="80"/>
      <c r="AO46"/>
      <c r="AP46"/>
      <c r="AQ46"/>
    </row>
    <row r="47" spans="1:43" s="762" customFormat="1" ht="15.75" customHeight="1">
      <c r="A47"/>
      <c r="B47"/>
      <c r="C47"/>
      <c r="D47"/>
      <c r="E47"/>
      <c r="F47"/>
      <c r="G47" s="80"/>
      <c r="H47"/>
      <c r="I47"/>
      <c r="J47"/>
      <c r="K47"/>
      <c r="L47" s="139"/>
      <c r="M47" s="139"/>
      <c r="N47" s="159"/>
      <c r="O47"/>
      <c r="P47" s="629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 s="773"/>
      <c r="AH47" s="80"/>
      <c r="AI47" s="80"/>
      <c r="AJ47" s="80"/>
      <c r="AK47"/>
      <c r="AL47" s="80"/>
      <c r="AO47"/>
      <c r="AP47"/>
      <c r="AQ47"/>
    </row>
    <row r="48" spans="1:43" s="762" customFormat="1" ht="15.75" customHeight="1">
      <c r="A48"/>
      <c r="B48"/>
      <c r="C48"/>
      <c r="D48"/>
      <c r="E48"/>
      <c r="F48"/>
      <c r="G48" s="80"/>
      <c r="H48"/>
      <c r="I48"/>
      <c r="J48"/>
      <c r="K48"/>
      <c r="L48" s="139"/>
      <c r="M48" s="139"/>
      <c r="N48" s="159"/>
      <c r="O48"/>
      <c r="P48" s="629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 s="773"/>
      <c r="AH48" s="80"/>
      <c r="AI48" s="80"/>
      <c r="AJ48" s="80"/>
      <c r="AK48"/>
      <c r="AL48" s="80"/>
      <c r="AO48"/>
      <c r="AP48"/>
      <c r="AQ48"/>
    </row>
    <row r="49" spans="1:43" s="762" customFormat="1" ht="15.75" customHeight="1">
      <c r="A49"/>
      <c r="B49"/>
      <c r="C49"/>
      <c r="D49"/>
      <c r="E49"/>
      <c r="F49"/>
      <c r="G49" s="80"/>
      <c r="H49"/>
      <c r="I49"/>
      <c r="J49"/>
      <c r="K49"/>
      <c r="L49" s="139"/>
      <c r="M49" s="139"/>
      <c r="N49" s="159"/>
      <c r="O49"/>
      <c r="P49" s="62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 s="773"/>
      <c r="AH49" s="80"/>
      <c r="AI49" s="80"/>
      <c r="AJ49" s="80"/>
      <c r="AK49"/>
      <c r="AL49" s="80"/>
      <c r="AO49"/>
      <c r="AP49"/>
      <c r="AQ49"/>
    </row>
    <row r="50" spans="1:43" s="762" customFormat="1" ht="15.75" customHeight="1">
      <c r="A50"/>
      <c r="B50"/>
      <c r="C50"/>
      <c r="D50"/>
      <c r="E50"/>
      <c r="F50"/>
      <c r="G50" s="80"/>
      <c r="H50"/>
      <c r="I50"/>
      <c r="J50"/>
      <c r="K50"/>
      <c r="L50" s="139"/>
      <c r="M50" s="139"/>
      <c r="N50" s="159"/>
      <c r="O50"/>
      <c r="P50" s="629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 s="773"/>
      <c r="AH50" s="80"/>
      <c r="AI50" s="80"/>
      <c r="AJ50" s="80"/>
      <c r="AK50"/>
      <c r="AL50" s="80"/>
      <c r="AO50"/>
      <c r="AP50"/>
      <c r="AQ50"/>
    </row>
    <row r="51" spans="1:43" s="762" customFormat="1" ht="15.75" customHeight="1">
      <c r="A51"/>
      <c r="B51"/>
      <c r="C51"/>
      <c r="D51"/>
      <c r="E51"/>
      <c r="F51"/>
      <c r="G51" s="80"/>
      <c r="H51"/>
      <c r="I51"/>
      <c r="J51"/>
      <c r="K51"/>
      <c r="L51" s="139"/>
      <c r="M51" s="139"/>
      <c r="N51" s="159"/>
      <c r="O51"/>
      <c r="P51" s="629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 s="773"/>
      <c r="AH51" s="80"/>
      <c r="AI51" s="80"/>
      <c r="AJ51" s="80"/>
      <c r="AK51"/>
      <c r="AL51" s="80"/>
      <c r="AO51"/>
      <c r="AP51"/>
      <c r="AQ51"/>
    </row>
    <row r="52" spans="1:43" s="762" customFormat="1" ht="15.75" customHeight="1">
      <c r="A52"/>
      <c r="B52"/>
      <c r="C52"/>
      <c r="D52"/>
      <c r="E52"/>
      <c r="F52"/>
      <c r="G52" s="80"/>
      <c r="H52"/>
      <c r="I52"/>
      <c r="J52"/>
      <c r="K52"/>
      <c r="L52" s="139"/>
      <c r="M52" s="139"/>
      <c r="N52" s="159"/>
      <c r="O52"/>
      <c r="P52" s="629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 s="773"/>
      <c r="AH52" s="80"/>
      <c r="AI52" s="80"/>
      <c r="AJ52" s="80"/>
      <c r="AK52"/>
      <c r="AL52" s="80"/>
      <c r="AO52"/>
      <c r="AP52"/>
      <c r="AQ52"/>
    </row>
    <row r="53" spans="1:43" s="762" customFormat="1" ht="15.75" customHeight="1">
      <c r="A53"/>
      <c r="B53"/>
      <c r="C53"/>
      <c r="D53"/>
      <c r="E53"/>
      <c r="F53"/>
      <c r="G53" s="80"/>
      <c r="H53"/>
      <c r="I53"/>
      <c r="J53"/>
      <c r="K53"/>
      <c r="L53" s="139"/>
      <c r="M53" s="139"/>
      <c r="N53" s="159"/>
      <c r="O53"/>
      <c r="P53" s="629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 s="773"/>
      <c r="AH53" s="80"/>
      <c r="AI53" s="80"/>
      <c r="AJ53" s="80"/>
      <c r="AK53"/>
      <c r="AL53" s="80"/>
      <c r="AO53"/>
      <c r="AP53"/>
      <c r="AQ53"/>
    </row>
    <row r="54" spans="1:43" s="762" customFormat="1" ht="15.75" customHeight="1">
      <c r="A54"/>
      <c r="B54"/>
      <c r="C54"/>
      <c r="D54"/>
      <c r="E54"/>
      <c r="F54"/>
      <c r="G54" s="80"/>
      <c r="H54"/>
      <c r="I54"/>
      <c r="J54"/>
      <c r="K54"/>
      <c r="L54" s="139"/>
      <c r="M54" s="139"/>
      <c r="N54" s="159"/>
      <c r="O54"/>
      <c r="P54" s="629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 s="773"/>
      <c r="AH54" s="80"/>
      <c r="AI54" s="80"/>
      <c r="AJ54" s="80"/>
      <c r="AK54"/>
      <c r="AL54" s="80"/>
      <c r="AO54"/>
      <c r="AP54"/>
      <c r="AQ54"/>
    </row>
    <row r="55" spans="1:43" s="762" customFormat="1" ht="15.75" customHeight="1">
      <c r="A55"/>
      <c r="B55"/>
      <c r="C55"/>
      <c r="D55"/>
      <c r="E55"/>
      <c r="F55"/>
      <c r="G55" s="80"/>
      <c r="H55"/>
      <c r="I55"/>
      <c r="J55"/>
      <c r="K55"/>
      <c r="L55" s="139"/>
      <c r="M55" s="139"/>
      <c r="N55" s="159"/>
      <c r="O55"/>
      <c r="P55" s="629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 s="773"/>
      <c r="AH55" s="80"/>
      <c r="AI55" s="80"/>
      <c r="AJ55" s="80"/>
      <c r="AK55"/>
      <c r="AL55" s="80"/>
      <c r="AO55"/>
      <c r="AP55"/>
      <c r="AQ55"/>
    </row>
    <row r="56" spans="1:43" s="762" customFormat="1" ht="15.75" customHeight="1">
      <c r="A56"/>
      <c r="B56"/>
      <c r="C56"/>
      <c r="D56"/>
      <c r="E56"/>
      <c r="F56"/>
      <c r="G56" s="80"/>
      <c r="H56"/>
      <c r="I56"/>
      <c r="J56"/>
      <c r="K56"/>
      <c r="L56" s="139"/>
      <c r="M56" s="139"/>
      <c r="N56" s="159"/>
      <c r="O56"/>
      <c r="P56" s="629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 s="773"/>
      <c r="AH56" s="80"/>
      <c r="AI56" s="80"/>
      <c r="AJ56" s="80"/>
      <c r="AK56"/>
      <c r="AL56" s="80"/>
      <c r="AO56"/>
      <c r="AP56"/>
      <c r="AQ56"/>
    </row>
    <row r="57" spans="1:43" s="762" customFormat="1" ht="15.75" customHeight="1">
      <c r="A57"/>
      <c r="B57"/>
      <c r="C57"/>
      <c r="D57"/>
      <c r="E57"/>
      <c r="F57"/>
      <c r="G57" s="80"/>
      <c r="H57"/>
      <c r="I57"/>
      <c r="J57"/>
      <c r="K57"/>
      <c r="L57" s="139"/>
      <c r="M57" s="139"/>
      <c r="N57" s="159"/>
      <c r="O57"/>
      <c r="P57" s="629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 s="773"/>
      <c r="AH57" s="80"/>
      <c r="AI57" s="80"/>
      <c r="AJ57" s="80"/>
      <c r="AK57"/>
      <c r="AL57" s="80"/>
      <c r="AO57"/>
      <c r="AP57"/>
      <c r="AQ57"/>
    </row>
    <row r="58" spans="1:43" s="762" customFormat="1" ht="15.75" customHeight="1">
      <c r="A58"/>
      <c r="B58"/>
      <c r="C58"/>
      <c r="D58"/>
      <c r="E58"/>
      <c r="F58"/>
      <c r="G58" s="80"/>
      <c r="H58"/>
      <c r="I58"/>
      <c r="J58"/>
      <c r="K58"/>
      <c r="L58" s="139"/>
      <c r="M58" s="139"/>
      <c r="N58" s="159"/>
      <c r="O58"/>
      <c r="P58" s="629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 s="773"/>
      <c r="AH58" s="80"/>
      <c r="AI58" s="80"/>
      <c r="AJ58" s="80"/>
      <c r="AK58"/>
      <c r="AL58" s="80"/>
      <c r="AO58"/>
      <c r="AP58"/>
      <c r="AQ58"/>
    </row>
    <row r="59" spans="1:43" s="762" customFormat="1" ht="15.75" customHeight="1">
      <c r="A59"/>
      <c r="B59"/>
      <c r="C59"/>
      <c r="D59"/>
      <c r="E59"/>
      <c r="F59"/>
      <c r="G59" s="80"/>
      <c r="H59"/>
      <c r="I59"/>
      <c r="J59"/>
      <c r="K59"/>
      <c r="L59" s="139"/>
      <c r="M59" s="139"/>
      <c r="N59" s="159"/>
      <c r="O59"/>
      <c r="P59" s="62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 s="773"/>
      <c r="AH59" s="80"/>
      <c r="AI59" s="80"/>
      <c r="AJ59" s="80"/>
      <c r="AK59"/>
      <c r="AL59" s="80"/>
      <c r="AO59"/>
      <c r="AP59"/>
      <c r="AQ59"/>
    </row>
    <row r="60" spans="1:43" s="762" customFormat="1" ht="15.75" customHeight="1">
      <c r="A60"/>
      <c r="B60"/>
      <c r="C60"/>
      <c r="D60"/>
      <c r="E60"/>
      <c r="F60"/>
      <c r="G60" s="80"/>
      <c r="H60"/>
      <c r="I60"/>
      <c r="J60"/>
      <c r="K60"/>
      <c r="L60" s="139"/>
      <c r="M60" s="139"/>
      <c r="N60" s="159"/>
      <c r="O60"/>
      <c r="P60" s="629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 s="773"/>
      <c r="AH60" s="80"/>
      <c r="AI60" s="80"/>
      <c r="AJ60" s="80"/>
      <c r="AK60"/>
      <c r="AL60" s="80"/>
      <c r="AO60"/>
      <c r="AP60"/>
      <c r="AQ60"/>
    </row>
    <row r="61" spans="1:43" s="762" customFormat="1" ht="15.75" customHeight="1">
      <c r="A61"/>
      <c r="B61"/>
      <c r="C61"/>
      <c r="D61"/>
      <c r="E61"/>
      <c r="F61"/>
      <c r="G61" s="80"/>
      <c r="H61"/>
      <c r="I61"/>
      <c r="J61"/>
      <c r="K61"/>
      <c r="L61" s="139"/>
      <c r="M61" s="139"/>
      <c r="N61" s="159"/>
      <c r="O61"/>
      <c r="P61" s="629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 s="773"/>
      <c r="AH61" s="80"/>
      <c r="AI61" s="80"/>
      <c r="AJ61" s="80"/>
      <c r="AK61"/>
      <c r="AL61" s="80"/>
      <c r="AO61"/>
      <c r="AP61"/>
      <c r="AQ61"/>
    </row>
    <row r="62" spans="1:43" s="762" customFormat="1" ht="15.75" customHeight="1">
      <c r="A62"/>
      <c r="B62"/>
      <c r="C62"/>
      <c r="D62"/>
      <c r="E62"/>
      <c r="F62"/>
      <c r="G62" s="80"/>
      <c r="H62"/>
      <c r="I62"/>
      <c r="J62"/>
      <c r="K62"/>
      <c r="L62" s="139"/>
      <c r="M62" s="139"/>
      <c r="N62" s="159"/>
      <c r="O62"/>
      <c r="P62" s="629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 s="773"/>
      <c r="AH62" s="80"/>
      <c r="AI62" s="80"/>
      <c r="AJ62" s="80"/>
      <c r="AK62"/>
      <c r="AL62" s="80"/>
      <c r="AO62"/>
      <c r="AP62"/>
      <c r="AQ62"/>
    </row>
    <row r="63" spans="1:43" s="762" customFormat="1" ht="15.75" customHeight="1">
      <c r="A63"/>
      <c r="B63"/>
      <c r="C63"/>
      <c r="D63"/>
      <c r="E63"/>
      <c r="F63"/>
      <c r="G63" s="80"/>
      <c r="H63"/>
      <c r="I63"/>
      <c r="J63"/>
      <c r="K63"/>
      <c r="L63" s="139"/>
      <c r="M63" s="139"/>
      <c r="N63" s="159"/>
      <c r="O63"/>
      <c r="P63" s="629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 s="773"/>
      <c r="AH63" s="80"/>
      <c r="AI63" s="80"/>
      <c r="AJ63" s="80"/>
      <c r="AK63"/>
      <c r="AL63" s="80"/>
      <c r="AO63"/>
      <c r="AP63"/>
      <c r="AQ63"/>
    </row>
    <row r="64" spans="1:43" s="762" customFormat="1" ht="15.75" customHeight="1">
      <c r="A64"/>
      <c r="B64"/>
      <c r="C64"/>
      <c r="D64"/>
      <c r="E64"/>
      <c r="F64"/>
      <c r="G64" s="80"/>
      <c r="H64"/>
      <c r="I64"/>
      <c r="J64"/>
      <c r="K64"/>
      <c r="L64" s="139"/>
      <c r="M64" s="139"/>
      <c r="N64" s="159"/>
      <c r="O64"/>
      <c r="P64" s="629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 s="773"/>
      <c r="AH64" s="80"/>
      <c r="AI64" s="80"/>
      <c r="AJ64" s="80"/>
      <c r="AK64"/>
      <c r="AL64" s="80"/>
      <c r="AO64"/>
      <c r="AP64"/>
      <c r="AQ64"/>
    </row>
    <row r="65" spans="1:43" s="762" customFormat="1" ht="15.75" customHeight="1">
      <c r="A65"/>
      <c r="B65"/>
      <c r="C65"/>
      <c r="D65"/>
      <c r="E65"/>
      <c r="F65"/>
      <c r="G65" s="80"/>
      <c r="H65"/>
      <c r="I65"/>
      <c r="J65"/>
      <c r="K65"/>
      <c r="L65" s="139"/>
      <c r="M65" s="139"/>
      <c r="N65" s="159"/>
      <c r="O65"/>
      <c r="P65" s="629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 s="773"/>
      <c r="AH65" s="80"/>
      <c r="AI65" s="80"/>
      <c r="AJ65" s="80"/>
      <c r="AK65"/>
      <c r="AL65" s="80"/>
      <c r="AO65"/>
      <c r="AP65"/>
      <c r="AQ65"/>
    </row>
    <row r="66" spans="1:43" s="762" customFormat="1" ht="15.75" customHeight="1">
      <c r="A66"/>
      <c r="B66"/>
      <c r="C66"/>
      <c r="D66"/>
      <c r="E66"/>
      <c r="F66"/>
      <c r="G66" s="80"/>
      <c r="H66"/>
      <c r="I66"/>
      <c r="J66"/>
      <c r="K66"/>
      <c r="L66" s="139"/>
      <c r="M66" s="139"/>
      <c r="N66" s="159"/>
      <c r="O66"/>
      <c r="P66" s="629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 s="773"/>
      <c r="AH66" s="80"/>
      <c r="AI66" s="80"/>
      <c r="AJ66" s="80"/>
      <c r="AK66"/>
      <c r="AL66" s="80"/>
      <c r="AO66"/>
      <c r="AP66"/>
      <c r="AQ66"/>
    </row>
    <row r="67" spans="1:43" s="762" customFormat="1" ht="15.75" customHeight="1">
      <c r="A67"/>
      <c r="B67"/>
      <c r="C67"/>
      <c r="D67"/>
      <c r="E67"/>
      <c r="F67"/>
      <c r="G67" s="80"/>
      <c r="H67"/>
      <c r="I67"/>
      <c r="J67"/>
      <c r="K67"/>
      <c r="L67" s="139"/>
      <c r="M67" s="139"/>
      <c r="N67" s="159"/>
      <c r="O67"/>
      <c r="P67" s="629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 s="773"/>
      <c r="AH67" s="80"/>
      <c r="AI67" s="80"/>
      <c r="AJ67" s="80"/>
      <c r="AK67"/>
      <c r="AL67" s="80"/>
      <c r="AO67"/>
      <c r="AP67"/>
      <c r="AQ67"/>
    </row>
    <row r="68" spans="1:43" s="762" customFormat="1" ht="15.75" customHeight="1">
      <c r="A68"/>
      <c r="B68"/>
      <c r="C68"/>
      <c r="D68"/>
      <c r="E68"/>
      <c r="F68"/>
      <c r="G68" s="80"/>
      <c r="H68"/>
      <c r="I68"/>
      <c r="J68"/>
      <c r="K68"/>
      <c r="L68" s="139"/>
      <c r="M68" s="139"/>
      <c r="N68" s="159"/>
      <c r="O68"/>
      <c r="P68" s="629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 s="773"/>
      <c r="AH68" s="80"/>
      <c r="AI68" s="80"/>
      <c r="AJ68" s="80"/>
      <c r="AK68"/>
      <c r="AL68" s="80"/>
      <c r="AO68"/>
      <c r="AP68"/>
      <c r="AQ68"/>
    </row>
    <row r="69" spans="1:43" s="762" customFormat="1" ht="15.75" customHeight="1">
      <c r="A69"/>
      <c r="B69"/>
      <c r="C69"/>
      <c r="D69"/>
      <c r="E69"/>
      <c r="F69"/>
      <c r="G69" s="80"/>
      <c r="H69"/>
      <c r="I69"/>
      <c r="J69"/>
      <c r="K69"/>
      <c r="L69"/>
      <c r="M69"/>
      <c r="N69" s="159"/>
      <c r="O69"/>
      <c r="P69" s="62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 s="773"/>
      <c r="AH69" s="80"/>
      <c r="AI69" s="80"/>
      <c r="AJ69" s="80"/>
      <c r="AK69"/>
      <c r="AL69" s="80"/>
      <c r="AO69"/>
      <c r="AP69"/>
      <c r="AQ69"/>
    </row>
    <row r="70" spans="1:43" s="762" customFormat="1" ht="15.75" customHeight="1">
      <c r="A70"/>
      <c r="B70"/>
      <c r="C70"/>
      <c r="D70"/>
      <c r="E70"/>
      <c r="F70"/>
      <c r="G70" s="80"/>
      <c r="H70"/>
      <c r="I70"/>
      <c r="J70"/>
      <c r="K70"/>
      <c r="L70"/>
      <c r="M70"/>
      <c r="N70" s="159"/>
      <c r="O70"/>
      <c r="P70" s="629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 s="773"/>
      <c r="AH70" s="80"/>
      <c r="AI70" s="80"/>
      <c r="AJ70" s="80"/>
      <c r="AK70"/>
      <c r="AL70" s="80"/>
      <c r="AO70"/>
      <c r="AP70"/>
      <c r="AQ70"/>
    </row>
    <row r="71" spans="1:43" s="762" customFormat="1" ht="15.75" customHeight="1">
      <c r="A71"/>
      <c r="B71"/>
      <c r="C71"/>
      <c r="D71"/>
      <c r="E71"/>
      <c r="F71"/>
      <c r="G71" s="80"/>
      <c r="H71"/>
      <c r="I71"/>
      <c r="J71"/>
      <c r="K71"/>
      <c r="L71"/>
      <c r="M71"/>
      <c r="N71" s="159"/>
      <c r="O71"/>
      <c r="P71" s="629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 s="773"/>
      <c r="AH71" s="80"/>
      <c r="AI71" s="80"/>
      <c r="AJ71" s="80"/>
      <c r="AK71"/>
      <c r="AL71" s="80"/>
      <c r="AO71"/>
      <c r="AP71"/>
      <c r="AQ71"/>
    </row>
    <row r="72" spans="1:43" s="762" customFormat="1" ht="15.75" customHeight="1">
      <c r="A72"/>
      <c r="B72"/>
      <c r="C72"/>
      <c r="D72"/>
      <c r="E72"/>
      <c r="F72"/>
      <c r="G72" s="80"/>
      <c r="H72"/>
      <c r="I72"/>
      <c r="J72"/>
      <c r="K72"/>
      <c r="L72"/>
      <c r="M72"/>
      <c r="N72" s="159"/>
      <c r="O72"/>
      <c r="P72" s="629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 s="773"/>
      <c r="AH72" s="80"/>
      <c r="AI72" s="80"/>
      <c r="AJ72" s="80"/>
      <c r="AK72"/>
      <c r="AL72" s="80"/>
      <c r="AO72"/>
      <c r="AP72"/>
      <c r="AQ72"/>
    </row>
    <row r="73" spans="1:43" s="762" customFormat="1" ht="15.75" customHeight="1">
      <c r="A73"/>
      <c r="B73"/>
      <c r="C73"/>
      <c r="D73"/>
      <c r="E73"/>
      <c r="F73"/>
      <c r="G73" s="80"/>
      <c r="H73"/>
      <c r="I73"/>
      <c r="J73"/>
      <c r="K73"/>
      <c r="L73"/>
      <c r="M73"/>
      <c r="N73" s="159"/>
      <c r="O73"/>
      <c r="P73" s="629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 s="773"/>
      <c r="AH73" s="80"/>
      <c r="AI73" s="80"/>
      <c r="AJ73" s="80"/>
      <c r="AK73"/>
      <c r="AL73" s="80"/>
      <c r="AO73"/>
      <c r="AP73"/>
      <c r="AQ73"/>
    </row>
    <row r="74" spans="1:43" s="762" customFormat="1" ht="15.75" customHeight="1">
      <c r="A74"/>
      <c r="B74"/>
      <c r="C74"/>
      <c r="D74"/>
      <c r="E74"/>
      <c r="F74"/>
      <c r="G74" s="80"/>
      <c r="H74"/>
      <c r="I74"/>
      <c r="J74"/>
      <c r="K74"/>
      <c r="L74"/>
      <c r="M74"/>
      <c r="N74" s="159"/>
      <c r="O74"/>
      <c r="P74" s="629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 s="773"/>
      <c r="AH74" s="80"/>
      <c r="AI74" s="80"/>
      <c r="AJ74" s="80"/>
      <c r="AK74"/>
      <c r="AL74" s="80"/>
      <c r="AO74"/>
      <c r="AP74"/>
      <c r="AQ74"/>
    </row>
    <row r="75" spans="1:43" s="762" customFormat="1" ht="15.75" customHeight="1">
      <c r="A75"/>
      <c r="B75"/>
      <c r="C75"/>
      <c r="D75"/>
      <c r="E75"/>
      <c r="F75"/>
      <c r="G75" s="80"/>
      <c r="H75"/>
      <c r="I75"/>
      <c r="J75"/>
      <c r="K75"/>
      <c r="L75"/>
      <c r="M75"/>
      <c r="N75" s="159"/>
      <c r="O75"/>
      <c r="P75" s="629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 s="773"/>
      <c r="AH75" s="80"/>
      <c r="AI75" s="80"/>
      <c r="AJ75" s="80"/>
      <c r="AK75"/>
      <c r="AL75" s="80"/>
      <c r="AO75"/>
      <c r="AP75"/>
      <c r="AQ75"/>
    </row>
    <row r="76" spans="1:43" s="762" customFormat="1" ht="15.75" customHeight="1">
      <c r="A76"/>
      <c r="B76"/>
      <c r="C76"/>
      <c r="D76"/>
      <c r="E76"/>
      <c r="F76"/>
      <c r="G76" s="80"/>
      <c r="H76"/>
      <c r="I76"/>
      <c r="J76"/>
      <c r="K76"/>
      <c r="L76"/>
      <c r="M76"/>
      <c r="N76" s="159"/>
      <c r="O76"/>
      <c r="P76" s="629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 s="773"/>
      <c r="AH76" s="80"/>
      <c r="AI76" s="80"/>
      <c r="AJ76" s="80"/>
      <c r="AK76"/>
      <c r="AL76" s="80"/>
      <c r="AO76"/>
      <c r="AP76"/>
      <c r="AQ76"/>
    </row>
    <row r="77" spans="1:43" s="762" customFormat="1" ht="15.75" customHeight="1">
      <c r="A77"/>
      <c r="B77"/>
      <c r="C77"/>
      <c r="D77"/>
      <c r="E77"/>
      <c r="F77"/>
      <c r="G77" s="80"/>
      <c r="H77"/>
      <c r="I77"/>
      <c r="J77"/>
      <c r="K77"/>
      <c r="L77"/>
      <c r="M77"/>
      <c r="N77" s="159"/>
      <c r="O77"/>
      <c r="P77" s="629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 s="773"/>
      <c r="AH77" s="80"/>
      <c r="AI77" s="80"/>
      <c r="AJ77" s="80"/>
      <c r="AK77"/>
      <c r="AL77" s="80"/>
      <c r="AO77"/>
      <c r="AP77"/>
      <c r="AQ77"/>
    </row>
    <row r="78" spans="1:43" s="762" customFormat="1" ht="15.75" customHeight="1">
      <c r="A78"/>
      <c r="B78"/>
      <c r="C78"/>
      <c r="D78"/>
      <c r="E78"/>
      <c r="F78"/>
      <c r="G78" s="80"/>
      <c r="H78"/>
      <c r="I78"/>
      <c r="J78"/>
      <c r="K78"/>
      <c r="L78"/>
      <c r="M78"/>
      <c r="N78" s="159"/>
      <c r="O78"/>
      <c r="P78" s="629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 s="773"/>
      <c r="AH78" s="80"/>
      <c r="AI78" s="80"/>
      <c r="AJ78" s="80"/>
      <c r="AK78"/>
      <c r="AL78" s="80"/>
      <c r="AO78"/>
      <c r="AP78"/>
      <c r="AQ78"/>
    </row>
    <row r="79" spans="1:43" s="762" customFormat="1" ht="15.75" customHeight="1">
      <c r="A79"/>
      <c r="B79"/>
      <c r="C79"/>
      <c r="D79"/>
      <c r="E79"/>
      <c r="F79"/>
      <c r="G79" s="80"/>
      <c r="H79"/>
      <c r="I79"/>
      <c r="J79"/>
      <c r="K79"/>
      <c r="L79"/>
      <c r="M79"/>
      <c r="N79" s="159"/>
      <c r="O79"/>
      <c r="P79" s="62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 s="773"/>
      <c r="AH79" s="80"/>
      <c r="AI79" s="80"/>
      <c r="AJ79" s="80"/>
      <c r="AK79"/>
      <c r="AL79" s="80"/>
      <c r="AO79"/>
      <c r="AP79"/>
      <c r="AQ79"/>
    </row>
    <row r="80" spans="1:43" s="762" customFormat="1" ht="15.75" customHeight="1">
      <c r="A80"/>
      <c r="B80"/>
      <c r="C80"/>
      <c r="D80"/>
      <c r="E80"/>
      <c r="F80"/>
      <c r="G80" s="80"/>
      <c r="H80"/>
      <c r="I80"/>
      <c r="J80"/>
      <c r="K80"/>
      <c r="L80"/>
      <c r="M80"/>
      <c r="N80" s="159"/>
      <c r="O80"/>
      <c r="P80" s="629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 s="773"/>
      <c r="AH80" s="80"/>
      <c r="AI80" s="80"/>
      <c r="AJ80" s="80"/>
      <c r="AK80"/>
      <c r="AL80" s="80"/>
      <c r="AO80"/>
      <c r="AP80"/>
      <c r="AQ80"/>
    </row>
    <row r="81" spans="1:43" s="762" customFormat="1" ht="15.75" customHeight="1">
      <c r="A81"/>
      <c r="B81"/>
      <c r="C81"/>
      <c r="D81"/>
      <c r="E81"/>
      <c r="F81"/>
      <c r="G81" s="80"/>
      <c r="H81"/>
      <c r="I81"/>
      <c r="J81"/>
      <c r="K81"/>
      <c r="L81"/>
      <c r="M81"/>
      <c r="N81" s="159"/>
      <c r="O81"/>
      <c r="P81" s="629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 s="773"/>
      <c r="AH81" s="80"/>
      <c r="AI81" s="80"/>
      <c r="AJ81" s="80"/>
      <c r="AK81"/>
      <c r="AL81" s="80"/>
      <c r="AO81"/>
      <c r="AP81"/>
      <c r="AQ81"/>
    </row>
    <row r="82" spans="1:43" s="762" customFormat="1" ht="15.75" customHeight="1">
      <c r="A82"/>
      <c r="B82"/>
      <c r="C82"/>
      <c r="D82"/>
      <c r="E82"/>
      <c r="F82"/>
      <c r="G82" s="80"/>
      <c r="H82"/>
      <c r="I82"/>
      <c r="J82"/>
      <c r="K82"/>
      <c r="L82"/>
      <c r="M82"/>
      <c r="N82" s="159"/>
      <c r="O82"/>
      <c r="P82" s="629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 s="773"/>
      <c r="AH82" s="80"/>
      <c r="AI82" s="80"/>
      <c r="AJ82" s="80"/>
      <c r="AK82"/>
      <c r="AL82" s="80"/>
      <c r="AO82"/>
      <c r="AP82"/>
      <c r="AQ82"/>
    </row>
    <row r="83" spans="1:43" s="762" customFormat="1" ht="15.75" customHeight="1">
      <c r="A83"/>
      <c r="B83"/>
      <c r="C83"/>
      <c r="D83"/>
      <c r="E83"/>
      <c r="F83"/>
      <c r="G83" s="80"/>
      <c r="H83"/>
      <c r="I83"/>
      <c r="J83"/>
      <c r="K83"/>
      <c r="L83"/>
      <c r="M83"/>
      <c r="N83" s="159"/>
      <c r="O83"/>
      <c r="P83" s="629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 s="773"/>
      <c r="AH83" s="80"/>
      <c r="AI83" s="80"/>
      <c r="AJ83" s="80"/>
      <c r="AK83"/>
      <c r="AL83" s="80"/>
      <c r="AO83"/>
      <c r="AP83"/>
      <c r="AQ83"/>
    </row>
    <row r="84" spans="1:43" s="762" customFormat="1" ht="15.75" customHeight="1">
      <c r="A84"/>
      <c r="B84"/>
      <c r="C84"/>
      <c r="D84"/>
      <c r="E84"/>
      <c r="F84"/>
      <c r="G84" s="80"/>
      <c r="H84"/>
      <c r="I84"/>
      <c r="J84"/>
      <c r="K84"/>
      <c r="L84"/>
      <c r="M84"/>
      <c r="N84" s="159"/>
      <c r="O84"/>
      <c r="P84" s="629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 s="773"/>
      <c r="AH84" s="80"/>
      <c r="AI84" s="80"/>
      <c r="AJ84" s="80"/>
      <c r="AK84"/>
      <c r="AL84" s="80"/>
      <c r="AO84"/>
      <c r="AP84"/>
      <c r="AQ84"/>
    </row>
    <row r="85" spans="1:43" s="762" customFormat="1" ht="15.75" customHeight="1">
      <c r="A85"/>
      <c r="B85"/>
      <c r="C85"/>
      <c r="D85"/>
      <c r="E85"/>
      <c r="F85"/>
      <c r="G85" s="80"/>
      <c r="H85"/>
      <c r="I85"/>
      <c r="J85"/>
      <c r="K85"/>
      <c r="L85"/>
      <c r="M85"/>
      <c r="N85" s="159"/>
      <c r="O85"/>
      <c r="P85" s="629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 s="773"/>
      <c r="AH85" s="80"/>
      <c r="AI85" s="80"/>
      <c r="AJ85" s="80"/>
      <c r="AK85"/>
      <c r="AL85" s="80"/>
      <c r="AO85"/>
      <c r="AP85"/>
      <c r="AQ85"/>
    </row>
    <row r="86" spans="1:43" s="762" customFormat="1" ht="15.75" customHeight="1">
      <c r="A86"/>
      <c r="B86"/>
      <c r="C86"/>
      <c r="D86"/>
      <c r="E86"/>
      <c r="F86"/>
      <c r="G86" s="80"/>
      <c r="H86"/>
      <c r="I86"/>
      <c r="J86"/>
      <c r="K86"/>
      <c r="L86"/>
      <c r="M86"/>
      <c r="N86" s="159"/>
      <c r="O86"/>
      <c r="P86" s="629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 s="773"/>
      <c r="AH86" s="80"/>
      <c r="AI86" s="80"/>
      <c r="AJ86" s="80"/>
      <c r="AK86"/>
      <c r="AL86" s="80"/>
      <c r="AO86"/>
      <c r="AP86"/>
      <c r="AQ86"/>
    </row>
    <row r="87" spans="1:43" s="762" customFormat="1" ht="15.75" customHeight="1">
      <c r="A87"/>
      <c r="B87"/>
      <c r="C87"/>
      <c r="D87"/>
      <c r="E87"/>
      <c r="F87"/>
      <c r="G87" s="80"/>
      <c r="H87"/>
      <c r="I87"/>
      <c r="J87"/>
      <c r="K87"/>
      <c r="L87"/>
      <c r="M87"/>
      <c r="N87" s="159"/>
      <c r="O87"/>
      <c r="P87" s="629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 s="773"/>
      <c r="AH87" s="80"/>
      <c r="AI87" s="80"/>
      <c r="AJ87" s="80"/>
      <c r="AK87"/>
      <c r="AL87" s="80"/>
      <c r="AO87"/>
      <c r="AP87"/>
      <c r="AQ87"/>
    </row>
    <row r="88" spans="1:43" s="762" customFormat="1" ht="15.75" customHeight="1">
      <c r="A88"/>
      <c r="B88"/>
      <c r="C88"/>
      <c r="D88"/>
      <c r="E88"/>
      <c r="F88"/>
      <c r="G88" s="80"/>
      <c r="H88"/>
      <c r="I88"/>
      <c r="J88"/>
      <c r="K88"/>
      <c r="L88"/>
      <c r="M88"/>
      <c r="N88" s="159"/>
      <c r="O88"/>
      <c r="P88" s="629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 s="773"/>
      <c r="AH88" s="80"/>
      <c r="AI88" s="80"/>
      <c r="AJ88" s="80"/>
      <c r="AK88"/>
      <c r="AL88" s="80"/>
      <c r="AO88"/>
      <c r="AP88"/>
      <c r="AQ88"/>
    </row>
    <row r="89" spans="1:43" s="762" customFormat="1" ht="15.75" customHeight="1">
      <c r="A89"/>
      <c r="B89"/>
      <c r="C89"/>
      <c r="D89"/>
      <c r="E89"/>
      <c r="F89"/>
      <c r="G89" s="80"/>
      <c r="H89"/>
      <c r="I89"/>
      <c r="J89"/>
      <c r="K89"/>
      <c r="L89"/>
      <c r="M89"/>
      <c r="N89" s="159"/>
      <c r="O89"/>
      <c r="P89" s="62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 s="773"/>
      <c r="AH89" s="80"/>
      <c r="AI89" s="80"/>
      <c r="AJ89" s="80"/>
      <c r="AK89"/>
      <c r="AL89" s="80"/>
      <c r="AO89"/>
      <c r="AP89"/>
      <c r="AQ89"/>
    </row>
    <row r="90" spans="1:43" s="762" customFormat="1" ht="15.75" customHeight="1">
      <c r="A90"/>
      <c r="B90"/>
      <c r="C90"/>
      <c r="D90"/>
      <c r="E90"/>
      <c r="F90"/>
      <c r="G90" s="80"/>
      <c r="H90"/>
      <c r="I90"/>
      <c r="J90"/>
      <c r="K90"/>
      <c r="L90"/>
      <c r="M90"/>
      <c r="N90" s="159"/>
      <c r="O90"/>
      <c r="P90" s="629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 s="773"/>
      <c r="AH90" s="80"/>
      <c r="AI90" s="80"/>
      <c r="AJ90" s="80"/>
      <c r="AK90"/>
      <c r="AL90" s="80"/>
      <c r="AO90"/>
      <c r="AP90"/>
      <c r="AQ90"/>
    </row>
    <row r="91" spans="1:43" s="762" customFormat="1" ht="15.75" customHeight="1">
      <c r="A91"/>
      <c r="B91"/>
      <c r="C91"/>
      <c r="D91"/>
      <c r="E91"/>
      <c r="F91"/>
      <c r="G91" s="80"/>
      <c r="H91"/>
      <c r="I91"/>
      <c r="J91"/>
      <c r="K91"/>
      <c r="L91"/>
      <c r="M91"/>
      <c r="N91" s="159"/>
      <c r="O91"/>
      <c r="P91" s="629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 s="773"/>
      <c r="AH91" s="80"/>
      <c r="AI91" s="80"/>
      <c r="AJ91" s="80"/>
      <c r="AK91"/>
      <c r="AL91" s="80"/>
      <c r="AO91"/>
      <c r="AP91"/>
      <c r="AQ91"/>
    </row>
    <row r="92" spans="1:43" s="762" customFormat="1" ht="15.75" customHeight="1">
      <c r="A92"/>
      <c r="B92"/>
      <c r="C92"/>
      <c r="D92"/>
      <c r="E92"/>
      <c r="F92"/>
      <c r="G92" s="80"/>
      <c r="H92"/>
      <c r="I92"/>
      <c r="J92"/>
      <c r="K92"/>
      <c r="L92"/>
      <c r="M92"/>
      <c r="N92" s="159"/>
      <c r="O92"/>
      <c r="P92" s="629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 s="773"/>
      <c r="AH92" s="80"/>
      <c r="AI92" s="80"/>
      <c r="AJ92" s="80"/>
      <c r="AK92"/>
      <c r="AL92" s="80"/>
      <c r="AO92"/>
      <c r="AP92"/>
      <c r="AQ92"/>
    </row>
    <row r="93" spans="1:43" s="762" customFormat="1" ht="15.75" customHeight="1">
      <c r="A93"/>
      <c r="B93"/>
      <c r="C93"/>
      <c r="D93"/>
      <c r="E93"/>
      <c r="F93"/>
      <c r="G93" s="80"/>
      <c r="H93"/>
      <c r="I93"/>
      <c r="J93"/>
      <c r="K93"/>
      <c r="L93"/>
      <c r="M93"/>
      <c r="N93" s="159"/>
      <c r="O93"/>
      <c r="P93" s="629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 s="773"/>
      <c r="AH93" s="80"/>
      <c r="AI93" s="80"/>
      <c r="AJ93" s="80"/>
      <c r="AK93"/>
      <c r="AL93" s="80"/>
      <c r="AO93"/>
      <c r="AP93"/>
      <c r="AQ93"/>
    </row>
    <row r="94" spans="1:43" s="762" customFormat="1" ht="15.75" customHeight="1">
      <c r="A94"/>
      <c r="B94"/>
      <c r="C94"/>
      <c r="D94"/>
      <c r="E94"/>
      <c r="F94"/>
      <c r="G94" s="80"/>
      <c r="H94"/>
      <c r="I94"/>
      <c r="J94"/>
      <c r="K94"/>
      <c r="L94"/>
      <c r="M94"/>
      <c r="N94" s="159"/>
      <c r="O94"/>
      <c r="P94" s="629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 s="773"/>
      <c r="AH94" s="80"/>
      <c r="AI94" s="80"/>
      <c r="AJ94" s="80"/>
      <c r="AK94"/>
      <c r="AL94" s="80"/>
      <c r="AO94"/>
      <c r="AP94"/>
      <c r="AQ94"/>
    </row>
    <row r="95" spans="1:43" s="762" customFormat="1" ht="15.75" customHeight="1">
      <c r="A95"/>
      <c r="B95"/>
      <c r="C95"/>
      <c r="D95"/>
      <c r="E95"/>
      <c r="F95"/>
      <c r="G95" s="80"/>
      <c r="H95"/>
      <c r="I95"/>
      <c r="J95"/>
      <c r="K95"/>
      <c r="L95"/>
      <c r="M95"/>
      <c r="N95" s="159"/>
      <c r="O95"/>
      <c r="P95" s="629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 s="773"/>
      <c r="AH95" s="80"/>
      <c r="AI95" s="80"/>
      <c r="AJ95" s="80"/>
      <c r="AK95"/>
      <c r="AL95" s="80"/>
      <c r="AO95"/>
      <c r="AP95"/>
      <c r="AQ95"/>
    </row>
    <row r="96" spans="1:43" s="762" customFormat="1" ht="15.75" customHeight="1">
      <c r="A96"/>
      <c r="B96"/>
      <c r="C96"/>
      <c r="D96"/>
      <c r="E96"/>
      <c r="F96"/>
      <c r="G96" s="80"/>
      <c r="H96"/>
      <c r="I96"/>
      <c r="J96"/>
      <c r="K96"/>
      <c r="L96"/>
      <c r="M96"/>
      <c r="N96" s="159"/>
      <c r="O96"/>
      <c r="P96" s="629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 s="773"/>
      <c r="AH96" s="80"/>
      <c r="AI96" s="80"/>
      <c r="AJ96" s="80"/>
      <c r="AK96"/>
      <c r="AL96" s="80"/>
      <c r="AO96"/>
      <c r="AP96"/>
      <c r="AQ96"/>
    </row>
    <row r="97" spans="1:43" s="762" customFormat="1" ht="15.75" customHeight="1">
      <c r="A97"/>
      <c r="B97"/>
      <c r="C97"/>
      <c r="D97"/>
      <c r="E97"/>
      <c r="F97"/>
      <c r="G97" s="80"/>
      <c r="H97"/>
      <c r="I97"/>
      <c r="J97"/>
      <c r="K97"/>
      <c r="L97"/>
      <c r="M97"/>
      <c r="N97" s="159"/>
      <c r="O97"/>
      <c r="P97" s="629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 s="773"/>
      <c r="AH97" s="80"/>
      <c r="AI97" s="80"/>
      <c r="AJ97" s="80"/>
      <c r="AK97"/>
      <c r="AL97" s="80"/>
      <c r="AO97"/>
      <c r="AP97"/>
      <c r="AQ97"/>
    </row>
    <row r="98" spans="1:43" s="762" customFormat="1" ht="15.75" customHeight="1">
      <c r="A98"/>
      <c r="B98"/>
      <c r="C98"/>
      <c r="D98"/>
      <c r="E98"/>
      <c r="F98"/>
      <c r="G98" s="80"/>
      <c r="H98"/>
      <c r="I98"/>
      <c r="J98"/>
      <c r="K98"/>
      <c r="L98"/>
      <c r="M98"/>
      <c r="N98" s="159"/>
      <c r="O98"/>
      <c r="P98" s="629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 s="773"/>
      <c r="AH98" s="80"/>
      <c r="AI98" s="80"/>
      <c r="AJ98" s="80"/>
      <c r="AK98"/>
      <c r="AL98" s="80"/>
      <c r="AO98"/>
      <c r="AP98"/>
      <c r="AQ98"/>
    </row>
    <row r="99" spans="1:43" s="762" customFormat="1" ht="15.75" customHeight="1">
      <c r="A99"/>
      <c r="B99"/>
      <c r="C99"/>
      <c r="D99"/>
      <c r="E99"/>
      <c r="F99"/>
      <c r="G99" s="80"/>
      <c r="H99"/>
      <c r="I99"/>
      <c r="J99"/>
      <c r="K99"/>
      <c r="L99"/>
      <c r="M99"/>
      <c r="N99" s="159"/>
      <c r="O99"/>
      <c r="P99" s="62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 s="773"/>
      <c r="AH99" s="80"/>
      <c r="AI99" s="80"/>
      <c r="AJ99" s="80"/>
      <c r="AK99"/>
      <c r="AL99" s="80"/>
      <c r="AO99"/>
      <c r="AP99"/>
      <c r="AQ99"/>
    </row>
    <row r="100" spans="1:43" s="762" customFormat="1" ht="15.75" customHeight="1">
      <c r="A100"/>
      <c r="B100"/>
      <c r="C100"/>
      <c r="D100"/>
      <c r="E100"/>
      <c r="F100"/>
      <c r="G100" s="80"/>
      <c r="H100"/>
      <c r="I100"/>
      <c r="J100"/>
      <c r="K100"/>
      <c r="L100"/>
      <c r="M100"/>
      <c r="N100" s="159"/>
      <c r="O100"/>
      <c r="P100" s="629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 s="773"/>
      <c r="AH100" s="80"/>
      <c r="AI100" s="80"/>
      <c r="AJ100" s="80"/>
      <c r="AK100"/>
      <c r="AL100" s="80"/>
      <c r="AO100"/>
      <c r="AP100"/>
      <c r="AQ100"/>
    </row>
    <row r="101" spans="1:43" s="762" customFormat="1" ht="15.75" customHeight="1">
      <c r="A101"/>
      <c r="B101"/>
      <c r="C101"/>
      <c r="D101"/>
      <c r="E101"/>
      <c r="F101"/>
      <c r="G101" s="80"/>
      <c r="H101"/>
      <c r="I101"/>
      <c r="J101"/>
      <c r="K101"/>
      <c r="L101"/>
      <c r="M101"/>
      <c r="N101" s="159"/>
      <c r="O101"/>
      <c r="P101" s="629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 s="773"/>
      <c r="AH101" s="80"/>
      <c r="AI101" s="80"/>
      <c r="AJ101" s="80"/>
      <c r="AK101"/>
      <c r="AL101" s="80"/>
      <c r="AO101"/>
      <c r="AP101"/>
      <c r="AQ101"/>
    </row>
    <row r="102" spans="1:43" s="762" customFormat="1" ht="15.75" customHeight="1">
      <c r="A102"/>
      <c r="B102"/>
      <c r="C102"/>
      <c r="D102"/>
      <c r="E102"/>
      <c r="F102"/>
      <c r="G102" s="80"/>
      <c r="H102"/>
      <c r="I102"/>
      <c r="J102"/>
      <c r="K102"/>
      <c r="L102"/>
      <c r="M102"/>
      <c r="N102" s="159"/>
      <c r="O102"/>
      <c r="P102" s="629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 s="773"/>
      <c r="AH102" s="80"/>
      <c r="AI102" s="80"/>
      <c r="AJ102" s="80"/>
      <c r="AK102"/>
      <c r="AL102" s="80"/>
      <c r="AO102"/>
      <c r="AP102"/>
      <c r="AQ102"/>
    </row>
    <row r="103" spans="1:43" s="762" customFormat="1" ht="15.75" customHeight="1">
      <c r="A103"/>
      <c r="B103"/>
      <c r="C103"/>
      <c r="D103"/>
      <c r="E103"/>
      <c r="F103"/>
      <c r="G103" s="80"/>
      <c r="H103"/>
      <c r="I103"/>
      <c r="J103"/>
      <c r="K103"/>
      <c r="L103"/>
      <c r="M103"/>
      <c r="N103" s="159"/>
      <c r="O103"/>
      <c r="P103" s="629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 s="773"/>
      <c r="AH103" s="80"/>
      <c r="AI103" s="80"/>
      <c r="AJ103" s="80"/>
      <c r="AK103"/>
      <c r="AL103" s="80"/>
      <c r="AO103"/>
      <c r="AP103"/>
      <c r="AQ103"/>
    </row>
    <row r="104" spans="1:43" s="762" customFormat="1" ht="15.75" customHeight="1">
      <c r="A104"/>
      <c r="B104"/>
      <c r="C104"/>
      <c r="D104"/>
      <c r="E104"/>
      <c r="F104"/>
      <c r="G104" s="80"/>
      <c r="H104"/>
      <c r="I104"/>
      <c r="J104"/>
      <c r="K104"/>
      <c r="L104"/>
      <c r="M104"/>
      <c r="N104" s="159"/>
      <c r="O104"/>
      <c r="P104" s="629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 s="773"/>
      <c r="AH104" s="80"/>
      <c r="AI104" s="80"/>
      <c r="AJ104" s="80"/>
      <c r="AK104"/>
      <c r="AL104" s="80"/>
      <c r="AO104"/>
      <c r="AP104"/>
      <c r="AQ104"/>
    </row>
    <row r="105" spans="1:43" s="762" customFormat="1" ht="15.75" customHeight="1">
      <c r="A105"/>
      <c r="B105"/>
      <c r="C105"/>
      <c r="D105"/>
      <c r="E105"/>
      <c r="F105"/>
      <c r="G105" s="80"/>
      <c r="H105"/>
      <c r="I105"/>
      <c r="J105"/>
      <c r="K105"/>
      <c r="L105"/>
      <c r="M105"/>
      <c r="N105" s="159"/>
      <c r="O105"/>
      <c r="P105" s="629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 s="773"/>
      <c r="AH105" s="80"/>
      <c r="AI105" s="80"/>
      <c r="AJ105" s="80"/>
      <c r="AK105"/>
      <c r="AL105" s="80"/>
      <c r="AO105"/>
      <c r="AP105"/>
      <c r="AQ105"/>
    </row>
    <row r="106" spans="1:43" s="762" customFormat="1" ht="15.75" customHeight="1">
      <c r="A106"/>
      <c r="B106"/>
      <c r="C106"/>
      <c r="D106"/>
      <c r="E106"/>
      <c r="F106"/>
      <c r="G106" s="80"/>
      <c r="H106"/>
      <c r="I106"/>
      <c r="J106"/>
      <c r="K106"/>
      <c r="L106"/>
      <c r="M106"/>
      <c r="N106" s="159"/>
      <c r="O106"/>
      <c r="P106" s="629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 s="773"/>
      <c r="AH106" s="80"/>
      <c r="AI106" s="80"/>
      <c r="AJ106" s="80"/>
      <c r="AK106"/>
      <c r="AL106" s="80"/>
      <c r="AO106"/>
      <c r="AP106"/>
      <c r="AQ106"/>
    </row>
    <row r="107" spans="1:43" s="762" customFormat="1" ht="15.75" customHeight="1">
      <c r="A107"/>
      <c r="B107"/>
      <c r="C107"/>
      <c r="D107"/>
      <c r="E107"/>
      <c r="F107"/>
      <c r="G107" s="80"/>
      <c r="H107"/>
      <c r="I107"/>
      <c r="J107"/>
      <c r="K107"/>
      <c r="L107"/>
      <c r="M107"/>
      <c r="N107" s="159"/>
      <c r="O107"/>
      <c r="P107" s="629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 s="773"/>
      <c r="AH107" s="80"/>
      <c r="AI107" s="80"/>
      <c r="AJ107" s="80"/>
      <c r="AK107"/>
      <c r="AL107" s="80"/>
      <c r="AO107"/>
      <c r="AP107"/>
      <c r="AQ107"/>
    </row>
    <row r="108" spans="1:43" s="762" customFormat="1" ht="15.75" customHeight="1">
      <c r="A108"/>
      <c r="B108"/>
      <c r="C108"/>
      <c r="D108"/>
      <c r="E108"/>
      <c r="F108"/>
      <c r="G108" s="80"/>
      <c r="H108"/>
      <c r="I108"/>
      <c r="J108"/>
      <c r="K108"/>
      <c r="L108"/>
      <c r="M108"/>
      <c r="N108" s="159"/>
      <c r="O108"/>
      <c r="P108" s="629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 s="773"/>
      <c r="AH108" s="80"/>
      <c r="AI108" s="80"/>
      <c r="AJ108" s="80"/>
      <c r="AK108"/>
      <c r="AL108" s="80"/>
      <c r="AO108"/>
      <c r="AP108"/>
      <c r="AQ108"/>
    </row>
    <row r="109" spans="1:43" s="762" customFormat="1" ht="15.75" customHeight="1">
      <c r="A109"/>
      <c r="B109"/>
      <c r="C109"/>
      <c r="D109"/>
      <c r="E109"/>
      <c r="F109"/>
      <c r="G109" s="80"/>
      <c r="H109"/>
      <c r="I109"/>
      <c r="J109"/>
      <c r="K109"/>
      <c r="L109"/>
      <c r="M109"/>
      <c r="N109" s="159"/>
      <c r="O109"/>
      <c r="P109" s="62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 s="773"/>
      <c r="AH109" s="80"/>
      <c r="AI109" s="80"/>
      <c r="AJ109" s="80"/>
      <c r="AK109"/>
      <c r="AL109" s="80"/>
      <c r="AO109"/>
      <c r="AP109"/>
      <c r="AQ109"/>
    </row>
    <row r="110" spans="1:43" s="762" customFormat="1" ht="15.75" customHeight="1">
      <c r="A110"/>
      <c r="B110"/>
      <c r="C110"/>
      <c r="D110"/>
      <c r="E110"/>
      <c r="F110"/>
      <c r="G110" s="80"/>
      <c r="H110"/>
      <c r="I110"/>
      <c r="J110"/>
      <c r="K110"/>
      <c r="L110"/>
      <c r="M110"/>
      <c r="N110" s="159"/>
      <c r="O110"/>
      <c r="P110" s="629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 s="773"/>
      <c r="AH110" s="80"/>
      <c r="AI110" s="80"/>
      <c r="AJ110" s="80"/>
      <c r="AK110"/>
      <c r="AL110" s="80"/>
      <c r="AO110"/>
      <c r="AP110"/>
      <c r="AQ110"/>
    </row>
    <row r="111" spans="1:43" s="762" customFormat="1" ht="15.75" customHeight="1">
      <c r="A111"/>
      <c r="B111"/>
      <c r="C111"/>
      <c r="D111"/>
      <c r="E111"/>
      <c r="F111"/>
      <c r="G111" s="80"/>
      <c r="H111"/>
      <c r="I111"/>
      <c r="J111"/>
      <c r="K111"/>
      <c r="L111"/>
      <c r="M111"/>
      <c r="N111" s="159"/>
      <c r="O111"/>
      <c r="P111" s="629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 s="773"/>
      <c r="AH111" s="80"/>
      <c r="AI111" s="80"/>
      <c r="AJ111" s="80"/>
      <c r="AK111"/>
      <c r="AL111" s="80"/>
      <c r="AO111"/>
      <c r="AP111"/>
      <c r="AQ111"/>
    </row>
    <row r="112" spans="1:43" s="762" customFormat="1" ht="15.75" customHeight="1">
      <c r="A112"/>
      <c r="B112"/>
      <c r="C112"/>
      <c r="D112"/>
      <c r="E112"/>
      <c r="F112"/>
      <c r="G112" s="80"/>
      <c r="H112"/>
      <c r="I112"/>
      <c r="J112"/>
      <c r="K112"/>
      <c r="L112"/>
      <c r="M112"/>
      <c r="N112" s="159"/>
      <c r="O112"/>
      <c r="P112" s="629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 s="773"/>
      <c r="AH112" s="80"/>
      <c r="AI112" s="80"/>
      <c r="AJ112" s="80"/>
      <c r="AK112"/>
      <c r="AL112" s="80"/>
      <c r="AO112"/>
      <c r="AP112"/>
      <c r="AQ112"/>
    </row>
    <row r="113" spans="1:43" s="762" customFormat="1" ht="15.75" customHeight="1">
      <c r="A113"/>
      <c r="B113"/>
      <c r="C113"/>
      <c r="D113"/>
      <c r="E113"/>
      <c r="F113"/>
      <c r="G113" s="80"/>
      <c r="H113"/>
      <c r="I113"/>
      <c r="J113"/>
      <c r="K113"/>
      <c r="L113"/>
      <c r="M113"/>
      <c r="N113" s="159"/>
      <c r="O113"/>
      <c r="P113" s="629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 s="773"/>
      <c r="AH113" s="80"/>
      <c r="AI113" s="80"/>
      <c r="AJ113" s="80"/>
      <c r="AK113"/>
      <c r="AL113" s="80"/>
      <c r="AO113"/>
      <c r="AP113"/>
      <c r="AQ113"/>
    </row>
    <row r="114" spans="1:43" s="762" customFormat="1" ht="15.75" customHeight="1">
      <c r="A114"/>
      <c r="B114"/>
      <c r="C114"/>
      <c r="D114"/>
      <c r="E114"/>
      <c r="F114"/>
      <c r="G114" s="80"/>
      <c r="H114"/>
      <c r="I114"/>
      <c r="J114"/>
      <c r="K114"/>
      <c r="L114"/>
      <c r="M114"/>
      <c r="N114" s="159"/>
      <c r="O114"/>
      <c r="P114" s="629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 s="773"/>
      <c r="AH114" s="80"/>
      <c r="AI114" s="80"/>
      <c r="AJ114" s="80"/>
      <c r="AK114"/>
      <c r="AL114" s="80"/>
      <c r="AO114"/>
      <c r="AP114"/>
      <c r="AQ114"/>
    </row>
    <row r="115" spans="1:43" s="762" customFormat="1" ht="15.75" customHeight="1">
      <c r="A115"/>
      <c r="B115"/>
      <c r="C115"/>
      <c r="D115"/>
      <c r="E115"/>
      <c r="F115"/>
      <c r="G115" s="80"/>
      <c r="H115"/>
      <c r="I115"/>
      <c r="J115"/>
      <c r="K115"/>
      <c r="L115"/>
      <c r="M115"/>
      <c r="N115" s="159"/>
      <c r="O115"/>
      <c r="P115" s="629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 s="773"/>
      <c r="AH115" s="80"/>
      <c r="AI115" s="80"/>
      <c r="AJ115" s="80"/>
      <c r="AK115"/>
      <c r="AL115" s="80"/>
      <c r="AO115"/>
      <c r="AP115"/>
      <c r="AQ115"/>
    </row>
    <row r="116" spans="1:43" s="762" customFormat="1" ht="15.75" customHeight="1">
      <c r="A116"/>
      <c r="B116"/>
      <c r="C116"/>
      <c r="D116"/>
      <c r="E116"/>
      <c r="F116"/>
      <c r="G116" s="80"/>
      <c r="H116"/>
      <c r="I116"/>
      <c r="J116"/>
      <c r="K116"/>
      <c r="L116"/>
      <c r="M116"/>
      <c r="N116" s="159"/>
      <c r="O116"/>
      <c r="P116" s="629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 s="773"/>
      <c r="AH116" s="80"/>
      <c r="AI116" s="80"/>
      <c r="AJ116" s="80"/>
      <c r="AK116"/>
      <c r="AL116" s="80"/>
      <c r="AO116"/>
      <c r="AP116"/>
      <c r="AQ116"/>
    </row>
    <row r="117" spans="1:43" s="762" customFormat="1" ht="15.75" customHeight="1">
      <c r="A117"/>
      <c r="B117"/>
      <c r="C117"/>
      <c r="D117"/>
      <c r="E117"/>
      <c r="F117"/>
      <c r="G117" s="80"/>
      <c r="H117"/>
      <c r="I117"/>
      <c r="J117"/>
      <c r="K117"/>
      <c r="L117"/>
      <c r="M117"/>
      <c r="N117" s="159"/>
      <c r="O117"/>
      <c r="P117" s="629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 s="773"/>
      <c r="AH117" s="80"/>
      <c r="AI117" s="80"/>
      <c r="AJ117" s="80"/>
      <c r="AK117"/>
      <c r="AL117" s="80"/>
      <c r="AO117"/>
      <c r="AP117"/>
      <c r="AQ117"/>
    </row>
    <row r="118" spans="1:43" s="762" customFormat="1" ht="15.75" customHeight="1">
      <c r="A118"/>
      <c r="B118"/>
      <c r="C118"/>
      <c r="D118"/>
      <c r="E118"/>
      <c r="F118"/>
      <c r="G118" s="80"/>
      <c r="H118"/>
      <c r="I118"/>
      <c r="J118"/>
      <c r="K118"/>
      <c r="L118"/>
      <c r="M118"/>
      <c r="N118" s="159"/>
      <c r="O118"/>
      <c r="P118" s="629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 s="773"/>
      <c r="AH118" s="80"/>
      <c r="AI118" s="80"/>
      <c r="AJ118" s="80"/>
      <c r="AK118"/>
      <c r="AL118" s="80"/>
      <c r="AO118"/>
      <c r="AP118"/>
      <c r="AQ118"/>
    </row>
    <row r="119" spans="1:43" s="762" customFormat="1" ht="15.75" customHeight="1">
      <c r="A119"/>
      <c r="B119"/>
      <c r="C119"/>
      <c r="D119"/>
      <c r="E119"/>
      <c r="F119"/>
      <c r="G119" s="80"/>
      <c r="H119"/>
      <c r="I119"/>
      <c r="J119"/>
      <c r="K119"/>
      <c r="L119"/>
      <c r="M119"/>
      <c r="N119" s="159"/>
      <c r="O119"/>
      <c r="P119" s="62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 s="773"/>
      <c r="AH119" s="80"/>
      <c r="AI119" s="80"/>
      <c r="AJ119" s="80"/>
      <c r="AK119"/>
      <c r="AL119" s="80"/>
      <c r="AO119"/>
      <c r="AP119"/>
      <c r="AQ119"/>
    </row>
    <row r="120" spans="1:43" s="762" customFormat="1" ht="15.75" customHeight="1">
      <c r="A120"/>
      <c r="B120"/>
      <c r="C120"/>
      <c r="D120"/>
      <c r="E120"/>
      <c r="F120"/>
      <c r="G120" s="80"/>
      <c r="H120"/>
      <c r="I120"/>
      <c r="J120"/>
      <c r="K120"/>
      <c r="L120"/>
      <c r="M120"/>
      <c r="N120" s="159"/>
      <c r="O120"/>
      <c r="P120" s="629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 s="773"/>
      <c r="AH120" s="80"/>
      <c r="AI120" s="80"/>
      <c r="AJ120" s="80"/>
      <c r="AK120"/>
      <c r="AL120" s="80"/>
      <c r="AO120"/>
      <c r="AP120"/>
      <c r="AQ120"/>
    </row>
    <row r="121" spans="1:43" s="762" customFormat="1" ht="15.75" customHeight="1">
      <c r="A121"/>
      <c r="B121"/>
      <c r="C121"/>
      <c r="D121"/>
      <c r="E121"/>
      <c r="F121"/>
      <c r="G121" s="80"/>
      <c r="H121"/>
      <c r="I121"/>
      <c r="J121"/>
      <c r="K121"/>
      <c r="L121"/>
      <c r="M121"/>
      <c r="N121" s="159"/>
      <c r="O121"/>
      <c r="P121" s="629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 s="773"/>
      <c r="AH121" s="80"/>
      <c r="AI121" s="80"/>
      <c r="AJ121" s="80"/>
      <c r="AK121"/>
      <c r="AL121" s="80"/>
      <c r="AO121"/>
      <c r="AP121"/>
      <c r="AQ121"/>
    </row>
    <row r="122" spans="1:43" s="762" customFormat="1" ht="15.75" customHeight="1">
      <c r="A122"/>
      <c r="B122"/>
      <c r="C122"/>
      <c r="D122"/>
      <c r="E122"/>
      <c r="F122"/>
      <c r="G122" s="80"/>
      <c r="H122"/>
      <c r="I122"/>
      <c r="J122"/>
      <c r="K122"/>
      <c r="L122"/>
      <c r="M122"/>
      <c r="N122" s="159"/>
      <c r="O122"/>
      <c r="P122" s="629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 s="773"/>
      <c r="AH122" s="80"/>
      <c r="AI122" s="80"/>
      <c r="AJ122" s="80"/>
      <c r="AK122"/>
      <c r="AL122" s="80"/>
      <c r="AO122"/>
      <c r="AP122"/>
      <c r="AQ122"/>
    </row>
    <row r="123" spans="1:43" s="762" customFormat="1" ht="15.75" customHeight="1">
      <c r="A123"/>
      <c r="B123"/>
      <c r="C123"/>
      <c r="D123"/>
      <c r="E123"/>
      <c r="F123"/>
      <c r="G123" s="80"/>
      <c r="H123"/>
      <c r="I123"/>
      <c r="J123"/>
      <c r="K123"/>
      <c r="L123"/>
      <c r="M123"/>
      <c r="N123" s="159"/>
      <c r="O123"/>
      <c r="P123" s="629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 s="773"/>
      <c r="AH123" s="80"/>
      <c r="AI123" s="80"/>
      <c r="AJ123" s="80"/>
      <c r="AK123"/>
      <c r="AL123" s="80"/>
      <c r="AO123"/>
      <c r="AP123"/>
      <c r="AQ123"/>
    </row>
    <row r="124" spans="1:43" s="762" customFormat="1" ht="15.75" customHeight="1">
      <c r="A124"/>
      <c r="B124"/>
      <c r="C124"/>
      <c r="D124"/>
      <c r="E124"/>
      <c r="F124"/>
      <c r="G124" s="80"/>
      <c r="H124"/>
      <c r="I124"/>
      <c r="J124"/>
      <c r="K124"/>
      <c r="L124"/>
      <c r="M124"/>
      <c r="N124" s="159"/>
      <c r="O124"/>
      <c r="P124" s="629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 s="773"/>
      <c r="AH124" s="80"/>
      <c r="AI124" s="80"/>
      <c r="AJ124" s="80"/>
      <c r="AK124"/>
      <c r="AL124" s="80"/>
      <c r="AO124"/>
      <c r="AP124"/>
      <c r="AQ124"/>
    </row>
    <row r="125" spans="1:43" s="762" customFormat="1" ht="15.75" customHeight="1">
      <c r="A125"/>
      <c r="B125"/>
      <c r="C125"/>
      <c r="D125"/>
      <c r="E125"/>
      <c r="F125"/>
      <c r="G125" s="80"/>
      <c r="H125"/>
      <c r="I125"/>
      <c r="J125"/>
      <c r="K125"/>
      <c r="L125"/>
      <c r="M125"/>
      <c r="N125" s="159"/>
      <c r="O125"/>
      <c r="P125" s="629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 s="773"/>
      <c r="AH125" s="80"/>
      <c r="AI125" s="80"/>
      <c r="AJ125" s="80"/>
      <c r="AK125"/>
      <c r="AL125" s="80"/>
      <c r="AO125"/>
      <c r="AP125"/>
      <c r="AQ125"/>
    </row>
    <row r="126" spans="1:43" s="762" customFormat="1" ht="15.75" customHeight="1">
      <c r="A126"/>
      <c r="B126"/>
      <c r="C126"/>
      <c r="D126"/>
      <c r="E126"/>
      <c r="F126"/>
      <c r="G126" s="80"/>
      <c r="H126"/>
      <c r="I126"/>
      <c r="J126"/>
      <c r="K126"/>
      <c r="L126"/>
      <c r="M126"/>
      <c r="N126" s="159"/>
      <c r="O126"/>
      <c r="P126" s="629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 s="773"/>
      <c r="AH126" s="80"/>
      <c r="AI126" s="80"/>
      <c r="AJ126" s="80"/>
      <c r="AK126"/>
      <c r="AL126" s="80"/>
      <c r="AO126"/>
      <c r="AP126"/>
      <c r="AQ126"/>
    </row>
    <row r="127" spans="1:43" s="762" customFormat="1" ht="15.75" customHeight="1">
      <c r="A127"/>
      <c r="B127"/>
      <c r="C127"/>
      <c r="D127"/>
      <c r="E127"/>
      <c r="F127"/>
      <c r="G127" s="80"/>
      <c r="H127"/>
      <c r="I127"/>
      <c r="J127"/>
      <c r="K127"/>
      <c r="L127"/>
      <c r="M127"/>
      <c r="N127" s="159"/>
      <c r="O127"/>
      <c r="P127" s="629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 s="773"/>
      <c r="AH127" s="80"/>
      <c r="AI127" s="80"/>
      <c r="AJ127" s="80"/>
      <c r="AK127"/>
      <c r="AL127" s="80"/>
      <c r="AO127"/>
      <c r="AP127"/>
      <c r="AQ127"/>
    </row>
    <row r="128" spans="1:43" s="762" customFormat="1" ht="15.75" customHeight="1">
      <c r="A128"/>
      <c r="B128"/>
      <c r="C128"/>
      <c r="D128"/>
      <c r="E128"/>
      <c r="F128"/>
      <c r="G128" s="80"/>
      <c r="H128"/>
      <c r="I128"/>
      <c r="J128"/>
      <c r="K128"/>
      <c r="L128"/>
      <c r="M128"/>
      <c r="N128" s="159"/>
      <c r="O128"/>
      <c r="P128" s="629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 s="773"/>
      <c r="AH128" s="80"/>
      <c r="AI128" s="80"/>
      <c r="AJ128" s="80"/>
      <c r="AK128"/>
      <c r="AL128" s="80"/>
      <c r="AO128"/>
      <c r="AP128"/>
      <c r="AQ128"/>
    </row>
    <row r="129" spans="1:43" s="762" customFormat="1" ht="15.75" customHeight="1">
      <c r="A129"/>
      <c r="B129"/>
      <c r="C129"/>
      <c r="D129"/>
      <c r="E129"/>
      <c r="F129"/>
      <c r="G129" s="80"/>
      <c r="H129"/>
      <c r="I129"/>
      <c r="J129"/>
      <c r="K129"/>
      <c r="L129"/>
      <c r="M129"/>
      <c r="N129" s="159"/>
      <c r="O129"/>
      <c r="P129" s="6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 s="773"/>
      <c r="AH129" s="80"/>
      <c r="AI129" s="80"/>
      <c r="AJ129" s="80"/>
      <c r="AK129"/>
      <c r="AL129" s="80"/>
      <c r="AO129"/>
      <c r="AP129"/>
      <c r="AQ129"/>
    </row>
    <row r="130" spans="1:43" s="762" customFormat="1" ht="15.75" customHeight="1">
      <c r="A130"/>
      <c r="B130"/>
      <c r="C130"/>
      <c r="D130"/>
      <c r="E130"/>
      <c r="F130"/>
      <c r="G130" s="80"/>
      <c r="H130"/>
      <c r="I130"/>
      <c r="J130"/>
      <c r="K130"/>
      <c r="L130"/>
      <c r="M130"/>
      <c r="N130" s="159"/>
      <c r="O130"/>
      <c r="P130" s="629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 s="773"/>
      <c r="AH130" s="80"/>
      <c r="AI130" s="80"/>
      <c r="AJ130" s="80"/>
      <c r="AK130"/>
      <c r="AL130" s="80"/>
      <c r="AO130"/>
      <c r="AP130"/>
      <c r="AQ130"/>
    </row>
    <row r="131" spans="1:43" s="762" customFormat="1" ht="15.75" customHeight="1">
      <c r="A131"/>
      <c r="B131"/>
      <c r="C131"/>
      <c r="D131"/>
      <c r="E131"/>
      <c r="F131"/>
      <c r="G131" s="80"/>
      <c r="H131"/>
      <c r="I131"/>
      <c r="J131"/>
      <c r="K131"/>
      <c r="L131"/>
      <c r="M131"/>
      <c r="N131" s="159"/>
      <c r="O131"/>
      <c r="P131" s="629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 s="773"/>
      <c r="AH131" s="80"/>
      <c r="AI131" s="80"/>
      <c r="AJ131" s="80"/>
      <c r="AK131"/>
      <c r="AL131" s="80"/>
      <c r="AO131"/>
      <c r="AP131"/>
      <c r="AQ131"/>
    </row>
    <row r="132" spans="1:43" s="762" customFormat="1" ht="15.75" customHeight="1">
      <c r="A132"/>
      <c r="B132"/>
      <c r="C132"/>
      <c r="D132"/>
      <c r="E132"/>
      <c r="F132"/>
      <c r="G132" s="80"/>
      <c r="H132"/>
      <c r="I132"/>
      <c r="J132"/>
      <c r="K132"/>
      <c r="L132"/>
      <c r="M132"/>
      <c r="N132" s="159"/>
      <c r="O132"/>
      <c r="P132" s="629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 s="773"/>
      <c r="AH132" s="80"/>
      <c r="AI132" s="80"/>
      <c r="AJ132" s="80"/>
      <c r="AK132"/>
      <c r="AL132" s="80"/>
      <c r="AO132"/>
      <c r="AP132"/>
      <c r="AQ132"/>
    </row>
    <row r="133" spans="1:43" s="762" customFormat="1" ht="15.75" customHeight="1">
      <c r="A133"/>
      <c r="B133"/>
      <c r="C133"/>
      <c r="D133"/>
      <c r="E133"/>
      <c r="F133"/>
      <c r="G133" s="80"/>
      <c r="H133"/>
      <c r="I133"/>
      <c r="J133"/>
      <c r="K133"/>
      <c r="L133"/>
      <c r="M133"/>
      <c r="N133" s="159"/>
      <c r="O133"/>
      <c r="P133" s="629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 s="773"/>
      <c r="AH133" s="80"/>
      <c r="AI133" s="80"/>
      <c r="AJ133" s="80"/>
      <c r="AK133"/>
      <c r="AL133" s="80"/>
      <c r="AO133"/>
      <c r="AP133"/>
      <c r="AQ133"/>
    </row>
    <row r="134" spans="1:43" s="762" customFormat="1" ht="15.75" customHeight="1">
      <c r="A134"/>
      <c r="B134"/>
      <c r="C134"/>
      <c r="D134"/>
      <c r="E134"/>
      <c r="F134"/>
      <c r="G134" s="80"/>
      <c r="H134"/>
      <c r="I134"/>
      <c r="J134"/>
      <c r="K134"/>
      <c r="L134"/>
      <c r="M134"/>
      <c r="N134" s="159"/>
      <c r="O134"/>
      <c r="P134" s="629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 s="773"/>
      <c r="AH134" s="80"/>
      <c r="AI134" s="80"/>
      <c r="AJ134" s="80"/>
      <c r="AK134"/>
      <c r="AL134" s="80"/>
      <c r="AO134"/>
      <c r="AP134"/>
      <c r="AQ134"/>
    </row>
    <row r="135" spans="1:43" s="762" customFormat="1" ht="15.75" customHeight="1">
      <c r="A135"/>
      <c r="B135"/>
      <c r="C135"/>
      <c r="D135"/>
      <c r="E135"/>
      <c r="F135"/>
      <c r="G135" s="80"/>
      <c r="H135"/>
      <c r="I135"/>
      <c r="J135"/>
      <c r="K135"/>
      <c r="L135"/>
      <c r="M135"/>
      <c r="N135" s="159"/>
      <c r="O135"/>
      <c r="P135" s="629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 s="773"/>
      <c r="AH135" s="80"/>
      <c r="AI135" s="80"/>
      <c r="AJ135" s="80"/>
      <c r="AK135"/>
      <c r="AL135" s="80"/>
      <c r="AO135"/>
      <c r="AP135"/>
      <c r="AQ135"/>
    </row>
    <row r="136" spans="1:43" s="762" customFormat="1" ht="15.75" customHeight="1">
      <c r="A136"/>
      <c r="B136"/>
      <c r="C136"/>
      <c r="D136"/>
      <c r="E136"/>
      <c r="F136"/>
      <c r="G136" s="80"/>
      <c r="H136"/>
      <c r="I136"/>
      <c r="J136"/>
      <c r="K136"/>
      <c r="L136"/>
      <c r="M136"/>
      <c r="N136" s="159"/>
      <c r="O136"/>
      <c r="P136" s="629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 s="773"/>
      <c r="AH136" s="80"/>
      <c r="AI136" s="80"/>
      <c r="AJ136" s="80"/>
      <c r="AK136"/>
      <c r="AL136" s="80"/>
      <c r="AO136"/>
      <c r="AP136"/>
      <c r="AQ136"/>
    </row>
    <row r="137" spans="1:43" s="762" customFormat="1" ht="15.75" customHeight="1">
      <c r="A137"/>
      <c r="B137"/>
      <c r="C137"/>
      <c r="D137"/>
      <c r="E137"/>
      <c r="F137"/>
      <c r="G137" s="80"/>
      <c r="H137"/>
      <c r="I137"/>
      <c r="J137"/>
      <c r="K137"/>
      <c r="L137"/>
      <c r="M137"/>
      <c r="N137" s="159"/>
      <c r="O137"/>
      <c r="P137" s="629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 s="773"/>
      <c r="AH137" s="80"/>
      <c r="AI137" s="80"/>
      <c r="AJ137" s="80"/>
      <c r="AK137"/>
      <c r="AL137" s="80"/>
      <c r="AO137"/>
      <c r="AP137"/>
      <c r="AQ137"/>
    </row>
    <row r="138" spans="1:43" s="762" customFormat="1" ht="15.75" customHeight="1">
      <c r="A138"/>
      <c r="B138"/>
      <c r="C138"/>
      <c r="D138"/>
      <c r="E138"/>
      <c r="F138"/>
      <c r="G138" s="80"/>
      <c r="H138"/>
      <c r="I138"/>
      <c r="J138"/>
      <c r="K138"/>
      <c r="L138"/>
      <c r="M138"/>
      <c r="N138" s="159"/>
      <c r="O138"/>
      <c r="P138" s="629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 s="773"/>
      <c r="AH138" s="80"/>
      <c r="AI138" s="80"/>
      <c r="AJ138" s="80"/>
      <c r="AK138"/>
      <c r="AL138" s="80"/>
      <c r="AO138"/>
      <c r="AP138"/>
      <c r="AQ138"/>
    </row>
    <row r="139" spans="1:43" s="762" customFormat="1" ht="15.75" customHeight="1">
      <c r="A139"/>
      <c r="B139"/>
      <c r="C139"/>
      <c r="D139"/>
      <c r="E139"/>
      <c r="F139"/>
      <c r="G139" s="80"/>
      <c r="H139"/>
      <c r="I139"/>
      <c r="J139"/>
      <c r="K139"/>
      <c r="L139"/>
      <c r="M139"/>
      <c r="N139" s="159"/>
      <c r="O139"/>
      <c r="P139" s="62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 s="773"/>
      <c r="AH139" s="80"/>
      <c r="AI139" s="80"/>
      <c r="AJ139" s="80"/>
      <c r="AK139"/>
      <c r="AL139" s="80"/>
      <c r="AO139"/>
      <c r="AP139"/>
      <c r="AQ139"/>
    </row>
    <row r="140" spans="1:43" s="762" customFormat="1" ht="15.75" customHeight="1">
      <c r="A140"/>
      <c r="B140"/>
      <c r="C140"/>
      <c r="D140"/>
      <c r="E140"/>
      <c r="F140"/>
      <c r="G140" s="80"/>
      <c r="H140"/>
      <c r="I140"/>
      <c r="J140"/>
      <c r="K140"/>
      <c r="L140"/>
      <c r="M140"/>
      <c r="N140" s="159"/>
      <c r="O140"/>
      <c r="P140" s="629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 s="773"/>
      <c r="AH140" s="80"/>
      <c r="AI140" s="80"/>
      <c r="AJ140" s="80"/>
      <c r="AK140"/>
      <c r="AL140" s="80"/>
      <c r="AO140"/>
      <c r="AP140"/>
      <c r="AQ140"/>
    </row>
    <row r="141" spans="1:43" s="762" customFormat="1" ht="15.75" customHeight="1">
      <c r="A141"/>
      <c r="B141"/>
      <c r="C141"/>
      <c r="D141"/>
      <c r="E141"/>
      <c r="F141"/>
      <c r="G141" s="80"/>
      <c r="H141"/>
      <c r="I141"/>
      <c r="J141"/>
      <c r="K141"/>
      <c r="L141"/>
      <c r="M141"/>
      <c r="N141" s="159"/>
      <c r="O141"/>
      <c r="P141" s="629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 s="773"/>
      <c r="AH141" s="80"/>
      <c r="AI141" s="80"/>
      <c r="AJ141" s="80"/>
      <c r="AK141"/>
      <c r="AL141" s="80"/>
      <c r="AO141"/>
      <c r="AP141"/>
      <c r="AQ141"/>
    </row>
    <row r="142" spans="1:43" s="762" customFormat="1" ht="15.75" customHeight="1">
      <c r="A142"/>
      <c r="B142"/>
      <c r="C142"/>
      <c r="D142"/>
      <c r="E142"/>
      <c r="F142"/>
      <c r="G142" s="80"/>
      <c r="H142"/>
      <c r="I142"/>
      <c r="J142"/>
      <c r="K142"/>
      <c r="L142"/>
      <c r="M142"/>
      <c r="N142" s="159"/>
      <c r="O142"/>
      <c r="P142" s="629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 s="773"/>
      <c r="AH142" s="80"/>
      <c r="AI142" s="80"/>
      <c r="AJ142" s="80"/>
      <c r="AK142"/>
      <c r="AL142" s="80"/>
      <c r="AO142"/>
      <c r="AP142"/>
      <c r="AQ142"/>
    </row>
    <row r="143" spans="1:43" s="762" customFormat="1" ht="15.75" customHeight="1">
      <c r="A143"/>
      <c r="B143"/>
      <c r="C143"/>
      <c r="D143"/>
      <c r="E143"/>
      <c r="F143"/>
      <c r="G143" s="80"/>
      <c r="H143"/>
      <c r="I143"/>
      <c r="J143"/>
      <c r="K143"/>
      <c r="L143"/>
      <c r="M143"/>
      <c r="N143" s="159"/>
      <c r="O143"/>
      <c r="P143" s="629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 s="773"/>
      <c r="AH143" s="80"/>
      <c r="AI143" s="80"/>
      <c r="AJ143" s="80"/>
      <c r="AK143"/>
      <c r="AL143" s="80"/>
      <c r="AO143"/>
      <c r="AP143"/>
      <c r="AQ143"/>
    </row>
    <row r="144" spans="1:43" s="762" customFormat="1" ht="15.75" customHeight="1">
      <c r="A144"/>
      <c r="B144"/>
      <c r="C144"/>
      <c r="D144"/>
      <c r="E144"/>
      <c r="F144"/>
      <c r="G144" s="80"/>
      <c r="H144"/>
      <c r="I144"/>
      <c r="J144"/>
      <c r="K144"/>
      <c r="L144"/>
      <c r="M144"/>
      <c r="N144" s="159"/>
      <c r="O144"/>
      <c r="P144" s="629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 s="773"/>
      <c r="AH144" s="80"/>
      <c r="AI144" s="80"/>
      <c r="AJ144" s="80"/>
      <c r="AK144"/>
      <c r="AL144" s="80"/>
      <c r="AO144"/>
      <c r="AP144"/>
      <c r="AQ144"/>
    </row>
    <row r="145" spans="1:43" s="762" customFormat="1" ht="15.75" customHeight="1">
      <c r="A145"/>
      <c r="B145"/>
      <c r="C145"/>
      <c r="D145"/>
      <c r="E145"/>
      <c r="F145"/>
      <c r="G145" s="80"/>
      <c r="H145"/>
      <c r="I145"/>
      <c r="J145"/>
      <c r="K145"/>
      <c r="L145"/>
      <c r="M145"/>
      <c r="N145" s="159"/>
      <c r="O145"/>
      <c r="P145" s="629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 s="773"/>
      <c r="AH145" s="80"/>
      <c r="AI145" s="80"/>
      <c r="AJ145" s="80"/>
      <c r="AK145"/>
      <c r="AL145" s="80"/>
      <c r="AO145"/>
      <c r="AP145"/>
      <c r="AQ145"/>
    </row>
    <row r="146" spans="1:43" s="762" customFormat="1" ht="15.75" customHeight="1">
      <c r="A146"/>
      <c r="B146"/>
      <c r="C146"/>
      <c r="D146"/>
      <c r="E146"/>
      <c r="F146"/>
      <c r="G146" s="80"/>
      <c r="H146"/>
      <c r="I146"/>
      <c r="J146"/>
      <c r="K146"/>
      <c r="L146"/>
      <c r="M146"/>
      <c r="N146" s="159"/>
      <c r="O146"/>
      <c r="P146" s="629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 s="773"/>
      <c r="AH146" s="80"/>
      <c r="AI146" s="80"/>
      <c r="AJ146" s="80"/>
      <c r="AK146"/>
      <c r="AL146" s="80"/>
      <c r="AO146"/>
      <c r="AP146"/>
      <c r="AQ146"/>
    </row>
    <row r="147" spans="1:43" s="762" customFormat="1" ht="15.75" customHeight="1">
      <c r="A147"/>
      <c r="B147"/>
      <c r="C147"/>
      <c r="D147"/>
      <c r="E147"/>
      <c r="F147"/>
      <c r="G147" s="80"/>
      <c r="H147"/>
      <c r="I147"/>
      <c r="J147"/>
      <c r="K147"/>
      <c r="L147"/>
      <c r="M147"/>
      <c r="N147" s="159"/>
      <c r="O147"/>
      <c r="P147" s="629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 s="773"/>
      <c r="AH147" s="80"/>
      <c r="AI147" s="80"/>
      <c r="AJ147" s="80"/>
      <c r="AK147"/>
      <c r="AL147" s="80"/>
      <c r="AO147"/>
      <c r="AP147"/>
      <c r="AQ147"/>
    </row>
    <row r="148" spans="1:43" s="762" customFormat="1" ht="15.75" customHeight="1">
      <c r="A148"/>
      <c r="B148"/>
      <c r="C148"/>
      <c r="D148"/>
      <c r="E148"/>
      <c r="F148"/>
      <c r="G148" s="80"/>
      <c r="H148"/>
      <c r="I148"/>
      <c r="J148"/>
      <c r="K148"/>
      <c r="L148"/>
      <c r="M148"/>
      <c r="N148" s="159"/>
      <c r="O148"/>
      <c r="P148" s="629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 s="773"/>
      <c r="AH148" s="80"/>
      <c r="AI148" s="80"/>
      <c r="AJ148" s="80"/>
      <c r="AK148"/>
      <c r="AL148" s="80"/>
      <c r="AO148"/>
      <c r="AP148"/>
      <c r="AQ148"/>
    </row>
    <row r="149" spans="1:43" s="762" customFormat="1" ht="15.75" customHeight="1">
      <c r="A149"/>
      <c r="B149"/>
      <c r="C149"/>
      <c r="D149"/>
      <c r="E149"/>
      <c r="F149"/>
      <c r="G149" s="80"/>
      <c r="H149"/>
      <c r="I149"/>
      <c r="J149"/>
      <c r="K149"/>
      <c r="L149"/>
      <c r="M149"/>
      <c r="N149" s="159"/>
      <c r="O149"/>
      <c r="P149" s="62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 s="773"/>
      <c r="AH149" s="80"/>
      <c r="AI149" s="80"/>
      <c r="AJ149" s="80"/>
      <c r="AK149"/>
      <c r="AL149" s="80"/>
      <c r="AO149"/>
      <c r="AP149"/>
      <c r="AQ149"/>
    </row>
    <row r="150" spans="1:43" s="762" customFormat="1" ht="15.75" customHeight="1">
      <c r="A150"/>
      <c r="B150"/>
      <c r="C150"/>
      <c r="D150"/>
      <c r="E150"/>
      <c r="F150"/>
      <c r="G150" s="80"/>
      <c r="H150"/>
      <c r="I150"/>
      <c r="J150"/>
      <c r="K150"/>
      <c r="L150"/>
      <c r="M150"/>
      <c r="N150" s="159"/>
      <c r="O150"/>
      <c r="P150" s="629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 s="773"/>
      <c r="AH150" s="80"/>
      <c r="AI150" s="80"/>
      <c r="AJ150" s="80"/>
      <c r="AK150"/>
      <c r="AL150" s="80"/>
      <c r="AO150"/>
      <c r="AP150"/>
      <c r="AQ150"/>
    </row>
    <row r="151" spans="1:43" s="762" customFormat="1" ht="15.75" customHeight="1">
      <c r="A151"/>
      <c r="B151"/>
      <c r="C151"/>
      <c r="D151"/>
      <c r="E151"/>
      <c r="F151"/>
      <c r="G151" s="80"/>
      <c r="H151"/>
      <c r="I151"/>
      <c r="J151"/>
      <c r="K151"/>
      <c r="L151"/>
      <c r="M151"/>
      <c r="N151" s="159"/>
      <c r="O151"/>
      <c r="P151" s="629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 s="773"/>
      <c r="AH151" s="80"/>
      <c r="AI151" s="80"/>
      <c r="AJ151" s="80"/>
      <c r="AK151"/>
      <c r="AL151" s="80"/>
      <c r="AO151"/>
      <c r="AP151"/>
      <c r="AQ151"/>
    </row>
    <row r="152" spans="1:43" s="762" customFormat="1" ht="15.75" customHeight="1">
      <c r="A152"/>
      <c r="B152"/>
      <c r="C152"/>
      <c r="D152"/>
      <c r="E152"/>
      <c r="F152"/>
      <c r="G152" s="80"/>
      <c r="H152"/>
      <c r="I152"/>
      <c r="J152"/>
      <c r="K152"/>
      <c r="L152"/>
      <c r="M152"/>
      <c r="N152" s="159"/>
      <c r="O152"/>
      <c r="P152" s="629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 s="773"/>
      <c r="AH152" s="80"/>
      <c r="AI152" s="80"/>
      <c r="AJ152" s="80"/>
      <c r="AK152"/>
      <c r="AL152" s="80"/>
      <c r="AO152"/>
      <c r="AP152"/>
      <c r="AQ152"/>
    </row>
    <row r="153" spans="1:43" s="762" customFormat="1" ht="15.75" customHeight="1">
      <c r="A153"/>
      <c r="B153"/>
      <c r="C153"/>
      <c r="D153"/>
      <c r="E153"/>
      <c r="F153"/>
      <c r="G153" s="80"/>
      <c r="H153"/>
      <c r="I153"/>
      <c r="J153"/>
      <c r="K153"/>
      <c r="L153"/>
      <c r="M153"/>
      <c r="N153" s="159"/>
      <c r="O153"/>
      <c r="P153" s="629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 s="773"/>
      <c r="AH153" s="80"/>
      <c r="AI153" s="80"/>
      <c r="AJ153" s="80"/>
      <c r="AK153"/>
      <c r="AL153" s="80"/>
      <c r="AO153"/>
      <c r="AP153"/>
      <c r="AQ153"/>
    </row>
    <row r="154" spans="1:43" s="762" customFormat="1" ht="15.75" customHeight="1">
      <c r="A154"/>
      <c r="B154"/>
      <c r="C154"/>
      <c r="D154"/>
      <c r="E154"/>
      <c r="F154"/>
      <c r="G154" s="80"/>
      <c r="H154"/>
      <c r="I154"/>
      <c r="J154"/>
      <c r="K154"/>
      <c r="L154"/>
      <c r="M154"/>
      <c r="N154" s="159"/>
      <c r="O154"/>
      <c r="P154" s="629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 s="773"/>
      <c r="AH154" s="80"/>
      <c r="AI154" s="80"/>
      <c r="AJ154" s="80"/>
      <c r="AK154"/>
      <c r="AL154" s="80"/>
      <c r="AO154"/>
      <c r="AP154"/>
      <c r="AQ154"/>
    </row>
    <row r="155" spans="1:43" s="762" customFormat="1" ht="15.75" customHeight="1">
      <c r="A155"/>
      <c r="B155"/>
      <c r="C155"/>
      <c r="D155"/>
      <c r="E155"/>
      <c r="F155"/>
      <c r="G155" s="80"/>
      <c r="H155"/>
      <c r="I155"/>
      <c r="J155"/>
      <c r="K155"/>
      <c r="L155"/>
      <c r="M155"/>
      <c r="N155" s="159"/>
      <c r="O155"/>
      <c r="P155" s="629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 s="773"/>
      <c r="AH155" s="80"/>
      <c r="AI155" s="80"/>
      <c r="AJ155" s="80"/>
      <c r="AK155"/>
      <c r="AL155" s="80"/>
      <c r="AO155"/>
      <c r="AP155"/>
      <c r="AQ155"/>
    </row>
    <row r="156" spans="1:43" s="762" customFormat="1" ht="15.75" customHeight="1">
      <c r="A156"/>
      <c r="B156"/>
      <c r="C156"/>
      <c r="D156"/>
      <c r="E156"/>
      <c r="F156"/>
      <c r="G156" s="80"/>
      <c r="H156"/>
      <c r="I156"/>
      <c r="J156"/>
      <c r="K156"/>
      <c r="L156"/>
      <c r="M156"/>
      <c r="N156" s="159"/>
      <c r="O156"/>
      <c r="P156" s="629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 s="773"/>
      <c r="AH156" s="80"/>
      <c r="AI156" s="80"/>
      <c r="AJ156" s="80"/>
      <c r="AK156"/>
      <c r="AL156" s="80"/>
      <c r="AO156"/>
      <c r="AP156"/>
      <c r="AQ156"/>
    </row>
    <row r="157" spans="1:43" s="762" customFormat="1" ht="15.75" customHeight="1">
      <c r="A157"/>
      <c r="B157"/>
      <c r="C157"/>
      <c r="D157"/>
      <c r="E157"/>
      <c r="F157"/>
      <c r="G157" s="80"/>
      <c r="H157"/>
      <c r="I157"/>
      <c r="J157"/>
      <c r="K157"/>
      <c r="L157"/>
      <c r="M157"/>
      <c r="N157" s="159"/>
      <c r="O157"/>
      <c r="P157" s="629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 s="773"/>
      <c r="AH157" s="80"/>
      <c r="AI157" s="80"/>
      <c r="AJ157" s="80"/>
      <c r="AK157"/>
      <c r="AL157" s="80"/>
      <c r="AO157"/>
      <c r="AP157"/>
      <c r="AQ157"/>
    </row>
    <row r="158" spans="1:43" s="762" customFormat="1" ht="15.75" customHeight="1">
      <c r="A158"/>
      <c r="B158"/>
      <c r="C158"/>
      <c r="D158"/>
      <c r="E158"/>
      <c r="F158"/>
      <c r="G158" s="80"/>
      <c r="H158"/>
      <c r="I158"/>
      <c r="J158"/>
      <c r="K158"/>
      <c r="L158"/>
      <c r="M158"/>
      <c r="N158" s="159"/>
      <c r="O158"/>
      <c r="P158" s="629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 s="773"/>
      <c r="AH158" s="80"/>
      <c r="AI158" s="80"/>
      <c r="AJ158" s="80"/>
      <c r="AK158"/>
      <c r="AL158" s="80"/>
      <c r="AO158"/>
      <c r="AP158"/>
      <c r="AQ158"/>
    </row>
    <row r="159" spans="1:43" s="762" customFormat="1" ht="15.75" customHeight="1">
      <c r="A159"/>
      <c r="B159"/>
      <c r="C159"/>
      <c r="D159"/>
      <c r="E159"/>
      <c r="F159"/>
      <c r="G159" s="80"/>
      <c r="H159"/>
      <c r="I159"/>
      <c r="J159"/>
      <c r="K159"/>
      <c r="L159"/>
      <c r="M159"/>
      <c r="N159" s="159"/>
      <c r="O159"/>
      <c r="P159" s="62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 s="773"/>
      <c r="AH159" s="80"/>
      <c r="AI159" s="80"/>
      <c r="AJ159" s="80"/>
      <c r="AK159"/>
      <c r="AL159" s="80"/>
      <c r="AO159"/>
      <c r="AP159"/>
      <c r="AQ159"/>
    </row>
    <row r="160" spans="1:43" s="762" customFormat="1" ht="15.75" customHeight="1">
      <c r="A160"/>
      <c r="B160"/>
      <c r="C160"/>
      <c r="D160"/>
      <c r="E160"/>
      <c r="F160"/>
      <c r="G160" s="80"/>
      <c r="H160"/>
      <c r="I160"/>
      <c r="J160"/>
      <c r="K160"/>
      <c r="L160"/>
      <c r="M160"/>
      <c r="N160" s="159"/>
      <c r="O160"/>
      <c r="P160" s="629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 s="773"/>
      <c r="AH160" s="80"/>
      <c r="AI160" s="80"/>
      <c r="AJ160" s="80"/>
      <c r="AK160"/>
      <c r="AL160" s="80"/>
      <c r="AO160"/>
      <c r="AP160"/>
      <c r="AQ160"/>
    </row>
    <row r="161" spans="1:43" s="762" customFormat="1" ht="15.75" customHeight="1">
      <c r="A161"/>
      <c r="B161"/>
      <c r="C161"/>
      <c r="D161"/>
      <c r="E161"/>
      <c r="F161"/>
      <c r="G161" s="80"/>
      <c r="H161"/>
      <c r="I161"/>
      <c r="J161"/>
      <c r="K161"/>
      <c r="L161"/>
      <c r="M161"/>
      <c r="N161" s="159"/>
      <c r="O161"/>
      <c r="P161" s="629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 s="773"/>
      <c r="AH161" s="80"/>
      <c r="AI161" s="80"/>
      <c r="AJ161" s="80"/>
      <c r="AK161"/>
      <c r="AL161" s="80"/>
      <c r="AO161"/>
      <c r="AP161"/>
      <c r="AQ161"/>
    </row>
    <row r="162" spans="1:43" s="762" customFormat="1" ht="15.75" customHeight="1">
      <c r="A162"/>
      <c r="B162"/>
      <c r="C162"/>
      <c r="D162"/>
      <c r="E162"/>
      <c r="F162"/>
      <c r="G162" s="80"/>
      <c r="H162"/>
      <c r="I162"/>
      <c r="J162"/>
      <c r="K162"/>
      <c r="L162"/>
      <c r="M162"/>
      <c r="N162" s="159"/>
      <c r="O162"/>
      <c r="P162" s="629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 s="773"/>
      <c r="AH162" s="80"/>
      <c r="AI162" s="80"/>
      <c r="AJ162" s="80"/>
      <c r="AK162"/>
      <c r="AL162" s="80"/>
      <c r="AO162"/>
      <c r="AP162"/>
      <c r="AQ162"/>
    </row>
    <row r="163" spans="1:43" s="762" customFormat="1" ht="15.75" customHeight="1">
      <c r="A163"/>
      <c r="B163"/>
      <c r="C163"/>
      <c r="D163"/>
      <c r="E163"/>
      <c r="F163"/>
      <c r="G163" s="80"/>
      <c r="H163"/>
      <c r="I163"/>
      <c r="J163"/>
      <c r="K163"/>
      <c r="L163"/>
      <c r="M163"/>
      <c r="N163" s="159"/>
      <c r="O163"/>
      <c r="P163" s="629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 s="773"/>
      <c r="AH163" s="80"/>
      <c r="AI163" s="80"/>
      <c r="AJ163" s="80"/>
      <c r="AK163"/>
      <c r="AL163" s="80"/>
      <c r="AO163"/>
      <c r="AP163"/>
      <c r="AQ163"/>
    </row>
    <row r="164" spans="1:43" s="762" customFormat="1" ht="15.75" customHeight="1">
      <c r="A164"/>
      <c r="B164"/>
      <c r="C164"/>
      <c r="D164"/>
      <c r="E164"/>
      <c r="F164"/>
      <c r="G164" s="80"/>
      <c r="H164"/>
      <c r="I164"/>
      <c r="J164"/>
      <c r="K164"/>
      <c r="L164"/>
      <c r="M164"/>
      <c r="N164" s="159"/>
      <c r="O164"/>
      <c r="P164" s="629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 s="773"/>
      <c r="AH164" s="80"/>
      <c r="AI164" s="80"/>
      <c r="AJ164" s="80"/>
      <c r="AK164"/>
      <c r="AL164" s="80"/>
      <c r="AO164"/>
      <c r="AP164"/>
      <c r="AQ164"/>
    </row>
    <row r="165" spans="1:43" s="762" customFormat="1" ht="15.75" customHeight="1">
      <c r="A165"/>
      <c r="B165"/>
      <c r="C165"/>
      <c r="D165"/>
      <c r="E165"/>
      <c r="F165"/>
      <c r="G165" s="80"/>
      <c r="H165"/>
      <c r="I165"/>
      <c r="J165"/>
      <c r="K165"/>
      <c r="L165"/>
      <c r="M165"/>
      <c r="N165" s="159"/>
      <c r="O165"/>
      <c r="P165" s="629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 s="773"/>
      <c r="AH165" s="80"/>
      <c r="AI165" s="80"/>
      <c r="AJ165" s="80"/>
      <c r="AK165"/>
      <c r="AL165" s="80"/>
      <c r="AO165"/>
      <c r="AP165"/>
      <c r="AQ165"/>
    </row>
    <row r="166" spans="1:43" s="762" customFormat="1" ht="15.75" customHeight="1">
      <c r="A166"/>
      <c r="B166"/>
      <c r="C166"/>
      <c r="D166"/>
      <c r="E166"/>
      <c r="F166"/>
      <c r="G166" s="80"/>
      <c r="H166"/>
      <c r="I166"/>
      <c r="J166"/>
      <c r="K166"/>
      <c r="L166"/>
      <c r="M166"/>
      <c r="N166" s="159"/>
      <c r="O166"/>
      <c r="P166" s="629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 s="773"/>
      <c r="AH166" s="80"/>
      <c r="AI166" s="80"/>
      <c r="AJ166" s="80"/>
      <c r="AK166"/>
      <c r="AL166" s="80"/>
      <c r="AO166"/>
      <c r="AP166"/>
      <c r="AQ166"/>
    </row>
    <row r="167" spans="1:43" s="762" customFormat="1" ht="15.75" customHeight="1">
      <c r="A167"/>
      <c r="B167"/>
      <c r="C167"/>
      <c r="D167"/>
      <c r="E167"/>
      <c r="F167"/>
      <c r="G167" s="80"/>
      <c r="H167"/>
      <c r="I167"/>
      <c r="J167"/>
      <c r="K167"/>
      <c r="L167"/>
      <c r="M167"/>
      <c r="N167" s="159"/>
      <c r="O167"/>
      <c r="P167" s="629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 s="773"/>
      <c r="AH167" s="80"/>
      <c r="AI167" s="80"/>
      <c r="AJ167" s="80"/>
      <c r="AK167"/>
      <c r="AL167" s="80"/>
      <c r="AO167"/>
      <c r="AP167"/>
      <c r="AQ167"/>
    </row>
    <row r="168" spans="1:43" s="762" customFormat="1" ht="15.75" customHeight="1">
      <c r="A168"/>
      <c r="B168"/>
      <c r="C168"/>
      <c r="D168"/>
      <c r="E168"/>
      <c r="F168"/>
      <c r="G168" s="80"/>
      <c r="H168"/>
      <c r="I168"/>
      <c r="J168"/>
      <c r="K168"/>
      <c r="L168"/>
      <c r="M168"/>
      <c r="N168" s="159"/>
      <c r="O168"/>
      <c r="P168" s="629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 s="773"/>
      <c r="AH168" s="80"/>
      <c r="AI168" s="80"/>
      <c r="AJ168" s="80"/>
      <c r="AK168"/>
      <c r="AL168" s="80"/>
      <c r="AO168"/>
      <c r="AP168"/>
      <c r="AQ168"/>
    </row>
    <row r="169" spans="1:43" s="762" customFormat="1" ht="15.75" customHeight="1">
      <c r="A169"/>
      <c r="B169"/>
      <c r="C169"/>
      <c r="D169"/>
      <c r="E169"/>
      <c r="F169"/>
      <c r="G169" s="80"/>
      <c r="H169"/>
      <c r="I169"/>
      <c r="J169"/>
      <c r="K169"/>
      <c r="L169"/>
      <c r="M169"/>
      <c r="N169" s="159"/>
      <c r="O169"/>
      <c r="P169" s="62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 s="773"/>
      <c r="AH169" s="80"/>
      <c r="AI169" s="80"/>
      <c r="AJ169" s="80"/>
      <c r="AK169"/>
      <c r="AL169" s="80"/>
      <c r="AO169"/>
      <c r="AP169"/>
      <c r="AQ169"/>
    </row>
    <row r="170" spans="1:43" s="762" customFormat="1" ht="15.75" customHeight="1">
      <c r="A170"/>
      <c r="B170"/>
      <c r="C170"/>
      <c r="D170"/>
      <c r="E170"/>
      <c r="F170"/>
      <c r="G170" s="80"/>
      <c r="H170"/>
      <c r="I170"/>
      <c r="J170"/>
      <c r="K170"/>
      <c r="L170"/>
      <c r="M170"/>
      <c r="N170" s="159"/>
      <c r="O170"/>
      <c r="P170" s="629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 s="773"/>
      <c r="AH170" s="80"/>
      <c r="AI170" s="80"/>
      <c r="AJ170" s="80"/>
      <c r="AK170"/>
      <c r="AL170" s="80"/>
      <c r="AO170"/>
      <c r="AP170"/>
      <c r="AQ170"/>
    </row>
    <row r="171" spans="1:43" s="762" customFormat="1" ht="15.75" customHeight="1">
      <c r="A171"/>
      <c r="B171"/>
      <c r="C171"/>
      <c r="D171"/>
      <c r="E171"/>
      <c r="F171"/>
      <c r="G171" s="80"/>
      <c r="H171"/>
      <c r="I171"/>
      <c r="J171"/>
      <c r="K171"/>
      <c r="L171"/>
      <c r="M171"/>
      <c r="N171" s="159"/>
      <c r="O171"/>
      <c r="P171" s="629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 s="773"/>
      <c r="AH171" s="80"/>
      <c r="AI171" s="80"/>
      <c r="AJ171" s="80"/>
      <c r="AK171"/>
      <c r="AL171" s="80"/>
      <c r="AO171"/>
      <c r="AP171"/>
      <c r="AQ171"/>
    </row>
    <row r="172" spans="1:43" s="762" customFormat="1" ht="15.75" customHeight="1">
      <c r="A172"/>
      <c r="B172"/>
      <c r="C172"/>
      <c r="D172"/>
      <c r="E172"/>
      <c r="F172"/>
      <c r="G172" s="80"/>
      <c r="H172"/>
      <c r="I172"/>
      <c r="J172"/>
      <c r="K172"/>
      <c r="L172"/>
      <c r="M172"/>
      <c r="N172" s="159"/>
      <c r="O172"/>
      <c r="P172" s="629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 s="773"/>
      <c r="AH172" s="80"/>
      <c r="AI172" s="80"/>
      <c r="AJ172" s="80"/>
      <c r="AK172"/>
      <c r="AL172" s="80"/>
      <c r="AO172"/>
      <c r="AP172"/>
      <c r="AQ172"/>
    </row>
    <row r="173" spans="1:43" s="762" customFormat="1" ht="15.75" customHeight="1">
      <c r="A173"/>
      <c r="B173"/>
      <c r="C173"/>
      <c r="D173"/>
      <c r="E173"/>
      <c r="F173"/>
      <c r="G173" s="80"/>
      <c r="H173"/>
      <c r="I173"/>
      <c r="J173"/>
      <c r="K173"/>
      <c r="L173"/>
      <c r="M173"/>
      <c r="N173" s="159"/>
      <c r="O173"/>
      <c r="P173" s="629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 s="773"/>
      <c r="AH173" s="80"/>
      <c r="AI173" s="80"/>
      <c r="AJ173" s="80"/>
      <c r="AK173"/>
      <c r="AL173" s="80"/>
      <c r="AO173"/>
      <c r="AP173"/>
      <c r="AQ173"/>
    </row>
    <row r="174" spans="1:43" s="762" customFormat="1" ht="15.75" customHeight="1">
      <c r="A174"/>
      <c r="B174"/>
      <c r="C174"/>
      <c r="D174"/>
      <c r="E174"/>
      <c r="F174"/>
      <c r="G174" s="80"/>
      <c r="H174"/>
      <c r="I174"/>
      <c r="J174"/>
      <c r="K174"/>
      <c r="L174"/>
      <c r="M174"/>
      <c r="N174" s="159"/>
      <c r="O174"/>
      <c r="P174" s="629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 s="773"/>
      <c r="AH174" s="80"/>
      <c r="AI174" s="80"/>
      <c r="AJ174" s="80"/>
      <c r="AK174"/>
      <c r="AL174" s="80"/>
      <c r="AO174"/>
      <c r="AP174"/>
      <c r="AQ174"/>
    </row>
    <row r="175" spans="1:43" s="762" customFormat="1" ht="15.75" customHeight="1">
      <c r="A175"/>
      <c r="B175"/>
      <c r="C175"/>
      <c r="D175"/>
      <c r="E175"/>
      <c r="F175"/>
      <c r="G175" s="80"/>
      <c r="H175"/>
      <c r="I175"/>
      <c r="J175"/>
      <c r="K175"/>
      <c r="L175"/>
      <c r="M175"/>
      <c r="N175" s="159"/>
      <c r="O175"/>
      <c r="P175" s="629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 s="773"/>
      <c r="AH175" s="80"/>
      <c r="AI175" s="80"/>
      <c r="AJ175" s="80"/>
      <c r="AK175"/>
      <c r="AL175" s="80"/>
      <c r="AO175"/>
      <c r="AP175"/>
      <c r="AQ175"/>
    </row>
    <row r="176" spans="1:43" s="762" customFormat="1" ht="15.75" customHeight="1">
      <c r="A176"/>
      <c r="B176"/>
      <c r="C176"/>
      <c r="D176"/>
      <c r="E176"/>
      <c r="F176"/>
      <c r="G176" s="80"/>
      <c r="H176"/>
      <c r="I176"/>
      <c r="J176"/>
      <c r="K176"/>
      <c r="L176"/>
      <c r="M176"/>
      <c r="N176" s="159"/>
      <c r="O176"/>
      <c r="P176" s="629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 s="773"/>
      <c r="AH176" s="80"/>
      <c r="AI176" s="80"/>
      <c r="AJ176" s="80"/>
      <c r="AK176"/>
      <c r="AL176" s="80"/>
      <c r="AO176"/>
      <c r="AP176"/>
      <c r="AQ176"/>
    </row>
    <row r="177" spans="1:43" s="762" customFormat="1" ht="15.75" customHeight="1">
      <c r="A177"/>
      <c r="B177"/>
      <c r="C177"/>
      <c r="D177"/>
      <c r="E177"/>
      <c r="F177"/>
      <c r="G177" s="80"/>
      <c r="H177"/>
      <c r="I177"/>
      <c r="J177"/>
      <c r="K177"/>
      <c r="L177"/>
      <c r="M177"/>
      <c r="N177" s="159"/>
      <c r="O177"/>
      <c r="P177" s="629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 s="773"/>
      <c r="AH177" s="80"/>
      <c r="AI177" s="80"/>
      <c r="AJ177" s="80"/>
      <c r="AK177"/>
      <c r="AL177" s="80"/>
      <c r="AO177"/>
      <c r="AP177"/>
      <c r="AQ177"/>
    </row>
    <row r="178" spans="1:43" s="762" customFormat="1" ht="15.75" customHeight="1">
      <c r="A178"/>
      <c r="B178"/>
      <c r="C178"/>
      <c r="D178"/>
      <c r="E178"/>
      <c r="F178"/>
      <c r="G178" s="80"/>
      <c r="H178"/>
      <c r="I178"/>
      <c r="J178"/>
      <c r="K178"/>
      <c r="L178"/>
      <c r="M178"/>
      <c r="N178" s="159"/>
      <c r="O178"/>
      <c r="P178" s="629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 s="773"/>
      <c r="AH178" s="80"/>
      <c r="AI178" s="80"/>
      <c r="AJ178" s="80"/>
      <c r="AK178"/>
      <c r="AL178" s="80"/>
      <c r="AO178"/>
      <c r="AP178"/>
      <c r="AQ178"/>
    </row>
    <row r="179" spans="1:43" s="762" customFormat="1" ht="15.75" customHeight="1">
      <c r="A179"/>
      <c r="B179"/>
      <c r="C179"/>
      <c r="D179"/>
      <c r="E179"/>
      <c r="F179"/>
      <c r="G179" s="80"/>
      <c r="H179"/>
      <c r="I179"/>
      <c r="J179"/>
      <c r="K179"/>
      <c r="L179"/>
      <c r="M179"/>
      <c r="N179" s="159"/>
      <c r="O179"/>
      <c r="P179" s="62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 s="773"/>
      <c r="AH179" s="80"/>
      <c r="AI179" s="80"/>
      <c r="AJ179" s="80"/>
      <c r="AK179"/>
      <c r="AL179" s="80"/>
      <c r="AO179"/>
      <c r="AP179"/>
      <c r="AQ179"/>
    </row>
    <row r="180" spans="1:43" s="762" customFormat="1" ht="15.75" customHeight="1">
      <c r="A180"/>
      <c r="B180"/>
      <c r="C180"/>
      <c r="D180"/>
      <c r="E180"/>
      <c r="F180"/>
      <c r="G180" s="80"/>
      <c r="H180"/>
      <c r="I180"/>
      <c r="J180"/>
      <c r="K180"/>
      <c r="L180"/>
      <c r="M180"/>
      <c r="N180" s="159"/>
      <c r="O180"/>
      <c r="P180" s="629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 s="773"/>
      <c r="AH180" s="80"/>
      <c r="AI180" s="80"/>
      <c r="AJ180" s="80"/>
      <c r="AK180"/>
      <c r="AL180" s="80"/>
      <c r="AO180"/>
      <c r="AP180"/>
      <c r="AQ180"/>
    </row>
    <row r="181" spans="1:43" s="762" customFormat="1" ht="15.75" customHeight="1">
      <c r="A181"/>
      <c r="B181"/>
      <c r="C181"/>
      <c r="D181"/>
      <c r="E181"/>
      <c r="F181"/>
      <c r="G181" s="80"/>
      <c r="H181"/>
      <c r="I181"/>
      <c r="J181"/>
      <c r="K181"/>
      <c r="L181"/>
      <c r="M181"/>
      <c r="N181" s="159"/>
      <c r="O181"/>
      <c r="P181" s="629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 s="773"/>
      <c r="AH181" s="80"/>
      <c r="AI181" s="80"/>
      <c r="AJ181" s="80"/>
      <c r="AK181"/>
      <c r="AL181" s="80"/>
      <c r="AO181"/>
      <c r="AP181"/>
      <c r="AQ181"/>
    </row>
    <row r="182" spans="1:43" s="762" customFormat="1" ht="15.75" customHeight="1">
      <c r="A182"/>
      <c r="B182"/>
      <c r="C182"/>
      <c r="D182"/>
      <c r="E182"/>
      <c r="F182"/>
      <c r="G182" s="80"/>
      <c r="H182"/>
      <c r="I182"/>
      <c r="J182"/>
      <c r="K182"/>
      <c r="L182"/>
      <c r="M182"/>
      <c r="N182" s="159"/>
      <c r="O182"/>
      <c r="P182" s="629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 s="773"/>
      <c r="AH182" s="80"/>
      <c r="AI182" s="80"/>
      <c r="AJ182" s="80"/>
      <c r="AK182"/>
      <c r="AL182" s="80"/>
      <c r="AO182"/>
      <c r="AP182"/>
      <c r="AQ182"/>
    </row>
    <row r="183" spans="1:43" s="762" customFormat="1" ht="15.75" customHeight="1">
      <c r="A183"/>
      <c r="B183"/>
      <c r="C183"/>
      <c r="D183"/>
      <c r="E183"/>
      <c r="F183"/>
      <c r="G183" s="80"/>
      <c r="H183"/>
      <c r="I183"/>
      <c r="J183"/>
      <c r="K183"/>
      <c r="L183"/>
      <c r="M183"/>
      <c r="N183" s="159"/>
      <c r="O183"/>
      <c r="P183" s="629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 s="773"/>
      <c r="AH183" s="80"/>
      <c r="AI183" s="80"/>
      <c r="AJ183" s="80"/>
      <c r="AK183"/>
      <c r="AL183" s="80"/>
      <c r="AO183"/>
      <c r="AP183"/>
      <c r="AQ183"/>
    </row>
    <row r="184" spans="1:43" s="762" customFormat="1" ht="15.75" customHeight="1">
      <c r="A184"/>
      <c r="B184"/>
      <c r="C184"/>
      <c r="D184"/>
      <c r="E184"/>
      <c r="F184"/>
      <c r="G184" s="80"/>
      <c r="H184"/>
      <c r="I184"/>
      <c r="J184"/>
      <c r="K184"/>
      <c r="L184"/>
      <c r="M184"/>
      <c r="N184" s="159"/>
      <c r="O184"/>
      <c r="P184" s="629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 s="773"/>
      <c r="AH184" s="80"/>
      <c r="AI184" s="80"/>
      <c r="AJ184" s="80"/>
      <c r="AK184"/>
      <c r="AL184" s="80"/>
      <c r="AO184"/>
      <c r="AP184"/>
      <c r="AQ184"/>
    </row>
    <row r="185" spans="1:43" s="762" customFormat="1" ht="15.75" customHeight="1">
      <c r="A185"/>
      <c r="B185"/>
      <c r="C185"/>
      <c r="D185"/>
      <c r="E185"/>
      <c r="F185"/>
      <c r="G185" s="80"/>
      <c r="H185"/>
      <c r="I185"/>
      <c r="J185"/>
      <c r="K185"/>
      <c r="L185"/>
      <c r="M185"/>
      <c r="N185" s="159"/>
      <c r="O185"/>
      <c r="P185" s="629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 s="773"/>
      <c r="AH185" s="80"/>
      <c r="AI185" s="80"/>
      <c r="AJ185" s="80"/>
      <c r="AK185"/>
      <c r="AL185" s="80"/>
      <c r="AO185"/>
      <c r="AP185"/>
      <c r="AQ185"/>
    </row>
    <row r="186" spans="1:43" s="762" customFormat="1" ht="15.75" customHeight="1">
      <c r="A186"/>
      <c r="B186"/>
      <c r="C186"/>
      <c r="D186"/>
      <c r="E186"/>
      <c r="F186"/>
      <c r="G186" s="80"/>
      <c r="H186"/>
      <c r="I186"/>
      <c r="J186"/>
      <c r="K186"/>
      <c r="L186"/>
      <c r="M186"/>
      <c r="N186" s="159"/>
      <c r="O186"/>
      <c r="P186" s="629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 s="773"/>
      <c r="AH186" s="80"/>
      <c r="AI186" s="80"/>
      <c r="AJ186" s="80"/>
      <c r="AK186"/>
      <c r="AL186" s="80"/>
      <c r="AO186"/>
      <c r="AP186"/>
      <c r="AQ186"/>
    </row>
    <row r="187" spans="1:43" s="762" customFormat="1" ht="15.75" customHeight="1">
      <c r="A187"/>
      <c r="B187"/>
      <c r="C187"/>
      <c r="D187"/>
      <c r="E187"/>
      <c r="F187"/>
      <c r="G187" s="80"/>
      <c r="H187"/>
      <c r="I187"/>
      <c r="J187"/>
      <c r="K187"/>
      <c r="L187"/>
      <c r="M187"/>
      <c r="N187" s="159"/>
      <c r="O187"/>
      <c r="P187" s="629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 s="773"/>
      <c r="AH187" s="80"/>
      <c r="AI187" s="80"/>
      <c r="AJ187" s="80"/>
      <c r="AK187"/>
      <c r="AL187" s="80"/>
      <c r="AO187"/>
      <c r="AP187"/>
      <c r="AQ187"/>
    </row>
    <row r="188" spans="1:43" s="762" customFormat="1" ht="15.75" customHeight="1">
      <c r="A188"/>
      <c r="B188"/>
      <c r="C188"/>
      <c r="D188"/>
      <c r="E188"/>
      <c r="F188"/>
      <c r="G188" s="80"/>
      <c r="H188"/>
      <c r="I188"/>
      <c r="J188"/>
      <c r="K188"/>
      <c r="L188"/>
      <c r="M188"/>
      <c r="N188" s="159"/>
      <c r="O188"/>
      <c r="P188" s="629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 s="773"/>
      <c r="AH188" s="80"/>
      <c r="AI188" s="80"/>
      <c r="AJ188" s="80"/>
      <c r="AK188"/>
      <c r="AL188" s="80"/>
      <c r="AO188"/>
      <c r="AP188"/>
      <c r="AQ188"/>
    </row>
    <row r="189" spans="1:43" s="762" customFormat="1" ht="15.75" customHeight="1">
      <c r="A189"/>
      <c r="B189"/>
      <c r="C189"/>
      <c r="D189"/>
      <c r="E189"/>
      <c r="F189"/>
      <c r="G189" s="80"/>
      <c r="H189"/>
      <c r="I189"/>
      <c r="J189"/>
      <c r="K189"/>
      <c r="L189"/>
      <c r="M189"/>
      <c r="N189" s="159"/>
      <c r="O189"/>
      <c r="P189" s="62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 s="773"/>
      <c r="AH189" s="80"/>
      <c r="AI189" s="80"/>
      <c r="AJ189" s="80"/>
      <c r="AK189"/>
      <c r="AL189" s="80"/>
      <c r="AO189"/>
      <c r="AP189"/>
      <c r="AQ189"/>
    </row>
    <row r="190" spans="1:43" s="762" customFormat="1" ht="15.75" customHeight="1">
      <c r="A190"/>
      <c r="B190"/>
      <c r="C190"/>
      <c r="D190"/>
      <c r="E190"/>
      <c r="F190"/>
      <c r="G190" s="80"/>
      <c r="H190"/>
      <c r="I190"/>
      <c r="J190"/>
      <c r="K190"/>
      <c r="L190"/>
      <c r="M190"/>
      <c r="N190" s="159"/>
      <c r="O190"/>
      <c r="P190" s="629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 s="773"/>
      <c r="AH190" s="80"/>
      <c r="AI190" s="80"/>
      <c r="AJ190" s="80"/>
      <c r="AK190"/>
      <c r="AL190" s="80"/>
      <c r="AO190"/>
      <c r="AP190"/>
      <c r="AQ190"/>
    </row>
    <row r="191" spans="1:43" s="762" customFormat="1" ht="15.75" customHeight="1">
      <c r="A191"/>
      <c r="B191"/>
      <c r="C191"/>
      <c r="D191"/>
      <c r="E191"/>
      <c r="F191"/>
      <c r="G191" s="80"/>
      <c r="H191"/>
      <c r="I191"/>
      <c r="J191"/>
      <c r="K191"/>
      <c r="L191"/>
      <c r="M191"/>
      <c r="N191" s="159"/>
      <c r="O191"/>
      <c r="P191" s="629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 s="773"/>
      <c r="AH191" s="80"/>
      <c r="AI191" s="80"/>
      <c r="AJ191" s="80"/>
      <c r="AK191"/>
      <c r="AL191" s="80"/>
      <c r="AO191"/>
      <c r="AP191"/>
      <c r="AQ191"/>
    </row>
    <row r="192" spans="1:43" s="762" customFormat="1" ht="15.75" customHeight="1">
      <c r="A192"/>
      <c r="B192"/>
      <c r="C192"/>
      <c r="D192"/>
      <c r="E192"/>
      <c r="F192"/>
      <c r="G192" s="80"/>
      <c r="H192"/>
      <c r="I192"/>
      <c r="J192"/>
      <c r="K192"/>
      <c r="L192"/>
      <c r="M192"/>
      <c r="N192" s="159"/>
      <c r="O192"/>
      <c r="P192" s="629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 s="773"/>
      <c r="AH192" s="80"/>
      <c r="AI192" s="80"/>
      <c r="AJ192" s="80"/>
      <c r="AK192"/>
      <c r="AL192" s="80"/>
      <c r="AO192"/>
      <c r="AP192"/>
      <c r="AQ192"/>
    </row>
    <row r="193" spans="1:43" s="762" customFormat="1" ht="15.75" customHeight="1">
      <c r="A193"/>
      <c r="B193"/>
      <c r="C193"/>
      <c r="D193"/>
      <c r="E193"/>
      <c r="F193"/>
      <c r="G193" s="80"/>
      <c r="H193"/>
      <c r="I193"/>
      <c r="J193"/>
      <c r="K193"/>
      <c r="L193"/>
      <c r="M193"/>
      <c r="N193" s="159"/>
      <c r="O193"/>
      <c r="P193" s="629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 s="773"/>
      <c r="AH193" s="80"/>
      <c r="AI193" s="80"/>
      <c r="AJ193" s="80"/>
      <c r="AK193"/>
      <c r="AL193" s="80"/>
      <c r="AO193"/>
      <c r="AP193"/>
      <c r="AQ193"/>
    </row>
    <row r="194" spans="1:43" s="762" customFormat="1" ht="15.75" customHeight="1">
      <c r="A194"/>
      <c r="B194"/>
      <c r="C194"/>
      <c r="D194"/>
      <c r="E194"/>
      <c r="F194"/>
      <c r="G194" s="80"/>
      <c r="H194"/>
      <c r="I194"/>
      <c r="J194"/>
      <c r="K194"/>
      <c r="L194"/>
      <c r="M194"/>
      <c r="N194" s="159"/>
      <c r="O194"/>
      <c r="P194" s="629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 s="773"/>
      <c r="AH194" s="80"/>
      <c r="AI194" s="80"/>
      <c r="AJ194" s="80"/>
      <c r="AK194"/>
      <c r="AL194" s="80"/>
      <c r="AO194"/>
      <c r="AP194"/>
      <c r="AQ194"/>
    </row>
    <row r="195" spans="1:43" s="762" customFormat="1" ht="15.75" customHeight="1">
      <c r="A195"/>
      <c r="B195"/>
      <c r="C195"/>
      <c r="D195"/>
      <c r="E195"/>
      <c r="F195"/>
      <c r="G195" s="80"/>
      <c r="H195"/>
      <c r="I195"/>
      <c r="J195"/>
      <c r="K195"/>
      <c r="L195"/>
      <c r="M195"/>
      <c r="N195" s="159"/>
      <c r="O195"/>
      <c r="P195" s="629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 s="773"/>
      <c r="AH195" s="80"/>
      <c r="AI195" s="80"/>
      <c r="AJ195" s="80"/>
      <c r="AK195"/>
      <c r="AL195" s="80"/>
      <c r="AO195"/>
      <c r="AP195"/>
      <c r="AQ195"/>
    </row>
    <row r="196" spans="1:43" s="762" customFormat="1" ht="15.75" customHeight="1">
      <c r="A196"/>
      <c r="B196"/>
      <c r="C196"/>
      <c r="D196"/>
      <c r="E196"/>
      <c r="F196"/>
      <c r="G196" s="80"/>
      <c r="H196"/>
      <c r="I196"/>
      <c r="J196"/>
      <c r="K196"/>
      <c r="L196"/>
      <c r="M196"/>
      <c r="N196" s="159"/>
      <c r="O196"/>
      <c r="P196" s="629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 s="773"/>
      <c r="AH196" s="80"/>
      <c r="AI196" s="80"/>
      <c r="AJ196" s="80"/>
      <c r="AK196"/>
      <c r="AL196" s="80"/>
      <c r="AO196"/>
      <c r="AP196"/>
      <c r="AQ196"/>
    </row>
    <row r="197" spans="1:43" s="762" customFormat="1" ht="15.75" customHeight="1">
      <c r="A197"/>
      <c r="B197"/>
      <c r="C197"/>
      <c r="D197"/>
      <c r="E197"/>
      <c r="F197"/>
      <c r="G197" s="80"/>
      <c r="H197"/>
      <c r="I197"/>
      <c r="J197"/>
      <c r="K197"/>
      <c r="L197"/>
      <c r="M197"/>
      <c r="N197" s="159"/>
      <c r="O197"/>
      <c r="P197" s="629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 s="773"/>
      <c r="AH197" s="80"/>
      <c r="AI197" s="80"/>
      <c r="AJ197" s="80"/>
      <c r="AK197"/>
      <c r="AL197" s="80"/>
      <c r="AO197"/>
      <c r="AP197"/>
      <c r="AQ197"/>
    </row>
    <row r="198" spans="1:43" s="762" customFormat="1" ht="15.75" customHeight="1">
      <c r="A198"/>
      <c r="B198"/>
      <c r="C198"/>
      <c r="D198"/>
      <c r="E198"/>
      <c r="F198"/>
      <c r="G198" s="80"/>
      <c r="H198"/>
      <c r="I198"/>
      <c r="J198"/>
      <c r="K198"/>
      <c r="L198"/>
      <c r="M198"/>
      <c r="N198" s="159"/>
      <c r="O198"/>
      <c r="P198" s="629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 s="773"/>
      <c r="AH198" s="80"/>
      <c r="AI198" s="80"/>
      <c r="AJ198" s="80"/>
      <c r="AK198"/>
      <c r="AL198" s="80"/>
      <c r="AO198"/>
      <c r="AP198"/>
      <c r="AQ198"/>
    </row>
    <row r="199" spans="1:43" s="762" customFormat="1" ht="15.75" customHeight="1">
      <c r="A199"/>
      <c r="B199"/>
      <c r="C199"/>
      <c r="D199"/>
      <c r="E199"/>
      <c r="F199"/>
      <c r="G199" s="80"/>
      <c r="H199"/>
      <c r="I199"/>
      <c r="J199"/>
      <c r="K199"/>
      <c r="L199"/>
      <c r="M199"/>
      <c r="N199" s="159"/>
      <c r="O199"/>
      <c r="P199" s="62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 s="773"/>
      <c r="AH199" s="80"/>
      <c r="AI199" s="80"/>
      <c r="AJ199" s="80"/>
      <c r="AK199"/>
      <c r="AL199" s="80"/>
      <c r="AO199"/>
      <c r="AP199"/>
      <c r="AQ199"/>
    </row>
    <row r="200" spans="1:43" s="762" customFormat="1" ht="15.75" customHeight="1">
      <c r="A200"/>
      <c r="B200"/>
      <c r="C200"/>
      <c r="D200"/>
      <c r="E200"/>
      <c r="F200"/>
      <c r="G200" s="80"/>
      <c r="H200"/>
      <c r="I200"/>
      <c r="J200"/>
      <c r="K200"/>
      <c r="L200"/>
      <c r="M200"/>
      <c r="N200" s="159"/>
      <c r="O200"/>
      <c r="P200" s="629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 s="773"/>
      <c r="AH200" s="80"/>
      <c r="AI200" s="80"/>
      <c r="AJ200" s="80"/>
      <c r="AK200"/>
      <c r="AL200" s="80"/>
      <c r="AO200"/>
      <c r="AP200"/>
      <c r="AQ200"/>
    </row>
    <row r="201" spans="1:43" s="762" customFormat="1" ht="15.75" customHeight="1">
      <c r="A201"/>
      <c r="B201"/>
      <c r="C201"/>
      <c r="D201"/>
      <c r="E201"/>
      <c r="F201"/>
      <c r="G201" s="80"/>
      <c r="H201"/>
      <c r="I201"/>
      <c r="J201"/>
      <c r="K201"/>
      <c r="L201"/>
      <c r="M201"/>
      <c r="N201" s="159"/>
      <c r="O201"/>
      <c r="P201" s="629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 s="773"/>
      <c r="AH201" s="80"/>
      <c r="AI201" s="80"/>
      <c r="AJ201" s="80"/>
      <c r="AK201"/>
      <c r="AL201" s="80"/>
      <c r="AO201"/>
      <c r="AP201"/>
      <c r="AQ201"/>
    </row>
    <row r="202" spans="1:43" s="762" customFormat="1" ht="15.75" customHeight="1">
      <c r="A202"/>
      <c r="B202"/>
      <c r="C202"/>
      <c r="D202"/>
      <c r="E202"/>
      <c r="F202"/>
      <c r="G202" s="80"/>
      <c r="H202"/>
      <c r="I202"/>
      <c r="J202"/>
      <c r="K202"/>
      <c r="L202"/>
      <c r="M202"/>
      <c r="N202" s="159"/>
      <c r="O202"/>
      <c r="P202" s="629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 s="773"/>
      <c r="AH202" s="80"/>
      <c r="AI202" s="80"/>
      <c r="AJ202" s="80"/>
      <c r="AK202"/>
      <c r="AL202" s="80"/>
      <c r="AO202"/>
      <c r="AP202"/>
      <c r="AQ202"/>
    </row>
    <row r="203" spans="1:43" s="762" customFormat="1" ht="15.75" customHeight="1">
      <c r="A203"/>
      <c r="B203"/>
      <c r="C203"/>
      <c r="D203"/>
      <c r="E203"/>
      <c r="F203"/>
      <c r="G203" s="80"/>
      <c r="H203"/>
      <c r="I203"/>
      <c r="J203"/>
      <c r="K203"/>
      <c r="L203"/>
      <c r="M203"/>
      <c r="N203" s="159"/>
      <c r="O203"/>
      <c r="P203" s="629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 s="773"/>
      <c r="AH203" s="80"/>
      <c r="AI203" s="80"/>
      <c r="AJ203" s="80"/>
      <c r="AK203"/>
      <c r="AL203" s="80"/>
      <c r="AO203"/>
      <c r="AP203"/>
      <c r="AQ203"/>
    </row>
    <row r="204" spans="1:43" s="762" customFormat="1" ht="15.75" customHeight="1">
      <c r="A204"/>
      <c r="B204"/>
      <c r="C204"/>
      <c r="D204"/>
      <c r="E204"/>
      <c r="F204"/>
      <c r="G204" s="80"/>
      <c r="H204"/>
      <c r="I204"/>
      <c r="J204"/>
      <c r="K204"/>
      <c r="L204"/>
      <c r="M204"/>
      <c r="N204" s="159"/>
      <c r="O204"/>
      <c r="P204" s="629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 s="773"/>
      <c r="AH204" s="80"/>
      <c r="AI204" s="80"/>
      <c r="AJ204" s="80"/>
      <c r="AK204"/>
      <c r="AL204" s="80"/>
      <c r="AO204"/>
      <c r="AP204"/>
      <c r="AQ204"/>
    </row>
    <row r="205" spans="1:43" s="762" customFormat="1" ht="15.75" customHeight="1">
      <c r="A205"/>
      <c r="B205"/>
      <c r="C205"/>
      <c r="D205"/>
      <c r="E205"/>
      <c r="F205"/>
      <c r="G205" s="80"/>
      <c r="H205"/>
      <c r="I205"/>
      <c r="J205"/>
      <c r="K205"/>
      <c r="L205"/>
      <c r="M205"/>
      <c r="N205" s="159"/>
      <c r="O205"/>
      <c r="P205" s="629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 s="773"/>
      <c r="AH205" s="80"/>
      <c r="AI205" s="80"/>
      <c r="AJ205" s="80"/>
      <c r="AK205"/>
      <c r="AL205" s="80"/>
      <c r="AO205"/>
      <c r="AP205"/>
      <c r="AQ205"/>
    </row>
    <row r="206" spans="1:43" s="762" customFormat="1" ht="15.75" customHeight="1">
      <c r="A206"/>
      <c r="B206"/>
      <c r="C206"/>
      <c r="D206"/>
      <c r="E206"/>
      <c r="F206"/>
      <c r="G206" s="80"/>
      <c r="H206"/>
      <c r="I206"/>
      <c r="J206"/>
      <c r="K206"/>
      <c r="L206"/>
      <c r="M206"/>
      <c r="N206" s="159"/>
      <c r="O206"/>
      <c r="P206" s="629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 s="773"/>
      <c r="AH206" s="80"/>
      <c r="AI206" s="80"/>
      <c r="AJ206" s="80"/>
      <c r="AK206"/>
      <c r="AL206" s="80"/>
      <c r="AO206"/>
      <c r="AP206"/>
      <c r="AQ206"/>
    </row>
    <row r="207" spans="1:43" s="762" customFormat="1" ht="15.75" customHeight="1">
      <c r="A207"/>
      <c r="B207"/>
      <c r="C207"/>
      <c r="D207"/>
      <c r="E207"/>
      <c r="F207"/>
      <c r="G207" s="80"/>
      <c r="H207"/>
      <c r="I207"/>
      <c r="J207"/>
      <c r="K207"/>
      <c r="L207"/>
      <c r="M207"/>
      <c r="N207" s="159"/>
      <c r="O207"/>
      <c r="P207" s="629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 s="773"/>
      <c r="AH207" s="80"/>
      <c r="AI207" s="80"/>
      <c r="AJ207" s="80"/>
      <c r="AK207"/>
      <c r="AL207" s="80"/>
      <c r="AO207"/>
      <c r="AP207"/>
      <c r="AQ207"/>
    </row>
    <row r="208" spans="1:43" s="762" customFormat="1" ht="15.75" customHeight="1">
      <c r="A208"/>
      <c r="B208"/>
      <c r="C208"/>
      <c r="D208"/>
      <c r="E208"/>
      <c r="F208"/>
      <c r="G208" s="80"/>
      <c r="H208"/>
      <c r="I208"/>
      <c r="J208"/>
      <c r="K208"/>
      <c r="L208"/>
      <c r="M208"/>
      <c r="N208" s="159"/>
      <c r="O208"/>
      <c r="P208" s="629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 s="773"/>
      <c r="AH208" s="80"/>
      <c r="AI208" s="80"/>
      <c r="AJ208" s="80"/>
      <c r="AK208"/>
      <c r="AL208" s="80"/>
      <c r="AO208"/>
      <c r="AP208"/>
      <c r="AQ208"/>
    </row>
    <row r="209" spans="1:43" s="762" customFormat="1" ht="15.75" customHeight="1">
      <c r="A209"/>
      <c r="B209"/>
      <c r="C209"/>
      <c r="D209"/>
      <c r="E209"/>
      <c r="F209"/>
      <c r="G209" s="80"/>
      <c r="H209"/>
      <c r="I209"/>
      <c r="J209"/>
      <c r="K209"/>
      <c r="L209"/>
      <c r="M209"/>
      <c r="N209" s="159"/>
      <c r="O209"/>
      <c r="P209" s="62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 s="773"/>
      <c r="AH209" s="80"/>
      <c r="AI209" s="80"/>
      <c r="AJ209" s="80"/>
      <c r="AK209"/>
      <c r="AL209" s="80"/>
      <c r="AO209"/>
      <c r="AP209"/>
      <c r="AQ209"/>
    </row>
    <row r="210" spans="1:43" s="762" customFormat="1" ht="15.75" customHeight="1">
      <c r="A210"/>
      <c r="B210"/>
      <c r="C210"/>
      <c r="D210"/>
      <c r="E210"/>
      <c r="F210"/>
      <c r="G210" s="80"/>
      <c r="H210"/>
      <c r="I210"/>
      <c r="J210"/>
      <c r="K210"/>
      <c r="L210"/>
      <c r="M210"/>
      <c r="N210" s="159"/>
      <c r="O210"/>
      <c r="P210" s="629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 s="773"/>
      <c r="AH210" s="80"/>
      <c r="AI210" s="80"/>
      <c r="AJ210" s="80"/>
      <c r="AK210"/>
      <c r="AL210" s="80"/>
      <c r="AO210"/>
      <c r="AP210"/>
      <c r="AQ210"/>
    </row>
    <row r="211" spans="1:43" s="762" customFormat="1" ht="15.75" customHeight="1">
      <c r="A211"/>
      <c r="B211"/>
      <c r="C211"/>
      <c r="D211"/>
      <c r="E211"/>
      <c r="F211"/>
      <c r="G211" s="80"/>
      <c r="H211"/>
      <c r="I211"/>
      <c r="J211"/>
      <c r="K211"/>
      <c r="L211"/>
      <c r="M211"/>
      <c r="N211" s="159"/>
      <c r="O211"/>
      <c r="P211" s="629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 s="773"/>
      <c r="AH211" s="80"/>
      <c r="AI211" s="80"/>
      <c r="AJ211" s="80"/>
      <c r="AK211"/>
      <c r="AL211" s="80"/>
      <c r="AO211"/>
      <c r="AP211"/>
      <c r="AQ211"/>
    </row>
    <row r="212" spans="1:43" s="762" customFormat="1" ht="15.75" customHeight="1">
      <c r="A212"/>
      <c r="B212"/>
      <c r="C212"/>
      <c r="D212"/>
      <c r="E212"/>
      <c r="F212"/>
      <c r="G212" s="80"/>
      <c r="H212"/>
      <c r="I212"/>
      <c r="J212"/>
      <c r="K212"/>
      <c r="L212"/>
      <c r="M212"/>
      <c r="N212" s="159"/>
      <c r="O212"/>
      <c r="P212" s="629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 s="773"/>
      <c r="AH212" s="80"/>
      <c r="AI212" s="80"/>
      <c r="AJ212" s="80"/>
      <c r="AK212"/>
      <c r="AL212" s="80"/>
      <c r="AO212"/>
      <c r="AP212"/>
      <c r="AQ212"/>
    </row>
    <row r="213" spans="1:43" s="762" customFormat="1" ht="15.75" customHeight="1">
      <c r="A213"/>
      <c r="B213"/>
      <c r="C213"/>
      <c r="D213"/>
      <c r="E213"/>
      <c r="F213"/>
      <c r="G213" s="80"/>
      <c r="H213"/>
      <c r="I213"/>
      <c r="J213"/>
      <c r="K213"/>
      <c r="L213"/>
      <c r="M213"/>
      <c r="N213" s="159"/>
      <c r="O213"/>
      <c r="P213" s="629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 s="773"/>
      <c r="AH213" s="80"/>
      <c r="AI213" s="80"/>
      <c r="AJ213" s="80"/>
      <c r="AK213"/>
      <c r="AL213" s="80"/>
      <c r="AO213"/>
      <c r="AP213"/>
      <c r="AQ213"/>
    </row>
    <row r="214" spans="1:43" s="762" customFormat="1" ht="15.75" customHeight="1">
      <c r="A214"/>
      <c r="B214"/>
      <c r="C214"/>
      <c r="D214"/>
      <c r="E214"/>
      <c r="F214"/>
      <c r="G214" s="80"/>
      <c r="H214"/>
      <c r="I214"/>
      <c r="J214"/>
      <c r="K214"/>
      <c r="L214"/>
      <c r="M214"/>
      <c r="N214" s="159"/>
      <c r="O214"/>
      <c r="P214" s="629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 s="773"/>
      <c r="AH214" s="80"/>
      <c r="AI214" s="80"/>
      <c r="AJ214" s="80"/>
      <c r="AK214"/>
      <c r="AL214" s="80"/>
      <c r="AO214"/>
      <c r="AP214"/>
      <c r="AQ214"/>
    </row>
    <row r="215" spans="1:43" s="762" customFormat="1" ht="15.75" customHeight="1">
      <c r="A215"/>
      <c r="B215"/>
      <c r="C215"/>
      <c r="D215"/>
      <c r="E215"/>
      <c r="F215"/>
      <c r="G215" s="80"/>
      <c r="H215"/>
      <c r="I215"/>
      <c r="J215"/>
      <c r="K215"/>
      <c r="L215"/>
      <c r="M215"/>
      <c r="N215" s="159"/>
      <c r="O215"/>
      <c r="P215" s="629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 s="773"/>
      <c r="AH215" s="80"/>
      <c r="AI215" s="80"/>
      <c r="AJ215" s="80"/>
      <c r="AK215"/>
      <c r="AL215" s="80"/>
      <c r="AO215"/>
      <c r="AP215"/>
      <c r="AQ215"/>
    </row>
    <row r="216" spans="1:43" s="762" customFormat="1" ht="15.75" customHeight="1">
      <c r="A216"/>
      <c r="B216"/>
      <c r="C216"/>
      <c r="D216"/>
      <c r="E216"/>
      <c r="F216"/>
      <c r="G216" s="80"/>
      <c r="H216"/>
      <c r="I216"/>
      <c r="J216"/>
      <c r="K216"/>
      <c r="L216"/>
      <c r="M216"/>
      <c r="N216" s="159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 s="773"/>
      <c r="AH216" s="80"/>
      <c r="AI216" s="80"/>
      <c r="AJ216" s="80"/>
      <c r="AK216"/>
      <c r="AL216" s="80"/>
      <c r="AO216"/>
      <c r="AP216"/>
      <c r="AQ216"/>
    </row>
    <row r="217" spans="1:43" s="762" customFormat="1" ht="15.75" customHeight="1">
      <c r="A217"/>
      <c r="B217"/>
      <c r="C217"/>
      <c r="D217"/>
      <c r="E217"/>
      <c r="F217"/>
      <c r="G217" s="80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 s="773"/>
      <c r="AH217" s="80"/>
      <c r="AI217" s="80"/>
      <c r="AJ217" s="80"/>
      <c r="AK217"/>
      <c r="AL217" s="80"/>
      <c r="AO217"/>
      <c r="AP217"/>
      <c r="AQ217"/>
    </row>
    <row r="218" spans="1:43" s="762" customFormat="1" ht="15.75" customHeight="1">
      <c r="A218"/>
      <c r="B218"/>
      <c r="C218"/>
      <c r="D218"/>
      <c r="E218"/>
      <c r="F218"/>
      <c r="G218" s="80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 s="773"/>
      <c r="AH218" s="80"/>
      <c r="AI218" s="80"/>
      <c r="AJ218" s="80"/>
      <c r="AK218"/>
      <c r="AL218" s="80"/>
      <c r="AO218"/>
      <c r="AP218"/>
      <c r="AQ218"/>
    </row>
    <row r="219" spans="1:43" s="762" customFormat="1" ht="15.75" customHeight="1">
      <c r="A219"/>
      <c r="B219"/>
      <c r="C219"/>
      <c r="D219"/>
      <c r="E219"/>
      <c r="F219"/>
      <c r="G219" s="80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 s="773"/>
      <c r="AH219" s="80"/>
      <c r="AI219" s="80"/>
      <c r="AJ219" s="80"/>
      <c r="AK219"/>
      <c r="AL219" s="80"/>
      <c r="AO219"/>
      <c r="AP219"/>
      <c r="AQ219"/>
    </row>
    <row r="220" spans="1:43" s="762" customFormat="1" ht="15.75" customHeight="1">
      <c r="A220"/>
      <c r="B220"/>
      <c r="C220"/>
      <c r="D220"/>
      <c r="E220"/>
      <c r="F220"/>
      <c r="G220" s="8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 s="773"/>
      <c r="AH220" s="80"/>
      <c r="AI220" s="80"/>
      <c r="AJ220" s="80"/>
      <c r="AK220"/>
      <c r="AL220" s="80"/>
      <c r="AO220"/>
      <c r="AP220"/>
      <c r="AQ220"/>
    </row>
    <row r="221" spans="1:43" s="762" customFormat="1" ht="15.75" customHeight="1">
      <c r="A221"/>
      <c r="B221"/>
      <c r="C221"/>
      <c r="D221"/>
      <c r="E221"/>
      <c r="F221"/>
      <c r="G221" s="80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 s="773"/>
      <c r="AH221" s="80"/>
      <c r="AI221" s="80"/>
      <c r="AJ221" s="80"/>
      <c r="AK221"/>
      <c r="AL221" s="80"/>
      <c r="AO221"/>
      <c r="AP221"/>
      <c r="AQ221"/>
    </row>
    <row r="222" spans="1:43" s="762" customFormat="1" ht="15.75" customHeight="1">
      <c r="A222"/>
      <c r="B222"/>
      <c r="C222"/>
      <c r="D222"/>
      <c r="E222"/>
      <c r="F222"/>
      <c r="G222" s="80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 s="773"/>
      <c r="AH222" s="80"/>
      <c r="AI222" s="80"/>
      <c r="AJ222" s="80"/>
      <c r="AK222"/>
      <c r="AL222" s="80"/>
      <c r="AO222"/>
      <c r="AP222"/>
      <c r="AQ222"/>
    </row>
    <row r="223" spans="1:43" s="762" customFormat="1" ht="15.75" customHeight="1">
      <c r="A223"/>
      <c r="B223"/>
      <c r="C223"/>
      <c r="D223"/>
      <c r="E223"/>
      <c r="F223"/>
      <c r="G223" s="80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 s="773"/>
      <c r="AH223" s="80"/>
      <c r="AI223" s="80"/>
      <c r="AJ223" s="80"/>
      <c r="AK223"/>
      <c r="AL223" s="80"/>
      <c r="AO223"/>
      <c r="AP223"/>
      <c r="AQ223"/>
    </row>
    <row r="224" spans="1:43" s="762" customFormat="1" ht="15.75" customHeight="1">
      <c r="A224"/>
      <c r="B224"/>
      <c r="C224"/>
      <c r="D224"/>
      <c r="E224"/>
      <c r="F224"/>
      <c r="G224" s="80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 s="773"/>
      <c r="AH224" s="80"/>
      <c r="AI224" s="80"/>
      <c r="AJ224" s="80"/>
      <c r="AK224"/>
      <c r="AL224" s="80"/>
      <c r="AO224"/>
      <c r="AP224"/>
      <c r="AQ224"/>
    </row>
    <row r="225" spans="1:43" s="762" customFormat="1" ht="15.75" customHeight="1">
      <c r="A225"/>
      <c r="B225"/>
      <c r="C225"/>
      <c r="D225"/>
      <c r="E225"/>
      <c r="F225"/>
      <c r="G225" s="80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 s="773"/>
      <c r="AH225" s="80"/>
      <c r="AI225" s="80"/>
      <c r="AJ225" s="80"/>
      <c r="AK225"/>
      <c r="AL225" s="80"/>
      <c r="AO225"/>
      <c r="AP225"/>
      <c r="AQ225"/>
    </row>
    <row r="226" spans="1:43" s="762" customFormat="1" ht="15.75" customHeight="1">
      <c r="A226"/>
      <c r="B226"/>
      <c r="C226"/>
      <c r="D226"/>
      <c r="E226"/>
      <c r="F226"/>
      <c r="G226" s="80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 s="773"/>
      <c r="AH226" s="80"/>
      <c r="AI226" s="80"/>
      <c r="AJ226" s="80"/>
      <c r="AK226"/>
      <c r="AL226" s="80"/>
      <c r="AO226"/>
      <c r="AP226"/>
      <c r="AQ226"/>
    </row>
    <row r="227" spans="1:43" s="762" customFormat="1" ht="15.75" customHeight="1">
      <c r="A227"/>
      <c r="B227"/>
      <c r="C227"/>
      <c r="D227"/>
      <c r="E227"/>
      <c r="F227"/>
      <c r="G227" s="80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 s="773"/>
      <c r="AH227" s="80"/>
      <c r="AI227" s="80"/>
      <c r="AJ227" s="80"/>
      <c r="AK227"/>
      <c r="AL227" s="80"/>
      <c r="AO227"/>
      <c r="AP227"/>
      <c r="AQ227"/>
    </row>
    <row r="228" spans="1:43" s="762" customFormat="1" ht="15.75" customHeight="1">
      <c r="A228"/>
      <c r="B228"/>
      <c r="C228"/>
      <c r="D228"/>
      <c r="E228"/>
      <c r="F228"/>
      <c r="G228" s="80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 s="773"/>
      <c r="AH228" s="80"/>
      <c r="AI228" s="80"/>
      <c r="AJ228" s="80"/>
      <c r="AK228"/>
      <c r="AL228" s="80"/>
      <c r="AO228"/>
      <c r="AP228"/>
      <c r="AQ228"/>
    </row>
    <row r="229" spans="1:43" s="762" customFormat="1" ht="15.75" customHeight="1">
      <c r="A229"/>
      <c r="B229"/>
      <c r="C229"/>
      <c r="D229"/>
      <c r="E229"/>
      <c r="F229"/>
      <c r="G229" s="80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 s="773"/>
      <c r="AH229" s="80"/>
      <c r="AI229" s="80"/>
      <c r="AJ229" s="80"/>
      <c r="AK229"/>
      <c r="AL229" s="80"/>
      <c r="AO229"/>
      <c r="AP229"/>
      <c r="AQ229"/>
    </row>
    <row r="230" spans="1:43" s="762" customFormat="1" ht="15.75" customHeight="1">
      <c r="A230"/>
      <c r="B230"/>
      <c r="C230"/>
      <c r="D230"/>
      <c r="E230"/>
      <c r="F230"/>
      <c r="G230" s="8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 s="773"/>
      <c r="AH230" s="80"/>
      <c r="AI230" s="80"/>
      <c r="AJ230" s="80"/>
      <c r="AK230"/>
      <c r="AL230" s="80"/>
      <c r="AO230"/>
      <c r="AP230"/>
      <c r="AQ230"/>
    </row>
    <row r="231" spans="1:43" s="762" customFormat="1" ht="15.75" customHeight="1">
      <c r="A231"/>
      <c r="B231"/>
      <c r="C231"/>
      <c r="D231"/>
      <c r="E231"/>
      <c r="F231"/>
      <c r="G231" s="80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 s="773"/>
      <c r="AH231" s="80"/>
      <c r="AI231" s="80"/>
      <c r="AJ231" s="80"/>
      <c r="AK231"/>
      <c r="AL231" s="80"/>
      <c r="AO231"/>
      <c r="AP231"/>
      <c r="AQ231"/>
    </row>
    <row r="232" spans="1:43" s="762" customFormat="1" ht="15.75" customHeight="1">
      <c r="A232"/>
      <c r="B232"/>
      <c r="C232"/>
      <c r="D232"/>
      <c r="E232"/>
      <c r="F232"/>
      <c r="G232" s="80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 s="773"/>
      <c r="AH232" s="80"/>
      <c r="AI232" s="80"/>
      <c r="AJ232" s="80"/>
      <c r="AK232"/>
      <c r="AL232" s="80"/>
      <c r="AO232"/>
      <c r="AP232"/>
      <c r="AQ232"/>
    </row>
    <row r="233" spans="1:43" s="762" customFormat="1" ht="15.75" customHeight="1">
      <c r="A233"/>
      <c r="B233"/>
      <c r="C233"/>
      <c r="D233"/>
      <c r="E233"/>
      <c r="F233"/>
      <c r="G233" s="80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 s="773"/>
      <c r="AH233" s="80"/>
      <c r="AI233" s="80"/>
      <c r="AJ233" s="80"/>
      <c r="AK233"/>
      <c r="AL233" s="80"/>
      <c r="AO233"/>
      <c r="AP233"/>
      <c r="AQ233"/>
    </row>
    <row r="234" spans="1:43" s="762" customFormat="1" ht="15.75" customHeight="1">
      <c r="A234"/>
      <c r="B234"/>
      <c r="C234"/>
      <c r="D234"/>
      <c r="E234"/>
      <c r="F234"/>
      <c r="G234" s="80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 s="773"/>
      <c r="AH234" s="80"/>
      <c r="AI234" s="80"/>
      <c r="AJ234" s="80"/>
      <c r="AK234"/>
      <c r="AL234" s="80"/>
      <c r="AO234"/>
      <c r="AP234"/>
      <c r="AQ234"/>
    </row>
    <row r="235" spans="1:43" s="762" customFormat="1" ht="15.75" customHeight="1">
      <c r="A235"/>
      <c r="B235"/>
      <c r="C235"/>
      <c r="D235"/>
      <c r="E235"/>
      <c r="F235"/>
      <c r="G235" s="80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 s="773"/>
      <c r="AH235" s="80"/>
      <c r="AI235" s="80"/>
      <c r="AJ235" s="80"/>
      <c r="AK235"/>
      <c r="AL235" s="80"/>
      <c r="AO235"/>
      <c r="AP235"/>
      <c r="AQ235"/>
    </row>
    <row r="236" spans="1:43" s="762" customFormat="1" ht="15.75" customHeight="1">
      <c r="A236"/>
      <c r="B236"/>
      <c r="C236"/>
      <c r="D236"/>
      <c r="E236"/>
      <c r="F236"/>
      <c r="G236" s="80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 s="773"/>
      <c r="AH236" s="80"/>
      <c r="AI236" s="80"/>
      <c r="AJ236" s="80"/>
      <c r="AK236"/>
      <c r="AL236" s="80"/>
      <c r="AO236"/>
      <c r="AP236"/>
      <c r="AQ236"/>
    </row>
    <row r="237" spans="1:43" s="762" customFormat="1" ht="15.75" customHeight="1">
      <c r="A237"/>
      <c r="B237"/>
      <c r="C237"/>
      <c r="D237"/>
      <c r="E237"/>
      <c r="F237"/>
      <c r="G237" s="80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 s="773"/>
      <c r="AH237" s="80"/>
      <c r="AI237" s="80"/>
      <c r="AJ237" s="80"/>
      <c r="AK237"/>
      <c r="AL237" s="80"/>
      <c r="AO237"/>
      <c r="AP237"/>
      <c r="AQ237"/>
    </row>
    <row r="238" spans="1:43" s="762" customFormat="1" ht="15.75" customHeight="1">
      <c r="A238"/>
      <c r="B238"/>
      <c r="C238"/>
      <c r="D238"/>
      <c r="E238"/>
      <c r="F238"/>
      <c r="G238" s="80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 s="773"/>
      <c r="AH238" s="80"/>
      <c r="AI238" s="80"/>
      <c r="AJ238" s="80"/>
      <c r="AK238"/>
      <c r="AL238" s="80"/>
      <c r="AO238"/>
      <c r="AP238"/>
      <c r="AQ238"/>
    </row>
    <row r="239" spans="1:43" s="762" customFormat="1" ht="15.75" customHeight="1">
      <c r="A239"/>
      <c r="B239"/>
      <c r="C239"/>
      <c r="D239"/>
      <c r="E239"/>
      <c r="F239"/>
      <c r="G239" s="80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 s="773"/>
      <c r="AH239" s="80"/>
      <c r="AI239" s="80"/>
      <c r="AJ239" s="80"/>
      <c r="AK239"/>
      <c r="AL239" s="80"/>
      <c r="AO239"/>
      <c r="AP239"/>
      <c r="AQ239"/>
    </row>
    <row r="240" spans="1:43" s="762" customFormat="1" ht="15.75" customHeight="1">
      <c r="A240"/>
      <c r="B240"/>
      <c r="C240"/>
      <c r="D240"/>
      <c r="E240"/>
      <c r="F240"/>
      <c r="G240" s="8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 s="773"/>
      <c r="AH240" s="80"/>
      <c r="AI240" s="80"/>
      <c r="AJ240" s="80"/>
      <c r="AK240"/>
      <c r="AL240" s="80"/>
      <c r="AO240"/>
      <c r="AP240"/>
      <c r="AQ240"/>
    </row>
    <row r="241" spans="1:43" s="762" customFormat="1" ht="15.75" customHeight="1">
      <c r="A241"/>
      <c r="B241"/>
      <c r="C241"/>
      <c r="D241"/>
      <c r="E241"/>
      <c r="F241"/>
      <c r="G241" s="80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 s="773"/>
      <c r="AH241" s="80"/>
      <c r="AI241" s="80"/>
      <c r="AJ241" s="80"/>
      <c r="AK241"/>
      <c r="AL241" s="80"/>
      <c r="AO241"/>
      <c r="AP241"/>
      <c r="AQ241"/>
    </row>
    <row r="242" spans="1:43" s="762" customFormat="1" ht="15.75" customHeight="1">
      <c r="A242"/>
      <c r="B242"/>
      <c r="C242"/>
      <c r="D242"/>
      <c r="E242"/>
      <c r="F242"/>
      <c r="G242" s="80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 s="773"/>
      <c r="AH242" s="80"/>
      <c r="AI242" s="80"/>
      <c r="AJ242" s="80"/>
      <c r="AK242"/>
      <c r="AL242" s="80"/>
      <c r="AO242"/>
      <c r="AP242"/>
      <c r="AQ242"/>
    </row>
    <row r="243" spans="1:43" s="762" customFormat="1" ht="15.75" customHeight="1">
      <c r="A243"/>
      <c r="B243"/>
      <c r="C243"/>
      <c r="D243"/>
      <c r="E243"/>
      <c r="F243"/>
      <c r="G243" s="80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 s="773"/>
      <c r="AH243" s="80"/>
      <c r="AI243" s="80"/>
      <c r="AJ243" s="80"/>
      <c r="AK243"/>
      <c r="AL243" s="80"/>
      <c r="AO243"/>
      <c r="AP243"/>
      <c r="AQ243"/>
    </row>
    <row r="244" spans="1:43" s="762" customFormat="1" ht="15.75" customHeight="1">
      <c r="A244"/>
      <c r="B244"/>
      <c r="C244"/>
      <c r="D244"/>
      <c r="E244"/>
      <c r="F244"/>
      <c r="G244" s="80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 s="773"/>
      <c r="AH244" s="80"/>
      <c r="AI244" s="80"/>
      <c r="AJ244" s="80"/>
      <c r="AK244"/>
      <c r="AL244" s="80"/>
      <c r="AO244"/>
      <c r="AP244"/>
      <c r="AQ244"/>
    </row>
    <row r="245" spans="1:43" s="762" customFormat="1" ht="15.75" customHeight="1">
      <c r="A245"/>
      <c r="B245"/>
      <c r="C245"/>
      <c r="D245"/>
      <c r="E245"/>
      <c r="F245"/>
      <c r="G245" s="80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 s="773"/>
      <c r="AH245" s="80"/>
      <c r="AI245" s="80"/>
      <c r="AJ245" s="80"/>
      <c r="AK245"/>
      <c r="AL245" s="80"/>
      <c r="AO245"/>
      <c r="AP245"/>
      <c r="AQ245"/>
    </row>
    <row r="246" spans="1:43" s="762" customFormat="1" ht="15.75" customHeight="1">
      <c r="A246"/>
      <c r="B246"/>
      <c r="C246"/>
      <c r="D246"/>
      <c r="E246"/>
      <c r="F246"/>
      <c r="G246" s="80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 s="773"/>
      <c r="AH246" s="80"/>
      <c r="AI246" s="80"/>
      <c r="AJ246" s="80"/>
      <c r="AK246"/>
      <c r="AL246" s="80"/>
      <c r="AO246"/>
      <c r="AP246"/>
      <c r="AQ246"/>
    </row>
    <row r="247" spans="1:43" s="762" customFormat="1" ht="15.75" customHeight="1">
      <c r="A247"/>
      <c r="B247"/>
      <c r="C247"/>
      <c r="D247"/>
      <c r="E247"/>
      <c r="F247"/>
      <c r="G247" s="80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 s="773"/>
      <c r="AH247" s="80"/>
      <c r="AI247" s="80"/>
      <c r="AJ247" s="80"/>
      <c r="AK247"/>
      <c r="AL247" s="80"/>
      <c r="AO247"/>
      <c r="AP247"/>
      <c r="AQ247"/>
    </row>
    <row r="248" spans="1:43" s="762" customFormat="1" ht="15.75" customHeight="1">
      <c r="A248"/>
      <c r="B248"/>
      <c r="C248"/>
      <c r="D248"/>
      <c r="E248"/>
      <c r="F248"/>
      <c r="G248" s="80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 s="773"/>
      <c r="AH248" s="80"/>
      <c r="AI248" s="80"/>
      <c r="AJ248" s="80"/>
      <c r="AK248"/>
      <c r="AL248" s="80"/>
      <c r="AO248"/>
      <c r="AP248"/>
      <c r="AQ248"/>
    </row>
    <row r="249" spans="1:43" s="762" customFormat="1" ht="15.75" customHeight="1">
      <c r="A249"/>
      <c r="B249"/>
      <c r="C249"/>
      <c r="D249"/>
      <c r="E249"/>
      <c r="F249"/>
      <c r="G249" s="80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 s="773"/>
      <c r="AH249" s="80"/>
      <c r="AI249" s="80"/>
      <c r="AJ249" s="80"/>
      <c r="AK249"/>
      <c r="AL249" s="80"/>
      <c r="AO249"/>
      <c r="AP249"/>
      <c r="AQ249"/>
    </row>
    <row r="250" spans="1:43" s="762" customFormat="1" ht="15.75" customHeight="1">
      <c r="A250"/>
      <c r="B250"/>
      <c r="C250"/>
      <c r="D250"/>
      <c r="E250"/>
      <c r="F250"/>
      <c r="G250" s="8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 s="773"/>
      <c r="AH250" s="80"/>
      <c r="AI250" s="80"/>
      <c r="AJ250" s="80"/>
      <c r="AK250"/>
      <c r="AL250" s="80"/>
      <c r="AO250"/>
      <c r="AP250"/>
      <c r="AQ250"/>
    </row>
    <row r="251" spans="1:43" s="762" customFormat="1" ht="15.75" customHeight="1">
      <c r="A251"/>
      <c r="B251"/>
      <c r="C251"/>
      <c r="D251"/>
      <c r="E251"/>
      <c r="F251"/>
      <c r="G251" s="80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 s="773"/>
      <c r="AH251" s="80"/>
      <c r="AI251" s="80"/>
      <c r="AJ251" s="80"/>
      <c r="AK251"/>
      <c r="AL251" s="80"/>
      <c r="AO251"/>
      <c r="AP251"/>
      <c r="AQ251"/>
    </row>
    <row r="252" spans="1:43" s="762" customFormat="1" ht="15.75" customHeight="1">
      <c r="A252"/>
      <c r="B252"/>
      <c r="C252"/>
      <c r="D252"/>
      <c r="E252"/>
      <c r="F252"/>
      <c r="G252" s="80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 s="773"/>
      <c r="AH252" s="80"/>
      <c r="AI252" s="80"/>
      <c r="AJ252" s="80"/>
      <c r="AK252"/>
      <c r="AL252" s="80"/>
      <c r="AO252"/>
      <c r="AP252"/>
      <c r="AQ252"/>
    </row>
    <row r="253" spans="1:43" s="762" customFormat="1" ht="15.75" customHeight="1">
      <c r="A253"/>
      <c r="B253"/>
      <c r="C253"/>
      <c r="D253"/>
      <c r="E253"/>
      <c r="F253"/>
      <c r="G253" s="80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 s="773"/>
      <c r="AH253" s="80"/>
      <c r="AI253" s="80"/>
      <c r="AJ253" s="80"/>
      <c r="AK253"/>
      <c r="AL253" s="80"/>
      <c r="AO253"/>
      <c r="AP253"/>
      <c r="AQ253"/>
    </row>
    <row r="254" spans="1:43" s="762" customFormat="1" ht="15.75" customHeight="1">
      <c r="A254"/>
      <c r="B254"/>
      <c r="C254"/>
      <c r="D254"/>
      <c r="E254"/>
      <c r="F254"/>
      <c r="G254" s="80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 s="773"/>
      <c r="AH254" s="80"/>
      <c r="AI254" s="80"/>
      <c r="AJ254" s="80"/>
      <c r="AK254"/>
      <c r="AL254" s="80"/>
      <c r="AO254"/>
      <c r="AP254"/>
      <c r="AQ254"/>
    </row>
    <row r="255" spans="1:43" s="762" customFormat="1" ht="15.75" customHeight="1">
      <c r="A255"/>
      <c r="B255"/>
      <c r="C255"/>
      <c r="D255"/>
      <c r="E255"/>
      <c r="F255"/>
      <c r="G255" s="80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 s="773"/>
      <c r="AH255" s="80"/>
      <c r="AI255" s="80"/>
      <c r="AJ255" s="80"/>
      <c r="AK255"/>
      <c r="AL255" s="80"/>
      <c r="AO255"/>
      <c r="AP255"/>
      <c r="AQ255"/>
    </row>
    <row r="256" spans="1:43" s="762" customFormat="1" ht="15.75" customHeight="1">
      <c r="A256"/>
      <c r="B256"/>
      <c r="C256"/>
      <c r="D256"/>
      <c r="E256"/>
      <c r="F256"/>
      <c r="G256" s="80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 s="773"/>
      <c r="AH256" s="80"/>
      <c r="AI256" s="80"/>
      <c r="AJ256" s="80"/>
      <c r="AK256"/>
      <c r="AL256" s="80"/>
      <c r="AO256"/>
      <c r="AP256"/>
      <c r="AQ256"/>
    </row>
    <row r="257" spans="1:43" s="762" customFormat="1" ht="15.75" customHeight="1">
      <c r="A257"/>
      <c r="B257"/>
      <c r="C257"/>
      <c r="D257"/>
      <c r="E257"/>
      <c r="F257"/>
      <c r="G257" s="80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 s="773"/>
      <c r="AH257" s="80"/>
      <c r="AI257" s="80"/>
      <c r="AJ257" s="80"/>
      <c r="AK257"/>
      <c r="AL257" s="80"/>
      <c r="AO257"/>
      <c r="AP257"/>
      <c r="AQ257"/>
    </row>
    <row r="258" spans="1:43" s="762" customFormat="1" ht="15.75" customHeight="1">
      <c r="A258"/>
      <c r="B258"/>
      <c r="C258"/>
      <c r="D258"/>
      <c r="E258"/>
      <c r="F258"/>
      <c r="G258" s="80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 s="773"/>
      <c r="AH258" s="80"/>
      <c r="AI258" s="80"/>
      <c r="AJ258" s="80"/>
      <c r="AK258"/>
      <c r="AL258" s="80"/>
      <c r="AO258"/>
      <c r="AP258"/>
      <c r="AQ258"/>
    </row>
    <row r="259" spans="1:43" s="762" customFormat="1" ht="15.75" customHeight="1">
      <c r="A259"/>
      <c r="B259"/>
      <c r="C259"/>
      <c r="D259"/>
      <c r="E259"/>
      <c r="F259"/>
      <c r="G259" s="80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 s="773"/>
      <c r="AH259" s="80"/>
      <c r="AI259" s="80"/>
      <c r="AJ259" s="80"/>
      <c r="AK259"/>
      <c r="AL259" s="80"/>
      <c r="AO259"/>
      <c r="AP259"/>
      <c r="AQ259"/>
    </row>
    <row r="260" spans="1:43" s="762" customFormat="1" ht="15.75" customHeight="1">
      <c r="A260"/>
      <c r="B260"/>
      <c r="C260"/>
      <c r="D260"/>
      <c r="E260"/>
      <c r="F260"/>
      <c r="G260" s="8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 s="773"/>
      <c r="AH260" s="80"/>
      <c r="AI260" s="80"/>
      <c r="AJ260" s="80"/>
      <c r="AK260"/>
      <c r="AL260" s="80"/>
      <c r="AO260"/>
      <c r="AP260"/>
      <c r="AQ260"/>
    </row>
    <row r="261" spans="1:43" s="762" customFormat="1" ht="15.75" customHeight="1">
      <c r="A261"/>
      <c r="B261"/>
      <c r="C261"/>
      <c r="D261"/>
      <c r="E261"/>
      <c r="F261"/>
      <c r="G261" s="80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 s="773"/>
      <c r="AH261" s="80"/>
      <c r="AI261" s="80"/>
      <c r="AJ261" s="80"/>
      <c r="AK261"/>
      <c r="AL261" s="80"/>
      <c r="AO261"/>
      <c r="AP261"/>
      <c r="AQ261"/>
    </row>
    <row r="262" spans="1:43" s="762" customFormat="1" ht="15.75" customHeight="1">
      <c r="A262"/>
      <c r="B262"/>
      <c r="C262"/>
      <c r="D262"/>
      <c r="E262"/>
      <c r="F262"/>
      <c r="G262" s="80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 s="773"/>
      <c r="AH262" s="80"/>
      <c r="AI262" s="80"/>
      <c r="AJ262" s="80"/>
      <c r="AK262"/>
      <c r="AL262" s="80"/>
      <c r="AO262"/>
      <c r="AP262"/>
      <c r="AQ262"/>
    </row>
    <row r="263" spans="1:43" s="762" customFormat="1" ht="15.75" customHeight="1">
      <c r="A263"/>
      <c r="B263"/>
      <c r="C263"/>
      <c r="D263"/>
      <c r="E263"/>
      <c r="F263"/>
      <c r="G263" s="80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 s="773"/>
      <c r="AH263" s="80"/>
      <c r="AI263" s="80"/>
      <c r="AJ263" s="80"/>
      <c r="AK263"/>
      <c r="AL263" s="80"/>
      <c r="AO263"/>
      <c r="AP263"/>
      <c r="AQ263"/>
    </row>
    <row r="264" spans="1:43" s="762" customFormat="1" ht="15.75" customHeight="1">
      <c r="A264"/>
      <c r="B264"/>
      <c r="C264"/>
      <c r="D264"/>
      <c r="E264"/>
      <c r="F264"/>
      <c r="G264" s="80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 s="773"/>
      <c r="AH264" s="80"/>
      <c r="AI264" s="80"/>
      <c r="AJ264" s="80"/>
      <c r="AK264"/>
      <c r="AL264" s="80"/>
      <c r="AO264"/>
      <c r="AP264"/>
      <c r="AQ264"/>
    </row>
    <row r="265" spans="1:43" s="762" customFormat="1" ht="15.75" customHeight="1">
      <c r="A265"/>
      <c r="B265"/>
      <c r="C265"/>
      <c r="D265"/>
      <c r="E265"/>
      <c r="F265"/>
      <c r="G265" s="80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 s="773"/>
      <c r="AH265" s="80"/>
      <c r="AI265" s="80"/>
      <c r="AJ265" s="80"/>
      <c r="AK265"/>
      <c r="AL265" s="80"/>
      <c r="AO265"/>
      <c r="AP265"/>
      <c r="AQ265"/>
    </row>
    <row r="266" spans="1:43" s="762" customFormat="1" ht="15.75" customHeight="1">
      <c r="A266"/>
      <c r="B266"/>
      <c r="C266"/>
      <c r="D266"/>
      <c r="E266"/>
      <c r="F266"/>
      <c r="G266" s="80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 s="773"/>
      <c r="AH266" s="80"/>
      <c r="AI266" s="80"/>
      <c r="AJ266" s="80"/>
      <c r="AK266"/>
      <c r="AL266" s="80"/>
      <c r="AO266"/>
      <c r="AP266"/>
      <c r="AQ266"/>
    </row>
    <row r="267" spans="1:43" s="762" customFormat="1" ht="15.75" customHeight="1">
      <c r="A267"/>
      <c r="B267"/>
      <c r="C267"/>
      <c r="D267"/>
      <c r="E267"/>
      <c r="F267"/>
      <c r="G267" s="80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 s="773"/>
      <c r="AH267" s="80"/>
      <c r="AI267" s="80"/>
      <c r="AJ267" s="80"/>
      <c r="AK267"/>
      <c r="AL267" s="80"/>
      <c r="AO267"/>
      <c r="AP267"/>
      <c r="AQ267"/>
    </row>
    <row r="268" spans="1:43" s="762" customFormat="1" ht="15.75" customHeight="1">
      <c r="A268"/>
      <c r="B268"/>
      <c r="C268"/>
      <c r="D268"/>
      <c r="E268"/>
      <c r="F268"/>
      <c r="G268" s="80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 s="773"/>
      <c r="AH268" s="80"/>
      <c r="AI268" s="80"/>
      <c r="AJ268" s="80"/>
      <c r="AK268"/>
      <c r="AL268" s="80"/>
      <c r="AO268"/>
      <c r="AP268"/>
      <c r="AQ268"/>
    </row>
    <row r="269" spans="1:43" s="762" customFormat="1" ht="15.75" customHeight="1">
      <c r="A269"/>
      <c r="B269"/>
      <c r="C269"/>
      <c r="D269"/>
      <c r="E269"/>
      <c r="F269"/>
      <c r="G269" s="80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 s="773"/>
      <c r="AH269" s="80"/>
      <c r="AI269" s="80"/>
      <c r="AJ269" s="80"/>
      <c r="AK269"/>
      <c r="AL269" s="80"/>
      <c r="AO269"/>
      <c r="AP269"/>
      <c r="AQ269"/>
    </row>
    <row r="270" spans="1:43" s="762" customFormat="1" ht="15.75" customHeight="1">
      <c r="A270"/>
      <c r="B270"/>
      <c r="C270"/>
      <c r="D270"/>
      <c r="E270"/>
      <c r="F270"/>
      <c r="G270" s="8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 s="773"/>
      <c r="AH270" s="80"/>
      <c r="AI270" s="80"/>
      <c r="AJ270" s="80"/>
      <c r="AK270"/>
      <c r="AL270" s="80"/>
      <c r="AO270"/>
      <c r="AP270"/>
      <c r="AQ270"/>
    </row>
  </sheetData>
  <autoFilter ref="A3:AL34" xr:uid="{00000000-0009-0000-0000-00001A000000}">
    <sortState xmlns:xlrd2="http://schemas.microsoft.com/office/spreadsheetml/2017/richdata2" ref="A4:AL49">
      <sortCondition ref="A3:A34"/>
    </sortState>
  </autoFilter>
  <pageMargins left="0.7" right="0.7" top="0.75" bottom="0.75" header="0" footer="0"/>
  <pageSetup scale="15" orientation="portrait" r:id="rId1"/>
  <ignoredErrors>
    <ignoredError sqref="AG9 S15 S19 S23 S21" formula="1"/>
  </ignoredError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18">
    <tabColor rgb="FF00B050"/>
    <pageSetUpPr fitToPage="1"/>
  </sheetPr>
  <dimension ref="A1:AQ474"/>
  <sheetViews>
    <sheetView showGridLines="0" workbookViewId="0">
      <pane xSplit="1" ySplit="3" topLeftCell="AF53" activePane="bottomRight" state="frozen"/>
      <selection pane="topRight" activeCell="B1" sqref="B1"/>
      <selection pane="bottomLeft" activeCell="A4" sqref="A4"/>
      <selection pane="bottomRight" activeCell="AO63" sqref="AO63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style="773" customWidth="1"/>
    <col min="34" max="34" width="20.33203125" customWidth="1"/>
    <col min="35" max="35" width="14.44140625" customWidth="1"/>
    <col min="36" max="36" width="17.5546875" customWidth="1"/>
    <col min="37" max="37" width="5.109375" customWidth="1"/>
    <col min="38" max="38" width="14.44140625" customWidth="1"/>
    <col min="39" max="40" width="14.44140625" style="762"/>
  </cols>
  <sheetData>
    <row r="1" spans="1:43" ht="15" customHeight="1" thickBot="1">
      <c r="B1" t="s">
        <v>1206</v>
      </c>
      <c r="D1" s="845">
        <v>45614</v>
      </c>
      <c r="F1" s="79"/>
      <c r="G1" s="80"/>
      <c r="H1" s="81"/>
      <c r="I1" s="843"/>
      <c r="AB1" s="83"/>
      <c r="AC1" s="758"/>
      <c r="AD1" s="83"/>
      <c r="AE1" s="83"/>
      <c r="AF1" s="83"/>
      <c r="AG1" s="768" t="s">
        <v>34</v>
      </c>
      <c r="AH1" s="701" t="s">
        <v>1001</v>
      </c>
      <c r="AI1" s="699" t="s">
        <v>36</v>
      </c>
      <c r="AJ1" s="87" t="s">
        <v>37</v>
      </c>
      <c r="AK1" s="88"/>
      <c r="AL1" s="89" t="s">
        <v>38</v>
      </c>
    </row>
    <row r="2" spans="1:43" ht="15" customHeight="1" thickBot="1">
      <c r="B2" t="s">
        <v>1207</v>
      </c>
      <c r="D2" s="845">
        <v>45620</v>
      </c>
      <c r="G2" s="90"/>
      <c r="H2" s="90"/>
      <c r="I2" s="91">
        <f>SUBTOTAL(9,I4:I9759)</f>
        <v>636.51999999999975</v>
      </c>
      <c r="J2" s="81"/>
      <c r="K2" s="91">
        <f>SUBTOTAL(9,K4:K9759)</f>
        <v>593.35786600000017</v>
      </c>
      <c r="L2" s="93">
        <f>SUMPRODUCT(L5:L590,K5:K590)/K2</f>
        <v>0.33794233602104118</v>
      </c>
      <c r="M2" s="6"/>
      <c r="P2" s="6"/>
      <c r="Q2" s="94">
        <f>+SUMPRODUCT(Q5:Q478,AH5:AH478)/SUM(AH5:AH478)</f>
        <v>89.465443831668892</v>
      </c>
      <c r="R2" s="89">
        <f>+SUMPRODUCT(R5:R478,AH5:AH478)/SUM(AH5:AH478)</f>
        <v>2729.6500888632659</v>
      </c>
      <c r="S2" s="6"/>
      <c r="AB2" s="83"/>
      <c r="AC2" s="83"/>
      <c r="AD2" s="83"/>
      <c r="AE2" s="83"/>
      <c r="AF2" s="83"/>
      <c r="AG2" s="769">
        <f>SUMPRODUCT($AG5:$AG478,$K5:$K478)/SUM($K5:$K478)</f>
        <v>55.315999517068747</v>
      </c>
      <c r="AH2" s="702"/>
      <c r="AI2" s="252">
        <v>2651.9</v>
      </c>
      <c r="AJ2" s="98"/>
      <c r="AK2" s="88"/>
      <c r="AL2" s="99"/>
    </row>
    <row r="3" spans="1:43" ht="15" customHeight="1" thickBot="1">
      <c r="A3" s="678" t="s">
        <v>11</v>
      </c>
      <c r="B3" s="678" t="s">
        <v>39</v>
      </c>
      <c r="C3" s="678" t="s">
        <v>40</v>
      </c>
      <c r="D3" s="678" t="s">
        <v>41</v>
      </c>
      <c r="E3" s="678" t="s">
        <v>1025</v>
      </c>
      <c r="F3" s="678" t="s">
        <v>43</v>
      </c>
      <c r="G3" s="679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770" t="s">
        <v>63</v>
      </c>
      <c r="AH3" s="118">
        <f>SUBTOTAL(9,AH5:AH9760)</f>
        <v>6150.651390787355</v>
      </c>
      <c r="AI3" s="700">
        <f>SUMPRODUCT(K5:K478,AI5:AI478)/K2</f>
        <v>27.702108724732472</v>
      </c>
      <c r="AJ3" s="118">
        <f>SUBTOTAL(9,AJ5:AJ9760)</f>
        <v>6065.3717265003861</v>
      </c>
      <c r="AK3" s="88"/>
      <c r="AL3" s="118">
        <f>SUBTOTAL(9,AL5:AL9760)</f>
        <v>405109.22939270188</v>
      </c>
      <c r="AM3" s="762" t="s">
        <v>1062</v>
      </c>
      <c r="AN3" s="762" t="s">
        <v>1064</v>
      </c>
      <c r="AO3" s="711"/>
    </row>
    <row r="4" spans="1:43" s="677" customFormat="1" ht="15.75" customHeight="1">
      <c r="A4" s="720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771"/>
      <c r="AH4" s="673"/>
      <c r="AI4" s="674"/>
      <c r="AJ4" s="675"/>
      <c r="AK4" s="676"/>
      <c r="AL4" s="732"/>
      <c r="AM4" s="763"/>
      <c r="AN4" s="763"/>
    </row>
    <row r="5" spans="1:43" ht="15.75" customHeight="1">
      <c r="A5" s="870" t="s">
        <v>188</v>
      </c>
      <c r="B5" s="135">
        <v>45583</v>
      </c>
      <c r="C5" s="803" cm="1">
        <v>45581</v>
      </c>
      <c r="D5" s="871" t="s">
        <v>145</v>
      </c>
      <c r="E5" s="639">
        <v>10437450094</v>
      </c>
      <c r="F5" s="142" t="s">
        <v>1222</v>
      </c>
      <c r="G5" s="642">
        <v>25</v>
      </c>
      <c r="H5" s="596" t="s">
        <v>69</v>
      </c>
      <c r="I5" s="596">
        <v>2.37</v>
      </c>
      <c r="J5" s="596">
        <v>1.4</v>
      </c>
      <c r="K5" s="138">
        <f t="shared" ref="K5:K36" si="0">+I5-(I5*(J5/100))</f>
        <v>2.3368199999999999</v>
      </c>
      <c r="L5" s="645">
        <v>1.2669999999999999</v>
      </c>
      <c r="M5" s="645">
        <v>1.204</v>
      </c>
      <c r="N5" s="649">
        <v>1.32</v>
      </c>
      <c r="O5" s="645">
        <f t="shared" ref="O5:O11" si="1">+ROUND((M5+N5)/2,3)</f>
        <v>1.262</v>
      </c>
      <c r="P5" s="154">
        <v>90</v>
      </c>
      <c r="Q5" s="643">
        <v>89.55</v>
      </c>
      <c r="R5" s="144">
        <v>2655.25</v>
      </c>
      <c r="S5" s="642">
        <v>200</v>
      </c>
      <c r="T5" s="631"/>
      <c r="U5" s="639">
        <v>100</v>
      </c>
      <c r="V5" s="639">
        <v>1.1023000000000001</v>
      </c>
      <c r="W5" s="631"/>
      <c r="X5" s="631"/>
      <c r="Y5" s="163">
        <v>30</v>
      </c>
      <c r="Z5" s="143">
        <f t="shared" ref="Z5:Z43" si="2"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 t="shared" ref="AA5:AA36" si="3">+Y5+Z5</f>
        <v>60</v>
      </c>
      <c r="AB5" s="145">
        <f t="shared" ref="AB5:AB36" si="4">+((O5*P5*(R5-U5)/100)-S5-AA5+T5)*V5</f>
        <v>2912.5554267850002</v>
      </c>
      <c r="AC5" s="145">
        <f>+(S5-T5)*V5-'data 1'!$F$4</f>
        <v>140.46</v>
      </c>
      <c r="AD5" s="145">
        <f t="shared" ref="AD5:AD36" si="5">+(Q5-P5)*(R5-U5)*L5*V5/100</f>
        <v>-16.059141805612601</v>
      </c>
      <c r="AE5" s="145">
        <f>+(Y5*V5-70)+V5*(Z5-IF(D5="UNTUCA",IF(+((W5-3)*2.5+(X5-3)*3.1)&gt;0,+((W5-3)*1.5+(X5-3)*3.1),0),IF(+((W5-3)*1.5+(X5-3)*3.1)&gt;0,+((W5-3)*1.5+(X5-3)*3.1),0)))</f>
        <v>-3.8619999999999948</v>
      </c>
      <c r="AF5" s="145">
        <f t="shared" ref="AF5:AF36" si="6">(L5-O5)*(R5-U5)*Q5*V5/100</f>
        <v>12.61155966581223</v>
      </c>
      <c r="AG5" s="772">
        <f>+IF(D5="RONALD WILLIAN GARIBAY ESCUDERO",AC5+AD5+AE5+AF5+70,AC5+AD5+AE5+AF5)+70-53</f>
        <v>150.15041786019964</v>
      </c>
      <c r="AH5" s="146">
        <f t="shared" ref="AH5:AH36" si="7">31.1035*L5*Q5*1.1023*K5/100</f>
        <v>90.902648180534158</v>
      </c>
      <c r="AI5" s="156">
        <f t="shared" ref="AI5:AI40" si="8">+((+$AI$2-R5+U5)*L5*Q5*V5)/100</f>
        <v>120.87705510105759</v>
      </c>
      <c r="AJ5" s="659">
        <f t="shared" ref="AJ5:AJ36" si="9">31.1035*1.1023*K5*P5*O5/100</f>
        <v>90.998910895308541</v>
      </c>
      <c r="AK5" s="661"/>
      <c r="AL5" s="148">
        <f t="shared" ref="AL5:AL36" si="10">+IF(AB5*K5&gt;0,AB5*K5,0)</f>
        <v>6806.1177724197241</v>
      </c>
      <c r="AO5" s="596">
        <f>+AH5/Q5*100</f>
        <v>101.51049489730224</v>
      </c>
      <c r="AQ5" s="596"/>
    </row>
    <row r="6" spans="1:43" ht="15.75" customHeight="1">
      <c r="A6" s="870" t="s">
        <v>202</v>
      </c>
      <c r="B6" s="135">
        <v>45593</v>
      </c>
      <c r="C6" s="803" cm="1">
        <v>45584</v>
      </c>
      <c r="D6" s="872" t="s">
        <v>1029</v>
      </c>
      <c r="E6" s="142">
        <v>10421580605</v>
      </c>
      <c r="F6" s="715" t="s">
        <v>1223</v>
      </c>
      <c r="G6" s="713" t="s">
        <v>68</v>
      </c>
      <c r="H6" s="596" t="s">
        <v>69</v>
      </c>
      <c r="I6" s="596">
        <v>31.26</v>
      </c>
      <c r="J6" s="596">
        <v>16</v>
      </c>
      <c r="K6" s="138">
        <f t="shared" si="0"/>
        <v>26.258400000000002</v>
      </c>
      <c r="L6" s="714">
        <v>0.11799999999999999</v>
      </c>
      <c r="M6" s="714">
        <v>0.11799999999999999</v>
      </c>
      <c r="N6" s="719">
        <v>0.11799999999999999</v>
      </c>
      <c r="O6" s="873">
        <f t="shared" si="1"/>
        <v>0.11799999999999999</v>
      </c>
      <c r="P6" s="154">
        <v>85</v>
      </c>
      <c r="Q6" s="874">
        <v>89.12</v>
      </c>
      <c r="R6" s="144">
        <v>2712.5</v>
      </c>
      <c r="S6" s="713">
        <v>110</v>
      </c>
      <c r="T6" s="677"/>
      <c r="U6" s="872">
        <v>90</v>
      </c>
      <c r="V6" s="614">
        <v>1.1023000000000001</v>
      </c>
      <c r="W6" s="677"/>
      <c r="X6" s="677"/>
      <c r="Y6" s="751"/>
      <c r="Z6" s="143">
        <f t="shared" si="2"/>
        <v>30</v>
      </c>
      <c r="AA6" s="144">
        <f t="shared" si="3"/>
        <v>30</v>
      </c>
      <c r="AB6" s="145">
        <f t="shared" si="4"/>
        <v>135.623409525</v>
      </c>
      <c r="AC6" s="145">
        <f>+(S6-T6)*V6-'data 1'!$F$4</f>
        <v>41.253</v>
      </c>
      <c r="AD6" s="145">
        <f t="shared" si="5"/>
        <v>14.053824555800015</v>
      </c>
      <c r="AE6" s="145">
        <f t="shared" ref="AE6:AE69" si="11">+(Y6*V6-70)+V6*(Z6-IF(D6="UNTUCA",IF(+((W6-3)*2.5+(X6-3)*3.1)&gt;0,+((W6-3)*1.5+(X6-3)*3.1),0),IF(+((W6-3)*1.5+(X6-3)*3.1)&gt;0,+((W6-3)*1.5+(X6-3)*3.1),0)))</f>
        <v>-36.930999999999997</v>
      </c>
      <c r="AF6" s="145">
        <f t="shared" si="6"/>
        <v>0</v>
      </c>
      <c r="AG6" s="772">
        <f>+IF(D6="RONALD WILLIAN GARIBAY ESCUDERO",AC6+AD6+AE6+AF6+70,AC6+AD6+AE6+AF6)+70-53</f>
        <v>35.375824555800023</v>
      </c>
      <c r="AH6" s="146">
        <f t="shared" si="7"/>
        <v>94.674825681537854</v>
      </c>
      <c r="AI6" s="156">
        <f t="shared" si="8"/>
        <v>3.4080371713920106</v>
      </c>
      <c r="AJ6" s="659">
        <f t="shared" si="9"/>
        <v>90.298027187283637</v>
      </c>
      <c r="AK6" s="661"/>
      <c r="AL6" s="148">
        <f t="shared" si="10"/>
        <v>3561.2537366712604</v>
      </c>
      <c r="AO6" s="596">
        <f t="shared" ref="AO6:AO69" si="12">+AH6/Q6*100</f>
        <v>106.23297316151015</v>
      </c>
      <c r="AQ6" s="596"/>
    </row>
    <row r="7" spans="1:43" ht="15.75" customHeight="1">
      <c r="A7" s="870" t="s">
        <v>203</v>
      </c>
      <c r="B7" s="135">
        <v>45593</v>
      </c>
      <c r="C7" s="803" cm="1">
        <v>45584</v>
      </c>
      <c r="D7" s="872" t="s">
        <v>154</v>
      </c>
      <c r="E7" s="142">
        <v>10416085884</v>
      </c>
      <c r="F7" s="614" t="s">
        <v>1223</v>
      </c>
      <c r="G7" s="713" t="s">
        <v>68</v>
      </c>
      <c r="H7" s="596" t="s">
        <v>69</v>
      </c>
      <c r="I7" s="596">
        <v>30.14</v>
      </c>
      <c r="J7" s="596">
        <v>18</v>
      </c>
      <c r="K7" s="138">
        <f t="shared" si="0"/>
        <v>24.7148</v>
      </c>
      <c r="L7" s="714">
        <v>0.114</v>
      </c>
      <c r="M7" s="714">
        <v>0.108</v>
      </c>
      <c r="N7" s="719">
        <v>0.14399999999999999</v>
      </c>
      <c r="O7" s="873">
        <f t="shared" si="1"/>
        <v>0.126</v>
      </c>
      <c r="P7" s="154">
        <v>85</v>
      </c>
      <c r="Q7" s="874">
        <v>89.09</v>
      </c>
      <c r="R7" s="144">
        <v>2712.5</v>
      </c>
      <c r="S7" s="713">
        <v>110</v>
      </c>
      <c r="T7" s="677"/>
      <c r="U7" s="872">
        <v>90</v>
      </c>
      <c r="V7" s="614">
        <v>1.1023000000000001</v>
      </c>
      <c r="W7" s="677"/>
      <c r="X7" s="677"/>
      <c r="Y7" s="751"/>
      <c r="Z7" s="143">
        <f t="shared" si="2"/>
        <v>30</v>
      </c>
      <c r="AA7" s="144">
        <f t="shared" si="3"/>
        <v>30</v>
      </c>
      <c r="AB7" s="145">
        <f t="shared" si="4"/>
        <v>155.28072542500001</v>
      </c>
      <c r="AC7" s="145">
        <f>+(S7-T7)*V7-'data 1'!$F$4</f>
        <v>41.253</v>
      </c>
      <c r="AD7" s="145">
        <f t="shared" si="5"/>
        <v>13.478558987550013</v>
      </c>
      <c r="AE7" s="145">
        <f t="shared" si="11"/>
        <v>-36.930999999999997</v>
      </c>
      <c r="AF7" s="145">
        <f t="shared" si="6"/>
        <v>-30.904769532899994</v>
      </c>
      <c r="AG7" s="772">
        <f>+IF(D7="RONALD WILLIAN GARIBAY ESCUDERO",AC7+AD7+AE7+AF7+70,AC7+AD7+AE7+AF7)+70-53</f>
        <v>3.8957894546500285</v>
      </c>
      <c r="AH7" s="146">
        <f t="shared" si="7"/>
        <v>86.059730138118198</v>
      </c>
      <c r="AI7" s="156">
        <f t="shared" si="8"/>
        <v>3.2914021470120112</v>
      </c>
      <c r="AJ7" s="156">
        <f t="shared" si="9"/>
        <v>90.7518820687188</v>
      </c>
      <c r="AK7" s="660"/>
      <c r="AL7" s="148">
        <f t="shared" si="10"/>
        <v>3837.7320727337906</v>
      </c>
      <c r="AO7" s="596">
        <f t="shared" si="12"/>
        <v>96.598641977907945</v>
      </c>
      <c r="AQ7" s="596"/>
    </row>
    <row r="8" spans="1:43" ht="15.75" customHeight="1">
      <c r="A8" s="870" t="s">
        <v>940</v>
      </c>
      <c r="B8" s="135">
        <v>45603</v>
      </c>
      <c r="C8" s="803" cm="1">
        <v>45585</v>
      </c>
      <c r="D8" t="s">
        <v>106</v>
      </c>
      <c r="E8" s="6">
        <v>20606534923</v>
      </c>
      <c r="F8" s="871" t="s">
        <v>1224</v>
      </c>
      <c r="G8" s="80">
        <v>18</v>
      </c>
      <c r="H8" s="596" t="s">
        <v>69</v>
      </c>
      <c r="I8" s="596">
        <v>2.04</v>
      </c>
      <c r="J8" s="596">
        <v>1.2</v>
      </c>
      <c r="K8" s="138">
        <f t="shared" si="0"/>
        <v>2.01552</v>
      </c>
      <c r="L8" s="139">
        <v>0.53600000000000003</v>
      </c>
      <c r="M8" s="139">
        <v>0.51400000000000001</v>
      </c>
      <c r="N8" s="159">
        <v>0.51400000000000001</v>
      </c>
      <c r="O8" s="645">
        <f t="shared" si="1"/>
        <v>0.51400000000000001</v>
      </c>
      <c r="P8" s="154">
        <v>90</v>
      </c>
      <c r="Q8" s="875">
        <v>89.66</v>
      </c>
      <c r="R8" s="144">
        <v>2712.5</v>
      </c>
      <c r="S8" s="80">
        <v>140</v>
      </c>
      <c r="U8" s="871">
        <v>130</v>
      </c>
      <c r="V8" s="6">
        <v>1.1023000000000001</v>
      </c>
      <c r="Y8" s="163">
        <v>30</v>
      </c>
      <c r="Z8" s="143">
        <f t="shared" si="2"/>
        <v>30</v>
      </c>
      <c r="AA8" s="144">
        <f t="shared" si="3"/>
        <v>60</v>
      </c>
      <c r="AB8" s="145">
        <f t="shared" si="4"/>
        <v>1096.4186783499999</v>
      </c>
      <c r="AC8" s="145">
        <f>+(S8-T8)*V8-'data 1'!$F$4</f>
        <v>74.322000000000003</v>
      </c>
      <c r="AD8" s="145">
        <f t="shared" si="5"/>
        <v>-5.1878074004000529</v>
      </c>
      <c r="AE8" s="145">
        <f t="shared" si="11"/>
        <v>-3.8619999999999948</v>
      </c>
      <c r="AF8" s="145">
        <f t="shared" si="6"/>
        <v>56.151524656700047</v>
      </c>
      <c r="AG8" s="772">
        <f>+IF(D8="RONALD WILLIAN GARIBAY ESCUDERO",AC8+AD8+AE8+AF8+70,AC8+AD8+AE8+AF8)</f>
        <v>121.42371725630001</v>
      </c>
      <c r="AH8" s="146">
        <f t="shared" si="7"/>
        <v>33.209298781379573</v>
      </c>
      <c r="AI8" s="156">
        <f t="shared" si="8"/>
        <v>36.764003780512049</v>
      </c>
      <c r="AJ8" s="156">
        <f t="shared" si="9"/>
        <v>31.966994750205153</v>
      </c>
      <c r="AK8" s="88"/>
      <c r="AL8" s="148">
        <f t="shared" si="10"/>
        <v>2209.8537745879917</v>
      </c>
      <c r="AO8" s="596">
        <f t="shared" si="12"/>
        <v>37.039146532879293</v>
      </c>
      <c r="AQ8" s="596"/>
    </row>
    <row r="9" spans="1:43" ht="15.75" customHeight="1">
      <c r="A9" s="870" t="s">
        <v>941</v>
      </c>
      <c r="B9" s="135">
        <v>45603</v>
      </c>
      <c r="C9" s="803" cm="1">
        <v>45585</v>
      </c>
      <c r="D9" s="631" t="s">
        <v>106</v>
      </c>
      <c r="E9" s="639">
        <v>20606534923</v>
      </c>
      <c r="F9" s="871" t="s">
        <v>1224</v>
      </c>
      <c r="G9" s="642">
        <v>12</v>
      </c>
      <c r="H9" s="596" t="s">
        <v>108</v>
      </c>
      <c r="I9" s="596">
        <v>0.96</v>
      </c>
      <c r="J9" s="596">
        <v>12.9</v>
      </c>
      <c r="K9" s="138">
        <f t="shared" si="0"/>
        <v>0.83616000000000001</v>
      </c>
      <c r="L9" s="645">
        <v>1.4379999999999999</v>
      </c>
      <c r="M9" s="645">
        <v>1.38</v>
      </c>
      <c r="N9" s="647">
        <v>1.526</v>
      </c>
      <c r="O9" s="645">
        <f t="shared" si="1"/>
        <v>1.4530000000000001</v>
      </c>
      <c r="P9" s="871">
        <v>90</v>
      </c>
      <c r="Q9" s="875">
        <v>89.45</v>
      </c>
      <c r="R9" s="144">
        <v>2712.5</v>
      </c>
      <c r="S9" s="642">
        <v>200</v>
      </c>
      <c r="T9" s="631"/>
      <c r="U9" s="871">
        <v>130</v>
      </c>
      <c r="V9" s="639">
        <v>1.1023000000000001</v>
      </c>
      <c r="W9" s="631"/>
      <c r="X9" s="631"/>
      <c r="Y9" s="163">
        <v>30</v>
      </c>
      <c r="Z9" s="143">
        <f t="shared" si="2"/>
        <v>30</v>
      </c>
      <c r="AA9" s="144">
        <f t="shared" si="3"/>
        <v>60</v>
      </c>
      <c r="AB9" s="145">
        <f t="shared" si="4"/>
        <v>3436.0181860750004</v>
      </c>
      <c r="AC9" s="145">
        <f>+(S9-T9)*V9-'data 1'!$F$4</f>
        <v>140.46</v>
      </c>
      <c r="AD9" s="145">
        <f t="shared" si="5"/>
        <v>-22.514469232749885</v>
      </c>
      <c r="AE9" s="145">
        <f t="shared" si="11"/>
        <v>-3.8619999999999948</v>
      </c>
      <c r="AF9" s="145">
        <f t="shared" si="6"/>
        <v>-38.195459720625323</v>
      </c>
      <c r="AG9" s="772">
        <f>+IF(D9="RONALD WILLIAN GARIBAY ESCUDERO",AC9+AD9+AE9+AF9+70,AC9+AD9+AE9+AF9)</f>
        <v>75.888071046624802</v>
      </c>
      <c r="AH9" s="146">
        <f t="shared" si="7"/>
        <v>36.875480520838892</v>
      </c>
      <c r="AI9" s="156">
        <f t="shared" si="8"/>
        <v>98.400772709420139</v>
      </c>
      <c r="AJ9" s="156">
        <f t="shared" si="9"/>
        <v>37.489235233007939</v>
      </c>
      <c r="AK9" s="88"/>
      <c r="AL9" s="148">
        <f t="shared" si="10"/>
        <v>2873.0609664684725</v>
      </c>
      <c r="AO9" s="596">
        <f t="shared" si="12"/>
        <v>41.224684763374945</v>
      </c>
      <c r="AQ9" s="596"/>
    </row>
    <row r="10" spans="1:43" ht="15.75" customHeight="1">
      <c r="A10" s="870" t="s">
        <v>945</v>
      </c>
      <c r="B10" s="135">
        <v>45590</v>
      </c>
      <c r="C10" s="803" cm="1">
        <v>45585</v>
      </c>
      <c r="D10" t="s">
        <v>93</v>
      </c>
      <c r="E10" s="871">
        <v>20169040237</v>
      </c>
      <c r="F10" s="876" t="s">
        <v>1225</v>
      </c>
      <c r="G10" s="80">
        <v>21</v>
      </c>
      <c r="H10" s="596" t="s">
        <v>69</v>
      </c>
      <c r="I10" s="596">
        <v>1.88</v>
      </c>
      <c r="J10" s="596">
        <v>1.2</v>
      </c>
      <c r="K10" s="138">
        <f t="shared" si="0"/>
        <v>1.85744</v>
      </c>
      <c r="L10" s="139">
        <v>0.35</v>
      </c>
      <c r="M10" s="139">
        <v>0.34599999999999997</v>
      </c>
      <c r="N10" s="159">
        <v>0.34599999999999997</v>
      </c>
      <c r="O10" s="139">
        <f t="shared" si="1"/>
        <v>0.34599999999999997</v>
      </c>
      <c r="P10" s="154">
        <v>90</v>
      </c>
      <c r="Q10" s="668">
        <v>89.27</v>
      </c>
      <c r="R10" s="144">
        <v>2712.5</v>
      </c>
      <c r="S10" s="80">
        <v>120</v>
      </c>
      <c r="U10" s="876">
        <v>130</v>
      </c>
      <c r="V10" s="6">
        <v>1.1023000000000001</v>
      </c>
      <c r="Y10" s="163">
        <v>30</v>
      </c>
      <c r="Z10" s="143">
        <f t="shared" si="2"/>
        <v>30</v>
      </c>
      <c r="AA10" s="144">
        <f t="shared" si="3"/>
        <v>60</v>
      </c>
      <c r="AB10" s="145">
        <f t="shared" si="4"/>
        <v>688.04518814999994</v>
      </c>
      <c r="AC10" s="145">
        <f>+(S10-T10)*V10-'data 1'!$F$4</f>
        <v>52.27600000000001</v>
      </c>
      <c r="AD10" s="145">
        <f t="shared" si="5"/>
        <v>-7.2732923112500396</v>
      </c>
      <c r="AE10" s="145">
        <f t="shared" si="11"/>
        <v>-3.8619999999999948</v>
      </c>
      <c r="AF10" s="145">
        <f t="shared" si="6"/>
        <v>10.164959759300009</v>
      </c>
      <c r="AG10" s="772">
        <f>+IF(D10="RONALD WILLIAN GARIBAY ESCUDERO",AC10+AD10+AE10+AF10+70,AC10+AD10+AE10+AF10)</f>
        <v>51.305667448049988</v>
      </c>
      <c r="AH10" s="146">
        <f t="shared" si="7"/>
        <v>19.897450925807622</v>
      </c>
      <c r="AI10" s="156">
        <f t="shared" si="8"/>
        <v>23.901923770900034</v>
      </c>
      <c r="AJ10" s="156">
        <f t="shared" si="9"/>
        <v>19.830902137324944</v>
      </c>
      <c r="AK10" s="88"/>
      <c r="AL10" s="148">
        <f t="shared" si="10"/>
        <v>1278.002654277336</v>
      </c>
      <c r="AO10" s="596">
        <f t="shared" si="12"/>
        <v>22.289067912857199</v>
      </c>
      <c r="AQ10" s="596"/>
    </row>
    <row r="11" spans="1:43" ht="15.75" customHeight="1">
      <c r="A11" s="870" t="s">
        <v>946</v>
      </c>
      <c r="B11" s="135">
        <v>45590</v>
      </c>
      <c r="C11" s="803" cm="1">
        <v>45585</v>
      </c>
      <c r="D11" t="s">
        <v>93</v>
      </c>
      <c r="E11" s="871">
        <v>20169040237</v>
      </c>
      <c r="F11" s="876" t="s">
        <v>1226</v>
      </c>
      <c r="G11" s="80">
        <v>21</v>
      </c>
      <c r="H11" s="596" t="s">
        <v>69</v>
      </c>
      <c r="I11" s="596">
        <v>1.91</v>
      </c>
      <c r="J11" s="596">
        <v>1.1499999999999999</v>
      </c>
      <c r="K11" s="138">
        <f t="shared" si="0"/>
        <v>1.8880349999999999</v>
      </c>
      <c r="L11" s="139">
        <v>0.32300000000000001</v>
      </c>
      <c r="M11" s="139">
        <v>0.314</v>
      </c>
      <c r="N11" s="159">
        <v>0.314</v>
      </c>
      <c r="O11" s="139">
        <f t="shared" si="1"/>
        <v>0.314</v>
      </c>
      <c r="P11" s="154">
        <v>90</v>
      </c>
      <c r="Q11" s="668">
        <v>89.11</v>
      </c>
      <c r="R11" s="144">
        <v>2712.5</v>
      </c>
      <c r="S11" s="80">
        <v>120</v>
      </c>
      <c r="U11" s="876">
        <v>130</v>
      </c>
      <c r="V11" s="6">
        <v>1.1023000000000001</v>
      </c>
      <c r="Y11" s="163">
        <v>20</v>
      </c>
      <c r="Z11" s="143">
        <f t="shared" si="2"/>
        <v>30</v>
      </c>
      <c r="AA11" s="144">
        <f t="shared" si="3"/>
        <v>50</v>
      </c>
      <c r="AB11" s="145">
        <f t="shared" si="4"/>
        <v>617.08352334999995</v>
      </c>
      <c r="AC11" s="145">
        <f>+(S11-T11)*V11-'data 1'!$F$4</f>
        <v>52.27600000000001</v>
      </c>
      <c r="AD11" s="145">
        <f t="shared" si="5"/>
        <v>-8.1833790243250064</v>
      </c>
      <c r="AE11" s="145">
        <f t="shared" si="11"/>
        <v>-14.884999999999998</v>
      </c>
      <c r="AF11" s="145">
        <f t="shared" si="6"/>
        <v>22.830167126025025</v>
      </c>
      <c r="AG11" s="772">
        <f>+IF(D11="RONALD WILLIAN GARIBAY ESCUDERO",AC11+AD11+AE11+AF11+70,AC11+AD11+AE11+AF11)</f>
        <v>52.037788101700031</v>
      </c>
      <c r="AH11" s="146">
        <f t="shared" si="7"/>
        <v>18.63151095396481</v>
      </c>
      <c r="AI11" s="156">
        <f t="shared" si="8"/>
        <v>22.018526076386028</v>
      </c>
      <c r="AJ11" s="156">
        <f t="shared" si="9"/>
        <v>18.293266768385045</v>
      </c>
      <c r="AK11" s="88"/>
      <c r="AL11" s="148">
        <f t="shared" si="10"/>
        <v>1165.075290008117</v>
      </c>
      <c r="AO11" s="596">
        <f t="shared" si="12"/>
        <v>20.908440078515106</v>
      </c>
      <c r="AQ11" s="596"/>
    </row>
    <row r="12" spans="1:43" ht="15.75" customHeight="1">
      <c r="A12" s="877" t="s">
        <v>968</v>
      </c>
      <c r="B12" s="135">
        <v>45590</v>
      </c>
      <c r="C12" s="803" cm="1">
        <v>45586</v>
      </c>
      <c r="D12" s="665" t="s">
        <v>1227</v>
      </c>
      <c r="E12" s="876">
        <v>10403381361</v>
      </c>
      <c r="F12" s="665"/>
      <c r="G12" s="80" t="s">
        <v>68</v>
      </c>
      <c r="H12" s="596" t="s">
        <v>108</v>
      </c>
      <c r="I12" s="596">
        <v>34.1</v>
      </c>
      <c r="J12" s="596">
        <v>22.1</v>
      </c>
      <c r="K12" s="138">
        <f t="shared" si="0"/>
        <v>26.5639</v>
      </c>
      <c r="L12" s="878">
        <v>0.252</v>
      </c>
      <c r="M12" s="878">
        <v>0.24399999999999999</v>
      </c>
      <c r="N12" s="879">
        <v>0.32100000000000001</v>
      </c>
      <c r="O12" s="878">
        <v>0.28199999999999997</v>
      </c>
      <c r="P12" s="727">
        <v>90</v>
      </c>
      <c r="Q12" s="667">
        <v>89.12</v>
      </c>
      <c r="R12" s="151">
        <v>2724.3</v>
      </c>
      <c r="S12" s="80">
        <v>105</v>
      </c>
      <c r="U12" s="876">
        <v>100</v>
      </c>
      <c r="V12" s="6">
        <v>1.1023000000000001</v>
      </c>
      <c r="Y12" s="163"/>
      <c r="Z12" s="143">
        <f t="shared" si="2"/>
        <v>30</v>
      </c>
      <c r="AA12" s="144">
        <f t="shared" si="3"/>
        <v>30</v>
      </c>
      <c r="AB12" s="145">
        <f t="shared" si="4"/>
        <v>585.37348288199996</v>
      </c>
      <c r="AC12" s="145">
        <f>+(S12-T12)*V12-'data 1'!$F$4</f>
        <v>35.741500000000002</v>
      </c>
      <c r="AD12" s="145">
        <f t="shared" si="5"/>
        <v>-6.4149976376639666</v>
      </c>
      <c r="AE12" s="145">
        <f t="shared" si="11"/>
        <v>-36.930999999999997</v>
      </c>
      <c r="AF12" s="145">
        <f t="shared" si="6"/>
        <v>-77.340988835039937</v>
      </c>
      <c r="AG12" s="772">
        <f>+IF(D12="RONALD WILLIAN GARIBAY ESCUDERO",AC12+AD12+AE12+AF12+70,AC12+AD12+AE12+AF12)+70-53</f>
        <v>-67.945486472703891</v>
      </c>
      <c r="AH12" s="146">
        <f t="shared" si="7"/>
        <v>204.53923370326001</v>
      </c>
      <c r="AI12" s="156">
        <f t="shared" si="8"/>
        <v>6.8325781547519782</v>
      </c>
      <c r="AJ12" s="156">
        <f t="shared" si="9"/>
        <v>231.14926865991001</v>
      </c>
      <c r="AK12" s="88"/>
      <c r="AL12" s="148">
        <f t="shared" si="10"/>
        <v>15549.80266192916</v>
      </c>
      <c r="AO12" s="596">
        <f t="shared" si="12"/>
        <v>229.50991214459157</v>
      </c>
      <c r="AQ12" s="596"/>
    </row>
    <row r="13" spans="1:43" ht="15.75" customHeight="1">
      <c r="A13" s="877" t="s">
        <v>969</v>
      </c>
      <c r="B13" s="135">
        <v>45590</v>
      </c>
      <c r="C13" s="803" cm="1">
        <v>45586</v>
      </c>
      <c r="D13" s="665" t="s">
        <v>1227</v>
      </c>
      <c r="E13" s="876">
        <v>10403381361</v>
      </c>
      <c r="F13" s="665"/>
      <c r="G13" s="80" t="s">
        <v>68</v>
      </c>
      <c r="H13" s="596" t="s">
        <v>108</v>
      </c>
      <c r="I13" s="596">
        <v>34.15</v>
      </c>
      <c r="J13" s="596">
        <v>23.5</v>
      </c>
      <c r="K13" s="138">
        <f t="shared" si="0"/>
        <v>26.124749999999999</v>
      </c>
      <c r="L13" s="878">
        <v>0.29899999999999999</v>
      </c>
      <c r="M13" s="878">
        <v>0.27800000000000002</v>
      </c>
      <c r="N13" s="879">
        <v>0.32800000000000001</v>
      </c>
      <c r="O13" s="878">
        <v>0.30299999999999999</v>
      </c>
      <c r="P13" s="727">
        <v>90</v>
      </c>
      <c r="Q13" s="667">
        <v>89.16</v>
      </c>
      <c r="R13" s="151">
        <v>2724.3</v>
      </c>
      <c r="S13" s="80">
        <v>105</v>
      </c>
      <c r="U13" s="876">
        <v>100</v>
      </c>
      <c r="V13" s="6">
        <v>1.1023000000000001</v>
      </c>
      <c r="Y13" s="163"/>
      <c r="Z13" s="143">
        <f t="shared" si="2"/>
        <v>30</v>
      </c>
      <c r="AA13" s="144">
        <f t="shared" si="3"/>
        <v>30</v>
      </c>
      <c r="AB13" s="145">
        <f t="shared" si="4"/>
        <v>640.04675820300019</v>
      </c>
      <c r="AC13" s="145">
        <f>+(S13-T13)*V13-'data 1'!$F$4</f>
        <v>35.741500000000002</v>
      </c>
      <c r="AD13" s="145">
        <f t="shared" si="5"/>
        <v>-7.2654708093240288</v>
      </c>
      <c r="AE13" s="145">
        <f t="shared" si="11"/>
        <v>-36.930999999999997</v>
      </c>
      <c r="AF13" s="145">
        <f t="shared" si="6"/>
        <v>-10.31676027009601</v>
      </c>
      <c r="AG13" s="772">
        <f t="shared" ref="AG13:AG28" si="13">+IF(D13="RONALD WILLIAN GARIBAY ESCUDERO",AC13+AD13+AE13+AF13+70,AC13+AD13+AE13+AF13)+70-53</f>
        <v>-1.7717310794200358</v>
      </c>
      <c r="AH13" s="146">
        <f t="shared" si="7"/>
        <v>238.78248115561175</v>
      </c>
      <c r="AI13" s="156">
        <f t="shared" si="8"/>
        <v>8.1105468556319735</v>
      </c>
      <c r="AJ13" s="156">
        <f t="shared" si="9"/>
        <v>244.25662411093407</v>
      </c>
      <c r="AK13" s="88"/>
      <c r="AL13" s="148">
        <f t="shared" si="10"/>
        <v>16721.061546363828</v>
      </c>
      <c r="AO13" s="596">
        <f t="shared" si="12"/>
        <v>267.81346024631199</v>
      </c>
      <c r="AQ13" s="596"/>
    </row>
    <row r="14" spans="1:43" ht="15.75" customHeight="1">
      <c r="A14" s="877" t="s">
        <v>973</v>
      </c>
      <c r="B14" s="135">
        <v>45600</v>
      </c>
      <c r="C14" s="803" cm="1">
        <v>45586</v>
      </c>
      <c r="D14" s="880" t="s">
        <v>93</v>
      </c>
      <c r="E14" s="871">
        <v>20169040237</v>
      </c>
      <c r="F14" s="880" t="s">
        <v>103</v>
      </c>
      <c r="G14" s="642">
        <v>25</v>
      </c>
      <c r="H14" s="596" t="s">
        <v>69</v>
      </c>
      <c r="I14" s="596">
        <v>2.17</v>
      </c>
      <c r="J14" s="596">
        <v>1.2</v>
      </c>
      <c r="K14" s="138">
        <f t="shared" si="0"/>
        <v>2.1439599999999999</v>
      </c>
      <c r="L14" s="645">
        <v>0.378</v>
      </c>
      <c r="M14" s="645">
        <v>0.36299999999999999</v>
      </c>
      <c r="N14" s="649">
        <v>0.40600000000000003</v>
      </c>
      <c r="O14" s="645">
        <f t="shared" ref="O14:O45" si="14">+ROUND((M14+N14)/2,3)</f>
        <v>0.38500000000000001</v>
      </c>
      <c r="P14" s="727">
        <v>90</v>
      </c>
      <c r="Q14" s="880">
        <v>89.23</v>
      </c>
      <c r="R14" s="151">
        <v>2724.3</v>
      </c>
      <c r="S14" s="615">
        <v>120</v>
      </c>
      <c r="T14" s="631"/>
      <c r="U14" s="871">
        <v>130</v>
      </c>
      <c r="V14" s="639">
        <v>1.1023000000000001</v>
      </c>
      <c r="W14" s="631"/>
      <c r="X14" s="631"/>
      <c r="Y14" s="163">
        <v>0</v>
      </c>
      <c r="Z14" s="143">
        <f t="shared" si="2"/>
        <v>30</v>
      </c>
      <c r="AA14" s="144">
        <f t="shared" si="3"/>
        <v>30</v>
      </c>
      <c r="AB14" s="145">
        <f t="shared" si="4"/>
        <v>825.53997238500006</v>
      </c>
      <c r="AC14" s="145">
        <f>+(S14-T14)*V14-'data 1'!$F$4</f>
        <v>52.27600000000001</v>
      </c>
      <c r="AD14" s="145">
        <f t="shared" si="5"/>
        <v>-8.3234337680339596</v>
      </c>
      <c r="AE14" s="145">
        <f t="shared" si="11"/>
        <v>-36.930999999999997</v>
      </c>
      <c r="AF14" s="145">
        <f t="shared" si="6"/>
        <v>-17.861952744629018</v>
      </c>
      <c r="AG14" s="772">
        <f t="shared" si="13"/>
        <v>6.1596134873370403</v>
      </c>
      <c r="AH14" s="146">
        <f t="shared" si="7"/>
        <v>24.79296347122261</v>
      </c>
      <c r="AI14" s="156">
        <f t="shared" si="8"/>
        <v>21.415340483711965</v>
      </c>
      <c r="AJ14" s="156">
        <f t="shared" si="9"/>
        <v>25.470002445314432</v>
      </c>
      <c r="AK14" s="88"/>
      <c r="AL14" s="148">
        <f t="shared" si="10"/>
        <v>1769.9246791945445</v>
      </c>
      <c r="AO14" s="596">
        <f t="shared" si="12"/>
        <v>27.785457213070273</v>
      </c>
      <c r="AQ14" s="596"/>
    </row>
    <row r="15" spans="1:43" ht="15.75" customHeight="1">
      <c r="A15" s="877" t="s">
        <v>978</v>
      </c>
      <c r="B15" s="135">
        <v>45589</v>
      </c>
      <c r="C15" s="803" cm="1">
        <v>45587</v>
      </c>
      <c r="D15" t="s">
        <v>145</v>
      </c>
      <c r="E15" s="6">
        <v>10437450094</v>
      </c>
      <c r="F15" s="880" t="s">
        <v>1228</v>
      </c>
      <c r="G15" s="80">
        <v>58</v>
      </c>
      <c r="H15" s="596" t="s">
        <v>69</v>
      </c>
      <c r="I15" s="596">
        <v>4.96</v>
      </c>
      <c r="J15" s="596">
        <v>1.6</v>
      </c>
      <c r="K15" s="138">
        <f t="shared" si="0"/>
        <v>4.8806399999999996</v>
      </c>
      <c r="L15" s="139">
        <v>0.48399999999999999</v>
      </c>
      <c r="M15" s="139">
        <v>0.46500000000000002</v>
      </c>
      <c r="N15" s="159">
        <v>0.46500000000000002</v>
      </c>
      <c r="O15" s="139">
        <f t="shared" si="14"/>
        <v>0.46500000000000002</v>
      </c>
      <c r="P15" s="629">
        <v>90</v>
      </c>
      <c r="Q15" s="667">
        <v>89.13</v>
      </c>
      <c r="R15" s="151">
        <v>2726.5</v>
      </c>
      <c r="S15" s="80">
        <v>120</v>
      </c>
      <c r="U15" s="876">
        <v>130</v>
      </c>
      <c r="V15" s="6">
        <v>1.1023000000000001</v>
      </c>
      <c r="Y15" s="163">
        <v>20</v>
      </c>
      <c r="Z15" s="143">
        <f t="shared" si="2"/>
        <v>30</v>
      </c>
      <c r="AA15" s="144">
        <f t="shared" si="3"/>
        <v>50</v>
      </c>
      <c r="AB15" s="145">
        <f t="shared" si="4"/>
        <v>1010.4070360750001</v>
      </c>
      <c r="AC15" s="145">
        <f>+(S15-T15)*V15-'data 1'!$F$4</f>
        <v>52.27600000000001</v>
      </c>
      <c r="AD15" s="145">
        <f t="shared" si="5"/>
        <v>-12.051823107060063</v>
      </c>
      <c r="AE15" s="145">
        <f t="shared" si="11"/>
        <v>-14.884999999999998</v>
      </c>
      <c r="AF15" s="145">
        <f t="shared" si="6"/>
        <v>48.469176586664908</v>
      </c>
      <c r="AG15" s="772">
        <f t="shared" si="13"/>
        <v>90.808353479604875</v>
      </c>
      <c r="AH15" s="146">
        <f t="shared" si="7"/>
        <v>72.186354899704241</v>
      </c>
      <c r="AI15" s="156">
        <f t="shared" si="8"/>
        <v>26.343825459864043</v>
      </c>
      <c r="AJ15" s="156">
        <f t="shared" si="9"/>
        <v>70.029545305089314</v>
      </c>
      <c r="AK15" s="88"/>
      <c r="AL15" s="148">
        <f t="shared" si="10"/>
        <v>4931.4329965490879</v>
      </c>
      <c r="AO15" s="596">
        <f t="shared" si="12"/>
        <v>80.989963984858349</v>
      </c>
      <c r="AQ15" s="596"/>
    </row>
    <row r="16" spans="1:43" ht="15.75" customHeight="1">
      <c r="A16" s="877" t="s">
        <v>991</v>
      </c>
      <c r="B16" s="135">
        <v>45591</v>
      </c>
      <c r="C16" s="803" cm="1">
        <v>45587</v>
      </c>
      <c r="D16" t="s">
        <v>145</v>
      </c>
      <c r="E16" s="6">
        <v>10437450094</v>
      </c>
      <c r="F16" s="665" t="s">
        <v>150</v>
      </c>
      <c r="G16" s="80">
        <v>15</v>
      </c>
      <c r="H16" s="596" t="s">
        <v>69</v>
      </c>
      <c r="I16" s="596">
        <v>1.25</v>
      </c>
      <c r="J16" s="596">
        <v>1.75</v>
      </c>
      <c r="K16" s="138">
        <f t="shared" si="0"/>
        <v>1.2281249999999999</v>
      </c>
      <c r="L16" s="139">
        <v>0.44800000000000001</v>
      </c>
      <c r="M16" s="139">
        <v>0.43</v>
      </c>
      <c r="N16" s="598">
        <v>0.46700000000000003</v>
      </c>
      <c r="O16" s="139">
        <f t="shared" si="14"/>
        <v>0.44900000000000001</v>
      </c>
      <c r="P16" s="629">
        <v>90</v>
      </c>
      <c r="Q16" s="665">
        <v>89.47</v>
      </c>
      <c r="R16" s="151">
        <v>2726.5</v>
      </c>
      <c r="S16" s="80">
        <v>130</v>
      </c>
      <c r="U16" s="876">
        <v>130</v>
      </c>
      <c r="V16" s="6">
        <v>1.1023000000000001</v>
      </c>
      <c r="Y16" s="163">
        <v>30</v>
      </c>
      <c r="Z16" s="143">
        <f t="shared" si="2"/>
        <v>30</v>
      </c>
      <c r="AA16" s="144">
        <f t="shared" si="3"/>
        <v>60</v>
      </c>
      <c r="AB16" s="145">
        <f t="shared" si="4"/>
        <v>947.14647999500016</v>
      </c>
      <c r="AC16" s="145">
        <f>+(S16-T16)*V16-'data 1'!$F$4</f>
        <v>63.299000000000007</v>
      </c>
      <c r="AD16" s="145">
        <f t="shared" si="5"/>
        <v>-6.7958223580800157</v>
      </c>
      <c r="AE16" s="145">
        <f t="shared" si="11"/>
        <v>-3.8619999999999948</v>
      </c>
      <c r="AF16" s="145">
        <f t="shared" si="6"/>
        <v>-2.5607405086650026</v>
      </c>
      <c r="AG16" s="772">
        <f t="shared" si="13"/>
        <v>67.080437133254989</v>
      </c>
      <c r="AH16" s="146">
        <f t="shared" si="7"/>
        <v>16.877460205921921</v>
      </c>
      <c r="AI16" s="156">
        <f t="shared" si="8"/>
        <v>24.47738526195204</v>
      </c>
      <c r="AJ16" s="156">
        <f t="shared" si="9"/>
        <v>17.015334522578016</v>
      </c>
      <c r="AK16" s="88"/>
      <c r="AL16" s="148">
        <f t="shared" si="10"/>
        <v>1163.2142707438595</v>
      </c>
      <c r="AO16" s="596">
        <f t="shared" si="12"/>
        <v>18.863820505110006</v>
      </c>
      <c r="AQ16" s="596"/>
    </row>
    <row r="17" spans="1:43" ht="15.75" customHeight="1">
      <c r="A17" s="877" t="s">
        <v>992</v>
      </c>
      <c r="B17" s="135">
        <v>45591</v>
      </c>
      <c r="C17" s="803" cm="1">
        <v>45587</v>
      </c>
      <c r="D17" t="s">
        <v>145</v>
      </c>
      <c r="E17" s="6">
        <v>10437450094</v>
      </c>
      <c r="F17" s="665" t="s">
        <v>150</v>
      </c>
      <c r="G17" s="80">
        <v>31</v>
      </c>
      <c r="H17" s="596" t="s">
        <v>69</v>
      </c>
      <c r="I17" s="596">
        <v>2.5499999999999998</v>
      </c>
      <c r="J17" s="596">
        <v>1.5</v>
      </c>
      <c r="K17" s="138">
        <f t="shared" si="0"/>
        <v>2.5117499999999997</v>
      </c>
      <c r="L17" s="139">
        <v>0.32700000000000001</v>
      </c>
      <c r="M17" s="139">
        <v>0.314</v>
      </c>
      <c r="N17" s="159">
        <v>0.314</v>
      </c>
      <c r="O17" s="139">
        <f t="shared" si="14"/>
        <v>0.314</v>
      </c>
      <c r="P17" s="629">
        <v>90</v>
      </c>
      <c r="Q17" s="665">
        <v>89.61</v>
      </c>
      <c r="R17" s="151">
        <v>2726.5</v>
      </c>
      <c r="S17" s="80">
        <v>120</v>
      </c>
      <c r="U17" s="876">
        <v>130</v>
      </c>
      <c r="V17" s="6">
        <v>1.1023000000000001</v>
      </c>
      <c r="Y17" s="163">
        <v>30</v>
      </c>
      <c r="Z17" s="143">
        <f t="shared" si="2"/>
        <v>30</v>
      </c>
      <c r="AA17" s="144">
        <f t="shared" si="3"/>
        <v>60</v>
      </c>
      <c r="AB17" s="145">
        <f t="shared" si="4"/>
        <v>610.42166307000014</v>
      </c>
      <c r="AC17" s="145">
        <f>+(S17-T17)*V17-'data 1'!$F$4</f>
        <v>52.27600000000001</v>
      </c>
      <c r="AD17" s="145">
        <f t="shared" si="5"/>
        <v>-3.6500641228350061</v>
      </c>
      <c r="AE17" s="145">
        <f t="shared" si="11"/>
        <v>-3.8619999999999948</v>
      </c>
      <c r="AF17" s="145">
        <f t="shared" si="6"/>
        <v>33.341717232135032</v>
      </c>
      <c r="AG17" s="772">
        <f t="shared" si="13"/>
        <v>95.10565310930005</v>
      </c>
      <c r="AH17" s="146">
        <f t="shared" si="7"/>
        <v>25.234209839522972</v>
      </c>
      <c r="AI17" s="156">
        <f t="shared" si="8"/>
        <v>17.894262425274032</v>
      </c>
      <c r="AJ17" s="156">
        <f t="shared" si="9"/>
        <v>24.336473002614429</v>
      </c>
      <c r="AK17" s="88"/>
      <c r="AL17" s="148">
        <f t="shared" si="10"/>
        <v>1533.2266122160727</v>
      </c>
      <c r="AO17" s="596">
        <f t="shared" si="12"/>
        <v>28.160037763110111</v>
      </c>
      <c r="AQ17" s="596"/>
    </row>
    <row r="18" spans="1:43" s="629" customFormat="1" ht="15.75" customHeight="1">
      <c r="A18" s="877" t="s">
        <v>993</v>
      </c>
      <c r="B18" s="135">
        <v>45591</v>
      </c>
      <c r="C18" s="803" cm="1">
        <v>45587</v>
      </c>
      <c r="D18" t="s">
        <v>1229</v>
      </c>
      <c r="E18" s="6">
        <v>20610873309</v>
      </c>
      <c r="F18" s="665" t="s">
        <v>1230</v>
      </c>
      <c r="G18" s="80">
        <v>65</v>
      </c>
      <c r="H18" s="596" t="s">
        <v>69</v>
      </c>
      <c r="I18" s="596">
        <v>5.0599999999999996</v>
      </c>
      <c r="J18" s="596">
        <v>1.25</v>
      </c>
      <c r="K18" s="138">
        <f t="shared" si="0"/>
        <v>4.9967499999999996</v>
      </c>
      <c r="L18" s="139">
        <v>0.28899999999999998</v>
      </c>
      <c r="M18" s="139">
        <v>0.27700000000000002</v>
      </c>
      <c r="N18" s="598">
        <v>0.32400000000000001</v>
      </c>
      <c r="O18" s="139">
        <f t="shared" si="14"/>
        <v>0.30099999999999999</v>
      </c>
      <c r="P18" s="629">
        <v>90</v>
      </c>
      <c r="Q18" s="881">
        <v>89.7</v>
      </c>
      <c r="R18" s="151">
        <v>2726.5</v>
      </c>
      <c r="S18" s="80">
        <v>120</v>
      </c>
      <c r="T18"/>
      <c r="U18" s="876">
        <v>130</v>
      </c>
      <c r="V18" s="6">
        <v>1.1023000000000001</v>
      </c>
      <c r="W18"/>
      <c r="X18"/>
      <c r="Y18" s="163">
        <v>30</v>
      </c>
      <c r="Z18" s="143">
        <f t="shared" si="2"/>
        <v>30</v>
      </c>
      <c r="AA18" s="144">
        <f t="shared" si="3"/>
        <v>60</v>
      </c>
      <c r="AB18" s="145">
        <f t="shared" si="4"/>
        <v>576.93483625500005</v>
      </c>
      <c r="AC18" s="145">
        <f>+(S18-T18)*V18-'data 1'!$F$4</f>
        <v>52.27600000000001</v>
      </c>
      <c r="AD18" s="145">
        <f t="shared" si="5"/>
        <v>-2.4814597306499766</v>
      </c>
      <c r="AE18" s="145">
        <f t="shared" si="11"/>
        <v>-3.8619999999999948</v>
      </c>
      <c r="AF18" s="145">
        <f t="shared" si="6"/>
        <v>-30.807880669800028</v>
      </c>
      <c r="AG18" s="772">
        <f t="shared" si="13"/>
        <v>32.124659599550014</v>
      </c>
      <c r="AH18" s="146">
        <f t="shared" si="7"/>
        <v>44.41063431382706</v>
      </c>
      <c r="AI18" s="156">
        <f t="shared" si="8"/>
        <v>15.830690488860027</v>
      </c>
      <c r="AJ18" s="156">
        <f t="shared" si="9"/>
        <v>46.409372400951078</v>
      </c>
      <c r="AK18" s="88"/>
      <c r="AL18" s="148">
        <f t="shared" si="10"/>
        <v>2882.7991430571715</v>
      </c>
      <c r="AM18" s="764"/>
      <c r="AN18" s="764"/>
      <c r="AO18" s="596">
        <f t="shared" si="12"/>
        <v>49.510183181524035</v>
      </c>
      <c r="AP18"/>
      <c r="AQ18" s="596"/>
    </row>
    <row r="19" spans="1:43" s="629" customFormat="1" ht="15.75" customHeight="1">
      <c r="A19" s="877" t="s">
        <v>994</v>
      </c>
      <c r="B19" s="135">
        <v>45590</v>
      </c>
      <c r="C19" s="803" cm="1">
        <v>45587</v>
      </c>
      <c r="D19" t="s">
        <v>1229</v>
      </c>
      <c r="E19" s="6">
        <v>20610873309</v>
      </c>
      <c r="F19" s="665" t="s">
        <v>1231</v>
      </c>
      <c r="G19" s="80">
        <v>46</v>
      </c>
      <c r="H19" s="596" t="s">
        <v>69</v>
      </c>
      <c r="I19" s="596">
        <v>4.1100000000000003</v>
      </c>
      <c r="J19" s="596">
        <v>1.1000000000000001</v>
      </c>
      <c r="K19" s="138">
        <f t="shared" si="0"/>
        <v>4.0647900000000003</v>
      </c>
      <c r="L19" s="139">
        <v>0.49399999999999999</v>
      </c>
      <c r="M19" s="139">
        <v>0.49399999999999999</v>
      </c>
      <c r="N19" s="139">
        <v>0.49399999999999999</v>
      </c>
      <c r="O19" s="708">
        <f t="shared" si="14"/>
        <v>0.49399999999999999</v>
      </c>
      <c r="P19" s="629">
        <v>90</v>
      </c>
      <c r="Q19" s="667">
        <v>89.6</v>
      </c>
      <c r="R19" s="151">
        <v>2726.5</v>
      </c>
      <c r="S19" s="80">
        <v>130</v>
      </c>
      <c r="T19"/>
      <c r="U19" s="876">
        <v>100</v>
      </c>
      <c r="V19" s="6">
        <v>1.1023000000000001</v>
      </c>
      <c r="W19"/>
      <c r="X19"/>
      <c r="Y19" s="163">
        <v>30</v>
      </c>
      <c r="Z19" s="143">
        <f t="shared" si="2"/>
        <v>30</v>
      </c>
      <c r="AA19" s="144">
        <f t="shared" si="3"/>
        <v>60</v>
      </c>
      <c r="AB19" s="145">
        <f t="shared" si="4"/>
        <v>1077.7648963700001</v>
      </c>
      <c r="AC19" s="145">
        <f>+(S19-T19)*V19-'data 1'!$F$4</f>
        <v>63.299000000000007</v>
      </c>
      <c r="AD19" s="145">
        <f t="shared" si="5"/>
        <v>-5.7208973172000821</v>
      </c>
      <c r="AE19" s="145">
        <f t="shared" si="11"/>
        <v>-3.8619999999999948</v>
      </c>
      <c r="AF19" s="145">
        <f t="shared" si="6"/>
        <v>0</v>
      </c>
      <c r="AG19" s="772">
        <f t="shared" si="13"/>
        <v>70.716102682799928</v>
      </c>
      <c r="AH19" s="146">
        <f t="shared" si="7"/>
        <v>61.685365352512562</v>
      </c>
      <c r="AI19" s="156">
        <f t="shared" si="8"/>
        <v>12.392772654080044</v>
      </c>
      <c r="AJ19" s="156">
        <f t="shared" si="9"/>
        <v>61.960746447836279</v>
      </c>
      <c r="AK19" s="88"/>
      <c r="AL19" s="148">
        <f t="shared" si="10"/>
        <v>4380.8879731158131</v>
      </c>
      <c r="AM19" s="764"/>
      <c r="AN19" s="764"/>
      <c r="AO19" s="596">
        <f t="shared" si="12"/>
        <v>68.845273830929202</v>
      </c>
      <c r="AP19"/>
      <c r="AQ19" s="596"/>
    </row>
    <row r="20" spans="1:43" ht="15.75" customHeight="1">
      <c r="A20" s="877" t="s">
        <v>995</v>
      </c>
      <c r="B20" s="135">
        <v>45590</v>
      </c>
      <c r="C20" s="803" cm="1">
        <v>45587</v>
      </c>
      <c r="D20" t="s">
        <v>1229</v>
      </c>
      <c r="E20" s="6">
        <v>20610873309</v>
      </c>
      <c r="F20" s="665" t="s">
        <v>1232</v>
      </c>
      <c r="G20" s="80">
        <v>28</v>
      </c>
      <c r="H20" s="596" t="s">
        <v>69</v>
      </c>
      <c r="I20" s="596">
        <v>2.59</v>
      </c>
      <c r="J20" s="596">
        <v>1.18</v>
      </c>
      <c r="K20" s="138">
        <f t="shared" si="0"/>
        <v>2.5594379999999997</v>
      </c>
      <c r="L20" s="139">
        <v>0.42699999999999999</v>
      </c>
      <c r="M20" s="878">
        <v>0.41399999999999998</v>
      </c>
      <c r="N20" s="878">
        <v>0.41399999999999998</v>
      </c>
      <c r="O20" s="708">
        <f t="shared" si="14"/>
        <v>0.41399999999999998</v>
      </c>
      <c r="P20" s="629">
        <v>90</v>
      </c>
      <c r="Q20" s="667">
        <v>89.23</v>
      </c>
      <c r="R20" s="151">
        <v>2726.5</v>
      </c>
      <c r="S20" s="80">
        <v>130</v>
      </c>
      <c r="U20" s="876">
        <v>100</v>
      </c>
      <c r="V20" s="6">
        <v>1.1023000000000001</v>
      </c>
      <c r="Y20" s="163">
        <v>30</v>
      </c>
      <c r="Z20" s="143">
        <f t="shared" si="2"/>
        <v>30</v>
      </c>
      <c r="AA20" s="144">
        <f t="shared" si="3"/>
        <v>60</v>
      </c>
      <c r="AB20" s="145">
        <f t="shared" si="4"/>
        <v>869.31114797000009</v>
      </c>
      <c r="AC20" s="145">
        <f>+(S20-T20)*V20-'data 1'!$F$4</f>
        <v>63.299000000000007</v>
      </c>
      <c r="AD20" s="145">
        <f t="shared" si="5"/>
        <v>-9.5190983245049505</v>
      </c>
      <c r="AE20" s="145">
        <f t="shared" si="11"/>
        <v>-3.8619999999999948</v>
      </c>
      <c r="AF20" s="145">
        <f t="shared" si="6"/>
        <v>33.583925500905032</v>
      </c>
      <c r="AG20" s="772">
        <f t="shared" si="13"/>
        <v>100.5018271764001</v>
      </c>
      <c r="AH20" s="146">
        <f t="shared" si="7"/>
        <v>33.434316623620695</v>
      </c>
      <c r="AI20" s="156">
        <f t="shared" si="8"/>
        <v>10.667736800882039</v>
      </c>
      <c r="AJ20" s="156">
        <f t="shared" si="9"/>
        <v>32.696143702420663</v>
      </c>
      <c r="AK20" s="88"/>
      <c r="AL20" s="148">
        <f t="shared" si="10"/>
        <v>2224.9479859380408</v>
      </c>
      <c r="AO20" s="596">
        <f t="shared" si="12"/>
        <v>37.469815783504082</v>
      </c>
      <c r="AQ20" s="596"/>
    </row>
    <row r="21" spans="1:43" ht="15.75" customHeight="1">
      <c r="A21" s="877" t="s">
        <v>996</v>
      </c>
      <c r="B21" s="135">
        <v>45590</v>
      </c>
      <c r="C21" s="803" cm="1">
        <v>45587</v>
      </c>
      <c r="D21" t="s">
        <v>1229</v>
      </c>
      <c r="E21" s="6">
        <v>20610873309</v>
      </c>
      <c r="F21" s="876" t="s">
        <v>1233</v>
      </c>
      <c r="G21" s="80">
        <v>80</v>
      </c>
      <c r="H21" s="596" t="s">
        <v>108</v>
      </c>
      <c r="I21" s="596">
        <v>6.69</v>
      </c>
      <c r="J21" s="596">
        <v>16.5</v>
      </c>
      <c r="K21" s="138">
        <f t="shared" si="0"/>
        <v>5.5861499999999999</v>
      </c>
      <c r="L21" s="139">
        <v>0.59099999999999997</v>
      </c>
      <c r="M21" s="708">
        <v>0.57499999999999996</v>
      </c>
      <c r="N21" s="708">
        <v>0.57499999999999996</v>
      </c>
      <c r="O21" s="708">
        <f t="shared" si="14"/>
        <v>0.57499999999999996</v>
      </c>
      <c r="P21" s="629">
        <v>90</v>
      </c>
      <c r="Q21" s="667">
        <v>89.56</v>
      </c>
      <c r="R21" s="151">
        <v>2726.5</v>
      </c>
      <c r="S21" s="80">
        <v>140</v>
      </c>
      <c r="U21" s="876">
        <v>130</v>
      </c>
      <c r="V21" s="6">
        <v>1.1023000000000001</v>
      </c>
      <c r="Y21" s="163">
        <v>30</v>
      </c>
      <c r="Z21" s="143">
        <f t="shared" si="2"/>
        <v>30</v>
      </c>
      <c r="AA21" s="144">
        <f t="shared" si="3"/>
        <v>60</v>
      </c>
      <c r="AB21" s="145">
        <f t="shared" si="4"/>
        <v>1260.6881091249998</v>
      </c>
      <c r="AC21" s="145">
        <f>+(S21-T21)*V21-'data 1'!$F$4</f>
        <v>74.322000000000003</v>
      </c>
      <c r="AD21" s="145">
        <f t="shared" si="5"/>
        <v>-7.4426619187799608</v>
      </c>
      <c r="AE21" s="145">
        <f t="shared" si="11"/>
        <v>-3.8619999999999948</v>
      </c>
      <c r="AF21" s="145">
        <f t="shared" si="6"/>
        <v>41.013062694720048</v>
      </c>
      <c r="AG21" s="772">
        <f t="shared" si="13"/>
        <v>121.03040077594011</v>
      </c>
      <c r="AH21" s="146">
        <f t="shared" si="7"/>
        <v>101.37321690777195</v>
      </c>
      <c r="AI21" s="156">
        <f t="shared" si="8"/>
        <v>32.322960979032061</v>
      </c>
      <c r="AJ21" s="156">
        <f t="shared" si="9"/>
        <v>99.113318335725111</v>
      </c>
      <c r="AK21" s="88"/>
      <c r="AL21" s="148">
        <f t="shared" si="10"/>
        <v>7042.3928807886177</v>
      </c>
      <c r="AO21" s="596">
        <f t="shared" si="12"/>
        <v>113.19028238920494</v>
      </c>
      <c r="AQ21" s="596"/>
    </row>
    <row r="22" spans="1:43" ht="15.75" customHeight="1">
      <c r="A22" s="877" t="s">
        <v>998</v>
      </c>
      <c r="B22" s="135">
        <v>45594</v>
      </c>
      <c r="C22" s="803" cm="1">
        <v>45587</v>
      </c>
      <c r="D22" t="s">
        <v>145</v>
      </c>
      <c r="E22" s="6">
        <v>10437450094</v>
      </c>
      <c r="F22" s="631" t="s">
        <v>1030</v>
      </c>
      <c r="G22" s="80">
        <v>23</v>
      </c>
      <c r="H22" s="596" t="s">
        <v>69</v>
      </c>
      <c r="I22" s="596">
        <v>2.13</v>
      </c>
      <c r="J22" s="596">
        <v>1.1499999999999999</v>
      </c>
      <c r="K22" s="138">
        <f t="shared" si="0"/>
        <v>2.105505</v>
      </c>
      <c r="L22" s="139">
        <v>0.20200000000000001</v>
      </c>
      <c r="M22" s="139">
        <v>0.193</v>
      </c>
      <c r="N22" s="159">
        <v>0.217</v>
      </c>
      <c r="O22" s="645">
        <f t="shared" si="14"/>
        <v>0.20499999999999999</v>
      </c>
      <c r="P22" s="629">
        <v>90</v>
      </c>
      <c r="Q22" s="665">
        <v>89.68</v>
      </c>
      <c r="R22" s="151">
        <v>2726.5</v>
      </c>
      <c r="S22" s="713">
        <v>110</v>
      </c>
      <c r="U22" s="871">
        <v>130</v>
      </c>
      <c r="V22" s="6">
        <v>1.1023000000000001</v>
      </c>
      <c r="Y22" s="163">
        <v>20</v>
      </c>
      <c r="Z22" s="143">
        <f t="shared" si="2"/>
        <v>30</v>
      </c>
      <c r="AA22" s="144">
        <f t="shared" si="3"/>
        <v>50</v>
      </c>
      <c r="AB22" s="145">
        <f t="shared" si="4"/>
        <v>351.69349977499996</v>
      </c>
      <c r="AC22" s="145">
        <f>+(S22-T22)*V22-'data 1'!$F$4</f>
        <v>41.253</v>
      </c>
      <c r="AD22" s="145">
        <f t="shared" si="5"/>
        <v>-1.8500756284799607</v>
      </c>
      <c r="AE22" s="145">
        <f t="shared" si="11"/>
        <v>-14.884999999999998</v>
      </c>
      <c r="AF22" s="145">
        <f t="shared" si="6"/>
        <v>-7.7002528942799371</v>
      </c>
      <c r="AG22" s="772">
        <f t="shared" si="13"/>
        <v>33.817671477240097</v>
      </c>
      <c r="AH22" s="146">
        <f t="shared" si="7"/>
        <v>13.077126215281373</v>
      </c>
      <c r="AI22" s="156">
        <f t="shared" si="8"/>
        <v>11.062582975712019</v>
      </c>
      <c r="AJ22" s="156">
        <f t="shared" si="9"/>
        <v>13.318696325766716</v>
      </c>
      <c r="AK22" s="88"/>
      <c r="AL22" s="148">
        <f t="shared" si="10"/>
        <v>740.49242224376133</v>
      </c>
      <c r="AO22" s="596">
        <f t="shared" si="12"/>
        <v>14.581987305175481</v>
      </c>
      <c r="AQ22" s="596"/>
    </row>
    <row r="23" spans="1:43" ht="15.75" customHeight="1">
      <c r="A23" s="877" t="s">
        <v>999</v>
      </c>
      <c r="B23" s="135">
        <v>45603</v>
      </c>
      <c r="C23" s="803" cm="1">
        <v>45587</v>
      </c>
      <c r="D23" t="s">
        <v>1000</v>
      </c>
      <c r="E23" s="6">
        <v>20611329556</v>
      </c>
      <c r="F23" s="880" t="s">
        <v>1234</v>
      </c>
      <c r="G23" s="80" t="s">
        <v>68</v>
      </c>
      <c r="H23" s="596" t="s">
        <v>108</v>
      </c>
      <c r="I23" s="596">
        <v>15.67</v>
      </c>
      <c r="J23" s="596">
        <v>10.67</v>
      </c>
      <c r="K23" s="138">
        <f t="shared" si="0"/>
        <v>13.998011</v>
      </c>
      <c r="L23" s="149">
        <v>0.13100000000000001</v>
      </c>
      <c r="M23" s="149">
        <v>0.13100000000000001</v>
      </c>
      <c r="N23" s="149">
        <v>0.13100000000000001</v>
      </c>
      <c r="O23" s="645">
        <f t="shared" si="14"/>
        <v>0.13100000000000001</v>
      </c>
      <c r="P23" s="629">
        <v>85</v>
      </c>
      <c r="Q23" s="665">
        <v>89.55</v>
      </c>
      <c r="R23" s="151">
        <v>2726.5</v>
      </c>
      <c r="S23" s="765">
        <f>IF((90+ROUNDDOWN(O23,1)*100)&lt;95,95,(90+ROUNDDOWN(O23,1)*100))</f>
        <v>100</v>
      </c>
      <c r="U23" s="871">
        <v>130</v>
      </c>
      <c r="V23" s="6">
        <v>1.1023000000000001</v>
      </c>
      <c r="Y23" s="163">
        <v>10</v>
      </c>
      <c r="Z23" s="143">
        <f t="shared" si="2"/>
        <v>30</v>
      </c>
      <c r="AA23" s="144">
        <f t="shared" si="3"/>
        <v>40</v>
      </c>
      <c r="AB23" s="145">
        <f t="shared" si="4"/>
        <v>164.3752791325</v>
      </c>
      <c r="AC23" s="145">
        <f>+(S23-T23)*V23-'data 1'!$F$4</f>
        <v>30.230000000000004</v>
      </c>
      <c r="AD23" s="145">
        <f t="shared" si="5"/>
        <v>17.059677882974992</v>
      </c>
      <c r="AE23" s="145">
        <f t="shared" si="11"/>
        <v>-25.908000000000001</v>
      </c>
      <c r="AF23" s="145">
        <f t="shared" si="6"/>
        <v>0</v>
      </c>
      <c r="AG23" s="772">
        <f t="shared" si="13"/>
        <v>38.381677882974998</v>
      </c>
      <c r="AH23" s="146">
        <f t="shared" si="7"/>
        <v>56.30050437811984</v>
      </c>
      <c r="AI23" s="156">
        <f t="shared" si="8"/>
        <v>7.1638495739100119</v>
      </c>
      <c r="AJ23" s="156">
        <f t="shared" si="9"/>
        <v>53.439898069683821</v>
      </c>
      <c r="AK23" s="88"/>
      <c r="AL23" s="148">
        <f t="shared" si="10"/>
        <v>2300.9269654248055</v>
      </c>
      <c r="AO23" s="596">
        <f t="shared" si="12"/>
        <v>62.870468317275083</v>
      </c>
      <c r="AQ23" s="596"/>
    </row>
    <row r="24" spans="1:43" ht="15.75" customHeight="1">
      <c r="A24" s="877" t="s">
        <v>1007</v>
      </c>
      <c r="B24" s="135">
        <v>45594</v>
      </c>
      <c r="C24" s="803" cm="1">
        <v>45588</v>
      </c>
      <c r="D24" t="s">
        <v>145</v>
      </c>
      <c r="E24" s="639">
        <v>10437450094</v>
      </c>
      <c r="F24" s="631" t="s">
        <v>1030</v>
      </c>
      <c r="G24" s="80">
        <v>49</v>
      </c>
      <c r="H24" s="596" t="s">
        <v>69</v>
      </c>
      <c r="I24" s="596">
        <v>4.2</v>
      </c>
      <c r="J24" s="596">
        <v>2.4500000000000002</v>
      </c>
      <c r="K24" s="138">
        <f t="shared" si="0"/>
        <v>4.0971000000000002</v>
      </c>
      <c r="L24" s="139">
        <v>0.42199999999999999</v>
      </c>
      <c r="M24" s="139">
        <v>0.40100000000000002</v>
      </c>
      <c r="N24" s="159">
        <v>0.40100000000000002</v>
      </c>
      <c r="O24" s="645">
        <f t="shared" si="14"/>
        <v>0.40100000000000002</v>
      </c>
      <c r="P24" s="727">
        <v>90</v>
      </c>
      <c r="Q24" s="631">
        <v>89.47</v>
      </c>
      <c r="R24" s="729">
        <v>2736.45</v>
      </c>
      <c r="S24" s="713">
        <v>130</v>
      </c>
      <c r="U24" s="871">
        <v>130</v>
      </c>
      <c r="V24" s="639">
        <v>1.1023000000000001</v>
      </c>
      <c r="Y24" s="163">
        <v>10</v>
      </c>
      <c r="Z24" s="143">
        <f t="shared" si="2"/>
        <v>30</v>
      </c>
      <c r="AA24" s="144">
        <f t="shared" si="3"/>
        <v>40</v>
      </c>
      <c r="AB24" s="145">
        <f t="shared" si="4"/>
        <v>849.5071214515001</v>
      </c>
      <c r="AC24" s="145">
        <f>+(S24-T24)*V24-'data 1'!$F$4</f>
        <v>63.299000000000007</v>
      </c>
      <c r="AD24" s="145">
        <f t="shared" si="5"/>
        <v>-6.4259527249610144</v>
      </c>
      <c r="AE24" s="145">
        <f t="shared" si="11"/>
        <v>-25.908000000000001</v>
      </c>
      <c r="AF24" s="145">
        <f t="shared" si="6"/>
        <v>53.981622982864401</v>
      </c>
      <c r="AG24" s="772">
        <f t="shared" si="13"/>
        <v>101.94667025790341</v>
      </c>
      <c r="AH24" s="146">
        <f t="shared" si="7"/>
        <v>53.036581265878027</v>
      </c>
      <c r="AI24" s="156">
        <f t="shared" si="8"/>
        <v>18.915750773019113</v>
      </c>
      <c r="AJ24" s="156">
        <f t="shared" si="9"/>
        <v>50.695862413717492</v>
      </c>
      <c r="AK24" s="88"/>
      <c r="AL24" s="148">
        <f t="shared" si="10"/>
        <v>3480.5156272989411</v>
      </c>
      <c r="AO24" s="596">
        <f t="shared" si="12"/>
        <v>59.278619946214405</v>
      </c>
      <c r="AQ24" s="596"/>
    </row>
    <row r="25" spans="1:43" ht="15.75" customHeight="1">
      <c r="A25" s="877" t="s">
        <v>1008</v>
      </c>
      <c r="B25" s="135">
        <v>45591</v>
      </c>
      <c r="C25" s="803" cm="1">
        <v>45588</v>
      </c>
      <c r="D25" t="s">
        <v>1235</v>
      </c>
      <c r="E25">
        <v>20609745372</v>
      </c>
      <c r="F25" s="871" t="s">
        <v>1236</v>
      </c>
      <c r="G25" s="80" t="s">
        <v>68</v>
      </c>
      <c r="H25" s="596" t="s">
        <v>69</v>
      </c>
      <c r="I25" s="596">
        <v>34.69</v>
      </c>
      <c r="J25" s="596">
        <v>3.2</v>
      </c>
      <c r="K25" s="138">
        <f t="shared" si="0"/>
        <v>33.579920000000001</v>
      </c>
      <c r="L25" s="139">
        <v>0.25</v>
      </c>
      <c r="M25" s="139">
        <v>0.23699999999999999</v>
      </c>
      <c r="N25" s="159">
        <v>0.24399999999999999</v>
      </c>
      <c r="O25" s="139">
        <f t="shared" si="14"/>
        <v>0.24099999999999999</v>
      </c>
      <c r="P25" s="629">
        <v>90</v>
      </c>
      <c r="Q25" s="882">
        <v>89.78</v>
      </c>
      <c r="R25" s="729">
        <v>2736.45</v>
      </c>
      <c r="S25" s="80">
        <v>110</v>
      </c>
      <c r="U25" s="876">
        <v>130</v>
      </c>
      <c r="V25" s="6">
        <v>1.1023000000000001</v>
      </c>
      <c r="Y25" s="163">
        <v>30</v>
      </c>
      <c r="Z25" s="143">
        <f t="shared" si="2"/>
        <v>30</v>
      </c>
      <c r="AA25" s="144">
        <f t="shared" si="3"/>
        <v>60</v>
      </c>
      <c r="AB25" s="145">
        <f t="shared" si="4"/>
        <v>435.78218521149995</v>
      </c>
      <c r="AC25" s="145">
        <f>+(S25-T25)*V25-'data 1'!$F$4</f>
        <v>41.253</v>
      </c>
      <c r="AD25" s="145">
        <f t="shared" si="5"/>
        <v>-1.5801994092499918</v>
      </c>
      <c r="AE25" s="145">
        <f t="shared" si="11"/>
        <v>-3.8619999999999948</v>
      </c>
      <c r="AF25" s="145">
        <f t="shared" si="6"/>
        <v>23.215140484767019</v>
      </c>
      <c r="AG25" s="772">
        <f t="shared" si="13"/>
        <v>76.025941075517039</v>
      </c>
      <c r="AH25" s="146">
        <f t="shared" si="7"/>
        <v>258.40941695145176</v>
      </c>
      <c r="AI25" s="156">
        <f t="shared" si="8"/>
        <v>11.244840630750069</v>
      </c>
      <c r="AJ25" s="156">
        <f t="shared" si="9"/>
        <v>249.71709751289762</v>
      </c>
      <c r="AK25" s="88"/>
      <c r="AL25" s="148">
        <f t="shared" si="10"/>
        <v>14633.530916827352</v>
      </c>
      <c r="AO25" s="596">
        <f t="shared" si="12"/>
        <v>287.825146971989</v>
      </c>
      <c r="AQ25" s="596"/>
    </row>
    <row r="26" spans="1:43" ht="15.75" customHeight="1">
      <c r="A26" s="877" t="s">
        <v>1009</v>
      </c>
      <c r="B26" s="135">
        <v>45593</v>
      </c>
      <c r="C26" s="803" cm="1">
        <v>45588</v>
      </c>
      <c r="D26" s="610" t="s">
        <v>154</v>
      </c>
      <c r="E26" s="610">
        <v>10416085884</v>
      </c>
      <c r="F26" s="610"/>
      <c r="G26" s="80" t="s">
        <v>68</v>
      </c>
      <c r="H26" s="596" t="s">
        <v>69</v>
      </c>
      <c r="I26" s="596">
        <v>31.29</v>
      </c>
      <c r="J26" s="596">
        <v>1.4</v>
      </c>
      <c r="K26" s="138">
        <f t="shared" si="0"/>
        <v>30.851939999999999</v>
      </c>
      <c r="L26" s="873">
        <v>0.121</v>
      </c>
      <c r="M26" s="873">
        <v>0.115</v>
      </c>
      <c r="N26" s="883">
        <v>0.12</v>
      </c>
      <c r="O26" s="873">
        <f t="shared" si="14"/>
        <v>0.11799999999999999</v>
      </c>
      <c r="P26" s="884">
        <v>85</v>
      </c>
      <c r="Q26" s="610">
        <v>89.09</v>
      </c>
      <c r="R26" s="885">
        <v>2736.45</v>
      </c>
      <c r="S26" s="615">
        <v>110</v>
      </c>
      <c r="T26" s="610"/>
      <c r="U26" s="886">
        <v>90</v>
      </c>
      <c r="V26" s="614">
        <v>1.1023000000000001</v>
      </c>
      <c r="W26" s="610"/>
      <c r="X26" s="610"/>
      <c r="Y26" s="751"/>
      <c r="Z26" s="143">
        <f t="shared" si="2"/>
        <v>30</v>
      </c>
      <c r="AA26" s="144">
        <f t="shared" si="3"/>
        <v>30</v>
      </c>
      <c r="AB26" s="145">
        <f t="shared" si="4"/>
        <v>138.27133805049996</v>
      </c>
      <c r="AC26" s="145">
        <f>+(S26-T26)*V26-'data 1'!$F$4</f>
        <v>41.253</v>
      </c>
      <c r="AD26" s="145">
        <f t="shared" si="5"/>
        <v>14.436841183231513</v>
      </c>
      <c r="AE26" s="145">
        <f t="shared" si="11"/>
        <v>-36.930999999999997</v>
      </c>
      <c r="AF26" s="145">
        <f t="shared" si="6"/>
        <v>7.796751890404507</v>
      </c>
      <c r="AG26" s="772">
        <f t="shared" si="13"/>
        <v>43.555593073636032</v>
      </c>
      <c r="AH26" s="146">
        <f t="shared" si="7"/>
        <v>114.02652168468668</v>
      </c>
      <c r="AI26" s="156">
        <f t="shared" si="8"/>
        <v>0.64760566471153236</v>
      </c>
      <c r="AJ26" s="156">
        <f t="shared" si="9"/>
        <v>106.09440472003031</v>
      </c>
      <c r="AK26" s="88"/>
      <c r="AL26" s="148">
        <f t="shared" si="10"/>
        <v>4265.9390252537414</v>
      </c>
      <c r="AO26" s="596">
        <f t="shared" si="12"/>
        <v>127.99025893443337</v>
      </c>
      <c r="AQ26" s="596"/>
    </row>
    <row r="27" spans="1:43" ht="15.75" customHeight="1">
      <c r="A27" s="877" t="s">
        <v>1011</v>
      </c>
      <c r="B27" s="135">
        <v>45594</v>
      </c>
      <c r="C27" s="803" cm="1">
        <v>45588</v>
      </c>
      <c r="D27" s="631" t="s">
        <v>1010</v>
      </c>
      <c r="E27" s="631">
        <v>20606102519</v>
      </c>
      <c r="F27" s="631" t="s">
        <v>1031</v>
      </c>
      <c r="G27" s="80" t="s">
        <v>68</v>
      </c>
      <c r="H27" s="596" t="s">
        <v>108</v>
      </c>
      <c r="I27" s="596">
        <v>7.12</v>
      </c>
      <c r="J27" s="596">
        <v>18.36</v>
      </c>
      <c r="K27" s="138">
        <f t="shared" si="0"/>
        <v>5.8127680000000002</v>
      </c>
      <c r="L27" s="645">
        <v>0.161</v>
      </c>
      <c r="M27" s="645">
        <v>0.152</v>
      </c>
      <c r="N27" s="649">
        <v>0.152</v>
      </c>
      <c r="O27" s="645">
        <f t="shared" si="14"/>
        <v>0.152</v>
      </c>
      <c r="P27" s="727">
        <v>85</v>
      </c>
      <c r="Q27" s="631">
        <v>89.53</v>
      </c>
      <c r="R27" s="729">
        <v>2736.45</v>
      </c>
      <c r="S27" s="615">
        <v>100</v>
      </c>
      <c r="T27" s="631"/>
      <c r="U27" s="871">
        <v>130</v>
      </c>
      <c r="V27" s="639">
        <v>1.1023000000000001</v>
      </c>
      <c r="W27" s="631"/>
      <c r="X27" s="631"/>
      <c r="Y27" s="163">
        <v>10</v>
      </c>
      <c r="Z27" s="143">
        <f t="shared" si="2"/>
        <v>30</v>
      </c>
      <c r="AA27" s="144">
        <f t="shared" si="3"/>
        <v>40</v>
      </c>
      <c r="AB27" s="145">
        <f t="shared" si="4"/>
        <v>216.881206682</v>
      </c>
      <c r="AC27" s="145">
        <f>+(S27-T27)*V27-'data 1'!$F$4</f>
        <v>30.230000000000004</v>
      </c>
      <c r="AD27" s="145">
        <f t="shared" si="5"/>
        <v>20.954306093605506</v>
      </c>
      <c r="AE27" s="145">
        <f t="shared" si="11"/>
        <v>-25.908000000000001</v>
      </c>
      <c r="AF27" s="145">
        <f t="shared" si="6"/>
        <v>23.150495963479514</v>
      </c>
      <c r="AG27" s="772">
        <f t="shared" si="13"/>
        <v>65.426802057085027</v>
      </c>
      <c r="AH27" s="146">
        <f t="shared" si="7"/>
        <v>28.726751627380612</v>
      </c>
      <c r="AI27" s="156">
        <f t="shared" si="8"/>
        <v>7.2215123033655439</v>
      </c>
      <c r="AJ27" s="156">
        <f t="shared" si="9"/>
        <v>25.748656442981218</v>
      </c>
      <c r="AK27" s="88"/>
      <c r="AL27" s="148">
        <f t="shared" si="10"/>
        <v>1260.6801380025158</v>
      </c>
      <c r="AO27" s="596">
        <f t="shared" si="12"/>
        <v>32.086174050464216</v>
      </c>
      <c r="AQ27" s="596"/>
    </row>
    <row r="28" spans="1:43" ht="15.75" customHeight="1">
      <c r="A28" s="877" t="s">
        <v>1013</v>
      </c>
      <c r="B28" s="135">
        <v>45594</v>
      </c>
      <c r="C28" s="803" cm="1">
        <v>45588</v>
      </c>
      <c r="D28" t="s">
        <v>1010</v>
      </c>
      <c r="E28" s="631">
        <v>20606102519</v>
      </c>
      <c r="F28" s="631" t="s">
        <v>1031</v>
      </c>
      <c r="G28" s="80">
        <v>33</v>
      </c>
      <c r="H28" s="596" t="s">
        <v>69</v>
      </c>
      <c r="I28" s="596">
        <v>2.8</v>
      </c>
      <c r="J28" s="596">
        <v>1.8</v>
      </c>
      <c r="K28" s="138">
        <f t="shared" si="0"/>
        <v>2.7496</v>
      </c>
      <c r="L28" s="139">
        <v>0.312</v>
      </c>
      <c r="M28" s="139">
        <v>0.29899999999999999</v>
      </c>
      <c r="N28" s="159">
        <v>0.29899999999999999</v>
      </c>
      <c r="O28" s="645">
        <f t="shared" si="14"/>
        <v>0.29899999999999999</v>
      </c>
      <c r="P28" s="727">
        <v>90</v>
      </c>
      <c r="Q28" s="631">
        <v>89.15</v>
      </c>
      <c r="R28" s="729">
        <v>2736.45</v>
      </c>
      <c r="S28" s="710">
        <v>110</v>
      </c>
      <c r="U28" s="876">
        <v>130</v>
      </c>
      <c r="V28" s="6">
        <v>1.1023000000000001</v>
      </c>
      <c r="Y28" s="163">
        <v>10</v>
      </c>
      <c r="Z28" s="143">
        <f t="shared" si="2"/>
        <v>30</v>
      </c>
      <c r="AA28" s="144">
        <f t="shared" si="3"/>
        <v>40</v>
      </c>
      <c r="AB28" s="145">
        <f t="shared" si="4"/>
        <v>607.80347459849997</v>
      </c>
      <c r="AC28" s="145">
        <f>+(S28-T28)*V28-'data 1'!$F$4</f>
        <v>41.253</v>
      </c>
      <c r="AD28" s="145">
        <f t="shared" si="5"/>
        <v>-7.619434242419949</v>
      </c>
      <c r="AE28" s="145">
        <f t="shared" si="11"/>
        <v>-25.908000000000001</v>
      </c>
      <c r="AF28" s="145">
        <f t="shared" si="6"/>
        <v>33.297674642732531</v>
      </c>
      <c r="AG28" s="772">
        <f t="shared" si="13"/>
        <v>58.023240400312574</v>
      </c>
      <c r="AH28" s="146">
        <f t="shared" si="7"/>
        <v>26.221318752315224</v>
      </c>
      <c r="AI28" s="156">
        <f t="shared" si="8"/>
        <v>13.935085461180085</v>
      </c>
      <c r="AJ28" s="156">
        <f t="shared" si="9"/>
        <v>25.368353812531549</v>
      </c>
      <c r="AK28" s="88"/>
      <c r="AL28" s="148">
        <f t="shared" si="10"/>
        <v>1671.2164337560355</v>
      </c>
      <c r="AO28" s="596">
        <f t="shared" si="12"/>
        <v>29.412584130471366</v>
      </c>
      <c r="AQ28" s="596"/>
    </row>
    <row r="29" spans="1:43" ht="15.75" customHeight="1">
      <c r="A29" s="877" t="s">
        <v>1014</v>
      </c>
      <c r="B29" s="135">
        <v>45596</v>
      </c>
      <c r="C29" s="803" cm="1">
        <v>45589</v>
      </c>
      <c r="D29" s="871" t="s">
        <v>106</v>
      </c>
      <c r="E29" s="6">
        <v>20606534923</v>
      </c>
      <c r="F29" s="871" t="s">
        <v>1237</v>
      </c>
      <c r="G29" s="642">
        <v>614</v>
      </c>
      <c r="H29" s="596" t="s">
        <v>69</v>
      </c>
      <c r="I29" s="596">
        <v>3.69</v>
      </c>
      <c r="J29" s="596">
        <v>0.8</v>
      </c>
      <c r="K29" s="138">
        <f t="shared" si="0"/>
        <v>3.6604799999999997</v>
      </c>
      <c r="L29" s="645">
        <v>0.90300000000000002</v>
      </c>
      <c r="M29" s="645">
        <v>0.86599999999999999</v>
      </c>
      <c r="N29" s="649">
        <v>0.86599999999999999</v>
      </c>
      <c r="O29" s="645">
        <f t="shared" si="14"/>
        <v>0.86599999999999999</v>
      </c>
      <c r="P29" s="727">
        <v>90</v>
      </c>
      <c r="Q29" s="631">
        <v>89.44</v>
      </c>
      <c r="R29" s="729">
        <v>2732</v>
      </c>
      <c r="S29" s="615">
        <v>170</v>
      </c>
      <c r="T29" s="631"/>
      <c r="U29" s="871">
        <v>130</v>
      </c>
      <c r="V29" s="639">
        <v>1.1023000000000001</v>
      </c>
      <c r="W29" s="631"/>
      <c r="X29" s="631"/>
      <c r="Y29" s="163">
        <v>20</v>
      </c>
      <c r="Z29" s="143">
        <f t="shared" si="2"/>
        <v>30</v>
      </c>
      <c r="AA29" s="144">
        <f t="shared" si="3"/>
        <v>50</v>
      </c>
      <c r="AB29" s="145">
        <f t="shared" si="4"/>
        <v>1992.9570772400002</v>
      </c>
      <c r="AC29" s="145">
        <f>+(S29-T29)*V29-'data 1'!$F$4</f>
        <v>107.39100000000002</v>
      </c>
      <c r="AD29" s="145">
        <f t="shared" si="5"/>
        <v>-14.50383588528006</v>
      </c>
      <c r="AE29" s="145">
        <f t="shared" si="11"/>
        <v>-14.884999999999998</v>
      </c>
      <c r="AF29" s="145">
        <f t="shared" si="6"/>
        <v>94.916259330880081</v>
      </c>
      <c r="AG29" s="772">
        <f>+IF(D29="RONALD WILLIAN GARIBAY ESCUDERO",AC29+AD29+AE29+AF29+70,AC29+AD29+AE29+AF29)</f>
        <v>172.91842344560004</v>
      </c>
      <c r="AH29" s="146">
        <f t="shared" si="7"/>
        <v>101.36001086872278</v>
      </c>
      <c r="AI29" s="156">
        <f t="shared" si="8"/>
        <v>44.424228458064078</v>
      </c>
      <c r="AJ29" s="156">
        <f t="shared" si="9"/>
        <v>97.815461668076352</v>
      </c>
      <c r="AK29" s="88"/>
      <c r="AL29" s="148">
        <f t="shared" si="10"/>
        <v>7295.1795220954755</v>
      </c>
      <c r="AO29" s="596">
        <f t="shared" si="12"/>
        <v>113.3273824560854</v>
      </c>
      <c r="AQ29" s="596"/>
    </row>
    <row r="30" spans="1:43" ht="15.75" customHeight="1">
      <c r="A30" s="877" t="s">
        <v>1015</v>
      </c>
      <c r="B30" s="135">
        <v>45596</v>
      </c>
      <c r="C30" s="803" cm="1">
        <v>45589</v>
      </c>
      <c r="D30" s="871" t="s">
        <v>106</v>
      </c>
      <c r="E30" s="6">
        <v>20606534923</v>
      </c>
      <c r="F30" s="871" t="s">
        <v>1237</v>
      </c>
      <c r="G30" s="642">
        <v>48</v>
      </c>
      <c r="H30" s="596" t="s">
        <v>69</v>
      </c>
      <c r="I30" s="596">
        <v>4.09</v>
      </c>
      <c r="J30" s="596">
        <v>1.04</v>
      </c>
      <c r="K30" s="138">
        <f t="shared" si="0"/>
        <v>4.0474639999999997</v>
      </c>
      <c r="L30" s="645">
        <v>0.80900000000000005</v>
      </c>
      <c r="M30" s="645">
        <v>0.77600000000000002</v>
      </c>
      <c r="N30" s="649">
        <v>0.77600000000000002</v>
      </c>
      <c r="O30" s="645">
        <f t="shared" si="14"/>
        <v>0.77600000000000002</v>
      </c>
      <c r="P30" s="727">
        <v>90</v>
      </c>
      <c r="Q30" s="631">
        <v>89.65</v>
      </c>
      <c r="R30" s="729">
        <v>2732</v>
      </c>
      <c r="S30" s="615">
        <v>160</v>
      </c>
      <c r="T30" s="631"/>
      <c r="U30" s="871">
        <v>130</v>
      </c>
      <c r="V30" s="639">
        <v>1.1023000000000001</v>
      </c>
      <c r="W30" s="631"/>
      <c r="X30" s="631"/>
      <c r="Y30" s="163">
        <v>20</v>
      </c>
      <c r="Z30" s="143">
        <f t="shared" si="2"/>
        <v>30</v>
      </c>
      <c r="AA30" s="144">
        <f t="shared" si="3"/>
        <v>50</v>
      </c>
      <c r="AB30" s="145">
        <f t="shared" si="4"/>
        <v>1771.6571246400003</v>
      </c>
      <c r="AC30" s="145">
        <f>+(S30-T30)*V30-'data 1'!$F$4</f>
        <v>96.367999999999995</v>
      </c>
      <c r="AD30" s="145">
        <f t="shared" si="5"/>
        <v>-8.1212646948998692</v>
      </c>
      <c r="AE30" s="145">
        <f t="shared" si="11"/>
        <v>-14.884999999999998</v>
      </c>
      <c r="AF30" s="145">
        <f t="shared" si="6"/>
        <v>84.85380729870009</v>
      </c>
      <c r="AG30" s="772">
        <f>+IF(D30="RONALD WILLIAN GARIBAY ESCUDERO",AC30+AD30+AE30+AF30+70,AC30+AD30+AE30+AF30)</f>
        <v>158.2155426038002</v>
      </c>
      <c r="AH30" s="146">
        <f t="shared" si="7"/>
        <v>100.64469298997477</v>
      </c>
      <c r="AI30" s="156">
        <f t="shared" si="8"/>
        <v>39.893227030745081</v>
      </c>
      <c r="AJ30" s="156">
        <f t="shared" si="9"/>
        <v>96.916181502710188</v>
      </c>
      <c r="AK30" s="88"/>
      <c r="AL30" s="148">
        <f t="shared" si="10"/>
        <v>7170.7184323239135</v>
      </c>
      <c r="AO30" s="596">
        <f t="shared" si="12"/>
        <v>112.26401895144981</v>
      </c>
      <c r="AQ30" s="596"/>
    </row>
    <row r="31" spans="1:43" ht="15.75" customHeight="1">
      <c r="A31" s="877" t="s">
        <v>1016</v>
      </c>
      <c r="B31" s="135">
        <v>45596</v>
      </c>
      <c r="C31" s="803" cm="1">
        <v>45589</v>
      </c>
      <c r="D31" s="871" t="s">
        <v>106</v>
      </c>
      <c r="E31" s="6">
        <v>20606534923</v>
      </c>
      <c r="F31" s="871" t="s">
        <v>1237</v>
      </c>
      <c r="G31" s="642">
        <v>48</v>
      </c>
      <c r="H31" s="596" t="s">
        <v>108</v>
      </c>
      <c r="I31" s="596">
        <v>1.68</v>
      </c>
      <c r="J31" s="596">
        <v>3.4</v>
      </c>
      <c r="K31" s="138">
        <f t="shared" si="0"/>
        <v>1.6228799999999999</v>
      </c>
      <c r="L31" s="645">
        <v>0.89400000000000002</v>
      </c>
      <c r="M31" s="645">
        <v>0.85799999999999998</v>
      </c>
      <c r="N31" s="649">
        <v>0.85799999999999998</v>
      </c>
      <c r="O31" s="645">
        <f t="shared" si="14"/>
        <v>0.85799999999999998</v>
      </c>
      <c r="P31" s="727">
        <v>90</v>
      </c>
      <c r="Q31" s="631">
        <v>89.39</v>
      </c>
      <c r="R31" s="729">
        <v>2732</v>
      </c>
      <c r="S31" s="615">
        <v>170</v>
      </c>
      <c r="T31" s="631"/>
      <c r="U31" s="871">
        <v>130</v>
      </c>
      <c r="V31" s="639">
        <v>1.1023000000000001</v>
      </c>
      <c r="W31" s="631"/>
      <c r="X31" s="631"/>
      <c r="Y31" s="163">
        <v>20</v>
      </c>
      <c r="Z31" s="143">
        <f t="shared" si="2"/>
        <v>30</v>
      </c>
      <c r="AA31" s="144">
        <f t="shared" si="3"/>
        <v>50</v>
      </c>
      <c r="AB31" s="145">
        <f t="shared" si="4"/>
        <v>1972.3061481200002</v>
      </c>
      <c r="AC31" s="145">
        <f>+(S31-T31)*V31-'data 1'!$F$4</f>
        <v>107.39100000000002</v>
      </c>
      <c r="AD31" s="145">
        <f t="shared" si="5"/>
        <v>-15.641357897639987</v>
      </c>
      <c r="AE31" s="145">
        <f t="shared" si="11"/>
        <v>-14.884999999999998</v>
      </c>
      <c r="AF31" s="145">
        <f t="shared" si="6"/>
        <v>92.299327701840085</v>
      </c>
      <c r="AG31" s="772">
        <f>+IF(D31="RONALD WILLIAN GARIBAY ESCUDERO",AC31+AD31+AE31+AF31+70,AC31+AD31+AE31+AF31)+70-53</f>
        <v>186.16396980420012</v>
      </c>
      <c r="AH31" s="146">
        <f t="shared" si="7"/>
        <v>44.465372357252505</v>
      </c>
      <c r="AI31" s="156">
        <f t="shared" si="8"/>
        <v>43.956874929282087</v>
      </c>
      <c r="AJ31" s="156">
        <f t="shared" si="9"/>
        <v>42.966034685338556</v>
      </c>
      <c r="AK31" s="88"/>
      <c r="AL31" s="148">
        <f t="shared" si="10"/>
        <v>3200.8162016609858</v>
      </c>
      <c r="AO31" s="596">
        <f t="shared" si="12"/>
        <v>49.743117079374095</v>
      </c>
      <c r="AQ31" s="596"/>
    </row>
    <row r="32" spans="1:43" ht="15.75" customHeight="1">
      <c r="A32" s="877" t="s">
        <v>1017</v>
      </c>
      <c r="B32" s="135">
        <v>45600</v>
      </c>
      <c r="C32" s="803" cm="1">
        <v>45589</v>
      </c>
      <c r="D32" t="s">
        <v>93</v>
      </c>
      <c r="E32" s="631">
        <v>20169040237</v>
      </c>
      <c r="F32" s="876" t="s">
        <v>1238</v>
      </c>
      <c r="G32" s="80">
        <v>28</v>
      </c>
      <c r="H32" s="596" t="s">
        <v>69</v>
      </c>
      <c r="I32" s="596">
        <v>2.5099999999999998</v>
      </c>
      <c r="J32" s="596">
        <v>2</v>
      </c>
      <c r="K32" s="138">
        <f t="shared" si="0"/>
        <v>2.4598</v>
      </c>
      <c r="L32" s="139">
        <v>0.317</v>
      </c>
      <c r="M32" s="139">
        <v>0.307</v>
      </c>
      <c r="N32" s="159">
        <v>0.307</v>
      </c>
      <c r="O32" s="645">
        <f t="shared" si="14"/>
        <v>0.307</v>
      </c>
      <c r="P32" s="727">
        <v>90</v>
      </c>
      <c r="Q32" s="631">
        <v>89.55</v>
      </c>
      <c r="R32" s="729">
        <v>2732</v>
      </c>
      <c r="S32" s="765">
        <f>IF((90+ROUNDDOWN(O32,1)*100)&lt;95,95,(90+ROUNDDOWN(O32,1)*100))</f>
        <v>120</v>
      </c>
      <c r="U32" s="871">
        <v>130</v>
      </c>
      <c r="V32" s="6">
        <v>1.1023000000000001</v>
      </c>
      <c r="Y32" s="163">
        <v>30</v>
      </c>
      <c r="Z32" s="143">
        <f t="shared" si="2"/>
        <v>30</v>
      </c>
      <c r="AA32" s="144">
        <f t="shared" si="3"/>
        <v>60</v>
      </c>
      <c r="AB32" s="145">
        <f t="shared" si="4"/>
        <v>594.06540498000004</v>
      </c>
      <c r="AC32" s="145">
        <f>+(S32-T32)*V32-'data 1'!$F$4</f>
        <v>52.27600000000001</v>
      </c>
      <c r="AD32" s="145">
        <f t="shared" si="5"/>
        <v>-4.091465331900026</v>
      </c>
      <c r="AE32" s="145">
        <f t="shared" si="11"/>
        <v>-3.8619999999999948</v>
      </c>
      <c r="AF32" s="145">
        <f t="shared" si="6"/>
        <v>25.684593093000025</v>
      </c>
      <c r="AG32" s="772">
        <f>+IF(D32="RONALD WILLIAN GARIBAY ESCUDERO",AC32+AD32+AE32+AF32+70,AC32+AD32+AE32+AF32)+70-53</f>
        <v>87.007127761100008</v>
      </c>
      <c r="AH32" s="146">
        <f t="shared" si="7"/>
        <v>23.940527694723801</v>
      </c>
      <c r="AI32" s="156">
        <f t="shared" si="8"/>
        <v>15.614396576595029</v>
      </c>
      <c r="AJ32" s="156">
        <f t="shared" si="9"/>
        <v>23.301815076265257</v>
      </c>
      <c r="AK32" s="88"/>
      <c r="AL32" s="148">
        <f t="shared" si="10"/>
        <v>1461.2820831698041</v>
      </c>
      <c r="AO32" s="596">
        <f t="shared" si="12"/>
        <v>26.734257615548636</v>
      </c>
      <c r="AQ32" s="596"/>
    </row>
    <row r="33" spans="1:43" ht="15.75" customHeight="1">
      <c r="A33" s="877" t="s">
        <v>1019</v>
      </c>
      <c r="B33" s="135">
        <v>45593</v>
      </c>
      <c r="C33" s="803" cm="1">
        <v>45589</v>
      </c>
      <c r="D33" t="s">
        <v>145</v>
      </c>
      <c r="E33" s="639">
        <v>10437450094</v>
      </c>
      <c r="G33" s="80">
        <v>70</v>
      </c>
      <c r="H33" s="596" t="s">
        <v>69</v>
      </c>
      <c r="I33" s="596">
        <v>6.96</v>
      </c>
      <c r="J33" s="596">
        <v>2.5499999999999998</v>
      </c>
      <c r="K33" s="138">
        <f t="shared" si="0"/>
        <v>6.7825199999999999</v>
      </c>
      <c r="L33" s="139">
        <v>0.51700000000000002</v>
      </c>
      <c r="M33" s="139">
        <v>0.51600000000000001</v>
      </c>
      <c r="N33" s="159">
        <v>0.51600000000000001</v>
      </c>
      <c r="O33" s="645">
        <f t="shared" si="14"/>
        <v>0.51600000000000001</v>
      </c>
      <c r="P33" s="727">
        <v>90</v>
      </c>
      <c r="Q33" s="631">
        <v>89.23</v>
      </c>
      <c r="R33" s="729">
        <v>2732</v>
      </c>
      <c r="S33" s="713">
        <v>140</v>
      </c>
      <c r="U33" s="871">
        <v>100</v>
      </c>
      <c r="V33" s="6">
        <v>1.1023000000000001</v>
      </c>
      <c r="Y33" s="163">
        <v>10</v>
      </c>
      <c r="Z33" s="143">
        <f t="shared" si="2"/>
        <v>30</v>
      </c>
      <c r="AA33" s="144">
        <f t="shared" si="3"/>
        <v>40</v>
      </c>
      <c r="AB33" s="145">
        <f t="shared" si="4"/>
        <v>1148.92817184</v>
      </c>
      <c r="AC33" s="145">
        <f>+(S33-T33)*V33-'data 1'!$F$4</f>
        <v>74.322000000000003</v>
      </c>
      <c r="AD33" s="145">
        <f t="shared" si="5"/>
        <v>-11.549600456239942</v>
      </c>
      <c r="AE33" s="145">
        <f t="shared" si="11"/>
        <v>-25.908000000000001</v>
      </c>
      <c r="AF33" s="145">
        <f t="shared" si="6"/>
        <v>2.5887885872800025</v>
      </c>
      <c r="AG33" s="772">
        <f>+IF(D33="RONALD WILLIAN GARIBAY ESCUDERO",AC33+AD33+AE33+AF33+70,AC33+AD33+AE33+AF33)+70-53</f>
        <v>56.453188131040065</v>
      </c>
      <c r="AH33" s="146">
        <f t="shared" si="7"/>
        <v>107.27575714077753</v>
      </c>
      <c r="AI33" s="156">
        <f t="shared" si="8"/>
        <v>10.119389674207047</v>
      </c>
      <c r="AJ33" s="156">
        <f t="shared" si="9"/>
        <v>107.99219372485786</v>
      </c>
      <c r="AK33" s="88"/>
      <c r="AL33" s="148">
        <f t="shared" si="10"/>
        <v>7792.6283040682365</v>
      </c>
      <c r="AO33" s="596">
        <f t="shared" si="12"/>
        <v>120.22386769111009</v>
      </c>
      <c r="AQ33" s="596"/>
    </row>
    <row r="34" spans="1:43" ht="15.75" customHeight="1">
      <c r="A34" s="747" t="s">
        <v>1020</v>
      </c>
      <c r="B34" s="135">
        <v>45593</v>
      </c>
      <c r="C34" s="803" cm="1">
        <v>45589</v>
      </c>
      <c r="D34" t="s">
        <v>66</v>
      </c>
      <c r="E34" s="631">
        <v>10457401928</v>
      </c>
      <c r="F34" t="s">
        <v>985</v>
      </c>
      <c r="G34" s="80" t="s">
        <v>68</v>
      </c>
      <c r="H34" s="596" t="s">
        <v>69</v>
      </c>
      <c r="I34" s="596">
        <v>41.33</v>
      </c>
      <c r="J34" s="596">
        <v>3.8</v>
      </c>
      <c r="K34" s="138">
        <f t="shared" si="0"/>
        <v>39.759459999999997</v>
      </c>
      <c r="L34" s="139">
        <v>0.26900000000000002</v>
      </c>
      <c r="M34" s="139">
        <v>0.25800000000000001</v>
      </c>
      <c r="N34" s="598">
        <v>0.26</v>
      </c>
      <c r="O34" s="645">
        <f t="shared" si="14"/>
        <v>0.25900000000000001</v>
      </c>
      <c r="P34" s="727">
        <v>90</v>
      </c>
      <c r="Q34" s="631">
        <v>89.78</v>
      </c>
      <c r="R34" s="729">
        <v>2732</v>
      </c>
      <c r="S34" s="713">
        <v>110</v>
      </c>
      <c r="U34" s="869">
        <v>100</v>
      </c>
      <c r="V34" s="6">
        <v>1.1023000000000001</v>
      </c>
      <c r="Y34" s="163"/>
      <c r="Z34" s="143">
        <f t="shared" si="2"/>
        <v>30</v>
      </c>
      <c r="AA34" s="144">
        <f t="shared" si="3"/>
        <v>30</v>
      </c>
      <c r="AB34" s="145">
        <f t="shared" si="4"/>
        <v>521.96021416000008</v>
      </c>
      <c r="AC34" s="145">
        <f>+(S34-T34)*V34-'data 1'!$F$4</f>
        <v>41.253</v>
      </c>
      <c r="AD34" s="145">
        <f t="shared" si="5"/>
        <v>-1.7169618804799913</v>
      </c>
      <c r="AE34" s="145">
        <f t="shared" si="11"/>
        <v>-36.930999999999997</v>
      </c>
      <c r="AF34" s="145">
        <f t="shared" si="6"/>
        <v>26.047454820800027</v>
      </c>
      <c r="AG34" s="772">
        <f>+IF(D34="RONALD WILLIAN GARIBAY ESCUDERO",AC34+AD34+AE34+AF34+70,AC34+AD34+AE34+AF34)+70-53</f>
        <v>45.65249294032003</v>
      </c>
      <c r="AH34" s="146">
        <f t="shared" si="7"/>
        <v>329.21637429598741</v>
      </c>
      <c r="AI34" s="156">
        <f t="shared" si="8"/>
        <v>5.2976683283140247</v>
      </c>
      <c r="AJ34" s="156">
        <f t="shared" si="9"/>
        <v>317.7545807901954</v>
      </c>
      <c r="AK34" s="88"/>
      <c r="AL34" s="148">
        <f t="shared" si="10"/>
        <v>20752.856256485957</v>
      </c>
      <c r="AO34" s="596">
        <f t="shared" si="12"/>
        <v>366.69233047002388</v>
      </c>
      <c r="AQ34" s="596"/>
    </row>
    <row r="35" spans="1:43" s="677" customFormat="1" ht="15.75" customHeight="1">
      <c r="A35" s="877" t="s">
        <v>1022</v>
      </c>
      <c r="B35" s="135">
        <v>45595</v>
      </c>
      <c r="C35" s="803" cm="1">
        <v>45590</v>
      </c>
      <c r="D35" s="610" t="s">
        <v>145</v>
      </c>
      <c r="E35" s="639">
        <v>10437450094</v>
      </c>
      <c r="F35" s="886" t="s">
        <v>1239</v>
      </c>
      <c r="G35" s="615">
        <v>66</v>
      </c>
      <c r="H35" s="596" t="s">
        <v>69</v>
      </c>
      <c r="I35" s="596">
        <v>5.27</v>
      </c>
      <c r="J35" s="596">
        <v>1.02</v>
      </c>
      <c r="K35" s="138">
        <f t="shared" si="0"/>
        <v>5.2162459999999999</v>
      </c>
      <c r="L35" s="873">
        <v>0.40500000000000003</v>
      </c>
      <c r="M35" s="873">
        <v>0.39300000000000002</v>
      </c>
      <c r="N35" s="887">
        <v>0.39300000000000002</v>
      </c>
      <c r="O35" s="645">
        <f t="shared" si="14"/>
        <v>0.39300000000000002</v>
      </c>
      <c r="P35" s="727">
        <v>90</v>
      </c>
      <c r="Q35" s="610">
        <v>89.55</v>
      </c>
      <c r="R35" s="729">
        <v>2732</v>
      </c>
      <c r="S35" s="888">
        <v>120</v>
      </c>
      <c r="T35" s="610"/>
      <c r="U35" s="886">
        <v>100</v>
      </c>
      <c r="V35" s="614">
        <v>1.1023000000000001</v>
      </c>
      <c r="W35" s="610"/>
      <c r="X35" s="610"/>
      <c r="Y35" s="163">
        <v>15</v>
      </c>
      <c r="Z35" s="143">
        <f t="shared" si="2"/>
        <v>30</v>
      </c>
      <c r="AA35" s="144">
        <f t="shared" si="3"/>
        <v>45</v>
      </c>
      <c r="AB35" s="145">
        <f t="shared" si="4"/>
        <v>844.29389832000015</v>
      </c>
      <c r="AC35" s="145">
        <f>+(S35-T35)*V35-'data 1'!$F$4</f>
        <v>52.27600000000001</v>
      </c>
      <c r="AD35" s="145">
        <f t="shared" si="5"/>
        <v>-5.2875346860000327</v>
      </c>
      <c r="AE35" s="145">
        <f t="shared" si="11"/>
        <v>-20.396499999999996</v>
      </c>
      <c r="AF35" s="145">
        <f t="shared" si="6"/>
        <v>31.176871185600032</v>
      </c>
      <c r="AG35" s="772">
        <f>+IF(D35="RONALD WILLIAN GARIBAY ESCUDERO",AC35+AD35+AE35+AF35+70,AC35+AD35+AE35+AF35)</f>
        <v>57.768836499600013</v>
      </c>
      <c r="AH35" s="146">
        <f t="shared" si="7"/>
        <v>64.861613405163055</v>
      </c>
      <c r="AI35" s="156">
        <f t="shared" si="8"/>
        <v>7.9556102241750377</v>
      </c>
      <c r="AJ35" s="156">
        <f t="shared" si="9"/>
        <v>63.256068163605867</v>
      </c>
      <c r="AK35" s="676"/>
      <c r="AL35" s="716">
        <f t="shared" si="10"/>
        <v>4404.0446699361073</v>
      </c>
      <c r="AM35" s="763"/>
      <c r="AN35" s="763"/>
      <c r="AO35" s="596">
        <f t="shared" si="12"/>
        <v>72.43061240107545</v>
      </c>
      <c r="AP35"/>
      <c r="AQ35" s="596"/>
    </row>
    <row r="36" spans="1:43" s="677" customFormat="1" ht="15.75" customHeight="1">
      <c r="A36" s="877" t="s">
        <v>1023</v>
      </c>
      <c r="B36" s="135">
        <v>45595</v>
      </c>
      <c r="C36" s="803" cm="1">
        <v>45590</v>
      </c>
      <c r="D36" s="610" t="s">
        <v>145</v>
      </c>
      <c r="E36" s="639">
        <v>10437450094</v>
      </c>
      <c r="F36" s="886" t="s">
        <v>1239</v>
      </c>
      <c r="G36" s="615">
        <v>85</v>
      </c>
      <c r="H36" s="596" t="s">
        <v>69</v>
      </c>
      <c r="I36" s="596">
        <v>6.96</v>
      </c>
      <c r="J36" s="596">
        <v>1</v>
      </c>
      <c r="K36" s="138">
        <f t="shared" si="0"/>
        <v>6.8903999999999996</v>
      </c>
      <c r="L36" s="873">
        <v>0.41899999999999998</v>
      </c>
      <c r="M36" s="873">
        <v>0.40200000000000002</v>
      </c>
      <c r="N36" s="887">
        <v>0.40200000000000002</v>
      </c>
      <c r="O36" s="645">
        <f t="shared" si="14"/>
        <v>0.40200000000000002</v>
      </c>
      <c r="P36" s="727">
        <v>90</v>
      </c>
      <c r="Q36" s="610">
        <v>89.62</v>
      </c>
      <c r="R36" s="729">
        <v>2732</v>
      </c>
      <c r="S36" s="888">
        <v>130</v>
      </c>
      <c r="T36" s="610"/>
      <c r="U36" s="886">
        <v>100</v>
      </c>
      <c r="V36" s="614">
        <v>1.1023000000000001</v>
      </c>
      <c r="W36" s="610"/>
      <c r="X36" s="610"/>
      <c r="Y36" s="163">
        <v>15</v>
      </c>
      <c r="Z36" s="143">
        <f t="shared" si="2"/>
        <v>30</v>
      </c>
      <c r="AA36" s="144">
        <f t="shared" si="3"/>
        <v>45</v>
      </c>
      <c r="AB36" s="145">
        <f t="shared" si="4"/>
        <v>856.77105247999998</v>
      </c>
      <c r="AC36" s="145">
        <f>+(S36-T36)*V36-'data 1'!$F$4</f>
        <v>63.299000000000007</v>
      </c>
      <c r="AD36" s="145">
        <f t="shared" si="5"/>
        <v>-4.6193759819199451</v>
      </c>
      <c r="AE36" s="145">
        <f t="shared" si="11"/>
        <v>-20.396499999999996</v>
      </c>
      <c r="AF36" s="145">
        <f t="shared" si="6"/>
        <v>44.201759097439897</v>
      </c>
      <c r="AG36" s="772">
        <f>+IF(D36="RONALD WILLIAN GARIBAY ESCUDERO",AC36+AD36+AE36+AF36+70,AC36+AD36+AE36+AF36)</f>
        <v>82.484883115519963</v>
      </c>
      <c r="AH36" s="146">
        <f t="shared" si="7"/>
        <v>88.709976873599857</v>
      </c>
      <c r="AI36" s="156">
        <f t="shared" si="8"/>
        <v>8.2370527340060384</v>
      </c>
      <c r="AJ36" s="156">
        <f t="shared" si="9"/>
        <v>85.4716456831747</v>
      </c>
      <c r="AK36" s="676"/>
      <c r="AL36" s="716">
        <f t="shared" si="10"/>
        <v>5903.4952600081915</v>
      </c>
      <c r="AM36" s="763"/>
      <c r="AN36" s="763"/>
      <c r="AO36" s="596">
        <f t="shared" si="12"/>
        <v>98.984575846462675</v>
      </c>
      <c r="AP36"/>
      <c r="AQ36" s="596"/>
    </row>
    <row r="37" spans="1:43" s="677" customFormat="1" ht="15.75" customHeight="1">
      <c r="A37" s="877" t="s">
        <v>1039</v>
      </c>
      <c r="B37" s="135">
        <v>45600</v>
      </c>
      <c r="C37" s="803" cm="1">
        <v>45593</v>
      </c>
      <c r="D37" s="677" t="s">
        <v>1048</v>
      </c>
      <c r="E37" s="614">
        <v>20611424541</v>
      </c>
      <c r="G37" s="713" t="s">
        <v>68</v>
      </c>
      <c r="H37" s="596" t="s">
        <v>116</v>
      </c>
      <c r="I37" s="596">
        <v>9.75</v>
      </c>
      <c r="J37" s="596">
        <v>1.85</v>
      </c>
      <c r="K37" s="138">
        <f t="shared" ref="K37:K68" si="15">+I37-(I37*(J37/100))</f>
        <v>9.5696250000000003</v>
      </c>
      <c r="L37" s="714">
        <v>0.33300000000000002</v>
      </c>
      <c r="M37" s="714">
        <v>0.315</v>
      </c>
      <c r="N37" s="719">
        <v>0.315</v>
      </c>
      <c r="O37" s="873">
        <f t="shared" si="14"/>
        <v>0.315</v>
      </c>
      <c r="P37" s="884">
        <v>90</v>
      </c>
      <c r="Q37" s="779">
        <v>89.19</v>
      </c>
      <c r="R37" s="885">
        <v>2741.8</v>
      </c>
      <c r="S37" s="713">
        <f>-8+100</f>
        <v>92</v>
      </c>
      <c r="U37" s="886">
        <v>80</v>
      </c>
      <c r="V37" s="614">
        <v>1.1023000000000001</v>
      </c>
      <c r="W37" s="780"/>
      <c r="X37" s="780"/>
      <c r="Y37" s="751"/>
      <c r="Z37" s="143">
        <f t="shared" si="2"/>
        <v>30</v>
      </c>
      <c r="AA37" s="144">
        <f t="shared" ref="AA37:AA68" si="16">+Y37+Z37</f>
        <v>30</v>
      </c>
      <c r="AB37" s="145">
        <f t="shared" ref="AB37:AB68" si="17">+((O37*P37*(R37-U37)/100)-S37-AA37+T37)*V37</f>
        <v>697.33735669000021</v>
      </c>
      <c r="AC37" s="145">
        <f>+(S37-T37)*V37-'data 1'!$F$4</f>
        <v>21.411600000000007</v>
      </c>
      <c r="AD37" s="145">
        <f t="shared" ref="AD37:AD68" si="18">+(Q37-P37)*(R37-U37)*L37*V37/100</f>
        <v>-7.9141537022220243</v>
      </c>
      <c r="AE37" s="145">
        <f t="shared" si="11"/>
        <v>-36.930999999999997</v>
      </c>
      <c r="AF37" s="145">
        <f t="shared" ref="AF37:AF68" si="19">(L37-O37)*(R37-U37)*Q37*V37/100</f>
        <v>47.104662575988051</v>
      </c>
      <c r="AG37" s="772">
        <f>+IF(D37="RONALD WILLIAN GARIBAY ESCUDERO",AC37+AD37+AE37+AF37+70,AC37+AD37+AE37+AF37)</f>
        <v>23.671108873766038</v>
      </c>
      <c r="AH37" s="146">
        <f t="shared" ref="AH37:AH68" si="20">31.1035*L37*Q37*1.1023*K37/100</f>
        <v>97.446082930968302</v>
      </c>
      <c r="AI37" s="156">
        <f t="shared" si="8"/>
        <v>-3.2411221544790298</v>
      </c>
      <c r="AJ37" s="156">
        <f t="shared" ref="AJ37:AJ68" si="21">31.1035*1.1023*K37*P37*O37/100</f>
        <v>93.015869926197681</v>
      </c>
      <c r="AK37" s="676"/>
      <c r="AL37" s="716">
        <f t="shared" ref="AL37:AL68" si="22">+IF(AB37*K37&gt;0,AB37*K37,0)</f>
        <v>6673.2570020145431</v>
      </c>
      <c r="AM37" s="763"/>
      <c r="AN37" s="763"/>
      <c r="AO37" s="596">
        <f t="shared" si="12"/>
        <v>109.25673610378777</v>
      </c>
      <c r="AP37"/>
      <c r="AQ37" s="596"/>
    </row>
    <row r="38" spans="1:43" ht="15.75" customHeight="1">
      <c r="A38" s="877" t="s">
        <v>1040</v>
      </c>
      <c r="B38" s="135">
        <v>45600</v>
      </c>
      <c r="C38" s="803" cm="1">
        <v>45593</v>
      </c>
      <c r="D38" s="677" t="s">
        <v>1048</v>
      </c>
      <c r="E38" s="614">
        <v>20611424541</v>
      </c>
      <c r="F38" s="677"/>
      <c r="G38" s="713" t="s">
        <v>68</v>
      </c>
      <c r="H38" s="596" t="s">
        <v>116</v>
      </c>
      <c r="I38" s="596">
        <v>9.02</v>
      </c>
      <c r="J38" s="596">
        <v>2.23</v>
      </c>
      <c r="K38" s="138">
        <f t="shared" si="15"/>
        <v>8.818854</v>
      </c>
      <c r="L38" s="714">
        <v>0.41199999999999998</v>
      </c>
      <c r="M38" s="714">
        <v>0.30099999999999999</v>
      </c>
      <c r="N38" s="719">
        <v>0.30099999999999999</v>
      </c>
      <c r="O38" s="873">
        <f t="shared" si="14"/>
        <v>0.30099999999999999</v>
      </c>
      <c r="P38" s="884">
        <v>90</v>
      </c>
      <c r="Q38" s="779">
        <v>89.37</v>
      </c>
      <c r="R38" s="885">
        <v>2741.8</v>
      </c>
      <c r="S38" s="713">
        <f>-8+100</f>
        <v>92</v>
      </c>
      <c r="T38" s="677"/>
      <c r="U38" s="886">
        <v>80</v>
      </c>
      <c r="V38" s="614">
        <v>1.1023000000000001</v>
      </c>
      <c r="W38" s="780"/>
      <c r="X38" s="780"/>
      <c r="Y38" s="751"/>
      <c r="Z38" s="143">
        <f t="shared" si="2"/>
        <v>30</v>
      </c>
      <c r="AA38" s="144">
        <f t="shared" si="16"/>
        <v>30</v>
      </c>
      <c r="AB38" s="145">
        <f t="shared" si="17"/>
        <v>660.36766972600026</v>
      </c>
      <c r="AC38" s="145">
        <f>+(S38-T38)*V38-'data 1'!$F$4</f>
        <v>21.411600000000007</v>
      </c>
      <c r="AD38" s="145">
        <f t="shared" si="18"/>
        <v>-7.6157555145839444</v>
      </c>
      <c r="AE38" s="145">
        <f t="shared" si="11"/>
        <v>-36.930999999999997</v>
      </c>
      <c r="AF38" s="145">
        <f t="shared" si="19"/>
        <v>291.06498615949801</v>
      </c>
      <c r="AG38" s="772">
        <f>+IF(D38="RONALD WILLIAN GARIBAY ESCUDERO",AC38+AD38+AE38+AF38+70,AC38+AD38+AE38+AF38)</f>
        <v>267.92983064491409</v>
      </c>
      <c r="AH38" s="146">
        <f t="shared" si="20"/>
        <v>111.32948394980451</v>
      </c>
      <c r="AI38" s="156">
        <f t="shared" si="8"/>
        <v>-4.0181299301880369</v>
      </c>
      <c r="AJ38" s="156">
        <f t="shared" si="21"/>
        <v>81.908736565891246</v>
      </c>
      <c r="AK38" s="88"/>
      <c r="AL38" s="148">
        <f t="shared" si="22"/>
        <v>5823.6860656338158</v>
      </c>
      <c r="AO38" s="596">
        <f t="shared" si="12"/>
        <v>124.57142659707341</v>
      </c>
      <c r="AQ38" s="596"/>
    </row>
    <row r="39" spans="1:43" ht="15.75" customHeight="1">
      <c r="A39" s="877" t="s">
        <v>1042</v>
      </c>
      <c r="B39" s="135">
        <v>45600</v>
      </c>
      <c r="C39" s="803" cm="1">
        <v>45593</v>
      </c>
      <c r="D39" s="677" t="s">
        <v>1048</v>
      </c>
      <c r="E39" s="614">
        <v>20611424541</v>
      </c>
      <c r="F39" s="677"/>
      <c r="G39" s="713" t="s">
        <v>68</v>
      </c>
      <c r="H39" s="596" t="s">
        <v>116</v>
      </c>
      <c r="I39" s="596">
        <v>11.86</v>
      </c>
      <c r="J39" s="596">
        <v>2.35</v>
      </c>
      <c r="K39" s="138">
        <f t="shared" si="15"/>
        <v>11.581289999999999</v>
      </c>
      <c r="L39" s="714">
        <v>0.317</v>
      </c>
      <c r="M39" s="714">
        <v>0.30099999999999999</v>
      </c>
      <c r="N39" s="719">
        <v>0.30099999999999999</v>
      </c>
      <c r="O39" s="873">
        <f t="shared" si="14"/>
        <v>0.30099999999999999</v>
      </c>
      <c r="P39" s="884">
        <v>90</v>
      </c>
      <c r="Q39" s="779">
        <v>89.43</v>
      </c>
      <c r="R39" s="885">
        <v>2741.8</v>
      </c>
      <c r="S39" s="713">
        <f>-8+100</f>
        <v>92</v>
      </c>
      <c r="T39" s="677"/>
      <c r="U39" s="886">
        <v>80</v>
      </c>
      <c r="V39" s="614">
        <v>1.1023000000000001</v>
      </c>
      <c r="W39" s="780"/>
      <c r="X39" s="780"/>
      <c r="Y39" s="751"/>
      <c r="Z39" s="143">
        <f t="shared" si="2"/>
        <v>30</v>
      </c>
      <c r="AA39" s="144">
        <f t="shared" si="16"/>
        <v>30</v>
      </c>
      <c r="AB39" s="145">
        <f t="shared" si="17"/>
        <v>660.36766972600026</v>
      </c>
      <c r="AC39" s="145">
        <f>+(S39-T39)*V39-'data 1'!$F$4</f>
        <v>21.411600000000007</v>
      </c>
      <c r="AD39" s="145">
        <f t="shared" si="18"/>
        <v>-5.3016291567659373</v>
      </c>
      <c r="AE39" s="145">
        <f t="shared" si="11"/>
        <v>-36.930999999999997</v>
      </c>
      <c r="AF39" s="145">
        <f t="shared" si="19"/>
        <v>41.98348070083204</v>
      </c>
      <c r="AG39" s="772">
        <f>+IF(D39="RONALD WILLIAN GARIBAY ESCUDERO",AC39+AD39+AE39+AF39+70,AC39+AD39+AE39+AF39)</f>
        <v>21.162451544066112</v>
      </c>
      <c r="AH39" s="146">
        <f t="shared" si="20"/>
        <v>112.56632789542701</v>
      </c>
      <c r="AI39" s="156">
        <f t="shared" si="8"/>
        <v>-3.0936949968870291</v>
      </c>
      <c r="AJ39" s="156">
        <f t="shared" si="21"/>
        <v>107.56599799738044</v>
      </c>
      <c r="AK39" s="88"/>
      <c r="AL39" s="148">
        <f t="shared" si="22"/>
        <v>7647.9094897210289</v>
      </c>
      <c r="AO39" s="596">
        <f t="shared" si="12"/>
        <v>125.87087990095829</v>
      </c>
      <c r="AQ39" s="596"/>
    </row>
    <row r="40" spans="1:43" ht="15.75" customHeight="1">
      <c r="A40" s="877" t="s">
        <v>1044</v>
      </c>
      <c r="B40" s="135">
        <v>45600</v>
      </c>
      <c r="C40" s="803" cm="1">
        <v>45593</v>
      </c>
      <c r="D40" s="677" t="s">
        <v>1048</v>
      </c>
      <c r="E40" s="614">
        <v>20611424541</v>
      </c>
      <c r="F40" s="677"/>
      <c r="G40" s="713" t="s">
        <v>68</v>
      </c>
      <c r="H40" s="596" t="s">
        <v>116</v>
      </c>
      <c r="I40" s="596">
        <v>24.5</v>
      </c>
      <c r="J40" s="596">
        <v>2.4500000000000002</v>
      </c>
      <c r="K40" s="138">
        <f t="shared" si="15"/>
        <v>23.899750000000001</v>
      </c>
      <c r="L40" s="714">
        <v>0.28699999999999998</v>
      </c>
      <c r="M40" s="714">
        <v>0.27300000000000002</v>
      </c>
      <c r="N40" s="719">
        <v>0.27300000000000002</v>
      </c>
      <c r="O40" s="873">
        <f t="shared" si="14"/>
        <v>0.27300000000000002</v>
      </c>
      <c r="P40" s="884">
        <v>90</v>
      </c>
      <c r="Q40" s="779">
        <v>89.3</v>
      </c>
      <c r="R40" s="885">
        <v>2741.8</v>
      </c>
      <c r="S40" s="713">
        <f>-8+95</f>
        <v>87</v>
      </c>
      <c r="T40" s="677"/>
      <c r="U40" s="886">
        <v>80</v>
      </c>
      <c r="V40" s="614">
        <v>1.1023000000000001</v>
      </c>
      <c r="W40" s="780"/>
      <c r="X40" s="780"/>
      <c r="Y40" s="751"/>
      <c r="Z40" s="143">
        <f t="shared" si="2"/>
        <v>30</v>
      </c>
      <c r="AA40" s="144">
        <f t="shared" si="16"/>
        <v>30</v>
      </c>
      <c r="AB40" s="145">
        <f t="shared" si="17"/>
        <v>591.93979579800009</v>
      </c>
      <c r="AC40" s="145">
        <f>+(S40-T40)*V40-'data 1'!$F$4</f>
        <v>15.900100000000009</v>
      </c>
      <c r="AD40" s="145">
        <f t="shared" si="18"/>
        <v>-5.8946111992600239</v>
      </c>
      <c r="AE40" s="145">
        <f t="shared" si="11"/>
        <v>-36.930999999999997</v>
      </c>
      <c r="AF40" s="145">
        <f t="shared" si="19"/>
        <v>36.682144954279892</v>
      </c>
      <c r="AG40" s="772">
        <f>+IF(D40="RONALD WILLIAN GARIBAY ESCUDERO",AC40+AD40+AE40+AF40+70,AC40+AD40+AE40+AF40)+70-53</f>
        <v>26.756633755019877</v>
      </c>
      <c r="AH40" s="146">
        <f t="shared" si="20"/>
        <v>210.00797293137177</v>
      </c>
      <c r="AI40" s="156">
        <f t="shared" si="8"/>
        <v>-2.7968447360700255</v>
      </c>
      <c r="AJ40" s="156">
        <f t="shared" si="21"/>
        <v>201.32957828889056</v>
      </c>
      <c r="AK40" s="676"/>
      <c r="AL40" s="716">
        <f t="shared" si="22"/>
        <v>14147.213134623253</v>
      </c>
      <c r="AO40" s="596">
        <f t="shared" si="12"/>
        <v>235.17130227477244</v>
      </c>
      <c r="AQ40" s="596"/>
    </row>
    <row r="41" spans="1:43" s="677" customFormat="1" ht="15.75" customHeight="1">
      <c r="A41" s="747" t="s">
        <v>1045</v>
      </c>
      <c r="B41" s="135">
        <v>45602</v>
      </c>
      <c r="C41" s="803" cm="1">
        <v>45594</v>
      </c>
      <c r="D41" t="s">
        <v>145</v>
      </c>
      <c r="E41" s="6">
        <v>10437450094</v>
      </c>
      <c r="F41" t="s">
        <v>1067</v>
      </c>
      <c r="G41" s="80">
        <v>50</v>
      </c>
      <c r="H41" s="596" t="s">
        <v>69</v>
      </c>
      <c r="I41" s="596">
        <v>3.94</v>
      </c>
      <c r="J41" s="596">
        <v>1.06</v>
      </c>
      <c r="K41" s="138">
        <f t="shared" si="15"/>
        <v>3.8982359999999998</v>
      </c>
      <c r="L41" s="139">
        <v>0.22500000000000001</v>
      </c>
      <c r="M41" s="139">
        <v>0.21299999999999999</v>
      </c>
      <c r="N41" s="159">
        <v>0.21299999999999999</v>
      </c>
      <c r="O41" s="139">
        <f t="shared" si="14"/>
        <v>0.21299999999999999</v>
      </c>
      <c r="P41" s="629">
        <v>90</v>
      </c>
      <c r="Q41" s="597">
        <v>89.77</v>
      </c>
      <c r="R41" s="740">
        <v>2769.15</v>
      </c>
      <c r="S41" s="765">
        <f>IF((90+ROUNDDOWN(O41,1)*100)&lt;95,95,(90+ROUNDDOWN(O41,1)*100))</f>
        <v>110</v>
      </c>
      <c r="T41"/>
      <c r="U41" s="852">
        <v>130</v>
      </c>
      <c r="V41" s="715">
        <v>1.1023000000000001</v>
      </c>
      <c r="W41"/>
      <c r="X41"/>
      <c r="Y41" s="163">
        <v>10</v>
      </c>
      <c r="Z41" s="143">
        <f t="shared" si="2"/>
        <v>30</v>
      </c>
      <c r="AA41" s="144">
        <f t="shared" si="16"/>
        <v>40</v>
      </c>
      <c r="AB41" s="145">
        <f t="shared" si="17"/>
        <v>392.33618812650002</v>
      </c>
      <c r="AC41" s="145">
        <f>+(S41-T41)*V41-'data 1'!$F$4</f>
        <v>41.253</v>
      </c>
      <c r="AD41" s="145">
        <f t="shared" si="18"/>
        <v>-1.5054773857875259</v>
      </c>
      <c r="AE41" s="145">
        <f t="shared" si="11"/>
        <v>-25.908000000000001</v>
      </c>
      <c r="AF41" s="145">
        <f t="shared" si="19"/>
        <v>31.33836635875803</v>
      </c>
      <c r="AG41" s="772">
        <f>+IF(D41="RONALD WILLIAN GARIBAY ESCUDERO",AC41+AD41+AE41+AF41+70,AC41+AD41+AE41+AF41)</f>
        <v>45.1778889729705</v>
      </c>
      <c r="AH41" s="146">
        <f t="shared" si="20"/>
        <v>26.99547294269243</v>
      </c>
      <c r="AI41" s="156">
        <f>+((+$AI$2-R41+U41)*L41*Q41*V41)/100</f>
        <v>2.8387276993124999</v>
      </c>
      <c r="AJ41" s="156">
        <f t="shared" si="21"/>
        <v>25.621190762140976</v>
      </c>
      <c r="AK41" s="676"/>
      <c r="AL41" s="716">
        <f t="shared" si="22"/>
        <v>1529.4190526574948</v>
      </c>
      <c r="AM41" s="763"/>
      <c r="AN41" s="763"/>
      <c r="AO41" s="596">
        <f t="shared" si="12"/>
        <v>30.071820143357954</v>
      </c>
      <c r="AP41"/>
      <c r="AQ41" s="596"/>
    </row>
    <row r="42" spans="1:43" s="677" customFormat="1" ht="15.75" customHeight="1">
      <c r="A42" s="747" t="s">
        <v>1046</v>
      </c>
      <c r="B42" s="135">
        <v>45602</v>
      </c>
      <c r="C42" s="803" cm="1">
        <v>45594</v>
      </c>
      <c r="D42" t="s">
        <v>145</v>
      </c>
      <c r="E42" s="6">
        <v>10437450094</v>
      </c>
      <c r="F42" t="s">
        <v>1067</v>
      </c>
      <c r="G42" s="80">
        <v>68</v>
      </c>
      <c r="H42" s="596" t="s">
        <v>69</v>
      </c>
      <c r="I42" s="596">
        <v>5.37</v>
      </c>
      <c r="J42" s="596">
        <v>1.1000000000000001</v>
      </c>
      <c r="K42" s="138">
        <f t="shared" si="15"/>
        <v>5.3109299999999999</v>
      </c>
      <c r="L42" s="139">
        <v>0.22500000000000001</v>
      </c>
      <c r="M42" s="139">
        <v>0.216</v>
      </c>
      <c r="N42" s="736">
        <v>0.27400000000000002</v>
      </c>
      <c r="O42" s="139">
        <f t="shared" si="14"/>
        <v>0.245</v>
      </c>
      <c r="P42" s="629">
        <v>90</v>
      </c>
      <c r="Q42" s="597">
        <v>89.63</v>
      </c>
      <c r="R42" s="740">
        <v>2769.15</v>
      </c>
      <c r="S42" s="765">
        <f>IF((90+ROUNDDOWN(O42,1)*100)&lt;95,95,(90+ROUNDDOWN(O42,1)*100))</f>
        <v>110</v>
      </c>
      <c r="T42"/>
      <c r="U42" s="852">
        <v>130</v>
      </c>
      <c r="V42" s="715">
        <v>1.1023000000000001</v>
      </c>
      <c r="W42"/>
      <c r="X42"/>
      <c r="Y42" s="163">
        <v>15</v>
      </c>
      <c r="Z42" s="143">
        <f t="shared" si="2"/>
        <v>30</v>
      </c>
      <c r="AA42" s="144">
        <f t="shared" si="16"/>
        <v>45</v>
      </c>
      <c r="AB42" s="145">
        <f t="shared" si="17"/>
        <v>470.60777742250008</v>
      </c>
      <c r="AC42" s="145">
        <f>+(S42-T42)*V42-'data 1'!$F$4</f>
        <v>41.253</v>
      </c>
      <c r="AD42" s="145">
        <f t="shared" si="18"/>
        <v>-2.4218549249625303</v>
      </c>
      <c r="AE42" s="145">
        <f t="shared" si="11"/>
        <v>-20.396499999999996</v>
      </c>
      <c r="AF42" s="145">
        <f t="shared" si="19"/>
        <v>-52.149154816669977</v>
      </c>
      <c r="AG42" s="772">
        <f>+IF(D42="RONALD WILLIAN GARIBAY ESCUDERO",AC42+AD42+AE42+AF42+70,AC42+AD42+AE42+AF42)</f>
        <v>-33.714509741632504</v>
      </c>
      <c r="AH42" s="146">
        <f t="shared" si="20"/>
        <v>36.721089757284574</v>
      </c>
      <c r="AI42" s="156">
        <f>+((+$AI$2-R42+U42)*L42*Q42*V42)/100</f>
        <v>2.8343005869375002</v>
      </c>
      <c r="AJ42" s="156">
        <f t="shared" si="21"/>
        <v>40.150248758383228</v>
      </c>
      <c r="AK42" s="676"/>
      <c r="AL42" s="716">
        <f t="shared" si="22"/>
        <v>2499.3649633464784</v>
      </c>
      <c r="AM42" s="763"/>
      <c r="AN42" s="763"/>
      <c r="AO42" s="596">
        <f t="shared" si="12"/>
        <v>40.96964159018696</v>
      </c>
      <c r="AP42"/>
      <c r="AQ42" s="596"/>
    </row>
    <row r="43" spans="1:43" s="677" customFormat="1" ht="15.75" customHeight="1">
      <c r="A43" s="747" t="s">
        <v>1047</v>
      </c>
      <c r="B43" s="135">
        <v>45600</v>
      </c>
      <c r="C43" s="803" cm="1">
        <v>45595</v>
      </c>
      <c r="D43" t="s">
        <v>1060</v>
      </c>
      <c r="E43" s="6">
        <v>20606094010</v>
      </c>
      <c r="F43" t="s">
        <v>1068</v>
      </c>
      <c r="G43" s="80">
        <v>100</v>
      </c>
      <c r="H43" s="596" t="s">
        <v>69</v>
      </c>
      <c r="I43" s="596">
        <v>8.6999999999999993</v>
      </c>
      <c r="J43" s="596">
        <v>1.2</v>
      </c>
      <c r="K43" s="138">
        <f t="shared" si="15"/>
        <v>8.5955999999999992</v>
      </c>
      <c r="L43" s="139">
        <v>0.38600000000000001</v>
      </c>
      <c r="M43" s="139">
        <v>0.36199999999999999</v>
      </c>
      <c r="N43" s="159">
        <v>0.36199999999999999</v>
      </c>
      <c r="O43" s="139">
        <f t="shared" si="14"/>
        <v>0.36199999999999999</v>
      </c>
      <c r="P43" s="629">
        <v>90</v>
      </c>
      <c r="Q43" s="597">
        <v>89.39</v>
      </c>
      <c r="R43" s="740">
        <v>2767.8</v>
      </c>
      <c r="S43" s="765">
        <f>IF((90+ROUNDDOWN(O43,1)*100)&lt;95,95,(90+ROUNDDOWN(O43,1)*100))</f>
        <v>120</v>
      </c>
      <c r="T43"/>
      <c r="U43" s="852">
        <v>130</v>
      </c>
      <c r="V43" s="715">
        <v>1.1023000000000001</v>
      </c>
      <c r="W43"/>
      <c r="X43"/>
      <c r="Y43" s="163">
        <v>15</v>
      </c>
      <c r="Z43" s="143">
        <f t="shared" si="2"/>
        <v>30</v>
      </c>
      <c r="AA43" s="144">
        <f t="shared" si="16"/>
        <v>45</v>
      </c>
      <c r="AB43" s="145">
        <f t="shared" si="17"/>
        <v>765.43187305200013</v>
      </c>
      <c r="AC43" s="145">
        <f>+(S43-T43)*V43-'data 1'!$F$4</f>
        <v>52.27600000000001</v>
      </c>
      <c r="AD43" s="145">
        <f t="shared" si="18"/>
        <v>-6.8463454849239955</v>
      </c>
      <c r="AE43" s="145">
        <f t="shared" si="11"/>
        <v>-20.396499999999996</v>
      </c>
      <c r="AF43" s="145">
        <f t="shared" si="19"/>
        <v>62.379494391984061</v>
      </c>
      <c r="AG43" s="772">
        <f>+IF(D43="RONALD WILLIAN GARIBAY ESCUDERO",AC43+AD43+AE43+AF43+70,AC43+AD43+AE43+AF43)</f>
        <v>87.412648907060088</v>
      </c>
      <c r="AH43" s="146">
        <f t="shared" si="20"/>
        <v>101.68608066335122</v>
      </c>
      <c r="AI43" s="156">
        <f>+((+$AI$2-R43+U43)*L43*Q43*V43)/100</f>
        <v>5.3628439763219662</v>
      </c>
      <c r="AJ43" s="156">
        <f t="shared" si="21"/>
        <v>96.014394280056564</v>
      </c>
      <c r="AK43" s="676"/>
      <c r="AL43" s="716">
        <f t="shared" si="22"/>
        <v>6579.3462080057716</v>
      </c>
      <c r="AM43" s="763"/>
      <c r="AN43" s="763"/>
      <c r="AO43" s="596">
        <f t="shared" si="12"/>
        <v>113.75554386771587</v>
      </c>
      <c r="AP43"/>
      <c r="AQ43" s="596"/>
    </row>
    <row r="44" spans="1:43" s="677" customFormat="1" ht="15.75" customHeight="1">
      <c r="A44" s="877" t="s">
        <v>1049</v>
      </c>
      <c r="B44" s="135">
        <v>45598</v>
      </c>
      <c r="C44" s="803" cm="1">
        <v>45595</v>
      </c>
      <c r="D44" t="s">
        <v>119</v>
      </c>
      <c r="E44" s="6">
        <v>10082235774</v>
      </c>
      <c r="F44"/>
      <c r="G44" s="80">
        <v>52</v>
      </c>
      <c r="H44" s="596" t="s">
        <v>69</v>
      </c>
      <c r="I44" s="596">
        <v>4.92</v>
      </c>
      <c r="J44" s="596">
        <v>1.08</v>
      </c>
      <c r="K44" s="138">
        <f t="shared" si="15"/>
        <v>4.8668639999999996</v>
      </c>
      <c r="L44" s="139">
        <v>0.19800000000000001</v>
      </c>
      <c r="M44" s="139">
        <v>0.19</v>
      </c>
      <c r="N44" s="598">
        <v>0.21099999999999999</v>
      </c>
      <c r="O44" s="645">
        <f t="shared" si="14"/>
        <v>0.20100000000000001</v>
      </c>
      <c r="P44" s="727">
        <v>85</v>
      </c>
      <c r="Q44" s="761">
        <v>89.22</v>
      </c>
      <c r="R44" s="729">
        <v>2777.8</v>
      </c>
      <c r="S44" s="713">
        <v>95</v>
      </c>
      <c r="T44"/>
      <c r="U44" s="886">
        <v>80</v>
      </c>
      <c r="V44" s="614">
        <v>1.1023000000000001</v>
      </c>
      <c r="W44"/>
      <c r="X44"/>
      <c r="Y44" s="163"/>
      <c r="Z44" s="781">
        <v>25</v>
      </c>
      <c r="AA44" s="144">
        <f t="shared" si="16"/>
        <v>25</v>
      </c>
      <c r="AB44" s="145">
        <f t="shared" si="17"/>
        <v>375.79515699900008</v>
      </c>
      <c r="AC44" s="145">
        <f>+(S44-T44)*V44-'data 1'!$F$4</f>
        <v>24.718500000000006</v>
      </c>
      <c r="AD44" s="145">
        <f t="shared" si="18"/>
        <v>24.847757444663998</v>
      </c>
      <c r="AE44" s="145">
        <f t="shared" si="11"/>
        <v>-42.442499999999995</v>
      </c>
      <c r="AF44" s="145">
        <f t="shared" si="19"/>
        <v>-7.9596327704040082</v>
      </c>
      <c r="AG44" s="145">
        <f t="shared" ref="AG44:AG52" si="23">+IF(D44="RONALD WILLIAN GARIBAY ESCUDERO",AC44+AD44+AE44+AF44+70,AC44+AD44+AE44+AF44)+70</f>
        <v>69.164124674259995</v>
      </c>
      <c r="AH44" s="146">
        <f t="shared" si="20"/>
        <v>29.47716340301114</v>
      </c>
      <c r="AI44" s="156">
        <f t="shared" ref="AI44:AI52" si="24">+((+$AI$2-R44+U44)*L44*Q44*V44)/100</f>
        <v>-8.9379907756920183</v>
      </c>
      <c r="AJ44" s="156">
        <f t="shared" si="21"/>
        <v>28.508427513220376</v>
      </c>
      <c r="AK44" s="676"/>
      <c r="AL44" s="716">
        <f t="shared" si="22"/>
        <v>1828.9439209727814</v>
      </c>
      <c r="AM44" s="782"/>
      <c r="AN44" s="763"/>
      <c r="AO44" s="596">
        <f t="shared" si="12"/>
        <v>33.038739523661889</v>
      </c>
      <c r="AP44"/>
      <c r="AQ44" s="596"/>
    </row>
    <row r="45" spans="1:43" s="677" customFormat="1" ht="15.75" customHeight="1">
      <c r="A45" s="877" t="s">
        <v>1050</v>
      </c>
      <c r="B45" s="135">
        <v>45598</v>
      </c>
      <c r="C45" s="803" cm="1">
        <v>45595</v>
      </c>
      <c r="D45" t="s">
        <v>119</v>
      </c>
      <c r="E45" s="6">
        <v>10082235774</v>
      </c>
      <c r="F45"/>
      <c r="G45" s="80">
        <v>44</v>
      </c>
      <c r="H45" s="596" t="s">
        <v>69</v>
      </c>
      <c r="I45" s="596">
        <v>3.83</v>
      </c>
      <c r="J45" s="596">
        <v>1.2</v>
      </c>
      <c r="K45" s="138">
        <f t="shared" si="15"/>
        <v>3.7840400000000001</v>
      </c>
      <c r="L45" s="139">
        <v>0.44700000000000001</v>
      </c>
      <c r="M45" s="139">
        <v>0.42899999999999999</v>
      </c>
      <c r="N45" s="598">
        <v>0.46700000000000003</v>
      </c>
      <c r="O45" s="645">
        <f t="shared" si="14"/>
        <v>0.44800000000000001</v>
      </c>
      <c r="P45" s="727">
        <v>90</v>
      </c>
      <c r="Q45" s="761">
        <v>89.57</v>
      </c>
      <c r="R45" s="729">
        <v>2777.8</v>
      </c>
      <c r="S45" s="713">
        <v>115</v>
      </c>
      <c r="T45"/>
      <c r="U45" s="886">
        <v>80</v>
      </c>
      <c r="V45" s="614">
        <v>1.1023000000000001</v>
      </c>
      <c r="W45"/>
      <c r="X45"/>
      <c r="Y45" s="163"/>
      <c r="Z45" s="781">
        <v>25</v>
      </c>
      <c r="AA45" s="144">
        <f t="shared" si="16"/>
        <v>25</v>
      </c>
      <c r="AB45" s="145">
        <f t="shared" si="17"/>
        <v>1044.7080878080001</v>
      </c>
      <c r="AC45" s="145">
        <f>+(S45-T45)*V45-'data 1'!$F$4</f>
        <v>46.764500000000012</v>
      </c>
      <c r="AD45" s="145">
        <f t="shared" si="18"/>
        <v>-5.7159120331740914</v>
      </c>
      <c r="AE45" s="145">
        <f t="shared" si="11"/>
        <v>-42.442499999999995</v>
      </c>
      <c r="AF45" s="145">
        <f t="shared" si="19"/>
        <v>-2.6636191707580026</v>
      </c>
      <c r="AG45" s="145">
        <f t="shared" si="23"/>
        <v>65.942468796067928</v>
      </c>
      <c r="AH45" s="146">
        <f t="shared" si="20"/>
        <v>51.943939636723989</v>
      </c>
      <c r="AI45" s="156">
        <f t="shared" si="24"/>
        <v>-20.257348065903042</v>
      </c>
      <c r="AJ45" s="156">
        <f t="shared" si="21"/>
        <v>52.310071214038317</v>
      </c>
      <c r="AK45" s="676"/>
      <c r="AL45" s="716">
        <f t="shared" si="22"/>
        <v>3953.2171925889847</v>
      </c>
      <c r="AM45" s="782"/>
      <c r="AN45" s="763"/>
      <c r="AO45" s="596">
        <f t="shared" si="12"/>
        <v>57.992564069134744</v>
      </c>
      <c r="AP45"/>
      <c r="AQ45" s="596"/>
    </row>
    <row r="46" spans="1:43" s="677" customFormat="1" ht="15.75" customHeight="1">
      <c r="A46" s="877" t="s">
        <v>1051</v>
      </c>
      <c r="B46" s="135">
        <v>45598</v>
      </c>
      <c r="C46" s="803" cm="1">
        <v>45595</v>
      </c>
      <c r="D46" t="s">
        <v>119</v>
      </c>
      <c r="E46" s="6">
        <v>10082235774</v>
      </c>
      <c r="F46"/>
      <c r="G46" s="80">
        <v>48</v>
      </c>
      <c r="H46" s="596" t="s">
        <v>69</v>
      </c>
      <c r="I46" s="596">
        <v>4.2300000000000004</v>
      </c>
      <c r="J46" s="596">
        <v>1.1399999999999999</v>
      </c>
      <c r="K46" s="138">
        <f t="shared" si="15"/>
        <v>4.1817780000000004</v>
      </c>
      <c r="L46" s="139">
        <v>0.39</v>
      </c>
      <c r="M46" s="139">
        <v>0.374</v>
      </c>
      <c r="N46" s="598">
        <v>0.433</v>
      </c>
      <c r="O46" s="645">
        <f t="shared" ref="O46:O75" si="25">+ROUND((M46+N46)/2,3)</f>
        <v>0.40400000000000003</v>
      </c>
      <c r="P46" s="727">
        <v>90</v>
      </c>
      <c r="Q46" s="761">
        <v>89.69</v>
      </c>
      <c r="R46" s="729">
        <v>2777.8</v>
      </c>
      <c r="S46" s="713">
        <v>110</v>
      </c>
      <c r="T46"/>
      <c r="U46" s="886">
        <v>80</v>
      </c>
      <c r="V46" s="614">
        <v>1.1023000000000001</v>
      </c>
      <c r="W46"/>
      <c r="X46"/>
      <c r="Y46" s="163"/>
      <c r="Z46" s="781">
        <v>25</v>
      </c>
      <c r="AA46" s="144">
        <f t="shared" si="16"/>
        <v>25</v>
      </c>
      <c r="AB46" s="145">
        <f t="shared" si="17"/>
        <v>932.45770418400002</v>
      </c>
      <c r="AC46" s="145">
        <f>+(S46-T46)*V46-'data 1'!$F$4</f>
        <v>41.253</v>
      </c>
      <c r="AD46" s="145">
        <f t="shared" si="18"/>
        <v>-3.5953059924600268</v>
      </c>
      <c r="AE46" s="145">
        <f t="shared" si="11"/>
        <v>-42.442499999999995</v>
      </c>
      <c r="AF46" s="145">
        <f t="shared" si="19"/>
        <v>-37.340627977604036</v>
      </c>
      <c r="AG46" s="145">
        <f t="shared" si="23"/>
        <v>27.874566029935941</v>
      </c>
      <c r="AH46" s="146">
        <f t="shared" si="20"/>
        <v>50.150893372906523</v>
      </c>
      <c r="AI46" s="156">
        <f t="shared" si="24"/>
        <v>-17.697875025870037</v>
      </c>
      <c r="AJ46" s="156">
        <f t="shared" si="21"/>
        <v>52.130743302111284</v>
      </c>
      <c r="AK46" s="676"/>
      <c r="AL46" s="716">
        <f t="shared" si="22"/>
        <v>3899.3311132871595</v>
      </c>
      <c r="AM46" s="782"/>
      <c r="AN46" s="763"/>
      <c r="AO46" s="596">
        <f t="shared" si="12"/>
        <v>55.915813772891653</v>
      </c>
      <c r="AP46"/>
      <c r="AQ46" s="596"/>
    </row>
    <row r="47" spans="1:43" s="677" customFormat="1" ht="15.75" customHeight="1">
      <c r="A47" s="877" t="s">
        <v>1052</v>
      </c>
      <c r="B47" s="135">
        <v>45598</v>
      </c>
      <c r="C47" s="803" cm="1">
        <v>45595</v>
      </c>
      <c r="D47" t="s">
        <v>119</v>
      </c>
      <c r="E47" s="6">
        <v>10082235774</v>
      </c>
      <c r="F47"/>
      <c r="G47" s="80">
        <v>50</v>
      </c>
      <c r="H47" s="596" t="s">
        <v>69</v>
      </c>
      <c r="I47" s="596">
        <v>4.3099999999999996</v>
      </c>
      <c r="J47" s="596">
        <v>1.03</v>
      </c>
      <c r="K47" s="138">
        <f t="shared" si="15"/>
        <v>4.2656069999999993</v>
      </c>
      <c r="L47" s="139">
        <v>0.41199999999999998</v>
      </c>
      <c r="M47" s="139">
        <v>0.39500000000000002</v>
      </c>
      <c r="N47" s="598">
        <v>0.45900000000000002</v>
      </c>
      <c r="O47" s="645">
        <f t="shared" si="25"/>
        <v>0.42699999999999999</v>
      </c>
      <c r="P47" s="727">
        <v>90</v>
      </c>
      <c r="Q47" s="761">
        <v>89.38</v>
      </c>
      <c r="R47" s="729">
        <v>2777.8</v>
      </c>
      <c r="S47" s="713">
        <v>110</v>
      </c>
      <c r="T47"/>
      <c r="U47" s="886">
        <v>80</v>
      </c>
      <c r="V47" s="614">
        <v>1.1023000000000001</v>
      </c>
      <c r="W47"/>
      <c r="X47"/>
      <c r="Y47" s="163"/>
      <c r="Z47" s="781">
        <v>25</v>
      </c>
      <c r="AA47" s="144">
        <f t="shared" si="16"/>
        <v>25</v>
      </c>
      <c r="AB47" s="145">
        <f t="shared" si="17"/>
        <v>994.01505244200018</v>
      </c>
      <c r="AC47" s="145">
        <f>+(S47-T47)*V47-'data 1'!$F$4</f>
        <v>41.253</v>
      </c>
      <c r="AD47" s="145">
        <f t="shared" si="18"/>
        <v>-7.596236250736057</v>
      </c>
      <c r="AE47" s="145">
        <f t="shared" si="11"/>
        <v>-42.442499999999995</v>
      </c>
      <c r="AF47" s="145">
        <f t="shared" si="19"/>
        <v>-39.869534690580039</v>
      </c>
      <c r="AG47" s="145">
        <f t="shared" si="23"/>
        <v>21.34472905868391</v>
      </c>
      <c r="AH47" s="146">
        <f t="shared" si="20"/>
        <v>53.855179291731439</v>
      </c>
      <c r="AI47" s="156">
        <f t="shared" si="24"/>
        <v>-18.631596031992036</v>
      </c>
      <c r="AJ47" s="156">
        <f t="shared" si="21"/>
        <v>56.203103042676929</v>
      </c>
      <c r="AK47" s="676"/>
      <c r="AL47" s="716">
        <f t="shared" si="22"/>
        <v>4240.077565801962</v>
      </c>
      <c r="AM47" s="782"/>
      <c r="AN47" s="763"/>
      <c r="AO47" s="596">
        <f t="shared" si="12"/>
        <v>60.254172400684091</v>
      </c>
      <c r="AP47"/>
      <c r="AQ47" s="596"/>
    </row>
    <row r="48" spans="1:43" s="677" customFormat="1" ht="15.75" customHeight="1">
      <c r="A48" s="877" t="s">
        <v>1053</v>
      </c>
      <c r="B48" s="135">
        <v>45598</v>
      </c>
      <c r="C48" s="803" cm="1">
        <v>45595</v>
      </c>
      <c r="D48" t="s">
        <v>119</v>
      </c>
      <c r="E48" s="6">
        <v>10082235774</v>
      </c>
      <c r="F48"/>
      <c r="G48" s="80">
        <v>22</v>
      </c>
      <c r="H48" s="596" t="s">
        <v>69</v>
      </c>
      <c r="I48" s="596">
        <v>1.97</v>
      </c>
      <c r="J48" s="596">
        <v>1.25</v>
      </c>
      <c r="K48" s="138">
        <f t="shared" si="15"/>
        <v>1.9453750000000001</v>
      </c>
      <c r="L48" s="139">
        <v>0.217</v>
      </c>
      <c r="M48" s="139">
        <v>0.20799999999999999</v>
      </c>
      <c r="N48" s="598">
        <v>0.224</v>
      </c>
      <c r="O48" s="645">
        <f t="shared" si="25"/>
        <v>0.216</v>
      </c>
      <c r="P48" s="727">
        <v>85</v>
      </c>
      <c r="Q48" s="761">
        <v>89.82</v>
      </c>
      <c r="R48" s="729">
        <v>2777.8</v>
      </c>
      <c r="S48" s="713">
        <v>105</v>
      </c>
      <c r="T48"/>
      <c r="U48" s="886">
        <v>80</v>
      </c>
      <c r="V48" s="614">
        <v>1.1023000000000001</v>
      </c>
      <c r="W48"/>
      <c r="X48"/>
      <c r="Y48" s="163"/>
      <c r="Z48" s="781">
        <v>25</v>
      </c>
      <c r="AA48" s="144">
        <f t="shared" si="16"/>
        <v>25</v>
      </c>
      <c r="AB48" s="145">
        <f t="shared" si="17"/>
        <v>402.68791498400003</v>
      </c>
      <c r="AC48" s="145">
        <f>+(S48-T48)*V48-'data 1'!$F$4</f>
        <v>35.741500000000002</v>
      </c>
      <c r="AD48" s="145">
        <f t="shared" si="18"/>
        <v>31.104006201435958</v>
      </c>
      <c r="AE48" s="145">
        <f t="shared" si="11"/>
        <v>-42.442499999999995</v>
      </c>
      <c r="AF48" s="145">
        <f t="shared" si="19"/>
        <v>2.6710536331080026</v>
      </c>
      <c r="AG48" s="145">
        <f t="shared" si="23"/>
        <v>97.074059834543974</v>
      </c>
      <c r="AH48" s="146">
        <f t="shared" si="20"/>
        <v>13.000054838592842</v>
      </c>
      <c r="AI48" s="156">
        <f t="shared" si="24"/>
        <v>-9.8615521913580189</v>
      </c>
      <c r="AJ48" s="156">
        <f t="shared" si="21"/>
        <v>12.245741192398345</v>
      </c>
      <c r="AK48" s="676"/>
      <c r="AL48" s="716">
        <f t="shared" si="22"/>
        <v>783.37900261199911</v>
      </c>
      <c r="AM48" s="782"/>
      <c r="AN48" s="763"/>
      <c r="AO48" s="596">
        <f t="shared" si="12"/>
        <v>14.473452280775822</v>
      </c>
      <c r="AP48"/>
      <c r="AQ48" s="596"/>
    </row>
    <row r="49" spans="1:43" s="677" customFormat="1" ht="15.75" customHeight="1">
      <c r="A49" s="877" t="s">
        <v>1054</v>
      </c>
      <c r="B49" s="135">
        <v>45598</v>
      </c>
      <c r="C49" s="803" cm="1">
        <v>45595</v>
      </c>
      <c r="D49" t="s">
        <v>119</v>
      </c>
      <c r="E49" s="6">
        <v>10082235774</v>
      </c>
      <c r="F49"/>
      <c r="G49" s="80">
        <v>19</v>
      </c>
      <c r="H49" s="596" t="s">
        <v>69</v>
      </c>
      <c r="I49" s="596">
        <v>1.58</v>
      </c>
      <c r="J49" s="596">
        <v>1.1000000000000001</v>
      </c>
      <c r="K49" s="138">
        <f t="shared" si="15"/>
        <v>1.5626200000000001</v>
      </c>
      <c r="L49" s="139">
        <v>0.115</v>
      </c>
      <c r="M49" s="139">
        <v>0.11</v>
      </c>
      <c r="N49" s="598">
        <v>0.13</v>
      </c>
      <c r="O49" s="645">
        <f t="shared" si="25"/>
        <v>0.12</v>
      </c>
      <c r="P49" s="727">
        <v>85</v>
      </c>
      <c r="Q49" s="761">
        <v>89.88</v>
      </c>
      <c r="R49" s="729">
        <v>2777.8</v>
      </c>
      <c r="S49" s="713">
        <v>95</v>
      </c>
      <c r="T49"/>
      <c r="U49" s="886">
        <v>80</v>
      </c>
      <c r="V49" s="614">
        <v>1.1023000000000001</v>
      </c>
      <c r="W49"/>
      <c r="X49"/>
      <c r="Y49" s="163"/>
      <c r="Z49" s="781">
        <v>25</v>
      </c>
      <c r="AA49" s="144">
        <f t="shared" si="16"/>
        <v>25</v>
      </c>
      <c r="AB49" s="145">
        <f t="shared" si="17"/>
        <v>171.05006388000004</v>
      </c>
      <c r="AC49" s="145">
        <f>+(S49-T49)*V49-'data 1'!$F$4</f>
        <v>24.718500000000006</v>
      </c>
      <c r="AD49" s="145">
        <f t="shared" si="18"/>
        <v>16.688881083279988</v>
      </c>
      <c r="AE49" s="145">
        <f t="shared" si="11"/>
        <v>-42.442499999999995</v>
      </c>
      <c r="AF49" s="145">
        <f t="shared" si="19"/>
        <v>-13.364189520359975</v>
      </c>
      <c r="AG49" s="145">
        <f t="shared" si="23"/>
        <v>55.600691562920019</v>
      </c>
      <c r="AH49" s="146">
        <f t="shared" si="20"/>
        <v>5.5376225686662117</v>
      </c>
      <c r="AI49" s="156">
        <f t="shared" si="24"/>
        <v>-5.229659306340011</v>
      </c>
      <c r="AJ49" s="156">
        <f t="shared" si="21"/>
        <v>5.4646533736184821</v>
      </c>
      <c r="AK49" s="676"/>
      <c r="AL49" s="716">
        <f t="shared" si="22"/>
        <v>267.28625082016566</v>
      </c>
      <c r="AM49" s="782"/>
      <c r="AN49" s="763"/>
      <c r="AO49" s="596">
        <f t="shared" si="12"/>
        <v>6.1611288035894667</v>
      </c>
      <c r="AP49"/>
      <c r="AQ49" s="596"/>
    </row>
    <row r="50" spans="1:43" s="677" customFormat="1" ht="15.75" customHeight="1">
      <c r="A50" s="877" t="s">
        <v>1055</v>
      </c>
      <c r="B50" s="135">
        <v>45598</v>
      </c>
      <c r="C50" s="803" cm="1">
        <v>45595</v>
      </c>
      <c r="D50" t="s">
        <v>119</v>
      </c>
      <c r="E50" s="6">
        <v>10082235774</v>
      </c>
      <c r="F50"/>
      <c r="G50" s="80">
        <v>68</v>
      </c>
      <c r="H50" s="596" t="s">
        <v>69</v>
      </c>
      <c r="I50" s="596">
        <v>6.3</v>
      </c>
      <c r="J50" s="596">
        <v>1</v>
      </c>
      <c r="K50" s="138">
        <f t="shared" si="15"/>
        <v>6.2370000000000001</v>
      </c>
      <c r="L50" s="139">
        <v>0.214</v>
      </c>
      <c r="M50" s="139">
        <v>0.20499999999999999</v>
      </c>
      <c r="N50" s="598">
        <v>0.24199999999999999</v>
      </c>
      <c r="O50" s="645">
        <f t="shared" si="25"/>
        <v>0.224</v>
      </c>
      <c r="P50" s="727">
        <v>90</v>
      </c>
      <c r="Q50" s="761">
        <v>89.61</v>
      </c>
      <c r="R50" s="729">
        <v>2777.8</v>
      </c>
      <c r="S50" s="713">
        <v>105</v>
      </c>
      <c r="T50"/>
      <c r="U50" s="886">
        <v>80</v>
      </c>
      <c r="V50" s="614">
        <v>1.1023000000000001</v>
      </c>
      <c r="W50"/>
      <c r="X50"/>
      <c r="Y50" s="163"/>
      <c r="Z50" s="781">
        <v>25</v>
      </c>
      <c r="AA50" s="144">
        <f t="shared" si="16"/>
        <v>25</v>
      </c>
      <c r="AB50" s="145">
        <f t="shared" si="17"/>
        <v>456.21604390400006</v>
      </c>
      <c r="AC50" s="145">
        <f>+(S50-T50)*V50-'data 1'!$F$4</f>
        <v>35.741500000000002</v>
      </c>
      <c r="AD50" s="145">
        <f t="shared" si="18"/>
        <v>-2.4819209109240039</v>
      </c>
      <c r="AE50" s="145">
        <f t="shared" si="11"/>
        <v>-42.442499999999995</v>
      </c>
      <c r="AF50" s="145">
        <f t="shared" si="19"/>
        <v>-26.648086847340029</v>
      </c>
      <c r="AG50" s="145">
        <f t="shared" si="23"/>
        <v>34.168992241735978</v>
      </c>
      <c r="AH50" s="146">
        <f t="shared" si="20"/>
        <v>41.006722944775362</v>
      </c>
      <c r="AI50" s="156">
        <f t="shared" si="24"/>
        <v>-9.7024797192780188</v>
      </c>
      <c r="AJ50" s="156">
        <f t="shared" si="21"/>
        <v>43.109733797998558</v>
      </c>
      <c r="AK50" s="676"/>
      <c r="AL50" s="716">
        <f t="shared" si="22"/>
        <v>2845.4194658292486</v>
      </c>
      <c r="AM50" s="782"/>
      <c r="AN50" s="763"/>
      <c r="AO50" s="596">
        <f t="shared" si="12"/>
        <v>45.761324567319903</v>
      </c>
      <c r="AP50"/>
      <c r="AQ50" s="596"/>
    </row>
    <row r="51" spans="1:43" s="677" customFormat="1" ht="15.75" customHeight="1">
      <c r="A51" s="877" t="s">
        <v>1056</v>
      </c>
      <c r="B51" s="135">
        <v>45598</v>
      </c>
      <c r="C51" s="803" cm="1">
        <v>45595</v>
      </c>
      <c r="D51" t="s">
        <v>129</v>
      </c>
      <c r="E51" s="871">
        <v>10423109730</v>
      </c>
      <c r="F51"/>
      <c r="G51" s="80">
        <v>25</v>
      </c>
      <c r="H51" s="596" t="s">
        <v>69</v>
      </c>
      <c r="I51" s="596">
        <v>2.46</v>
      </c>
      <c r="J51" s="596">
        <v>1.2</v>
      </c>
      <c r="K51" s="138">
        <f t="shared" si="15"/>
        <v>2.4304799999999998</v>
      </c>
      <c r="L51" s="139">
        <v>0.40500000000000003</v>
      </c>
      <c r="M51" s="736">
        <v>0.38900000000000001</v>
      </c>
      <c r="N51" s="159">
        <v>0.38900000000000001</v>
      </c>
      <c r="O51" s="645">
        <f t="shared" si="25"/>
        <v>0.38900000000000001</v>
      </c>
      <c r="P51" s="727">
        <v>90</v>
      </c>
      <c r="Q51" s="761">
        <v>89.49</v>
      </c>
      <c r="R51" s="729">
        <v>2767.8</v>
      </c>
      <c r="S51" s="713">
        <v>110</v>
      </c>
      <c r="T51"/>
      <c r="U51" s="886">
        <v>100</v>
      </c>
      <c r="V51" s="614">
        <v>1.1023000000000001</v>
      </c>
      <c r="W51"/>
      <c r="X51"/>
      <c r="Y51" s="163">
        <v>15</v>
      </c>
      <c r="Z51" s="781">
        <v>25</v>
      </c>
      <c r="AA51" s="144">
        <f t="shared" si="16"/>
        <v>40</v>
      </c>
      <c r="AB51" s="145">
        <f t="shared" si="17"/>
        <v>864.19965059399999</v>
      </c>
      <c r="AC51" s="145">
        <f>+(S51-T51)*V51-'data 1'!$F$4</f>
        <v>41.253</v>
      </c>
      <c r="AD51" s="145">
        <f t="shared" si="18"/>
        <v>-6.0740487740700635</v>
      </c>
      <c r="AE51" s="145">
        <f t="shared" si="11"/>
        <v>-25.907999999999998</v>
      </c>
      <c r="AF51" s="145">
        <f t="shared" si="19"/>
        <v>42.106347115296039</v>
      </c>
      <c r="AG51" s="145">
        <f t="shared" si="23"/>
        <v>191.37729834122598</v>
      </c>
      <c r="AH51" s="146">
        <f t="shared" si="20"/>
        <v>30.201648744342876</v>
      </c>
      <c r="AI51" s="156">
        <f t="shared" si="24"/>
        <v>-6.352233634665037</v>
      </c>
      <c r="AJ51" s="156">
        <f t="shared" si="21"/>
        <v>29.173815476712175</v>
      </c>
      <c r="AK51" s="676"/>
      <c r="AL51" s="716">
        <f t="shared" si="22"/>
        <v>2100.4199667757048</v>
      </c>
      <c r="AM51" s="782"/>
      <c r="AN51" s="763"/>
      <c r="AO51" s="596">
        <f t="shared" si="12"/>
        <v>33.748629728844428</v>
      </c>
      <c r="AP51"/>
      <c r="AQ51" s="596"/>
    </row>
    <row r="52" spans="1:43" ht="15.75" customHeight="1">
      <c r="A52" s="877" t="s">
        <v>1057</v>
      </c>
      <c r="B52" s="135">
        <v>45598</v>
      </c>
      <c r="C52" s="803" cm="1">
        <v>45595</v>
      </c>
      <c r="D52" t="s">
        <v>129</v>
      </c>
      <c r="E52" s="871">
        <v>10423109730</v>
      </c>
      <c r="F52" s="631"/>
      <c r="G52" s="80">
        <v>12</v>
      </c>
      <c r="H52" s="596" t="s">
        <v>69</v>
      </c>
      <c r="I52" s="596">
        <v>1.24</v>
      </c>
      <c r="J52" s="596">
        <v>1.1000000000000001</v>
      </c>
      <c r="K52" s="138">
        <f t="shared" si="15"/>
        <v>1.2263599999999999</v>
      </c>
      <c r="L52" s="139">
        <v>0.13900000000000001</v>
      </c>
      <c r="M52" s="736">
        <v>0.13300000000000001</v>
      </c>
      <c r="N52" s="159">
        <v>0.13300000000000001</v>
      </c>
      <c r="O52" s="645">
        <f t="shared" si="25"/>
        <v>0.13300000000000001</v>
      </c>
      <c r="P52" s="727">
        <v>85</v>
      </c>
      <c r="Q52" s="761">
        <v>89.3</v>
      </c>
      <c r="R52" s="729">
        <v>2767.8</v>
      </c>
      <c r="S52" s="713">
        <v>95</v>
      </c>
      <c r="U52" s="886">
        <v>100</v>
      </c>
      <c r="V52" s="614">
        <v>1.1023000000000001</v>
      </c>
      <c r="Y52" s="163">
        <v>15</v>
      </c>
      <c r="Z52" s="143">
        <f t="shared" ref="Z52:Z76" si="26">IF(IF(D52="UNTUCA",IF(+((W52-3)*1.5+(X52-3)*3.1)&gt;0,+((W52-3)*1.5+(X52-3)*3.1),0),IF(+((W52-3)*1.5+(X52-3)*3.1)&gt;0,+((W52-3)*1.5+(X52-3)*3.1),0))&lt;30,30,IF(D52="UNTUCA",IF(+((W52-3)*1.5+(X52-3)*3.1)&gt;0,+((W52-3)*1.5+(X52-3)*3.1),0),IF(+((W52-3)*1.5+(X52-3)*3.1)&gt;0,+((W52-3)*1.5+(X52-3)*3.1),0)))</f>
        <v>30</v>
      </c>
      <c r="AA52" s="144">
        <f t="shared" si="16"/>
        <v>45</v>
      </c>
      <c r="AB52" s="145">
        <f t="shared" si="17"/>
        <v>178.12593701700007</v>
      </c>
      <c r="AC52" s="145">
        <f>+(S52-T52)*V52-'data 1'!$F$4</f>
        <v>24.718500000000006</v>
      </c>
      <c r="AD52" s="145">
        <f t="shared" si="18"/>
        <v>17.576659173379991</v>
      </c>
      <c r="AE52" s="145">
        <f t="shared" si="11"/>
        <v>-20.396499999999996</v>
      </c>
      <c r="AF52" s="145">
        <f t="shared" si="19"/>
        <v>15.756356006520015</v>
      </c>
      <c r="AG52" s="772">
        <f t="shared" si="23"/>
        <v>177.65501517990003</v>
      </c>
      <c r="AH52" s="146">
        <f t="shared" si="20"/>
        <v>5.2190722036538544</v>
      </c>
      <c r="AI52" s="156">
        <f t="shared" si="24"/>
        <v>-2.1755205543900131</v>
      </c>
      <c r="AJ52" s="156">
        <f t="shared" si="21"/>
        <v>4.7533261306812236</v>
      </c>
      <c r="AK52" s="676"/>
      <c r="AL52" s="716">
        <f t="shared" si="22"/>
        <v>218.44652412016819</v>
      </c>
      <c r="AO52" s="596">
        <f t="shared" si="12"/>
        <v>5.8444257599707221</v>
      </c>
      <c r="AQ52" s="596"/>
    </row>
    <row r="53" spans="1:43" ht="15.75" customHeight="1">
      <c r="A53" s="747" t="s">
        <v>1066</v>
      </c>
      <c r="B53" s="135">
        <v>45602</v>
      </c>
      <c r="C53" s="803" cm="1">
        <v>45599</v>
      </c>
      <c r="D53" t="s">
        <v>1060</v>
      </c>
      <c r="E53" s="6">
        <v>20606094010</v>
      </c>
      <c r="G53" s="80">
        <v>100</v>
      </c>
      <c r="H53" s="596" t="s">
        <v>69</v>
      </c>
      <c r="I53" s="596">
        <v>7.85</v>
      </c>
      <c r="J53" s="596">
        <v>1.2</v>
      </c>
      <c r="K53" s="138">
        <f t="shared" si="15"/>
        <v>7.7557999999999998</v>
      </c>
      <c r="L53" s="139">
        <v>0.15200000000000002</v>
      </c>
      <c r="M53" s="139">
        <v>0.14592000000000002</v>
      </c>
      <c r="N53" s="598">
        <v>0.184</v>
      </c>
      <c r="O53" s="139">
        <f t="shared" si="25"/>
        <v>0.16500000000000001</v>
      </c>
      <c r="P53" s="629">
        <v>85</v>
      </c>
      <c r="Q53" s="761">
        <v>89.29</v>
      </c>
      <c r="R53" s="740">
        <v>2744.3</v>
      </c>
      <c r="S53" s="80">
        <v>110</v>
      </c>
      <c r="U53" s="766">
        <v>130</v>
      </c>
      <c r="V53" s="715">
        <v>1.1023000000000001</v>
      </c>
      <c r="Y53" s="163">
        <v>20</v>
      </c>
      <c r="Z53" s="143">
        <f t="shared" si="26"/>
        <v>30</v>
      </c>
      <c r="AA53" s="144">
        <f t="shared" si="16"/>
        <v>50</v>
      </c>
      <c r="AB53" s="145">
        <f t="shared" si="17"/>
        <v>227.79644032250002</v>
      </c>
      <c r="AC53" s="145">
        <f>+(S53-T53)*V53-'data 1'!$F$4</f>
        <v>41.253</v>
      </c>
      <c r="AD53" s="145">
        <f t="shared" si="18"/>
        <v>18.791269037112034</v>
      </c>
      <c r="AE53" s="145">
        <f t="shared" si="11"/>
        <v>-14.884999999999998</v>
      </c>
      <c r="AF53" s="145">
        <f t="shared" si="19"/>
        <v>-33.450406944252961</v>
      </c>
      <c r="AG53" s="772">
        <f>+IF(D53="RONALD WILLIAN GARIBAY ESCUDERO",AC53+AD53+AE53+AF53+80,AC53+AD53+AE53+AF53)+70-53</f>
        <v>28.708862092859079</v>
      </c>
      <c r="AH53" s="146">
        <f t="shared" si="20"/>
        <v>36.089601075745264</v>
      </c>
      <c r="AI53" s="156">
        <f>+((+'Analisis comercial'!$AJ$2-R53+U53)*L53*Q53*V53)/100</f>
        <v>252.18921228688802</v>
      </c>
      <c r="AJ53" s="156">
        <f t="shared" si="21"/>
        <v>37.293963422506152</v>
      </c>
      <c r="AK53" s="676"/>
      <c r="AL53" s="716">
        <f t="shared" si="22"/>
        <v>1766.7436318532457</v>
      </c>
      <c r="AO53" s="596">
        <f t="shared" si="12"/>
        <v>40.418413121004889</v>
      </c>
      <c r="AQ53" s="596"/>
    </row>
    <row r="54" spans="1:43" ht="15.75" customHeight="1">
      <c r="A54" s="747" t="s">
        <v>1069</v>
      </c>
      <c r="B54" s="135">
        <v>45603</v>
      </c>
      <c r="C54" s="803" cm="1">
        <v>45599</v>
      </c>
      <c r="D54" t="s">
        <v>1073</v>
      </c>
      <c r="E54" s="639">
        <v>10800995405</v>
      </c>
      <c r="G54" s="80">
        <v>90</v>
      </c>
      <c r="H54" s="596" t="s">
        <v>69</v>
      </c>
      <c r="I54" s="596">
        <v>9.31</v>
      </c>
      <c r="J54" s="596">
        <v>2.4500000000000002</v>
      </c>
      <c r="K54" s="138">
        <f t="shared" si="15"/>
        <v>9.0819050000000008</v>
      </c>
      <c r="L54" s="139">
        <v>0.52649999999999997</v>
      </c>
      <c r="M54" s="139">
        <v>0.50544</v>
      </c>
      <c r="N54" s="159">
        <v>0.50544</v>
      </c>
      <c r="O54" s="139">
        <f t="shared" si="25"/>
        <v>0.505</v>
      </c>
      <c r="P54" s="629">
        <v>90</v>
      </c>
      <c r="Q54" s="761">
        <v>89.82</v>
      </c>
      <c r="R54" s="740">
        <v>2742.6</v>
      </c>
      <c r="S54" s="765">
        <f>IF((90+ROUNDDOWN(O54,1)*100)&lt;95,95,(90+ROUNDDOWN(O54,1)*100))</f>
        <v>140</v>
      </c>
      <c r="U54" s="767">
        <v>130</v>
      </c>
      <c r="V54" s="715">
        <v>1.1023000000000001</v>
      </c>
      <c r="Y54" s="163">
        <v>15</v>
      </c>
      <c r="Z54" s="143">
        <f t="shared" si="26"/>
        <v>30</v>
      </c>
      <c r="AA54" s="144">
        <f t="shared" si="16"/>
        <v>45</v>
      </c>
      <c r="AB54" s="145">
        <f t="shared" si="17"/>
        <v>1104.9749514100001</v>
      </c>
      <c r="AC54" s="145">
        <f>+(S54-T54)*V54-'data 1'!$F$4</f>
        <v>74.322000000000003</v>
      </c>
      <c r="AD54" s="145">
        <f t="shared" si="18"/>
        <v>-2.7292518323461037</v>
      </c>
      <c r="AE54" s="145">
        <f t="shared" si="11"/>
        <v>-20.396499999999996</v>
      </c>
      <c r="AF54" s="145">
        <f t="shared" si="19"/>
        <v>55.614013833473898</v>
      </c>
      <c r="AG54" s="772">
        <f>+IF(D54="RONALD WILLIAN GARIBAY ESCUDERO",AC54+AD54+AE54+AF54+70,AC54+AD54+AE54+AF54)+70-60</f>
        <v>116.8102620011278</v>
      </c>
      <c r="AH54" s="146">
        <f t="shared" si="20"/>
        <v>147.25072787839491</v>
      </c>
      <c r="AI54" s="156">
        <f>+((+'Analisis comercial'!$AJ$2-R54+U54)*L54*Q54*V54)/100</f>
        <v>879.60821840634594</v>
      </c>
      <c r="AJ54" s="156">
        <f t="shared" si="21"/>
        <v>141.52068158841792</v>
      </c>
      <c r="AK54" s="676"/>
      <c r="AL54" s="716">
        <f t="shared" si="22"/>
        <v>10035.277536085237</v>
      </c>
      <c r="AO54" s="596">
        <f t="shared" si="12"/>
        <v>163.93979946381089</v>
      </c>
      <c r="AQ54" s="596"/>
    </row>
    <row r="55" spans="1:43" ht="15.75" customHeight="1">
      <c r="A55" s="877" t="s">
        <v>1070</v>
      </c>
      <c r="B55" s="135">
        <v>45603</v>
      </c>
      <c r="C55" s="803" cm="1">
        <v>45599</v>
      </c>
      <c r="D55" t="s">
        <v>1073</v>
      </c>
      <c r="E55" s="639">
        <v>10800995405</v>
      </c>
      <c r="G55" s="80">
        <v>81</v>
      </c>
      <c r="H55" s="596" t="s">
        <v>69</v>
      </c>
      <c r="I55" s="596">
        <v>8.23</v>
      </c>
      <c r="J55" s="596">
        <v>2.35</v>
      </c>
      <c r="K55" s="138">
        <f t="shared" si="15"/>
        <v>8.0365950000000002</v>
      </c>
      <c r="L55" s="139">
        <v>0.53349999999999997</v>
      </c>
      <c r="M55" s="139">
        <v>0.51215999999999995</v>
      </c>
      <c r="N55" s="159">
        <v>0.51215999999999995</v>
      </c>
      <c r="O55" s="645">
        <f t="shared" si="25"/>
        <v>0.51200000000000001</v>
      </c>
      <c r="P55" s="727">
        <v>90</v>
      </c>
      <c r="Q55" s="761">
        <v>89.59</v>
      </c>
      <c r="R55" s="729">
        <v>2742.6</v>
      </c>
      <c r="S55" s="765">
        <f>IF((90+ROUNDDOWN(O55,1)*100)&lt;95,95,(90+ROUNDDOWN(O55,1)*100))</f>
        <v>140</v>
      </c>
      <c r="U55" s="886">
        <v>130</v>
      </c>
      <c r="V55" s="614">
        <v>1.1023000000000001</v>
      </c>
      <c r="Y55" s="163">
        <v>15</v>
      </c>
      <c r="Z55" s="143">
        <f t="shared" si="26"/>
        <v>30</v>
      </c>
      <c r="AA55" s="144">
        <f t="shared" si="16"/>
        <v>45</v>
      </c>
      <c r="AB55" s="145">
        <f t="shared" si="17"/>
        <v>1123.118125984</v>
      </c>
      <c r="AC55" s="145">
        <f>+(S55-T55)*V55-'data 1'!$F$4</f>
        <v>74.322000000000003</v>
      </c>
      <c r="AD55" s="145">
        <f t="shared" si="18"/>
        <v>-6.2992814134029471</v>
      </c>
      <c r="AE55" s="145">
        <f t="shared" si="11"/>
        <v>-20.396499999999996</v>
      </c>
      <c r="AF55" s="145">
        <f t="shared" si="19"/>
        <v>55.471604312412907</v>
      </c>
      <c r="AG55" s="772">
        <f>+IF(D55="RONALD WILLIAN GARIBAY ESCUDERO",AC55+AD55+AE55+AF55+70,AC55+AD55+AE55+AF55)+70-60</f>
        <v>113.09782289900997</v>
      </c>
      <c r="AH55" s="146">
        <f t="shared" si="20"/>
        <v>131.69676663196486</v>
      </c>
      <c r="AI55" s="156">
        <f>+((+$AI$2-R55+U55)*L55*Q55*V55)/100</f>
        <v>20.705528403433597</v>
      </c>
      <c r="AJ55" s="156">
        <f t="shared" si="21"/>
        <v>126.96780818335785</v>
      </c>
      <c r="AK55" s="676"/>
      <c r="AL55" s="716">
        <f t="shared" si="22"/>
        <v>9026.0455156923854</v>
      </c>
      <c r="AO55" s="596">
        <f t="shared" si="12"/>
        <v>146.99940465673049</v>
      </c>
      <c r="AQ55" s="596"/>
    </row>
    <row r="56" spans="1:43" ht="15.75" customHeight="1">
      <c r="A56" s="877" t="s">
        <v>1071</v>
      </c>
      <c r="B56" s="135">
        <v>45603</v>
      </c>
      <c r="C56" s="803" cm="1">
        <v>45599</v>
      </c>
      <c r="D56" t="s">
        <v>1073</v>
      </c>
      <c r="E56" s="639">
        <v>10800995405</v>
      </c>
      <c r="G56" s="80">
        <v>51</v>
      </c>
      <c r="H56" s="596" t="s">
        <v>69</v>
      </c>
      <c r="I56" s="596">
        <v>5.62</v>
      </c>
      <c r="J56" s="596">
        <v>2.1</v>
      </c>
      <c r="K56" s="138">
        <f t="shared" si="15"/>
        <v>5.5019799999999996</v>
      </c>
      <c r="L56" s="139">
        <v>0.38800000000000001</v>
      </c>
      <c r="M56" s="139">
        <v>0.37636000000000003</v>
      </c>
      <c r="N56" s="159">
        <v>0.37636000000000003</v>
      </c>
      <c r="O56" s="645">
        <f t="shared" si="25"/>
        <v>0.376</v>
      </c>
      <c r="P56" s="727">
        <v>90</v>
      </c>
      <c r="Q56" s="761">
        <v>89.54</v>
      </c>
      <c r="R56" s="729">
        <v>2742.6</v>
      </c>
      <c r="S56" s="765">
        <f>IF((90+ROUNDDOWN(O56,1)*100)&lt;95,95,(90+ROUNDDOWN(O56,1)*100))</f>
        <v>120</v>
      </c>
      <c r="U56" s="886">
        <v>130</v>
      </c>
      <c r="V56" s="614">
        <v>1.1023000000000001</v>
      </c>
      <c r="Y56" s="163">
        <v>15</v>
      </c>
      <c r="Z56" s="143">
        <f t="shared" si="26"/>
        <v>30</v>
      </c>
      <c r="AA56" s="144">
        <f t="shared" si="16"/>
        <v>45</v>
      </c>
      <c r="AB56" s="145">
        <f t="shared" si="17"/>
        <v>792.66816283200012</v>
      </c>
      <c r="AC56" s="145">
        <f>+(S56-T56)*V56-'data 1'!$F$4</f>
        <v>52.27600000000001</v>
      </c>
      <c r="AD56" s="145">
        <f t="shared" si="18"/>
        <v>-5.1399901555039307</v>
      </c>
      <c r="AE56" s="145">
        <f t="shared" si="11"/>
        <v>-20.396499999999996</v>
      </c>
      <c r="AF56" s="145">
        <f t="shared" si="19"/>
        <v>30.943616216304029</v>
      </c>
      <c r="AG56" s="772">
        <f>+IF(D56="RONALD WILLIAN GARIBAY ESCUDERO",AC56+AD56+AE56+AF56+70,AC56+AD56+AE56+AF56)+70-60</f>
        <v>67.683126060800106</v>
      </c>
      <c r="AH56" s="146">
        <f t="shared" si="20"/>
        <v>65.535541510169992</v>
      </c>
      <c r="AI56" s="156">
        <f>+((+$AI$2-R56+U56)*L56*Q56*V56)/100</f>
        <v>15.050161955928072</v>
      </c>
      <c r="AJ56" s="156">
        <f t="shared" si="21"/>
        <v>63.834936545785915</v>
      </c>
      <c r="AK56" s="676"/>
      <c r="AL56" s="716">
        <f t="shared" si="22"/>
        <v>4361.2443785384075</v>
      </c>
      <c r="AO56" s="596">
        <f t="shared" si="12"/>
        <v>73.191357505215535</v>
      </c>
      <c r="AQ56" s="596"/>
    </row>
    <row r="57" spans="1:43" ht="15.75" customHeight="1">
      <c r="A57" s="747" t="s">
        <v>1072</v>
      </c>
      <c r="B57" s="135">
        <v>45603</v>
      </c>
      <c r="C57" s="803" cm="1">
        <v>45599</v>
      </c>
      <c r="D57" t="s">
        <v>154</v>
      </c>
      <c r="E57" s="142">
        <v>10416085884</v>
      </c>
      <c r="G57" s="80" t="s">
        <v>68</v>
      </c>
      <c r="H57" s="596" t="s">
        <v>69</v>
      </c>
      <c r="I57" s="596">
        <v>31.83</v>
      </c>
      <c r="J57" s="596">
        <v>7</v>
      </c>
      <c r="K57" s="138">
        <f t="shared" si="15"/>
        <v>29.601899999999997</v>
      </c>
      <c r="L57" s="139">
        <v>0.127</v>
      </c>
      <c r="M57" s="139">
        <v>0.12192</v>
      </c>
      <c r="N57" s="149">
        <v>0.14499999999999999</v>
      </c>
      <c r="O57" s="139">
        <f t="shared" si="25"/>
        <v>0.13300000000000001</v>
      </c>
      <c r="P57" s="629">
        <v>85</v>
      </c>
      <c r="Q57" s="761">
        <v>89.78</v>
      </c>
      <c r="R57" s="740">
        <v>2742.6</v>
      </c>
      <c r="S57" s="802">
        <v>110</v>
      </c>
      <c r="U57" s="767">
        <v>90</v>
      </c>
      <c r="V57" s="715">
        <v>1.1023000000000001</v>
      </c>
      <c r="Y57" s="631"/>
      <c r="Z57" s="143">
        <f t="shared" si="26"/>
        <v>30</v>
      </c>
      <c r="AA57" s="144">
        <f t="shared" si="16"/>
        <v>30</v>
      </c>
      <c r="AB57" s="145">
        <f t="shared" si="17"/>
        <v>176.23178878900003</v>
      </c>
      <c r="AC57" s="145">
        <f>+(S57-T57)*V57-'data 1'!$F$4</f>
        <v>41.253</v>
      </c>
      <c r="AD57" s="145">
        <f t="shared" si="18"/>
        <v>17.750197525188003</v>
      </c>
      <c r="AE57" s="145">
        <f t="shared" si="11"/>
        <v>-36.930999999999997</v>
      </c>
      <c r="AF57" s="145">
        <f t="shared" si="19"/>
        <v>-15.750793007064015</v>
      </c>
      <c r="AG57" s="772">
        <f t="shared" ref="AG57:AG62" si="27">+IF(D57="RONALD WILLIAN GARIBAY ESCUDERO",AC57+AD57+AE57+AF57+70,AC57+AD57+AE57+AF57)+70-53</f>
        <v>23.321404518123984</v>
      </c>
      <c r="AH57" s="146">
        <f t="shared" si="20"/>
        <v>115.72094685111909</v>
      </c>
      <c r="AI57" s="156">
        <f>+((+$AI$2-R57+U57)*L57*Q57*V57)/100</f>
        <v>-8.7979435165977143E-2</v>
      </c>
      <c r="AJ57" s="156">
        <f t="shared" si="21"/>
        <v>114.73587265388019</v>
      </c>
      <c r="AK57" s="676"/>
      <c r="AL57" s="716">
        <f t="shared" si="22"/>
        <v>5216.7957885530996</v>
      </c>
      <c r="AO57" s="596">
        <f t="shared" si="12"/>
        <v>128.89390382169648</v>
      </c>
      <c r="AQ57" s="596"/>
    </row>
    <row r="58" spans="1:43" ht="15.75" customHeight="1">
      <c r="A58" s="877" t="s">
        <v>1077</v>
      </c>
      <c r="B58" s="135">
        <v>45603</v>
      </c>
      <c r="C58" s="803" cm="1">
        <v>45600</v>
      </c>
      <c r="D58" s="631" t="s">
        <v>129</v>
      </c>
      <c r="E58" s="631">
        <v>10423109730</v>
      </c>
      <c r="G58" s="80" t="s">
        <v>68</v>
      </c>
      <c r="H58" s="596" t="s">
        <v>69</v>
      </c>
      <c r="I58" s="596">
        <v>21.87</v>
      </c>
      <c r="J58" s="596">
        <v>1.1000000000000001</v>
      </c>
      <c r="K58" s="138">
        <f t="shared" si="15"/>
        <v>21.629429999999999</v>
      </c>
      <c r="L58" s="139">
        <v>0.19350000000000001</v>
      </c>
      <c r="M58" s="139">
        <v>0.18576000000000001</v>
      </c>
      <c r="N58" s="159">
        <v>0.18576000000000001</v>
      </c>
      <c r="O58" s="645">
        <f t="shared" si="25"/>
        <v>0.186</v>
      </c>
      <c r="P58" s="727">
        <v>90</v>
      </c>
      <c r="Q58" s="760">
        <v>89.58</v>
      </c>
      <c r="R58" s="729">
        <v>2742.6</v>
      </c>
      <c r="S58" s="765">
        <f>IF((90+ROUNDDOWN(O58,1)*100)&lt;95,95,(90+ROUNDDOWN(O58,1)*100))</f>
        <v>100</v>
      </c>
      <c r="U58" s="886">
        <v>100</v>
      </c>
      <c r="V58" s="614">
        <v>1.1023000000000001</v>
      </c>
      <c r="Y58" s="163"/>
      <c r="Z58" s="143">
        <f t="shared" si="26"/>
        <v>30</v>
      </c>
      <c r="AA58" s="144">
        <f t="shared" si="16"/>
        <v>30</v>
      </c>
      <c r="AB58" s="145">
        <f t="shared" si="17"/>
        <v>344.32681785199998</v>
      </c>
      <c r="AC58" s="145">
        <f>+(S58-T58)*V58-'data 1'!$F$4</f>
        <v>30.230000000000004</v>
      </c>
      <c r="AD58" s="145">
        <f t="shared" si="18"/>
        <v>-2.3673446963460099</v>
      </c>
      <c r="AE58" s="145">
        <f t="shared" si="11"/>
        <v>-36.930999999999997</v>
      </c>
      <c r="AF58" s="145">
        <f t="shared" si="19"/>
        <v>19.570573818630017</v>
      </c>
      <c r="AG58" s="772">
        <f t="shared" si="27"/>
        <v>97.502229122284007</v>
      </c>
      <c r="AH58" s="146">
        <f t="shared" si="20"/>
        <v>128.5423310552107</v>
      </c>
      <c r="AI58" s="156">
        <f t="shared" ref="AI58:AI79" si="28">+((+$AI$2-R58+U58)*L58*Q58*V58)/100</f>
        <v>1.7769482638470349</v>
      </c>
      <c r="AJ58" s="156">
        <f t="shared" si="21"/>
        <v>124.13938730234213</v>
      </c>
      <c r="AK58" s="676"/>
      <c r="AL58" s="716">
        <f t="shared" si="22"/>
        <v>7447.5928038525835</v>
      </c>
      <c r="AO58" s="596">
        <f t="shared" si="12"/>
        <v>143.49445306453526</v>
      </c>
      <c r="AQ58" s="596"/>
    </row>
    <row r="59" spans="1:43" ht="15.75" customHeight="1">
      <c r="A59" s="877" t="s">
        <v>1078</v>
      </c>
      <c r="B59" s="135">
        <v>45605</v>
      </c>
      <c r="C59" s="803" cm="1">
        <v>45600</v>
      </c>
      <c r="D59" s="876" t="s">
        <v>1060</v>
      </c>
      <c r="E59" s="6">
        <v>20606094010</v>
      </c>
      <c r="F59" s="876" t="s">
        <v>1030</v>
      </c>
      <c r="G59" s="80">
        <v>42</v>
      </c>
      <c r="H59" s="596" t="s">
        <v>69</v>
      </c>
      <c r="I59" s="596">
        <v>3.53</v>
      </c>
      <c r="J59" s="596">
        <v>1.1000000000000001</v>
      </c>
      <c r="K59" s="138">
        <f t="shared" si="15"/>
        <v>3.4911699999999999</v>
      </c>
      <c r="L59" s="139">
        <v>0.32799999999999996</v>
      </c>
      <c r="M59" s="139">
        <v>0.31487999999999994</v>
      </c>
      <c r="N59" s="598">
        <v>0.41499999999999998</v>
      </c>
      <c r="O59" s="645">
        <f t="shared" si="25"/>
        <v>0.36499999999999999</v>
      </c>
      <c r="P59" s="727">
        <v>90</v>
      </c>
      <c r="Q59" s="760">
        <v>89.39</v>
      </c>
      <c r="R59" s="729">
        <v>2742.6</v>
      </c>
      <c r="S59" s="765">
        <f>IF((90+ROUNDDOWN(O59,1)*100)&lt;95,95,(90+ROUNDDOWN(O59,1)*100))</f>
        <v>120</v>
      </c>
      <c r="U59" s="886">
        <v>130</v>
      </c>
      <c r="V59" s="614">
        <v>1.1023000000000001</v>
      </c>
      <c r="Y59" s="163">
        <v>30</v>
      </c>
      <c r="Z59" s="143">
        <f t="shared" si="26"/>
        <v>30</v>
      </c>
      <c r="AA59" s="144">
        <f t="shared" si="16"/>
        <v>60</v>
      </c>
      <c r="AB59" s="145">
        <f t="shared" si="17"/>
        <v>747.62295993000009</v>
      </c>
      <c r="AC59" s="145">
        <f>+(S59-T59)*V59-'data 1'!$F$4</f>
        <v>52.27600000000001</v>
      </c>
      <c r="AD59" s="145">
        <f t="shared" si="18"/>
        <v>-5.7620418551839938</v>
      </c>
      <c r="AE59" s="145">
        <f t="shared" si="11"/>
        <v>-3.8619999999999948</v>
      </c>
      <c r="AF59" s="145">
        <f t="shared" si="19"/>
        <v>-95.249650605214086</v>
      </c>
      <c r="AG59" s="772">
        <f t="shared" si="27"/>
        <v>-35.597692460398065</v>
      </c>
      <c r="AH59" s="146">
        <f t="shared" si="20"/>
        <v>35.094806098911057</v>
      </c>
      <c r="AI59" s="156">
        <f t="shared" si="28"/>
        <v>12.701503691688059</v>
      </c>
      <c r="AJ59" s="156">
        <f t="shared" si="21"/>
        <v>39.320174828213325</v>
      </c>
      <c r="AK59" s="676"/>
      <c r="AL59" s="716">
        <f t="shared" si="22"/>
        <v>2610.0788490188183</v>
      </c>
      <c r="AO59" s="596">
        <f t="shared" si="12"/>
        <v>39.260326769114059</v>
      </c>
      <c r="AQ59" s="596"/>
    </row>
    <row r="60" spans="1:43" ht="15.75" customHeight="1">
      <c r="A60" s="877" t="s">
        <v>1079</v>
      </c>
      <c r="B60" s="135">
        <v>45605</v>
      </c>
      <c r="C60" s="803" cm="1">
        <v>45600</v>
      </c>
      <c r="D60" s="876" t="s">
        <v>1060</v>
      </c>
      <c r="E60" s="639">
        <v>20606094010</v>
      </c>
      <c r="F60" s="876" t="s">
        <v>1030</v>
      </c>
      <c r="G60" s="80">
        <v>58</v>
      </c>
      <c r="H60" s="596" t="s">
        <v>69</v>
      </c>
      <c r="I60" s="596">
        <v>4.8</v>
      </c>
      <c r="J60" s="596">
        <v>1.2</v>
      </c>
      <c r="K60" s="138">
        <f t="shared" si="15"/>
        <v>4.7423999999999999</v>
      </c>
      <c r="L60" s="139">
        <v>0.34199999999999997</v>
      </c>
      <c r="M60" s="139">
        <v>0.32831999999999995</v>
      </c>
      <c r="N60" s="598">
        <v>0.39100000000000001</v>
      </c>
      <c r="O60" s="645">
        <f t="shared" si="25"/>
        <v>0.36</v>
      </c>
      <c r="P60" s="727">
        <v>90</v>
      </c>
      <c r="Q60" s="760">
        <v>89.44</v>
      </c>
      <c r="R60" s="729">
        <v>2742.6</v>
      </c>
      <c r="S60" s="765">
        <f>IF((90+ROUNDDOWN(O60,1)*100)&lt;95,95,(90+ROUNDDOWN(O60,1)*100))</f>
        <v>120</v>
      </c>
      <c r="U60" s="886">
        <v>130</v>
      </c>
      <c r="V60" s="614">
        <v>1.1023000000000001</v>
      </c>
      <c r="Y60" s="163">
        <v>30</v>
      </c>
      <c r="Z60" s="143">
        <f t="shared" si="26"/>
        <v>30</v>
      </c>
      <c r="AA60" s="144">
        <f t="shared" si="16"/>
        <v>60</v>
      </c>
      <c r="AB60" s="145">
        <f t="shared" si="17"/>
        <v>734.66354951999995</v>
      </c>
      <c r="AC60" s="145">
        <f>+(S60-T60)*V60-'data 1'!$F$4</f>
        <v>52.27600000000001</v>
      </c>
      <c r="AD60" s="145">
        <f t="shared" si="18"/>
        <v>-5.5155250704960226</v>
      </c>
      <c r="AE60" s="145">
        <f t="shared" si="11"/>
        <v>-3.8619999999999948</v>
      </c>
      <c r="AF60" s="145">
        <f t="shared" si="19"/>
        <v>-46.363586682816042</v>
      </c>
      <c r="AG60" s="772">
        <f t="shared" si="27"/>
        <v>13.534888246687956</v>
      </c>
      <c r="AH60" s="146">
        <f t="shared" si="20"/>
        <v>49.735346485427911</v>
      </c>
      <c r="AI60" s="156">
        <f t="shared" si="28"/>
        <v>13.25104883107206</v>
      </c>
      <c r="AJ60" s="156">
        <f t="shared" si="21"/>
        <v>52.680787869415681</v>
      </c>
      <c r="AK60" s="676"/>
      <c r="AL60" s="716">
        <f t="shared" si="22"/>
        <v>3484.0684172436477</v>
      </c>
      <c r="AO60" s="596">
        <f t="shared" si="12"/>
        <v>55.60749830660545</v>
      </c>
      <c r="AQ60" s="596"/>
    </row>
    <row r="61" spans="1:43" ht="15.75" customHeight="1">
      <c r="A61" s="877" t="s">
        <v>1087</v>
      </c>
      <c r="B61" s="135">
        <v>45607</v>
      </c>
      <c r="C61" s="803" cm="1">
        <v>45601</v>
      </c>
      <c r="D61" t="s">
        <v>154</v>
      </c>
      <c r="E61" s="142">
        <v>10416085884</v>
      </c>
      <c r="G61" s="80" t="s">
        <v>68</v>
      </c>
      <c r="H61" s="596" t="s">
        <v>69</v>
      </c>
      <c r="I61" s="596">
        <v>22.3</v>
      </c>
      <c r="J61" s="596">
        <v>6.8</v>
      </c>
      <c r="K61" s="138">
        <f t="shared" si="15"/>
        <v>20.7836</v>
      </c>
      <c r="L61" s="139">
        <v>0.10200000000000001</v>
      </c>
      <c r="M61" s="139">
        <v>0.10199999999999999</v>
      </c>
      <c r="N61" s="159">
        <v>0.106</v>
      </c>
      <c r="O61" s="645">
        <f t="shared" si="25"/>
        <v>0.104</v>
      </c>
      <c r="P61" s="727">
        <v>85</v>
      </c>
      <c r="Q61" s="760">
        <v>89.75</v>
      </c>
      <c r="R61" s="729">
        <v>2742.55</v>
      </c>
      <c r="S61" s="802">
        <v>110</v>
      </c>
      <c r="U61" s="886">
        <v>90</v>
      </c>
      <c r="V61" s="614">
        <v>1.1023000000000001</v>
      </c>
      <c r="Y61" s="163"/>
      <c r="Z61" s="143">
        <f t="shared" si="26"/>
        <v>30</v>
      </c>
      <c r="AA61" s="144">
        <f t="shared" si="16"/>
        <v>30</v>
      </c>
      <c r="AB61" s="145">
        <f t="shared" si="17"/>
        <v>104.15127846600001</v>
      </c>
      <c r="AC61" s="145">
        <f>+(S61-T61)*V61-'data 1'!$F$4</f>
        <v>41.253</v>
      </c>
      <c r="AD61" s="145">
        <f t="shared" si="18"/>
        <v>14.166323915925002</v>
      </c>
      <c r="AE61" s="145">
        <f t="shared" si="11"/>
        <v>-36.930999999999997</v>
      </c>
      <c r="AF61" s="145">
        <f t="shared" si="19"/>
        <v>-5.2484110276749689</v>
      </c>
      <c r="AG61" s="772">
        <f t="shared" si="27"/>
        <v>30.239912888250046</v>
      </c>
      <c r="AH61" s="146">
        <f t="shared" si="20"/>
        <v>65.232567704050595</v>
      </c>
      <c r="AI61" s="156">
        <f t="shared" si="28"/>
        <v>-6.5591534775009189E-2</v>
      </c>
      <c r="AJ61" s="156">
        <f t="shared" si="21"/>
        <v>62.991523131116637</v>
      </c>
      <c r="AK61" s="676"/>
      <c r="AL61" s="716">
        <f t="shared" si="22"/>
        <v>2164.6385111259578</v>
      </c>
      <c r="AO61" s="596">
        <f t="shared" si="12"/>
        <v>72.682526689749977</v>
      </c>
      <c r="AQ61" s="596"/>
    </row>
    <row r="62" spans="1:43" ht="15.75" customHeight="1">
      <c r="A62" s="877" t="s">
        <v>1089</v>
      </c>
      <c r="B62" s="135">
        <v>45604</v>
      </c>
      <c r="C62" s="803" cm="1">
        <v>45601</v>
      </c>
      <c r="D62" t="s">
        <v>1152</v>
      </c>
      <c r="E62" s="639">
        <v>20606534923</v>
      </c>
      <c r="F62" t="s">
        <v>1157</v>
      </c>
      <c r="G62" s="80">
        <v>55</v>
      </c>
      <c r="H62" s="596" t="s">
        <v>116</v>
      </c>
      <c r="I62" s="596">
        <v>4.34</v>
      </c>
      <c r="J62" s="596">
        <v>2</v>
      </c>
      <c r="K62" s="138">
        <f t="shared" si="15"/>
        <v>4.2531999999999996</v>
      </c>
      <c r="L62" s="139">
        <v>1.6495</v>
      </c>
      <c r="M62" s="139">
        <v>1.5835199999999998</v>
      </c>
      <c r="N62" s="598">
        <v>1.641</v>
      </c>
      <c r="O62" s="645">
        <f t="shared" si="25"/>
        <v>1.6120000000000001</v>
      </c>
      <c r="P62" s="727">
        <v>90</v>
      </c>
      <c r="Q62" s="760">
        <v>89.41</v>
      </c>
      <c r="R62" s="729">
        <v>2732.55</v>
      </c>
      <c r="S62" s="765">
        <v>240</v>
      </c>
      <c r="U62" s="886">
        <v>130</v>
      </c>
      <c r="V62" s="614">
        <v>1.1023000000000001</v>
      </c>
      <c r="Y62" s="163">
        <v>30</v>
      </c>
      <c r="Z62" s="143">
        <f t="shared" si="26"/>
        <v>30</v>
      </c>
      <c r="AA62" s="144">
        <f t="shared" si="16"/>
        <v>60</v>
      </c>
      <c r="AB62" s="145">
        <f t="shared" si="17"/>
        <v>3831.3517869420011</v>
      </c>
      <c r="AC62" s="145">
        <f>+(S62-T62)*V62-'data 1'!$F$4</f>
        <v>184.55200000000002</v>
      </c>
      <c r="AD62" s="145">
        <f t="shared" si="18"/>
        <v>-27.919216137723414</v>
      </c>
      <c r="AE62" s="145">
        <f t="shared" si="11"/>
        <v>-3.8619999999999948</v>
      </c>
      <c r="AF62" s="145">
        <f t="shared" si="19"/>
        <v>96.18697171486842</v>
      </c>
      <c r="AG62" s="772">
        <f t="shared" si="27"/>
        <v>265.95775557714501</v>
      </c>
      <c r="AH62" s="146">
        <f t="shared" si="20"/>
        <v>215.06180636343615</v>
      </c>
      <c r="AI62" s="156">
        <f t="shared" si="28"/>
        <v>80.227891627164595</v>
      </c>
      <c r="AJ62" s="156">
        <f t="shared" si="21"/>
        <v>211.5594461486404</v>
      </c>
      <c r="AK62" s="676"/>
      <c r="AL62" s="716">
        <f t="shared" si="22"/>
        <v>16295.505420221718</v>
      </c>
      <c r="AO62" s="596">
        <f t="shared" si="12"/>
        <v>240.53439924330183</v>
      </c>
      <c r="AQ62" s="596"/>
    </row>
    <row r="63" spans="1:43" ht="15.75" customHeight="1">
      <c r="A63" s="877" t="s">
        <v>1090</v>
      </c>
      <c r="B63" s="135">
        <v>45604</v>
      </c>
      <c r="C63" s="803" cm="1">
        <v>45601</v>
      </c>
      <c r="D63" t="s">
        <v>1152</v>
      </c>
      <c r="E63" s="6">
        <v>20606534923</v>
      </c>
      <c r="F63" t="s">
        <v>1157</v>
      </c>
      <c r="G63" s="80">
        <v>34</v>
      </c>
      <c r="H63" s="596" t="s">
        <v>116</v>
      </c>
      <c r="I63" s="596">
        <v>2.58</v>
      </c>
      <c r="J63" s="596">
        <v>1.5</v>
      </c>
      <c r="K63" s="138">
        <f t="shared" si="15"/>
        <v>2.5413000000000001</v>
      </c>
      <c r="L63" s="139">
        <v>2.75</v>
      </c>
      <c r="M63" s="139">
        <v>2.6399999999999997</v>
      </c>
      <c r="N63" s="598">
        <v>2.782</v>
      </c>
      <c r="O63" s="645">
        <f t="shared" si="25"/>
        <v>2.7109999999999999</v>
      </c>
      <c r="P63" s="727">
        <v>90</v>
      </c>
      <c r="Q63" s="760">
        <v>89.27</v>
      </c>
      <c r="R63" s="729">
        <v>2732.55</v>
      </c>
      <c r="S63" s="765">
        <v>350</v>
      </c>
      <c r="U63" s="886">
        <v>130</v>
      </c>
      <c r="V63" s="614">
        <v>1.1023000000000001</v>
      </c>
      <c r="Y63" s="163">
        <v>30</v>
      </c>
      <c r="Z63" s="143">
        <f t="shared" si="26"/>
        <v>30</v>
      </c>
      <c r="AA63" s="144">
        <f t="shared" si="16"/>
        <v>60</v>
      </c>
      <c r="AB63" s="145">
        <f t="shared" si="17"/>
        <v>6547.6198315134998</v>
      </c>
      <c r="AC63" s="145">
        <f>+(S63-T63)*V63-'data 1'!$F$4</f>
        <v>305.80500000000001</v>
      </c>
      <c r="AD63" s="145">
        <f t="shared" si="18"/>
        <v>-57.590976614875316</v>
      </c>
      <c r="AE63" s="145">
        <f t="shared" si="11"/>
        <v>-3.8619999999999948</v>
      </c>
      <c r="AF63" s="145">
        <f t="shared" si="19"/>
        <v>99.877814602234878</v>
      </c>
      <c r="AG63" s="772">
        <f>+IF(D63="RONALD WILLIAN GARIBAY ESCUDERO",AC63+AD63+AE63+AF63+80,AC63+AD63+AE63+AF63)+70-53</f>
        <v>361.22983798735959</v>
      </c>
      <c r="AH63" s="146">
        <f t="shared" si="20"/>
        <v>213.89628137009774</v>
      </c>
      <c r="AI63" s="156">
        <f t="shared" si="28"/>
        <v>133.54424988712478</v>
      </c>
      <c r="AJ63" s="156">
        <f t="shared" si="21"/>
        <v>212.5871612839095</v>
      </c>
      <c r="AK63" s="676"/>
      <c r="AL63" s="716">
        <f t="shared" si="22"/>
        <v>16639.466277825257</v>
      </c>
      <c r="AO63" s="596">
        <f t="shared" si="12"/>
        <v>239.60600579152879</v>
      </c>
      <c r="AQ63" s="596"/>
    </row>
    <row r="64" spans="1:43" ht="15.75" customHeight="1">
      <c r="A64" s="877" t="s">
        <v>1091</v>
      </c>
      <c r="B64" s="135">
        <v>45604</v>
      </c>
      <c r="C64" s="803" cm="1">
        <v>45601</v>
      </c>
      <c r="D64" t="s">
        <v>93</v>
      </c>
      <c r="E64">
        <v>20169040237</v>
      </c>
      <c r="F64" t="s">
        <v>1241</v>
      </c>
      <c r="G64" s="80">
        <v>25</v>
      </c>
      <c r="H64" s="596" t="s">
        <v>69</v>
      </c>
      <c r="I64" s="596">
        <v>2.14</v>
      </c>
      <c r="J64" s="596">
        <v>1</v>
      </c>
      <c r="K64" s="138">
        <f t="shared" si="15"/>
        <v>2.1186000000000003</v>
      </c>
      <c r="L64" s="139">
        <v>0.4985</v>
      </c>
      <c r="M64" s="139">
        <v>0.483545</v>
      </c>
      <c r="N64" s="598">
        <v>0.55100000000000005</v>
      </c>
      <c r="O64" s="645">
        <f t="shared" si="25"/>
        <v>0.51700000000000002</v>
      </c>
      <c r="P64" s="727">
        <v>90</v>
      </c>
      <c r="Q64" s="760">
        <v>89.45</v>
      </c>
      <c r="R64" s="889">
        <v>2732.55</v>
      </c>
      <c r="S64" s="765">
        <f t="shared" ref="S64:S69" si="29">IF((90+ROUNDDOWN(O64,1)*100)&lt;95,95,(90+ROUNDDOWN(O64,1)*100))</f>
        <v>140</v>
      </c>
      <c r="U64" s="886">
        <v>130</v>
      </c>
      <c r="V64" s="614">
        <v>1.1023000000000001</v>
      </c>
      <c r="Y64" s="163">
        <v>30</v>
      </c>
      <c r="Z64" s="143">
        <f t="shared" si="26"/>
        <v>30</v>
      </c>
      <c r="AA64" s="144">
        <f t="shared" si="16"/>
        <v>60</v>
      </c>
      <c r="AB64" s="145">
        <f t="shared" si="17"/>
        <v>1114.3883894845001</v>
      </c>
      <c r="AC64" s="145">
        <f>+(S64-T64)*V64-'data 1'!$F$4</f>
        <v>74.322000000000003</v>
      </c>
      <c r="AD64" s="145">
        <f t="shared" si="18"/>
        <v>-7.8655073541137099</v>
      </c>
      <c r="AE64" s="145">
        <f t="shared" si="11"/>
        <v>-3.8619999999999948</v>
      </c>
      <c r="AF64" s="145">
        <f t="shared" si="19"/>
        <v>-47.473468431736293</v>
      </c>
      <c r="AG64" s="772">
        <f t="shared" ref="AG64:AG74" si="30">+IF(D64="RONALD WILLIAN GARIBAY ESCUDERO",AC64+AD64+AE64+AF64+80,AC64+AD64+AE64+AF64)</f>
        <v>15.121024214150012</v>
      </c>
      <c r="AH64" s="146">
        <f t="shared" si="20"/>
        <v>32.389447865866074</v>
      </c>
      <c r="AI64" s="156">
        <f t="shared" si="28"/>
        <v>24.256742167166209</v>
      </c>
      <c r="AJ64" s="156">
        <f t="shared" si="21"/>
        <v>33.798006859006279</v>
      </c>
      <c r="AK64" s="676"/>
      <c r="AL64" s="716">
        <f t="shared" si="22"/>
        <v>2360.943241961862</v>
      </c>
      <c r="AO64" s="596">
        <f t="shared" si="12"/>
        <v>36.209556026680914</v>
      </c>
      <c r="AQ64" s="596"/>
    </row>
    <row r="65" spans="1:43" ht="15.75" customHeight="1">
      <c r="A65" s="877" t="s">
        <v>1092</v>
      </c>
      <c r="B65" s="135">
        <v>45604</v>
      </c>
      <c r="C65" s="803" cm="1">
        <v>45601</v>
      </c>
      <c r="D65" t="s">
        <v>93</v>
      </c>
      <c r="E65" s="631">
        <v>20169040237</v>
      </c>
      <c r="F65" t="s">
        <v>1242</v>
      </c>
      <c r="G65" s="80">
        <v>15</v>
      </c>
      <c r="H65" s="596" t="s">
        <v>69</v>
      </c>
      <c r="I65" s="596">
        <v>1.25</v>
      </c>
      <c r="J65" s="596">
        <v>1.1000000000000001</v>
      </c>
      <c r="K65" s="138">
        <f t="shared" si="15"/>
        <v>1.2362500000000001</v>
      </c>
      <c r="L65" s="139">
        <v>0.50750000000000006</v>
      </c>
      <c r="M65" s="139">
        <v>0.49227500000000007</v>
      </c>
      <c r="N65" s="159">
        <v>0.49227500000000007</v>
      </c>
      <c r="O65" s="645">
        <f t="shared" si="25"/>
        <v>0.49199999999999999</v>
      </c>
      <c r="P65" s="727">
        <v>90</v>
      </c>
      <c r="Q65" s="760">
        <v>89.71</v>
      </c>
      <c r="R65" s="889">
        <v>2732.55</v>
      </c>
      <c r="S65" s="765">
        <f t="shared" si="29"/>
        <v>130</v>
      </c>
      <c r="U65" s="886">
        <v>130</v>
      </c>
      <c r="V65" s="614">
        <v>1.1023000000000001</v>
      </c>
      <c r="Y65" s="163">
        <v>30</v>
      </c>
      <c r="Z65" s="143">
        <f t="shared" si="26"/>
        <v>30</v>
      </c>
      <c r="AA65" s="144">
        <f t="shared" si="16"/>
        <v>60</v>
      </c>
      <c r="AB65" s="145">
        <f t="shared" si="17"/>
        <v>1060.863595022</v>
      </c>
      <c r="AC65" s="145">
        <f>+(S65-T65)*V65-'data 1'!$F$4</f>
        <v>63.299000000000007</v>
      </c>
      <c r="AD65" s="145">
        <f t="shared" si="18"/>
        <v>-4.2221429555638421</v>
      </c>
      <c r="AE65" s="145">
        <f t="shared" si="11"/>
        <v>-3.8619999999999948</v>
      </c>
      <c r="AF65" s="145">
        <f t="shared" si="19"/>
        <v>39.890680417368429</v>
      </c>
      <c r="AG65" s="772">
        <f t="shared" si="30"/>
        <v>95.105537461804602</v>
      </c>
      <c r="AH65" s="146">
        <f t="shared" si="20"/>
        <v>19.29711020722899</v>
      </c>
      <c r="AI65" s="156">
        <f t="shared" si="28"/>
        <v>24.766456159016208</v>
      </c>
      <c r="AJ65" s="156">
        <f t="shared" si="21"/>
        <v>18.768215700532576</v>
      </c>
      <c r="AK65" s="676"/>
      <c r="AL65" s="716">
        <f t="shared" si="22"/>
        <v>1311.4926193459476</v>
      </c>
      <c r="AO65" s="596">
        <f t="shared" si="12"/>
        <v>21.510545320732348</v>
      </c>
      <c r="AQ65" s="596"/>
    </row>
    <row r="66" spans="1:43" ht="15.75" customHeight="1">
      <c r="A66" s="877" t="s">
        <v>1093</v>
      </c>
      <c r="B66" s="135">
        <v>45605</v>
      </c>
      <c r="C66" s="890" cm="1">
        <v>45601</v>
      </c>
      <c r="D66" s="677" t="s">
        <v>93</v>
      </c>
      <c r="E66" s="610">
        <v>20169040237</v>
      </c>
      <c r="F66" s="891" t="s">
        <v>1243</v>
      </c>
      <c r="G66" s="713">
        <v>23</v>
      </c>
      <c r="H66" s="718" t="s">
        <v>69</v>
      </c>
      <c r="I66" s="718">
        <v>1.9</v>
      </c>
      <c r="J66" s="718">
        <v>1.1000000000000001</v>
      </c>
      <c r="K66" s="138">
        <f t="shared" si="15"/>
        <v>1.8791</v>
      </c>
      <c r="L66" s="714">
        <v>0.46150000000000002</v>
      </c>
      <c r="M66" s="714">
        <v>0.44303999999999999</v>
      </c>
      <c r="N66" s="719">
        <v>0.44303999999999999</v>
      </c>
      <c r="O66" s="873">
        <f t="shared" si="25"/>
        <v>0.443</v>
      </c>
      <c r="P66" s="884">
        <v>90</v>
      </c>
      <c r="Q66" s="892">
        <v>89.68</v>
      </c>
      <c r="R66" s="885">
        <v>2732.55</v>
      </c>
      <c r="S66" s="802">
        <f t="shared" si="29"/>
        <v>130</v>
      </c>
      <c r="T66" s="677"/>
      <c r="U66" s="886">
        <v>130</v>
      </c>
      <c r="V66" s="614">
        <v>1.1023000000000001</v>
      </c>
      <c r="W66" s="677"/>
      <c r="X66" s="677"/>
      <c r="Y66" s="751">
        <v>10</v>
      </c>
      <c r="Z66" s="143">
        <f t="shared" si="26"/>
        <v>30</v>
      </c>
      <c r="AA66" s="144">
        <f t="shared" si="16"/>
        <v>40</v>
      </c>
      <c r="AB66" s="145">
        <f t="shared" si="17"/>
        <v>956.3959178755</v>
      </c>
      <c r="AC66" s="145">
        <f>+(S66-T66)*V66-'data 1'!$F$4</f>
        <v>63.299000000000007</v>
      </c>
      <c r="AD66" s="145">
        <f t="shared" si="18"/>
        <v>-4.2366303494319109</v>
      </c>
      <c r="AE66" s="145">
        <f t="shared" si="11"/>
        <v>-25.908000000000001</v>
      </c>
      <c r="AF66" s="145">
        <f t="shared" si="19"/>
        <v>47.595535483042056</v>
      </c>
      <c r="AG66" s="772">
        <f t="shared" si="30"/>
        <v>80.749905133610156</v>
      </c>
      <c r="AH66" s="146">
        <f t="shared" si="20"/>
        <v>26.664059316192152</v>
      </c>
      <c r="AI66" s="156">
        <f t="shared" si="28"/>
        <v>22.514083339565964</v>
      </c>
      <c r="AJ66" s="156">
        <f t="shared" si="21"/>
        <v>25.686515699411821</v>
      </c>
      <c r="AK66" s="676"/>
      <c r="AL66" s="716">
        <f t="shared" si="22"/>
        <v>1797.163569279852</v>
      </c>
      <c r="AO66" s="596">
        <f t="shared" si="12"/>
        <v>29.732447944014439</v>
      </c>
      <c r="AQ66" s="596"/>
    </row>
    <row r="67" spans="1:43" ht="15.75" customHeight="1">
      <c r="A67" s="877" t="s">
        <v>1094</v>
      </c>
      <c r="B67" s="135">
        <v>45604</v>
      </c>
      <c r="C67" s="803" cm="1">
        <v>45601</v>
      </c>
      <c r="D67" t="s">
        <v>145</v>
      </c>
      <c r="E67" s="639">
        <v>10437450094</v>
      </c>
      <c r="F67" t="s">
        <v>1244</v>
      </c>
      <c r="G67" s="80">
        <v>74</v>
      </c>
      <c r="H67" s="596" t="s">
        <v>69</v>
      </c>
      <c r="I67" s="596">
        <v>6.18</v>
      </c>
      <c r="J67" s="596">
        <v>1</v>
      </c>
      <c r="K67" s="138">
        <f t="shared" si="15"/>
        <v>6.1181999999999999</v>
      </c>
      <c r="L67" s="139">
        <v>0.40700000000000003</v>
      </c>
      <c r="M67" s="139">
        <v>0.39072000000000001</v>
      </c>
      <c r="N67" s="598">
        <v>0.433</v>
      </c>
      <c r="O67" s="645">
        <f t="shared" si="25"/>
        <v>0.41199999999999998</v>
      </c>
      <c r="P67" s="727">
        <v>90</v>
      </c>
      <c r="Q67" s="760">
        <v>89.45</v>
      </c>
      <c r="R67" s="729">
        <v>2742.55</v>
      </c>
      <c r="S67" s="765">
        <f t="shared" si="29"/>
        <v>130</v>
      </c>
      <c r="U67" s="886">
        <v>130</v>
      </c>
      <c r="V67" s="614">
        <v>1.1023000000000001</v>
      </c>
      <c r="Y67" s="163">
        <v>20</v>
      </c>
      <c r="Z67" s="143">
        <f t="shared" si="26"/>
        <v>30</v>
      </c>
      <c r="AA67" s="144">
        <f t="shared" si="16"/>
        <v>50</v>
      </c>
      <c r="AB67" s="145">
        <f t="shared" si="17"/>
        <v>869.42098114200007</v>
      </c>
      <c r="AC67" s="145">
        <f>+(S67-T67)*V67-'data 1'!$F$4</f>
        <v>63.299000000000007</v>
      </c>
      <c r="AD67" s="145">
        <f t="shared" si="18"/>
        <v>-6.4464633368024682</v>
      </c>
      <c r="AE67" s="145">
        <f t="shared" si="11"/>
        <v>-14.884999999999998</v>
      </c>
      <c r="AF67" s="145">
        <f t="shared" si="19"/>
        <v>-12.879967511212371</v>
      </c>
      <c r="AG67" s="772">
        <f t="shared" si="30"/>
        <v>29.087569151985171</v>
      </c>
      <c r="AH67" s="146">
        <f t="shared" si="20"/>
        <v>76.367310003935458</v>
      </c>
      <c r="AI67" s="156">
        <f t="shared" si="28"/>
        <v>15.791351413557468</v>
      </c>
      <c r="AJ67" s="156">
        <f t="shared" si="21"/>
        <v>77.780810520912695</v>
      </c>
      <c r="AK67" s="676"/>
      <c r="AL67" s="716">
        <f t="shared" si="22"/>
        <v>5319.2914468229847</v>
      </c>
      <c r="AO67" s="596">
        <f t="shared" si="12"/>
        <v>85.374298495176575</v>
      </c>
      <c r="AQ67" s="596"/>
    </row>
    <row r="68" spans="1:43" ht="15.75" customHeight="1">
      <c r="A68" s="877" t="s">
        <v>1095</v>
      </c>
      <c r="B68" s="135">
        <v>45605</v>
      </c>
      <c r="C68" s="890" cm="1">
        <v>45601</v>
      </c>
      <c r="D68" s="677" t="s">
        <v>93</v>
      </c>
      <c r="E68" s="610">
        <v>20169040237</v>
      </c>
      <c r="F68" s="891" t="s">
        <v>1243</v>
      </c>
      <c r="G68" s="713">
        <v>58</v>
      </c>
      <c r="H68" s="718" t="s">
        <v>116</v>
      </c>
      <c r="I68" s="718">
        <v>3.55</v>
      </c>
      <c r="J68" s="718">
        <v>1.65</v>
      </c>
      <c r="K68" s="138">
        <f t="shared" si="15"/>
        <v>3.491425</v>
      </c>
      <c r="L68" s="714">
        <v>1.5385</v>
      </c>
      <c r="M68" s="714">
        <v>1.4769599999999998</v>
      </c>
      <c r="N68" s="755">
        <v>1.625</v>
      </c>
      <c r="O68" s="873">
        <f t="shared" si="25"/>
        <v>1.5509999999999999</v>
      </c>
      <c r="P68" s="884">
        <v>90</v>
      </c>
      <c r="Q68" s="892">
        <v>89.46</v>
      </c>
      <c r="R68" s="885">
        <v>2732.55</v>
      </c>
      <c r="S68" s="802">
        <f t="shared" si="29"/>
        <v>240</v>
      </c>
      <c r="T68" s="677"/>
      <c r="U68" s="886">
        <v>130</v>
      </c>
      <c r="V68" s="614">
        <v>1.1023000000000001</v>
      </c>
      <c r="W68" s="677"/>
      <c r="X68" s="677"/>
      <c r="Y68" s="751">
        <v>30</v>
      </c>
      <c r="Z68" s="143">
        <f t="shared" si="26"/>
        <v>30</v>
      </c>
      <c r="AA68" s="144">
        <f t="shared" si="16"/>
        <v>60</v>
      </c>
      <c r="AB68" s="145">
        <f t="shared" si="17"/>
        <v>3673.8551684535009</v>
      </c>
      <c r="AC68" s="145">
        <f>+(S68-T68)*V68-'data 1'!$F$4</f>
        <v>184.55200000000002</v>
      </c>
      <c r="AD68" s="145">
        <f t="shared" si="18"/>
        <v>-23.833627627333776</v>
      </c>
      <c r="AE68" s="145">
        <f t="shared" si="11"/>
        <v>-3.8619999999999948</v>
      </c>
      <c r="AF68" s="145">
        <f t="shared" si="19"/>
        <v>-32.080253847862387</v>
      </c>
      <c r="AG68" s="772">
        <f t="shared" si="30"/>
        <v>124.77611852480385</v>
      </c>
      <c r="AH68" s="146">
        <f t="shared" si="20"/>
        <v>164.75483973105915</v>
      </c>
      <c r="AI68" s="156">
        <f t="shared" si="28"/>
        <v>74.870952608560358</v>
      </c>
      <c r="AJ68" s="156">
        <f t="shared" si="21"/>
        <v>167.09601543147264</v>
      </c>
      <c r="AK68" s="676"/>
      <c r="AL68" s="716">
        <f t="shared" si="22"/>
        <v>12826.989781517765</v>
      </c>
      <c r="AO68" s="596">
        <f t="shared" si="12"/>
        <v>184.16592860614708</v>
      </c>
      <c r="AQ68" s="596"/>
    </row>
    <row r="69" spans="1:43" ht="15.75" customHeight="1">
      <c r="A69" s="877" t="s">
        <v>1096</v>
      </c>
      <c r="B69" s="135">
        <v>45603</v>
      </c>
      <c r="C69" s="803" cm="1">
        <v>45601</v>
      </c>
      <c r="D69" t="s">
        <v>145</v>
      </c>
      <c r="E69" s="639">
        <v>10437450094</v>
      </c>
      <c r="F69" s="876" t="s">
        <v>1222</v>
      </c>
      <c r="G69" s="80">
        <v>105</v>
      </c>
      <c r="H69" s="596" t="s">
        <v>69</v>
      </c>
      <c r="I69" s="596">
        <v>9.2899999999999991</v>
      </c>
      <c r="J69" s="596">
        <v>1.2</v>
      </c>
      <c r="K69" s="138">
        <f t="shared" ref="K69:K85" si="31">+I69-(I69*(J69/100))</f>
        <v>9.1785199999999989</v>
      </c>
      <c r="L69" s="139">
        <v>0.436</v>
      </c>
      <c r="M69" s="139">
        <v>0.41855999999999999</v>
      </c>
      <c r="N69" s="159">
        <v>0.41855999999999999</v>
      </c>
      <c r="O69" s="645">
        <f t="shared" si="25"/>
        <v>0.41899999999999998</v>
      </c>
      <c r="P69" s="727">
        <v>90</v>
      </c>
      <c r="Q69" s="760">
        <v>89.16</v>
      </c>
      <c r="R69" s="729">
        <v>2742.55</v>
      </c>
      <c r="S69" s="765">
        <f t="shared" si="29"/>
        <v>130</v>
      </c>
      <c r="U69" s="886">
        <v>130</v>
      </c>
      <c r="V69" s="614">
        <v>1.1023000000000001</v>
      </c>
      <c r="Y69" s="163">
        <v>30</v>
      </c>
      <c r="Z69" s="143">
        <f t="shared" si="26"/>
        <v>30</v>
      </c>
      <c r="AA69" s="144">
        <f t="shared" ref="AA69:AA85" si="32">+Y69+Z69</f>
        <v>60</v>
      </c>
      <c r="AB69" s="145">
        <f t="shared" ref="AB69:AB77" si="33">+((O69*P69*(R69-U69)/100)-S69-AA69+T69)*V69</f>
        <v>876.54080849150012</v>
      </c>
      <c r="AC69" s="145">
        <f>+(S69-T69)*V69-'data 1'!$F$4</f>
        <v>63.299000000000007</v>
      </c>
      <c r="AD69" s="145">
        <f t="shared" ref="AD69:AD85" si="34">+(Q69-P69)*(R69-U69)*L69*V69/100</f>
        <v>-10.547030299176045</v>
      </c>
      <c r="AE69" s="145">
        <f t="shared" si="11"/>
        <v>-3.8619999999999948</v>
      </c>
      <c r="AF69" s="145">
        <f t="shared" ref="AF69:AF85" si="35">(L69-O69)*(R69-U69)*Q69*V69/100</f>
        <v>43.649914714578046</v>
      </c>
      <c r="AG69" s="772">
        <f t="shared" si="30"/>
        <v>92.539884415402014</v>
      </c>
      <c r="AH69" s="146">
        <f t="shared" ref="AH69:AH85" si="36">31.1035*L69*Q69*1.1023*K69/100</f>
        <v>122.33149322563462</v>
      </c>
      <c r="AI69" s="156">
        <f t="shared" si="28"/>
        <v>16.861689712487966</v>
      </c>
      <c r="AJ69" s="156">
        <f t="shared" ref="AJ69:AJ85" si="37">31.1035*1.1023*K69*P69*O69/100</f>
        <v>118.66926712359907</v>
      </c>
      <c r="AK69" s="676"/>
      <c r="AL69" s="716">
        <f t="shared" ref="AL69:AL85" si="38">+IF(AB69*K69&gt;0,AB69*K69,0)</f>
        <v>8045.3473415554026</v>
      </c>
      <c r="AO69" s="596">
        <f t="shared" si="12"/>
        <v>137.20445628716311</v>
      </c>
      <c r="AQ69" s="596"/>
    </row>
    <row r="70" spans="1:43" ht="15.75" customHeight="1">
      <c r="A70" s="877" t="s">
        <v>1098</v>
      </c>
      <c r="B70" s="135">
        <v>45605</v>
      </c>
      <c r="C70" s="890" cm="1">
        <v>45601</v>
      </c>
      <c r="D70" s="677" t="s">
        <v>93</v>
      </c>
      <c r="E70" s="677">
        <v>20169040237</v>
      </c>
      <c r="F70" s="891" t="s">
        <v>1243</v>
      </c>
      <c r="G70" s="713">
        <v>6</v>
      </c>
      <c r="H70" s="718" t="s">
        <v>108</v>
      </c>
      <c r="I70" s="718">
        <v>0.45</v>
      </c>
      <c r="J70" s="718">
        <v>17</v>
      </c>
      <c r="K70" s="138">
        <f t="shared" si="31"/>
        <v>0.3735</v>
      </c>
      <c r="L70" s="714">
        <v>1.1535</v>
      </c>
      <c r="M70" s="714">
        <v>1.1073599999999999</v>
      </c>
      <c r="N70" s="719">
        <v>1.1073599999999999</v>
      </c>
      <c r="O70" s="873">
        <f t="shared" si="25"/>
        <v>1.107</v>
      </c>
      <c r="P70" s="884">
        <v>90</v>
      </c>
      <c r="Q70" s="892">
        <v>89.19</v>
      </c>
      <c r="R70" s="885">
        <v>2732.55</v>
      </c>
      <c r="S70" s="893">
        <v>190</v>
      </c>
      <c r="T70" s="677"/>
      <c r="U70" s="886">
        <v>130</v>
      </c>
      <c r="V70" s="614">
        <v>1.1023000000000001</v>
      </c>
      <c r="W70" s="677"/>
      <c r="X70" s="677"/>
      <c r="Y70" s="751">
        <v>10</v>
      </c>
      <c r="Z70" s="143">
        <f t="shared" si="26"/>
        <v>30</v>
      </c>
      <c r="AA70" s="144">
        <f t="shared" si="32"/>
        <v>40</v>
      </c>
      <c r="AB70" s="145">
        <f t="shared" si="33"/>
        <v>2604.6473387995002</v>
      </c>
      <c r="AC70" s="145">
        <f>+(S70-T70)*V70-'data 1'!$F$4</f>
        <v>129.43700000000001</v>
      </c>
      <c r="AD70" s="145">
        <f t="shared" si="34"/>
        <v>-26.804117128497829</v>
      </c>
      <c r="AE70" s="145">
        <f t="shared" ref="AE70:AE85" si="39">+(Y70*V70-70)+V70*(Z70-IF(D70="UNTUCA",IF(+((W70-3)*2.5+(X70-3)*3.1)&gt;0,+((W70-3)*1.5+(X70-3)*3.1),0),IF(+((W70-3)*1.5+(X70-3)*3.1)&gt;0,+((W70-3)*1.5+(X70-3)*3.1),0)))</f>
        <v>-25.908000000000001</v>
      </c>
      <c r="AF70" s="145">
        <f t="shared" si="35"/>
        <v>118.97836762094772</v>
      </c>
      <c r="AG70" s="772">
        <f t="shared" si="30"/>
        <v>195.70325049244991</v>
      </c>
      <c r="AH70" s="146">
        <f t="shared" si="36"/>
        <v>13.174478656040945</v>
      </c>
      <c r="AI70" s="156">
        <f t="shared" si="28"/>
        <v>55.965543694058141</v>
      </c>
      <c r="AJ70" s="156">
        <f t="shared" si="37"/>
        <v>12.758211744659302</v>
      </c>
      <c r="AK70" s="676"/>
      <c r="AL70" s="716">
        <f t="shared" si="38"/>
        <v>972.83578104161336</v>
      </c>
      <c r="AO70" s="596">
        <f t="shared" ref="AO70:AO85" si="40">+AH70/Q70*100</f>
        <v>14.771250875704615</v>
      </c>
      <c r="AQ70" s="596"/>
    </row>
    <row r="71" spans="1:43" ht="15.75" customHeight="1">
      <c r="A71" s="877" t="s">
        <v>1099</v>
      </c>
      <c r="B71" s="135">
        <v>45605</v>
      </c>
      <c r="C71" s="890" cm="1">
        <v>45601</v>
      </c>
      <c r="D71" s="677" t="s">
        <v>93</v>
      </c>
      <c r="E71" s="610">
        <v>20169040237</v>
      </c>
      <c r="F71" s="891" t="s">
        <v>1243</v>
      </c>
      <c r="G71" s="713">
        <v>33</v>
      </c>
      <c r="H71" s="718" t="s">
        <v>108</v>
      </c>
      <c r="I71" s="718">
        <v>2.91</v>
      </c>
      <c r="J71" s="718">
        <v>18</v>
      </c>
      <c r="K71" s="138">
        <f t="shared" si="31"/>
        <v>2.3862000000000001</v>
      </c>
      <c r="L71" s="714">
        <v>3.0089999999999999</v>
      </c>
      <c r="M71" s="714">
        <v>2.8879999999999999</v>
      </c>
      <c r="N71" s="755">
        <v>3.093</v>
      </c>
      <c r="O71" s="873">
        <f t="shared" si="25"/>
        <v>2.9910000000000001</v>
      </c>
      <c r="P71" s="884">
        <v>90</v>
      </c>
      <c r="Q71" s="892">
        <v>89.6</v>
      </c>
      <c r="R71" s="885">
        <v>2732.55</v>
      </c>
      <c r="S71" s="893">
        <v>360</v>
      </c>
      <c r="T71" s="677"/>
      <c r="U71" s="886">
        <v>130</v>
      </c>
      <c r="V71" s="614">
        <v>1.1023000000000001</v>
      </c>
      <c r="W71" s="677"/>
      <c r="X71" s="677"/>
      <c r="Y71" s="751">
        <v>20</v>
      </c>
      <c r="Z71" s="143">
        <f t="shared" si="26"/>
        <v>30</v>
      </c>
      <c r="AA71" s="144">
        <f t="shared" si="32"/>
        <v>50</v>
      </c>
      <c r="AB71" s="145">
        <f t="shared" si="33"/>
        <v>7270.5551294935012</v>
      </c>
      <c r="AC71" s="145">
        <f>+(S71-T71)*V71-'data 1'!$F$4</f>
        <v>316.82800000000003</v>
      </c>
      <c r="AD71" s="145">
        <f t="shared" si="34"/>
        <v>-34.528766851140489</v>
      </c>
      <c r="AE71" s="145">
        <f t="shared" si="39"/>
        <v>-14.884999999999998</v>
      </c>
      <c r="AF71" s="145">
        <f t="shared" si="35"/>
        <v>46.267859070719467</v>
      </c>
      <c r="AG71" s="772">
        <f t="shared" si="30"/>
        <v>313.68209221957903</v>
      </c>
      <c r="AH71" s="146">
        <f t="shared" si="36"/>
        <v>220.5698297881471</v>
      </c>
      <c r="AI71" s="156">
        <f t="shared" si="28"/>
        <v>146.66185098431973</v>
      </c>
      <c r="AJ71" s="156">
        <f t="shared" si="37"/>
        <v>220.22916548224126</v>
      </c>
      <c r="AK71" s="676"/>
      <c r="AL71" s="716">
        <f t="shared" si="38"/>
        <v>17348.998649997393</v>
      </c>
      <c r="AO71" s="596">
        <f t="shared" si="40"/>
        <v>246.17168503141417</v>
      </c>
      <c r="AQ71" s="596"/>
    </row>
    <row r="72" spans="1:43" ht="15.75" customHeight="1">
      <c r="A72" s="877" t="s">
        <v>1100</v>
      </c>
      <c r="B72" s="135">
        <v>45604</v>
      </c>
      <c r="C72" s="803" cm="1">
        <v>45601</v>
      </c>
      <c r="D72" t="s">
        <v>1152</v>
      </c>
      <c r="E72" s="639">
        <v>20606534923</v>
      </c>
      <c r="F72" t="s">
        <v>1245</v>
      </c>
      <c r="G72" s="80">
        <v>3</v>
      </c>
      <c r="H72" s="596" t="s">
        <v>116</v>
      </c>
      <c r="I72" s="596">
        <v>0.18</v>
      </c>
      <c r="J72" s="596">
        <v>4.3499999999999996</v>
      </c>
      <c r="K72" s="138">
        <f t="shared" si="31"/>
        <v>0.17216999999999999</v>
      </c>
      <c r="L72" s="139">
        <v>1.9895</v>
      </c>
      <c r="M72" s="139">
        <v>1.9099200000000001</v>
      </c>
      <c r="N72" s="159">
        <v>1.9099200000000001</v>
      </c>
      <c r="O72" s="645">
        <f t="shared" si="25"/>
        <v>1.91</v>
      </c>
      <c r="P72" s="727">
        <v>90</v>
      </c>
      <c r="Q72" s="760">
        <v>89.42</v>
      </c>
      <c r="R72" s="729">
        <v>2742.55</v>
      </c>
      <c r="S72" s="765">
        <f t="shared" ref="S72:S79" si="41">IF((90+ROUNDDOWN(O72,1)*100)&lt;95,95,(90+ROUNDDOWN(O72,1)*100))</f>
        <v>280</v>
      </c>
      <c r="U72" s="886">
        <v>130</v>
      </c>
      <c r="V72" s="614">
        <v>1.1023000000000001</v>
      </c>
      <c r="Y72" s="163">
        <v>30</v>
      </c>
      <c r="Z72" s="143">
        <f t="shared" si="26"/>
        <v>30</v>
      </c>
      <c r="AA72" s="144">
        <f t="shared" si="32"/>
        <v>60</v>
      </c>
      <c r="AB72" s="145">
        <f t="shared" si="33"/>
        <v>4575.6180339350003</v>
      </c>
      <c r="AC72" s="145">
        <f>+(S72-T72)*V72-'data 1'!$F$4</f>
        <v>228.64400000000001</v>
      </c>
      <c r="AD72" s="145">
        <f t="shared" si="34"/>
        <v>-33.230460169621409</v>
      </c>
      <c r="AE72" s="145">
        <f t="shared" si="39"/>
        <v>-3.8619999999999948</v>
      </c>
      <c r="AF72" s="145">
        <f t="shared" si="35"/>
        <v>204.72279986759884</v>
      </c>
      <c r="AG72" s="772">
        <f t="shared" si="30"/>
        <v>396.27433969797744</v>
      </c>
      <c r="AH72" s="146">
        <f t="shared" si="36"/>
        <v>10.501350590327702</v>
      </c>
      <c r="AI72" s="156">
        <f t="shared" si="28"/>
        <v>77.16549618800434</v>
      </c>
      <c r="AJ72" s="156">
        <f t="shared" si="37"/>
        <v>10.147111332917252</v>
      </c>
      <c r="AK72" s="676"/>
      <c r="AL72" s="716">
        <f t="shared" si="38"/>
        <v>787.78415690258896</v>
      </c>
      <c r="AO72" s="596">
        <f t="shared" si="40"/>
        <v>11.74384991090103</v>
      </c>
      <c r="AQ72" s="596"/>
    </row>
    <row r="73" spans="1:43" ht="15.75" customHeight="1">
      <c r="A73" s="877" t="s">
        <v>1101</v>
      </c>
      <c r="B73" s="135">
        <v>45604</v>
      </c>
      <c r="C73" s="803" cm="1">
        <v>45601</v>
      </c>
      <c r="D73" t="s">
        <v>1152</v>
      </c>
      <c r="E73" s="6">
        <v>20606534923</v>
      </c>
      <c r="F73" t="s">
        <v>1245</v>
      </c>
      <c r="G73" s="80">
        <v>14</v>
      </c>
      <c r="H73" s="596" t="s">
        <v>108</v>
      </c>
      <c r="I73" s="596">
        <v>1.1299999999999999</v>
      </c>
      <c r="J73" s="596">
        <v>19.399999999999999</v>
      </c>
      <c r="K73" s="138">
        <f t="shared" si="31"/>
        <v>0.91077999999999992</v>
      </c>
      <c r="L73" s="139">
        <v>1.1494999999999997</v>
      </c>
      <c r="M73" s="139">
        <v>1.1035199999999996</v>
      </c>
      <c r="N73" s="159">
        <v>1.163</v>
      </c>
      <c r="O73" s="645">
        <f t="shared" si="25"/>
        <v>1.133</v>
      </c>
      <c r="P73" s="727">
        <v>90</v>
      </c>
      <c r="Q73" s="760">
        <v>89.56</v>
      </c>
      <c r="R73" s="729">
        <v>2742.55</v>
      </c>
      <c r="S73" s="765">
        <f t="shared" si="41"/>
        <v>200</v>
      </c>
      <c r="U73" s="886">
        <v>130</v>
      </c>
      <c r="V73" s="614">
        <v>1.1023000000000001</v>
      </c>
      <c r="Y73" s="163">
        <v>30</v>
      </c>
      <c r="Z73" s="143">
        <f t="shared" si="26"/>
        <v>30</v>
      </c>
      <c r="AA73" s="144">
        <f t="shared" si="32"/>
        <v>60</v>
      </c>
      <c r="AB73" s="145">
        <f t="shared" si="33"/>
        <v>2649.9481981405006</v>
      </c>
      <c r="AC73" s="145">
        <f>+(S73-T73)*V73-'data 1'!$F$4</f>
        <v>140.46</v>
      </c>
      <c r="AD73" s="145">
        <f t="shared" si="34"/>
        <v>-14.565522566396924</v>
      </c>
      <c r="AE73" s="145">
        <f t="shared" si="39"/>
        <v>-3.8619999999999948</v>
      </c>
      <c r="AF73" s="145">
        <f t="shared" si="35"/>
        <v>42.556161408650333</v>
      </c>
      <c r="AG73" s="772">
        <f t="shared" si="30"/>
        <v>164.58863884225343</v>
      </c>
      <c r="AH73" s="146">
        <f t="shared" si="36"/>
        <v>32.147382310883593</v>
      </c>
      <c r="AI73" s="156">
        <f t="shared" si="28"/>
        <v>44.654744068560895</v>
      </c>
      <c r="AJ73" s="156">
        <f t="shared" si="37"/>
        <v>31.841606709024123</v>
      </c>
      <c r="AK73" s="676"/>
      <c r="AL73" s="716">
        <f t="shared" si="38"/>
        <v>2413.5198199024048</v>
      </c>
      <c r="AO73" s="596">
        <f t="shared" si="40"/>
        <v>35.894799364541754</v>
      </c>
      <c r="AQ73" s="596"/>
    </row>
    <row r="74" spans="1:43" ht="15.75" customHeight="1">
      <c r="A74" s="877" t="s">
        <v>1102</v>
      </c>
      <c r="B74" s="135">
        <v>45604</v>
      </c>
      <c r="C74" s="803" cm="1">
        <v>45601</v>
      </c>
      <c r="D74" t="s">
        <v>1152</v>
      </c>
      <c r="E74" s="6">
        <v>20606534923</v>
      </c>
      <c r="F74" t="s">
        <v>1246</v>
      </c>
      <c r="G74" s="80">
        <v>16</v>
      </c>
      <c r="H74" s="596" t="s">
        <v>108</v>
      </c>
      <c r="I74" s="596">
        <v>1.22</v>
      </c>
      <c r="J74" s="596">
        <v>4.2</v>
      </c>
      <c r="K74" s="138">
        <f t="shared" si="31"/>
        <v>1.16876</v>
      </c>
      <c r="L74" s="139">
        <v>2.597</v>
      </c>
      <c r="M74" s="139">
        <v>2.4929999999999999</v>
      </c>
      <c r="N74" s="598">
        <v>2.5680000000000001</v>
      </c>
      <c r="O74" s="645">
        <f t="shared" si="25"/>
        <v>2.5310000000000001</v>
      </c>
      <c r="P74" s="727">
        <v>90</v>
      </c>
      <c r="Q74" s="760">
        <v>89.47</v>
      </c>
      <c r="R74" s="729">
        <v>2732.55</v>
      </c>
      <c r="S74" s="765">
        <f t="shared" si="41"/>
        <v>340</v>
      </c>
      <c r="U74" s="886">
        <v>130</v>
      </c>
      <c r="V74" s="614">
        <v>1.1023000000000001</v>
      </c>
      <c r="Y74" s="163">
        <v>30</v>
      </c>
      <c r="Z74" s="143">
        <f t="shared" si="26"/>
        <v>30</v>
      </c>
      <c r="AA74" s="144">
        <f t="shared" si="32"/>
        <v>60</v>
      </c>
      <c r="AB74" s="145">
        <f t="shared" si="33"/>
        <v>6093.8987113835028</v>
      </c>
      <c r="AC74" s="145">
        <f>+(S74-T74)*V74-'data 1'!$F$4</f>
        <v>294.78200000000004</v>
      </c>
      <c r="AD74" s="145">
        <f t="shared" si="34"/>
        <v>-39.486324344946588</v>
      </c>
      <c r="AE74" s="145">
        <f t="shared" si="39"/>
        <v>-3.8619999999999948</v>
      </c>
      <c r="AF74" s="145">
        <f t="shared" si="35"/>
        <v>169.40267433642259</v>
      </c>
      <c r="AG74" s="772">
        <f t="shared" si="30"/>
        <v>420.83634999147603</v>
      </c>
      <c r="AH74" s="146">
        <f t="shared" si="36"/>
        <v>93.107313546964306</v>
      </c>
      <c r="AI74" s="156">
        <f t="shared" si="28"/>
        <v>126.39687927382927</v>
      </c>
      <c r="AJ74" s="156">
        <f t="shared" si="37"/>
        <v>91.278619593796691</v>
      </c>
      <c r="AK74" s="676"/>
      <c r="AL74" s="716">
        <f t="shared" si="38"/>
        <v>7122.3050579165829</v>
      </c>
      <c r="AO74" s="596">
        <f t="shared" si="40"/>
        <v>104.06540018661485</v>
      </c>
      <c r="AQ74" s="596"/>
    </row>
    <row r="75" spans="1:43" ht="15.75" customHeight="1">
      <c r="A75" s="877" t="s">
        <v>1103</v>
      </c>
      <c r="B75" s="135">
        <v>45605</v>
      </c>
      <c r="C75" s="803" cm="1">
        <v>45601</v>
      </c>
      <c r="D75" s="876" t="s">
        <v>1060</v>
      </c>
      <c r="E75" s="6">
        <v>20606094010</v>
      </c>
      <c r="F75" t="s">
        <v>1030</v>
      </c>
      <c r="G75" s="80">
        <v>75</v>
      </c>
      <c r="H75" s="596" t="s">
        <v>69</v>
      </c>
      <c r="I75" s="596">
        <v>7.79</v>
      </c>
      <c r="J75" s="596">
        <v>1.3</v>
      </c>
      <c r="K75" s="138">
        <f t="shared" si="31"/>
        <v>7.6887299999999996</v>
      </c>
      <c r="L75" s="139">
        <v>0.46499999999999997</v>
      </c>
      <c r="M75" s="139">
        <v>0.44639999999999996</v>
      </c>
      <c r="N75" s="598">
        <v>0.56999999999999995</v>
      </c>
      <c r="O75" s="645">
        <f t="shared" si="25"/>
        <v>0.50800000000000001</v>
      </c>
      <c r="P75" s="727">
        <v>90</v>
      </c>
      <c r="Q75" s="760">
        <v>89.71</v>
      </c>
      <c r="R75" s="729">
        <v>2742.55</v>
      </c>
      <c r="S75" s="765">
        <f t="shared" si="41"/>
        <v>140</v>
      </c>
      <c r="U75" s="886">
        <v>130</v>
      </c>
      <c r="V75" s="614">
        <v>1.1023000000000001</v>
      </c>
      <c r="Y75" s="163">
        <v>30</v>
      </c>
      <c r="Z75" s="143">
        <f t="shared" si="26"/>
        <v>30</v>
      </c>
      <c r="AA75" s="144">
        <f t="shared" si="32"/>
        <v>60</v>
      </c>
      <c r="AB75" s="145">
        <f t="shared" si="33"/>
        <v>1096.190899078</v>
      </c>
      <c r="AC75" s="145">
        <f>+(S75-T75)*V75-'data 1'!$F$4</f>
        <v>74.322000000000003</v>
      </c>
      <c r="AD75" s="145">
        <f t="shared" si="34"/>
        <v>-3.8834289969525839</v>
      </c>
      <c r="AE75" s="145">
        <f t="shared" si="39"/>
        <v>-3.8619999999999948</v>
      </c>
      <c r="AF75" s="145">
        <f t="shared" si="35"/>
        <v>-111.08968378653461</v>
      </c>
      <c r="AG75" s="772">
        <f>+IF(D75="RONALD WILLIAN GARIBAY ESCUDERO",AC75+AD75+AE75+AF75+80,AC75+AD75+AE75+AF75)+90-53</f>
        <v>-7.5131127834871876</v>
      </c>
      <c r="AH75" s="146">
        <f t="shared" si="36"/>
        <v>109.96576230330584</v>
      </c>
      <c r="AI75" s="156">
        <f t="shared" si="28"/>
        <v>18.094156974007458</v>
      </c>
      <c r="AJ75" s="156">
        <f t="shared" si="37"/>
        <v>120.5229911077185</v>
      </c>
      <c r="AK75" s="676"/>
      <c r="AL75" s="716">
        <f t="shared" si="38"/>
        <v>8428.3158514679908</v>
      </c>
      <c r="AO75" s="596">
        <f t="shared" si="40"/>
        <v>122.57915762267957</v>
      </c>
      <c r="AQ75" s="596"/>
    </row>
    <row r="76" spans="1:43" ht="15.75" customHeight="1">
      <c r="A76" s="877" t="s">
        <v>1104</v>
      </c>
      <c r="B76" s="135">
        <v>45604</v>
      </c>
      <c r="C76" s="803" cm="1">
        <v>45601</v>
      </c>
      <c r="D76" t="s">
        <v>1152</v>
      </c>
      <c r="E76" s="639">
        <v>20606534923</v>
      </c>
      <c r="F76" t="s">
        <v>1246</v>
      </c>
      <c r="G76" s="80">
        <v>13</v>
      </c>
      <c r="H76" s="596" t="s">
        <v>108</v>
      </c>
      <c r="I76" s="596">
        <v>0.94</v>
      </c>
      <c r="J76" s="596">
        <v>5.5</v>
      </c>
      <c r="K76" s="138">
        <f t="shared" si="31"/>
        <v>0.88829999999999998</v>
      </c>
      <c r="L76" s="139">
        <v>2.3210000000000002</v>
      </c>
      <c r="M76" s="139">
        <v>2.2280000000000002</v>
      </c>
      <c r="N76" s="598">
        <v>2.3679999999999999</v>
      </c>
      <c r="O76" s="645">
        <v>2.2999999999999998</v>
      </c>
      <c r="P76" s="727">
        <v>90</v>
      </c>
      <c r="Q76" s="760">
        <v>89.38</v>
      </c>
      <c r="R76" s="729">
        <v>2732.55</v>
      </c>
      <c r="S76" s="765">
        <f t="shared" si="41"/>
        <v>320</v>
      </c>
      <c r="U76" s="886">
        <v>130</v>
      </c>
      <c r="V76" s="614">
        <v>1.1023000000000001</v>
      </c>
      <c r="Y76" s="163">
        <v>30</v>
      </c>
      <c r="Z76" s="143">
        <f t="shared" si="26"/>
        <v>30</v>
      </c>
      <c r="AA76" s="144">
        <f t="shared" si="32"/>
        <v>60</v>
      </c>
      <c r="AB76" s="145">
        <f t="shared" si="33"/>
        <v>5519.5230905499993</v>
      </c>
      <c r="AC76" s="145">
        <f>+(S76-T76)*V76-'data 1'!$F$4</f>
        <v>272.73599999999999</v>
      </c>
      <c r="AD76" s="145">
        <f t="shared" si="34"/>
        <v>-41.282474305523309</v>
      </c>
      <c r="AE76" s="145">
        <f t="shared" si="39"/>
        <v>-3.8619999999999948</v>
      </c>
      <c r="AF76" s="145">
        <f t="shared" si="35"/>
        <v>53.846630777877905</v>
      </c>
      <c r="AG76" s="772">
        <f>+IF(D76="RONALD WILLIAN GARIBAY ESCUDERO",AC76+AD76+AE76+AF76+80,AC76+AD76+AE76+AF76)</f>
        <v>281.43815647235459</v>
      </c>
      <c r="AH76" s="146">
        <f t="shared" si="36"/>
        <v>63.180669285848722</v>
      </c>
      <c r="AI76" s="156">
        <f t="shared" si="28"/>
        <v>112.85023172784881</v>
      </c>
      <c r="AJ76" s="156">
        <f t="shared" si="37"/>
        <v>63.04332012396705</v>
      </c>
      <c r="AK76" s="676"/>
      <c r="AL76" s="716">
        <f t="shared" si="38"/>
        <v>4902.9923613355641</v>
      </c>
      <c r="AO76" s="596">
        <f t="shared" si="40"/>
        <v>70.687703385375613</v>
      </c>
      <c r="AQ76" s="596"/>
    </row>
    <row r="77" spans="1:43" ht="15.75" customHeight="1">
      <c r="A77" s="877" t="s">
        <v>1105</v>
      </c>
      <c r="B77" s="135">
        <v>45604</v>
      </c>
      <c r="C77" s="803" cm="1">
        <v>45601</v>
      </c>
      <c r="D77" t="s">
        <v>1152</v>
      </c>
      <c r="E77" s="6">
        <v>20606534923</v>
      </c>
      <c r="F77" t="s">
        <v>1246</v>
      </c>
      <c r="G77" s="80">
        <v>14</v>
      </c>
      <c r="H77" s="596" t="s">
        <v>108</v>
      </c>
      <c r="I77" s="596">
        <v>1.1599999999999999</v>
      </c>
      <c r="J77" s="596">
        <v>4.2</v>
      </c>
      <c r="K77" s="138">
        <f t="shared" si="31"/>
        <v>1.1112799999999998</v>
      </c>
      <c r="L77" s="139">
        <v>1.397</v>
      </c>
      <c r="M77" s="139">
        <v>1.3411199999999999</v>
      </c>
      <c r="N77" s="159">
        <v>1.3411199999999999</v>
      </c>
      <c r="O77" s="645">
        <f>+ROUND((M77+N77)/2,3)</f>
        <v>1.341</v>
      </c>
      <c r="P77" s="727">
        <v>90</v>
      </c>
      <c r="Q77" s="760">
        <v>89.67</v>
      </c>
      <c r="R77" s="729">
        <v>2732.55</v>
      </c>
      <c r="S77" s="765">
        <f t="shared" si="41"/>
        <v>220</v>
      </c>
      <c r="U77" s="886">
        <v>130</v>
      </c>
      <c r="V77" s="614">
        <v>1.1023000000000001</v>
      </c>
      <c r="Y77" s="163">
        <v>30</v>
      </c>
      <c r="Z77" s="709">
        <v>15</v>
      </c>
      <c r="AA77" s="144">
        <f t="shared" si="32"/>
        <v>45</v>
      </c>
      <c r="AB77" s="145">
        <f t="shared" si="33"/>
        <v>3170.2341949685006</v>
      </c>
      <c r="AC77" s="145">
        <f>+(S77-T77)*V77-'data 1'!$F$4</f>
        <v>162.506</v>
      </c>
      <c r="AD77" s="145">
        <f t="shared" si="34"/>
        <v>-13.225412766736435</v>
      </c>
      <c r="AE77" s="145">
        <f t="shared" si="39"/>
        <v>-20.396499999999996</v>
      </c>
      <c r="AF77" s="145">
        <f t="shared" si="35"/>
        <v>144.05690704414815</v>
      </c>
      <c r="AG77" s="772">
        <f>+IF(D77="RONALD WILLIAN GARIBAY ESCUDERO",AC77+AD77+AE77+AF77+80,AC77+AD77+AE77+AF77)+90-20</f>
        <v>342.94099427741173</v>
      </c>
      <c r="AH77" s="146">
        <f t="shared" si="36"/>
        <v>47.728319521815031</v>
      </c>
      <c r="AI77" s="156">
        <f t="shared" si="28"/>
        <v>68.144457788599382</v>
      </c>
      <c r="AJ77" s="156">
        <f t="shared" si="37"/>
        <v>45.983693834267008</v>
      </c>
      <c r="AK77" s="88"/>
      <c r="AL77" s="716">
        <f t="shared" si="38"/>
        <v>3523.0178561845946</v>
      </c>
      <c r="AO77" s="596">
        <f t="shared" si="40"/>
        <v>53.226630446988999</v>
      </c>
    </row>
    <row r="78" spans="1:43" ht="15.75" customHeight="1">
      <c r="A78" s="877" t="s">
        <v>1106</v>
      </c>
      <c r="B78" s="135">
        <v>45604</v>
      </c>
      <c r="C78" s="803" cm="1">
        <v>45601</v>
      </c>
      <c r="D78" t="s">
        <v>1152</v>
      </c>
      <c r="E78" s="6">
        <v>20606534923</v>
      </c>
      <c r="F78" t="s">
        <v>1246</v>
      </c>
      <c r="G78" s="80">
        <v>25</v>
      </c>
      <c r="H78" s="596" t="s">
        <v>108</v>
      </c>
      <c r="I78" s="596">
        <v>2.15</v>
      </c>
      <c r="J78" s="596">
        <v>4.5999999999999996</v>
      </c>
      <c r="K78" s="138">
        <f t="shared" si="31"/>
        <v>2.0510999999999999</v>
      </c>
      <c r="L78" s="139">
        <v>0.86850000000000005</v>
      </c>
      <c r="M78" s="139">
        <v>0.83376000000000006</v>
      </c>
      <c r="N78" s="598">
        <v>0.85899999999999999</v>
      </c>
      <c r="O78" s="645">
        <v>0.85</v>
      </c>
      <c r="P78" s="727">
        <v>90</v>
      </c>
      <c r="Q78" s="760">
        <v>89.45</v>
      </c>
      <c r="R78" s="729">
        <v>2732.55</v>
      </c>
      <c r="S78" s="765">
        <f t="shared" si="41"/>
        <v>170</v>
      </c>
      <c r="U78" s="886">
        <v>130</v>
      </c>
      <c r="V78" s="614">
        <v>1.1023000000000001</v>
      </c>
      <c r="Y78" s="163">
        <v>30</v>
      </c>
      <c r="Z78" s="709">
        <v>15</v>
      </c>
      <c r="AA78" s="144">
        <f t="shared" si="32"/>
        <v>45</v>
      </c>
      <c r="AB78" s="664">
        <v>0</v>
      </c>
      <c r="AC78" s="145">
        <f>+(S78-T78)*V78-'data 1'!$F$4</f>
        <v>107.39100000000002</v>
      </c>
      <c r="AD78" s="145">
        <f t="shared" si="34"/>
        <v>-13.703496764388682</v>
      </c>
      <c r="AE78" s="145">
        <f t="shared" si="39"/>
        <v>-20.396499999999996</v>
      </c>
      <c r="AF78" s="145">
        <f t="shared" si="35"/>
        <v>47.473468431736435</v>
      </c>
      <c r="AG78" s="664">
        <v>0</v>
      </c>
      <c r="AH78" s="146">
        <f t="shared" si="36"/>
        <v>54.631870666851171</v>
      </c>
      <c r="AI78" s="156">
        <f t="shared" si="28"/>
        <v>42.260743374491177</v>
      </c>
      <c r="AJ78" s="156">
        <f t="shared" si="37"/>
        <v>53.796910963456575</v>
      </c>
      <c r="AK78" s="88"/>
      <c r="AL78" s="716">
        <f t="shared" si="38"/>
        <v>0</v>
      </c>
      <c r="AO78" s="596">
        <f t="shared" si="40"/>
        <v>61.075316564394825</v>
      </c>
    </row>
    <row r="79" spans="1:43" ht="15.75" customHeight="1">
      <c r="A79" s="877" t="s">
        <v>1138</v>
      </c>
      <c r="B79" s="823">
        <v>45609</v>
      </c>
      <c r="C79" s="822">
        <v>45608</v>
      </c>
      <c r="D79" s="894" t="s">
        <v>66</v>
      </c>
      <c r="E79" s="895">
        <v>10457401928</v>
      </c>
      <c r="F79" s="876" t="s">
        <v>1240</v>
      </c>
      <c r="G79" s="80">
        <v>42</v>
      </c>
      <c r="H79" s="596" t="s">
        <v>108</v>
      </c>
      <c r="I79" s="596">
        <v>2.7</v>
      </c>
      <c r="J79" s="596">
        <v>12.6</v>
      </c>
      <c r="K79" s="138">
        <f t="shared" si="31"/>
        <v>2.3598000000000003</v>
      </c>
      <c r="L79" s="139">
        <v>0.14350000000000002</v>
      </c>
      <c r="M79" s="139">
        <v>0.13776000000000002</v>
      </c>
      <c r="N79" s="159">
        <v>0.13776000000000002</v>
      </c>
      <c r="O79" s="645">
        <f t="shared" ref="O79:O85" si="42">+ROUND((M79+N79)/2,3)</f>
        <v>0.13800000000000001</v>
      </c>
      <c r="P79" s="727">
        <v>85</v>
      </c>
      <c r="Q79" s="760">
        <v>89.23</v>
      </c>
      <c r="R79" s="729">
        <v>2742.6</v>
      </c>
      <c r="S79" s="765">
        <f t="shared" si="41"/>
        <v>100</v>
      </c>
      <c r="U79" s="886">
        <v>130</v>
      </c>
      <c r="V79" s="614">
        <v>1.1023000000000001</v>
      </c>
      <c r="Y79" s="163">
        <v>30</v>
      </c>
      <c r="Z79" s="143">
        <f>IF(IF(D79="UNTUCA",IF(+((W79-3)*1.5+(X79-3)*3.1)&gt;0,+((W79-3)*1.5+(X79-3)*3.1),0),IF(+((W79-3)*1.5+(X79-3)*3.1)&gt;0,+((W79-3)*1.5+(X79-3)*3.1),0))&lt;30,30,IF(D79="UNTUCA",IF(+((W79-3)*1.5+(X79-3)*3.1)&gt;0,+((W79-3)*1.5+(X79-3)*3.1),0),IF(+((W79-3)*1.5+(X79-3)*3.1)&gt;0,+((W79-3)*1.5+(X79-3)*3.1),0)))</f>
        <v>30</v>
      </c>
      <c r="AA79" s="144">
        <f t="shared" si="32"/>
        <v>60</v>
      </c>
      <c r="AB79" s="145">
        <f t="shared" ref="AB79:AB85" si="43">+((O79*P79*(R79-U79)/100)-S79-AA79+T79)*V79</f>
        <v>161.44063135399998</v>
      </c>
      <c r="AC79" s="145">
        <f>+(S79-T79)*V79-'data 1'!$F$4</f>
        <v>30.230000000000004</v>
      </c>
      <c r="AD79" s="145">
        <f t="shared" si="34"/>
        <v>17.48094870204902</v>
      </c>
      <c r="AE79" s="145">
        <f t="shared" si="39"/>
        <v>-3.8619999999999948</v>
      </c>
      <c r="AF79" s="145">
        <f t="shared" si="35"/>
        <v>14.133388999697013</v>
      </c>
      <c r="AG79" s="772">
        <f>+IF(D79="RONALD WILLIAN GARIBAY ESCUDERO",AC79+AD79+AE79+AF79+80,AC79+AD79+AE79+AF79)</f>
        <v>57.98233770174604</v>
      </c>
      <c r="AH79" s="146">
        <f t="shared" si="36"/>
        <v>10.359697161185277</v>
      </c>
      <c r="AI79" s="156">
        <f t="shared" si="28"/>
        <v>5.546961503569527</v>
      </c>
      <c r="AJ79" s="156">
        <f t="shared" si="37"/>
        <v>9.4903510679017486</v>
      </c>
      <c r="AK79" s="676"/>
      <c r="AL79" s="716">
        <f t="shared" si="38"/>
        <v>380.96760186916919</v>
      </c>
      <c r="AO79" s="596">
        <f t="shared" si="40"/>
        <v>11.610105526375969</v>
      </c>
    </row>
    <row r="80" spans="1:43" ht="15.75" customHeight="1">
      <c r="A80" s="747" t="s">
        <v>1146</v>
      </c>
      <c r="B80" s="135">
        <v>45641</v>
      </c>
      <c r="C80" s="595">
        <v>45609</v>
      </c>
      <c r="D80" t="s">
        <v>119</v>
      </c>
      <c r="E80" s="631"/>
      <c r="G80" s="80">
        <v>59</v>
      </c>
      <c r="H80" t="s">
        <v>69</v>
      </c>
      <c r="I80" s="596">
        <v>5.35</v>
      </c>
      <c r="J80" s="596">
        <v>1.1000000000000001</v>
      </c>
      <c r="K80" s="138">
        <f t="shared" si="31"/>
        <v>5.29115</v>
      </c>
      <c r="L80" s="139">
        <v>0.28499999999999998</v>
      </c>
      <c r="M80" s="708">
        <v>0.28199999999999997</v>
      </c>
      <c r="N80" s="708">
        <v>0.28199999999999997</v>
      </c>
      <c r="O80" s="139">
        <f t="shared" si="42"/>
        <v>0.28199999999999997</v>
      </c>
      <c r="P80" s="629">
        <v>90</v>
      </c>
      <c r="Q80" s="760">
        <v>89.56</v>
      </c>
      <c r="R80" s="740">
        <v>2598.75</v>
      </c>
      <c r="S80" s="839">
        <v>105</v>
      </c>
      <c r="U80" s="828">
        <v>80</v>
      </c>
      <c r="V80" s="715">
        <v>1.1023000000000001</v>
      </c>
      <c r="Y80" s="751"/>
      <c r="Z80" s="709">
        <v>10</v>
      </c>
      <c r="AA80" s="144">
        <f t="shared" si="32"/>
        <v>10</v>
      </c>
      <c r="AB80" s="145">
        <f t="shared" si="43"/>
        <v>577.89042012499999</v>
      </c>
      <c r="AC80" s="145">
        <f>+(S80-T80)*V80-'data 1'!$F$4</f>
        <v>35.741500000000002</v>
      </c>
      <c r="AD80" s="145">
        <f t="shared" si="34"/>
        <v>-3.4816283287499816</v>
      </c>
      <c r="AE80" s="145">
        <f t="shared" si="39"/>
        <v>-58.977000000000004</v>
      </c>
      <c r="AF80" s="145">
        <f t="shared" si="35"/>
        <v>7.4596802182500062</v>
      </c>
      <c r="AG80" s="772">
        <f t="shared" ref="AG80:AG85" si="44">+IF(D80="RONALD WILLIAN GARIBAY ESCUDERO",AC80+AD80+AE80+AF80+80,AC80+AD80+AE80+AF80)+90</f>
        <v>70.742551889500021</v>
      </c>
      <c r="AH80" s="146">
        <f t="shared" si="36"/>
        <v>46.303955046314421</v>
      </c>
      <c r="AI80" s="156">
        <f t="shared" ref="AI80:AI85" si="45">+((+$AI$2-R80+U80)*L80*Q80*V80)/100</f>
        <v>37.462773201270025</v>
      </c>
      <c r="AJ80" s="156">
        <f t="shared" si="37"/>
        <v>46.041637442916254</v>
      </c>
      <c r="AK80" s="88"/>
      <c r="AL80" s="716">
        <f t="shared" si="38"/>
        <v>3057.7048964443939</v>
      </c>
      <c r="AO80" s="596">
        <f t="shared" si="40"/>
        <v>51.701602329515872</v>
      </c>
    </row>
    <row r="81" spans="1:41" ht="15.75" customHeight="1">
      <c r="A81" s="747" t="s">
        <v>1147</v>
      </c>
      <c r="B81" s="135">
        <v>45641</v>
      </c>
      <c r="C81" s="595">
        <v>45609</v>
      </c>
      <c r="D81" t="s">
        <v>119</v>
      </c>
      <c r="E81" s="631"/>
      <c r="G81" s="80">
        <v>59</v>
      </c>
      <c r="H81" t="s">
        <v>69</v>
      </c>
      <c r="I81" s="596">
        <v>5.36</v>
      </c>
      <c r="J81" s="596">
        <v>1.2</v>
      </c>
      <c r="K81" s="138">
        <f t="shared" si="31"/>
        <v>5.2956799999999999</v>
      </c>
      <c r="L81" s="139">
        <v>0.42899999999999999</v>
      </c>
      <c r="M81" s="708">
        <v>0.42399999999999999</v>
      </c>
      <c r="N81" s="708">
        <v>0.42399999999999999</v>
      </c>
      <c r="O81" s="139">
        <f t="shared" si="42"/>
        <v>0.42399999999999999</v>
      </c>
      <c r="P81" s="629">
        <v>90</v>
      </c>
      <c r="Q81" s="760">
        <v>89.44</v>
      </c>
      <c r="R81" s="740">
        <v>2598.75</v>
      </c>
      <c r="S81" s="839">
        <v>115</v>
      </c>
      <c r="U81" s="828">
        <v>80</v>
      </c>
      <c r="V81" s="715">
        <v>1.1023000000000001</v>
      </c>
      <c r="Y81" s="751"/>
      <c r="Z81" s="709">
        <v>10</v>
      </c>
      <c r="AA81" s="144">
        <f t="shared" si="32"/>
        <v>10</v>
      </c>
      <c r="AB81" s="145">
        <f t="shared" si="43"/>
        <v>921.69365649999986</v>
      </c>
      <c r="AC81" s="145">
        <f>+(S81-T81)*V81-'data 1'!$F$4</f>
        <v>46.764500000000012</v>
      </c>
      <c r="AD81" s="145">
        <f t="shared" si="34"/>
        <v>-6.6700669035000271</v>
      </c>
      <c r="AE81" s="145">
        <f t="shared" si="39"/>
        <v>-58.977000000000004</v>
      </c>
      <c r="AF81" s="145">
        <f t="shared" si="35"/>
        <v>12.41614185500001</v>
      </c>
      <c r="AG81" s="772">
        <f t="shared" si="44"/>
        <v>83.533574951499986</v>
      </c>
      <c r="AH81" s="146">
        <f t="shared" si="36"/>
        <v>69.665841327029938</v>
      </c>
      <c r="AI81" s="156">
        <f t="shared" si="45"/>
        <v>56.315774455512035</v>
      </c>
      <c r="AJ81" s="156">
        <f t="shared" si="37"/>
        <v>69.284991749738907</v>
      </c>
      <c r="AK81" s="88"/>
      <c r="AL81" s="716">
        <f t="shared" si="38"/>
        <v>4880.9946628539192</v>
      </c>
      <c r="AO81" s="596">
        <f t="shared" si="40"/>
        <v>77.891146385319701</v>
      </c>
    </row>
    <row r="82" spans="1:41" ht="15.75" customHeight="1">
      <c r="A82" s="747" t="s">
        <v>1148</v>
      </c>
      <c r="B82" s="135">
        <v>45641</v>
      </c>
      <c r="C82" s="595">
        <v>45609</v>
      </c>
      <c r="D82" t="s">
        <v>119</v>
      </c>
      <c r="E82" s="631"/>
      <c r="G82" s="80">
        <v>61</v>
      </c>
      <c r="H82" t="s">
        <v>69</v>
      </c>
      <c r="I82" s="596">
        <v>5.55</v>
      </c>
      <c r="J82" s="596">
        <v>1.3</v>
      </c>
      <c r="K82" s="138">
        <f t="shared" si="31"/>
        <v>5.4778500000000001</v>
      </c>
      <c r="L82" s="139">
        <v>0.20699999999999999</v>
      </c>
      <c r="M82" s="708">
        <v>0.20499999999999999</v>
      </c>
      <c r="N82" s="708">
        <v>0.20499999999999999</v>
      </c>
      <c r="O82" s="139">
        <f t="shared" si="42"/>
        <v>0.20499999999999999</v>
      </c>
      <c r="P82" s="629">
        <v>85</v>
      </c>
      <c r="Q82" s="760">
        <v>89.23</v>
      </c>
      <c r="R82" s="740">
        <v>2598.75</v>
      </c>
      <c r="S82" s="839">
        <v>105</v>
      </c>
      <c r="U82" s="828">
        <v>80</v>
      </c>
      <c r="V82" s="715">
        <v>1.1023000000000001</v>
      </c>
      <c r="Y82" s="751"/>
      <c r="Z82" s="709">
        <v>10</v>
      </c>
      <c r="AA82" s="144">
        <f t="shared" si="32"/>
        <v>10</v>
      </c>
      <c r="AB82" s="145">
        <f t="shared" si="43"/>
        <v>357.02635828125</v>
      </c>
      <c r="AC82" s="145">
        <f>+(S82-T82)*V82-'data 1'!$F$4</f>
        <v>35.741500000000002</v>
      </c>
      <c r="AD82" s="145">
        <f t="shared" si="34"/>
        <v>24.310594744312525</v>
      </c>
      <c r="AE82" s="145">
        <f t="shared" si="39"/>
        <v>-58.977000000000004</v>
      </c>
      <c r="AF82" s="145">
        <f t="shared" si="35"/>
        <v>4.9547957858750049</v>
      </c>
      <c r="AG82" s="772">
        <f t="shared" si="44"/>
        <v>96.029890530187529</v>
      </c>
      <c r="AH82" s="146">
        <f t="shared" si="36"/>
        <v>34.68969197041308</v>
      </c>
      <c r="AI82" s="156">
        <f t="shared" si="45"/>
        <v>27.109544256094519</v>
      </c>
      <c r="AJ82" s="156">
        <f t="shared" si="37"/>
        <v>32.725929602998917</v>
      </c>
      <c r="AK82" s="88"/>
      <c r="AL82" s="716">
        <f t="shared" si="38"/>
        <v>1955.7368367109452</v>
      </c>
      <c r="AO82" s="596">
        <f t="shared" si="40"/>
        <v>38.876714076446348</v>
      </c>
    </row>
    <row r="83" spans="1:41" ht="15.75" customHeight="1">
      <c r="A83" s="747" t="s">
        <v>1149</v>
      </c>
      <c r="B83" s="135">
        <v>45641</v>
      </c>
      <c r="C83" s="595">
        <v>45609</v>
      </c>
      <c r="D83" t="s">
        <v>119</v>
      </c>
      <c r="G83" s="80">
        <v>31</v>
      </c>
      <c r="H83" t="s">
        <v>69</v>
      </c>
      <c r="I83" s="596">
        <v>2.76</v>
      </c>
      <c r="J83" s="596">
        <v>1.4</v>
      </c>
      <c r="K83" s="138">
        <f t="shared" si="31"/>
        <v>2.7213599999999998</v>
      </c>
      <c r="L83" s="139">
        <v>0.33400000000000002</v>
      </c>
      <c r="M83" s="708">
        <v>0.33</v>
      </c>
      <c r="N83" s="708">
        <v>0.33</v>
      </c>
      <c r="O83" s="139">
        <f t="shared" si="42"/>
        <v>0.33</v>
      </c>
      <c r="P83" s="629">
        <v>90</v>
      </c>
      <c r="Q83" s="760">
        <v>89.74</v>
      </c>
      <c r="R83" s="740">
        <v>2598.75</v>
      </c>
      <c r="S83" s="839">
        <v>110</v>
      </c>
      <c r="U83" s="828">
        <v>80</v>
      </c>
      <c r="V83" s="715">
        <v>1.1023000000000001</v>
      </c>
      <c r="Y83" s="751"/>
      <c r="Z83" s="709">
        <v>10</v>
      </c>
      <c r="AA83" s="144">
        <f t="shared" si="32"/>
        <v>10</v>
      </c>
      <c r="AB83" s="145">
        <f t="shared" si="43"/>
        <v>692.32018312500009</v>
      </c>
      <c r="AC83" s="145">
        <f>+(S83-T83)*V83-'data 1'!$F$4</f>
        <v>41.253</v>
      </c>
      <c r="AD83" s="145">
        <f t="shared" si="34"/>
        <v>-2.4110414997500476</v>
      </c>
      <c r="AE83" s="145">
        <f t="shared" si="39"/>
        <v>-58.977000000000004</v>
      </c>
      <c r="AF83" s="145">
        <f t="shared" si="35"/>
        <v>9.966230501500009</v>
      </c>
      <c r="AG83" s="772">
        <f t="shared" si="44"/>
        <v>79.831189001749962</v>
      </c>
      <c r="AH83" s="146">
        <f t="shared" si="36"/>
        <v>27.965822593159785</v>
      </c>
      <c r="AI83" s="156">
        <f t="shared" si="45"/>
        <v>43.991980097842031</v>
      </c>
      <c r="AJ83" s="156">
        <f t="shared" si="37"/>
        <v>27.710956436253159</v>
      </c>
      <c r="AK83" s="88"/>
      <c r="AL83" s="716">
        <f t="shared" si="38"/>
        <v>1884.0524535490501</v>
      </c>
      <c r="AO83" s="596">
        <f t="shared" si="40"/>
        <v>31.163163130331835</v>
      </c>
    </row>
    <row r="84" spans="1:41" ht="15.75" customHeight="1">
      <c r="A84" s="747" t="s">
        <v>1150</v>
      </c>
      <c r="B84" s="135">
        <v>45641</v>
      </c>
      <c r="C84" s="595">
        <v>45609</v>
      </c>
      <c r="D84" t="s">
        <v>119</v>
      </c>
      <c r="G84" s="80">
        <v>50</v>
      </c>
      <c r="H84" t="s">
        <v>69</v>
      </c>
      <c r="I84" s="596">
        <v>4.5199999999999996</v>
      </c>
      <c r="J84" s="596">
        <v>1.2</v>
      </c>
      <c r="K84" s="138">
        <f t="shared" si="31"/>
        <v>4.4657599999999995</v>
      </c>
      <c r="L84" s="139">
        <v>0.32700000000000001</v>
      </c>
      <c r="M84" s="708">
        <v>0.32400000000000001</v>
      </c>
      <c r="N84" s="708">
        <v>0.32400000000000001</v>
      </c>
      <c r="O84" s="139">
        <f t="shared" si="42"/>
        <v>0.32400000000000001</v>
      </c>
      <c r="P84" s="629">
        <v>90</v>
      </c>
      <c r="Q84" s="760">
        <v>89.41</v>
      </c>
      <c r="R84" s="740">
        <v>2598.75</v>
      </c>
      <c r="S84" s="839">
        <v>110</v>
      </c>
      <c r="U84" s="828">
        <v>80</v>
      </c>
      <c r="V84" s="715">
        <v>1.1023000000000001</v>
      </c>
      <c r="Y84" s="751"/>
      <c r="Z84" s="709">
        <v>10</v>
      </c>
      <c r="AA84" s="144">
        <f t="shared" si="32"/>
        <v>10</v>
      </c>
      <c r="AB84" s="145">
        <f t="shared" si="43"/>
        <v>677.32752525000001</v>
      </c>
      <c r="AC84" s="145">
        <f>+(S84-T84)*V84-'data 1'!$F$4</f>
        <v>41.253</v>
      </c>
      <c r="AD84" s="145">
        <f t="shared" si="34"/>
        <v>-5.3565434885625312</v>
      </c>
      <c r="AE84" s="145">
        <f t="shared" si="39"/>
        <v>-58.977000000000004</v>
      </c>
      <c r="AF84" s="145">
        <f t="shared" si="35"/>
        <v>7.4471863366875057</v>
      </c>
      <c r="AG84" s="772">
        <f t="shared" si="44"/>
        <v>74.366642848124968</v>
      </c>
      <c r="AH84" s="146">
        <f t="shared" si="36"/>
        <v>44.764969838744356</v>
      </c>
      <c r="AI84" s="156">
        <f>+((+$AI$2-R84+U84)*L84*Q84*V84)/100</f>
        <v>42.911611640521521</v>
      </c>
      <c r="AJ84" s="156">
        <f t="shared" si="37"/>
        <v>44.646967719329787</v>
      </c>
      <c r="AK84" s="88"/>
      <c r="AL84" s="716">
        <f t="shared" si="38"/>
        <v>3024.7821691604395</v>
      </c>
      <c r="AO84" s="596">
        <f t="shared" si="40"/>
        <v>50.067072853980946</v>
      </c>
    </row>
    <row r="85" spans="1:41" ht="15.75" customHeight="1">
      <c r="A85" s="747" t="s">
        <v>1151</v>
      </c>
      <c r="B85" s="135">
        <v>45641</v>
      </c>
      <c r="C85" s="595">
        <v>45609</v>
      </c>
      <c r="D85" t="s">
        <v>119</v>
      </c>
      <c r="G85" s="80">
        <v>35</v>
      </c>
      <c r="H85" t="s">
        <v>69</v>
      </c>
      <c r="I85" s="596">
        <v>3.22</v>
      </c>
      <c r="J85" s="596">
        <v>1.3</v>
      </c>
      <c r="K85" s="138">
        <f t="shared" si="31"/>
        <v>3.17814</v>
      </c>
      <c r="L85" s="139">
        <v>0.36099999999999999</v>
      </c>
      <c r="M85" s="708">
        <v>0.35699999999999998</v>
      </c>
      <c r="N85" s="708">
        <v>0.35699999999999998</v>
      </c>
      <c r="O85" s="139">
        <f t="shared" si="42"/>
        <v>0.35699999999999998</v>
      </c>
      <c r="P85" s="629">
        <v>90</v>
      </c>
      <c r="Q85" s="760">
        <v>89.61</v>
      </c>
      <c r="R85" s="740">
        <v>2598.75</v>
      </c>
      <c r="S85" s="839">
        <v>110</v>
      </c>
      <c r="U85" s="828">
        <v>80</v>
      </c>
      <c r="V85" s="715">
        <v>1.1023000000000001</v>
      </c>
      <c r="Y85" s="751"/>
      <c r="Z85" s="709">
        <v>10</v>
      </c>
      <c r="AA85" s="144">
        <f t="shared" si="32"/>
        <v>10</v>
      </c>
      <c r="AB85" s="145">
        <f t="shared" si="43"/>
        <v>759.78714356249986</v>
      </c>
      <c r="AC85" s="145">
        <f>+(S85-T85)*V85-'data 1'!$F$4</f>
        <v>41.253</v>
      </c>
      <c r="AD85" s="145">
        <f t="shared" si="34"/>
        <v>-3.9089190781875063</v>
      </c>
      <c r="AE85" s="145">
        <f t="shared" si="39"/>
        <v>-58.977000000000004</v>
      </c>
      <c r="AF85" s="145">
        <f t="shared" si="35"/>
        <v>9.95179312725001</v>
      </c>
      <c r="AG85" s="772">
        <f t="shared" si="44"/>
        <v>78.318874049062501</v>
      </c>
      <c r="AH85" s="146">
        <f t="shared" si="36"/>
        <v>35.248916574103838</v>
      </c>
      <c r="AI85" s="156">
        <f t="shared" si="45"/>
        <v>47.479338264664541</v>
      </c>
      <c r="AJ85" s="156">
        <f t="shared" si="37"/>
        <v>35.010057108843036</v>
      </c>
      <c r="AK85" s="88"/>
      <c r="AL85" s="716">
        <f t="shared" si="38"/>
        <v>2414.7099124417232</v>
      </c>
      <c r="AO85" s="596">
        <f t="shared" si="40"/>
        <v>39.335918506978949</v>
      </c>
    </row>
    <row r="86" spans="1:41" ht="15.75" customHeight="1">
      <c r="B86" s="595"/>
      <c r="C86" s="595"/>
      <c r="G86" s="80"/>
      <c r="L86" s="139"/>
      <c r="M86" s="139"/>
      <c r="N86" s="159"/>
      <c r="P86" s="629"/>
      <c r="Q86" s="760"/>
      <c r="S86" s="80"/>
      <c r="AH86" s="80"/>
      <c r="AI86" s="80"/>
      <c r="AJ86" s="80"/>
      <c r="AL86" s="80"/>
    </row>
    <row r="87" spans="1:41" ht="15.75" customHeight="1">
      <c r="B87" s="595"/>
      <c r="C87" s="595"/>
      <c r="G87" s="80"/>
      <c r="L87" s="139"/>
      <c r="M87" s="139"/>
      <c r="N87" s="159"/>
      <c r="P87" s="629"/>
      <c r="Q87" s="760"/>
      <c r="S87" s="80"/>
      <c r="AH87" s="80"/>
      <c r="AI87" s="80"/>
      <c r="AJ87" s="80"/>
      <c r="AL87" s="80"/>
    </row>
    <row r="88" spans="1:41" ht="15.75" customHeight="1">
      <c r="B88" s="595"/>
      <c r="C88" s="595"/>
      <c r="G88" s="80"/>
      <c r="L88" s="139"/>
      <c r="M88" s="139"/>
      <c r="N88" s="159"/>
      <c r="P88" s="629"/>
      <c r="Q88" s="760"/>
      <c r="S88" s="80"/>
      <c r="AH88" s="80"/>
      <c r="AI88" s="80"/>
      <c r="AJ88" s="80"/>
      <c r="AL88" s="80"/>
    </row>
    <row r="89" spans="1:41" ht="15.75" customHeight="1">
      <c r="B89" s="595"/>
      <c r="C89" s="595"/>
      <c r="G89" s="80"/>
      <c r="L89" s="139"/>
      <c r="M89" s="139"/>
      <c r="N89" s="159"/>
      <c r="P89" s="629"/>
      <c r="Q89" s="760"/>
      <c r="S89" s="80"/>
      <c r="AH89" s="80"/>
      <c r="AI89" s="80"/>
      <c r="AJ89" s="80"/>
      <c r="AL89" s="80"/>
    </row>
    <row r="90" spans="1:41" ht="15.75" customHeight="1">
      <c r="B90" s="595"/>
      <c r="C90" s="595"/>
      <c r="G90" s="80"/>
      <c r="L90" s="139"/>
      <c r="M90" s="139"/>
      <c r="N90" s="159"/>
      <c r="P90" s="629"/>
      <c r="Q90" s="760"/>
      <c r="S90" s="80"/>
      <c r="AH90" s="80"/>
      <c r="AI90" s="80"/>
      <c r="AJ90" s="80"/>
      <c r="AL90" s="80"/>
    </row>
    <row r="91" spans="1:41" ht="15.75" customHeight="1">
      <c r="B91" s="595"/>
      <c r="C91" s="595"/>
      <c r="G91" s="80"/>
      <c r="L91" s="139"/>
      <c r="M91" s="139"/>
      <c r="N91" s="159"/>
      <c r="P91" s="629"/>
      <c r="Q91" s="760"/>
      <c r="S91" s="80"/>
      <c r="AH91" s="80"/>
      <c r="AI91" s="80"/>
      <c r="AJ91" s="80"/>
      <c r="AL91" s="80"/>
    </row>
    <row r="92" spans="1:41" ht="15.75" customHeight="1">
      <c r="B92" s="595"/>
      <c r="C92" s="595"/>
      <c r="G92" s="80"/>
      <c r="L92" s="139"/>
      <c r="M92" s="139"/>
      <c r="N92" s="159"/>
      <c r="P92" s="629"/>
      <c r="Q92" s="760"/>
      <c r="S92" s="80"/>
      <c r="AH92" s="80"/>
      <c r="AI92" s="80"/>
      <c r="AJ92" s="80"/>
      <c r="AL92" s="80"/>
    </row>
    <row r="93" spans="1:41" ht="15.75" customHeight="1">
      <c r="B93" s="595"/>
      <c r="C93" s="595"/>
      <c r="G93" s="80"/>
      <c r="L93" s="139"/>
      <c r="M93" s="139"/>
      <c r="N93" s="159"/>
      <c r="P93" s="629"/>
      <c r="Q93" s="760"/>
      <c r="AH93" s="80"/>
      <c r="AI93" s="80"/>
      <c r="AJ93" s="80"/>
      <c r="AL93" s="80"/>
    </row>
    <row r="94" spans="1:41" ht="15.75" customHeight="1">
      <c r="B94" s="595"/>
      <c r="C94" s="595"/>
      <c r="G94" s="80"/>
      <c r="L94" s="139"/>
      <c r="M94" s="139"/>
      <c r="N94" s="159"/>
      <c r="P94" s="629"/>
      <c r="Q94" s="760"/>
      <c r="AH94" s="80"/>
      <c r="AI94" s="80"/>
      <c r="AJ94" s="80"/>
      <c r="AL94" s="80"/>
    </row>
    <row r="95" spans="1:41" ht="15.75" customHeight="1">
      <c r="B95" s="595"/>
      <c r="C95" s="595"/>
      <c r="G95" s="80"/>
      <c r="L95" s="139"/>
      <c r="M95" s="139"/>
      <c r="N95" s="159"/>
      <c r="P95" s="629"/>
      <c r="Q95" s="760"/>
      <c r="AH95" s="80"/>
      <c r="AI95" s="80"/>
      <c r="AJ95" s="80"/>
      <c r="AL95" s="80"/>
    </row>
    <row r="96" spans="1:41" ht="15.75" customHeight="1">
      <c r="B96" s="595"/>
      <c r="C96" s="595"/>
      <c r="G96" s="80"/>
      <c r="L96" s="139"/>
      <c r="M96" s="139"/>
      <c r="N96" s="159"/>
      <c r="P96" s="629"/>
      <c r="Q96" s="760"/>
      <c r="AH96" s="80"/>
      <c r="AI96" s="80"/>
      <c r="AJ96" s="80"/>
      <c r="AL96" s="80"/>
    </row>
    <row r="97" spans="2:38" ht="15.75" customHeight="1">
      <c r="B97" s="595"/>
      <c r="C97" s="595"/>
      <c r="G97" s="80"/>
      <c r="L97" s="139"/>
      <c r="M97" s="139"/>
      <c r="N97" s="159"/>
      <c r="P97" s="629"/>
      <c r="Q97" s="760"/>
      <c r="AH97" s="80"/>
      <c r="AI97" s="80"/>
      <c r="AJ97" s="80"/>
      <c r="AL97" s="80"/>
    </row>
    <row r="98" spans="2:38" ht="15.75" customHeight="1">
      <c r="B98" s="595"/>
      <c r="C98" s="595"/>
      <c r="G98" s="80"/>
      <c r="L98" s="139"/>
      <c r="M98" s="139"/>
      <c r="N98" s="159"/>
      <c r="P98" s="629"/>
      <c r="Q98" s="760"/>
      <c r="AH98" s="80"/>
      <c r="AI98" s="80"/>
      <c r="AJ98" s="80"/>
      <c r="AL98" s="80"/>
    </row>
    <row r="99" spans="2:38" ht="15.75" customHeight="1">
      <c r="B99" s="595"/>
      <c r="C99" s="595"/>
      <c r="G99" s="80"/>
      <c r="L99" s="139"/>
      <c r="M99" s="139"/>
      <c r="N99" s="159"/>
      <c r="P99" s="629"/>
      <c r="Q99" s="760"/>
      <c r="AH99" s="80"/>
      <c r="AI99" s="80"/>
      <c r="AJ99" s="80"/>
      <c r="AL99" s="80"/>
    </row>
    <row r="100" spans="2:38" ht="15.75" customHeight="1">
      <c r="B100" s="595"/>
      <c r="C100" s="595"/>
      <c r="G100" s="80"/>
      <c r="L100" s="139"/>
      <c r="M100" s="139"/>
      <c r="N100" s="159"/>
      <c r="P100" s="629"/>
      <c r="Q100" s="760"/>
      <c r="AH100" s="80"/>
      <c r="AI100" s="80"/>
      <c r="AJ100" s="80"/>
      <c r="AL100" s="80"/>
    </row>
    <row r="101" spans="2:38" ht="15.75" customHeight="1">
      <c r="B101" s="595"/>
      <c r="C101" s="595"/>
      <c r="G101" s="80"/>
      <c r="L101" s="139"/>
      <c r="M101" s="139"/>
      <c r="N101" s="159"/>
      <c r="P101" s="629"/>
      <c r="Q101" s="760"/>
      <c r="AH101" s="80"/>
      <c r="AI101" s="80"/>
      <c r="AJ101" s="80"/>
      <c r="AL101" s="80"/>
    </row>
    <row r="102" spans="2:38" ht="15.75" customHeight="1">
      <c r="B102" s="595"/>
      <c r="C102" s="595"/>
      <c r="G102" s="80"/>
      <c r="L102" s="139"/>
      <c r="M102" s="139"/>
      <c r="N102" s="159"/>
      <c r="P102" s="629"/>
      <c r="Q102" s="760"/>
      <c r="AH102" s="80"/>
      <c r="AI102" s="80"/>
      <c r="AJ102" s="80"/>
      <c r="AL102" s="80"/>
    </row>
    <row r="103" spans="2:38" ht="15.75" customHeight="1">
      <c r="B103" s="595"/>
      <c r="C103" s="595"/>
      <c r="G103" s="80"/>
      <c r="L103" s="139"/>
      <c r="M103" s="139"/>
      <c r="N103" s="159"/>
      <c r="P103" s="629"/>
      <c r="Q103" s="760"/>
      <c r="AH103" s="80"/>
      <c r="AI103" s="80"/>
      <c r="AJ103" s="80"/>
      <c r="AL103" s="80"/>
    </row>
    <row r="104" spans="2:38" ht="15.75" customHeight="1">
      <c r="B104" s="595"/>
      <c r="C104" s="595"/>
      <c r="G104" s="80"/>
      <c r="L104" s="139"/>
      <c r="M104" s="139"/>
      <c r="N104" s="159"/>
      <c r="P104" s="629"/>
      <c r="Q104" s="760"/>
      <c r="AH104" s="80"/>
      <c r="AI104" s="80"/>
      <c r="AJ104" s="80"/>
      <c r="AL104" s="80"/>
    </row>
    <row r="105" spans="2:38" ht="15.75" customHeight="1">
      <c r="B105" s="595"/>
      <c r="C105" s="595"/>
      <c r="G105" s="80"/>
      <c r="L105" s="139"/>
      <c r="M105" s="139"/>
      <c r="N105" s="159"/>
      <c r="P105" s="629"/>
      <c r="Q105" s="760"/>
      <c r="AH105" s="80"/>
      <c r="AI105" s="80"/>
      <c r="AJ105" s="80"/>
      <c r="AL105" s="80"/>
    </row>
    <row r="106" spans="2:38" ht="15.75" customHeight="1">
      <c r="B106" s="595"/>
      <c r="C106" s="595"/>
      <c r="G106" s="80"/>
      <c r="L106" s="139"/>
      <c r="M106" s="139"/>
      <c r="N106" s="159"/>
      <c r="P106" s="629"/>
      <c r="Q106" s="760"/>
      <c r="AH106" s="80"/>
      <c r="AI106" s="80"/>
      <c r="AJ106" s="80"/>
      <c r="AL106" s="80"/>
    </row>
    <row r="107" spans="2:38" ht="15.75" customHeight="1">
      <c r="B107" s="595"/>
      <c r="C107" s="595"/>
      <c r="G107" s="80"/>
      <c r="L107" s="139"/>
      <c r="M107" s="139"/>
      <c r="N107" s="159"/>
      <c r="P107" s="629"/>
      <c r="Q107" s="760"/>
      <c r="AH107" s="80"/>
      <c r="AI107" s="80"/>
      <c r="AJ107" s="80"/>
      <c r="AL107" s="80"/>
    </row>
    <row r="108" spans="2:38" ht="15.75" customHeight="1">
      <c r="B108" s="595"/>
      <c r="C108" s="595"/>
      <c r="G108" s="80"/>
      <c r="L108" s="139"/>
      <c r="M108" s="139"/>
      <c r="N108" s="159"/>
      <c r="P108" s="629"/>
      <c r="Q108" s="760"/>
      <c r="AH108" s="80"/>
      <c r="AI108" s="80"/>
      <c r="AJ108" s="80"/>
      <c r="AL108" s="80"/>
    </row>
    <row r="109" spans="2:38" ht="15.75" customHeight="1">
      <c r="B109" s="595"/>
      <c r="C109" s="595"/>
      <c r="G109" s="80"/>
      <c r="M109" s="139"/>
      <c r="N109" s="159"/>
      <c r="P109" s="629"/>
      <c r="Q109" s="760"/>
      <c r="AH109" s="80"/>
      <c r="AI109" s="80"/>
      <c r="AJ109" s="80"/>
      <c r="AL109" s="80"/>
    </row>
    <row r="110" spans="2:38" ht="15.75" customHeight="1">
      <c r="B110" s="595"/>
      <c r="C110" s="595"/>
      <c r="G110" s="80"/>
      <c r="M110" s="139"/>
      <c r="N110" s="159"/>
      <c r="P110" s="629"/>
      <c r="Q110" s="760"/>
      <c r="AH110" s="80"/>
      <c r="AI110" s="80"/>
      <c r="AJ110" s="80"/>
      <c r="AL110" s="80"/>
    </row>
    <row r="111" spans="2:38" ht="15.75" customHeight="1">
      <c r="B111" s="595"/>
      <c r="C111" s="595"/>
      <c r="G111" s="80"/>
      <c r="M111" s="139"/>
      <c r="N111" s="159"/>
      <c r="P111" s="629"/>
      <c r="Q111" s="760"/>
      <c r="AH111" s="80"/>
      <c r="AI111" s="80"/>
      <c r="AJ111" s="80"/>
      <c r="AL111" s="80"/>
    </row>
    <row r="112" spans="2:38" ht="15.75" customHeight="1">
      <c r="B112" s="595"/>
      <c r="C112" s="595"/>
      <c r="G112" s="80"/>
      <c r="M112" s="139"/>
      <c r="N112" s="159"/>
      <c r="P112" s="629"/>
      <c r="Q112" s="760"/>
      <c r="AH112" s="80"/>
      <c r="AI112" s="80"/>
      <c r="AJ112" s="80"/>
      <c r="AL112" s="80"/>
    </row>
    <row r="113" spans="2:38" ht="15.75" customHeight="1">
      <c r="B113" s="595"/>
      <c r="C113" s="595"/>
      <c r="G113" s="80"/>
      <c r="M113" s="139"/>
      <c r="N113" s="159"/>
      <c r="P113" s="629"/>
      <c r="Q113" s="760"/>
      <c r="AH113" s="80"/>
      <c r="AI113" s="80"/>
      <c r="AJ113" s="80"/>
      <c r="AL113" s="80"/>
    </row>
    <row r="114" spans="2:38" ht="15.75" customHeight="1">
      <c r="B114" s="595"/>
      <c r="C114" s="595"/>
      <c r="G114" s="80"/>
      <c r="M114" s="139"/>
      <c r="N114" s="159"/>
      <c r="P114" s="629"/>
      <c r="Q114" s="760"/>
      <c r="AH114" s="80"/>
      <c r="AI114" s="80"/>
      <c r="AJ114" s="80"/>
      <c r="AL114" s="80"/>
    </row>
    <row r="115" spans="2:38" ht="15.75" customHeight="1">
      <c r="B115" s="595"/>
      <c r="C115" s="595"/>
      <c r="G115" s="80"/>
      <c r="M115" s="139"/>
      <c r="N115" s="159"/>
      <c r="P115" s="629"/>
      <c r="Q115" s="760"/>
      <c r="AH115" s="80"/>
      <c r="AI115" s="80"/>
      <c r="AJ115" s="80"/>
      <c r="AL115" s="80"/>
    </row>
    <row r="116" spans="2:38" ht="15.75" customHeight="1">
      <c r="B116" s="595"/>
      <c r="C116" s="595"/>
      <c r="G116" s="80"/>
      <c r="N116" s="159"/>
      <c r="P116" s="629"/>
      <c r="Q116" s="760"/>
      <c r="AH116" s="80"/>
      <c r="AI116" s="80"/>
      <c r="AJ116" s="80"/>
      <c r="AL116" s="80"/>
    </row>
    <row r="117" spans="2:38" ht="15.75" customHeight="1">
      <c r="B117" s="595"/>
      <c r="C117" s="595"/>
      <c r="G117" s="80"/>
      <c r="N117" s="159"/>
      <c r="P117" s="629"/>
      <c r="Q117" s="760"/>
      <c r="AH117" s="80"/>
      <c r="AI117" s="80"/>
      <c r="AJ117" s="80"/>
      <c r="AL117" s="80"/>
    </row>
    <row r="118" spans="2:38" ht="15.75" customHeight="1">
      <c r="B118" s="595"/>
      <c r="C118" s="595"/>
      <c r="G118" s="80"/>
      <c r="N118" s="159"/>
      <c r="P118" s="629"/>
      <c r="Q118" s="760"/>
      <c r="AH118" s="80"/>
      <c r="AI118" s="80"/>
      <c r="AJ118" s="80"/>
      <c r="AL118" s="80"/>
    </row>
    <row r="119" spans="2:38" ht="15.75" customHeight="1">
      <c r="B119" s="595"/>
      <c r="C119" s="595"/>
      <c r="G119" s="80"/>
      <c r="N119" s="159"/>
      <c r="P119" s="629"/>
      <c r="Q119" s="760"/>
      <c r="AH119" s="80"/>
      <c r="AI119" s="80"/>
      <c r="AJ119" s="80"/>
      <c r="AL119" s="80"/>
    </row>
    <row r="120" spans="2:38" ht="15.75" customHeight="1">
      <c r="B120" s="595"/>
      <c r="C120" s="595"/>
      <c r="G120" s="80"/>
      <c r="N120" s="159"/>
      <c r="P120" s="629"/>
      <c r="Q120" s="760"/>
      <c r="AH120" s="80"/>
      <c r="AI120" s="80"/>
      <c r="AJ120" s="80"/>
      <c r="AL120" s="80"/>
    </row>
    <row r="121" spans="2:38" ht="15.75" customHeight="1">
      <c r="B121" s="595"/>
      <c r="C121" s="595"/>
      <c r="G121" s="80"/>
      <c r="N121" s="159"/>
      <c r="P121" s="629"/>
      <c r="Q121" s="760"/>
      <c r="AH121" s="80"/>
      <c r="AI121" s="80"/>
      <c r="AJ121" s="80"/>
      <c r="AL121" s="80"/>
    </row>
    <row r="122" spans="2:38" ht="15.75" customHeight="1">
      <c r="B122" s="595"/>
      <c r="C122" s="595"/>
      <c r="G122" s="80"/>
      <c r="N122" s="159"/>
      <c r="P122" s="629"/>
      <c r="Q122" s="760"/>
      <c r="AH122" s="80"/>
      <c r="AI122" s="80"/>
      <c r="AJ122" s="80"/>
      <c r="AL122" s="80"/>
    </row>
    <row r="123" spans="2:38" ht="15.75" customHeight="1">
      <c r="B123" s="595"/>
      <c r="C123" s="595"/>
      <c r="G123" s="80"/>
      <c r="N123" s="159"/>
      <c r="P123" s="629"/>
      <c r="Q123" s="760"/>
      <c r="AH123" s="80"/>
      <c r="AI123" s="80"/>
      <c r="AJ123" s="80"/>
      <c r="AL123" s="80"/>
    </row>
    <row r="124" spans="2:38" ht="15.75" customHeight="1">
      <c r="B124" s="595"/>
      <c r="C124" s="595"/>
      <c r="G124" s="80"/>
      <c r="N124" s="159"/>
      <c r="P124" s="629"/>
      <c r="Q124" s="760"/>
      <c r="AH124" s="80"/>
      <c r="AI124" s="80"/>
      <c r="AJ124" s="80"/>
      <c r="AL124" s="80"/>
    </row>
    <row r="125" spans="2:38" ht="15.75" customHeight="1">
      <c r="B125" s="595"/>
      <c r="C125" s="595"/>
      <c r="G125" s="80"/>
      <c r="N125" s="159"/>
      <c r="P125" s="629"/>
      <c r="Q125" s="760"/>
      <c r="AH125" s="80"/>
      <c r="AI125" s="80"/>
      <c r="AJ125" s="80"/>
      <c r="AL125" s="80"/>
    </row>
    <row r="126" spans="2:38" ht="15.75" customHeight="1">
      <c r="B126" s="595"/>
      <c r="C126" s="595"/>
      <c r="G126" s="80"/>
      <c r="N126" s="159"/>
      <c r="P126" s="629"/>
      <c r="Q126" s="760"/>
      <c r="AH126" s="80"/>
      <c r="AI126" s="80"/>
      <c r="AJ126" s="80"/>
      <c r="AL126" s="80"/>
    </row>
    <row r="127" spans="2:38" ht="15.75" customHeight="1">
      <c r="B127" s="595"/>
      <c r="C127" s="595"/>
      <c r="G127" s="80"/>
      <c r="N127" s="159"/>
      <c r="P127" s="629"/>
      <c r="Q127" s="760"/>
      <c r="AH127" s="80"/>
      <c r="AI127" s="80"/>
      <c r="AJ127" s="80"/>
      <c r="AL127" s="80"/>
    </row>
    <row r="128" spans="2:38" ht="15.75" customHeight="1">
      <c r="B128" s="595"/>
      <c r="C128" s="595"/>
      <c r="G128" s="80"/>
      <c r="N128" s="159"/>
      <c r="P128" s="629"/>
      <c r="Q128" s="760"/>
      <c r="AH128" s="80"/>
      <c r="AI128" s="80"/>
      <c r="AJ128" s="80"/>
      <c r="AL128" s="80"/>
    </row>
    <row r="129" spans="2:38" ht="15.75" customHeight="1">
      <c r="B129" s="595"/>
      <c r="C129" s="595"/>
      <c r="G129" s="80"/>
      <c r="N129" s="159"/>
      <c r="P129" s="629"/>
      <c r="Q129" s="760"/>
      <c r="AH129" s="80"/>
      <c r="AI129" s="80"/>
      <c r="AJ129" s="80"/>
      <c r="AL129" s="80"/>
    </row>
    <row r="130" spans="2:38" ht="15.75" customHeight="1">
      <c r="B130" s="595"/>
      <c r="C130" s="595"/>
      <c r="G130" s="80"/>
      <c r="N130" s="159"/>
      <c r="P130" s="629"/>
      <c r="Q130" s="760"/>
      <c r="AH130" s="80"/>
      <c r="AI130" s="80"/>
      <c r="AJ130" s="80"/>
      <c r="AL130" s="80"/>
    </row>
    <row r="131" spans="2:38" ht="15.75" customHeight="1">
      <c r="B131" s="595"/>
      <c r="C131" s="595"/>
      <c r="G131" s="80"/>
      <c r="N131" s="159"/>
      <c r="P131" s="629"/>
      <c r="Q131" s="760"/>
      <c r="AH131" s="80"/>
      <c r="AI131" s="80"/>
      <c r="AJ131" s="80"/>
      <c r="AL131" s="80"/>
    </row>
    <row r="132" spans="2:38" ht="15.75" customHeight="1">
      <c r="B132" s="595"/>
      <c r="C132" s="595"/>
      <c r="G132" s="80"/>
      <c r="N132" s="159"/>
      <c r="P132" s="629"/>
      <c r="Q132" s="760"/>
      <c r="AH132" s="80"/>
      <c r="AI132" s="80"/>
      <c r="AJ132" s="80"/>
      <c r="AL132" s="80"/>
    </row>
    <row r="133" spans="2:38" ht="15.75" customHeight="1">
      <c r="B133" s="595"/>
      <c r="C133" s="595"/>
      <c r="G133" s="80"/>
      <c r="N133" s="159"/>
      <c r="P133" s="629"/>
      <c r="Q133" s="760"/>
      <c r="AH133" s="80"/>
      <c r="AI133" s="80"/>
      <c r="AJ133" s="80"/>
      <c r="AL133" s="80"/>
    </row>
    <row r="134" spans="2:38" ht="15.75" customHeight="1">
      <c r="B134" s="595"/>
      <c r="C134" s="595"/>
      <c r="G134" s="80"/>
      <c r="N134" s="159"/>
      <c r="P134" s="629"/>
      <c r="Q134" s="760"/>
      <c r="AH134" s="80"/>
      <c r="AI134" s="80"/>
      <c r="AJ134" s="80"/>
      <c r="AL134" s="80"/>
    </row>
    <row r="135" spans="2:38" ht="15.75" customHeight="1">
      <c r="B135" s="595"/>
      <c r="C135" s="595"/>
      <c r="G135" s="80"/>
      <c r="N135" s="159"/>
      <c r="P135" s="629"/>
      <c r="Q135" s="760"/>
      <c r="AH135" s="80"/>
      <c r="AI135" s="80"/>
      <c r="AJ135" s="80"/>
      <c r="AL135" s="80"/>
    </row>
    <row r="136" spans="2:38" ht="15.75" customHeight="1">
      <c r="B136" s="595"/>
      <c r="C136" s="595"/>
      <c r="G136" s="80"/>
      <c r="N136" s="159"/>
      <c r="P136" s="629"/>
      <c r="Q136" s="760"/>
      <c r="AH136" s="80"/>
      <c r="AI136" s="80"/>
      <c r="AJ136" s="80"/>
      <c r="AL136" s="80"/>
    </row>
    <row r="137" spans="2:38" ht="15.75" customHeight="1">
      <c r="B137" s="595"/>
      <c r="C137" s="595"/>
      <c r="G137" s="80"/>
      <c r="N137" s="159"/>
      <c r="P137" s="629"/>
      <c r="Q137" s="760"/>
      <c r="AH137" s="80"/>
      <c r="AI137" s="80"/>
      <c r="AJ137" s="80"/>
      <c r="AL137" s="80"/>
    </row>
    <row r="138" spans="2:38" ht="15.75" customHeight="1">
      <c r="B138" s="595"/>
      <c r="C138" s="595"/>
      <c r="G138" s="80"/>
      <c r="N138" s="159"/>
      <c r="P138" s="629"/>
      <c r="Q138" s="760"/>
      <c r="AH138" s="80"/>
      <c r="AI138" s="80"/>
      <c r="AJ138" s="80"/>
      <c r="AL138" s="80"/>
    </row>
    <row r="139" spans="2:38" ht="15.75" customHeight="1">
      <c r="B139" s="595"/>
      <c r="C139" s="595"/>
      <c r="G139" s="80"/>
      <c r="N139" s="159"/>
      <c r="P139" s="629"/>
      <c r="Q139" s="760"/>
      <c r="AH139" s="80"/>
      <c r="AI139" s="80"/>
      <c r="AJ139" s="80"/>
      <c r="AL139" s="80"/>
    </row>
    <row r="140" spans="2:38" ht="15.75" customHeight="1">
      <c r="B140" s="595"/>
      <c r="C140" s="595"/>
      <c r="G140" s="80"/>
      <c r="N140" s="159"/>
      <c r="P140" s="629"/>
      <c r="Q140" s="760"/>
      <c r="AH140" s="80"/>
      <c r="AI140" s="80"/>
      <c r="AJ140" s="80"/>
      <c r="AL140" s="80"/>
    </row>
    <row r="141" spans="2:38" ht="15.75" customHeight="1">
      <c r="B141" s="595"/>
      <c r="C141" s="595"/>
      <c r="G141" s="80"/>
      <c r="N141" s="159"/>
      <c r="P141" s="629"/>
      <c r="Q141" s="760"/>
      <c r="AH141" s="80"/>
      <c r="AI141" s="80"/>
      <c r="AJ141" s="80"/>
      <c r="AL141" s="80"/>
    </row>
    <row r="142" spans="2:38" ht="15.75" customHeight="1">
      <c r="B142" s="595"/>
      <c r="C142" s="595"/>
      <c r="G142" s="80"/>
      <c r="N142" s="159"/>
      <c r="P142" s="629"/>
      <c r="Q142" s="760"/>
      <c r="AH142" s="80"/>
      <c r="AI142" s="80"/>
      <c r="AJ142" s="80"/>
      <c r="AL142" s="80"/>
    </row>
    <row r="143" spans="2:38" ht="15.75" customHeight="1">
      <c r="B143" s="595"/>
      <c r="C143" s="595"/>
      <c r="G143" s="80"/>
      <c r="N143" s="159"/>
      <c r="P143" s="629"/>
      <c r="Q143" s="760"/>
      <c r="AH143" s="80"/>
      <c r="AI143" s="80"/>
      <c r="AJ143" s="80"/>
      <c r="AL143" s="80"/>
    </row>
    <row r="144" spans="2:38" ht="15.75" customHeight="1">
      <c r="B144" s="595"/>
      <c r="C144" s="595"/>
      <c r="G144" s="80"/>
      <c r="N144" s="159"/>
      <c r="P144" s="629"/>
      <c r="Q144" s="760"/>
      <c r="AH144" s="80"/>
      <c r="AI144" s="80"/>
      <c r="AJ144" s="80"/>
      <c r="AL144" s="80"/>
    </row>
    <row r="145" spans="2:38" ht="15.75" customHeight="1">
      <c r="B145" s="595"/>
      <c r="C145" s="595"/>
      <c r="G145" s="80"/>
      <c r="N145" s="159"/>
      <c r="P145" s="629"/>
      <c r="Q145" s="760"/>
      <c r="AH145" s="80"/>
      <c r="AI145" s="80"/>
      <c r="AJ145" s="80"/>
      <c r="AL145" s="80"/>
    </row>
    <row r="146" spans="2:38" ht="15.75" customHeight="1">
      <c r="B146" s="595"/>
      <c r="C146" s="595"/>
      <c r="G146" s="80"/>
      <c r="N146" s="159"/>
      <c r="P146" s="629"/>
      <c r="Q146" s="760"/>
      <c r="AH146" s="80"/>
      <c r="AI146" s="80"/>
      <c r="AJ146" s="80"/>
      <c r="AL146" s="80"/>
    </row>
    <row r="147" spans="2:38" ht="15.75" customHeight="1">
      <c r="B147" s="595"/>
      <c r="C147" s="595"/>
      <c r="G147" s="80"/>
      <c r="N147" s="159"/>
      <c r="P147" s="629"/>
      <c r="Q147" s="760"/>
      <c r="AH147" s="80"/>
      <c r="AI147" s="80"/>
      <c r="AJ147" s="80"/>
      <c r="AL147" s="80"/>
    </row>
    <row r="148" spans="2:38" ht="15.75" customHeight="1">
      <c r="B148" s="595"/>
      <c r="C148" s="595"/>
      <c r="G148" s="80"/>
      <c r="N148" s="159"/>
      <c r="P148" s="629"/>
      <c r="Q148" s="760"/>
      <c r="AH148" s="80"/>
      <c r="AI148" s="80"/>
      <c r="AJ148" s="80"/>
      <c r="AL148" s="80"/>
    </row>
    <row r="149" spans="2:38" ht="15.75" customHeight="1">
      <c r="B149" s="595"/>
      <c r="C149" s="595"/>
      <c r="G149" s="80"/>
      <c r="N149" s="159"/>
      <c r="P149" s="629"/>
      <c r="Q149" s="760"/>
      <c r="AH149" s="80"/>
      <c r="AI149" s="80"/>
      <c r="AJ149" s="80"/>
      <c r="AL149" s="80"/>
    </row>
    <row r="150" spans="2:38" ht="15.75" customHeight="1">
      <c r="B150" s="595"/>
      <c r="C150" s="595"/>
      <c r="G150" s="80"/>
      <c r="N150" s="159"/>
      <c r="P150" s="629"/>
      <c r="Q150" s="760"/>
      <c r="AH150" s="80"/>
      <c r="AI150" s="80"/>
      <c r="AJ150" s="80"/>
      <c r="AL150" s="80"/>
    </row>
    <row r="151" spans="2:38" ht="15.75" customHeight="1">
      <c r="B151" s="595"/>
      <c r="C151" s="595"/>
      <c r="G151" s="80"/>
      <c r="N151" s="159"/>
      <c r="P151" s="629"/>
      <c r="Q151" s="760"/>
      <c r="AH151" s="80"/>
      <c r="AI151" s="80"/>
      <c r="AJ151" s="80"/>
      <c r="AL151" s="80"/>
    </row>
    <row r="152" spans="2:38" ht="15.75" customHeight="1">
      <c r="B152" s="595"/>
      <c r="C152" s="595"/>
      <c r="G152" s="80"/>
      <c r="N152" s="159"/>
      <c r="P152" s="629"/>
      <c r="Q152" s="760"/>
      <c r="AH152" s="80"/>
      <c r="AI152" s="80"/>
      <c r="AJ152" s="80"/>
      <c r="AL152" s="80"/>
    </row>
    <row r="153" spans="2:38" ht="15.75" customHeight="1">
      <c r="B153" s="595"/>
      <c r="C153" s="595"/>
      <c r="G153" s="80"/>
      <c r="N153" s="159"/>
      <c r="P153" s="629"/>
      <c r="Q153" s="760"/>
      <c r="AH153" s="80"/>
      <c r="AI153" s="80"/>
      <c r="AJ153" s="80"/>
      <c r="AL153" s="80"/>
    </row>
    <row r="154" spans="2:38" ht="15.75" customHeight="1">
      <c r="B154" s="595"/>
      <c r="C154" s="595"/>
      <c r="G154" s="80"/>
      <c r="N154" s="159"/>
      <c r="P154" s="629"/>
      <c r="Q154" s="760"/>
      <c r="AH154" s="80"/>
      <c r="AI154" s="80"/>
      <c r="AJ154" s="80"/>
      <c r="AL154" s="80"/>
    </row>
    <row r="155" spans="2:38" ht="15.75" customHeight="1">
      <c r="B155" s="595"/>
      <c r="C155" s="595"/>
      <c r="G155" s="80"/>
      <c r="N155" s="159"/>
      <c r="P155" s="629"/>
      <c r="Q155" s="760"/>
      <c r="AH155" s="80"/>
      <c r="AI155" s="80"/>
      <c r="AJ155" s="80"/>
      <c r="AL155" s="80"/>
    </row>
    <row r="156" spans="2:38" ht="15.75" customHeight="1">
      <c r="B156" s="595"/>
      <c r="C156" s="595"/>
      <c r="G156" s="80"/>
      <c r="N156" s="159"/>
      <c r="P156" s="629"/>
      <c r="Q156" s="760"/>
      <c r="AH156" s="80"/>
      <c r="AI156" s="80"/>
      <c r="AJ156" s="80"/>
      <c r="AL156" s="80"/>
    </row>
    <row r="157" spans="2:38" ht="15.75" customHeight="1">
      <c r="B157" s="595"/>
      <c r="C157" s="595"/>
      <c r="G157" s="80"/>
      <c r="N157" s="159"/>
      <c r="P157" s="629"/>
      <c r="Q157" s="760"/>
      <c r="AH157" s="80"/>
      <c r="AI157" s="80"/>
      <c r="AJ157" s="80"/>
      <c r="AL157" s="80"/>
    </row>
    <row r="158" spans="2:38" ht="15.75" customHeight="1">
      <c r="B158" s="595"/>
      <c r="C158" s="595"/>
      <c r="G158" s="80"/>
      <c r="N158" s="159"/>
      <c r="P158" s="629"/>
      <c r="Q158" s="760"/>
      <c r="AH158" s="80"/>
      <c r="AI158" s="80"/>
      <c r="AJ158" s="80"/>
      <c r="AL158" s="80"/>
    </row>
    <row r="159" spans="2:38" ht="15.75" customHeight="1">
      <c r="B159" s="595"/>
      <c r="C159" s="595"/>
      <c r="G159" s="80"/>
      <c r="N159" s="159"/>
      <c r="P159" s="629"/>
      <c r="Q159" s="760"/>
      <c r="AH159" s="80"/>
      <c r="AI159" s="80"/>
      <c r="AJ159" s="80"/>
      <c r="AL159" s="80"/>
    </row>
    <row r="160" spans="2:38" ht="15.75" customHeight="1">
      <c r="B160" s="595"/>
      <c r="C160" s="595"/>
      <c r="G160" s="80"/>
      <c r="N160" s="159"/>
      <c r="P160" s="629"/>
      <c r="Q160" s="760"/>
      <c r="AH160" s="80"/>
      <c r="AI160" s="80"/>
      <c r="AJ160" s="80"/>
      <c r="AL160" s="80"/>
    </row>
    <row r="161" spans="2:38" ht="15.75" customHeight="1">
      <c r="B161" s="595"/>
      <c r="C161" s="595"/>
      <c r="G161" s="80"/>
      <c r="N161" s="159"/>
      <c r="P161" s="629"/>
      <c r="Q161" s="760"/>
      <c r="AH161" s="80"/>
      <c r="AI161" s="80"/>
      <c r="AJ161" s="80"/>
      <c r="AL161" s="80"/>
    </row>
    <row r="162" spans="2:38" ht="15.75" customHeight="1">
      <c r="B162" s="595"/>
      <c r="C162" s="595"/>
      <c r="G162" s="80"/>
      <c r="N162" s="159"/>
      <c r="P162" s="629"/>
      <c r="Q162" s="760"/>
      <c r="AH162" s="80"/>
      <c r="AI162" s="80"/>
      <c r="AJ162" s="80"/>
      <c r="AL162" s="80"/>
    </row>
    <row r="163" spans="2:38" ht="15.75" customHeight="1">
      <c r="B163" s="595"/>
      <c r="C163" s="595"/>
      <c r="G163" s="80"/>
      <c r="N163" s="159"/>
      <c r="P163" s="629"/>
      <c r="Q163" s="760"/>
      <c r="AH163" s="80"/>
      <c r="AI163" s="80"/>
      <c r="AJ163" s="80"/>
      <c r="AL163" s="80"/>
    </row>
    <row r="164" spans="2:38" ht="15.75" customHeight="1">
      <c r="B164" s="595"/>
      <c r="C164" s="595"/>
      <c r="G164" s="80"/>
      <c r="N164" s="159"/>
      <c r="P164" s="629"/>
      <c r="Q164" s="760"/>
      <c r="AH164" s="80"/>
      <c r="AI164" s="80"/>
      <c r="AJ164" s="80"/>
      <c r="AL164" s="80"/>
    </row>
    <row r="165" spans="2:38" ht="15.75" customHeight="1">
      <c r="B165" s="595"/>
      <c r="C165" s="595"/>
      <c r="G165" s="80"/>
      <c r="N165" s="159"/>
      <c r="P165" s="629"/>
      <c r="Q165" s="760"/>
      <c r="AH165" s="80"/>
      <c r="AI165" s="80"/>
      <c r="AJ165" s="80"/>
      <c r="AL165" s="80"/>
    </row>
    <row r="166" spans="2:38" ht="15.75" customHeight="1">
      <c r="B166" s="595"/>
      <c r="C166" s="595"/>
      <c r="G166" s="80"/>
      <c r="N166" s="159"/>
      <c r="P166" s="629"/>
      <c r="Q166" s="760"/>
      <c r="AH166" s="80"/>
      <c r="AI166" s="80"/>
      <c r="AJ166" s="80"/>
      <c r="AL166" s="80"/>
    </row>
    <row r="167" spans="2:38" ht="15.75" customHeight="1">
      <c r="B167" s="595"/>
      <c r="C167" s="595"/>
      <c r="G167" s="80"/>
      <c r="N167" s="159"/>
      <c r="P167" s="629"/>
      <c r="Q167" s="760"/>
      <c r="AH167" s="80"/>
      <c r="AI167" s="80"/>
      <c r="AJ167" s="80"/>
      <c r="AL167" s="80"/>
    </row>
    <row r="168" spans="2:38" ht="15.75" customHeight="1">
      <c r="B168" s="595"/>
      <c r="C168" s="595"/>
      <c r="G168" s="80"/>
      <c r="N168" s="159"/>
      <c r="P168" s="629"/>
      <c r="Q168" s="760"/>
      <c r="AH168" s="80"/>
      <c r="AI168" s="80"/>
      <c r="AJ168" s="80"/>
      <c r="AL168" s="80"/>
    </row>
    <row r="169" spans="2:38" ht="15.75" customHeight="1">
      <c r="B169" s="595"/>
      <c r="C169" s="595"/>
      <c r="G169" s="80"/>
      <c r="N169" s="159"/>
      <c r="P169" s="629"/>
      <c r="Q169" s="760"/>
      <c r="AH169" s="80"/>
      <c r="AI169" s="80"/>
      <c r="AJ169" s="80"/>
      <c r="AL169" s="80"/>
    </row>
    <row r="170" spans="2:38" ht="15.75" customHeight="1">
      <c r="B170" s="595"/>
      <c r="C170" s="595"/>
      <c r="G170" s="80"/>
      <c r="N170" s="159"/>
      <c r="P170" s="629"/>
      <c r="Q170" s="760"/>
      <c r="AH170" s="80"/>
      <c r="AI170" s="80"/>
      <c r="AJ170" s="80"/>
      <c r="AL170" s="80"/>
    </row>
    <row r="171" spans="2:38" ht="15.75" customHeight="1">
      <c r="B171" s="595"/>
      <c r="C171" s="595"/>
      <c r="G171" s="80"/>
      <c r="N171" s="159"/>
      <c r="P171" s="629"/>
      <c r="Q171" s="760"/>
      <c r="AH171" s="80"/>
      <c r="AI171" s="80"/>
      <c r="AJ171" s="80"/>
      <c r="AL171" s="80"/>
    </row>
    <row r="172" spans="2:38" ht="15.75" customHeight="1">
      <c r="B172" s="595"/>
      <c r="C172" s="595"/>
      <c r="G172" s="80"/>
      <c r="N172" s="159"/>
      <c r="P172" s="629"/>
      <c r="Q172" s="760"/>
      <c r="AH172" s="80"/>
      <c r="AI172" s="80"/>
      <c r="AJ172" s="80"/>
      <c r="AL172" s="80"/>
    </row>
    <row r="173" spans="2:38" ht="15.75" customHeight="1">
      <c r="B173" s="595"/>
      <c r="C173" s="595"/>
      <c r="G173" s="80"/>
      <c r="N173" s="159"/>
      <c r="P173" s="629"/>
      <c r="Q173" s="760"/>
      <c r="AH173" s="80"/>
      <c r="AI173" s="80"/>
      <c r="AJ173" s="80"/>
      <c r="AL173" s="80"/>
    </row>
    <row r="174" spans="2:38" ht="15.75" customHeight="1">
      <c r="B174" s="595"/>
      <c r="C174" s="595"/>
      <c r="G174" s="80"/>
      <c r="N174" s="159"/>
      <c r="P174" s="629"/>
      <c r="AH174" s="80"/>
      <c r="AI174" s="80"/>
      <c r="AJ174" s="80"/>
      <c r="AL174" s="80"/>
    </row>
    <row r="175" spans="2:38" ht="15.75" customHeight="1">
      <c r="B175" s="595"/>
      <c r="C175" s="595"/>
      <c r="G175" s="80"/>
      <c r="N175" s="159"/>
      <c r="P175" s="629"/>
      <c r="AH175" s="80"/>
      <c r="AI175" s="80"/>
      <c r="AJ175" s="80"/>
      <c r="AL175" s="80"/>
    </row>
    <row r="176" spans="2:38" ht="15.75" customHeight="1">
      <c r="B176" s="595"/>
      <c r="C176" s="595"/>
      <c r="G176" s="80"/>
      <c r="N176" s="159"/>
      <c r="P176" s="629"/>
      <c r="AH176" s="80"/>
      <c r="AI176" s="80"/>
      <c r="AJ176" s="80"/>
      <c r="AL176" s="80"/>
    </row>
    <row r="177" spans="2:38" ht="15.75" customHeight="1">
      <c r="B177" s="595"/>
      <c r="C177" s="595"/>
      <c r="G177" s="80"/>
      <c r="N177" s="159"/>
      <c r="P177" s="629"/>
      <c r="AH177" s="80"/>
      <c r="AI177" s="80"/>
      <c r="AJ177" s="80"/>
      <c r="AL177" s="80"/>
    </row>
    <row r="178" spans="2:38" ht="15.75" customHeight="1">
      <c r="B178" s="595"/>
      <c r="C178" s="595"/>
      <c r="G178" s="80"/>
      <c r="N178" s="159"/>
      <c r="P178" s="629"/>
      <c r="AH178" s="80"/>
      <c r="AI178" s="80"/>
      <c r="AJ178" s="80"/>
      <c r="AL178" s="80"/>
    </row>
    <row r="179" spans="2:38" ht="15.75" customHeight="1">
      <c r="B179" s="595"/>
      <c r="C179" s="595"/>
      <c r="G179" s="80"/>
      <c r="N179" s="159"/>
      <c r="P179" s="629"/>
      <c r="AH179" s="80"/>
      <c r="AI179" s="80"/>
      <c r="AJ179" s="80"/>
      <c r="AL179" s="80"/>
    </row>
    <row r="180" spans="2:38" ht="15.75" customHeight="1">
      <c r="B180" s="595"/>
      <c r="C180" s="595"/>
      <c r="G180" s="80"/>
      <c r="N180" s="159"/>
      <c r="P180" s="629"/>
      <c r="AH180" s="80"/>
      <c r="AI180" s="80"/>
      <c r="AJ180" s="80"/>
      <c r="AL180" s="80"/>
    </row>
    <row r="181" spans="2:38" ht="15.75" customHeight="1">
      <c r="B181" s="595"/>
      <c r="C181" s="595"/>
      <c r="G181" s="80"/>
      <c r="N181" s="159"/>
      <c r="P181" s="629"/>
      <c r="AH181" s="80"/>
      <c r="AI181" s="80"/>
      <c r="AJ181" s="80"/>
      <c r="AL181" s="80"/>
    </row>
    <row r="182" spans="2:38" ht="15.75" customHeight="1">
      <c r="B182" s="595"/>
      <c r="C182" s="595"/>
      <c r="G182" s="80"/>
      <c r="N182" s="159"/>
      <c r="P182" s="629"/>
      <c r="AH182" s="80"/>
      <c r="AI182" s="80"/>
      <c r="AJ182" s="80"/>
      <c r="AL182" s="80"/>
    </row>
    <row r="183" spans="2:38" ht="15.75" customHeight="1">
      <c r="B183" s="595"/>
      <c r="C183" s="595"/>
      <c r="G183" s="80"/>
      <c r="N183" s="159"/>
      <c r="P183" s="629"/>
      <c r="AH183" s="80"/>
      <c r="AI183" s="80"/>
      <c r="AJ183" s="80"/>
      <c r="AL183" s="80"/>
    </row>
    <row r="184" spans="2:38" ht="15.75" customHeight="1">
      <c r="B184" s="595"/>
      <c r="C184" s="595"/>
      <c r="G184" s="80"/>
      <c r="N184" s="159"/>
      <c r="P184" s="629"/>
      <c r="AH184" s="80"/>
      <c r="AI184" s="80"/>
      <c r="AJ184" s="80"/>
      <c r="AL184" s="80"/>
    </row>
    <row r="185" spans="2:38" ht="15.75" customHeight="1">
      <c r="B185" s="595"/>
      <c r="C185" s="595"/>
      <c r="G185" s="80"/>
      <c r="N185" s="159"/>
      <c r="P185" s="629"/>
      <c r="AH185" s="80"/>
      <c r="AI185" s="80"/>
      <c r="AJ185" s="80"/>
      <c r="AL185" s="80"/>
    </row>
    <row r="186" spans="2:38" ht="15.75" customHeight="1">
      <c r="B186" s="595"/>
      <c r="C186" s="595"/>
      <c r="G186" s="80"/>
      <c r="N186" s="159"/>
      <c r="P186" s="629"/>
      <c r="AH186" s="80"/>
      <c r="AI186" s="80"/>
      <c r="AJ186" s="80"/>
      <c r="AL186" s="80"/>
    </row>
    <row r="187" spans="2:38" ht="15.75" customHeight="1">
      <c r="B187" s="595"/>
      <c r="C187" s="595"/>
      <c r="G187" s="80"/>
      <c r="N187" s="159"/>
      <c r="P187" s="629"/>
      <c r="AH187" s="80"/>
      <c r="AI187" s="80"/>
      <c r="AJ187" s="80"/>
      <c r="AL187" s="80"/>
    </row>
    <row r="188" spans="2:38" ht="15.75" customHeight="1">
      <c r="B188" s="595"/>
      <c r="C188" s="595"/>
      <c r="G188" s="80"/>
      <c r="N188" s="159"/>
      <c r="P188" s="629"/>
      <c r="AH188" s="80"/>
      <c r="AI188" s="80"/>
      <c r="AJ188" s="80"/>
      <c r="AL188" s="80"/>
    </row>
    <row r="189" spans="2:38" ht="15.75" customHeight="1">
      <c r="B189" s="595"/>
      <c r="C189" s="595"/>
      <c r="G189" s="80"/>
      <c r="N189" s="159"/>
      <c r="P189" s="629"/>
      <c r="AH189" s="80"/>
      <c r="AI189" s="80"/>
      <c r="AJ189" s="80"/>
      <c r="AL189" s="80"/>
    </row>
    <row r="190" spans="2:38" ht="15.75" customHeight="1">
      <c r="B190" s="595"/>
      <c r="C190" s="595"/>
      <c r="G190" s="80"/>
      <c r="N190" s="159"/>
      <c r="P190" s="629"/>
      <c r="AH190" s="80"/>
      <c r="AI190" s="80"/>
      <c r="AJ190" s="80"/>
      <c r="AL190" s="80"/>
    </row>
    <row r="191" spans="2:38" ht="15.75" customHeight="1">
      <c r="B191" s="595"/>
      <c r="C191" s="595"/>
      <c r="G191" s="80"/>
      <c r="N191" s="159"/>
      <c r="P191" s="629"/>
      <c r="AH191" s="80"/>
      <c r="AI191" s="80"/>
      <c r="AJ191" s="80"/>
      <c r="AL191" s="80"/>
    </row>
    <row r="192" spans="2:38" ht="15.75" customHeight="1">
      <c r="B192" s="595"/>
      <c r="C192" s="595"/>
      <c r="G192" s="80"/>
      <c r="N192" s="159"/>
      <c r="P192" s="629"/>
      <c r="AH192" s="80"/>
      <c r="AI192" s="80"/>
      <c r="AJ192" s="80"/>
      <c r="AL192" s="80"/>
    </row>
    <row r="193" spans="2:38" ht="15.75" customHeight="1">
      <c r="B193" s="595"/>
      <c r="C193" s="595"/>
      <c r="G193" s="80"/>
      <c r="N193" s="159"/>
      <c r="P193" s="629"/>
      <c r="AH193" s="80"/>
      <c r="AI193" s="80"/>
      <c r="AJ193" s="80"/>
      <c r="AL193" s="80"/>
    </row>
    <row r="194" spans="2:38" ht="15.75" customHeight="1">
      <c r="B194" s="595"/>
      <c r="C194" s="595"/>
      <c r="G194" s="80"/>
      <c r="N194" s="159"/>
      <c r="P194" s="629"/>
      <c r="AH194" s="80"/>
      <c r="AI194" s="80"/>
      <c r="AJ194" s="80"/>
      <c r="AL194" s="80"/>
    </row>
    <row r="195" spans="2:38" ht="15.75" customHeight="1">
      <c r="B195" s="595"/>
      <c r="C195" s="595"/>
      <c r="G195" s="80"/>
      <c r="N195" s="159"/>
      <c r="P195" s="629"/>
      <c r="AH195" s="80"/>
      <c r="AI195" s="80"/>
      <c r="AJ195" s="80"/>
      <c r="AL195" s="80"/>
    </row>
    <row r="196" spans="2:38" ht="15.75" customHeight="1">
      <c r="B196" s="595"/>
      <c r="C196" s="595"/>
      <c r="G196" s="80"/>
      <c r="N196" s="159"/>
      <c r="P196" s="629"/>
      <c r="AH196" s="80"/>
      <c r="AI196" s="80"/>
      <c r="AJ196" s="80"/>
      <c r="AL196" s="80"/>
    </row>
    <row r="197" spans="2:38" ht="15.75" customHeight="1">
      <c r="B197" s="595"/>
      <c r="C197" s="595"/>
      <c r="G197" s="80"/>
      <c r="N197" s="159"/>
      <c r="P197" s="629"/>
      <c r="AH197" s="80"/>
      <c r="AI197" s="80"/>
      <c r="AJ197" s="80"/>
      <c r="AL197" s="80"/>
    </row>
    <row r="198" spans="2:38" ht="15.75" customHeight="1">
      <c r="B198" s="595"/>
      <c r="C198" s="595"/>
      <c r="G198" s="80"/>
      <c r="N198" s="159"/>
      <c r="P198" s="629"/>
      <c r="AH198" s="80"/>
      <c r="AI198" s="80"/>
      <c r="AJ198" s="80"/>
      <c r="AL198" s="80"/>
    </row>
    <row r="199" spans="2:38" ht="15.75" customHeight="1">
      <c r="B199" s="595"/>
      <c r="C199" s="595"/>
      <c r="G199" s="80"/>
      <c r="N199" s="159"/>
      <c r="P199" s="629"/>
      <c r="AH199" s="80"/>
      <c r="AI199" s="80"/>
      <c r="AJ199" s="80"/>
      <c r="AL199" s="80"/>
    </row>
    <row r="200" spans="2:38" ht="15.75" customHeight="1">
      <c r="B200" s="595"/>
      <c r="C200" s="595"/>
      <c r="G200" s="80"/>
      <c r="N200" s="159"/>
      <c r="P200" s="629"/>
      <c r="AH200" s="80"/>
      <c r="AI200" s="80"/>
      <c r="AJ200" s="80"/>
      <c r="AL200" s="80"/>
    </row>
    <row r="201" spans="2:38" ht="15.75" customHeight="1">
      <c r="B201" s="595"/>
      <c r="C201" s="595"/>
      <c r="G201" s="80"/>
      <c r="N201" s="159"/>
      <c r="P201" s="629"/>
      <c r="AH201" s="80"/>
      <c r="AI201" s="80"/>
      <c r="AJ201" s="80"/>
      <c r="AL201" s="80"/>
    </row>
    <row r="202" spans="2:38" ht="15.75" customHeight="1">
      <c r="B202" s="595"/>
      <c r="C202" s="595"/>
      <c r="G202" s="80"/>
      <c r="N202" s="159"/>
      <c r="P202" s="629"/>
      <c r="AH202" s="80"/>
      <c r="AI202" s="80"/>
      <c r="AJ202" s="80"/>
      <c r="AL202" s="80"/>
    </row>
    <row r="203" spans="2:38" ht="15.75" customHeight="1">
      <c r="B203" s="595"/>
      <c r="C203" s="595"/>
      <c r="G203" s="80"/>
      <c r="N203" s="159"/>
      <c r="P203" s="629"/>
      <c r="AH203" s="80"/>
      <c r="AI203" s="80"/>
      <c r="AJ203" s="80"/>
      <c r="AL203" s="80"/>
    </row>
    <row r="204" spans="2:38" ht="15.75" customHeight="1">
      <c r="G204" s="80"/>
      <c r="N204" s="159"/>
      <c r="P204" s="629"/>
      <c r="AH204" s="80"/>
      <c r="AI204" s="80"/>
      <c r="AJ204" s="80"/>
      <c r="AL204" s="80"/>
    </row>
    <row r="205" spans="2:38" ht="15.75" customHeight="1">
      <c r="G205" s="80"/>
      <c r="N205" s="159"/>
      <c r="P205" s="629"/>
      <c r="AH205" s="80"/>
      <c r="AI205" s="80"/>
      <c r="AJ205" s="80"/>
      <c r="AL205" s="80"/>
    </row>
    <row r="206" spans="2:38" ht="15.75" customHeight="1">
      <c r="G206" s="80"/>
      <c r="N206" s="159"/>
      <c r="P206" s="629"/>
      <c r="AH206" s="80"/>
      <c r="AI206" s="80"/>
      <c r="AJ206" s="80"/>
      <c r="AL206" s="80"/>
    </row>
    <row r="207" spans="2:38" ht="15.75" customHeight="1">
      <c r="G207" s="80"/>
      <c r="N207" s="159"/>
      <c r="P207" s="629"/>
      <c r="AH207" s="80"/>
      <c r="AI207" s="80"/>
      <c r="AJ207" s="80"/>
      <c r="AL207" s="80"/>
    </row>
    <row r="208" spans="2:38" ht="15.75" customHeight="1">
      <c r="G208" s="80"/>
      <c r="N208" s="159"/>
      <c r="P208" s="629"/>
      <c r="AH208" s="80"/>
      <c r="AI208" s="80"/>
      <c r="AJ208" s="80"/>
      <c r="AL208" s="80"/>
    </row>
    <row r="209" spans="7:38" ht="15.75" customHeight="1">
      <c r="G209" s="80"/>
      <c r="N209" s="159"/>
      <c r="P209" s="629"/>
      <c r="AH209" s="80"/>
      <c r="AI209" s="80"/>
      <c r="AJ209" s="80"/>
      <c r="AL209" s="80"/>
    </row>
    <row r="210" spans="7:38" ht="15.75" customHeight="1">
      <c r="G210" s="80"/>
      <c r="N210" s="159"/>
      <c r="P210" s="629"/>
      <c r="AH210" s="80"/>
      <c r="AI210" s="80"/>
      <c r="AJ210" s="80"/>
      <c r="AL210" s="80"/>
    </row>
    <row r="211" spans="7:38" ht="15.75" customHeight="1">
      <c r="G211" s="80"/>
      <c r="N211" s="159"/>
      <c r="P211" s="629"/>
      <c r="AH211" s="80"/>
      <c r="AI211" s="80"/>
      <c r="AJ211" s="80"/>
      <c r="AL211" s="80"/>
    </row>
    <row r="212" spans="7:38" ht="15.75" customHeight="1">
      <c r="G212" s="80"/>
      <c r="N212" s="159"/>
      <c r="P212" s="629"/>
      <c r="AH212" s="80"/>
      <c r="AI212" s="80"/>
      <c r="AJ212" s="80"/>
      <c r="AL212" s="80"/>
    </row>
    <row r="213" spans="7:38" ht="15.75" customHeight="1">
      <c r="G213" s="80"/>
      <c r="N213" s="159"/>
      <c r="P213" s="629"/>
      <c r="AH213" s="80"/>
      <c r="AI213" s="80"/>
      <c r="AJ213" s="80"/>
      <c r="AL213" s="80"/>
    </row>
    <row r="214" spans="7:38" ht="15.75" customHeight="1">
      <c r="G214" s="80"/>
      <c r="N214" s="159"/>
      <c r="P214" s="629"/>
      <c r="AH214" s="80"/>
      <c r="AI214" s="80"/>
      <c r="AJ214" s="80"/>
      <c r="AL214" s="80"/>
    </row>
    <row r="215" spans="7:38" ht="15.75" customHeight="1">
      <c r="G215" s="80"/>
      <c r="N215" s="159"/>
      <c r="P215" s="629"/>
      <c r="AH215" s="80"/>
      <c r="AI215" s="80"/>
      <c r="AJ215" s="80"/>
      <c r="AL215" s="80"/>
    </row>
    <row r="216" spans="7:38" ht="15.75" customHeight="1">
      <c r="G216" s="80"/>
      <c r="N216" s="159"/>
      <c r="P216" s="629"/>
      <c r="AH216" s="80"/>
      <c r="AI216" s="80"/>
      <c r="AJ216" s="80"/>
      <c r="AL216" s="80"/>
    </row>
    <row r="217" spans="7:38" ht="15.75" customHeight="1">
      <c r="G217" s="80"/>
      <c r="P217" s="629"/>
      <c r="AH217" s="80"/>
      <c r="AI217" s="80"/>
      <c r="AJ217" s="80"/>
      <c r="AL217" s="80"/>
    </row>
    <row r="218" spans="7:38" ht="15.75" customHeight="1">
      <c r="G218" s="80"/>
      <c r="P218" s="629"/>
      <c r="AH218" s="80"/>
      <c r="AI218" s="80"/>
      <c r="AJ218" s="80"/>
      <c r="AL218" s="80"/>
    </row>
    <row r="219" spans="7:38" ht="15.75" customHeight="1">
      <c r="G219" s="80"/>
      <c r="P219" s="629"/>
      <c r="AH219" s="80"/>
      <c r="AI219" s="80"/>
      <c r="AJ219" s="80"/>
      <c r="AL219" s="80"/>
    </row>
    <row r="220" spans="7:38" ht="15.75" customHeight="1">
      <c r="G220" s="80"/>
      <c r="P220" s="629"/>
      <c r="AH220" s="80"/>
      <c r="AI220" s="80"/>
      <c r="AJ220" s="80"/>
      <c r="AL220" s="80"/>
    </row>
    <row r="221" spans="7:38" ht="15.75" customHeight="1">
      <c r="G221" s="80"/>
      <c r="P221" s="629"/>
      <c r="AH221" s="80"/>
      <c r="AI221" s="80"/>
      <c r="AJ221" s="80"/>
      <c r="AL221" s="80"/>
    </row>
    <row r="222" spans="7:38" ht="15.75" customHeight="1">
      <c r="G222" s="80"/>
      <c r="P222" s="629"/>
      <c r="AH222" s="80"/>
      <c r="AI222" s="80"/>
      <c r="AJ222" s="80"/>
      <c r="AL222" s="80"/>
    </row>
    <row r="223" spans="7:38" ht="15.75" customHeight="1">
      <c r="G223" s="80"/>
      <c r="P223" s="629"/>
      <c r="AH223" s="80"/>
      <c r="AI223" s="80"/>
      <c r="AJ223" s="80"/>
      <c r="AL223" s="80"/>
    </row>
    <row r="224" spans="7:38" ht="15.75" customHeight="1">
      <c r="G224" s="80"/>
      <c r="P224" s="629"/>
      <c r="AH224" s="80"/>
      <c r="AI224" s="80"/>
      <c r="AJ224" s="80"/>
      <c r="AL224" s="80"/>
    </row>
    <row r="225" spans="7:38" ht="15.75" customHeight="1">
      <c r="G225" s="80"/>
      <c r="P225" s="629"/>
      <c r="AH225" s="80"/>
      <c r="AI225" s="80"/>
      <c r="AJ225" s="80"/>
      <c r="AL225" s="80"/>
    </row>
    <row r="226" spans="7:38" ht="15.75" customHeight="1">
      <c r="G226" s="80"/>
      <c r="P226" s="629"/>
      <c r="AH226" s="80"/>
      <c r="AI226" s="80"/>
      <c r="AJ226" s="80"/>
      <c r="AL226" s="80"/>
    </row>
    <row r="227" spans="7:38" ht="15.75" customHeight="1">
      <c r="G227" s="80"/>
      <c r="P227" s="629"/>
      <c r="AH227" s="80"/>
      <c r="AI227" s="80"/>
      <c r="AJ227" s="80"/>
      <c r="AL227" s="80"/>
    </row>
    <row r="228" spans="7:38" ht="15.75" customHeight="1">
      <c r="G228" s="80"/>
      <c r="P228" s="629"/>
      <c r="AH228" s="80"/>
      <c r="AI228" s="80"/>
      <c r="AJ228" s="80"/>
      <c r="AL228" s="80"/>
    </row>
    <row r="229" spans="7:38" ht="15.75" customHeight="1">
      <c r="G229" s="80"/>
      <c r="P229" s="629"/>
      <c r="AH229" s="80"/>
      <c r="AI229" s="80"/>
      <c r="AJ229" s="80"/>
      <c r="AL229" s="80"/>
    </row>
    <row r="230" spans="7:38" ht="15.75" customHeight="1">
      <c r="G230" s="80"/>
      <c r="P230" s="629"/>
      <c r="AH230" s="80"/>
      <c r="AI230" s="80"/>
      <c r="AJ230" s="80"/>
      <c r="AL230" s="80"/>
    </row>
    <row r="231" spans="7:38" ht="15.75" customHeight="1">
      <c r="G231" s="80"/>
      <c r="P231" s="629"/>
      <c r="AH231" s="80"/>
      <c r="AI231" s="80"/>
      <c r="AJ231" s="80"/>
      <c r="AL231" s="80"/>
    </row>
    <row r="232" spans="7:38" ht="15.75" customHeight="1">
      <c r="G232" s="80"/>
      <c r="P232" s="629"/>
      <c r="AH232" s="80"/>
      <c r="AI232" s="80"/>
      <c r="AJ232" s="80"/>
      <c r="AL232" s="80"/>
    </row>
    <row r="233" spans="7:38" ht="15.75" customHeight="1">
      <c r="G233" s="80"/>
      <c r="P233" s="629"/>
      <c r="AH233" s="80"/>
      <c r="AI233" s="80"/>
      <c r="AJ233" s="80"/>
      <c r="AL233" s="80"/>
    </row>
    <row r="234" spans="7:38" ht="15.75" customHeight="1">
      <c r="G234" s="80"/>
      <c r="P234" s="629"/>
      <c r="AH234" s="80"/>
      <c r="AI234" s="80"/>
      <c r="AJ234" s="80"/>
      <c r="AL234" s="80"/>
    </row>
    <row r="235" spans="7:38" ht="15.75" customHeight="1">
      <c r="G235" s="80"/>
      <c r="P235" s="629"/>
      <c r="AH235" s="80"/>
      <c r="AI235" s="80"/>
      <c r="AJ235" s="80"/>
      <c r="AL235" s="80"/>
    </row>
    <row r="236" spans="7:38" ht="15.75" customHeight="1">
      <c r="G236" s="80"/>
      <c r="P236" s="629"/>
      <c r="AH236" s="80"/>
      <c r="AI236" s="80"/>
      <c r="AJ236" s="80"/>
      <c r="AL236" s="80"/>
    </row>
    <row r="237" spans="7:38" ht="15.75" customHeight="1">
      <c r="G237" s="80"/>
      <c r="P237" s="629"/>
      <c r="AH237" s="80"/>
      <c r="AI237" s="80"/>
      <c r="AJ237" s="80"/>
      <c r="AL237" s="80"/>
    </row>
    <row r="238" spans="7:38" ht="15.75" customHeight="1">
      <c r="G238" s="80"/>
      <c r="P238" s="629"/>
      <c r="AH238" s="80"/>
      <c r="AI238" s="80"/>
      <c r="AJ238" s="80"/>
      <c r="AL238" s="80"/>
    </row>
    <row r="239" spans="7:38" ht="15.75" customHeight="1">
      <c r="G239" s="80"/>
      <c r="P239" s="629"/>
      <c r="AH239" s="80"/>
      <c r="AI239" s="80"/>
      <c r="AJ239" s="80"/>
      <c r="AL239" s="80"/>
    </row>
    <row r="240" spans="7:38" ht="15.75" customHeight="1">
      <c r="G240" s="80"/>
      <c r="P240" s="629"/>
      <c r="AH240" s="80"/>
      <c r="AI240" s="80"/>
      <c r="AJ240" s="80"/>
      <c r="AL240" s="80"/>
    </row>
    <row r="241" spans="7:38" ht="15.75" customHeight="1">
      <c r="G241" s="80"/>
      <c r="P241" s="629"/>
      <c r="AH241" s="80"/>
      <c r="AI241" s="80"/>
      <c r="AJ241" s="80"/>
      <c r="AL241" s="80"/>
    </row>
    <row r="242" spans="7:38" ht="15.75" customHeight="1">
      <c r="G242" s="80"/>
      <c r="P242" s="629"/>
      <c r="AH242" s="80"/>
      <c r="AI242" s="80"/>
      <c r="AJ242" s="80"/>
      <c r="AL242" s="80"/>
    </row>
    <row r="243" spans="7:38" ht="15.75" customHeight="1">
      <c r="G243" s="80"/>
      <c r="P243" s="629"/>
      <c r="AH243" s="80"/>
      <c r="AI243" s="80"/>
      <c r="AJ243" s="80"/>
      <c r="AL243" s="80"/>
    </row>
    <row r="244" spans="7:38" ht="15.75" customHeight="1">
      <c r="G244" s="80"/>
      <c r="P244" s="629"/>
      <c r="AH244" s="80"/>
      <c r="AI244" s="80"/>
      <c r="AJ244" s="80"/>
      <c r="AL244" s="80"/>
    </row>
    <row r="245" spans="7:38" ht="15.75" customHeight="1">
      <c r="G245" s="80"/>
      <c r="P245" s="629"/>
      <c r="AH245" s="80"/>
      <c r="AI245" s="80"/>
      <c r="AJ245" s="80"/>
      <c r="AL245" s="80"/>
    </row>
    <row r="246" spans="7:38" ht="15.75" customHeight="1">
      <c r="G246" s="80"/>
      <c r="P246" s="629"/>
      <c r="AH246" s="80"/>
      <c r="AI246" s="80"/>
      <c r="AJ246" s="80"/>
      <c r="AL246" s="80"/>
    </row>
    <row r="247" spans="7:38" ht="15.75" customHeight="1">
      <c r="G247" s="80"/>
      <c r="P247" s="629"/>
      <c r="AH247" s="80"/>
      <c r="AI247" s="80"/>
      <c r="AJ247" s="80"/>
      <c r="AL247" s="80"/>
    </row>
    <row r="248" spans="7:38" ht="15.75" customHeight="1">
      <c r="G248" s="80"/>
      <c r="P248" s="629"/>
      <c r="AH248" s="80"/>
      <c r="AI248" s="80"/>
      <c r="AJ248" s="80"/>
      <c r="AL248" s="80"/>
    </row>
    <row r="249" spans="7:38" ht="15.75" customHeight="1">
      <c r="G249" s="80"/>
      <c r="P249" s="629"/>
      <c r="AH249" s="80"/>
      <c r="AI249" s="80"/>
      <c r="AJ249" s="80"/>
      <c r="AL249" s="80"/>
    </row>
    <row r="250" spans="7:38" ht="15.75" customHeight="1">
      <c r="G250" s="80"/>
      <c r="P250" s="629"/>
      <c r="AH250" s="80"/>
      <c r="AI250" s="80"/>
      <c r="AJ250" s="80"/>
      <c r="AL250" s="80"/>
    </row>
    <row r="251" spans="7:38" ht="15.75" customHeight="1">
      <c r="G251" s="80"/>
      <c r="P251" s="629"/>
      <c r="AH251" s="80"/>
      <c r="AI251" s="80"/>
      <c r="AJ251" s="80"/>
      <c r="AL251" s="80"/>
    </row>
    <row r="252" spans="7:38" ht="15.75" customHeight="1">
      <c r="G252" s="80"/>
      <c r="P252" s="629"/>
      <c r="AH252" s="80"/>
      <c r="AI252" s="80"/>
      <c r="AJ252" s="80"/>
      <c r="AL252" s="80"/>
    </row>
    <row r="253" spans="7:38" ht="15.75" customHeight="1">
      <c r="G253" s="80"/>
      <c r="P253" s="629"/>
      <c r="AH253" s="80"/>
      <c r="AI253" s="80"/>
      <c r="AJ253" s="80"/>
      <c r="AL253" s="80"/>
    </row>
    <row r="254" spans="7:38" ht="15.75" customHeight="1">
      <c r="G254" s="80"/>
      <c r="P254" s="629"/>
      <c r="AH254" s="80"/>
      <c r="AI254" s="80"/>
      <c r="AJ254" s="80"/>
      <c r="AL254" s="80"/>
    </row>
    <row r="255" spans="7:38" ht="15.75" customHeight="1">
      <c r="G255" s="80"/>
      <c r="P255" s="629"/>
      <c r="AH255" s="80"/>
      <c r="AI255" s="80"/>
      <c r="AJ255" s="80"/>
      <c r="AL255" s="80"/>
    </row>
    <row r="256" spans="7:38" ht="15.75" customHeight="1">
      <c r="G256" s="80"/>
      <c r="P256" s="629"/>
      <c r="AH256" s="80"/>
      <c r="AI256" s="80"/>
      <c r="AJ256" s="80"/>
      <c r="AL256" s="80"/>
    </row>
    <row r="257" spans="7:38" ht="15.75" customHeight="1">
      <c r="G257" s="80"/>
      <c r="P257" s="629"/>
      <c r="AH257" s="80"/>
      <c r="AI257" s="80"/>
      <c r="AJ257" s="80"/>
      <c r="AL257" s="80"/>
    </row>
    <row r="258" spans="7:38" ht="15.75" customHeight="1">
      <c r="G258" s="80"/>
      <c r="P258" s="629"/>
      <c r="AH258" s="80"/>
      <c r="AI258" s="80"/>
      <c r="AJ258" s="80"/>
      <c r="AL258" s="80"/>
    </row>
    <row r="259" spans="7:38" ht="15.75" customHeight="1">
      <c r="G259" s="80"/>
      <c r="P259" s="629"/>
      <c r="AH259" s="80"/>
      <c r="AI259" s="80"/>
      <c r="AJ259" s="80"/>
      <c r="AL259" s="80"/>
    </row>
    <row r="260" spans="7:38" ht="15.75" customHeight="1">
      <c r="G260" s="80"/>
      <c r="P260" s="629"/>
      <c r="AH260" s="80"/>
      <c r="AI260" s="80"/>
      <c r="AJ260" s="80"/>
      <c r="AL260" s="80"/>
    </row>
    <row r="261" spans="7:38" ht="15.75" customHeight="1">
      <c r="G261" s="80"/>
      <c r="P261" s="629"/>
      <c r="AH261" s="80"/>
      <c r="AI261" s="80"/>
      <c r="AJ261" s="80"/>
      <c r="AL261" s="80"/>
    </row>
    <row r="262" spans="7:38" ht="15.75" customHeight="1">
      <c r="G262" s="80"/>
      <c r="P262" s="629"/>
      <c r="AH262" s="80"/>
      <c r="AI262" s="80"/>
      <c r="AJ262" s="80"/>
      <c r="AL262" s="80"/>
    </row>
    <row r="263" spans="7:38" ht="15.75" customHeight="1">
      <c r="G263" s="80"/>
      <c r="P263" s="629"/>
      <c r="AH263" s="80"/>
      <c r="AI263" s="80"/>
      <c r="AJ263" s="80"/>
      <c r="AL263" s="80"/>
    </row>
    <row r="264" spans="7:38" ht="15.75" customHeight="1">
      <c r="G264" s="80"/>
      <c r="P264" s="629"/>
      <c r="AH264" s="80"/>
      <c r="AI264" s="80"/>
      <c r="AJ264" s="80"/>
      <c r="AL264" s="80"/>
    </row>
    <row r="265" spans="7:38" ht="15.75" customHeight="1">
      <c r="G265" s="80"/>
      <c r="P265" s="629"/>
      <c r="AH265" s="80"/>
      <c r="AI265" s="80"/>
      <c r="AJ265" s="80"/>
      <c r="AL265" s="80"/>
    </row>
    <row r="266" spans="7:38" ht="15.75" customHeight="1">
      <c r="G266" s="80"/>
      <c r="P266" s="629"/>
      <c r="AH266" s="80"/>
      <c r="AI266" s="80"/>
      <c r="AJ266" s="80"/>
      <c r="AL266" s="80"/>
    </row>
    <row r="267" spans="7:38" ht="15.75" customHeight="1">
      <c r="G267" s="80"/>
      <c r="P267" s="629"/>
      <c r="AH267" s="80"/>
      <c r="AI267" s="80"/>
      <c r="AJ267" s="80"/>
      <c r="AL267" s="80"/>
    </row>
    <row r="268" spans="7:38" ht="15.75" customHeight="1">
      <c r="G268" s="80"/>
      <c r="P268" s="629"/>
      <c r="AH268" s="80"/>
      <c r="AI268" s="80"/>
      <c r="AJ268" s="80"/>
      <c r="AL268" s="80"/>
    </row>
    <row r="269" spans="7:38" ht="15.75" customHeight="1">
      <c r="G269" s="80"/>
      <c r="P269" s="629"/>
      <c r="AH269" s="80"/>
      <c r="AI269" s="80"/>
      <c r="AJ269" s="80"/>
      <c r="AL269" s="80"/>
    </row>
    <row r="270" spans="7:38" ht="15.75" customHeight="1">
      <c r="G270" s="80"/>
      <c r="P270" s="629"/>
      <c r="AH270" s="80"/>
      <c r="AI270" s="80"/>
      <c r="AJ270" s="80"/>
      <c r="AL270" s="80"/>
    </row>
    <row r="271" spans="7:38" ht="15.75" customHeight="1">
      <c r="G271" s="80"/>
      <c r="P271" s="629"/>
      <c r="AH271" s="80"/>
      <c r="AI271" s="80"/>
      <c r="AJ271" s="80"/>
      <c r="AL271" s="80"/>
    </row>
    <row r="272" spans="7:38" ht="15.75" customHeight="1">
      <c r="G272" s="80"/>
      <c r="P272" s="629"/>
      <c r="AH272" s="80"/>
      <c r="AI272" s="80"/>
      <c r="AJ272" s="80"/>
      <c r="AL272" s="80"/>
    </row>
    <row r="273" spans="7:38" ht="15.75" customHeight="1">
      <c r="G273" s="80"/>
      <c r="P273" s="629"/>
      <c r="AH273" s="80"/>
      <c r="AI273" s="80"/>
      <c r="AJ273" s="80"/>
      <c r="AL273" s="80"/>
    </row>
    <row r="274" spans="7:38" ht="15.75" customHeight="1">
      <c r="G274" s="80"/>
      <c r="P274" s="629"/>
      <c r="AH274" s="80"/>
      <c r="AI274" s="80"/>
      <c r="AJ274" s="80"/>
      <c r="AL274" s="80"/>
    </row>
    <row r="275" spans="7:38" ht="15.75" customHeight="1">
      <c r="G275" s="80"/>
      <c r="P275" s="629"/>
      <c r="AH275" s="80"/>
      <c r="AI275" s="80"/>
      <c r="AJ275" s="80"/>
      <c r="AL275" s="80"/>
    </row>
    <row r="276" spans="7:38" ht="15.75" customHeight="1">
      <c r="G276" s="80"/>
      <c r="P276" s="629"/>
      <c r="AH276" s="80"/>
      <c r="AI276" s="80"/>
      <c r="AJ276" s="80"/>
      <c r="AL276" s="80"/>
    </row>
    <row r="277" spans="7:38" ht="15.75" customHeight="1">
      <c r="G277" s="80"/>
      <c r="P277" s="629"/>
      <c r="AH277" s="80"/>
      <c r="AI277" s="80"/>
      <c r="AJ277" s="80"/>
      <c r="AL277" s="80"/>
    </row>
    <row r="278" spans="7:38" ht="15.75" customHeight="1">
      <c r="G278" s="80"/>
      <c r="P278" s="629"/>
      <c r="AH278" s="80"/>
      <c r="AI278" s="80"/>
      <c r="AJ278" s="80"/>
      <c r="AL278" s="80"/>
    </row>
    <row r="279" spans="7:38" ht="15.75" customHeight="1">
      <c r="G279" s="80"/>
      <c r="P279" s="629"/>
      <c r="AH279" s="80"/>
      <c r="AI279" s="80"/>
      <c r="AJ279" s="80"/>
      <c r="AL279" s="80"/>
    </row>
    <row r="280" spans="7:38" ht="15.75" customHeight="1">
      <c r="G280" s="80"/>
      <c r="P280" s="629"/>
      <c r="AH280" s="80"/>
      <c r="AI280" s="80"/>
      <c r="AJ280" s="80"/>
      <c r="AL280" s="80"/>
    </row>
    <row r="281" spans="7:38" ht="15.75" customHeight="1">
      <c r="G281" s="80"/>
      <c r="P281" s="629"/>
      <c r="AH281" s="80"/>
      <c r="AI281" s="80"/>
      <c r="AJ281" s="80"/>
      <c r="AL281" s="80"/>
    </row>
    <row r="282" spans="7:38" ht="15.75" customHeight="1">
      <c r="G282" s="80"/>
      <c r="P282" s="629"/>
      <c r="AH282" s="80"/>
      <c r="AI282" s="80"/>
      <c r="AJ282" s="80"/>
      <c r="AL282" s="80"/>
    </row>
    <row r="283" spans="7:38" ht="15.75" customHeight="1">
      <c r="G283" s="80"/>
      <c r="P283" s="629"/>
      <c r="AH283" s="80"/>
      <c r="AI283" s="80"/>
      <c r="AJ283" s="80"/>
      <c r="AL283" s="80"/>
    </row>
    <row r="284" spans="7:38" ht="15.75" customHeight="1">
      <c r="G284" s="80"/>
      <c r="P284" s="629"/>
      <c r="AH284" s="80"/>
      <c r="AI284" s="80"/>
      <c r="AJ284" s="80"/>
      <c r="AL284" s="80"/>
    </row>
    <row r="285" spans="7:38" ht="15.75" customHeight="1">
      <c r="G285" s="80"/>
      <c r="P285" s="629"/>
      <c r="AH285" s="80"/>
      <c r="AI285" s="80"/>
      <c r="AJ285" s="80"/>
      <c r="AL285" s="80"/>
    </row>
    <row r="286" spans="7:38" ht="15.75" customHeight="1">
      <c r="G286" s="80"/>
      <c r="P286" s="629"/>
      <c r="AH286" s="80"/>
      <c r="AI286" s="80"/>
      <c r="AJ286" s="80"/>
      <c r="AL286" s="80"/>
    </row>
    <row r="287" spans="7:38" ht="15.75" customHeight="1">
      <c r="G287" s="80"/>
      <c r="P287" s="629"/>
      <c r="AH287" s="80"/>
      <c r="AI287" s="80"/>
      <c r="AJ287" s="80"/>
      <c r="AL287" s="80"/>
    </row>
    <row r="288" spans="7:38" ht="15.75" customHeight="1">
      <c r="G288" s="80"/>
      <c r="P288" s="629"/>
      <c r="AH288" s="80"/>
      <c r="AI288" s="80"/>
      <c r="AJ288" s="80"/>
      <c r="AL288" s="80"/>
    </row>
    <row r="289" spans="7:38" ht="15.75" customHeight="1">
      <c r="G289" s="80"/>
      <c r="P289" s="629"/>
      <c r="AH289" s="80"/>
      <c r="AI289" s="80"/>
      <c r="AJ289" s="80"/>
      <c r="AL289" s="80"/>
    </row>
    <row r="290" spans="7:38" ht="15.75" customHeight="1">
      <c r="G290" s="80"/>
      <c r="P290" s="629"/>
      <c r="AH290" s="80"/>
      <c r="AI290" s="80"/>
      <c r="AJ290" s="80"/>
      <c r="AL290" s="80"/>
    </row>
    <row r="291" spans="7:38" ht="15.75" customHeight="1">
      <c r="G291" s="80"/>
      <c r="P291" s="629"/>
      <c r="AH291" s="80"/>
      <c r="AI291" s="80"/>
      <c r="AJ291" s="80"/>
      <c r="AL291" s="80"/>
    </row>
    <row r="292" spans="7:38" ht="15.75" customHeight="1">
      <c r="G292" s="80"/>
      <c r="P292" s="629"/>
      <c r="AH292" s="80"/>
      <c r="AI292" s="80"/>
      <c r="AJ292" s="80"/>
      <c r="AL292" s="80"/>
    </row>
    <row r="293" spans="7:38" ht="15.75" customHeight="1">
      <c r="G293" s="80"/>
      <c r="P293" s="629"/>
      <c r="AH293" s="80"/>
      <c r="AI293" s="80"/>
      <c r="AJ293" s="80"/>
      <c r="AL293" s="80"/>
    </row>
    <row r="294" spans="7:38" ht="15.75" customHeight="1">
      <c r="G294" s="80"/>
      <c r="P294" s="629"/>
      <c r="AH294" s="80"/>
      <c r="AI294" s="80"/>
      <c r="AJ294" s="80"/>
      <c r="AL294" s="80"/>
    </row>
    <row r="295" spans="7:38" ht="15.75" customHeight="1">
      <c r="G295" s="80"/>
      <c r="P295" s="629"/>
      <c r="AH295" s="80"/>
      <c r="AI295" s="80"/>
      <c r="AJ295" s="80"/>
      <c r="AL295" s="80"/>
    </row>
    <row r="296" spans="7:38" ht="15.75" customHeight="1">
      <c r="G296" s="80"/>
      <c r="P296" s="629"/>
      <c r="AH296" s="80"/>
      <c r="AI296" s="80"/>
      <c r="AJ296" s="80"/>
      <c r="AL296" s="80"/>
    </row>
    <row r="297" spans="7:38" ht="15.75" customHeight="1">
      <c r="G297" s="80"/>
      <c r="P297" s="629"/>
      <c r="AH297" s="80"/>
      <c r="AI297" s="80"/>
      <c r="AJ297" s="80"/>
      <c r="AL297" s="80"/>
    </row>
    <row r="298" spans="7:38" ht="15.75" customHeight="1">
      <c r="G298" s="80"/>
      <c r="P298" s="629"/>
      <c r="AH298" s="80"/>
      <c r="AI298" s="80"/>
      <c r="AJ298" s="80"/>
      <c r="AL298" s="80"/>
    </row>
    <row r="299" spans="7:38" ht="15.75" customHeight="1">
      <c r="G299" s="80"/>
      <c r="P299" s="629"/>
      <c r="AH299" s="80"/>
      <c r="AI299" s="80"/>
      <c r="AJ299" s="80"/>
      <c r="AL299" s="80"/>
    </row>
    <row r="300" spans="7:38" ht="15.75" customHeight="1">
      <c r="G300" s="80"/>
      <c r="P300" s="629"/>
      <c r="AH300" s="80"/>
      <c r="AI300" s="80"/>
      <c r="AJ300" s="80"/>
      <c r="AL300" s="80"/>
    </row>
    <row r="301" spans="7:38" ht="15.75" customHeight="1">
      <c r="G301" s="80"/>
      <c r="P301" s="629"/>
      <c r="AH301" s="80"/>
      <c r="AI301" s="80"/>
      <c r="AJ301" s="80"/>
      <c r="AL301" s="80"/>
    </row>
    <row r="302" spans="7:38" ht="15.75" customHeight="1">
      <c r="G302" s="80"/>
      <c r="P302" s="629"/>
      <c r="AH302" s="80"/>
      <c r="AI302" s="80"/>
      <c r="AJ302" s="80"/>
      <c r="AL302" s="80"/>
    </row>
    <row r="303" spans="7:38" ht="15.75" customHeight="1">
      <c r="G303" s="80"/>
      <c r="P303" s="629"/>
      <c r="AH303" s="80"/>
      <c r="AI303" s="80"/>
      <c r="AJ303" s="80"/>
      <c r="AL303" s="80"/>
    </row>
    <row r="304" spans="7:38" ht="15.75" customHeight="1">
      <c r="G304" s="80"/>
      <c r="P304" s="629"/>
      <c r="AH304" s="80"/>
      <c r="AI304" s="80"/>
      <c r="AJ304" s="80"/>
      <c r="AL304" s="80"/>
    </row>
    <row r="305" spans="7:38" ht="15.75" customHeight="1">
      <c r="G305" s="80"/>
      <c r="P305" s="629"/>
      <c r="AH305" s="80"/>
      <c r="AI305" s="80"/>
      <c r="AJ305" s="80"/>
      <c r="AL305" s="80"/>
    </row>
    <row r="306" spans="7:38" ht="15.75" customHeight="1">
      <c r="G306" s="80"/>
      <c r="P306" s="629"/>
      <c r="AH306" s="80"/>
      <c r="AI306" s="80"/>
      <c r="AJ306" s="80"/>
      <c r="AL306" s="80"/>
    </row>
    <row r="307" spans="7:38" ht="15.75" customHeight="1">
      <c r="G307" s="80"/>
      <c r="P307" s="629"/>
      <c r="AH307" s="80"/>
      <c r="AI307" s="80"/>
      <c r="AJ307" s="80"/>
      <c r="AL307" s="80"/>
    </row>
    <row r="308" spans="7:38" ht="15.75" customHeight="1">
      <c r="G308" s="80"/>
      <c r="P308" s="629"/>
      <c r="AH308" s="80"/>
      <c r="AI308" s="80"/>
      <c r="AJ308" s="80"/>
      <c r="AL308" s="80"/>
    </row>
    <row r="309" spans="7:38" ht="15.75" customHeight="1">
      <c r="G309" s="80"/>
      <c r="P309" s="629"/>
      <c r="AH309" s="80"/>
      <c r="AI309" s="80"/>
      <c r="AJ309" s="80"/>
      <c r="AL309" s="80"/>
    </row>
    <row r="310" spans="7:38" ht="15.75" customHeight="1">
      <c r="G310" s="80"/>
      <c r="P310" s="629"/>
      <c r="AH310" s="80"/>
      <c r="AI310" s="80"/>
      <c r="AJ310" s="80"/>
      <c r="AL310" s="80"/>
    </row>
    <row r="311" spans="7:38" ht="15.75" customHeight="1">
      <c r="G311" s="80"/>
      <c r="P311" s="629"/>
      <c r="AH311" s="80"/>
      <c r="AI311" s="80"/>
      <c r="AJ311" s="80"/>
      <c r="AL311" s="80"/>
    </row>
    <row r="312" spans="7:38" ht="15.75" customHeight="1">
      <c r="G312" s="80"/>
      <c r="P312" s="629"/>
      <c r="AH312" s="80"/>
      <c r="AI312" s="80"/>
      <c r="AJ312" s="80"/>
      <c r="AL312" s="80"/>
    </row>
    <row r="313" spans="7:38" ht="15.75" customHeight="1">
      <c r="G313" s="80"/>
      <c r="P313" s="629"/>
      <c r="AH313" s="80"/>
      <c r="AI313" s="80"/>
      <c r="AJ313" s="80"/>
      <c r="AL313" s="80"/>
    </row>
    <row r="314" spans="7:38" ht="15.75" customHeight="1">
      <c r="G314" s="80"/>
      <c r="P314" s="629"/>
      <c r="AH314" s="80"/>
      <c r="AI314" s="80"/>
      <c r="AJ314" s="80"/>
      <c r="AL314" s="80"/>
    </row>
    <row r="315" spans="7:38" ht="15.75" customHeight="1">
      <c r="G315" s="80"/>
      <c r="P315" s="629"/>
      <c r="AH315" s="80"/>
      <c r="AI315" s="80"/>
      <c r="AJ315" s="80"/>
      <c r="AL315" s="80"/>
    </row>
    <row r="316" spans="7:38" ht="15.75" customHeight="1">
      <c r="G316" s="80"/>
      <c r="P316" s="629"/>
      <c r="AH316" s="80"/>
      <c r="AI316" s="80"/>
      <c r="AJ316" s="80"/>
      <c r="AL316" s="80"/>
    </row>
    <row r="317" spans="7:38" ht="15.75" customHeight="1">
      <c r="G317" s="80"/>
      <c r="P317" s="629"/>
      <c r="AH317" s="80"/>
      <c r="AI317" s="80"/>
      <c r="AJ317" s="80"/>
      <c r="AL317" s="80"/>
    </row>
    <row r="318" spans="7:38" ht="15.75" customHeight="1">
      <c r="G318" s="80"/>
      <c r="P318" s="629"/>
      <c r="AH318" s="80"/>
      <c r="AI318" s="80"/>
      <c r="AJ318" s="80"/>
      <c r="AL318" s="80"/>
    </row>
    <row r="319" spans="7:38" ht="15.75" customHeight="1">
      <c r="G319" s="80"/>
      <c r="P319" s="629"/>
      <c r="AH319" s="80"/>
      <c r="AI319" s="80"/>
      <c r="AJ319" s="80"/>
      <c r="AL319" s="80"/>
    </row>
    <row r="320" spans="7:38" ht="15.75" customHeight="1">
      <c r="G320" s="80"/>
      <c r="P320" s="629"/>
      <c r="AH320" s="80"/>
      <c r="AI320" s="80"/>
      <c r="AJ320" s="80"/>
      <c r="AL320" s="80"/>
    </row>
    <row r="321" spans="7:38" ht="15.75" customHeight="1">
      <c r="G321" s="80"/>
      <c r="P321" s="629"/>
      <c r="AH321" s="80"/>
      <c r="AI321" s="80"/>
      <c r="AJ321" s="80"/>
      <c r="AL321" s="80"/>
    </row>
    <row r="322" spans="7:38" ht="15.75" customHeight="1">
      <c r="G322" s="80"/>
      <c r="P322" s="629"/>
      <c r="AH322" s="80"/>
      <c r="AI322" s="80"/>
      <c r="AJ322" s="80"/>
      <c r="AL322" s="80"/>
    </row>
    <row r="323" spans="7:38" ht="15.75" customHeight="1">
      <c r="G323" s="80"/>
      <c r="P323" s="629"/>
      <c r="AH323" s="80"/>
      <c r="AI323" s="80"/>
      <c r="AJ323" s="80"/>
      <c r="AL323" s="80"/>
    </row>
    <row r="324" spans="7:38" ht="15.75" customHeight="1">
      <c r="G324" s="80"/>
      <c r="P324" s="629"/>
      <c r="AH324" s="80"/>
      <c r="AI324" s="80"/>
      <c r="AJ324" s="80"/>
      <c r="AL324" s="80"/>
    </row>
    <row r="325" spans="7:38" ht="15.75" customHeight="1">
      <c r="G325" s="80"/>
      <c r="P325" s="629"/>
      <c r="AH325" s="80"/>
      <c r="AI325" s="80"/>
      <c r="AJ325" s="80"/>
      <c r="AL325" s="80"/>
    </row>
    <row r="326" spans="7:38" ht="15.75" customHeight="1">
      <c r="G326" s="80"/>
      <c r="P326" s="629"/>
      <c r="AH326" s="80"/>
      <c r="AI326" s="80"/>
      <c r="AJ326" s="80"/>
      <c r="AL326" s="80"/>
    </row>
    <row r="327" spans="7:38" ht="15.75" customHeight="1">
      <c r="G327" s="80"/>
      <c r="P327" s="629"/>
      <c r="AH327" s="80"/>
      <c r="AI327" s="80"/>
      <c r="AJ327" s="80"/>
      <c r="AL327" s="80"/>
    </row>
    <row r="328" spans="7:38" ht="15.75" customHeight="1">
      <c r="G328" s="80"/>
      <c r="P328" s="629"/>
      <c r="AH328" s="80"/>
      <c r="AI328" s="80"/>
      <c r="AJ328" s="80"/>
      <c r="AL328" s="80"/>
    </row>
    <row r="329" spans="7:38" ht="15.75" customHeight="1">
      <c r="G329" s="80"/>
      <c r="P329" s="629"/>
      <c r="AH329" s="80"/>
      <c r="AI329" s="80"/>
      <c r="AJ329" s="80"/>
      <c r="AL329" s="80"/>
    </row>
    <row r="330" spans="7:38" ht="15.75" customHeight="1">
      <c r="G330" s="80"/>
      <c r="P330" s="629"/>
      <c r="AH330" s="80"/>
      <c r="AI330" s="80"/>
      <c r="AJ330" s="80"/>
      <c r="AL330" s="80"/>
    </row>
    <row r="331" spans="7:38" ht="15.75" customHeight="1">
      <c r="G331" s="80"/>
      <c r="P331" s="629"/>
      <c r="AH331" s="80"/>
      <c r="AI331" s="80"/>
      <c r="AJ331" s="80"/>
      <c r="AL331" s="80"/>
    </row>
    <row r="332" spans="7:38" ht="15.75" customHeight="1">
      <c r="G332" s="80"/>
      <c r="P332" s="629"/>
      <c r="AH332" s="80"/>
      <c r="AI332" s="80"/>
      <c r="AJ332" s="80"/>
      <c r="AL332" s="80"/>
    </row>
    <row r="333" spans="7:38" ht="15.75" customHeight="1">
      <c r="G333" s="80"/>
      <c r="P333" s="629"/>
      <c r="AH333" s="80"/>
      <c r="AI333" s="80"/>
      <c r="AJ333" s="80"/>
      <c r="AL333" s="80"/>
    </row>
    <row r="334" spans="7:38" ht="15.75" customHeight="1">
      <c r="G334" s="80"/>
      <c r="P334" s="629"/>
      <c r="AH334" s="80"/>
      <c r="AI334" s="80"/>
      <c r="AJ334" s="80"/>
      <c r="AL334" s="80"/>
    </row>
    <row r="335" spans="7:38" ht="15.75" customHeight="1">
      <c r="G335" s="80"/>
      <c r="P335" s="629"/>
      <c r="AH335" s="80"/>
      <c r="AI335" s="80"/>
      <c r="AJ335" s="80"/>
      <c r="AL335" s="80"/>
    </row>
    <row r="336" spans="7:38" ht="15.75" customHeight="1">
      <c r="G336" s="80"/>
      <c r="P336" s="629"/>
      <c r="AH336" s="80"/>
      <c r="AI336" s="80"/>
      <c r="AJ336" s="80"/>
      <c r="AL336" s="80"/>
    </row>
    <row r="337" spans="7:38" ht="15.75" customHeight="1">
      <c r="G337" s="80"/>
      <c r="P337" s="629"/>
      <c r="AH337" s="80"/>
      <c r="AI337" s="80"/>
      <c r="AJ337" s="80"/>
      <c r="AL337" s="80"/>
    </row>
    <row r="338" spans="7:38" ht="15.75" customHeight="1">
      <c r="G338" s="80"/>
      <c r="P338" s="629"/>
      <c r="AH338" s="80"/>
      <c r="AI338" s="80"/>
      <c r="AJ338" s="80"/>
      <c r="AL338" s="80"/>
    </row>
    <row r="339" spans="7:38" ht="15.75" customHeight="1">
      <c r="G339" s="80"/>
      <c r="P339" s="629"/>
      <c r="AH339" s="80"/>
      <c r="AI339" s="80"/>
      <c r="AJ339" s="80"/>
      <c r="AL339" s="80"/>
    </row>
    <row r="340" spans="7:38" ht="15.75" customHeight="1">
      <c r="G340" s="80"/>
      <c r="P340" s="629"/>
      <c r="AH340" s="80"/>
      <c r="AI340" s="80"/>
      <c r="AJ340" s="80"/>
      <c r="AL340" s="80"/>
    </row>
    <row r="341" spans="7:38" ht="15.75" customHeight="1">
      <c r="G341" s="80"/>
      <c r="P341" s="629"/>
      <c r="AH341" s="80"/>
      <c r="AI341" s="80"/>
      <c r="AJ341" s="80"/>
      <c r="AL341" s="80"/>
    </row>
    <row r="342" spans="7:38" ht="15.75" customHeight="1">
      <c r="G342" s="80"/>
      <c r="P342" s="629"/>
      <c r="AH342" s="80"/>
      <c r="AI342" s="80"/>
      <c r="AJ342" s="80"/>
      <c r="AL342" s="80"/>
    </row>
    <row r="343" spans="7:38" ht="15.75" customHeight="1">
      <c r="G343" s="80"/>
      <c r="P343" s="629"/>
      <c r="AH343" s="80"/>
      <c r="AI343" s="80"/>
      <c r="AJ343" s="80"/>
      <c r="AL343" s="80"/>
    </row>
    <row r="344" spans="7:38" ht="15.75" customHeight="1">
      <c r="G344" s="80"/>
      <c r="P344" s="629"/>
      <c r="AH344" s="80"/>
      <c r="AI344" s="80"/>
      <c r="AJ344" s="80"/>
      <c r="AL344" s="80"/>
    </row>
    <row r="345" spans="7:38" ht="15.75" customHeight="1">
      <c r="G345" s="80"/>
      <c r="P345" s="629"/>
      <c r="AH345" s="80"/>
      <c r="AI345" s="80"/>
      <c r="AJ345" s="80"/>
      <c r="AL345" s="80"/>
    </row>
    <row r="346" spans="7:38" ht="15.75" customHeight="1">
      <c r="G346" s="80"/>
      <c r="P346" s="629"/>
      <c r="AH346" s="80"/>
      <c r="AI346" s="80"/>
      <c r="AJ346" s="80"/>
      <c r="AL346" s="80"/>
    </row>
    <row r="347" spans="7:38" ht="15.75" customHeight="1">
      <c r="G347" s="80"/>
      <c r="P347" s="629"/>
      <c r="AH347" s="80"/>
      <c r="AI347" s="80"/>
      <c r="AJ347" s="80"/>
      <c r="AL347" s="80"/>
    </row>
    <row r="348" spans="7:38" ht="15.75" customHeight="1">
      <c r="G348" s="80"/>
      <c r="P348" s="629"/>
      <c r="AH348" s="80"/>
      <c r="AI348" s="80"/>
      <c r="AJ348" s="80"/>
      <c r="AL348" s="80"/>
    </row>
    <row r="349" spans="7:38" ht="15.75" customHeight="1">
      <c r="G349" s="80"/>
      <c r="P349" s="629"/>
      <c r="AH349" s="80"/>
      <c r="AI349" s="80"/>
      <c r="AJ349" s="80"/>
      <c r="AL349" s="80"/>
    </row>
    <row r="350" spans="7:38" ht="15.75" customHeight="1">
      <c r="G350" s="80"/>
      <c r="P350" s="629"/>
      <c r="AH350" s="80"/>
      <c r="AI350" s="80"/>
      <c r="AJ350" s="80"/>
      <c r="AL350" s="80"/>
    </row>
    <row r="351" spans="7:38" ht="15.75" customHeight="1">
      <c r="G351" s="80"/>
      <c r="P351" s="629"/>
      <c r="AH351" s="80"/>
      <c r="AI351" s="80"/>
      <c r="AJ351" s="80"/>
      <c r="AL351" s="80"/>
    </row>
    <row r="352" spans="7:38" ht="15.75" customHeight="1">
      <c r="G352" s="80"/>
      <c r="P352" s="629"/>
      <c r="AH352" s="80"/>
      <c r="AI352" s="80"/>
      <c r="AJ352" s="80"/>
      <c r="AL352" s="80"/>
    </row>
    <row r="353" spans="7:38" ht="15.75" customHeight="1">
      <c r="G353" s="80"/>
      <c r="P353" s="629"/>
      <c r="AH353" s="80"/>
      <c r="AI353" s="80"/>
      <c r="AJ353" s="80"/>
      <c r="AL353" s="80"/>
    </row>
    <row r="354" spans="7:38" ht="15.75" customHeight="1">
      <c r="G354" s="80"/>
      <c r="P354" s="629"/>
      <c r="AH354" s="80"/>
      <c r="AI354" s="80"/>
      <c r="AJ354" s="80"/>
      <c r="AL354" s="80"/>
    </row>
    <row r="355" spans="7:38" ht="15.75" customHeight="1">
      <c r="G355" s="80"/>
      <c r="P355" s="629"/>
      <c r="AH355" s="80"/>
      <c r="AI355" s="80"/>
      <c r="AJ355" s="80"/>
      <c r="AL355" s="80"/>
    </row>
    <row r="356" spans="7:38" ht="15.75" customHeight="1">
      <c r="G356" s="80"/>
      <c r="P356" s="629"/>
      <c r="AH356" s="80"/>
      <c r="AI356" s="80"/>
      <c r="AJ356" s="80"/>
      <c r="AL356" s="80"/>
    </row>
    <row r="357" spans="7:38" ht="15.75" customHeight="1">
      <c r="G357" s="80"/>
      <c r="P357" s="629"/>
      <c r="AH357" s="80"/>
      <c r="AI357" s="80"/>
      <c r="AJ357" s="80"/>
      <c r="AL357" s="80"/>
    </row>
    <row r="358" spans="7:38" ht="15.75" customHeight="1">
      <c r="G358" s="80"/>
      <c r="P358" s="629"/>
      <c r="AH358" s="80"/>
      <c r="AI358" s="80"/>
      <c r="AJ358" s="80"/>
      <c r="AL358" s="80"/>
    </row>
    <row r="359" spans="7:38" ht="15.75" customHeight="1">
      <c r="G359" s="80"/>
      <c r="P359" s="629"/>
      <c r="AH359" s="80"/>
      <c r="AI359" s="80"/>
      <c r="AJ359" s="80"/>
      <c r="AL359" s="80"/>
    </row>
    <row r="360" spans="7:38" ht="15.75" customHeight="1">
      <c r="G360" s="80"/>
      <c r="P360" s="629"/>
      <c r="AH360" s="80"/>
      <c r="AI360" s="80"/>
      <c r="AJ360" s="80"/>
      <c r="AL360" s="80"/>
    </row>
    <row r="361" spans="7:38" ht="15.75" customHeight="1">
      <c r="G361" s="80"/>
      <c r="P361" s="629"/>
      <c r="AH361" s="80"/>
      <c r="AI361" s="80"/>
      <c r="AJ361" s="80"/>
      <c r="AL361" s="80"/>
    </row>
    <row r="362" spans="7:38" ht="15.75" customHeight="1">
      <c r="G362" s="80"/>
      <c r="P362" s="629"/>
      <c r="AH362" s="80"/>
      <c r="AI362" s="80"/>
      <c r="AJ362" s="80"/>
      <c r="AL362" s="80"/>
    </row>
    <row r="363" spans="7:38" ht="15.75" customHeight="1">
      <c r="G363" s="80"/>
      <c r="P363" s="629"/>
      <c r="AH363" s="80"/>
      <c r="AI363" s="80"/>
      <c r="AJ363" s="80"/>
      <c r="AL363" s="80"/>
    </row>
    <row r="364" spans="7:38" ht="15.75" customHeight="1">
      <c r="G364" s="80"/>
      <c r="P364" s="629"/>
      <c r="AH364" s="80"/>
      <c r="AI364" s="80"/>
      <c r="AJ364" s="80"/>
      <c r="AL364" s="80"/>
    </row>
    <row r="365" spans="7:38" ht="15.75" customHeight="1">
      <c r="G365" s="80"/>
      <c r="P365" s="629"/>
      <c r="AH365" s="80"/>
      <c r="AI365" s="80"/>
      <c r="AJ365" s="80"/>
      <c r="AL365" s="80"/>
    </row>
    <row r="366" spans="7:38" ht="15.75" customHeight="1">
      <c r="G366" s="80"/>
      <c r="P366" s="629"/>
      <c r="AH366" s="80"/>
      <c r="AI366" s="80"/>
      <c r="AJ366" s="80"/>
      <c r="AL366" s="80"/>
    </row>
    <row r="367" spans="7:38" ht="15.75" customHeight="1">
      <c r="G367" s="80"/>
      <c r="P367" s="629"/>
      <c r="AH367" s="80"/>
      <c r="AI367" s="80"/>
      <c r="AJ367" s="80"/>
      <c r="AL367" s="80"/>
    </row>
    <row r="368" spans="7:38" ht="15.75" customHeight="1">
      <c r="G368" s="80"/>
      <c r="P368" s="629"/>
      <c r="AH368" s="80"/>
      <c r="AI368" s="80"/>
      <c r="AJ368" s="80"/>
      <c r="AL368" s="80"/>
    </row>
    <row r="369" spans="7:38" ht="15.75" customHeight="1">
      <c r="G369" s="80"/>
      <c r="P369" s="629"/>
      <c r="AH369" s="80"/>
      <c r="AI369" s="80"/>
      <c r="AJ369" s="80"/>
      <c r="AL369" s="80"/>
    </row>
    <row r="370" spans="7:38" ht="15.75" customHeight="1">
      <c r="G370" s="80"/>
      <c r="P370" s="629"/>
      <c r="AH370" s="80"/>
      <c r="AI370" s="80"/>
      <c r="AJ370" s="80"/>
      <c r="AL370" s="80"/>
    </row>
    <row r="371" spans="7:38" ht="15.75" customHeight="1">
      <c r="G371" s="80"/>
      <c r="P371" s="629"/>
      <c r="AH371" s="80"/>
      <c r="AI371" s="80"/>
      <c r="AJ371" s="80"/>
      <c r="AL371" s="80"/>
    </row>
    <row r="372" spans="7:38" ht="15.75" customHeight="1">
      <c r="G372" s="80"/>
      <c r="P372" s="629"/>
      <c r="AH372" s="80"/>
      <c r="AI372" s="80"/>
      <c r="AJ372" s="80"/>
      <c r="AL372" s="80"/>
    </row>
    <row r="373" spans="7:38" ht="15.75" customHeight="1">
      <c r="G373" s="80"/>
      <c r="P373" s="629"/>
      <c r="AH373" s="80"/>
      <c r="AI373" s="80"/>
      <c r="AJ373" s="80"/>
      <c r="AL373" s="80"/>
    </row>
    <row r="374" spans="7:38" ht="15.75" customHeight="1">
      <c r="G374" s="80"/>
      <c r="P374" s="629"/>
      <c r="AH374" s="80"/>
      <c r="AI374" s="80"/>
      <c r="AJ374" s="80"/>
      <c r="AL374" s="80"/>
    </row>
    <row r="375" spans="7:38" ht="15.75" customHeight="1">
      <c r="G375" s="80"/>
      <c r="P375" s="629"/>
      <c r="AH375" s="80"/>
      <c r="AI375" s="80"/>
      <c r="AJ375" s="80"/>
      <c r="AL375" s="80"/>
    </row>
    <row r="376" spans="7:38" ht="15.75" customHeight="1">
      <c r="G376" s="80"/>
      <c r="P376" s="629"/>
      <c r="AH376" s="80"/>
      <c r="AI376" s="80"/>
      <c r="AJ376" s="80"/>
      <c r="AL376" s="80"/>
    </row>
    <row r="377" spans="7:38" ht="15.75" customHeight="1">
      <c r="G377" s="80"/>
      <c r="P377" s="629"/>
      <c r="AH377" s="80"/>
      <c r="AI377" s="80"/>
      <c r="AJ377" s="80"/>
      <c r="AL377" s="80"/>
    </row>
    <row r="378" spans="7:38" ht="15.75" customHeight="1">
      <c r="G378" s="80"/>
      <c r="P378" s="629"/>
      <c r="AH378" s="80"/>
      <c r="AI378" s="80"/>
      <c r="AJ378" s="80"/>
      <c r="AL378" s="80"/>
    </row>
    <row r="379" spans="7:38" ht="15.75" customHeight="1">
      <c r="G379" s="80"/>
      <c r="P379" s="629"/>
      <c r="AH379" s="80"/>
      <c r="AI379" s="80"/>
      <c r="AJ379" s="80"/>
      <c r="AL379" s="80"/>
    </row>
    <row r="380" spans="7:38" ht="15.75" customHeight="1">
      <c r="G380" s="80"/>
      <c r="P380" s="629"/>
      <c r="AH380" s="80"/>
      <c r="AI380" s="80"/>
      <c r="AJ380" s="80"/>
      <c r="AL380" s="80"/>
    </row>
    <row r="381" spans="7:38" ht="15.75" customHeight="1">
      <c r="G381" s="80"/>
      <c r="P381" s="629"/>
      <c r="AH381" s="80"/>
      <c r="AI381" s="80"/>
      <c r="AJ381" s="80"/>
      <c r="AL381" s="80"/>
    </row>
    <row r="382" spans="7:38" ht="15.75" customHeight="1">
      <c r="G382" s="80"/>
      <c r="P382" s="629"/>
      <c r="AH382" s="80"/>
      <c r="AI382" s="80"/>
      <c r="AJ382" s="80"/>
      <c r="AL382" s="80"/>
    </row>
    <row r="383" spans="7:38" ht="15.75" customHeight="1">
      <c r="G383" s="80"/>
      <c r="P383" s="629"/>
      <c r="AH383" s="80"/>
      <c r="AI383" s="80"/>
      <c r="AJ383" s="80"/>
      <c r="AL383" s="80"/>
    </row>
    <row r="384" spans="7:38" ht="15.75" customHeight="1">
      <c r="G384" s="80"/>
      <c r="P384" s="629"/>
      <c r="AH384" s="80"/>
      <c r="AI384" s="80"/>
      <c r="AJ384" s="80"/>
      <c r="AL384" s="80"/>
    </row>
    <row r="385" spans="7:38" ht="15.75" customHeight="1">
      <c r="G385" s="80"/>
      <c r="P385" s="629"/>
      <c r="AH385" s="80"/>
      <c r="AI385" s="80"/>
      <c r="AJ385" s="80"/>
      <c r="AL385" s="80"/>
    </row>
    <row r="386" spans="7:38" ht="15.75" customHeight="1">
      <c r="G386" s="80"/>
      <c r="P386" s="629"/>
      <c r="AH386" s="80"/>
      <c r="AI386" s="80"/>
      <c r="AJ386" s="80"/>
      <c r="AL386" s="80"/>
    </row>
    <row r="387" spans="7:38" ht="15.75" customHeight="1">
      <c r="G387" s="80"/>
      <c r="P387" s="629"/>
      <c r="AH387" s="80"/>
      <c r="AI387" s="80"/>
      <c r="AJ387" s="80"/>
      <c r="AL387" s="80"/>
    </row>
    <row r="388" spans="7:38" ht="15.75" customHeight="1">
      <c r="G388" s="80"/>
      <c r="P388" s="629"/>
      <c r="AH388" s="80"/>
      <c r="AI388" s="80"/>
      <c r="AJ388" s="80"/>
      <c r="AL388" s="80"/>
    </row>
    <row r="389" spans="7:38" ht="15.75" customHeight="1">
      <c r="G389" s="80"/>
      <c r="P389" s="629"/>
      <c r="AH389" s="80"/>
      <c r="AI389" s="80"/>
      <c r="AJ389" s="80"/>
      <c r="AL389" s="80"/>
    </row>
    <row r="390" spans="7:38" ht="15.75" customHeight="1">
      <c r="G390" s="80"/>
      <c r="P390" s="629"/>
      <c r="AH390" s="80"/>
      <c r="AI390" s="80"/>
      <c r="AJ390" s="80"/>
      <c r="AL390" s="80"/>
    </row>
    <row r="391" spans="7:38" ht="15.75" customHeight="1">
      <c r="G391" s="80"/>
      <c r="P391" s="629"/>
      <c r="AH391" s="80"/>
      <c r="AI391" s="80"/>
      <c r="AJ391" s="80"/>
      <c r="AL391" s="80"/>
    </row>
    <row r="392" spans="7:38" ht="15.75" customHeight="1">
      <c r="G392" s="80"/>
      <c r="P392" s="629"/>
      <c r="AH392" s="80"/>
      <c r="AI392" s="80"/>
      <c r="AJ392" s="80"/>
      <c r="AL392" s="80"/>
    </row>
    <row r="393" spans="7:38" ht="15.75" customHeight="1">
      <c r="G393" s="80"/>
      <c r="P393" s="629"/>
      <c r="AH393" s="80"/>
      <c r="AI393" s="80"/>
      <c r="AJ393" s="80"/>
      <c r="AL393" s="80"/>
    </row>
    <row r="394" spans="7:38" ht="15.75" customHeight="1">
      <c r="G394" s="80"/>
      <c r="P394" s="629"/>
      <c r="AH394" s="80"/>
      <c r="AI394" s="80"/>
      <c r="AJ394" s="80"/>
      <c r="AL394" s="80"/>
    </row>
    <row r="395" spans="7:38" ht="15.75" customHeight="1">
      <c r="G395" s="80"/>
      <c r="P395" s="629"/>
      <c r="AH395" s="80"/>
      <c r="AI395" s="80"/>
      <c r="AJ395" s="80"/>
      <c r="AL395" s="80"/>
    </row>
    <row r="396" spans="7:38" ht="15.75" customHeight="1">
      <c r="G396" s="80"/>
      <c r="P396" s="629"/>
      <c r="AH396" s="80"/>
      <c r="AI396" s="80"/>
      <c r="AJ396" s="80"/>
      <c r="AL396" s="80"/>
    </row>
    <row r="397" spans="7:38" ht="15.75" customHeight="1">
      <c r="G397" s="80"/>
      <c r="P397" s="629"/>
      <c r="AH397" s="80"/>
      <c r="AI397" s="80"/>
      <c r="AJ397" s="80"/>
      <c r="AL397" s="80"/>
    </row>
    <row r="398" spans="7:38" ht="15.75" customHeight="1">
      <c r="G398" s="80"/>
      <c r="P398" s="629"/>
      <c r="AH398" s="80"/>
      <c r="AI398" s="80"/>
      <c r="AJ398" s="80"/>
      <c r="AL398" s="80"/>
    </row>
    <row r="399" spans="7:38" ht="15.75" customHeight="1">
      <c r="G399" s="80"/>
      <c r="P399" s="629"/>
      <c r="AH399" s="80"/>
      <c r="AI399" s="80"/>
      <c r="AJ399" s="80"/>
      <c r="AL399" s="80"/>
    </row>
    <row r="400" spans="7:38" ht="15.75" customHeight="1">
      <c r="G400" s="80"/>
      <c r="P400" s="629"/>
      <c r="AH400" s="80"/>
      <c r="AI400" s="80"/>
      <c r="AJ400" s="80"/>
      <c r="AL400" s="80"/>
    </row>
    <row r="401" spans="7:38" ht="15.75" customHeight="1">
      <c r="G401" s="80"/>
      <c r="P401" s="629"/>
      <c r="AH401" s="80"/>
      <c r="AI401" s="80"/>
      <c r="AJ401" s="80"/>
      <c r="AL401" s="80"/>
    </row>
    <row r="402" spans="7:38" ht="15.75" customHeight="1">
      <c r="G402" s="80"/>
      <c r="P402" s="629"/>
      <c r="AH402" s="80"/>
      <c r="AI402" s="80"/>
      <c r="AJ402" s="80"/>
      <c r="AL402" s="80"/>
    </row>
    <row r="403" spans="7:38" ht="15.75" customHeight="1">
      <c r="G403" s="80"/>
      <c r="P403" s="629"/>
      <c r="AH403" s="80"/>
      <c r="AI403" s="80"/>
      <c r="AJ403" s="80"/>
      <c r="AL403" s="80"/>
    </row>
    <row r="404" spans="7:38" ht="15.75" customHeight="1">
      <c r="G404" s="80"/>
      <c r="P404" s="629"/>
      <c r="AH404" s="80"/>
      <c r="AI404" s="80"/>
      <c r="AJ404" s="80"/>
      <c r="AL404" s="80"/>
    </row>
    <row r="405" spans="7:38" ht="15.75" customHeight="1">
      <c r="G405" s="80"/>
      <c r="P405" s="629"/>
      <c r="AH405" s="80"/>
      <c r="AI405" s="80"/>
      <c r="AJ405" s="80"/>
      <c r="AL405" s="80"/>
    </row>
    <row r="406" spans="7:38" ht="15.75" customHeight="1">
      <c r="G406" s="80"/>
      <c r="P406" s="629"/>
      <c r="AH406" s="80"/>
      <c r="AI406" s="80"/>
      <c r="AJ406" s="80"/>
      <c r="AL406" s="80"/>
    </row>
    <row r="407" spans="7:38" ht="15.75" customHeight="1">
      <c r="G407" s="80"/>
      <c r="P407" s="629"/>
      <c r="AH407" s="80"/>
      <c r="AI407" s="80"/>
      <c r="AJ407" s="80"/>
      <c r="AL407" s="80"/>
    </row>
    <row r="408" spans="7:38" ht="15.75" customHeight="1">
      <c r="G408" s="80"/>
      <c r="P408" s="629"/>
      <c r="AH408" s="80"/>
      <c r="AI408" s="80"/>
      <c r="AJ408" s="80"/>
      <c r="AL408" s="80"/>
    </row>
    <row r="409" spans="7:38" ht="15.75" customHeight="1">
      <c r="G409" s="80"/>
      <c r="P409" s="629"/>
      <c r="AH409" s="80"/>
      <c r="AI409" s="80"/>
      <c r="AJ409" s="80"/>
      <c r="AL409" s="80"/>
    </row>
    <row r="410" spans="7:38" ht="15.75" customHeight="1">
      <c r="G410" s="80"/>
      <c r="P410" s="629"/>
      <c r="AH410" s="80"/>
      <c r="AI410" s="80"/>
      <c r="AJ410" s="80"/>
      <c r="AL410" s="80"/>
    </row>
    <row r="411" spans="7:38" ht="15.75" customHeight="1">
      <c r="G411" s="80"/>
      <c r="P411" s="629"/>
      <c r="AH411" s="80"/>
      <c r="AI411" s="80"/>
      <c r="AJ411" s="80"/>
      <c r="AL411" s="80"/>
    </row>
    <row r="412" spans="7:38" ht="15.75" customHeight="1">
      <c r="G412" s="80"/>
      <c r="P412" s="629"/>
      <c r="AH412" s="80"/>
      <c r="AI412" s="80"/>
      <c r="AJ412" s="80"/>
      <c r="AL412" s="80"/>
    </row>
    <row r="413" spans="7:38" ht="15.75" customHeight="1">
      <c r="G413" s="80"/>
      <c r="P413" s="629"/>
      <c r="AH413" s="80"/>
      <c r="AI413" s="80"/>
      <c r="AJ413" s="80"/>
      <c r="AL413" s="80"/>
    </row>
    <row r="414" spans="7:38" ht="15.75" customHeight="1">
      <c r="G414" s="80"/>
      <c r="P414" s="629"/>
      <c r="AH414" s="80"/>
      <c r="AI414" s="80"/>
      <c r="AJ414" s="80"/>
      <c r="AL414" s="80"/>
    </row>
    <row r="415" spans="7:38" ht="15.75" customHeight="1">
      <c r="G415" s="80"/>
      <c r="P415" s="629"/>
      <c r="AH415" s="80"/>
      <c r="AI415" s="80"/>
      <c r="AJ415" s="80"/>
      <c r="AL415" s="80"/>
    </row>
    <row r="416" spans="7:38" ht="15.75" customHeight="1">
      <c r="G416" s="80"/>
      <c r="P416" s="629"/>
      <c r="AH416" s="80"/>
      <c r="AI416" s="80"/>
      <c r="AJ416" s="80"/>
      <c r="AL416" s="80"/>
    </row>
    <row r="417" spans="7:38" ht="15.75" customHeight="1">
      <c r="G417" s="80"/>
      <c r="P417" s="629"/>
      <c r="AH417" s="80"/>
      <c r="AI417" s="80"/>
      <c r="AJ417" s="80"/>
      <c r="AL417" s="80"/>
    </row>
    <row r="418" spans="7:38" ht="15.75" customHeight="1">
      <c r="G418" s="80"/>
      <c r="P418" s="629"/>
      <c r="AH418" s="80"/>
      <c r="AI418" s="80"/>
      <c r="AJ418" s="80"/>
      <c r="AL418" s="80"/>
    </row>
    <row r="419" spans="7:38" ht="15.75" customHeight="1">
      <c r="G419" s="80"/>
      <c r="P419" s="629"/>
      <c r="AH419" s="80"/>
      <c r="AI419" s="80"/>
      <c r="AJ419" s="80"/>
      <c r="AL419" s="80"/>
    </row>
    <row r="420" spans="7:38" ht="15.75" customHeight="1">
      <c r="G420" s="80"/>
      <c r="AH420" s="80"/>
      <c r="AI420" s="80"/>
      <c r="AJ420" s="80"/>
      <c r="AL420" s="80"/>
    </row>
    <row r="421" spans="7:38" ht="15.75" customHeight="1">
      <c r="G421" s="80"/>
      <c r="AH421" s="80"/>
      <c r="AI421" s="80"/>
      <c r="AJ421" s="80"/>
      <c r="AL421" s="80"/>
    </row>
    <row r="422" spans="7:38" ht="15.75" customHeight="1">
      <c r="G422" s="80"/>
      <c r="AH422" s="80"/>
      <c r="AI422" s="80"/>
      <c r="AJ422" s="80"/>
      <c r="AL422" s="80"/>
    </row>
    <row r="423" spans="7:38" ht="15.75" customHeight="1">
      <c r="G423" s="80"/>
      <c r="AH423" s="80"/>
      <c r="AI423" s="80"/>
      <c r="AJ423" s="80"/>
      <c r="AL423" s="80"/>
    </row>
    <row r="424" spans="7:38" ht="15.75" customHeight="1">
      <c r="G424" s="80"/>
      <c r="AH424" s="80"/>
      <c r="AI424" s="80"/>
      <c r="AJ424" s="80"/>
      <c r="AL424" s="80"/>
    </row>
    <row r="425" spans="7:38" ht="15.75" customHeight="1">
      <c r="G425" s="80"/>
      <c r="AH425" s="80"/>
      <c r="AI425" s="80"/>
      <c r="AJ425" s="80"/>
      <c r="AL425" s="80"/>
    </row>
    <row r="426" spans="7:38" ht="15.75" customHeight="1">
      <c r="G426" s="80"/>
      <c r="AH426" s="80"/>
      <c r="AI426" s="80"/>
      <c r="AJ426" s="80"/>
      <c r="AL426" s="80"/>
    </row>
    <row r="427" spans="7:38" ht="15.75" customHeight="1">
      <c r="G427" s="80"/>
      <c r="AH427" s="80"/>
      <c r="AI427" s="80"/>
      <c r="AJ427" s="80"/>
      <c r="AL427" s="80"/>
    </row>
    <row r="428" spans="7:38" ht="15.75" customHeight="1">
      <c r="G428" s="80"/>
      <c r="AH428" s="80"/>
      <c r="AI428" s="80"/>
      <c r="AJ428" s="80"/>
      <c r="AL428" s="80"/>
    </row>
    <row r="429" spans="7:38" ht="15.75" customHeight="1">
      <c r="G429" s="80"/>
      <c r="AH429" s="80"/>
      <c r="AI429" s="80"/>
      <c r="AJ429" s="80"/>
      <c r="AL429" s="80"/>
    </row>
    <row r="430" spans="7:38" ht="15.75" customHeight="1">
      <c r="G430" s="80"/>
      <c r="AH430" s="80"/>
      <c r="AI430" s="80"/>
      <c r="AJ430" s="80"/>
      <c r="AL430" s="80"/>
    </row>
    <row r="431" spans="7:38" ht="15.75" customHeight="1">
      <c r="G431" s="80"/>
      <c r="AH431" s="80"/>
      <c r="AI431" s="80"/>
      <c r="AJ431" s="80"/>
      <c r="AL431" s="80"/>
    </row>
    <row r="432" spans="7:38" ht="15.75" customHeight="1">
      <c r="G432" s="80"/>
      <c r="AH432" s="80"/>
      <c r="AI432" s="80"/>
      <c r="AJ432" s="80"/>
      <c r="AL432" s="80"/>
    </row>
    <row r="433" spans="7:38" ht="15.75" customHeight="1">
      <c r="G433" s="80"/>
      <c r="AH433" s="80"/>
      <c r="AI433" s="80"/>
      <c r="AJ433" s="80"/>
      <c r="AL433" s="80"/>
    </row>
    <row r="434" spans="7:38" ht="15.75" customHeight="1">
      <c r="G434" s="80"/>
      <c r="AH434" s="80"/>
      <c r="AI434" s="80"/>
      <c r="AJ434" s="80"/>
      <c r="AL434" s="80"/>
    </row>
    <row r="435" spans="7:38" ht="15.75" customHeight="1">
      <c r="G435" s="80"/>
      <c r="AH435" s="80"/>
      <c r="AI435" s="80"/>
      <c r="AJ435" s="80"/>
      <c r="AL435" s="80"/>
    </row>
    <row r="436" spans="7:38" ht="15.75" customHeight="1">
      <c r="G436" s="80"/>
      <c r="AH436" s="80"/>
      <c r="AI436" s="80"/>
      <c r="AJ436" s="80"/>
      <c r="AL436" s="80"/>
    </row>
    <row r="437" spans="7:38" ht="15.75" customHeight="1">
      <c r="G437" s="80"/>
      <c r="AH437" s="80"/>
      <c r="AI437" s="80"/>
      <c r="AJ437" s="80"/>
      <c r="AL437" s="80"/>
    </row>
    <row r="438" spans="7:38" ht="15.75" customHeight="1">
      <c r="G438" s="80"/>
      <c r="AH438" s="80"/>
      <c r="AI438" s="80"/>
      <c r="AJ438" s="80"/>
      <c r="AL438" s="80"/>
    </row>
    <row r="439" spans="7:38" ht="15.75" customHeight="1">
      <c r="G439" s="80"/>
      <c r="AH439" s="80"/>
      <c r="AI439" s="80"/>
      <c r="AJ439" s="80"/>
      <c r="AL439" s="80"/>
    </row>
    <row r="440" spans="7:38" ht="15.75" customHeight="1">
      <c r="G440" s="80"/>
      <c r="AH440" s="80"/>
      <c r="AI440" s="80"/>
      <c r="AJ440" s="80"/>
      <c r="AL440" s="80"/>
    </row>
    <row r="441" spans="7:38" ht="15.75" customHeight="1">
      <c r="G441" s="80"/>
      <c r="AH441" s="80"/>
      <c r="AI441" s="80"/>
      <c r="AJ441" s="80"/>
      <c r="AL441" s="80"/>
    </row>
    <row r="442" spans="7:38" ht="15.75" customHeight="1">
      <c r="G442" s="80"/>
      <c r="AH442" s="80"/>
      <c r="AI442" s="80"/>
      <c r="AJ442" s="80"/>
      <c r="AL442" s="80"/>
    </row>
    <row r="443" spans="7:38" ht="15.75" customHeight="1">
      <c r="G443" s="80"/>
      <c r="AH443" s="80"/>
      <c r="AI443" s="80"/>
      <c r="AJ443" s="80"/>
      <c r="AL443" s="80"/>
    </row>
    <row r="444" spans="7:38" ht="15.75" customHeight="1">
      <c r="G444" s="80"/>
      <c r="AH444" s="80"/>
      <c r="AI444" s="80"/>
      <c r="AJ444" s="80"/>
      <c r="AL444" s="80"/>
    </row>
    <row r="445" spans="7:38" ht="15.75" customHeight="1">
      <c r="G445" s="80"/>
      <c r="AH445" s="80"/>
      <c r="AI445" s="80"/>
      <c r="AJ445" s="80"/>
      <c r="AL445" s="80"/>
    </row>
    <row r="446" spans="7:38" ht="15.75" customHeight="1">
      <c r="G446" s="80"/>
      <c r="AH446" s="80"/>
      <c r="AI446" s="80"/>
      <c r="AJ446" s="80"/>
      <c r="AL446" s="80"/>
    </row>
    <row r="447" spans="7:38" ht="15.75" customHeight="1">
      <c r="G447" s="80"/>
      <c r="AH447" s="80"/>
      <c r="AI447" s="80"/>
      <c r="AJ447" s="80"/>
      <c r="AL447" s="80"/>
    </row>
    <row r="448" spans="7:38" ht="15.75" customHeight="1">
      <c r="G448" s="80"/>
      <c r="AH448" s="80"/>
      <c r="AI448" s="80"/>
      <c r="AJ448" s="80"/>
      <c r="AL448" s="80"/>
    </row>
    <row r="449" spans="7:38" ht="15.75" customHeight="1">
      <c r="G449" s="80"/>
      <c r="AH449" s="80"/>
      <c r="AI449" s="80"/>
      <c r="AJ449" s="80"/>
      <c r="AL449" s="80"/>
    </row>
    <row r="450" spans="7:38" ht="15.75" customHeight="1">
      <c r="G450" s="80"/>
      <c r="AH450" s="80"/>
      <c r="AI450" s="80"/>
      <c r="AJ450" s="80"/>
      <c r="AL450" s="80"/>
    </row>
    <row r="451" spans="7:38" ht="15.75" customHeight="1">
      <c r="G451" s="80"/>
      <c r="AH451" s="80"/>
      <c r="AI451" s="80"/>
      <c r="AJ451" s="80"/>
      <c r="AL451" s="80"/>
    </row>
    <row r="452" spans="7:38" ht="15.75" customHeight="1">
      <c r="G452" s="80"/>
      <c r="AH452" s="80"/>
      <c r="AI452" s="80"/>
      <c r="AJ452" s="80"/>
      <c r="AL452" s="80"/>
    </row>
    <row r="453" spans="7:38" ht="15.75" customHeight="1">
      <c r="G453" s="80"/>
      <c r="AH453" s="80"/>
      <c r="AI453" s="80"/>
      <c r="AJ453" s="80"/>
      <c r="AL453" s="80"/>
    </row>
    <row r="454" spans="7:38" ht="15.75" customHeight="1">
      <c r="G454" s="80"/>
      <c r="AH454" s="80"/>
      <c r="AI454" s="80"/>
      <c r="AJ454" s="80"/>
      <c r="AL454" s="80"/>
    </row>
    <row r="455" spans="7:38" ht="15.75" customHeight="1">
      <c r="G455" s="80"/>
      <c r="AH455" s="80"/>
      <c r="AI455" s="80"/>
      <c r="AJ455" s="80"/>
      <c r="AL455" s="80"/>
    </row>
    <row r="456" spans="7:38" ht="15.75" customHeight="1">
      <c r="G456" s="80"/>
      <c r="AH456" s="80"/>
      <c r="AI456" s="80"/>
      <c r="AJ456" s="80"/>
      <c r="AL456" s="80"/>
    </row>
    <row r="457" spans="7:38" ht="15.75" customHeight="1">
      <c r="G457" s="80"/>
      <c r="AH457" s="80"/>
      <c r="AI457" s="80"/>
      <c r="AJ457" s="80"/>
      <c r="AL457" s="80"/>
    </row>
    <row r="458" spans="7:38" ht="15.75" customHeight="1">
      <c r="G458" s="80"/>
      <c r="AH458" s="80"/>
      <c r="AI458" s="80"/>
      <c r="AJ458" s="80"/>
      <c r="AL458" s="80"/>
    </row>
    <row r="459" spans="7:38" ht="15.75" customHeight="1">
      <c r="G459" s="80"/>
      <c r="AH459" s="80"/>
      <c r="AI459" s="80"/>
      <c r="AJ459" s="80"/>
      <c r="AL459" s="80"/>
    </row>
    <row r="460" spans="7:38" ht="15.75" customHeight="1">
      <c r="G460" s="80"/>
      <c r="AH460" s="80"/>
      <c r="AI460" s="80"/>
      <c r="AJ460" s="80"/>
      <c r="AL460" s="80"/>
    </row>
    <row r="461" spans="7:38" ht="15.75" customHeight="1">
      <c r="G461" s="80"/>
      <c r="AH461" s="80"/>
      <c r="AI461" s="80"/>
      <c r="AJ461" s="80"/>
      <c r="AL461" s="80"/>
    </row>
    <row r="462" spans="7:38" ht="15.75" customHeight="1">
      <c r="G462" s="80"/>
      <c r="AH462" s="80"/>
      <c r="AI462" s="80"/>
      <c r="AJ462" s="80"/>
      <c r="AL462" s="80"/>
    </row>
    <row r="463" spans="7:38" ht="15.75" customHeight="1">
      <c r="G463" s="80"/>
      <c r="AH463" s="80"/>
      <c r="AI463" s="80"/>
      <c r="AJ463" s="80"/>
      <c r="AL463" s="80"/>
    </row>
    <row r="464" spans="7:38" ht="15.75" customHeight="1">
      <c r="G464" s="80"/>
      <c r="AH464" s="80"/>
      <c r="AI464" s="80"/>
      <c r="AJ464" s="80"/>
      <c r="AL464" s="80"/>
    </row>
    <row r="465" spans="7:38" ht="15.75" customHeight="1">
      <c r="G465" s="80"/>
      <c r="AH465" s="80"/>
      <c r="AI465" s="80"/>
      <c r="AJ465" s="80"/>
      <c r="AL465" s="80"/>
    </row>
    <row r="466" spans="7:38" ht="15.75" customHeight="1">
      <c r="G466" s="80"/>
      <c r="AH466" s="80"/>
      <c r="AI466" s="80"/>
      <c r="AJ466" s="80"/>
      <c r="AL466" s="80"/>
    </row>
    <row r="467" spans="7:38" ht="15.75" customHeight="1">
      <c r="G467" s="80"/>
      <c r="AH467" s="80"/>
      <c r="AI467" s="80"/>
      <c r="AJ467" s="80"/>
      <c r="AL467" s="80"/>
    </row>
    <row r="468" spans="7:38" ht="15.75" customHeight="1">
      <c r="G468" s="80"/>
      <c r="AH468" s="80"/>
      <c r="AI468" s="80"/>
      <c r="AJ468" s="80"/>
      <c r="AL468" s="80"/>
    </row>
    <row r="469" spans="7:38" ht="15.75" customHeight="1">
      <c r="G469" s="80"/>
      <c r="AH469" s="80"/>
      <c r="AI469" s="80"/>
      <c r="AJ469" s="80"/>
      <c r="AL469" s="80"/>
    </row>
    <row r="470" spans="7:38" ht="15.75" customHeight="1">
      <c r="G470" s="80"/>
      <c r="AH470" s="80"/>
      <c r="AI470" s="80"/>
      <c r="AJ470" s="80"/>
      <c r="AL470" s="80"/>
    </row>
    <row r="471" spans="7:38" ht="15.75" customHeight="1">
      <c r="G471" s="80"/>
      <c r="AH471" s="80"/>
      <c r="AI471" s="80"/>
      <c r="AJ471" s="80"/>
      <c r="AL471" s="80"/>
    </row>
    <row r="472" spans="7:38" ht="15.75" customHeight="1">
      <c r="G472" s="80"/>
      <c r="AH472" s="80"/>
      <c r="AI472" s="80"/>
      <c r="AJ472" s="80"/>
      <c r="AL472" s="80"/>
    </row>
    <row r="473" spans="7:38" ht="15.75" customHeight="1">
      <c r="G473" s="80"/>
      <c r="AH473" s="80"/>
      <c r="AI473" s="80"/>
      <c r="AJ473" s="80"/>
      <c r="AL473" s="80"/>
    </row>
    <row r="474" spans="7:38" ht="15.75" customHeight="1">
      <c r="G474" s="80"/>
      <c r="AH474" s="80"/>
      <c r="AI474" s="80"/>
      <c r="AJ474" s="80"/>
      <c r="AL474" s="80"/>
    </row>
  </sheetData>
  <autoFilter ref="A3:AL79" xr:uid="{00000000-0009-0000-0000-00001B000000}">
    <sortState xmlns:xlrd2="http://schemas.microsoft.com/office/spreadsheetml/2017/richdata2" ref="A4:AL79">
      <sortCondition ref="A3:A79"/>
    </sortState>
  </autoFilter>
  <pageMargins left="0.7" right="0.7" top="0.75" bottom="0.75" header="0" footer="0"/>
  <pageSetup scale="10" orientation="portrait" r:id="rId1"/>
  <ignoredErrors>
    <ignoredError sqref="AG75 AI3 AG40" formula="1"/>
  </ignoredError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19">
    <tabColor rgb="FF00B050"/>
    <pageSetUpPr fitToPage="1"/>
  </sheetPr>
  <dimension ref="A1:AQ469"/>
  <sheetViews>
    <sheetView showGridLines="0" workbookViewId="0">
      <pane xSplit="1" ySplit="3" topLeftCell="AC4" activePane="bottomRight" state="frozen"/>
      <selection activeCell="AO3" sqref="AO3"/>
      <selection pane="topRight" activeCell="AO3" sqref="AO3"/>
      <selection pane="bottomLeft" activeCell="AO3" sqref="AO3"/>
      <selection pane="bottomRight" activeCell="AO3" sqref="AO3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style="926" customWidth="1"/>
    <col min="34" max="34" width="20.33203125" customWidth="1"/>
    <col min="35" max="35" width="14.44140625" customWidth="1"/>
    <col min="36" max="36" width="17.5546875" customWidth="1"/>
    <col min="37" max="37" width="5.109375" customWidth="1"/>
    <col min="38" max="38" width="14.44140625" customWidth="1"/>
    <col min="39" max="40" width="14.44140625" style="762"/>
  </cols>
  <sheetData>
    <row r="1" spans="1:43" ht="15" customHeight="1" thickBot="1">
      <c r="B1" t="s">
        <v>1206</v>
      </c>
      <c r="D1" s="845">
        <v>45614</v>
      </c>
      <c r="F1" s="79"/>
      <c r="G1" s="80"/>
      <c r="H1" s="81"/>
      <c r="I1" s="843"/>
      <c r="AB1" s="83"/>
      <c r="AC1" s="758"/>
      <c r="AD1" s="83"/>
      <c r="AE1" s="83"/>
      <c r="AF1" s="83"/>
      <c r="AG1" s="921" t="s">
        <v>34</v>
      </c>
      <c r="AH1" s="701" t="s">
        <v>1001</v>
      </c>
      <c r="AI1" s="699" t="s">
        <v>36</v>
      </c>
      <c r="AJ1" s="87" t="s">
        <v>37</v>
      </c>
      <c r="AK1" s="88"/>
      <c r="AL1" s="89" t="s">
        <v>38</v>
      </c>
    </row>
    <row r="2" spans="1:43" ht="15" customHeight="1" thickBot="1">
      <c r="B2" t="s">
        <v>1207</v>
      </c>
      <c r="D2" s="845">
        <v>45620</v>
      </c>
      <c r="G2" s="90"/>
      <c r="H2" s="90"/>
      <c r="I2" s="91">
        <f>SUBTOTAL(9,I4:I9754)</f>
        <v>818.16999999999973</v>
      </c>
      <c r="J2" s="81"/>
      <c r="K2" s="91">
        <f>SUBTOTAL(9,K4:K9754)</f>
        <v>782.58881800000006</v>
      </c>
      <c r="L2" s="93">
        <f>SUMPRODUCT(L5:L585,K5:K585)/K2</f>
        <v>0.30061604374469864</v>
      </c>
      <c r="M2" s="6"/>
      <c r="P2" s="6"/>
      <c r="Q2" s="94">
        <f>+SUMPRODUCT(Q5:Q473,AH5:AH473)/SUM(AH5:AH473)</f>
        <v>89.458122710916442</v>
      </c>
      <c r="R2" s="89">
        <f>+SUMPRODUCT(R5:R473,AH5:AH473)/SUM(AH5:AH473)</f>
        <v>2696.8227835140065</v>
      </c>
      <c r="S2" s="6"/>
      <c r="AB2" s="83"/>
      <c r="AC2" s="83"/>
      <c r="AD2" s="83"/>
      <c r="AE2" s="83"/>
      <c r="AF2" s="83"/>
      <c r="AG2" s="922">
        <f>SUMPRODUCT($AG5:$AG473,$K5:$K473)/SUM($K5:$K473)</f>
        <v>54.25076401969627</v>
      </c>
      <c r="AH2" s="702"/>
      <c r="AI2" s="252">
        <v>2646.5</v>
      </c>
      <c r="AJ2" s="98"/>
      <c r="AK2" s="88"/>
      <c r="AL2" s="99"/>
    </row>
    <row r="3" spans="1:43" ht="15" customHeight="1" thickBot="1">
      <c r="A3" s="678" t="s">
        <v>11</v>
      </c>
      <c r="B3" s="678" t="s">
        <v>39</v>
      </c>
      <c r="C3" s="678" t="s">
        <v>40</v>
      </c>
      <c r="D3" s="678" t="s">
        <v>41</v>
      </c>
      <c r="E3" s="678" t="s">
        <v>1025</v>
      </c>
      <c r="F3" s="678" t="s">
        <v>43</v>
      </c>
      <c r="G3" s="679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923" t="s">
        <v>63</v>
      </c>
      <c r="AH3" s="118">
        <f>SUBTOTAL(9,AH5:AH9755)</f>
        <v>7215.4950167310826</v>
      </c>
      <c r="AI3" s="700">
        <f>SUMPRODUCT(K5:K473,AI5:AI473)/K2</f>
        <v>16.33517542460611</v>
      </c>
      <c r="AJ3" s="118">
        <f>SUBTOTAL(9,AJ5:AJ9755)</f>
        <v>7110.7365982600531</v>
      </c>
      <c r="AK3" s="88"/>
      <c r="AL3" s="118">
        <f>SUBTOTAL(9,AL5:AL9755)</f>
        <v>467282.35772179015</v>
      </c>
      <c r="AM3" s="762" t="s">
        <v>1062</v>
      </c>
      <c r="AN3" s="762" t="s">
        <v>1064</v>
      </c>
      <c r="AO3" s="711">
        <f>+AH3/Q2*100</f>
        <v>8065.779605109672</v>
      </c>
    </row>
    <row r="4" spans="1:43" s="677" customFormat="1" ht="15.75" customHeight="1">
      <c r="A4" s="853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924"/>
      <c r="AH4" s="673"/>
      <c r="AI4" s="674"/>
      <c r="AJ4" s="675"/>
      <c r="AK4" s="676"/>
      <c r="AL4" s="732"/>
      <c r="AM4" s="763"/>
      <c r="AN4" s="763"/>
    </row>
    <row r="5" spans="1:43" ht="15.75" customHeight="1">
      <c r="A5" s="858" t="s">
        <v>89</v>
      </c>
      <c r="B5" s="638"/>
      <c r="C5" s="803" cm="1">
        <v>45566</v>
      </c>
      <c r="D5" s="640" t="s">
        <v>85</v>
      </c>
      <c r="E5" s="640">
        <v>10460498487</v>
      </c>
      <c r="F5" s="743" t="s">
        <v>90</v>
      </c>
      <c r="G5" s="641" t="s">
        <v>68</v>
      </c>
      <c r="H5" s="596" t="s">
        <v>69</v>
      </c>
      <c r="I5" s="596">
        <v>13.82</v>
      </c>
      <c r="J5" s="596">
        <v>8.15</v>
      </c>
      <c r="K5" s="138">
        <f t="shared" ref="K5:K36" si="0">+I5-(I5*(J5/100))</f>
        <v>12.693670000000001</v>
      </c>
      <c r="L5" s="646">
        <v>4.2999999999999997E-2</v>
      </c>
      <c r="M5" s="646">
        <v>4.1000000000000002E-2</v>
      </c>
      <c r="N5" s="651">
        <v>4.1000000000000002E-2</v>
      </c>
      <c r="O5" s="141">
        <f t="shared" ref="O5:O21" si="1">+ROUND((M5+N5)/2,3)</f>
        <v>4.1000000000000002E-2</v>
      </c>
      <c r="P5" s="158">
        <v>85</v>
      </c>
      <c r="Q5" s="654">
        <v>85</v>
      </c>
      <c r="R5" s="151">
        <v>2639.99</v>
      </c>
      <c r="S5" s="641">
        <v>100</v>
      </c>
      <c r="T5" s="640"/>
      <c r="U5" s="142">
        <v>100</v>
      </c>
      <c r="V5" s="640">
        <v>1.1023000000000001</v>
      </c>
      <c r="W5" s="640"/>
      <c r="X5" s="640"/>
      <c r="Y5" s="640"/>
      <c r="Z5" s="143">
        <f t="shared" ref="Z5:Z33" si="2"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 t="shared" ref="AA5:AA36" si="3">+Y5+Z5</f>
        <v>30</v>
      </c>
      <c r="AB5" s="145">
        <f t="shared" ref="AB5:AB36" si="4">+((O5*P5*(R5-U5)/100)-S5-AA5+T5)*V5</f>
        <v>-45.72489045155001</v>
      </c>
      <c r="AC5" s="145">
        <f>+(S5-T5)*V5-'data 1'!$F$4</f>
        <v>30.230000000000004</v>
      </c>
      <c r="AD5" s="145">
        <f t="shared" ref="AD5:AD36" si="5">+(Q5-P5)*(R5-U5)*L5*V5/100</f>
        <v>0</v>
      </c>
      <c r="AE5" s="145">
        <f>+(Y5*V5-70)+V5*(Z5-IF(D5="UNTUCA",IF(+((W5-3)*2.5+(X5-3)*3.1)&gt;0,+((W5-3)*1.5+(X5-3)*3.1),0),IF(+((W5-3)*1.5+(X5-3)*3.1)&gt;0,+((W5-3)*1.5+(X5-3)*3.1),0)))</f>
        <v>-36.930999999999997</v>
      </c>
      <c r="AF5" s="145">
        <f t="shared" ref="AF5:AF36" si="6">(L5-O5)*(R5-U5)*Q5*V5/100</f>
        <v>4.7597126608999876</v>
      </c>
      <c r="AG5" s="925">
        <v>0</v>
      </c>
      <c r="AH5" s="146">
        <f t="shared" ref="AH5:AH36" si="7">31.1035*L5*Q5*1.1023*K5/100</f>
        <v>15.906830533181919</v>
      </c>
      <c r="AI5" s="156">
        <f t="shared" ref="AI5:AI68" si="8">+((+$AI$2-R5+U5)*L5*Q5*V5)/100</f>
        <v>4.291188313150009</v>
      </c>
      <c r="AJ5" s="659">
        <f t="shared" ref="AJ5:AJ36" si="9">31.1035*1.1023*K5*P5*O5/100</f>
        <v>15.166977950243229</v>
      </c>
      <c r="AK5" s="661"/>
      <c r="AL5" s="148">
        <f t="shared" ref="AL5:AL36" si="10">+IF(AB5*K5&gt;0,AB5*K5,0)</f>
        <v>0</v>
      </c>
      <c r="AO5" s="596"/>
      <c r="AQ5" s="596"/>
    </row>
    <row r="6" spans="1:43" ht="15.75" customHeight="1">
      <c r="A6" s="858" t="s">
        <v>91</v>
      </c>
      <c r="B6" s="638"/>
      <c r="C6" s="803" cm="1">
        <v>45566</v>
      </c>
      <c r="D6" s="640" t="s">
        <v>85</v>
      </c>
      <c r="E6" s="640">
        <v>10460498487</v>
      </c>
      <c r="F6" s="743" t="s">
        <v>90</v>
      </c>
      <c r="G6" s="641" t="s">
        <v>68</v>
      </c>
      <c r="H6" s="596" t="s">
        <v>69</v>
      </c>
      <c r="I6" s="596">
        <v>10.08</v>
      </c>
      <c r="J6" s="596">
        <v>9.4499999999999993</v>
      </c>
      <c r="K6" s="138">
        <f t="shared" si="0"/>
        <v>9.12744</v>
      </c>
      <c r="L6" s="646">
        <v>2.5999999999999999E-2</v>
      </c>
      <c r="M6" s="646">
        <v>2.5000000000000001E-2</v>
      </c>
      <c r="N6" s="651">
        <v>2.5000000000000001E-2</v>
      </c>
      <c r="O6" s="141">
        <f t="shared" si="1"/>
        <v>2.5000000000000001E-2</v>
      </c>
      <c r="P6" s="158">
        <v>85</v>
      </c>
      <c r="Q6" s="654">
        <v>85</v>
      </c>
      <c r="R6" s="151">
        <v>2639.99</v>
      </c>
      <c r="S6" s="641">
        <v>100</v>
      </c>
      <c r="T6" s="640"/>
      <c r="U6" s="142">
        <v>100</v>
      </c>
      <c r="V6" s="640">
        <v>1.1023000000000001</v>
      </c>
      <c r="W6" s="640"/>
      <c r="X6" s="640"/>
      <c r="Y6" s="640"/>
      <c r="Z6" s="143">
        <f t="shared" si="2"/>
        <v>30</v>
      </c>
      <c r="AA6" s="144">
        <f t="shared" si="3"/>
        <v>30</v>
      </c>
      <c r="AB6" s="145">
        <f t="shared" si="4"/>
        <v>-83.80259173875001</v>
      </c>
      <c r="AC6" s="145">
        <f>+(S6-T6)*V6-'data 1'!$F$4</f>
        <v>30.230000000000004</v>
      </c>
      <c r="AD6" s="145">
        <f t="shared" si="5"/>
        <v>0</v>
      </c>
      <c r="AE6" s="145">
        <f t="shared" ref="AE6:AE69" si="11">+(Y6*V6-70)+V6*(Z6-IF(D6="UNTUCA",IF(+((W6-3)*2.5+(X6-3)*3.1)&gt;0,+((W6-3)*1.5+(X6-3)*3.1),0),IF(+((W6-3)*1.5+(X6-3)*3.1)&gt;0,+((W6-3)*1.5+(X6-3)*3.1),0)))</f>
        <v>-36.930999999999997</v>
      </c>
      <c r="AF6" s="145">
        <f t="shared" si="6"/>
        <v>2.3798563304499938</v>
      </c>
      <c r="AG6" s="925">
        <v>0</v>
      </c>
      <c r="AH6" s="146">
        <f t="shared" si="7"/>
        <v>6.9159258728983328</v>
      </c>
      <c r="AI6" s="156">
        <f t="shared" si="8"/>
        <v>2.5946720033000052</v>
      </c>
      <c r="AJ6" s="659">
        <f t="shared" si="9"/>
        <v>6.6499287239407057</v>
      </c>
      <c r="AK6" s="661"/>
      <c r="AL6" s="148">
        <f t="shared" si="10"/>
        <v>0</v>
      </c>
      <c r="AO6" s="596"/>
      <c r="AQ6" s="596"/>
    </row>
    <row r="7" spans="1:43" ht="15.75" customHeight="1">
      <c r="A7" s="858" t="s">
        <v>184</v>
      </c>
      <c r="B7" s="135">
        <v>45583</v>
      </c>
      <c r="C7" s="803" cm="1">
        <v>45581</v>
      </c>
      <c r="D7" s="630" t="s">
        <v>106</v>
      </c>
      <c r="E7" s="639">
        <v>20606534923</v>
      </c>
      <c r="F7" s="142" t="s">
        <v>185</v>
      </c>
      <c r="G7" s="642">
        <v>144</v>
      </c>
      <c r="H7" s="596" t="s">
        <v>69</v>
      </c>
      <c r="I7" s="596">
        <v>14.19</v>
      </c>
      <c r="J7" s="596">
        <v>5.45</v>
      </c>
      <c r="K7" s="138">
        <f t="shared" si="0"/>
        <v>13.416644999999999</v>
      </c>
      <c r="L7" s="645">
        <v>8.5999999999999993E-2</v>
      </c>
      <c r="M7" s="649">
        <v>8.5999999999999993E-2</v>
      </c>
      <c r="N7" s="649">
        <v>8.5999999999999993E-2</v>
      </c>
      <c r="O7" s="645">
        <f t="shared" si="1"/>
        <v>8.5999999999999993E-2</v>
      </c>
      <c r="P7" s="154">
        <v>90</v>
      </c>
      <c r="Q7" s="643">
        <v>89.05</v>
      </c>
      <c r="R7" s="144">
        <v>2655.25</v>
      </c>
      <c r="S7" s="642">
        <v>100</v>
      </c>
      <c r="T7" s="631"/>
      <c r="U7" s="639">
        <v>100</v>
      </c>
      <c r="V7" s="639">
        <v>1.1023000000000001</v>
      </c>
      <c r="W7" s="631"/>
      <c r="X7" s="631"/>
      <c r="Y7" s="163">
        <v>30</v>
      </c>
      <c r="Z7" s="143">
        <f t="shared" si="2"/>
        <v>30</v>
      </c>
      <c r="AA7" s="144">
        <f t="shared" si="3"/>
        <v>60</v>
      </c>
      <c r="AB7" s="145">
        <f t="shared" si="4"/>
        <v>41.640870604999982</v>
      </c>
      <c r="AC7" s="145">
        <f>+(S7-T7)*V7-'data 1'!$F$4</f>
        <v>30.230000000000004</v>
      </c>
      <c r="AD7" s="145">
        <f t="shared" si="5"/>
        <v>-2.3012047452750068</v>
      </c>
      <c r="AE7" s="145">
        <f t="shared" si="11"/>
        <v>-3.8619999999999948</v>
      </c>
      <c r="AF7" s="145">
        <f t="shared" si="6"/>
        <v>0</v>
      </c>
      <c r="AG7" s="925">
        <f>+IF(D7="RONALD WILLIAN GARIBAY ESCUDERO",AC7+AD7+AE7+AF7+80,AC7+AD7+AE7+AF7)+90-53</f>
        <v>61.066795254725008</v>
      </c>
      <c r="AH7" s="146">
        <f t="shared" si="7"/>
        <v>35.227787906840838</v>
      </c>
      <c r="AI7" s="156">
        <f t="shared" si="8"/>
        <v>7.7030914821250001</v>
      </c>
      <c r="AJ7" s="156">
        <f t="shared" si="9"/>
        <v>35.603603723926739</v>
      </c>
      <c r="AK7" s="660"/>
      <c r="AL7" s="148">
        <f t="shared" si="10"/>
        <v>558.6807783982199</v>
      </c>
      <c r="AO7" s="596"/>
      <c r="AQ7" s="596"/>
    </row>
    <row r="8" spans="1:43" ht="15.75" customHeight="1">
      <c r="A8" s="858" t="s">
        <v>186</v>
      </c>
      <c r="B8" s="135">
        <v>45583</v>
      </c>
      <c r="C8" s="803" cm="1">
        <v>45581</v>
      </c>
      <c r="D8" s="79" t="s">
        <v>93</v>
      </c>
      <c r="E8" s="6">
        <v>20169040237</v>
      </c>
      <c r="F8" s="742" t="s">
        <v>187</v>
      </c>
      <c r="G8" s="80">
        <v>101</v>
      </c>
      <c r="H8" s="596" t="s">
        <v>69</v>
      </c>
      <c r="I8" s="596">
        <v>9.14</v>
      </c>
      <c r="J8" s="596">
        <v>1.2</v>
      </c>
      <c r="K8" s="138">
        <f t="shared" si="0"/>
        <v>9.0303199999999997</v>
      </c>
      <c r="L8" s="139">
        <v>6.8000000000000005E-2</v>
      </c>
      <c r="M8" s="139">
        <v>6.8000000000000005E-2</v>
      </c>
      <c r="N8" s="159">
        <v>6.8000000000000005E-2</v>
      </c>
      <c r="O8" s="139">
        <f t="shared" si="1"/>
        <v>6.8000000000000005E-2</v>
      </c>
      <c r="P8" s="154">
        <v>90</v>
      </c>
      <c r="Q8" s="137">
        <v>85.46</v>
      </c>
      <c r="R8" s="144">
        <v>2655.25</v>
      </c>
      <c r="S8" s="80">
        <v>100</v>
      </c>
      <c r="U8" s="6">
        <v>100</v>
      </c>
      <c r="V8" s="6">
        <v>1.1023000000000001</v>
      </c>
      <c r="Y8" s="163">
        <v>30</v>
      </c>
      <c r="Z8" s="143">
        <f t="shared" si="2"/>
        <v>30</v>
      </c>
      <c r="AA8" s="144">
        <f t="shared" si="3"/>
        <v>60</v>
      </c>
      <c r="AB8" s="145">
        <f t="shared" si="4"/>
        <v>-3.9888930099999889</v>
      </c>
      <c r="AC8" s="145">
        <f>+(S8-T8)*V8-'data 1'!$F$4</f>
        <v>30.230000000000004</v>
      </c>
      <c r="AD8" s="145">
        <f t="shared" si="5"/>
        <v>-8.6955682859400127</v>
      </c>
      <c r="AE8" s="145">
        <f t="shared" si="11"/>
        <v>-3.8619999999999948</v>
      </c>
      <c r="AF8" s="145">
        <f t="shared" si="6"/>
        <v>0</v>
      </c>
      <c r="AG8" s="925">
        <v>0</v>
      </c>
      <c r="AH8" s="146">
        <f t="shared" si="7"/>
        <v>17.992189259376101</v>
      </c>
      <c r="AI8" s="156">
        <f t="shared" si="8"/>
        <v>5.8452687239000003</v>
      </c>
      <c r="AJ8" s="156">
        <f t="shared" si="9"/>
        <v>18.948011155439374</v>
      </c>
      <c r="AK8" s="88"/>
      <c r="AL8" s="148">
        <f t="shared" si="10"/>
        <v>0</v>
      </c>
      <c r="AO8" s="596"/>
      <c r="AQ8" s="596"/>
    </row>
    <row r="9" spans="1:43" ht="15.75" customHeight="1">
      <c r="A9" s="856" t="s">
        <v>943</v>
      </c>
      <c r="B9" s="135">
        <v>45586</v>
      </c>
      <c r="C9" s="803" cm="1">
        <v>45585</v>
      </c>
      <c r="D9" t="s">
        <v>93</v>
      </c>
      <c r="E9" s="79">
        <v>20169040237</v>
      </c>
      <c r="F9" s="734" t="s">
        <v>963</v>
      </c>
      <c r="G9" s="80">
        <v>13</v>
      </c>
      <c r="H9" s="596" t="s">
        <v>69</v>
      </c>
      <c r="I9" s="596">
        <v>1.17</v>
      </c>
      <c r="J9" s="596">
        <v>1.1000000000000001</v>
      </c>
      <c r="K9" s="138">
        <f t="shared" si="0"/>
        <v>1.15713</v>
      </c>
      <c r="L9" s="139">
        <v>0.85099999999999998</v>
      </c>
      <c r="M9" s="139">
        <v>0.81599999999999995</v>
      </c>
      <c r="N9" s="159">
        <v>0.81599999999999995</v>
      </c>
      <c r="O9" s="139">
        <f t="shared" si="1"/>
        <v>0.81599999999999995</v>
      </c>
      <c r="P9" s="154">
        <v>90</v>
      </c>
      <c r="Q9" s="667">
        <v>89.71</v>
      </c>
      <c r="R9" s="144">
        <v>2712.5</v>
      </c>
      <c r="S9" s="80">
        <v>160</v>
      </c>
      <c r="U9" s="599">
        <v>130</v>
      </c>
      <c r="V9" s="6">
        <v>1.1023000000000001</v>
      </c>
      <c r="Y9" s="163">
        <v>30</v>
      </c>
      <c r="Z9" s="143">
        <f t="shared" si="2"/>
        <v>30</v>
      </c>
      <c r="AA9" s="144">
        <f t="shared" si="3"/>
        <v>60</v>
      </c>
      <c r="AB9" s="145">
        <f t="shared" si="4"/>
        <v>1848.1029524</v>
      </c>
      <c r="AC9" s="145">
        <f>+(S9-T9)*V9-'data 1'!$F$4</f>
        <v>96.367999999999995</v>
      </c>
      <c r="AD9" s="145">
        <f t="shared" si="5"/>
        <v>-7.0253456340251512</v>
      </c>
      <c r="AE9" s="145">
        <f t="shared" si="11"/>
        <v>-3.8619999999999948</v>
      </c>
      <c r="AF9" s="145">
        <f t="shared" si="6"/>
        <v>89.381788115375073</v>
      </c>
      <c r="AG9" s="925">
        <f t="shared" ref="AG9:AG25" si="12">+IF(D9="RONALD WILLIAN GARIBAY ESCUDERO",AC9+AD9+AE9+AF9+80,AC9+AD9+AE9+AF9)</f>
        <v>174.86244248134992</v>
      </c>
      <c r="AH9" s="146">
        <f t="shared" si="7"/>
        <v>30.287375322217432</v>
      </c>
      <c r="AI9" s="156">
        <f t="shared" si="8"/>
        <v>53.857997045120001</v>
      </c>
      <c r="AJ9" s="156">
        <f t="shared" si="9"/>
        <v>29.135594948963348</v>
      </c>
      <c r="AK9" s="88"/>
      <c r="AL9" s="148">
        <f t="shared" si="10"/>
        <v>2138.4953693106122</v>
      </c>
      <c r="AO9" s="596"/>
      <c r="AQ9" s="596"/>
    </row>
    <row r="10" spans="1:43" ht="15.75" customHeight="1">
      <c r="A10" s="856" t="s">
        <v>944</v>
      </c>
      <c r="B10" s="135">
        <v>45590</v>
      </c>
      <c r="C10" s="803" cm="1">
        <v>45585</v>
      </c>
      <c r="D10" t="s">
        <v>106</v>
      </c>
      <c r="E10" s="6">
        <v>20606534923</v>
      </c>
      <c r="F10" s="666" t="s">
        <v>982</v>
      </c>
      <c r="G10" s="80">
        <v>14</v>
      </c>
      <c r="H10" s="596" t="s">
        <v>69</v>
      </c>
      <c r="I10" s="596">
        <v>1.41</v>
      </c>
      <c r="J10" s="596">
        <v>1</v>
      </c>
      <c r="K10" s="138">
        <f t="shared" si="0"/>
        <v>1.3958999999999999</v>
      </c>
      <c r="L10" s="139">
        <v>0.35599999999999998</v>
      </c>
      <c r="M10" s="139">
        <v>0.34799999999999998</v>
      </c>
      <c r="N10" s="139">
        <v>0.34799999999999998</v>
      </c>
      <c r="O10" s="139">
        <f t="shared" si="1"/>
        <v>0.34799999999999998</v>
      </c>
      <c r="P10" s="154">
        <v>90</v>
      </c>
      <c r="Q10" s="668">
        <v>89.42</v>
      </c>
      <c r="R10" s="144">
        <v>2712.5</v>
      </c>
      <c r="S10" s="80">
        <v>120</v>
      </c>
      <c r="U10" s="599">
        <v>130</v>
      </c>
      <c r="V10" s="6">
        <v>1.1023000000000001</v>
      </c>
      <c r="Y10" s="163">
        <v>30</v>
      </c>
      <c r="Z10" s="143">
        <f t="shared" si="2"/>
        <v>30</v>
      </c>
      <c r="AA10" s="144">
        <f t="shared" si="3"/>
        <v>60</v>
      </c>
      <c r="AB10" s="145">
        <f t="shared" si="4"/>
        <v>693.16922969999996</v>
      </c>
      <c r="AC10" s="145">
        <f>+(S10-T10)*V10-'data 1'!$F$4</f>
        <v>52.27600000000001</v>
      </c>
      <c r="AD10" s="145">
        <f t="shared" si="5"/>
        <v>-5.8778449957999825</v>
      </c>
      <c r="AE10" s="145">
        <f t="shared" si="11"/>
        <v>-3.8619999999999948</v>
      </c>
      <c r="AF10" s="145">
        <f t="shared" si="6"/>
        <v>20.36407979560002</v>
      </c>
      <c r="AG10" s="925">
        <f t="shared" si="12"/>
        <v>62.900234799800053</v>
      </c>
      <c r="AH10" s="146">
        <f t="shared" si="7"/>
        <v>15.235195798730008</v>
      </c>
      <c r="AI10" s="156">
        <f t="shared" si="8"/>
        <v>22.457657021439999</v>
      </c>
      <c r="AJ10" s="156">
        <f t="shared" si="9"/>
        <v>14.989430399661234</v>
      </c>
      <c r="AK10" s="88"/>
      <c r="AL10" s="148">
        <f t="shared" si="10"/>
        <v>967.5949277382299</v>
      </c>
      <c r="AO10" s="596"/>
      <c r="AQ10" s="596"/>
    </row>
    <row r="11" spans="1:43" ht="15.75" customHeight="1">
      <c r="A11" s="856" t="s">
        <v>947</v>
      </c>
      <c r="B11" s="135">
        <v>45586</v>
      </c>
      <c r="C11" s="803" cm="1">
        <v>45585</v>
      </c>
      <c r="D11" t="s">
        <v>93</v>
      </c>
      <c r="E11" s="79">
        <v>20169040237</v>
      </c>
      <c r="F11" s="734" t="s">
        <v>964</v>
      </c>
      <c r="G11" s="80">
        <v>21</v>
      </c>
      <c r="H11" s="596" t="s">
        <v>69</v>
      </c>
      <c r="I11" s="596">
        <v>2.13</v>
      </c>
      <c r="J11" s="596">
        <v>1.2</v>
      </c>
      <c r="K11" s="138">
        <f t="shared" si="0"/>
        <v>2.1044399999999999</v>
      </c>
      <c r="L11" s="139">
        <v>0.54200000000000004</v>
      </c>
      <c r="M11" s="752">
        <v>0.52900000000000003</v>
      </c>
      <c r="N11" s="752">
        <v>0.52900000000000003</v>
      </c>
      <c r="O11" s="139">
        <f t="shared" si="1"/>
        <v>0.52900000000000003</v>
      </c>
      <c r="P11" s="154">
        <v>90</v>
      </c>
      <c r="Q11" s="667">
        <v>89.63</v>
      </c>
      <c r="R11" s="144">
        <v>2712.5</v>
      </c>
      <c r="S11" s="80">
        <v>140</v>
      </c>
      <c r="U11" s="599">
        <v>130</v>
      </c>
      <c r="V11" s="6">
        <v>1.1023000000000001</v>
      </c>
      <c r="Y11" s="163">
        <v>30</v>
      </c>
      <c r="Z11" s="143">
        <f t="shared" si="2"/>
        <v>30</v>
      </c>
      <c r="AA11" s="144">
        <f t="shared" si="3"/>
        <v>60</v>
      </c>
      <c r="AB11" s="145">
        <f t="shared" si="4"/>
        <v>1134.8489899750002</v>
      </c>
      <c r="AC11" s="145">
        <f>+(S11-T11)*V11-'data 1'!$F$4</f>
        <v>74.322000000000003</v>
      </c>
      <c r="AD11" s="145">
        <f t="shared" si="5"/>
        <v>-5.7087516246500707</v>
      </c>
      <c r="AE11" s="145">
        <f t="shared" si="11"/>
        <v>-3.8619999999999948</v>
      </c>
      <c r="AF11" s="145">
        <f t="shared" si="6"/>
        <v>33.169344298025024</v>
      </c>
      <c r="AG11" s="925">
        <f t="shared" si="12"/>
        <v>97.920592673374955</v>
      </c>
      <c r="AH11" s="146">
        <f t="shared" si="7"/>
        <v>35.050829498847271</v>
      </c>
      <c r="AI11" s="156">
        <f t="shared" si="8"/>
        <v>34.271448805120002</v>
      </c>
      <c r="AJ11" s="156">
        <f t="shared" si="9"/>
        <v>34.351349159503187</v>
      </c>
      <c r="AK11" s="88"/>
      <c r="AL11" s="148">
        <f t="shared" si="10"/>
        <v>2388.2216084629895</v>
      </c>
      <c r="AO11" s="596"/>
      <c r="AQ11" s="596"/>
    </row>
    <row r="12" spans="1:43" ht="15.75" customHeight="1">
      <c r="A12" s="856" t="s">
        <v>948</v>
      </c>
      <c r="B12" s="135">
        <v>45593</v>
      </c>
      <c r="C12" s="803" cm="1">
        <v>45585</v>
      </c>
      <c r="D12" t="s">
        <v>93</v>
      </c>
      <c r="E12" s="79">
        <v>20169040237</v>
      </c>
      <c r="F12" s="666" t="s">
        <v>983</v>
      </c>
      <c r="G12" s="80">
        <v>11</v>
      </c>
      <c r="H12" s="596" t="s">
        <v>69</v>
      </c>
      <c r="I12" s="596">
        <v>1.1599999999999999</v>
      </c>
      <c r="J12" s="596">
        <v>1</v>
      </c>
      <c r="K12" s="138">
        <f t="shared" si="0"/>
        <v>1.1483999999999999</v>
      </c>
      <c r="L12" s="139">
        <v>0.32900000000000001</v>
      </c>
      <c r="M12" s="149">
        <v>0.32300000000000001</v>
      </c>
      <c r="N12" s="752">
        <v>0.32300000000000001</v>
      </c>
      <c r="O12" s="139">
        <f t="shared" si="1"/>
        <v>0.32300000000000001</v>
      </c>
      <c r="P12" s="154">
        <v>90</v>
      </c>
      <c r="Q12" s="668">
        <v>89.43</v>
      </c>
      <c r="R12" s="144">
        <v>2712.5</v>
      </c>
      <c r="S12" s="80">
        <v>120</v>
      </c>
      <c r="U12" s="599">
        <v>130</v>
      </c>
      <c r="V12" s="6">
        <v>1.1023000000000001</v>
      </c>
      <c r="Y12" s="163">
        <v>30</v>
      </c>
      <c r="Z12" s="143">
        <f t="shared" si="2"/>
        <v>30</v>
      </c>
      <c r="AA12" s="144">
        <f t="shared" si="3"/>
        <v>60</v>
      </c>
      <c r="AB12" s="145">
        <f t="shared" si="4"/>
        <v>629.11871032499994</v>
      </c>
      <c r="AC12" s="145">
        <f>+(S12-T12)*V12-'data 1'!$F$4</f>
        <v>52.27600000000001</v>
      </c>
      <c r="AD12" s="145">
        <f t="shared" si="5"/>
        <v>-5.3383972881749369</v>
      </c>
      <c r="AE12" s="145">
        <f t="shared" si="11"/>
        <v>-3.8619999999999948</v>
      </c>
      <c r="AF12" s="145">
        <f t="shared" si="6"/>
        <v>15.274767860550016</v>
      </c>
      <c r="AG12" s="925">
        <f t="shared" si="12"/>
        <v>58.350370572375091</v>
      </c>
      <c r="AH12" s="146">
        <f t="shared" si="7"/>
        <v>11.584609042582629</v>
      </c>
      <c r="AI12" s="156">
        <f t="shared" si="8"/>
        <v>20.756728755840005</v>
      </c>
      <c r="AJ12" s="156">
        <f t="shared" si="9"/>
        <v>11.445829832365431</v>
      </c>
      <c r="AK12" s="88"/>
      <c r="AL12" s="148">
        <f t="shared" si="10"/>
        <v>722.47992693722983</v>
      </c>
      <c r="AO12" s="596"/>
      <c r="AQ12" s="596"/>
    </row>
    <row r="13" spans="1:43" ht="15.75" customHeight="1">
      <c r="A13" s="856" t="s">
        <v>949</v>
      </c>
      <c r="B13" s="135"/>
      <c r="C13" s="803" cm="1">
        <v>45585</v>
      </c>
      <c r="D13" t="s">
        <v>106</v>
      </c>
      <c r="E13" s="6">
        <v>20606534923</v>
      </c>
      <c r="F13" s="666" t="s">
        <v>984</v>
      </c>
      <c r="G13" s="80">
        <v>16</v>
      </c>
      <c r="H13" s="596" t="s">
        <v>69</v>
      </c>
      <c r="I13" s="596">
        <v>1.48</v>
      </c>
      <c r="J13" s="596">
        <v>1.1599999999999999</v>
      </c>
      <c r="K13" s="138">
        <f t="shared" si="0"/>
        <v>1.4628319999999999</v>
      </c>
      <c r="L13" s="139">
        <v>0.35199999999999998</v>
      </c>
      <c r="M13" s="139">
        <v>0.34100000000000003</v>
      </c>
      <c r="N13" s="159">
        <v>0.34100000000000003</v>
      </c>
      <c r="O13" s="139">
        <f t="shared" si="1"/>
        <v>0.34100000000000003</v>
      </c>
      <c r="P13" s="154">
        <v>90</v>
      </c>
      <c r="Q13" s="668">
        <v>89.4</v>
      </c>
      <c r="R13" s="144">
        <v>2712.5</v>
      </c>
      <c r="S13" s="80">
        <v>120</v>
      </c>
      <c r="U13" s="599">
        <v>130</v>
      </c>
      <c r="V13" s="6">
        <v>1.1023000000000001</v>
      </c>
      <c r="Y13" s="163">
        <v>30</v>
      </c>
      <c r="Z13" s="143">
        <f t="shared" si="2"/>
        <v>30</v>
      </c>
      <c r="AA13" s="144">
        <f t="shared" si="3"/>
        <v>60</v>
      </c>
      <c r="AB13" s="145">
        <f t="shared" si="4"/>
        <v>675.23508427500008</v>
      </c>
      <c r="AC13" s="145">
        <f>+(S13-T13)*V13-'data 1'!$F$4</f>
        <v>52.27600000000001</v>
      </c>
      <c r="AD13" s="145">
        <f t="shared" si="5"/>
        <v>-6.0122087519999425</v>
      </c>
      <c r="AE13" s="145">
        <f t="shared" si="11"/>
        <v>-3.8619999999999948</v>
      </c>
      <c r="AF13" s="145">
        <f t="shared" si="6"/>
        <v>27.994347001499886</v>
      </c>
      <c r="AG13" s="925">
        <f t="shared" si="12"/>
        <v>70.396138249499955</v>
      </c>
      <c r="AH13" s="146">
        <f t="shared" si="7"/>
        <v>15.782787299181791</v>
      </c>
      <c r="AI13" s="156">
        <f t="shared" si="8"/>
        <v>22.200357273600002</v>
      </c>
      <c r="AJ13" s="156">
        <f t="shared" si="9"/>
        <v>15.39218979471379</v>
      </c>
      <c r="AK13" s="88"/>
      <c r="AL13" s="148">
        <f t="shared" si="10"/>
        <v>987.75548880016686</v>
      </c>
      <c r="AO13" s="596"/>
      <c r="AQ13" s="596"/>
    </row>
    <row r="14" spans="1:43" ht="15.75" customHeight="1">
      <c r="A14" s="856" t="s">
        <v>950</v>
      </c>
      <c r="B14" s="135">
        <v>45590</v>
      </c>
      <c r="C14" s="803" cm="1">
        <v>45585</v>
      </c>
      <c r="D14" t="s">
        <v>72</v>
      </c>
      <c r="E14" s="6">
        <v>20606031361</v>
      </c>
      <c r="F14" s="666" t="s">
        <v>985</v>
      </c>
      <c r="G14" s="80" t="s">
        <v>68</v>
      </c>
      <c r="H14" s="596" t="s">
        <v>69</v>
      </c>
      <c r="I14" s="596">
        <v>16.07</v>
      </c>
      <c r="J14" s="596">
        <v>6</v>
      </c>
      <c r="K14" s="138">
        <f t="shared" si="0"/>
        <v>15.1058</v>
      </c>
      <c r="L14" s="598">
        <v>0.13100000000000001</v>
      </c>
      <c r="M14" s="598">
        <v>0.13100000000000001</v>
      </c>
      <c r="N14" s="598">
        <v>0.13100000000000001</v>
      </c>
      <c r="O14" s="139">
        <f t="shared" si="1"/>
        <v>0.13100000000000001</v>
      </c>
      <c r="P14" s="154">
        <v>85</v>
      </c>
      <c r="Q14" s="668">
        <v>89.09</v>
      </c>
      <c r="R14" s="144">
        <v>2712.5</v>
      </c>
      <c r="S14" s="80">
        <v>100</v>
      </c>
      <c r="U14" s="599">
        <v>130</v>
      </c>
      <c r="V14" s="6">
        <v>1.1023000000000001</v>
      </c>
      <c r="Y14" s="163"/>
      <c r="Z14" s="143">
        <f t="shared" si="2"/>
        <v>30</v>
      </c>
      <c r="AA14" s="144">
        <f t="shared" si="3"/>
        <v>30</v>
      </c>
      <c r="AB14" s="145">
        <f t="shared" si="4"/>
        <v>173.67990366250001</v>
      </c>
      <c r="AC14" s="145">
        <f>+(S14-T14)*V14-'data 1'!$F$4</f>
        <v>30.230000000000004</v>
      </c>
      <c r="AD14" s="145">
        <f t="shared" si="5"/>
        <v>15.252279011525014</v>
      </c>
      <c r="AE14" s="145">
        <f t="shared" si="11"/>
        <v>-36.930999999999997</v>
      </c>
      <c r="AF14" s="145">
        <f t="shared" si="6"/>
        <v>0</v>
      </c>
      <c r="AG14" s="925">
        <f t="shared" si="12"/>
        <v>8.5512790115250183</v>
      </c>
      <c r="AH14" s="146">
        <f t="shared" si="7"/>
        <v>60.443980142721003</v>
      </c>
      <c r="AI14" s="156">
        <f t="shared" si="8"/>
        <v>8.2334155628800012</v>
      </c>
      <c r="AJ14" s="156">
        <f t="shared" si="9"/>
        <v>57.669079718613581</v>
      </c>
      <c r="AK14" s="88"/>
      <c r="AL14" s="148">
        <f t="shared" si="10"/>
        <v>2623.5738887449929</v>
      </c>
      <c r="AO14" s="596"/>
      <c r="AQ14" s="596"/>
    </row>
    <row r="15" spans="1:43" ht="15.75" customHeight="1">
      <c r="A15" s="856" t="s">
        <v>951</v>
      </c>
      <c r="B15" s="135">
        <v>45590</v>
      </c>
      <c r="C15" s="803" cm="1">
        <v>45585</v>
      </c>
      <c r="D15" t="s">
        <v>72</v>
      </c>
      <c r="E15" s="6">
        <v>20606031361</v>
      </c>
      <c r="F15" s="666" t="s">
        <v>985</v>
      </c>
      <c r="G15" s="80" t="s">
        <v>68</v>
      </c>
      <c r="H15" s="596" t="s">
        <v>69</v>
      </c>
      <c r="I15" s="596">
        <v>15</v>
      </c>
      <c r="J15" s="596">
        <v>6.3</v>
      </c>
      <c r="K15" s="138">
        <f t="shared" si="0"/>
        <v>14.055</v>
      </c>
      <c r="L15" s="598">
        <v>0.188</v>
      </c>
      <c r="M15" s="598">
        <v>0.188</v>
      </c>
      <c r="N15" s="598">
        <v>0.188</v>
      </c>
      <c r="O15" s="139">
        <f t="shared" si="1"/>
        <v>0.188</v>
      </c>
      <c r="P15" s="154">
        <v>85</v>
      </c>
      <c r="Q15" s="668">
        <v>89.22</v>
      </c>
      <c r="R15" s="144">
        <v>2712.5</v>
      </c>
      <c r="S15" s="80">
        <v>100</v>
      </c>
      <c r="U15" s="599">
        <v>130</v>
      </c>
      <c r="V15" s="6">
        <v>1.1023000000000001</v>
      </c>
      <c r="Y15" s="163"/>
      <c r="Z15" s="143">
        <f t="shared" si="2"/>
        <v>30</v>
      </c>
      <c r="AA15" s="144">
        <f t="shared" si="3"/>
        <v>30</v>
      </c>
      <c r="AB15" s="145">
        <f t="shared" si="4"/>
        <v>311.60202205000002</v>
      </c>
      <c r="AC15" s="145">
        <f>+(S15-T15)*V15-'data 1'!$F$4</f>
        <v>30.230000000000004</v>
      </c>
      <c r="AD15" s="145">
        <f t="shared" si="5"/>
        <v>22.584497800599998</v>
      </c>
      <c r="AE15" s="145">
        <f t="shared" si="11"/>
        <v>-36.930999999999997</v>
      </c>
      <c r="AF15" s="145">
        <f t="shared" si="6"/>
        <v>0</v>
      </c>
      <c r="AG15" s="925">
        <f t="shared" si="12"/>
        <v>15.883497800600004</v>
      </c>
      <c r="AH15" s="146">
        <f t="shared" si="7"/>
        <v>80.827656546405009</v>
      </c>
      <c r="AI15" s="156">
        <f t="shared" si="8"/>
        <v>11.833135825920001</v>
      </c>
      <c r="AJ15" s="156">
        <f t="shared" si="9"/>
        <v>77.004604421031445</v>
      </c>
      <c r="AK15" s="88"/>
      <c r="AL15" s="148">
        <f t="shared" si="10"/>
        <v>4379.5664199127505</v>
      </c>
      <c r="AO15" s="596"/>
      <c r="AQ15" s="596"/>
    </row>
    <row r="16" spans="1:43" ht="15.75" customHeight="1">
      <c r="A16" s="857" t="s">
        <v>965</v>
      </c>
      <c r="B16" s="135">
        <v>45593</v>
      </c>
      <c r="C16" s="803" cm="1">
        <v>45586</v>
      </c>
      <c r="D16" s="665" t="s">
        <v>93</v>
      </c>
      <c r="E16" s="79">
        <v>20169040237</v>
      </c>
      <c r="F16" s="665" t="s">
        <v>986</v>
      </c>
      <c r="G16" s="735">
        <v>46</v>
      </c>
      <c r="H16" s="596" t="s">
        <v>69</v>
      </c>
      <c r="I16" s="596">
        <v>4.72</v>
      </c>
      <c r="J16" s="596">
        <v>1.1000000000000001</v>
      </c>
      <c r="K16" s="138">
        <f t="shared" si="0"/>
        <v>4.6680799999999998</v>
      </c>
      <c r="L16" s="736">
        <v>0.251</v>
      </c>
      <c r="M16" s="598">
        <v>0.251</v>
      </c>
      <c r="N16" s="159">
        <v>0.251</v>
      </c>
      <c r="O16" s="139">
        <f t="shared" si="1"/>
        <v>0.251</v>
      </c>
      <c r="P16" s="727">
        <v>90</v>
      </c>
      <c r="Q16" s="667">
        <v>89.45</v>
      </c>
      <c r="R16" s="151">
        <v>2724.3</v>
      </c>
      <c r="S16" s="710">
        <v>100</v>
      </c>
      <c r="T16" s="629"/>
      <c r="U16" s="599">
        <v>130</v>
      </c>
      <c r="V16" s="6">
        <v>1.1023000000000001</v>
      </c>
      <c r="W16" s="629"/>
      <c r="X16" s="629"/>
      <c r="Y16" s="163">
        <v>30</v>
      </c>
      <c r="Z16" s="143">
        <f t="shared" si="2"/>
        <v>30</v>
      </c>
      <c r="AA16" s="144">
        <f t="shared" si="3"/>
        <v>60</v>
      </c>
      <c r="AB16" s="145">
        <f t="shared" si="4"/>
        <v>469.63752745100004</v>
      </c>
      <c r="AC16" s="145">
        <f>+(S16-T16)*V16-'data 1'!$F$4</f>
        <v>30.230000000000004</v>
      </c>
      <c r="AD16" s="145">
        <f t="shared" si="5"/>
        <v>-3.9478115566449805</v>
      </c>
      <c r="AE16" s="145">
        <f t="shared" si="11"/>
        <v>-3.8619999999999948</v>
      </c>
      <c r="AF16" s="145">
        <f t="shared" si="6"/>
        <v>0</v>
      </c>
      <c r="AG16" s="925">
        <f t="shared" si="12"/>
        <v>22.42018844335503</v>
      </c>
      <c r="AH16" s="146">
        <f t="shared" si="7"/>
        <v>35.933657653993528</v>
      </c>
      <c r="AI16" s="156">
        <f t="shared" si="8"/>
        <v>12.918865501169956</v>
      </c>
      <c r="AJ16" s="156">
        <f t="shared" si="9"/>
        <v>36.154602446723494</v>
      </c>
      <c r="AK16" s="88"/>
      <c r="AL16" s="148">
        <f t="shared" si="10"/>
        <v>2192.3055491434643</v>
      </c>
      <c r="AO16" s="596"/>
      <c r="AQ16" s="596"/>
    </row>
    <row r="17" spans="1:43" ht="15.75" customHeight="1">
      <c r="A17" s="857" t="s">
        <v>966</v>
      </c>
      <c r="B17" s="135">
        <v>45593</v>
      </c>
      <c r="C17" s="803" cm="1">
        <v>45586</v>
      </c>
      <c r="D17" s="665" t="s">
        <v>93</v>
      </c>
      <c r="E17" s="79">
        <v>20169040237</v>
      </c>
      <c r="F17" s="665" t="s">
        <v>986</v>
      </c>
      <c r="G17" s="735">
        <v>97</v>
      </c>
      <c r="H17" s="596" t="s">
        <v>69</v>
      </c>
      <c r="I17" s="596">
        <v>8.82</v>
      </c>
      <c r="J17" s="596">
        <v>1.05</v>
      </c>
      <c r="K17" s="138">
        <f t="shared" si="0"/>
        <v>8.7273899999999998</v>
      </c>
      <c r="L17" s="736">
        <v>0.55200000000000005</v>
      </c>
      <c r="M17" s="598">
        <v>0.56499999999999995</v>
      </c>
      <c r="N17" s="598">
        <v>0.61199999999999999</v>
      </c>
      <c r="O17" s="139">
        <f t="shared" si="1"/>
        <v>0.58899999999999997</v>
      </c>
      <c r="P17" s="727">
        <v>90</v>
      </c>
      <c r="Q17" s="667">
        <v>89.52</v>
      </c>
      <c r="R17" s="151">
        <v>2724.3</v>
      </c>
      <c r="S17" s="710">
        <v>100</v>
      </c>
      <c r="T17" s="629"/>
      <c r="U17" s="599">
        <v>130</v>
      </c>
      <c r="V17" s="6">
        <v>1.1023000000000001</v>
      </c>
      <c r="W17" s="629"/>
      <c r="X17" s="629"/>
      <c r="Y17" s="163">
        <v>30</v>
      </c>
      <c r="Z17" s="143">
        <f t="shared" si="2"/>
        <v>30</v>
      </c>
      <c r="AA17" s="144">
        <f t="shared" si="3"/>
        <v>60</v>
      </c>
      <c r="AB17" s="145">
        <f t="shared" si="4"/>
        <v>1339.557321389</v>
      </c>
      <c r="AC17" s="145">
        <f>+(S17-T17)*V17-'data 1'!$F$4</f>
        <v>30.230000000000004</v>
      </c>
      <c r="AD17" s="145">
        <f t="shared" si="5"/>
        <v>-7.5770528797440635</v>
      </c>
      <c r="AE17" s="145">
        <f t="shared" si="11"/>
        <v>-3.8619999999999948</v>
      </c>
      <c r="AF17" s="145">
        <f t="shared" si="6"/>
        <v>-94.720024269335809</v>
      </c>
      <c r="AG17" s="925">
        <f t="shared" si="12"/>
        <v>-75.929077149079859</v>
      </c>
      <c r="AH17" s="146">
        <f t="shared" si="7"/>
        <v>147.86064767166582</v>
      </c>
      <c r="AI17" s="156">
        <f t="shared" si="8"/>
        <v>28.433443665023905</v>
      </c>
      <c r="AJ17" s="156">
        <f t="shared" si="9"/>
        <v>158.6175571865368</v>
      </c>
      <c r="AK17" s="88"/>
      <c r="AL17" s="148">
        <f t="shared" si="10"/>
        <v>11690.839171117144</v>
      </c>
      <c r="AO17" s="596"/>
      <c r="AQ17" s="596"/>
    </row>
    <row r="18" spans="1:43" s="629" customFormat="1" ht="15.75" customHeight="1">
      <c r="A18" s="857" t="s">
        <v>967</v>
      </c>
      <c r="B18" s="135">
        <v>45589</v>
      </c>
      <c r="C18" s="803" cm="1">
        <v>45586</v>
      </c>
      <c r="D18" s="665" t="s">
        <v>93</v>
      </c>
      <c r="E18" s="79">
        <v>20169040237</v>
      </c>
      <c r="F18" s="665" t="s">
        <v>987</v>
      </c>
      <c r="G18" s="735">
        <v>34</v>
      </c>
      <c r="H18" s="596" t="s">
        <v>69</v>
      </c>
      <c r="I18" s="596">
        <v>3.34</v>
      </c>
      <c r="J18" s="596">
        <v>1.2</v>
      </c>
      <c r="K18" s="138">
        <f t="shared" si="0"/>
        <v>3.2999199999999997</v>
      </c>
      <c r="L18" s="736">
        <v>0.55100000000000005</v>
      </c>
      <c r="M18" s="736">
        <v>0.52800000000000002</v>
      </c>
      <c r="N18" s="159">
        <v>0.52800000000000002</v>
      </c>
      <c r="O18" s="139">
        <f t="shared" si="1"/>
        <v>0.52800000000000002</v>
      </c>
      <c r="P18" s="629">
        <v>90</v>
      </c>
      <c r="Q18" s="667">
        <v>89.26</v>
      </c>
      <c r="R18" s="151">
        <v>2724.3</v>
      </c>
      <c r="S18" s="80">
        <v>140</v>
      </c>
      <c r="U18" s="599">
        <v>130</v>
      </c>
      <c r="V18" s="6">
        <v>1.1023000000000001</v>
      </c>
      <c r="Y18" s="163">
        <v>33</v>
      </c>
      <c r="Z18" s="143">
        <f t="shared" si="2"/>
        <v>30</v>
      </c>
      <c r="AA18" s="144">
        <f t="shared" si="3"/>
        <v>63</v>
      </c>
      <c r="AB18" s="145">
        <f t="shared" si="4"/>
        <v>1135.1610621280001</v>
      </c>
      <c r="AC18" s="145">
        <f>+(S18-T18)*V18-'data 1'!$F$4</f>
        <v>74.322000000000003</v>
      </c>
      <c r="AD18" s="145">
        <f t="shared" si="5"/>
        <v>-11.660128099285924</v>
      </c>
      <c r="AE18" s="145">
        <f t="shared" si="11"/>
        <v>-0.55509999999999593</v>
      </c>
      <c r="AF18" s="145">
        <f t="shared" si="6"/>
        <v>58.709005212322054</v>
      </c>
      <c r="AG18" s="925">
        <f t="shared" si="12"/>
        <v>120.81577711303613</v>
      </c>
      <c r="AH18" s="146">
        <f t="shared" si="7"/>
        <v>55.644335699812345</v>
      </c>
      <c r="AI18" s="156">
        <f t="shared" si="8"/>
        <v>28.299501913355908</v>
      </c>
      <c r="AJ18" s="156">
        <f t="shared" si="9"/>
        <v>53.763670731175893</v>
      </c>
      <c r="AK18" s="88"/>
      <c r="AL18" s="148">
        <f t="shared" si="10"/>
        <v>3745.9406921374298</v>
      </c>
      <c r="AM18" s="764"/>
      <c r="AN18" s="764"/>
      <c r="AO18" s="596"/>
      <c r="AP18"/>
      <c r="AQ18" s="596"/>
    </row>
    <row r="19" spans="1:43" s="629" customFormat="1" ht="15.75" customHeight="1">
      <c r="A19" s="857" t="s">
        <v>970</v>
      </c>
      <c r="B19" s="135">
        <v>45589</v>
      </c>
      <c r="C19" s="803" cm="1">
        <v>45586</v>
      </c>
      <c r="D19" s="665" t="s">
        <v>93</v>
      </c>
      <c r="E19" s="79">
        <v>20169040237</v>
      </c>
      <c r="F19" s="665" t="s">
        <v>987</v>
      </c>
      <c r="G19" s="80">
        <v>8</v>
      </c>
      <c r="H19" s="596" t="s">
        <v>69</v>
      </c>
      <c r="I19" s="596">
        <v>0.72</v>
      </c>
      <c r="J19" s="596">
        <v>1</v>
      </c>
      <c r="K19" s="138">
        <f t="shared" si="0"/>
        <v>0.71279999999999999</v>
      </c>
      <c r="L19" s="139">
        <v>0.30199999999999999</v>
      </c>
      <c r="M19" s="139">
        <v>0.28999999999999998</v>
      </c>
      <c r="N19" s="159">
        <v>0.28999999999999998</v>
      </c>
      <c r="O19" s="139">
        <f t="shared" si="1"/>
        <v>0.28999999999999998</v>
      </c>
      <c r="P19" s="629">
        <v>90</v>
      </c>
      <c r="Q19" s="667">
        <v>89.74</v>
      </c>
      <c r="R19" s="151">
        <v>2724.3</v>
      </c>
      <c r="S19" s="80">
        <v>110</v>
      </c>
      <c r="T19"/>
      <c r="U19" s="599">
        <v>130</v>
      </c>
      <c r="V19" s="6">
        <v>1.1023000000000001</v>
      </c>
      <c r="W19"/>
      <c r="X19"/>
      <c r="Y19" s="163">
        <v>36</v>
      </c>
      <c r="Z19" s="143">
        <f t="shared" si="2"/>
        <v>30</v>
      </c>
      <c r="AA19" s="144">
        <f t="shared" si="3"/>
        <v>66</v>
      </c>
      <c r="AB19" s="145">
        <f t="shared" si="4"/>
        <v>552.37608828999998</v>
      </c>
      <c r="AC19" s="145">
        <f>+(S19-T19)*V19-'data 1'!$F$4</f>
        <v>41.253</v>
      </c>
      <c r="AD19" s="145">
        <f t="shared" si="5"/>
        <v>-2.2454339980280444</v>
      </c>
      <c r="AE19" s="145">
        <f t="shared" si="11"/>
        <v>2.7518000000000029</v>
      </c>
      <c r="AF19" s="145">
        <f t="shared" si="6"/>
        <v>30.795503869032032</v>
      </c>
      <c r="AG19" s="925">
        <f t="shared" si="12"/>
        <v>72.554869871003987</v>
      </c>
      <c r="AH19" s="146">
        <f t="shared" si="7"/>
        <v>6.6232289587969504</v>
      </c>
      <c r="AI19" s="156">
        <f t="shared" si="8"/>
        <v>15.594207852887944</v>
      </c>
      <c r="AJ19" s="156">
        <f t="shared" si="9"/>
        <v>6.3784810211324396</v>
      </c>
      <c r="AK19" s="88"/>
      <c r="AL19" s="148">
        <f t="shared" si="10"/>
        <v>393.73367573311197</v>
      </c>
      <c r="AM19" s="764"/>
      <c r="AN19" s="764"/>
      <c r="AO19" s="596"/>
      <c r="AP19"/>
      <c r="AQ19" s="596"/>
    </row>
    <row r="20" spans="1:43" ht="15.75" customHeight="1">
      <c r="A20" s="857" t="s">
        <v>971</v>
      </c>
      <c r="B20" s="135">
        <v>45593</v>
      </c>
      <c r="C20" s="803" cm="1">
        <v>45586</v>
      </c>
      <c r="D20" s="665" t="s">
        <v>93</v>
      </c>
      <c r="E20" s="79">
        <v>20169040237</v>
      </c>
      <c r="F20" s="665" t="s">
        <v>988</v>
      </c>
      <c r="G20" s="80">
        <v>20</v>
      </c>
      <c r="H20" s="596" t="s">
        <v>69</v>
      </c>
      <c r="I20" s="596">
        <v>1.73</v>
      </c>
      <c r="J20" s="596">
        <v>1.1000000000000001</v>
      </c>
      <c r="K20" s="138">
        <f t="shared" si="0"/>
        <v>1.7109699999999999</v>
      </c>
      <c r="L20" s="139">
        <v>0.39200000000000002</v>
      </c>
      <c r="M20" s="149">
        <v>0.378</v>
      </c>
      <c r="N20" s="598">
        <v>0.378</v>
      </c>
      <c r="O20" s="139">
        <f t="shared" si="1"/>
        <v>0.378</v>
      </c>
      <c r="P20" s="629">
        <v>90</v>
      </c>
      <c r="Q20" s="665">
        <v>89.41</v>
      </c>
      <c r="R20" s="151">
        <v>2724.3</v>
      </c>
      <c r="S20" s="713">
        <v>120</v>
      </c>
      <c r="U20" s="599">
        <v>130</v>
      </c>
      <c r="V20" s="6">
        <v>1.1023000000000001</v>
      </c>
      <c r="Y20" s="163">
        <v>30</v>
      </c>
      <c r="Z20" s="143">
        <f t="shared" si="2"/>
        <v>30</v>
      </c>
      <c r="AA20" s="144">
        <f t="shared" si="3"/>
        <v>60</v>
      </c>
      <c r="AB20" s="145">
        <f t="shared" si="4"/>
        <v>774.45488197800023</v>
      </c>
      <c r="AC20" s="145">
        <f>+(S20-T20)*V20-'data 1'!$F$4</f>
        <v>52.27600000000001</v>
      </c>
      <c r="AD20" s="145">
        <f t="shared" si="5"/>
        <v>-6.6139069671920403</v>
      </c>
      <c r="AE20" s="145">
        <f t="shared" si="11"/>
        <v>-3.8619999999999948</v>
      </c>
      <c r="AF20" s="145">
        <f t="shared" si="6"/>
        <v>35.795969850886038</v>
      </c>
      <c r="AG20" s="925">
        <f t="shared" si="12"/>
        <v>77.596062883694017</v>
      </c>
      <c r="AH20" s="146">
        <f t="shared" si="7"/>
        <v>20.560024408102912</v>
      </c>
      <c r="AI20" s="156">
        <f t="shared" si="8"/>
        <v>20.167054517231929</v>
      </c>
      <c r="AJ20" s="156">
        <f t="shared" si="9"/>
        <v>19.95656418732727</v>
      </c>
      <c r="AK20" s="88"/>
      <c r="AL20" s="148">
        <f t="shared" si="10"/>
        <v>1325.0690694178991</v>
      </c>
      <c r="AO20" s="596"/>
      <c r="AQ20" s="596"/>
    </row>
    <row r="21" spans="1:43" ht="15.75" customHeight="1">
      <c r="A21" s="857" t="s">
        <v>972</v>
      </c>
      <c r="B21" s="135">
        <v>45590</v>
      </c>
      <c r="C21" s="803" cm="1">
        <v>45586</v>
      </c>
      <c r="D21" s="665" t="s">
        <v>93</v>
      </c>
      <c r="E21" s="79">
        <v>20169040237</v>
      </c>
      <c r="F21" s="665" t="s">
        <v>1026</v>
      </c>
      <c r="G21" s="80">
        <v>15</v>
      </c>
      <c r="H21" s="596" t="s">
        <v>69</v>
      </c>
      <c r="I21" s="596">
        <v>1.26</v>
      </c>
      <c r="J21" s="596">
        <v>1.1499999999999999</v>
      </c>
      <c r="K21" s="138">
        <f t="shared" si="0"/>
        <v>1.2455100000000001</v>
      </c>
      <c r="L21" s="139">
        <v>0.23100000000000001</v>
      </c>
      <c r="M21" s="139">
        <v>0.222</v>
      </c>
      <c r="N21" s="159">
        <v>0.222</v>
      </c>
      <c r="O21" s="139">
        <f t="shared" si="1"/>
        <v>0.222</v>
      </c>
      <c r="P21" s="629">
        <v>90</v>
      </c>
      <c r="Q21" s="667">
        <v>89.26</v>
      </c>
      <c r="R21" s="151">
        <v>2724.3</v>
      </c>
      <c r="S21" s="80">
        <v>110</v>
      </c>
      <c r="U21" s="599">
        <v>130</v>
      </c>
      <c r="V21" s="6">
        <v>1.1023000000000001</v>
      </c>
      <c r="Y21" s="163">
        <v>30</v>
      </c>
      <c r="Z21" s="143">
        <f t="shared" si="2"/>
        <v>30</v>
      </c>
      <c r="AA21" s="144">
        <f t="shared" si="3"/>
        <v>60</v>
      </c>
      <c r="AB21" s="145">
        <f t="shared" si="4"/>
        <v>383.97643862199999</v>
      </c>
      <c r="AC21" s="145">
        <f>+(S21-T21)*V21-'data 1'!$F$4</f>
        <v>41.253</v>
      </c>
      <c r="AD21" s="145">
        <f t="shared" si="5"/>
        <v>-4.8883658637659675</v>
      </c>
      <c r="AE21" s="145">
        <f t="shared" si="11"/>
        <v>-3.8619999999999948</v>
      </c>
      <c r="AF21" s="145">
        <f t="shared" si="6"/>
        <v>22.973088996126027</v>
      </c>
      <c r="AG21" s="925">
        <f t="shared" si="12"/>
        <v>55.475723132360059</v>
      </c>
      <c r="AH21" s="146">
        <f t="shared" si="7"/>
        <v>8.8049146485255658</v>
      </c>
      <c r="AI21" s="156">
        <f t="shared" si="8"/>
        <v>11.864219495435961</v>
      </c>
      <c r="AJ21" s="156">
        <f t="shared" si="9"/>
        <v>8.5320181752970701</v>
      </c>
      <c r="AK21" s="88"/>
      <c r="AL21" s="148">
        <f t="shared" si="10"/>
        <v>478.24649406808726</v>
      </c>
      <c r="AO21" s="596"/>
      <c r="AQ21" s="596"/>
    </row>
    <row r="22" spans="1:43" ht="15.75" customHeight="1">
      <c r="A22" s="857" t="s">
        <v>974</v>
      </c>
      <c r="B22" s="135">
        <v>45598</v>
      </c>
      <c r="C22" s="803" cm="1">
        <v>45586</v>
      </c>
      <c r="D22" s="665" t="s">
        <v>106</v>
      </c>
      <c r="E22" s="6">
        <v>20606534923</v>
      </c>
      <c r="F22" s="665" t="s">
        <v>989</v>
      </c>
      <c r="G22" s="80">
        <v>11</v>
      </c>
      <c r="H22" s="596" t="s">
        <v>69</v>
      </c>
      <c r="I22" s="596">
        <v>0.89</v>
      </c>
      <c r="J22" s="596">
        <v>1.1499999999999999</v>
      </c>
      <c r="K22" s="138">
        <f t="shared" si="0"/>
        <v>0.87976500000000002</v>
      </c>
      <c r="L22" s="149">
        <v>0.63900000000000001</v>
      </c>
      <c r="M22" s="149">
        <v>0.63900000000000001</v>
      </c>
      <c r="N22" s="149">
        <v>0.63900000000000001</v>
      </c>
      <c r="O22" s="149">
        <v>0.63900000000000001</v>
      </c>
      <c r="P22" s="629">
        <v>90</v>
      </c>
      <c r="Q22" s="665">
        <v>89.75</v>
      </c>
      <c r="R22" s="151">
        <v>2724.3</v>
      </c>
      <c r="S22" s="80">
        <v>150</v>
      </c>
      <c r="U22" s="599">
        <v>130</v>
      </c>
      <c r="V22" s="6">
        <v>1.1023000000000001</v>
      </c>
      <c r="Y22" s="163">
        <v>15</v>
      </c>
      <c r="Z22" s="143">
        <f t="shared" si="2"/>
        <v>30</v>
      </c>
      <c r="AA22" s="144">
        <f t="shared" si="3"/>
        <v>45</v>
      </c>
      <c r="AB22" s="145">
        <f t="shared" si="4"/>
        <v>1429.663181439</v>
      </c>
      <c r="AC22" s="145">
        <f>+(S22-T22)*V22-'data 1'!$F$4</f>
        <v>85.344999999999999</v>
      </c>
      <c r="AD22" s="145">
        <f t="shared" si="5"/>
        <v>-4.5683657817750003</v>
      </c>
      <c r="AE22" s="145">
        <f t="shared" si="11"/>
        <v>-20.396499999999996</v>
      </c>
      <c r="AF22" s="145">
        <f t="shared" si="6"/>
        <v>0</v>
      </c>
      <c r="AG22" s="925">
        <f t="shared" si="12"/>
        <v>60.380134218225002</v>
      </c>
      <c r="AH22" s="146">
        <f t="shared" si="7"/>
        <v>17.298604321324078</v>
      </c>
      <c r="AI22" s="156">
        <f t="shared" si="8"/>
        <v>32.999368260149879</v>
      </c>
      <c r="AJ22" s="156">
        <f t="shared" si="9"/>
        <v>17.346789848681528</v>
      </c>
      <c r="AK22" s="88"/>
      <c r="AL22" s="148">
        <f t="shared" si="10"/>
        <v>1257.7676288186819</v>
      </c>
      <c r="AO22" s="596"/>
      <c r="AQ22" s="596"/>
    </row>
    <row r="23" spans="1:43" ht="15.75" customHeight="1">
      <c r="A23" s="857" t="s">
        <v>975</v>
      </c>
      <c r="B23" s="135">
        <v>45589</v>
      </c>
      <c r="C23" s="803" cm="1">
        <v>45586</v>
      </c>
      <c r="D23" s="665" t="s">
        <v>106</v>
      </c>
      <c r="E23" s="6">
        <v>20606534923</v>
      </c>
      <c r="F23" s="665" t="s">
        <v>1061</v>
      </c>
      <c r="G23" s="80">
        <v>3</v>
      </c>
      <c r="H23" s="596" t="s">
        <v>69</v>
      </c>
      <c r="I23" s="596">
        <v>0.26</v>
      </c>
      <c r="J23" s="596">
        <v>1</v>
      </c>
      <c r="K23" s="138">
        <f t="shared" si="0"/>
        <v>0.25740000000000002</v>
      </c>
      <c r="L23" s="139">
        <v>0.71399999999999997</v>
      </c>
      <c r="M23" s="139">
        <v>0.68500000000000005</v>
      </c>
      <c r="N23" s="159">
        <v>0.68500000000000005</v>
      </c>
      <c r="O23" s="139">
        <f t="shared" ref="O23:O54" si="13">+ROUND((M23+N23)/2,3)</f>
        <v>0.68500000000000005</v>
      </c>
      <c r="P23" s="629">
        <v>90</v>
      </c>
      <c r="Q23" s="667">
        <v>89.27</v>
      </c>
      <c r="R23" s="151">
        <v>2724.3</v>
      </c>
      <c r="S23" s="80">
        <v>140</v>
      </c>
      <c r="U23" s="599">
        <v>130</v>
      </c>
      <c r="V23" s="6">
        <v>1.1023000000000001</v>
      </c>
      <c r="Y23" s="163">
        <v>30</v>
      </c>
      <c r="Z23" s="143">
        <f t="shared" si="2"/>
        <v>30</v>
      </c>
      <c r="AA23" s="144">
        <f t="shared" si="3"/>
        <v>60</v>
      </c>
      <c r="AB23" s="145">
        <f t="shared" si="4"/>
        <v>1542.5431326850005</v>
      </c>
      <c r="AC23" s="145">
        <f>+(S23-T23)*V23-'data 1'!$F$4</f>
        <v>74.322000000000003</v>
      </c>
      <c r="AD23" s="145">
        <f t="shared" si="5"/>
        <v>-14.905312130058082</v>
      </c>
      <c r="AE23" s="145">
        <f t="shared" si="11"/>
        <v>-3.8619999999999948</v>
      </c>
      <c r="AF23" s="145">
        <f t="shared" si="6"/>
        <v>74.032690997386794</v>
      </c>
      <c r="AG23" s="925">
        <f t="shared" si="12"/>
        <v>129.58737886732871</v>
      </c>
      <c r="AH23" s="146">
        <f t="shared" si="7"/>
        <v>5.6249848669878331</v>
      </c>
      <c r="AI23" s="156">
        <f t="shared" si="8"/>
        <v>36.675332255267875</v>
      </c>
      <c r="AJ23" s="156">
        <f t="shared" si="9"/>
        <v>5.4406488020291555</v>
      </c>
      <c r="AK23" s="88"/>
      <c r="AL23" s="148">
        <f t="shared" si="10"/>
        <v>397.05060235311913</v>
      </c>
      <c r="AO23" s="596"/>
      <c r="AQ23" s="596"/>
    </row>
    <row r="24" spans="1:43" ht="15.75" customHeight="1">
      <c r="A24" s="857" t="s">
        <v>976</v>
      </c>
      <c r="B24" s="135">
        <v>45589</v>
      </c>
      <c r="C24" s="803" cm="1">
        <v>45586</v>
      </c>
      <c r="D24" s="665" t="s">
        <v>93</v>
      </c>
      <c r="E24" s="79">
        <v>20169040237</v>
      </c>
      <c r="F24" s="665" t="s">
        <v>990</v>
      </c>
      <c r="G24" s="80">
        <v>81</v>
      </c>
      <c r="H24" s="596" t="s">
        <v>69</v>
      </c>
      <c r="I24" s="596">
        <v>7.66</v>
      </c>
      <c r="J24" s="596">
        <v>1.1000000000000001</v>
      </c>
      <c r="K24" s="138">
        <f t="shared" si="0"/>
        <v>7.5757399999999997</v>
      </c>
      <c r="L24" s="139">
        <v>0.60899999999999999</v>
      </c>
      <c r="M24" s="139">
        <v>0.58499999999999996</v>
      </c>
      <c r="N24" s="159">
        <v>0.59899999999999998</v>
      </c>
      <c r="O24" s="139">
        <f t="shared" si="13"/>
        <v>0.59199999999999997</v>
      </c>
      <c r="P24" s="629">
        <v>90</v>
      </c>
      <c r="Q24" s="667">
        <v>89.72</v>
      </c>
      <c r="R24" s="151">
        <v>2724.3</v>
      </c>
      <c r="S24" s="80">
        <v>140</v>
      </c>
      <c r="U24" s="599">
        <v>130</v>
      </c>
      <c r="V24" s="6">
        <v>1.1023000000000001</v>
      </c>
      <c r="Y24" s="163">
        <v>20</v>
      </c>
      <c r="Z24" s="143">
        <f t="shared" si="2"/>
        <v>30</v>
      </c>
      <c r="AA24" s="144">
        <f t="shared" si="3"/>
        <v>50</v>
      </c>
      <c r="AB24" s="145">
        <f t="shared" si="4"/>
        <v>1314.2095029920001</v>
      </c>
      <c r="AC24" s="145">
        <f>+(S24-T24)*V24-'data 1'!$F$4</f>
        <v>74.322000000000003</v>
      </c>
      <c r="AD24" s="145">
        <f t="shared" si="5"/>
        <v>-4.8763551368280202</v>
      </c>
      <c r="AE24" s="145">
        <f t="shared" si="11"/>
        <v>-14.884999999999998</v>
      </c>
      <c r="AF24" s="145">
        <f t="shared" si="6"/>
        <v>43.617240845036036</v>
      </c>
      <c r="AG24" s="925">
        <f t="shared" si="12"/>
        <v>98.177885708208009</v>
      </c>
      <c r="AH24" s="146">
        <f t="shared" si="7"/>
        <v>141.91904761448609</v>
      </c>
      <c r="AI24" s="156">
        <f t="shared" si="8"/>
        <v>31.43958957568789</v>
      </c>
      <c r="AJ24" s="156">
        <f t="shared" si="9"/>
        <v>138.38797252279525</v>
      </c>
      <c r="AK24" s="88"/>
      <c r="AL24" s="148">
        <f t="shared" si="10"/>
        <v>9956.109500196615</v>
      </c>
      <c r="AO24" s="596"/>
      <c r="AQ24" s="596"/>
    </row>
    <row r="25" spans="1:43" ht="15.75" customHeight="1">
      <c r="A25" s="857" t="s">
        <v>977</v>
      </c>
      <c r="B25" s="135">
        <v>45589</v>
      </c>
      <c r="C25" s="803" cm="1">
        <v>45586</v>
      </c>
      <c r="D25" s="665" t="s">
        <v>93</v>
      </c>
      <c r="E25" s="79">
        <v>20169040237</v>
      </c>
      <c r="F25" s="665" t="s">
        <v>990</v>
      </c>
      <c r="G25" s="80">
        <v>80</v>
      </c>
      <c r="H25" s="596" t="s">
        <v>69</v>
      </c>
      <c r="I25" s="596">
        <v>7.46</v>
      </c>
      <c r="J25" s="596">
        <v>1.2</v>
      </c>
      <c r="K25" s="138">
        <f t="shared" si="0"/>
        <v>7.3704799999999997</v>
      </c>
      <c r="L25" s="139">
        <v>0.34699999999999998</v>
      </c>
      <c r="M25" s="139">
        <v>0.33300000000000002</v>
      </c>
      <c r="N25" s="159">
        <v>0.34699999999999998</v>
      </c>
      <c r="O25" s="139">
        <f t="shared" si="13"/>
        <v>0.34</v>
      </c>
      <c r="P25" s="629">
        <v>90</v>
      </c>
      <c r="Q25" s="667">
        <v>89.1</v>
      </c>
      <c r="R25" s="151">
        <v>2724.3</v>
      </c>
      <c r="S25" s="80">
        <v>120</v>
      </c>
      <c r="U25" s="599">
        <v>130</v>
      </c>
      <c r="V25" s="6">
        <v>1.1023000000000001</v>
      </c>
      <c r="Y25" s="163">
        <v>20</v>
      </c>
      <c r="Z25" s="143">
        <f t="shared" si="2"/>
        <v>30</v>
      </c>
      <c r="AA25" s="144">
        <f t="shared" si="3"/>
        <v>50</v>
      </c>
      <c r="AB25" s="145">
        <f t="shared" si="4"/>
        <v>687.67624834000026</v>
      </c>
      <c r="AC25" s="145">
        <f>+(S25-T25)*V25-'data 1'!$F$4</f>
        <v>52.27600000000001</v>
      </c>
      <c r="AD25" s="145">
        <f t="shared" si="5"/>
        <v>-8.9308333874700558</v>
      </c>
      <c r="AE25" s="145">
        <f t="shared" si="11"/>
        <v>-14.884999999999998</v>
      </c>
      <c r="AF25" s="145">
        <f t="shared" si="6"/>
        <v>17.835929502929872</v>
      </c>
      <c r="AG25" s="925">
        <f t="shared" si="12"/>
        <v>46.296096115459825</v>
      </c>
      <c r="AH25" s="146">
        <f t="shared" si="7"/>
        <v>78.128955835405989</v>
      </c>
      <c r="AI25" s="156">
        <f t="shared" si="8"/>
        <v>17.790063130619934</v>
      </c>
      <c r="AJ25" s="156">
        <f t="shared" si="9"/>
        <v>77.326128675917786</v>
      </c>
      <c r="AK25" s="88"/>
      <c r="AL25" s="148">
        <f t="shared" si="10"/>
        <v>5068.5040348650045</v>
      </c>
      <c r="AO25" s="596"/>
      <c r="AQ25" s="596"/>
    </row>
    <row r="26" spans="1:43" ht="15.75" customHeight="1">
      <c r="A26" s="857" t="s">
        <v>997</v>
      </c>
      <c r="B26" s="135">
        <v>45594</v>
      </c>
      <c r="C26" s="803" cm="1">
        <v>45587</v>
      </c>
      <c r="D26" t="s">
        <v>1032</v>
      </c>
      <c r="E26" s="6">
        <v>10602688050</v>
      </c>
      <c r="F26" s="665" t="s">
        <v>1027</v>
      </c>
      <c r="G26" s="80">
        <v>9</v>
      </c>
      <c r="H26" s="596" t="s">
        <v>69</v>
      </c>
      <c r="I26" s="596">
        <v>0.72</v>
      </c>
      <c r="J26" s="596">
        <v>1.22</v>
      </c>
      <c r="K26" s="138">
        <f t="shared" si="0"/>
        <v>0.71121599999999996</v>
      </c>
      <c r="L26" s="139">
        <v>0.439</v>
      </c>
      <c r="M26" s="139">
        <v>0.42099999999999999</v>
      </c>
      <c r="N26" s="159">
        <v>0.42099999999999999</v>
      </c>
      <c r="O26" s="139">
        <f t="shared" si="13"/>
        <v>0.42099999999999999</v>
      </c>
      <c r="P26" s="629">
        <v>90</v>
      </c>
      <c r="Q26" s="665">
        <v>89.5</v>
      </c>
      <c r="R26" s="151">
        <v>2726.5</v>
      </c>
      <c r="S26" s="713">
        <v>130</v>
      </c>
      <c r="U26" s="599">
        <v>130</v>
      </c>
      <c r="V26" s="6">
        <v>1.1023000000000001</v>
      </c>
      <c r="Y26" s="163">
        <v>10</v>
      </c>
      <c r="Z26" s="143">
        <f t="shared" si="2"/>
        <v>30</v>
      </c>
      <c r="AA26" s="144">
        <f t="shared" si="3"/>
        <v>40</v>
      </c>
      <c r="AB26" s="145">
        <f t="shared" si="4"/>
        <v>897.06700685500005</v>
      </c>
      <c r="AC26" s="145">
        <f>+(S26-T26)*V26-'data 1'!$F$4</f>
        <v>63.299000000000007</v>
      </c>
      <c r="AD26" s="145">
        <f t="shared" si="5"/>
        <v>-6.2823576802499996</v>
      </c>
      <c r="AE26" s="145">
        <f t="shared" si="11"/>
        <v>-25.908000000000001</v>
      </c>
      <c r="AF26" s="145">
        <f t="shared" si="6"/>
        <v>46.108784614500046</v>
      </c>
      <c r="AG26" s="925">
        <f>+IF(D26="RONALD WILLIAN GARIBAY ESCUDERO",AC26+AD26+AE26+AF26+80,AC26+AD26+AE26+AF26)+70-60</f>
        <v>87.217426934250057</v>
      </c>
      <c r="AH26" s="146">
        <f t="shared" si="7"/>
        <v>9.5807198930439377</v>
      </c>
      <c r="AI26" s="156">
        <f t="shared" si="8"/>
        <v>21.654959075000001</v>
      </c>
      <c r="AJ26" s="156">
        <f t="shared" si="9"/>
        <v>9.2392175397980392</v>
      </c>
      <c r="AK26" s="88"/>
      <c r="AL26" s="148">
        <f t="shared" si="10"/>
        <v>638.00840834738563</v>
      </c>
      <c r="AO26" s="596"/>
      <c r="AQ26" s="596"/>
    </row>
    <row r="27" spans="1:43" ht="15.75" customHeight="1">
      <c r="A27" s="857" t="s">
        <v>1002</v>
      </c>
      <c r="B27" s="135">
        <v>45592</v>
      </c>
      <c r="C27" s="803" cm="1">
        <v>45588</v>
      </c>
      <c r="D27" t="s">
        <v>85</v>
      </c>
      <c r="E27" s="640">
        <v>10460498487</v>
      </c>
      <c r="F27" s="712" t="s">
        <v>1024</v>
      </c>
      <c r="G27" s="80">
        <v>135</v>
      </c>
      <c r="H27" s="596" t="s">
        <v>69</v>
      </c>
      <c r="I27" s="596">
        <v>11.62</v>
      </c>
      <c r="J27" s="596">
        <v>5.5</v>
      </c>
      <c r="K27" s="138">
        <f t="shared" si="0"/>
        <v>10.980899999999998</v>
      </c>
      <c r="L27" s="139">
        <v>0.46500000000000002</v>
      </c>
      <c r="M27" s="139">
        <v>0.41799999999999998</v>
      </c>
      <c r="N27" s="598">
        <v>0.47299999999999998</v>
      </c>
      <c r="O27" s="139">
        <f t="shared" si="13"/>
        <v>0.44600000000000001</v>
      </c>
      <c r="P27" s="629">
        <v>90</v>
      </c>
      <c r="Q27" s="665">
        <v>89.49</v>
      </c>
      <c r="R27" s="729">
        <v>2727.5</v>
      </c>
      <c r="S27" s="80">
        <v>130</v>
      </c>
      <c r="U27" s="599">
        <v>130</v>
      </c>
      <c r="V27" s="6">
        <v>1.1023000000000001</v>
      </c>
      <c r="Y27" s="163">
        <v>30</v>
      </c>
      <c r="Z27" s="143">
        <f t="shared" si="2"/>
        <v>30</v>
      </c>
      <c r="AA27" s="144">
        <f t="shared" si="3"/>
        <v>60</v>
      </c>
      <c r="AB27" s="145">
        <f t="shared" si="4"/>
        <v>939.86121395000009</v>
      </c>
      <c r="AC27" s="145">
        <f>+(S27-T27)*V27-'data 1'!$F$4</f>
        <v>63.299000000000007</v>
      </c>
      <c r="AD27" s="145">
        <f t="shared" si="5"/>
        <v>-6.790136308875069</v>
      </c>
      <c r="AE27" s="145">
        <f t="shared" si="11"/>
        <v>-3.8619999999999948</v>
      </c>
      <c r="AF27" s="145">
        <f t="shared" si="6"/>
        <v>48.683688245175041</v>
      </c>
      <c r="AG27" s="925">
        <f>+IF(D27="RONALD WILLIAN GARIBAY ESCUDERO",AC27+AD27+AE27+AF27+80,AC27+AD27+AE27+AF27)</f>
        <v>101.33055193629998</v>
      </c>
      <c r="AH27" s="146">
        <f t="shared" si="7"/>
        <v>156.66589598517643</v>
      </c>
      <c r="AI27" s="156">
        <f t="shared" si="8"/>
        <v>22.476223831950001</v>
      </c>
      <c r="AJ27" s="156">
        <f t="shared" si="9"/>
        <v>151.12084523999155</v>
      </c>
      <c r="AK27" s="88"/>
      <c r="AL27" s="148">
        <f t="shared" si="10"/>
        <v>10320.522004263554</v>
      </c>
      <c r="AO27" s="596"/>
      <c r="AQ27" s="596"/>
    </row>
    <row r="28" spans="1:43" ht="15.75" customHeight="1">
      <c r="A28" s="857" t="s">
        <v>1003</v>
      </c>
      <c r="B28" s="135"/>
      <c r="C28" s="803" cm="1">
        <v>45588</v>
      </c>
      <c r="D28" t="s">
        <v>85</v>
      </c>
      <c r="E28" s="640">
        <v>10460498487</v>
      </c>
      <c r="F28" s="712" t="s">
        <v>1024</v>
      </c>
      <c r="G28" s="80">
        <v>112</v>
      </c>
      <c r="H28" s="596" t="s">
        <v>69</v>
      </c>
      <c r="I28" s="596">
        <v>10.07</v>
      </c>
      <c r="J28" s="596">
        <v>6.5</v>
      </c>
      <c r="K28" s="138">
        <f t="shared" si="0"/>
        <v>9.4154499999999999</v>
      </c>
      <c r="L28" s="139">
        <v>0.46</v>
      </c>
      <c r="M28" s="139">
        <v>0.442</v>
      </c>
      <c r="N28" s="598">
        <v>0.504</v>
      </c>
      <c r="O28" s="139">
        <f t="shared" si="13"/>
        <v>0.47299999999999998</v>
      </c>
      <c r="P28" s="629">
        <v>90</v>
      </c>
      <c r="Q28" s="665">
        <v>89.37</v>
      </c>
      <c r="R28" s="729">
        <v>2727.5</v>
      </c>
      <c r="S28" s="80">
        <v>130</v>
      </c>
      <c r="U28" s="599">
        <v>130</v>
      </c>
      <c r="V28" s="6">
        <v>1.1023000000000001</v>
      </c>
      <c r="Y28" s="163">
        <v>30</v>
      </c>
      <c r="Z28" s="143">
        <f t="shared" si="2"/>
        <v>30</v>
      </c>
      <c r="AA28" s="144">
        <f t="shared" si="3"/>
        <v>60</v>
      </c>
      <c r="AB28" s="145">
        <f t="shared" si="4"/>
        <v>1009.4375632250001</v>
      </c>
      <c r="AC28" s="145">
        <f>+(S28-T28)*V28-'data 1'!$F$4</f>
        <v>63.299000000000007</v>
      </c>
      <c r="AD28" s="145">
        <f t="shared" si="5"/>
        <v>-8.2976238764999408</v>
      </c>
      <c r="AE28" s="145">
        <f t="shared" si="11"/>
        <v>-3.8619999999999948</v>
      </c>
      <c r="AF28" s="145">
        <f t="shared" si="6"/>
        <v>-33.265225658924891</v>
      </c>
      <c r="AG28" s="925">
        <f>+IF(D28="RONALD WILLIAN GARIBAY ESCUDERO",AC28+AD28+AE28+AF28+80,AC28+AD28+AE28+AF28)</f>
        <v>17.87415046457518</v>
      </c>
      <c r="AH28" s="146">
        <f t="shared" si="7"/>
        <v>132.70880555262346</v>
      </c>
      <c r="AI28" s="156">
        <f t="shared" si="8"/>
        <v>22.204728995400004</v>
      </c>
      <c r="AJ28" s="156">
        <f t="shared" si="9"/>
        <v>137.42122033887406</v>
      </c>
      <c r="AK28" s="88"/>
      <c r="AL28" s="148">
        <f t="shared" si="10"/>
        <v>9504.3089046668265</v>
      </c>
      <c r="AO28" s="596"/>
      <c r="AQ28" s="596"/>
    </row>
    <row r="29" spans="1:43" ht="15.75" customHeight="1">
      <c r="A29" s="857" t="s">
        <v>1004</v>
      </c>
      <c r="B29" s="135"/>
      <c r="C29" s="803" cm="1">
        <v>45588</v>
      </c>
      <c r="D29" t="s">
        <v>85</v>
      </c>
      <c r="E29" s="142">
        <v>10460498487</v>
      </c>
      <c r="F29" s="712" t="s">
        <v>1024</v>
      </c>
      <c r="G29" s="80" t="s">
        <v>68</v>
      </c>
      <c r="H29" s="596" t="s">
        <v>69</v>
      </c>
      <c r="I29" s="596">
        <v>21.4</v>
      </c>
      <c r="J29" s="596">
        <v>2.8</v>
      </c>
      <c r="K29" s="138">
        <f t="shared" si="0"/>
        <v>20.800799999999999</v>
      </c>
      <c r="L29" s="139">
        <v>0.14399999999999999</v>
      </c>
      <c r="M29" s="139">
        <v>0.13800000000000001</v>
      </c>
      <c r="N29" s="598">
        <v>0.158</v>
      </c>
      <c r="O29" s="139">
        <f t="shared" si="13"/>
        <v>0.14799999999999999</v>
      </c>
      <c r="P29" s="629">
        <v>90</v>
      </c>
      <c r="Q29" s="665">
        <v>89.61</v>
      </c>
      <c r="R29" s="740">
        <v>2727.5</v>
      </c>
      <c r="S29" s="80">
        <v>100</v>
      </c>
      <c r="U29" s="599">
        <v>130</v>
      </c>
      <c r="V29" s="6">
        <v>1.1023000000000001</v>
      </c>
      <c r="Y29" s="163">
        <v>30</v>
      </c>
      <c r="Z29" s="143">
        <f t="shared" si="2"/>
        <v>30</v>
      </c>
      <c r="AA29" s="144">
        <f t="shared" si="3"/>
        <v>60</v>
      </c>
      <c r="AB29" s="145">
        <f t="shared" si="4"/>
        <v>205.01347009999998</v>
      </c>
      <c r="AC29" s="145">
        <f>+(S29-T29)*V29-'data 1'!$F$4</f>
        <v>30.230000000000004</v>
      </c>
      <c r="AD29" s="145">
        <f t="shared" si="5"/>
        <v>-1.6079867388000022</v>
      </c>
      <c r="AE29" s="145">
        <f t="shared" si="11"/>
        <v>-3.8619999999999948</v>
      </c>
      <c r="AF29" s="145">
        <f t="shared" si="6"/>
        <v>-10.26294100170001</v>
      </c>
      <c r="AG29" s="925">
        <f>+IF(D29="RONALD WILLIAN GARIBAY ESCUDERO",AC29+AD29+AE29+AF29+80,AC29+AD29+AE29+AF29)</f>
        <v>14.497072259499998</v>
      </c>
      <c r="AH29" s="146">
        <f t="shared" si="7"/>
        <v>92.025476946197173</v>
      </c>
      <c r="AI29" s="156">
        <f t="shared" si="8"/>
        <v>6.9697123876800005</v>
      </c>
      <c r="AJ29" s="156">
        <f t="shared" si="9"/>
        <v>94.993378166758617</v>
      </c>
      <c r="AK29" s="88"/>
      <c r="AL29" s="148">
        <f t="shared" si="10"/>
        <v>4264.4441888560796</v>
      </c>
      <c r="AO29" s="596"/>
      <c r="AQ29" s="596"/>
    </row>
    <row r="30" spans="1:43" ht="15.75" customHeight="1">
      <c r="A30" s="857" t="s">
        <v>1006</v>
      </c>
      <c r="B30" s="135">
        <v>45594</v>
      </c>
      <c r="C30" s="803" cm="1">
        <v>45588</v>
      </c>
      <c r="D30" t="s">
        <v>145</v>
      </c>
      <c r="E30" s="6">
        <v>10437450094</v>
      </c>
      <c r="F30" s="631" t="s">
        <v>1030</v>
      </c>
      <c r="G30" s="80">
        <v>21</v>
      </c>
      <c r="H30" s="596" t="s">
        <v>69</v>
      </c>
      <c r="I30" s="596">
        <v>1.77</v>
      </c>
      <c r="J30" s="596">
        <v>2.25</v>
      </c>
      <c r="K30" s="138">
        <f t="shared" si="0"/>
        <v>1.730175</v>
      </c>
      <c r="L30" s="139">
        <v>0.35799999999999998</v>
      </c>
      <c r="M30" s="139">
        <v>0.34</v>
      </c>
      <c r="N30" s="159">
        <v>0.34</v>
      </c>
      <c r="O30" s="139">
        <f t="shared" si="13"/>
        <v>0.34</v>
      </c>
      <c r="P30" s="629">
        <v>90</v>
      </c>
      <c r="Q30" s="665">
        <v>89.65</v>
      </c>
      <c r="R30" s="740">
        <v>2736.45</v>
      </c>
      <c r="S30" s="713">
        <v>120</v>
      </c>
      <c r="U30" s="599">
        <v>130</v>
      </c>
      <c r="V30" s="6">
        <v>1.1023000000000001</v>
      </c>
      <c r="Y30" s="163">
        <v>20</v>
      </c>
      <c r="Z30" s="143">
        <f t="shared" si="2"/>
        <v>30</v>
      </c>
      <c r="AA30" s="144">
        <f t="shared" si="3"/>
        <v>50</v>
      </c>
      <c r="AB30" s="145">
        <f t="shared" si="4"/>
        <v>691.77448950999997</v>
      </c>
      <c r="AC30" s="145">
        <f>+(S30-T30)*V30-'data 1'!$F$4</f>
        <v>52.27600000000001</v>
      </c>
      <c r="AD30" s="145">
        <f t="shared" si="5"/>
        <v>-3.5999815632549415</v>
      </c>
      <c r="AE30" s="145">
        <f t="shared" si="11"/>
        <v>-14.884999999999998</v>
      </c>
      <c r="AF30" s="145">
        <f t="shared" si="6"/>
        <v>46.363050667394901</v>
      </c>
      <c r="AG30" s="925">
        <f>+IF(D30="RONALD WILLIAN GARIBAY ESCUDERO",AC30+AD30+AE30+AF30+80,AC30+AD30+AE30+AF30)+90-53</f>
        <v>117.15406910413998</v>
      </c>
      <c r="AH30" s="146">
        <f t="shared" si="7"/>
        <v>19.038486582252929</v>
      </c>
      <c r="AI30" s="156">
        <f t="shared" si="8"/>
        <v>14.168884117905066</v>
      </c>
      <c r="AJ30" s="156">
        <f t="shared" si="9"/>
        <v>18.151834708439079</v>
      </c>
      <c r="AK30" s="88"/>
      <c r="AL30" s="148">
        <f t="shared" si="10"/>
        <v>1196.8909273879642</v>
      </c>
      <c r="AO30" s="596"/>
      <c r="AQ30" s="596"/>
    </row>
    <row r="31" spans="1:43" ht="15.75" customHeight="1">
      <c r="A31" s="857" t="s">
        <v>1012</v>
      </c>
      <c r="B31" s="135">
        <v>45594</v>
      </c>
      <c r="C31" s="803" cm="1">
        <v>45588</v>
      </c>
      <c r="D31" t="s">
        <v>1010</v>
      </c>
      <c r="E31">
        <v>20606102519</v>
      </c>
      <c r="F31" s="631" t="s">
        <v>1031</v>
      </c>
      <c r="G31" s="80">
        <v>15</v>
      </c>
      <c r="H31" s="596" t="s">
        <v>69</v>
      </c>
      <c r="I31" s="596">
        <v>1.26</v>
      </c>
      <c r="J31" s="596">
        <v>2.1</v>
      </c>
      <c r="K31" s="138">
        <f t="shared" si="0"/>
        <v>1.2335400000000001</v>
      </c>
      <c r="L31" s="139">
        <v>0.53600000000000003</v>
      </c>
      <c r="M31" s="139">
        <v>0.51500000000000001</v>
      </c>
      <c r="N31" s="159">
        <v>0.51500000000000001</v>
      </c>
      <c r="O31" s="139">
        <f t="shared" si="13"/>
        <v>0.51500000000000001</v>
      </c>
      <c r="P31" s="629">
        <v>90</v>
      </c>
      <c r="Q31">
        <v>89.42</v>
      </c>
      <c r="R31" s="740">
        <v>2736.45</v>
      </c>
      <c r="S31" s="713">
        <v>140</v>
      </c>
      <c r="U31" s="599">
        <v>130</v>
      </c>
      <c r="V31" s="6">
        <v>1.1023000000000001</v>
      </c>
      <c r="Y31" s="163">
        <v>10</v>
      </c>
      <c r="Z31" s="143">
        <f t="shared" si="2"/>
        <v>30</v>
      </c>
      <c r="AA31" s="144">
        <f t="shared" si="3"/>
        <v>40</v>
      </c>
      <c r="AB31" s="145">
        <f t="shared" si="4"/>
        <v>1133.2631385225</v>
      </c>
      <c r="AC31" s="145">
        <f>+(S31-T31)*V31-'data 1'!$F$4</f>
        <v>74.322000000000003</v>
      </c>
      <c r="AD31" s="145">
        <f t="shared" si="5"/>
        <v>-8.9318616790479748</v>
      </c>
      <c r="AE31" s="145">
        <f t="shared" si="11"/>
        <v>-25.908000000000001</v>
      </c>
      <c r="AF31" s="145">
        <f t="shared" si="6"/>
        <v>53.951455539597056</v>
      </c>
      <c r="AG31" s="925">
        <f>+IF(D31="RONALD WILLIAN GARIBAY ESCUDERO",AC31+AD31+AE31+AF31+80,AC31+AD31+AE31+AF31)+70-53</f>
        <v>110.43359386054908</v>
      </c>
      <c r="AH31" s="146">
        <f t="shared" si="7"/>
        <v>20.270373984693268</v>
      </c>
      <c r="AI31" s="156">
        <f t="shared" si="8"/>
        <v>21.1593237248881</v>
      </c>
      <c r="AJ31" s="156">
        <f t="shared" si="9"/>
        <v>19.602526276103813</v>
      </c>
      <c r="AK31" s="88"/>
      <c r="AL31" s="148">
        <f t="shared" si="10"/>
        <v>1397.9254118930446</v>
      </c>
      <c r="AO31" s="596"/>
      <c r="AQ31" s="596"/>
    </row>
    <row r="32" spans="1:43" ht="15.75" customHeight="1">
      <c r="A32" s="857" t="s">
        <v>1018</v>
      </c>
      <c r="B32" s="135">
        <v>45593</v>
      </c>
      <c r="C32" s="803" cm="1">
        <v>45589</v>
      </c>
      <c r="D32" t="s">
        <v>93</v>
      </c>
      <c r="E32">
        <v>20169040237</v>
      </c>
      <c r="F32" s="756" t="s">
        <v>135</v>
      </c>
      <c r="G32" s="80">
        <v>21</v>
      </c>
      <c r="H32" s="596" t="s">
        <v>116</v>
      </c>
      <c r="I32" s="596">
        <v>2.09</v>
      </c>
      <c r="J32" s="596">
        <v>2.1</v>
      </c>
      <c r="K32" s="138">
        <f t="shared" si="0"/>
        <v>2.0461099999999997</v>
      </c>
      <c r="L32" s="139">
        <v>0.20399999999999999</v>
      </c>
      <c r="M32" s="139">
        <v>0.2</v>
      </c>
      <c r="N32" s="159">
        <v>0.2</v>
      </c>
      <c r="O32" s="139">
        <f t="shared" si="13"/>
        <v>0.2</v>
      </c>
      <c r="P32" s="629">
        <v>90</v>
      </c>
      <c r="Q32">
        <v>89.77</v>
      </c>
      <c r="R32" s="740">
        <v>2732</v>
      </c>
      <c r="S32" s="713">
        <v>110</v>
      </c>
      <c r="U32" s="599">
        <v>130</v>
      </c>
      <c r="V32" s="6">
        <v>1.1023000000000001</v>
      </c>
      <c r="Y32" s="163">
        <v>30</v>
      </c>
      <c r="Z32" s="143">
        <f t="shared" si="2"/>
        <v>30</v>
      </c>
      <c r="AA32" s="144">
        <f t="shared" si="3"/>
        <v>60</v>
      </c>
      <c r="AB32" s="145">
        <f t="shared" si="4"/>
        <v>328.88222800000005</v>
      </c>
      <c r="AC32" s="145">
        <f>+(S32-T32)*V32-'data 1'!$F$4</f>
        <v>41.253</v>
      </c>
      <c r="AD32" s="145">
        <f t="shared" si="5"/>
        <v>-1.3457522143200233</v>
      </c>
      <c r="AE32" s="145">
        <f t="shared" si="11"/>
        <v>-3.8619999999999948</v>
      </c>
      <c r="AF32" s="145">
        <f t="shared" si="6"/>
        <v>10.299077261679939</v>
      </c>
      <c r="AG32" s="925">
        <f>+IF(D32="RONALD WILLIAN GARIBAY ESCUDERO",AC32+AD32+AE32+AF32+80,AC32+AD32+AE32+AF32)</f>
        <v>46.344325047359924</v>
      </c>
      <c r="AH32" s="146">
        <f t="shared" si="7"/>
        <v>12.846932426901208</v>
      </c>
      <c r="AI32" s="156">
        <f t="shared" si="8"/>
        <v>8.9829960973799992</v>
      </c>
      <c r="AJ32" s="156">
        <f t="shared" si="9"/>
        <v>12.627301561737388</v>
      </c>
      <c r="AK32" s="88"/>
      <c r="AL32" s="148">
        <f t="shared" si="10"/>
        <v>672.92921553307997</v>
      </c>
      <c r="AO32" s="596"/>
      <c r="AQ32" s="596"/>
    </row>
    <row r="33" spans="1:43" s="677" customFormat="1" ht="15.75" customHeight="1">
      <c r="A33" s="857" t="s">
        <v>1021</v>
      </c>
      <c r="B33" s="135">
        <v>45595</v>
      </c>
      <c r="C33" s="803" cm="1">
        <v>45590</v>
      </c>
      <c r="D33" s="677" t="s">
        <v>145</v>
      </c>
      <c r="E33" s="6">
        <v>10437450094</v>
      </c>
      <c r="F33" s="757" t="s">
        <v>1028</v>
      </c>
      <c r="G33" s="713">
        <v>18</v>
      </c>
      <c r="H33" s="596" t="s">
        <v>69</v>
      </c>
      <c r="I33" s="596">
        <v>1.45</v>
      </c>
      <c r="J33" s="596">
        <v>0.9</v>
      </c>
      <c r="K33" s="138">
        <f t="shared" si="0"/>
        <v>1.4369499999999999</v>
      </c>
      <c r="L33" s="714">
        <v>0.41399999999999998</v>
      </c>
      <c r="M33" s="714">
        <v>0.39700000000000002</v>
      </c>
      <c r="N33" s="719">
        <v>0.39700000000000002</v>
      </c>
      <c r="O33" s="139">
        <f t="shared" si="13"/>
        <v>0.39700000000000002</v>
      </c>
      <c r="P33" s="629">
        <v>90</v>
      </c>
      <c r="Q33" s="677">
        <v>89.45</v>
      </c>
      <c r="R33" s="740">
        <v>2732</v>
      </c>
      <c r="S33" s="713">
        <v>120</v>
      </c>
      <c r="U33" s="741">
        <v>100</v>
      </c>
      <c r="V33" s="715">
        <v>1.1023000000000001</v>
      </c>
      <c r="Y33" s="163">
        <v>15</v>
      </c>
      <c r="Z33" s="143">
        <f t="shared" si="2"/>
        <v>30</v>
      </c>
      <c r="AA33" s="144">
        <f t="shared" si="3"/>
        <v>45</v>
      </c>
      <c r="AB33" s="145">
        <f t="shared" si="4"/>
        <v>854.73841128000026</v>
      </c>
      <c r="AC33" s="145">
        <f>+(S33-T33)*V33-'data 1'!$F$4</f>
        <v>52.27600000000001</v>
      </c>
      <c r="AD33" s="145">
        <f t="shared" si="5"/>
        <v>-6.606154447199966</v>
      </c>
      <c r="AE33" s="145">
        <f t="shared" si="11"/>
        <v>-20.396499999999996</v>
      </c>
      <c r="AF33" s="145">
        <f t="shared" si="6"/>
        <v>44.117912868399898</v>
      </c>
      <c r="AG33" s="925">
        <f>+IF(D33="RONALD WILLIAN GARIBAY ESCUDERO",AC33+AD33+AE33+AF33+80,AC33+AD33+AE33+AF33)+90-53</f>
        <v>106.39125842119995</v>
      </c>
      <c r="AH33" s="146">
        <f t="shared" si="7"/>
        <v>18.244476736065355</v>
      </c>
      <c r="AI33" s="156">
        <f t="shared" si="8"/>
        <v>5.9190021220500002</v>
      </c>
      <c r="AJ33" s="156">
        <f t="shared" si="9"/>
        <v>17.602880560473292</v>
      </c>
      <c r="AK33" s="676"/>
      <c r="AL33" s="716">
        <f t="shared" si="10"/>
        <v>1228.2163600887964</v>
      </c>
      <c r="AM33" s="763"/>
      <c r="AN33" s="763"/>
      <c r="AO33" s="596"/>
      <c r="AP33"/>
      <c r="AQ33" s="596"/>
    </row>
    <row r="34" spans="1:43" s="677" customFormat="1" ht="15.75" customHeight="1">
      <c r="A34" s="857" t="s">
        <v>1033</v>
      </c>
      <c r="B34" s="135">
        <v>45600</v>
      </c>
      <c r="C34" s="803" cm="1">
        <v>45593</v>
      </c>
      <c r="D34" s="677" t="s">
        <v>1048</v>
      </c>
      <c r="E34" s="715">
        <v>20611424541</v>
      </c>
      <c r="G34" s="713" t="s">
        <v>68</v>
      </c>
      <c r="H34" s="596" t="s">
        <v>116</v>
      </c>
      <c r="I34" s="596">
        <v>10.27</v>
      </c>
      <c r="J34" s="596">
        <v>1.9</v>
      </c>
      <c r="K34" s="138">
        <f t="shared" si="0"/>
        <v>10.074869999999999</v>
      </c>
      <c r="L34" s="714">
        <v>0.32500000000000001</v>
      </c>
      <c r="M34" s="714">
        <v>0.315</v>
      </c>
      <c r="N34" s="719">
        <v>0.315</v>
      </c>
      <c r="O34" s="714">
        <f t="shared" si="13"/>
        <v>0.315</v>
      </c>
      <c r="P34" s="753">
        <v>90</v>
      </c>
      <c r="Q34" s="851">
        <v>89.23</v>
      </c>
      <c r="R34" s="754">
        <v>2741.8</v>
      </c>
      <c r="S34" s="713">
        <f>-8+100</f>
        <v>92</v>
      </c>
      <c r="U34" s="852">
        <v>80</v>
      </c>
      <c r="V34" s="715">
        <v>1.1023000000000001</v>
      </c>
      <c r="W34" s="780"/>
      <c r="X34" s="780"/>
      <c r="Y34" s="751"/>
      <c r="Z34" s="781">
        <v>25</v>
      </c>
      <c r="AA34" s="144">
        <f t="shared" si="3"/>
        <v>25</v>
      </c>
      <c r="AB34" s="145">
        <f t="shared" si="4"/>
        <v>702.84885669000016</v>
      </c>
      <c r="AC34" s="145">
        <f>+(S34-T34)*V34-'data 1'!$F$4</f>
        <v>21.411600000000007</v>
      </c>
      <c r="AD34" s="145">
        <f t="shared" si="5"/>
        <v>-7.3425906053499626</v>
      </c>
      <c r="AE34" s="145">
        <f t="shared" si="11"/>
        <v>-42.442499999999995</v>
      </c>
      <c r="AF34" s="145">
        <f t="shared" si="6"/>
        <v>26.180993395220028</v>
      </c>
      <c r="AG34" s="925">
        <f>+IF(D34="RONALD WILLIAN GARIBAY ESCUDERO",AC34+AD34+AE34+AF34+80,AC34+AD34+AE34+AF34)+70</f>
        <v>67.807502789870085</v>
      </c>
      <c r="AH34" s="146">
        <f t="shared" si="7"/>
        <v>100.17117642388926</v>
      </c>
      <c r="AI34" s="156">
        <f t="shared" si="8"/>
        <v>-4.8908629370250587</v>
      </c>
      <c r="AJ34" s="156">
        <f t="shared" si="9"/>
        <v>97.926804597186546</v>
      </c>
      <c r="AK34" s="676"/>
      <c r="AL34" s="716">
        <f t="shared" si="10"/>
        <v>7081.1108608003815</v>
      </c>
      <c r="AM34" s="763"/>
      <c r="AN34" s="763"/>
      <c r="AO34" s="596"/>
      <c r="AP34"/>
      <c r="AQ34" s="596"/>
    </row>
    <row r="35" spans="1:43" ht="15.75" customHeight="1">
      <c r="A35" s="857" t="s">
        <v>1034</v>
      </c>
      <c r="B35" s="135">
        <v>45600</v>
      </c>
      <c r="C35" s="803" cm="1">
        <v>45593</v>
      </c>
      <c r="D35" s="677" t="s">
        <v>1048</v>
      </c>
      <c r="E35" s="715">
        <v>20611424541</v>
      </c>
      <c r="F35" s="677"/>
      <c r="G35" s="713" t="s">
        <v>68</v>
      </c>
      <c r="H35" s="596" t="s">
        <v>116</v>
      </c>
      <c r="I35" s="596">
        <v>36.68</v>
      </c>
      <c r="J35" s="596">
        <v>2.2000000000000002</v>
      </c>
      <c r="K35" s="138">
        <f t="shared" si="0"/>
        <v>35.873040000000003</v>
      </c>
      <c r="L35" s="714">
        <v>0.44600000000000001</v>
      </c>
      <c r="M35" s="714">
        <v>0.42799999999999999</v>
      </c>
      <c r="N35" s="719">
        <v>0.48499999999999999</v>
      </c>
      <c r="O35" s="714">
        <f t="shared" si="13"/>
        <v>0.45700000000000002</v>
      </c>
      <c r="P35" s="753">
        <v>90</v>
      </c>
      <c r="Q35" s="851">
        <v>89.45</v>
      </c>
      <c r="R35" s="754">
        <v>2741.8</v>
      </c>
      <c r="S35" s="713">
        <f>-8+110</f>
        <v>102</v>
      </c>
      <c r="T35" s="677"/>
      <c r="U35" s="852">
        <v>80</v>
      </c>
      <c r="V35" s="715">
        <v>1.1023000000000001</v>
      </c>
      <c r="W35" s="780"/>
      <c r="X35" s="780"/>
      <c r="Y35" s="751"/>
      <c r="Z35" s="781">
        <v>25</v>
      </c>
      <c r="AA35" s="144">
        <f t="shared" si="3"/>
        <v>25</v>
      </c>
      <c r="AB35" s="145">
        <f t="shared" si="4"/>
        <v>1066.8041101820004</v>
      </c>
      <c r="AC35" s="145">
        <f>+(S35-T35)*V35-'data 1'!$F$4</f>
        <v>32.434600000000003</v>
      </c>
      <c r="AD35" s="145">
        <f t="shared" si="5"/>
        <v>-7.1973525494199633</v>
      </c>
      <c r="AE35" s="145">
        <f t="shared" si="11"/>
        <v>-42.442499999999995</v>
      </c>
      <c r="AF35" s="145">
        <f t="shared" si="6"/>
        <v>-28.870098006530029</v>
      </c>
      <c r="AG35" s="925">
        <f t="shared" ref="AG35:AG41" si="14">+IF(D35="RONALD WILLIAN GARIBAY ESCUDERO",AC35+AD35+AE35+AF35+80,AC35+AD35+AE35+AF35)+70</f>
        <v>23.924649444050019</v>
      </c>
      <c r="AH35" s="146">
        <f t="shared" si="7"/>
        <v>490.6733318581982</v>
      </c>
      <c r="AI35" s="156">
        <f t="shared" si="8"/>
        <v>-6.7283169549300803</v>
      </c>
      <c r="AJ35" s="156">
        <f t="shared" si="9"/>
        <v>505.86654716861369</v>
      </c>
      <c r="AK35" s="676"/>
      <c r="AL35" s="716">
        <f t="shared" si="10"/>
        <v>38269.506516723312</v>
      </c>
      <c r="AO35" s="596"/>
      <c r="AQ35" s="596"/>
    </row>
    <row r="36" spans="1:43" ht="15.75" customHeight="1">
      <c r="A36" s="857" t="s">
        <v>1035</v>
      </c>
      <c r="B36" s="135">
        <v>45600</v>
      </c>
      <c r="C36" s="803" cm="1">
        <v>45593</v>
      </c>
      <c r="D36" s="677" t="s">
        <v>1048</v>
      </c>
      <c r="E36" s="715">
        <v>20611424541</v>
      </c>
      <c r="F36" s="677"/>
      <c r="G36" s="713" t="s">
        <v>68</v>
      </c>
      <c r="H36" s="596" t="s">
        <v>116</v>
      </c>
      <c r="I36" s="596">
        <v>36.369999999999997</v>
      </c>
      <c r="J36" s="596">
        <v>2</v>
      </c>
      <c r="K36" s="138">
        <f t="shared" si="0"/>
        <v>35.642599999999995</v>
      </c>
      <c r="L36" s="714">
        <v>0.23899999999999999</v>
      </c>
      <c r="M36" s="714">
        <v>0.23</v>
      </c>
      <c r="N36" s="719">
        <v>0.23</v>
      </c>
      <c r="O36" s="714">
        <f t="shared" si="13"/>
        <v>0.23</v>
      </c>
      <c r="P36" s="753">
        <v>90</v>
      </c>
      <c r="Q36" s="851">
        <v>89.55</v>
      </c>
      <c r="R36" s="754">
        <v>2741.8</v>
      </c>
      <c r="S36" s="713">
        <f>-8+95</f>
        <v>87</v>
      </c>
      <c r="T36" s="677"/>
      <c r="U36" s="852">
        <v>80</v>
      </c>
      <c r="V36" s="715">
        <v>1.1023000000000001</v>
      </c>
      <c r="W36" s="780"/>
      <c r="X36" s="780"/>
      <c r="Y36" s="751"/>
      <c r="Z36" s="781">
        <v>25</v>
      </c>
      <c r="AA36" s="144">
        <f t="shared" si="3"/>
        <v>25</v>
      </c>
      <c r="AB36" s="145">
        <f t="shared" si="4"/>
        <v>483.90154298000004</v>
      </c>
      <c r="AC36" s="145">
        <f>+(S36-T36)*V36-'data 1'!$F$4</f>
        <v>15.900100000000009</v>
      </c>
      <c r="AD36" s="145">
        <f t="shared" si="5"/>
        <v>-3.1556268515700201</v>
      </c>
      <c r="AE36" s="145">
        <f t="shared" si="11"/>
        <v>-42.442499999999995</v>
      </c>
      <c r="AF36" s="145">
        <f t="shared" si="6"/>
        <v>23.64739619732995</v>
      </c>
      <c r="AG36" s="925">
        <f t="shared" si="14"/>
        <v>63.949369345759948</v>
      </c>
      <c r="AH36" s="146">
        <f t="shared" si="7"/>
        <v>261.54229913085567</v>
      </c>
      <c r="AI36" s="156">
        <f t="shared" si="8"/>
        <v>-3.6095638571550435</v>
      </c>
      <c r="AJ36" s="156">
        <f t="shared" si="9"/>
        <v>252.95821702696253</v>
      </c>
      <c r="AK36" s="676"/>
      <c r="AL36" s="716">
        <f t="shared" si="10"/>
        <v>17247.509135818946</v>
      </c>
      <c r="AO36" s="596"/>
      <c r="AQ36" s="596"/>
    </row>
    <row r="37" spans="1:43" ht="15.75" customHeight="1">
      <c r="A37" s="857" t="s">
        <v>1036</v>
      </c>
      <c r="B37" s="135">
        <v>45600</v>
      </c>
      <c r="C37" s="803" cm="1">
        <v>45593</v>
      </c>
      <c r="D37" s="677" t="s">
        <v>1048</v>
      </c>
      <c r="E37" s="715">
        <v>20611424541</v>
      </c>
      <c r="F37" s="677"/>
      <c r="G37" s="713" t="s">
        <v>68</v>
      </c>
      <c r="H37" s="596" t="s">
        <v>116</v>
      </c>
      <c r="I37" s="596">
        <v>21.65</v>
      </c>
      <c r="J37" s="596">
        <v>1.7</v>
      </c>
      <c r="K37" s="138">
        <f t="shared" ref="K37:K68" si="15">+I37-(I37*(J37/100))</f>
        <v>21.281949999999998</v>
      </c>
      <c r="L37" s="714">
        <v>0.32400000000000001</v>
      </c>
      <c r="M37" s="714">
        <v>0.30099999999999999</v>
      </c>
      <c r="N37" s="719">
        <v>0.36199999999999999</v>
      </c>
      <c r="O37" s="714">
        <f t="shared" si="13"/>
        <v>0.33200000000000002</v>
      </c>
      <c r="P37" s="753">
        <v>90</v>
      </c>
      <c r="Q37" s="851">
        <v>89.27</v>
      </c>
      <c r="R37" s="754">
        <v>2741.8</v>
      </c>
      <c r="S37" s="713">
        <f>-8+100</f>
        <v>92</v>
      </c>
      <c r="T37" s="677"/>
      <c r="U37" s="852">
        <v>80</v>
      </c>
      <c r="V37" s="715">
        <v>1.1023000000000001</v>
      </c>
      <c r="W37" s="780"/>
      <c r="X37" s="780"/>
      <c r="Y37" s="751"/>
      <c r="Z37" s="781">
        <v>25</v>
      </c>
      <c r="AA37" s="144">
        <f t="shared" ref="AA37:AA68" si="16">+Y37+Z37</f>
        <v>25</v>
      </c>
      <c r="AB37" s="145">
        <f t="shared" ref="AB37:AB55" si="17">+((O37*P37*(R37-U37)/100)-S37-AA37+T37)*V37</f>
        <v>747.74061943200024</v>
      </c>
      <c r="AC37" s="145">
        <f>+(S37-T37)*V37-'data 1'!$F$4</f>
        <v>21.411600000000007</v>
      </c>
      <c r="AD37" s="145">
        <f t="shared" ref="AD37:AD68" si="18">+(Q37-P37)*(R37-U37)*L37*V37/100</f>
        <v>-6.9397383815280396</v>
      </c>
      <c r="AE37" s="145">
        <f t="shared" si="11"/>
        <v>-42.442499999999995</v>
      </c>
      <c r="AF37" s="145">
        <f t="shared" ref="AF37:AF68" si="19">(L37-O37)*(R37-U37)*Q37*V37/100</f>
        <v>-20.954183843024019</v>
      </c>
      <c r="AG37" s="925">
        <f t="shared" si="14"/>
        <v>21.075177775447955</v>
      </c>
      <c r="AH37" s="146">
        <f t="shared" ref="AH37:AH68" si="20">31.1035*L37*Q37*1.1023*K37/100</f>
        <v>211.04303935474826</v>
      </c>
      <c r="AI37" s="156">
        <f t="shared" si="8"/>
        <v>-4.8779998566120586</v>
      </c>
      <c r="AJ37" s="156">
        <f t="shared" ref="AJ37:AJ68" si="21">31.1035*1.1023*K37*P37*O37/100</f>
        <v>218.02238236615642</v>
      </c>
      <c r="AK37" s="676"/>
      <c r="AL37" s="716">
        <f t="shared" ref="AL37:AL68" si="22">+IF(AB37*K37&gt;0,AB37*K37,0)</f>
        <v>15913.378475720856</v>
      </c>
      <c r="AO37" s="596"/>
      <c r="AQ37" s="596"/>
    </row>
    <row r="38" spans="1:43" s="677" customFormat="1" ht="15.75" customHeight="1">
      <c r="A38" s="857" t="s">
        <v>1037</v>
      </c>
      <c r="B38" s="135">
        <v>45600</v>
      </c>
      <c r="C38" s="803" cm="1">
        <v>45593</v>
      </c>
      <c r="D38" s="677" t="s">
        <v>1048</v>
      </c>
      <c r="E38" s="614">
        <v>20611424541</v>
      </c>
      <c r="G38" s="713" t="s">
        <v>68</v>
      </c>
      <c r="H38" s="596" t="s">
        <v>116</v>
      </c>
      <c r="I38" s="596">
        <v>31.06</v>
      </c>
      <c r="J38" s="596">
        <v>3.6</v>
      </c>
      <c r="K38" s="138">
        <f t="shared" si="15"/>
        <v>29.941839999999999</v>
      </c>
      <c r="L38" s="714">
        <v>0.60699999999999998</v>
      </c>
      <c r="M38" s="714">
        <v>0.58299999999999996</v>
      </c>
      <c r="N38" s="719">
        <v>0.58299999999999996</v>
      </c>
      <c r="O38" s="714">
        <f t="shared" si="13"/>
        <v>0.58299999999999996</v>
      </c>
      <c r="P38" s="753">
        <v>90</v>
      </c>
      <c r="Q38" s="779">
        <v>89.68</v>
      </c>
      <c r="R38" s="754">
        <v>2741.8</v>
      </c>
      <c r="S38" s="713">
        <f>-8+120</f>
        <v>112</v>
      </c>
      <c r="U38" s="759">
        <v>80</v>
      </c>
      <c r="V38" s="715">
        <v>1.1023000000000001</v>
      </c>
      <c r="W38" s="780"/>
      <c r="X38" s="780"/>
      <c r="Y38" s="751"/>
      <c r="Z38" s="781">
        <v>25</v>
      </c>
      <c r="AA38" s="144">
        <f t="shared" si="16"/>
        <v>25</v>
      </c>
      <c r="AB38" s="145">
        <f t="shared" si="17"/>
        <v>1388.5082928580002</v>
      </c>
      <c r="AC38" s="145">
        <f>+(S38-T38)*V38-'data 1'!$F$4</f>
        <v>43.457600000000014</v>
      </c>
      <c r="AD38" s="145">
        <f t="shared" si="18"/>
        <v>-5.6991999967358788</v>
      </c>
      <c r="AE38" s="145">
        <f t="shared" si="11"/>
        <v>-42.442499999999995</v>
      </c>
      <c r="AF38" s="145">
        <f t="shared" si="19"/>
        <v>63.151267179648066</v>
      </c>
      <c r="AG38" s="925">
        <f t="shared" si="14"/>
        <v>128.46716718291219</v>
      </c>
      <c r="AH38" s="146">
        <f t="shared" si="20"/>
        <v>558.81987678702171</v>
      </c>
      <c r="AI38" s="156">
        <f t="shared" si="8"/>
        <v>-9.1806943519441102</v>
      </c>
      <c r="AJ38" s="156">
        <f t="shared" si="21"/>
        <v>538.64002146778193</v>
      </c>
      <c r="AK38" s="676"/>
      <c r="AL38" s="716">
        <f t="shared" si="22"/>
        <v>41574.493143427382</v>
      </c>
      <c r="AM38" s="782"/>
      <c r="AN38" s="763"/>
      <c r="AO38" s="596"/>
      <c r="AP38"/>
      <c r="AQ38" s="596"/>
    </row>
    <row r="39" spans="1:43" s="677" customFormat="1" ht="15.75" customHeight="1">
      <c r="A39" s="857" t="s">
        <v>1038</v>
      </c>
      <c r="B39" s="135">
        <v>45600</v>
      </c>
      <c r="C39" s="803" cm="1">
        <v>45593</v>
      </c>
      <c r="D39" s="677" t="s">
        <v>1048</v>
      </c>
      <c r="E39" s="614">
        <v>20611424541</v>
      </c>
      <c r="G39" s="713" t="s">
        <v>68</v>
      </c>
      <c r="H39" s="596" t="s">
        <v>116</v>
      </c>
      <c r="I39" s="596">
        <v>30.93</v>
      </c>
      <c r="J39" s="596">
        <v>2.8</v>
      </c>
      <c r="K39" s="138">
        <f t="shared" si="15"/>
        <v>30.063960000000002</v>
      </c>
      <c r="L39" s="714">
        <v>0.30499999999999999</v>
      </c>
      <c r="M39" s="714">
        <v>0.29899999999999999</v>
      </c>
      <c r="N39" s="719">
        <v>0.29899999999999999</v>
      </c>
      <c r="O39" s="714">
        <f t="shared" si="13"/>
        <v>0.29899999999999999</v>
      </c>
      <c r="P39" s="753">
        <v>90</v>
      </c>
      <c r="Q39" s="779">
        <v>89.28</v>
      </c>
      <c r="R39" s="754">
        <v>2741.8</v>
      </c>
      <c r="S39" s="713">
        <f>-8+95</f>
        <v>87</v>
      </c>
      <c r="U39" s="759">
        <v>80</v>
      </c>
      <c r="V39" s="715">
        <v>1.1023000000000001</v>
      </c>
      <c r="W39" s="780"/>
      <c r="X39" s="780"/>
      <c r="Y39" s="751"/>
      <c r="Z39" s="781">
        <v>25</v>
      </c>
      <c r="AA39" s="144">
        <f t="shared" si="16"/>
        <v>25</v>
      </c>
      <c r="AB39" s="145">
        <f t="shared" si="17"/>
        <v>666.10928587400008</v>
      </c>
      <c r="AC39" s="145">
        <f>+(S39-T39)*V39-'data 1'!$F$4</f>
        <v>15.900100000000009</v>
      </c>
      <c r="AD39" s="145">
        <f t="shared" si="18"/>
        <v>-6.44328829943999</v>
      </c>
      <c r="AE39" s="145">
        <f t="shared" si="11"/>
        <v>-42.442499999999995</v>
      </c>
      <c r="AF39" s="145">
        <f t="shared" si="19"/>
        <v>15.717398343552015</v>
      </c>
      <c r="AG39" s="925">
        <f t="shared" si="14"/>
        <v>52.731710044112035</v>
      </c>
      <c r="AH39" s="146">
        <f t="shared" si="20"/>
        <v>280.67858287676802</v>
      </c>
      <c r="AI39" s="156">
        <f t="shared" si="8"/>
        <v>-4.5924586977600548</v>
      </c>
      <c r="AJ39" s="156">
        <f t="shared" si="21"/>
        <v>277.37604534688535</v>
      </c>
      <c r="AK39" s="676"/>
      <c r="AL39" s="716">
        <f t="shared" si="22"/>
        <v>20025.882926144506</v>
      </c>
      <c r="AM39" s="782"/>
      <c r="AN39" s="763"/>
      <c r="AO39" s="596"/>
      <c r="AP39"/>
      <c r="AQ39" s="596"/>
    </row>
    <row r="40" spans="1:43" s="677" customFormat="1" ht="15.75" customHeight="1">
      <c r="A40" s="857" t="s">
        <v>1041</v>
      </c>
      <c r="B40" s="135">
        <v>45600</v>
      </c>
      <c r="C40" s="803" cm="1">
        <v>45593</v>
      </c>
      <c r="D40" s="677" t="s">
        <v>1048</v>
      </c>
      <c r="E40" s="614">
        <v>20611424541</v>
      </c>
      <c r="G40" s="713" t="s">
        <v>68</v>
      </c>
      <c r="H40" s="596" t="s">
        <v>116</v>
      </c>
      <c r="I40" s="596">
        <v>24.33</v>
      </c>
      <c r="J40" s="596">
        <v>2.1800000000000002</v>
      </c>
      <c r="K40" s="138">
        <f t="shared" si="15"/>
        <v>23.799605999999997</v>
      </c>
      <c r="L40" s="714">
        <v>0.33700000000000002</v>
      </c>
      <c r="M40" s="714">
        <v>0.32</v>
      </c>
      <c r="N40" s="719">
        <v>0.32</v>
      </c>
      <c r="O40" s="714">
        <f t="shared" si="13"/>
        <v>0.32</v>
      </c>
      <c r="P40" s="753">
        <v>90</v>
      </c>
      <c r="Q40" s="779">
        <v>89.8</v>
      </c>
      <c r="R40" s="754">
        <v>2741.8</v>
      </c>
      <c r="S40" s="713">
        <f>-8+100</f>
        <v>92</v>
      </c>
      <c r="U40" s="759">
        <v>80</v>
      </c>
      <c r="V40" s="715">
        <v>1.1023000000000001</v>
      </c>
      <c r="W40" s="780"/>
      <c r="X40" s="780"/>
      <c r="Y40" s="751"/>
      <c r="Z40" s="781">
        <v>25</v>
      </c>
      <c r="AA40" s="144">
        <f t="shared" si="16"/>
        <v>25</v>
      </c>
      <c r="AB40" s="145">
        <f t="shared" si="17"/>
        <v>716.05231632000016</v>
      </c>
      <c r="AC40" s="145">
        <f>+(S40-T40)*V40-'data 1'!$F$4</f>
        <v>21.411600000000007</v>
      </c>
      <c r="AD40" s="145">
        <f t="shared" si="18"/>
        <v>-1.9775848423600286</v>
      </c>
      <c r="AE40" s="145">
        <f t="shared" si="11"/>
        <v>-42.442499999999995</v>
      </c>
      <c r="AF40" s="145">
        <f t="shared" si="19"/>
        <v>44.792003269240041</v>
      </c>
      <c r="AG40" s="925">
        <f t="shared" si="14"/>
        <v>91.783518426880022</v>
      </c>
      <c r="AH40" s="146">
        <f t="shared" si="20"/>
        <v>246.93637828162079</v>
      </c>
      <c r="AI40" s="156">
        <f t="shared" si="8"/>
        <v>-5.103844988940061</v>
      </c>
      <c r="AJ40" s="156">
        <f t="shared" si="21"/>
        <v>235.00187341836715</v>
      </c>
      <c r="AK40" s="676"/>
      <c r="AL40" s="716">
        <f t="shared" si="22"/>
        <v>17041.763003803371</v>
      </c>
      <c r="AM40" s="782"/>
      <c r="AN40" s="763"/>
      <c r="AO40" s="596"/>
      <c r="AP40"/>
      <c r="AQ40" s="596"/>
    </row>
    <row r="41" spans="1:43" s="677" customFormat="1" ht="15.75" customHeight="1">
      <c r="A41" s="857" t="s">
        <v>1043</v>
      </c>
      <c r="B41" s="135">
        <v>45600</v>
      </c>
      <c r="C41" s="803" cm="1">
        <v>45593</v>
      </c>
      <c r="D41" s="677" t="s">
        <v>1048</v>
      </c>
      <c r="E41" s="614">
        <v>20611424541</v>
      </c>
      <c r="G41" s="713" t="s">
        <v>68</v>
      </c>
      <c r="H41" s="596" t="s">
        <v>116</v>
      </c>
      <c r="I41" s="596">
        <v>24.1</v>
      </c>
      <c r="J41" s="596">
        <v>2.5499999999999998</v>
      </c>
      <c r="K41" s="138">
        <f t="shared" si="15"/>
        <v>23.48545</v>
      </c>
      <c r="L41" s="714">
        <v>0.44</v>
      </c>
      <c r="M41" s="714">
        <v>0.41799999999999998</v>
      </c>
      <c r="N41" s="719">
        <v>0.41799999999999998</v>
      </c>
      <c r="O41" s="714">
        <f t="shared" si="13"/>
        <v>0.41799999999999998</v>
      </c>
      <c r="P41" s="753">
        <v>90</v>
      </c>
      <c r="Q41" s="779">
        <v>89.22</v>
      </c>
      <c r="R41" s="754">
        <v>2741.8</v>
      </c>
      <c r="S41" s="713">
        <f>-8+110</f>
        <v>102</v>
      </c>
      <c r="U41" s="759">
        <v>80</v>
      </c>
      <c r="V41" s="715">
        <v>1.1023000000000001</v>
      </c>
      <c r="W41" s="780"/>
      <c r="X41" s="780"/>
      <c r="Y41" s="751"/>
      <c r="Z41" s="781">
        <v>25</v>
      </c>
      <c r="AA41" s="144">
        <f t="shared" si="16"/>
        <v>25</v>
      </c>
      <c r="AB41" s="145">
        <f t="shared" si="17"/>
        <v>963.817125068</v>
      </c>
      <c r="AC41" s="145">
        <f>+(S41-T41)*V41-'data 1'!$F$4</f>
        <v>32.434600000000003</v>
      </c>
      <c r="AD41" s="145">
        <f t="shared" si="18"/>
        <v>-10.069838544480017</v>
      </c>
      <c r="AE41" s="145">
        <f t="shared" si="11"/>
        <v>-42.442499999999995</v>
      </c>
      <c r="AF41" s="145">
        <f t="shared" si="19"/>
        <v>57.591730444776061</v>
      </c>
      <c r="AG41" s="925">
        <f t="shared" si="14"/>
        <v>107.51399190029605</v>
      </c>
      <c r="AH41" s="146">
        <f t="shared" si="20"/>
        <v>316.0988025888484</v>
      </c>
      <c r="AI41" s="156">
        <f t="shared" si="8"/>
        <v>-6.62073390792008</v>
      </c>
      <c r="AJ41" s="156">
        <f t="shared" si="21"/>
        <v>302.91916186221187</v>
      </c>
      <c r="AK41" s="676"/>
      <c r="AL41" s="716">
        <f t="shared" si="22"/>
        <v>22635.678899928262</v>
      </c>
      <c r="AM41" s="782"/>
      <c r="AN41" s="763"/>
      <c r="AO41" s="596"/>
      <c r="AP41"/>
      <c r="AQ41" s="596"/>
    </row>
    <row r="42" spans="1:43" ht="15.75" customHeight="1">
      <c r="A42" s="854" t="s">
        <v>71</v>
      </c>
      <c r="B42" s="135">
        <v>45586</v>
      </c>
      <c r="C42" s="136">
        <v>45564</v>
      </c>
      <c r="D42" s="6" t="s">
        <v>72</v>
      </c>
      <c r="E42" s="6">
        <v>20606031361</v>
      </c>
      <c r="F42" s="640" t="s">
        <v>73</v>
      </c>
      <c r="G42" s="80" t="s">
        <v>68</v>
      </c>
      <c r="H42" s="6" t="s">
        <v>69</v>
      </c>
      <c r="I42" s="137">
        <v>34.229999999999997</v>
      </c>
      <c r="J42" s="137">
        <v>9.1</v>
      </c>
      <c r="K42" s="138">
        <f t="shared" si="15"/>
        <v>31.115069999999996</v>
      </c>
      <c r="L42" s="141">
        <v>0.159</v>
      </c>
      <c r="M42" s="141">
        <v>0.14000000000000001</v>
      </c>
      <c r="N42" s="141">
        <v>0.19600000000000001</v>
      </c>
      <c r="O42" s="141">
        <f t="shared" si="13"/>
        <v>0.16800000000000001</v>
      </c>
      <c r="P42" s="150">
        <v>85</v>
      </c>
      <c r="Q42" s="640">
        <v>89.79</v>
      </c>
      <c r="R42" s="656">
        <v>2629.95</v>
      </c>
      <c r="S42" s="80">
        <v>100</v>
      </c>
      <c r="T42" s="6"/>
      <c r="U42" s="640">
        <v>130</v>
      </c>
      <c r="V42" s="639">
        <v>1.1023000000000001</v>
      </c>
      <c r="W42" s="6"/>
      <c r="X42" s="6"/>
      <c r="Y42" s="142">
        <v>35</v>
      </c>
      <c r="Z42" s="143">
        <f>IF(IF(D42="UNTUCA",IF(+((W42-3)*1.5+(X42-3)*3.1)&gt;0,+((W42-3)*1.5+(X42-3)*3.1),0),IF(+((W42-3)*1.5+(X42-3)*3.1)&gt;0,+((W42-3)*1.5+(X42-3)*3.1),0))&lt;30,30,IF(D42="UNTUCA",IF(+((W42-3)*1.5+(X42-3)*3.1)&gt;0,+((W42-3)*1.5+(X42-3)*3.1),0),IF(+((W42-3)*1.5+(X42-3)*3.1)&gt;0,+((W42-3)*1.5+(X42-3)*3.1),0)))</f>
        <v>30</v>
      </c>
      <c r="AA42" s="144">
        <f t="shared" si="16"/>
        <v>65</v>
      </c>
      <c r="AB42" s="145">
        <f t="shared" si="17"/>
        <v>211.63372957800001</v>
      </c>
      <c r="AC42" s="145">
        <f>+(S42-T42)*V42-'data 1'!$F$4</f>
        <v>30.230000000000004</v>
      </c>
      <c r="AD42" s="145">
        <f t="shared" si="18"/>
        <v>20.987647813648529</v>
      </c>
      <c r="AE42" s="145">
        <f t="shared" si="11"/>
        <v>1.6495000000000033</v>
      </c>
      <c r="AF42" s="145">
        <f t="shared" si="19"/>
        <v>-22.269045935173523</v>
      </c>
      <c r="AG42" s="925">
        <f>+IF(D42="RONALD WILLIAN GARIBAY ESCUDERO",AC42+AD42+AE42+AF42+80,AC42+AD42+AE42+AF42)</f>
        <v>30.598101878475013</v>
      </c>
      <c r="AH42" s="146">
        <f t="shared" si="20"/>
        <v>152.30176892178974</v>
      </c>
      <c r="AI42" s="156">
        <f t="shared" si="8"/>
        <v>23.062730605996531</v>
      </c>
      <c r="AJ42" s="156">
        <f t="shared" si="21"/>
        <v>152.33793317903604</v>
      </c>
      <c r="AK42" s="147"/>
      <c r="AL42" s="148">
        <f t="shared" si="22"/>
        <v>6584.9983101805401</v>
      </c>
      <c r="AM42"/>
      <c r="AO42" s="762"/>
    </row>
    <row r="43" spans="1:43" ht="15.75" customHeight="1">
      <c r="A43" s="854" t="s">
        <v>74</v>
      </c>
      <c r="B43" s="135">
        <v>45586</v>
      </c>
      <c r="C43" s="136">
        <v>45564</v>
      </c>
      <c r="D43" s="6" t="s">
        <v>72</v>
      </c>
      <c r="E43" s="6">
        <v>20606031361</v>
      </c>
      <c r="F43" s="640" t="s">
        <v>73</v>
      </c>
      <c r="G43" s="80" t="s">
        <v>68</v>
      </c>
      <c r="H43" s="6" t="s">
        <v>69</v>
      </c>
      <c r="I43" s="137">
        <v>22.3</v>
      </c>
      <c r="J43" s="137">
        <v>2.2999999999999998</v>
      </c>
      <c r="K43" s="138">
        <f t="shared" si="15"/>
        <v>21.787100000000002</v>
      </c>
      <c r="L43" s="141">
        <v>0.126</v>
      </c>
      <c r="M43" s="141">
        <v>0.12</v>
      </c>
      <c r="N43" s="141">
        <v>0.17899999999999999</v>
      </c>
      <c r="O43" s="141">
        <f t="shared" si="13"/>
        <v>0.15</v>
      </c>
      <c r="P43" s="150">
        <v>85</v>
      </c>
      <c r="Q43" s="6">
        <v>89.52</v>
      </c>
      <c r="R43" s="656">
        <v>2629.95</v>
      </c>
      <c r="S43" s="80">
        <v>100</v>
      </c>
      <c r="T43" s="6"/>
      <c r="U43" s="640">
        <v>130</v>
      </c>
      <c r="V43" s="639">
        <v>1.1023000000000001</v>
      </c>
      <c r="W43" s="6"/>
      <c r="X43" s="6"/>
      <c r="Y43" s="142">
        <v>35</v>
      </c>
      <c r="Z43" s="143">
        <f>IF(IF(D43="UNTUCA",IF(+((W43-3)*1.5+(X43-3)*3.1)&gt;0,+((W43-3)*1.5+(X43-3)*3.1),0),IF(+((W43-3)*1.5+(X43-3)*3.1)&gt;0,+((W43-3)*1.5+(X43-3)*3.1),0))&lt;30,30,IF(D43="UNTUCA",IF(+((W43-3)*1.5+(X43-3)*3.1)&gt;0,+((W43-3)*1.5+(X43-3)*3.1),0),IF(+((W43-3)*1.5+(X43-3)*3.1)&gt;0,+((W43-3)*1.5+(X43-3)*3.1),0)))</f>
        <v>30</v>
      </c>
      <c r="AA43" s="144">
        <f t="shared" si="16"/>
        <v>65</v>
      </c>
      <c r="AB43" s="145">
        <f t="shared" si="17"/>
        <v>169.47159783750001</v>
      </c>
      <c r="AC43" s="145">
        <f>+(S43-T43)*V43-'data 1'!$F$4</f>
        <v>30.230000000000004</v>
      </c>
      <c r="AD43" s="145">
        <f t="shared" si="18"/>
        <v>15.694233509051985</v>
      </c>
      <c r="AE43" s="145">
        <f t="shared" si="11"/>
        <v>1.6495000000000033</v>
      </c>
      <c r="AF43" s="145">
        <f t="shared" si="19"/>
        <v>-59.205553465247988</v>
      </c>
      <c r="AG43" s="925">
        <f>+IF(D43="RONALD WILLIAN GARIBAY ESCUDERO",AC43+AD43+AE43+AF43+80,AC43+AD43+AE43+AF43)</f>
        <v>-11.631819956195997</v>
      </c>
      <c r="AH43" s="146">
        <f t="shared" si="20"/>
        <v>84.255665776558374</v>
      </c>
      <c r="AI43" s="156">
        <f t="shared" si="8"/>
        <v>18.221169530088027</v>
      </c>
      <c r="AJ43" s="156">
        <f t="shared" si="21"/>
        <v>95.239845192979772</v>
      </c>
      <c r="AK43" s="147"/>
      <c r="AL43" s="148">
        <f t="shared" si="22"/>
        <v>3692.2946492453971</v>
      </c>
      <c r="AM43"/>
      <c r="AO43" s="762"/>
    </row>
    <row r="44" spans="1:43" ht="15.75" customHeight="1">
      <c r="A44" s="854" t="s">
        <v>75</v>
      </c>
      <c r="B44" s="135">
        <v>45586</v>
      </c>
      <c r="C44" s="136">
        <v>45564</v>
      </c>
      <c r="D44" s="6" t="s">
        <v>72</v>
      </c>
      <c r="E44" s="6">
        <v>20606031361</v>
      </c>
      <c r="F44" s="142" t="s">
        <v>73</v>
      </c>
      <c r="G44" s="80" t="s">
        <v>68</v>
      </c>
      <c r="H44" s="6" t="s">
        <v>69</v>
      </c>
      <c r="I44" s="137">
        <v>15.65</v>
      </c>
      <c r="J44" s="137">
        <v>2.6</v>
      </c>
      <c r="K44" s="138">
        <f t="shared" si="15"/>
        <v>15.2431</v>
      </c>
      <c r="L44" s="141">
        <v>0.10299999999999999</v>
      </c>
      <c r="M44" s="141">
        <v>9.9000000000000005E-2</v>
      </c>
      <c r="N44" s="141">
        <v>9.9000000000000005E-2</v>
      </c>
      <c r="O44" s="141">
        <f t="shared" si="13"/>
        <v>9.9000000000000005E-2</v>
      </c>
      <c r="P44" s="150">
        <v>85</v>
      </c>
      <c r="Q44" s="739">
        <v>89</v>
      </c>
      <c r="R44" s="151">
        <v>2629.95</v>
      </c>
      <c r="S44" s="80">
        <v>100</v>
      </c>
      <c r="T44" s="6"/>
      <c r="U44" s="142">
        <v>130</v>
      </c>
      <c r="V44" s="6">
        <v>1.1023000000000001</v>
      </c>
      <c r="W44" s="6"/>
      <c r="X44" s="6"/>
      <c r="Y44" s="639">
        <v>0</v>
      </c>
      <c r="Z44" s="143">
        <f>IF(IF(D44="UNTUCA",IF(+((W44-3)*1.5+(X44-3)*3.1)&gt;0,+((W44-3)*1.5+(X44-3)*3.1),0),IF(+((W44-3)*1.5+(X44-3)*3.1)&gt;0,+((W44-3)*1.5+(X44-3)*3.1),0))&lt;30,30,IF(D44="UNTUCA",IF(+((W44-3)*1.5+(X44-3)*3.1)&gt;0,+((W44-3)*1.5+(X44-3)*3.1),0),IF(+((W44-3)*1.5+(X44-3)*3.1)&gt;0,+((W44-3)*1.5+(X44-3)*3.1),0)))</f>
        <v>30</v>
      </c>
      <c r="AA44" s="144">
        <f t="shared" si="16"/>
        <v>30</v>
      </c>
      <c r="AB44" s="145">
        <f t="shared" si="17"/>
        <v>88.592724572750029</v>
      </c>
      <c r="AC44" s="145">
        <f>+(S44-T44)*V44-'data 1'!$F$4</f>
        <v>30.230000000000004</v>
      </c>
      <c r="AD44" s="145">
        <f t="shared" si="18"/>
        <v>11.353462926200001</v>
      </c>
      <c r="AE44" s="145">
        <f t="shared" si="11"/>
        <v>-36.930999999999997</v>
      </c>
      <c r="AF44" s="145">
        <f t="shared" si="19"/>
        <v>9.8102737905999735</v>
      </c>
      <c r="AG44" s="925">
        <f>+IF(D44="RONALD WILLIAN GARIBAY ESCUDERO",AC44+AD44+AE44+AF44+80,AC44+AD44+AE44+AF44)</f>
        <v>14.462736716799983</v>
      </c>
      <c r="AH44" s="146">
        <f t="shared" si="20"/>
        <v>47.908171922282826</v>
      </c>
      <c r="AI44" s="156">
        <f t="shared" si="8"/>
        <v>14.808561098550017</v>
      </c>
      <c r="AJ44" s="156">
        <f t="shared" si="21"/>
        <v>43.978102620923963</v>
      </c>
      <c r="AK44" s="147"/>
      <c r="AL44" s="148">
        <f t="shared" si="22"/>
        <v>1350.4277599348859</v>
      </c>
      <c r="AM44"/>
      <c r="AO44" s="762"/>
    </row>
    <row r="45" spans="1:43" ht="15.75" customHeight="1">
      <c r="A45" s="855" t="s">
        <v>81</v>
      </c>
      <c r="B45" s="135">
        <v>45581</v>
      </c>
      <c r="C45" s="135">
        <v>45565</v>
      </c>
      <c r="D45" s="142" t="s">
        <v>77</v>
      </c>
      <c r="E45" s="142">
        <v>20554057862</v>
      </c>
      <c r="F45" s="142" t="s">
        <v>78</v>
      </c>
      <c r="G45" s="132" t="s">
        <v>68</v>
      </c>
      <c r="H45" s="142" t="s">
        <v>69</v>
      </c>
      <c r="I45" s="143">
        <v>48.85</v>
      </c>
      <c r="J45" s="143">
        <v>2.1</v>
      </c>
      <c r="K45" s="138">
        <f t="shared" si="15"/>
        <v>47.824150000000003</v>
      </c>
      <c r="L45" s="141">
        <v>0.253</v>
      </c>
      <c r="M45" s="141">
        <v>0.219</v>
      </c>
      <c r="N45" s="153">
        <v>0.28000000000000003</v>
      </c>
      <c r="O45" s="141">
        <f t="shared" si="13"/>
        <v>0.25</v>
      </c>
      <c r="P45" s="154">
        <v>90</v>
      </c>
      <c r="Q45" s="142">
        <v>89.77</v>
      </c>
      <c r="R45" s="151">
        <v>2629.95</v>
      </c>
      <c r="S45" s="132">
        <v>110</v>
      </c>
      <c r="T45" s="142"/>
      <c r="U45" s="142">
        <v>100</v>
      </c>
      <c r="V45" s="142">
        <v>1.1023000000000001</v>
      </c>
      <c r="W45" s="142"/>
      <c r="X45" s="142"/>
      <c r="Y45" s="142"/>
      <c r="Z45" s="155">
        <v>35</v>
      </c>
      <c r="AA45" s="144">
        <f t="shared" si="16"/>
        <v>35</v>
      </c>
      <c r="AB45" s="145">
        <f t="shared" si="17"/>
        <v>467.63837412499998</v>
      </c>
      <c r="AC45" s="145">
        <f>+(S45-T45)*V45-'data 1'!$F$4</f>
        <v>41.253</v>
      </c>
      <c r="AD45" s="145">
        <f t="shared" si="18"/>
        <v>-1.622781704681528</v>
      </c>
      <c r="AE45" s="145">
        <f t="shared" si="11"/>
        <v>-31.419499999999999</v>
      </c>
      <c r="AF45" s="145">
        <f t="shared" si="19"/>
        <v>7.5104200186935062</v>
      </c>
      <c r="AG45" s="925">
        <f>+IF(D45="RONALD WILLIAN GARIBAY ESCUDERO",AC45+AD45+AE45+AF45+80,AC45+AD45+AE45+AF45)+70-30</f>
        <v>55.721138314011981</v>
      </c>
      <c r="AH45" s="146">
        <f t="shared" si="20"/>
        <v>372.39863075967122</v>
      </c>
      <c r="AI45" s="156">
        <f t="shared" si="8"/>
        <v>29.178558423976543</v>
      </c>
      <c r="AJ45" s="156">
        <f t="shared" si="21"/>
        <v>368.92564670506675</v>
      </c>
      <c r="AK45" s="156"/>
      <c r="AL45" s="148">
        <f t="shared" si="22"/>
        <v>22364.407749910119</v>
      </c>
      <c r="AM45"/>
      <c r="AN45" s="633"/>
      <c r="AO45" s="762"/>
    </row>
    <row r="46" spans="1:43" ht="15.75" customHeight="1">
      <c r="A46" s="855" t="s">
        <v>82</v>
      </c>
      <c r="B46" s="135">
        <v>45581</v>
      </c>
      <c r="C46" s="135">
        <v>45565</v>
      </c>
      <c r="D46" s="142" t="s">
        <v>77</v>
      </c>
      <c r="E46" s="142">
        <v>20554057862</v>
      </c>
      <c r="F46" s="142" t="s">
        <v>78</v>
      </c>
      <c r="G46" s="132" t="s">
        <v>68</v>
      </c>
      <c r="H46" s="142" t="s">
        <v>69</v>
      </c>
      <c r="I46" s="143">
        <v>44.9</v>
      </c>
      <c r="J46" s="143">
        <v>1.85</v>
      </c>
      <c r="K46" s="138">
        <f t="shared" si="15"/>
        <v>44.06935</v>
      </c>
      <c r="L46" s="141">
        <v>0.246</v>
      </c>
      <c r="M46" s="141">
        <v>0.23499999999999999</v>
      </c>
      <c r="N46" s="152">
        <v>0.27100000000000002</v>
      </c>
      <c r="O46" s="141">
        <f t="shared" si="13"/>
        <v>0.253</v>
      </c>
      <c r="P46" s="154">
        <v>90</v>
      </c>
      <c r="Q46" s="142">
        <v>89.39</v>
      </c>
      <c r="R46" s="151">
        <v>2629.95</v>
      </c>
      <c r="S46" s="132">
        <v>100</v>
      </c>
      <c r="T46" s="142"/>
      <c r="U46" s="142">
        <v>100</v>
      </c>
      <c r="V46" s="142">
        <v>1.1023000000000001</v>
      </c>
      <c r="W46" s="142"/>
      <c r="X46" s="142"/>
      <c r="Y46" s="142"/>
      <c r="Z46" s="155">
        <v>35</v>
      </c>
      <c r="AA46" s="144">
        <f t="shared" si="16"/>
        <v>35</v>
      </c>
      <c r="AB46" s="145">
        <f t="shared" si="17"/>
        <v>486.19103661450004</v>
      </c>
      <c r="AC46" s="145">
        <f>+(S46-T46)*V46-'data 1'!$F$4</f>
        <v>30.230000000000004</v>
      </c>
      <c r="AD46" s="145">
        <f t="shared" si="18"/>
        <v>-4.1848190858309966</v>
      </c>
      <c r="AE46" s="145">
        <f t="shared" si="11"/>
        <v>-31.419499999999999</v>
      </c>
      <c r="AF46" s="145">
        <f t="shared" si="19"/>
        <v>-17.450132257610516</v>
      </c>
      <c r="AG46" s="925">
        <f>+IF(D46="RONALD WILLIAN GARIBAY ESCUDERO",AC46+AD46+AE46+AF46+80,AC46+AD46+AE46+AF46)+70-30</f>
        <v>17.17554865655849</v>
      </c>
      <c r="AH46" s="146">
        <f t="shared" si="20"/>
        <v>332.25364845203325</v>
      </c>
      <c r="AI46" s="156">
        <f t="shared" si="8"/>
        <v>28.251149909661045</v>
      </c>
      <c r="AJ46" s="156">
        <f t="shared" si="21"/>
        <v>344.03984618661059</v>
      </c>
      <c r="AK46" s="156"/>
      <c r="AL46" s="148">
        <f t="shared" si="22"/>
        <v>21426.122959427215</v>
      </c>
      <c r="AM46"/>
      <c r="AN46" s="633"/>
      <c r="AO46" s="762"/>
    </row>
    <row r="47" spans="1:43" ht="15.75" customHeight="1">
      <c r="A47" s="862" t="s">
        <v>83</v>
      </c>
      <c r="B47" s="135">
        <v>45581</v>
      </c>
      <c r="C47" s="135">
        <v>45565</v>
      </c>
      <c r="D47" s="142" t="s">
        <v>77</v>
      </c>
      <c r="E47" s="844">
        <v>20554057862</v>
      </c>
      <c r="F47" s="142" t="s">
        <v>78</v>
      </c>
      <c r="G47" s="132" t="s">
        <v>68</v>
      </c>
      <c r="H47" s="142" t="s">
        <v>69</v>
      </c>
      <c r="I47" s="143">
        <v>38.9</v>
      </c>
      <c r="J47" s="143">
        <v>1.45</v>
      </c>
      <c r="K47" s="138">
        <f t="shared" si="15"/>
        <v>38.335949999999997</v>
      </c>
      <c r="L47" s="141">
        <v>0.26100000000000001</v>
      </c>
      <c r="M47" s="141">
        <v>0.23699999999999999</v>
      </c>
      <c r="N47" s="152">
        <v>0.26400000000000001</v>
      </c>
      <c r="O47" s="153">
        <f t="shared" si="13"/>
        <v>0.251</v>
      </c>
      <c r="P47" s="154">
        <v>90</v>
      </c>
      <c r="Q47" s="142">
        <v>89.57</v>
      </c>
      <c r="R47" s="151">
        <v>2629.95</v>
      </c>
      <c r="S47" s="132">
        <v>100</v>
      </c>
      <c r="T47" s="142"/>
      <c r="U47" s="142">
        <v>100</v>
      </c>
      <c r="V47" s="142">
        <v>1.1023000000000001</v>
      </c>
      <c r="W47" s="142"/>
      <c r="X47" s="142"/>
      <c r="Y47" s="142"/>
      <c r="Z47" s="155">
        <v>35</v>
      </c>
      <c r="AA47" s="144">
        <f t="shared" si="16"/>
        <v>35</v>
      </c>
      <c r="AB47" s="145">
        <f t="shared" si="17"/>
        <v>481.17126162149992</v>
      </c>
      <c r="AC47" s="145">
        <f>+(S47-T47)*V47-'data 1'!$F$4</f>
        <v>30.230000000000004</v>
      </c>
      <c r="AD47" s="145">
        <f t="shared" si="18"/>
        <v>-3.1298297081355497</v>
      </c>
      <c r="AE47" s="145">
        <f t="shared" si="11"/>
        <v>-31.419499999999999</v>
      </c>
      <c r="AF47" s="145">
        <f t="shared" si="19"/>
        <v>24.978958117945016</v>
      </c>
      <c r="AG47" s="925">
        <f>+IF(D47="RONALD WILLIAN GARIBAY ESCUDERO",AC47+AD47+AE47+AF47+80,AC47+AD47+AE47+AF47)+70-30</f>
        <v>60.659628409809471</v>
      </c>
      <c r="AH47" s="146">
        <f t="shared" si="20"/>
        <v>307.26874087403894</v>
      </c>
      <c r="AI47" s="156">
        <f t="shared" si="8"/>
        <v>30.034137647650546</v>
      </c>
      <c r="AJ47" s="156">
        <f t="shared" si="21"/>
        <v>296.91458408327827</v>
      </c>
      <c r="AK47" s="133"/>
      <c r="AL47" s="148">
        <f t="shared" si="22"/>
        <v>18446.15742695874</v>
      </c>
      <c r="AM47" s="633"/>
    </row>
    <row r="48" spans="1:43" ht="15.75" customHeight="1">
      <c r="A48" s="855" t="s">
        <v>101</v>
      </c>
      <c r="B48" s="135">
        <v>45571</v>
      </c>
      <c r="C48" s="136">
        <v>45569</v>
      </c>
      <c r="D48" s="6" t="s">
        <v>93</v>
      </c>
      <c r="E48" s="6">
        <v>20169040237</v>
      </c>
      <c r="F48" s="142" t="s">
        <v>99</v>
      </c>
      <c r="G48" s="80">
        <v>40</v>
      </c>
      <c r="H48" s="6" t="s">
        <v>69</v>
      </c>
      <c r="I48" s="137">
        <v>3.71</v>
      </c>
      <c r="J48" s="137">
        <v>1.2</v>
      </c>
      <c r="K48" s="138">
        <f t="shared" si="15"/>
        <v>3.6654800000000001</v>
      </c>
      <c r="L48" s="139">
        <v>0.38800000000000001</v>
      </c>
      <c r="M48" s="139">
        <v>0.36799999999999999</v>
      </c>
      <c r="N48" s="159">
        <v>0.36799999999999999</v>
      </c>
      <c r="O48" s="141">
        <f t="shared" si="13"/>
        <v>0.36799999999999999</v>
      </c>
      <c r="P48" s="154">
        <v>90</v>
      </c>
      <c r="Q48" s="143">
        <v>89.75</v>
      </c>
      <c r="R48" s="151">
        <v>2641.5</v>
      </c>
      <c r="S48" s="80">
        <v>130</v>
      </c>
      <c r="T48" s="6"/>
      <c r="U48" s="142">
        <v>130</v>
      </c>
      <c r="V48" s="142">
        <v>1.1023000000000001</v>
      </c>
      <c r="W48" s="6"/>
      <c r="X48" s="6"/>
      <c r="Y48" s="142">
        <v>30</v>
      </c>
      <c r="Z48" s="143">
        <f t="shared" ref="Z48:Z58" si="23">IF(IF(D48="UNTUCA",IF(+((W48-3)*1.5+(X48-3)*3.1)&gt;0,+((W48-3)*1.5+(X48-3)*3.1),0),IF(+((W48-3)*1.5+(X48-3)*3.1)&gt;0,+((W48-3)*1.5+(X48-3)*3.1),0))&lt;30,30,IF(D48="UNTUCA",IF(+((W48-3)*1.5+(X48-3)*3.1)&gt;0,+((W48-3)*1.5+(X48-3)*3.1),0),IF(+((W48-3)*1.5+(X48-3)*3.1)&gt;0,+((W48-3)*1.5+(X48-3)*3.1),0)))</f>
        <v>30</v>
      </c>
      <c r="AA48" s="144">
        <f t="shared" si="16"/>
        <v>60</v>
      </c>
      <c r="AB48" s="145">
        <f t="shared" si="17"/>
        <v>707.46584023999992</v>
      </c>
      <c r="AC48" s="145">
        <f>+(S48-T48)*V48-'data 1'!$F$4</f>
        <v>63.299000000000007</v>
      </c>
      <c r="AD48" s="145">
        <f t="shared" si="18"/>
        <v>-2.6853736565000004</v>
      </c>
      <c r="AE48" s="145">
        <f t="shared" si="11"/>
        <v>-3.8619999999999948</v>
      </c>
      <c r="AF48" s="145">
        <f t="shared" si="19"/>
        <v>49.693254777500051</v>
      </c>
      <c r="AG48" s="925">
        <f>+IF(D48="RONALD WILLIAN GARIBAY ESCUDERO",AC48+AD48+AE48+AF48+80,AC48+AD48+AE48+AF48)</f>
        <v>106.44488112100007</v>
      </c>
      <c r="AH48" s="146">
        <f t="shared" si="20"/>
        <v>43.762901310914465</v>
      </c>
      <c r="AI48" s="156">
        <f t="shared" si="8"/>
        <v>51.820280415000006</v>
      </c>
      <c r="AJ48" s="156">
        <f t="shared" si="21"/>
        <v>41.622700267567041</v>
      </c>
      <c r="AK48" s="156"/>
      <c r="AL48" s="148">
        <f t="shared" si="22"/>
        <v>2593.201888082915</v>
      </c>
      <c r="AM48"/>
      <c r="AO48" s="762"/>
    </row>
    <row r="49" spans="1:41" ht="15.75" customHeight="1">
      <c r="A49" s="855" t="s">
        <v>105</v>
      </c>
      <c r="B49" s="135">
        <v>45574</v>
      </c>
      <c r="C49" s="637">
        <v>45571</v>
      </c>
      <c r="D49" s="639" t="s">
        <v>106</v>
      </c>
      <c r="E49" s="639">
        <v>20606534923</v>
      </c>
      <c r="F49" s="142" t="s">
        <v>107</v>
      </c>
      <c r="G49" s="642">
        <v>7</v>
      </c>
      <c r="H49" s="639" t="s">
        <v>108</v>
      </c>
      <c r="I49" s="643">
        <v>0.55000000000000004</v>
      </c>
      <c r="J49" s="643">
        <v>12.5</v>
      </c>
      <c r="K49" s="138">
        <f t="shared" si="15"/>
        <v>0.48125000000000007</v>
      </c>
      <c r="L49" s="645">
        <v>2.7890000000000001</v>
      </c>
      <c r="M49" s="645">
        <v>2.7330000000000001</v>
      </c>
      <c r="N49" s="649">
        <v>2.7330000000000001</v>
      </c>
      <c r="O49" s="141">
        <f t="shared" si="13"/>
        <v>2.7330000000000001</v>
      </c>
      <c r="P49" s="154">
        <v>90</v>
      </c>
      <c r="Q49" s="143">
        <v>89.1</v>
      </c>
      <c r="R49" s="151">
        <v>2650.05</v>
      </c>
      <c r="S49" s="642">
        <v>330</v>
      </c>
      <c r="T49" s="639"/>
      <c r="U49" s="639">
        <v>130</v>
      </c>
      <c r="V49" s="639">
        <v>1.1023000000000001</v>
      </c>
      <c r="W49" s="639"/>
      <c r="X49" s="639"/>
      <c r="Y49" s="142">
        <v>35</v>
      </c>
      <c r="Z49" s="143">
        <f t="shared" si="23"/>
        <v>30</v>
      </c>
      <c r="AA49" s="144">
        <f t="shared" si="16"/>
        <v>65</v>
      </c>
      <c r="AB49" s="145">
        <f t="shared" si="17"/>
        <v>6397.2718875655009</v>
      </c>
      <c r="AC49" s="145">
        <f>+(S49-T49)*V49-'data 1'!$F$4</f>
        <v>283.75900000000001</v>
      </c>
      <c r="AD49" s="145">
        <f t="shared" si="18"/>
        <v>-69.726840837615455</v>
      </c>
      <c r="AE49" s="145">
        <f t="shared" si="11"/>
        <v>1.6495000000000033</v>
      </c>
      <c r="AF49" s="145">
        <f t="shared" si="19"/>
        <v>138.60365923404012</v>
      </c>
      <c r="AG49" s="925">
        <f t="shared" ref="AG49:AG81" si="24">+IF(D49="RONALD WILLIAN GARIBAY ESCUDERO",AC49+AD49+AE49+AF49+80,AC49+AD49+AE49+AF49)</f>
        <v>354.28531839642471</v>
      </c>
      <c r="AH49" s="146">
        <f t="shared" si="20"/>
        <v>41.002093352827316</v>
      </c>
      <c r="AI49" s="156">
        <f t="shared" si="8"/>
        <v>346.3736605891645</v>
      </c>
      <c r="AJ49" s="156">
        <f t="shared" si="21"/>
        <v>40.584663824794049</v>
      </c>
      <c r="AK49" s="156"/>
      <c r="AL49" s="148">
        <f t="shared" si="22"/>
        <v>3078.6870958908976</v>
      </c>
      <c r="AM49"/>
      <c r="AO49" s="762"/>
    </row>
    <row r="50" spans="1:41" ht="15.75" customHeight="1">
      <c r="A50" s="855" t="s">
        <v>109</v>
      </c>
      <c r="B50" s="135">
        <v>45574</v>
      </c>
      <c r="C50" s="637">
        <v>45571</v>
      </c>
      <c r="D50" s="639" t="s">
        <v>106</v>
      </c>
      <c r="E50" s="639">
        <v>20606534923</v>
      </c>
      <c r="F50" s="142" t="s">
        <v>107</v>
      </c>
      <c r="G50" s="642">
        <v>19</v>
      </c>
      <c r="H50" s="639" t="s">
        <v>108</v>
      </c>
      <c r="I50" s="643">
        <v>1.56</v>
      </c>
      <c r="J50" s="643">
        <v>14.75</v>
      </c>
      <c r="K50" s="138">
        <f t="shared" si="15"/>
        <v>1.3299000000000001</v>
      </c>
      <c r="L50" s="645">
        <v>2.702</v>
      </c>
      <c r="M50" s="645">
        <v>2.6480000000000001</v>
      </c>
      <c r="N50" s="647">
        <v>2.7559999999999998</v>
      </c>
      <c r="O50" s="141">
        <f t="shared" si="13"/>
        <v>2.702</v>
      </c>
      <c r="P50" s="154">
        <v>90</v>
      </c>
      <c r="Q50" s="143">
        <v>89.23</v>
      </c>
      <c r="R50" s="151">
        <v>2650.05</v>
      </c>
      <c r="S50" s="642">
        <v>330</v>
      </c>
      <c r="T50" s="639"/>
      <c r="U50" s="639">
        <v>130</v>
      </c>
      <c r="V50" s="639">
        <v>1.1023000000000001</v>
      </c>
      <c r="W50" s="639"/>
      <c r="X50" s="639"/>
      <c r="Y50" s="142">
        <v>35</v>
      </c>
      <c r="Z50" s="143">
        <f t="shared" si="23"/>
        <v>30</v>
      </c>
      <c r="AA50" s="144">
        <f t="shared" si="16"/>
        <v>65</v>
      </c>
      <c r="AB50" s="145">
        <f t="shared" si="17"/>
        <v>6319.7698414570013</v>
      </c>
      <c r="AC50" s="145">
        <f>+(S50-T50)*V50-'data 1'!$F$4</f>
        <v>283.75900000000001</v>
      </c>
      <c r="AD50" s="145">
        <f t="shared" si="18"/>
        <v>-57.794303588020711</v>
      </c>
      <c r="AE50" s="145">
        <f t="shared" si="11"/>
        <v>1.6495000000000033</v>
      </c>
      <c r="AF50" s="145">
        <f t="shared" si="19"/>
        <v>0</v>
      </c>
      <c r="AG50" s="925">
        <f t="shared" si="24"/>
        <v>227.61419641197932</v>
      </c>
      <c r="AH50" s="146">
        <f t="shared" si="20"/>
        <v>109.93204145656979</v>
      </c>
      <c r="AI50" s="156">
        <f t="shared" si="8"/>
        <v>336.05849550149054</v>
      </c>
      <c r="AJ50" s="156">
        <f t="shared" si="21"/>
        <v>110.8806873371207</v>
      </c>
      <c r="AK50" s="156"/>
      <c r="AL50" s="148">
        <f t="shared" si="22"/>
        <v>8404.661912153666</v>
      </c>
      <c r="AM50"/>
      <c r="AO50" s="762"/>
    </row>
    <row r="51" spans="1:41" ht="15.75" customHeight="1">
      <c r="A51" s="855" t="s">
        <v>110</v>
      </c>
      <c r="B51" s="135">
        <v>45574</v>
      </c>
      <c r="C51" s="136">
        <v>45571</v>
      </c>
      <c r="D51" s="79" t="s">
        <v>106</v>
      </c>
      <c r="E51" s="79">
        <v>20606534923</v>
      </c>
      <c r="F51" s="142" t="s">
        <v>107</v>
      </c>
      <c r="G51" s="80">
        <v>36</v>
      </c>
      <c r="H51" s="79" t="s">
        <v>108</v>
      </c>
      <c r="I51" s="137">
        <v>3.44</v>
      </c>
      <c r="J51" s="137">
        <v>6.9</v>
      </c>
      <c r="K51" s="138">
        <f t="shared" si="15"/>
        <v>3.2026399999999997</v>
      </c>
      <c r="L51" s="139">
        <v>1.4319999999999999</v>
      </c>
      <c r="M51" s="139">
        <v>1.375</v>
      </c>
      <c r="N51" s="159">
        <v>1.375</v>
      </c>
      <c r="O51" s="141">
        <f t="shared" si="13"/>
        <v>1.375</v>
      </c>
      <c r="P51" s="154">
        <v>90</v>
      </c>
      <c r="Q51" s="143">
        <v>89.22</v>
      </c>
      <c r="R51" s="151">
        <v>2650.05</v>
      </c>
      <c r="S51" s="80">
        <v>210</v>
      </c>
      <c r="U51" s="79">
        <v>130</v>
      </c>
      <c r="V51" s="79">
        <v>1.1023000000000001</v>
      </c>
      <c r="Y51" s="142">
        <v>35</v>
      </c>
      <c r="Z51" s="143">
        <f t="shared" si="23"/>
        <v>30</v>
      </c>
      <c r="AA51" s="144">
        <f t="shared" si="16"/>
        <v>65</v>
      </c>
      <c r="AB51" s="145">
        <f t="shared" si="17"/>
        <v>3134.4582548124999</v>
      </c>
      <c r="AC51" s="145">
        <f>+(S51-T51)*V51-'data 1'!$F$4</f>
        <v>151.483</v>
      </c>
      <c r="AD51" s="145">
        <f t="shared" si="18"/>
        <v>-31.027485814104054</v>
      </c>
      <c r="AE51" s="145">
        <f t="shared" si="11"/>
        <v>1.6495000000000033</v>
      </c>
      <c r="AF51" s="145">
        <f t="shared" si="19"/>
        <v>141.26872959377087</v>
      </c>
      <c r="AG51" s="925">
        <f t="shared" si="24"/>
        <v>263.37374377966682</v>
      </c>
      <c r="AH51" s="146">
        <f t="shared" si="20"/>
        <v>140.28861565781347</v>
      </c>
      <c r="AI51" s="156">
        <f t="shared" si="8"/>
        <v>178.08358012538375</v>
      </c>
      <c r="AJ51" s="156">
        <f t="shared" si="21"/>
        <v>135.88214704075935</v>
      </c>
      <c r="AK51" s="156"/>
      <c r="AL51" s="148">
        <f t="shared" si="22"/>
        <v>10038.541385192704</v>
      </c>
      <c r="AM51"/>
      <c r="AO51" s="762"/>
    </row>
    <row r="52" spans="1:41" ht="15.75" customHeight="1">
      <c r="A52" s="855" t="s">
        <v>111</v>
      </c>
      <c r="B52" s="135">
        <v>45574</v>
      </c>
      <c r="C52" s="136">
        <v>45571</v>
      </c>
      <c r="D52" s="6" t="s">
        <v>106</v>
      </c>
      <c r="E52" s="6">
        <v>20606534923</v>
      </c>
      <c r="F52" s="142" t="s">
        <v>107</v>
      </c>
      <c r="G52" s="80">
        <v>34</v>
      </c>
      <c r="H52" s="6" t="s">
        <v>108</v>
      </c>
      <c r="I52" s="137">
        <v>3.25</v>
      </c>
      <c r="J52" s="137">
        <v>14.5</v>
      </c>
      <c r="K52" s="138">
        <f t="shared" si="15"/>
        <v>2.7787500000000001</v>
      </c>
      <c r="L52" s="139">
        <v>1.125</v>
      </c>
      <c r="M52" s="139">
        <v>1.1000000000000001</v>
      </c>
      <c r="N52" s="149">
        <v>1.1639999999999999</v>
      </c>
      <c r="O52" s="141">
        <f t="shared" si="13"/>
        <v>1.1319999999999999</v>
      </c>
      <c r="P52" s="154">
        <v>90</v>
      </c>
      <c r="Q52" s="143">
        <v>89.47</v>
      </c>
      <c r="R52" s="151">
        <v>2650.05</v>
      </c>
      <c r="S52" s="80">
        <v>180</v>
      </c>
      <c r="T52" s="6"/>
      <c r="U52" s="6">
        <v>130</v>
      </c>
      <c r="V52" s="6">
        <v>1.1023000000000001</v>
      </c>
      <c r="W52" s="6"/>
      <c r="X52" s="6"/>
      <c r="Y52" s="142">
        <v>55</v>
      </c>
      <c r="Z52" s="143">
        <f t="shared" si="23"/>
        <v>30</v>
      </c>
      <c r="AA52" s="144">
        <f t="shared" si="16"/>
        <v>85</v>
      </c>
      <c r="AB52" s="145">
        <f t="shared" si="17"/>
        <v>2537.9652159620005</v>
      </c>
      <c r="AC52" s="145">
        <f>+(S52-T52)*V52-'data 1'!$F$4</f>
        <v>118.41400000000002</v>
      </c>
      <c r="AD52" s="145">
        <f t="shared" si="18"/>
        <v>-16.562937273187536</v>
      </c>
      <c r="AE52" s="145">
        <f t="shared" si="11"/>
        <v>23.695500000000003</v>
      </c>
      <c r="AF52" s="145">
        <f t="shared" si="19"/>
        <v>-17.397403748133243</v>
      </c>
      <c r="AG52" s="925">
        <f t="shared" si="24"/>
        <v>108.14915897867924</v>
      </c>
      <c r="AH52" s="146">
        <f t="shared" si="20"/>
        <v>95.893353081799759</v>
      </c>
      <c r="AI52" s="156">
        <f t="shared" si="8"/>
        <v>140.29706989631231</v>
      </c>
      <c r="AJ52" s="156">
        <f t="shared" si="21"/>
        <v>97.06160785836353</v>
      </c>
      <c r="AK52" s="156"/>
      <c r="AL52" s="148">
        <f t="shared" si="22"/>
        <v>7052.370843854409</v>
      </c>
      <c r="AM52"/>
      <c r="AO52" s="762"/>
    </row>
    <row r="53" spans="1:41" ht="15.75" customHeight="1">
      <c r="A53" s="855" t="s">
        <v>139</v>
      </c>
      <c r="B53" s="135">
        <v>45581</v>
      </c>
      <c r="C53" s="135">
        <v>45574</v>
      </c>
      <c r="D53" s="79" t="s">
        <v>106</v>
      </c>
      <c r="E53" s="79">
        <v>20606534923</v>
      </c>
      <c r="F53" s="6" t="s">
        <v>140</v>
      </c>
      <c r="G53" s="80">
        <v>120</v>
      </c>
      <c r="H53" s="79" t="s">
        <v>108</v>
      </c>
      <c r="I53" s="137">
        <v>9.93</v>
      </c>
      <c r="J53" s="137">
        <v>1.1000000000000001</v>
      </c>
      <c r="K53" s="138">
        <f t="shared" si="15"/>
        <v>9.8207699999999996</v>
      </c>
      <c r="L53" s="139">
        <v>0.25600000000000001</v>
      </c>
      <c r="M53" s="139">
        <v>0.24099999999999999</v>
      </c>
      <c r="N53" s="159">
        <v>0.24099999999999999</v>
      </c>
      <c r="O53" s="141">
        <f t="shared" si="13"/>
        <v>0.24099999999999999</v>
      </c>
      <c r="P53" s="154">
        <v>90</v>
      </c>
      <c r="Q53" s="6">
        <v>89.33</v>
      </c>
      <c r="R53" s="144">
        <v>2610.6999999999998</v>
      </c>
      <c r="S53" s="80">
        <v>110</v>
      </c>
      <c r="U53" s="142">
        <v>130</v>
      </c>
      <c r="V53" s="79">
        <v>1.1023000000000001</v>
      </c>
      <c r="Y53" s="142">
        <v>40</v>
      </c>
      <c r="Z53" s="143">
        <f t="shared" si="23"/>
        <v>30</v>
      </c>
      <c r="AA53" s="144">
        <f t="shared" si="16"/>
        <v>70</v>
      </c>
      <c r="AB53" s="145">
        <f t="shared" si="17"/>
        <v>394.6937598089998</v>
      </c>
      <c r="AC53" s="145">
        <f>+(S53-T53)*V53-'data 1'!$F$4</f>
        <v>41.253</v>
      </c>
      <c r="AD53" s="145">
        <f t="shared" si="18"/>
        <v>-4.690172566272012</v>
      </c>
      <c r="AE53" s="145">
        <f t="shared" si="11"/>
        <v>7.1610000000000014</v>
      </c>
      <c r="AF53" s="145">
        <f t="shared" si="19"/>
        <v>36.640605936195037</v>
      </c>
      <c r="AG53" s="925">
        <f t="shared" si="24"/>
        <v>80.364433369923034</v>
      </c>
      <c r="AH53" s="146">
        <f t="shared" si="20"/>
        <v>77.00020983299585</v>
      </c>
      <c r="AI53" s="156">
        <f t="shared" si="8"/>
        <v>41.794740485632055</v>
      </c>
      <c r="AJ53" s="156">
        <f t="shared" si="21"/>
        <v>73.032162665716299</v>
      </c>
      <c r="AK53" s="156"/>
      <c r="AL53" s="148">
        <f t="shared" si="22"/>
        <v>3876.1966355194309</v>
      </c>
      <c r="AM53"/>
      <c r="AO53" s="762"/>
    </row>
    <row r="54" spans="1:41" ht="15.75" customHeight="1">
      <c r="A54" s="859" t="s">
        <v>31</v>
      </c>
      <c r="B54" s="135">
        <v>45583</v>
      </c>
      <c r="C54" s="638">
        <v>45577</v>
      </c>
      <c r="D54" s="640" t="s">
        <v>154</v>
      </c>
      <c r="E54" s="640">
        <v>10416085884</v>
      </c>
      <c r="F54" s="640" t="s">
        <v>155</v>
      </c>
      <c r="G54" s="641" t="s">
        <v>68</v>
      </c>
      <c r="H54" s="640" t="s">
        <v>69</v>
      </c>
      <c r="I54" s="644">
        <v>32.869999999999997</v>
      </c>
      <c r="J54" s="644">
        <v>16.149999999999999</v>
      </c>
      <c r="K54" s="138">
        <f t="shared" si="15"/>
        <v>27.561495000000001</v>
      </c>
      <c r="L54" s="646">
        <v>0.161</v>
      </c>
      <c r="M54" s="646">
        <v>0.13900000000000001</v>
      </c>
      <c r="N54" s="650">
        <v>0.14199999999999999</v>
      </c>
      <c r="O54" s="141">
        <f t="shared" si="13"/>
        <v>0.14099999999999999</v>
      </c>
      <c r="P54" s="154">
        <v>85</v>
      </c>
      <c r="Q54" s="644">
        <v>89.74</v>
      </c>
      <c r="R54" s="144">
        <v>2648.8</v>
      </c>
      <c r="S54" s="132">
        <v>110</v>
      </c>
      <c r="T54" s="640"/>
      <c r="U54" s="640">
        <v>100</v>
      </c>
      <c r="V54" s="640">
        <v>1.1023000000000001</v>
      </c>
      <c r="W54" s="640"/>
      <c r="X54" s="640"/>
      <c r="Y54" s="640"/>
      <c r="Z54" s="143">
        <f t="shared" si="23"/>
        <v>30</v>
      </c>
      <c r="AA54" s="144">
        <f t="shared" si="16"/>
        <v>30</v>
      </c>
      <c r="AB54" s="145">
        <f t="shared" si="17"/>
        <v>182.401637464</v>
      </c>
      <c r="AC54" s="145">
        <f>+(S54-T54)*V54-'data 1'!$F$4</f>
        <v>41.253</v>
      </c>
      <c r="AD54" s="145">
        <f t="shared" si="18"/>
        <v>21.440740650335979</v>
      </c>
      <c r="AE54" s="145">
        <f t="shared" si="11"/>
        <v>-36.930999999999997</v>
      </c>
      <c r="AF54" s="145">
        <f t="shared" si="19"/>
        <v>50.425664123520043</v>
      </c>
      <c r="AG54" s="925">
        <f>+IF(D54="RONALD WILLIAN GARIBAY ESCUDERO",AC54+AD54+AE54+AF54+80,AC54+AD54+AE54+AF54)+90-53</f>
        <v>113.18840477385604</v>
      </c>
      <c r="AH54" s="146">
        <f t="shared" si="20"/>
        <v>136.52864547289357</v>
      </c>
      <c r="AI54" s="156">
        <f t="shared" si="8"/>
        <v>15.559882473393971</v>
      </c>
      <c r="AJ54" s="156">
        <f t="shared" si="21"/>
        <v>113.25304267487918</v>
      </c>
      <c r="AK54" s="156"/>
      <c r="AL54" s="662">
        <f t="shared" si="22"/>
        <v>5027.2618189558489</v>
      </c>
      <c r="AM54"/>
      <c r="AO54" s="762"/>
    </row>
    <row r="55" spans="1:41" ht="15.75" customHeight="1">
      <c r="A55" s="859" t="s">
        <v>156</v>
      </c>
      <c r="B55" s="135">
        <v>45583</v>
      </c>
      <c r="C55" s="638">
        <v>45577</v>
      </c>
      <c r="D55" s="640" t="s">
        <v>154</v>
      </c>
      <c r="E55" s="640">
        <v>10421580605</v>
      </c>
      <c r="F55" s="640" t="s">
        <v>157</v>
      </c>
      <c r="G55" s="641" t="s">
        <v>68</v>
      </c>
      <c r="H55" s="640" t="s">
        <v>69</v>
      </c>
      <c r="I55" s="644">
        <v>29.58</v>
      </c>
      <c r="J55" s="644">
        <v>15.55</v>
      </c>
      <c r="K55" s="138">
        <f t="shared" si="15"/>
        <v>24.980309999999999</v>
      </c>
      <c r="L55" s="646">
        <v>0.125</v>
      </c>
      <c r="M55" s="646">
        <v>0.11700000000000001</v>
      </c>
      <c r="N55" s="650">
        <v>0.127</v>
      </c>
      <c r="O55" s="141">
        <f t="shared" ref="O55:O81" si="25">+ROUND((M55+N55)/2,3)</f>
        <v>0.122</v>
      </c>
      <c r="P55" s="154">
        <v>85</v>
      </c>
      <c r="Q55" s="644">
        <v>89.36</v>
      </c>
      <c r="R55" s="144">
        <v>2648.8</v>
      </c>
      <c r="S55" s="641">
        <v>110</v>
      </c>
      <c r="T55" s="640"/>
      <c r="U55" s="640">
        <v>100</v>
      </c>
      <c r="V55" s="640">
        <v>1.1023000000000001</v>
      </c>
      <c r="W55" s="640"/>
      <c r="X55" s="640"/>
      <c r="Y55" s="640"/>
      <c r="Z55" s="143">
        <f t="shared" si="23"/>
        <v>30</v>
      </c>
      <c r="AA55" s="144">
        <f t="shared" si="16"/>
        <v>30</v>
      </c>
      <c r="AB55" s="145">
        <f t="shared" si="17"/>
        <v>137.02753028800001</v>
      </c>
      <c r="AC55" s="145">
        <f>+(S55-T55)*V55-'data 1'!$F$4</f>
        <v>41.253</v>
      </c>
      <c r="AD55" s="145">
        <f t="shared" si="18"/>
        <v>15.312005208</v>
      </c>
      <c r="AE55" s="145">
        <f t="shared" si="11"/>
        <v>-36.930999999999997</v>
      </c>
      <c r="AF55" s="145">
        <f t="shared" si="19"/>
        <v>7.531820836992007</v>
      </c>
      <c r="AG55" s="925">
        <f>+IF(D55="RONALD WILLIAN GARIBAY ESCUDERO",AC55+AD55+AE55+AF55+80,AC55+AD55+AE55+AF55)+90-53</f>
        <v>64.165826044992016</v>
      </c>
      <c r="AH55" s="146">
        <f t="shared" si="20"/>
        <v>95.666539772853298</v>
      </c>
      <c r="AI55" s="156">
        <f t="shared" si="8"/>
        <v>12.029499106999978</v>
      </c>
      <c r="AJ55" s="156">
        <f t="shared" si="21"/>
        <v>88.814862797178932</v>
      </c>
      <c r="AK55" s="156"/>
      <c r="AL55" s="662">
        <f t="shared" si="22"/>
        <v>3422.9901851286295</v>
      </c>
      <c r="AM55"/>
      <c r="AO55" s="762"/>
    </row>
    <row r="56" spans="1:41" ht="15.75" customHeight="1">
      <c r="A56" s="860" t="s">
        <v>158</v>
      </c>
      <c r="B56" s="135">
        <v>45588</v>
      </c>
      <c r="C56" s="637">
        <v>45577</v>
      </c>
      <c r="D56" s="639" t="s">
        <v>85</v>
      </c>
      <c r="E56" s="142">
        <v>10460498487</v>
      </c>
      <c r="F56" s="744" t="s">
        <v>159</v>
      </c>
      <c r="G56" s="642">
        <v>21</v>
      </c>
      <c r="H56" s="639" t="s">
        <v>69</v>
      </c>
      <c r="I56" s="643">
        <v>1.71</v>
      </c>
      <c r="J56" s="643">
        <v>4.5</v>
      </c>
      <c r="K56" s="138">
        <f t="shared" si="15"/>
        <v>1.6330499999999999</v>
      </c>
      <c r="L56" s="645">
        <v>5.8000000000000003E-2</v>
      </c>
      <c r="M56" s="649">
        <v>5.5E-2</v>
      </c>
      <c r="N56" s="649">
        <v>5.5E-2</v>
      </c>
      <c r="O56" s="141">
        <f t="shared" si="25"/>
        <v>5.5E-2</v>
      </c>
      <c r="P56" s="154">
        <v>85</v>
      </c>
      <c r="Q56" s="663">
        <v>89</v>
      </c>
      <c r="R56" s="144">
        <v>2648.8</v>
      </c>
      <c r="S56" s="161">
        <v>100</v>
      </c>
      <c r="T56" s="639"/>
      <c r="U56" s="639">
        <v>130</v>
      </c>
      <c r="V56" s="639">
        <v>1.1023000000000001</v>
      </c>
      <c r="W56" s="639"/>
      <c r="X56" s="639"/>
      <c r="Y56" s="639">
        <v>20</v>
      </c>
      <c r="Z56" s="143">
        <f t="shared" si="23"/>
        <v>30</v>
      </c>
      <c r="AA56" s="144">
        <f t="shared" si="16"/>
        <v>50</v>
      </c>
      <c r="AB56" s="664">
        <v>0</v>
      </c>
      <c r="AC56" s="145">
        <f>+(S56-T56)*V56-'data 1'!$F$4</f>
        <v>30.230000000000004</v>
      </c>
      <c r="AD56" s="145">
        <f t="shared" si="18"/>
        <v>6.4414179168000008</v>
      </c>
      <c r="AE56" s="145">
        <f t="shared" si="11"/>
        <v>-14.884999999999998</v>
      </c>
      <c r="AF56" s="145">
        <f t="shared" si="19"/>
        <v>7.4131835508000075</v>
      </c>
      <c r="AG56" s="925">
        <f t="shared" si="24"/>
        <v>29.199601467600012</v>
      </c>
      <c r="AH56" s="146">
        <f t="shared" si="20"/>
        <v>2.8901910475398096</v>
      </c>
      <c r="AI56" s="156">
        <f t="shared" si="8"/>
        <v>7.2662227101999894</v>
      </c>
      <c r="AJ56" s="156">
        <f t="shared" si="21"/>
        <v>2.6175209506487045</v>
      </c>
      <c r="AK56" s="156"/>
      <c r="AL56" s="635">
        <f t="shared" si="22"/>
        <v>0</v>
      </c>
      <c r="AM56"/>
      <c r="AO56" s="762"/>
    </row>
    <row r="57" spans="1:41" ht="15.75" customHeight="1">
      <c r="A57" s="854" t="s">
        <v>160</v>
      </c>
      <c r="B57" s="135">
        <v>45588</v>
      </c>
      <c r="C57" s="637">
        <v>45577</v>
      </c>
      <c r="D57" s="630" t="s">
        <v>85</v>
      </c>
      <c r="E57" s="142">
        <v>10460498487</v>
      </c>
      <c r="F57" s="639" t="s">
        <v>159</v>
      </c>
      <c r="G57" s="642">
        <v>190</v>
      </c>
      <c r="H57" s="630" t="s">
        <v>69</v>
      </c>
      <c r="I57" s="643">
        <v>16.96</v>
      </c>
      <c r="J57" s="643">
        <v>8</v>
      </c>
      <c r="K57" s="138">
        <f t="shared" si="15"/>
        <v>15.603200000000001</v>
      </c>
      <c r="L57" s="645">
        <v>0.36399999999999999</v>
      </c>
      <c r="M57" s="645">
        <v>0.34200000000000003</v>
      </c>
      <c r="N57" s="649">
        <v>0.34200000000000003</v>
      </c>
      <c r="O57" s="141">
        <f t="shared" si="25"/>
        <v>0.34200000000000003</v>
      </c>
      <c r="P57" s="154">
        <v>90</v>
      </c>
      <c r="Q57" s="643">
        <v>89.8</v>
      </c>
      <c r="R57" s="144">
        <v>2648.8</v>
      </c>
      <c r="S57" s="161">
        <v>120</v>
      </c>
      <c r="T57" s="631"/>
      <c r="U57" s="639">
        <v>130</v>
      </c>
      <c r="V57" s="639">
        <v>1.1023000000000001</v>
      </c>
      <c r="W57" s="631"/>
      <c r="X57" s="631"/>
      <c r="Y57" s="639">
        <v>20</v>
      </c>
      <c r="Z57" s="143">
        <f t="shared" si="23"/>
        <v>30</v>
      </c>
      <c r="AA57" s="144">
        <f t="shared" si="16"/>
        <v>50</v>
      </c>
      <c r="AB57" s="145">
        <f t="shared" ref="AB57:AB81" si="26">+((O57*P57*(R57-U57)/100)-S57-AA57+T57)*V57</f>
        <v>667.20746327200004</v>
      </c>
      <c r="AC57" s="145">
        <f>+(S57-T57)*V57-'data 1'!$F$4</f>
        <v>52.27600000000001</v>
      </c>
      <c r="AD57" s="145">
        <f t="shared" si="18"/>
        <v>-2.0212725187200289</v>
      </c>
      <c r="AE57" s="145">
        <f t="shared" si="11"/>
        <v>-14.884999999999998</v>
      </c>
      <c r="AF57" s="145">
        <f t="shared" si="19"/>
        <v>54.852005329439905</v>
      </c>
      <c r="AG57" s="925">
        <f t="shared" si="24"/>
        <v>90.221732810719885</v>
      </c>
      <c r="AH57" s="146">
        <f t="shared" si="20"/>
        <v>174.86402264456231</v>
      </c>
      <c r="AI57" s="156">
        <f t="shared" si="8"/>
        <v>46.011715415119937</v>
      </c>
      <c r="AJ57" s="156">
        <f t="shared" si="21"/>
        <v>164.66123182773777</v>
      </c>
      <c r="AK57" s="156"/>
      <c r="AL57" s="635">
        <f t="shared" si="22"/>
        <v>10410.571490925671</v>
      </c>
      <c r="AM57"/>
      <c r="AO57" s="762"/>
    </row>
    <row r="58" spans="1:41" ht="15.75" customHeight="1">
      <c r="A58" s="854" t="s">
        <v>161</v>
      </c>
      <c r="B58" s="135">
        <v>45588</v>
      </c>
      <c r="C58" s="136">
        <v>45577</v>
      </c>
      <c r="D58" s="79" t="s">
        <v>85</v>
      </c>
      <c r="E58" s="142">
        <v>10460498487</v>
      </c>
      <c r="F58" s="6" t="s">
        <v>159</v>
      </c>
      <c r="G58" s="80" t="s">
        <v>68</v>
      </c>
      <c r="H58" s="79" t="s">
        <v>69</v>
      </c>
      <c r="I58" s="137">
        <v>16.14</v>
      </c>
      <c r="J58" s="137">
        <v>8</v>
      </c>
      <c r="K58" s="138">
        <f t="shared" si="15"/>
        <v>14.848800000000001</v>
      </c>
      <c r="L58" s="139">
        <v>0.20300000000000001</v>
      </c>
      <c r="M58" s="139">
        <v>0.192</v>
      </c>
      <c r="N58" s="159">
        <v>0.192</v>
      </c>
      <c r="O58" s="141">
        <f t="shared" si="25"/>
        <v>0.192</v>
      </c>
      <c r="P58" s="154">
        <v>85</v>
      </c>
      <c r="Q58" s="137">
        <v>89.09</v>
      </c>
      <c r="R58" s="144">
        <v>2648.8</v>
      </c>
      <c r="S58" s="161">
        <v>100</v>
      </c>
      <c r="U58" s="6">
        <v>130</v>
      </c>
      <c r="V58" s="6">
        <v>1.1023000000000001</v>
      </c>
      <c r="Y58" s="6">
        <v>20</v>
      </c>
      <c r="Z58" s="143">
        <f t="shared" si="23"/>
        <v>30</v>
      </c>
      <c r="AA58" s="144">
        <f t="shared" si="16"/>
        <v>50</v>
      </c>
      <c r="AB58" s="145">
        <f t="shared" si="26"/>
        <v>287.77543276800003</v>
      </c>
      <c r="AC58" s="145">
        <f>+(S58-T58)*V58-'data 1'!$F$4</f>
        <v>30.230000000000004</v>
      </c>
      <c r="AD58" s="145">
        <f t="shared" si="18"/>
        <v>23.052224369748018</v>
      </c>
      <c r="AE58" s="145">
        <f t="shared" si="11"/>
        <v>-14.884999999999998</v>
      </c>
      <c r="AF58" s="145">
        <f t="shared" si="19"/>
        <v>27.20916010467603</v>
      </c>
      <c r="AG58" s="925">
        <f t="shared" si="24"/>
        <v>65.606384474424061</v>
      </c>
      <c r="AH58" s="146">
        <f t="shared" si="20"/>
        <v>92.071543514945731</v>
      </c>
      <c r="AI58" s="156">
        <f t="shared" si="8"/>
        <v>25.457497015516971</v>
      </c>
      <c r="AJ58" s="156">
        <f t="shared" si="21"/>
        <v>83.084609196540299</v>
      </c>
      <c r="AK58" s="156"/>
      <c r="AL58" s="148">
        <f t="shared" si="22"/>
        <v>4273.1198460854794</v>
      </c>
      <c r="AM58"/>
      <c r="AO58" s="762"/>
    </row>
    <row r="59" spans="1:41" ht="15.75" customHeight="1">
      <c r="A59" s="861" t="s">
        <v>165</v>
      </c>
      <c r="B59" s="135">
        <v>45583</v>
      </c>
      <c r="C59" s="638">
        <v>45579</v>
      </c>
      <c r="D59" s="640" t="s">
        <v>85</v>
      </c>
      <c r="E59" s="640">
        <v>10460498487</v>
      </c>
      <c r="F59" s="640" t="s">
        <v>166</v>
      </c>
      <c r="G59" s="641">
        <v>49</v>
      </c>
      <c r="H59" s="640" t="s">
        <v>69</v>
      </c>
      <c r="I59" s="644">
        <v>3.89</v>
      </c>
      <c r="J59" s="644">
        <v>6.7</v>
      </c>
      <c r="K59" s="138">
        <f t="shared" si="15"/>
        <v>3.6293700000000002</v>
      </c>
      <c r="L59" s="646">
        <v>0.41499999999999998</v>
      </c>
      <c r="M59" s="646">
        <v>0.39400000000000002</v>
      </c>
      <c r="N59" s="651">
        <v>0.38</v>
      </c>
      <c r="O59" s="141">
        <f t="shared" si="25"/>
        <v>0.38700000000000001</v>
      </c>
      <c r="P59" s="154">
        <v>90</v>
      </c>
      <c r="Q59" s="644">
        <v>89.777732438391325</v>
      </c>
      <c r="R59" s="144">
        <v>2654.9</v>
      </c>
      <c r="S59" s="641">
        <v>120</v>
      </c>
      <c r="T59" s="640"/>
      <c r="U59" s="640">
        <v>130</v>
      </c>
      <c r="V59" s="640">
        <v>1.1023000000000001</v>
      </c>
      <c r="W59" s="640"/>
      <c r="X59" s="640"/>
      <c r="Y59" s="640">
        <v>30</v>
      </c>
      <c r="Z59" s="155">
        <v>25</v>
      </c>
      <c r="AA59" s="144">
        <f t="shared" si="16"/>
        <v>55</v>
      </c>
      <c r="AB59" s="145">
        <f t="shared" si="26"/>
        <v>776.48510914099995</v>
      </c>
      <c r="AC59" s="145">
        <f>+(S59-T59)*V59-'data 1'!$F$4</f>
        <v>52.27600000000001</v>
      </c>
      <c r="AD59" s="145">
        <f t="shared" si="18"/>
        <v>-2.5672500533171041</v>
      </c>
      <c r="AE59" s="145">
        <f t="shared" si="11"/>
        <v>-9.3734999999999964</v>
      </c>
      <c r="AF59" s="145">
        <f t="shared" si="19"/>
        <v>69.963359152209847</v>
      </c>
      <c r="AG59" s="925">
        <f t="shared" si="24"/>
        <v>110.29860909889275</v>
      </c>
      <c r="AH59" s="146">
        <f t="shared" si="20"/>
        <v>46.361453477600335</v>
      </c>
      <c r="AI59" s="156">
        <f t="shared" si="8"/>
        <v>49.94018088774547</v>
      </c>
      <c r="AJ59" s="156">
        <f t="shared" si="21"/>
        <v>43.34048717945403</v>
      </c>
      <c r="AK59" s="156"/>
      <c r="AL59" s="148">
        <f t="shared" si="22"/>
        <v>2818.1517605630711</v>
      </c>
      <c r="AM59"/>
      <c r="AO59" s="762"/>
    </row>
    <row r="60" spans="1:41" ht="15.75" customHeight="1">
      <c r="A60" s="861" t="s">
        <v>167</v>
      </c>
      <c r="B60" s="135">
        <v>45583</v>
      </c>
      <c r="C60" s="638">
        <v>45579</v>
      </c>
      <c r="D60" s="640" t="s">
        <v>85</v>
      </c>
      <c r="E60" s="640">
        <v>10460498487</v>
      </c>
      <c r="F60" s="640" t="s">
        <v>168</v>
      </c>
      <c r="G60" s="641">
        <v>20</v>
      </c>
      <c r="H60" s="640" t="s">
        <v>69</v>
      </c>
      <c r="I60" s="644">
        <v>1.35</v>
      </c>
      <c r="J60" s="644">
        <v>2.8</v>
      </c>
      <c r="K60" s="138">
        <f t="shared" si="15"/>
        <v>1.3122</v>
      </c>
      <c r="L60" s="646">
        <v>0.33300000000000002</v>
      </c>
      <c r="M60" s="646">
        <v>0.316</v>
      </c>
      <c r="N60" s="651">
        <v>0.38</v>
      </c>
      <c r="O60" s="141">
        <f t="shared" si="25"/>
        <v>0.34799999999999998</v>
      </c>
      <c r="P60" s="142">
        <v>90</v>
      </c>
      <c r="Q60" s="644">
        <v>89.357162467150289</v>
      </c>
      <c r="R60" s="144">
        <v>2654.9</v>
      </c>
      <c r="S60" s="641">
        <v>120</v>
      </c>
      <c r="T60" s="640"/>
      <c r="U60" s="640">
        <v>130</v>
      </c>
      <c r="V60" s="640">
        <v>1.1023000000000001</v>
      </c>
      <c r="W60" s="640"/>
      <c r="X60" s="640"/>
      <c r="Y60" s="640">
        <v>30</v>
      </c>
      <c r="Z60" s="155">
        <v>25</v>
      </c>
      <c r="AA60" s="144">
        <f t="shared" si="16"/>
        <v>55</v>
      </c>
      <c r="AB60" s="145">
        <f t="shared" si="26"/>
        <v>678.79488496399995</v>
      </c>
      <c r="AC60" s="145">
        <f>+(S60-T60)*V60-'data 1'!$F$4</f>
        <v>52.27600000000001</v>
      </c>
      <c r="AD60" s="145">
        <f t="shared" si="18"/>
        <v>-5.9578484093812349</v>
      </c>
      <c r="AE60" s="145">
        <f t="shared" si="11"/>
        <v>-9.3734999999999964</v>
      </c>
      <c r="AF60" s="145">
        <f t="shared" si="19"/>
        <v>-37.304791595027773</v>
      </c>
      <c r="AG60" s="925">
        <f t="shared" si="24"/>
        <v>-0.36014000440899707</v>
      </c>
      <c r="AH60" s="146">
        <f t="shared" si="20"/>
        <v>13.38698280409249</v>
      </c>
      <c r="AI60" s="156">
        <f t="shared" si="8"/>
        <v>39.884760191140074</v>
      </c>
      <c r="AJ60" s="156">
        <f t="shared" si="21"/>
        <v>14.090644437592573</v>
      </c>
      <c r="AK60" s="156"/>
      <c r="AL60" s="148">
        <f t="shared" si="22"/>
        <v>890.71464804976074</v>
      </c>
      <c r="AM60"/>
      <c r="AO60" s="762"/>
    </row>
    <row r="61" spans="1:41" ht="15.75" customHeight="1">
      <c r="A61" s="861" t="s">
        <v>169</v>
      </c>
      <c r="B61" s="135">
        <v>45583</v>
      </c>
      <c r="C61" s="135">
        <v>45579</v>
      </c>
      <c r="D61" s="142" t="s">
        <v>85</v>
      </c>
      <c r="E61" s="142">
        <v>10460498487</v>
      </c>
      <c r="F61" s="142" t="s">
        <v>170</v>
      </c>
      <c r="G61" s="132" t="s">
        <v>68</v>
      </c>
      <c r="H61" s="142" t="s">
        <v>116</v>
      </c>
      <c r="I61" s="143">
        <v>11.21</v>
      </c>
      <c r="J61" s="143">
        <v>9.9</v>
      </c>
      <c r="K61" s="138">
        <f t="shared" si="15"/>
        <v>10.100210000000001</v>
      </c>
      <c r="L61" s="141">
        <v>0.159</v>
      </c>
      <c r="M61" s="141">
        <v>0.14899999999999999</v>
      </c>
      <c r="N61" s="157">
        <v>0.17399999999999999</v>
      </c>
      <c r="O61" s="141">
        <f t="shared" si="25"/>
        <v>0.16200000000000001</v>
      </c>
      <c r="P61" s="142">
        <v>85</v>
      </c>
      <c r="Q61" s="143">
        <v>89.827677861568347</v>
      </c>
      <c r="R61" s="144">
        <v>2654.9</v>
      </c>
      <c r="S61" s="132">
        <v>100</v>
      </c>
      <c r="T61" s="142"/>
      <c r="U61" s="142">
        <v>130</v>
      </c>
      <c r="V61" s="142">
        <v>1.1023000000000001</v>
      </c>
      <c r="W61" s="142"/>
      <c r="X61" s="142"/>
      <c r="Y61" s="142">
        <v>30</v>
      </c>
      <c r="Z61" s="155">
        <v>25</v>
      </c>
      <c r="AA61" s="144">
        <f t="shared" si="16"/>
        <v>55</v>
      </c>
      <c r="AB61" s="145">
        <f t="shared" si="26"/>
        <v>212.38976407899997</v>
      </c>
      <c r="AC61" s="145">
        <f>+(S61-T61)*V61-'data 1'!$F$4</f>
        <v>30.230000000000004</v>
      </c>
      <c r="AD61" s="145">
        <f t="shared" si="18"/>
        <v>21.363843953162771</v>
      </c>
      <c r="AE61" s="145">
        <f t="shared" si="11"/>
        <v>-9.3734999999999964</v>
      </c>
      <c r="AF61" s="145">
        <f t="shared" si="19"/>
        <v>-7.5002444338427017</v>
      </c>
      <c r="AG61" s="925">
        <f t="shared" si="24"/>
        <v>34.72009951932008</v>
      </c>
      <c r="AH61" s="146">
        <f t="shared" si="20"/>
        <v>49.459163858093206</v>
      </c>
      <c r="AI61" s="156">
        <f t="shared" si="8"/>
        <v>19.144352381175239</v>
      </c>
      <c r="AJ61" s="156">
        <f t="shared" si="21"/>
        <v>47.684080568864744</v>
      </c>
      <c r="AK61" s="156"/>
      <c r="AL61" s="148">
        <f t="shared" si="22"/>
        <v>2145.1812190483565</v>
      </c>
      <c r="AM61"/>
      <c r="AO61" s="762"/>
    </row>
    <row r="62" spans="1:41" ht="15.75" customHeight="1">
      <c r="A62" s="861" t="s">
        <v>174</v>
      </c>
      <c r="B62" s="135">
        <v>45583</v>
      </c>
      <c r="C62" s="637">
        <v>45579</v>
      </c>
      <c r="D62" s="639" t="s">
        <v>93</v>
      </c>
      <c r="E62" s="639">
        <v>20169040237</v>
      </c>
      <c r="F62" s="142" t="s">
        <v>175</v>
      </c>
      <c r="G62" s="642">
        <v>32</v>
      </c>
      <c r="H62" s="639" t="s">
        <v>69</v>
      </c>
      <c r="I62" s="643">
        <v>3.01</v>
      </c>
      <c r="J62" s="643">
        <v>0.4</v>
      </c>
      <c r="K62" s="138">
        <f t="shared" si="15"/>
        <v>2.99796</v>
      </c>
      <c r="L62" s="645">
        <v>0.374</v>
      </c>
      <c r="M62" s="645">
        <v>0.35499999999999998</v>
      </c>
      <c r="N62" s="737">
        <v>0.39500000000000002</v>
      </c>
      <c r="O62" s="141">
        <f t="shared" si="25"/>
        <v>0.375</v>
      </c>
      <c r="P62" s="154">
        <v>90</v>
      </c>
      <c r="Q62" s="643">
        <v>89.843715245393881</v>
      </c>
      <c r="R62" s="144">
        <v>2654.9</v>
      </c>
      <c r="S62" s="642">
        <v>120</v>
      </c>
      <c r="T62" s="639"/>
      <c r="U62" s="639">
        <v>130</v>
      </c>
      <c r="V62" s="639">
        <v>1.1023000000000001</v>
      </c>
      <c r="W62" s="639"/>
      <c r="X62" s="639"/>
      <c r="Y62" s="163">
        <v>35</v>
      </c>
      <c r="Z62" s="143">
        <f t="shared" ref="Z62:Z71" si="27">IF(IF(D62="UNTUCA",IF(+((W62-3)*1.5+(X62-3)*3.1)&gt;0,+((W62-3)*1.5+(X62-3)*3.1),0),IF(+((W62-3)*1.5+(X62-3)*3.1)&gt;0,+((W62-3)*1.5+(X62-3)*3.1),0))&lt;30,30,IF(D62="UNTUCA",IF(+((W62-3)*1.5+(X62-3)*3.1)&gt;0,+((W62-3)*1.5+(X62-3)*3.1),0),IF(+((W62-3)*1.5+(X62-3)*3.1)&gt;0,+((W62-3)*1.5+(X62-3)*3.1),0)))</f>
        <v>30</v>
      </c>
      <c r="AA62" s="144">
        <f t="shared" si="16"/>
        <v>65</v>
      </c>
      <c r="AB62" s="145">
        <f t="shared" si="26"/>
        <v>735.40357862500002</v>
      </c>
      <c r="AC62" s="145">
        <f>+(S62-T62)*V62-'data 1'!$F$4</f>
        <v>52.27600000000001</v>
      </c>
      <c r="AD62" s="145">
        <f t="shared" si="18"/>
        <v>-1.6267926708352676</v>
      </c>
      <c r="AE62" s="145">
        <f t="shared" si="11"/>
        <v>1.6495000000000033</v>
      </c>
      <c r="AF62" s="145">
        <f t="shared" si="19"/>
        <v>-2.5005278299763787</v>
      </c>
      <c r="AG62" s="925">
        <f t="shared" si="24"/>
        <v>49.798179499188372</v>
      </c>
      <c r="AH62" s="146">
        <f t="shared" si="20"/>
        <v>34.537763252351091</v>
      </c>
      <c r="AI62" s="156">
        <f t="shared" si="8"/>
        <v>45.039409427223873</v>
      </c>
      <c r="AJ62" s="156">
        <f t="shared" si="21"/>
        <v>34.690349910952584</v>
      </c>
      <c r="AK62" s="156"/>
      <c r="AL62" s="148">
        <f t="shared" si="22"/>
        <v>2204.7105125746052</v>
      </c>
      <c r="AM62"/>
      <c r="AO62" s="762"/>
    </row>
    <row r="63" spans="1:41" ht="15.75" customHeight="1">
      <c r="A63" s="861" t="s">
        <v>176</v>
      </c>
      <c r="B63" s="135">
        <v>45583</v>
      </c>
      <c r="C63" s="136">
        <v>45579</v>
      </c>
      <c r="D63" s="6" t="s">
        <v>93</v>
      </c>
      <c r="E63" s="6">
        <v>20169040237</v>
      </c>
      <c r="F63" s="142" t="s">
        <v>175</v>
      </c>
      <c r="G63" s="80">
        <v>98</v>
      </c>
      <c r="H63" s="6" t="s">
        <v>69</v>
      </c>
      <c r="I63" s="137">
        <v>8.3800000000000008</v>
      </c>
      <c r="J63" s="137">
        <v>0.4</v>
      </c>
      <c r="K63" s="138">
        <f t="shared" si="15"/>
        <v>8.3464800000000015</v>
      </c>
      <c r="L63" s="139">
        <v>0.55200000000000005</v>
      </c>
      <c r="M63" s="139">
        <v>0.52700000000000002</v>
      </c>
      <c r="N63" s="598">
        <v>0.57299999999999995</v>
      </c>
      <c r="O63" s="141">
        <f t="shared" si="25"/>
        <v>0.55000000000000004</v>
      </c>
      <c r="P63" s="154">
        <v>90</v>
      </c>
      <c r="Q63" s="137">
        <v>89.729142084399484</v>
      </c>
      <c r="R63" s="144">
        <v>2654.9</v>
      </c>
      <c r="S63" s="80">
        <v>140</v>
      </c>
      <c r="T63" s="6"/>
      <c r="U63" s="6">
        <v>130</v>
      </c>
      <c r="V63" s="6">
        <v>1.1023000000000001</v>
      </c>
      <c r="W63" s="6"/>
      <c r="X63" s="6"/>
      <c r="Y63" s="163">
        <v>35</v>
      </c>
      <c r="Z63" s="143">
        <f t="shared" si="27"/>
        <v>30</v>
      </c>
      <c r="AA63" s="144">
        <f t="shared" si="16"/>
        <v>65</v>
      </c>
      <c r="AB63" s="145">
        <f t="shared" si="26"/>
        <v>1151.7111486500003</v>
      </c>
      <c r="AC63" s="145">
        <f>+(S63-T63)*V63-'data 1'!$F$4</f>
        <v>74.322000000000003</v>
      </c>
      <c r="AD63" s="145">
        <f t="shared" si="18"/>
        <v>-4.1612575821399975</v>
      </c>
      <c r="AE63" s="145">
        <f t="shared" si="11"/>
        <v>1.6495000000000033</v>
      </c>
      <c r="AF63" s="145">
        <f t="shared" si="19"/>
        <v>4.9946780657748597</v>
      </c>
      <c r="AG63" s="925">
        <f t="shared" si="24"/>
        <v>76.804920483634874</v>
      </c>
      <c r="AH63" s="146">
        <f t="shared" si="20"/>
        <v>141.73758197020715</v>
      </c>
      <c r="AI63" s="156">
        <f t="shared" si="8"/>
        <v>66.390505514004232</v>
      </c>
      <c r="AJ63" s="156">
        <f t="shared" si="21"/>
        <v>141.65034129752422</v>
      </c>
      <c r="AK63" s="156"/>
      <c r="AL63" s="148">
        <f t="shared" si="22"/>
        <v>9612.7340679842564</v>
      </c>
      <c r="AM63"/>
      <c r="AO63" s="762"/>
    </row>
    <row r="64" spans="1:41" ht="15.75" customHeight="1">
      <c r="A64" s="861" t="s">
        <v>177</v>
      </c>
      <c r="B64" s="135">
        <v>45583</v>
      </c>
      <c r="C64" s="136">
        <v>45579</v>
      </c>
      <c r="D64" s="6" t="s">
        <v>93</v>
      </c>
      <c r="E64" s="6">
        <v>20169040237</v>
      </c>
      <c r="F64" s="142" t="s">
        <v>178</v>
      </c>
      <c r="G64" s="80">
        <v>14</v>
      </c>
      <c r="H64" s="6" t="s">
        <v>108</v>
      </c>
      <c r="I64" s="774">
        <v>0.93</v>
      </c>
      <c r="J64" s="137">
        <v>32.97</v>
      </c>
      <c r="K64" s="138">
        <f t="shared" si="15"/>
        <v>0.62337900000000002</v>
      </c>
      <c r="L64" s="139">
        <v>0.35899999999999999</v>
      </c>
      <c r="M64" s="139">
        <v>0.34499999999999997</v>
      </c>
      <c r="N64" s="159">
        <v>0.34499999999999997</v>
      </c>
      <c r="O64" s="645">
        <f t="shared" si="25"/>
        <v>0.34499999999999997</v>
      </c>
      <c r="P64" s="154">
        <v>90</v>
      </c>
      <c r="Q64" s="137">
        <v>89.898513712575735</v>
      </c>
      <c r="R64" s="144">
        <v>2654.9</v>
      </c>
      <c r="S64" s="80">
        <v>130</v>
      </c>
      <c r="T64" s="6"/>
      <c r="U64" s="6">
        <v>130</v>
      </c>
      <c r="V64" s="6">
        <v>1.1023000000000001</v>
      </c>
      <c r="W64" s="6"/>
      <c r="X64" s="6"/>
      <c r="Y64" s="163">
        <v>30</v>
      </c>
      <c r="Z64" s="143">
        <f t="shared" si="27"/>
        <v>30</v>
      </c>
      <c r="AA64" s="144">
        <f t="shared" si="16"/>
        <v>60</v>
      </c>
      <c r="AB64" s="145">
        <f t="shared" si="26"/>
        <v>654.74575233499991</v>
      </c>
      <c r="AC64" s="145">
        <f>+(S64-T64)*V64-'data 1'!$F$4</f>
        <v>63.299000000000007</v>
      </c>
      <c r="AD64" s="145">
        <f t="shared" si="18"/>
        <v>-1.0140183255849247</v>
      </c>
      <c r="AE64" s="145">
        <f t="shared" si="11"/>
        <v>-3.8619999999999948</v>
      </c>
      <c r="AF64" s="145">
        <f t="shared" si="19"/>
        <v>35.028741711865806</v>
      </c>
      <c r="AG64" s="925">
        <f t="shared" si="24"/>
        <v>93.451723386280889</v>
      </c>
      <c r="AH64" s="146">
        <f t="shared" si="20"/>
        <v>6.8977618730786086</v>
      </c>
      <c r="AI64" s="156">
        <f t="shared" si="8"/>
        <v>43.259385157728232</v>
      </c>
      <c r="AJ64" s="156">
        <f t="shared" si="21"/>
        <v>6.6362515797971033</v>
      </c>
      <c r="AK64" s="156"/>
      <c r="AL64" s="148">
        <f t="shared" si="22"/>
        <v>408.15475234483989</v>
      </c>
      <c r="AM64"/>
      <c r="AO64" s="762"/>
    </row>
    <row r="65" spans="1:41" ht="15.75" customHeight="1">
      <c r="A65" s="861" t="s">
        <v>179</v>
      </c>
      <c r="B65" s="135">
        <v>45583</v>
      </c>
      <c r="C65" s="136">
        <v>45579</v>
      </c>
      <c r="D65" s="6" t="s">
        <v>93</v>
      </c>
      <c r="E65" s="6">
        <v>20169040237</v>
      </c>
      <c r="F65" s="142" t="s">
        <v>178</v>
      </c>
      <c r="G65" s="80">
        <v>3</v>
      </c>
      <c r="H65" s="6" t="s">
        <v>69</v>
      </c>
      <c r="I65" s="137">
        <v>0.27</v>
      </c>
      <c r="J65" s="137">
        <v>1.1000000000000001</v>
      </c>
      <c r="K65" s="138">
        <f t="shared" si="15"/>
        <v>0.26702999999999999</v>
      </c>
      <c r="L65" s="139">
        <v>0.253</v>
      </c>
      <c r="M65" s="139">
        <v>0.24</v>
      </c>
      <c r="N65" s="159">
        <v>0.24</v>
      </c>
      <c r="O65" s="139">
        <f t="shared" si="25"/>
        <v>0.24</v>
      </c>
      <c r="P65" s="154">
        <v>90</v>
      </c>
      <c r="Q65" s="137">
        <v>89.79058332371973</v>
      </c>
      <c r="R65" s="144">
        <v>2654.9</v>
      </c>
      <c r="S65" s="80">
        <v>120</v>
      </c>
      <c r="T65" s="6"/>
      <c r="U65" s="6">
        <v>130</v>
      </c>
      <c r="V65" s="6">
        <v>1.1023000000000001</v>
      </c>
      <c r="W65" s="6"/>
      <c r="X65" s="6"/>
      <c r="Y65" s="163">
        <v>30</v>
      </c>
      <c r="Z65" s="143">
        <f t="shared" si="27"/>
        <v>30</v>
      </c>
      <c r="AA65" s="144">
        <f t="shared" si="16"/>
        <v>60</v>
      </c>
      <c r="AB65" s="145">
        <f t="shared" si="26"/>
        <v>402.75661031999994</v>
      </c>
      <c r="AC65" s="145">
        <f>+(S65-T65)*V65-'data 1'!$F$4</f>
        <v>52.27600000000001</v>
      </c>
      <c r="AD65" s="145">
        <f t="shared" si="18"/>
        <v>-1.4746052419407749</v>
      </c>
      <c r="AE65" s="145">
        <f t="shared" si="11"/>
        <v>-3.8619999999999948</v>
      </c>
      <c r="AF65" s="145">
        <f t="shared" si="19"/>
        <v>32.48763782917699</v>
      </c>
      <c r="AG65" s="925">
        <f t="shared" si="24"/>
        <v>79.427032587236226</v>
      </c>
      <c r="AH65" s="146">
        <f t="shared" si="20"/>
        <v>2.0797945660055728</v>
      </c>
      <c r="AI65" s="156">
        <f t="shared" si="8"/>
        <v>30.449817670983542</v>
      </c>
      <c r="AJ65" s="156">
        <f t="shared" si="21"/>
        <v>1.977529068934164</v>
      </c>
      <c r="AK65" s="156"/>
      <c r="AL65" s="148">
        <f t="shared" si="22"/>
        <v>107.54809765374958</v>
      </c>
      <c r="AM65"/>
      <c r="AO65" s="762"/>
    </row>
    <row r="66" spans="1:41" ht="15.75" customHeight="1">
      <c r="A66" s="861" t="s">
        <v>180</v>
      </c>
      <c r="B66" s="135">
        <v>45583</v>
      </c>
      <c r="C66" s="136">
        <v>45579</v>
      </c>
      <c r="D66" s="6" t="s">
        <v>93</v>
      </c>
      <c r="E66" s="6">
        <v>20169040237</v>
      </c>
      <c r="F66" s="142" t="s">
        <v>181</v>
      </c>
      <c r="G66" s="80">
        <v>12</v>
      </c>
      <c r="H66" s="6" t="s">
        <v>69</v>
      </c>
      <c r="I66" s="137">
        <v>1</v>
      </c>
      <c r="J66" s="137">
        <v>1.2</v>
      </c>
      <c r="K66" s="138">
        <f t="shared" si="15"/>
        <v>0.98799999999999999</v>
      </c>
      <c r="L66" s="139">
        <v>0.23799999999999999</v>
      </c>
      <c r="M66" s="139">
        <v>0.22600000000000001</v>
      </c>
      <c r="N66" s="159">
        <v>0.22600000000000001</v>
      </c>
      <c r="O66" s="139">
        <f t="shared" si="25"/>
        <v>0.22600000000000001</v>
      </c>
      <c r="P66" s="154">
        <v>90</v>
      </c>
      <c r="Q66" s="137">
        <v>89.446307909192541</v>
      </c>
      <c r="R66" s="144">
        <v>2654.9</v>
      </c>
      <c r="S66" s="80">
        <v>120</v>
      </c>
      <c r="T66" s="6"/>
      <c r="U66" s="6">
        <v>130</v>
      </c>
      <c r="V66" s="6">
        <v>1.1023000000000001</v>
      </c>
      <c r="W66" s="6"/>
      <c r="X66" s="6"/>
      <c r="Y66" s="163">
        <v>30</v>
      </c>
      <c r="Z66" s="143">
        <f t="shared" si="27"/>
        <v>30</v>
      </c>
      <c r="AA66" s="144">
        <f t="shared" si="16"/>
        <v>60</v>
      </c>
      <c r="AB66" s="145">
        <f t="shared" si="26"/>
        <v>367.68832471800005</v>
      </c>
      <c r="AC66" s="145">
        <f>+(S66-T66)*V66-'data 1'!$F$4</f>
        <v>52.27600000000001</v>
      </c>
      <c r="AD66" s="145">
        <f t="shared" si="18"/>
        <v>-3.6676616710230716</v>
      </c>
      <c r="AE66" s="145">
        <f t="shared" si="11"/>
        <v>-3.8619999999999948</v>
      </c>
      <c r="AF66" s="145">
        <f t="shared" si="19"/>
        <v>29.873606398133248</v>
      </c>
      <c r="AG66" s="925">
        <f t="shared" si="24"/>
        <v>74.619944727110195</v>
      </c>
      <c r="AH66" s="146">
        <f t="shared" si="20"/>
        <v>7.2111642843020389</v>
      </c>
      <c r="AI66" s="156">
        <f t="shared" si="8"/>
        <v>28.534663684604517</v>
      </c>
      <c r="AJ66" s="156">
        <f t="shared" si="21"/>
        <v>6.8899641542175623</v>
      </c>
      <c r="AK66" s="156"/>
      <c r="AL66" s="148">
        <f t="shared" si="22"/>
        <v>363.27606482138407</v>
      </c>
      <c r="AM66"/>
      <c r="AO66" s="762"/>
    </row>
    <row r="67" spans="1:41" ht="15.75" customHeight="1">
      <c r="A67" s="861" t="s">
        <v>189</v>
      </c>
      <c r="B67" s="135">
        <v>45585</v>
      </c>
      <c r="C67" s="136">
        <v>45583</v>
      </c>
      <c r="D67" s="79" t="s">
        <v>93</v>
      </c>
      <c r="E67" s="79">
        <v>20169040237</v>
      </c>
      <c r="F67" s="142" t="s">
        <v>190</v>
      </c>
      <c r="G67" s="80">
        <v>110</v>
      </c>
      <c r="H67" s="79" t="s">
        <v>69</v>
      </c>
      <c r="I67" s="137">
        <v>9.64</v>
      </c>
      <c r="J67" s="137">
        <v>1.1000000000000001</v>
      </c>
      <c r="K67" s="138">
        <f t="shared" si="15"/>
        <v>9.5339600000000004</v>
      </c>
      <c r="L67" s="139">
        <v>0.30199999999999999</v>
      </c>
      <c r="M67" s="149">
        <v>0.30099999999999999</v>
      </c>
      <c r="N67" s="149">
        <v>0.30099999999999999</v>
      </c>
      <c r="O67" s="139">
        <f t="shared" si="25"/>
        <v>0.30099999999999999</v>
      </c>
      <c r="P67" s="154">
        <v>90</v>
      </c>
      <c r="Q67" s="137">
        <v>89.23</v>
      </c>
      <c r="R67" s="144">
        <v>2701.6</v>
      </c>
      <c r="S67" s="80">
        <v>120</v>
      </c>
      <c r="U67" s="79">
        <v>130</v>
      </c>
      <c r="V67" s="206">
        <v>1.1023000000000001</v>
      </c>
      <c r="Y67" s="163">
        <v>30</v>
      </c>
      <c r="Z67" s="143">
        <f t="shared" si="27"/>
        <v>30</v>
      </c>
      <c r="AA67" s="144">
        <f t="shared" si="16"/>
        <v>60</v>
      </c>
      <c r="AB67" s="145">
        <f t="shared" si="26"/>
        <v>569.49937081200005</v>
      </c>
      <c r="AC67" s="145">
        <f>+(S67-T67)*V67-'data 1'!$F$4</f>
        <v>52.27600000000001</v>
      </c>
      <c r="AD67" s="145">
        <f t="shared" si="18"/>
        <v>-6.5917525008719657</v>
      </c>
      <c r="AE67" s="145">
        <f t="shared" si="11"/>
        <v>-3.8619999999999948</v>
      </c>
      <c r="AF67" s="145">
        <f t="shared" si="19"/>
        <v>2.5293802169640025</v>
      </c>
      <c r="AG67" s="925">
        <f t="shared" si="24"/>
        <v>44.351627716092054</v>
      </c>
      <c r="AH67" s="146">
        <f t="shared" si="20"/>
        <v>88.084649531067839</v>
      </c>
      <c r="AI67" s="156">
        <f t="shared" si="8"/>
        <v>22.24843468334203</v>
      </c>
      <c r="AJ67" s="156">
        <f t="shared" si="21"/>
        <v>88.550577894785931</v>
      </c>
      <c r="AK67" s="156"/>
      <c r="AL67" s="148">
        <f t="shared" si="22"/>
        <v>5429.5842213467758</v>
      </c>
      <c r="AM67"/>
      <c r="AO67" s="762"/>
    </row>
    <row r="68" spans="1:41" ht="15.75" customHeight="1">
      <c r="A68" s="861" t="s">
        <v>191</v>
      </c>
      <c r="B68" s="135">
        <v>45585</v>
      </c>
      <c r="C68" s="136">
        <v>45583</v>
      </c>
      <c r="D68" s="79" t="s">
        <v>93</v>
      </c>
      <c r="E68" s="79">
        <v>20169040237</v>
      </c>
      <c r="F68" s="142" t="s">
        <v>190</v>
      </c>
      <c r="G68" s="80">
        <v>111</v>
      </c>
      <c r="H68" s="79" t="s">
        <v>69</v>
      </c>
      <c r="I68" s="137">
        <v>9.8699999999999992</v>
      </c>
      <c r="J68" s="137">
        <v>1.2</v>
      </c>
      <c r="K68" s="138">
        <f t="shared" si="15"/>
        <v>9.7515599999999996</v>
      </c>
      <c r="L68" s="139">
        <v>0.22</v>
      </c>
      <c r="M68" s="149">
        <v>0.217</v>
      </c>
      <c r="N68" s="149">
        <v>0.217</v>
      </c>
      <c r="O68" s="139">
        <f t="shared" si="25"/>
        <v>0.217</v>
      </c>
      <c r="P68" s="154">
        <v>90</v>
      </c>
      <c r="Q68" s="137">
        <v>89.45</v>
      </c>
      <c r="R68" s="144">
        <v>2701.6</v>
      </c>
      <c r="S68" s="80">
        <v>110</v>
      </c>
      <c r="U68" s="79">
        <v>130</v>
      </c>
      <c r="V68" s="6">
        <v>1.1023000000000001</v>
      </c>
      <c r="Y68" s="163">
        <v>30</v>
      </c>
      <c r="Z68" s="143">
        <f t="shared" si="27"/>
        <v>30</v>
      </c>
      <c r="AA68" s="144">
        <f t="shared" si="16"/>
        <v>60</v>
      </c>
      <c r="AB68" s="145">
        <f t="shared" si="26"/>
        <v>366.22096500399999</v>
      </c>
      <c r="AC68" s="145">
        <f>+(S68-T68)*V68-'data 1'!$F$4</f>
        <v>41.253</v>
      </c>
      <c r="AD68" s="145">
        <f t="shared" si="18"/>
        <v>-3.4299563627999823</v>
      </c>
      <c r="AE68" s="145">
        <f t="shared" si="11"/>
        <v>-3.8619999999999948</v>
      </c>
      <c r="AF68" s="145">
        <f t="shared" si="19"/>
        <v>7.6068495037800075</v>
      </c>
      <c r="AG68" s="925">
        <f t="shared" si="24"/>
        <v>41.567893140980026</v>
      </c>
      <c r="AH68" s="146">
        <f t="shared" si="20"/>
        <v>65.79398511856752</v>
      </c>
      <c r="AI68" s="156">
        <f t="shared" si="8"/>
        <v>16.247429113300019</v>
      </c>
      <c r="AJ68" s="156">
        <f t="shared" si="21"/>
        <v>65.295824450715159</v>
      </c>
      <c r="AK68" s="156"/>
      <c r="AL68" s="148">
        <f t="shared" si="22"/>
        <v>3571.2257134944061</v>
      </c>
      <c r="AM68"/>
      <c r="AO68" s="762"/>
    </row>
    <row r="69" spans="1:41" ht="15.75" customHeight="1">
      <c r="A69" s="861" t="s">
        <v>192</v>
      </c>
      <c r="B69" s="135">
        <v>45585</v>
      </c>
      <c r="C69" s="136">
        <v>45583</v>
      </c>
      <c r="D69" s="79" t="s">
        <v>93</v>
      </c>
      <c r="E69" s="79">
        <v>20169040237</v>
      </c>
      <c r="F69" s="142" t="s">
        <v>193</v>
      </c>
      <c r="G69" s="80">
        <v>36</v>
      </c>
      <c r="H69" s="79" t="s">
        <v>69</v>
      </c>
      <c r="I69" s="137">
        <v>3.81</v>
      </c>
      <c r="J69" s="137">
        <v>3.45</v>
      </c>
      <c r="K69" s="138">
        <f t="shared" ref="K69:K81" si="28">+I69-(I69*(J69/100))</f>
        <v>3.6785550000000002</v>
      </c>
      <c r="L69" s="139">
        <v>0.32900000000000001</v>
      </c>
      <c r="M69" s="139">
        <v>0.309</v>
      </c>
      <c r="N69" s="159">
        <v>0.309</v>
      </c>
      <c r="O69" s="139">
        <f t="shared" si="25"/>
        <v>0.309</v>
      </c>
      <c r="P69" s="154">
        <v>90</v>
      </c>
      <c r="Q69" s="137">
        <v>89.33</v>
      </c>
      <c r="R69" s="144">
        <v>2701.6</v>
      </c>
      <c r="S69" s="80">
        <v>110</v>
      </c>
      <c r="U69" s="79">
        <v>130</v>
      </c>
      <c r="V69" s="6">
        <v>1.1023000000000001</v>
      </c>
      <c r="Y69" s="163">
        <v>20</v>
      </c>
      <c r="Z69" s="143">
        <f t="shared" si="27"/>
        <v>30</v>
      </c>
      <c r="AA69" s="144">
        <f t="shared" ref="AA69:AA81" si="29">+Y69+Z69</f>
        <v>50</v>
      </c>
      <c r="AB69" s="145">
        <f t="shared" si="26"/>
        <v>611.95502850799994</v>
      </c>
      <c r="AC69" s="145">
        <f>+(S69-T69)*V69-'data 1'!$F$4</f>
        <v>41.253</v>
      </c>
      <c r="AD69" s="145">
        <f t="shared" ref="AD69:AD81" si="30">+(Q69-P69)*(R69-U69)*L69*V69/100</f>
        <v>-6.2484733971240152</v>
      </c>
      <c r="AE69" s="145">
        <f t="shared" si="11"/>
        <v>-14.884999999999998</v>
      </c>
      <c r="AF69" s="145">
        <f t="shared" ref="AF69:AF81" si="31">(L69-O69)*(R69-U69)*Q69*V69/100</f>
        <v>50.644297832880049</v>
      </c>
      <c r="AG69" s="925">
        <f t="shared" si="24"/>
        <v>70.763824435756035</v>
      </c>
      <c r="AH69" s="146">
        <f t="shared" ref="AH69:AH81" si="32">31.1035*L69*Q69*1.1023*K69/100</f>
        <v>37.066327190138651</v>
      </c>
      <c r="AI69" s="156">
        <f t="shared" ref="AI69:AI81" si="33">+((+$AI$2-R69+U69)*L69*Q69*V69)/100</f>
        <v>24.264696135239031</v>
      </c>
      <c r="AJ69" s="156">
        <f t="shared" ref="AJ69:AJ81" si="34">31.1035*1.1023*K69*P69*O69/100</f>
        <v>35.074162676002267</v>
      </c>
      <c r="AK69" s="156"/>
      <c r="AL69" s="148">
        <f t="shared" ref="AL69:AL81" si="35">+IF(AB69*K69&gt;0,AB69*K69,0)</f>
        <v>2251.110229893246</v>
      </c>
      <c r="AM69"/>
      <c r="AO69" s="762"/>
    </row>
    <row r="70" spans="1:41" ht="15.75" customHeight="1">
      <c r="A70" s="861" t="s">
        <v>194</v>
      </c>
      <c r="B70" s="135">
        <v>45585</v>
      </c>
      <c r="C70" s="136">
        <v>45583</v>
      </c>
      <c r="D70" s="79" t="s">
        <v>93</v>
      </c>
      <c r="E70" s="79">
        <v>20169040237</v>
      </c>
      <c r="F70" s="142" t="s">
        <v>193</v>
      </c>
      <c r="G70" s="80">
        <v>45</v>
      </c>
      <c r="H70" s="79" t="s">
        <v>69</v>
      </c>
      <c r="I70" s="137">
        <v>4.2300000000000004</v>
      </c>
      <c r="J70" s="137">
        <v>1.2</v>
      </c>
      <c r="K70" s="138">
        <f t="shared" si="28"/>
        <v>4.1792400000000001</v>
      </c>
      <c r="L70" s="139">
        <v>0.215</v>
      </c>
      <c r="M70" s="139">
        <v>0.20399999999999999</v>
      </c>
      <c r="N70" s="159">
        <v>0.20399999999999999</v>
      </c>
      <c r="O70" s="139">
        <f t="shared" si="25"/>
        <v>0.20399999999999999</v>
      </c>
      <c r="P70" s="154">
        <v>90</v>
      </c>
      <c r="Q70" s="137">
        <v>89.74</v>
      </c>
      <c r="R70" s="144">
        <v>2701.6</v>
      </c>
      <c r="S70" s="80">
        <v>100</v>
      </c>
      <c r="U70" s="79">
        <v>130</v>
      </c>
      <c r="V70" s="6">
        <v>1.1023000000000001</v>
      </c>
      <c r="Y70" s="163">
        <v>20</v>
      </c>
      <c r="Z70" s="143">
        <f t="shared" si="27"/>
        <v>30</v>
      </c>
      <c r="AA70" s="144">
        <f t="shared" si="29"/>
        <v>50</v>
      </c>
      <c r="AB70" s="145">
        <f t="shared" si="26"/>
        <v>355.10127124799993</v>
      </c>
      <c r="AC70" s="145">
        <f>+(S70-T70)*V70-'data 1'!$F$4</f>
        <v>30.230000000000004</v>
      </c>
      <c r="AD70" s="145">
        <f t="shared" si="30"/>
        <v>-1.584583146120031</v>
      </c>
      <c r="AE70" s="145">
        <f t="shared" ref="AE70:AE81" si="36">+(Y70*V70-70)+V70*(Z70-IF(D70="UNTUCA",IF(+((W70-3)*2.5+(X70-3)*3.1)&gt;0,+((W70-3)*1.5+(X70-3)*3.1),0),IF(+((W70-3)*1.5+(X70-3)*3.1)&gt;0,+((W70-3)*1.5+(X70-3)*3.1),0)))</f>
        <v>-14.884999999999998</v>
      </c>
      <c r="AF70" s="145">
        <f t="shared" si="31"/>
        <v>27.982207636152019</v>
      </c>
      <c r="AG70" s="925">
        <f t="shared" si="24"/>
        <v>41.742624490031993</v>
      </c>
      <c r="AH70" s="146">
        <f t="shared" si="32"/>
        <v>27.645911049693737</v>
      </c>
      <c r="AI70" s="156">
        <f t="shared" si="33"/>
        <v>15.929646936070016</v>
      </c>
      <c r="AJ70" s="156">
        <f t="shared" si="34"/>
        <v>26.307468442289455</v>
      </c>
      <c r="AK70" s="156"/>
      <c r="AL70" s="148">
        <f t="shared" si="35"/>
        <v>1484.0534368504912</v>
      </c>
      <c r="AM70"/>
      <c r="AO70" s="762"/>
    </row>
    <row r="71" spans="1:41" ht="15.75" customHeight="1">
      <c r="A71" s="861" t="s">
        <v>195</v>
      </c>
      <c r="B71" s="135">
        <v>45585</v>
      </c>
      <c r="C71" s="136">
        <v>45583</v>
      </c>
      <c r="D71" s="79" t="s">
        <v>93</v>
      </c>
      <c r="E71" s="79">
        <v>20169040237</v>
      </c>
      <c r="F71" s="142" t="s">
        <v>196</v>
      </c>
      <c r="G71" s="80">
        <v>22</v>
      </c>
      <c r="H71" s="79" t="s">
        <v>69</v>
      </c>
      <c r="I71" s="137">
        <v>1.9</v>
      </c>
      <c r="J71" s="137">
        <v>1.25</v>
      </c>
      <c r="K71" s="138">
        <f t="shared" si="28"/>
        <v>1.87625</v>
      </c>
      <c r="L71" s="139">
        <v>0.503</v>
      </c>
      <c r="M71" s="139">
        <v>0.47699999999999998</v>
      </c>
      <c r="N71" s="159">
        <v>0.47699999999999998</v>
      </c>
      <c r="O71" s="139">
        <f t="shared" si="25"/>
        <v>0.47699999999999998</v>
      </c>
      <c r="P71" s="154">
        <v>90</v>
      </c>
      <c r="Q71" s="137">
        <v>89.11</v>
      </c>
      <c r="R71" s="144">
        <v>2701.6</v>
      </c>
      <c r="S71" s="80">
        <v>130</v>
      </c>
      <c r="U71" s="79">
        <v>130</v>
      </c>
      <c r="V71" s="6">
        <v>1.1023000000000001</v>
      </c>
      <c r="Y71" s="163">
        <v>20</v>
      </c>
      <c r="Z71" s="143">
        <f t="shared" si="27"/>
        <v>30</v>
      </c>
      <c r="AA71" s="144">
        <f t="shared" si="29"/>
        <v>50</v>
      </c>
      <c r="AB71" s="145">
        <f t="shared" si="26"/>
        <v>1018.5118401239999</v>
      </c>
      <c r="AC71" s="145">
        <f>+(S71-T71)*V71-'data 1'!$F$4</f>
        <v>63.299000000000007</v>
      </c>
      <c r="AD71" s="145">
        <f t="shared" si="30"/>
        <v>-12.689988139956007</v>
      </c>
      <c r="AE71" s="145">
        <f t="shared" si="36"/>
        <v>-14.884999999999998</v>
      </c>
      <c r="AF71" s="145">
        <f t="shared" si="31"/>
        <v>65.675443791048053</v>
      </c>
      <c r="AG71" s="925">
        <f t="shared" si="24"/>
        <v>101.39945565109205</v>
      </c>
      <c r="AH71" s="146">
        <f t="shared" si="32"/>
        <v>28.833290212626121</v>
      </c>
      <c r="AI71" s="156">
        <f t="shared" si="33"/>
        <v>37.006333114891042</v>
      </c>
      <c r="AJ71" s="156">
        <f t="shared" si="34"/>
        <v>27.615992939859208</v>
      </c>
      <c r="AK71" s="156"/>
      <c r="AL71" s="148">
        <f t="shared" si="35"/>
        <v>1910.9828400326548</v>
      </c>
      <c r="AM71"/>
      <c r="AO71" s="762"/>
    </row>
    <row r="72" spans="1:41" ht="15.75" customHeight="1">
      <c r="A72" s="854" t="s">
        <v>197</v>
      </c>
      <c r="B72" s="135">
        <v>45594</v>
      </c>
      <c r="C72" s="136">
        <v>45584</v>
      </c>
      <c r="D72" s="79" t="s">
        <v>119</v>
      </c>
      <c r="E72" s="6">
        <v>10082235774</v>
      </c>
      <c r="F72" s="631"/>
      <c r="G72" s="80">
        <v>26</v>
      </c>
      <c r="H72" s="79" t="s">
        <v>69</v>
      </c>
      <c r="I72" s="137">
        <v>2.38</v>
      </c>
      <c r="J72" s="137">
        <v>1</v>
      </c>
      <c r="K72" s="138">
        <f t="shared" si="28"/>
        <v>2.3561999999999999</v>
      </c>
      <c r="L72" s="139">
        <v>0.17699999999999999</v>
      </c>
      <c r="M72" s="139">
        <v>0.16800000000000001</v>
      </c>
      <c r="N72" s="159">
        <v>0.16800000000000001</v>
      </c>
      <c r="O72" s="139">
        <f t="shared" si="25"/>
        <v>0.16800000000000001</v>
      </c>
      <c r="P72" s="154">
        <v>85</v>
      </c>
      <c r="Q72" s="597">
        <v>89.45</v>
      </c>
      <c r="R72" s="144">
        <v>2712.5</v>
      </c>
      <c r="S72" s="80">
        <v>95</v>
      </c>
      <c r="U72" s="6">
        <v>80</v>
      </c>
      <c r="V72" s="6">
        <v>1.1023000000000001</v>
      </c>
      <c r="Y72" s="163"/>
      <c r="Z72" s="160">
        <v>10</v>
      </c>
      <c r="AA72" s="144">
        <f t="shared" si="29"/>
        <v>10</v>
      </c>
      <c r="AB72" s="145">
        <f t="shared" si="26"/>
        <v>298.63621830000005</v>
      </c>
      <c r="AC72" s="145">
        <f>+(S72-T72)*V72-'data 1'!$F$4</f>
        <v>24.718500000000006</v>
      </c>
      <c r="AD72" s="145">
        <f t="shared" si="30"/>
        <v>22.856065113375017</v>
      </c>
      <c r="AE72" s="145">
        <f t="shared" si="36"/>
        <v>-58.977000000000004</v>
      </c>
      <c r="AF72" s="145">
        <f t="shared" si="31"/>
        <v>23.360979139874949</v>
      </c>
      <c r="AG72" s="925">
        <f t="shared" ref="AG72:AG77" si="37">+IF(D72="RONALD WILLIAN GARIBAY ESCUDERO",AC72+AD72+AE72+AF72+80,AC72+AD72+AE72+AF72)+90</f>
        <v>101.95854425324997</v>
      </c>
      <c r="AH72" s="146">
        <f t="shared" si="32"/>
        <v>12.790126274125871</v>
      </c>
      <c r="AI72" s="156">
        <f t="shared" si="33"/>
        <v>2.4433262132999998</v>
      </c>
      <c r="AJ72" s="156">
        <f t="shared" si="34"/>
        <v>11.535845432982946</v>
      </c>
      <c r="AK72" s="156"/>
      <c r="AL72" s="148">
        <f t="shared" si="35"/>
        <v>703.64665755846011</v>
      </c>
      <c r="AM72"/>
      <c r="AO72" s="762"/>
    </row>
    <row r="73" spans="1:41" ht="15.75" customHeight="1">
      <c r="A73" s="854" t="s">
        <v>198</v>
      </c>
      <c r="B73" s="135">
        <v>45594</v>
      </c>
      <c r="C73" s="136">
        <v>45584</v>
      </c>
      <c r="D73" s="79" t="s">
        <v>119</v>
      </c>
      <c r="E73" s="6">
        <v>10082235774</v>
      </c>
      <c r="G73" s="80">
        <v>61</v>
      </c>
      <c r="H73" s="79" t="s">
        <v>69</v>
      </c>
      <c r="I73" s="137">
        <v>5.04</v>
      </c>
      <c r="J73" s="137">
        <v>1.1000000000000001</v>
      </c>
      <c r="K73" s="138">
        <f t="shared" si="28"/>
        <v>4.9845600000000001</v>
      </c>
      <c r="L73" s="139">
        <v>0.70899999999999996</v>
      </c>
      <c r="M73" s="139">
        <v>0.67400000000000004</v>
      </c>
      <c r="N73" s="598">
        <v>0.78100000000000003</v>
      </c>
      <c r="O73" s="139">
        <f t="shared" si="25"/>
        <v>0.72799999999999998</v>
      </c>
      <c r="P73" s="154">
        <v>90</v>
      </c>
      <c r="Q73" s="597">
        <v>89.26</v>
      </c>
      <c r="R73" s="144">
        <v>2712.5</v>
      </c>
      <c r="S73" s="80">
        <v>125</v>
      </c>
      <c r="U73" s="6">
        <v>80</v>
      </c>
      <c r="V73" s="6">
        <v>1.1023000000000001</v>
      </c>
      <c r="Y73" s="163"/>
      <c r="Z73" s="160">
        <v>10</v>
      </c>
      <c r="AA73" s="144">
        <f t="shared" si="29"/>
        <v>10</v>
      </c>
      <c r="AB73" s="145">
        <f t="shared" si="26"/>
        <v>1752.4519722</v>
      </c>
      <c r="AC73" s="145">
        <f>+(S73-T73)*V73-'data 1'!$F$4</f>
        <v>57.787499999999994</v>
      </c>
      <c r="AD73" s="145">
        <f t="shared" si="30"/>
        <v>-15.224608801349895</v>
      </c>
      <c r="AE73" s="145">
        <f t="shared" si="36"/>
        <v>-58.977000000000004</v>
      </c>
      <c r="AF73" s="145">
        <f t="shared" si="31"/>
        <v>-49.212867477150049</v>
      </c>
      <c r="AG73" s="925">
        <f t="shared" si="37"/>
        <v>24.373023721500047</v>
      </c>
      <c r="AH73" s="146">
        <f t="shared" si="32"/>
        <v>108.15311066810793</v>
      </c>
      <c r="AI73" s="156">
        <f t="shared" si="33"/>
        <v>9.7663202394800006</v>
      </c>
      <c r="AJ73" s="156">
        <f t="shared" si="34"/>
        <v>111.97209039209446</v>
      </c>
      <c r="AK73" s="156"/>
      <c r="AL73" s="148">
        <f t="shared" si="35"/>
        <v>8735.2020025492329</v>
      </c>
      <c r="AM73"/>
      <c r="AO73" s="762"/>
    </row>
    <row r="74" spans="1:41" ht="15.75" customHeight="1">
      <c r="A74" s="854" t="s">
        <v>1214</v>
      </c>
      <c r="B74" s="135">
        <v>45594</v>
      </c>
      <c r="C74" s="136">
        <v>45584</v>
      </c>
      <c r="D74" s="79" t="s">
        <v>119</v>
      </c>
      <c r="E74" s="6">
        <v>10082235774</v>
      </c>
      <c r="G74" s="80">
        <v>61</v>
      </c>
      <c r="H74" s="79" t="s">
        <v>69</v>
      </c>
      <c r="I74" s="137">
        <v>5.31</v>
      </c>
      <c r="J74" s="137">
        <v>1</v>
      </c>
      <c r="K74" s="138">
        <f t="shared" si="28"/>
        <v>5.2568999999999999</v>
      </c>
      <c r="L74" s="139">
        <v>0.45199999999999996</v>
      </c>
      <c r="M74" s="139">
        <v>0.42464999999999992</v>
      </c>
      <c r="N74" s="598">
        <v>0.47099999999999997</v>
      </c>
      <c r="O74" s="139">
        <f t="shared" si="25"/>
        <v>0.44800000000000001</v>
      </c>
      <c r="P74" s="154">
        <v>90</v>
      </c>
      <c r="Q74" s="597">
        <v>89.13</v>
      </c>
      <c r="R74" s="144">
        <v>2712.5</v>
      </c>
      <c r="S74" s="80">
        <v>115</v>
      </c>
      <c r="U74" s="6">
        <v>80</v>
      </c>
      <c r="V74" s="6">
        <v>1.1023000000000001</v>
      </c>
      <c r="Y74" s="163"/>
      <c r="Z74" s="160">
        <v>10</v>
      </c>
      <c r="AA74" s="144">
        <f t="shared" si="29"/>
        <v>10</v>
      </c>
      <c r="AB74" s="145">
        <f t="shared" si="26"/>
        <v>1032.2201752000001</v>
      </c>
      <c r="AC74" s="145">
        <f>+(S74-T74)*V74-'data 1'!$F$4</f>
        <v>46.764500000000012</v>
      </c>
      <c r="AD74" s="145">
        <f t="shared" si="30"/>
        <v>-11.41105699890006</v>
      </c>
      <c r="AE74" s="145">
        <f t="shared" si="36"/>
        <v>-58.977000000000004</v>
      </c>
      <c r="AF74" s="145">
        <f t="shared" si="31"/>
        <v>10.345514294699864</v>
      </c>
      <c r="AG74" s="925">
        <f t="shared" si="37"/>
        <v>76.721957295799811</v>
      </c>
      <c r="AH74" s="146">
        <f t="shared" si="32"/>
        <v>72.610784050345458</v>
      </c>
      <c r="AI74" s="156">
        <f t="shared" si="33"/>
        <v>6.2171333767199988</v>
      </c>
      <c r="AJ74" s="156">
        <f t="shared" si="34"/>
        <v>72.670694116626152</v>
      </c>
      <c r="AK74" s="156"/>
      <c r="AL74" s="148">
        <f t="shared" si="35"/>
        <v>5426.2782390088805</v>
      </c>
      <c r="AM74"/>
      <c r="AO74" s="762"/>
    </row>
    <row r="75" spans="1:41" ht="15.75" customHeight="1">
      <c r="A75" s="854" t="s">
        <v>199</v>
      </c>
      <c r="B75" s="135">
        <v>45594</v>
      </c>
      <c r="C75" s="136">
        <v>45584</v>
      </c>
      <c r="D75" s="79" t="s">
        <v>119</v>
      </c>
      <c r="E75" s="6">
        <v>10082235774</v>
      </c>
      <c r="G75" s="80">
        <v>62</v>
      </c>
      <c r="H75" s="79" t="s">
        <v>69</v>
      </c>
      <c r="I75" s="137">
        <v>5.3</v>
      </c>
      <c r="J75" s="137">
        <v>1.2</v>
      </c>
      <c r="K75" s="138">
        <f t="shared" si="28"/>
        <v>5.2363999999999997</v>
      </c>
      <c r="L75" s="139">
        <v>0.17</v>
      </c>
      <c r="M75" s="139">
        <v>0.161</v>
      </c>
      <c r="N75" s="598">
        <v>0.19900000000000001</v>
      </c>
      <c r="O75" s="139">
        <f t="shared" si="25"/>
        <v>0.18</v>
      </c>
      <c r="P75" s="154">
        <v>85</v>
      </c>
      <c r="Q75" s="597">
        <v>89.56</v>
      </c>
      <c r="R75" s="144">
        <v>2712.5</v>
      </c>
      <c r="S75" s="80">
        <v>95</v>
      </c>
      <c r="U75" s="6">
        <v>80</v>
      </c>
      <c r="V75" s="6">
        <v>1.1023000000000001</v>
      </c>
      <c r="Y75" s="163"/>
      <c r="Z75" s="160">
        <v>10</v>
      </c>
      <c r="AA75" s="144">
        <f t="shared" si="29"/>
        <v>10</v>
      </c>
      <c r="AB75" s="145">
        <f t="shared" si="26"/>
        <v>328.23462675000002</v>
      </c>
      <c r="AC75" s="145">
        <f>+(S75-T75)*V75-'data 1'!$F$4</f>
        <v>24.718500000000006</v>
      </c>
      <c r="AD75" s="145">
        <f t="shared" si="30"/>
        <v>22.494790422000015</v>
      </c>
      <c r="AE75" s="145">
        <f t="shared" si="36"/>
        <v>-58.977000000000004</v>
      </c>
      <c r="AF75" s="145">
        <f t="shared" si="31"/>
        <v>-25.988563340999949</v>
      </c>
      <c r="AG75" s="925">
        <f t="shared" si="37"/>
        <v>52.247727081000065</v>
      </c>
      <c r="AH75" s="146">
        <f t="shared" si="32"/>
        <v>27.334106975231265</v>
      </c>
      <c r="AI75" s="156">
        <f t="shared" si="33"/>
        <v>2.3495833144000007</v>
      </c>
      <c r="AJ75" s="156">
        <f t="shared" si="34"/>
        <v>27.468396915708059</v>
      </c>
      <c r="AK75" s="156"/>
      <c r="AL75" s="148">
        <f t="shared" si="35"/>
        <v>1718.7677995137001</v>
      </c>
      <c r="AM75"/>
      <c r="AO75" s="762"/>
    </row>
    <row r="76" spans="1:41" ht="15.75" customHeight="1">
      <c r="A76" s="854" t="s">
        <v>200</v>
      </c>
      <c r="B76" s="135">
        <v>45594</v>
      </c>
      <c r="C76" s="136">
        <v>45584</v>
      </c>
      <c r="D76" s="79" t="s">
        <v>119</v>
      </c>
      <c r="E76" s="6">
        <v>10082235774</v>
      </c>
      <c r="G76" s="80">
        <v>41</v>
      </c>
      <c r="H76" s="79" t="s">
        <v>69</v>
      </c>
      <c r="I76" s="137">
        <v>3.55</v>
      </c>
      <c r="J76" s="137">
        <v>1.1000000000000001</v>
      </c>
      <c r="K76" s="138">
        <f t="shared" si="28"/>
        <v>3.5109499999999998</v>
      </c>
      <c r="L76" s="139">
        <v>0.25600000000000001</v>
      </c>
      <c r="M76" s="139">
        <v>0.24299999999999999</v>
      </c>
      <c r="N76" s="598">
        <v>0.27100000000000002</v>
      </c>
      <c r="O76" s="139">
        <f t="shared" si="25"/>
        <v>0.25700000000000001</v>
      </c>
      <c r="P76" s="154">
        <v>90</v>
      </c>
      <c r="Q76" s="597">
        <v>89.7</v>
      </c>
      <c r="R76" s="144">
        <v>2712.5</v>
      </c>
      <c r="S76" s="80">
        <v>105</v>
      </c>
      <c r="U76" s="6">
        <v>80</v>
      </c>
      <c r="V76" s="6">
        <v>1.1023000000000001</v>
      </c>
      <c r="Y76" s="163"/>
      <c r="Z76" s="160">
        <v>10</v>
      </c>
      <c r="AA76" s="144">
        <f t="shared" si="29"/>
        <v>10</v>
      </c>
      <c r="AB76" s="145">
        <f t="shared" si="26"/>
        <v>544.42293867500007</v>
      </c>
      <c r="AC76" s="145">
        <f>+(S76-T76)*V76-'data 1'!$F$4</f>
        <v>35.741500000000002</v>
      </c>
      <c r="AD76" s="145">
        <f t="shared" si="30"/>
        <v>-2.2285860479999791</v>
      </c>
      <c r="AE76" s="145">
        <f t="shared" si="36"/>
        <v>-58.977000000000004</v>
      </c>
      <c r="AF76" s="145">
        <f t="shared" si="31"/>
        <v>-2.6029188607500027</v>
      </c>
      <c r="AG76" s="925">
        <f t="shared" si="37"/>
        <v>61.932995091250014</v>
      </c>
      <c r="AH76" s="146">
        <f t="shared" si="32"/>
        <v>27.641787393845842</v>
      </c>
      <c r="AI76" s="156">
        <f t="shared" si="33"/>
        <v>3.5437269504000004</v>
      </c>
      <c r="AJ76" s="156">
        <f t="shared" si="34"/>
        <v>27.842571698180318</v>
      </c>
      <c r="AK76" s="156"/>
      <c r="AL76" s="148">
        <f t="shared" si="35"/>
        <v>1911.4417165409914</v>
      </c>
      <c r="AM76"/>
      <c r="AO76" s="762"/>
    </row>
    <row r="77" spans="1:41" ht="15.75" customHeight="1">
      <c r="A77" s="854" t="s">
        <v>201</v>
      </c>
      <c r="B77" s="135">
        <v>45594</v>
      </c>
      <c r="C77" s="136">
        <v>45584</v>
      </c>
      <c r="D77" s="79" t="s">
        <v>119</v>
      </c>
      <c r="E77" s="6">
        <v>10082235774</v>
      </c>
      <c r="G77" s="80">
        <v>32</v>
      </c>
      <c r="H77" s="79" t="s">
        <v>69</v>
      </c>
      <c r="I77" s="137">
        <v>2.65</v>
      </c>
      <c r="J77" s="137">
        <v>1.2</v>
      </c>
      <c r="K77" s="138">
        <f t="shared" si="28"/>
        <v>2.6181999999999999</v>
      </c>
      <c r="L77" s="139">
        <v>0.35099999999999998</v>
      </c>
      <c r="M77" s="139">
        <v>0.33300000000000002</v>
      </c>
      <c r="N77" s="598">
        <v>0.39</v>
      </c>
      <c r="O77" s="139">
        <f t="shared" si="25"/>
        <v>0.36199999999999999</v>
      </c>
      <c r="P77" s="154">
        <v>90</v>
      </c>
      <c r="Q77" s="597">
        <v>89.83</v>
      </c>
      <c r="R77" s="144">
        <v>2712.5</v>
      </c>
      <c r="S77" s="80">
        <v>110</v>
      </c>
      <c r="U77" s="6">
        <v>80</v>
      </c>
      <c r="V77" s="6">
        <v>1.1023000000000001</v>
      </c>
      <c r="Y77" s="163"/>
      <c r="Z77" s="160">
        <v>10</v>
      </c>
      <c r="AA77" s="144">
        <f t="shared" si="29"/>
        <v>10</v>
      </c>
      <c r="AB77" s="145">
        <f t="shared" si="26"/>
        <v>813.13198754999996</v>
      </c>
      <c r="AC77" s="145">
        <f>+(S77-T77)*V77-'data 1'!$F$4</f>
        <v>41.253</v>
      </c>
      <c r="AD77" s="145">
        <f t="shared" si="30"/>
        <v>-1.7315068943250174</v>
      </c>
      <c r="AE77" s="145">
        <f t="shared" si="36"/>
        <v>-58.977000000000004</v>
      </c>
      <c r="AF77" s="145">
        <f t="shared" si="31"/>
        <v>-28.673603276175022</v>
      </c>
      <c r="AG77" s="925">
        <f t="shared" si="37"/>
        <v>41.870889829499959</v>
      </c>
      <c r="AH77" s="146">
        <f t="shared" si="32"/>
        <v>28.303516971348277</v>
      </c>
      <c r="AI77" s="156">
        <f t="shared" si="33"/>
        <v>4.8658235862599994</v>
      </c>
      <c r="AJ77" s="156">
        <f t="shared" si="34"/>
        <v>29.245763774959755</v>
      </c>
      <c r="AK77" s="156"/>
      <c r="AL77" s="148">
        <f t="shared" si="35"/>
        <v>2128.9421698034098</v>
      </c>
      <c r="AM77"/>
      <c r="AO77" s="762"/>
    </row>
    <row r="78" spans="1:41" ht="15.75" customHeight="1">
      <c r="A78" s="854" t="s">
        <v>204</v>
      </c>
      <c r="B78" s="135">
        <v>45590</v>
      </c>
      <c r="C78" s="595">
        <v>45585</v>
      </c>
      <c r="D78" t="s">
        <v>93</v>
      </c>
      <c r="E78" s="630">
        <v>20169040237</v>
      </c>
      <c r="F78" s="666" t="s">
        <v>979</v>
      </c>
      <c r="G78" s="80">
        <v>10</v>
      </c>
      <c r="H78" t="s">
        <v>69</v>
      </c>
      <c r="I78" s="596">
        <v>0.86</v>
      </c>
      <c r="J78" s="596">
        <v>1.2</v>
      </c>
      <c r="K78" s="138">
        <f t="shared" si="28"/>
        <v>0.84967999999999999</v>
      </c>
      <c r="L78" s="139">
        <v>0.312</v>
      </c>
      <c r="M78" s="139">
        <v>0.30199999999999999</v>
      </c>
      <c r="N78" s="139">
        <v>0.30199999999999999</v>
      </c>
      <c r="O78" s="139">
        <f t="shared" si="25"/>
        <v>0.30199999999999999</v>
      </c>
      <c r="P78" s="154">
        <v>90</v>
      </c>
      <c r="Q78" s="668">
        <v>89.23</v>
      </c>
      <c r="R78" s="144">
        <v>2712.5</v>
      </c>
      <c r="S78" s="80">
        <v>120</v>
      </c>
      <c r="U78" s="599">
        <v>130</v>
      </c>
      <c r="V78" s="6">
        <v>1.1023000000000001</v>
      </c>
      <c r="Y78" s="163">
        <v>30</v>
      </c>
      <c r="Z78" s="143">
        <f>IF(IF(D78="UNTUCA",IF(+((W78-3)*1.5+(X78-3)*3.1)&gt;0,+((W78-3)*1.5+(X78-3)*3.1),0),IF(+((W78-3)*1.5+(X78-3)*3.1)&gt;0,+((W78-3)*1.5+(X78-3)*3.1),0))&lt;30,30,IF(D78="UNTUCA",IF(+((W78-3)*1.5+(X78-3)*3.1)&gt;0,+((W78-3)*1.5+(X78-3)*3.1),0),IF(+((W78-3)*1.5+(X78-3)*3.1)&gt;0,+((W78-3)*1.5+(X78-3)*3.1),0)))</f>
        <v>30</v>
      </c>
      <c r="AA78" s="144">
        <f t="shared" si="29"/>
        <v>60</v>
      </c>
      <c r="AB78" s="145">
        <f t="shared" si="26"/>
        <v>575.31627405000017</v>
      </c>
      <c r="AC78" s="145">
        <f>+(S78-T78)*V78-'data 1'!$F$4</f>
        <v>52.27600000000001</v>
      </c>
      <c r="AD78" s="145">
        <f t="shared" si="30"/>
        <v>-6.8388874553999646</v>
      </c>
      <c r="AE78" s="145">
        <f t="shared" si="36"/>
        <v>-3.8619999999999948</v>
      </c>
      <c r="AF78" s="145">
        <f t="shared" si="31"/>
        <v>25.40101263925003</v>
      </c>
      <c r="AG78" s="925">
        <f t="shared" si="24"/>
        <v>66.976125183850087</v>
      </c>
      <c r="AH78" s="146">
        <f t="shared" si="32"/>
        <v>8.1101698956409578</v>
      </c>
      <c r="AI78" s="156">
        <f t="shared" si="33"/>
        <v>19.640171166720002</v>
      </c>
      <c r="AJ78" s="156">
        <f t="shared" si="34"/>
        <v>7.9179711952804634</v>
      </c>
      <c r="AK78" s="156"/>
      <c r="AL78" s="148">
        <f t="shared" si="35"/>
        <v>488.83473173480417</v>
      </c>
      <c r="AM78"/>
      <c r="AO78" s="762"/>
    </row>
    <row r="79" spans="1:41" s="677" customFormat="1" ht="15.75" customHeight="1">
      <c r="A79" s="854" t="s">
        <v>205</v>
      </c>
      <c r="B79" s="135">
        <v>45593</v>
      </c>
      <c r="C79" s="717">
        <v>45585</v>
      </c>
      <c r="D79" s="677" t="s">
        <v>93</v>
      </c>
      <c r="E79" s="748">
        <v>20169040237</v>
      </c>
      <c r="F79" s="749" t="s">
        <v>980</v>
      </c>
      <c r="G79" s="713">
        <v>26</v>
      </c>
      <c r="H79" s="677" t="s">
        <v>69</v>
      </c>
      <c r="I79" s="718">
        <v>2.42</v>
      </c>
      <c r="J79" s="718">
        <v>1.2</v>
      </c>
      <c r="K79" s="138">
        <f t="shared" si="28"/>
        <v>2.3909599999999998</v>
      </c>
      <c r="L79" s="714">
        <v>0.61</v>
      </c>
      <c r="M79" s="714">
        <v>0.58599999999999997</v>
      </c>
      <c r="N79" s="714">
        <v>0.72199999999999998</v>
      </c>
      <c r="O79" s="714">
        <f t="shared" si="25"/>
        <v>0.65400000000000003</v>
      </c>
      <c r="P79" s="154">
        <v>90</v>
      </c>
      <c r="Q79" s="750">
        <v>89.12</v>
      </c>
      <c r="R79" s="144">
        <v>2712.5</v>
      </c>
      <c r="S79" s="713">
        <v>150</v>
      </c>
      <c r="U79" s="741">
        <v>130</v>
      </c>
      <c r="V79" s="715">
        <v>1.1023000000000001</v>
      </c>
      <c r="Y79" s="751">
        <v>60</v>
      </c>
      <c r="Z79" s="143">
        <f>IF(IF(D79="UNTUCA",IF(+((W79-3)*1.5+(X79-3)*3.1)&gt;0,+((W79-3)*1.5+(X79-3)*3.1),0),IF(+((W79-3)*1.5+(X79-3)*3.1)&gt;0,+((W79-3)*1.5+(X79-3)*3.1),0))&lt;30,30,IF(D79="UNTUCA",IF(+((W79-3)*1.5+(X79-3)*3.1)&gt;0,+((W79-3)*1.5+(X79-3)*3.1),0),IF(+((W79-3)*1.5+(X79-3)*3.1)&gt;0,+((W79-3)*1.5+(X79-3)*3.1),0)))</f>
        <v>30</v>
      </c>
      <c r="AA79" s="144">
        <f t="shared" si="29"/>
        <v>90</v>
      </c>
      <c r="AB79" s="145">
        <f t="shared" si="26"/>
        <v>1411.0095868500002</v>
      </c>
      <c r="AC79" s="145">
        <f>+(S79-T79)*V79-'data 1'!$F$4</f>
        <v>85.344999999999999</v>
      </c>
      <c r="AD79" s="145">
        <f t="shared" si="30"/>
        <v>-15.281030577999921</v>
      </c>
      <c r="AE79" s="145">
        <f t="shared" si="36"/>
        <v>29.207000000000008</v>
      </c>
      <c r="AF79" s="145">
        <f t="shared" si="31"/>
        <v>-111.6266758288001</v>
      </c>
      <c r="AG79" s="925">
        <f t="shared" si="24"/>
        <v>-12.355706406800024</v>
      </c>
      <c r="AH79" s="146">
        <f t="shared" si="32"/>
        <v>44.564228531303606</v>
      </c>
      <c r="AI79" s="156">
        <f t="shared" si="33"/>
        <v>38.351715430399999</v>
      </c>
      <c r="AJ79" s="156">
        <f t="shared" si="34"/>
        <v>48.250479945119679</v>
      </c>
      <c r="AK79" s="156"/>
      <c r="AL79" s="716">
        <f t="shared" si="35"/>
        <v>3373.6674817748763</v>
      </c>
      <c r="AN79" s="763"/>
      <c r="AO79" s="763"/>
    </row>
    <row r="80" spans="1:41" s="677" customFormat="1" ht="15.75" customHeight="1">
      <c r="A80" s="854" t="s">
        <v>939</v>
      </c>
      <c r="B80" s="135">
        <v>45593</v>
      </c>
      <c r="C80" s="717">
        <v>45585</v>
      </c>
      <c r="D80" s="677" t="s">
        <v>93</v>
      </c>
      <c r="E80" s="748">
        <v>20169040237</v>
      </c>
      <c r="F80" s="749" t="s">
        <v>980</v>
      </c>
      <c r="G80" s="713">
        <v>116</v>
      </c>
      <c r="H80" s="677" t="s">
        <v>69</v>
      </c>
      <c r="I80" s="718">
        <v>10.9</v>
      </c>
      <c r="J80" s="718">
        <v>1.1499999999999999</v>
      </c>
      <c r="K80" s="138">
        <f t="shared" si="28"/>
        <v>10.774650000000001</v>
      </c>
      <c r="L80" s="714">
        <v>0.30499999999999999</v>
      </c>
      <c r="M80" s="714">
        <v>0.30099999999999999</v>
      </c>
      <c r="N80" s="714">
        <v>0.30099999999999999</v>
      </c>
      <c r="O80" s="714">
        <f t="shared" si="25"/>
        <v>0.30099999999999999</v>
      </c>
      <c r="P80" s="154">
        <v>90</v>
      </c>
      <c r="Q80" s="750">
        <v>89.52</v>
      </c>
      <c r="R80" s="144">
        <v>2712.5</v>
      </c>
      <c r="S80" s="713">
        <v>120</v>
      </c>
      <c r="U80" s="741">
        <v>130</v>
      </c>
      <c r="V80" s="715">
        <v>1.1023000000000001</v>
      </c>
      <c r="Y80" s="751">
        <v>30</v>
      </c>
      <c r="Z80" s="143">
        <f>IF(IF(D80="UNTUCA",IF(+((W80-3)*1.5+(X80-3)*3.1)&gt;0,+((W80-3)*1.5+(X80-3)*3.1),0),IF(+((W80-3)*1.5+(X80-3)*3.1)&gt;0,+((W80-3)*1.5+(X80-3)*3.1),0))&lt;30,30,IF(D80="UNTUCA",IF(+((W80-3)*1.5+(X80-3)*3.1)&gt;0,+((W80-3)*1.5+(X80-3)*3.1),0),IF(+((W80-3)*1.5+(X80-3)*3.1)&gt;0,+((W80-3)*1.5+(X80-3)*3.1),0)))</f>
        <v>30</v>
      </c>
      <c r="AA80" s="144">
        <f t="shared" si="29"/>
        <v>60</v>
      </c>
      <c r="AB80" s="145">
        <f t="shared" si="26"/>
        <v>572.754253275</v>
      </c>
      <c r="AC80" s="145">
        <f>+(S80-T80)*V80-'data 1'!$F$4</f>
        <v>52.27600000000001</v>
      </c>
      <c r="AD80" s="145">
        <f t="shared" si="30"/>
        <v>-4.1675537940000353</v>
      </c>
      <c r="AE80" s="145">
        <f t="shared" si="36"/>
        <v>-3.8619999999999948</v>
      </c>
      <c r="AF80" s="145">
        <f t="shared" si="31"/>
        <v>10.193426656800009</v>
      </c>
      <c r="AG80" s="925">
        <f t="shared" si="24"/>
        <v>54.439872862799987</v>
      </c>
      <c r="AH80" s="146">
        <f t="shared" si="32"/>
        <v>100.86306325437928</v>
      </c>
      <c r="AI80" s="156">
        <f t="shared" si="33"/>
        <v>19.261925299200001</v>
      </c>
      <c r="AJ80" s="156">
        <f t="shared" si="34"/>
        <v>100.07399696600942</v>
      </c>
      <c r="AK80" s="156"/>
      <c r="AL80" s="716">
        <f t="shared" si="35"/>
        <v>6171.2266150494797</v>
      </c>
      <c r="AN80" s="763"/>
      <c r="AO80" s="763"/>
    </row>
    <row r="81" spans="1:43" ht="15.75" customHeight="1">
      <c r="A81" s="854" t="s">
        <v>942</v>
      </c>
      <c r="B81" s="135">
        <v>45588</v>
      </c>
      <c r="C81" s="595">
        <v>45585</v>
      </c>
      <c r="D81" t="s">
        <v>93</v>
      </c>
      <c r="E81" s="79">
        <v>20169040237</v>
      </c>
      <c r="F81" s="666" t="s">
        <v>981</v>
      </c>
      <c r="G81" s="80">
        <v>93</v>
      </c>
      <c r="H81" t="s">
        <v>69</v>
      </c>
      <c r="I81" s="596">
        <v>7.46</v>
      </c>
      <c r="J81" s="596">
        <v>1.05</v>
      </c>
      <c r="K81" s="138">
        <f t="shared" si="28"/>
        <v>7.3816699999999997</v>
      </c>
      <c r="L81" s="139">
        <v>0.70199999999999996</v>
      </c>
      <c r="M81" s="139">
        <v>0.67300000000000004</v>
      </c>
      <c r="N81" s="139">
        <v>0.67300000000000004</v>
      </c>
      <c r="O81" s="139">
        <f t="shared" si="25"/>
        <v>0.67300000000000004</v>
      </c>
      <c r="P81" s="652">
        <v>90</v>
      </c>
      <c r="Q81" s="667">
        <v>89.35</v>
      </c>
      <c r="R81" s="144">
        <v>2712.5</v>
      </c>
      <c r="S81" s="80">
        <v>140</v>
      </c>
      <c r="U81" s="599">
        <v>130</v>
      </c>
      <c r="V81" s="6">
        <v>1.1023000000000001</v>
      </c>
      <c r="Y81" s="163">
        <v>30</v>
      </c>
      <c r="Z81" s="143">
        <f>IF(IF(D81="UNTUCA",IF(+((W81-3)*1.5+(X81-3)*3.1)&gt;0,+((W81-3)*1.5+(X81-3)*3.1),0),IF(+((W81-3)*1.5+(X81-3)*3.1)&gt;0,+((W81-3)*1.5+(X81-3)*3.1),0))&lt;30,30,IF(D81="UNTUCA",IF(+((W81-3)*1.5+(X81-3)*3.1)&gt;0,+((W81-3)*1.5+(X81-3)*3.1),0),IF(+((W81-3)*1.5+(X81-3)*3.1)&gt;0,+((W81-3)*1.5+(X81-3)*3.1),0)))</f>
        <v>30</v>
      </c>
      <c r="AA81" s="144">
        <f t="shared" si="29"/>
        <v>60</v>
      </c>
      <c r="AB81" s="145">
        <f t="shared" si="26"/>
        <v>1503.7799815750004</v>
      </c>
      <c r="AC81" s="145">
        <f>+(S81-T81)*V81-'data 1'!$F$4</f>
        <v>74.322000000000003</v>
      </c>
      <c r="AD81" s="145">
        <f t="shared" si="30"/>
        <v>-12.989445329250115</v>
      </c>
      <c r="AE81" s="145">
        <f t="shared" si="36"/>
        <v>-3.8619999999999948</v>
      </c>
      <c r="AF81" s="145">
        <f t="shared" si="31"/>
        <v>73.762001457124782</v>
      </c>
      <c r="AG81" s="925">
        <f t="shared" si="24"/>
        <v>131.23255612787466</v>
      </c>
      <c r="AH81" s="146">
        <f t="shared" si="32"/>
        <v>158.74328536585273</v>
      </c>
      <c r="AI81" s="156">
        <f t="shared" si="33"/>
        <v>44.249814086400001</v>
      </c>
      <c r="AJ81" s="156">
        <f t="shared" si="34"/>
        <v>153.29262774054624</v>
      </c>
      <c r="AK81" s="156"/>
      <c r="AL81" s="148">
        <f t="shared" si="35"/>
        <v>11100.407576592734</v>
      </c>
      <c r="AM81"/>
      <c r="AO81" s="762"/>
    </row>
    <row r="82" spans="1:43" s="762" customFormat="1" ht="15.75" customHeight="1">
      <c r="A82"/>
      <c r="B82" s="595"/>
      <c r="C82" s="595"/>
      <c r="D82"/>
      <c r="E82"/>
      <c r="F82"/>
      <c r="G82" s="80"/>
      <c r="H82"/>
      <c r="I82"/>
      <c r="J82"/>
      <c r="K82"/>
      <c r="L82" s="139"/>
      <c r="M82" s="139"/>
      <c r="N82" s="159"/>
      <c r="O82"/>
      <c r="P82" s="629"/>
      <c r="Q82" s="760"/>
      <c r="R82"/>
      <c r="S82" s="80"/>
      <c r="T82"/>
      <c r="U82"/>
      <c r="V82"/>
      <c r="W82"/>
      <c r="X82"/>
      <c r="Y82"/>
      <c r="Z82"/>
      <c r="AA82"/>
      <c r="AB82"/>
      <c r="AC82"/>
      <c r="AD82"/>
      <c r="AE82"/>
      <c r="AF82"/>
      <c r="AG82" s="926"/>
      <c r="AH82" s="80"/>
      <c r="AI82" s="80"/>
      <c r="AJ82" s="80"/>
      <c r="AK82"/>
      <c r="AL82" s="80"/>
      <c r="AO82"/>
      <c r="AP82"/>
      <c r="AQ82"/>
    </row>
    <row r="83" spans="1:43" s="762" customFormat="1" ht="15.75" customHeight="1">
      <c r="A83"/>
      <c r="B83" s="595"/>
      <c r="C83" s="595"/>
      <c r="D83"/>
      <c r="E83"/>
      <c r="F83"/>
      <c r="G83" s="80"/>
      <c r="H83"/>
      <c r="I83"/>
      <c r="J83"/>
      <c r="K83"/>
      <c r="L83" s="139"/>
      <c r="M83" s="139"/>
      <c r="N83" s="159"/>
      <c r="O83"/>
      <c r="P83" s="629"/>
      <c r="Q83" s="760"/>
      <c r="R83"/>
      <c r="S83" s="80"/>
      <c r="T83"/>
      <c r="U83"/>
      <c r="V83"/>
      <c r="W83"/>
      <c r="X83"/>
      <c r="Y83"/>
      <c r="Z83"/>
      <c r="AA83"/>
      <c r="AB83"/>
      <c r="AC83"/>
      <c r="AD83"/>
      <c r="AE83"/>
      <c r="AF83"/>
      <c r="AG83" s="926"/>
      <c r="AH83" s="80"/>
      <c r="AI83" s="80"/>
      <c r="AJ83" s="80"/>
      <c r="AK83"/>
      <c r="AL83" s="80"/>
      <c r="AO83"/>
      <c r="AP83"/>
      <c r="AQ83"/>
    </row>
    <row r="84" spans="1:43" s="762" customFormat="1" ht="15.75" customHeight="1">
      <c r="A84"/>
      <c r="B84" s="595"/>
      <c r="C84" s="595"/>
      <c r="D84"/>
      <c r="E84"/>
      <c r="F84"/>
      <c r="G84" s="80"/>
      <c r="H84"/>
      <c r="I84"/>
      <c r="J84"/>
      <c r="K84"/>
      <c r="L84" s="139"/>
      <c r="M84" s="139"/>
      <c r="N84" s="159"/>
      <c r="O84"/>
      <c r="P84" s="629"/>
      <c r="Q84" s="760"/>
      <c r="R84"/>
      <c r="S84" s="80"/>
      <c r="T84"/>
      <c r="U84"/>
      <c r="V84"/>
      <c r="W84"/>
      <c r="X84"/>
      <c r="Y84"/>
      <c r="Z84"/>
      <c r="AA84"/>
      <c r="AB84"/>
      <c r="AC84"/>
      <c r="AD84"/>
      <c r="AE84"/>
      <c r="AF84"/>
      <c r="AG84" s="926"/>
      <c r="AH84" s="80"/>
      <c r="AI84" s="80"/>
      <c r="AJ84" s="80"/>
      <c r="AK84"/>
      <c r="AL84" s="80"/>
      <c r="AO84"/>
      <c r="AP84"/>
      <c r="AQ84"/>
    </row>
    <row r="85" spans="1:43" s="762" customFormat="1" ht="15.75" customHeight="1">
      <c r="A85"/>
      <c r="B85" s="595"/>
      <c r="C85" s="595"/>
      <c r="D85"/>
      <c r="E85"/>
      <c r="F85"/>
      <c r="G85" s="80"/>
      <c r="H85"/>
      <c r="I85"/>
      <c r="J85"/>
      <c r="K85"/>
      <c r="L85" s="139"/>
      <c r="M85" s="139"/>
      <c r="N85" s="159"/>
      <c r="O85"/>
      <c r="P85" s="629"/>
      <c r="Q85" s="760"/>
      <c r="R85"/>
      <c r="S85" s="80"/>
      <c r="T85"/>
      <c r="U85"/>
      <c r="V85"/>
      <c r="W85"/>
      <c r="X85"/>
      <c r="Y85"/>
      <c r="Z85"/>
      <c r="AA85"/>
      <c r="AB85"/>
      <c r="AC85"/>
      <c r="AD85"/>
      <c r="AE85"/>
      <c r="AF85"/>
      <c r="AG85" s="926"/>
      <c r="AH85" s="80"/>
      <c r="AI85" s="80"/>
      <c r="AJ85" s="80"/>
      <c r="AK85"/>
      <c r="AL85" s="80"/>
      <c r="AO85"/>
      <c r="AP85"/>
      <c r="AQ85"/>
    </row>
    <row r="86" spans="1:43" s="762" customFormat="1" ht="15.75" customHeight="1">
      <c r="A86"/>
      <c r="B86" s="595"/>
      <c r="C86" s="595"/>
      <c r="D86"/>
      <c r="E86"/>
      <c r="F86"/>
      <c r="G86" s="80"/>
      <c r="H86"/>
      <c r="I86"/>
      <c r="J86"/>
      <c r="K86"/>
      <c r="L86" s="139"/>
      <c r="M86" s="139"/>
      <c r="N86" s="159"/>
      <c r="O86"/>
      <c r="P86" s="629"/>
      <c r="Q86" s="760"/>
      <c r="R86"/>
      <c r="S86" s="80"/>
      <c r="T86"/>
      <c r="U86"/>
      <c r="V86"/>
      <c r="W86"/>
      <c r="X86"/>
      <c r="Y86"/>
      <c r="Z86"/>
      <c r="AA86"/>
      <c r="AB86"/>
      <c r="AC86"/>
      <c r="AD86"/>
      <c r="AE86"/>
      <c r="AF86"/>
      <c r="AG86" s="926"/>
      <c r="AH86" s="80"/>
      <c r="AI86" s="80"/>
      <c r="AJ86" s="80"/>
      <c r="AK86"/>
      <c r="AL86" s="80"/>
      <c r="AO86"/>
      <c r="AP86"/>
      <c r="AQ86"/>
    </row>
    <row r="87" spans="1:43" s="762" customFormat="1" ht="15.75" customHeight="1">
      <c r="A87"/>
      <c r="B87" s="595"/>
      <c r="C87" s="595"/>
      <c r="D87"/>
      <c r="E87"/>
      <c r="F87"/>
      <c r="G87" s="80"/>
      <c r="H87"/>
      <c r="I87"/>
      <c r="J87"/>
      <c r="K87"/>
      <c r="L87" s="139"/>
      <c r="M87" s="139"/>
      <c r="N87" s="159"/>
      <c r="O87"/>
      <c r="P87" s="629"/>
      <c r="Q87" s="760"/>
      <c r="R87"/>
      <c r="S87" s="80"/>
      <c r="T87"/>
      <c r="U87"/>
      <c r="V87"/>
      <c r="W87"/>
      <c r="X87"/>
      <c r="Y87"/>
      <c r="Z87"/>
      <c r="AA87"/>
      <c r="AB87"/>
      <c r="AC87"/>
      <c r="AD87"/>
      <c r="AE87"/>
      <c r="AF87"/>
      <c r="AG87" s="926"/>
      <c r="AH87" s="80"/>
      <c r="AI87" s="80"/>
      <c r="AJ87" s="80"/>
      <c r="AK87"/>
      <c r="AL87" s="80"/>
      <c r="AO87"/>
      <c r="AP87"/>
      <c r="AQ87"/>
    </row>
    <row r="88" spans="1:43" s="762" customFormat="1" ht="15.75" customHeight="1">
      <c r="A88"/>
      <c r="B88" s="595"/>
      <c r="C88" s="595"/>
      <c r="D88"/>
      <c r="E88"/>
      <c r="F88"/>
      <c r="G88" s="80"/>
      <c r="H88"/>
      <c r="I88"/>
      <c r="J88"/>
      <c r="K88"/>
      <c r="L88" s="139"/>
      <c r="M88" s="139"/>
      <c r="N88" s="159"/>
      <c r="O88"/>
      <c r="P88" s="629"/>
      <c r="Q88" s="760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 s="926"/>
      <c r="AH88" s="80"/>
      <c r="AI88" s="80"/>
      <c r="AJ88" s="80"/>
      <c r="AK88"/>
      <c r="AL88" s="80"/>
      <c r="AO88"/>
      <c r="AP88"/>
      <c r="AQ88"/>
    </row>
    <row r="89" spans="1:43" s="762" customFormat="1" ht="15.75" customHeight="1">
      <c r="A89"/>
      <c r="B89" s="595"/>
      <c r="C89" s="595"/>
      <c r="D89"/>
      <c r="E89"/>
      <c r="F89"/>
      <c r="G89" s="80"/>
      <c r="H89"/>
      <c r="I89"/>
      <c r="J89"/>
      <c r="K89"/>
      <c r="L89" s="139"/>
      <c r="M89" s="139"/>
      <c r="N89" s="159"/>
      <c r="O89"/>
      <c r="P89" s="629"/>
      <c r="Q89" s="760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 s="926"/>
      <c r="AH89" s="80"/>
      <c r="AI89" s="80"/>
      <c r="AJ89" s="80"/>
      <c r="AK89"/>
      <c r="AL89" s="80"/>
      <c r="AO89"/>
      <c r="AP89"/>
      <c r="AQ89"/>
    </row>
    <row r="90" spans="1:43" s="762" customFormat="1" ht="15.75" customHeight="1">
      <c r="A90"/>
      <c r="B90" s="595"/>
      <c r="C90" s="595"/>
      <c r="D90"/>
      <c r="E90"/>
      <c r="F90"/>
      <c r="G90" s="80"/>
      <c r="H90"/>
      <c r="I90"/>
      <c r="J90"/>
      <c r="K90"/>
      <c r="L90" s="139"/>
      <c r="M90" s="139"/>
      <c r="N90" s="159"/>
      <c r="O90"/>
      <c r="P90" s="629"/>
      <c r="Q90" s="76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 s="926"/>
      <c r="AH90" s="80"/>
      <c r="AI90" s="80"/>
      <c r="AJ90" s="80"/>
      <c r="AK90"/>
      <c r="AL90" s="80"/>
      <c r="AO90"/>
      <c r="AP90"/>
      <c r="AQ90"/>
    </row>
    <row r="91" spans="1:43" s="762" customFormat="1" ht="15.75" customHeight="1">
      <c r="A91"/>
      <c r="B91" s="595"/>
      <c r="C91" s="595"/>
      <c r="D91"/>
      <c r="E91"/>
      <c r="F91"/>
      <c r="G91" s="80"/>
      <c r="H91"/>
      <c r="I91"/>
      <c r="J91"/>
      <c r="K91"/>
      <c r="L91" s="139"/>
      <c r="M91" s="139"/>
      <c r="N91" s="159"/>
      <c r="O91"/>
      <c r="P91" s="629"/>
      <c r="Q91" s="760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 s="926"/>
      <c r="AH91" s="80"/>
      <c r="AI91" s="80"/>
      <c r="AJ91" s="80"/>
      <c r="AK91"/>
      <c r="AL91" s="80"/>
      <c r="AO91"/>
      <c r="AP91"/>
      <c r="AQ91"/>
    </row>
    <row r="92" spans="1:43" s="762" customFormat="1" ht="15.75" customHeight="1">
      <c r="A92"/>
      <c r="B92" s="595"/>
      <c r="C92" s="595"/>
      <c r="D92"/>
      <c r="E92"/>
      <c r="F92"/>
      <c r="G92" s="80"/>
      <c r="H92"/>
      <c r="I92"/>
      <c r="J92"/>
      <c r="K92"/>
      <c r="L92" s="139"/>
      <c r="M92" s="139"/>
      <c r="N92" s="159"/>
      <c r="O92"/>
      <c r="P92" s="629"/>
      <c r="Q92" s="760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 s="926"/>
      <c r="AH92" s="80"/>
      <c r="AI92" s="80"/>
      <c r="AJ92" s="80"/>
      <c r="AK92"/>
      <c r="AL92" s="80"/>
      <c r="AO92"/>
      <c r="AP92"/>
      <c r="AQ92"/>
    </row>
    <row r="93" spans="1:43" s="762" customFormat="1" ht="15.75" customHeight="1">
      <c r="A93"/>
      <c r="B93" s="595"/>
      <c r="C93" s="595"/>
      <c r="D93"/>
      <c r="E93"/>
      <c r="F93"/>
      <c r="G93" s="80"/>
      <c r="H93"/>
      <c r="I93"/>
      <c r="J93"/>
      <c r="K93"/>
      <c r="L93" s="139"/>
      <c r="M93" s="139"/>
      <c r="N93" s="159"/>
      <c r="O93"/>
      <c r="P93" s="629"/>
      <c r="Q93" s="760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 s="926"/>
      <c r="AH93" s="80"/>
      <c r="AI93" s="80"/>
      <c r="AJ93" s="80"/>
      <c r="AK93"/>
      <c r="AL93" s="80"/>
      <c r="AO93"/>
      <c r="AP93"/>
      <c r="AQ93"/>
    </row>
    <row r="94" spans="1:43" s="762" customFormat="1" ht="15.75" customHeight="1">
      <c r="A94"/>
      <c r="B94" s="595"/>
      <c r="C94" s="595"/>
      <c r="D94"/>
      <c r="E94"/>
      <c r="F94"/>
      <c r="G94" s="80"/>
      <c r="H94"/>
      <c r="I94"/>
      <c r="J94"/>
      <c r="K94"/>
      <c r="L94" s="139"/>
      <c r="M94" s="139"/>
      <c r="N94" s="159"/>
      <c r="O94"/>
      <c r="P94" s="629"/>
      <c r="Q94" s="760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 s="926"/>
      <c r="AH94" s="80"/>
      <c r="AI94" s="80"/>
      <c r="AJ94" s="80"/>
      <c r="AK94"/>
      <c r="AL94" s="80"/>
      <c r="AO94"/>
      <c r="AP94"/>
      <c r="AQ94"/>
    </row>
    <row r="95" spans="1:43" s="762" customFormat="1" ht="15.75" customHeight="1">
      <c r="A95"/>
      <c r="B95" s="595"/>
      <c r="C95" s="595"/>
      <c r="D95"/>
      <c r="E95"/>
      <c r="F95"/>
      <c r="G95" s="80"/>
      <c r="H95"/>
      <c r="I95"/>
      <c r="J95"/>
      <c r="K95"/>
      <c r="L95" s="139"/>
      <c r="M95" s="139"/>
      <c r="N95" s="159"/>
      <c r="O95"/>
      <c r="P95" s="629"/>
      <c r="Q95" s="760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 s="926"/>
      <c r="AH95" s="80"/>
      <c r="AI95" s="80"/>
      <c r="AJ95" s="80"/>
      <c r="AK95"/>
      <c r="AL95" s="80"/>
      <c r="AO95"/>
      <c r="AP95"/>
      <c r="AQ95"/>
    </row>
    <row r="96" spans="1:43" s="762" customFormat="1" ht="15.75" customHeight="1">
      <c r="A96"/>
      <c r="B96" s="595"/>
      <c r="C96" s="595"/>
      <c r="D96"/>
      <c r="E96"/>
      <c r="F96"/>
      <c r="G96" s="80"/>
      <c r="H96"/>
      <c r="I96"/>
      <c r="J96"/>
      <c r="K96"/>
      <c r="L96" s="139"/>
      <c r="M96" s="139"/>
      <c r="N96" s="159"/>
      <c r="O96"/>
      <c r="P96" s="629"/>
      <c r="Q96" s="760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 s="926"/>
      <c r="AH96" s="80"/>
      <c r="AI96" s="80"/>
      <c r="AJ96" s="80"/>
      <c r="AK96"/>
      <c r="AL96" s="80"/>
      <c r="AO96"/>
      <c r="AP96"/>
      <c r="AQ96"/>
    </row>
    <row r="97" spans="1:43" s="762" customFormat="1" ht="15.75" customHeight="1">
      <c r="A97"/>
      <c r="B97" s="595"/>
      <c r="C97" s="595"/>
      <c r="D97"/>
      <c r="E97"/>
      <c r="F97"/>
      <c r="G97" s="80"/>
      <c r="H97"/>
      <c r="I97"/>
      <c r="J97"/>
      <c r="K97"/>
      <c r="L97" s="139"/>
      <c r="M97" s="139"/>
      <c r="N97" s="159"/>
      <c r="O97"/>
      <c r="P97" s="629"/>
      <c r="Q97" s="760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 s="926"/>
      <c r="AH97" s="80"/>
      <c r="AI97" s="80"/>
      <c r="AJ97" s="80"/>
      <c r="AK97"/>
      <c r="AL97" s="80"/>
      <c r="AO97"/>
      <c r="AP97"/>
      <c r="AQ97"/>
    </row>
    <row r="98" spans="1:43" s="762" customFormat="1" ht="15.75" customHeight="1">
      <c r="A98"/>
      <c r="B98" s="595"/>
      <c r="C98" s="595"/>
      <c r="D98"/>
      <c r="E98"/>
      <c r="F98"/>
      <c r="G98" s="80"/>
      <c r="H98"/>
      <c r="I98"/>
      <c r="J98"/>
      <c r="K98"/>
      <c r="L98" s="139"/>
      <c r="M98" s="139"/>
      <c r="N98" s="159"/>
      <c r="O98"/>
      <c r="P98" s="629"/>
      <c r="Q98" s="760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 s="926"/>
      <c r="AH98" s="80"/>
      <c r="AI98" s="80"/>
      <c r="AJ98" s="80"/>
      <c r="AK98"/>
      <c r="AL98" s="80"/>
      <c r="AO98"/>
      <c r="AP98"/>
      <c r="AQ98"/>
    </row>
    <row r="99" spans="1:43" s="762" customFormat="1" ht="15.75" customHeight="1">
      <c r="A99"/>
      <c r="B99" s="595"/>
      <c r="C99" s="595"/>
      <c r="D99"/>
      <c r="E99"/>
      <c r="F99"/>
      <c r="G99" s="80"/>
      <c r="H99"/>
      <c r="I99"/>
      <c r="J99"/>
      <c r="K99"/>
      <c r="L99" s="139"/>
      <c r="M99" s="139"/>
      <c r="N99" s="159"/>
      <c r="O99"/>
      <c r="P99" s="629"/>
      <c r="Q99" s="760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 s="926"/>
      <c r="AH99" s="80"/>
      <c r="AI99" s="80"/>
      <c r="AJ99" s="80"/>
      <c r="AK99"/>
      <c r="AL99" s="80"/>
      <c r="AO99"/>
      <c r="AP99"/>
      <c r="AQ99"/>
    </row>
    <row r="100" spans="1:43" s="762" customFormat="1" ht="15.75" customHeight="1">
      <c r="A100"/>
      <c r="B100" s="595"/>
      <c r="C100" s="595"/>
      <c r="D100"/>
      <c r="E100"/>
      <c r="F100"/>
      <c r="G100" s="80"/>
      <c r="H100"/>
      <c r="I100"/>
      <c r="J100"/>
      <c r="K100"/>
      <c r="L100" s="139"/>
      <c r="M100" s="139"/>
      <c r="N100" s="159"/>
      <c r="O100"/>
      <c r="P100" s="629"/>
      <c r="Q100" s="76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 s="926"/>
      <c r="AH100" s="80"/>
      <c r="AI100" s="80"/>
      <c r="AJ100" s="80"/>
      <c r="AK100"/>
      <c r="AL100" s="80"/>
      <c r="AO100"/>
      <c r="AP100"/>
      <c r="AQ100"/>
    </row>
    <row r="101" spans="1:43" s="762" customFormat="1" ht="15.75" customHeight="1">
      <c r="A101"/>
      <c r="B101" s="595"/>
      <c r="C101" s="595"/>
      <c r="D101"/>
      <c r="E101"/>
      <c r="F101"/>
      <c r="G101" s="80"/>
      <c r="H101"/>
      <c r="I101"/>
      <c r="J101"/>
      <c r="K101"/>
      <c r="L101" s="139"/>
      <c r="M101" s="139"/>
      <c r="N101" s="159"/>
      <c r="O101"/>
      <c r="P101" s="629"/>
      <c r="Q101" s="760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 s="926"/>
      <c r="AH101" s="80"/>
      <c r="AI101" s="80"/>
      <c r="AJ101" s="80"/>
      <c r="AK101"/>
      <c r="AL101" s="80"/>
      <c r="AO101"/>
      <c r="AP101"/>
      <c r="AQ101"/>
    </row>
    <row r="102" spans="1:43" s="762" customFormat="1" ht="15.75" customHeight="1">
      <c r="A102"/>
      <c r="B102" s="595"/>
      <c r="C102" s="595"/>
      <c r="D102"/>
      <c r="E102"/>
      <c r="F102"/>
      <c r="G102" s="80"/>
      <c r="H102"/>
      <c r="I102"/>
      <c r="J102"/>
      <c r="K102"/>
      <c r="L102" s="139"/>
      <c r="M102" s="139"/>
      <c r="N102" s="159"/>
      <c r="O102"/>
      <c r="P102" s="629"/>
      <c r="Q102" s="760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 s="926"/>
      <c r="AH102" s="80"/>
      <c r="AI102" s="80"/>
      <c r="AJ102" s="80"/>
      <c r="AK102"/>
      <c r="AL102" s="80"/>
      <c r="AO102"/>
      <c r="AP102"/>
      <c r="AQ102"/>
    </row>
    <row r="103" spans="1:43" s="762" customFormat="1" ht="15.75" customHeight="1">
      <c r="A103"/>
      <c r="B103" s="595"/>
      <c r="C103" s="595"/>
      <c r="D103"/>
      <c r="E103"/>
      <c r="F103"/>
      <c r="G103" s="80"/>
      <c r="H103"/>
      <c r="I103"/>
      <c r="J103"/>
      <c r="K103"/>
      <c r="L103" s="139"/>
      <c r="M103" s="139"/>
      <c r="N103" s="159"/>
      <c r="O103"/>
      <c r="P103" s="629"/>
      <c r="Q103" s="760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 s="926"/>
      <c r="AH103" s="80"/>
      <c r="AI103" s="80"/>
      <c r="AJ103" s="80"/>
      <c r="AK103"/>
      <c r="AL103" s="80"/>
      <c r="AO103"/>
      <c r="AP103"/>
      <c r="AQ103"/>
    </row>
    <row r="104" spans="1:43" s="762" customFormat="1" ht="15.75" customHeight="1">
      <c r="A104"/>
      <c r="B104" s="595"/>
      <c r="C104" s="595"/>
      <c r="D104"/>
      <c r="E104"/>
      <c r="F104"/>
      <c r="G104" s="80"/>
      <c r="H104"/>
      <c r="I104"/>
      <c r="J104"/>
      <c r="K104"/>
      <c r="L104"/>
      <c r="M104" s="139"/>
      <c r="N104" s="159"/>
      <c r="O104"/>
      <c r="P104" s="629"/>
      <c r="Q104" s="760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 s="926"/>
      <c r="AH104" s="80"/>
      <c r="AI104" s="80"/>
      <c r="AJ104" s="80"/>
      <c r="AK104"/>
      <c r="AL104" s="80"/>
      <c r="AO104"/>
      <c r="AP104"/>
      <c r="AQ104"/>
    </row>
    <row r="105" spans="1:43" s="762" customFormat="1" ht="15.75" customHeight="1">
      <c r="A105"/>
      <c r="B105" s="595"/>
      <c r="C105" s="595"/>
      <c r="D105"/>
      <c r="E105"/>
      <c r="F105"/>
      <c r="G105" s="80"/>
      <c r="H105"/>
      <c r="I105"/>
      <c r="J105"/>
      <c r="K105"/>
      <c r="L105"/>
      <c r="M105" s="139"/>
      <c r="N105" s="159"/>
      <c r="O105"/>
      <c r="P105" s="629"/>
      <c r="Q105" s="760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 s="926"/>
      <c r="AH105" s="80"/>
      <c r="AI105" s="80"/>
      <c r="AJ105" s="80"/>
      <c r="AK105"/>
      <c r="AL105" s="80"/>
      <c r="AO105"/>
      <c r="AP105"/>
      <c r="AQ105"/>
    </row>
    <row r="106" spans="1:43" s="762" customFormat="1" ht="15.75" customHeight="1">
      <c r="A106"/>
      <c r="B106" s="595"/>
      <c r="C106" s="595"/>
      <c r="D106"/>
      <c r="E106"/>
      <c r="F106"/>
      <c r="G106" s="80"/>
      <c r="H106"/>
      <c r="I106"/>
      <c r="J106"/>
      <c r="K106"/>
      <c r="L106"/>
      <c r="M106" s="139"/>
      <c r="N106" s="159"/>
      <c r="O106"/>
      <c r="P106" s="629"/>
      <c r="Q106" s="760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 s="926"/>
      <c r="AH106" s="80"/>
      <c r="AI106" s="80"/>
      <c r="AJ106" s="80"/>
      <c r="AK106"/>
      <c r="AL106" s="80"/>
      <c r="AO106"/>
      <c r="AP106"/>
      <c r="AQ106"/>
    </row>
    <row r="107" spans="1:43" s="762" customFormat="1" ht="15.75" customHeight="1">
      <c r="A107"/>
      <c r="B107" s="595"/>
      <c r="C107" s="595"/>
      <c r="D107"/>
      <c r="E107"/>
      <c r="F107"/>
      <c r="G107" s="80"/>
      <c r="H107"/>
      <c r="I107"/>
      <c r="J107"/>
      <c r="K107"/>
      <c r="L107"/>
      <c r="M107" s="139"/>
      <c r="N107" s="159"/>
      <c r="O107"/>
      <c r="P107" s="629"/>
      <c r="Q107" s="760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 s="926"/>
      <c r="AH107" s="80"/>
      <c r="AI107" s="80"/>
      <c r="AJ107" s="80"/>
      <c r="AK107"/>
      <c r="AL107" s="80"/>
      <c r="AO107"/>
      <c r="AP107"/>
      <c r="AQ107"/>
    </row>
    <row r="108" spans="1:43" s="762" customFormat="1" ht="15.75" customHeight="1">
      <c r="A108"/>
      <c r="B108" s="595"/>
      <c r="C108" s="595"/>
      <c r="D108"/>
      <c r="E108"/>
      <c r="F108"/>
      <c r="G108" s="80"/>
      <c r="H108"/>
      <c r="I108"/>
      <c r="J108"/>
      <c r="K108"/>
      <c r="L108"/>
      <c r="M108" s="139"/>
      <c r="N108" s="159"/>
      <c r="O108"/>
      <c r="P108" s="629"/>
      <c r="Q108" s="760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 s="926"/>
      <c r="AH108" s="80"/>
      <c r="AI108" s="80"/>
      <c r="AJ108" s="80"/>
      <c r="AK108"/>
      <c r="AL108" s="80"/>
      <c r="AO108"/>
      <c r="AP108"/>
      <c r="AQ108"/>
    </row>
    <row r="109" spans="1:43" s="762" customFormat="1" ht="15.75" customHeight="1">
      <c r="A109"/>
      <c r="B109" s="595"/>
      <c r="C109" s="595"/>
      <c r="D109"/>
      <c r="E109"/>
      <c r="F109"/>
      <c r="G109" s="80"/>
      <c r="H109"/>
      <c r="I109"/>
      <c r="J109"/>
      <c r="K109"/>
      <c r="L109"/>
      <c r="M109" s="139"/>
      <c r="N109" s="159"/>
      <c r="O109"/>
      <c r="P109" s="629"/>
      <c r="Q109" s="760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 s="926"/>
      <c r="AH109" s="80"/>
      <c r="AI109" s="80"/>
      <c r="AJ109" s="80"/>
      <c r="AK109"/>
      <c r="AL109" s="80"/>
      <c r="AO109"/>
      <c r="AP109"/>
      <c r="AQ109"/>
    </row>
    <row r="110" spans="1:43" s="762" customFormat="1" ht="15.75" customHeight="1">
      <c r="A110"/>
      <c r="B110" s="595"/>
      <c r="C110" s="595"/>
      <c r="D110"/>
      <c r="E110"/>
      <c r="F110"/>
      <c r="G110" s="80"/>
      <c r="H110"/>
      <c r="I110"/>
      <c r="J110"/>
      <c r="K110"/>
      <c r="L110"/>
      <c r="M110" s="139"/>
      <c r="N110" s="159"/>
      <c r="O110"/>
      <c r="P110" s="629"/>
      <c r="Q110" s="76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 s="926"/>
      <c r="AH110" s="80"/>
      <c r="AI110" s="80"/>
      <c r="AJ110" s="80"/>
      <c r="AK110"/>
      <c r="AL110" s="80"/>
      <c r="AO110"/>
      <c r="AP110"/>
      <c r="AQ110"/>
    </row>
    <row r="111" spans="1:43" s="762" customFormat="1" ht="15.75" customHeight="1">
      <c r="A111"/>
      <c r="B111" s="595"/>
      <c r="C111" s="595"/>
      <c r="D111"/>
      <c r="E111"/>
      <c r="F111"/>
      <c r="G111" s="80"/>
      <c r="H111"/>
      <c r="I111"/>
      <c r="J111"/>
      <c r="K111"/>
      <c r="L111"/>
      <c r="M111"/>
      <c r="N111" s="159"/>
      <c r="O111"/>
      <c r="P111" s="629"/>
      <c r="Q111" s="760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 s="926"/>
      <c r="AH111" s="80"/>
      <c r="AI111" s="80"/>
      <c r="AJ111" s="80"/>
      <c r="AK111"/>
      <c r="AL111" s="80"/>
      <c r="AO111"/>
      <c r="AP111"/>
      <c r="AQ111"/>
    </row>
    <row r="112" spans="1:43" s="762" customFormat="1" ht="15.75" customHeight="1">
      <c r="A112"/>
      <c r="B112" s="595"/>
      <c r="C112" s="595"/>
      <c r="D112"/>
      <c r="E112"/>
      <c r="F112"/>
      <c r="G112" s="80"/>
      <c r="H112"/>
      <c r="I112"/>
      <c r="J112"/>
      <c r="K112"/>
      <c r="L112"/>
      <c r="M112"/>
      <c r="N112" s="159"/>
      <c r="O112"/>
      <c r="P112" s="629"/>
      <c r="Q112" s="760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 s="926"/>
      <c r="AH112" s="80"/>
      <c r="AI112" s="80"/>
      <c r="AJ112" s="80"/>
      <c r="AK112"/>
      <c r="AL112" s="80"/>
      <c r="AO112"/>
      <c r="AP112"/>
      <c r="AQ112"/>
    </row>
    <row r="113" spans="1:43" s="762" customFormat="1" ht="15.75" customHeight="1">
      <c r="A113"/>
      <c r="B113" s="595"/>
      <c r="C113" s="595"/>
      <c r="D113"/>
      <c r="E113"/>
      <c r="F113"/>
      <c r="G113" s="80"/>
      <c r="H113"/>
      <c r="I113"/>
      <c r="J113"/>
      <c r="K113"/>
      <c r="L113"/>
      <c r="M113"/>
      <c r="N113" s="159"/>
      <c r="O113"/>
      <c r="P113" s="629"/>
      <c r="Q113" s="760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 s="926"/>
      <c r="AH113" s="80"/>
      <c r="AI113" s="80"/>
      <c r="AJ113" s="80"/>
      <c r="AK113"/>
      <c r="AL113" s="80"/>
      <c r="AO113"/>
      <c r="AP113"/>
      <c r="AQ113"/>
    </row>
    <row r="114" spans="1:43" s="762" customFormat="1" ht="15.75" customHeight="1">
      <c r="A114"/>
      <c r="B114" s="595"/>
      <c r="C114" s="595"/>
      <c r="D114"/>
      <c r="E114"/>
      <c r="F114"/>
      <c r="G114" s="80"/>
      <c r="H114"/>
      <c r="I114"/>
      <c r="J114"/>
      <c r="K114"/>
      <c r="L114"/>
      <c r="M114"/>
      <c r="N114" s="159"/>
      <c r="O114"/>
      <c r="P114" s="629"/>
      <c r="Q114" s="760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 s="926"/>
      <c r="AH114" s="80"/>
      <c r="AI114" s="80"/>
      <c r="AJ114" s="80"/>
      <c r="AK114"/>
      <c r="AL114" s="80"/>
      <c r="AO114"/>
      <c r="AP114"/>
      <c r="AQ114"/>
    </row>
    <row r="115" spans="1:43" s="762" customFormat="1" ht="15.75" customHeight="1">
      <c r="A115"/>
      <c r="B115" s="595"/>
      <c r="C115" s="595"/>
      <c r="D115"/>
      <c r="E115"/>
      <c r="F115"/>
      <c r="G115" s="80"/>
      <c r="H115"/>
      <c r="I115"/>
      <c r="J115"/>
      <c r="K115"/>
      <c r="L115"/>
      <c r="M115"/>
      <c r="N115" s="159"/>
      <c r="O115"/>
      <c r="P115" s="629"/>
      <c r="Q115" s="760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 s="926"/>
      <c r="AH115" s="80"/>
      <c r="AI115" s="80"/>
      <c r="AJ115" s="80"/>
      <c r="AK115"/>
      <c r="AL115" s="80"/>
      <c r="AO115"/>
      <c r="AP115"/>
      <c r="AQ115"/>
    </row>
    <row r="116" spans="1:43" s="762" customFormat="1" ht="15.75" customHeight="1">
      <c r="A116"/>
      <c r="B116" s="595"/>
      <c r="C116" s="595"/>
      <c r="D116"/>
      <c r="E116"/>
      <c r="F116"/>
      <c r="G116" s="80"/>
      <c r="H116"/>
      <c r="I116"/>
      <c r="J116"/>
      <c r="K116"/>
      <c r="L116"/>
      <c r="M116"/>
      <c r="N116" s="159"/>
      <c r="O116"/>
      <c r="P116" s="629"/>
      <c r="Q116" s="760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 s="926"/>
      <c r="AH116" s="80"/>
      <c r="AI116" s="80"/>
      <c r="AJ116" s="80"/>
      <c r="AK116"/>
      <c r="AL116" s="80"/>
      <c r="AO116"/>
      <c r="AP116"/>
      <c r="AQ116"/>
    </row>
    <row r="117" spans="1:43" s="762" customFormat="1" ht="15.75" customHeight="1">
      <c r="A117"/>
      <c r="B117" s="595"/>
      <c r="C117" s="595"/>
      <c r="D117"/>
      <c r="E117"/>
      <c r="F117"/>
      <c r="G117" s="80"/>
      <c r="H117"/>
      <c r="I117"/>
      <c r="J117"/>
      <c r="K117"/>
      <c r="L117"/>
      <c r="M117"/>
      <c r="N117" s="159"/>
      <c r="O117"/>
      <c r="P117" s="629"/>
      <c r="Q117" s="760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 s="926"/>
      <c r="AH117" s="80"/>
      <c r="AI117" s="80"/>
      <c r="AJ117" s="80"/>
      <c r="AK117"/>
      <c r="AL117" s="80"/>
      <c r="AO117"/>
      <c r="AP117"/>
      <c r="AQ117"/>
    </row>
    <row r="118" spans="1:43" s="762" customFormat="1" ht="15.75" customHeight="1">
      <c r="A118"/>
      <c r="B118" s="595"/>
      <c r="C118" s="595"/>
      <c r="D118"/>
      <c r="E118"/>
      <c r="F118"/>
      <c r="G118" s="80"/>
      <c r="H118"/>
      <c r="I118"/>
      <c r="J118"/>
      <c r="K118"/>
      <c r="L118"/>
      <c r="M118"/>
      <c r="N118" s="159"/>
      <c r="O118"/>
      <c r="P118" s="629"/>
      <c r="Q118" s="760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 s="926"/>
      <c r="AH118" s="80"/>
      <c r="AI118" s="80"/>
      <c r="AJ118" s="80"/>
      <c r="AK118"/>
      <c r="AL118" s="80"/>
      <c r="AO118"/>
      <c r="AP118"/>
      <c r="AQ118"/>
    </row>
    <row r="119" spans="1:43" s="762" customFormat="1" ht="15.75" customHeight="1">
      <c r="A119"/>
      <c r="B119" s="595"/>
      <c r="C119" s="595"/>
      <c r="D119"/>
      <c r="E119"/>
      <c r="F119"/>
      <c r="G119" s="80"/>
      <c r="H119"/>
      <c r="I119"/>
      <c r="J119"/>
      <c r="K119"/>
      <c r="L119"/>
      <c r="M119"/>
      <c r="N119" s="159"/>
      <c r="O119"/>
      <c r="P119" s="629"/>
      <c r="Q119" s="760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 s="926"/>
      <c r="AH119" s="80"/>
      <c r="AI119" s="80"/>
      <c r="AJ119" s="80"/>
      <c r="AK119"/>
      <c r="AL119" s="80"/>
      <c r="AO119"/>
      <c r="AP119"/>
      <c r="AQ119"/>
    </row>
    <row r="120" spans="1:43" s="762" customFormat="1" ht="15.75" customHeight="1">
      <c r="A120"/>
      <c r="B120" s="595"/>
      <c r="C120" s="595"/>
      <c r="D120"/>
      <c r="E120"/>
      <c r="F120"/>
      <c r="G120" s="80"/>
      <c r="H120"/>
      <c r="I120"/>
      <c r="J120"/>
      <c r="K120"/>
      <c r="L120"/>
      <c r="M120"/>
      <c r="N120" s="159"/>
      <c r="O120"/>
      <c r="P120" s="629"/>
      <c r="Q120" s="76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 s="926"/>
      <c r="AH120" s="80"/>
      <c r="AI120" s="80"/>
      <c r="AJ120" s="80"/>
      <c r="AK120"/>
      <c r="AL120" s="80"/>
      <c r="AO120"/>
      <c r="AP120"/>
      <c r="AQ120"/>
    </row>
    <row r="121" spans="1:43" s="762" customFormat="1" ht="15.75" customHeight="1">
      <c r="A121"/>
      <c r="B121" s="595"/>
      <c r="C121" s="595"/>
      <c r="D121"/>
      <c r="E121"/>
      <c r="F121"/>
      <c r="G121" s="80"/>
      <c r="H121"/>
      <c r="I121"/>
      <c r="J121"/>
      <c r="K121"/>
      <c r="L121"/>
      <c r="M121"/>
      <c r="N121" s="159"/>
      <c r="O121"/>
      <c r="P121" s="629"/>
      <c r="Q121" s="760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 s="926"/>
      <c r="AH121" s="80"/>
      <c r="AI121" s="80"/>
      <c r="AJ121" s="80"/>
      <c r="AK121"/>
      <c r="AL121" s="80"/>
      <c r="AO121"/>
      <c r="AP121"/>
      <c r="AQ121"/>
    </row>
    <row r="122" spans="1:43" s="762" customFormat="1" ht="15.75" customHeight="1">
      <c r="A122"/>
      <c r="B122" s="595"/>
      <c r="C122" s="595"/>
      <c r="D122"/>
      <c r="E122"/>
      <c r="F122"/>
      <c r="G122" s="80"/>
      <c r="H122"/>
      <c r="I122"/>
      <c r="J122"/>
      <c r="K122"/>
      <c r="L122"/>
      <c r="M122"/>
      <c r="N122" s="159"/>
      <c r="O122"/>
      <c r="P122" s="629"/>
      <c r="Q122" s="760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 s="926"/>
      <c r="AH122" s="80"/>
      <c r="AI122" s="80"/>
      <c r="AJ122" s="80"/>
      <c r="AK122"/>
      <c r="AL122" s="80"/>
      <c r="AO122"/>
      <c r="AP122"/>
      <c r="AQ122"/>
    </row>
    <row r="123" spans="1:43" s="762" customFormat="1" ht="15.75" customHeight="1">
      <c r="A123"/>
      <c r="B123" s="595"/>
      <c r="C123" s="595"/>
      <c r="D123"/>
      <c r="E123"/>
      <c r="F123"/>
      <c r="G123" s="80"/>
      <c r="H123"/>
      <c r="I123"/>
      <c r="J123"/>
      <c r="K123"/>
      <c r="L123"/>
      <c r="M123"/>
      <c r="N123" s="159"/>
      <c r="O123"/>
      <c r="P123" s="629"/>
      <c r="Q123" s="760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 s="926"/>
      <c r="AH123" s="80"/>
      <c r="AI123" s="80"/>
      <c r="AJ123" s="80"/>
      <c r="AK123"/>
      <c r="AL123" s="80"/>
      <c r="AO123"/>
      <c r="AP123"/>
      <c r="AQ123"/>
    </row>
    <row r="124" spans="1:43" s="762" customFormat="1" ht="15.75" customHeight="1">
      <c r="A124"/>
      <c r="B124" s="595"/>
      <c r="C124" s="595"/>
      <c r="D124"/>
      <c r="E124"/>
      <c r="F124"/>
      <c r="G124" s="80"/>
      <c r="H124"/>
      <c r="I124"/>
      <c r="J124"/>
      <c r="K124"/>
      <c r="L124"/>
      <c r="M124"/>
      <c r="N124" s="159"/>
      <c r="O124"/>
      <c r="P124" s="629"/>
      <c r="Q124" s="760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 s="926"/>
      <c r="AH124" s="80"/>
      <c r="AI124" s="80"/>
      <c r="AJ124" s="80"/>
      <c r="AK124"/>
      <c r="AL124" s="80"/>
      <c r="AO124"/>
      <c r="AP124"/>
      <c r="AQ124"/>
    </row>
    <row r="125" spans="1:43" s="762" customFormat="1" ht="15.75" customHeight="1">
      <c r="A125"/>
      <c r="B125" s="595"/>
      <c r="C125" s="595"/>
      <c r="D125"/>
      <c r="E125"/>
      <c r="F125"/>
      <c r="G125" s="80"/>
      <c r="H125"/>
      <c r="I125"/>
      <c r="J125"/>
      <c r="K125"/>
      <c r="L125"/>
      <c r="M125"/>
      <c r="N125" s="159"/>
      <c r="O125"/>
      <c r="P125" s="629"/>
      <c r="Q125" s="760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 s="926"/>
      <c r="AH125" s="80"/>
      <c r="AI125" s="80"/>
      <c r="AJ125" s="80"/>
      <c r="AK125"/>
      <c r="AL125" s="80"/>
      <c r="AO125"/>
      <c r="AP125"/>
      <c r="AQ125"/>
    </row>
    <row r="126" spans="1:43" s="762" customFormat="1" ht="15.75" customHeight="1">
      <c r="A126"/>
      <c r="B126" s="595"/>
      <c r="C126" s="595"/>
      <c r="D126"/>
      <c r="E126"/>
      <c r="F126"/>
      <c r="G126" s="80"/>
      <c r="H126"/>
      <c r="I126"/>
      <c r="J126"/>
      <c r="K126"/>
      <c r="L126"/>
      <c r="M126"/>
      <c r="N126" s="159"/>
      <c r="O126"/>
      <c r="P126" s="629"/>
      <c r="Q126" s="760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 s="926"/>
      <c r="AH126" s="80"/>
      <c r="AI126" s="80"/>
      <c r="AJ126" s="80"/>
      <c r="AK126"/>
      <c r="AL126" s="80"/>
      <c r="AO126"/>
      <c r="AP126"/>
      <c r="AQ126"/>
    </row>
    <row r="127" spans="1:43" s="762" customFormat="1" ht="15.75" customHeight="1">
      <c r="A127"/>
      <c r="B127" s="595"/>
      <c r="C127" s="595"/>
      <c r="D127"/>
      <c r="E127"/>
      <c r="F127"/>
      <c r="G127" s="80"/>
      <c r="H127"/>
      <c r="I127"/>
      <c r="J127"/>
      <c r="K127"/>
      <c r="L127"/>
      <c r="M127"/>
      <c r="N127" s="159"/>
      <c r="O127"/>
      <c r="P127" s="629"/>
      <c r="Q127" s="760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 s="926"/>
      <c r="AH127" s="80"/>
      <c r="AI127" s="80"/>
      <c r="AJ127" s="80"/>
      <c r="AK127"/>
      <c r="AL127" s="80"/>
      <c r="AO127"/>
      <c r="AP127"/>
      <c r="AQ127"/>
    </row>
    <row r="128" spans="1:43" s="762" customFormat="1" ht="15.75" customHeight="1">
      <c r="A128"/>
      <c r="B128" s="595"/>
      <c r="C128" s="595"/>
      <c r="D128"/>
      <c r="E128"/>
      <c r="F128"/>
      <c r="G128" s="80"/>
      <c r="H128"/>
      <c r="I128"/>
      <c r="J128"/>
      <c r="K128"/>
      <c r="L128"/>
      <c r="M128"/>
      <c r="N128" s="159"/>
      <c r="O128"/>
      <c r="P128" s="629"/>
      <c r="Q128" s="760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 s="926"/>
      <c r="AH128" s="80"/>
      <c r="AI128" s="80"/>
      <c r="AJ128" s="80"/>
      <c r="AK128"/>
      <c r="AL128" s="80"/>
      <c r="AO128"/>
      <c r="AP128"/>
      <c r="AQ128"/>
    </row>
    <row r="129" spans="1:43" s="762" customFormat="1" ht="15.75" customHeight="1">
      <c r="A129"/>
      <c r="B129" s="595"/>
      <c r="C129" s="595"/>
      <c r="D129"/>
      <c r="E129"/>
      <c r="F129"/>
      <c r="G129" s="80"/>
      <c r="H129"/>
      <c r="I129"/>
      <c r="J129"/>
      <c r="K129"/>
      <c r="L129"/>
      <c r="M129"/>
      <c r="N129" s="159"/>
      <c r="O129"/>
      <c r="P129" s="629"/>
      <c r="Q129" s="760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 s="926"/>
      <c r="AH129" s="80"/>
      <c r="AI129" s="80"/>
      <c r="AJ129" s="80"/>
      <c r="AK129"/>
      <c r="AL129" s="80"/>
      <c r="AO129"/>
      <c r="AP129"/>
      <c r="AQ129"/>
    </row>
    <row r="130" spans="1:43" s="762" customFormat="1" ht="15.75" customHeight="1">
      <c r="A130"/>
      <c r="B130" s="595"/>
      <c r="C130" s="595"/>
      <c r="D130"/>
      <c r="E130"/>
      <c r="F130"/>
      <c r="G130" s="80"/>
      <c r="H130"/>
      <c r="I130"/>
      <c r="J130"/>
      <c r="K130"/>
      <c r="L130"/>
      <c r="M130"/>
      <c r="N130" s="159"/>
      <c r="O130"/>
      <c r="P130" s="629"/>
      <c r="Q130" s="76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 s="926"/>
      <c r="AH130" s="80"/>
      <c r="AI130" s="80"/>
      <c r="AJ130" s="80"/>
      <c r="AK130"/>
      <c r="AL130" s="80"/>
      <c r="AO130"/>
      <c r="AP130"/>
      <c r="AQ130"/>
    </row>
    <row r="131" spans="1:43" s="762" customFormat="1" ht="15.75" customHeight="1">
      <c r="A131"/>
      <c r="B131" s="595"/>
      <c r="C131" s="595"/>
      <c r="D131"/>
      <c r="E131"/>
      <c r="F131"/>
      <c r="G131" s="80"/>
      <c r="H131"/>
      <c r="I131"/>
      <c r="J131"/>
      <c r="K131"/>
      <c r="L131"/>
      <c r="M131"/>
      <c r="N131" s="159"/>
      <c r="O131"/>
      <c r="P131" s="629"/>
      <c r="Q131" s="760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 s="926"/>
      <c r="AH131" s="80"/>
      <c r="AI131" s="80"/>
      <c r="AJ131" s="80"/>
      <c r="AK131"/>
      <c r="AL131" s="80"/>
      <c r="AO131"/>
      <c r="AP131"/>
      <c r="AQ131"/>
    </row>
    <row r="132" spans="1:43" s="762" customFormat="1" ht="15.75" customHeight="1">
      <c r="A132"/>
      <c r="B132" s="595"/>
      <c r="C132" s="595"/>
      <c r="D132"/>
      <c r="E132"/>
      <c r="F132"/>
      <c r="G132" s="80"/>
      <c r="H132"/>
      <c r="I132"/>
      <c r="J132"/>
      <c r="K132"/>
      <c r="L132"/>
      <c r="M132"/>
      <c r="N132" s="159"/>
      <c r="O132"/>
      <c r="P132" s="629"/>
      <c r="Q132" s="760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 s="926"/>
      <c r="AH132" s="80"/>
      <c r="AI132" s="80"/>
      <c r="AJ132" s="80"/>
      <c r="AK132"/>
      <c r="AL132" s="80"/>
      <c r="AO132"/>
      <c r="AP132"/>
      <c r="AQ132"/>
    </row>
    <row r="133" spans="1:43" s="762" customFormat="1" ht="15.75" customHeight="1">
      <c r="A133"/>
      <c r="B133" s="595"/>
      <c r="C133" s="595"/>
      <c r="D133"/>
      <c r="E133"/>
      <c r="F133"/>
      <c r="G133" s="80"/>
      <c r="H133"/>
      <c r="I133"/>
      <c r="J133"/>
      <c r="K133"/>
      <c r="L133"/>
      <c r="M133"/>
      <c r="N133" s="159"/>
      <c r="O133"/>
      <c r="P133" s="629"/>
      <c r="Q133" s="760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 s="926"/>
      <c r="AH133" s="80"/>
      <c r="AI133" s="80"/>
      <c r="AJ133" s="80"/>
      <c r="AK133"/>
      <c r="AL133" s="80"/>
      <c r="AO133"/>
      <c r="AP133"/>
      <c r="AQ133"/>
    </row>
    <row r="134" spans="1:43" s="762" customFormat="1" ht="15.75" customHeight="1">
      <c r="A134"/>
      <c r="B134" s="595"/>
      <c r="C134" s="595"/>
      <c r="D134"/>
      <c r="E134"/>
      <c r="F134"/>
      <c r="G134" s="80"/>
      <c r="H134"/>
      <c r="I134"/>
      <c r="J134"/>
      <c r="K134"/>
      <c r="L134"/>
      <c r="M134"/>
      <c r="N134" s="159"/>
      <c r="O134"/>
      <c r="P134" s="629"/>
      <c r="Q134" s="760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 s="926"/>
      <c r="AH134" s="80"/>
      <c r="AI134" s="80"/>
      <c r="AJ134" s="80"/>
      <c r="AK134"/>
      <c r="AL134" s="80"/>
      <c r="AO134"/>
      <c r="AP134"/>
      <c r="AQ134"/>
    </row>
    <row r="135" spans="1:43" s="762" customFormat="1" ht="15.75" customHeight="1">
      <c r="A135"/>
      <c r="B135" s="595"/>
      <c r="C135" s="595"/>
      <c r="D135"/>
      <c r="E135"/>
      <c r="F135"/>
      <c r="G135" s="80"/>
      <c r="H135"/>
      <c r="I135"/>
      <c r="J135"/>
      <c r="K135"/>
      <c r="L135"/>
      <c r="M135"/>
      <c r="N135" s="159"/>
      <c r="O135"/>
      <c r="P135" s="629"/>
      <c r="Q135" s="760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 s="926"/>
      <c r="AH135" s="80"/>
      <c r="AI135" s="80"/>
      <c r="AJ135" s="80"/>
      <c r="AK135"/>
      <c r="AL135" s="80"/>
      <c r="AO135"/>
      <c r="AP135"/>
      <c r="AQ135"/>
    </row>
    <row r="136" spans="1:43" s="762" customFormat="1" ht="15.75" customHeight="1">
      <c r="A136"/>
      <c r="B136" s="595"/>
      <c r="C136" s="595"/>
      <c r="D136"/>
      <c r="E136"/>
      <c r="F136"/>
      <c r="G136" s="80"/>
      <c r="H136"/>
      <c r="I136"/>
      <c r="J136"/>
      <c r="K136"/>
      <c r="L136"/>
      <c r="M136"/>
      <c r="N136" s="159"/>
      <c r="O136"/>
      <c r="P136" s="629"/>
      <c r="Q136" s="760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 s="926"/>
      <c r="AH136" s="80"/>
      <c r="AI136" s="80"/>
      <c r="AJ136" s="80"/>
      <c r="AK136"/>
      <c r="AL136" s="80"/>
      <c r="AO136"/>
      <c r="AP136"/>
      <c r="AQ136"/>
    </row>
    <row r="137" spans="1:43" s="762" customFormat="1" ht="15.75" customHeight="1">
      <c r="A137"/>
      <c r="B137" s="595"/>
      <c r="C137" s="595"/>
      <c r="D137"/>
      <c r="E137"/>
      <c r="F137"/>
      <c r="G137" s="80"/>
      <c r="H137"/>
      <c r="I137"/>
      <c r="J137"/>
      <c r="K137"/>
      <c r="L137"/>
      <c r="M137"/>
      <c r="N137" s="159"/>
      <c r="O137"/>
      <c r="P137" s="629"/>
      <c r="Q137" s="760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 s="926"/>
      <c r="AH137" s="80"/>
      <c r="AI137" s="80"/>
      <c r="AJ137" s="80"/>
      <c r="AK137"/>
      <c r="AL137" s="80"/>
      <c r="AO137"/>
      <c r="AP137"/>
      <c r="AQ137"/>
    </row>
    <row r="138" spans="1:43" s="762" customFormat="1" ht="15.75" customHeight="1">
      <c r="A138"/>
      <c r="B138" s="595"/>
      <c r="C138" s="595"/>
      <c r="D138"/>
      <c r="E138"/>
      <c r="F138"/>
      <c r="G138" s="80"/>
      <c r="H138"/>
      <c r="I138"/>
      <c r="J138"/>
      <c r="K138"/>
      <c r="L138"/>
      <c r="M138"/>
      <c r="N138" s="159"/>
      <c r="O138"/>
      <c r="P138" s="629"/>
      <c r="Q138" s="760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 s="926"/>
      <c r="AH138" s="80"/>
      <c r="AI138" s="80"/>
      <c r="AJ138" s="80"/>
      <c r="AK138"/>
      <c r="AL138" s="80"/>
      <c r="AO138"/>
      <c r="AP138"/>
      <c r="AQ138"/>
    </row>
    <row r="139" spans="1:43" s="762" customFormat="1" ht="15.75" customHeight="1">
      <c r="A139"/>
      <c r="B139" s="595"/>
      <c r="C139" s="595"/>
      <c r="D139"/>
      <c r="E139"/>
      <c r="F139"/>
      <c r="G139" s="80"/>
      <c r="H139"/>
      <c r="I139"/>
      <c r="J139"/>
      <c r="K139"/>
      <c r="L139"/>
      <c r="M139"/>
      <c r="N139" s="159"/>
      <c r="O139"/>
      <c r="P139" s="629"/>
      <c r="Q139" s="760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 s="926"/>
      <c r="AH139" s="80"/>
      <c r="AI139" s="80"/>
      <c r="AJ139" s="80"/>
      <c r="AK139"/>
      <c r="AL139" s="80"/>
      <c r="AO139"/>
      <c r="AP139"/>
      <c r="AQ139"/>
    </row>
    <row r="140" spans="1:43" s="762" customFormat="1" ht="15.75" customHeight="1">
      <c r="A140"/>
      <c r="B140" s="595"/>
      <c r="C140" s="595"/>
      <c r="D140"/>
      <c r="E140"/>
      <c r="F140"/>
      <c r="G140" s="80"/>
      <c r="H140"/>
      <c r="I140"/>
      <c r="J140"/>
      <c r="K140"/>
      <c r="L140"/>
      <c r="M140"/>
      <c r="N140" s="159"/>
      <c r="O140"/>
      <c r="P140" s="629"/>
      <c r="Q140" s="76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 s="926"/>
      <c r="AH140" s="80"/>
      <c r="AI140" s="80"/>
      <c r="AJ140" s="80"/>
      <c r="AK140"/>
      <c r="AL140" s="80"/>
      <c r="AO140"/>
      <c r="AP140"/>
      <c r="AQ140"/>
    </row>
    <row r="141" spans="1:43" s="762" customFormat="1" ht="15.75" customHeight="1">
      <c r="A141"/>
      <c r="B141" s="595"/>
      <c r="C141" s="595"/>
      <c r="D141"/>
      <c r="E141"/>
      <c r="F141"/>
      <c r="G141" s="80"/>
      <c r="H141"/>
      <c r="I141"/>
      <c r="J141"/>
      <c r="K141"/>
      <c r="L141"/>
      <c r="M141"/>
      <c r="N141" s="159"/>
      <c r="O141"/>
      <c r="P141" s="629"/>
      <c r="Q141" s="760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 s="926"/>
      <c r="AH141" s="80"/>
      <c r="AI141" s="80"/>
      <c r="AJ141" s="80"/>
      <c r="AK141"/>
      <c r="AL141" s="80"/>
      <c r="AO141"/>
      <c r="AP141"/>
      <c r="AQ141"/>
    </row>
    <row r="142" spans="1:43" s="762" customFormat="1" ht="15.75" customHeight="1">
      <c r="A142"/>
      <c r="B142" s="595"/>
      <c r="C142" s="595"/>
      <c r="D142"/>
      <c r="E142"/>
      <c r="F142"/>
      <c r="G142" s="80"/>
      <c r="H142"/>
      <c r="I142"/>
      <c r="J142"/>
      <c r="K142"/>
      <c r="L142"/>
      <c r="M142"/>
      <c r="N142" s="159"/>
      <c r="O142"/>
      <c r="P142" s="629"/>
      <c r="Q142" s="760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 s="926"/>
      <c r="AH142" s="80"/>
      <c r="AI142" s="80"/>
      <c r="AJ142" s="80"/>
      <c r="AK142"/>
      <c r="AL142" s="80"/>
      <c r="AO142"/>
      <c r="AP142"/>
      <c r="AQ142"/>
    </row>
    <row r="143" spans="1:43" s="762" customFormat="1" ht="15.75" customHeight="1">
      <c r="A143"/>
      <c r="B143" s="595"/>
      <c r="C143" s="595"/>
      <c r="D143"/>
      <c r="E143"/>
      <c r="F143"/>
      <c r="G143" s="80"/>
      <c r="H143"/>
      <c r="I143"/>
      <c r="J143"/>
      <c r="K143"/>
      <c r="L143"/>
      <c r="M143"/>
      <c r="N143" s="159"/>
      <c r="O143"/>
      <c r="P143" s="629"/>
      <c r="Q143" s="760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 s="926"/>
      <c r="AH143" s="80"/>
      <c r="AI143" s="80"/>
      <c r="AJ143" s="80"/>
      <c r="AK143"/>
      <c r="AL143" s="80"/>
      <c r="AO143"/>
      <c r="AP143"/>
      <c r="AQ143"/>
    </row>
    <row r="144" spans="1:43" s="762" customFormat="1" ht="15.75" customHeight="1">
      <c r="A144"/>
      <c r="B144" s="595"/>
      <c r="C144" s="595"/>
      <c r="D144"/>
      <c r="E144"/>
      <c r="F144"/>
      <c r="G144" s="80"/>
      <c r="H144"/>
      <c r="I144"/>
      <c r="J144"/>
      <c r="K144"/>
      <c r="L144"/>
      <c r="M144"/>
      <c r="N144" s="159"/>
      <c r="O144"/>
      <c r="P144" s="629"/>
      <c r="Q144" s="760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 s="926"/>
      <c r="AH144" s="80"/>
      <c r="AI144" s="80"/>
      <c r="AJ144" s="80"/>
      <c r="AK144"/>
      <c r="AL144" s="80"/>
      <c r="AO144"/>
      <c r="AP144"/>
      <c r="AQ144"/>
    </row>
    <row r="145" spans="1:43" s="762" customFormat="1" ht="15.75" customHeight="1">
      <c r="A145"/>
      <c r="B145" s="595"/>
      <c r="C145" s="595"/>
      <c r="D145"/>
      <c r="E145"/>
      <c r="F145"/>
      <c r="G145" s="80"/>
      <c r="H145"/>
      <c r="I145"/>
      <c r="J145"/>
      <c r="K145"/>
      <c r="L145"/>
      <c r="M145"/>
      <c r="N145" s="159"/>
      <c r="O145"/>
      <c r="P145" s="629"/>
      <c r="Q145" s="760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 s="926"/>
      <c r="AH145" s="80"/>
      <c r="AI145" s="80"/>
      <c r="AJ145" s="80"/>
      <c r="AK145"/>
      <c r="AL145" s="80"/>
      <c r="AO145"/>
      <c r="AP145"/>
      <c r="AQ145"/>
    </row>
    <row r="146" spans="1:43" s="762" customFormat="1" ht="15.75" customHeight="1">
      <c r="A146"/>
      <c r="B146" s="595"/>
      <c r="C146" s="595"/>
      <c r="D146"/>
      <c r="E146"/>
      <c r="F146"/>
      <c r="G146" s="80"/>
      <c r="H146"/>
      <c r="I146"/>
      <c r="J146"/>
      <c r="K146"/>
      <c r="L146"/>
      <c r="M146"/>
      <c r="N146" s="159"/>
      <c r="O146"/>
      <c r="P146" s="629"/>
      <c r="Q146" s="760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 s="926"/>
      <c r="AH146" s="80"/>
      <c r="AI146" s="80"/>
      <c r="AJ146" s="80"/>
      <c r="AK146"/>
      <c r="AL146" s="80"/>
      <c r="AO146"/>
      <c r="AP146"/>
      <c r="AQ146"/>
    </row>
    <row r="147" spans="1:43" s="762" customFormat="1" ht="15.75" customHeight="1">
      <c r="A147"/>
      <c r="B147" s="595"/>
      <c r="C147" s="595"/>
      <c r="D147"/>
      <c r="E147"/>
      <c r="F147"/>
      <c r="G147" s="80"/>
      <c r="H147"/>
      <c r="I147"/>
      <c r="J147"/>
      <c r="K147"/>
      <c r="L147"/>
      <c r="M147"/>
      <c r="N147" s="159"/>
      <c r="O147"/>
      <c r="P147" s="629"/>
      <c r="Q147" s="760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 s="926"/>
      <c r="AH147" s="80"/>
      <c r="AI147" s="80"/>
      <c r="AJ147" s="80"/>
      <c r="AK147"/>
      <c r="AL147" s="80"/>
      <c r="AO147"/>
      <c r="AP147"/>
      <c r="AQ147"/>
    </row>
    <row r="148" spans="1:43" s="762" customFormat="1" ht="15.75" customHeight="1">
      <c r="A148"/>
      <c r="B148" s="595"/>
      <c r="C148" s="595"/>
      <c r="D148"/>
      <c r="E148"/>
      <c r="F148"/>
      <c r="G148" s="80"/>
      <c r="H148"/>
      <c r="I148"/>
      <c r="J148"/>
      <c r="K148"/>
      <c r="L148"/>
      <c r="M148"/>
      <c r="N148" s="159"/>
      <c r="O148"/>
      <c r="P148" s="629"/>
      <c r="Q148" s="760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 s="926"/>
      <c r="AH148" s="80"/>
      <c r="AI148" s="80"/>
      <c r="AJ148" s="80"/>
      <c r="AK148"/>
      <c r="AL148" s="80"/>
      <c r="AO148"/>
      <c r="AP148"/>
      <c r="AQ148"/>
    </row>
    <row r="149" spans="1:43" s="762" customFormat="1" ht="15.75" customHeight="1">
      <c r="A149"/>
      <c r="B149" s="595"/>
      <c r="C149" s="595"/>
      <c r="D149"/>
      <c r="E149"/>
      <c r="F149"/>
      <c r="G149" s="80"/>
      <c r="H149"/>
      <c r="I149"/>
      <c r="J149"/>
      <c r="K149"/>
      <c r="L149"/>
      <c r="M149"/>
      <c r="N149" s="159"/>
      <c r="O149"/>
      <c r="P149" s="629"/>
      <c r="Q149" s="760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 s="926"/>
      <c r="AH149" s="80"/>
      <c r="AI149" s="80"/>
      <c r="AJ149" s="80"/>
      <c r="AK149"/>
      <c r="AL149" s="80"/>
      <c r="AO149"/>
      <c r="AP149"/>
      <c r="AQ149"/>
    </row>
    <row r="150" spans="1:43" s="762" customFormat="1" ht="15.75" customHeight="1">
      <c r="A150"/>
      <c r="B150" s="595"/>
      <c r="C150" s="595"/>
      <c r="D150"/>
      <c r="E150"/>
      <c r="F150"/>
      <c r="G150" s="80"/>
      <c r="H150"/>
      <c r="I150"/>
      <c r="J150"/>
      <c r="K150"/>
      <c r="L150"/>
      <c r="M150"/>
      <c r="N150" s="159"/>
      <c r="O150"/>
      <c r="P150" s="629"/>
      <c r="Q150" s="76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 s="926"/>
      <c r="AH150" s="80"/>
      <c r="AI150" s="80"/>
      <c r="AJ150" s="80"/>
      <c r="AK150"/>
      <c r="AL150" s="80"/>
      <c r="AO150"/>
      <c r="AP150"/>
      <c r="AQ150"/>
    </row>
    <row r="151" spans="1:43" s="762" customFormat="1" ht="15.75" customHeight="1">
      <c r="A151"/>
      <c r="B151" s="595"/>
      <c r="C151" s="595"/>
      <c r="D151"/>
      <c r="E151"/>
      <c r="F151"/>
      <c r="G151" s="80"/>
      <c r="H151"/>
      <c r="I151"/>
      <c r="J151"/>
      <c r="K151"/>
      <c r="L151"/>
      <c r="M151"/>
      <c r="N151" s="159"/>
      <c r="O151"/>
      <c r="P151" s="629"/>
      <c r="Q151" s="760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 s="926"/>
      <c r="AH151" s="80"/>
      <c r="AI151" s="80"/>
      <c r="AJ151" s="80"/>
      <c r="AK151"/>
      <c r="AL151" s="80"/>
      <c r="AO151"/>
      <c r="AP151"/>
      <c r="AQ151"/>
    </row>
    <row r="152" spans="1:43" s="762" customFormat="1" ht="15.75" customHeight="1">
      <c r="A152"/>
      <c r="B152" s="595"/>
      <c r="C152" s="595"/>
      <c r="D152"/>
      <c r="E152"/>
      <c r="F152"/>
      <c r="G152" s="80"/>
      <c r="H152"/>
      <c r="I152"/>
      <c r="J152"/>
      <c r="K152"/>
      <c r="L152"/>
      <c r="M152"/>
      <c r="N152" s="159"/>
      <c r="O152"/>
      <c r="P152" s="629"/>
      <c r="Q152" s="760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 s="926"/>
      <c r="AH152" s="80"/>
      <c r="AI152" s="80"/>
      <c r="AJ152" s="80"/>
      <c r="AK152"/>
      <c r="AL152" s="80"/>
      <c r="AO152"/>
      <c r="AP152"/>
      <c r="AQ152"/>
    </row>
    <row r="153" spans="1:43" s="762" customFormat="1" ht="15.75" customHeight="1">
      <c r="A153"/>
      <c r="B153" s="595"/>
      <c r="C153" s="595"/>
      <c r="D153"/>
      <c r="E153"/>
      <c r="F153"/>
      <c r="G153" s="80"/>
      <c r="H153"/>
      <c r="I153"/>
      <c r="J153"/>
      <c r="K153"/>
      <c r="L153"/>
      <c r="M153"/>
      <c r="N153" s="159"/>
      <c r="O153"/>
      <c r="P153" s="629"/>
      <c r="Q153" s="760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 s="926"/>
      <c r="AH153" s="80"/>
      <c r="AI153" s="80"/>
      <c r="AJ153" s="80"/>
      <c r="AK153"/>
      <c r="AL153" s="80"/>
      <c r="AO153"/>
      <c r="AP153"/>
      <c r="AQ153"/>
    </row>
    <row r="154" spans="1:43" s="762" customFormat="1" ht="15.75" customHeight="1">
      <c r="A154"/>
      <c r="B154" s="595"/>
      <c r="C154" s="595"/>
      <c r="D154"/>
      <c r="E154"/>
      <c r="F154"/>
      <c r="G154" s="80"/>
      <c r="H154"/>
      <c r="I154"/>
      <c r="J154"/>
      <c r="K154"/>
      <c r="L154"/>
      <c r="M154"/>
      <c r="N154" s="159"/>
      <c r="O154"/>
      <c r="P154" s="629"/>
      <c r="Q154" s="760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 s="926"/>
      <c r="AH154" s="80"/>
      <c r="AI154" s="80"/>
      <c r="AJ154" s="80"/>
      <c r="AK154"/>
      <c r="AL154" s="80"/>
      <c r="AO154"/>
      <c r="AP154"/>
      <c r="AQ154"/>
    </row>
    <row r="155" spans="1:43" s="762" customFormat="1" ht="15.75" customHeight="1">
      <c r="A155"/>
      <c r="B155" s="595"/>
      <c r="C155" s="595"/>
      <c r="D155"/>
      <c r="E155"/>
      <c r="F155"/>
      <c r="G155" s="80"/>
      <c r="H155"/>
      <c r="I155"/>
      <c r="J155"/>
      <c r="K155"/>
      <c r="L155"/>
      <c r="M155"/>
      <c r="N155" s="159"/>
      <c r="O155"/>
      <c r="P155" s="629"/>
      <c r="Q155" s="760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 s="926"/>
      <c r="AH155" s="80"/>
      <c r="AI155" s="80"/>
      <c r="AJ155" s="80"/>
      <c r="AK155"/>
      <c r="AL155" s="80"/>
      <c r="AO155"/>
      <c r="AP155"/>
      <c r="AQ155"/>
    </row>
    <row r="156" spans="1:43" s="762" customFormat="1" ht="15.75" customHeight="1">
      <c r="A156"/>
      <c r="B156" s="595"/>
      <c r="C156" s="595"/>
      <c r="D156"/>
      <c r="E156"/>
      <c r="F156"/>
      <c r="G156" s="80"/>
      <c r="H156"/>
      <c r="I156"/>
      <c r="J156"/>
      <c r="K156"/>
      <c r="L156"/>
      <c r="M156"/>
      <c r="N156" s="159"/>
      <c r="O156"/>
      <c r="P156" s="629"/>
      <c r="Q156" s="760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 s="926"/>
      <c r="AH156" s="80"/>
      <c r="AI156" s="80"/>
      <c r="AJ156" s="80"/>
      <c r="AK156"/>
      <c r="AL156" s="80"/>
      <c r="AO156"/>
      <c r="AP156"/>
      <c r="AQ156"/>
    </row>
    <row r="157" spans="1:43" s="762" customFormat="1" ht="15.75" customHeight="1">
      <c r="A157"/>
      <c r="B157" s="595"/>
      <c r="C157" s="595"/>
      <c r="D157"/>
      <c r="E157"/>
      <c r="F157"/>
      <c r="G157" s="80"/>
      <c r="H157"/>
      <c r="I157"/>
      <c r="J157"/>
      <c r="K157"/>
      <c r="L157"/>
      <c r="M157"/>
      <c r="N157" s="159"/>
      <c r="O157"/>
      <c r="P157" s="629"/>
      <c r="Q157" s="760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 s="926"/>
      <c r="AH157" s="80"/>
      <c r="AI157" s="80"/>
      <c r="AJ157" s="80"/>
      <c r="AK157"/>
      <c r="AL157" s="80"/>
      <c r="AO157"/>
      <c r="AP157"/>
      <c r="AQ157"/>
    </row>
    <row r="158" spans="1:43" s="762" customFormat="1" ht="15.75" customHeight="1">
      <c r="A158"/>
      <c r="B158" s="595"/>
      <c r="C158" s="595"/>
      <c r="D158"/>
      <c r="E158"/>
      <c r="F158"/>
      <c r="G158" s="80"/>
      <c r="H158"/>
      <c r="I158"/>
      <c r="J158"/>
      <c r="K158"/>
      <c r="L158"/>
      <c r="M158"/>
      <c r="N158" s="159"/>
      <c r="O158"/>
      <c r="P158" s="629"/>
      <c r="Q158" s="760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 s="926"/>
      <c r="AH158" s="80"/>
      <c r="AI158" s="80"/>
      <c r="AJ158" s="80"/>
      <c r="AK158"/>
      <c r="AL158" s="80"/>
      <c r="AO158"/>
      <c r="AP158"/>
      <c r="AQ158"/>
    </row>
    <row r="159" spans="1:43" s="762" customFormat="1" ht="15.75" customHeight="1">
      <c r="A159"/>
      <c r="B159" s="595"/>
      <c r="C159" s="595"/>
      <c r="D159"/>
      <c r="E159"/>
      <c r="F159"/>
      <c r="G159" s="80"/>
      <c r="H159"/>
      <c r="I159"/>
      <c r="J159"/>
      <c r="K159"/>
      <c r="L159"/>
      <c r="M159"/>
      <c r="N159" s="159"/>
      <c r="O159"/>
      <c r="P159" s="629"/>
      <c r="Q159" s="760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 s="926"/>
      <c r="AH159" s="80"/>
      <c r="AI159" s="80"/>
      <c r="AJ159" s="80"/>
      <c r="AK159"/>
      <c r="AL159" s="80"/>
      <c r="AO159"/>
      <c r="AP159"/>
      <c r="AQ159"/>
    </row>
    <row r="160" spans="1:43" s="762" customFormat="1" ht="15.75" customHeight="1">
      <c r="A160"/>
      <c r="B160" s="595"/>
      <c r="C160" s="595"/>
      <c r="D160"/>
      <c r="E160"/>
      <c r="F160"/>
      <c r="G160" s="80"/>
      <c r="H160"/>
      <c r="I160"/>
      <c r="J160"/>
      <c r="K160"/>
      <c r="L160"/>
      <c r="M160"/>
      <c r="N160" s="159"/>
      <c r="O160"/>
      <c r="P160" s="629"/>
      <c r="Q160" s="7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 s="926"/>
      <c r="AH160" s="80"/>
      <c r="AI160" s="80"/>
      <c r="AJ160" s="80"/>
      <c r="AK160"/>
      <c r="AL160" s="80"/>
      <c r="AO160"/>
      <c r="AP160"/>
      <c r="AQ160"/>
    </row>
    <row r="161" spans="1:43" s="762" customFormat="1" ht="15.75" customHeight="1">
      <c r="A161"/>
      <c r="B161" s="595"/>
      <c r="C161" s="595"/>
      <c r="D161"/>
      <c r="E161"/>
      <c r="F161"/>
      <c r="G161" s="80"/>
      <c r="H161"/>
      <c r="I161"/>
      <c r="J161"/>
      <c r="K161"/>
      <c r="L161"/>
      <c r="M161"/>
      <c r="N161" s="159"/>
      <c r="O161"/>
      <c r="P161" s="629"/>
      <c r="Q161" s="760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 s="926"/>
      <c r="AH161" s="80"/>
      <c r="AI161" s="80"/>
      <c r="AJ161" s="80"/>
      <c r="AK161"/>
      <c r="AL161" s="80"/>
      <c r="AO161"/>
      <c r="AP161"/>
      <c r="AQ161"/>
    </row>
    <row r="162" spans="1:43" s="762" customFormat="1" ht="15.75" customHeight="1">
      <c r="A162"/>
      <c r="B162" s="595"/>
      <c r="C162" s="595"/>
      <c r="D162"/>
      <c r="E162"/>
      <c r="F162"/>
      <c r="G162" s="80"/>
      <c r="H162"/>
      <c r="I162"/>
      <c r="J162"/>
      <c r="K162"/>
      <c r="L162"/>
      <c r="M162"/>
      <c r="N162" s="159"/>
      <c r="O162"/>
      <c r="P162" s="629"/>
      <c r="Q162" s="760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 s="926"/>
      <c r="AH162" s="80"/>
      <c r="AI162" s="80"/>
      <c r="AJ162" s="80"/>
      <c r="AK162"/>
      <c r="AL162" s="80"/>
      <c r="AO162"/>
      <c r="AP162"/>
      <c r="AQ162"/>
    </row>
    <row r="163" spans="1:43" s="762" customFormat="1" ht="15.75" customHeight="1">
      <c r="A163"/>
      <c r="B163" s="595"/>
      <c r="C163" s="595"/>
      <c r="D163"/>
      <c r="E163"/>
      <c r="F163"/>
      <c r="G163" s="80"/>
      <c r="H163"/>
      <c r="I163"/>
      <c r="J163"/>
      <c r="K163"/>
      <c r="L163"/>
      <c r="M163"/>
      <c r="N163" s="159"/>
      <c r="O163"/>
      <c r="P163" s="629"/>
      <c r="Q163" s="760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 s="926"/>
      <c r="AH163" s="80"/>
      <c r="AI163" s="80"/>
      <c r="AJ163" s="80"/>
      <c r="AK163"/>
      <c r="AL163" s="80"/>
      <c r="AO163"/>
      <c r="AP163"/>
      <c r="AQ163"/>
    </row>
    <row r="164" spans="1:43" s="762" customFormat="1" ht="15.75" customHeight="1">
      <c r="A164"/>
      <c r="B164" s="595"/>
      <c r="C164" s="595"/>
      <c r="D164"/>
      <c r="E164"/>
      <c r="F164"/>
      <c r="G164" s="80"/>
      <c r="H164"/>
      <c r="I164"/>
      <c r="J164"/>
      <c r="K164"/>
      <c r="L164"/>
      <c r="M164"/>
      <c r="N164" s="159"/>
      <c r="O164"/>
      <c r="P164" s="629"/>
      <c r="Q164" s="760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 s="926"/>
      <c r="AH164" s="80"/>
      <c r="AI164" s="80"/>
      <c r="AJ164" s="80"/>
      <c r="AK164"/>
      <c r="AL164" s="80"/>
      <c r="AO164"/>
      <c r="AP164"/>
      <c r="AQ164"/>
    </row>
    <row r="165" spans="1:43" s="762" customFormat="1" ht="15.75" customHeight="1">
      <c r="A165"/>
      <c r="B165" s="595"/>
      <c r="C165" s="595"/>
      <c r="D165"/>
      <c r="E165"/>
      <c r="F165"/>
      <c r="G165" s="80"/>
      <c r="H165"/>
      <c r="I165"/>
      <c r="J165"/>
      <c r="K165"/>
      <c r="L165"/>
      <c r="M165"/>
      <c r="N165" s="159"/>
      <c r="O165"/>
      <c r="P165" s="629"/>
      <c r="Q165" s="760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 s="926"/>
      <c r="AH165" s="80"/>
      <c r="AI165" s="80"/>
      <c r="AJ165" s="80"/>
      <c r="AK165"/>
      <c r="AL165" s="80"/>
      <c r="AO165"/>
      <c r="AP165"/>
      <c r="AQ165"/>
    </row>
    <row r="166" spans="1:43" s="762" customFormat="1" ht="15.75" customHeight="1">
      <c r="A166"/>
      <c r="B166" s="595"/>
      <c r="C166" s="595"/>
      <c r="D166"/>
      <c r="E166"/>
      <c r="F166"/>
      <c r="G166" s="80"/>
      <c r="H166"/>
      <c r="I166"/>
      <c r="J166"/>
      <c r="K166"/>
      <c r="L166"/>
      <c r="M166"/>
      <c r="N166" s="159"/>
      <c r="O166"/>
      <c r="P166" s="629"/>
      <c r="Q166" s="760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 s="926"/>
      <c r="AH166" s="80"/>
      <c r="AI166" s="80"/>
      <c r="AJ166" s="80"/>
      <c r="AK166"/>
      <c r="AL166" s="80"/>
      <c r="AO166"/>
      <c r="AP166"/>
      <c r="AQ166"/>
    </row>
    <row r="167" spans="1:43" s="762" customFormat="1" ht="15.75" customHeight="1">
      <c r="A167"/>
      <c r="B167" s="595"/>
      <c r="C167" s="595"/>
      <c r="D167"/>
      <c r="E167"/>
      <c r="F167"/>
      <c r="G167" s="80"/>
      <c r="H167"/>
      <c r="I167"/>
      <c r="J167"/>
      <c r="K167"/>
      <c r="L167"/>
      <c r="M167"/>
      <c r="N167" s="159"/>
      <c r="O167"/>
      <c r="P167" s="629"/>
      <c r="Q167" s="760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 s="926"/>
      <c r="AH167" s="80"/>
      <c r="AI167" s="80"/>
      <c r="AJ167" s="80"/>
      <c r="AK167"/>
      <c r="AL167" s="80"/>
      <c r="AO167"/>
      <c r="AP167"/>
      <c r="AQ167"/>
    </row>
    <row r="168" spans="1:43" s="762" customFormat="1" ht="15.75" customHeight="1">
      <c r="A168"/>
      <c r="B168" s="595"/>
      <c r="C168" s="595"/>
      <c r="D168"/>
      <c r="E168"/>
      <c r="F168"/>
      <c r="G168" s="80"/>
      <c r="H168"/>
      <c r="I168"/>
      <c r="J168"/>
      <c r="K168"/>
      <c r="L168"/>
      <c r="M168"/>
      <c r="N168" s="159"/>
      <c r="O168"/>
      <c r="P168" s="629"/>
      <c r="Q168" s="760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 s="926"/>
      <c r="AH168" s="80"/>
      <c r="AI168" s="80"/>
      <c r="AJ168" s="80"/>
      <c r="AK168"/>
      <c r="AL168" s="80"/>
      <c r="AO168"/>
      <c r="AP168"/>
      <c r="AQ168"/>
    </row>
    <row r="169" spans="1:43" s="762" customFormat="1" ht="15.75" customHeight="1">
      <c r="A169"/>
      <c r="B169" s="595"/>
      <c r="C169" s="595"/>
      <c r="D169"/>
      <c r="E169"/>
      <c r="F169"/>
      <c r="G169" s="80"/>
      <c r="H169"/>
      <c r="I169"/>
      <c r="J169"/>
      <c r="K169"/>
      <c r="L169"/>
      <c r="M169"/>
      <c r="N169" s="159"/>
      <c r="O169"/>
      <c r="P169" s="62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 s="926"/>
      <c r="AH169" s="80"/>
      <c r="AI169" s="80"/>
      <c r="AJ169" s="80"/>
      <c r="AK169"/>
      <c r="AL169" s="80"/>
      <c r="AO169"/>
      <c r="AP169"/>
      <c r="AQ169"/>
    </row>
    <row r="170" spans="1:43" s="762" customFormat="1" ht="15.75" customHeight="1">
      <c r="A170"/>
      <c r="B170" s="595"/>
      <c r="C170" s="595"/>
      <c r="D170"/>
      <c r="E170"/>
      <c r="F170"/>
      <c r="G170" s="80"/>
      <c r="H170"/>
      <c r="I170"/>
      <c r="J170"/>
      <c r="K170"/>
      <c r="L170"/>
      <c r="M170"/>
      <c r="N170" s="159"/>
      <c r="O170"/>
      <c r="P170" s="629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 s="926"/>
      <c r="AH170" s="80"/>
      <c r="AI170" s="80"/>
      <c r="AJ170" s="80"/>
      <c r="AK170"/>
      <c r="AL170" s="80"/>
      <c r="AO170"/>
      <c r="AP170"/>
      <c r="AQ170"/>
    </row>
    <row r="171" spans="1:43" s="762" customFormat="1" ht="15.75" customHeight="1">
      <c r="A171"/>
      <c r="B171" s="595"/>
      <c r="C171" s="595"/>
      <c r="D171"/>
      <c r="E171"/>
      <c r="F171"/>
      <c r="G171" s="80"/>
      <c r="H171"/>
      <c r="I171"/>
      <c r="J171"/>
      <c r="K171"/>
      <c r="L171"/>
      <c r="M171"/>
      <c r="N171" s="159"/>
      <c r="O171"/>
      <c r="P171" s="629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 s="926"/>
      <c r="AH171" s="80"/>
      <c r="AI171" s="80"/>
      <c r="AJ171" s="80"/>
      <c r="AK171"/>
      <c r="AL171" s="80"/>
      <c r="AO171"/>
      <c r="AP171"/>
      <c r="AQ171"/>
    </row>
    <row r="172" spans="1:43" s="762" customFormat="1" ht="15.75" customHeight="1">
      <c r="A172"/>
      <c r="B172" s="595"/>
      <c r="C172" s="595"/>
      <c r="D172"/>
      <c r="E172"/>
      <c r="F172"/>
      <c r="G172" s="80"/>
      <c r="H172"/>
      <c r="I172"/>
      <c r="J172"/>
      <c r="K172"/>
      <c r="L172"/>
      <c r="M172"/>
      <c r="N172" s="159"/>
      <c r="O172"/>
      <c r="P172" s="629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 s="926"/>
      <c r="AH172" s="80"/>
      <c r="AI172" s="80"/>
      <c r="AJ172" s="80"/>
      <c r="AK172"/>
      <c r="AL172" s="80"/>
      <c r="AO172"/>
      <c r="AP172"/>
      <c r="AQ172"/>
    </row>
    <row r="173" spans="1:43" s="762" customFormat="1" ht="15.75" customHeight="1">
      <c r="A173"/>
      <c r="B173" s="595"/>
      <c r="C173" s="595"/>
      <c r="D173"/>
      <c r="E173"/>
      <c r="F173"/>
      <c r="G173" s="80"/>
      <c r="H173"/>
      <c r="I173"/>
      <c r="J173"/>
      <c r="K173"/>
      <c r="L173"/>
      <c r="M173"/>
      <c r="N173" s="159"/>
      <c r="O173"/>
      <c r="P173" s="629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 s="926"/>
      <c r="AH173" s="80"/>
      <c r="AI173" s="80"/>
      <c r="AJ173" s="80"/>
      <c r="AK173"/>
      <c r="AL173" s="80"/>
      <c r="AO173"/>
      <c r="AP173"/>
      <c r="AQ173"/>
    </row>
    <row r="174" spans="1:43" s="762" customFormat="1" ht="15.75" customHeight="1">
      <c r="A174"/>
      <c r="B174" s="595"/>
      <c r="C174" s="595"/>
      <c r="D174"/>
      <c r="E174"/>
      <c r="F174"/>
      <c r="G174" s="80"/>
      <c r="H174"/>
      <c r="I174"/>
      <c r="J174"/>
      <c r="K174"/>
      <c r="L174"/>
      <c r="M174"/>
      <c r="N174" s="159"/>
      <c r="O174"/>
      <c r="P174" s="629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 s="926"/>
      <c r="AH174" s="80"/>
      <c r="AI174" s="80"/>
      <c r="AJ174" s="80"/>
      <c r="AK174"/>
      <c r="AL174" s="80"/>
      <c r="AO174"/>
      <c r="AP174"/>
      <c r="AQ174"/>
    </row>
    <row r="175" spans="1:43" s="762" customFormat="1" ht="15.75" customHeight="1">
      <c r="A175"/>
      <c r="B175" s="595"/>
      <c r="C175" s="595"/>
      <c r="D175"/>
      <c r="E175"/>
      <c r="F175"/>
      <c r="G175" s="80"/>
      <c r="H175"/>
      <c r="I175"/>
      <c r="J175"/>
      <c r="K175"/>
      <c r="L175"/>
      <c r="M175"/>
      <c r="N175" s="159"/>
      <c r="O175"/>
      <c r="P175" s="629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 s="926"/>
      <c r="AH175" s="80"/>
      <c r="AI175" s="80"/>
      <c r="AJ175" s="80"/>
      <c r="AK175"/>
      <c r="AL175" s="80"/>
      <c r="AO175"/>
      <c r="AP175"/>
      <c r="AQ175"/>
    </row>
    <row r="176" spans="1:43" s="762" customFormat="1" ht="15.75" customHeight="1">
      <c r="A176"/>
      <c r="B176" s="595"/>
      <c r="C176" s="595"/>
      <c r="D176"/>
      <c r="E176"/>
      <c r="F176"/>
      <c r="G176" s="80"/>
      <c r="H176"/>
      <c r="I176"/>
      <c r="J176"/>
      <c r="K176"/>
      <c r="L176"/>
      <c r="M176"/>
      <c r="N176" s="159"/>
      <c r="O176"/>
      <c r="P176" s="629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 s="926"/>
      <c r="AH176" s="80"/>
      <c r="AI176" s="80"/>
      <c r="AJ176" s="80"/>
      <c r="AK176"/>
      <c r="AL176" s="80"/>
      <c r="AO176"/>
      <c r="AP176"/>
      <c r="AQ176"/>
    </row>
    <row r="177" spans="1:43" s="762" customFormat="1" ht="15.75" customHeight="1">
      <c r="A177"/>
      <c r="B177" s="595"/>
      <c r="C177" s="595"/>
      <c r="D177"/>
      <c r="E177"/>
      <c r="F177"/>
      <c r="G177" s="80"/>
      <c r="H177"/>
      <c r="I177"/>
      <c r="J177"/>
      <c r="K177"/>
      <c r="L177"/>
      <c r="M177"/>
      <c r="N177" s="159"/>
      <c r="O177"/>
      <c r="P177" s="629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 s="926"/>
      <c r="AH177" s="80"/>
      <c r="AI177" s="80"/>
      <c r="AJ177" s="80"/>
      <c r="AK177"/>
      <c r="AL177" s="80"/>
      <c r="AO177"/>
      <c r="AP177"/>
      <c r="AQ177"/>
    </row>
    <row r="178" spans="1:43" s="762" customFormat="1" ht="15.75" customHeight="1">
      <c r="A178"/>
      <c r="B178" s="595"/>
      <c r="C178" s="595"/>
      <c r="D178"/>
      <c r="E178"/>
      <c r="F178"/>
      <c r="G178" s="80"/>
      <c r="H178"/>
      <c r="I178"/>
      <c r="J178"/>
      <c r="K178"/>
      <c r="L178"/>
      <c r="M178"/>
      <c r="N178" s="159"/>
      <c r="O178"/>
      <c r="P178" s="629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 s="926"/>
      <c r="AH178" s="80"/>
      <c r="AI178" s="80"/>
      <c r="AJ178" s="80"/>
      <c r="AK178"/>
      <c r="AL178" s="80"/>
      <c r="AO178"/>
      <c r="AP178"/>
      <c r="AQ178"/>
    </row>
    <row r="179" spans="1:43" s="762" customFormat="1" ht="15.75" customHeight="1">
      <c r="A179"/>
      <c r="B179" s="595"/>
      <c r="C179" s="595"/>
      <c r="D179"/>
      <c r="E179"/>
      <c r="F179"/>
      <c r="G179" s="80"/>
      <c r="H179"/>
      <c r="I179"/>
      <c r="J179"/>
      <c r="K179"/>
      <c r="L179"/>
      <c r="M179"/>
      <c r="N179" s="159"/>
      <c r="O179"/>
      <c r="P179" s="62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 s="926"/>
      <c r="AH179" s="80"/>
      <c r="AI179" s="80"/>
      <c r="AJ179" s="80"/>
      <c r="AK179"/>
      <c r="AL179" s="80"/>
      <c r="AO179"/>
      <c r="AP179"/>
      <c r="AQ179"/>
    </row>
    <row r="180" spans="1:43" s="762" customFormat="1" ht="15.75" customHeight="1">
      <c r="A180"/>
      <c r="B180" s="595"/>
      <c r="C180" s="595"/>
      <c r="D180"/>
      <c r="E180"/>
      <c r="F180"/>
      <c r="G180" s="80"/>
      <c r="H180"/>
      <c r="I180"/>
      <c r="J180"/>
      <c r="K180"/>
      <c r="L180"/>
      <c r="M180"/>
      <c r="N180" s="159"/>
      <c r="O180"/>
      <c r="P180" s="629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 s="926"/>
      <c r="AH180" s="80"/>
      <c r="AI180" s="80"/>
      <c r="AJ180" s="80"/>
      <c r="AK180"/>
      <c r="AL180" s="80"/>
      <c r="AO180"/>
      <c r="AP180"/>
      <c r="AQ180"/>
    </row>
    <row r="181" spans="1:43" s="762" customFormat="1" ht="15.75" customHeight="1">
      <c r="A181"/>
      <c r="B181" s="595"/>
      <c r="C181" s="595"/>
      <c r="D181"/>
      <c r="E181"/>
      <c r="F181"/>
      <c r="G181" s="80"/>
      <c r="H181"/>
      <c r="I181"/>
      <c r="J181"/>
      <c r="K181"/>
      <c r="L181"/>
      <c r="M181"/>
      <c r="N181" s="159"/>
      <c r="O181"/>
      <c r="P181" s="629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 s="926"/>
      <c r="AH181" s="80"/>
      <c r="AI181" s="80"/>
      <c r="AJ181" s="80"/>
      <c r="AK181"/>
      <c r="AL181" s="80"/>
      <c r="AO181"/>
      <c r="AP181"/>
      <c r="AQ181"/>
    </row>
    <row r="182" spans="1:43" s="762" customFormat="1" ht="15.75" customHeight="1">
      <c r="A182"/>
      <c r="B182" s="595"/>
      <c r="C182" s="595"/>
      <c r="D182"/>
      <c r="E182"/>
      <c r="F182"/>
      <c r="G182" s="80"/>
      <c r="H182"/>
      <c r="I182"/>
      <c r="J182"/>
      <c r="K182"/>
      <c r="L182"/>
      <c r="M182"/>
      <c r="N182" s="159"/>
      <c r="O182"/>
      <c r="P182" s="629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 s="926"/>
      <c r="AH182" s="80"/>
      <c r="AI182" s="80"/>
      <c r="AJ182" s="80"/>
      <c r="AK182"/>
      <c r="AL182" s="80"/>
      <c r="AO182"/>
      <c r="AP182"/>
      <c r="AQ182"/>
    </row>
    <row r="183" spans="1:43" s="762" customFormat="1" ht="15.75" customHeight="1">
      <c r="A183"/>
      <c r="B183" s="595"/>
      <c r="C183" s="595"/>
      <c r="D183"/>
      <c r="E183"/>
      <c r="F183"/>
      <c r="G183" s="80"/>
      <c r="H183"/>
      <c r="I183"/>
      <c r="J183"/>
      <c r="K183"/>
      <c r="L183"/>
      <c r="M183"/>
      <c r="N183" s="159"/>
      <c r="O183"/>
      <c r="P183" s="629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 s="926"/>
      <c r="AH183" s="80"/>
      <c r="AI183" s="80"/>
      <c r="AJ183" s="80"/>
      <c r="AK183"/>
      <c r="AL183" s="80"/>
      <c r="AO183"/>
      <c r="AP183"/>
      <c r="AQ183"/>
    </row>
    <row r="184" spans="1:43" s="762" customFormat="1" ht="15.75" customHeight="1">
      <c r="A184"/>
      <c r="B184" s="595"/>
      <c r="C184" s="595"/>
      <c r="D184"/>
      <c r="E184"/>
      <c r="F184"/>
      <c r="G184" s="80"/>
      <c r="H184"/>
      <c r="I184"/>
      <c r="J184"/>
      <c r="K184"/>
      <c r="L184"/>
      <c r="M184"/>
      <c r="N184" s="159"/>
      <c r="O184"/>
      <c r="P184" s="629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 s="926"/>
      <c r="AH184" s="80"/>
      <c r="AI184" s="80"/>
      <c r="AJ184" s="80"/>
      <c r="AK184"/>
      <c r="AL184" s="80"/>
      <c r="AO184"/>
      <c r="AP184"/>
      <c r="AQ184"/>
    </row>
    <row r="185" spans="1:43" s="762" customFormat="1" ht="15.75" customHeight="1">
      <c r="A185"/>
      <c r="B185" s="595"/>
      <c r="C185" s="595"/>
      <c r="D185"/>
      <c r="E185"/>
      <c r="F185"/>
      <c r="G185" s="80"/>
      <c r="H185"/>
      <c r="I185"/>
      <c r="J185"/>
      <c r="K185"/>
      <c r="L185"/>
      <c r="M185"/>
      <c r="N185" s="159"/>
      <c r="O185"/>
      <c r="P185" s="629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 s="926"/>
      <c r="AH185" s="80"/>
      <c r="AI185" s="80"/>
      <c r="AJ185" s="80"/>
      <c r="AK185"/>
      <c r="AL185" s="80"/>
      <c r="AO185"/>
      <c r="AP185"/>
      <c r="AQ185"/>
    </row>
    <row r="186" spans="1:43" s="762" customFormat="1" ht="15.75" customHeight="1">
      <c r="A186"/>
      <c r="B186" s="595"/>
      <c r="C186" s="595"/>
      <c r="D186"/>
      <c r="E186"/>
      <c r="F186"/>
      <c r="G186" s="80"/>
      <c r="H186"/>
      <c r="I186"/>
      <c r="J186"/>
      <c r="K186"/>
      <c r="L186"/>
      <c r="M186"/>
      <c r="N186" s="159"/>
      <c r="O186"/>
      <c r="P186" s="629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 s="926"/>
      <c r="AH186" s="80"/>
      <c r="AI186" s="80"/>
      <c r="AJ186" s="80"/>
      <c r="AK186"/>
      <c r="AL186" s="80"/>
      <c r="AO186"/>
      <c r="AP186"/>
      <c r="AQ186"/>
    </row>
    <row r="187" spans="1:43" s="762" customFormat="1" ht="15.75" customHeight="1">
      <c r="A187"/>
      <c r="B187" s="595"/>
      <c r="C187" s="595"/>
      <c r="D187"/>
      <c r="E187"/>
      <c r="F187"/>
      <c r="G187" s="80"/>
      <c r="H187"/>
      <c r="I187"/>
      <c r="J187"/>
      <c r="K187"/>
      <c r="L187"/>
      <c r="M187"/>
      <c r="N187" s="159"/>
      <c r="O187"/>
      <c r="P187" s="629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 s="926"/>
      <c r="AH187" s="80"/>
      <c r="AI187" s="80"/>
      <c r="AJ187" s="80"/>
      <c r="AK187"/>
      <c r="AL187" s="80"/>
      <c r="AO187"/>
      <c r="AP187"/>
      <c r="AQ187"/>
    </row>
    <row r="188" spans="1:43" s="762" customFormat="1" ht="15.75" customHeight="1">
      <c r="A188"/>
      <c r="B188" s="595"/>
      <c r="C188" s="595"/>
      <c r="D188"/>
      <c r="E188"/>
      <c r="F188"/>
      <c r="G188" s="80"/>
      <c r="H188"/>
      <c r="I188"/>
      <c r="J188"/>
      <c r="K188"/>
      <c r="L188"/>
      <c r="M188"/>
      <c r="N188" s="159"/>
      <c r="O188"/>
      <c r="P188" s="629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 s="926"/>
      <c r="AH188" s="80"/>
      <c r="AI188" s="80"/>
      <c r="AJ188" s="80"/>
      <c r="AK188"/>
      <c r="AL188" s="80"/>
      <c r="AO188"/>
      <c r="AP188"/>
      <c r="AQ188"/>
    </row>
    <row r="189" spans="1:43" s="762" customFormat="1" ht="15.75" customHeight="1">
      <c r="A189"/>
      <c r="B189" s="595"/>
      <c r="C189" s="595"/>
      <c r="D189"/>
      <c r="E189"/>
      <c r="F189"/>
      <c r="G189" s="80"/>
      <c r="H189"/>
      <c r="I189"/>
      <c r="J189"/>
      <c r="K189"/>
      <c r="L189"/>
      <c r="M189"/>
      <c r="N189" s="159"/>
      <c r="O189"/>
      <c r="P189" s="62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 s="926"/>
      <c r="AH189" s="80"/>
      <c r="AI189" s="80"/>
      <c r="AJ189" s="80"/>
      <c r="AK189"/>
      <c r="AL189" s="80"/>
      <c r="AO189"/>
      <c r="AP189"/>
      <c r="AQ189"/>
    </row>
    <row r="190" spans="1:43" s="762" customFormat="1" ht="15.75" customHeight="1">
      <c r="A190"/>
      <c r="B190" s="595"/>
      <c r="C190" s="595"/>
      <c r="D190"/>
      <c r="E190"/>
      <c r="F190"/>
      <c r="G190" s="80"/>
      <c r="H190"/>
      <c r="I190"/>
      <c r="J190"/>
      <c r="K190"/>
      <c r="L190"/>
      <c r="M190"/>
      <c r="N190" s="159"/>
      <c r="O190"/>
      <c r="P190" s="629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 s="926"/>
      <c r="AH190" s="80"/>
      <c r="AI190" s="80"/>
      <c r="AJ190" s="80"/>
      <c r="AK190"/>
      <c r="AL190" s="80"/>
      <c r="AO190"/>
      <c r="AP190"/>
      <c r="AQ190"/>
    </row>
    <row r="191" spans="1:43" s="762" customFormat="1" ht="15.75" customHeight="1">
      <c r="A191"/>
      <c r="B191" s="595"/>
      <c r="C191" s="595"/>
      <c r="D191"/>
      <c r="E191"/>
      <c r="F191"/>
      <c r="G191" s="80"/>
      <c r="H191"/>
      <c r="I191"/>
      <c r="J191"/>
      <c r="K191"/>
      <c r="L191"/>
      <c r="M191"/>
      <c r="N191" s="159"/>
      <c r="O191"/>
      <c r="P191" s="629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 s="926"/>
      <c r="AH191" s="80"/>
      <c r="AI191" s="80"/>
      <c r="AJ191" s="80"/>
      <c r="AK191"/>
      <c r="AL191" s="80"/>
      <c r="AO191"/>
      <c r="AP191"/>
      <c r="AQ191"/>
    </row>
    <row r="192" spans="1:43" s="762" customFormat="1" ht="15.75" customHeight="1">
      <c r="A192"/>
      <c r="B192" s="595"/>
      <c r="C192" s="595"/>
      <c r="D192"/>
      <c r="E192"/>
      <c r="F192"/>
      <c r="G192" s="80"/>
      <c r="H192"/>
      <c r="I192"/>
      <c r="J192"/>
      <c r="K192"/>
      <c r="L192"/>
      <c r="M192"/>
      <c r="N192" s="159"/>
      <c r="O192"/>
      <c r="P192" s="629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 s="926"/>
      <c r="AH192" s="80"/>
      <c r="AI192" s="80"/>
      <c r="AJ192" s="80"/>
      <c r="AK192"/>
      <c r="AL192" s="80"/>
      <c r="AO192"/>
      <c r="AP192"/>
      <c r="AQ192"/>
    </row>
    <row r="193" spans="1:43" s="762" customFormat="1" ht="15.75" customHeight="1">
      <c r="A193"/>
      <c r="B193" s="595"/>
      <c r="C193" s="595"/>
      <c r="D193"/>
      <c r="E193"/>
      <c r="F193"/>
      <c r="G193" s="80"/>
      <c r="H193"/>
      <c r="I193"/>
      <c r="J193"/>
      <c r="K193"/>
      <c r="L193"/>
      <c r="M193"/>
      <c r="N193" s="159"/>
      <c r="O193"/>
      <c r="P193" s="629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 s="926"/>
      <c r="AH193" s="80"/>
      <c r="AI193" s="80"/>
      <c r="AJ193" s="80"/>
      <c r="AK193"/>
      <c r="AL193" s="80"/>
      <c r="AO193"/>
      <c r="AP193"/>
      <c r="AQ193"/>
    </row>
    <row r="194" spans="1:43" s="762" customFormat="1" ht="15.75" customHeight="1">
      <c r="A194"/>
      <c r="B194" s="595"/>
      <c r="C194" s="595"/>
      <c r="D194"/>
      <c r="E194"/>
      <c r="F194"/>
      <c r="G194" s="80"/>
      <c r="H194"/>
      <c r="I194"/>
      <c r="J194"/>
      <c r="K194"/>
      <c r="L194"/>
      <c r="M194"/>
      <c r="N194" s="159"/>
      <c r="O194"/>
      <c r="P194" s="629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 s="926"/>
      <c r="AH194" s="80"/>
      <c r="AI194" s="80"/>
      <c r="AJ194" s="80"/>
      <c r="AK194"/>
      <c r="AL194" s="80"/>
      <c r="AO194"/>
      <c r="AP194"/>
      <c r="AQ194"/>
    </row>
    <row r="195" spans="1:43" s="762" customFormat="1" ht="15.75" customHeight="1">
      <c r="A195"/>
      <c r="B195" s="595"/>
      <c r="C195" s="595"/>
      <c r="D195"/>
      <c r="E195"/>
      <c r="F195"/>
      <c r="G195" s="80"/>
      <c r="H195"/>
      <c r="I195"/>
      <c r="J195"/>
      <c r="K195"/>
      <c r="L195"/>
      <c r="M195"/>
      <c r="N195" s="159"/>
      <c r="O195"/>
      <c r="P195" s="629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 s="926"/>
      <c r="AH195" s="80"/>
      <c r="AI195" s="80"/>
      <c r="AJ195" s="80"/>
      <c r="AK195"/>
      <c r="AL195" s="80"/>
      <c r="AO195"/>
      <c r="AP195"/>
      <c r="AQ195"/>
    </row>
    <row r="196" spans="1:43" s="762" customFormat="1" ht="15.75" customHeight="1">
      <c r="A196"/>
      <c r="B196" s="595"/>
      <c r="C196" s="595"/>
      <c r="D196"/>
      <c r="E196"/>
      <c r="F196"/>
      <c r="G196" s="80"/>
      <c r="H196"/>
      <c r="I196"/>
      <c r="J196"/>
      <c r="K196"/>
      <c r="L196"/>
      <c r="M196"/>
      <c r="N196" s="159"/>
      <c r="O196"/>
      <c r="P196" s="629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 s="926"/>
      <c r="AH196" s="80"/>
      <c r="AI196" s="80"/>
      <c r="AJ196" s="80"/>
      <c r="AK196"/>
      <c r="AL196" s="80"/>
      <c r="AO196"/>
      <c r="AP196"/>
      <c r="AQ196"/>
    </row>
    <row r="197" spans="1:43" s="762" customFormat="1" ht="15.75" customHeight="1">
      <c r="A197"/>
      <c r="B197" s="595"/>
      <c r="C197" s="595"/>
      <c r="D197"/>
      <c r="E197"/>
      <c r="F197"/>
      <c r="G197" s="80"/>
      <c r="H197"/>
      <c r="I197"/>
      <c r="J197"/>
      <c r="K197"/>
      <c r="L197"/>
      <c r="M197"/>
      <c r="N197" s="159"/>
      <c r="O197"/>
      <c r="P197" s="629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 s="926"/>
      <c r="AH197" s="80"/>
      <c r="AI197" s="80"/>
      <c r="AJ197" s="80"/>
      <c r="AK197"/>
      <c r="AL197" s="80"/>
      <c r="AO197"/>
      <c r="AP197"/>
      <c r="AQ197"/>
    </row>
    <row r="198" spans="1:43" s="762" customFormat="1" ht="15.75" customHeight="1">
      <c r="A198"/>
      <c r="B198" s="595"/>
      <c r="C198" s="595"/>
      <c r="D198"/>
      <c r="E198"/>
      <c r="F198"/>
      <c r="G198" s="80"/>
      <c r="H198"/>
      <c r="I198"/>
      <c r="J198"/>
      <c r="K198"/>
      <c r="L198"/>
      <c r="M198"/>
      <c r="N198" s="159"/>
      <c r="O198"/>
      <c r="P198" s="629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 s="926"/>
      <c r="AH198" s="80"/>
      <c r="AI198" s="80"/>
      <c r="AJ198" s="80"/>
      <c r="AK198"/>
      <c r="AL198" s="80"/>
      <c r="AO198"/>
      <c r="AP198"/>
      <c r="AQ198"/>
    </row>
    <row r="199" spans="1:43" s="762" customFormat="1" ht="15.75" customHeight="1">
      <c r="A199"/>
      <c r="B199"/>
      <c r="C199"/>
      <c r="D199"/>
      <c r="E199"/>
      <c r="F199"/>
      <c r="G199" s="80"/>
      <c r="H199"/>
      <c r="I199"/>
      <c r="J199"/>
      <c r="K199"/>
      <c r="L199"/>
      <c r="M199"/>
      <c r="N199" s="159"/>
      <c r="O199"/>
      <c r="P199" s="62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 s="926"/>
      <c r="AH199" s="80"/>
      <c r="AI199" s="80"/>
      <c r="AJ199" s="80"/>
      <c r="AK199"/>
      <c r="AL199" s="80"/>
      <c r="AO199"/>
      <c r="AP199"/>
      <c r="AQ199"/>
    </row>
    <row r="200" spans="1:43" s="762" customFormat="1" ht="15.75" customHeight="1">
      <c r="A200"/>
      <c r="B200"/>
      <c r="C200"/>
      <c r="D200"/>
      <c r="E200"/>
      <c r="F200"/>
      <c r="G200" s="80"/>
      <c r="H200"/>
      <c r="I200"/>
      <c r="J200"/>
      <c r="K200"/>
      <c r="L200"/>
      <c r="M200"/>
      <c r="N200" s="159"/>
      <c r="O200"/>
      <c r="P200" s="629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 s="926"/>
      <c r="AH200" s="80"/>
      <c r="AI200" s="80"/>
      <c r="AJ200" s="80"/>
      <c r="AK200"/>
      <c r="AL200" s="80"/>
      <c r="AO200"/>
      <c r="AP200"/>
      <c r="AQ200"/>
    </row>
    <row r="201" spans="1:43" s="762" customFormat="1" ht="15.75" customHeight="1">
      <c r="A201"/>
      <c r="B201"/>
      <c r="C201"/>
      <c r="D201"/>
      <c r="E201"/>
      <c r="F201"/>
      <c r="G201" s="80"/>
      <c r="H201"/>
      <c r="I201"/>
      <c r="J201"/>
      <c r="K201"/>
      <c r="L201"/>
      <c r="M201"/>
      <c r="N201" s="159"/>
      <c r="O201"/>
      <c r="P201" s="629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 s="926"/>
      <c r="AH201" s="80"/>
      <c r="AI201" s="80"/>
      <c r="AJ201" s="80"/>
      <c r="AK201"/>
      <c r="AL201" s="80"/>
      <c r="AO201"/>
      <c r="AP201"/>
      <c r="AQ201"/>
    </row>
    <row r="202" spans="1:43" s="762" customFormat="1" ht="15.75" customHeight="1">
      <c r="A202"/>
      <c r="B202"/>
      <c r="C202"/>
      <c r="D202"/>
      <c r="E202"/>
      <c r="F202"/>
      <c r="G202" s="80"/>
      <c r="H202"/>
      <c r="I202"/>
      <c r="J202"/>
      <c r="K202"/>
      <c r="L202"/>
      <c r="M202"/>
      <c r="N202" s="159"/>
      <c r="O202"/>
      <c r="P202" s="629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 s="926"/>
      <c r="AH202" s="80"/>
      <c r="AI202" s="80"/>
      <c r="AJ202" s="80"/>
      <c r="AK202"/>
      <c r="AL202" s="80"/>
      <c r="AO202"/>
      <c r="AP202"/>
      <c r="AQ202"/>
    </row>
    <row r="203" spans="1:43" s="762" customFormat="1" ht="15.75" customHeight="1">
      <c r="A203"/>
      <c r="B203"/>
      <c r="C203"/>
      <c r="D203"/>
      <c r="E203"/>
      <c r="F203"/>
      <c r="G203" s="80"/>
      <c r="H203"/>
      <c r="I203"/>
      <c r="J203"/>
      <c r="K203"/>
      <c r="L203"/>
      <c r="M203"/>
      <c r="N203" s="159"/>
      <c r="O203"/>
      <c r="P203" s="629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 s="926"/>
      <c r="AH203" s="80"/>
      <c r="AI203" s="80"/>
      <c r="AJ203" s="80"/>
      <c r="AK203"/>
      <c r="AL203" s="80"/>
      <c r="AO203"/>
      <c r="AP203"/>
      <c r="AQ203"/>
    </row>
    <row r="204" spans="1:43" s="762" customFormat="1" ht="15.75" customHeight="1">
      <c r="A204"/>
      <c r="B204"/>
      <c r="C204"/>
      <c r="D204"/>
      <c r="E204"/>
      <c r="F204"/>
      <c r="G204" s="80"/>
      <c r="H204"/>
      <c r="I204"/>
      <c r="J204"/>
      <c r="K204"/>
      <c r="L204"/>
      <c r="M204"/>
      <c r="N204" s="159"/>
      <c r="O204"/>
      <c r="P204" s="629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 s="926"/>
      <c r="AH204" s="80"/>
      <c r="AI204" s="80"/>
      <c r="AJ204" s="80"/>
      <c r="AK204"/>
      <c r="AL204" s="80"/>
      <c r="AO204"/>
      <c r="AP204"/>
      <c r="AQ204"/>
    </row>
    <row r="205" spans="1:43" s="762" customFormat="1" ht="15.75" customHeight="1">
      <c r="A205"/>
      <c r="B205"/>
      <c r="C205"/>
      <c r="D205"/>
      <c r="E205"/>
      <c r="F205"/>
      <c r="G205" s="80"/>
      <c r="H205"/>
      <c r="I205"/>
      <c r="J205"/>
      <c r="K205"/>
      <c r="L205"/>
      <c r="M205"/>
      <c r="N205" s="159"/>
      <c r="O205"/>
      <c r="P205" s="629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 s="926"/>
      <c r="AH205" s="80"/>
      <c r="AI205" s="80"/>
      <c r="AJ205" s="80"/>
      <c r="AK205"/>
      <c r="AL205" s="80"/>
      <c r="AO205"/>
      <c r="AP205"/>
      <c r="AQ205"/>
    </row>
    <row r="206" spans="1:43" s="762" customFormat="1" ht="15.75" customHeight="1">
      <c r="A206"/>
      <c r="B206"/>
      <c r="C206"/>
      <c r="D206"/>
      <c r="E206"/>
      <c r="F206"/>
      <c r="G206" s="80"/>
      <c r="H206"/>
      <c r="I206"/>
      <c r="J206"/>
      <c r="K206"/>
      <c r="L206"/>
      <c r="M206"/>
      <c r="N206" s="159"/>
      <c r="O206"/>
      <c r="P206" s="629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 s="926"/>
      <c r="AH206" s="80"/>
      <c r="AI206" s="80"/>
      <c r="AJ206" s="80"/>
      <c r="AK206"/>
      <c r="AL206" s="80"/>
      <c r="AO206"/>
      <c r="AP206"/>
      <c r="AQ206"/>
    </row>
    <row r="207" spans="1:43" s="762" customFormat="1" ht="15.75" customHeight="1">
      <c r="A207"/>
      <c r="B207"/>
      <c r="C207"/>
      <c r="D207"/>
      <c r="E207"/>
      <c r="F207"/>
      <c r="G207" s="80"/>
      <c r="H207"/>
      <c r="I207"/>
      <c r="J207"/>
      <c r="K207"/>
      <c r="L207"/>
      <c r="M207"/>
      <c r="N207" s="159"/>
      <c r="O207"/>
      <c r="P207" s="629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 s="926"/>
      <c r="AH207" s="80"/>
      <c r="AI207" s="80"/>
      <c r="AJ207" s="80"/>
      <c r="AK207"/>
      <c r="AL207" s="80"/>
      <c r="AO207"/>
      <c r="AP207"/>
      <c r="AQ207"/>
    </row>
    <row r="208" spans="1:43" s="762" customFormat="1" ht="15.75" customHeight="1">
      <c r="A208"/>
      <c r="B208"/>
      <c r="C208"/>
      <c r="D208"/>
      <c r="E208"/>
      <c r="F208"/>
      <c r="G208" s="80"/>
      <c r="H208"/>
      <c r="I208"/>
      <c r="J208"/>
      <c r="K208"/>
      <c r="L208"/>
      <c r="M208"/>
      <c r="N208" s="159"/>
      <c r="O208"/>
      <c r="P208" s="629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 s="926"/>
      <c r="AH208" s="80"/>
      <c r="AI208" s="80"/>
      <c r="AJ208" s="80"/>
      <c r="AK208"/>
      <c r="AL208" s="80"/>
      <c r="AO208"/>
      <c r="AP208"/>
      <c r="AQ208"/>
    </row>
    <row r="209" spans="1:43" s="762" customFormat="1" ht="15.75" customHeight="1">
      <c r="A209"/>
      <c r="B209"/>
      <c r="C209"/>
      <c r="D209"/>
      <c r="E209"/>
      <c r="F209"/>
      <c r="G209" s="80"/>
      <c r="H209"/>
      <c r="I209"/>
      <c r="J209"/>
      <c r="K209"/>
      <c r="L209"/>
      <c r="M209"/>
      <c r="N209" s="159"/>
      <c r="O209"/>
      <c r="P209" s="62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 s="926"/>
      <c r="AH209" s="80"/>
      <c r="AI209" s="80"/>
      <c r="AJ209" s="80"/>
      <c r="AK209"/>
      <c r="AL209" s="80"/>
      <c r="AO209"/>
      <c r="AP209"/>
      <c r="AQ209"/>
    </row>
    <row r="210" spans="1:43" s="762" customFormat="1" ht="15.75" customHeight="1">
      <c r="A210"/>
      <c r="B210"/>
      <c r="C210"/>
      <c r="D210"/>
      <c r="E210"/>
      <c r="F210"/>
      <c r="G210" s="80"/>
      <c r="H210"/>
      <c r="I210"/>
      <c r="J210"/>
      <c r="K210"/>
      <c r="L210"/>
      <c r="M210"/>
      <c r="N210" s="159"/>
      <c r="O210"/>
      <c r="P210" s="629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 s="926"/>
      <c r="AH210" s="80"/>
      <c r="AI210" s="80"/>
      <c r="AJ210" s="80"/>
      <c r="AK210"/>
      <c r="AL210" s="80"/>
      <c r="AO210"/>
      <c r="AP210"/>
      <c r="AQ210"/>
    </row>
    <row r="211" spans="1:43" s="762" customFormat="1" ht="15.75" customHeight="1">
      <c r="A211"/>
      <c r="B211"/>
      <c r="C211"/>
      <c r="D211"/>
      <c r="E211"/>
      <c r="F211"/>
      <c r="G211" s="80"/>
      <c r="H211"/>
      <c r="I211"/>
      <c r="J211"/>
      <c r="K211"/>
      <c r="L211"/>
      <c r="M211"/>
      <c r="N211" s="159"/>
      <c r="O211"/>
      <c r="P211" s="629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 s="926"/>
      <c r="AH211" s="80"/>
      <c r="AI211" s="80"/>
      <c r="AJ211" s="80"/>
      <c r="AK211"/>
      <c r="AL211" s="80"/>
      <c r="AO211"/>
      <c r="AP211"/>
      <c r="AQ211"/>
    </row>
    <row r="212" spans="1:43" s="762" customFormat="1" ht="15.75" customHeight="1">
      <c r="A212"/>
      <c r="B212"/>
      <c r="C212"/>
      <c r="D212"/>
      <c r="E212"/>
      <c r="F212"/>
      <c r="G212" s="80"/>
      <c r="H212"/>
      <c r="I212"/>
      <c r="J212"/>
      <c r="K212"/>
      <c r="L212"/>
      <c r="M212"/>
      <c r="N212"/>
      <c r="O212"/>
      <c r="P212" s="629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 s="926"/>
      <c r="AH212" s="80"/>
      <c r="AI212" s="80"/>
      <c r="AJ212" s="80"/>
      <c r="AK212"/>
      <c r="AL212" s="80"/>
      <c r="AO212"/>
      <c r="AP212"/>
      <c r="AQ212"/>
    </row>
    <row r="213" spans="1:43" s="762" customFormat="1" ht="15.75" customHeight="1">
      <c r="A213"/>
      <c r="B213"/>
      <c r="C213"/>
      <c r="D213"/>
      <c r="E213"/>
      <c r="F213"/>
      <c r="G213" s="80"/>
      <c r="H213"/>
      <c r="I213"/>
      <c r="J213"/>
      <c r="K213"/>
      <c r="L213"/>
      <c r="M213"/>
      <c r="N213"/>
      <c r="O213"/>
      <c r="P213" s="629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 s="926"/>
      <c r="AH213" s="80"/>
      <c r="AI213" s="80"/>
      <c r="AJ213" s="80"/>
      <c r="AK213"/>
      <c r="AL213" s="80"/>
      <c r="AO213"/>
      <c r="AP213"/>
      <c r="AQ213"/>
    </row>
    <row r="214" spans="1:43" s="762" customFormat="1" ht="15.75" customHeight="1">
      <c r="A214"/>
      <c r="B214"/>
      <c r="C214"/>
      <c r="D214"/>
      <c r="E214"/>
      <c r="F214"/>
      <c r="G214" s="80"/>
      <c r="H214"/>
      <c r="I214"/>
      <c r="J214"/>
      <c r="K214"/>
      <c r="L214"/>
      <c r="M214"/>
      <c r="N214"/>
      <c r="O214"/>
      <c r="P214" s="629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 s="926"/>
      <c r="AH214" s="80"/>
      <c r="AI214" s="80"/>
      <c r="AJ214" s="80"/>
      <c r="AK214"/>
      <c r="AL214" s="80"/>
      <c r="AO214"/>
      <c r="AP214"/>
      <c r="AQ214"/>
    </row>
    <row r="215" spans="1:43" s="762" customFormat="1" ht="15.75" customHeight="1">
      <c r="A215"/>
      <c r="B215"/>
      <c r="C215"/>
      <c r="D215"/>
      <c r="E215"/>
      <c r="F215"/>
      <c r="G215" s="80"/>
      <c r="H215"/>
      <c r="I215"/>
      <c r="J215"/>
      <c r="K215"/>
      <c r="L215"/>
      <c r="M215"/>
      <c r="N215"/>
      <c r="O215"/>
      <c r="P215" s="629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 s="926"/>
      <c r="AH215" s="80"/>
      <c r="AI215" s="80"/>
      <c r="AJ215" s="80"/>
      <c r="AK215"/>
      <c r="AL215" s="80"/>
      <c r="AO215"/>
      <c r="AP215"/>
      <c r="AQ215"/>
    </row>
    <row r="216" spans="1:43" s="762" customFormat="1" ht="15.75" customHeight="1">
      <c r="A216"/>
      <c r="B216"/>
      <c r="C216"/>
      <c r="D216"/>
      <c r="E216"/>
      <c r="F216"/>
      <c r="G216" s="80"/>
      <c r="H216"/>
      <c r="I216"/>
      <c r="J216"/>
      <c r="K216"/>
      <c r="L216"/>
      <c r="M216"/>
      <c r="N216"/>
      <c r="O216"/>
      <c r="P216" s="629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 s="926"/>
      <c r="AH216" s="80"/>
      <c r="AI216" s="80"/>
      <c r="AJ216" s="80"/>
      <c r="AK216"/>
      <c r="AL216" s="80"/>
      <c r="AO216"/>
      <c r="AP216"/>
      <c r="AQ216"/>
    </row>
    <row r="217" spans="1:43" s="762" customFormat="1" ht="15.75" customHeight="1">
      <c r="A217"/>
      <c r="B217"/>
      <c r="C217"/>
      <c r="D217"/>
      <c r="E217"/>
      <c r="F217"/>
      <c r="G217" s="80"/>
      <c r="H217"/>
      <c r="I217"/>
      <c r="J217"/>
      <c r="K217"/>
      <c r="L217"/>
      <c r="M217"/>
      <c r="N217"/>
      <c r="O217"/>
      <c r="P217" s="629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 s="926"/>
      <c r="AH217" s="80"/>
      <c r="AI217" s="80"/>
      <c r="AJ217" s="80"/>
      <c r="AK217"/>
      <c r="AL217" s="80"/>
      <c r="AO217"/>
      <c r="AP217"/>
      <c r="AQ217"/>
    </row>
    <row r="218" spans="1:43" s="762" customFormat="1" ht="15.75" customHeight="1">
      <c r="A218"/>
      <c r="B218"/>
      <c r="C218"/>
      <c r="D218"/>
      <c r="E218"/>
      <c r="F218"/>
      <c r="G218" s="80"/>
      <c r="H218"/>
      <c r="I218"/>
      <c r="J218"/>
      <c r="K218"/>
      <c r="L218"/>
      <c r="M218"/>
      <c r="N218"/>
      <c r="O218"/>
      <c r="P218" s="629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 s="926"/>
      <c r="AH218" s="80"/>
      <c r="AI218" s="80"/>
      <c r="AJ218" s="80"/>
      <c r="AK218"/>
      <c r="AL218" s="80"/>
      <c r="AO218"/>
      <c r="AP218"/>
      <c r="AQ218"/>
    </row>
    <row r="219" spans="1:43" s="762" customFormat="1" ht="15.75" customHeight="1">
      <c r="A219"/>
      <c r="B219"/>
      <c r="C219"/>
      <c r="D219"/>
      <c r="E219"/>
      <c r="F219"/>
      <c r="G219" s="80"/>
      <c r="H219"/>
      <c r="I219"/>
      <c r="J219"/>
      <c r="K219"/>
      <c r="L219"/>
      <c r="M219"/>
      <c r="N219"/>
      <c r="O219"/>
      <c r="P219" s="62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 s="926"/>
      <c r="AH219" s="80"/>
      <c r="AI219" s="80"/>
      <c r="AJ219" s="80"/>
      <c r="AK219"/>
      <c r="AL219" s="80"/>
      <c r="AO219"/>
      <c r="AP219"/>
      <c r="AQ219"/>
    </row>
    <row r="220" spans="1:43" s="762" customFormat="1" ht="15.75" customHeight="1">
      <c r="A220"/>
      <c r="B220"/>
      <c r="C220"/>
      <c r="D220"/>
      <c r="E220"/>
      <c r="F220"/>
      <c r="G220" s="80"/>
      <c r="H220"/>
      <c r="I220"/>
      <c r="J220"/>
      <c r="K220"/>
      <c r="L220"/>
      <c r="M220"/>
      <c r="N220"/>
      <c r="O220"/>
      <c r="P220" s="629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 s="926"/>
      <c r="AH220" s="80"/>
      <c r="AI220" s="80"/>
      <c r="AJ220" s="80"/>
      <c r="AK220"/>
      <c r="AL220" s="80"/>
      <c r="AO220"/>
      <c r="AP220"/>
      <c r="AQ220"/>
    </row>
    <row r="221" spans="1:43" s="762" customFormat="1" ht="15.75" customHeight="1">
      <c r="A221"/>
      <c r="B221"/>
      <c r="C221"/>
      <c r="D221"/>
      <c r="E221"/>
      <c r="F221"/>
      <c r="G221" s="80"/>
      <c r="H221"/>
      <c r="I221"/>
      <c r="J221"/>
      <c r="K221"/>
      <c r="L221"/>
      <c r="M221"/>
      <c r="N221"/>
      <c r="O221"/>
      <c r="P221" s="629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 s="926"/>
      <c r="AH221" s="80"/>
      <c r="AI221" s="80"/>
      <c r="AJ221" s="80"/>
      <c r="AK221"/>
      <c r="AL221" s="80"/>
      <c r="AO221"/>
      <c r="AP221"/>
      <c r="AQ221"/>
    </row>
    <row r="222" spans="1:43" s="762" customFormat="1" ht="15.75" customHeight="1">
      <c r="A222"/>
      <c r="B222"/>
      <c r="C222"/>
      <c r="D222"/>
      <c r="E222"/>
      <c r="F222"/>
      <c r="G222" s="80"/>
      <c r="H222"/>
      <c r="I222"/>
      <c r="J222"/>
      <c r="K222"/>
      <c r="L222"/>
      <c r="M222"/>
      <c r="N222"/>
      <c r="O222"/>
      <c r="P222" s="629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 s="926"/>
      <c r="AH222" s="80"/>
      <c r="AI222" s="80"/>
      <c r="AJ222" s="80"/>
      <c r="AK222"/>
      <c r="AL222" s="80"/>
      <c r="AO222"/>
      <c r="AP222"/>
      <c r="AQ222"/>
    </row>
    <row r="223" spans="1:43" s="762" customFormat="1" ht="15.75" customHeight="1">
      <c r="A223"/>
      <c r="B223"/>
      <c r="C223"/>
      <c r="D223"/>
      <c r="E223"/>
      <c r="F223"/>
      <c r="G223" s="80"/>
      <c r="H223"/>
      <c r="I223"/>
      <c r="J223"/>
      <c r="K223"/>
      <c r="L223"/>
      <c r="M223"/>
      <c r="N223"/>
      <c r="O223"/>
      <c r="P223" s="629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 s="926"/>
      <c r="AH223" s="80"/>
      <c r="AI223" s="80"/>
      <c r="AJ223" s="80"/>
      <c r="AK223"/>
      <c r="AL223" s="80"/>
      <c r="AO223"/>
      <c r="AP223"/>
      <c r="AQ223"/>
    </row>
    <row r="224" spans="1:43" s="762" customFormat="1" ht="15.75" customHeight="1">
      <c r="A224"/>
      <c r="B224"/>
      <c r="C224"/>
      <c r="D224"/>
      <c r="E224"/>
      <c r="F224"/>
      <c r="G224" s="80"/>
      <c r="H224"/>
      <c r="I224"/>
      <c r="J224"/>
      <c r="K224"/>
      <c r="L224"/>
      <c r="M224"/>
      <c r="N224"/>
      <c r="O224"/>
      <c r="P224" s="629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 s="926"/>
      <c r="AH224" s="80"/>
      <c r="AI224" s="80"/>
      <c r="AJ224" s="80"/>
      <c r="AK224"/>
      <c r="AL224" s="80"/>
      <c r="AO224"/>
      <c r="AP224"/>
      <c r="AQ224"/>
    </row>
    <row r="225" spans="1:43" s="762" customFormat="1" ht="15.75" customHeight="1">
      <c r="A225"/>
      <c r="B225"/>
      <c r="C225"/>
      <c r="D225"/>
      <c r="E225"/>
      <c r="F225"/>
      <c r="G225" s="80"/>
      <c r="H225"/>
      <c r="I225"/>
      <c r="J225"/>
      <c r="K225"/>
      <c r="L225"/>
      <c r="M225"/>
      <c r="N225"/>
      <c r="O225"/>
      <c r="P225" s="629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 s="926"/>
      <c r="AH225" s="80"/>
      <c r="AI225" s="80"/>
      <c r="AJ225" s="80"/>
      <c r="AK225"/>
      <c r="AL225" s="80"/>
      <c r="AO225"/>
      <c r="AP225"/>
      <c r="AQ225"/>
    </row>
    <row r="226" spans="1:43" s="762" customFormat="1" ht="15.75" customHeight="1">
      <c r="A226"/>
      <c r="B226"/>
      <c r="C226"/>
      <c r="D226"/>
      <c r="E226"/>
      <c r="F226"/>
      <c r="G226" s="80"/>
      <c r="H226"/>
      <c r="I226"/>
      <c r="J226"/>
      <c r="K226"/>
      <c r="L226"/>
      <c r="M226"/>
      <c r="N226"/>
      <c r="O226"/>
      <c r="P226" s="629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 s="926"/>
      <c r="AH226" s="80"/>
      <c r="AI226" s="80"/>
      <c r="AJ226" s="80"/>
      <c r="AK226"/>
      <c r="AL226" s="80"/>
      <c r="AO226"/>
      <c r="AP226"/>
      <c r="AQ226"/>
    </row>
    <row r="227" spans="1:43" s="762" customFormat="1" ht="15.75" customHeight="1">
      <c r="A227"/>
      <c r="B227"/>
      <c r="C227"/>
      <c r="D227"/>
      <c r="E227"/>
      <c r="F227"/>
      <c r="G227" s="80"/>
      <c r="H227"/>
      <c r="I227"/>
      <c r="J227"/>
      <c r="K227"/>
      <c r="L227"/>
      <c r="M227"/>
      <c r="N227"/>
      <c r="O227"/>
      <c r="P227" s="629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 s="926"/>
      <c r="AH227" s="80"/>
      <c r="AI227" s="80"/>
      <c r="AJ227" s="80"/>
      <c r="AK227"/>
      <c r="AL227" s="80"/>
      <c r="AO227"/>
      <c r="AP227"/>
      <c r="AQ227"/>
    </row>
    <row r="228" spans="1:43" s="762" customFormat="1" ht="15.75" customHeight="1">
      <c r="A228"/>
      <c r="B228"/>
      <c r="C228"/>
      <c r="D228"/>
      <c r="E228"/>
      <c r="F228"/>
      <c r="G228" s="80"/>
      <c r="H228"/>
      <c r="I228"/>
      <c r="J228"/>
      <c r="K228"/>
      <c r="L228"/>
      <c r="M228"/>
      <c r="N228"/>
      <c r="O228"/>
      <c r="P228" s="629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 s="926"/>
      <c r="AH228" s="80"/>
      <c r="AI228" s="80"/>
      <c r="AJ228" s="80"/>
      <c r="AK228"/>
      <c r="AL228" s="80"/>
      <c r="AO228"/>
      <c r="AP228"/>
      <c r="AQ228"/>
    </row>
    <row r="229" spans="1:43" s="762" customFormat="1" ht="15.75" customHeight="1">
      <c r="A229"/>
      <c r="B229"/>
      <c r="C229"/>
      <c r="D229"/>
      <c r="E229"/>
      <c r="F229"/>
      <c r="G229" s="80"/>
      <c r="H229"/>
      <c r="I229"/>
      <c r="J229"/>
      <c r="K229"/>
      <c r="L229"/>
      <c r="M229"/>
      <c r="N229"/>
      <c r="O229"/>
      <c r="P229" s="6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 s="926"/>
      <c r="AH229" s="80"/>
      <c r="AI229" s="80"/>
      <c r="AJ229" s="80"/>
      <c r="AK229"/>
      <c r="AL229" s="80"/>
      <c r="AO229"/>
      <c r="AP229"/>
      <c r="AQ229"/>
    </row>
    <row r="230" spans="1:43" s="762" customFormat="1" ht="15.75" customHeight="1">
      <c r="A230"/>
      <c r="B230"/>
      <c r="C230"/>
      <c r="D230"/>
      <c r="E230"/>
      <c r="F230"/>
      <c r="G230" s="80"/>
      <c r="H230"/>
      <c r="I230"/>
      <c r="J230"/>
      <c r="K230"/>
      <c r="L230"/>
      <c r="M230"/>
      <c r="N230"/>
      <c r="O230"/>
      <c r="P230" s="629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 s="926"/>
      <c r="AH230" s="80"/>
      <c r="AI230" s="80"/>
      <c r="AJ230" s="80"/>
      <c r="AK230"/>
      <c r="AL230" s="80"/>
      <c r="AO230"/>
      <c r="AP230"/>
      <c r="AQ230"/>
    </row>
    <row r="231" spans="1:43" s="762" customFormat="1" ht="15.75" customHeight="1">
      <c r="A231"/>
      <c r="B231"/>
      <c r="C231"/>
      <c r="D231"/>
      <c r="E231"/>
      <c r="F231"/>
      <c r="G231" s="80"/>
      <c r="H231"/>
      <c r="I231"/>
      <c r="J231"/>
      <c r="K231"/>
      <c r="L231"/>
      <c r="M231"/>
      <c r="N231"/>
      <c r="O231"/>
      <c r="P231" s="629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 s="926"/>
      <c r="AH231" s="80"/>
      <c r="AI231" s="80"/>
      <c r="AJ231" s="80"/>
      <c r="AK231"/>
      <c r="AL231" s="80"/>
      <c r="AO231"/>
      <c r="AP231"/>
      <c r="AQ231"/>
    </row>
    <row r="232" spans="1:43" s="762" customFormat="1" ht="15.75" customHeight="1">
      <c r="A232"/>
      <c r="B232"/>
      <c r="C232"/>
      <c r="D232"/>
      <c r="E232"/>
      <c r="F232"/>
      <c r="G232" s="80"/>
      <c r="H232"/>
      <c r="I232"/>
      <c r="J232"/>
      <c r="K232"/>
      <c r="L232"/>
      <c r="M232"/>
      <c r="N232"/>
      <c r="O232"/>
      <c r="P232" s="629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 s="926"/>
      <c r="AH232" s="80"/>
      <c r="AI232" s="80"/>
      <c r="AJ232" s="80"/>
      <c r="AK232"/>
      <c r="AL232" s="80"/>
      <c r="AO232"/>
      <c r="AP232"/>
      <c r="AQ232"/>
    </row>
    <row r="233" spans="1:43" s="762" customFormat="1" ht="15.75" customHeight="1">
      <c r="A233"/>
      <c r="B233"/>
      <c r="C233"/>
      <c r="D233"/>
      <c r="E233"/>
      <c r="F233"/>
      <c r="G233" s="80"/>
      <c r="H233"/>
      <c r="I233"/>
      <c r="J233"/>
      <c r="K233"/>
      <c r="L233"/>
      <c r="M233"/>
      <c r="N233"/>
      <c r="O233"/>
      <c r="P233" s="629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 s="926"/>
      <c r="AH233" s="80"/>
      <c r="AI233" s="80"/>
      <c r="AJ233" s="80"/>
      <c r="AK233"/>
      <c r="AL233" s="80"/>
      <c r="AO233"/>
      <c r="AP233"/>
      <c r="AQ233"/>
    </row>
    <row r="234" spans="1:43" s="762" customFormat="1" ht="15.75" customHeight="1">
      <c r="A234"/>
      <c r="B234"/>
      <c r="C234"/>
      <c r="D234"/>
      <c r="E234"/>
      <c r="F234"/>
      <c r="G234" s="80"/>
      <c r="H234"/>
      <c r="I234"/>
      <c r="J234"/>
      <c r="K234"/>
      <c r="L234"/>
      <c r="M234"/>
      <c r="N234"/>
      <c r="O234"/>
      <c r="P234" s="629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 s="926"/>
      <c r="AH234" s="80"/>
      <c r="AI234" s="80"/>
      <c r="AJ234" s="80"/>
      <c r="AK234"/>
      <c r="AL234" s="80"/>
      <c r="AO234"/>
      <c r="AP234"/>
      <c r="AQ234"/>
    </row>
    <row r="235" spans="1:43" s="762" customFormat="1" ht="15.75" customHeight="1">
      <c r="A235"/>
      <c r="B235"/>
      <c r="C235"/>
      <c r="D235"/>
      <c r="E235"/>
      <c r="F235"/>
      <c r="G235" s="80"/>
      <c r="H235"/>
      <c r="I235"/>
      <c r="J235"/>
      <c r="K235"/>
      <c r="L235"/>
      <c r="M235"/>
      <c r="N235"/>
      <c r="O235"/>
      <c r="P235" s="629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 s="926"/>
      <c r="AH235" s="80"/>
      <c r="AI235" s="80"/>
      <c r="AJ235" s="80"/>
      <c r="AK235"/>
      <c r="AL235" s="80"/>
      <c r="AO235"/>
      <c r="AP235"/>
      <c r="AQ235"/>
    </row>
    <row r="236" spans="1:43" s="762" customFormat="1" ht="15.75" customHeight="1">
      <c r="A236"/>
      <c r="B236"/>
      <c r="C236"/>
      <c r="D236"/>
      <c r="E236"/>
      <c r="F236"/>
      <c r="G236" s="80"/>
      <c r="H236"/>
      <c r="I236"/>
      <c r="J236"/>
      <c r="K236"/>
      <c r="L236"/>
      <c r="M236"/>
      <c r="N236"/>
      <c r="O236"/>
      <c r="P236" s="629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 s="926"/>
      <c r="AH236" s="80"/>
      <c r="AI236" s="80"/>
      <c r="AJ236" s="80"/>
      <c r="AK236"/>
      <c r="AL236" s="80"/>
      <c r="AO236"/>
      <c r="AP236"/>
      <c r="AQ236"/>
    </row>
    <row r="237" spans="1:43" s="762" customFormat="1" ht="15.75" customHeight="1">
      <c r="A237"/>
      <c r="B237"/>
      <c r="C237"/>
      <c r="D237"/>
      <c r="E237"/>
      <c r="F237"/>
      <c r="G237" s="80"/>
      <c r="H237"/>
      <c r="I237"/>
      <c r="J237"/>
      <c r="K237"/>
      <c r="L237"/>
      <c r="M237"/>
      <c r="N237"/>
      <c r="O237"/>
      <c r="P237" s="629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 s="926"/>
      <c r="AH237" s="80"/>
      <c r="AI237" s="80"/>
      <c r="AJ237" s="80"/>
      <c r="AK237"/>
      <c r="AL237" s="80"/>
      <c r="AO237"/>
      <c r="AP237"/>
      <c r="AQ237"/>
    </row>
    <row r="238" spans="1:43" s="762" customFormat="1" ht="15.75" customHeight="1">
      <c r="A238"/>
      <c r="B238"/>
      <c r="C238"/>
      <c r="D238"/>
      <c r="E238"/>
      <c r="F238"/>
      <c r="G238" s="80"/>
      <c r="H238"/>
      <c r="I238"/>
      <c r="J238"/>
      <c r="K238"/>
      <c r="L238"/>
      <c r="M238"/>
      <c r="N238"/>
      <c r="O238"/>
      <c r="P238" s="629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 s="926"/>
      <c r="AH238" s="80"/>
      <c r="AI238" s="80"/>
      <c r="AJ238" s="80"/>
      <c r="AK238"/>
      <c r="AL238" s="80"/>
      <c r="AO238"/>
      <c r="AP238"/>
      <c r="AQ238"/>
    </row>
    <row r="239" spans="1:43" s="762" customFormat="1" ht="15.75" customHeight="1">
      <c r="A239"/>
      <c r="B239"/>
      <c r="C239"/>
      <c r="D239"/>
      <c r="E239"/>
      <c r="F239"/>
      <c r="G239" s="80"/>
      <c r="H239"/>
      <c r="I239"/>
      <c r="J239"/>
      <c r="K239"/>
      <c r="L239"/>
      <c r="M239"/>
      <c r="N239"/>
      <c r="O239"/>
      <c r="P239" s="62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 s="926"/>
      <c r="AH239" s="80"/>
      <c r="AI239" s="80"/>
      <c r="AJ239" s="80"/>
      <c r="AK239"/>
      <c r="AL239" s="80"/>
      <c r="AO239"/>
      <c r="AP239"/>
      <c r="AQ239"/>
    </row>
    <row r="240" spans="1:43" s="762" customFormat="1" ht="15.75" customHeight="1">
      <c r="A240"/>
      <c r="B240"/>
      <c r="C240"/>
      <c r="D240"/>
      <c r="E240"/>
      <c r="F240"/>
      <c r="G240" s="80"/>
      <c r="H240"/>
      <c r="I240"/>
      <c r="J240"/>
      <c r="K240"/>
      <c r="L240"/>
      <c r="M240"/>
      <c r="N240"/>
      <c r="O240"/>
      <c r="P240" s="629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 s="926"/>
      <c r="AH240" s="80"/>
      <c r="AI240" s="80"/>
      <c r="AJ240" s="80"/>
      <c r="AK240"/>
      <c r="AL240" s="80"/>
      <c r="AO240"/>
      <c r="AP240"/>
      <c r="AQ240"/>
    </row>
    <row r="241" spans="1:43" s="762" customFormat="1" ht="15.75" customHeight="1">
      <c r="A241"/>
      <c r="B241"/>
      <c r="C241"/>
      <c r="D241"/>
      <c r="E241"/>
      <c r="F241"/>
      <c r="G241" s="80"/>
      <c r="H241"/>
      <c r="I241"/>
      <c r="J241"/>
      <c r="K241"/>
      <c r="L241"/>
      <c r="M241"/>
      <c r="N241"/>
      <c r="O241"/>
      <c r="P241" s="629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 s="926"/>
      <c r="AH241" s="80"/>
      <c r="AI241" s="80"/>
      <c r="AJ241" s="80"/>
      <c r="AK241"/>
      <c r="AL241" s="80"/>
      <c r="AO241"/>
      <c r="AP241"/>
      <c r="AQ241"/>
    </row>
    <row r="242" spans="1:43" s="762" customFormat="1" ht="15.75" customHeight="1">
      <c r="A242"/>
      <c r="B242"/>
      <c r="C242"/>
      <c r="D242"/>
      <c r="E242"/>
      <c r="F242"/>
      <c r="G242" s="80"/>
      <c r="H242"/>
      <c r="I242"/>
      <c r="J242"/>
      <c r="K242"/>
      <c r="L242"/>
      <c r="M242"/>
      <c r="N242"/>
      <c r="O242"/>
      <c r="P242" s="629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 s="926"/>
      <c r="AH242" s="80"/>
      <c r="AI242" s="80"/>
      <c r="AJ242" s="80"/>
      <c r="AK242"/>
      <c r="AL242" s="80"/>
      <c r="AO242"/>
      <c r="AP242"/>
      <c r="AQ242"/>
    </row>
    <row r="243" spans="1:43" s="762" customFormat="1" ht="15.75" customHeight="1">
      <c r="A243"/>
      <c r="B243"/>
      <c r="C243"/>
      <c r="D243"/>
      <c r="E243"/>
      <c r="F243"/>
      <c r="G243" s="80"/>
      <c r="H243"/>
      <c r="I243"/>
      <c r="J243"/>
      <c r="K243"/>
      <c r="L243"/>
      <c r="M243"/>
      <c r="N243"/>
      <c r="O243"/>
      <c r="P243" s="629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 s="926"/>
      <c r="AH243" s="80"/>
      <c r="AI243" s="80"/>
      <c r="AJ243" s="80"/>
      <c r="AK243"/>
      <c r="AL243" s="80"/>
      <c r="AO243"/>
      <c r="AP243"/>
      <c r="AQ243"/>
    </row>
    <row r="244" spans="1:43" s="762" customFormat="1" ht="15.75" customHeight="1">
      <c r="A244"/>
      <c r="B244"/>
      <c r="C244"/>
      <c r="D244"/>
      <c r="E244"/>
      <c r="F244"/>
      <c r="G244" s="80"/>
      <c r="H244"/>
      <c r="I244"/>
      <c r="J244"/>
      <c r="K244"/>
      <c r="L244"/>
      <c r="M244"/>
      <c r="N244"/>
      <c r="O244"/>
      <c r="P244" s="629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 s="926"/>
      <c r="AH244" s="80"/>
      <c r="AI244" s="80"/>
      <c r="AJ244" s="80"/>
      <c r="AK244"/>
      <c r="AL244" s="80"/>
      <c r="AO244"/>
      <c r="AP244"/>
      <c r="AQ244"/>
    </row>
    <row r="245" spans="1:43" s="762" customFormat="1" ht="15.75" customHeight="1">
      <c r="A245"/>
      <c r="B245"/>
      <c r="C245"/>
      <c r="D245"/>
      <c r="E245"/>
      <c r="F245"/>
      <c r="G245" s="80"/>
      <c r="H245"/>
      <c r="I245"/>
      <c r="J245"/>
      <c r="K245"/>
      <c r="L245"/>
      <c r="M245"/>
      <c r="N245"/>
      <c r="O245"/>
      <c r="P245" s="629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 s="926"/>
      <c r="AH245" s="80"/>
      <c r="AI245" s="80"/>
      <c r="AJ245" s="80"/>
      <c r="AK245"/>
      <c r="AL245" s="80"/>
      <c r="AO245"/>
      <c r="AP245"/>
      <c r="AQ245"/>
    </row>
    <row r="246" spans="1:43" s="762" customFormat="1" ht="15.75" customHeight="1">
      <c r="A246"/>
      <c r="B246"/>
      <c r="C246"/>
      <c r="D246"/>
      <c r="E246"/>
      <c r="F246"/>
      <c r="G246" s="80"/>
      <c r="H246"/>
      <c r="I246"/>
      <c r="J246"/>
      <c r="K246"/>
      <c r="L246"/>
      <c r="M246"/>
      <c r="N246"/>
      <c r="O246"/>
      <c r="P246" s="629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 s="926"/>
      <c r="AH246" s="80"/>
      <c r="AI246" s="80"/>
      <c r="AJ246" s="80"/>
      <c r="AK246"/>
      <c r="AL246" s="80"/>
      <c r="AO246"/>
      <c r="AP246"/>
      <c r="AQ246"/>
    </row>
    <row r="247" spans="1:43" s="762" customFormat="1" ht="15.75" customHeight="1">
      <c r="A247"/>
      <c r="B247"/>
      <c r="C247"/>
      <c r="D247"/>
      <c r="E247"/>
      <c r="F247"/>
      <c r="G247" s="80"/>
      <c r="H247"/>
      <c r="I247"/>
      <c r="J247"/>
      <c r="K247"/>
      <c r="L247"/>
      <c r="M247"/>
      <c r="N247"/>
      <c r="O247"/>
      <c r="P247" s="629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 s="926"/>
      <c r="AH247" s="80"/>
      <c r="AI247" s="80"/>
      <c r="AJ247" s="80"/>
      <c r="AK247"/>
      <c r="AL247" s="80"/>
      <c r="AO247"/>
      <c r="AP247"/>
      <c r="AQ247"/>
    </row>
    <row r="248" spans="1:43" s="762" customFormat="1" ht="15.75" customHeight="1">
      <c r="A248"/>
      <c r="B248"/>
      <c r="C248"/>
      <c r="D248"/>
      <c r="E248"/>
      <c r="F248"/>
      <c r="G248" s="80"/>
      <c r="H248"/>
      <c r="I248"/>
      <c r="J248"/>
      <c r="K248"/>
      <c r="L248"/>
      <c r="M248"/>
      <c r="N248"/>
      <c r="O248"/>
      <c r="P248" s="629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 s="926"/>
      <c r="AH248" s="80"/>
      <c r="AI248" s="80"/>
      <c r="AJ248" s="80"/>
      <c r="AK248"/>
      <c r="AL248" s="80"/>
      <c r="AO248"/>
      <c r="AP248"/>
      <c r="AQ248"/>
    </row>
    <row r="249" spans="1:43" s="762" customFormat="1" ht="15.75" customHeight="1">
      <c r="A249"/>
      <c r="B249"/>
      <c r="C249"/>
      <c r="D249"/>
      <c r="E249"/>
      <c r="F249"/>
      <c r="G249" s="80"/>
      <c r="H249"/>
      <c r="I249"/>
      <c r="J249"/>
      <c r="K249"/>
      <c r="L249"/>
      <c r="M249"/>
      <c r="N249"/>
      <c r="O249"/>
      <c r="P249" s="62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 s="926"/>
      <c r="AH249" s="80"/>
      <c r="AI249" s="80"/>
      <c r="AJ249" s="80"/>
      <c r="AK249"/>
      <c r="AL249" s="80"/>
      <c r="AO249"/>
      <c r="AP249"/>
      <c r="AQ249"/>
    </row>
    <row r="250" spans="1:43" s="762" customFormat="1" ht="15.75" customHeight="1">
      <c r="A250"/>
      <c r="B250"/>
      <c r="C250"/>
      <c r="D250"/>
      <c r="E250"/>
      <c r="F250"/>
      <c r="G250" s="80"/>
      <c r="H250"/>
      <c r="I250"/>
      <c r="J250"/>
      <c r="K250"/>
      <c r="L250"/>
      <c r="M250"/>
      <c r="N250"/>
      <c r="O250"/>
      <c r="P250" s="629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 s="926"/>
      <c r="AH250" s="80"/>
      <c r="AI250" s="80"/>
      <c r="AJ250" s="80"/>
      <c r="AK250"/>
      <c r="AL250" s="80"/>
      <c r="AO250"/>
      <c r="AP250"/>
      <c r="AQ250"/>
    </row>
    <row r="251" spans="1:43" s="762" customFormat="1" ht="15.75" customHeight="1">
      <c r="A251"/>
      <c r="B251"/>
      <c r="C251"/>
      <c r="D251"/>
      <c r="E251"/>
      <c r="F251"/>
      <c r="G251" s="80"/>
      <c r="H251"/>
      <c r="I251"/>
      <c r="J251"/>
      <c r="K251"/>
      <c r="L251"/>
      <c r="M251"/>
      <c r="N251"/>
      <c r="O251"/>
      <c r="P251" s="629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 s="926"/>
      <c r="AH251" s="80"/>
      <c r="AI251" s="80"/>
      <c r="AJ251" s="80"/>
      <c r="AK251"/>
      <c r="AL251" s="80"/>
      <c r="AO251"/>
      <c r="AP251"/>
      <c r="AQ251"/>
    </row>
    <row r="252" spans="1:43" s="762" customFormat="1" ht="15.75" customHeight="1">
      <c r="A252"/>
      <c r="B252"/>
      <c r="C252"/>
      <c r="D252"/>
      <c r="E252"/>
      <c r="F252"/>
      <c r="G252" s="80"/>
      <c r="H252"/>
      <c r="I252"/>
      <c r="J252"/>
      <c r="K252"/>
      <c r="L252"/>
      <c r="M252"/>
      <c r="N252"/>
      <c r="O252"/>
      <c r="P252" s="629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 s="926"/>
      <c r="AH252" s="80"/>
      <c r="AI252" s="80"/>
      <c r="AJ252" s="80"/>
      <c r="AK252"/>
      <c r="AL252" s="80"/>
      <c r="AO252"/>
      <c r="AP252"/>
      <c r="AQ252"/>
    </row>
    <row r="253" spans="1:43" s="762" customFormat="1" ht="15.75" customHeight="1">
      <c r="A253"/>
      <c r="B253"/>
      <c r="C253"/>
      <c r="D253"/>
      <c r="E253"/>
      <c r="F253"/>
      <c r="G253" s="80"/>
      <c r="H253"/>
      <c r="I253"/>
      <c r="J253"/>
      <c r="K253"/>
      <c r="L253"/>
      <c r="M253"/>
      <c r="N253"/>
      <c r="O253"/>
      <c r="P253" s="629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 s="926"/>
      <c r="AH253" s="80"/>
      <c r="AI253" s="80"/>
      <c r="AJ253" s="80"/>
      <c r="AK253"/>
      <c r="AL253" s="80"/>
      <c r="AO253"/>
      <c r="AP253"/>
      <c r="AQ253"/>
    </row>
    <row r="254" spans="1:43" s="762" customFormat="1" ht="15.75" customHeight="1">
      <c r="A254"/>
      <c r="B254"/>
      <c r="C254"/>
      <c r="D254"/>
      <c r="E254"/>
      <c r="F254"/>
      <c r="G254" s="80"/>
      <c r="H254"/>
      <c r="I254"/>
      <c r="J254"/>
      <c r="K254"/>
      <c r="L254"/>
      <c r="M254"/>
      <c r="N254"/>
      <c r="O254"/>
      <c r="P254" s="629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 s="926"/>
      <c r="AH254" s="80"/>
      <c r="AI254" s="80"/>
      <c r="AJ254" s="80"/>
      <c r="AK254"/>
      <c r="AL254" s="80"/>
      <c r="AO254"/>
      <c r="AP254"/>
      <c r="AQ254"/>
    </row>
    <row r="255" spans="1:43" s="762" customFormat="1" ht="15.75" customHeight="1">
      <c r="A255"/>
      <c r="B255"/>
      <c r="C255"/>
      <c r="D255"/>
      <c r="E255"/>
      <c r="F255"/>
      <c r="G255" s="80"/>
      <c r="H255"/>
      <c r="I255"/>
      <c r="J255"/>
      <c r="K255"/>
      <c r="L255"/>
      <c r="M255"/>
      <c r="N255"/>
      <c r="O255"/>
      <c r="P255" s="629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 s="926"/>
      <c r="AH255" s="80"/>
      <c r="AI255" s="80"/>
      <c r="AJ255" s="80"/>
      <c r="AK255"/>
      <c r="AL255" s="80"/>
      <c r="AO255"/>
      <c r="AP255"/>
      <c r="AQ255"/>
    </row>
    <row r="256" spans="1:43" s="762" customFormat="1" ht="15.75" customHeight="1">
      <c r="A256"/>
      <c r="B256"/>
      <c r="C256"/>
      <c r="D256"/>
      <c r="E256"/>
      <c r="F256"/>
      <c r="G256" s="80"/>
      <c r="H256"/>
      <c r="I256"/>
      <c r="J256"/>
      <c r="K256"/>
      <c r="L256"/>
      <c r="M256"/>
      <c r="N256"/>
      <c r="O256"/>
      <c r="P256" s="629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 s="926"/>
      <c r="AH256" s="80"/>
      <c r="AI256" s="80"/>
      <c r="AJ256" s="80"/>
      <c r="AK256"/>
      <c r="AL256" s="80"/>
      <c r="AO256"/>
      <c r="AP256"/>
      <c r="AQ256"/>
    </row>
    <row r="257" spans="1:43" s="762" customFormat="1" ht="15.75" customHeight="1">
      <c r="A257"/>
      <c r="B257"/>
      <c r="C257"/>
      <c r="D257"/>
      <c r="E257"/>
      <c r="F257"/>
      <c r="G257" s="80"/>
      <c r="H257"/>
      <c r="I257"/>
      <c r="J257"/>
      <c r="K257"/>
      <c r="L257"/>
      <c r="M257"/>
      <c r="N257"/>
      <c r="O257"/>
      <c r="P257" s="629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 s="926"/>
      <c r="AH257" s="80"/>
      <c r="AI257" s="80"/>
      <c r="AJ257" s="80"/>
      <c r="AK257"/>
      <c r="AL257" s="80"/>
      <c r="AO257"/>
      <c r="AP257"/>
      <c r="AQ257"/>
    </row>
    <row r="258" spans="1:43" s="762" customFormat="1" ht="15.75" customHeight="1">
      <c r="A258"/>
      <c r="B258"/>
      <c r="C258"/>
      <c r="D258"/>
      <c r="E258"/>
      <c r="F258"/>
      <c r="G258" s="80"/>
      <c r="H258"/>
      <c r="I258"/>
      <c r="J258"/>
      <c r="K258"/>
      <c r="L258"/>
      <c r="M258"/>
      <c r="N258"/>
      <c r="O258"/>
      <c r="P258" s="629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 s="926"/>
      <c r="AH258" s="80"/>
      <c r="AI258" s="80"/>
      <c r="AJ258" s="80"/>
      <c r="AK258"/>
      <c r="AL258" s="80"/>
      <c r="AO258"/>
      <c r="AP258"/>
      <c r="AQ258"/>
    </row>
    <row r="259" spans="1:43" s="762" customFormat="1" ht="15.75" customHeight="1">
      <c r="A259"/>
      <c r="B259"/>
      <c r="C259"/>
      <c r="D259"/>
      <c r="E259"/>
      <c r="F259"/>
      <c r="G259" s="80"/>
      <c r="H259"/>
      <c r="I259"/>
      <c r="J259"/>
      <c r="K259"/>
      <c r="L259"/>
      <c r="M259"/>
      <c r="N259"/>
      <c r="O259"/>
      <c r="P259" s="62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 s="926"/>
      <c r="AH259" s="80"/>
      <c r="AI259" s="80"/>
      <c r="AJ259" s="80"/>
      <c r="AK259"/>
      <c r="AL259" s="80"/>
      <c r="AO259"/>
      <c r="AP259"/>
      <c r="AQ259"/>
    </row>
    <row r="260" spans="1:43" s="762" customFormat="1" ht="15.75" customHeight="1">
      <c r="A260"/>
      <c r="B260"/>
      <c r="C260"/>
      <c r="D260"/>
      <c r="E260"/>
      <c r="F260"/>
      <c r="G260" s="80"/>
      <c r="H260"/>
      <c r="I260"/>
      <c r="J260"/>
      <c r="K260"/>
      <c r="L260"/>
      <c r="M260"/>
      <c r="N260"/>
      <c r="O260"/>
      <c r="P260" s="629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 s="926"/>
      <c r="AH260" s="80"/>
      <c r="AI260" s="80"/>
      <c r="AJ260" s="80"/>
      <c r="AK260"/>
      <c r="AL260" s="80"/>
      <c r="AO260"/>
      <c r="AP260"/>
      <c r="AQ260"/>
    </row>
    <row r="261" spans="1:43" s="762" customFormat="1" ht="15.75" customHeight="1">
      <c r="A261"/>
      <c r="B261"/>
      <c r="C261"/>
      <c r="D261"/>
      <c r="E261"/>
      <c r="F261"/>
      <c r="G261" s="80"/>
      <c r="H261"/>
      <c r="I261"/>
      <c r="J261"/>
      <c r="K261"/>
      <c r="L261"/>
      <c r="M261"/>
      <c r="N261"/>
      <c r="O261"/>
      <c r="P261" s="629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 s="926"/>
      <c r="AH261" s="80"/>
      <c r="AI261" s="80"/>
      <c r="AJ261" s="80"/>
      <c r="AK261"/>
      <c r="AL261" s="80"/>
      <c r="AO261"/>
      <c r="AP261"/>
      <c r="AQ261"/>
    </row>
    <row r="262" spans="1:43" s="762" customFormat="1" ht="15.75" customHeight="1">
      <c r="A262"/>
      <c r="B262"/>
      <c r="C262"/>
      <c r="D262"/>
      <c r="E262"/>
      <c r="F262"/>
      <c r="G262" s="80"/>
      <c r="H262"/>
      <c r="I262"/>
      <c r="J262"/>
      <c r="K262"/>
      <c r="L262"/>
      <c r="M262"/>
      <c r="N262"/>
      <c r="O262"/>
      <c r="P262" s="629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 s="926"/>
      <c r="AH262" s="80"/>
      <c r="AI262" s="80"/>
      <c r="AJ262" s="80"/>
      <c r="AK262"/>
      <c r="AL262" s="80"/>
      <c r="AO262"/>
      <c r="AP262"/>
      <c r="AQ262"/>
    </row>
    <row r="263" spans="1:43" s="762" customFormat="1" ht="15.75" customHeight="1">
      <c r="A263"/>
      <c r="B263"/>
      <c r="C263"/>
      <c r="D263"/>
      <c r="E263"/>
      <c r="F263"/>
      <c r="G263" s="80"/>
      <c r="H263"/>
      <c r="I263"/>
      <c r="J263"/>
      <c r="K263"/>
      <c r="L263"/>
      <c r="M263"/>
      <c r="N263"/>
      <c r="O263"/>
      <c r="P263" s="629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 s="926"/>
      <c r="AH263" s="80"/>
      <c r="AI263" s="80"/>
      <c r="AJ263" s="80"/>
      <c r="AK263"/>
      <c r="AL263" s="80"/>
      <c r="AO263"/>
      <c r="AP263"/>
      <c r="AQ263"/>
    </row>
    <row r="264" spans="1:43" s="762" customFormat="1" ht="15.75" customHeight="1">
      <c r="A264"/>
      <c r="B264"/>
      <c r="C264"/>
      <c r="D264"/>
      <c r="E264"/>
      <c r="F264"/>
      <c r="G264" s="80"/>
      <c r="H264"/>
      <c r="I264"/>
      <c r="J264"/>
      <c r="K264"/>
      <c r="L264"/>
      <c r="M264"/>
      <c r="N264"/>
      <c r="O264"/>
      <c r="P264" s="629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 s="926"/>
      <c r="AH264" s="80"/>
      <c r="AI264" s="80"/>
      <c r="AJ264" s="80"/>
      <c r="AK264"/>
      <c r="AL264" s="80"/>
      <c r="AO264"/>
      <c r="AP264"/>
      <c r="AQ264"/>
    </row>
    <row r="265" spans="1:43" s="762" customFormat="1" ht="15.75" customHeight="1">
      <c r="A265"/>
      <c r="B265"/>
      <c r="C265"/>
      <c r="D265"/>
      <c r="E265"/>
      <c r="F265"/>
      <c r="G265" s="80"/>
      <c r="H265"/>
      <c r="I265"/>
      <c r="J265"/>
      <c r="K265"/>
      <c r="L265"/>
      <c r="M265"/>
      <c r="N265"/>
      <c r="O265"/>
      <c r="P265" s="629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 s="926"/>
      <c r="AH265" s="80"/>
      <c r="AI265" s="80"/>
      <c r="AJ265" s="80"/>
      <c r="AK265"/>
      <c r="AL265" s="80"/>
      <c r="AO265"/>
      <c r="AP265"/>
      <c r="AQ265"/>
    </row>
    <row r="266" spans="1:43" s="762" customFormat="1" ht="15.75" customHeight="1">
      <c r="A266"/>
      <c r="B266"/>
      <c r="C266"/>
      <c r="D266"/>
      <c r="E266"/>
      <c r="F266"/>
      <c r="G266" s="80"/>
      <c r="H266"/>
      <c r="I266"/>
      <c r="J266"/>
      <c r="K266"/>
      <c r="L266"/>
      <c r="M266"/>
      <c r="N266"/>
      <c r="O266"/>
      <c r="P266" s="629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 s="926"/>
      <c r="AH266" s="80"/>
      <c r="AI266" s="80"/>
      <c r="AJ266" s="80"/>
      <c r="AK266"/>
      <c r="AL266" s="80"/>
      <c r="AO266"/>
      <c r="AP266"/>
      <c r="AQ266"/>
    </row>
    <row r="267" spans="1:43" s="762" customFormat="1" ht="15.75" customHeight="1">
      <c r="A267"/>
      <c r="B267"/>
      <c r="C267"/>
      <c r="D267"/>
      <c r="E267"/>
      <c r="F267"/>
      <c r="G267" s="80"/>
      <c r="H267"/>
      <c r="I267"/>
      <c r="J267"/>
      <c r="K267"/>
      <c r="L267"/>
      <c r="M267"/>
      <c r="N267"/>
      <c r="O267"/>
      <c r="P267" s="629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 s="926"/>
      <c r="AH267" s="80"/>
      <c r="AI267" s="80"/>
      <c r="AJ267" s="80"/>
      <c r="AK267"/>
      <c r="AL267" s="80"/>
      <c r="AO267"/>
      <c r="AP267"/>
      <c r="AQ267"/>
    </row>
    <row r="268" spans="1:43" s="762" customFormat="1" ht="15.75" customHeight="1">
      <c r="A268"/>
      <c r="B268"/>
      <c r="C268"/>
      <c r="D268"/>
      <c r="E268"/>
      <c r="F268"/>
      <c r="G268" s="80"/>
      <c r="H268"/>
      <c r="I268"/>
      <c r="J268"/>
      <c r="K268"/>
      <c r="L268"/>
      <c r="M268"/>
      <c r="N268"/>
      <c r="O268"/>
      <c r="P268" s="629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 s="926"/>
      <c r="AH268" s="80"/>
      <c r="AI268" s="80"/>
      <c r="AJ268" s="80"/>
      <c r="AK268"/>
      <c r="AL268" s="80"/>
      <c r="AO268"/>
      <c r="AP268"/>
      <c r="AQ268"/>
    </row>
    <row r="269" spans="1:43" s="762" customFormat="1" ht="15.75" customHeight="1">
      <c r="A269"/>
      <c r="B269"/>
      <c r="C269"/>
      <c r="D269"/>
      <c r="E269"/>
      <c r="F269"/>
      <c r="G269" s="80"/>
      <c r="H269"/>
      <c r="I269"/>
      <c r="J269"/>
      <c r="K269"/>
      <c r="L269"/>
      <c r="M269"/>
      <c r="N269"/>
      <c r="O269"/>
      <c r="P269" s="62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 s="926"/>
      <c r="AH269" s="80"/>
      <c r="AI269" s="80"/>
      <c r="AJ269" s="80"/>
      <c r="AK269"/>
      <c r="AL269" s="80"/>
      <c r="AO269"/>
      <c r="AP269"/>
      <c r="AQ269"/>
    </row>
    <row r="270" spans="1:43" s="762" customFormat="1" ht="15.75" customHeight="1">
      <c r="A270"/>
      <c r="B270"/>
      <c r="C270"/>
      <c r="D270"/>
      <c r="E270"/>
      <c r="F270"/>
      <c r="G270" s="80"/>
      <c r="H270"/>
      <c r="I270"/>
      <c r="J270"/>
      <c r="K270"/>
      <c r="L270"/>
      <c r="M270"/>
      <c r="N270"/>
      <c r="O270"/>
      <c r="P270" s="629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 s="926"/>
      <c r="AH270" s="80"/>
      <c r="AI270" s="80"/>
      <c r="AJ270" s="80"/>
      <c r="AK270"/>
      <c r="AL270" s="80"/>
      <c r="AO270"/>
      <c r="AP270"/>
      <c r="AQ270"/>
    </row>
    <row r="271" spans="1:43" s="762" customFormat="1" ht="15.75" customHeight="1">
      <c r="A271"/>
      <c r="B271"/>
      <c r="C271"/>
      <c r="D271"/>
      <c r="E271"/>
      <c r="F271"/>
      <c r="G271" s="80"/>
      <c r="H271"/>
      <c r="I271"/>
      <c r="J271"/>
      <c r="K271"/>
      <c r="L271"/>
      <c r="M271"/>
      <c r="N271"/>
      <c r="O271"/>
      <c r="P271" s="629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 s="926"/>
      <c r="AH271" s="80"/>
      <c r="AI271" s="80"/>
      <c r="AJ271" s="80"/>
      <c r="AK271"/>
      <c r="AL271" s="80"/>
      <c r="AO271"/>
      <c r="AP271"/>
      <c r="AQ271"/>
    </row>
    <row r="272" spans="1:43" s="762" customFormat="1" ht="15.75" customHeight="1">
      <c r="A272"/>
      <c r="B272"/>
      <c r="C272"/>
      <c r="D272"/>
      <c r="E272"/>
      <c r="F272"/>
      <c r="G272" s="80"/>
      <c r="H272"/>
      <c r="I272"/>
      <c r="J272"/>
      <c r="K272"/>
      <c r="L272"/>
      <c r="M272"/>
      <c r="N272"/>
      <c r="O272"/>
      <c r="P272" s="629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 s="926"/>
      <c r="AH272" s="80"/>
      <c r="AI272" s="80"/>
      <c r="AJ272" s="80"/>
      <c r="AK272"/>
      <c r="AL272" s="80"/>
      <c r="AO272"/>
      <c r="AP272"/>
      <c r="AQ272"/>
    </row>
    <row r="273" spans="1:43" s="762" customFormat="1" ht="15.75" customHeight="1">
      <c r="A273"/>
      <c r="B273"/>
      <c r="C273"/>
      <c r="D273"/>
      <c r="E273"/>
      <c r="F273"/>
      <c r="G273" s="80"/>
      <c r="H273"/>
      <c r="I273"/>
      <c r="J273"/>
      <c r="K273"/>
      <c r="L273"/>
      <c r="M273"/>
      <c r="N273"/>
      <c r="O273"/>
      <c r="P273" s="629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 s="926"/>
      <c r="AH273" s="80"/>
      <c r="AI273" s="80"/>
      <c r="AJ273" s="80"/>
      <c r="AK273"/>
      <c r="AL273" s="80"/>
      <c r="AO273"/>
      <c r="AP273"/>
      <c r="AQ273"/>
    </row>
    <row r="274" spans="1:43" s="762" customFormat="1" ht="15.75" customHeight="1">
      <c r="A274"/>
      <c r="B274"/>
      <c r="C274"/>
      <c r="D274"/>
      <c r="E274"/>
      <c r="F274"/>
      <c r="G274" s="80"/>
      <c r="H274"/>
      <c r="I274"/>
      <c r="J274"/>
      <c r="K274"/>
      <c r="L274"/>
      <c r="M274"/>
      <c r="N274"/>
      <c r="O274"/>
      <c r="P274" s="629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 s="926"/>
      <c r="AH274" s="80"/>
      <c r="AI274" s="80"/>
      <c r="AJ274" s="80"/>
      <c r="AK274"/>
      <c r="AL274" s="80"/>
      <c r="AO274"/>
      <c r="AP274"/>
      <c r="AQ274"/>
    </row>
    <row r="275" spans="1:43" s="762" customFormat="1" ht="15.75" customHeight="1">
      <c r="A275"/>
      <c r="B275"/>
      <c r="C275"/>
      <c r="D275"/>
      <c r="E275"/>
      <c r="F275"/>
      <c r="G275" s="80"/>
      <c r="H275"/>
      <c r="I275"/>
      <c r="J275"/>
      <c r="K275"/>
      <c r="L275"/>
      <c r="M275"/>
      <c r="N275"/>
      <c r="O275"/>
      <c r="P275" s="629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 s="926"/>
      <c r="AH275" s="80"/>
      <c r="AI275" s="80"/>
      <c r="AJ275" s="80"/>
      <c r="AK275"/>
      <c r="AL275" s="80"/>
      <c r="AO275"/>
      <c r="AP275"/>
      <c r="AQ275"/>
    </row>
    <row r="276" spans="1:43" s="762" customFormat="1" ht="15.75" customHeight="1">
      <c r="A276"/>
      <c r="B276"/>
      <c r="C276"/>
      <c r="D276"/>
      <c r="E276"/>
      <c r="F276"/>
      <c r="G276" s="80"/>
      <c r="H276"/>
      <c r="I276"/>
      <c r="J276"/>
      <c r="K276"/>
      <c r="L276"/>
      <c r="M276"/>
      <c r="N276"/>
      <c r="O276"/>
      <c r="P276" s="629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 s="926"/>
      <c r="AH276" s="80"/>
      <c r="AI276" s="80"/>
      <c r="AJ276" s="80"/>
      <c r="AK276"/>
      <c r="AL276" s="80"/>
      <c r="AO276"/>
      <c r="AP276"/>
      <c r="AQ276"/>
    </row>
    <row r="277" spans="1:43" s="762" customFormat="1" ht="15.75" customHeight="1">
      <c r="A277"/>
      <c r="B277"/>
      <c r="C277"/>
      <c r="D277"/>
      <c r="E277"/>
      <c r="F277"/>
      <c r="G277" s="80"/>
      <c r="H277"/>
      <c r="I277"/>
      <c r="J277"/>
      <c r="K277"/>
      <c r="L277"/>
      <c r="M277"/>
      <c r="N277"/>
      <c r="O277"/>
      <c r="P277" s="629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 s="926"/>
      <c r="AH277" s="80"/>
      <c r="AI277" s="80"/>
      <c r="AJ277" s="80"/>
      <c r="AK277"/>
      <c r="AL277" s="80"/>
      <c r="AO277"/>
      <c r="AP277"/>
      <c r="AQ277"/>
    </row>
    <row r="278" spans="1:43" s="762" customFormat="1" ht="15.75" customHeight="1">
      <c r="A278"/>
      <c r="B278"/>
      <c r="C278"/>
      <c r="D278"/>
      <c r="E278"/>
      <c r="F278"/>
      <c r="G278" s="80"/>
      <c r="H278"/>
      <c r="I278"/>
      <c r="J278"/>
      <c r="K278"/>
      <c r="L278"/>
      <c r="M278"/>
      <c r="N278"/>
      <c r="O278"/>
      <c r="P278" s="629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 s="926"/>
      <c r="AH278" s="80"/>
      <c r="AI278" s="80"/>
      <c r="AJ278" s="80"/>
      <c r="AK278"/>
      <c r="AL278" s="80"/>
      <c r="AO278"/>
      <c r="AP278"/>
      <c r="AQ278"/>
    </row>
    <row r="279" spans="1:43" s="762" customFormat="1" ht="15.75" customHeight="1">
      <c r="A279"/>
      <c r="B279"/>
      <c r="C279"/>
      <c r="D279"/>
      <c r="E279"/>
      <c r="F279"/>
      <c r="G279" s="80"/>
      <c r="H279"/>
      <c r="I279"/>
      <c r="J279"/>
      <c r="K279"/>
      <c r="L279"/>
      <c r="M279"/>
      <c r="N279"/>
      <c r="O279"/>
      <c r="P279" s="62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 s="926"/>
      <c r="AH279" s="80"/>
      <c r="AI279" s="80"/>
      <c r="AJ279" s="80"/>
      <c r="AK279"/>
      <c r="AL279" s="80"/>
      <c r="AO279"/>
      <c r="AP279"/>
      <c r="AQ279"/>
    </row>
    <row r="280" spans="1:43" s="762" customFormat="1" ht="15.75" customHeight="1">
      <c r="A280"/>
      <c r="B280"/>
      <c r="C280"/>
      <c r="D280"/>
      <c r="E280"/>
      <c r="F280"/>
      <c r="G280" s="80"/>
      <c r="H280"/>
      <c r="I280"/>
      <c r="J280"/>
      <c r="K280"/>
      <c r="L280"/>
      <c r="M280"/>
      <c r="N280"/>
      <c r="O280"/>
      <c r="P280" s="629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 s="926"/>
      <c r="AH280" s="80"/>
      <c r="AI280" s="80"/>
      <c r="AJ280" s="80"/>
      <c r="AK280"/>
      <c r="AL280" s="80"/>
      <c r="AO280"/>
      <c r="AP280"/>
      <c r="AQ280"/>
    </row>
    <row r="281" spans="1:43" s="762" customFormat="1" ht="15.75" customHeight="1">
      <c r="A281"/>
      <c r="B281"/>
      <c r="C281"/>
      <c r="D281"/>
      <c r="E281"/>
      <c r="F281"/>
      <c r="G281" s="80"/>
      <c r="H281"/>
      <c r="I281"/>
      <c r="J281"/>
      <c r="K281"/>
      <c r="L281"/>
      <c r="M281"/>
      <c r="N281"/>
      <c r="O281"/>
      <c r="P281" s="629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 s="926"/>
      <c r="AH281" s="80"/>
      <c r="AI281" s="80"/>
      <c r="AJ281" s="80"/>
      <c r="AK281"/>
      <c r="AL281" s="80"/>
      <c r="AO281"/>
      <c r="AP281"/>
      <c r="AQ281"/>
    </row>
    <row r="282" spans="1:43" s="762" customFormat="1" ht="15.75" customHeight="1">
      <c r="A282"/>
      <c r="B282"/>
      <c r="C282"/>
      <c r="D282"/>
      <c r="E282"/>
      <c r="F282"/>
      <c r="G282" s="80"/>
      <c r="H282"/>
      <c r="I282"/>
      <c r="J282"/>
      <c r="K282"/>
      <c r="L282"/>
      <c r="M282"/>
      <c r="N282"/>
      <c r="O282"/>
      <c r="P282" s="629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 s="926"/>
      <c r="AH282" s="80"/>
      <c r="AI282" s="80"/>
      <c r="AJ282" s="80"/>
      <c r="AK282"/>
      <c r="AL282" s="80"/>
      <c r="AO282"/>
      <c r="AP282"/>
      <c r="AQ282"/>
    </row>
    <row r="283" spans="1:43" s="762" customFormat="1" ht="15.75" customHeight="1">
      <c r="A283"/>
      <c r="B283"/>
      <c r="C283"/>
      <c r="D283"/>
      <c r="E283"/>
      <c r="F283"/>
      <c r="G283" s="80"/>
      <c r="H283"/>
      <c r="I283"/>
      <c r="J283"/>
      <c r="K283"/>
      <c r="L283"/>
      <c r="M283"/>
      <c r="N283"/>
      <c r="O283"/>
      <c r="P283" s="629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 s="926"/>
      <c r="AH283" s="80"/>
      <c r="AI283" s="80"/>
      <c r="AJ283" s="80"/>
      <c r="AK283"/>
      <c r="AL283" s="80"/>
      <c r="AO283"/>
      <c r="AP283"/>
      <c r="AQ283"/>
    </row>
    <row r="284" spans="1:43" s="762" customFormat="1" ht="15.75" customHeight="1">
      <c r="A284"/>
      <c r="B284"/>
      <c r="C284"/>
      <c r="D284"/>
      <c r="E284"/>
      <c r="F284"/>
      <c r="G284" s="80"/>
      <c r="H284"/>
      <c r="I284"/>
      <c r="J284"/>
      <c r="K284"/>
      <c r="L284"/>
      <c r="M284"/>
      <c r="N284"/>
      <c r="O284"/>
      <c r="P284" s="629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 s="926"/>
      <c r="AH284" s="80"/>
      <c r="AI284" s="80"/>
      <c r="AJ284" s="80"/>
      <c r="AK284"/>
      <c r="AL284" s="80"/>
      <c r="AO284"/>
      <c r="AP284"/>
      <c r="AQ284"/>
    </row>
    <row r="285" spans="1:43" s="762" customFormat="1" ht="15.75" customHeight="1">
      <c r="A285"/>
      <c r="B285"/>
      <c r="C285"/>
      <c r="D285"/>
      <c r="E285"/>
      <c r="F285"/>
      <c r="G285" s="80"/>
      <c r="H285"/>
      <c r="I285"/>
      <c r="J285"/>
      <c r="K285"/>
      <c r="L285"/>
      <c r="M285"/>
      <c r="N285"/>
      <c r="O285"/>
      <c r="P285" s="629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 s="926"/>
      <c r="AH285" s="80"/>
      <c r="AI285" s="80"/>
      <c r="AJ285" s="80"/>
      <c r="AK285"/>
      <c r="AL285" s="80"/>
      <c r="AO285"/>
      <c r="AP285"/>
      <c r="AQ285"/>
    </row>
    <row r="286" spans="1:43" s="762" customFormat="1" ht="15.75" customHeight="1">
      <c r="A286"/>
      <c r="B286"/>
      <c r="C286"/>
      <c r="D286"/>
      <c r="E286"/>
      <c r="F286"/>
      <c r="G286" s="80"/>
      <c r="H286"/>
      <c r="I286"/>
      <c r="J286"/>
      <c r="K286"/>
      <c r="L286"/>
      <c r="M286"/>
      <c r="N286"/>
      <c r="O286"/>
      <c r="P286" s="629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 s="926"/>
      <c r="AH286" s="80"/>
      <c r="AI286" s="80"/>
      <c r="AJ286" s="80"/>
      <c r="AK286"/>
      <c r="AL286" s="80"/>
      <c r="AO286"/>
      <c r="AP286"/>
      <c r="AQ286"/>
    </row>
    <row r="287" spans="1:43" s="762" customFormat="1" ht="15.75" customHeight="1">
      <c r="A287"/>
      <c r="B287"/>
      <c r="C287"/>
      <c r="D287"/>
      <c r="E287"/>
      <c r="F287"/>
      <c r="G287" s="80"/>
      <c r="H287"/>
      <c r="I287"/>
      <c r="J287"/>
      <c r="K287"/>
      <c r="L287"/>
      <c r="M287"/>
      <c r="N287"/>
      <c r="O287"/>
      <c r="P287" s="629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 s="926"/>
      <c r="AH287" s="80"/>
      <c r="AI287" s="80"/>
      <c r="AJ287" s="80"/>
      <c r="AK287"/>
      <c r="AL287" s="80"/>
      <c r="AO287"/>
      <c r="AP287"/>
      <c r="AQ287"/>
    </row>
    <row r="288" spans="1:43" s="762" customFormat="1" ht="15.75" customHeight="1">
      <c r="A288"/>
      <c r="B288"/>
      <c r="C288"/>
      <c r="D288"/>
      <c r="E288"/>
      <c r="F288"/>
      <c r="G288" s="80"/>
      <c r="H288"/>
      <c r="I288"/>
      <c r="J288"/>
      <c r="K288"/>
      <c r="L288"/>
      <c r="M288"/>
      <c r="N288"/>
      <c r="O288"/>
      <c r="P288" s="629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 s="926"/>
      <c r="AH288" s="80"/>
      <c r="AI288" s="80"/>
      <c r="AJ288" s="80"/>
      <c r="AK288"/>
      <c r="AL288" s="80"/>
      <c r="AO288"/>
      <c r="AP288"/>
      <c r="AQ288"/>
    </row>
    <row r="289" spans="1:43" s="762" customFormat="1" ht="15.75" customHeight="1">
      <c r="A289"/>
      <c r="B289"/>
      <c r="C289"/>
      <c r="D289"/>
      <c r="E289"/>
      <c r="F289"/>
      <c r="G289" s="80"/>
      <c r="H289"/>
      <c r="I289"/>
      <c r="J289"/>
      <c r="K289"/>
      <c r="L289"/>
      <c r="M289"/>
      <c r="N289"/>
      <c r="O289"/>
      <c r="P289" s="62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 s="926"/>
      <c r="AH289" s="80"/>
      <c r="AI289" s="80"/>
      <c r="AJ289" s="80"/>
      <c r="AK289"/>
      <c r="AL289" s="80"/>
      <c r="AO289"/>
      <c r="AP289"/>
      <c r="AQ289"/>
    </row>
    <row r="290" spans="1:43" s="762" customFormat="1" ht="15.75" customHeight="1">
      <c r="A290"/>
      <c r="B290"/>
      <c r="C290"/>
      <c r="D290"/>
      <c r="E290"/>
      <c r="F290"/>
      <c r="G290" s="80"/>
      <c r="H290"/>
      <c r="I290"/>
      <c r="J290"/>
      <c r="K290"/>
      <c r="L290"/>
      <c r="M290"/>
      <c r="N290"/>
      <c r="O290"/>
      <c r="P290" s="629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 s="926"/>
      <c r="AH290" s="80"/>
      <c r="AI290" s="80"/>
      <c r="AJ290" s="80"/>
      <c r="AK290"/>
      <c r="AL290" s="80"/>
      <c r="AO290"/>
      <c r="AP290"/>
      <c r="AQ290"/>
    </row>
    <row r="291" spans="1:43" s="762" customFormat="1" ht="15.75" customHeight="1">
      <c r="A291"/>
      <c r="B291"/>
      <c r="C291"/>
      <c r="D291"/>
      <c r="E291"/>
      <c r="F291"/>
      <c r="G291" s="80"/>
      <c r="H291"/>
      <c r="I291"/>
      <c r="J291"/>
      <c r="K291"/>
      <c r="L291"/>
      <c r="M291"/>
      <c r="N291"/>
      <c r="O291"/>
      <c r="P291" s="629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 s="926"/>
      <c r="AH291" s="80"/>
      <c r="AI291" s="80"/>
      <c r="AJ291" s="80"/>
      <c r="AK291"/>
      <c r="AL291" s="80"/>
      <c r="AO291"/>
      <c r="AP291"/>
      <c r="AQ291"/>
    </row>
    <row r="292" spans="1:43" s="762" customFormat="1" ht="15.75" customHeight="1">
      <c r="A292"/>
      <c r="B292"/>
      <c r="C292"/>
      <c r="D292"/>
      <c r="E292"/>
      <c r="F292"/>
      <c r="G292" s="80"/>
      <c r="H292"/>
      <c r="I292"/>
      <c r="J292"/>
      <c r="K292"/>
      <c r="L292"/>
      <c r="M292"/>
      <c r="N292"/>
      <c r="O292"/>
      <c r="P292" s="629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 s="926"/>
      <c r="AH292" s="80"/>
      <c r="AI292" s="80"/>
      <c r="AJ292" s="80"/>
      <c r="AK292"/>
      <c r="AL292" s="80"/>
      <c r="AO292"/>
      <c r="AP292"/>
      <c r="AQ292"/>
    </row>
    <row r="293" spans="1:43" s="762" customFormat="1" ht="15.75" customHeight="1">
      <c r="A293"/>
      <c r="B293"/>
      <c r="C293"/>
      <c r="D293"/>
      <c r="E293"/>
      <c r="F293"/>
      <c r="G293" s="80"/>
      <c r="H293"/>
      <c r="I293"/>
      <c r="J293"/>
      <c r="K293"/>
      <c r="L293"/>
      <c r="M293"/>
      <c r="N293"/>
      <c r="O293"/>
      <c r="P293" s="629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 s="926"/>
      <c r="AH293" s="80"/>
      <c r="AI293" s="80"/>
      <c r="AJ293" s="80"/>
      <c r="AK293"/>
      <c r="AL293" s="80"/>
      <c r="AO293"/>
      <c r="AP293"/>
      <c r="AQ293"/>
    </row>
    <row r="294" spans="1:43" s="762" customFormat="1" ht="15.75" customHeight="1">
      <c r="A294"/>
      <c r="B294"/>
      <c r="C294"/>
      <c r="D294"/>
      <c r="E294"/>
      <c r="F294"/>
      <c r="G294" s="80"/>
      <c r="H294"/>
      <c r="I294"/>
      <c r="J294"/>
      <c r="K294"/>
      <c r="L294"/>
      <c r="M294"/>
      <c r="N294"/>
      <c r="O294"/>
      <c r="P294" s="629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 s="926"/>
      <c r="AH294" s="80"/>
      <c r="AI294" s="80"/>
      <c r="AJ294" s="80"/>
      <c r="AK294"/>
      <c r="AL294" s="80"/>
      <c r="AO294"/>
      <c r="AP294"/>
      <c r="AQ294"/>
    </row>
    <row r="295" spans="1:43" s="762" customFormat="1" ht="15.75" customHeight="1">
      <c r="A295"/>
      <c r="B295"/>
      <c r="C295"/>
      <c r="D295"/>
      <c r="E295"/>
      <c r="F295"/>
      <c r="G295" s="80"/>
      <c r="H295"/>
      <c r="I295"/>
      <c r="J295"/>
      <c r="K295"/>
      <c r="L295"/>
      <c r="M295"/>
      <c r="N295"/>
      <c r="O295"/>
      <c r="P295" s="629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 s="926"/>
      <c r="AH295" s="80"/>
      <c r="AI295" s="80"/>
      <c r="AJ295" s="80"/>
      <c r="AK295"/>
      <c r="AL295" s="80"/>
      <c r="AO295"/>
      <c r="AP295"/>
      <c r="AQ295"/>
    </row>
    <row r="296" spans="1:43" s="762" customFormat="1" ht="15.75" customHeight="1">
      <c r="A296"/>
      <c r="B296"/>
      <c r="C296"/>
      <c r="D296"/>
      <c r="E296"/>
      <c r="F296"/>
      <c r="G296" s="80"/>
      <c r="H296"/>
      <c r="I296"/>
      <c r="J296"/>
      <c r="K296"/>
      <c r="L296"/>
      <c r="M296"/>
      <c r="N296"/>
      <c r="O296"/>
      <c r="P296" s="629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 s="926"/>
      <c r="AH296" s="80"/>
      <c r="AI296" s="80"/>
      <c r="AJ296" s="80"/>
      <c r="AK296"/>
      <c r="AL296" s="80"/>
      <c r="AO296"/>
      <c r="AP296"/>
      <c r="AQ296"/>
    </row>
    <row r="297" spans="1:43" s="762" customFormat="1" ht="15.75" customHeight="1">
      <c r="A297"/>
      <c r="B297"/>
      <c r="C297"/>
      <c r="D297"/>
      <c r="E297"/>
      <c r="F297"/>
      <c r="G297" s="80"/>
      <c r="H297"/>
      <c r="I297"/>
      <c r="J297"/>
      <c r="K297"/>
      <c r="L297"/>
      <c r="M297"/>
      <c r="N297"/>
      <c r="O297"/>
      <c r="P297" s="629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 s="926"/>
      <c r="AH297" s="80"/>
      <c r="AI297" s="80"/>
      <c r="AJ297" s="80"/>
      <c r="AK297"/>
      <c r="AL297" s="80"/>
      <c r="AO297"/>
      <c r="AP297"/>
      <c r="AQ297"/>
    </row>
    <row r="298" spans="1:43" s="762" customFormat="1" ht="15.75" customHeight="1">
      <c r="A298"/>
      <c r="B298"/>
      <c r="C298"/>
      <c r="D298"/>
      <c r="E298"/>
      <c r="F298"/>
      <c r="G298" s="80"/>
      <c r="H298"/>
      <c r="I298"/>
      <c r="J298"/>
      <c r="K298"/>
      <c r="L298"/>
      <c r="M298"/>
      <c r="N298"/>
      <c r="O298"/>
      <c r="P298" s="629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 s="926"/>
      <c r="AH298" s="80"/>
      <c r="AI298" s="80"/>
      <c r="AJ298" s="80"/>
      <c r="AK298"/>
      <c r="AL298" s="80"/>
      <c r="AO298"/>
      <c r="AP298"/>
      <c r="AQ298"/>
    </row>
    <row r="299" spans="1:43" s="762" customFormat="1" ht="15.75" customHeight="1">
      <c r="A299"/>
      <c r="B299"/>
      <c r="C299"/>
      <c r="D299"/>
      <c r="E299"/>
      <c r="F299"/>
      <c r="G299" s="80"/>
      <c r="H299"/>
      <c r="I299"/>
      <c r="J299"/>
      <c r="K299"/>
      <c r="L299"/>
      <c r="M299"/>
      <c r="N299"/>
      <c r="O299"/>
      <c r="P299" s="62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 s="926"/>
      <c r="AH299" s="80"/>
      <c r="AI299" s="80"/>
      <c r="AJ299" s="80"/>
      <c r="AK299"/>
      <c r="AL299" s="80"/>
      <c r="AO299"/>
      <c r="AP299"/>
      <c r="AQ299"/>
    </row>
    <row r="300" spans="1:43" s="762" customFormat="1" ht="15.75" customHeight="1">
      <c r="A300"/>
      <c r="B300"/>
      <c r="C300"/>
      <c r="D300"/>
      <c r="E300"/>
      <c r="F300"/>
      <c r="G300" s="80"/>
      <c r="H300"/>
      <c r="I300"/>
      <c r="J300"/>
      <c r="K300"/>
      <c r="L300"/>
      <c r="M300"/>
      <c r="N300"/>
      <c r="O300"/>
      <c r="P300" s="629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 s="926"/>
      <c r="AH300" s="80"/>
      <c r="AI300" s="80"/>
      <c r="AJ300" s="80"/>
      <c r="AK300"/>
      <c r="AL300" s="80"/>
      <c r="AO300"/>
      <c r="AP300"/>
      <c r="AQ300"/>
    </row>
    <row r="301" spans="1:43" s="762" customFormat="1" ht="15.75" customHeight="1">
      <c r="A301"/>
      <c r="B301"/>
      <c r="C301"/>
      <c r="D301"/>
      <c r="E301"/>
      <c r="F301"/>
      <c r="G301" s="80"/>
      <c r="H301"/>
      <c r="I301"/>
      <c r="J301"/>
      <c r="K301"/>
      <c r="L301"/>
      <c r="M301"/>
      <c r="N301"/>
      <c r="O301"/>
      <c r="P301" s="629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 s="926"/>
      <c r="AH301" s="80"/>
      <c r="AI301" s="80"/>
      <c r="AJ301" s="80"/>
      <c r="AK301"/>
      <c r="AL301" s="80"/>
      <c r="AO301"/>
      <c r="AP301"/>
      <c r="AQ301"/>
    </row>
    <row r="302" spans="1:43" s="762" customFormat="1" ht="15.75" customHeight="1">
      <c r="A302"/>
      <c r="B302"/>
      <c r="C302"/>
      <c r="D302"/>
      <c r="E302"/>
      <c r="F302"/>
      <c r="G302" s="80"/>
      <c r="H302"/>
      <c r="I302"/>
      <c r="J302"/>
      <c r="K302"/>
      <c r="L302"/>
      <c r="M302"/>
      <c r="N302"/>
      <c r="O302"/>
      <c r="P302" s="629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 s="926"/>
      <c r="AH302" s="80"/>
      <c r="AI302" s="80"/>
      <c r="AJ302" s="80"/>
      <c r="AK302"/>
      <c r="AL302" s="80"/>
      <c r="AO302"/>
      <c r="AP302"/>
      <c r="AQ302"/>
    </row>
    <row r="303" spans="1:43" s="762" customFormat="1" ht="15.75" customHeight="1">
      <c r="A303"/>
      <c r="B303"/>
      <c r="C303"/>
      <c r="D303"/>
      <c r="E303"/>
      <c r="F303"/>
      <c r="G303" s="80"/>
      <c r="H303"/>
      <c r="I303"/>
      <c r="J303"/>
      <c r="K303"/>
      <c r="L303"/>
      <c r="M303"/>
      <c r="N303"/>
      <c r="O303"/>
      <c r="P303" s="629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 s="926"/>
      <c r="AH303" s="80"/>
      <c r="AI303" s="80"/>
      <c r="AJ303" s="80"/>
      <c r="AK303"/>
      <c r="AL303" s="80"/>
      <c r="AO303"/>
      <c r="AP303"/>
      <c r="AQ303"/>
    </row>
    <row r="304" spans="1:43" s="762" customFormat="1" ht="15.75" customHeight="1">
      <c r="A304"/>
      <c r="B304"/>
      <c r="C304"/>
      <c r="D304"/>
      <c r="E304"/>
      <c r="F304"/>
      <c r="G304" s="80"/>
      <c r="H304"/>
      <c r="I304"/>
      <c r="J304"/>
      <c r="K304"/>
      <c r="L304"/>
      <c r="M304"/>
      <c r="N304"/>
      <c r="O304"/>
      <c r="P304" s="629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 s="926"/>
      <c r="AH304" s="80"/>
      <c r="AI304" s="80"/>
      <c r="AJ304" s="80"/>
      <c r="AK304"/>
      <c r="AL304" s="80"/>
      <c r="AO304"/>
      <c r="AP304"/>
      <c r="AQ304"/>
    </row>
    <row r="305" spans="1:43" s="762" customFormat="1" ht="15.75" customHeight="1">
      <c r="A305"/>
      <c r="B305"/>
      <c r="C305"/>
      <c r="D305"/>
      <c r="E305"/>
      <c r="F305"/>
      <c r="G305" s="80"/>
      <c r="H305"/>
      <c r="I305"/>
      <c r="J305"/>
      <c r="K305"/>
      <c r="L305"/>
      <c r="M305"/>
      <c r="N305"/>
      <c r="O305"/>
      <c r="P305" s="629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 s="926"/>
      <c r="AH305" s="80"/>
      <c r="AI305" s="80"/>
      <c r="AJ305" s="80"/>
      <c r="AK305"/>
      <c r="AL305" s="80"/>
      <c r="AO305"/>
      <c r="AP305"/>
      <c r="AQ305"/>
    </row>
    <row r="306" spans="1:43" s="762" customFormat="1" ht="15.75" customHeight="1">
      <c r="A306"/>
      <c r="B306"/>
      <c r="C306"/>
      <c r="D306"/>
      <c r="E306"/>
      <c r="F306"/>
      <c r="G306" s="80"/>
      <c r="H306"/>
      <c r="I306"/>
      <c r="J306"/>
      <c r="K306"/>
      <c r="L306"/>
      <c r="M306"/>
      <c r="N306"/>
      <c r="O306"/>
      <c r="P306" s="629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 s="926"/>
      <c r="AH306" s="80"/>
      <c r="AI306" s="80"/>
      <c r="AJ306" s="80"/>
      <c r="AK306"/>
      <c r="AL306" s="80"/>
      <c r="AO306"/>
      <c r="AP306"/>
      <c r="AQ306"/>
    </row>
    <row r="307" spans="1:43" s="762" customFormat="1" ht="15.75" customHeight="1">
      <c r="A307"/>
      <c r="B307"/>
      <c r="C307"/>
      <c r="D307"/>
      <c r="E307"/>
      <c r="F307"/>
      <c r="G307" s="80"/>
      <c r="H307"/>
      <c r="I307"/>
      <c r="J307"/>
      <c r="K307"/>
      <c r="L307"/>
      <c r="M307"/>
      <c r="N307"/>
      <c r="O307"/>
      <c r="P307" s="629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 s="926"/>
      <c r="AH307" s="80"/>
      <c r="AI307" s="80"/>
      <c r="AJ307" s="80"/>
      <c r="AK307"/>
      <c r="AL307" s="80"/>
      <c r="AO307"/>
      <c r="AP307"/>
      <c r="AQ307"/>
    </row>
    <row r="308" spans="1:43" s="762" customFormat="1" ht="15.75" customHeight="1">
      <c r="A308"/>
      <c r="B308"/>
      <c r="C308"/>
      <c r="D308"/>
      <c r="E308"/>
      <c r="F308"/>
      <c r="G308" s="80"/>
      <c r="H308"/>
      <c r="I308"/>
      <c r="J308"/>
      <c r="K308"/>
      <c r="L308"/>
      <c r="M308"/>
      <c r="N308"/>
      <c r="O308"/>
      <c r="P308" s="629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 s="926"/>
      <c r="AH308" s="80"/>
      <c r="AI308" s="80"/>
      <c r="AJ308" s="80"/>
      <c r="AK308"/>
      <c r="AL308" s="80"/>
      <c r="AO308"/>
      <c r="AP308"/>
      <c r="AQ308"/>
    </row>
    <row r="309" spans="1:43" s="762" customFormat="1" ht="15.75" customHeight="1">
      <c r="A309"/>
      <c r="B309"/>
      <c r="C309"/>
      <c r="D309"/>
      <c r="E309"/>
      <c r="F309"/>
      <c r="G309" s="80"/>
      <c r="H309"/>
      <c r="I309"/>
      <c r="J309"/>
      <c r="K309"/>
      <c r="L309"/>
      <c r="M309"/>
      <c r="N309"/>
      <c r="O309"/>
      <c r="P309" s="62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 s="926"/>
      <c r="AH309" s="80"/>
      <c r="AI309" s="80"/>
      <c r="AJ309" s="80"/>
      <c r="AK309"/>
      <c r="AL309" s="80"/>
      <c r="AO309"/>
      <c r="AP309"/>
      <c r="AQ309"/>
    </row>
    <row r="310" spans="1:43" s="762" customFormat="1" ht="15.75" customHeight="1">
      <c r="A310"/>
      <c r="B310"/>
      <c r="C310"/>
      <c r="D310"/>
      <c r="E310"/>
      <c r="F310"/>
      <c r="G310" s="80"/>
      <c r="H310"/>
      <c r="I310"/>
      <c r="J310"/>
      <c r="K310"/>
      <c r="L310"/>
      <c r="M310"/>
      <c r="N310"/>
      <c r="O310"/>
      <c r="P310" s="629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 s="926"/>
      <c r="AH310" s="80"/>
      <c r="AI310" s="80"/>
      <c r="AJ310" s="80"/>
      <c r="AK310"/>
      <c r="AL310" s="80"/>
      <c r="AO310"/>
      <c r="AP310"/>
      <c r="AQ310"/>
    </row>
    <row r="311" spans="1:43" s="762" customFormat="1" ht="15.75" customHeight="1">
      <c r="A311"/>
      <c r="B311"/>
      <c r="C311"/>
      <c r="D311"/>
      <c r="E311"/>
      <c r="F311"/>
      <c r="G311" s="80"/>
      <c r="H311"/>
      <c r="I311"/>
      <c r="J311"/>
      <c r="K311"/>
      <c r="L311"/>
      <c r="M311"/>
      <c r="N311"/>
      <c r="O311"/>
      <c r="P311" s="629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 s="926"/>
      <c r="AH311" s="80"/>
      <c r="AI311" s="80"/>
      <c r="AJ311" s="80"/>
      <c r="AK311"/>
      <c r="AL311" s="80"/>
      <c r="AO311"/>
      <c r="AP311"/>
      <c r="AQ311"/>
    </row>
    <row r="312" spans="1:43" s="762" customFormat="1" ht="15.75" customHeight="1">
      <c r="A312"/>
      <c r="B312"/>
      <c r="C312"/>
      <c r="D312"/>
      <c r="E312"/>
      <c r="F312"/>
      <c r="G312" s="80"/>
      <c r="H312"/>
      <c r="I312"/>
      <c r="J312"/>
      <c r="K312"/>
      <c r="L312"/>
      <c r="M312"/>
      <c r="N312"/>
      <c r="O312"/>
      <c r="P312" s="629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 s="926"/>
      <c r="AH312" s="80"/>
      <c r="AI312" s="80"/>
      <c r="AJ312" s="80"/>
      <c r="AK312"/>
      <c r="AL312" s="80"/>
      <c r="AO312"/>
      <c r="AP312"/>
      <c r="AQ312"/>
    </row>
    <row r="313" spans="1:43" s="762" customFormat="1" ht="15.75" customHeight="1">
      <c r="A313"/>
      <c r="B313"/>
      <c r="C313"/>
      <c r="D313"/>
      <c r="E313"/>
      <c r="F313"/>
      <c r="G313" s="80"/>
      <c r="H313"/>
      <c r="I313"/>
      <c r="J313"/>
      <c r="K313"/>
      <c r="L313"/>
      <c r="M313"/>
      <c r="N313"/>
      <c r="O313"/>
      <c r="P313" s="629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 s="926"/>
      <c r="AH313" s="80"/>
      <c r="AI313" s="80"/>
      <c r="AJ313" s="80"/>
      <c r="AK313"/>
      <c r="AL313" s="80"/>
      <c r="AO313"/>
      <c r="AP313"/>
      <c r="AQ313"/>
    </row>
    <row r="314" spans="1:43" s="762" customFormat="1" ht="15.75" customHeight="1">
      <c r="A314"/>
      <c r="B314"/>
      <c r="C314"/>
      <c r="D314"/>
      <c r="E314"/>
      <c r="F314"/>
      <c r="G314" s="80"/>
      <c r="H314"/>
      <c r="I314"/>
      <c r="J314"/>
      <c r="K314"/>
      <c r="L314"/>
      <c r="M314"/>
      <c r="N314"/>
      <c r="O314"/>
      <c r="P314" s="629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 s="926"/>
      <c r="AH314" s="80"/>
      <c r="AI314" s="80"/>
      <c r="AJ314" s="80"/>
      <c r="AK314"/>
      <c r="AL314" s="80"/>
      <c r="AO314"/>
      <c r="AP314"/>
      <c r="AQ314"/>
    </row>
    <row r="315" spans="1:43" s="762" customFormat="1" ht="15.75" customHeight="1">
      <c r="A315"/>
      <c r="B315"/>
      <c r="C315"/>
      <c r="D315"/>
      <c r="E315"/>
      <c r="F315"/>
      <c r="G315" s="80"/>
      <c r="H315"/>
      <c r="I315"/>
      <c r="J315"/>
      <c r="K315"/>
      <c r="L315"/>
      <c r="M315"/>
      <c r="N315"/>
      <c r="O315"/>
      <c r="P315" s="629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 s="926"/>
      <c r="AH315" s="80"/>
      <c r="AI315" s="80"/>
      <c r="AJ315" s="80"/>
      <c r="AK315"/>
      <c r="AL315" s="80"/>
      <c r="AO315"/>
      <c r="AP315"/>
      <c r="AQ315"/>
    </row>
    <row r="316" spans="1:43" s="762" customFormat="1" ht="15.75" customHeight="1">
      <c r="A316"/>
      <c r="B316"/>
      <c r="C316"/>
      <c r="D316"/>
      <c r="E316"/>
      <c r="F316"/>
      <c r="G316" s="80"/>
      <c r="H316"/>
      <c r="I316"/>
      <c r="J316"/>
      <c r="K316"/>
      <c r="L316"/>
      <c r="M316"/>
      <c r="N316"/>
      <c r="O316"/>
      <c r="P316" s="629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 s="926"/>
      <c r="AH316" s="80"/>
      <c r="AI316" s="80"/>
      <c r="AJ316" s="80"/>
      <c r="AK316"/>
      <c r="AL316" s="80"/>
      <c r="AO316"/>
      <c r="AP316"/>
      <c r="AQ316"/>
    </row>
    <row r="317" spans="1:43" s="762" customFormat="1" ht="15.75" customHeight="1">
      <c r="A317"/>
      <c r="B317"/>
      <c r="C317"/>
      <c r="D317"/>
      <c r="E317"/>
      <c r="F317"/>
      <c r="G317" s="80"/>
      <c r="H317"/>
      <c r="I317"/>
      <c r="J317"/>
      <c r="K317"/>
      <c r="L317"/>
      <c r="M317"/>
      <c r="N317"/>
      <c r="O317"/>
      <c r="P317" s="629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 s="926"/>
      <c r="AH317" s="80"/>
      <c r="AI317" s="80"/>
      <c r="AJ317" s="80"/>
      <c r="AK317"/>
      <c r="AL317" s="80"/>
      <c r="AO317"/>
      <c r="AP317"/>
      <c r="AQ317"/>
    </row>
    <row r="318" spans="1:43" s="762" customFormat="1" ht="15.75" customHeight="1">
      <c r="A318"/>
      <c r="B318"/>
      <c r="C318"/>
      <c r="D318"/>
      <c r="E318"/>
      <c r="F318"/>
      <c r="G318" s="80"/>
      <c r="H318"/>
      <c r="I318"/>
      <c r="J318"/>
      <c r="K318"/>
      <c r="L318"/>
      <c r="M318"/>
      <c r="N318"/>
      <c r="O318"/>
      <c r="P318" s="629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 s="926"/>
      <c r="AH318" s="80"/>
      <c r="AI318" s="80"/>
      <c r="AJ318" s="80"/>
      <c r="AK318"/>
      <c r="AL318" s="80"/>
      <c r="AO318"/>
      <c r="AP318"/>
      <c r="AQ318"/>
    </row>
    <row r="319" spans="1:43" s="762" customFormat="1" ht="15.75" customHeight="1">
      <c r="A319"/>
      <c r="B319"/>
      <c r="C319"/>
      <c r="D319"/>
      <c r="E319"/>
      <c r="F319"/>
      <c r="G319" s="80"/>
      <c r="H319"/>
      <c r="I319"/>
      <c r="J319"/>
      <c r="K319"/>
      <c r="L319"/>
      <c r="M319"/>
      <c r="N319"/>
      <c r="O319"/>
      <c r="P319" s="62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 s="926"/>
      <c r="AH319" s="80"/>
      <c r="AI319" s="80"/>
      <c r="AJ319" s="80"/>
      <c r="AK319"/>
      <c r="AL319" s="80"/>
      <c r="AO319"/>
      <c r="AP319"/>
      <c r="AQ319"/>
    </row>
    <row r="320" spans="1:43" s="762" customFormat="1" ht="15.75" customHeight="1">
      <c r="A320"/>
      <c r="B320"/>
      <c r="C320"/>
      <c r="D320"/>
      <c r="E320"/>
      <c r="F320"/>
      <c r="G320" s="80"/>
      <c r="H320"/>
      <c r="I320"/>
      <c r="J320"/>
      <c r="K320"/>
      <c r="L320"/>
      <c r="M320"/>
      <c r="N320"/>
      <c r="O320"/>
      <c r="P320" s="629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 s="926"/>
      <c r="AH320" s="80"/>
      <c r="AI320" s="80"/>
      <c r="AJ320" s="80"/>
      <c r="AK320"/>
      <c r="AL320" s="80"/>
      <c r="AO320"/>
      <c r="AP320"/>
      <c r="AQ320"/>
    </row>
    <row r="321" spans="1:43" s="762" customFormat="1" ht="15.75" customHeight="1">
      <c r="A321"/>
      <c r="B321"/>
      <c r="C321"/>
      <c r="D321"/>
      <c r="E321"/>
      <c r="F321"/>
      <c r="G321" s="80"/>
      <c r="H321"/>
      <c r="I321"/>
      <c r="J321"/>
      <c r="K321"/>
      <c r="L321"/>
      <c r="M321"/>
      <c r="N321"/>
      <c r="O321"/>
      <c r="P321" s="629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 s="926"/>
      <c r="AH321" s="80"/>
      <c r="AI321" s="80"/>
      <c r="AJ321" s="80"/>
      <c r="AK321"/>
      <c r="AL321" s="80"/>
      <c r="AO321"/>
      <c r="AP321"/>
      <c r="AQ321"/>
    </row>
    <row r="322" spans="1:43" s="762" customFormat="1" ht="15.75" customHeight="1">
      <c r="A322"/>
      <c r="B322"/>
      <c r="C322"/>
      <c r="D322"/>
      <c r="E322"/>
      <c r="F322"/>
      <c r="G322" s="80"/>
      <c r="H322"/>
      <c r="I322"/>
      <c r="J322"/>
      <c r="K322"/>
      <c r="L322"/>
      <c r="M322"/>
      <c r="N322"/>
      <c r="O322"/>
      <c r="P322" s="629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 s="926"/>
      <c r="AH322" s="80"/>
      <c r="AI322" s="80"/>
      <c r="AJ322" s="80"/>
      <c r="AK322"/>
      <c r="AL322" s="80"/>
      <c r="AO322"/>
      <c r="AP322"/>
      <c r="AQ322"/>
    </row>
    <row r="323" spans="1:43" s="762" customFormat="1" ht="15.75" customHeight="1">
      <c r="A323"/>
      <c r="B323"/>
      <c r="C323"/>
      <c r="D323"/>
      <c r="E323"/>
      <c r="F323"/>
      <c r="G323" s="80"/>
      <c r="H323"/>
      <c r="I323"/>
      <c r="J323"/>
      <c r="K323"/>
      <c r="L323"/>
      <c r="M323"/>
      <c r="N323"/>
      <c r="O323"/>
      <c r="P323" s="629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 s="926"/>
      <c r="AH323" s="80"/>
      <c r="AI323" s="80"/>
      <c r="AJ323" s="80"/>
      <c r="AK323"/>
      <c r="AL323" s="80"/>
      <c r="AO323"/>
      <c r="AP323"/>
      <c r="AQ323"/>
    </row>
    <row r="324" spans="1:43" s="762" customFormat="1" ht="15.75" customHeight="1">
      <c r="A324"/>
      <c r="B324"/>
      <c r="C324"/>
      <c r="D324"/>
      <c r="E324"/>
      <c r="F324"/>
      <c r="G324" s="80"/>
      <c r="H324"/>
      <c r="I324"/>
      <c r="J324"/>
      <c r="K324"/>
      <c r="L324"/>
      <c r="M324"/>
      <c r="N324"/>
      <c r="O324"/>
      <c r="P324" s="629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 s="926"/>
      <c r="AH324" s="80"/>
      <c r="AI324" s="80"/>
      <c r="AJ324" s="80"/>
      <c r="AK324"/>
      <c r="AL324" s="80"/>
      <c r="AO324"/>
      <c r="AP324"/>
      <c r="AQ324"/>
    </row>
    <row r="325" spans="1:43" s="762" customFormat="1" ht="15.75" customHeight="1">
      <c r="A325"/>
      <c r="B325"/>
      <c r="C325"/>
      <c r="D325"/>
      <c r="E325"/>
      <c r="F325"/>
      <c r="G325" s="80"/>
      <c r="H325"/>
      <c r="I325"/>
      <c r="J325"/>
      <c r="K325"/>
      <c r="L325"/>
      <c r="M325"/>
      <c r="N325"/>
      <c r="O325"/>
      <c r="P325" s="629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 s="926"/>
      <c r="AH325" s="80"/>
      <c r="AI325" s="80"/>
      <c r="AJ325" s="80"/>
      <c r="AK325"/>
      <c r="AL325" s="80"/>
      <c r="AO325"/>
      <c r="AP325"/>
      <c r="AQ325"/>
    </row>
    <row r="326" spans="1:43" s="762" customFormat="1" ht="15.75" customHeight="1">
      <c r="A326"/>
      <c r="B326"/>
      <c r="C326"/>
      <c r="D326"/>
      <c r="E326"/>
      <c r="F326"/>
      <c r="G326" s="80"/>
      <c r="H326"/>
      <c r="I326"/>
      <c r="J326"/>
      <c r="K326"/>
      <c r="L326"/>
      <c r="M326"/>
      <c r="N326"/>
      <c r="O326"/>
      <c r="P326" s="629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 s="926"/>
      <c r="AH326" s="80"/>
      <c r="AI326" s="80"/>
      <c r="AJ326" s="80"/>
      <c r="AK326"/>
      <c r="AL326" s="80"/>
      <c r="AO326"/>
      <c r="AP326"/>
      <c r="AQ326"/>
    </row>
    <row r="327" spans="1:43" s="762" customFormat="1" ht="15.75" customHeight="1">
      <c r="A327"/>
      <c r="B327"/>
      <c r="C327"/>
      <c r="D327"/>
      <c r="E327"/>
      <c r="F327"/>
      <c r="G327" s="80"/>
      <c r="H327"/>
      <c r="I327"/>
      <c r="J327"/>
      <c r="K327"/>
      <c r="L327"/>
      <c r="M327"/>
      <c r="N327"/>
      <c r="O327"/>
      <c r="P327" s="629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 s="926"/>
      <c r="AH327" s="80"/>
      <c r="AI327" s="80"/>
      <c r="AJ327" s="80"/>
      <c r="AK327"/>
      <c r="AL327" s="80"/>
      <c r="AO327"/>
      <c r="AP327"/>
      <c r="AQ327"/>
    </row>
    <row r="328" spans="1:43" s="762" customFormat="1" ht="15.75" customHeight="1">
      <c r="A328"/>
      <c r="B328"/>
      <c r="C328"/>
      <c r="D328"/>
      <c r="E328"/>
      <c r="F328"/>
      <c r="G328" s="80"/>
      <c r="H328"/>
      <c r="I328"/>
      <c r="J328"/>
      <c r="K328"/>
      <c r="L328"/>
      <c r="M328"/>
      <c r="N328"/>
      <c r="O328"/>
      <c r="P328" s="629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 s="926"/>
      <c r="AH328" s="80"/>
      <c r="AI328" s="80"/>
      <c r="AJ328" s="80"/>
      <c r="AK328"/>
      <c r="AL328" s="80"/>
      <c r="AO328"/>
      <c r="AP328"/>
      <c r="AQ328"/>
    </row>
    <row r="329" spans="1:43" s="762" customFormat="1" ht="15.75" customHeight="1">
      <c r="A329"/>
      <c r="B329"/>
      <c r="C329"/>
      <c r="D329"/>
      <c r="E329"/>
      <c r="F329"/>
      <c r="G329" s="80"/>
      <c r="H329"/>
      <c r="I329"/>
      <c r="J329"/>
      <c r="K329"/>
      <c r="L329"/>
      <c r="M329"/>
      <c r="N329"/>
      <c r="O329"/>
      <c r="P329" s="6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 s="926"/>
      <c r="AH329" s="80"/>
      <c r="AI329" s="80"/>
      <c r="AJ329" s="80"/>
      <c r="AK329"/>
      <c r="AL329" s="80"/>
      <c r="AO329"/>
      <c r="AP329"/>
      <c r="AQ329"/>
    </row>
    <row r="330" spans="1:43" s="762" customFormat="1" ht="15.75" customHeight="1">
      <c r="A330"/>
      <c r="B330"/>
      <c r="C330"/>
      <c r="D330"/>
      <c r="E330"/>
      <c r="F330"/>
      <c r="G330" s="80"/>
      <c r="H330"/>
      <c r="I330"/>
      <c r="J330"/>
      <c r="K330"/>
      <c r="L330"/>
      <c r="M330"/>
      <c r="N330"/>
      <c r="O330"/>
      <c r="P330" s="629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 s="926"/>
      <c r="AH330" s="80"/>
      <c r="AI330" s="80"/>
      <c r="AJ330" s="80"/>
      <c r="AK330"/>
      <c r="AL330" s="80"/>
      <c r="AO330"/>
      <c r="AP330"/>
      <c r="AQ330"/>
    </row>
    <row r="331" spans="1:43" s="762" customFormat="1" ht="15.75" customHeight="1">
      <c r="A331"/>
      <c r="B331"/>
      <c r="C331"/>
      <c r="D331"/>
      <c r="E331"/>
      <c r="F331"/>
      <c r="G331" s="80"/>
      <c r="H331"/>
      <c r="I331"/>
      <c r="J331"/>
      <c r="K331"/>
      <c r="L331"/>
      <c r="M331"/>
      <c r="N331"/>
      <c r="O331"/>
      <c r="P331" s="629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 s="926"/>
      <c r="AH331" s="80"/>
      <c r="AI331" s="80"/>
      <c r="AJ331" s="80"/>
      <c r="AK331"/>
      <c r="AL331" s="80"/>
      <c r="AO331"/>
      <c r="AP331"/>
      <c r="AQ331"/>
    </row>
    <row r="332" spans="1:43" s="762" customFormat="1" ht="15.75" customHeight="1">
      <c r="A332"/>
      <c r="B332"/>
      <c r="C332"/>
      <c r="D332"/>
      <c r="E332"/>
      <c r="F332"/>
      <c r="G332" s="80"/>
      <c r="H332"/>
      <c r="I332"/>
      <c r="J332"/>
      <c r="K332"/>
      <c r="L332"/>
      <c r="M332"/>
      <c r="N332"/>
      <c r="O332"/>
      <c r="P332" s="629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 s="926"/>
      <c r="AH332" s="80"/>
      <c r="AI332" s="80"/>
      <c r="AJ332" s="80"/>
      <c r="AK332"/>
      <c r="AL332" s="80"/>
      <c r="AO332"/>
      <c r="AP332"/>
      <c r="AQ332"/>
    </row>
    <row r="333" spans="1:43" s="762" customFormat="1" ht="15.75" customHeight="1">
      <c r="A333"/>
      <c r="B333"/>
      <c r="C333"/>
      <c r="D333"/>
      <c r="E333"/>
      <c r="F333"/>
      <c r="G333" s="80"/>
      <c r="H333"/>
      <c r="I333"/>
      <c r="J333"/>
      <c r="K333"/>
      <c r="L333"/>
      <c r="M333"/>
      <c r="N333"/>
      <c r="O333"/>
      <c r="P333" s="629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 s="926"/>
      <c r="AH333" s="80"/>
      <c r="AI333" s="80"/>
      <c r="AJ333" s="80"/>
      <c r="AK333"/>
      <c r="AL333" s="80"/>
      <c r="AO333"/>
      <c r="AP333"/>
      <c r="AQ333"/>
    </row>
    <row r="334" spans="1:43" s="762" customFormat="1" ht="15.75" customHeight="1">
      <c r="A334"/>
      <c r="B334"/>
      <c r="C334"/>
      <c r="D334"/>
      <c r="E334"/>
      <c r="F334"/>
      <c r="G334" s="80"/>
      <c r="H334"/>
      <c r="I334"/>
      <c r="J334"/>
      <c r="K334"/>
      <c r="L334"/>
      <c r="M334"/>
      <c r="N334"/>
      <c r="O334"/>
      <c r="P334" s="629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 s="926"/>
      <c r="AH334" s="80"/>
      <c r="AI334" s="80"/>
      <c r="AJ334" s="80"/>
      <c r="AK334"/>
      <c r="AL334" s="80"/>
      <c r="AO334"/>
      <c r="AP334"/>
      <c r="AQ334"/>
    </row>
    <row r="335" spans="1:43" s="762" customFormat="1" ht="15.75" customHeight="1">
      <c r="A335"/>
      <c r="B335"/>
      <c r="C335"/>
      <c r="D335"/>
      <c r="E335"/>
      <c r="F335"/>
      <c r="G335" s="80"/>
      <c r="H335"/>
      <c r="I335"/>
      <c r="J335"/>
      <c r="K335"/>
      <c r="L335"/>
      <c r="M335"/>
      <c r="N335"/>
      <c r="O335"/>
      <c r="P335" s="629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 s="926"/>
      <c r="AH335" s="80"/>
      <c r="AI335" s="80"/>
      <c r="AJ335" s="80"/>
      <c r="AK335"/>
      <c r="AL335" s="80"/>
      <c r="AO335"/>
      <c r="AP335"/>
      <c r="AQ335"/>
    </row>
    <row r="336" spans="1:43" s="762" customFormat="1" ht="15.75" customHeight="1">
      <c r="A336"/>
      <c r="B336"/>
      <c r="C336"/>
      <c r="D336"/>
      <c r="E336"/>
      <c r="F336"/>
      <c r="G336" s="80"/>
      <c r="H336"/>
      <c r="I336"/>
      <c r="J336"/>
      <c r="K336"/>
      <c r="L336"/>
      <c r="M336"/>
      <c r="N336"/>
      <c r="O336"/>
      <c r="P336" s="629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 s="926"/>
      <c r="AH336" s="80"/>
      <c r="AI336" s="80"/>
      <c r="AJ336" s="80"/>
      <c r="AK336"/>
      <c r="AL336" s="80"/>
      <c r="AO336"/>
      <c r="AP336"/>
      <c r="AQ336"/>
    </row>
    <row r="337" spans="1:43" s="762" customFormat="1" ht="15.75" customHeight="1">
      <c r="A337"/>
      <c r="B337"/>
      <c r="C337"/>
      <c r="D337"/>
      <c r="E337"/>
      <c r="F337"/>
      <c r="G337" s="80"/>
      <c r="H337"/>
      <c r="I337"/>
      <c r="J337"/>
      <c r="K337"/>
      <c r="L337"/>
      <c r="M337"/>
      <c r="N337"/>
      <c r="O337"/>
      <c r="P337" s="629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 s="926"/>
      <c r="AH337" s="80"/>
      <c r="AI337" s="80"/>
      <c r="AJ337" s="80"/>
      <c r="AK337"/>
      <c r="AL337" s="80"/>
      <c r="AO337"/>
      <c r="AP337"/>
      <c r="AQ337"/>
    </row>
    <row r="338" spans="1:43" s="762" customFormat="1" ht="15.75" customHeight="1">
      <c r="A338"/>
      <c r="B338"/>
      <c r="C338"/>
      <c r="D338"/>
      <c r="E338"/>
      <c r="F338"/>
      <c r="G338" s="80"/>
      <c r="H338"/>
      <c r="I338"/>
      <c r="J338"/>
      <c r="K338"/>
      <c r="L338"/>
      <c r="M338"/>
      <c r="N338"/>
      <c r="O338"/>
      <c r="P338" s="629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 s="926"/>
      <c r="AH338" s="80"/>
      <c r="AI338" s="80"/>
      <c r="AJ338" s="80"/>
      <c r="AK338"/>
      <c r="AL338" s="80"/>
      <c r="AO338"/>
      <c r="AP338"/>
      <c r="AQ338"/>
    </row>
    <row r="339" spans="1:43" s="762" customFormat="1" ht="15.75" customHeight="1">
      <c r="A339"/>
      <c r="B339"/>
      <c r="C339"/>
      <c r="D339"/>
      <c r="E339"/>
      <c r="F339"/>
      <c r="G339" s="80"/>
      <c r="H339"/>
      <c r="I339"/>
      <c r="J339"/>
      <c r="K339"/>
      <c r="L339"/>
      <c r="M339"/>
      <c r="N339"/>
      <c r="O339"/>
      <c r="P339" s="62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 s="926"/>
      <c r="AH339" s="80"/>
      <c r="AI339" s="80"/>
      <c r="AJ339" s="80"/>
      <c r="AK339"/>
      <c r="AL339" s="80"/>
      <c r="AO339"/>
      <c r="AP339"/>
      <c r="AQ339"/>
    </row>
    <row r="340" spans="1:43" s="762" customFormat="1" ht="15.75" customHeight="1">
      <c r="A340"/>
      <c r="B340"/>
      <c r="C340"/>
      <c r="D340"/>
      <c r="E340"/>
      <c r="F340"/>
      <c r="G340" s="80"/>
      <c r="H340"/>
      <c r="I340"/>
      <c r="J340"/>
      <c r="K340"/>
      <c r="L340"/>
      <c r="M340"/>
      <c r="N340"/>
      <c r="O340"/>
      <c r="P340" s="629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 s="926"/>
      <c r="AH340" s="80"/>
      <c r="AI340" s="80"/>
      <c r="AJ340" s="80"/>
      <c r="AK340"/>
      <c r="AL340" s="80"/>
      <c r="AO340"/>
      <c r="AP340"/>
      <c r="AQ340"/>
    </row>
    <row r="341" spans="1:43" s="762" customFormat="1" ht="15.75" customHeight="1">
      <c r="A341"/>
      <c r="B341"/>
      <c r="C341"/>
      <c r="D341"/>
      <c r="E341"/>
      <c r="F341"/>
      <c r="G341" s="80"/>
      <c r="H341"/>
      <c r="I341"/>
      <c r="J341"/>
      <c r="K341"/>
      <c r="L341"/>
      <c r="M341"/>
      <c r="N341"/>
      <c r="O341"/>
      <c r="P341" s="629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 s="926"/>
      <c r="AH341" s="80"/>
      <c r="AI341" s="80"/>
      <c r="AJ341" s="80"/>
      <c r="AK341"/>
      <c r="AL341" s="80"/>
      <c r="AO341"/>
      <c r="AP341"/>
      <c r="AQ341"/>
    </row>
    <row r="342" spans="1:43" s="762" customFormat="1" ht="15.75" customHeight="1">
      <c r="A342"/>
      <c r="B342"/>
      <c r="C342"/>
      <c r="D342"/>
      <c r="E342"/>
      <c r="F342"/>
      <c r="G342" s="80"/>
      <c r="H342"/>
      <c r="I342"/>
      <c r="J342"/>
      <c r="K342"/>
      <c r="L342"/>
      <c r="M342"/>
      <c r="N342"/>
      <c r="O342"/>
      <c r="P342" s="629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 s="926"/>
      <c r="AH342" s="80"/>
      <c r="AI342" s="80"/>
      <c r="AJ342" s="80"/>
      <c r="AK342"/>
      <c r="AL342" s="80"/>
      <c r="AO342"/>
      <c r="AP342"/>
      <c r="AQ342"/>
    </row>
    <row r="343" spans="1:43" s="762" customFormat="1" ht="15.75" customHeight="1">
      <c r="A343"/>
      <c r="B343"/>
      <c r="C343"/>
      <c r="D343"/>
      <c r="E343"/>
      <c r="F343"/>
      <c r="G343" s="80"/>
      <c r="H343"/>
      <c r="I343"/>
      <c r="J343"/>
      <c r="K343"/>
      <c r="L343"/>
      <c r="M343"/>
      <c r="N343"/>
      <c r="O343"/>
      <c r="P343" s="629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 s="926"/>
      <c r="AH343" s="80"/>
      <c r="AI343" s="80"/>
      <c r="AJ343" s="80"/>
      <c r="AK343"/>
      <c r="AL343" s="80"/>
      <c r="AO343"/>
      <c r="AP343"/>
      <c r="AQ343"/>
    </row>
    <row r="344" spans="1:43" s="762" customFormat="1" ht="15.75" customHeight="1">
      <c r="A344"/>
      <c r="B344"/>
      <c r="C344"/>
      <c r="D344"/>
      <c r="E344"/>
      <c r="F344"/>
      <c r="G344" s="80"/>
      <c r="H344"/>
      <c r="I344"/>
      <c r="J344"/>
      <c r="K344"/>
      <c r="L344"/>
      <c r="M344"/>
      <c r="N344"/>
      <c r="O344"/>
      <c r="P344" s="629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 s="926"/>
      <c r="AH344" s="80"/>
      <c r="AI344" s="80"/>
      <c r="AJ344" s="80"/>
      <c r="AK344"/>
      <c r="AL344" s="80"/>
      <c r="AO344"/>
      <c r="AP344"/>
      <c r="AQ344"/>
    </row>
    <row r="345" spans="1:43" s="762" customFormat="1" ht="15.75" customHeight="1">
      <c r="A345"/>
      <c r="B345"/>
      <c r="C345"/>
      <c r="D345"/>
      <c r="E345"/>
      <c r="F345"/>
      <c r="G345" s="80"/>
      <c r="H345"/>
      <c r="I345"/>
      <c r="J345"/>
      <c r="K345"/>
      <c r="L345"/>
      <c r="M345"/>
      <c r="N345"/>
      <c r="O345"/>
      <c r="P345" s="629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 s="926"/>
      <c r="AH345" s="80"/>
      <c r="AI345" s="80"/>
      <c r="AJ345" s="80"/>
      <c r="AK345"/>
      <c r="AL345" s="80"/>
      <c r="AO345"/>
      <c r="AP345"/>
      <c r="AQ345"/>
    </row>
    <row r="346" spans="1:43" s="762" customFormat="1" ht="15.75" customHeight="1">
      <c r="A346"/>
      <c r="B346"/>
      <c r="C346"/>
      <c r="D346"/>
      <c r="E346"/>
      <c r="F346"/>
      <c r="G346" s="80"/>
      <c r="H346"/>
      <c r="I346"/>
      <c r="J346"/>
      <c r="K346"/>
      <c r="L346"/>
      <c r="M346"/>
      <c r="N346"/>
      <c r="O346"/>
      <c r="P346" s="629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 s="926"/>
      <c r="AH346" s="80"/>
      <c r="AI346" s="80"/>
      <c r="AJ346" s="80"/>
      <c r="AK346"/>
      <c r="AL346" s="80"/>
      <c r="AO346"/>
      <c r="AP346"/>
      <c r="AQ346"/>
    </row>
    <row r="347" spans="1:43" s="762" customFormat="1" ht="15.75" customHeight="1">
      <c r="A347"/>
      <c r="B347"/>
      <c r="C347"/>
      <c r="D347"/>
      <c r="E347"/>
      <c r="F347"/>
      <c r="G347" s="80"/>
      <c r="H347"/>
      <c r="I347"/>
      <c r="J347"/>
      <c r="K347"/>
      <c r="L347"/>
      <c r="M347"/>
      <c r="N347"/>
      <c r="O347"/>
      <c r="P347" s="629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 s="926"/>
      <c r="AH347" s="80"/>
      <c r="AI347" s="80"/>
      <c r="AJ347" s="80"/>
      <c r="AK347"/>
      <c r="AL347" s="80"/>
      <c r="AO347"/>
      <c r="AP347"/>
      <c r="AQ347"/>
    </row>
    <row r="348" spans="1:43" s="762" customFormat="1" ht="15.75" customHeight="1">
      <c r="A348"/>
      <c r="B348"/>
      <c r="C348"/>
      <c r="D348"/>
      <c r="E348"/>
      <c r="F348"/>
      <c r="G348" s="80"/>
      <c r="H348"/>
      <c r="I348"/>
      <c r="J348"/>
      <c r="K348"/>
      <c r="L348"/>
      <c r="M348"/>
      <c r="N348"/>
      <c r="O348"/>
      <c r="P348" s="629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 s="926"/>
      <c r="AH348" s="80"/>
      <c r="AI348" s="80"/>
      <c r="AJ348" s="80"/>
      <c r="AK348"/>
      <c r="AL348" s="80"/>
      <c r="AO348"/>
      <c r="AP348"/>
      <c r="AQ348"/>
    </row>
    <row r="349" spans="1:43" s="762" customFormat="1" ht="15.75" customHeight="1">
      <c r="A349"/>
      <c r="B349"/>
      <c r="C349"/>
      <c r="D349"/>
      <c r="E349"/>
      <c r="F349"/>
      <c r="G349" s="80"/>
      <c r="H349"/>
      <c r="I349"/>
      <c r="J349"/>
      <c r="K349"/>
      <c r="L349"/>
      <c r="M349"/>
      <c r="N349"/>
      <c r="O349"/>
      <c r="P349" s="62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 s="926"/>
      <c r="AH349" s="80"/>
      <c r="AI349" s="80"/>
      <c r="AJ349" s="80"/>
      <c r="AK349"/>
      <c r="AL349" s="80"/>
      <c r="AO349"/>
      <c r="AP349"/>
      <c r="AQ349"/>
    </row>
    <row r="350" spans="1:43" s="762" customFormat="1" ht="15.75" customHeight="1">
      <c r="A350"/>
      <c r="B350"/>
      <c r="C350"/>
      <c r="D350"/>
      <c r="E350"/>
      <c r="F350"/>
      <c r="G350" s="80"/>
      <c r="H350"/>
      <c r="I350"/>
      <c r="J350"/>
      <c r="K350"/>
      <c r="L350"/>
      <c r="M350"/>
      <c r="N350"/>
      <c r="O350"/>
      <c r="P350" s="629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 s="926"/>
      <c r="AH350" s="80"/>
      <c r="AI350" s="80"/>
      <c r="AJ350" s="80"/>
      <c r="AK350"/>
      <c r="AL350" s="80"/>
      <c r="AO350"/>
      <c r="AP350"/>
      <c r="AQ350"/>
    </row>
    <row r="351" spans="1:43" s="762" customFormat="1" ht="15.75" customHeight="1">
      <c r="A351"/>
      <c r="B351"/>
      <c r="C351"/>
      <c r="D351"/>
      <c r="E351"/>
      <c r="F351"/>
      <c r="G351" s="80"/>
      <c r="H351"/>
      <c r="I351"/>
      <c r="J351"/>
      <c r="K351"/>
      <c r="L351"/>
      <c r="M351"/>
      <c r="N351"/>
      <c r="O351"/>
      <c r="P351" s="629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 s="926"/>
      <c r="AH351" s="80"/>
      <c r="AI351" s="80"/>
      <c r="AJ351" s="80"/>
      <c r="AK351"/>
      <c r="AL351" s="80"/>
      <c r="AO351"/>
      <c r="AP351"/>
      <c r="AQ351"/>
    </row>
    <row r="352" spans="1:43" s="762" customFormat="1" ht="15.75" customHeight="1">
      <c r="A352"/>
      <c r="B352"/>
      <c r="C352"/>
      <c r="D352"/>
      <c r="E352"/>
      <c r="F352"/>
      <c r="G352" s="80"/>
      <c r="H352"/>
      <c r="I352"/>
      <c r="J352"/>
      <c r="K352"/>
      <c r="L352"/>
      <c r="M352"/>
      <c r="N352"/>
      <c r="O352"/>
      <c r="P352" s="629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 s="926"/>
      <c r="AH352" s="80"/>
      <c r="AI352" s="80"/>
      <c r="AJ352" s="80"/>
      <c r="AK352"/>
      <c r="AL352" s="80"/>
      <c r="AO352"/>
      <c r="AP352"/>
      <c r="AQ352"/>
    </row>
    <row r="353" spans="1:43" s="762" customFormat="1" ht="15.75" customHeight="1">
      <c r="A353"/>
      <c r="B353"/>
      <c r="C353"/>
      <c r="D353"/>
      <c r="E353"/>
      <c r="F353"/>
      <c r="G353" s="80"/>
      <c r="H353"/>
      <c r="I353"/>
      <c r="J353"/>
      <c r="K353"/>
      <c r="L353"/>
      <c r="M353"/>
      <c r="N353"/>
      <c r="O353"/>
      <c r="P353" s="629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 s="926"/>
      <c r="AH353" s="80"/>
      <c r="AI353" s="80"/>
      <c r="AJ353" s="80"/>
      <c r="AK353"/>
      <c r="AL353" s="80"/>
      <c r="AO353"/>
      <c r="AP353"/>
      <c r="AQ353"/>
    </row>
    <row r="354" spans="1:43" s="762" customFormat="1" ht="15.75" customHeight="1">
      <c r="A354"/>
      <c r="B354"/>
      <c r="C354"/>
      <c r="D354"/>
      <c r="E354"/>
      <c r="F354"/>
      <c r="G354" s="80"/>
      <c r="H354"/>
      <c r="I354"/>
      <c r="J354"/>
      <c r="K354"/>
      <c r="L354"/>
      <c r="M354"/>
      <c r="N354"/>
      <c r="O354"/>
      <c r="P354" s="629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 s="926"/>
      <c r="AH354" s="80"/>
      <c r="AI354" s="80"/>
      <c r="AJ354" s="80"/>
      <c r="AK354"/>
      <c r="AL354" s="80"/>
      <c r="AO354"/>
      <c r="AP354"/>
      <c r="AQ354"/>
    </row>
    <row r="355" spans="1:43" s="762" customFormat="1" ht="15.75" customHeight="1">
      <c r="A355"/>
      <c r="B355"/>
      <c r="C355"/>
      <c r="D355"/>
      <c r="E355"/>
      <c r="F355"/>
      <c r="G355" s="80"/>
      <c r="H355"/>
      <c r="I355"/>
      <c r="J355"/>
      <c r="K355"/>
      <c r="L355"/>
      <c r="M355"/>
      <c r="N355"/>
      <c r="O355"/>
      <c r="P355" s="629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 s="926"/>
      <c r="AH355" s="80"/>
      <c r="AI355" s="80"/>
      <c r="AJ355" s="80"/>
      <c r="AK355"/>
      <c r="AL355" s="80"/>
      <c r="AO355"/>
      <c r="AP355"/>
      <c r="AQ355"/>
    </row>
    <row r="356" spans="1:43" s="762" customFormat="1" ht="15.75" customHeight="1">
      <c r="A356"/>
      <c r="B356"/>
      <c r="C356"/>
      <c r="D356"/>
      <c r="E356"/>
      <c r="F356"/>
      <c r="G356" s="80"/>
      <c r="H356"/>
      <c r="I356"/>
      <c r="J356"/>
      <c r="K356"/>
      <c r="L356"/>
      <c r="M356"/>
      <c r="N356"/>
      <c r="O356"/>
      <c r="P356" s="629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 s="926"/>
      <c r="AH356" s="80"/>
      <c r="AI356" s="80"/>
      <c r="AJ356" s="80"/>
      <c r="AK356"/>
      <c r="AL356" s="80"/>
      <c r="AO356"/>
      <c r="AP356"/>
      <c r="AQ356"/>
    </row>
    <row r="357" spans="1:43" s="762" customFormat="1" ht="15.75" customHeight="1">
      <c r="A357"/>
      <c r="B357"/>
      <c r="C357"/>
      <c r="D357"/>
      <c r="E357"/>
      <c r="F357"/>
      <c r="G357" s="80"/>
      <c r="H357"/>
      <c r="I357"/>
      <c r="J357"/>
      <c r="K357"/>
      <c r="L357"/>
      <c r="M357"/>
      <c r="N357"/>
      <c r="O357"/>
      <c r="P357" s="629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 s="926"/>
      <c r="AH357" s="80"/>
      <c r="AI357" s="80"/>
      <c r="AJ357" s="80"/>
      <c r="AK357"/>
      <c r="AL357" s="80"/>
      <c r="AO357"/>
      <c r="AP357"/>
      <c r="AQ357"/>
    </row>
    <row r="358" spans="1:43" s="762" customFormat="1" ht="15.75" customHeight="1">
      <c r="A358"/>
      <c r="B358"/>
      <c r="C358"/>
      <c r="D358"/>
      <c r="E358"/>
      <c r="F358"/>
      <c r="G358" s="80"/>
      <c r="H358"/>
      <c r="I358"/>
      <c r="J358"/>
      <c r="K358"/>
      <c r="L358"/>
      <c r="M358"/>
      <c r="N358"/>
      <c r="O358"/>
      <c r="P358" s="629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 s="926"/>
      <c r="AH358" s="80"/>
      <c r="AI358" s="80"/>
      <c r="AJ358" s="80"/>
      <c r="AK358"/>
      <c r="AL358" s="80"/>
      <c r="AO358"/>
      <c r="AP358"/>
      <c r="AQ358"/>
    </row>
    <row r="359" spans="1:43" s="762" customFormat="1" ht="15.75" customHeight="1">
      <c r="A359"/>
      <c r="B359"/>
      <c r="C359"/>
      <c r="D359"/>
      <c r="E359"/>
      <c r="F359"/>
      <c r="G359" s="80"/>
      <c r="H359"/>
      <c r="I359"/>
      <c r="J359"/>
      <c r="K359"/>
      <c r="L359"/>
      <c r="M359"/>
      <c r="N359"/>
      <c r="O359"/>
      <c r="P359" s="62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 s="926"/>
      <c r="AH359" s="80"/>
      <c r="AI359" s="80"/>
      <c r="AJ359" s="80"/>
      <c r="AK359"/>
      <c r="AL359" s="80"/>
      <c r="AO359"/>
      <c r="AP359"/>
      <c r="AQ359"/>
    </row>
    <row r="360" spans="1:43" s="762" customFormat="1" ht="15.75" customHeight="1">
      <c r="A360"/>
      <c r="B360"/>
      <c r="C360"/>
      <c r="D360"/>
      <c r="E360"/>
      <c r="F360"/>
      <c r="G360" s="80"/>
      <c r="H360"/>
      <c r="I360"/>
      <c r="J360"/>
      <c r="K360"/>
      <c r="L360"/>
      <c r="M360"/>
      <c r="N360"/>
      <c r="O360"/>
      <c r="P360" s="629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 s="926"/>
      <c r="AH360" s="80"/>
      <c r="AI360" s="80"/>
      <c r="AJ360" s="80"/>
      <c r="AK360"/>
      <c r="AL360" s="80"/>
      <c r="AO360"/>
      <c r="AP360"/>
      <c r="AQ360"/>
    </row>
    <row r="361" spans="1:43" s="762" customFormat="1" ht="15.75" customHeight="1">
      <c r="A361"/>
      <c r="B361"/>
      <c r="C361"/>
      <c r="D361"/>
      <c r="E361"/>
      <c r="F361"/>
      <c r="G361" s="80"/>
      <c r="H361"/>
      <c r="I361"/>
      <c r="J361"/>
      <c r="K361"/>
      <c r="L361"/>
      <c r="M361"/>
      <c r="N361"/>
      <c r="O361"/>
      <c r="P361" s="629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 s="926"/>
      <c r="AH361" s="80"/>
      <c r="AI361" s="80"/>
      <c r="AJ361" s="80"/>
      <c r="AK361"/>
      <c r="AL361" s="80"/>
      <c r="AO361"/>
      <c r="AP361"/>
      <c r="AQ361"/>
    </row>
    <row r="362" spans="1:43" s="762" customFormat="1" ht="15.75" customHeight="1">
      <c r="A362"/>
      <c r="B362"/>
      <c r="C362"/>
      <c r="D362"/>
      <c r="E362"/>
      <c r="F362"/>
      <c r="G362" s="80"/>
      <c r="H362"/>
      <c r="I362"/>
      <c r="J362"/>
      <c r="K362"/>
      <c r="L362"/>
      <c r="M362"/>
      <c r="N362"/>
      <c r="O362"/>
      <c r="P362" s="629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 s="926"/>
      <c r="AH362" s="80"/>
      <c r="AI362" s="80"/>
      <c r="AJ362" s="80"/>
      <c r="AK362"/>
      <c r="AL362" s="80"/>
      <c r="AO362"/>
      <c r="AP362"/>
      <c r="AQ362"/>
    </row>
    <row r="363" spans="1:43" s="762" customFormat="1" ht="15.75" customHeight="1">
      <c r="A363"/>
      <c r="B363"/>
      <c r="C363"/>
      <c r="D363"/>
      <c r="E363"/>
      <c r="F363"/>
      <c r="G363" s="80"/>
      <c r="H363"/>
      <c r="I363"/>
      <c r="J363"/>
      <c r="K363"/>
      <c r="L363"/>
      <c r="M363"/>
      <c r="N363"/>
      <c r="O363"/>
      <c r="P363" s="629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 s="926"/>
      <c r="AH363" s="80"/>
      <c r="AI363" s="80"/>
      <c r="AJ363" s="80"/>
      <c r="AK363"/>
      <c r="AL363" s="80"/>
      <c r="AO363"/>
      <c r="AP363"/>
      <c r="AQ363"/>
    </row>
    <row r="364" spans="1:43" s="762" customFormat="1" ht="15.75" customHeight="1">
      <c r="A364"/>
      <c r="B364"/>
      <c r="C364"/>
      <c r="D364"/>
      <c r="E364"/>
      <c r="F364"/>
      <c r="G364" s="80"/>
      <c r="H364"/>
      <c r="I364"/>
      <c r="J364"/>
      <c r="K364"/>
      <c r="L364"/>
      <c r="M364"/>
      <c r="N364"/>
      <c r="O364"/>
      <c r="P364" s="629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 s="926"/>
      <c r="AH364" s="80"/>
      <c r="AI364" s="80"/>
      <c r="AJ364" s="80"/>
      <c r="AK364"/>
      <c r="AL364" s="80"/>
      <c r="AO364"/>
      <c r="AP364"/>
      <c r="AQ364"/>
    </row>
    <row r="365" spans="1:43" s="762" customFormat="1" ht="15.75" customHeight="1">
      <c r="A365"/>
      <c r="B365"/>
      <c r="C365"/>
      <c r="D365"/>
      <c r="E365"/>
      <c r="F365"/>
      <c r="G365" s="80"/>
      <c r="H365"/>
      <c r="I365"/>
      <c r="J365"/>
      <c r="K365"/>
      <c r="L365"/>
      <c r="M365"/>
      <c r="N365"/>
      <c r="O365"/>
      <c r="P365" s="629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 s="926"/>
      <c r="AH365" s="80"/>
      <c r="AI365" s="80"/>
      <c r="AJ365" s="80"/>
      <c r="AK365"/>
      <c r="AL365" s="80"/>
      <c r="AO365"/>
      <c r="AP365"/>
      <c r="AQ365"/>
    </row>
    <row r="366" spans="1:43" s="762" customFormat="1" ht="15.75" customHeight="1">
      <c r="A366"/>
      <c r="B366"/>
      <c r="C366"/>
      <c r="D366"/>
      <c r="E366"/>
      <c r="F366"/>
      <c r="G366" s="80"/>
      <c r="H366"/>
      <c r="I366"/>
      <c r="J366"/>
      <c r="K366"/>
      <c r="L366"/>
      <c r="M366"/>
      <c r="N366"/>
      <c r="O366"/>
      <c r="P366" s="629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 s="926"/>
      <c r="AH366" s="80"/>
      <c r="AI366" s="80"/>
      <c r="AJ366" s="80"/>
      <c r="AK366"/>
      <c r="AL366" s="80"/>
      <c r="AO366"/>
      <c r="AP366"/>
      <c r="AQ366"/>
    </row>
    <row r="367" spans="1:43" s="762" customFormat="1" ht="15.75" customHeight="1">
      <c r="A367"/>
      <c r="B367"/>
      <c r="C367"/>
      <c r="D367"/>
      <c r="E367"/>
      <c r="F367"/>
      <c r="G367" s="80"/>
      <c r="H367"/>
      <c r="I367"/>
      <c r="J367"/>
      <c r="K367"/>
      <c r="L367"/>
      <c r="M367"/>
      <c r="N367"/>
      <c r="O367"/>
      <c r="P367" s="629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 s="926"/>
      <c r="AH367" s="80"/>
      <c r="AI367" s="80"/>
      <c r="AJ367" s="80"/>
      <c r="AK367"/>
      <c r="AL367" s="80"/>
      <c r="AO367"/>
      <c r="AP367"/>
      <c r="AQ367"/>
    </row>
    <row r="368" spans="1:43" s="762" customFormat="1" ht="15.75" customHeight="1">
      <c r="A368"/>
      <c r="B368"/>
      <c r="C368"/>
      <c r="D368"/>
      <c r="E368"/>
      <c r="F368"/>
      <c r="G368" s="80"/>
      <c r="H368"/>
      <c r="I368"/>
      <c r="J368"/>
      <c r="K368"/>
      <c r="L368"/>
      <c r="M368"/>
      <c r="N368"/>
      <c r="O368"/>
      <c r="P368" s="629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 s="926"/>
      <c r="AH368" s="80"/>
      <c r="AI368" s="80"/>
      <c r="AJ368" s="80"/>
      <c r="AK368"/>
      <c r="AL368" s="80"/>
      <c r="AO368"/>
      <c r="AP368"/>
      <c r="AQ368"/>
    </row>
    <row r="369" spans="1:43" s="762" customFormat="1" ht="15.75" customHeight="1">
      <c r="A369"/>
      <c r="B369"/>
      <c r="C369"/>
      <c r="D369"/>
      <c r="E369"/>
      <c r="F369"/>
      <c r="G369" s="80"/>
      <c r="H369"/>
      <c r="I369"/>
      <c r="J369"/>
      <c r="K369"/>
      <c r="L369"/>
      <c r="M369"/>
      <c r="N369"/>
      <c r="O369"/>
      <c r="P369" s="62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 s="926"/>
      <c r="AH369" s="80"/>
      <c r="AI369" s="80"/>
      <c r="AJ369" s="80"/>
      <c r="AK369"/>
      <c r="AL369" s="80"/>
      <c r="AO369"/>
      <c r="AP369"/>
      <c r="AQ369"/>
    </row>
    <row r="370" spans="1:43" s="762" customFormat="1" ht="15.75" customHeight="1">
      <c r="A370"/>
      <c r="B370"/>
      <c r="C370"/>
      <c r="D370"/>
      <c r="E370"/>
      <c r="F370"/>
      <c r="G370" s="80"/>
      <c r="H370"/>
      <c r="I370"/>
      <c r="J370"/>
      <c r="K370"/>
      <c r="L370"/>
      <c r="M370"/>
      <c r="N370"/>
      <c r="O370"/>
      <c r="P370" s="629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 s="926"/>
      <c r="AH370" s="80"/>
      <c r="AI370" s="80"/>
      <c r="AJ370" s="80"/>
      <c r="AK370"/>
      <c r="AL370" s="80"/>
      <c r="AO370"/>
      <c r="AP370"/>
      <c r="AQ370"/>
    </row>
    <row r="371" spans="1:43" s="762" customFormat="1" ht="15.75" customHeight="1">
      <c r="A371"/>
      <c r="B371"/>
      <c r="C371"/>
      <c r="D371"/>
      <c r="E371"/>
      <c r="F371"/>
      <c r="G371" s="80"/>
      <c r="H371"/>
      <c r="I371"/>
      <c r="J371"/>
      <c r="K371"/>
      <c r="L371"/>
      <c r="M371"/>
      <c r="N371"/>
      <c r="O371"/>
      <c r="P371" s="629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 s="926"/>
      <c r="AH371" s="80"/>
      <c r="AI371" s="80"/>
      <c r="AJ371" s="80"/>
      <c r="AK371"/>
      <c r="AL371" s="80"/>
      <c r="AO371"/>
      <c r="AP371"/>
      <c r="AQ371"/>
    </row>
    <row r="372" spans="1:43" s="762" customFormat="1" ht="15.75" customHeight="1">
      <c r="A372"/>
      <c r="B372"/>
      <c r="C372"/>
      <c r="D372"/>
      <c r="E372"/>
      <c r="F372"/>
      <c r="G372" s="80"/>
      <c r="H372"/>
      <c r="I372"/>
      <c r="J372"/>
      <c r="K372"/>
      <c r="L372"/>
      <c r="M372"/>
      <c r="N372"/>
      <c r="O372"/>
      <c r="P372" s="629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 s="926"/>
      <c r="AH372" s="80"/>
      <c r="AI372" s="80"/>
      <c r="AJ372" s="80"/>
      <c r="AK372"/>
      <c r="AL372" s="80"/>
      <c r="AO372"/>
      <c r="AP372"/>
      <c r="AQ372"/>
    </row>
    <row r="373" spans="1:43" s="762" customFormat="1" ht="15.75" customHeight="1">
      <c r="A373"/>
      <c r="B373"/>
      <c r="C373"/>
      <c r="D373"/>
      <c r="E373"/>
      <c r="F373"/>
      <c r="G373" s="80"/>
      <c r="H373"/>
      <c r="I373"/>
      <c r="J373"/>
      <c r="K373"/>
      <c r="L373"/>
      <c r="M373"/>
      <c r="N373"/>
      <c r="O373"/>
      <c r="P373" s="629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 s="926"/>
      <c r="AH373" s="80"/>
      <c r="AI373" s="80"/>
      <c r="AJ373" s="80"/>
      <c r="AK373"/>
      <c r="AL373" s="80"/>
      <c r="AO373"/>
      <c r="AP373"/>
      <c r="AQ373"/>
    </row>
    <row r="374" spans="1:43" s="762" customFormat="1" ht="15.75" customHeight="1">
      <c r="A374"/>
      <c r="B374"/>
      <c r="C374"/>
      <c r="D374"/>
      <c r="E374"/>
      <c r="F374"/>
      <c r="G374" s="80"/>
      <c r="H374"/>
      <c r="I374"/>
      <c r="J374"/>
      <c r="K374"/>
      <c r="L374"/>
      <c r="M374"/>
      <c r="N374"/>
      <c r="O374"/>
      <c r="P374" s="629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 s="926"/>
      <c r="AH374" s="80"/>
      <c r="AI374" s="80"/>
      <c r="AJ374" s="80"/>
      <c r="AK374"/>
      <c r="AL374" s="80"/>
      <c r="AO374"/>
      <c r="AP374"/>
      <c r="AQ374"/>
    </row>
    <row r="375" spans="1:43" s="762" customFormat="1" ht="15.75" customHeight="1">
      <c r="A375"/>
      <c r="B375"/>
      <c r="C375"/>
      <c r="D375"/>
      <c r="E375"/>
      <c r="F375"/>
      <c r="G375" s="80"/>
      <c r="H375"/>
      <c r="I375"/>
      <c r="J375"/>
      <c r="K375"/>
      <c r="L375"/>
      <c r="M375"/>
      <c r="N375"/>
      <c r="O375"/>
      <c r="P375" s="629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 s="926"/>
      <c r="AH375" s="80"/>
      <c r="AI375" s="80"/>
      <c r="AJ375" s="80"/>
      <c r="AK375"/>
      <c r="AL375" s="80"/>
      <c r="AO375"/>
      <c r="AP375"/>
      <c r="AQ375"/>
    </row>
    <row r="376" spans="1:43" s="762" customFormat="1" ht="15.75" customHeight="1">
      <c r="A376"/>
      <c r="B376"/>
      <c r="C376"/>
      <c r="D376"/>
      <c r="E376"/>
      <c r="F376"/>
      <c r="G376" s="80"/>
      <c r="H376"/>
      <c r="I376"/>
      <c r="J376"/>
      <c r="K376"/>
      <c r="L376"/>
      <c r="M376"/>
      <c r="N376"/>
      <c r="O376"/>
      <c r="P376" s="629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 s="926"/>
      <c r="AH376" s="80"/>
      <c r="AI376" s="80"/>
      <c r="AJ376" s="80"/>
      <c r="AK376"/>
      <c r="AL376" s="80"/>
      <c r="AO376"/>
      <c r="AP376"/>
      <c r="AQ376"/>
    </row>
    <row r="377" spans="1:43" s="762" customFormat="1" ht="15.75" customHeight="1">
      <c r="A377"/>
      <c r="B377"/>
      <c r="C377"/>
      <c r="D377"/>
      <c r="E377"/>
      <c r="F377"/>
      <c r="G377" s="80"/>
      <c r="H377"/>
      <c r="I377"/>
      <c r="J377"/>
      <c r="K377"/>
      <c r="L377"/>
      <c r="M377"/>
      <c r="N377"/>
      <c r="O377"/>
      <c r="P377" s="629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 s="926"/>
      <c r="AH377" s="80"/>
      <c r="AI377" s="80"/>
      <c r="AJ377" s="80"/>
      <c r="AK377"/>
      <c r="AL377" s="80"/>
      <c r="AO377"/>
      <c r="AP377"/>
      <c r="AQ377"/>
    </row>
    <row r="378" spans="1:43" s="762" customFormat="1" ht="15.75" customHeight="1">
      <c r="A378"/>
      <c r="B378"/>
      <c r="C378"/>
      <c r="D378"/>
      <c r="E378"/>
      <c r="F378"/>
      <c r="G378" s="80"/>
      <c r="H378"/>
      <c r="I378"/>
      <c r="J378"/>
      <c r="K378"/>
      <c r="L378"/>
      <c r="M378"/>
      <c r="N378"/>
      <c r="O378"/>
      <c r="P378" s="629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 s="926"/>
      <c r="AH378" s="80"/>
      <c r="AI378" s="80"/>
      <c r="AJ378" s="80"/>
      <c r="AK378"/>
      <c r="AL378" s="80"/>
      <c r="AO378"/>
      <c r="AP378"/>
      <c r="AQ378"/>
    </row>
    <row r="379" spans="1:43" s="762" customFormat="1" ht="15.75" customHeight="1">
      <c r="A379"/>
      <c r="B379"/>
      <c r="C379"/>
      <c r="D379"/>
      <c r="E379"/>
      <c r="F379"/>
      <c r="G379" s="80"/>
      <c r="H379"/>
      <c r="I379"/>
      <c r="J379"/>
      <c r="K379"/>
      <c r="L379"/>
      <c r="M379"/>
      <c r="N379"/>
      <c r="O379"/>
      <c r="P379" s="62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 s="926"/>
      <c r="AH379" s="80"/>
      <c r="AI379" s="80"/>
      <c r="AJ379" s="80"/>
      <c r="AK379"/>
      <c r="AL379" s="80"/>
      <c r="AO379"/>
      <c r="AP379"/>
      <c r="AQ379"/>
    </row>
    <row r="380" spans="1:43" s="762" customFormat="1" ht="15.75" customHeight="1">
      <c r="A380"/>
      <c r="B380"/>
      <c r="C380"/>
      <c r="D380"/>
      <c r="E380"/>
      <c r="F380"/>
      <c r="G380" s="80"/>
      <c r="H380"/>
      <c r="I380"/>
      <c r="J380"/>
      <c r="K380"/>
      <c r="L380"/>
      <c r="M380"/>
      <c r="N380"/>
      <c r="O380"/>
      <c r="P380" s="629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 s="926"/>
      <c r="AH380" s="80"/>
      <c r="AI380" s="80"/>
      <c r="AJ380" s="80"/>
      <c r="AK380"/>
      <c r="AL380" s="80"/>
      <c r="AO380"/>
      <c r="AP380"/>
      <c r="AQ380"/>
    </row>
    <row r="381" spans="1:43" s="762" customFormat="1" ht="15.75" customHeight="1">
      <c r="A381"/>
      <c r="B381"/>
      <c r="C381"/>
      <c r="D381"/>
      <c r="E381"/>
      <c r="F381"/>
      <c r="G381" s="80"/>
      <c r="H381"/>
      <c r="I381"/>
      <c r="J381"/>
      <c r="K381"/>
      <c r="L381"/>
      <c r="M381"/>
      <c r="N381"/>
      <c r="O381"/>
      <c r="P381" s="629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 s="926"/>
      <c r="AH381" s="80"/>
      <c r="AI381" s="80"/>
      <c r="AJ381" s="80"/>
      <c r="AK381"/>
      <c r="AL381" s="80"/>
      <c r="AO381"/>
      <c r="AP381"/>
      <c r="AQ381"/>
    </row>
    <row r="382" spans="1:43" s="762" customFormat="1" ht="15.75" customHeight="1">
      <c r="A382"/>
      <c r="B382"/>
      <c r="C382"/>
      <c r="D382"/>
      <c r="E382"/>
      <c r="F382"/>
      <c r="G382" s="80"/>
      <c r="H382"/>
      <c r="I382"/>
      <c r="J382"/>
      <c r="K382"/>
      <c r="L382"/>
      <c r="M382"/>
      <c r="N382"/>
      <c r="O382"/>
      <c r="P382" s="629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 s="926"/>
      <c r="AH382" s="80"/>
      <c r="AI382" s="80"/>
      <c r="AJ382" s="80"/>
      <c r="AK382"/>
      <c r="AL382" s="80"/>
      <c r="AO382"/>
      <c r="AP382"/>
      <c r="AQ382"/>
    </row>
    <row r="383" spans="1:43" s="762" customFormat="1" ht="15.75" customHeight="1">
      <c r="A383"/>
      <c r="B383"/>
      <c r="C383"/>
      <c r="D383"/>
      <c r="E383"/>
      <c r="F383"/>
      <c r="G383" s="80"/>
      <c r="H383"/>
      <c r="I383"/>
      <c r="J383"/>
      <c r="K383"/>
      <c r="L383"/>
      <c r="M383"/>
      <c r="N383"/>
      <c r="O383"/>
      <c r="P383" s="629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 s="926"/>
      <c r="AH383" s="80"/>
      <c r="AI383" s="80"/>
      <c r="AJ383" s="80"/>
      <c r="AK383"/>
      <c r="AL383" s="80"/>
      <c r="AO383"/>
      <c r="AP383"/>
      <c r="AQ383"/>
    </row>
    <row r="384" spans="1:43" s="762" customFormat="1" ht="15.75" customHeight="1">
      <c r="A384"/>
      <c r="B384"/>
      <c r="C384"/>
      <c r="D384"/>
      <c r="E384"/>
      <c r="F384"/>
      <c r="G384" s="80"/>
      <c r="H384"/>
      <c r="I384"/>
      <c r="J384"/>
      <c r="K384"/>
      <c r="L384"/>
      <c r="M384"/>
      <c r="N384"/>
      <c r="O384"/>
      <c r="P384" s="629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 s="926"/>
      <c r="AH384" s="80"/>
      <c r="AI384" s="80"/>
      <c r="AJ384" s="80"/>
      <c r="AK384"/>
      <c r="AL384" s="80"/>
      <c r="AO384"/>
      <c r="AP384"/>
      <c r="AQ384"/>
    </row>
    <row r="385" spans="1:43" s="762" customFormat="1" ht="15.75" customHeight="1">
      <c r="A385"/>
      <c r="B385"/>
      <c r="C385"/>
      <c r="D385"/>
      <c r="E385"/>
      <c r="F385"/>
      <c r="G385" s="80"/>
      <c r="H385"/>
      <c r="I385"/>
      <c r="J385"/>
      <c r="K385"/>
      <c r="L385"/>
      <c r="M385"/>
      <c r="N385"/>
      <c r="O385"/>
      <c r="P385" s="629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 s="926"/>
      <c r="AH385" s="80"/>
      <c r="AI385" s="80"/>
      <c r="AJ385" s="80"/>
      <c r="AK385"/>
      <c r="AL385" s="80"/>
      <c r="AO385"/>
      <c r="AP385"/>
      <c r="AQ385"/>
    </row>
    <row r="386" spans="1:43" s="762" customFormat="1" ht="15.75" customHeight="1">
      <c r="A386"/>
      <c r="B386"/>
      <c r="C386"/>
      <c r="D386"/>
      <c r="E386"/>
      <c r="F386"/>
      <c r="G386" s="80"/>
      <c r="H386"/>
      <c r="I386"/>
      <c r="J386"/>
      <c r="K386"/>
      <c r="L386"/>
      <c r="M386"/>
      <c r="N386"/>
      <c r="O386"/>
      <c r="P386" s="629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 s="926"/>
      <c r="AH386" s="80"/>
      <c r="AI386" s="80"/>
      <c r="AJ386" s="80"/>
      <c r="AK386"/>
      <c r="AL386" s="80"/>
      <c r="AO386"/>
      <c r="AP386"/>
      <c r="AQ386"/>
    </row>
    <row r="387" spans="1:43" s="762" customFormat="1" ht="15.75" customHeight="1">
      <c r="A387"/>
      <c r="B387"/>
      <c r="C387"/>
      <c r="D387"/>
      <c r="E387"/>
      <c r="F387"/>
      <c r="G387" s="80"/>
      <c r="H387"/>
      <c r="I387"/>
      <c r="J387"/>
      <c r="K387"/>
      <c r="L387"/>
      <c r="M387"/>
      <c r="N387"/>
      <c r="O387"/>
      <c r="P387" s="629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 s="926"/>
      <c r="AH387" s="80"/>
      <c r="AI387" s="80"/>
      <c r="AJ387" s="80"/>
      <c r="AK387"/>
      <c r="AL387" s="80"/>
      <c r="AO387"/>
      <c r="AP387"/>
      <c r="AQ387"/>
    </row>
    <row r="388" spans="1:43" s="762" customFormat="1" ht="15.75" customHeight="1">
      <c r="A388"/>
      <c r="B388"/>
      <c r="C388"/>
      <c r="D388"/>
      <c r="E388"/>
      <c r="F388"/>
      <c r="G388" s="80"/>
      <c r="H388"/>
      <c r="I388"/>
      <c r="J388"/>
      <c r="K388"/>
      <c r="L388"/>
      <c r="M388"/>
      <c r="N388"/>
      <c r="O388"/>
      <c r="P388" s="629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 s="926"/>
      <c r="AH388" s="80"/>
      <c r="AI388" s="80"/>
      <c r="AJ388" s="80"/>
      <c r="AK388"/>
      <c r="AL388" s="80"/>
      <c r="AO388"/>
      <c r="AP388"/>
      <c r="AQ388"/>
    </row>
    <row r="389" spans="1:43" s="762" customFormat="1" ht="15.75" customHeight="1">
      <c r="A389"/>
      <c r="B389"/>
      <c r="C389"/>
      <c r="D389"/>
      <c r="E389"/>
      <c r="F389"/>
      <c r="G389" s="80"/>
      <c r="H389"/>
      <c r="I389"/>
      <c r="J389"/>
      <c r="K389"/>
      <c r="L389"/>
      <c r="M389"/>
      <c r="N389"/>
      <c r="O389"/>
      <c r="P389" s="62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 s="926"/>
      <c r="AH389" s="80"/>
      <c r="AI389" s="80"/>
      <c r="AJ389" s="80"/>
      <c r="AK389"/>
      <c r="AL389" s="80"/>
      <c r="AO389"/>
      <c r="AP389"/>
      <c r="AQ389"/>
    </row>
    <row r="390" spans="1:43" s="762" customFormat="1" ht="15.75" customHeight="1">
      <c r="A390"/>
      <c r="B390"/>
      <c r="C390"/>
      <c r="D390"/>
      <c r="E390"/>
      <c r="F390"/>
      <c r="G390" s="80"/>
      <c r="H390"/>
      <c r="I390"/>
      <c r="J390"/>
      <c r="K390"/>
      <c r="L390"/>
      <c r="M390"/>
      <c r="N390"/>
      <c r="O390"/>
      <c r="P390" s="629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 s="926"/>
      <c r="AH390" s="80"/>
      <c r="AI390" s="80"/>
      <c r="AJ390" s="80"/>
      <c r="AK390"/>
      <c r="AL390" s="80"/>
      <c r="AO390"/>
      <c r="AP390"/>
      <c r="AQ390"/>
    </row>
    <row r="391" spans="1:43" s="762" customFormat="1" ht="15.75" customHeight="1">
      <c r="A391"/>
      <c r="B391"/>
      <c r="C391"/>
      <c r="D391"/>
      <c r="E391"/>
      <c r="F391"/>
      <c r="G391" s="80"/>
      <c r="H391"/>
      <c r="I391"/>
      <c r="J391"/>
      <c r="K391"/>
      <c r="L391"/>
      <c r="M391"/>
      <c r="N391"/>
      <c r="O391"/>
      <c r="P391" s="629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 s="926"/>
      <c r="AH391" s="80"/>
      <c r="AI391" s="80"/>
      <c r="AJ391" s="80"/>
      <c r="AK391"/>
      <c r="AL391" s="80"/>
      <c r="AO391"/>
      <c r="AP391"/>
      <c r="AQ391"/>
    </row>
    <row r="392" spans="1:43" s="762" customFormat="1" ht="15.75" customHeight="1">
      <c r="A392"/>
      <c r="B392"/>
      <c r="C392"/>
      <c r="D392"/>
      <c r="E392"/>
      <c r="F392"/>
      <c r="G392" s="80"/>
      <c r="H392"/>
      <c r="I392"/>
      <c r="J392"/>
      <c r="K392"/>
      <c r="L392"/>
      <c r="M392"/>
      <c r="N392"/>
      <c r="O392"/>
      <c r="P392" s="629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 s="926"/>
      <c r="AH392" s="80"/>
      <c r="AI392" s="80"/>
      <c r="AJ392" s="80"/>
      <c r="AK392"/>
      <c r="AL392" s="80"/>
      <c r="AO392"/>
      <c r="AP392"/>
      <c r="AQ392"/>
    </row>
    <row r="393" spans="1:43" s="762" customFormat="1" ht="15.75" customHeight="1">
      <c r="A393"/>
      <c r="B393"/>
      <c r="C393"/>
      <c r="D393"/>
      <c r="E393"/>
      <c r="F393"/>
      <c r="G393" s="80"/>
      <c r="H393"/>
      <c r="I393"/>
      <c r="J393"/>
      <c r="K393"/>
      <c r="L393"/>
      <c r="M393"/>
      <c r="N393"/>
      <c r="O393"/>
      <c r="P393" s="629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 s="926"/>
      <c r="AH393" s="80"/>
      <c r="AI393" s="80"/>
      <c r="AJ393" s="80"/>
      <c r="AK393"/>
      <c r="AL393" s="80"/>
      <c r="AO393"/>
      <c r="AP393"/>
      <c r="AQ393"/>
    </row>
    <row r="394" spans="1:43" s="762" customFormat="1" ht="15.75" customHeight="1">
      <c r="A394"/>
      <c r="B394"/>
      <c r="C394"/>
      <c r="D394"/>
      <c r="E394"/>
      <c r="F394"/>
      <c r="G394" s="80"/>
      <c r="H394"/>
      <c r="I394"/>
      <c r="J394"/>
      <c r="K394"/>
      <c r="L394"/>
      <c r="M394"/>
      <c r="N394"/>
      <c r="O394"/>
      <c r="P394" s="629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 s="926"/>
      <c r="AH394" s="80"/>
      <c r="AI394" s="80"/>
      <c r="AJ394" s="80"/>
      <c r="AK394"/>
      <c r="AL394" s="80"/>
      <c r="AO394"/>
      <c r="AP394"/>
      <c r="AQ394"/>
    </row>
    <row r="395" spans="1:43" s="762" customFormat="1" ht="15.75" customHeight="1">
      <c r="A395"/>
      <c r="B395"/>
      <c r="C395"/>
      <c r="D395"/>
      <c r="E395"/>
      <c r="F395"/>
      <c r="G395" s="80"/>
      <c r="H395"/>
      <c r="I395"/>
      <c r="J395"/>
      <c r="K395"/>
      <c r="L395"/>
      <c r="M395"/>
      <c r="N395"/>
      <c r="O395"/>
      <c r="P395" s="629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 s="926"/>
      <c r="AH395" s="80"/>
      <c r="AI395" s="80"/>
      <c r="AJ395" s="80"/>
      <c r="AK395"/>
      <c r="AL395" s="80"/>
      <c r="AO395"/>
      <c r="AP395"/>
      <c r="AQ395"/>
    </row>
    <row r="396" spans="1:43" s="762" customFormat="1" ht="15.75" customHeight="1">
      <c r="A396"/>
      <c r="B396"/>
      <c r="C396"/>
      <c r="D396"/>
      <c r="E396"/>
      <c r="F396"/>
      <c r="G396" s="80"/>
      <c r="H396"/>
      <c r="I396"/>
      <c r="J396"/>
      <c r="K396"/>
      <c r="L396"/>
      <c r="M396"/>
      <c r="N396"/>
      <c r="O396"/>
      <c r="P396" s="629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 s="926"/>
      <c r="AH396" s="80"/>
      <c r="AI396" s="80"/>
      <c r="AJ396" s="80"/>
      <c r="AK396"/>
      <c r="AL396" s="80"/>
      <c r="AO396"/>
      <c r="AP396"/>
      <c r="AQ396"/>
    </row>
    <row r="397" spans="1:43" s="762" customFormat="1" ht="15.75" customHeight="1">
      <c r="A397"/>
      <c r="B397"/>
      <c r="C397"/>
      <c r="D397"/>
      <c r="E397"/>
      <c r="F397"/>
      <c r="G397" s="80"/>
      <c r="H397"/>
      <c r="I397"/>
      <c r="J397"/>
      <c r="K397"/>
      <c r="L397"/>
      <c r="M397"/>
      <c r="N397"/>
      <c r="O397"/>
      <c r="P397" s="629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 s="926"/>
      <c r="AH397" s="80"/>
      <c r="AI397" s="80"/>
      <c r="AJ397" s="80"/>
      <c r="AK397"/>
      <c r="AL397" s="80"/>
      <c r="AO397"/>
      <c r="AP397"/>
      <c r="AQ397"/>
    </row>
    <row r="398" spans="1:43" s="762" customFormat="1" ht="15.75" customHeight="1">
      <c r="A398"/>
      <c r="B398"/>
      <c r="C398"/>
      <c r="D398"/>
      <c r="E398"/>
      <c r="F398"/>
      <c r="G398" s="80"/>
      <c r="H398"/>
      <c r="I398"/>
      <c r="J398"/>
      <c r="K398"/>
      <c r="L398"/>
      <c r="M398"/>
      <c r="N398"/>
      <c r="O398"/>
      <c r="P398" s="629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 s="926"/>
      <c r="AH398" s="80"/>
      <c r="AI398" s="80"/>
      <c r="AJ398" s="80"/>
      <c r="AK398"/>
      <c r="AL398" s="80"/>
      <c r="AO398"/>
      <c r="AP398"/>
      <c r="AQ398"/>
    </row>
    <row r="399" spans="1:43" s="762" customFormat="1" ht="15.75" customHeight="1">
      <c r="A399"/>
      <c r="B399"/>
      <c r="C399"/>
      <c r="D399"/>
      <c r="E399"/>
      <c r="F399"/>
      <c r="G399" s="80"/>
      <c r="H399"/>
      <c r="I399"/>
      <c r="J399"/>
      <c r="K399"/>
      <c r="L399"/>
      <c r="M399"/>
      <c r="N399"/>
      <c r="O399"/>
      <c r="P399" s="62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 s="926"/>
      <c r="AH399" s="80"/>
      <c r="AI399" s="80"/>
      <c r="AJ399" s="80"/>
      <c r="AK399"/>
      <c r="AL399" s="80"/>
      <c r="AO399"/>
      <c r="AP399"/>
      <c r="AQ399"/>
    </row>
    <row r="400" spans="1:43" s="762" customFormat="1" ht="15.75" customHeight="1">
      <c r="A400"/>
      <c r="B400"/>
      <c r="C400"/>
      <c r="D400"/>
      <c r="E400"/>
      <c r="F400"/>
      <c r="G400" s="80"/>
      <c r="H400"/>
      <c r="I400"/>
      <c r="J400"/>
      <c r="K400"/>
      <c r="L400"/>
      <c r="M400"/>
      <c r="N400"/>
      <c r="O400"/>
      <c r="P400" s="629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 s="926"/>
      <c r="AH400" s="80"/>
      <c r="AI400" s="80"/>
      <c r="AJ400" s="80"/>
      <c r="AK400"/>
      <c r="AL400" s="80"/>
      <c r="AO400"/>
      <c r="AP400"/>
      <c r="AQ400"/>
    </row>
    <row r="401" spans="1:43" s="762" customFormat="1" ht="15.75" customHeight="1">
      <c r="A401"/>
      <c r="B401"/>
      <c r="C401"/>
      <c r="D401"/>
      <c r="E401"/>
      <c r="F401"/>
      <c r="G401" s="80"/>
      <c r="H401"/>
      <c r="I401"/>
      <c r="J401"/>
      <c r="K401"/>
      <c r="L401"/>
      <c r="M401"/>
      <c r="N401"/>
      <c r="O401"/>
      <c r="P401" s="629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 s="926"/>
      <c r="AH401" s="80"/>
      <c r="AI401" s="80"/>
      <c r="AJ401" s="80"/>
      <c r="AK401"/>
      <c r="AL401" s="80"/>
      <c r="AO401"/>
      <c r="AP401"/>
      <c r="AQ401"/>
    </row>
    <row r="402" spans="1:43" s="762" customFormat="1" ht="15.75" customHeight="1">
      <c r="A402"/>
      <c r="B402"/>
      <c r="C402"/>
      <c r="D402"/>
      <c r="E402"/>
      <c r="F402"/>
      <c r="G402" s="80"/>
      <c r="H402"/>
      <c r="I402"/>
      <c r="J402"/>
      <c r="K402"/>
      <c r="L402"/>
      <c r="M402"/>
      <c r="N402"/>
      <c r="O402"/>
      <c r="P402" s="629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 s="926"/>
      <c r="AH402" s="80"/>
      <c r="AI402" s="80"/>
      <c r="AJ402" s="80"/>
      <c r="AK402"/>
      <c r="AL402" s="80"/>
      <c r="AO402"/>
      <c r="AP402"/>
      <c r="AQ402"/>
    </row>
    <row r="403" spans="1:43" s="762" customFormat="1" ht="15.75" customHeight="1">
      <c r="A403"/>
      <c r="B403"/>
      <c r="C403"/>
      <c r="D403"/>
      <c r="E403"/>
      <c r="F403"/>
      <c r="G403" s="80"/>
      <c r="H403"/>
      <c r="I403"/>
      <c r="J403"/>
      <c r="K403"/>
      <c r="L403"/>
      <c r="M403"/>
      <c r="N403"/>
      <c r="O403"/>
      <c r="P403" s="629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 s="926"/>
      <c r="AH403" s="80"/>
      <c r="AI403" s="80"/>
      <c r="AJ403" s="80"/>
      <c r="AK403"/>
      <c r="AL403" s="80"/>
      <c r="AO403"/>
      <c r="AP403"/>
      <c r="AQ403"/>
    </row>
    <row r="404" spans="1:43" s="762" customFormat="1" ht="15.75" customHeight="1">
      <c r="A404"/>
      <c r="B404"/>
      <c r="C404"/>
      <c r="D404"/>
      <c r="E404"/>
      <c r="F404"/>
      <c r="G404" s="80"/>
      <c r="H404"/>
      <c r="I404"/>
      <c r="J404"/>
      <c r="K404"/>
      <c r="L404"/>
      <c r="M404"/>
      <c r="N404"/>
      <c r="O404"/>
      <c r="P404" s="629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 s="926"/>
      <c r="AH404" s="80"/>
      <c r="AI404" s="80"/>
      <c r="AJ404" s="80"/>
      <c r="AK404"/>
      <c r="AL404" s="80"/>
      <c r="AO404"/>
      <c r="AP404"/>
      <c r="AQ404"/>
    </row>
    <row r="405" spans="1:43" s="762" customFormat="1" ht="15.75" customHeight="1">
      <c r="A405"/>
      <c r="B405"/>
      <c r="C405"/>
      <c r="D405"/>
      <c r="E405"/>
      <c r="F405"/>
      <c r="G405" s="80"/>
      <c r="H405"/>
      <c r="I405"/>
      <c r="J405"/>
      <c r="K405"/>
      <c r="L405"/>
      <c r="M405"/>
      <c r="N405"/>
      <c r="O405"/>
      <c r="P405" s="629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 s="926"/>
      <c r="AH405" s="80"/>
      <c r="AI405" s="80"/>
      <c r="AJ405" s="80"/>
      <c r="AK405"/>
      <c r="AL405" s="80"/>
      <c r="AO405"/>
      <c r="AP405"/>
      <c r="AQ405"/>
    </row>
    <row r="406" spans="1:43" s="762" customFormat="1" ht="15.75" customHeight="1">
      <c r="A406"/>
      <c r="B406"/>
      <c r="C406"/>
      <c r="D406"/>
      <c r="E406"/>
      <c r="F406"/>
      <c r="G406" s="80"/>
      <c r="H406"/>
      <c r="I406"/>
      <c r="J406"/>
      <c r="K406"/>
      <c r="L406"/>
      <c r="M406"/>
      <c r="N406"/>
      <c r="O406"/>
      <c r="P406" s="629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 s="926"/>
      <c r="AH406" s="80"/>
      <c r="AI406" s="80"/>
      <c r="AJ406" s="80"/>
      <c r="AK406"/>
      <c r="AL406" s="80"/>
      <c r="AO406"/>
      <c r="AP406"/>
      <c r="AQ406"/>
    </row>
    <row r="407" spans="1:43" s="762" customFormat="1" ht="15.75" customHeight="1">
      <c r="A407"/>
      <c r="B407"/>
      <c r="C407"/>
      <c r="D407"/>
      <c r="E407"/>
      <c r="F407"/>
      <c r="G407" s="80"/>
      <c r="H407"/>
      <c r="I407"/>
      <c r="J407"/>
      <c r="K407"/>
      <c r="L407"/>
      <c r="M407"/>
      <c r="N407"/>
      <c r="O407"/>
      <c r="P407" s="629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 s="926"/>
      <c r="AH407" s="80"/>
      <c r="AI407" s="80"/>
      <c r="AJ407" s="80"/>
      <c r="AK407"/>
      <c r="AL407" s="80"/>
      <c r="AO407"/>
      <c r="AP407"/>
      <c r="AQ407"/>
    </row>
    <row r="408" spans="1:43" s="762" customFormat="1" ht="15.75" customHeight="1">
      <c r="A408"/>
      <c r="B408"/>
      <c r="C408"/>
      <c r="D408"/>
      <c r="E408"/>
      <c r="F408"/>
      <c r="G408" s="80"/>
      <c r="H408"/>
      <c r="I408"/>
      <c r="J408"/>
      <c r="K408"/>
      <c r="L408"/>
      <c r="M408"/>
      <c r="N408"/>
      <c r="O408"/>
      <c r="P408" s="629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 s="926"/>
      <c r="AH408" s="80"/>
      <c r="AI408" s="80"/>
      <c r="AJ408" s="80"/>
      <c r="AK408"/>
      <c r="AL408" s="80"/>
      <c r="AO408"/>
      <c r="AP408"/>
      <c r="AQ408"/>
    </row>
    <row r="409" spans="1:43" s="762" customFormat="1" ht="15.75" customHeight="1">
      <c r="A409"/>
      <c r="B409"/>
      <c r="C409"/>
      <c r="D409"/>
      <c r="E409"/>
      <c r="F409"/>
      <c r="G409" s="80"/>
      <c r="H409"/>
      <c r="I409"/>
      <c r="J409"/>
      <c r="K409"/>
      <c r="L409"/>
      <c r="M409"/>
      <c r="N409"/>
      <c r="O409"/>
      <c r="P409" s="62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 s="926"/>
      <c r="AH409" s="80"/>
      <c r="AI409" s="80"/>
      <c r="AJ409" s="80"/>
      <c r="AK409"/>
      <c r="AL409" s="80"/>
      <c r="AO409"/>
      <c r="AP409"/>
      <c r="AQ409"/>
    </row>
    <row r="410" spans="1:43" s="762" customFormat="1" ht="15.75" customHeight="1">
      <c r="A410"/>
      <c r="B410"/>
      <c r="C410"/>
      <c r="D410"/>
      <c r="E410"/>
      <c r="F410"/>
      <c r="G410" s="80"/>
      <c r="H410"/>
      <c r="I410"/>
      <c r="J410"/>
      <c r="K410"/>
      <c r="L410"/>
      <c r="M410"/>
      <c r="N410"/>
      <c r="O410"/>
      <c r="P410" s="629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 s="926"/>
      <c r="AH410" s="80"/>
      <c r="AI410" s="80"/>
      <c r="AJ410" s="80"/>
      <c r="AK410"/>
      <c r="AL410" s="80"/>
      <c r="AO410"/>
      <c r="AP410"/>
      <c r="AQ410"/>
    </row>
    <row r="411" spans="1:43" s="762" customFormat="1" ht="15.75" customHeight="1">
      <c r="A411"/>
      <c r="B411"/>
      <c r="C411"/>
      <c r="D411"/>
      <c r="E411"/>
      <c r="F411"/>
      <c r="G411" s="80"/>
      <c r="H411"/>
      <c r="I411"/>
      <c r="J411"/>
      <c r="K411"/>
      <c r="L411"/>
      <c r="M411"/>
      <c r="N411"/>
      <c r="O411"/>
      <c r="P411" s="629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 s="926"/>
      <c r="AH411" s="80"/>
      <c r="AI411" s="80"/>
      <c r="AJ411" s="80"/>
      <c r="AK411"/>
      <c r="AL411" s="80"/>
      <c r="AO411"/>
      <c r="AP411"/>
      <c r="AQ411"/>
    </row>
    <row r="412" spans="1:43" s="762" customFormat="1" ht="15.75" customHeight="1">
      <c r="A412"/>
      <c r="B412"/>
      <c r="C412"/>
      <c r="D412"/>
      <c r="E412"/>
      <c r="F412"/>
      <c r="G412" s="80"/>
      <c r="H412"/>
      <c r="I412"/>
      <c r="J412"/>
      <c r="K412"/>
      <c r="L412"/>
      <c r="M412"/>
      <c r="N412"/>
      <c r="O412"/>
      <c r="P412" s="629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 s="926"/>
      <c r="AH412" s="80"/>
      <c r="AI412" s="80"/>
      <c r="AJ412" s="80"/>
      <c r="AK412"/>
      <c r="AL412" s="80"/>
      <c r="AO412"/>
      <c r="AP412"/>
      <c r="AQ412"/>
    </row>
    <row r="413" spans="1:43" s="762" customFormat="1" ht="15.75" customHeight="1">
      <c r="A413"/>
      <c r="B413"/>
      <c r="C413"/>
      <c r="D413"/>
      <c r="E413"/>
      <c r="F413"/>
      <c r="G413" s="80"/>
      <c r="H413"/>
      <c r="I413"/>
      <c r="J413"/>
      <c r="K413"/>
      <c r="L413"/>
      <c r="M413"/>
      <c r="N413"/>
      <c r="O413"/>
      <c r="P413" s="629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 s="926"/>
      <c r="AH413" s="80"/>
      <c r="AI413" s="80"/>
      <c r="AJ413" s="80"/>
      <c r="AK413"/>
      <c r="AL413" s="80"/>
      <c r="AO413"/>
      <c r="AP413"/>
      <c r="AQ413"/>
    </row>
    <row r="414" spans="1:43" s="762" customFormat="1" ht="15.75" customHeight="1">
      <c r="A414"/>
      <c r="B414"/>
      <c r="C414"/>
      <c r="D414"/>
      <c r="E414"/>
      <c r="F414"/>
      <c r="G414" s="80"/>
      <c r="H414"/>
      <c r="I414"/>
      <c r="J414"/>
      <c r="K414"/>
      <c r="L414"/>
      <c r="M414"/>
      <c r="N414"/>
      <c r="O414"/>
      <c r="P414" s="629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 s="926"/>
      <c r="AH414" s="80"/>
      <c r="AI414" s="80"/>
      <c r="AJ414" s="80"/>
      <c r="AK414"/>
      <c r="AL414" s="80"/>
      <c r="AO414"/>
      <c r="AP414"/>
      <c r="AQ414"/>
    </row>
    <row r="415" spans="1:43" s="762" customFormat="1" ht="15.75" customHeight="1">
      <c r="A415"/>
      <c r="B415"/>
      <c r="C415"/>
      <c r="D415"/>
      <c r="E415"/>
      <c r="F415"/>
      <c r="G415" s="80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 s="926"/>
      <c r="AH415" s="80"/>
      <c r="AI415" s="80"/>
      <c r="AJ415" s="80"/>
      <c r="AK415"/>
      <c r="AL415" s="80"/>
      <c r="AO415"/>
      <c r="AP415"/>
      <c r="AQ415"/>
    </row>
    <row r="416" spans="1:43" s="762" customFormat="1" ht="15.75" customHeight="1">
      <c r="A416"/>
      <c r="B416"/>
      <c r="C416"/>
      <c r="D416"/>
      <c r="E416"/>
      <c r="F416"/>
      <c r="G416" s="80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 s="926"/>
      <c r="AH416" s="80"/>
      <c r="AI416" s="80"/>
      <c r="AJ416" s="80"/>
      <c r="AK416"/>
      <c r="AL416" s="80"/>
      <c r="AO416"/>
      <c r="AP416"/>
      <c r="AQ416"/>
    </row>
    <row r="417" spans="1:43" s="762" customFormat="1" ht="15.75" customHeight="1">
      <c r="A417"/>
      <c r="B417"/>
      <c r="C417"/>
      <c r="D417"/>
      <c r="E417"/>
      <c r="F417"/>
      <c r="G417" s="80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 s="926"/>
      <c r="AH417" s="80"/>
      <c r="AI417" s="80"/>
      <c r="AJ417" s="80"/>
      <c r="AK417"/>
      <c r="AL417" s="80"/>
      <c r="AO417"/>
      <c r="AP417"/>
      <c r="AQ417"/>
    </row>
    <row r="418" spans="1:43" s="762" customFormat="1" ht="15.75" customHeight="1">
      <c r="A418"/>
      <c r="B418"/>
      <c r="C418"/>
      <c r="D418"/>
      <c r="E418"/>
      <c r="F418"/>
      <c r="G418" s="80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 s="926"/>
      <c r="AH418" s="80"/>
      <c r="AI418" s="80"/>
      <c r="AJ418" s="80"/>
      <c r="AK418"/>
      <c r="AL418" s="80"/>
      <c r="AO418"/>
      <c r="AP418"/>
      <c r="AQ418"/>
    </row>
    <row r="419" spans="1:43" s="762" customFormat="1" ht="15.75" customHeight="1">
      <c r="A419"/>
      <c r="B419"/>
      <c r="C419"/>
      <c r="D419"/>
      <c r="E419"/>
      <c r="F419"/>
      <c r="G419" s="80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 s="926"/>
      <c r="AH419" s="80"/>
      <c r="AI419" s="80"/>
      <c r="AJ419" s="80"/>
      <c r="AK419"/>
      <c r="AL419" s="80"/>
      <c r="AO419"/>
      <c r="AP419"/>
      <c r="AQ419"/>
    </row>
    <row r="420" spans="1:43" s="762" customFormat="1" ht="15.75" customHeight="1">
      <c r="A420"/>
      <c r="B420"/>
      <c r="C420"/>
      <c r="D420"/>
      <c r="E420"/>
      <c r="F420"/>
      <c r="G420" s="8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 s="926"/>
      <c r="AH420" s="80"/>
      <c r="AI420" s="80"/>
      <c r="AJ420" s="80"/>
      <c r="AK420"/>
      <c r="AL420" s="80"/>
      <c r="AO420"/>
      <c r="AP420"/>
      <c r="AQ420"/>
    </row>
    <row r="421" spans="1:43" s="762" customFormat="1" ht="15.75" customHeight="1">
      <c r="A421"/>
      <c r="B421"/>
      <c r="C421"/>
      <c r="D421"/>
      <c r="E421"/>
      <c r="F421"/>
      <c r="G421" s="80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 s="926"/>
      <c r="AH421" s="80"/>
      <c r="AI421" s="80"/>
      <c r="AJ421" s="80"/>
      <c r="AK421"/>
      <c r="AL421" s="80"/>
      <c r="AO421"/>
      <c r="AP421"/>
      <c r="AQ421"/>
    </row>
    <row r="422" spans="1:43" s="762" customFormat="1" ht="15.75" customHeight="1">
      <c r="A422"/>
      <c r="B422"/>
      <c r="C422"/>
      <c r="D422"/>
      <c r="E422"/>
      <c r="F422"/>
      <c r="G422" s="80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 s="926"/>
      <c r="AH422" s="80"/>
      <c r="AI422" s="80"/>
      <c r="AJ422" s="80"/>
      <c r="AK422"/>
      <c r="AL422" s="80"/>
      <c r="AO422"/>
      <c r="AP422"/>
      <c r="AQ422"/>
    </row>
    <row r="423" spans="1:43" s="762" customFormat="1" ht="15.75" customHeight="1">
      <c r="A423"/>
      <c r="B423"/>
      <c r="C423"/>
      <c r="D423"/>
      <c r="E423"/>
      <c r="F423"/>
      <c r="G423" s="80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 s="926"/>
      <c r="AH423" s="80"/>
      <c r="AI423" s="80"/>
      <c r="AJ423" s="80"/>
      <c r="AK423"/>
      <c r="AL423" s="80"/>
      <c r="AO423"/>
      <c r="AP423"/>
      <c r="AQ423"/>
    </row>
    <row r="424" spans="1:43" s="762" customFormat="1" ht="15.75" customHeight="1">
      <c r="A424"/>
      <c r="B424"/>
      <c r="C424"/>
      <c r="D424"/>
      <c r="E424"/>
      <c r="F424"/>
      <c r="G424" s="80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 s="926"/>
      <c r="AH424" s="80"/>
      <c r="AI424" s="80"/>
      <c r="AJ424" s="80"/>
      <c r="AK424"/>
      <c r="AL424" s="80"/>
      <c r="AO424"/>
      <c r="AP424"/>
      <c r="AQ424"/>
    </row>
    <row r="425" spans="1:43" s="762" customFormat="1" ht="15.75" customHeight="1">
      <c r="A425"/>
      <c r="B425"/>
      <c r="C425"/>
      <c r="D425"/>
      <c r="E425"/>
      <c r="F425"/>
      <c r="G425" s="80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 s="926"/>
      <c r="AH425" s="80"/>
      <c r="AI425" s="80"/>
      <c r="AJ425" s="80"/>
      <c r="AK425"/>
      <c r="AL425" s="80"/>
      <c r="AO425"/>
      <c r="AP425"/>
      <c r="AQ425"/>
    </row>
    <row r="426" spans="1:43" s="762" customFormat="1" ht="15.75" customHeight="1">
      <c r="A426"/>
      <c r="B426"/>
      <c r="C426"/>
      <c r="D426"/>
      <c r="E426"/>
      <c r="F426"/>
      <c r="G426" s="80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 s="926"/>
      <c r="AH426" s="80"/>
      <c r="AI426" s="80"/>
      <c r="AJ426" s="80"/>
      <c r="AK426"/>
      <c r="AL426" s="80"/>
      <c r="AO426"/>
      <c r="AP426"/>
      <c r="AQ426"/>
    </row>
    <row r="427" spans="1:43" s="762" customFormat="1" ht="15.75" customHeight="1">
      <c r="A427"/>
      <c r="B427"/>
      <c r="C427"/>
      <c r="D427"/>
      <c r="E427"/>
      <c r="F427"/>
      <c r="G427" s="80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 s="926"/>
      <c r="AH427" s="80"/>
      <c r="AI427" s="80"/>
      <c r="AJ427" s="80"/>
      <c r="AK427"/>
      <c r="AL427" s="80"/>
      <c r="AO427"/>
      <c r="AP427"/>
      <c r="AQ427"/>
    </row>
    <row r="428" spans="1:43" s="762" customFormat="1" ht="15.75" customHeight="1">
      <c r="A428"/>
      <c r="B428"/>
      <c r="C428"/>
      <c r="D428"/>
      <c r="E428"/>
      <c r="F428"/>
      <c r="G428" s="80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 s="926"/>
      <c r="AH428" s="80"/>
      <c r="AI428" s="80"/>
      <c r="AJ428" s="80"/>
      <c r="AK428"/>
      <c r="AL428" s="80"/>
      <c r="AO428"/>
      <c r="AP428"/>
      <c r="AQ428"/>
    </row>
    <row r="429" spans="1:43" s="762" customFormat="1" ht="15.75" customHeight="1">
      <c r="A429"/>
      <c r="B429"/>
      <c r="C429"/>
      <c r="D429"/>
      <c r="E429"/>
      <c r="F429"/>
      <c r="G429" s="80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 s="926"/>
      <c r="AH429" s="80"/>
      <c r="AI429" s="80"/>
      <c r="AJ429" s="80"/>
      <c r="AK429"/>
      <c r="AL429" s="80"/>
      <c r="AO429"/>
      <c r="AP429"/>
      <c r="AQ429"/>
    </row>
    <row r="430" spans="1:43" s="762" customFormat="1" ht="15.75" customHeight="1">
      <c r="A430"/>
      <c r="B430"/>
      <c r="C430"/>
      <c r="D430"/>
      <c r="E430"/>
      <c r="F430"/>
      <c r="G430" s="8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 s="926"/>
      <c r="AH430" s="80"/>
      <c r="AI430" s="80"/>
      <c r="AJ430" s="80"/>
      <c r="AK430"/>
      <c r="AL430" s="80"/>
      <c r="AO430"/>
      <c r="AP430"/>
      <c r="AQ430"/>
    </row>
    <row r="431" spans="1:43" s="762" customFormat="1" ht="15.75" customHeight="1">
      <c r="A431"/>
      <c r="B431"/>
      <c r="C431"/>
      <c r="D431"/>
      <c r="E431"/>
      <c r="F431"/>
      <c r="G431" s="80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 s="926"/>
      <c r="AH431" s="80"/>
      <c r="AI431" s="80"/>
      <c r="AJ431" s="80"/>
      <c r="AK431"/>
      <c r="AL431" s="80"/>
      <c r="AO431"/>
      <c r="AP431"/>
      <c r="AQ431"/>
    </row>
    <row r="432" spans="1:43" s="762" customFormat="1" ht="15.75" customHeight="1">
      <c r="A432"/>
      <c r="B432"/>
      <c r="C432"/>
      <c r="D432"/>
      <c r="E432"/>
      <c r="F432"/>
      <c r="G432" s="80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 s="926"/>
      <c r="AH432" s="80"/>
      <c r="AI432" s="80"/>
      <c r="AJ432" s="80"/>
      <c r="AK432"/>
      <c r="AL432" s="80"/>
      <c r="AO432"/>
      <c r="AP432"/>
      <c r="AQ432"/>
    </row>
    <row r="433" spans="1:43" s="762" customFormat="1" ht="15.75" customHeight="1">
      <c r="A433"/>
      <c r="B433"/>
      <c r="C433"/>
      <c r="D433"/>
      <c r="E433"/>
      <c r="F433"/>
      <c r="G433" s="80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 s="926"/>
      <c r="AH433" s="80"/>
      <c r="AI433" s="80"/>
      <c r="AJ433" s="80"/>
      <c r="AK433"/>
      <c r="AL433" s="80"/>
      <c r="AO433"/>
      <c r="AP433"/>
      <c r="AQ433"/>
    </row>
    <row r="434" spans="1:43" s="762" customFormat="1" ht="15.75" customHeight="1">
      <c r="A434"/>
      <c r="B434"/>
      <c r="C434"/>
      <c r="D434"/>
      <c r="E434"/>
      <c r="F434"/>
      <c r="G434" s="80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 s="926"/>
      <c r="AH434" s="80"/>
      <c r="AI434" s="80"/>
      <c r="AJ434" s="80"/>
      <c r="AK434"/>
      <c r="AL434" s="80"/>
      <c r="AO434"/>
      <c r="AP434"/>
      <c r="AQ434"/>
    </row>
    <row r="435" spans="1:43" s="762" customFormat="1" ht="15.75" customHeight="1">
      <c r="A435"/>
      <c r="B435"/>
      <c r="C435"/>
      <c r="D435"/>
      <c r="E435"/>
      <c r="F435"/>
      <c r="G435" s="80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 s="926"/>
      <c r="AH435" s="80"/>
      <c r="AI435" s="80"/>
      <c r="AJ435" s="80"/>
      <c r="AK435"/>
      <c r="AL435" s="80"/>
      <c r="AO435"/>
      <c r="AP435"/>
      <c r="AQ435"/>
    </row>
    <row r="436" spans="1:43" s="762" customFormat="1" ht="15.75" customHeight="1">
      <c r="A436"/>
      <c r="B436"/>
      <c r="C436"/>
      <c r="D436"/>
      <c r="E436"/>
      <c r="F436"/>
      <c r="G436" s="80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 s="926"/>
      <c r="AH436" s="80"/>
      <c r="AI436" s="80"/>
      <c r="AJ436" s="80"/>
      <c r="AK436"/>
      <c r="AL436" s="80"/>
      <c r="AO436"/>
      <c r="AP436"/>
      <c r="AQ436"/>
    </row>
    <row r="437" spans="1:43" s="762" customFormat="1" ht="15.75" customHeight="1">
      <c r="A437"/>
      <c r="B437"/>
      <c r="C437"/>
      <c r="D437"/>
      <c r="E437"/>
      <c r="F437"/>
      <c r="G437" s="80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 s="926"/>
      <c r="AH437" s="80"/>
      <c r="AI437" s="80"/>
      <c r="AJ437" s="80"/>
      <c r="AK437"/>
      <c r="AL437" s="80"/>
      <c r="AO437"/>
      <c r="AP437"/>
      <c r="AQ437"/>
    </row>
    <row r="438" spans="1:43" s="762" customFormat="1" ht="15.75" customHeight="1">
      <c r="A438"/>
      <c r="B438"/>
      <c r="C438"/>
      <c r="D438"/>
      <c r="E438"/>
      <c r="F438"/>
      <c r="G438" s="80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 s="926"/>
      <c r="AH438" s="80"/>
      <c r="AI438" s="80"/>
      <c r="AJ438" s="80"/>
      <c r="AK438"/>
      <c r="AL438" s="80"/>
      <c r="AO438"/>
      <c r="AP438"/>
      <c r="AQ438"/>
    </row>
    <row r="439" spans="1:43" s="762" customFormat="1" ht="15.75" customHeight="1">
      <c r="A439"/>
      <c r="B439"/>
      <c r="C439"/>
      <c r="D439"/>
      <c r="E439"/>
      <c r="F439"/>
      <c r="G439" s="80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 s="926"/>
      <c r="AH439" s="80"/>
      <c r="AI439" s="80"/>
      <c r="AJ439" s="80"/>
      <c r="AK439"/>
      <c r="AL439" s="80"/>
      <c r="AO439"/>
      <c r="AP439"/>
      <c r="AQ439"/>
    </row>
    <row r="440" spans="1:43" s="762" customFormat="1" ht="15.75" customHeight="1">
      <c r="A440"/>
      <c r="B440"/>
      <c r="C440"/>
      <c r="D440"/>
      <c r="E440"/>
      <c r="F440"/>
      <c r="G440" s="8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 s="926"/>
      <c r="AH440" s="80"/>
      <c r="AI440" s="80"/>
      <c r="AJ440" s="80"/>
      <c r="AK440"/>
      <c r="AL440" s="80"/>
      <c r="AO440"/>
      <c r="AP440"/>
      <c r="AQ440"/>
    </row>
    <row r="441" spans="1:43" s="762" customFormat="1" ht="15.75" customHeight="1">
      <c r="A441"/>
      <c r="B441"/>
      <c r="C441"/>
      <c r="D441"/>
      <c r="E441"/>
      <c r="F441"/>
      <c r="G441" s="80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 s="926"/>
      <c r="AH441" s="80"/>
      <c r="AI441" s="80"/>
      <c r="AJ441" s="80"/>
      <c r="AK441"/>
      <c r="AL441" s="80"/>
      <c r="AO441"/>
      <c r="AP441"/>
      <c r="AQ441"/>
    </row>
    <row r="442" spans="1:43" s="762" customFormat="1" ht="15.75" customHeight="1">
      <c r="A442"/>
      <c r="B442"/>
      <c r="C442"/>
      <c r="D442"/>
      <c r="E442"/>
      <c r="F442"/>
      <c r="G442" s="80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 s="926"/>
      <c r="AH442" s="80"/>
      <c r="AI442" s="80"/>
      <c r="AJ442" s="80"/>
      <c r="AK442"/>
      <c r="AL442" s="80"/>
      <c r="AO442"/>
      <c r="AP442"/>
      <c r="AQ442"/>
    </row>
    <row r="443" spans="1:43" s="762" customFormat="1" ht="15.75" customHeight="1">
      <c r="A443"/>
      <c r="B443"/>
      <c r="C443"/>
      <c r="D443"/>
      <c r="E443"/>
      <c r="F443"/>
      <c r="G443" s="80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 s="926"/>
      <c r="AH443" s="80"/>
      <c r="AI443" s="80"/>
      <c r="AJ443" s="80"/>
      <c r="AK443"/>
      <c r="AL443" s="80"/>
      <c r="AO443"/>
      <c r="AP443"/>
      <c r="AQ443"/>
    </row>
    <row r="444" spans="1:43" s="762" customFormat="1" ht="15.75" customHeight="1">
      <c r="A444"/>
      <c r="B444"/>
      <c r="C444"/>
      <c r="D444"/>
      <c r="E444"/>
      <c r="F444"/>
      <c r="G444" s="80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 s="926"/>
      <c r="AH444" s="80"/>
      <c r="AI444" s="80"/>
      <c r="AJ444" s="80"/>
      <c r="AK444"/>
      <c r="AL444" s="80"/>
      <c r="AO444"/>
      <c r="AP444"/>
      <c r="AQ444"/>
    </row>
    <row r="445" spans="1:43" s="762" customFormat="1" ht="15.75" customHeight="1">
      <c r="A445"/>
      <c r="B445"/>
      <c r="C445"/>
      <c r="D445"/>
      <c r="E445"/>
      <c r="F445"/>
      <c r="G445" s="80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 s="926"/>
      <c r="AH445" s="80"/>
      <c r="AI445" s="80"/>
      <c r="AJ445" s="80"/>
      <c r="AK445"/>
      <c r="AL445" s="80"/>
      <c r="AO445"/>
      <c r="AP445"/>
      <c r="AQ445"/>
    </row>
    <row r="446" spans="1:43" s="762" customFormat="1" ht="15.75" customHeight="1">
      <c r="A446"/>
      <c r="B446"/>
      <c r="C446"/>
      <c r="D446"/>
      <c r="E446"/>
      <c r="F446"/>
      <c r="G446" s="80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 s="926"/>
      <c r="AH446" s="80"/>
      <c r="AI446" s="80"/>
      <c r="AJ446" s="80"/>
      <c r="AK446"/>
      <c r="AL446" s="80"/>
      <c r="AO446"/>
      <c r="AP446"/>
      <c r="AQ446"/>
    </row>
    <row r="447" spans="1:43" s="762" customFormat="1" ht="15.75" customHeight="1">
      <c r="A447"/>
      <c r="B447"/>
      <c r="C447"/>
      <c r="D447"/>
      <c r="E447"/>
      <c r="F447"/>
      <c r="G447" s="80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 s="926"/>
      <c r="AH447" s="80"/>
      <c r="AI447" s="80"/>
      <c r="AJ447" s="80"/>
      <c r="AK447"/>
      <c r="AL447" s="80"/>
      <c r="AO447"/>
      <c r="AP447"/>
      <c r="AQ447"/>
    </row>
    <row r="448" spans="1:43" s="762" customFormat="1" ht="15.75" customHeight="1">
      <c r="A448"/>
      <c r="B448"/>
      <c r="C448"/>
      <c r="D448"/>
      <c r="E448"/>
      <c r="F448"/>
      <c r="G448" s="80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 s="926"/>
      <c r="AH448" s="80"/>
      <c r="AI448" s="80"/>
      <c r="AJ448" s="80"/>
      <c r="AK448"/>
      <c r="AL448" s="80"/>
      <c r="AO448"/>
      <c r="AP448"/>
      <c r="AQ448"/>
    </row>
    <row r="449" spans="1:43" s="762" customFormat="1" ht="15.75" customHeight="1">
      <c r="A449"/>
      <c r="B449"/>
      <c r="C449"/>
      <c r="D449"/>
      <c r="E449"/>
      <c r="F449"/>
      <c r="G449" s="80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 s="926"/>
      <c r="AH449" s="80"/>
      <c r="AI449" s="80"/>
      <c r="AJ449" s="80"/>
      <c r="AK449"/>
      <c r="AL449" s="80"/>
      <c r="AO449"/>
      <c r="AP449"/>
      <c r="AQ449"/>
    </row>
    <row r="450" spans="1:43" s="762" customFormat="1" ht="15.75" customHeight="1">
      <c r="A450"/>
      <c r="B450"/>
      <c r="C450"/>
      <c r="D450"/>
      <c r="E450"/>
      <c r="F450"/>
      <c r="G450" s="8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 s="926"/>
      <c r="AH450" s="80"/>
      <c r="AI450" s="80"/>
      <c r="AJ450" s="80"/>
      <c r="AK450"/>
      <c r="AL450" s="80"/>
      <c r="AO450"/>
      <c r="AP450"/>
      <c r="AQ450"/>
    </row>
    <row r="451" spans="1:43" s="762" customFormat="1" ht="15.75" customHeight="1">
      <c r="A451"/>
      <c r="B451"/>
      <c r="C451"/>
      <c r="D451"/>
      <c r="E451"/>
      <c r="F451"/>
      <c r="G451" s="80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 s="926"/>
      <c r="AH451" s="80"/>
      <c r="AI451" s="80"/>
      <c r="AJ451" s="80"/>
      <c r="AK451"/>
      <c r="AL451" s="80"/>
      <c r="AO451"/>
      <c r="AP451"/>
      <c r="AQ451"/>
    </row>
    <row r="452" spans="1:43" s="762" customFormat="1" ht="15.75" customHeight="1">
      <c r="A452"/>
      <c r="B452"/>
      <c r="C452"/>
      <c r="D452"/>
      <c r="E452"/>
      <c r="F452"/>
      <c r="G452" s="80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 s="926"/>
      <c r="AH452" s="80"/>
      <c r="AI452" s="80"/>
      <c r="AJ452" s="80"/>
      <c r="AK452"/>
      <c r="AL452" s="80"/>
      <c r="AO452"/>
      <c r="AP452"/>
      <c r="AQ452"/>
    </row>
    <row r="453" spans="1:43" s="762" customFormat="1" ht="15.75" customHeight="1">
      <c r="A453"/>
      <c r="B453"/>
      <c r="C453"/>
      <c r="D453"/>
      <c r="E453"/>
      <c r="F453"/>
      <c r="G453" s="80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 s="926"/>
      <c r="AH453" s="80"/>
      <c r="AI453" s="80"/>
      <c r="AJ453" s="80"/>
      <c r="AK453"/>
      <c r="AL453" s="80"/>
      <c r="AO453"/>
      <c r="AP453"/>
      <c r="AQ453"/>
    </row>
    <row r="454" spans="1:43" s="762" customFormat="1" ht="15.75" customHeight="1">
      <c r="A454"/>
      <c r="B454"/>
      <c r="C454"/>
      <c r="D454"/>
      <c r="E454"/>
      <c r="F454"/>
      <c r="G454" s="80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 s="926"/>
      <c r="AH454" s="80"/>
      <c r="AI454" s="80"/>
      <c r="AJ454" s="80"/>
      <c r="AK454"/>
      <c r="AL454" s="80"/>
      <c r="AO454"/>
      <c r="AP454"/>
      <c r="AQ454"/>
    </row>
    <row r="455" spans="1:43" s="762" customFormat="1" ht="15.75" customHeight="1">
      <c r="A455"/>
      <c r="B455"/>
      <c r="C455"/>
      <c r="D455"/>
      <c r="E455"/>
      <c r="F455"/>
      <c r="G455" s="80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 s="926"/>
      <c r="AH455" s="80"/>
      <c r="AI455" s="80"/>
      <c r="AJ455" s="80"/>
      <c r="AK455"/>
      <c r="AL455" s="80"/>
      <c r="AO455"/>
      <c r="AP455"/>
      <c r="AQ455"/>
    </row>
    <row r="456" spans="1:43" s="762" customFormat="1" ht="15.75" customHeight="1">
      <c r="A456"/>
      <c r="B456"/>
      <c r="C456"/>
      <c r="D456"/>
      <c r="E456"/>
      <c r="F456"/>
      <c r="G456" s="80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 s="926"/>
      <c r="AH456" s="80"/>
      <c r="AI456" s="80"/>
      <c r="AJ456" s="80"/>
      <c r="AK456"/>
      <c r="AL456" s="80"/>
      <c r="AO456"/>
      <c r="AP456"/>
      <c r="AQ456"/>
    </row>
    <row r="457" spans="1:43" s="762" customFormat="1" ht="15.75" customHeight="1">
      <c r="A457"/>
      <c r="B457"/>
      <c r="C457"/>
      <c r="D457"/>
      <c r="E457"/>
      <c r="F457"/>
      <c r="G457" s="80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 s="926"/>
      <c r="AH457" s="80"/>
      <c r="AI457" s="80"/>
      <c r="AJ457" s="80"/>
      <c r="AK457"/>
      <c r="AL457" s="80"/>
      <c r="AO457"/>
      <c r="AP457"/>
      <c r="AQ457"/>
    </row>
    <row r="458" spans="1:43" s="762" customFormat="1" ht="15.75" customHeight="1">
      <c r="A458"/>
      <c r="B458"/>
      <c r="C458"/>
      <c r="D458"/>
      <c r="E458"/>
      <c r="F458"/>
      <c r="G458" s="80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 s="926"/>
      <c r="AH458" s="80"/>
      <c r="AI458" s="80"/>
      <c r="AJ458" s="80"/>
      <c r="AK458"/>
      <c r="AL458" s="80"/>
      <c r="AO458"/>
      <c r="AP458"/>
      <c r="AQ458"/>
    </row>
    <row r="459" spans="1:43" s="762" customFormat="1" ht="15.75" customHeight="1">
      <c r="A459"/>
      <c r="B459"/>
      <c r="C459"/>
      <c r="D459"/>
      <c r="E459"/>
      <c r="F459"/>
      <c r="G459" s="80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 s="926"/>
      <c r="AH459" s="80"/>
      <c r="AI459" s="80"/>
      <c r="AJ459" s="80"/>
      <c r="AK459"/>
      <c r="AL459" s="80"/>
      <c r="AO459"/>
      <c r="AP459"/>
      <c r="AQ459"/>
    </row>
    <row r="460" spans="1:43" s="762" customFormat="1" ht="15.75" customHeight="1">
      <c r="A460"/>
      <c r="B460"/>
      <c r="C460"/>
      <c r="D460"/>
      <c r="E460"/>
      <c r="F460"/>
      <c r="G460" s="8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 s="926"/>
      <c r="AH460" s="80"/>
      <c r="AI460" s="80"/>
      <c r="AJ460" s="80"/>
      <c r="AK460"/>
      <c r="AL460" s="80"/>
      <c r="AO460"/>
      <c r="AP460"/>
      <c r="AQ460"/>
    </row>
    <row r="461" spans="1:43" s="762" customFormat="1" ht="15.75" customHeight="1">
      <c r="A461"/>
      <c r="B461"/>
      <c r="C461"/>
      <c r="D461"/>
      <c r="E461"/>
      <c r="F461"/>
      <c r="G461" s="80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 s="926"/>
      <c r="AH461" s="80"/>
      <c r="AI461" s="80"/>
      <c r="AJ461" s="80"/>
      <c r="AK461"/>
      <c r="AL461" s="80"/>
      <c r="AO461"/>
      <c r="AP461"/>
      <c r="AQ461"/>
    </row>
    <row r="462" spans="1:43" s="762" customFormat="1" ht="15.75" customHeight="1">
      <c r="A462"/>
      <c r="B462"/>
      <c r="C462"/>
      <c r="D462"/>
      <c r="E462"/>
      <c r="F462"/>
      <c r="G462" s="80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 s="926"/>
      <c r="AH462" s="80"/>
      <c r="AI462" s="80"/>
      <c r="AJ462" s="80"/>
      <c r="AK462"/>
      <c r="AL462" s="80"/>
      <c r="AO462"/>
      <c r="AP462"/>
      <c r="AQ462"/>
    </row>
    <row r="463" spans="1:43" s="762" customFormat="1" ht="15.75" customHeight="1">
      <c r="A463"/>
      <c r="B463"/>
      <c r="C463"/>
      <c r="D463"/>
      <c r="E463"/>
      <c r="F463"/>
      <c r="G463" s="80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 s="926"/>
      <c r="AH463" s="80"/>
      <c r="AI463" s="80"/>
      <c r="AJ463" s="80"/>
      <c r="AK463"/>
      <c r="AL463" s="80"/>
      <c r="AO463"/>
      <c r="AP463"/>
      <c r="AQ463"/>
    </row>
    <row r="464" spans="1:43" s="762" customFormat="1" ht="15.75" customHeight="1">
      <c r="A464"/>
      <c r="B464"/>
      <c r="C464"/>
      <c r="D464"/>
      <c r="E464"/>
      <c r="F464"/>
      <c r="G464" s="80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 s="926"/>
      <c r="AH464" s="80"/>
      <c r="AI464" s="80"/>
      <c r="AJ464" s="80"/>
      <c r="AK464"/>
      <c r="AL464" s="80"/>
      <c r="AO464"/>
      <c r="AP464"/>
      <c r="AQ464"/>
    </row>
    <row r="465" spans="1:43" s="762" customFormat="1" ht="15.75" customHeight="1">
      <c r="A465"/>
      <c r="B465"/>
      <c r="C465"/>
      <c r="D465"/>
      <c r="E465"/>
      <c r="F465"/>
      <c r="G465" s="80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 s="926"/>
      <c r="AH465" s="80"/>
      <c r="AI465" s="80"/>
      <c r="AJ465" s="80"/>
      <c r="AK465"/>
      <c r="AL465" s="80"/>
      <c r="AO465"/>
      <c r="AP465"/>
      <c r="AQ465"/>
    </row>
    <row r="466" spans="1:43" s="762" customFormat="1" ht="15.75" customHeight="1">
      <c r="A466"/>
      <c r="B466"/>
      <c r="C466"/>
      <c r="D466"/>
      <c r="E466"/>
      <c r="F466"/>
      <c r="G466" s="80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 s="926"/>
      <c r="AH466" s="80"/>
      <c r="AI466" s="80"/>
      <c r="AJ466" s="80"/>
      <c r="AK466"/>
      <c r="AL466" s="80"/>
      <c r="AO466"/>
      <c r="AP466"/>
      <c r="AQ466"/>
    </row>
    <row r="467" spans="1:43" s="762" customFormat="1" ht="15.75" customHeight="1">
      <c r="A467"/>
      <c r="B467"/>
      <c r="C467"/>
      <c r="D467"/>
      <c r="E467"/>
      <c r="F467"/>
      <c r="G467" s="80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 s="926"/>
      <c r="AH467" s="80"/>
      <c r="AI467" s="80"/>
      <c r="AJ467" s="80"/>
      <c r="AK467"/>
      <c r="AL467" s="80"/>
      <c r="AO467"/>
      <c r="AP467"/>
      <c r="AQ467"/>
    </row>
    <row r="468" spans="1:43" s="762" customFormat="1" ht="15.75" customHeight="1">
      <c r="A468"/>
      <c r="B468"/>
      <c r="C468"/>
      <c r="D468"/>
      <c r="E468"/>
      <c r="F468"/>
      <c r="G468" s="80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 s="926"/>
      <c r="AH468" s="80"/>
      <c r="AI468" s="80"/>
      <c r="AJ468" s="80"/>
      <c r="AK468"/>
      <c r="AL468" s="80"/>
      <c r="AO468"/>
      <c r="AP468"/>
      <c r="AQ468"/>
    </row>
    <row r="469" spans="1:43" s="762" customFormat="1" ht="15.75" customHeight="1">
      <c r="A469"/>
      <c r="B469"/>
      <c r="C469"/>
      <c r="D469"/>
      <c r="E469"/>
      <c r="F469"/>
      <c r="G469" s="80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 s="926"/>
      <c r="AH469" s="80"/>
      <c r="AI469" s="80"/>
      <c r="AJ469" s="80"/>
      <c r="AK469"/>
      <c r="AL469" s="80"/>
      <c r="AO469"/>
      <c r="AP469"/>
      <c r="AQ469"/>
    </row>
  </sheetData>
  <autoFilter ref="A3:AL41" xr:uid="{00000000-0009-0000-0000-00001C000000}">
    <sortState xmlns:xlrd2="http://schemas.microsoft.com/office/spreadsheetml/2017/richdata2" ref="A4:AL41">
      <sortCondition ref="A3:A41"/>
    </sortState>
  </autoFilter>
  <pageMargins left="0.7" right="0.7" top="0.75" bottom="0.75" header="0" footer="0"/>
  <pageSetup scale="10" orientation="portrait" r:id="rId1"/>
  <ignoredErrors>
    <ignoredError sqref="AI3 AG26" formula="1"/>
  </ignoredError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0">
    <tabColor rgb="FF00B050"/>
    <pageSetUpPr fitToPage="1"/>
  </sheetPr>
  <dimension ref="A1:AQ619"/>
  <sheetViews>
    <sheetView showGridLines="0" workbookViewId="0">
      <pane xSplit="1" ySplit="3" topLeftCell="AG4" activePane="bottomRight" state="frozen"/>
      <selection activeCell="AO3" sqref="AO3"/>
      <selection pane="topRight" activeCell="AO3" sqref="AO3"/>
      <selection pane="bottomLeft" activeCell="AO3" sqref="AO3"/>
      <selection pane="bottomRight" activeCell="AO3" sqref="AO3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customWidth="1"/>
    <col min="34" max="34" width="20.33203125" customWidth="1"/>
    <col min="35" max="35" width="14.44140625" customWidth="1"/>
    <col min="36" max="36" width="17.5546875" customWidth="1"/>
    <col min="37" max="37" width="5.109375" customWidth="1"/>
    <col min="38" max="38" width="14.44140625" customWidth="1"/>
  </cols>
  <sheetData>
    <row r="1" spans="1:43" ht="15" customHeight="1" thickBot="1">
      <c r="F1" s="79"/>
      <c r="G1" s="80"/>
      <c r="H1" s="81"/>
      <c r="I1" s="82"/>
      <c r="O1">
        <v>0.28199999999999997</v>
      </c>
      <c r="AB1" s="83"/>
      <c r="AC1" s="758"/>
      <c r="AD1" s="83"/>
      <c r="AE1" s="83"/>
      <c r="AF1" s="83"/>
      <c r="AG1" s="84" t="s">
        <v>34</v>
      </c>
      <c r="AH1" s="701" t="s">
        <v>1001</v>
      </c>
      <c r="AI1" s="699" t="s">
        <v>36</v>
      </c>
      <c r="AJ1" s="87" t="s">
        <v>37</v>
      </c>
      <c r="AK1" s="88"/>
      <c r="AL1" s="89" t="s">
        <v>38</v>
      </c>
    </row>
    <row r="2" spans="1:43" ht="15" customHeight="1" thickBot="1">
      <c r="G2" s="90"/>
      <c r="H2" s="90"/>
      <c r="I2" s="91">
        <f>SUM(I5:I623)</f>
        <v>580.23</v>
      </c>
      <c r="J2" s="81"/>
      <c r="K2" s="92">
        <f>SUM(K5:K623)</f>
        <v>559.14923199999998</v>
      </c>
      <c r="L2" s="93">
        <f>SUMPRODUCT(L5:L735,K5:K735)/K2</f>
        <v>0.31858240908037233</v>
      </c>
      <c r="M2" s="6"/>
      <c r="O2">
        <v>0.32800000000000001</v>
      </c>
      <c r="P2" s="6"/>
      <c r="Q2" s="94">
        <f>+SUMPRODUCT(Q5:Q623,AH5:AH623)/SUM(AH5:AH623)</f>
        <v>88.992838705965369</v>
      </c>
      <c r="R2" s="89">
        <f>+SUMPRODUCT(R5:R623,AH5:AH623)/SUM(AH5:AH623)</f>
        <v>2638.2877276916893</v>
      </c>
      <c r="S2" s="6"/>
      <c r="AB2" s="83"/>
      <c r="AC2" s="83"/>
      <c r="AD2" s="83"/>
      <c r="AE2" s="83"/>
      <c r="AF2" s="83"/>
      <c r="AG2" s="95">
        <f>SUMPRODUCT($AG5:$AG623,$K5:$K623)/SUM($K5:$K623)</f>
        <v>69.051386869817378</v>
      </c>
      <c r="AH2" s="702"/>
      <c r="AI2" s="252">
        <v>2740</v>
      </c>
      <c r="AJ2" s="98"/>
      <c r="AK2" s="88"/>
      <c r="AL2" s="99"/>
    </row>
    <row r="3" spans="1:43" ht="15" customHeight="1" thickBot="1">
      <c r="A3" s="678" t="s">
        <v>11</v>
      </c>
      <c r="B3" s="678" t="s">
        <v>39</v>
      </c>
      <c r="C3" s="678" t="s">
        <v>40</v>
      </c>
      <c r="D3" s="678" t="s">
        <v>41</v>
      </c>
      <c r="E3" s="678" t="s">
        <v>1025</v>
      </c>
      <c r="F3" s="678" t="s">
        <v>43</v>
      </c>
      <c r="G3" s="679" t="s">
        <v>16</v>
      </c>
      <c r="H3" s="680"/>
      <c r="I3" s="681" t="s">
        <v>13</v>
      </c>
      <c r="J3" s="669" t="s">
        <v>14</v>
      </c>
      <c r="K3" s="682" t="s">
        <v>15</v>
      </c>
      <c r="L3" s="681" t="s">
        <v>44</v>
      </c>
      <c r="M3" s="683" t="s">
        <v>45</v>
      </c>
      <c r="N3" s="684" t="s">
        <v>46</v>
      </c>
      <c r="O3" s="679" t="s">
        <v>47</v>
      </c>
      <c r="P3" s="685" t="s">
        <v>48</v>
      </c>
      <c r="Q3" s="681" t="s">
        <v>49</v>
      </c>
      <c r="R3" s="681" t="s">
        <v>50</v>
      </c>
      <c r="S3" s="686" t="s">
        <v>51</v>
      </c>
      <c r="T3" s="687" t="s">
        <v>52</v>
      </c>
      <c r="U3" s="687" t="s">
        <v>21</v>
      </c>
      <c r="V3" s="688" t="s">
        <v>22</v>
      </c>
      <c r="W3" s="689" t="s">
        <v>53</v>
      </c>
      <c r="X3" s="689" t="s">
        <v>54</v>
      </c>
      <c r="Y3" s="689" t="s">
        <v>55</v>
      </c>
      <c r="Z3" s="679" t="s">
        <v>56</v>
      </c>
      <c r="AA3" s="679" t="s">
        <v>57</v>
      </c>
      <c r="AB3" s="690" t="s">
        <v>58</v>
      </c>
      <c r="AC3" s="691" t="s">
        <v>59</v>
      </c>
      <c r="AD3" s="692" t="s">
        <v>60</v>
      </c>
      <c r="AE3" s="692" t="s">
        <v>61</v>
      </c>
      <c r="AF3" s="692" t="s">
        <v>62</v>
      </c>
      <c r="AG3" s="693" t="s">
        <v>63</v>
      </c>
      <c r="AH3" s="118">
        <f>SUBTOTAL(9,AH5:AH9905)</f>
        <v>5431.1887259616033</v>
      </c>
      <c r="AI3" s="700">
        <f>SUMPRODUCT(K5:K623,AI5:AI623)/K2</f>
        <v>64.714888018394291</v>
      </c>
      <c r="AJ3" s="118">
        <f>SUBTOTAL(9,AJ5:AJ9905)</f>
        <v>5304.7175043715079</v>
      </c>
      <c r="AK3" s="88"/>
      <c r="AL3" s="118">
        <f>SUBTOTAL(9,AL5:AL9905)</f>
        <v>334871.50895046291</v>
      </c>
    </row>
    <row r="4" spans="1:43" s="677" customFormat="1" ht="15.75" customHeight="1">
      <c r="A4" s="720"/>
      <c r="B4" s="695"/>
      <c r="C4" s="721"/>
      <c r="D4" s="721"/>
      <c r="E4" s="722"/>
      <c r="F4" s="721"/>
      <c r="G4" s="723"/>
      <c r="H4" s="723"/>
      <c r="I4" s="724"/>
      <c r="J4" s="725"/>
      <c r="K4" s="671"/>
      <c r="L4" s="724"/>
      <c r="M4" s="726"/>
      <c r="N4" s="726"/>
      <c r="O4" s="723"/>
      <c r="P4" s="724"/>
      <c r="Q4" s="724"/>
      <c r="R4" s="724"/>
      <c r="S4" s="724"/>
      <c r="T4" s="730"/>
      <c r="U4" s="730"/>
      <c r="V4" s="731"/>
      <c r="W4" s="724"/>
      <c r="X4" s="724"/>
      <c r="Y4" s="670"/>
      <c r="Z4" s="671"/>
      <c r="AA4" s="671"/>
      <c r="AB4" s="696"/>
      <c r="AC4" s="697"/>
      <c r="AD4" s="698"/>
      <c r="AE4" s="698"/>
      <c r="AF4" s="698"/>
      <c r="AG4" s="672"/>
      <c r="AH4" s="673"/>
      <c r="AI4" s="674"/>
      <c r="AJ4" s="675"/>
      <c r="AK4" s="676"/>
      <c r="AL4" s="732"/>
    </row>
    <row r="5" spans="1:43" s="677" customFormat="1" ht="15" customHeight="1">
      <c r="A5" s="733" t="s">
        <v>65</v>
      </c>
      <c r="B5" s="135">
        <v>45563</v>
      </c>
      <c r="C5" s="637">
        <v>45560</v>
      </c>
      <c r="D5" s="630" t="s">
        <v>66</v>
      </c>
      <c r="E5" s="630">
        <v>20490968360</v>
      </c>
      <c r="F5" s="639" t="s">
        <v>67</v>
      </c>
      <c r="G5" s="642" t="s">
        <v>68</v>
      </c>
      <c r="H5" s="630" t="s">
        <v>69</v>
      </c>
      <c r="I5" s="643">
        <v>25.27</v>
      </c>
      <c r="J5" s="643">
        <v>4.2</v>
      </c>
      <c r="K5" s="138">
        <f t="shared" ref="K5:K50" si="0">+I5-(I5*(J5/100))</f>
        <v>24.208659999999998</v>
      </c>
      <c r="L5" s="645">
        <v>0.188</v>
      </c>
      <c r="M5" s="645">
        <v>0.17499999999999999</v>
      </c>
      <c r="N5" s="694">
        <v>0.218</v>
      </c>
      <c r="O5" s="141">
        <f t="shared" ref="O5:O50" si="1">+ROUND((M5+N5)/2,3)</f>
        <v>0.19700000000000001</v>
      </c>
      <c r="P5" s="630">
        <v>88</v>
      </c>
      <c r="Q5" s="639">
        <v>89.27</v>
      </c>
      <c r="R5" s="655">
        <v>2635.95</v>
      </c>
      <c r="S5" s="642">
        <v>115</v>
      </c>
      <c r="T5" s="631"/>
      <c r="U5" s="630">
        <v>130</v>
      </c>
      <c r="V5" s="142">
        <v>1.1023000000000001</v>
      </c>
      <c r="W5" s="643"/>
      <c r="X5" s="643"/>
      <c r="Y5" s="630">
        <v>50</v>
      </c>
      <c r="Z5" s="143">
        <f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 t="shared" ref="AA5:AA50" si="2">+Y5+Z5</f>
        <v>80</v>
      </c>
      <c r="AB5" s="145">
        <f t="shared" ref="AB5:AB50" si="3">+((O5*P5*(R5-U5)/100)-S5-AA5+T5)*V5</f>
        <v>263.92533363159998</v>
      </c>
      <c r="AC5" s="145">
        <f>+(S5-T5)*V5-'data 1'!$F$4</f>
        <v>46.764500000000012</v>
      </c>
      <c r="AD5" s="145">
        <f t="shared" ref="AD5:AD50" si="4">+(Q5-P5)*(R5-U5)*L5*V5/100</f>
        <v>6.5952882163059776</v>
      </c>
      <c r="AE5" s="145">
        <f>+(Y5*V5-70)+V5*(Z5-IF(D5="UNTUCA",IF(+((W5-3)*2.5+(X5-3)*3.1)&gt;0,+((W5-3)*1.5+(X5-3)*3.1),0),IF(+((W5-3)*1.5+(X5-3)*3.1)&gt;0,+((W5-3)*1.5+(X5-3)*3.1),0)))</f>
        <v>18.184000000000005</v>
      </c>
      <c r="AF5" s="145">
        <f t="shared" ref="AF5:AF50" si="5">(L5-O5)*(R5-U5)*Q5*V5/100</f>
        <v>-22.193216667895516</v>
      </c>
      <c r="AG5" s="145">
        <f>+IF(D5="RONALD WILLIAN GARIBAY ESCUDERO",AC5+AD5+AE5+AF5+80,AC5+AD5+AE5+AF5)</f>
        <v>49.350571548410471</v>
      </c>
      <c r="AH5" s="146">
        <f t="shared" ref="AH5:AH50" si="6">31.1035*L5*Q5*1.1023*K5/100</f>
        <v>139.29746221213475</v>
      </c>
      <c r="AI5" s="658">
        <f>+((+$AI$2-R5+U5)*L5*Q5*V5)/100</f>
        <v>43.298398872494033</v>
      </c>
      <c r="AJ5" s="658">
        <f t="shared" ref="AJ5:AJ50" si="7">31.1035*1.1023*K5*P5*O5/100</f>
        <v>143.88937248161614</v>
      </c>
      <c r="AK5" s="88"/>
      <c r="AL5" s="635">
        <f t="shared" ref="AL5:AL50" si="8">+IF(AB5*K5&gt;0,AB5*K5,0)</f>
        <v>6389.2786672739685</v>
      </c>
    </row>
    <row r="6" spans="1:43" ht="15" customHeight="1">
      <c r="A6" s="134" t="s">
        <v>70</v>
      </c>
      <c r="B6" s="135">
        <v>45563</v>
      </c>
      <c r="C6" s="637">
        <v>45560</v>
      </c>
      <c r="D6" s="639" t="s">
        <v>66</v>
      </c>
      <c r="E6" s="639">
        <v>20490968360</v>
      </c>
      <c r="F6" s="639" t="s">
        <v>67</v>
      </c>
      <c r="G6" s="642" t="s">
        <v>68</v>
      </c>
      <c r="H6" s="639" t="s">
        <v>69</v>
      </c>
      <c r="I6" s="643">
        <v>14.91</v>
      </c>
      <c r="J6" s="643">
        <v>3.5</v>
      </c>
      <c r="K6" s="138">
        <f t="shared" si="0"/>
        <v>14.38815</v>
      </c>
      <c r="L6" s="645">
        <v>0.17100000000000001</v>
      </c>
      <c r="M6" s="645">
        <v>0.153</v>
      </c>
      <c r="N6" s="645">
        <v>0.153</v>
      </c>
      <c r="O6" s="141">
        <f t="shared" si="1"/>
        <v>0.153</v>
      </c>
      <c r="P6" s="639">
        <v>88</v>
      </c>
      <c r="Q6" s="639">
        <v>89.13</v>
      </c>
      <c r="R6" s="655">
        <v>2635.95</v>
      </c>
      <c r="S6" s="642">
        <v>115</v>
      </c>
      <c r="T6" s="639"/>
      <c r="U6" s="639">
        <v>130</v>
      </c>
      <c r="V6" s="142">
        <v>1.1023000000000001</v>
      </c>
      <c r="W6" s="643"/>
      <c r="X6" s="643"/>
      <c r="Y6" s="639">
        <v>50</v>
      </c>
      <c r="Z6" s="143">
        <f>IF(IF(D6="UNTUCA",IF(+((W6-3)*1.5+(X6-3)*3.1)&gt;0,+((W6-3)*1.5+(X6-3)*3.1),0),IF(+((W6-3)*1.5+(X6-3)*3.1)&gt;0,+((W6-3)*1.5+(X6-3)*3.1),0))&lt;30,30,IF(D6="UNTUCA",IF(+((W6-3)*1.5+(X6-3)*3.1)&gt;0,+((W6-3)*1.5+(X6-3)*3.1),0),IF(+((W6-3)*1.5+(X6-3)*3.1)&gt;0,+((W6-3)*1.5+(X6-3)*3.1),0)))</f>
        <v>30</v>
      </c>
      <c r="AA6" s="144">
        <f t="shared" si="2"/>
        <v>80</v>
      </c>
      <c r="AB6" s="145">
        <f t="shared" si="3"/>
        <v>156.96874134840004</v>
      </c>
      <c r="AC6" s="145">
        <f>+(S6-T6)*V6-'data 1'!$F$4</f>
        <v>46.764500000000012</v>
      </c>
      <c r="AD6" s="145">
        <f t="shared" si="4"/>
        <v>5.3376090720254785</v>
      </c>
      <c r="AE6" s="145">
        <f t="shared" ref="AE6:AE50" si="9">+(Y6*V6-70)+V6*(Z6-IF(D6="UNTUCA",IF(+((W6-3)*2.5+(X6-3)*3.1)&gt;0,+((W6-3)*1.5+(X6-3)*3.1),0),IF(+((W6-3)*1.5+(X6-3)*3.1)&gt;0,+((W6-3)*1.5+(X6-3)*3.1),0)))</f>
        <v>18.184000000000005</v>
      </c>
      <c r="AF6" s="145">
        <f t="shared" si="5"/>
        <v>44.31682315692904</v>
      </c>
      <c r="AG6" s="145">
        <f>+IF(D6="RONALD WILLIAN GARIBAY ESCUDERO",AC6+AD6+AE6+AF6+80,AC6+AD6+AE6+AF6)</f>
        <v>114.60293222895453</v>
      </c>
      <c r="AH6" s="146">
        <f t="shared" si="6"/>
        <v>75.185491475977685</v>
      </c>
      <c r="AI6" s="658">
        <f>+((+$AI$2-R6+U6)*L6*Q6*V6)/100</f>
        <v>39.321354523774531</v>
      </c>
      <c r="AJ6" s="658">
        <f t="shared" si="7"/>
        <v>66.418357129481223</v>
      </c>
      <c r="AK6" s="660"/>
      <c r="AL6" s="635">
        <f t="shared" si="8"/>
        <v>2258.4897958319821</v>
      </c>
    </row>
    <row r="7" spans="1:43" ht="15.75" customHeight="1">
      <c r="A7" s="134" t="s">
        <v>76</v>
      </c>
      <c r="B7" s="135">
        <v>45581</v>
      </c>
      <c r="C7" s="638">
        <v>45565</v>
      </c>
      <c r="D7" s="640" t="s">
        <v>77</v>
      </c>
      <c r="E7" s="640">
        <v>20554057862</v>
      </c>
      <c r="F7" s="142" t="s">
        <v>78</v>
      </c>
      <c r="G7" s="641" t="s">
        <v>68</v>
      </c>
      <c r="H7" s="640" t="s">
        <v>69</v>
      </c>
      <c r="I7" s="644">
        <v>43.01</v>
      </c>
      <c r="J7" s="644">
        <v>1.9</v>
      </c>
      <c r="K7" s="138">
        <f t="shared" si="0"/>
        <v>42.192810000000001</v>
      </c>
      <c r="L7" s="646">
        <v>0.26400000000000001</v>
      </c>
      <c r="M7" s="646">
        <v>0.246</v>
      </c>
      <c r="N7" s="648">
        <v>0.27400000000000002</v>
      </c>
      <c r="O7" s="153">
        <f t="shared" si="1"/>
        <v>0.26</v>
      </c>
      <c r="P7" s="652">
        <v>90</v>
      </c>
      <c r="Q7" s="640">
        <v>89.33</v>
      </c>
      <c r="R7" s="151">
        <v>2629.95</v>
      </c>
      <c r="S7" s="641">
        <v>100</v>
      </c>
      <c r="T7" s="640"/>
      <c r="U7" s="142">
        <v>100</v>
      </c>
      <c r="V7" s="640">
        <v>1.1023000000000001</v>
      </c>
      <c r="W7" s="640"/>
      <c r="X7" s="640"/>
      <c r="Y7" s="142"/>
      <c r="Z7" s="155">
        <v>35</v>
      </c>
      <c r="AA7" s="144">
        <f t="shared" si="2"/>
        <v>35</v>
      </c>
      <c r="AB7" s="145">
        <f t="shared" si="3"/>
        <v>503.76024909</v>
      </c>
      <c r="AC7" s="145">
        <f>+(S7-T7)*V7-'data 1'!$F$4</f>
        <v>30.230000000000004</v>
      </c>
      <c r="AD7" s="145">
        <f t="shared" si="4"/>
        <v>-4.9327655597880122</v>
      </c>
      <c r="AE7" s="145">
        <f t="shared" si="9"/>
        <v>-31.419499999999999</v>
      </c>
      <c r="AF7" s="145">
        <f t="shared" si="5"/>
        <v>9.9648111138820088</v>
      </c>
      <c r="AG7" s="145">
        <f>+IF(D7="RONALD WILLIAN GARIBAY ESCUDERO",AC7+AD7+AE7+AF7+80,AC7+AD7+AE7+AF7)+90-30</f>
        <v>63.842545554094002</v>
      </c>
      <c r="AH7" s="146">
        <f t="shared" si="6"/>
        <v>341.15267429909699</v>
      </c>
      <c r="AI7" s="659">
        <f>+((+$AI$2-R7+U7)*L7*Q7*V7)/100</f>
        <v>54.603911506188048</v>
      </c>
      <c r="AJ7" s="659">
        <f t="shared" si="7"/>
        <v>338.50366612216146</v>
      </c>
      <c r="AK7" s="661"/>
      <c r="AL7" s="148">
        <f t="shared" si="8"/>
        <v>21255.060475407045</v>
      </c>
    </row>
    <row r="8" spans="1:43" ht="15.75" customHeight="1">
      <c r="A8" s="134" t="s">
        <v>79</v>
      </c>
      <c r="B8" s="638">
        <v>45581</v>
      </c>
      <c r="C8" s="638">
        <v>45565</v>
      </c>
      <c r="D8" s="640" t="s">
        <v>77</v>
      </c>
      <c r="E8" s="640">
        <v>20554057862</v>
      </c>
      <c r="F8" s="142" t="s">
        <v>78</v>
      </c>
      <c r="G8" s="641" t="s">
        <v>68</v>
      </c>
      <c r="H8" s="640" t="s">
        <v>69</v>
      </c>
      <c r="I8" s="644">
        <v>47.01</v>
      </c>
      <c r="J8" s="644">
        <v>2</v>
      </c>
      <c r="K8" s="138">
        <f t="shared" si="0"/>
        <v>46.069800000000001</v>
      </c>
      <c r="L8" s="646">
        <v>0.23599999999999999</v>
      </c>
      <c r="M8" s="646">
        <v>0.222</v>
      </c>
      <c r="N8" s="648">
        <v>0.255</v>
      </c>
      <c r="O8" s="141">
        <f t="shared" si="1"/>
        <v>0.23899999999999999</v>
      </c>
      <c r="P8" s="652">
        <v>90</v>
      </c>
      <c r="Q8" s="142">
        <v>89.69</v>
      </c>
      <c r="R8" s="151">
        <v>2629.95</v>
      </c>
      <c r="S8" s="641">
        <v>100</v>
      </c>
      <c r="T8" s="640"/>
      <c r="U8" s="142">
        <v>100</v>
      </c>
      <c r="V8" s="640">
        <v>1.1023000000000001</v>
      </c>
      <c r="W8" s="640"/>
      <c r="X8" s="640"/>
      <c r="Y8" s="640"/>
      <c r="Z8" s="155">
        <v>35</v>
      </c>
      <c r="AA8" s="144">
        <f t="shared" si="2"/>
        <v>35</v>
      </c>
      <c r="AB8" s="145">
        <f t="shared" si="3"/>
        <v>451.05261166349987</v>
      </c>
      <c r="AC8" s="145">
        <f>+(S8-T8)*V8-'data 1'!$F$4</f>
        <v>30.230000000000004</v>
      </c>
      <c r="AD8" s="145">
        <f t="shared" si="4"/>
        <v>-2.0402596582660149</v>
      </c>
      <c r="AE8" s="145">
        <f t="shared" si="9"/>
        <v>-31.419499999999999</v>
      </c>
      <c r="AF8" s="145">
        <f t="shared" si="5"/>
        <v>-7.5037269853695072</v>
      </c>
      <c r="AG8" s="145">
        <f>+IF(D8="RONALD WILLIAN GARIBAY ESCUDERO",AC8+AD8+AE8+AF8+80,AC8+AD8+AE8+AF8)+90-30</f>
        <v>49.266513356364484</v>
      </c>
      <c r="AH8" s="146">
        <f t="shared" si="6"/>
        <v>334.33467656802873</v>
      </c>
      <c r="AI8" s="659">
        <f>+((+$AI$2-R8+U8)*L8*Q8*V8)/100</f>
        <v>49.009302341066032</v>
      </c>
      <c r="AJ8" s="659">
        <f t="shared" si="7"/>
        <v>339.75496073000488</v>
      </c>
      <c r="AK8" s="661"/>
      <c r="AL8" s="148">
        <f t="shared" si="8"/>
        <v>20779.903608815108</v>
      </c>
    </row>
    <row r="9" spans="1:43" ht="15.75" customHeight="1">
      <c r="A9" s="134" t="s">
        <v>80</v>
      </c>
      <c r="B9" s="135">
        <v>45581</v>
      </c>
      <c r="C9" s="803" cm="1">
        <v>45565</v>
      </c>
      <c r="D9" s="142" t="s">
        <v>77</v>
      </c>
      <c r="E9" s="142">
        <v>20554057862</v>
      </c>
      <c r="F9" s="142" t="s">
        <v>78</v>
      </c>
      <c r="G9" s="132" t="s">
        <v>68</v>
      </c>
      <c r="H9" s="596" t="s">
        <v>69</v>
      </c>
      <c r="I9" s="596">
        <v>46.76</v>
      </c>
      <c r="J9" s="596">
        <v>2.0499999999999998</v>
      </c>
      <c r="K9" s="138">
        <f t="shared" si="0"/>
        <v>45.80142</v>
      </c>
      <c r="L9" s="141">
        <v>0.27500000000000002</v>
      </c>
      <c r="M9" s="141">
        <v>0.247</v>
      </c>
      <c r="N9" s="152">
        <v>0.27800000000000002</v>
      </c>
      <c r="O9" s="141">
        <f t="shared" si="1"/>
        <v>0.26300000000000001</v>
      </c>
      <c r="P9" s="154">
        <v>90</v>
      </c>
      <c r="Q9" s="142">
        <v>89.49</v>
      </c>
      <c r="R9" s="151">
        <v>2629.95</v>
      </c>
      <c r="S9" s="132">
        <v>100</v>
      </c>
      <c r="T9" s="142"/>
      <c r="U9" s="142">
        <v>100</v>
      </c>
      <c r="V9" s="142">
        <v>1.1023000000000001</v>
      </c>
      <c r="W9" s="142"/>
      <c r="X9" s="142"/>
      <c r="Y9" s="142"/>
      <c r="Z9" s="143">
        <f t="shared" ref="Z9:Z22" si="10">IF(IF(D9="UNTUCA",IF(+((W9-3)*1.5+(X9-3)*3.1)&gt;0,+((W9-3)*1.5+(X9-3)*3.1),0),IF(+((W9-3)*1.5+(X9-3)*3.1)&gt;0,+((W9-3)*1.5+(X9-3)*3.1),0))&lt;30,30,IF(D9="UNTUCA",IF(+((W9-3)*1.5+(X9-3)*3.1)&gt;0,+((W9-3)*1.5+(X9-3)*3.1),0),IF(+((W9-3)*1.5+(X9-3)*3.1)&gt;0,+((W9-3)*1.5+(X9-3)*3.1),0)))</f>
        <v>30</v>
      </c>
      <c r="AA9" s="144">
        <f t="shared" si="2"/>
        <v>30</v>
      </c>
      <c r="AB9" s="145">
        <f t="shared" si="3"/>
        <v>516.80141157950004</v>
      </c>
      <c r="AC9" s="145">
        <f>+(S9-T9)*V9-'data 1'!$F$4</f>
        <v>30.230000000000004</v>
      </c>
      <c r="AD9" s="145">
        <f t="shared" si="4"/>
        <v>-3.9112413487125401</v>
      </c>
      <c r="AE9" s="145">
        <f t="shared" si="9"/>
        <v>-36.930999999999997</v>
      </c>
      <c r="AF9" s="145">
        <f t="shared" si="5"/>
        <v>29.947977608238023</v>
      </c>
      <c r="AG9" s="772">
        <f>+IF(D9="RONALD WILLIAN GARIBAY ESCUDERO",AC9+AD9+AE9+AF9+80,AC9+AD9+AE9+AF9)+90-30</f>
        <v>79.33573625952549</v>
      </c>
      <c r="AH9" s="146">
        <f t="shared" si="6"/>
        <v>386.45169280064295</v>
      </c>
      <c r="AI9" s="659">
        <f t="shared" ref="AI9:AI50" si="11">+((+$AI$2-R9+U9)*L9*Q9*V9)/100</f>
        <v>56.980951256212549</v>
      </c>
      <c r="AJ9" s="147">
        <f t="shared" si="7"/>
        <v>371.69461569464215</v>
      </c>
      <c r="AK9" s="88"/>
      <c r="AL9" s="148">
        <f t="shared" si="8"/>
        <v>23670.238508345545</v>
      </c>
      <c r="AM9" s="762"/>
      <c r="AN9" s="762"/>
      <c r="AO9" s="596"/>
      <c r="AQ9" s="596"/>
    </row>
    <row r="10" spans="1:43" ht="15.75" customHeight="1">
      <c r="A10" s="134" t="s">
        <v>84</v>
      </c>
      <c r="B10" s="637">
        <v>45574</v>
      </c>
      <c r="C10" s="637">
        <v>45566</v>
      </c>
      <c r="D10" s="630" t="s">
        <v>85</v>
      </c>
      <c r="E10" s="630">
        <v>10460498487</v>
      </c>
      <c r="F10" s="142" t="s">
        <v>86</v>
      </c>
      <c r="G10" s="642" t="s">
        <v>68</v>
      </c>
      <c r="H10" s="630" t="s">
        <v>69</v>
      </c>
      <c r="I10" s="639">
        <v>25.04</v>
      </c>
      <c r="J10" s="639">
        <v>1.45</v>
      </c>
      <c r="K10" s="138">
        <f t="shared" si="0"/>
        <v>24.676919999999999</v>
      </c>
      <c r="L10" s="645">
        <v>8.4000000000000005E-2</v>
      </c>
      <c r="M10" s="645">
        <v>8.4000000000000005E-2</v>
      </c>
      <c r="N10" s="645">
        <v>8.4000000000000005E-2</v>
      </c>
      <c r="O10" s="141">
        <f t="shared" si="1"/>
        <v>8.4000000000000005E-2</v>
      </c>
      <c r="P10" s="154">
        <v>87</v>
      </c>
      <c r="Q10" s="630">
        <v>88.69</v>
      </c>
      <c r="R10" s="151">
        <v>2638.85</v>
      </c>
      <c r="S10" s="642">
        <v>100</v>
      </c>
      <c r="T10" s="631"/>
      <c r="U10" s="142">
        <v>80</v>
      </c>
      <c r="V10" s="630">
        <v>1.1023000000000001</v>
      </c>
      <c r="W10" s="631"/>
      <c r="X10" s="631"/>
      <c r="Y10" s="630">
        <v>25</v>
      </c>
      <c r="Z10" s="143">
        <f t="shared" si="10"/>
        <v>30</v>
      </c>
      <c r="AA10" s="144">
        <f t="shared" si="2"/>
        <v>55</v>
      </c>
      <c r="AB10" s="145">
        <f t="shared" si="3"/>
        <v>35.274435543400024</v>
      </c>
      <c r="AC10" s="145">
        <f>+(S10-T10)*V10-'data 1'!$F$4</f>
        <v>30.230000000000004</v>
      </c>
      <c r="AD10" s="145">
        <f t="shared" si="4"/>
        <v>4.0041526559579941</v>
      </c>
      <c r="AE10" s="145">
        <f t="shared" si="9"/>
        <v>-9.3734999999999928</v>
      </c>
      <c r="AF10" s="145">
        <f t="shared" si="5"/>
        <v>0</v>
      </c>
      <c r="AG10" s="145">
        <f t="shared" ref="AG10:AG22" si="12">+IF(D10="RONALD WILLIAN GARIBAY ESCUDERO",AC10+AD10+AE10+AF10+80,AC10+AD10+AE10+AF10)</f>
        <v>24.860652655958006</v>
      </c>
      <c r="AH10" s="146">
        <f t="shared" si="6"/>
        <v>63.030966043759825</v>
      </c>
      <c r="AI10" s="659">
        <f t="shared" si="11"/>
        <v>14.876202679842008</v>
      </c>
      <c r="AJ10" s="658">
        <f t="shared" si="7"/>
        <v>61.829902421999144</v>
      </c>
      <c r="AK10" s="660"/>
      <c r="AL10" s="148">
        <f t="shared" si="8"/>
        <v>870.4644239496389</v>
      </c>
    </row>
    <row r="11" spans="1:43" ht="15.75" customHeight="1">
      <c r="A11" s="134" t="s">
        <v>87</v>
      </c>
      <c r="B11" s="637">
        <v>45574</v>
      </c>
      <c r="C11" s="637">
        <v>45566</v>
      </c>
      <c r="D11" s="639" t="s">
        <v>85</v>
      </c>
      <c r="E11" s="639">
        <v>10460498487</v>
      </c>
      <c r="F11" s="142" t="s">
        <v>88</v>
      </c>
      <c r="G11" s="642" t="s">
        <v>68</v>
      </c>
      <c r="H11" s="639" t="s">
        <v>69</v>
      </c>
      <c r="I11" s="639">
        <v>27.75</v>
      </c>
      <c r="J11" s="639">
        <v>1.65</v>
      </c>
      <c r="K11" s="138">
        <f t="shared" si="0"/>
        <v>27.292124999999999</v>
      </c>
      <c r="L11" s="645">
        <v>0.106</v>
      </c>
      <c r="M11" s="645">
        <v>0.106</v>
      </c>
      <c r="N11" s="645">
        <v>0.106</v>
      </c>
      <c r="O11" s="141">
        <f t="shared" si="1"/>
        <v>0.106</v>
      </c>
      <c r="P11" s="154">
        <v>87</v>
      </c>
      <c r="Q11" s="639">
        <v>88.05</v>
      </c>
      <c r="R11" s="151">
        <v>2638.85</v>
      </c>
      <c r="S11" s="642">
        <v>100</v>
      </c>
      <c r="T11" s="639"/>
      <c r="U11" s="142">
        <v>100</v>
      </c>
      <c r="V11" s="639">
        <v>1.1023000000000001</v>
      </c>
      <c r="W11" s="639"/>
      <c r="X11" s="639"/>
      <c r="Y11" s="639">
        <v>40</v>
      </c>
      <c r="Z11" s="143">
        <f t="shared" si="10"/>
        <v>30</v>
      </c>
      <c r="AA11" s="144">
        <f t="shared" si="2"/>
        <v>70</v>
      </c>
      <c r="AB11" s="145">
        <f t="shared" si="3"/>
        <v>70.693527018099999</v>
      </c>
      <c r="AC11" s="145">
        <f>+(S11-T11)*V11-'data 1'!$F$4</f>
        <v>30.230000000000004</v>
      </c>
      <c r="AD11" s="145">
        <f t="shared" si="4"/>
        <v>3.1148132571149914</v>
      </c>
      <c r="AE11" s="145">
        <f t="shared" si="9"/>
        <v>7.1610000000000014</v>
      </c>
      <c r="AF11" s="145">
        <f t="shared" si="5"/>
        <v>0</v>
      </c>
      <c r="AG11" s="145">
        <f t="shared" si="12"/>
        <v>40.505813257114994</v>
      </c>
      <c r="AH11" s="146">
        <f t="shared" si="6"/>
        <v>87.333657084151127</v>
      </c>
      <c r="AI11" s="659">
        <f t="shared" si="11"/>
        <v>20.694506290785011</v>
      </c>
      <c r="AJ11" s="658">
        <f t="shared" si="7"/>
        <v>86.292199503931272</v>
      </c>
      <c r="AK11" s="660"/>
      <c r="AL11" s="148">
        <f t="shared" si="8"/>
        <v>1929.3765760688623</v>
      </c>
    </row>
    <row r="12" spans="1:43" ht="15.75" customHeight="1">
      <c r="A12" s="134" t="s">
        <v>92</v>
      </c>
      <c r="B12" s="637">
        <v>45573</v>
      </c>
      <c r="C12" s="637">
        <v>45567</v>
      </c>
      <c r="D12" s="639" t="s">
        <v>93</v>
      </c>
      <c r="E12" s="639">
        <v>20169040231</v>
      </c>
      <c r="F12" s="142" t="s">
        <v>94</v>
      </c>
      <c r="G12" s="642">
        <v>57</v>
      </c>
      <c r="H12" s="639" t="s">
        <v>69</v>
      </c>
      <c r="I12" s="643">
        <v>5.46</v>
      </c>
      <c r="J12" s="643">
        <v>1.1000000000000001</v>
      </c>
      <c r="K12" s="138">
        <f t="shared" si="0"/>
        <v>5.39994</v>
      </c>
      <c r="L12" s="645">
        <v>0.14899999999999999</v>
      </c>
      <c r="M12" s="645">
        <v>0.14099999999999999</v>
      </c>
      <c r="N12" s="649">
        <v>0.14099999999999999</v>
      </c>
      <c r="O12" s="141">
        <f t="shared" si="1"/>
        <v>0.14099999999999999</v>
      </c>
      <c r="P12" s="639">
        <v>90</v>
      </c>
      <c r="Q12" s="639">
        <v>89.16</v>
      </c>
      <c r="R12" s="151">
        <v>2636.66</v>
      </c>
      <c r="S12" s="642">
        <v>110</v>
      </c>
      <c r="T12" s="639"/>
      <c r="U12" s="142">
        <v>130</v>
      </c>
      <c r="V12" s="639">
        <v>1.1023000000000001</v>
      </c>
      <c r="W12" s="639"/>
      <c r="X12" s="639"/>
      <c r="Y12" s="639">
        <v>30</v>
      </c>
      <c r="Z12" s="143">
        <f t="shared" si="10"/>
        <v>30</v>
      </c>
      <c r="AA12" s="144">
        <f t="shared" si="2"/>
        <v>60</v>
      </c>
      <c r="AB12" s="145">
        <f t="shared" si="3"/>
        <v>163.24528825419998</v>
      </c>
      <c r="AC12" s="145">
        <f>+(S12-T12)*V12-'data 1'!$F$4</f>
        <v>41.253</v>
      </c>
      <c r="AD12" s="145">
        <f t="shared" si="4"/>
        <v>-3.4582850936088141</v>
      </c>
      <c r="AE12" s="145">
        <f t="shared" si="9"/>
        <v>-3.8619999999999948</v>
      </c>
      <c r="AF12" s="145">
        <f t="shared" si="5"/>
        <v>19.708577753030415</v>
      </c>
      <c r="AG12" s="145">
        <f t="shared" si="12"/>
        <v>53.641292659421609</v>
      </c>
      <c r="AH12" s="146">
        <f t="shared" si="6"/>
        <v>24.595425021899999</v>
      </c>
      <c r="AI12" s="659">
        <f t="shared" si="11"/>
        <v>34.170027566608816</v>
      </c>
      <c r="AJ12" s="658">
        <f t="shared" si="7"/>
        <v>23.494143966198386</v>
      </c>
      <c r="AK12" s="660"/>
      <c r="AL12" s="148">
        <f t="shared" si="8"/>
        <v>881.51476185538456</v>
      </c>
    </row>
    <row r="13" spans="1:43" ht="15.75" customHeight="1">
      <c r="A13" s="134" t="s">
        <v>95</v>
      </c>
      <c r="B13" s="637">
        <v>45573</v>
      </c>
      <c r="C13" s="637">
        <v>45567</v>
      </c>
      <c r="D13" s="639" t="s">
        <v>93</v>
      </c>
      <c r="E13" s="639">
        <v>20169040231</v>
      </c>
      <c r="F13" s="142" t="s">
        <v>94</v>
      </c>
      <c r="G13" s="642">
        <v>76</v>
      </c>
      <c r="H13" s="639" t="s">
        <v>69</v>
      </c>
      <c r="I13" s="643">
        <v>7.43</v>
      </c>
      <c r="J13" s="643">
        <v>1</v>
      </c>
      <c r="K13" s="138">
        <f t="shared" si="0"/>
        <v>7.3556999999999997</v>
      </c>
      <c r="L13" s="645">
        <v>0.48199999999999998</v>
      </c>
      <c r="M13" s="645">
        <v>0.45800000000000002</v>
      </c>
      <c r="N13" s="649">
        <v>0.45800000000000002</v>
      </c>
      <c r="O13" s="141">
        <f t="shared" si="1"/>
        <v>0.45800000000000002</v>
      </c>
      <c r="P13" s="639">
        <v>90</v>
      </c>
      <c r="Q13" s="639">
        <v>89.26</v>
      </c>
      <c r="R13" s="151">
        <v>2636.66</v>
      </c>
      <c r="S13" s="642">
        <v>140</v>
      </c>
      <c r="T13" s="639"/>
      <c r="U13" s="142">
        <v>130</v>
      </c>
      <c r="V13" s="639">
        <v>1.1023000000000001</v>
      </c>
      <c r="W13" s="639"/>
      <c r="X13" s="639"/>
      <c r="Y13" s="639">
        <v>30</v>
      </c>
      <c r="Z13" s="143">
        <f t="shared" si="10"/>
        <v>30</v>
      </c>
      <c r="AA13" s="144">
        <f t="shared" si="2"/>
        <v>60</v>
      </c>
      <c r="AB13" s="145">
        <f t="shared" si="3"/>
        <v>918.48624127959999</v>
      </c>
      <c r="AC13" s="145">
        <f>+(S13-T13)*V13-'data 1'!$F$4</f>
        <v>74.322000000000003</v>
      </c>
      <c r="AD13" s="145">
        <f t="shared" si="4"/>
        <v>-9.8553941130423315</v>
      </c>
      <c r="AE13" s="145">
        <f t="shared" si="9"/>
        <v>-3.8619999999999948</v>
      </c>
      <c r="AF13" s="145">
        <f t="shared" si="5"/>
        <v>59.192047450723123</v>
      </c>
      <c r="AG13" s="145">
        <f t="shared" si="12"/>
        <v>119.79665333768079</v>
      </c>
      <c r="AH13" s="146">
        <f t="shared" si="6"/>
        <v>108.50181383247022</v>
      </c>
      <c r="AI13" s="659">
        <f t="shared" si="11"/>
        <v>110.66057479104248</v>
      </c>
      <c r="AJ13" s="658">
        <f t="shared" si="7"/>
        <v>103.95396650408249</v>
      </c>
      <c r="AK13" s="660"/>
      <c r="AL13" s="148">
        <f t="shared" si="8"/>
        <v>6756.1092449803537</v>
      </c>
    </row>
    <row r="14" spans="1:43" ht="15.75" customHeight="1">
      <c r="A14" s="134" t="s">
        <v>96</v>
      </c>
      <c r="B14" s="136">
        <v>45570</v>
      </c>
      <c r="C14" s="136">
        <v>45567</v>
      </c>
      <c r="D14" s="6" t="s">
        <v>93</v>
      </c>
      <c r="E14" s="6">
        <v>20169040231</v>
      </c>
      <c r="F14" s="142" t="s">
        <v>97</v>
      </c>
      <c r="G14" s="80">
        <v>45</v>
      </c>
      <c r="H14" s="6" t="s">
        <v>69</v>
      </c>
      <c r="I14" s="137">
        <v>3.94</v>
      </c>
      <c r="J14" s="137">
        <v>0.8</v>
      </c>
      <c r="K14" s="138">
        <f t="shared" si="0"/>
        <v>3.90848</v>
      </c>
      <c r="L14" s="139">
        <v>0.34799999999999998</v>
      </c>
      <c r="M14" s="139">
        <v>0.33100000000000002</v>
      </c>
      <c r="N14" s="159">
        <v>0.38800000000000001</v>
      </c>
      <c r="O14" s="141">
        <f t="shared" si="1"/>
        <v>0.36</v>
      </c>
      <c r="P14" s="6">
        <v>90</v>
      </c>
      <c r="Q14" s="6">
        <v>89.57</v>
      </c>
      <c r="R14" s="151">
        <v>2646.66</v>
      </c>
      <c r="S14" s="80">
        <v>130</v>
      </c>
      <c r="T14" s="6"/>
      <c r="U14" s="142">
        <v>130</v>
      </c>
      <c r="V14" s="6">
        <v>1.1023000000000001</v>
      </c>
      <c r="W14" s="6"/>
      <c r="X14" s="6"/>
      <c r="Y14" s="6">
        <v>50</v>
      </c>
      <c r="Z14" s="143">
        <f t="shared" si="10"/>
        <v>30</v>
      </c>
      <c r="AA14" s="144">
        <f t="shared" si="2"/>
        <v>80</v>
      </c>
      <c r="AB14" s="145">
        <f t="shared" si="3"/>
        <v>667.33003903199983</v>
      </c>
      <c r="AC14" s="145">
        <f>+(S14-T14)*V14-'data 1'!$F$4</f>
        <v>63.299000000000007</v>
      </c>
      <c r="AD14" s="145">
        <f t="shared" si="4"/>
        <v>-4.1511846654552649</v>
      </c>
      <c r="AE14" s="145">
        <f t="shared" si="9"/>
        <v>18.184000000000005</v>
      </c>
      <c r="AF14" s="145">
        <f t="shared" si="5"/>
        <v>-29.817290335591224</v>
      </c>
      <c r="AG14" s="145">
        <f t="shared" si="12"/>
        <v>47.514524998953533</v>
      </c>
      <c r="AH14" s="146">
        <f t="shared" si="6"/>
        <v>41.769452374994017</v>
      </c>
      <c r="AI14" s="659">
        <f t="shared" si="11"/>
        <v>76.737586755055233</v>
      </c>
      <c r="AJ14" s="147">
        <f t="shared" si="7"/>
        <v>43.417216129355126</v>
      </c>
      <c r="AK14" s="88"/>
      <c r="AL14" s="148">
        <f t="shared" si="8"/>
        <v>2608.2461109557908</v>
      </c>
    </row>
    <row r="15" spans="1:43" ht="15.75" customHeight="1">
      <c r="A15" s="134" t="s">
        <v>98</v>
      </c>
      <c r="B15" s="638">
        <v>45571</v>
      </c>
      <c r="C15" s="136">
        <v>45569</v>
      </c>
      <c r="D15" s="79" t="s">
        <v>93</v>
      </c>
      <c r="E15" s="79">
        <v>20169040235</v>
      </c>
      <c r="F15" s="142" t="s">
        <v>99</v>
      </c>
      <c r="G15" s="80">
        <v>90</v>
      </c>
      <c r="H15" s="79" t="s">
        <v>69</v>
      </c>
      <c r="I15" s="137">
        <v>8.42</v>
      </c>
      <c r="J15" s="137">
        <v>1.1000000000000001</v>
      </c>
      <c r="K15" s="138">
        <f t="shared" si="0"/>
        <v>8.3273799999999998</v>
      </c>
      <c r="L15" s="139">
        <v>0.42</v>
      </c>
      <c r="M15" s="139">
        <v>0.39900000000000002</v>
      </c>
      <c r="N15" s="159">
        <v>0.39900000000000002</v>
      </c>
      <c r="O15" s="141">
        <f t="shared" si="1"/>
        <v>0.39900000000000002</v>
      </c>
      <c r="P15" s="652">
        <v>90</v>
      </c>
      <c r="Q15" s="644">
        <v>89.44</v>
      </c>
      <c r="R15" s="151">
        <v>2641.5</v>
      </c>
      <c r="S15" s="80">
        <v>130</v>
      </c>
      <c r="U15" s="142">
        <v>130</v>
      </c>
      <c r="V15" s="640">
        <v>1.1023000000000001</v>
      </c>
      <c r="Y15" s="640">
        <v>30</v>
      </c>
      <c r="Z15" s="143">
        <f t="shared" si="10"/>
        <v>30</v>
      </c>
      <c r="AA15" s="144">
        <f t="shared" si="2"/>
        <v>60</v>
      </c>
      <c r="AB15" s="145">
        <f t="shared" si="3"/>
        <v>784.70493819500018</v>
      </c>
      <c r="AC15" s="145">
        <f>+(S15-T15)*V15-'data 1'!$F$4</f>
        <v>63.299000000000007</v>
      </c>
      <c r="AD15" s="145">
        <f t="shared" si="4"/>
        <v>-6.511339010400027</v>
      </c>
      <c r="AE15" s="145">
        <f t="shared" si="9"/>
        <v>-3.8619999999999948</v>
      </c>
      <c r="AF15" s="145">
        <f t="shared" si="5"/>
        <v>51.997692954479916</v>
      </c>
      <c r="AG15" s="145">
        <f t="shared" si="12"/>
        <v>104.92335394407991</v>
      </c>
      <c r="AH15" s="146">
        <f t="shared" si="6"/>
        <v>107.25030435809977</v>
      </c>
      <c r="AI15" s="659">
        <f t="shared" si="11"/>
        <v>94.616546606400007</v>
      </c>
      <c r="AJ15" s="659">
        <f t="shared" si="7"/>
        <v>102.52572699706542</v>
      </c>
      <c r="AK15" s="88"/>
      <c r="AL15" s="148">
        <f t="shared" si="8"/>
        <v>6534.53620822628</v>
      </c>
    </row>
    <row r="16" spans="1:43" ht="15.75" customHeight="1">
      <c r="A16" s="134" t="s">
        <v>100</v>
      </c>
      <c r="B16" s="638">
        <v>45571</v>
      </c>
      <c r="C16" s="136">
        <v>45569</v>
      </c>
      <c r="D16" s="79" t="s">
        <v>93</v>
      </c>
      <c r="E16" s="79">
        <v>20169040236</v>
      </c>
      <c r="F16" s="142" t="s">
        <v>99</v>
      </c>
      <c r="G16" s="80">
        <v>20</v>
      </c>
      <c r="H16" s="79" t="s">
        <v>69</v>
      </c>
      <c r="I16" s="137">
        <v>1.87</v>
      </c>
      <c r="J16" s="137">
        <v>1.1000000000000001</v>
      </c>
      <c r="K16" s="138">
        <f t="shared" si="0"/>
        <v>1.8494300000000001</v>
      </c>
      <c r="L16" s="139">
        <v>0.42099999999999999</v>
      </c>
      <c r="M16" s="139">
        <v>0.39900000000000002</v>
      </c>
      <c r="N16" s="159">
        <v>0.39900000000000002</v>
      </c>
      <c r="O16" s="141">
        <f t="shared" si="1"/>
        <v>0.39900000000000002</v>
      </c>
      <c r="P16" s="652">
        <v>90</v>
      </c>
      <c r="Q16" s="644">
        <v>89.56</v>
      </c>
      <c r="R16" s="151">
        <v>2641.5</v>
      </c>
      <c r="S16" s="80">
        <v>130</v>
      </c>
      <c r="U16" s="142">
        <v>130</v>
      </c>
      <c r="V16" s="640">
        <v>1.1023000000000001</v>
      </c>
      <c r="Y16" s="640">
        <v>30</v>
      </c>
      <c r="Z16" s="143">
        <f t="shared" si="10"/>
        <v>30</v>
      </c>
      <c r="AA16" s="144">
        <f t="shared" si="2"/>
        <v>60</v>
      </c>
      <c r="AB16" s="145">
        <f t="shared" si="3"/>
        <v>784.70493819500018</v>
      </c>
      <c r="AC16" s="145">
        <f>+(S16-T16)*V16-'data 1'!$F$4</f>
        <v>63.299000000000007</v>
      </c>
      <c r="AD16" s="145">
        <f t="shared" si="4"/>
        <v>-5.1282331559799728</v>
      </c>
      <c r="AE16" s="145">
        <f t="shared" si="9"/>
        <v>-3.8619999999999948</v>
      </c>
      <c r="AF16" s="145">
        <f t="shared" si="5"/>
        <v>54.546860029639909</v>
      </c>
      <c r="AG16" s="145">
        <f t="shared" si="12"/>
        <v>108.85562687365996</v>
      </c>
      <c r="AH16" s="146">
        <f t="shared" si="6"/>
        <v>23.907994549474974</v>
      </c>
      <c r="AI16" s="659">
        <f t="shared" si="11"/>
        <v>94.969071626180011</v>
      </c>
      <c r="AJ16" s="659">
        <f t="shared" si="7"/>
        <v>22.769965496972965</v>
      </c>
      <c r="AK16" s="88"/>
      <c r="AL16" s="148">
        <f t="shared" si="8"/>
        <v>1451.2568538459793</v>
      </c>
    </row>
    <row r="17" spans="1:38" ht="15.75" customHeight="1">
      <c r="A17" s="134" t="s">
        <v>102</v>
      </c>
      <c r="B17" s="135">
        <v>45572</v>
      </c>
      <c r="C17" s="638">
        <v>45570</v>
      </c>
      <c r="D17" s="640" t="s">
        <v>93</v>
      </c>
      <c r="E17" s="640">
        <v>20169040237</v>
      </c>
      <c r="F17" s="142" t="s">
        <v>103</v>
      </c>
      <c r="G17" s="641">
        <v>57</v>
      </c>
      <c r="H17" s="640" t="s">
        <v>69</v>
      </c>
      <c r="I17" s="644">
        <v>4.88</v>
      </c>
      <c r="J17" s="644">
        <v>1.2</v>
      </c>
      <c r="K17" s="138">
        <f t="shared" si="0"/>
        <v>4.8214399999999999</v>
      </c>
      <c r="L17" s="646">
        <v>0.39500000000000002</v>
      </c>
      <c r="M17" s="646">
        <v>0.375</v>
      </c>
      <c r="N17" s="650">
        <v>0.42299999999999999</v>
      </c>
      <c r="O17" s="141">
        <f t="shared" si="1"/>
        <v>0.39900000000000002</v>
      </c>
      <c r="P17" s="154">
        <v>90</v>
      </c>
      <c r="Q17" s="143">
        <v>89.63</v>
      </c>
      <c r="R17" s="151">
        <v>2641.5</v>
      </c>
      <c r="S17" s="641">
        <v>105</v>
      </c>
      <c r="T17" s="640"/>
      <c r="U17" s="142">
        <v>130</v>
      </c>
      <c r="V17" s="142">
        <v>1.1023000000000001</v>
      </c>
      <c r="W17" s="640"/>
      <c r="X17" s="640"/>
      <c r="Y17" s="142">
        <v>10</v>
      </c>
      <c r="Z17" s="143">
        <f t="shared" si="10"/>
        <v>30</v>
      </c>
      <c r="AA17" s="144">
        <f t="shared" si="2"/>
        <v>40</v>
      </c>
      <c r="AB17" s="145">
        <f t="shared" si="3"/>
        <v>834.30843819500012</v>
      </c>
      <c r="AC17" s="145">
        <f>+(S17-T17)*V17-'data 1'!$F$4</f>
        <v>35.741500000000002</v>
      </c>
      <c r="AD17" s="145">
        <f t="shared" si="4"/>
        <v>-4.0460552566750501</v>
      </c>
      <c r="AE17" s="145">
        <f t="shared" si="9"/>
        <v>-25.908000000000001</v>
      </c>
      <c r="AF17" s="145">
        <f t="shared" si="5"/>
        <v>-9.9253625085400081</v>
      </c>
      <c r="AG17" s="145">
        <f t="shared" si="12"/>
        <v>-4.1379177652150574</v>
      </c>
      <c r="AH17" s="146">
        <f t="shared" si="6"/>
        <v>58.524313481608736</v>
      </c>
      <c r="AI17" s="659">
        <f t="shared" si="11"/>
        <v>89.173641908674995</v>
      </c>
      <c r="AJ17" s="156">
        <f t="shared" si="7"/>
        <v>59.361004442301308</v>
      </c>
      <c r="AK17" s="661"/>
      <c r="AL17" s="148">
        <f t="shared" si="8"/>
        <v>4022.5680762509014</v>
      </c>
    </row>
    <row r="18" spans="1:38" ht="15.75" customHeight="1">
      <c r="A18" s="134" t="s">
        <v>104</v>
      </c>
      <c r="B18" s="135">
        <v>45572</v>
      </c>
      <c r="C18" s="638">
        <v>45570</v>
      </c>
      <c r="D18" s="640" t="s">
        <v>93</v>
      </c>
      <c r="E18" s="640">
        <v>20169040237</v>
      </c>
      <c r="F18" s="142" t="s">
        <v>103</v>
      </c>
      <c r="G18" s="641">
        <v>50</v>
      </c>
      <c r="H18" s="640" t="s">
        <v>69</v>
      </c>
      <c r="I18" s="644">
        <v>4.3099999999999996</v>
      </c>
      <c r="J18" s="644">
        <v>1.1000000000000001</v>
      </c>
      <c r="K18" s="138">
        <f t="shared" si="0"/>
        <v>4.2625899999999994</v>
      </c>
      <c r="L18" s="646">
        <v>0.29299999999999998</v>
      </c>
      <c r="M18" s="646">
        <v>0.27800000000000002</v>
      </c>
      <c r="N18" s="650">
        <v>0.309</v>
      </c>
      <c r="O18" s="141">
        <f t="shared" si="1"/>
        <v>0.29399999999999998</v>
      </c>
      <c r="P18" s="154">
        <v>90</v>
      </c>
      <c r="Q18" s="143">
        <v>89.54</v>
      </c>
      <c r="R18" s="151">
        <v>2641.5</v>
      </c>
      <c r="S18" s="641">
        <v>100</v>
      </c>
      <c r="T18" s="640"/>
      <c r="U18" s="142">
        <v>130</v>
      </c>
      <c r="V18" s="142">
        <v>1.1023000000000001</v>
      </c>
      <c r="W18" s="640"/>
      <c r="X18" s="640"/>
      <c r="Y18" s="142">
        <v>10</v>
      </c>
      <c r="Z18" s="143">
        <f t="shared" si="10"/>
        <v>30</v>
      </c>
      <c r="AA18" s="144">
        <f t="shared" si="2"/>
        <v>40</v>
      </c>
      <c r="AB18" s="145">
        <f t="shared" si="3"/>
        <v>578.20363866999992</v>
      </c>
      <c r="AC18" s="145">
        <f>+(S18-T18)*V18-'data 1'!$F$4</f>
        <v>30.230000000000004</v>
      </c>
      <c r="AD18" s="145">
        <f t="shared" si="4"/>
        <v>-3.7312851693099494</v>
      </c>
      <c r="AE18" s="145">
        <f t="shared" si="9"/>
        <v>-25.908000000000001</v>
      </c>
      <c r="AF18" s="145">
        <f t="shared" si="5"/>
        <v>-2.4788490433300021</v>
      </c>
      <c r="AG18" s="145">
        <f t="shared" si="12"/>
        <v>-1.8881342126399483</v>
      </c>
      <c r="AH18" s="146">
        <f t="shared" si="6"/>
        <v>38.341344800290734</v>
      </c>
      <c r="AI18" s="659">
        <f t="shared" si="11"/>
        <v>66.080104668710007</v>
      </c>
      <c r="AJ18" s="156">
        <f t="shared" si="7"/>
        <v>38.669848524833888</v>
      </c>
      <c r="AK18" s="661"/>
      <c r="AL18" s="148">
        <f t="shared" si="8"/>
        <v>2464.6450481583547</v>
      </c>
    </row>
    <row r="19" spans="1:38" ht="15.75" customHeight="1">
      <c r="A19" s="134" t="s">
        <v>112</v>
      </c>
      <c r="B19" s="135">
        <v>45572</v>
      </c>
      <c r="C19" s="638">
        <v>45571</v>
      </c>
      <c r="D19" s="640" t="s">
        <v>93</v>
      </c>
      <c r="E19" s="640">
        <v>20169040237</v>
      </c>
      <c r="F19" s="142" t="s">
        <v>113</v>
      </c>
      <c r="G19" s="641">
        <v>80</v>
      </c>
      <c r="H19" s="640" t="s">
        <v>69</v>
      </c>
      <c r="I19" s="644">
        <v>8.11</v>
      </c>
      <c r="J19" s="644">
        <v>0.55000000000000004</v>
      </c>
      <c r="K19" s="138">
        <f t="shared" si="0"/>
        <v>8.0653949999999988</v>
      </c>
      <c r="L19" s="646">
        <v>0.157</v>
      </c>
      <c r="M19" s="646">
        <v>0.154</v>
      </c>
      <c r="N19" s="651">
        <v>0.17</v>
      </c>
      <c r="O19" s="141">
        <f t="shared" si="1"/>
        <v>0.16200000000000001</v>
      </c>
      <c r="P19" s="154">
        <v>90</v>
      </c>
      <c r="Q19" s="143">
        <v>89.15</v>
      </c>
      <c r="R19" s="151">
        <v>2639.73</v>
      </c>
      <c r="S19" s="641">
        <v>110</v>
      </c>
      <c r="T19" s="640"/>
      <c r="U19" s="640">
        <v>130</v>
      </c>
      <c r="V19" s="640">
        <v>1.1023000000000001</v>
      </c>
      <c r="W19" s="640"/>
      <c r="X19" s="640"/>
      <c r="Y19" s="142">
        <v>30</v>
      </c>
      <c r="Z19" s="143">
        <f t="shared" si="10"/>
        <v>30</v>
      </c>
      <c r="AA19" s="144">
        <f t="shared" si="2"/>
        <v>60</v>
      </c>
      <c r="AB19" s="145">
        <f t="shared" si="3"/>
        <v>215.96111025819999</v>
      </c>
      <c r="AC19" s="145">
        <f>+(S19-T19)*V19-'data 1'!$F$4</f>
        <v>41.253</v>
      </c>
      <c r="AD19" s="145">
        <f t="shared" si="4"/>
        <v>-3.6918613932754756</v>
      </c>
      <c r="AE19" s="145">
        <f t="shared" si="9"/>
        <v>-3.8619999999999948</v>
      </c>
      <c r="AF19" s="145">
        <f t="shared" si="5"/>
        <v>-12.331564001892511</v>
      </c>
      <c r="AG19" s="145">
        <f t="shared" si="12"/>
        <v>21.367574604832022</v>
      </c>
      <c r="AH19" s="146">
        <f t="shared" si="6"/>
        <v>38.703987509905531</v>
      </c>
      <c r="AI19" s="659">
        <f t="shared" si="11"/>
        <v>35.5269699215755</v>
      </c>
      <c r="AJ19" s="156">
        <f t="shared" si="7"/>
        <v>40.317373773853028</v>
      </c>
      <c r="AK19" s="661"/>
      <c r="AL19" s="148">
        <f t="shared" si="8"/>
        <v>1741.8116588709347</v>
      </c>
    </row>
    <row r="20" spans="1:38" ht="15.75" customHeight="1">
      <c r="A20" s="134" t="s">
        <v>114</v>
      </c>
      <c r="B20" s="135">
        <v>45572</v>
      </c>
      <c r="C20" s="638">
        <v>45571</v>
      </c>
      <c r="D20" s="640" t="s">
        <v>93</v>
      </c>
      <c r="E20" s="640">
        <v>20169040237</v>
      </c>
      <c r="F20" s="142" t="s">
        <v>113</v>
      </c>
      <c r="G20" s="641">
        <v>100</v>
      </c>
      <c r="H20" s="640" t="s">
        <v>69</v>
      </c>
      <c r="I20" s="644">
        <v>9.9600000000000009</v>
      </c>
      <c r="J20" s="644">
        <v>0.8</v>
      </c>
      <c r="K20" s="138">
        <f t="shared" si="0"/>
        <v>9.8803200000000011</v>
      </c>
      <c r="L20" s="646">
        <v>0.22500000000000001</v>
      </c>
      <c r="M20" s="646">
        <v>0.21199999999999999</v>
      </c>
      <c r="N20" s="650">
        <v>0.22800000000000001</v>
      </c>
      <c r="O20" s="141">
        <f t="shared" si="1"/>
        <v>0.22</v>
      </c>
      <c r="P20" s="154">
        <v>90</v>
      </c>
      <c r="Q20" s="143">
        <v>89.52</v>
      </c>
      <c r="R20" s="151">
        <v>2639.73</v>
      </c>
      <c r="S20" s="641">
        <v>120</v>
      </c>
      <c r="T20" s="640"/>
      <c r="U20" s="640">
        <v>130</v>
      </c>
      <c r="V20" s="640">
        <v>1.1023000000000001</v>
      </c>
      <c r="W20" s="640"/>
      <c r="X20" s="640"/>
      <c r="Y20" s="142">
        <v>30</v>
      </c>
      <c r="Z20" s="143">
        <f t="shared" si="10"/>
        <v>30</v>
      </c>
      <c r="AA20" s="144">
        <f t="shared" si="2"/>
        <v>60</v>
      </c>
      <c r="AB20" s="145">
        <f t="shared" si="3"/>
        <v>349.34812504200005</v>
      </c>
      <c r="AC20" s="145">
        <f>+(S20-T20)*V20-'data 1'!$F$4</f>
        <v>52.27600000000001</v>
      </c>
      <c r="AD20" s="145">
        <f t="shared" si="4"/>
        <v>-2.9877934093200254</v>
      </c>
      <c r="AE20" s="145">
        <f t="shared" si="9"/>
        <v>-3.8619999999999948</v>
      </c>
      <c r="AF20" s="145">
        <f t="shared" si="5"/>
        <v>12.382743796404011</v>
      </c>
      <c r="AG20" s="145">
        <f t="shared" si="12"/>
        <v>57.808950387083996</v>
      </c>
      <c r="AH20" s="146">
        <f t="shared" si="6"/>
        <v>68.231146911101817</v>
      </c>
      <c r="AI20" s="659">
        <f t="shared" si="11"/>
        <v>51.125758001819996</v>
      </c>
      <c r="AJ20" s="156">
        <f t="shared" si="7"/>
        <v>67.072619841118865</v>
      </c>
      <c r="AK20" s="661"/>
      <c r="AL20" s="148">
        <f t="shared" si="8"/>
        <v>3451.6712668149744</v>
      </c>
    </row>
    <row r="21" spans="1:38" ht="15.75" customHeight="1">
      <c r="A21" s="134" t="s">
        <v>115</v>
      </c>
      <c r="B21" s="135">
        <v>45572</v>
      </c>
      <c r="C21" s="135">
        <v>45571</v>
      </c>
      <c r="D21" s="142" t="s">
        <v>93</v>
      </c>
      <c r="E21" s="142">
        <v>20169040237</v>
      </c>
      <c r="F21" s="142" t="s">
        <v>113</v>
      </c>
      <c r="G21" s="132">
        <v>48</v>
      </c>
      <c r="H21" s="142" t="s">
        <v>116</v>
      </c>
      <c r="I21" s="143">
        <v>5.1100000000000003</v>
      </c>
      <c r="J21" s="143">
        <v>1.1000000000000001</v>
      </c>
      <c r="K21" s="138">
        <f t="shared" si="0"/>
        <v>5.0537900000000002</v>
      </c>
      <c r="L21" s="141">
        <v>0.121</v>
      </c>
      <c r="M21" s="141">
        <v>0.11600000000000001</v>
      </c>
      <c r="N21" s="157">
        <v>0.11600000000000001</v>
      </c>
      <c r="O21" s="141">
        <f t="shared" si="1"/>
        <v>0.11600000000000001</v>
      </c>
      <c r="P21" s="154">
        <v>90</v>
      </c>
      <c r="Q21" s="143">
        <v>89.08</v>
      </c>
      <c r="R21" s="151">
        <v>2639.73</v>
      </c>
      <c r="S21" s="132">
        <v>110</v>
      </c>
      <c r="T21" s="142"/>
      <c r="U21" s="142">
        <v>130</v>
      </c>
      <c r="V21" s="142">
        <v>1.1023000000000001</v>
      </c>
      <c r="W21" s="142"/>
      <c r="X21" s="142"/>
      <c r="Y21" s="142">
        <v>30</v>
      </c>
      <c r="Z21" s="143">
        <f t="shared" si="10"/>
        <v>30</v>
      </c>
      <c r="AA21" s="144">
        <f t="shared" si="2"/>
        <v>60</v>
      </c>
      <c r="AB21" s="145">
        <f t="shared" si="3"/>
        <v>101.42902956760005</v>
      </c>
      <c r="AC21" s="145">
        <f>+(S21-T21)*V21-'data 1'!$F$4</f>
        <v>41.253</v>
      </c>
      <c r="AD21" s="145">
        <f t="shared" si="4"/>
        <v>-3.0796403919028061</v>
      </c>
      <c r="AE21" s="145">
        <f t="shared" si="9"/>
        <v>-3.8619999999999948</v>
      </c>
      <c r="AF21" s="145">
        <f t="shared" si="5"/>
        <v>12.321881338065978</v>
      </c>
      <c r="AG21" s="145">
        <f t="shared" si="12"/>
        <v>46.633240946163177</v>
      </c>
      <c r="AH21" s="146">
        <f t="shared" si="6"/>
        <v>18.676342928055178</v>
      </c>
      <c r="AI21" s="659">
        <f t="shared" si="11"/>
        <v>27.359159232402799</v>
      </c>
      <c r="AJ21" s="156">
        <f t="shared" si="7"/>
        <v>18.089508192923073</v>
      </c>
      <c r="AK21" s="133"/>
      <c r="AL21" s="148">
        <f t="shared" si="8"/>
        <v>512.60101533844147</v>
      </c>
    </row>
    <row r="22" spans="1:38" ht="15.75" customHeight="1">
      <c r="A22" s="134" t="s">
        <v>117</v>
      </c>
      <c r="B22" s="135">
        <v>45572</v>
      </c>
      <c r="C22" s="135">
        <v>45571</v>
      </c>
      <c r="D22" s="142" t="s">
        <v>93</v>
      </c>
      <c r="E22" s="142">
        <v>20169040237</v>
      </c>
      <c r="F22" s="142" t="s">
        <v>113</v>
      </c>
      <c r="G22" s="132">
        <v>50</v>
      </c>
      <c r="H22" s="142" t="s">
        <v>116</v>
      </c>
      <c r="I22" s="143">
        <v>5.33</v>
      </c>
      <c r="J22" s="143">
        <v>1.2</v>
      </c>
      <c r="K22" s="138">
        <f t="shared" si="0"/>
        <v>5.2660400000000003</v>
      </c>
      <c r="L22" s="141">
        <v>0.125</v>
      </c>
      <c r="M22" s="141">
        <v>0.12</v>
      </c>
      <c r="N22" s="153">
        <v>0.13200000000000001</v>
      </c>
      <c r="O22" s="141">
        <f t="shared" si="1"/>
        <v>0.126</v>
      </c>
      <c r="P22" s="154">
        <v>90</v>
      </c>
      <c r="Q22" s="143">
        <v>89.44</v>
      </c>
      <c r="R22" s="151">
        <v>2639.73</v>
      </c>
      <c r="S22" s="132">
        <v>110</v>
      </c>
      <c r="T22" s="142"/>
      <c r="U22" s="142">
        <v>130</v>
      </c>
      <c r="V22" s="142">
        <v>1.1023000000000001</v>
      </c>
      <c r="W22" s="142"/>
      <c r="X22" s="142"/>
      <c r="Y22" s="142">
        <v>30</v>
      </c>
      <c r="Z22" s="143">
        <f t="shared" si="10"/>
        <v>30</v>
      </c>
      <c r="AA22" s="144">
        <f t="shared" si="2"/>
        <v>60</v>
      </c>
      <c r="AB22" s="145">
        <f t="shared" si="3"/>
        <v>126.32730797860002</v>
      </c>
      <c r="AC22" s="145">
        <f>+(S22-T22)*V22-'data 1'!$F$4</f>
        <v>41.253</v>
      </c>
      <c r="AD22" s="145">
        <f t="shared" si="4"/>
        <v>-1.9365327653000082</v>
      </c>
      <c r="AE22" s="145">
        <f t="shared" si="9"/>
        <v>-3.8619999999999948</v>
      </c>
      <c r="AF22" s="145">
        <f t="shared" si="5"/>
        <v>-2.4743355789776023</v>
      </c>
      <c r="AG22" s="145">
        <f t="shared" si="12"/>
        <v>32.980131655722396</v>
      </c>
      <c r="AH22" s="146">
        <f t="shared" si="6"/>
        <v>20.1852915423467</v>
      </c>
      <c r="AI22" s="659">
        <f t="shared" si="11"/>
        <v>28.377816227799993</v>
      </c>
      <c r="AJ22" s="156">
        <f t="shared" si="7"/>
        <v>20.474168702165617</v>
      </c>
      <c r="AK22" s="133"/>
      <c r="AL22" s="148">
        <f t="shared" si="8"/>
        <v>665.2446569076269</v>
      </c>
    </row>
    <row r="23" spans="1:38" ht="15.75" customHeight="1">
      <c r="A23" s="134" t="s">
        <v>118</v>
      </c>
      <c r="B23" s="135">
        <v>45573</v>
      </c>
      <c r="C23" s="637">
        <v>45571</v>
      </c>
      <c r="D23" s="639" t="s">
        <v>119</v>
      </c>
      <c r="E23" s="639">
        <v>10082235774</v>
      </c>
      <c r="F23" s="639"/>
      <c r="G23" s="642">
        <v>64</v>
      </c>
      <c r="H23" s="639" t="s">
        <v>69</v>
      </c>
      <c r="I23" s="643">
        <v>5.15</v>
      </c>
      <c r="J23" s="643">
        <v>0.7</v>
      </c>
      <c r="K23" s="138">
        <f t="shared" si="0"/>
        <v>5.11395</v>
      </c>
      <c r="L23" s="645">
        <v>0.39300000000000002</v>
      </c>
      <c r="M23" s="645">
        <v>0.373</v>
      </c>
      <c r="N23" s="649">
        <v>0.373</v>
      </c>
      <c r="O23" s="141">
        <f t="shared" si="1"/>
        <v>0.373</v>
      </c>
      <c r="P23" s="154">
        <v>90</v>
      </c>
      <c r="Q23" s="143">
        <v>89.74</v>
      </c>
      <c r="R23" s="151">
        <v>2640.95</v>
      </c>
      <c r="S23" s="642">
        <v>110</v>
      </c>
      <c r="T23" s="639"/>
      <c r="U23" s="639">
        <v>80</v>
      </c>
      <c r="V23" s="639">
        <v>1.1023000000000001</v>
      </c>
      <c r="W23" s="639"/>
      <c r="X23" s="639"/>
      <c r="Y23" s="142">
        <v>30</v>
      </c>
      <c r="Z23" s="160">
        <v>10</v>
      </c>
      <c r="AA23" s="144">
        <f t="shared" si="2"/>
        <v>40</v>
      </c>
      <c r="AB23" s="145">
        <f t="shared" si="3"/>
        <v>782.31434160449999</v>
      </c>
      <c r="AC23" s="145">
        <f>+(S23-T23)*V23-'data 1'!$F$4</f>
        <v>41.253</v>
      </c>
      <c r="AD23" s="145">
        <f t="shared" si="4"/>
        <v>-2.8844751720330573</v>
      </c>
      <c r="AE23" s="145">
        <f t="shared" si="9"/>
        <v>-25.907999999999998</v>
      </c>
      <c r="AF23" s="145">
        <f t="shared" si="5"/>
        <v>50.666040700380044</v>
      </c>
      <c r="AG23" s="145">
        <f>+IF(D23="RONALD WILLIAN GARIBAY ESCUDERO",AC23+AD23+AE23+AF23+80,AC23+AD23+AE23+AF23)+90</f>
        <v>153.12656552834699</v>
      </c>
      <c r="AH23" s="146">
        <f t="shared" si="6"/>
        <v>61.836394953020772</v>
      </c>
      <c r="AI23" s="659">
        <f t="shared" si="11"/>
        <v>69.606973053933075</v>
      </c>
      <c r="AJ23" s="156">
        <f t="shared" si="7"/>
        <v>58.859543305282472</v>
      </c>
      <c r="AK23" s="660"/>
      <c r="AL23" s="148">
        <f t="shared" si="8"/>
        <v>4000.7164272483328</v>
      </c>
    </row>
    <row r="24" spans="1:38" ht="15.75" customHeight="1">
      <c r="A24" s="134" t="s">
        <v>120</v>
      </c>
      <c r="B24" s="135">
        <v>45573</v>
      </c>
      <c r="C24" s="637">
        <v>45571</v>
      </c>
      <c r="D24" s="630" t="s">
        <v>119</v>
      </c>
      <c r="E24" s="630">
        <v>10082235774</v>
      </c>
      <c r="F24" s="631"/>
      <c r="G24" s="642">
        <v>56</v>
      </c>
      <c r="H24" s="630" t="s">
        <v>69</v>
      </c>
      <c r="I24" s="643">
        <v>4.75</v>
      </c>
      <c r="J24" s="643">
        <v>0.85</v>
      </c>
      <c r="K24" s="138">
        <f t="shared" si="0"/>
        <v>4.709625</v>
      </c>
      <c r="L24" s="645">
        <v>0.191</v>
      </c>
      <c r="M24" s="645">
        <v>0.18099999999999999</v>
      </c>
      <c r="N24" s="647">
        <v>0.20300000000000001</v>
      </c>
      <c r="O24" s="141">
        <f t="shared" si="1"/>
        <v>0.192</v>
      </c>
      <c r="P24" s="154">
        <v>85</v>
      </c>
      <c r="Q24" s="143">
        <v>89.16</v>
      </c>
      <c r="R24" s="151">
        <v>2640.95</v>
      </c>
      <c r="S24" s="642">
        <v>95</v>
      </c>
      <c r="T24" s="631"/>
      <c r="U24" s="639">
        <v>80</v>
      </c>
      <c r="V24" s="630">
        <v>1.1023000000000001</v>
      </c>
      <c r="W24" s="631"/>
      <c r="X24" s="631"/>
      <c r="Y24" s="142">
        <v>30</v>
      </c>
      <c r="Z24" s="160">
        <v>10</v>
      </c>
      <c r="AA24" s="144">
        <f t="shared" si="2"/>
        <v>40</v>
      </c>
      <c r="AB24" s="145">
        <f t="shared" si="3"/>
        <v>311.89252219199994</v>
      </c>
      <c r="AC24" s="145">
        <f>+(S24-T24)*V24-'data 1'!$F$4</f>
        <v>24.718500000000006</v>
      </c>
      <c r="AD24" s="145">
        <f t="shared" si="4"/>
        <v>22.429913805935982</v>
      </c>
      <c r="AE24" s="145">
        <f t="shared" si="9"/>
        <v>-25.907999999999998</v>
      </c>
      <c r="AF24" s="145">
        <f t="shared" si="5"/>
        <v>-2.5169290109460025</v>
      </c>
      <c r="AG24" s="145">
        <f>+IF(D24="RONALD WILLIAN GARIBAY ESCUDERO",AC24+AD24+AE24+AF24+80,AC24+AD24+AE24+AF24)+90</f>
        <v>108.72348479498999</v>
      </c>
      <c r="AH24" s="146">
        <f t="shared" si="6"/>
        <v>27.497855440544249</v>
      </c>
      <c r="AI24" s="659">
        <f t="shared" si="11"/>
        <v>33.61070018051403</v>
      </c>
      <c r="AJ24" s="156">
        <f t="shared" si="7"/>
        <v>26.35211953742094</v>
      </c>
      <c r="AK24" s="660"/>
      <c r="AL24" s="148">
        <f t="shared" si="8"/>
        <v>1468.8968198284977</v>
      </c>
    </row>
    <row r="25" spans="1:38" ht="15.75" customHeight="1">
      <c r="A25" s="134" t="s">
        <v>121</v>
      </c>
      <c r="B25" s="135">
        <v>45573</v>
      </c>
      <c r="C25" s="136">
        <v>45571</v>
      </c>
      <c r="D25" s="79" t="s">
        <v>119</v>
      </c>
      <c r="E25" s="79">
        <v>10082235774</v>
      </c>
      <c r="G25" s="80">
        <v>72</v>
      </c>
      <c r="H25" s="79" t="s">
        <v>69</v>
      </c>
      <c r="I25" s="137">
        <v>6.08</v>
      </c>
      <c r="J25" s="137">
        <v>1.45</v>
      </c>
      <c r="K25" s="138">
        <f t="shared" si="0"/>
        <v>5.9918399999999998</v>
      </c>
      <c r="L25" s="139">
        <v>0.21199999999999999</v>
      </c>
      <c r="M25" s="139">
        <v>0.20100000000000001</v>
      </c>
      <c r="N25" s="159">
        <v>0.20100000000000001</v>
      </c>
      <c r="O25" s="141">
        <f t="shared" si="1"/>
        <v>0.20100000000000001</v>
      </c>
      <c r="P25" s="154">
        <v>90</v>
      </c>
      <c r="Q25" s="143">
        <v>89.66</v>
      </c>
      <c r="R25" s="151">
        <v>2640.95</v>
      </c>
      <c r="S25" s="80">
        <v>105</v>
      </c>
      <c r="U25" s="6">
        <v>80</v>
      </c>
      <c r="V25" s="79">
        <v>1.1023000000000001</v>
      </c>
      <c r="Y25" s="142">
        <v>30</v>
      </c>
      <c r="Z25" s="160">
        <v>10</v>
      </c>
      <c r="AA25" s="144">
        <f t="shared" si="2"/>
        <v>40</v>
      </c>
      <c r="AB25" s="145">
        <f t="shared" si="3"/>
        <v>350.83547496649993</v>
      </c>
      <c r="AC25" s="145">
        <f>+(S25-T25)*V25-'data 1'!$F$4</f>
        <v>35.741500000000002</v>
      </c>
      <c r="AD25" s="145">
        <f t="shared" si="4"/>
        <v>-2.0347716813480203</v>
      </c>
      <c r="AE25" s="145">
        <f t="shared" si="9"/>
        <v>-25.907999999999998</v>
      </c>
      <c r="AF25" s="145">
        <f t="shared" si="5"/>
        <v>27.841480555580958</v>
      </c>
      <c r="AG25" s="145">
        <f>+IF(D25="RONALD WILLIAN GARIBAY ESCUDERO",AC25+AD25+AE25+AF25+80,AC25+AD25+AE25+AF25)+90</f>
        <v>125.64020887423294</v>
      </c>
      <c r="AH25" s="146">
        <f t="shared" si="6"/>
        <v>39.048456570082337</v>
      </c>
      <c r="AI25" s="659">
        <f t="shared" si="11"/>
        <v>37.51532630174804</v>
      </c>
      <c r="AJ25" s="156">
        <f t="shared" si="7"/>
        <v>37.162750019612325</v>
      </c>
      <c r="AK25" s="88"/>
      <c r="AL25" s="148">
        <f t="shared" si="8"/>
        <v>2102.1500323232731</v>
      </c>
    </row>
    <row r="26" spans="1:38" ht="15.75" customHeight="1">
      <c r="A26" s="134" t="s">
        <v>122</v>
      </c>
      <c r="B26" s="135">
        <v>45573</v>
      </c>
      <c r="C26" s="136">
        <v>45571</v>
      </c>
      <c r="D26" s="6" t="s">
        <v>119</v>
      </c>
      <c r="E26" s="6">
        <v>10082235774</v>
      </c>
      <c r="F26" s="6"/>
      <c r="G26" s="80">
        <v>38</v>
      </c>
      <c r="H26" s="6" t="s">
        <v>69</v>
      </c>
      <c r="I26" s="137">
        <v>3.32</v>
      </c>
      <c r="J26" s="137">
        <v>0.9</v>
      </c>
      <c r="K26" s="138">
        <f t="shared" si="0"/>
        <v>3.2901199999999999</v>
      </c>
      <c r="L26" s="139">
        <v>0.32400000000000001</v>
      </c>
      <c r="M26" s="139">
        <v>0.307</v>
      </c>
      <c r="N26" s="159">
        <v>0.307</v>
      </c>
      <c r="O26" s="141">
        <f t="shared" si="1"/>
        <v>0.307</v>
      </c>
      <c r="P26" s="154">
        <v>90</v>
      </c>
      <c r="Q26" s="143">
        <v>89.47</v>
      </c>
      <c r="R26" s="151">
        <v>2640.95</v>
      </c>
      <c r="S26" s="80">
        <v>110</v>
      </c>
      <c r="T26" s="6"/>
      <c r="U26" s="6">
        <v>80</v>
      </c>
      <c r="V26" s="6">
        <v>1.1023000000000001</v>
      </c>
      <c r="W26" s="6"/>
      <c r="X26" s="6"/>
      <c r="Y26" s="142">
        <v>30</v>
      </c>
      <c r="Z26" s="160">
        <v>10</v>
      </c>
      <c r="AA26" s="144">
        <f t="shared" si="2"/>
        <v>40</v>
      </c>
      <c r="AB26" s="145">
        <f t="shared" si="3"/>
        <v>614.63199161549994</v>
      </c>
      <c r="AC26" s="145">
        <f>+(S26-T26)*V26-'data 1'!$F$4</f>
        <v>41.253</v>
      </c>
      <c r="AD26" s="145">
        <f t="shared" si="4"/>
        <v>-4.8475442996820099</v>
      </c>
      <c r="AE26" s="145">
        <f t="shared" si="9"/>
        <v>-25.907999999999998</v>
      </c>
      <c r="AF26" s="145">
        <f t="shared" si="5"/>
        <v>42.936561870331531</v>
      </c>
      <c r="AG26" s="145">
        <f>+IF(D26="RONALD WILLIAN GARIBAY ESCUDERO",AC26+AD26+AE26+AF26+80,AC26+AD26+AE26+AF26)+90</f>
        <v>143.43401757064953</v>
      </c>
      <c r="AH26" s="146">
        <f t="shared" si="6"/>
        <v>32.699661353612015</v>
      </c>
      <c r="AI26" s="659">
        <f t="shared" si="11"/>
        <v>57.213244959282065</v>
      </c>
      <c r="AJ26" s="156">
        <f t="shared" si="7"/>
        <v>31.167480209253537</v>
      </c>
      <c r="AK26" s="88"/>
      <c r="AL26" s="148">
        <f t="shared" si="8"/>
        <v>2022.2130082539886</v>
      </c>
    </row>
    <row r="27" spans="1:38" ht="15.75" customHeight="1">
      <c r="A27" s="134" t="s">
        <v>123</v>
      </c>
      <c r="B27" s="135">
        <v>45573</v>
      </c>
      <c r="C27" s="136">
        <v>45571</v>
      </c>
      <c r="D27" s="6" t="s">
        <v>119</v>
      </c>
      <c r="E27" s="6">
        <v>10082235774</v>
      </c>
      <c r="F27" s="6"/>
      <c r="G27" s="80">
        <v>30</v>
      </c>
      <c r="H27" s="6" t="s">
        <v>69</v>
      </c>
      <c r="I27" s="137">
        <v>2.6</v>
      </c>
      <c r="J27" s="137">
        <v>1.25</v>
      </c>
      <c r="K27" s="138">
        <f t="shared" si="0"/>
        <v>2.5674999999999999</v>
      </c>
      <c r="L27" s="139">
        <v>0.17199999999999999</v>
      </c>
      <c r="M27" s="139">
        <v>0.16300000000000001</v>
      </c>
      <c r="N27" s="159">
        <v>0.2</v>
      </c>
      <c r="O27" s="141">
        <f t="shared" si="1"/>
        <v>0.182</v>
      </c>
      <c r="P27" s="154">
        <v>85</v>
      </c>
      <c r="Q27" s="143">
        <v>89.12</v>
      </c>
      <c r="R27" s="151">
        <v>2640.95</v>
      </c>
      <c r="S27" s="80">
        <v>95</v>
      </c>
      <c r="T27" s="6"/>
      <c r="U27" s="6">
        <v>80</v>
      </c>
      <c r="V27" s="6">
        <v>1.1023000000000001</v>
      </c>
      <c r="W27" s="6"/>
      <c r="X27" s="6"/>
      <c r="Y27" s="142">
        <v>30</v>
      </c>
      <c r="Z27" s="160">
        <v>10</v>
      </c>
      <c r="AA27" s="144">
        <f t="shared" si="2"/>
        <v>40</v>
      </c>
      <c r="AB27" s="145">
        <f t="shared" si="3"/>
        <v>287.89757311949995</v>
      </c>
      <c r="AC27" s="145">
        <f>+(S27-T27)*V27-'data 1'!$F$4</f>
        <v>24.718500000000006</v>
      </c>
      <c r="AD27" s="145">
        <f t="shared" si="4"/>
        <v>20.004447894984018</v>
      </c>
      <c r="AE27" s="145">
        <f t="shared" si="9"/>
        <v>-25.907999999999998</v>
      </c>
      <c r="AF27" s="145">
        <f t="shared" si="5"/>
        <v>-25.157998368720026</v>
      </c>
      <c r="AG27" s="145">
        <f>+IF(D27="RONALD WILLIAN GARIBAY ESCUDERO",AC27+AD27+AE27+AF27+80,AC27+AD27+AE27+AF27)+90</f>
        <v>83.656949526264</v>
      </c>
      <c r="AH27" s="146">
        <f t="shared" si="6"/>
        <v>13.493454417176956</v>
      </c>
      <c r="AI27" s="659">
        <f t="shared" si="11"/>
        <v>30.253648550816028</v>
      </c>
      <c r="AJ27" s="156">
        <f t="shared" si="7"/>
        <v>13.617890421702612</v>
      </c>
      <c r="AK27" s="88"/>
      <c r="AL27" s="148">
        <f t="shared" si="8"/>
        <v>739.17701898431608</v>
      </c>
    </row>
    <row r="28" spans="1:38" ht="15.75" customHeight="1">
      <c r="A28" s="134" t="s">
        <v>124</v>
      </c>
      <c r="B28" s="135">
        <v>45575</v>
      </c>
      <c r="C28" s="638">
        <v>45572</v>
      </c>
      <c r="D28" s="640" t="s">
        <v>125</v>
      </c>
      <c r="E28" s="640">
        <v>10310367091</v>
      </c>
      <c r="F28" s="640" t="s">
        <v>126</v>
      </c>
      <c r="G28" s="641" t="s">
        <v>68</v>
      </c>
      <c r="H28" s="640" t="s">
        <v>69</v>
      </c>
      <c r="I28" s="644">
        <v>29.37</v>
      </c>
      <c r="J28" s="644">
        <v>13.12</v>
      </c>
      <c r="K28" s="138">
        <f t="shared" si="0"/>
        <v>25.516656000000001</v>
      </c>
      <c r="L28" s="646">
        <v>0.76400000000000001</v>
      </c>
      <c r="M28" s="646">
        <v>0.72499999999999998</v>
      </c>
      <c r="N28" s="650">
        <v>0.75700000000000001</v>
      </c>
      <c r="O28" s="141">
        <f t="shared" si="1"/>
        <v>0.74099999999999999</v>
      </c>
      <c r="P28" s="154">
        <v>90</v>
      </c>
      <c r="Q28" s="142">
        <v>89.27</v>
      </c>
      <c r="R28" s="151">
        <v>2640.95</v>
      </c>
      <c r="S28" s="641">
        <v>160</v>
      </c>
      <c r="T28" s="640"/>
      <c r="U28" s="640">
        <v>100</v>
      </c>
      <c r="V28" s="640">
        <v>1.1023000000000001</v>
      </c>
      <c r="W28" s="640"/>
      <c r="X28" s="640"/>
      <c r="Y28" s="142"/>
      <c r="Z28" s="143">
        <f t="shared" ref="Z28:Z39" si="13">IF(IF(D28="UNTUCA",IF(+((W28-3)*1.5+(X28-3)*3.1)&gt;0,+((W28-3)*1.5+(X28-3)*3.1),0),IF(+((W28-3)*1.5+(X28-3)*3.1)&gt;0,+((W28-3)*1.5+(X28-3)*3.1),0))&lt;30,30,IF(D28="UNTUCA",IF(+((W28-3)*1.5+(X28-3)*3.1)&gt;0,+((W28-3)*1.5+(X28-3)*3.1),0),IF(+((W28-3)*1.5+(X28-3)*3.1)&gt;0,+((W28-3)*1.5+(X28-3)*3.1),0)))</f>
        <v>30</v>
      </c>
      <c r="AA28" s="144">
        <f t="shared" si="2"/>
        <v>30</v>
      </c>
      <c r="AB28" s="145">
        <f t="shared" si="3"/>
        <v>1658.4759974765</v>
      </c>
      <c r="AC28" s="145">
        <f>+(S28-T28)*V28-'data 1'!$F$4</f>
        <v>96.367999999999995</v>
      </c>
      <c r="AD28" s="145">
        <f t="shared" si="4"/>
        <v>-15.621119162582085</v>
      </c>
      <c r="AE28" s="145">
        <f t="shared" si="9"/>
        <v>-36.930999999999997</v>
      </c>
      <c r="AF28" s="145">
        <f t="shared" si="5"/>
        <v>57.508136835338547</v>
      </c>
      <c r="AG28" s="145">
        <f t="shared" ref="AG28:AG50" si="14">+IF(D28="RONALD WILLIAN GARIBAY ESCUDERO",AC28+AD28+AE28+AF28+80,AC28+AD28+AE28+AF28)</f>
        <v>101.32401767275645</v>
      </c>
      <c r="AH28" s="146">
        <f t="shared" si="6"/>
        <v>596.66659128500351</v>
      </c>
      <c r="AI28" s="659">
        <f t="shared" si="11"/>
        <v>149.64454244218214</v>
      </c>
      <c r="AJ28" s="156">
        <f t="shared" si="7"/>
        <v>583.43643310453695</v>
      </c>
      <c r="AK28" s="661"/>
      <c r="AL28" s="148">
        <f t="shared" si="8"/>
        <v>42318.761511864723</v>
      </c>
    </row>
    <row r="29" spans="1:38" ht="15.75" customHeight="1">
      <c r="A29" s="134" t="s">
        <v>127</v>
      </c>
      <c r="B29" s="135">
        <v>45575</v>
      </c>
      <c r="C29" s="638">
        <v>45573</v>
      </c>
      <c r="D29" s="640" t="s">
        <v>125</v>
      </c>
      <c r="E29" s="640">
        <v>10310367091</v>
      </c>
      <c r="F29" s="640" t="s">
        <v>126</v>
      </c>
      <c r="G29" s="641" t="s">
        <v>68</v>
      </c>
      <c r="H29" s="640" t="s">
        <v>69</v>
      </c>
      <c r="I29" s="644">
        <v>36.51</v>
      </c>
      <c r="J29" s="644">
        <v>13.5</v>
      </c>
      <c r="K29" s="138">
        <f t="shared" si="0"/>
        <v>31.581149999999997</v>
      </c>
      <c r="L29" s="646">
        <v>0.999</v>
      </c>
      <c r="M29" s="646">
        <v>0.94899999999999995</v>
      </c>
      <c r="N29" s="650">
        <v>0.98799999999999999</v>
      </c>
      <c r="O29" s="141">
        <f t="shared" si="1"/>
        <v>0.96899999999999997</v>
      </c>
      <c r="P29" s="154">
        <v>90</v>
      </c>
      <c r="Q29" s="142">
        <v>89.13</v>
      </c>
      <c r="R29" s="151">
        <v>2639.9</v>
      </c>
      <c r="S29" s="641">
        <v>180</v>
      </c>
      <c r="T29" s="640"/>
      <c r="U29" s="640">
        <v>100</v>
      </c>
      <c r="V29" s="640">
        <v>1.1023000000000001</v>
      </c>
      <c r="W29" s="640"/>
      <c r="X29" s="640"/>
      <c r="Y29" s="142"/>
      <c r="Z29" s="143">
        <f t="shared" si="13"/>
        <v>30</v>
      </c>
      <c r="AA29" s="144">
        <f t="shared" si="2"/>
        <v>30</v>
      </c>
      <c r="AB29" s="145">
        <f t="shared" si="3"/>
        <v>2210.1630766170001</v>
      </c>
      <c r="AC29" s="145">
        <f>+(S29-T29)*V29-'data 1'!$F$4</f>
        <v>118.41400000000002</v>
      </c>
      <c r="AD29" s="145">
        <f t="shared" si="4"/>
        <v>-24.333308732601125</v>
      </c>
      <c r="AE29" s="145">
        <f t="shared" si="9"/>
        <v>-36.930999999999997</v>
      </c>
      <c r="AF29" s="145">
        <f t="shared" si="5"/>
        <v>74.86202779803007</v>
      </c>
      <c r="AG29" s="145">
        <f t="shared" si="14"/>
        <v>132.01171906542896</v>
      </c>
      <c r="AH29" s="146">
        <f t="shared" si="6"/>
        <v>964.10959361495566</v>
      </c>
      <c r="AI29" s="659">
        <f t="shared" si="11"/>
        <v>196.3976517530009</v>
      </c>
      <c r="AJ29" s="156">
        <f t="shared" si="7"/>
        <v>944.28544621318588</v>
      </c>
      <c r="AK29" s="661"/>
      <c r="AL29" s="148">
        <f t="shared" si="8"/>
        <v>69799.491647102972</v>
      </c>
    </row>
    <row r="30" spans="1:38" ht="15.75" customHeight="1">
      <c r="A30" s="134" t="s">
        <v>128</v>
      </c>
      <c r="B30" s="135">
        <v>45575</v>
      </c>
      <c r="C30" s="135">
        <v>45573</v>
      </c>
      <c r="D30" s="630" t="s">
        <v>129</v>
      </c>
      <c r="E30" s="630">
        <v>10423109730</v>
      </c>
      <c r="F30" s="639"/>
      <c r="G30" s="642">
        <v>38</v>
      </c>
      <c r="H30" s="630" t="s">
        <v>69</v>
      </c>
      <c r="I30" s="643">
        <v>4.1500000000000004</v>
      </c>
      <c r="J30" s="643">
        <v>0.9</v>
      </c>
      <c r="K30" s="138">
        <f t="shared" si="0"/>
        <v>4.1126500000000004</v>
      </c>
      <c r="L30" s="645">
        <v>0.38400000000000001</v>
      </c>
      <c r="M30" s="645">
        <v>0.36499999999999999</v>
      </c>
      <c r="N30" s="649">
        <v>0.36499999999999999</v>
      </c>
      <c r="O30" s="141">
        <f t="shared" si="1"/>
        <v>0.36499999999999999</v>
      </c>
      <c r="P30" s="154">
        <v>90</v>
      </c>
      <c r="Q30" s="639">
        <v>89.78</v>
      </c>
      <c r="R30" s="151">
        <v>2639.9</v>
      </c>
      <c r="S30" s="642">
        <v>120</v>
      </c>
      <c r="T30" s="631"/>
      <c r="U30" s="142">
        <v>100</v>
      </c>
      <c r="V30" s="630">
        <v>1.1023000000000001</v>
      </c>
      <c r="W30" s="631"/>
      <c r="X30" s="631"/>
      <c r="Y30" s="142"/>
      <c r="Z30" s="143">
        <f t="shared" si="13"/>
        <v>30</v>
      </c>
      <c r="AA30" s="144">
        <f t="shared" si="2"/>
        <v>30</v>
      </c>
      <c r="AB30" s="145">
        <f t="shared" si="3"/>
        <v>754.3668864450002</v>
      </c>
      <c r="AC30" s="145">
        <f>+(S30-T30)*V30-'data 1'!$F$4</f>
        <v>52.27600000000001</v>
      </c>
      <c r="AD30" s="145">
        <f t="shared" si="4"/>
        <v>-2.3652133992959881</v>
      </c>
      <c r="AE30" s="145">
        <f t="shared" si="9"/>
        <v>-36.930999999999997</v>
      </c>
      <c r="AF30" s="145">
        <f t="shared" si="5"/>
        <v>47.758384479014047</v>
      </c>
      <c r="AG30" s="145">
        <f t="shared" si="14"/>
        <v>140.73817107971809</v>
      </c>
      <c r="AH30" s="146">
        <f t="shared" si="6"/>
        <v>48.611793670997315</v>
      </c>
      <c r="AI30" s="659">
        <f t="shared" si="11"/>
        <v>76.04273375769597</v>
      </c>
      <c r="AJ30" s="156">
        <f t="shared" si="7"/>
        <v>46.319748682318981</v>
      </c>
      <c r="AK30" s="660"/>
      <c r="AL30" s="148">
        <f t="shared" si="8"/>
        <v>3102.4469755380305</v>
      </c>
    </row>
    <row r="31" spans="1:38" ht="15.75" customHeight="1">
      <c r="A31" s="134" t="s">
        <v>130</v>
      </c>
      <c r="B31" s="135">
        <v>45575</v>
      </c>
      <c r="C31" s="135">
        <v>45573</v>
      </c>
      <c r="D31" s="639" t="s">
        <v>129</v>
      </c>
      <c r="E31" s="639">
        <v>10423109730</v>
      </c>
      <c r="F31" s="639"/>
      <c r="G31" s="642">
        <v>68</v>
      </c>
      <c r="H31" s="639" t="s">
        <v>69</v>
      </c>
      <c r="I31" s="643">
        <v>7.65</v>
      </c>
      <c r="J31" s="643">
        <v>1.8</v>
      </c>
      <c r="K31" s="138">
        <f t="shared" si="0"/>
        <v>7.5123000000000006</v>
      </c>
      <c r="L31" s="645">
        <v>0.154</v>
      </c>
      <c r="M31" s="645">
        <v>0.14299999999999999</v>
      </c>
      <c r="N31" s="649">
        <v>0.14299999999999999</v>
      </c>
      <c r="O31" s="141">
        <f t="shared" si="1"/>
        <v>0.14299999999999999</v>
      </c>
      <c r="P31" s="154">
        <v>90</v>
      </c>
      <c r="Q31" s="639">
        <v>89.27</v>
      </c>
      <c r="R31" s="151">
        <v>2639.9</v>
      </c>
      <c r="S31" s="642">
        <v>100</v>
      </c>
      <c r="T31" s="639"/>
      <c r="U31" s="142">
        <v>100</v>
      </c>
      <c r="V31" s="639">
        <v>1.1023000000000001</v>
      </c>
      <c r="W31" s="639"/>
      <c r="X31" s="639"/>
      <c r="Y31" s="142"/>
      <c r="Z31" s="143">
        <f t="shared" si="13"/>
        <v>30</v>
      </c>
      <c r="AA31" s="144">
        <f t="shared" si="2"/>
        <v>30</v>
      </c>
      <c r="AB31" s="145">
        <f t="shared" si="3"/>
        <v>217.02647879900002</v>
      </c>
      <c r="AC31" s="145">
        <f>+(S31-T31)*V31-'data 1'!$F$4</f>
        <v>30.230000000000004</v>
      </c>
      <c r="AD31" s="145">
        <f t="shared" si="4"/>
        <v>-3.147458455834018</v>
      </c>
      <c r="AE31" s="145">
        <f t="shared" si="9"/>
        <v>-36.930999999999997</v>
      </c>
      <c r="AF31" s="145">
        <f t="shared" si="5"/>
        <v>27.492526061869025</v>
      </c>
      <c r="AG31" s="145">
        <f t="shared" si="14"/>
        <v>97.644067606035009</v>
      </c>
      <c r="AH31" s="146">
        <f t="shared" si="6"/>
        <v>35.408558585782387</v>
      </c>
      <c r="AI31" s="659">
        <f t="shared" si="11"/>
        <v>30.323068825433989</v>
      </c>
      <c r="AJ31" s="156">
        <f t="shared" si="7"/>
        <v>33.148244927399531</v>
      </c>
      <c r="AK31" s="660"/>
      <c r="AL31" s="148">
        <f t="shared" si="8"/>
        <v>1630.368016681728</v>
      </c>
    </row>
    <row r="32" spans="1:38" ht="15.75" customHeight="1">
      <c r="A32" s="134" t="s">
        <v>131</v>
      </c>
      <c r="B32" s="135">
        <v>45575</v>
      </c>
      <c r="C32" s="135">
        <v>45573</v>
      </c>
      <c r="D32" s="640" t="s">
        <v>125</v>
      </c>
      <c r="E32" s="640">
        <v>10310367091</v>
      </c>
      <c r="F32" s="640"/>
      <c r="G32" s="641" t="s">
        <v>68</v>
      </c>
      <c r="H32" s="640" t="s">
        <v>69</v>
      </c>
      <c r="I32" s="644">
        <v>30.12</v>
      </c>
      <c r="J32" s="644">
        <v>10.45</v>
      </c>
      <c r="K32" s="138">
        <f t="shared" si="0"/>
        <v>26.972460000000002</v>
      </c>
      <c r="L32" s="646">
        <v>0.19600000000000001</v>
      </c>
      <c r="M32" s="646">
        <v>0.186</v>
      </c>
      <c r="N32" s="650">
        <v>0.19700000000000001</v>
      </c>
      <c r="O32" s="141">
        <f t="shared" si="1"/>
        <v>0.192</v>
      </c>
      <c r="P32" s="154">
        <v>85</v>
      </c>
      <c r="Q32" s="640">
        <v>89.25</v>
      </c>
      <c r="R32" s="151">
        <v>2639.9</v>
      </c>
      <c r="S32" s="641">
        <v>100</v>
      </c>
      <c r="T32" s="640"/>
      <c r="U32" s="142">
        <v>100</v>
      </c>
      <c r="V32" s="640">
        <v>1.1023000000000001</v>
      </c>
      <c r="W32" s="640"/>
      <c r="X32" s="640"/>
      <c r="Y32" s="142"/>
      <c r="Z32" s="143">
        <f t="shared" si="13"/>
        <v>30</v>
      </c>
      <c r="AA32" s="144">
        <f t="shared" si="2"/>
        <v>30</v>
      </c>
      <c r="AB32" s="145">
        <f t="shared" si="3"/>
        <v>313.61722486400009</v>
      </c>
      <c r="AC32" s="145">
        <f>+(S32-T32)*V32-'data 1'!$F$4</f>
        <v>30.230000000000004</v>
      </c>
      <c r="AD32" s="145">
        <f t="shared" si="4"/>
        <v>23.321765644100005</v>
      </c>
      <c r="AE32" s="145">
        <f t="shared" si="9"/>
        <v>-36.930999999999997</v>
      </c>
      <c r="AF32" s="145">
        <f t="shared" si="5"/>
        <v>9.9950424189000096</v>
      </c>
      <c r="AG32" s="145">
        <f t="shared" si="14"/>
        <v>26.615808063000021</v>
      </c>
      <c r="AH32" s="146">
        <f t="shared" si="6"/>
        <v>161.76848682049965</v>
      </c>
      <c r="AI32" s="659">
        <f t="shared" si="11"/>
        <v>38.584350333899984</v>
      </c>
      <c r="AJ32" s="156">
        <f t="shared" si="7"/>
        <v>150.92103726693841</v>
      </c>
      <c r="AK32" s="661"/>
      <c r="AL32" s="148">
        <f t="shared" si="8"/>
        <v>8459.0280529552492</v>
      </c>
    </row>
    <row r="33" spans="1:38" ht="15.75" customHeight="1">
      <c r="A33" s="134" t="s">
        <v>132</v>
      </c>
      <c r="B33" s="135">
        <v>45575</v>
      </c>
      <c r="C33" s="135">
        <v>45573</v>
      </c>
      <c r="D33" s="640" t="s">
        <v>85</v>
      </c>
      <c r="E33" s="640">
        <v>10460498487</v>
      </c>
      <c r="F33" s="640" t="s">
        <v>133</v>
      </c>
      <c r="G33" s="641" t="s">
        <v>68</v>
      </c>
      <c r="H33" s="640" t="s">
        <v>69</v>
      </c>
      <c r="I33" s="640">
        <v>30.81</v>
      </c>
      <c r="J33" s="644">
        <v>2.9</v>
      </c>
      <c r="K33" s="138">
        <f t="shared" si="0"/>
        <v>29.916509999999999</v>
      </c>
      <c r="L33" s="646">
        <v>0.17100000000000001</v>
      </c>
      <c r="M33" s="646">
        <v>0.159</v>
      </c>
      <c r="N33" s="650">
        <v>0.183</v>
      </c>
      <c r="O33" s="141">
        <f t="shared" si="1"/>
        <v>0.17100000000000001</v>
      </c>
      <c r="P33" s="142">
        <v>75</v>
      </c>
      <c r="Q33" s="728">
        <v>75</v>
      </c>
      <c r="R33" s="151">
        <v>2639.9</v>
      </c>
      <c r="S33" s="641">
        <v>100</v>
      </c>
      <c r="T33" s="640"/>
      <c r="U33" s="142">
        <v>100</v>
      </c>
      <c r="V33" s="640">
        <v>1.1023000000000001</v>
      </c>
      <c r="W33" s="640"/>
      <c r="X33" s="640"/>
      <c r="Y33" s="142"/>
      <c r="Z33" s="143">
        <f t="shared" si="13"/>
        <v>30</v>
      </c>
      <c r="AA33" s="144">
        <f t="shared" si="2"/>
        <v>30</v>
      </c>
      <c r="AB33" s="145">
        <f t="shared" si="3"/>
        <v>215.76659950250004</v>
      </c>
      <c r="AC33" s="145">
        <f>+(S33-T33)*V33-'data 1'!$F$4</f>
        <v>30.230000000000004</v>
      </c>
      <c r="AD33" s="145">
        <f t="shared" si="4"/>
        <v>0</v>
      </c>
      <c r="AE33" s="145">
        <f t="shared" si="9"/>
        <v>-36.930999999999997</v>
      </c>
      <c r="AF33" s="145">
        <f t="shared" si="5"/>
        <v>0</v>
      </c>
      <c r="AG33" s="145">
        <f t="shared" si="14"/>
        <v>-6.7009999999999934</v>
      </c>
      <c r="AH33" s="146">
        <f t="shared" si="6"/>
        <v>131.54591655843126</v>
      </c>
      <c r="AI33" s="659">
        <f t="shared" si="11"/>
        <v>28.288131997499992</v>
      </c>
      <c r="AJ33" s="156">
        <f t="shared" si="7"/>
        <v>131.54591655843123</v>
      </c>
      <c r="AK33" s="661"/>
      <c r="AL33" s="148">
        <f t="shared" si="8"/>
        <v>6454.9836316825376</v>
      </c>
    </row>
    <row r="34" spans="1:38" ht="15.75" customHeight="1">
      <c r="A34" s="134" t="s">
        <v>134</v>
      </c>
      <c r="B34" s="135">
        <v>45577</v>
      </c>
      <c r="C34" s="135">
        <v>45574</v>
      </c>
      <c r="D34" s="630" t="s">
        <v>93</v>
      </c>
      <c r="E34" s="142">
        <v>20169040237</v>
      </c>
      <c r="F34" s="639" t="s">
        <v>135</v>
      </c>
      <c r="G34" s="642">
        <v>152</v>
      </c>
      <c r="H34" s="630" t="s">
        <v>69</v>
      </c>
      <c r="I34" s="643">
        <v>14.97</v>
      </c>
      <c r="J34" s="643">
        <v>3</v>
      </c>
      <c r="K34" s="138">
        <f t="shared" si="0"/>
        <v>14.520900000000001</v>
      </c>
      <c r="L34" s="645">
        <v>0.17799999999999999</v>
      </c>
      <c r="M34" s="647">
        <v>0.17799999999999999</v>
      </c>
      <c r="N34" s="647">
        <v>0.17799999999999999</v>
      </c>
      <c r="O34" s="141">
        <f t="shared" si="1"/>
        <v>0.17799999999999999</v>
      </c>
      <c r="P34" s="154">
        <v>88</v>
      </c>
      <c r="Q34" s="643">
        <v>89.15</v>
      </c>
      <c r="R34" s="144">
        <v>2610.6999999999998</v>
      </c>
      <c r="S34" s="642">
        <v>100</v>
      </c>
      <c r="T34" s="631"/>
      <c r="U34" s="142">
        <v>130</v>
      </c>
      <c r="V34" s="630">
        <v>1.1023000000000001</v>
      </c>
      <c r="W34" s="631"/>
      <c r="X34" s="631"/>
      <c r="Y34" s="142">
        <v>30</v>
      </c>
      <c r="Z34" s="143">
        <f t="shared" si="13"/>
        <v>30</v>
      </c>
      <c r="AA34" s="144">
        <f t="shared" si="2"/>
        <v>60</v>
      </c>
      <c r="AB34" s="145">
        <f t="shared" si="3"/>
        <v>251.96025955039994</v>
      </c>
      <c r="AC34" s="145">
        <f>+(S34-T34)*V34-'data 1'!$F$4</f>
        <v>30.230000000000004</v>
      </c>
      <c r="AD34" s="145">
        <f t="shared" si="4"/>
        <v>5.5974715736700276</v>
      </c>
      <c r="AE34" s="145">
        <f t="shared" si="9"/>
        <v>-3.8619999999999948</v>
      </c>
      <c r="AF34" s="145">
        <f t="shared" si="5"/>
        <v>0</v>
      </c>
      <c r="AG34" s="145">
        <f t="shared" si="14"/>
        <v>31.965471573670037</v>
      </c>
      <c r="AH34" s="146">
        <f t="shared" si="6"/>
        <v>79.003067403916035</v>
      </c>
      <c r="AI34" s="659">
        <f t="shared" si="11"/>
        <v>45.356932349930041</v>
      </c>
      <c r="AJ34" s="156">
        <f t="shared" si="7"/>
        <v>77.983958850752771</v>
      </c>
      <c r="AK34" s="660"/>
      <c r="AL34" s="148">
        <f t="shared" si="8"/>
        <v>3658.6897329054027</v>
      </c>
    </row>
    <row r="35" spans="1:38" ht="15.75" customHeight="1">
      <c r="A35" s="134" t="s">
        <v>136</v>
      </c>
      <c r="B35" s="135">
        <v>45546</v>
      </c>
      <c r="C35" s="135">
        <v>45574</v>
      </c>
      <c r="D35" s="630" t="s">
        <v>106</v>
      </c>
      <c r="E35" s="630">
        <v>20606534923</v>
      </c>
      <c r="F35" s="639" t="s">
        <v>137</v>
      </c>
      <c r="G35" s="642">
        <v>5</v>
      </c>
      <c r="H35" s="630" t="s">
        <v>69</v>
      </c>
      <c r="I35" s="643">
        <v>0.41</v>
      </c>
      <c r="J35" s="643">
        <v>1.2</v>
      </c>
      <c r="K35" s="138">
        <f t="shared" si="0"/>
        <v>0.40508</v>
      </c>
      <c r="L35" s="645">
        <v>0.32200000000000001</v>
      </c>
      <c r="M35" s="645">
        <v>0.30599999999999999</v>
      </c>
      <c r="N35" s="649">
        <v>0.30599999999999999</v>
      </c>
      <c r="O35" s="141">
        <f t="shared" si="1"/>
        <v>0.30599999999999999</v>
      </c>
      <c r="P35" s="154">
        <v>90</v>
      </c>
      <c r="Q35" s="639">
        <v>89.75</v>
      </c>
      <c r="R35" s="144">
        <v>2610.6999999999998</v>
      </c>
      <c r="S35" s="642">
        <v>130</v>
      </c>
      <c r="T35" s="631"/>
      <c r="U35" s="142">
        <v>130</v>
      </c>
      <c r="V35" s="630">
        <v>1.1023000000000001</v>
      </c>
      <c r="W35" s="631"/>
      <c r="X35" s="631"/>
      <c r="Y35" s="142">
        <v>40</v>
      </c>
      <c r="Z35" s="143">
        <f t="shared" si="13"/>
        <v>30</v>
      </c>
      <c r="AA35" s="144">
        <f t="shared" si="2"/>
        <v>70</v>
      </c>
      <c r="AB35" s="145">
        <f t="shared" si="3"/>
        <v>532.61458299399999</v>
      </c>
      <c r="AC35" s="145">
        <f>+(S35-T35)*V35-'data 1'!$F$4</f>
        <v>63.299000000000007</v>
      </c>
      <c r="AD35" s="145">
        <f t="shared" si="4"/>
        <v>-2.2012528660499999</v>
      </c>
      <c r="AE35" s="145">
        <f t="shared" si="9"/>
        <v>7.1610000000000014</v>
      </c>
      <c r="AF35" s="145">
        <f t="shared" si="5"/>
        <v>39.267069759600034</v>
      </c>
      <c r="AG35" s="145">
        <f t="shared" si="14"/>
        <v>107.52581689355004</v>
      </c>
      <c r="AH35" s="146">
        <f t="shared" si="6"/>
        <v>4.0136564808590096</v>
      </c>
      <c r="AI35" s="659">
        <f t="shared" si="11"/>
        <v>82.602397578050073</v>
      </c>
      <c r="AJ35" s="156">
        <f t="shared" si="7"/>
        <v>3.8248447026023671</v>
      </c>
      <c r="AK35" s="660"/>
      <c r="AL35" s="148">
        <f t="shared" si="8"/>
        <v>215.75151527920951</v>
      </c>
    </row>
    <row r="36" spans="1:38" ht="15.75" customHeight="1">
      <c r="A36" s="134" t="s">
        <v>138</v>
      </c>
      <c r="B36" s="135">
        <v>45576</v>
      </c>
      <c r="C36" s="135">
        <v>45574</v>
      </c>
      <c r="D36" s="79" t="s">
        <v>106</v>
      </c>
      <c r="E36" s="630">
        <v>20606534923</v>
      </c>
      <c r="F36" s="6" t="s">
        <v>107</v>
      </c>
      <c r="G36" s="80">
        <v>13</v>
      </c>
      <c r="H36" s="79" t="s">
        <v>69</v>
      </c>
      <c r="I36" s="137">
        <v>1.1200000000000001</v>
      </c>
      <c r="J36" s="137">
        <v>1.1200000000000001</v>
      </c>
      <c r="K36" s="138">
        <f t="shared" si="0"/>
        <v>1.107456</v>
      </c>
      <c r="L36" s="139">
        <v>1.087</v>
      </c>
      <c r="M36" s="139">
        <v>1.044</v>
      </c>
      <c r="N36" s="159">
        <v>1.044</v>
      </c>
      <c r="O36" s="141">
        <f t="shared" si="1"/>
        <v>1.044</v>
      </c>
      <c r="P36" s="154">
        <v>90</v>
      </c>
      <c r="Q36" s="6">
        <v>89.22</v>
      </c>
      <c r="R36" s="144">
        <v>2610.6999999999998</v>
      </c>
      <c r="S36" s="80">
        <v>170</v>
      </c>
      <c r="U36" s="142">
        <v>130</v>
      </c>
      <c r="V36" s="79">
        <v>1.1023000000000001</v>
      </c>
      <c r="Y36" s="142">
        <v>50</v>
      </c>
      <c r="Z36" s="143">
        <f t="shared" si="13"/>
        <v>30</v>
      </c>
      <c r="AA36" s="144">
        <f t="shared" si="2"/>
        <v>80</v>
      </c>
      <c r="AB36" s="145">
        <f t="shared" si="3"/>
        <v>2293.7382831560003</v>
      </c>
      <c r="AC36" s="145">
        <f>+(S36-T36)*V36-'data 1'!$F$4</f>
        <v>107.39100000000002</v>
      </c>
      <c r="AD36" s="145">
        <f t="shared" si="4"/>
        <v>-23.184524906946031</v>
      </c>
      <c r="AE36" s="145">
        <f t="shared" si="9"/>
        <v>18.184000000000005</v>
      </c>
      <c r="AF36" s="145">
        <f t="shared" si="5"/>
        <v>104.90706298740582</v>
      </c>
      <c r="AG36" s="145">
        <f t="shared" si="14"/>
        <v>207.29753808045982</v>
      </c>
      <c r="AH36" s="146">
        <f t="shared" si="6"/>
        <v>36.82369058386648</v>
      </c>
      <c r="AI36" s="659">
        <f t="shared" si="11"/>
        <v>277.20054970674619</v>
      </c>
      <c r="AJ36" s="156">
        <f t="shared" si="7"/>
        <v>35.676197362319435</v>
      </c>
      <c r="AK36" s="88"/>
      <c r="AL36" s="148">
        <f t="shared" si="8"/>
        <v>2540.2142241108113</v>
      </c>
    </row>
    <row r="37" spans="1:38" ht="15.75" customHeight="1">
      <c r="A37" s="134" t="s">
        <v>141</v>
      </c>
      <c r="B37" s="135">
        <v>45581</v>
      </c>
      <c r="C37" s="135">
        <v>45574</v>
      </c>
      <c r="D37" s="79" t="s">
        <v>106</v>
      </c>
      <c r="E37" s="79">
        <v>20606534923</v>
      </c>
      <c r="F37" s="6" t="s">
        <v>140</v>
      </c>
      <c r="G37" s="80">
        <v>9</v>
      </c>
      <c r="H37" s="79" t="s">
        <v>69</v>
      </c>
      <c r="I37" s="137">
        <v>0.7</v>
      </c>
      <c r="J37" s="137">
        <v>1.3</v>
      </c>
      <c r="K37" s="138">
        <f t="shared" si="0"/>
        <v>0.69089999999999996</v>
      </c>
      <c r="L37" s="139">
        <v>0.219</v>
      </c>
      <c r="M37" s="139">
        <v>0.21</v>
      </c>
      <c r="N37" s="149">
        <v>0.21</v>
      </c>
      <c r="O37" s="141">
        <f t="shared" si="1"/>
        <v>0.21</v>
      </c>
      <c r="P37" s="154">
        <v>90</v>
      </c>
      <c r="Q37" s="6">
        <v>89.86</v>
      </c>
      <c r="R37" s="144">
        <v>2610.6999999999998</v>
      </c>
      <c r="S37" s="80">
        <v>110</v>
      </c>
      <c r="U37" s="142">
        <v>130</v>
      </c>
      <c r="V37" s="79">
        <v>1.1023000000000001</v>
      </c>
      <c r="Y37" s="142">
        <v>40</v>
      </c>
      <c r="Z37" s="143">
        <f t="shared" si="13"/>
        <v>30</v>
      </c>
      <c r="AA37" s="144">
        <f t="shared" si="2"/>
        <v>70</v>
      </c>
      <c r="AB37" s="145">
        <f t="shared" si="3"/>
        <v>318.40189028999998</v>
      </c>
      <c r="AC37" s="145">
        <f>+(S37-T37)*V37-'data 1'!$F$4</f>
        <v>41.253</v>
      </c>
      <c r="AD37" s="145">
        <f t="shared" si="4"/>
        <v>-0.83839022202600333</v>
      </c>
      <c r="AE37" s="145">
        <f t="shared" si="9"/>
        <v>7.1610000000000014</v>
      </c>
      <c r="AF37" s="145">
        <f t="shared" si="5"/>
        <v>22.114798048314018</v>
      </c>
      <c r="AG37" s="145">
        <f t="shared" si="14"/>
        <v>69.690407826288009</v>
      </c>
      <c r="AH37" s="146">
        <f t="shared" si="6"/>
        <v>4.6615977027046309</v>
      </c>
      <c r="AI37" s="659">
        <f t="shared" si="11"/>
        <v>56.248747097826048</v>
      </c>
      <c r="AJ37" s="156">
        <f t="shared" si="7"/>
        <v>4.4769894001078043</v>
      </c>
      <c r="AK37" s="88"/>
      <c r="AL37" s="148">
        <f t="shared" si="8"/>
        <v>219.98386600136098</v>
      </c>
    </row>
    <row r="38" spans="1:38" ht="15.75" customHeight="1">
      <c r="A38" s="134" t="s">
        <v>142</v>
      </c>
      <c r="B38" s="135">
        <v>45581</v>
      </c>
      <c r="C38" s="135">
        <v>45574</v>
      </c>
      <c r="D38" s="79" t="s">
        <v>106</v>
      </c>
      <c r="E38" s="79">
        <v>20606534923</v>
      </c>
      <c r="F38" s="6" t="s">
        <v>140</v>
      </c>
      <c r="G38" s="80">
        <v>18</v>
      </c>
      <c r="H38" s="79" t="s">
        <v>69</v>
      </c>
      <c r="I38" s="137">
        <v>1.42</v>
      </c>
      <c r="J38" s="137">
        <v>1</v>
      </c>
      <c r="K38" s="138">
        <f t="shared" si="0"/>
        <v>1.4057999999999999</v>
      </c>
      <c r="L38" s="139">
        <v>0.217</v>
      </c>
      <c r="M38" s="139">
        <v>0.217</v>
      </c>
      <c r="N38" s="149">
        <v>0.217</v>
      </c>
      <c r="O38" s="141">
        <f t="shared" si="1"/>
        <v>0.217</v>
      </c>
      <c r="P38" s="154">
        <v>90</v>
      </c>
      <c r="Q38" s="6">
        <v>89.78</v>
      </c>
      <c r="R38" s="144">
        <v>2610.6999999999998</v>
      </c>
      <c r="S38" s="80">
        <v>110</v>
      </c>
      <c r="U38" s="142">
        <v>130</v>
      </c>
      <c r="V38" s="79">
        <v>1.1023000000000001</v>
      </c>
      <c r="Y38" s="142">
        <v>40</v>
      </c>
      <c r="Z38" s="143">
        <f t="shared" si="13"/>
        <v>30</v>
      </c>
      <c r="AA38" s="144">
        <f t="shared" si="2"/>
        <v>70</v>
      </c>
      <c r="AB38" s="145">
        <f t="shared" si="3"/>
        <v>335.62908663299999</v>
      </c>
      <c r="AC38" s="145">
        <f>+(S38-T38)*V38-'data 1'!$F$4</f>
        <v>41.253</v>
      </c>
      <c r="AD38" s="145">
        <f t="shared" si="4"/>
        <v>-1.3054386562139932</v>
      </c>
      <c r="AE38" s="145">
        <f t="shared" si="9"/>
        <v>7.1610000000000014</v>
      </c>
      <c r="AF38" s="145">
        <f t="shared" si="5"/>
        <v>0</v>
      </c>
      <c r="AG38" s="145">
        <f t="shared" si="14"/>
        <v>47.108561343786008</v>
      </c>
      <c r="AH38" s="146">
        <f t="shared" si="6"/>
        <v>9.3901373156369807</v>
      </c>
      <c r="AI38" s="659">
        <f t="shared" si="11"/>
        <v>55.685440448414035</v>
      </c>
      <c r="AJ38" s="156">
        <f t="shared" si="7"/>
        <v>9.4131472310907558</v>
      </c>
      <c r="AK38" s="88"/>
      <c r="AL38" s="148">
        <f t="shared" si="8"/>
        <v>471.82736998867136</v>
      </c>
    </row>
    <row r="39" spans="1:38" ht="15.75" customHeight="1">
      <c r="A39" s="134" t="s">
        <v>143</v>
      </c>
      <c r="B39" s="135">
        <v>45577</v>
      </c>
      <c r="C39" s="135">
        <v>45574</v>
      </c>
      <c r="D39" s="79" t="s">
        <v>129</v>
      </c>
      <c r="E39" s="79">
        <v>10423109730</v>
      </c>
      <c r="F39" s="6"/>
      <c r="G39" s="80" t="s">
        <v>68</v>
      </c>
      <c r="H39" s="79" t="s">
        <v>69</v>
      </c>
      <c r="I39" s="137">
        <v>22.55</v>
      </c>
      <c r="J39" s="137">
        <v>1.3</v>
      </c>
      <c r="K39" s="138">
        <f t="shared" si="0"/>
        <v>22.25685</v>
      </c>
      <c r="L39" s="139">
        <v>0.19600000000000001</v>
      </c>
      <c r="M39" s="139">
        <v>0.182</v>
      </c>
      <c r="N39" s="159">
        <v>0.182</v>
      </c>
      <c r="O39" s="141">
        <f t="shared" si="1"/>
        <v>0.182</v>
      </c>
      <c r="P39" s="653">
        <v>90</v>
      </c>
      <c r="Q39" s="6">
        <v>89.48</v>
      </c>
      <c r="R39" s="144">
        <v>2610.6999999999998</v>
      </c>
      <c r="S39" s="80">
        <v>100</v>
      </c>
      <c r="U39" s="639">
        <v>100</v>
      </c>
      <c r="V39" s="79">
        <v>1.1023000000000001</v>
      </c>
      <c r="Y39" s="639"/>
      <c r="Z39" s="143">
        <f t="shared" si="13"/>
        <v>30</v>
      </c>
      <c r="AA39" s="144">
        <f t="shared" si="2"/>
        <v>30</v>
      </c>
      <c r="AB39" s="145">
        <f t="shared" si="3"/>
        <v>310.02480711799996</v>
      </c>
      <c r="AC39" s="145">
        <f>+(S39-T39)*V39-'data 1'!$F$4</f>
        <v>30.230000000000004</v>
      </c>
      <c r="AD39" s="145">
        <f t="shared" si="4"/>
        <v>-2.8206814665119784</v>
      </c>
      <c r="AE39" s="145">
        <f t="shared" si="9"/>
        <v>-36.930999999999997</v>
      </c>
      <c r="AF39" s="145">
        <f t="shared" si="5"/>
        <v>34.669584838392026</v>
      </c>
      <c r="AG39" s="145">
        <f t="shared" si="14"/>
        <v>105.14790337188006</v>
      </c>
      <c r="AH39" s="146">
        <f t="shared" si="6"/>
        <v>133.83041199723152</v>
      </c>
      <c r="AI39" s="659">
        <f t="shared" si="11"/>
        <v>44.328793264112036</v>
      </c>
      <c r="AJ39" s="156">
        <f t="shared" si="7"/>
        <v>124.99328025158125</v>
      </c>
      <c r="AK39" s="88"/>
      <c r="AL39" s="148">
        <f t="shared" si="8"/>
        <v>6900.1756283042578</v>
      </c>
    </row>
    <row r="40" spans="1:38" ht="15.75" customHeight="1">
      <c r="A40" s="628" t="s">
        <v>144</v>
      </c>
      <c r="B40" s="135">
        <v>45579</v>
      </c>
      <c r="C40" s="135">
        <v>45575</v>
      </c>
      <c r="D40" s="6" t="s">
        <v>145</v>
      </c>
      <c r="E40" s="6">
        <v>10437450094</v>
      </c>
      <c r="F40" s="6"/>
      <c r="G40" s="80">
        <v>100</v>
      </c>
      <c r="H40" s="6" t="s">
        <v>69</v>
      </c>
      <c r="I40" s="137">
        <v>8.77</v>
      </c>
      <c r="J40" s="137">
        <v>1.2</v>
      </c>
      <c r="K40" s="138">
        <f t="shared" si="0"/>
        <v>8.6647599999999994</v>
      </c>
      <c r="L40" s="139">
        <v>0.29399999999999998</v>
      </c>
      <c r="M40" s="139">
        <v>0.27900000000000003</v>
      </c>
      <c r="N40" s="159">
        <v>0.27900000000000003</v>
      </c>
      <c r="O40" s="141">
        <f t="shared" si="1"/>
        <v>0.27900000000000003</v>
      </c>
      <c r="P40" s="154">
        <v>90</v>
      </c>
      <c r="Q40" s="6">
        <v>89.47</v>
      </c>
      <c r="R40" s="144">
        <v>2628.95</v>
      </c>
      <c r="S40" s="80">
        <v>110</v>
      </c>
      <c r="T40" s="6"/>
      <c r="U40" s="142">
        <v>100</v>
      </c>
      <c r="V40" s="6">
        <v>1.1023000000000001</v>
      </c>
      <c r="W40" s="6"/>
      <c r="X40" s="6"/>
      <c r="Y40" s="142"/>
      <c r="Z40" s="160">
        <v>25</v>
      </c>
      <c r="AA40" s="144">
        <f t="shared" si="2"/>
        <v>25</v>
      </c>
      <c r="AB40" s="145">
        <f t="shared" si="3"/>
        <v>551.1713239935001</v>
      </c>
      <c r="AC40" s="145">
        <f>+(S40-T40)*V40-'data 1'!$F$4</f>
        <v>41.253</v>
      </c>
      <c r="AD40" s="145">
        <f t="shared" si="4"/>
        <v>-4.3437342817470084</v>
      </c>
      <c r="AE40" s="145">
        <f t="shared" si="9"/>
        <v>-42.442499999999995</v>
      </c>
      <c r="AF40" s="145">
        <f t="shared" si="5"/>
        <v>37.411812301492397</v>
      </c>
      <c r="AG40" s="145">
        <f t="shared" si="14"/>
        <v>31.87857801974539</v>
      </c>
      <c r="AH40" s="146">
        <f t="shared" si="6"/>
        <v>78.143053027255561</v>
      </c>
      <c r="AI40" s="659">
        <f t="shared" si="11"/>
        <v>61.194153514347065</v>
      </c>
      <c r="AJ40" s="156">
        <f t="shared" si="7"/>
        <v>74.595446864885631</v>
      </c>
      <c r="AK40" s="88"/>
      <c r="AL40" s="148">
        <f t="shared" si="8"/>
        <v>4775.7672412859192</v>
      </c>
    </row>
    <row r="41" spans="1:38" ht="15.75" customHeight="1">
      <c r="A41" s="628" t="s">
        <v>146</v>
      </c>
      <c r="B41" s="135">
        <v>45581</v>
      </c>
      <c r="C41" s="637">
        <v>45576</v>
      </c>
      <c r="D41" s="79" t="s">
        <v>145</v>
      </c>
      <c r="E41" s="6">
        <v>10437450094</v>
      </c>
      <c r="F41" s="6" t="s">
        <v>147</v>
      </c>
      <c r="G41" s="80">
        <v>62</v>
      </c>
      <c r="H41" s="79" t="s">
        <v>69</v>
      </c>
      <c r="I41" s="137">
        <v>5.18</v>
      </c>
      <c r="J41" s="137">
        <v>2.8</v>
      </c>
      <c r="K41" s="138">
        <f t="shared" si="0"/>
        <v>5.0349599999999999</v>
      </c>
      <c r="L41" s="139">
        <v>0.17</v>
      </c>
      <c r="M41" s="139">
        <v>0.158</v>
      </c>
      <c r="N41" s="149">
        <v>0.224</v>
      </c>
      <c r="O41" s="141">
        <f t="shared" si="1"/>
        <v>0.191</v>
      </c>
      <c r="P41" s="652">
        <v>90</v>
      </c>
      <c r="Q41" s="137">
        <v>89.22</v>
      </c>
      <c r="R41" s="144">
        <v>2648.8</v>
      </c>
      <c r="S41" s="657">
        <v>100</v>
      </c>
      <c r="U41" s="6">
        <v>100</v>
      </c>
      <c r="V41" s="6">
        <v>1.1023000000000001</v>
      </c>
      <c r="Y41" s="640">
        <v>10</v>
      </c>
      <c r="Z41" s="143">
        <f>IF(IF(D41="UNTUCA",IF(+((W41-3)*1.5+(X41-3)*3.1)&gt;0,+((W41-3)*1.5+(X41-3)*3.1),0),IF(+((W41-3)*1.5+(X41-3)*3.1)&gt;0,+((W41-3)*1.5+(X41-3)*3.1),0))&lt;30,30,IF(D41="UNTUCA",IF(+((W41-3)*1.5+(X41-3)*3.1)&gt;0,+((W41-3)*1.5+(X41-3)*3.1),0),IF(+((W41-3)*1.5+(X41-3)*3.1)&gt;0,+((W41-3)*1.5+(X41-3)*3.1),0)))</f>
        <v>30</v>
      </c>
      <c r="AA41" s="144">
        <f t="shared" si="2"/>
        <v>40</v>
      </c>
      <c r="AB41" s="145">
        <f t="shared" si="3"/>
        <v>328.63831105600008</v>
      </c>
      <c r="AC41" s="145">
        <f>+(S41-T41)*V41-'data 1'!$F$4</f>
        <v>30.230000000000004</v>
      </c>
      <c r="AD41" s="145">
        <f t="shared" si="4"/>
        <v>-3.7254530102400061</v>
      </c>
      <c r="AE41" s="145">
        <f t="shared" si="9"/>
        <v>-25.908000000000001</v>
      </c>
      <c r="AF41" s="145">
        <f t="shared" si="5"/>
        <v>-52.640145317087985</v>
      </c>
      <c r="AG41" s="145">
        <f t="shared" si="14"/>
        <v>-52.043598327327985</v>
      </c>
      <c r="AH41" s="146">
        <f t="shared" si="6"/>
        <v>26.182808795548972</v>
      </c>
      <c r="AI41" s="659">
        <f t="shared" si="11"/>
        <v>31.966775838239968</v>
      </c>
      <c r="AJ41" s="156">
        <f t="shared" si="7"/>
        <v>29.674333319849588</v>
      </c>
      <c r="AK41" s="88"/>
      <c r="AL41" s="148">
        <f t="shared" si="8"/>
        <v>1654.6807506345181</v>
      </c>
    </row>
    <row r="42" spans="1:38" ht="15.75" customHeight="1">
      <c r="A42" s="628" t="s">
        <v>148</v>
      </c>
      <c r="B42" s="135">
        <v>45581</v>
      </c>
      <c r="C42" s="637">
        <v>45576</v>
      </c>
      <c r="D42" s="79" t="s">
        <v>145</v>
      </c>
      <c r="E42" s="6">
        <v>10437450094</v>
      </c>
      <c r="F42" s="6" t="s">
        <v>147</v>
      </c>
      <c r="G42" s="80">
        <v>31</v>
      </c>
      <c r="H42" s="79" t="s">
        <v>69</v>
      </c>
      <c r="I42" s="137">
        <v>2.6</v>
      </c>
      <c r="J42" s="137">
        <v>3.4</v>
      </c>
      <c r="K42" s="138">
        <f t="shared" si="0"/>
        <v>2.5116000000000001</v>
      </c>
      <c r="L42" s="139">
        <v>0.19700000000000001</v>
      </c>
      <c r="M42" s="139">
        <v>0.185</v>
      </c>
      <c r="N42" s="159">
        <v>0.185</v>
      </c>
      <c r="O42" s="141">
        <f t="shared" si="1"/>
        <v>0.185</v>
      </c>
      <c r="P42" s="154">
        <v>90</v>
      </c>
      <c r="Q42" s="137">
        <v>89.2</v>
      </c>
      <c r="R42" s="144">
        <v>2648.8</v>
      </c>
      <c r="S42" s="657">
        <v>100</v>
      </c>
      <c r="U42" s="639">
        <v>100</v>
      </c>
      <c r="V42" s="6">
        <v>1.1023000000000001</v>
      </c>
      <c r="Y42" s="142">
        <v>10</v>
      </c>
      <c r="Z42" s="143">
        <f>IF(IF(D42="UNTUCA",IF(+((W42-3)*1.5+(X42-3)*3.1)&gt;0,+((W42-3)*1.5+(X42-3)*3.1),0),IF(+((W42-3)*1.5+(X42-3)*3.1)&gt;0,+((W42-3)*1.5+(X42-3)*3.1),0))&lt;30,30,IF(D42="UNTUCA",IF(+((W42-3)*1.5+(X42-3)*3.1)&gt;0,+((W42-3)*1.5+(X42-3)*3.1),0),IF(+((W42-3)*1.5+(X42-3)*3.1)&gt;0,+((W42-3)*1.5+(X42-3)*3.1),0)))</f>
        <v>30</v>
      </c>
      <c r="AA42" s="144">
        <f t="shared" si="2"/>
        <v>40</v>
      </c>
      <c r="AB42" s="145">
        <f t="shared" si="3"/>
        <v>313.46678295999999</v>
      </c>
      <c r="AC42" s="145">
        <f>+(S42-T42)*V42-'data 1'!$F$4</f>
        <v>30.230000000000004</v>
      </c>
      <c r="AD42" s="145">
        <f t="shared" si="4"/>
        <v>-4.4278385702399854</v>
      </c>
      <c r="AE42" s="145">
        <f t="shared" si="9"/>
        <v>-25.908000000000001</v>
      </c>
      <c r="AF42" s="145">
        <f t="shared" si="5"/>
        <v>30.073340136960027</v>
      </c>
      <c r="AG42" s="145">
        <f t="shared" si="14"/>
        <v>29.967501566720046</v>
      </c>
      <c r="AH42" s="146">
        <f t="shared" si="6"/>
        <v>15.131801104390002</v>
      </c>
      <c r="AI42" s="659">
        <f t="shared" si="11"/>
        <v>37.035548066239969</v>
      </c>
      <c r="AJ42" s="156">
        <f t="shared" si="7"/>
        <v>14.337511574292272</v>
      </c>
      <c r="AK42" s="88"/>
      <c r="AL42" s="148">
        <f t="shared" si="8"/>
        <v>787.303172082336</v>
      </c>
    </row>
    <row r="43" spans="1:38" ht="15.75" customHeight="1">
      <c r="A43" s="134" t="s">
        <v>149</v>
      </c>
      <c r="B43" s="135"/>
      <c r="C43" s="136">
        <v>45576</v>
      </c>
      <c r="D43" s="6" t="s">
        <v>145</v>
      </c>
      <c r="E43" s="6">
        <v>10437450094</v>
      </c>
      <c r="F43" s="6" t="s">
        <v>150</v>
      </c>
      <c r="G43" s="80">
        <v>31</v>
      </c>
      <c r="H43" s="6" t="s">
        <v>69</v>
      </c>
      <c r="I43" s="137">
        <v>2.59</v>
      </c>
      <c r="J43" s="137">
        <v>3</v>
      </c>
      <c r="K43" s="138">
        <f t="shared" si="0"/>
        <v>2.5122999999999998</v>
      </c>
      <c r="L43" s="139">
        <v>0.16400000000000001</v>
      </c>
      <c r="M43" s="139">
        <v>0.154</v>
      </c>
      <c r="N43" s="159">
        <v>0.154</v>
      </c>
      <c r="O43" s="141">
        <f t="shared" si="1"/>
        <v>0.154</v>
      </c>
      <c r="P43" s="154">
        <v>90</v>
      </c>
      <c r="Q43" s="137">
        <v>89.31</v>
      </c>
      <c r="R43" s="144">
        <v>2648.8</v>
      </c>
      <c r="S43" s="642">
        <v>100</v>
      </c>
      <c r="T43" s="6"/>
      <c r="U43" s="6">
        <v>100</v>
      </c>
      <c r="V43" s="6">
        <v>1.1023000000000001</v>
      </c>
      <c r="W43" s="6"/>
      <c r="X43" s="6"/>
      <c r="Y43" s="639">
        <v>10</v>
      </c>
      <c r="Z43" s="160">
        <v>25</v>
      </c>
      <c r="AA43" s="144">
        <f t="shared" si="2"/>
        <v>35</v>
      </c>
      <c r="AB43" s="145">
        <f t="shared" si="3"/>
        <v>240.59205446400003</v>
      </c>
      <c r="AC43" s="145">
        <f>+(S43-T43)*V43-'data 1'!$F$4</f>
        <v>30.230000000000004</v>
      </c>
      <c r="AD43" s="145">
        <f t="shared" si="4"/>
        <v>-3.1792779987839901</v>
      </c>
      <c r="AE43" s="145">
        <f t="shared" si="9"/>
        <v>-31.419500000000003</v>
      </c>
      <c r="AF43" s="145">
        <f t="shared" si="5"/>
        <v>25.092021745440025</v>
      </c>
      <c r="AG43" s="145">
        <f t="shared" si="14"/>
        <v>20.723243746656035</v>
      </c>
      <c r="AH43" s="146">
        <f t="shared" si="6"/>
        <v>12.61608205660862</v>
      </c>
      <c r="AI43" s="659">
        <f t="shared" si="11"/>
        <v>30.869644831583972</v>
      </c>
      <c r="AJ43" s="156">
        <f t="shared" si="7"/>
        <v>11.93833600316488</v>
      </c>
      <c r="AK43" s="88"/>
      <c r="AL43" s="148">
        <f t="shared" si="8"/>
        <v>604.43941842990716</v>
      </c>
    </row>
    <row r="44" spans="1:38" ht="15.75" customHeight="1">
      <c r="A44" s="628" t="s">
        <v>151</v>
      </c>
      <c r="B44" s="135"/>
      <c r="C44" s="136">
        <v>45576</v>
      </c>
      <c r="D44" s="79" t="s">
        <v>145</v>
      </c>
      <c r="E44" s="6">
        <v>10437450094</v>
      </c>
      <c r="F44" s="6" t="s">
        <v>150</v>
      </c>
      <c r="G44" s="80">
        <v>14</v>
      </c>
      <c r="H44" s="79" t="s">
        <v>69</v>
      </c>
      <c r="I44" s="137">
        <v>1.19</v>
      </c>
      <c r="J44" s="137">
        <v>1</v>
      </c>
      <c r="K44" s="138">
        <f t="shared" si="0"/>
        <v>1.1780999999999999</v>
      </c>
      <c r="L44" s="139">
        <v>0.47399999999999998</v>
      </c>
      <c r="M44" s="139">
        <v>0.45</v>
      </c>
      <c r="N44" s="159">
        <v>0.45</v>
      </c>
      <c r="O44" s="141">
        <f t="shared" si="1"/>
        <v>0.45</v>
      </c>
      <c r="P44" s="154">
        <v>90</v>
      </c>
      <c r="Q44" s="137">
        <v>89.55</v>
      </c>
      <c r="R44" s="144">
        <v>2648.8</v>
      </c>
      <c r="S44" s="161">
        <v>140</v>
      </c>
      <c r="U44" s="6">
        <v>100</v>
      </c>
      <c r="V44" s="6">
        <v>1.1023000000000001</v>
      </c>
      <c r="Y44" s="631"/>
      <c r="Z44" s="143">
        <f>IF(IF(D44="UNTUCA",IF(+((W44-3)*1.5+(X44-3)*3.1)&gt;0,+((W44-3)*1.5+(X44-3)*3.1),0),IF(+((W44-3)*1.5+(X44-3)*3.1)&gt;0,+((W44-3)*1.5+(X44-3)*3.1),0))&lt;30,30,IF(D44="UNTUCA",IF(+((W44-3)*1.5+(X44-3)*3.1)&gt;0,+((W44-3)*1.5+(X44-3)*3.1),0),IF(+((W44-3)*1.5+(X44-3)*3.1)&gt;0,+((W44-3)*1.5+(X44-3)*3.1),0)))</f>
        <v>30</v>
      </c>
      <c r="AA44" s="144">
        <f t="shared" si="2"/>
        <v>30</v>
      </c>
      <c r="AB44" s="145">
        <f t="shared" si="3"/>
        <v>950.47360720000017</v>
      </c>
      <c r="AC44" s="145">
        <f>+(S44-T44)*V44-'data 1'!$F$4</f>
        <v>74.322000000000003</v>
      </c>
      <c r="AD44" s="145">
        <f t="shared" si="4"/>
        <v>-5.9927535979200375</v>
      </c>
      <c r="AE44" s="145">
        <f t="shared" si="9"/>
        <v>-36.930999999999997</v>
      </c>
      <c r="AF44" s="145">
        <f t="shared" si="5"/>
        <v>60.382681822079931</v>
      </c>
      <c r="AG44" s="145">
        <f t="shared" si="14"/>
        <v>91.780928224159894</v>
      </c>
      <c r="AH44" s="146">
        <f t="shared" si="6"/>
        <v>17.144907925076936</v>
      </c>
      <c r="AI44" s="659">
        <f t="shared" si="11"/>
        <v>89.460563047919919</v>
      </c>
      <c r="AJ44" s="156">
        <f t="shared" si="7"/>
        <v>16.358604342990521</v>
      </c>
      <c r="AK44" s="88"/>
      <c r="AL44" s="148">
        <f t="shared" si="8"/>
        <v>1119.7529566423202</v>
      </c>
    </row>
    <row r="45" spans="1:38" ht="15.75" customHeight="1">
      <c r="A45" s="134" t="s">
        <v>152</v>
      </c>
      <c r="B45" s="135"/>
      <c r="C45" s="136">
        <v>45576</v>
      </c>
      <c r="D45" s="6" t="s">
        <v>145</v>
      </c>
      <c r="E45" s="6">
        <v>10437450094</v>
      </c>
      <c r="F45" s="6" t="s">
        <v>153</v>
      </c>
      <c r="G45" s="80">
        <v>62</v>
      </c>
      <c r="H45" s="6" t="s">
        <v>69</v>
      </c>
      <c r="I45" s="137">
        <v>5.0199999999999996</v>
      </c>
      <c r="J45" s="137">
        <v>3.2</v>
      </c>
      <c r="K45" s="138">
        <f t="shared" si="0"/>
        <v>4.8593599999999997</v>
      </c>
      <c r="L45" s="139">
        <v>0.14699999999999999</v>
      </c>
      <c r="M45" s="139">
        <v>0.13800000000000001</v>
      </c>
      <c r="N45" s="159">
        <v>0.15</v>
      </c>
      <c r="O45" s="141">
        <f t="shared" si="1"/>
        <v>0.14399999999999999</v>
      </c>
      <c r="P45" s="154">
        <v>90</v>
      </c>
      <c r="Q45" s="137">
        <v>89.15</v>
      </c>
      <c r="R45" s="144">
        <v>2648.8</v>
      </c>
      <c r="S45" s="80">
        <v>100</v>
      </c>
      <c r="T45" s="6"/>
      <c r="U45" s="6">
        <v>100</v>
      </c>
      <c r="V45" s="6">
        <v>1.1023000000000001</v>
      </c>
      <c r="W45" s="6"/>
      <c r="X45" s="6"/>
      <c r="Y45" s="6">
        <v>10</v>
      </c>
      <c r="Z45" s="143">
        <f>IF(IF(D45="UNTUCA",IF(+((W45-3)*1.5+(X45-3)*3.1)&gt;0,+((W45-3)*1.5+(X45-3)*3.1),0),IF(+((W45-3)*1.5+(X45-3)*3.1)&gt;0,+((W45-3)*1.5+(X45-3)*3.1),0))&lt;30,30,IF(D45="UNTUCA",IF(+((W45-3)*1.5+(X45-3)*3.1)&gt;0,+((W45-3)*1.5+(X45-3)*3.1),0),IF(+((W45-3)*1.5+(X45-3)*3.1)&gt;0,+((W45-3)*1.5+(X45-3)*3.1),0)))</f>
        <v>30</v>
      </c>
      <c r="AA45" s="144">
        <f t="shared" si="2"/>
        <v>40</v>
      </c>
      <c r="AB45" s="145">
        <f t="shared" si="3"/>
        <v>209.79467430400001</v>
      </c>
      <c r="AC45" s="145">
        <f>+(S45-T45)*V45-'data 1'!$F$4</f>
        <v>30.230000000000004</v>
      </c>
      <c r="AD45" s="145">
        <f t="shared" si="4"/>
        <v>-3.5105230288799758</v>
      </c>
      <c r="AE45" s="145">
        <f t="shared" si="9"/>
        <v>-25.908000000000001</v>
      </c>
      <c r="AF45" s="145">
        <f t="shared" si="5"/>
        <v>7.5141207208800074</v>
      </c>
      <c r="AG45" s="145">
        <f t="shared" si="14"/>
        <v>8.3255976920000343</v>
      </c>
      <c r="AH45" s="146">
        <f t="shared" si="6"/>
        <v>21.833674223664257</v>
      </c>
      <c r="AI45" s="659">
        <f t="shared" si="11"/>
        <v>27.620171927879973</v>
      </c>
      <c r="AJ45" s="156">
        <f t="shared" si="7"/>
        <v>21.592013608394382</v>
      </c>
      <c r="AK45" s="88"/>
      <c r="AL45" s="148">
        <f t="shared" si="8"/>
        <v>1019.4678485258854</v>
      </c>
    </row>
    <row r="46" spans="1:38" ht="15.75" customHeight="1">
      <c r="A46" s="134" t="s">
        <v>162</v>
      </c>
      <c r="B46" s="135">
        <v>45581</v>
      </c>
      <c r="C46" s="136">
        <v>45578</v>
      </c>
      <c r="D46" s="79" t="s">
        <v>129</v>
      </c>
      <c r="E46" s="639">
        <v>10423109730</v>
      </c>
      <c r="F46" s="6"/>
      <c r="G46" s="80">
        <v>275</v>
      </c>
      <c r="H46" s="79" t="s">
        <v>69</v>
      </c>
      <c r="I46" s="137">
        <v>31.14</v>
      </c>
      <c r="J46" s="137">
        <v>1.5</v>
      </c>
      <c r="K46" s="138">
        <f t="shared" si="0"/>
        <v>30.672900000000002</v>
      </c>
      <c r="L46" s="139">
        <v>0.60899999999999999</v>
      </c>
      <c r="M46" s="139">
        <v>0.58499999999999996</v>
      </c>
      <c r="N46" s="159">
        <v>0.58499999999999996</v>
      </c>
      <c r="O46" s="141">
        <f t="shared" si="1"/>
        <v>0.58499999999999996</v>
      </c>
      <c r="P46" s="154">
        <v>90</v>
      </c>
      <c r="Q46" s="137">
        <v>89.62</v>
      </c>
      <c r="R46" s="144">
        <v>2648.8</v>
      </c>
      <c r="S46" s="642">
        <v>140</v>
      </c>
      <c r="U46" s="6">
        <v>100</v>
      </c>
      <c r="V46" s="6">
        <v>1.1023000000000001</v>
      </c>
      <c r="Y46" s="639"/>
      <c r="Z46" s="143">
        <f>IF(IF(D46="UNTUCA",IF(+((W46-3)*1.5+(X46-3)*3.1)&gt;0,+((W46-3)*1.5+(X46-3)*3.1),0),IF(+((W46-3)*1.5+(X46-3)*3.1)&gt;0,+((W46-3)*1.5+(X46-3)*3.1),0))&lt;30,30,IF(D46="UNTUCA",IF(+((W46-3)*1.5+(X46-3)*3.1)&gt;0,+((W46-3)*1.5+(X46-3)*3.1),0),IF(+((W46-3)*1.5+(X46-3)*3.1)&gt;0,+((W46-3)*1.5+(X46-3)*3.1),0)))</f>
        <v>30</v>
      </c>
      <c r="AA46" s="144">
        <f t="shared" si="2"/>
        <v>30</v>
      </c>
      <c r="AB46" s="145">
        <f t="shared" si="3"/>
        <v>1291.8329893600003</v>
      </c>
      <c r="AC46" s="145">
        <f>+(S46-T46)*V46-'data 1'!$F$4</f>
        <v>74.322000000000003</v>
      </c>
      <c r="AD46" s="145">
        <f t="shared" si="4"/>
        <v>-6.5018426518079231</v>
      </c>
      <c r="AE46" s="145">
        <f t="shared" si="9"/>
        <v>-36.930999999999997</v>
      </c>
      <c r="AF46" s="145">
        <f t="shared" si="5"/>
        <v>60.429882131712056</v>
      </c>
      <c r="AG46" s="145">
        <f t="shared" si="14"/>
        <v>171.31903947990415</v>
      </c>
      <c r="AH46" s="146">
        <f t="shared" si="6"/>
        <v>573.96596476470211</v>
      </c>
      <c r="AI46" s="659">
        <f t="shared" si="11"/>
        <v>115.0296842194079</v>
      </c>
      <c r="AJ46" s="156">
        <f t="shared" si="7"/>
        <v>553.68439495607197</v>
      </c>
      <c r="AK46" s="88"/>
      <c r="AL46" s="148">
        <f t="shared" si="8"/>
        <v>39624.264099340355</v>
      </c>
    </row>
    <row r="47" spans="1:38" ht="15.75" customHeight="1">
      <c r="A47" s="134" t="s">
        <v>163</v>
      </c>
      <c r="B47" s="135">
        <v>45581</v>
      </c>
      <c r="C47" s="136">
        <v>45578</v>
      </c>
      <c r="D47" s="6" t="s">
        <v>145</v>
      </c>
      <c r="E47" s="639">
        <v>10437450094</v>
      </c>
      <c r="F47" s="6" t="s">
        <v>164</v>
      </c>
      <c r="G47" s="80">
        <v>71</v>
      </c>
      <c r="H47" s="6" t="s">
        <v>69</v>
      </c>
      <c r="I47" s="137">
        <v>7.67</v>
      </c>
      <c r="J47" s="137">
        <v>1.1000000000000001</v>
      </c>
      <c r="K47" s="138">
        <f t="shared" si="0"/>
        <v>7.5856300000000001</v>
      </c>
      <c r="L47" s="139">
        <v>0.30399999999999999</v>
      </c>
      <c r="M47" s="139">
        <v>0.29199999999999998</v>
      </c>
      <c r="N47" s="159">
        <v>0.29199999999999998</v>
      </c>
      <c r="O47" s="141">
        <f t="shared" si="1"/>
        <v>0.29199999999999998</v>
      </c>
      <c r="P47" s="154">
        <v>90</v>
      </c>
      <c r="Q47" s="137">
        <v>89.25</v>
      </c>
      <c r="R47" s="144">
        <v>2648.8</v>
      </c>
      <c r="S47" s="642">
        <v>110</v>
      </c>
      <c r="T47" s="6"/>
      <c r="U47" s="6">
        <v>100</v>
      </c>
      <c r="V47" s="6">
        <v>1.1023000000000001</v>
      </c>
      <c r="W47" s="6"/>
      <c r="X47" s="6"/>
      <c r="Y47" s="6">
        <v>20</v>
      </c>
      <c r="Z47" s="160">
        <v>25</v>
      </c>
      <c r="AA47" s="144">
        <f t="shared" si="2"/>
        <v>45</v>
      </c>
      <c r="AB47" s="145">
        <f t="shared" si="3"/>
        <v>567.49120067199999</v>
      </c>
      <c r="AC47" s="145">
        <f>+(S47-T47)*V47-'data 1'!$F$4</f>
        <v>41.253</v>
      </c>
      <c r="AD47" s="145">
        <f t="shared" si="4"/>
        <v>-6.4057563072000008</v>
      </c>
      <c r="AE47" s="145">
        <f t="shared" si="9"/>
        <v>-20.3965</v>
      </c>
      <c r="AF47" s="145">
        <f t="shared" si="5"/>
        <v>30.090197390400032</v>
      </c>
      <c r="AG47" s="145">
        <f t="shared" si="14"/>
        <v>44.540941083200032</v>
      </c>
      <c r="AH47" s="146">
        <f t="shared" si="6"/>
        <v>70.563893075467718</v>
      </c>
      <c r="AI47" s="659">
        <f t="shared" si="11"/>
        <v>57.183338083199949</v>
      </c>
      <c r="AJ47" s="156">
        <f t="shared" si="7"/>
        <v>68.348043270798016</v>
      </c>
      <c r="AK47" s="88"/>
      <c r="AL47" s="148">
        <f t="shared" si="8"/>
        <v>4304.778276553543</v>
      </c>
    </row>
    <row r="48" spans="1:38" ht="15.75" customHeight="1">
      <c r="A48" s="134" t="s">
        <v>171</v>
      </c>
      <c r="B48" s="135">
        <v>45583</v>
      </c>
      <c r="C48" s="135">
        <v>45579</v>
      </c>
      <c r="D48" s="142" t="s">
        <v>93</v>
      </c>
      <c r="E48" s="142">
        <v>20169040237</v>
      </c>
      <c r="F48" s="142" t="s">
        <v>172</v>
      </c>
      <c r="G48" s="132">
        <v>83</v>
      </c>
      <c r="H48" s="142" t="s">
        <v>69</v>
      </c>
      <c r="I48" s="143">
        <v>7.73</v>
      </c>
      <c r="J48" s="143">
        <v>0.65</v>
      </c>
      <c r="K48" s="138">
        <f t="shared" si="0"/>
        <v>7.6797550000000001</v>
      </c>
      <c r="L48" s="141">
        <v>0.44800000000000001</v>
      </c>
      <c r="M48" s="141">
        <v>0.42599999999999999</v>
      </c>
      <c r="N48" s="153">
        <v>0.432</v>
      </c>
      <c r="O48" s="141">
        <f t="shared" si="1"/>
        <v>0.42899999999999999</v>
      </c>
      <c r="P48" s="154">
        <v>90</v>
      </c>
      <c r="Q48" s="143">
        <v>89.184550319157296</v>
      </c>
      <c r="R48" s="144">
        <v>2654.9</v>
      </c>
      <c r="S48" s="132">
        <v>120</v>
      </c>
      <c r="T48" s="142"/>
      <c r="U48" s="142">
        <v>130</v>
      </c>
      <c r="V48" s="142">
        <v>1.1023000000000001</v>
      </c>
      <c r="W48" s="142"/>
      <c r="X48" s="142"/>
      <c r="Y48" s="142">
        <v>30</v>
      </c>
      <c r="Z48" s="143">
        <f>IF(IF(D48="UNTUCA",IF(+((W48-3)*1.5+(X48-3)*3.1)&gt;0,+((W48-3)*1.5+(X48-3)*3.1),0),IF(+((W48-3)*1.5+(X48-3)*3.1)&gt;0,+((W48-3)*1.5+(X48-3)*3.1),0))&lt;30,30,IF(D48="UNTUCA",IF(+((W48-3)*1.5+(X48-3)*3.1)&gt;0,+((W48-3)*1.5+(X48-3)*3.1),0),IF(+((W48-3)*1.5+(X48-3)*3.1)&gt;0,+((W48-3)*1.5+(X48-3)*3.1),0)))</f>
        <v>30</v>
      </c>
      <c r="AA48" s="144">
        <f t="shared" si="2"/>
        <v>60</v>
      </c>
      <c r="AB48" s="145">
        <f t="shared" si="3"/>
        <v>876.17846594700006</v>
      </c>
      <c r="AC48" s="145">
        <f>+(S48-T48)*V48-'data 1'!$F$4</f>
        <v>52.27600000000001</v>
      </c>
      <c r="AD48" s="145">
        <f t="shared" si="4"/>
        <v>-10.167616818436159</v>
      </c>
      <c r="AE48" s="145">
        <f t="shared" si="9"/>
        <v>-3.8619999999999948</v>
      </c>
      <c r="AF48" s="145">
        <f t="shared" si="5"/>
        <v>47.161457425146729</v>
      </c>
      <c r="AG48" s="145">
        <f t="shared" si="14"/>
        <v>85.407840606710579</v>
      </c>
      <c r="AH48" s="146">
        <f t="shared" si="6"/>
        <v>105.20201919324097</v>
      </c>
      <c r="AI48" s="659">
        <f t="shared" si="11"/>
        <v>94.734432681706494</v>
      </c>
      <c r="AJ48" s="156">
        <f t="shared" si="7"/>
        <v>101.66143513534651</v>
      </c>
      <c r="AK48" s="133"/>
      <c r="AL48" s="148">
        <f t="shared" si="8"/>
        <v>6728.8359547488035</v>
      </c>
    </row>
    <row r="49" spans="1:38" ht="15.75" customHeight="1">
      <c r="A49" s="134" t="s">
        <v>173</v>
      </c>
      <c r="B49" s="135">
        <v>45583</v>
      </c>
      <c r="C49" s="135">
        <v>45579</v>
      </c>
      <c r="D49" s="142" t="s">
        <v>93</v>
      </c>
      <c r="E49" s="142">
        <v>20169040237</v>
      </c>
      <c r="F49" s="142" t="s">
        <v>172</v>
      </c>
      <c r="G49" s="132">
        <v>80</v>
      </c>
      <c r="H49" s="142" t="s">
        <v>69</v>
      </c>
      <c r="I49" s="143">
        <v>7.58</v>
      </c>
      <c r="J49" s="143">
        <v>1.1499999999999999</v>
      </c>
      <c r="K49" s="138">
        <f t="shared" si="0"/>
        <v>7.4928299999999997</v>
      </c>
      <c r="L49" s="141">
        <v>0.32400000000000001</v>
      </c>
      <c r="M49" s="141">
        <v>0.308</v>
      </c>
      <c r="N49" s="153">
        <v>0.32800000000000001</v>
      </c>
      <c r="O49" s="141">
        <f t="shared" si="1"/>
        <v>0.318</v>
      </c>
      <c r="P49" s="154">
        <v>90</v>
      </c>
      <c r="Q49" s="143">
        <v>89.689368528511011</v>
      </c>
      <c r="R49" s="144">
        <v>2654.9</v>
      </c>
      <c r="S49" s="132">
        <v>110</v>
      </c>
      <c r="T49" s="142"/>
      <c r="U49" s="142">
        <v>130</v>
      </c>
      <c r="V49" s="142">
        <v>1.1023000000000001</v>
      </c>
      <c r="W49" s="142"/>
      <c r="X49" s="142"/>
      <c r="Y49" s="142">
        <v>30</v>
      </c>
      <c r="Z49" s="143">
        <f>IF(IF(D49="UNTUCA",IF(+((W49-3)*1.5+(X49-3)*3.1)&gt;0,+((W49-3)*1.5+(X49-3)*3.1),0),IF(+((W49-3)*1.5+(X49-3)*3.1)&gt;0,+((W49-3)*1.5+(X49-3)*3.1),0))&lt;30,30,IF(D49="UNTUCA",IF(+((W49-3)*1.5+(X49-3)*3.1)&gt;0,+((W49-3)*1.5+(X49-3)*3.1),0),IF(+((W49-3)*1.5+(X49-3)*3.1)&gt;0,+((W49-3)*1.5+(X49-3)*3.1),0)))</f>
        <v>30</v>
      </c>
      <c r="AA49" s="144">
        <f t="shared" si="2"/>
        <v>60</v>
      </c>
      <c r="AB49" s="145">
        <f t="shared" si="3"/>
        <v>609.16005867400008</v>
      </c>
      <c r="AC49" s="145">
        <f>+(S49-T49)*V49-'data 1'!$F$4</f>
        <v>41.253</v>
      </c>
      <c r="AD49" s="145">
        <f t="shared" si="4"/>
        <v>-2.8011376694945285</v>
      </c>
      <c r="AE49" s="145">
        <f t="shared" si="9"/>
        <v>-3.8619999999999948</v>
      </c>
      <c r="AF49" s="145">
        <f t="shared" si="5"/>
        <v>14.97739233819456</v>
      </c>
      <c r="AG49" s="145">
        <f t="shared" si="14"/>
        <v>49.567254668700038</v>
      </c>
      <c r="AH49" s="146">
        <f t="shared" si="6"/>
        <v>74.651910217690997</v>
      </c>
      <c r="AI49" s="659">
        <f t="shared" si="11"/>
        <v>68.901106168586836</v>
      </c>
      <c r="AJ49" s="156">
        <f t="shared" si="7"/>
        <v>73.523229981635438</v>
      </c>
      <c r="AK49" s="133"/>
      <c r="AL49" s="148">
        <f t="shared" si="8"/>
        <v>4564.3327624343083</v>
      </c>
    </row>
    <row r="50" spans="1:38" ht="15.75" customHeight="1">
      <c r="A50" s="134" t="s">
        <v>182</v>
      </c>
      <c r="B50" s="135">
        <v>45583</v>
      </c>
      <c r="C50" s="638">
        <v>45581</v>
      </c>
      <c r="D50" s="640" t="s">
        <v>93</v>
      </c>
      <c r="E50" s="640">
        <v>20169040237</v>
      </c>
      <c r="F50" s="142" t="s">
        <v>183</v>
      </c>
      <c r="G50" s="641">
        <v>52</v>
      </c>
      <c r="H50" s="640" t="s">
        <v>69</v>
      </c>
      <c r="I50" s="644">
        <v>4.51</v>
      </c>
      <c r="J50" s="644">
        <v>1</v>
      </c>
      <c r="K50" s="138">
        <f t="shared" si="0"/>
        <v>4.4649000000000001</v>
      </c>
      <c r="L50" s="646">
        <v>0.58399999999999996</v>
      </c>
      <c r="M50" s="646">
        <v>0.56100000000000005</v>
      </c>
      <c r="N50" s="646">
        <v>0.56100000000000005</v>
      </c>
      <c r="O50" s="646">
        <f t="shared" si="1"/>
        <v>0.56100000000000005</v>
      </c>
      <c r="P50" s="154">
        <v>90</v>
      </c>
      <c r="Q50" s="644">
        <v>89.34</v>
      </c>
      <c r="R50" s="144">
        <v>2655.25</v>
      </c>
      <c r="S50" s="641">
        <v>130</v>
      </c>
      <c r="T50" s="640"/>
      <c r="U50" s="640">
        <v>130</v>
      </c>
      <c r="V50" s="640">
        <v>1.1023000000000001</v>
      </c>
      <c r="W50" s="640"/>
      <c r="X50" s="640"/>
      <c r="Y50" s="142">
        <v>30</v>
      </c>
      <c r="Z50" s="143">
        <f>IF(IF(D50="UNTUCA",IF(+((W50-3)*1.5+(X50-3)*3.1)&gt;0,+((W50-3)*1.5+(X50-3)*3.1),0),IF(+((W50-3)*1.5+(X50-3)*3.1)&gt;0,+((W50-3)*1.5+(X50-3)*3.1),0))&lt;30,30,IF(D50="UNTUCA",IF(+((W50-3)*1.5+(X50-3)*3.1)&gt;0,+((W50-3)*1.5+(X50-3)*3.1),0),IF(+((W50-3)*1.5+(X50-3)*3.1)&gt;0,+((W50-3)*1.5+(X50-3)*3.1),0)))</f>
        <v>30</v>
      </c>
      <c r="AA50" s="144">
        <f t="shared" si="2"/>
        <v>60</v>
      </c>
      <c r="AB50" s="145">
        <f t="shared" si="3"/>
        <v>1195.9940945675003</v>
      </c>
      <c r="AC50" s="145">
        <f>+(S50-T50)*V50-'data 1'!$F$4</f>
        <v>63.299000000000007</v>
      </c>
      <c r="AD50" s="145">
        <f t="shared" si="4"/>
        <v>-10.729042604279943</v>
      </c>
      <c r="AE50" s="145">
        <f t="shared" si="9"/>
        <v>-3.8619999999999948</v>
      </c>
      <c r="AF50" s="145">
        <f t="shared" si="5"/>
        <v>57.197621741714784</v>
      </c>
      <c r="AG50" s="145">
        <f t="shared" si="14"/>
        <v>105.90557913743486</v>
      </c>
      <c r="AH50" s="146">
        <f t="shared" si="6"/>
        <v>79.869249029596119</v>
      </c>
      <c r="AI50" s="659">
        <f t="shared" si="11"/>
        <v>123.50705755548</v>
      </c>
      <c r="AJ50" s="156">
        <f t="shared" si="7"/>
        <v>77.29051061483429</v>
      </c>
      <c r="AK50" s="661"/>
      <c r="AL50" s="148">
        <f t="shared" si="8"/>
        <v>5339.9940328344319</v>
      </c>
    </row>
    <row r="89" spans="2:38" ht="15.75" customHeight="1">
      <c r="B89" s="135"/>
      <c r="G89" s="80"/>
      <c r="L89" s="139"/>
      <c r="M89" s="139"/>
      <c r="N89" s="139"/>
      <c r="O89" s="139"/>
      <c r="S89" s="80"/>
      <c r="AG89" s="711"/>
      <c r="AH89" s="80"/>
      <c r="AI89" s="80"/>
      <c r="AJ89" s="80"/>
      <c r="AK89" s="88"/>
      <c r="AL89" s="148"/>
    </row>
    <row r="90" spans="2:38" ht="15.75" customHeight="1">
      <c r="B90" s="135"/>
      <c r="G90" s="80"/>
      <c r="L90" s="139"/>
      <c r="M90" s="139"/>
      <c r="N90" s="139"/>
      <c r="O90" s="139"/>
      <c r="S90" s="80"/>
      <c r="AH90" s="80"/>
      <c r="AI90" s="80"/>
      <c r="AJ90" s="80"/>
      <c r="AK90" s="88"/>
      <c r="AL90" s="148"/>
    </row>
    <row r="91" spans="2:38" ht="15.75" customHeight="1">
      <c r="B91" s="135"/>
      <c r="G91" s="80"/>
      <c r="L91" s="139"/>
      <c r="M91" s="139"/>
      <c r="N91" s="139"/>
      <c r="O91" s="139"/>
      <c r="S91" s="80"/>
      <c r="AG91" s="711"/>
      <c r="AH91" s="80"/>
      <c r="AI91" s="80"/>
      <c r="AJ91" s="80"/>
      <c r="AK91" s="88"/>
      <c r="AL91" s="148"/>
    </row>
    <row r="92" spans="2:38" ht="15.75" customHeight="1">
      <c r="B92" s="135"/>
      <c r="G92" s="80"/>
      <c r="L92" s="139"/>
      <c r="M92" s="139"/>
      <c r="N92" s="139"/>
      <c r="O92" s="139"/>
      <c r="S92" s="80"/>
      <c r="AH92" s="80"/>
      <c r="AI92" s="80"/>
      <c r="AJ92" s="80"/>
      <c r="AK92" s="88"/>
      <c r="AL92" s="148"/>
    </row>
    <row r="93" spans="2:38" ht="15.75" customHeight="1">
      <c r="B93" s="135"/>
      <c r="G93" s="80"/>
      <c r="L93" s="139"/>
      <c r="M93" s="139"/>
      <c r="N93" s="139"/>
      <c r="O93" s="139"/>
      <c r="S93" s="80"/>
      <c r="AH93" s="80"/>
      <c r="AI93" s="80"/>
      <c r="AJ93" s="80"/>
      <c r="AK93" s="88"/>
      <c r="AL93" s="148"/>
    </row>
    <row r="94" spans="2:38" ht="15.75" customHeight="1">
      <c r="B94" s="135"/>
      <c r="G94" s="80"/>
      <c r="L94" s="139"/>
      <c r="M94" s="139"/>
      <c r="N94" s="139"/>
      <c r="O94" s="139"/>
      <c r="S94" s="80"/>
      <c r="AH94" s="80"/>
      <c r="AI94" s="80"/>
      <c r="AJ94" s="80"/>
      <c r="AK94" s="88"/>
      <c r="AL94" s="148"/>
    </row>
    <row r="95" spans="2:38" ht="15.75" customHeight="1">
      <c r="B95" s="135"/>
      <c r="G95" s="80"/>
      <c r="L95" s="139"/>
      <c r="M95" s="139"/>
      <c r="N95" s="139"/>
      <c r="O95" s="139"/>
      <c r="S95" s="80"/>
      <c r="AH95" s="80"/>
      <c r="AI95" s="80"/>
      <c r="AJ95" s="80"/>
      <c r="AK95" s="88"/>
      <c r="AL95" s="148"/>
    </row>
    <row r="96" spans="2:38" ht="15.75" customHeight="1">
      <c r="B96" s="135"/>
      <c r="G96" s="80"/>
      <c r="L96" s="139"/>
      <c r="M96" s="139"/>
      <c r="N96" s="139"/>
      <c r="O96" s="139"/>
      <c r="S96" s="80"/>
      <c r="AH96" s="80"/>
      <c r="AI96" s="80"/>
      <c r="AJ96" s="80"/>
      <c r="AK96" s="88"/>
      <c r="AL96" s="148"/>
    </row>
    <row r="97" spans="2:38" ht="15.75" customHeight="1">
      <c r="B97" s="135"/>
      <c r="G97" s="80"/>
      <c r="H97" s="745"/>
      <c r="K97" s="746"/>
      <c r="L97" s="139"/>
      <c r="M97" s="139"/>
      <c r="N97" s="139"/>
      <c r="O97" s="139"/>
      <c r="S97" s="80"/>
      <c r="AH97" s="80"/>
      <c r="AI97" s="80"/>
      <c r="AJ97" s="80"/>
      <c r="AK97" s="88"/>
      <c r="AL97" s="148"/>
    </row>
    <row r="98" spans="2:38" ht="15.75" customHeight="1">
      <c r="B98" s="135"/>
      <c r="G98" s="80"/>
      <c r="L98" s="139"/>
      <c r="M98" s="139"/>
      <c r="N98" s="139"/>
      <c r="O98" s="139"/>
      <c r="S98" s="80"/>
      <c r="AH98" s="80"/>
      <c r="AI98" s="80"/>
      <c r="AJ98" s="80"/>
      <c r="AK98" s="88"/>
      <c r="AL98" s="148"/>
    </row>
    <row r="99" spans="2:38" ht="15.75" customHeight="1">
      <c r="B99" s="135"/>
      <c r="G99" s="80"/>
      <c r="L99" s="139"/>
      <c r="M99" s="139"/>
      <c r="N99" s="139"/>
      <c r="O99" s="139"/>
      <c r="S99" s="80"/>
      <c r="AH99" s="80"/>
      <c r="AI99" s="80"/>
      <c r="AJ99" s="80"/>
      <c r="AK99" s="88"/>
      <c r="AL99" s="148"/>
    </row>
    <row r="100" spans="2:38" ht="15.75" customHeight="1">
      <c r="B100" s="135"/>
      <c r="G100" s="80"/>
      <c r="L100" s="139"/>
      <c r="M100" s="139"/>
      <c r="N100" s="139"/>
      <c r="O100" s="139"/>
      <c r="S100" s="80"/>
      <c r="AH100" s="80"/>
      <c r="AI100" s="80"/>
      <c r="AJ100" s="80"/>
      <c r="AK100" s="88"/>
      <c r="AL100" s="148"/>
    </row>
    <row r="101" spans="2:38" ht="15.75" customHeight="1">
      <c r="B101" s="135"/>
      <c r="G101" s="80"/>
      <c r="L101" s="139"/>
      <c r="M101" s="139"/>
      <c r="N101" s="139"/>
      <c r="O101" s="139"/>
      <c r="S101" s="80"/>
      <c r="AH101" s="80"/>
      <c r="AI101" s="80"/>
      <c r="AJ101" s="80"/>
      <c r="AK101" s="88"/>
      <c r="AL101" s="148"/>
    </row>
    <row r="102" spans="2:38" ht="15.75" customHeight="1">
      <c r="B102" s="135"/>
      <c r="G102" s="80"/>
      <c r="L102" s="139"/>
      <c r="M102" s="139"/>
      <c r="N102" s="139"/>
      <c r="O102" s="139"/>
      <c r="S102" s="80"/>
      <c r="AH102" s="80"/>
      <c r="AI102" s="80"/>
      <c r="AJ102" s="80"/>
      <c r="AK102" s="88"/>
      <c r="AL102" s="148"/>
    </row>
    <row r="103" spans="2:38" ht="15.75" customHeight="1">
      <c r="B103" s="135"/>
      <c r="G103" s="80"/>
      <c r="L103" s="139"/>
      <c r="M103" s="139"/>
      <c r="N103" s="139"/>
      <c r="O103" s="139"/>
      <c r="S103" s="80"/>
      <c r="AH103" s="80"/>
      <c r="AI103" s="80"/>
      <c r="AJ103" s="80"/>
      <c r="AK103" s="88"/>
      <c r="AL103" s="148"/>
    </row>
    <row r="104" spans="2:38" ht="15.75" customHeight="1">
      <c r="B104" s="135"/>
      <c r="G104" s="80"/>
      <c r="L104" s="139"/>
      <c r="M104" s="139"/>
      <c r="N104" s="139"/>
      <c r="O104" s="139"/>
      <c r="S104" s="80"/>
      <c r="AH104" s="80"/>
      <c r="AI104" s="80"/>
      <c r="AJ104" s="80"/>
      <c r="AK104" s="88"/>
      <c r="AL104" s="148"/>
    </row>
    <row r="105" spans="2:38" ht="15.75" customHeight="1">
      <c r="B105" s="135"/>
      <c r="G105" s="80"/>
      <c r="L105" s="139"/>
      <c r="M105" s="139"/>
      <c r="N105" s="139"/>
      <c r="O105" s="139"/>
      <c r="S105" s="80"/>
      <c r="AH105" s="80"/>
      <c r="AI105" s="80"/>
      <c r="AJ105" s="80"/>
      <c r="AK105" s="88"/>
      <c r="AL105" s="148"/>
    </row>
    <row r="106" spans="2:38" ht="15.75" customHeight="1">
      <c r="B106" s="135"/>
      <c r="G106" s="80"/>
      <c r="L106" s="139"/>
      <c r="M106" s="139"/>
      <c r="N106" s="139"/>
      <c r="O106" s="139"/>
      <c r="S106" s="80"/>
      <c r="AH106" s="80"/>
      <c r="AI106" s="80"/>
      <c r="AJ106" s="80"/>
      <c r="AK106" s="88"/>
      <c r="AL106" s="148"/>
    </row>
    <row r="107" spans="2:38" ht="15.75" customHeight="1">
      <c r="B107" s="135"/>
      <c r="G107" s="80"/>
      <c r="L107" s="139"/>
      <c r="M107" s="139"/>
      <c r="N107" s="139"/>
      <c r="O107" s="139"/>
      <c r="S107" s="80"/>
      <c r="AH107" s="80"/>
      <c r="AI107" s="80"/>
      <c r="AJ107" s="80"/>
      <c r="AK107" s="88"/>
      <c r="AL107" s="148"/>
    </row>
    <row r="108" spans="2:38" ht="15.75" customHeight="1">
      <c r="B108" s="135"/>
      <c r="G108" s="80"/>
      <c r="L108" s="139"/>
      <c r="M108" s="139"/>
      <c r="N108" s="139"/>
      <c r="O108" s="139"/>
      <c r="S108" s="80"/>
      <c r="AH108" s="80"/>
      <c r="AI108" s="80"/>
      <c r="AJ108" s="80"/>
      <c r="AK108" s="88"/>
      <c r="AL108" s="148"/>
    </row>
    <row r="109" spans="2:38" ht="15.75" customHeight="1">
      <c r="B109" s="135"/>
      <c r="G109" s="80"/>
      <c r="L109" s="139"/>
      <c r="M109" s="139"/>
      <c r="N109" s="139"/>
      <c r="O109" s="139"/>
      <c r="S109" s="80"/>
      <c r="AH109" s="80"/>
      <c r="AI109" s="80"/>
      <c r="AJ109" s="80"/>
      <c r="AK109" s="88"/>
      <c r="AL109" s="148"/>
    </row>
    <row r="110" spans="2:38" ht="15.75" customHeight="1">
      <c r="B110" s="135"/>
      <c r="G110" s="80"/>
      <c r="L110" s="139"/>
      <c r="M110" s="139"/>
      <c r="N110" s="139"/>
      <c r="O110" s="139"/>
      <c r="S110" s="80"/>
      <c r="AH110" s="80"/>
      <c r="AI110" s="80"/>
      <c r="AJ110" s="80"/>
      <c r="AK110" s="88"/>
      <c r="AL110" s="148"/>
    </row>
    <row r="111" spans="2:38" ht="15.75" customHeight="1">
      <c r="B111" s="135"/>
      <c r="G111" s="80"/>
      <c r="L111" s="139"/>
      <c r="M111" s="139"/>
      <c r="N111" s="139"/>
      <c r="O111" s="139"/>
      <c r="S111" s="80"/>
      <c r="AH111" s="80"/>
      <c r="AI111" s="80"/>
      <c r="AJ111" s="80"/>
      <c r="AK111" s="88"/>
      <c r="AL111" s="148"/>
    </row>
    <row r="112" spans="2:38" ht="15.75" customHeight="1">
      <c r="B112" s="135"/>
      <c r="G112" s="80"/>
      <c r="L112" s="139"/>
      <c r="M112" s="139"/>
      <c r="N112" s="139"/>
      <c r="O112" s="139"/>
      <c r="S112" s="80"/>
      <c r="AH112" s="80"/>
      <c r="AI112" s="80"/>
      <c r="AJ112" s="80"/>
      <c r="AK112" s="88"/>
      <c r="AL112" s="148"/>
    </row>
    <row r="113" spans="2:38" ht="15.75" customHeight="1">
      <c r="B113" s="135"/>
      <c r="G113" s="80"/>
      <c r="L113" s="139"/>
      <c r="M113" s="139"/>
      <c r="N113" s="139"/>
      <c r="O113" s="139"/>
      <c r="S113" s="80"/>
      <c r="AH113" s="80"/>
      <c r="AI113" s="80"/>
      <c r="AJ113" s="80"/>
      <c r="AK113" s="88"/>
      <c r="AL113" s="148"/>
    </row>
    <row r="114" spans="2:38" ht="15.75" customHeight="1">
      <c r="B114" s="135"/>
      <c r="G114" s="80"/>
      <c r="L114" s="139"/>
      <c r="M114" s="139"/>
      <c r="N114" s="139"/>
      <c r="O114" s="139"/>
      <c r="S114" s="80"/>
      <c r="AH114" s="80"/>
      <c r="AI114" s="80"/>
      <c r="AJ114" s="80"/>
      <c r="AK114" s="88"/>
      <c r="AL114" s="148"/>
    </row>
    <row r="115" spans="2:38" ht="15.75" customHeight="1">
      <c r="B115" s="135"/>
      <c r="G115" s="80"/>
      <c r="L115" s="139"/>
      <c r="M115" s="139"/>
      <c r="N115" s="139"/>
      <c r="O115" s="139"/>
      <c r="S115" s="80"/>
      <c r="AH115" s="80"/>
      <c r="AI115" s="80"/>
      <c r="AJ115" s="80"/>
      <c r="AK115" s="88"/>
      <c r="AL115" s="148"/>
    </row>
    <row r="116" spans="2:38" ht="15.75" customHeight="1">
      <c r="B116" s="135"/>
      <c r="G116" s="80"/>
      <c r="L116" s="139"/>
      <c r="M116" s="139"/>
      <c r="N116" s="139"/>
      <c r="O116" s="139"/>
      <c r="S116" s="80"/>
      <c r="AH116" s="80"/>
      <c r="AI116" s="80"/>
      <c r="AJ116" s="80"/>
      <c r="AK116" s="88"/>
      <c r="AL116" s="148"/>
    </row>
    <row r="117" spans="2:38" ht="15.75" customHeight="1">
      <c r="B117" s="135"/>
      <c r="G117" s="80"/>
      <c r="L117" s="139"/>
      <c r="M117" s="139"/>
      <c r="N117" s="139"/>
      <c r="O117" s="139"/>
      <c r="S117" s="80"/>
      <c r="AH117" s="80"/>
      <c r="AI117" s="80"/>
      <c r="AJ117" s="80"/>
      <c r="AK117" s="88"/>
      <c r="AL117" s="148"/>
    </row>
    <row r="118" spans="2:38" ht="15.75" customHeight="1">
      <c r="B118" s="135"/>
      <c r="G118" s="80"/>
      <c r="L118" s="139"/>
      <c r="M118" s="139"/>
      <c r="N118" s="139"/>
      <c r="O118" s="139"/>
      <c r="S118" s="80"/>
      <c r="AH118" s="80"/>
      <c r="AI118" s="80"/>
      <c r="AJ118" s="80"/>
      <c r="AK118" s="88"/>
      <c r="AL118" s="148"/>
    </row>
    <row r="119" spans="2:38" ht="15.75" customHeight="1">
      <c r="B119" s="135"/>
      <c r="G119" s="80"/>
      <c r="L119" s="139"/>
      <c r="M119" s="139"/>
      <c r="N119" s="139"/>
      <c r="O119" s="139"/>
      <c r="S119" s="80"/>
      <c r="AH119" s="80"/>
      <c r="AI119" s="80"/>
      <c r="AJ119" s="80"/>
      <c r="AK119" s="88"/>
      <c r="AL119" s="148"/>
    </row>
    <row r="120" spans="2:38" ht="15.75" customHeight="1">
      <c r="B120" s="135"/>
      <c r="G120" s="80"/>
      <c r="L120" s="139"/>
      <c r="M120" s="139"/>
      <c r="N120" s="139"/>
      <c r="O120" s="139"/>
      <c r="S120" s="80"/>
      <c r="AH120" s="80"/>
      <c r="AI120" s="80"/>
      <c r="AJ120" s="80"/>
      <c r="AK120" s="88"/>
      <c r="AL120" s="148"/>
    </row>
    <row r="121" spans="2:38" ht="15.75" customHeight="1">
      <c r="B121" s="135"/>
      <c r="G121" s="80"/>
      <c r="L121" s="139"/>
      <c r="M121" s="139"/>
      <c r="N121" s="139"/>
      <c r="O121" s="139"/>
      <c r="S121" s="80"/>
      <c r="AH121" s="80"/>
      <c r="AI121" s="80"/>
      <c r="AJ121" s="80"/>
      <c r="AK121" s="88"/>
      <c r="AL121" s="148"/>
    </row>
    <row r="122" spans="2:38" ht="15.75" customHeight="1">
      <c r="B122" s="135"/>
      <c r="G122" s="80"/>
      <c r="L122" s="139"/>
      <c r="M122" s="139"/>
      <c r="N122" s="139"/>
      <c r="O122" s="139"/>
      <c r="S122" s="80"/>
      <c r="AH122" s="80"/>
      <c r="AI122" s="80"/>
      <c r="AJ122" s="80"/>
      <c r="AK122" s="88"/>
      <c r="AL122" s="148"/>
    </row>
    <row r="123" spans="2:38" ht="15.75" customHeight="1">
      <c r="B123" s="135"/>
      <c r="G123" s="80"/>
      <c r="L123" s="139"/>
      <c r="M123" s="139"/>
      <c r="N123" s="139"/>
      <c r="O123" s="139"/>
      <c r="S123" s="80"/>
      <c r="AH123" s="80"/>
      <c r="AI123" s="80"/>
      <c r="AJ123" s="80"/>
      <c r="AK123" s="88"/>
      <c r="AL123" s="148"/>
    </row>
    <row r="124" spans="2:38" ht="15.75" customHeight="1">
      <c r="B124" s="135"/>
      <c r="G124" s="80"/>
      <c r="L124" s="139"/>
      <c r="M124" s="139"/>
      <c r="N124" s="139"/>
      <c r="O124" s="139"/>
      <c r="S124" s="80"/>
      <c r="AH124" s="80"/>
      <c r="AI124" s="80"/>
      <c r="AJ124" s="80"/>
      <c r="AK124" s="88"/>
      <c r="AL124" s="148"/>
    </row>
    <row r="125" spans="2:38" ht="15.75" customHeight="1">
      <c r="B125" s="135"/>
      <c r="G125" s="80"/>
      <c r="L125" s="139"/>
      <c r="M125" s="139"/>
      <c r="N125" s="139"/>
      <c r="O125" s="139"/>
      <c r="S125" s="80"/>
      <c r="AH125" s="80"/>
      <c r="AI125" s="80"/>
      <c r="AJ125" s="80"/>
      <c r="AK125" s="88"/>
      <c r="AL125" s="148"/>
    </row>
    <row r="126" spans="2:38" ht="15.75" customHeight="1">
      <c r="B126" s="135"/>
      <c r="G126" s="80"/>
      <c r="L126" s="139"/>
      <c r="M126" s="139"/>
      <c r="N126" s="139"/>
      <c r="O126" s="139"/>
      <c r="S126" s="80"/>
      <c r="AH126" s="80"/>
      <c r="AI126" s="80"/>
      <c r="AJ126" s="80"/>
      <c r="AK126" s="88"/>
      <c r="AL126" s="148"/>
    </row>
    <row r="127" spans="2:38" ht="15.75" customHeight="1">
      <c r="B127" s="135"/>
      <c r="G127" s="80"/>
      <c r="L127" s="139"/>
      <c r="M127" s="139"/>
      <c r="N127" s="139"/>
      <c r="O127" s="139"/>
      <c r="S127" s="80"/>
      <c r="AH127" s="80"/>
      <c r="AI127" s="80"/>
      <c r="AJ127" s="80"/>
      <c r="AK127" s="88"/>
      <c r="AL127" s="148"/>
    </row>
    <row r="128" spans="2:38" ht="15.75" customHeight="1">
      <c r="B128" s="135"/>
      <c r="G128" s="80"/>
      <c r="L128" s="139"/>
      <c r="M128" s="139"/>
      <c r="N128" s="139"/>
      <c r="O128" s="139"/>
      <c r="S128" s="80"/>
      <c r="AH128" s="80"/>
      <c r="AI128" s="80"/>
      <c r="AJ128" s="80"/>
      <c r="AK128" s="88"/>
      <c r="AL128" s="148"/>
    </row>
    <row r="129" spans="2:38" ht="15.75" customHeight="1">
      <c r="B129" s="135"/>
      <c r="G129" s="80"/>
      <c r="L129" s="139"/>
      <c r="M129" s="139"/>
      <c r="N129" s="139"/>
      <c r="O129" s="139"/>
      <c r="S129" s="80"/>
      <c r="AH129" s="80"/>
      <c r="AI129" s="80"/>
      <c r="AJ129" s="80"/>
      <c r="AK129" s="88"/>
      <c r="AL129" s="148"/>
    </row>
    <row r="130" spans="2:38" ht="15.75" customHeight="1">
      <c r="B130" s="135"/>
      <c r="G130" s="80"/>
      <c r="L130" s="139"/>
      <c r="M130" s="139"/>
      <c r="N130" s="139"/>
      <c r="O130" s="139"/>
      <c r="S130" s="80"/>
      <c r="AH130" s="80"/>
      <c r="AI130" s="80"/>
      <c r="AJ130" s="80"/>
      <c r="AK130" s="88"/>
      <c r="AL130" s="148"/>
    </row>
    <row r="131" spans="2:38" ht="15.75" customHeight="1">
      <c r="B131" s="135"/>
      <c r="G131" s="80"/>
      <c r="L131" s="139"/>
      <c r="M131" s="139"/>
      <c r="N131" s="139"/>
      <c r="O131" s="139"/>
      <c r="S131" s="80"/>
      <c r="AH131" s="80"/>
      <c r="AI131" s="80"/>
      <c r="AJ131" s="80"/>
      <c r="AK131" s="88"/>
      <c r="AL131" s="148"/>
    </row>
    <row r="132" spans="2:38" ht="15.75" customHeight="1">
      <c r="B132" s="135"/>
      <c r="G132" s="80"/>
      <c r="L132" s="139"/>
      <c r="M132" s="139"/>
      <c r="N132" s="139"/>
      <c r="O132" s="139"/>
      <c r="S132" s="80"/>
      <c r="AH132" s="80"/>
      <c r="AI132" s="80"/>
      <c r="AJ132" s="80"/>
      <c r="AK132" s="88"/>
      <c r="AL132" s="148"/>
    </row>
    <row r="133" spans="2:38" ht="15.75" customHeight="1">
      <c r="B133" s="135"/>
      <c r="G133" s="80"/>
      <c r="L133" s="139"/>
      <c r="M133" s="139"/>
      <c r="N133" s="139"/>
      <c r="O133" s="139"/>
      <c r="S133" s="80"/>
      <c r="AH133" s="80"/>
      <c r="AI133" s="80"/>
      <c r="AJ133" s="80"/>
      <c r="AK133" s="88"/>
      <c r="AL133" s="148"/>
    </row>
    <row r="134" spans="2:38" ht="15.75" customHeight="1">
      <c r="B134" s="135"/>
      <c r="G134" s="80"/>
      <c r="L134" s="139"/>
      <c r="M134" s="139"/>
      <c r="N134" s="139"/>
      <c r="O134" s="139"/>
      <c r="S134" s="80"/>
      <c r="AH134" s="80"/>
      <c r="AI134" s="80"/>
      <c r="AJ134" s="80"/>
      <c r="AK134" s="88"/>
      <c r="AL134" s="148"/>
    </row>
    <row r="135" spans="2:38" ht="15.75" customHeight="1">
      <c r="B135" s="135"/>
      <c r="G135" s="80"/>
      <c r="L135" s="139"/>
      <c r="M135" s="139"/>
      <c r="N135" s="139"/>
      <c r="O135" s="139"/>
      <c r="S135" s="80"/>
      <c r="AH135" s="80"/>
      <c r="AI135" s="80"/>
      <c r="AJ135" s="80"/>
      <c r="AK135" s="88"/>
      <c r="AL135" s="148"/>
    </row>
    <row r="136" spans="2:38" ht="15.75" customHeight="1">
      <c r="B136" s="135"/>
      <c r="G136" s="80"/>
      <c r="L136" s="139"/>
      <c r="M136" s="139"/>
      <c r="N136" s="139"/>
      <c r="O136" s="139"/>
      <c r="S136" s="80"/>
      <c r="AH136" s="80"/>
      <c r="AI136" s="80"/>
      <c r="AJ136" s="80"/>
      <c r="AK136" s="88"/>
      <c r="AL136" s="148"/>
    </row>
    <row r="137" spans="2:38" ht="15.75" customHeight="1">
      <c r="B137" s="135"/>
      <c r="G137" s="80"/>
      <c r="L137" s="139"/>
      <c r="M137" s="139"/>
      <c r="N137" s="139"/>
      <c r="O137" s="139"/>
      <c r="S137" s="80"/>
      <c r="AH137" s="80"/>
      <c r="AI137" s="80"/>
      <c r="AJ137" s="80"/>
      <c r="AK137" s="88"/>
      <c r="AL137" s="148"/>
    </row>
    <row r="138" spans="2:38" ht="15.75" customHeight="1">
      <c r="B138" s="135"/>
      <c r="G138" s="80"/>
      <c r="L138" s="139"/>
      <c r="M138" s="139"/>
      <c r="N138" s="139"/>
      <c r="O138" s="139"/>
      <c r="S138" s="80"/>
      <c r="AH138" s="80"/>
      <c r="AI138" s="80"/>
      <c r="AJ138" s="80"/>
      <c r="AK138" s="88"/>
      <c r="AL138" s="148"/>
    </row>
    <row r="139" spans="2:38" ht="15.75" customHeight="1">
      <c r="B139" s="135"/>
      <c r="G139" s="80"/>
      <c r="L139" s="139"/>
      <c r="M139" s="139"/>
      <c r="N139" s="139"/>
      <c r="O139" s="139"/>
      <c r="S139" s="80"/>
      <c r="AH139" s="80"/>
      <c r="AI139" s="80"/>
      <c r="AJ139" s="80"/>
      <c r="AK139" s="88"/>
      <c r="AL139" s="148"/>
    </row>
    <row r="140" spans="2:38" ht="15.75" customHeight="1">
      <c r="B140" s="135"/>
      <c r="G140" s="80"/>
      <c r="L140" s="139"/>
      <c r="M140" s="139"/>
      <c r="N140" s="139"/>
      <c r="O140" s="139"/>
      <c r="S140" s="80"/>
      <c r="AH140" s="80"/>
      <c r="AI140" s="80"/>
      <c r="AJ140" s="80"/>
      <c r="AK140" s="88"/>
      <c r="AL140" s="148"/>
    </row>
    <row r="141" spans="2:38" ht="15.75" customHeight="1">
      <c r="B141" s="135"/>
      <c r="G141" s="80"/>
      <c r="L141" s="139"/>
      <c r="M141" s="139"/>
      <c r="N141" s="139"/>
      <c r="O141" s="139"/>
      <c r="S141" s="80"/>
      <c r="AH141" s="80"/>
      <c r="AI141" s="80"/>
      <c r="AJ141" s="80"/>
      <c r="AK141" s="88"/>
      <c r="AL141" s="148"/>
    </row>
    <row r="142" spans="2:38" ht="15.75" customHeight="1">
      <c r="B142" s="135"/>
      <c r="G142" s="80"/>
      <c r="L142" s="139"/>
      <c r="M142" s="139"/>
      <c r="N142" s="139"/>
      <c r="O142" s="139"/>
      <c r="S142" s="80"/>
      <c r="AH142" s="80"/>
      <c r="AI142" s="80"/>
      <c r="AJ142" s="80"/>
      <c r="AK142" s="88"/>
      <c r="AL142" s="148"/>
    </row>
    <row r="143" spans="2:38" ht="15.75" customHeight="1">
      <c r="B143" s="135"/>
      <c r="G143" s="80"/>
      <c r="L143" s="139"/>
      <c r="M143" s="139"/>
      <c r="N143" s="139"/>
      <c r="O143" s="139"/>
      <c r="S143" s="80"/>
      <c r="AH143" s="80"/>
      <c r="AI143" s="80"/>
      <c r="AJ143" s="80"/>
      <c r="AK143" s="88"/>
      <c r="AL143" s="148"/>
    </row>
    <row r="144" spans="2:38" ht="15.75" customHeight="1">
      <c r="B144" s="135"/>
      <c r="G144" s="80"/>
      <c r="L144" s="139"/>
      <c r="M144" s="139"/>
      <c r="N144" s="139"/>
      <c r="O144" s="139"/>
      <c r="S144" s="80"/>
      <c r="AH144" s="80"/>
      <c r="AI144" s="80"/>
      <c r="AJ144" s="80"/>
      <c r="AK144" s="88"/>
      <c r="AL144" s="148"/>
    </row>
    <row r="145" spans="2:38" ht="15.75" customHeight="1">
      <c r="B145" s="135"/>
      <c r="G145" s="80"/>
      <c r="L145" s="139"/>
      <c r="M145" s="139"/>
      <c r="N145" s="139"/>
      <c r="O145" s="139"/>
      <c r="S145" s="80"/>
      <c r="AH145" s="80"/>
      <c r="AI145" s="80"/>
      <c r="AJ145" s="80"/>
      <c r="AK145" s="88"/>
      <c r="AL145" s="148"/>
    </row>
    <row r="146" spans="2:38" ht="15.75" customHeight="1">
      <c r="B146" s="135"/>
      <c r="G146" s="80"/>
      <c r="L146" s="139"/>
      <c r="M146" s="139"/>
      <c r="N146" s="139"/>
      <c r="O146" s="139"/>
      <c r="S146" s="80"/>
      <c r="AH146" s="80"/>
      <c r="AI146" s="80"/>
      <c r="AJ146" s="80"/>
      <c r="AK146" s="88"/>
      <c r="AL146" s="148"/>
    </row>
    <row r="147" spans="2:38" ht="15.75" customHeight="1">
      <c r="B147" s="135"/>
      <c r="G147" s="80"/>
      <c r="L147" s="139"/>
      <c r="M147" s="139"/>
      <c r="N147" s="139"/>
      <c r="O147" s="139"/>
      <c r="S147" s="80"/>
      <c r="AH147" s="80"/>
      <c r="AI147" s="80"/>
      <c r="AJ147" s="80"/>
      <c r="AK147" s="88"/>
      <c r="AL147" s="148"/>
    </row>
    <row r="148" spans="2:38" ht="15.75" customHeight="1">
      <c r="B148" s="135"/>
      <c r="G148" s="80"/>
      <c r="L148" s="139"/>
      <c r="M148" s="139"/>
      <c r="N148" s="139"/>
      <c r="O148" s="139"/>
      <c r="S148" s="80"/>
      <c r="AH148" s="80"/>
      <c r="AI148" s="80"/>
      <c r="AJ148" s="80"/>
      <c r="AK148" s="88"/>
      <c r="AL148" s="148"/>
    </row>
    <row r="149" spans="2:38" ht="15.75" customHeight="1">
      <c r="B149" s="135"/>
      <c r="G149" s="80"/>
      <c r="L149" s="139"/>
      <c r="M149" s="139"/>
      <c r="N149" s="139"/>
      <c r="O149" s="139"/>
      <c r="S149" s="80"/>
      <c r="AH149" s="80"/>
      <c r="AI149" s="80"/>
      <c r="AJ149" s="80"/>
      <c r="AK149" s="88"/>
      <c r="AL149" s="148"/>
    </row>
    <row r="150" spans="2:38" ht="15.75" customHeight="1">
      <c r="B150" s="135"/>
      <c r="G150" s="80"/>
      <c r="L150" s="139"/>
      <c r="M150" s="139"/>
      <c r="N150" s="139"/>
      <c r="O150" s="139"/>
      <c r="S150" s="80"/>
      <c r="AH150" s="80"/>
      <c r="AI150" s="80"/>
      <c r="AJ150" s="80"/>
      <c r="AK150" s="88"/>
      <c r="AL150" s="148"/>
    </row>
    <row r="151" spans="2:38" ht="15.75" customHeight="1">
      <c r="B151" s="135"/>
      <c r="G151" s="80"/>
      <c r="L151" s="139"/>
      <c r="M151" s="139"/>
      <c r="N151" s="139"/>
      <c r="O151" s="139"/>
      <c r="S151" s="80"/>
      <c r="AH151" s="80"/>
      <c r="AI151" s="80"/>
      <c r="AJ151" s="80"/>
      <c r="AK151" s="88"/>
      <c r="AL151" s="148"/>
    </row>
    <row r="152" spans="2:38" ht="15.75" customHeight="1">
      <c r="G152" s="80"/>
      <c r="L152" s="139"/>
      <c r="M152" s="139"/>
      <c r="N152" s="139"/>
      <c r="O152" s="139"/>
      <c r="S152" s="80"/>
      <c r="AH152" s="80"/>
      <c r="AI152" s="80"/>
      <c r="AJ152" s="80"/>
      <c r="AK152" s="88"/>
      <c r="AL152" s="148"/>
    </row>
    <row r="153" spans="2:38" ht="15.75" customHeight="1">
      <c r="G153" s="80"/>
      <c r="L153" s="139"/>
      <c r="M153" s="139"/>
      <c r="N153" s="139"/>
      <c r="O153" s="139"/>
      <c r="S153" s="80"/>
      <c r="AH153" s="80"/>
      <c r="AI153" s="80"/>
      <c r="AJ153" s="80"/>
      <c r="AK153" s="88"/>
      <c r="AL153" s="148"/>
    </row>
    <row r="154" spans="2:38" ht="15.75" customHeight="1">
      <c r="G154" s="80"/>
      <c r="L154" s="139"/>
      <c r="M154" s="139"/>
      <c r="N154" s="139"/>
      <c r="O154" s="139"/>
      <c r="S154" s="80"/>
      <c r="AH154" s="80"/>
      <c r="AI154" s="80"/>
      <c r="AJ154" s="80"/>
      <c r="AK154" s="88"/>
      <c r="AL154" s="148"/>
    </row>
    <row r="155" spans="2:38" ht="15.75" customHeight="1">
      <c r="G155" s="80"/>
      <c r="L155" s="139"/>
      <c r="M155" s="139"/>
      <c r="N155" s="139"/>
      <c r="O155" s="139"/>
      <c r="S155" s="80"/>
      <c r="AH155" s="80"/>
      <c r="AI155" s="80"/>
      <c r="AJ155" s="80"/>
      <c r="AK155" s="88"/>
      <c r="AL155" s="148"/>
    </row>
    <row r="156" spans="2:38" ht="15.75" customHeight="1">
      <c r="G156" s="80"/>
      <c r="L156" s="139"/>
      <c r="M156" s="139"/>
      <c r="N156" s="139"/>
      <c r="O156" s="139"/>
      <c r="S156" s="80"/>
      <c r="AH156" s="80"/>
      <c r="AI156" s="80"/>
      <c r="AJ156" s="80"/>
      <c r="AK156" s="88"/>
      <c r="AL156" s="148"/>
    </row>
    <row r="157" spans="2:38" ht="15.75" customHeight="1">
      <c r="G157" s="80"/>
      <c r="L157" s="139"/>
      <c r="M157" s="139"/>
      <c r="N157" s="139"/>
      <c r="O157" s="139"/>
      <c r="S157" s="80"/>
      <c r="AH157" s="80"/>
      <c r="AI157" s="80"/>
      <c r="AJ157" s="80"/>
      <c r="AK157" s="88"/>
      <c r="AL157" s="148"/>
    </row>
    <row r="158" spans="2:38" ht="15.75" customHeight="1">
      <c r="G158" s="80"/>
      <c r="L158" s="139"/>
      <c r="M158" s="139"/>
      <c r="N158" s="139"/>
      <c r="O158" s="139"/>
      <c r="S158" s="80"/>
      <c r="AH158" s="80"/>
      <c r="AI158" s="80"/>
      <c r="AJ158" s="80"/>
      <c r="AK158" s="88"/>
      <c r="AL158" s="148"/>
    </row>
    <row r="159" spans="2:38" ht="15.75" customHeight="1">
      <c r="G159" s="80"/>
      <c r="L159" s="139"/>
      <c r="M159" s="139"/>
      <c r="N159" s="139"/>
      <c r="O159" s="139"/>
      <c r="S159" s="80"/>
      <c r="AH159" s="80"/>
      <c r="AI159" s="80"/>
      <c r="AJ159" s="80"/>
      <c r="AK159" s="88"/>
      <c r="AL159" s="148"/>
    </row>
    <row r="160" spans="2:38" ht="15.75" customHeight="1">
      <c r="G160" s="80"/>
      <c r="L160" s="139"/>
      <c r="M160" s="139"/>
      <c r="N160" s="139"/>
      <c r="O160" s="139"/>
      <c r="S160" s="80"/>
      <c r="AH160" s="80"/>
      <c r="AI160" s="80"/>
      <c r="AJ160" s="80"/>
      <c r="AK160" s="88"/>
      <c r="AL160" s="148"/>
    </row>
    <row r="161" spans="7:38" ht="15.75" customHeight="1">
      <c r="G161" s="80"/>
      <c r="L161" s="139"/>
      <c r="M161" s="139"/>
      <c r="N161" s="139"/>
      <c r="O161" s="139"/>
      <c r="S161" s="80"/>
      <c r="AH161" s="80"/>
      <c r="AI161" s="80"/>
      <c r="AJ161" s="80"/>
      <c r="AK161" s="88"/>
      <c r="AL161" s="148"/>
    </row>
    <row r="162" spans="7:38" ht="15.75" customHeight="1">
      <c r="G162" s="80"/>
      <c r="L162" s="139"/>
      <c r="M162" s="139"/>
      <c r="N162" s="139"/>
      <c r="O162" s="139"/>
      <c r="S162" s="80"/>
      <c r="AH162" s="80"/>
      <c r="AI162" s="80"/>
      <c r="AJ162" s="80"/>
      <c r="AK162" s="88"/>
      <c r="AL162" s="148"/>
    </row>
    <row r="163" spans="7:38" ht="15.75" customHeight="1">
      <c r="G163" s="80"/>
      <c r="L163" s="139"/>
      <c r="M163" s="139"/>
      <c r="N163" s="139"/>
      <c r="O163" s="139"/>
      <c r="S163" s="80"/>
      <c r="AH163" s="80"/>
      <c r="AI163" s="80"/>
      <c r="AJ163" s="80"/>
      <c r="AK163" s="88"/>
      <c r="AL163" s="148"/>
    </row>
    <row r="164" spans="7:38" ht="15.75" customHeight="1">
      <c r="G164" s="80"/>
      <c r="L164" s="139"/>
      <c r="M164" s="139"/>
      <c r="N164" s="139"/>
      <c r="O164" s="139"/>
      <c r="S164" s="80"/>
      <c r="AH164" s="80"/>
      <c r="AI164" s="80"/>
      <c r="AJ164" s="80"/>
      <c r="AK164" s="88"/>
      <c r="AL164" s="148"/>
    </row>
    <row r="165" spans="7:38" ht="15.75" customHeight="1">
      <c r="G165" s="80"/>
      <c r="L165" s="139"/>
      <c r="M165" s="139"/>
      <c r="N165" s="139"/>
      <c r="O165" s="139"/>
      <c r="S165" s="80"/>
      <c r="AH165" s="80"/>
      <c r="AI165" s="80"/>
      <c r="AJ165" s="80"/>
      <c r="AK165" s="88"/>
      <c r="AL165" s="148"/>
    </row>
    <row r="166" spans="7:38" ht="15.75" customHeight="1">
      <c r="G166" s="80"/>
      <c r="L166" s="139"/>
      <c r="M166" s="139"/>
      <c r="N166" s="139"/>
      <c r="O166" s="139"/>
      <c r="S166" s="80"/>
      <c r="AH166" s="80"/>
      <c r="AI166" s="80"/>
      <c r="AJ166" s="80"/>
      <c r="AK166" s="88"/>
      <c r="AL166" s="148"/>
    </row>
    <row r="167" spans="7:38" ht="15.75" customHeight="1">
      <c r="G167" s="80"/>
      <c r="L167" s="139"/>
      <c r="M167" s="139"/>
      <c r="N167" s="139"/>
      <c r="O167" s="139"/>
      <c r="S167" s="80"/>
      <c r="AH167" s="80"/>
      <c r="AI167" s="80"/>
      <c r="AJ167" s="80"/>
      <c r="AK167" s="88"/>
      <c r="AL167" s="148"/>
    </row>
    <row r="168" spans="7:38" ht="15.75" customHeight="1">
      <c r="G168" s="80"/>
      <c r="L168" s="139"/>
      <c r="M168" s="139"/>
      <c r="N168" s="139"/>
      <c r="O168" s="139"/>
      <c r="S168" s="80"/>
      <c r="AH168" s="80"/>
      <c r="AI168" s="80"/>
      <c r="AJ168" s="80"/>
      <c r="AK168" s="88"/>
      <c r="AL168" s="148"/>
    </row>
    <row r="169" spans="7:38" ht="15.75" customHeight="1">
      <c r="G169" s="80"/>
      <c r="L169" s="139"/>
      <c r="M169" s="139"/>
      <c r="N169" s="139"/>
      <c r="O169" s="139"/>
      <c r="S169" s="80"/>
      <c r="AH169" s="80"/>
      <c r="AI169" s="80"/>
      <c r="AJ169" s="80"/>
      <c r="AK169" s="88"/>
      <c r="AL169" s="148"/>
    </row>
    <row r="170" spans="7:38" ht="15.75" customHeight="1">
      <c r="G170" s="80"/>
      <c r="L170" s="139"/>
      <c r="M170" s="139"/>
      <c r="N170" s="139"/>
      <c r="O170" s="139"/>
      <c r="S170" s="80"/>
      <c r="AH170" s="80"/>
      <c r="AI170" s="80"/>
      <c r="AJ170" s="80"/>
      <c r="AK170" s="88"/>
      <c r="AL170" s="148"/>
    </row>
    <row r="171" spans="7:38" ht="15.75" customHeight="1">
      <c r="G171" s="80"/>
      <c r="L171" s="139"/>
      <c r="M171" s="139"/>
      <c r="N171" s="139"/>
      <c r="O171" s="139"/>
      <c r="S171" s="80"/>
      <c r="AH171" s="80"/>
      <c r="AI171" s="80"/>
      <c r="AJ171" s="80"/>
      <c r="AK171" s="88"/>
      <c r="AL171" s="148"/>
    </row>
    <row r="172" spans="7:38" ht="15.75" customHeight="1">
      <c r="G172" s="80"/>
      <c r="L172" s="139"/>
      <c r="M172" s="139"/>
      <c r="N172" s="139"/>
      <c r="O172" s="139"/>
      <c r="S172" s="80"/>
      <c r="AH172" s="80"/>
      <c r="AI172" s="80"/>
      <c r="AJ172" s="80"/>
      <c r="AK172" s="88"/>
      <c r="AL172" s="148"/>
    </row>
    <row r="173" spans="7:38" ht="15.75" customHeight="1">
      <c r="G173" s="80"/>
      <c r="L173" s="139"/>
      <c r="M173" s="139"/>
      <c r="N173" s="139"/>
      <c r="O173" s="139"/>
      <c r="S173" s="80"/>
      <c r="AH173" s="80"/>
      <c r="AI173" s="80"/>
      <c r="AJ173" s="80"/>
      <c r="AK173" s="88"/>
      <c r="AL173" s="148"/>
    </row>
    <row r="174" spans="7:38" ht="15.75" customHeight="1">
      <c r="G174" s="80"/>
      <c r="L174" s="139"/>
      <c r="M174" s="139"/>
      <c r="N174" s="139"/>
      <c r="O174" s="139"/>
      <c r="S174" s="80"/>
      <c r="AH174" s="80"/>
      <c r="AI174" s="80"/>
      <c r="AJ174" s="80"/>
      <c r="AK174" s="88"/>
      <c r="AL174" s="148"/>
    </row>
    <row r="175" spans="7:38" ht="15.75" customHeight="1">
      <c r="G175" s="80"/>
      <c r="L175" s="139"/>
      <c r="M175" s="139"/>
      <c r="N175" s="139"/>
      <c r="O175" s="139"/>
      <c r="S175" s="80"/>
      <c r="AH175" s="80"/>
      <c r="AI175" s="80"/>
      <c r="AJ175" s="80"/>
      <c r="AK175" s="88"/>
      <c r="AL175" s="148"/>
    </row>
    <row r="176" spans="7:38" ht="15.75" customHeight="1">
      <c r="G176" s="80"/>
      <c r="L176" s="139"/>
      <c r="M176" s="139"/>
      <c r="N176" s="139"/>
      <c r="O176" s="139"/>
      <c r="S176" s="80"/>
      <c r="AH176" s="80"/>
      <c r="AI176" s="80"/>
      <c r="AJ176" s="80"/>
      <c r="AK176" s="88"/>
      <c r="AL176" s="148"/>
    </row>
    <row r="177" spans="7:38" ht="15.75" customHeight="1">
      <c r="G177" s="80"/>
      <c r="L177" s="139"/>
      <c r="M177" s="139"/>
      <c r="N177" s="139"/>
      <c r="O177" s="139"/>
      <c r="S177" s="80"/>
      <c r="AH177" s="80"/>
      <c r="AI177" s="80"/>
      <c r="AJ177" s="80"/>
      <c r="AK177" s="88"/>
      <c r="AL177" s="148"/>
    </row>
    <row r="178" spans="7:38" ht="15.75" customHeight="1">
      <c r="G178" s="80"/>
      <c r="L178" s="139"/>
      <c r="M178" s="139"/>
      <c r="N178" s="139"/>
      <c r="O178" s="139"/>
      <c r="S178" s="80"/>
      <c r="AH178" s="80"/>
      <c r="AI178" s="80"/>
      <c r="AJ178" s="80"/>
      <c r="AK178" s="88"/>
      <c r="AL178" s="148"/>
    </row>
    <row r="179" spans="7:38" ht="15.75" customHeight="1">
      <c r="G179" s="80"/>
      <c r="L179" s="139"/>
      <c r="M179" s="139"/>
      <c r="N179" s="139"/>
      <c r="O179" s="139"/>
      <c r="S179" s="80"/>
      <c r="AH179" s="80"/>
      <c r="AI179" s="80"/>
      <c r="AJ179" s="80"/>
      <c r="AK179" s="88"/>
      <c r="AL179" s="148"/>
    </row>
    <row r="180" spans="7:38" ht="15.75" customHeight="1">
      <c r="G180" s="80"/>
      <c r="L180" s="139"/>
      <c r="M180" s="139"/>
      <c r="N180" s="139"/>
      <c r="O180" s="139"/>
      <c r="S180" s="80"/>
      <c r="AH180" s="80"/>
      <c r="AI180" s="80"/>
      <c r="AJ180" s="80"/>
      <c r="AK180" s="88"/>
      <c r="AL180" s="148"/>
    </row>
    <row r="181" spans="7:38" ht="15.75" customHeight="1">
      <c r="G181" s="80"/>
      <c r="L181" s="139"/>
      <c r="M181" s="139"/>
      <c r="N181" s="139"/>
      <c r="O181" s="139"/>
      <c r="S181" s="80"/>
      <c r="AH181" s="80"/>
      <c r="AI181" s="80"/>
      <c r="AJ181" s="80"/>
      <c r="AK181" s="88"/>
      <c r="AL181" s="148"/>
    </row>
    <row r="182" spans="7:38" ht="15.75" customHeight="1">
      <c r="G182" s="80"/>
      <c r="L182" s="139"/>
      <c r="M182" s="139"/>
      <c r="N182" s="139"/>
      <c r="O182" s="139"/>
      <c r="S182" s="80"/>
      <c r="AH182" s="80"/>
      <c r="AI182" s="80"/>
      <c r="AJ182" s="80"/>
      <c r="AK182" s="88"/>
      <c r="AL182" s="148"/>
    </row>
    <row r="183" spans="7:38" ht="15.75" customHeight="1">
      <c r="G183" s="80"/>
      <c r="L183" s="139"/>
      <c r="M183" s="139"/>
      <c r="N183" s="139"/>
      <c r="O183" s="139"/>
      <c r="S183" s="80"/>
      <c r="AH183" s="80"/>
      <c r="AI183" s="80"/>
      <c r="AJ183" s="80"/>
      <c r="AK183" s="88"/>
      <c r="AL183" s="148"/>
    </row>
    <row r="184" spans="7:38" ht="15.75" customHeight="1">
      <c r="G184" s="80"/>
      <c r="L184" s="139"/>
      <c r="M184" s="139"/>
      <c r="N184" s="139"/>
      <c r="O184" s="139"/>
      <c r="S184" s="80"/>
      <c r="AH184" s="80"/>
      <c r="AI184" s="80"/>
      <c r="AJ184" s="80"/>
      <c r="AK184" s="88"/>
      <c r="AL184" s="148"/>
    </row>
    <row r="185" spans="7:38" ht="15.75" customHeight="1">
      <c r="G185" s="80"/>
      <c r="L185" s="139"/>
      <c r="M185" s="139"/>
      <c r="N185" s="139"/>
      <c r="O185" s="139"/>
      <c r="S185" s="80"/>
      <c r="AH185" s="80"/>
      <c r="AI185" s="80"/>
      <c r="AJ185" s="80"/>
      <c r="AK185" s="88"/>
      <c r="AL185" s="148"/>
    </row>
    <row r="186" spans="7:38" ht="15.75" customHeight="1">
      <c r="G186" s="80"/>
      <c r="L186" s="139"/>
      <c r="M186" s="139"/>
      <c r="N186" s="139"/>
      <c r="O186" s="139"/>
      <c r="S186" s="80"/>
      <c r="AH186" s="80"/>
      <c r="AI186" s="80"/>
      <c r="AJ186" s="80"/>
      <c r="AK186" s="88"/>
      <c r="AL186" s="148"/>
    </row>
    <row r="187" spans="7:38" ht="15.75" customHeight="1">
      <c r="G187" s="80"/>
      <c r="L187" s="139"/>
      <c r="M187" s="139"/>
      <c r="N187" s="139"/>
      <c r="O187" s="139"/>
      <c r="S187" s="80"/>
      <c r="AH187" s="80"/>
      <c r="AI187" s="80"/>
      <c r="AJ187" s="80"/>
      <c r="AK187" s="88"/>
      <c r="AL187" s="148"/>
    </row>
    <row r="188" spans="7:38" ht="15.75" customHeight="1">
      <c r="G188" s="80"/>
      <c r="L188" s="139"/>
      <c r="M188" s="139"/>
      <c r="N188" s="139"/>
      <c r="O188" s="139"/>
      <c r="S188" s="80"/>
      <c r="AH188" s="80"/>
      <c r="AI188" s="80"/>
      <c r="AJ188" s="80"/>
      <c r="AK188" s="88"/>
      <c r="AL188" s="148"/>
    </row>
    <row r="189" spans="7:38" ht="15.75" customHeight="1">
      <c r="G189" s="80"/>
      <c r="L189" s="139"/>
      <c r="M189" s="139"/>
      <c r="N189" s="139"/>
      <c r="O189" s="139"/>
      <c r="S189" s="80"/>
      <c r="AH189" s="80"/>
      <c r="AI189" s="80"/>
      <c r="AJ189" s="80"/>
      <c r="AK189" s="88"/>
      <c r="AL189" s="148"/>
    </row>
    <row r="190" spans="7:38" ht="15.75" customHeight="1">
      <c r="G190" s="80"/>
      <c r="L190" s="139"/>
      <c r="M190" s="139"/>
      <c r="N190" s="139"/>
      <c r="O190" s="139"/>
      <c r="S190" s="80"/>
      <c r="AH190" s="80"/>
      <c r="AI190" s="80"/>
      <c r="AJ190" s="80"/>
      <c r="AK190" s="88"/>
      <c r="AL190" s="148"/>
    </row>
    <row r="191" spans="7:38" ht="15.75" customHeight="1">
      <c r="G191" s="80"/>
      <c r="L191" s="139"/>
      <c r="M191" s="139"/>
      <c r="N191" s="139"/>
      <c r="O191" s="139"/>
      <c r="S191" s="80"/>
      <c r="AH191" s="80"/>
      <c r="AI191" s="80"/>
      <c r="AJ191" s="80"/>
      <c r="AK191" s="88"/>
      <c r="AL191" s="148"/>
    </row>
    <row r="192" spans="7:38" ht="15.75" customHeight="1">
      <c r="G192" s="80"/>
      <c r="L192" s="139"/>
      <c r="M192" s="139"/>
      <c r="N192" s="139"/>
      <c r="O192" s="139"/>
      <c r="S192" s="80"/>
      <c r="AH192" s="80"/>
      <c r="AI192" s="80"/>
      <c r="AJ192" s="80"/>
      <c r="AK192" s="88"/>
      <c r="AL192" s="148"/>
    </row>
    <row r="193" spans="7:38" ht="15.75" customHeight="1">
      <c r="G193" s="80"/>
      <c r="L193" s="139"/>
      <c r="M193" s="139"/>
      <c r="N193" s="139"/>
      <c r="O193" s="139"/>
      <c r="S193" s="80"/>
      <c r="AH193" s="80"/>
      <c r="AI193" s="80"/>
      <c r="AJ193" s="80"/>
      <c r="AK193" s="88"/>
      <c r="AL193" s="148"/>
    </row>
    <row r="194" spans="7:38" ht="15.75" customHeight="1">
      <c r="G194" s="80"/>
      <c r="L194" s="139"/>
      <c r="M194" s="139"/>
      <c r="N194" s="139"/>
      <c r="O194" s="139"/>
      <c r="S194" s="80"/>
      <c r="AH194" s="80"/>
      <c r="AI194" s="80"/>
      <c r="AJ194" s="80"/>
      <c r="AK194" s="88"/>
      <c r="AL194" s="148"/>
    </row>
    <row r="195" spans="7:38" ht="15.75" customHeight="1">
      <c r="G195" s="80"/>
      <c r="L195" s="139"/>
      <c r="M195" s="139"/>
      <c r="N195" s="139"/>
      <c r="O195" s="139"/>
      <c r="S195" s="80"/>
      <c r="AH195" s="80"/>
      <c r="AI195" s="80"/>
      <c r="AJ195" s="80"/>
      <c r="AK195" s="88"/>
      <c r="AL195" s="148"/>
    </row>
    <row r="196" spans="7:38" ht="15.75" customHeight="1">
      <c r="G196" s="80"/>
      <c r="L196" s="139"/>
      <c r="M196" s="139"/>
      <c r="N196" s="139"/>
      <c r="O196" s="139"/>
      <c r="S196" s="80"/>
      <c r="AH196" s="80"/>
      <c r="AI196" s="80"/>
      <c r="AJ196" s="80"/>
      <c r="AK196" s="88"/>
      <c r="AL196" s="148"/>
    </row>
    <row r="197" spans="7:38" ht="15.75" customHeight="1">
      <c r="G197" s="80"/>
      <c r="L197" s="139"/>
      <c r="M197" s="139"/>
      <c r="N197" s="139"/>
      <c r="O197" s="139"/>
      <c r="S197" s="80"/>
      <c r="AH197" s="80"/>
      <c r="AI197" s="80"/>
      <c r="AJ197" s="80"/>
      <c r="AK197" s="88"/>
      <c r="AL197" s="148"/>
    </row>
    <row r="198" spans="7:38" ht="15.75" customHeight="1">
      <c r="G198" s="80"/>
      <c r="L198" s="139"/>
      <c r="M198" s="139"/>
      <c r="N198" s="139"/>
      <c r="O198" s="139"/>
      <c r="S198" s="80"/>
      <c r="AH198" s="80"/>
      <c r="AI198" s="80"/>
      <c r="AJ198" s="80"/>
      <c r="AK198" s="88"/>
      <c r="AL198" s="148"/>
    </row>
    <row r="199" spans="7:38" ht="15.75" customHeight="1">
      <c r="G199" s="80"/>
      <c r="L199" s="139"/>
      <c r="M199" s="139"/>
      <c r="N199" s="139"/>
      <c r="O199" s="139"/>
      <c r="S199" s="80"/>
      <c r="AH199" s="80"/>
      <c r="AI199" s="80"/>
      <c r="AJ199" s="80"/>
      <c r="AK199" s="88"/>
      <c r="AL199" s="148"/>
    </row>
    <row r="200" spans="7:38" ht="15.75" customHeight="1">
      <c r="G200" s="80"/>
      <c r="L200" s="139"/>
      <c r="M200" s="139"/>
      <c r="N200" s="139"/>
      <c r="O200" s="139"/>
      <c r="S200" s="80"/>
      <c r="AH200" s="80"/>
      <c r="AI200" s="80"/>
      <c r="AJ200" s="80"/>
      <c r="AK200" s="88"/>
      <c r="AL200" s="148"/>
    </row>
    <row r="201" spans="7:38" ht="15.75" customHeight="1">
      <c r="G201" s="80"/>
      <c r="L201" s="139"/>
      <c r="M201" s="139"/>
      <c r="N201" s="139"/>
      <c r="O201" s="139"/>
      <c r="S201" s="80"/>
      <c r="AH201" s="80"/>
      <c r="AI201" s="80"/>
      <c r="AJ201" s="80"/>
      <c r="AK201" s="88"/>
      <c r="AL201" s="148"/>
    </row>
    <row r="202" spans="7:38" ht="15.75" customHeight="1">
      <c r="G202" s="80"/>
      <c r="L202" s="139"/>
      <c r="M202" s="139"/>
      <c r="N202" s="139"/>
      <c r="O202" s="139"/>
      <c r="S202" s="80"/>
      <c r="AH202" s="80"/>
      <c r="AI202" s="80"/>
      <c r="AJ202" s="80"/>
      <c r="AK202" s="88"/>
      <c r="AL202" s="148"/>
    </row>
    <row r="203" spans="7:38" ht="15.75" customHeight="1">
      <c r="G203" s="80"/>
      <c r="L203" s="139"/>
      <c r="M203" s="139"/>
      <c r="N203" s="139"/>
      <c r="O203" s="139"/>
      <c r="S203" s="80"/>
      <c r="AH203" s="80"/>
      <c r="AI203" s="80"/>
      <c r="AJ203" s="80"/>
      <c r="AK203" s="88"/>
      <c r="AL203" s="148"/>
    </row>
    <row r="204" spans="7:38" ht="15.75" customHeight="1">
      <c r="G204" s="80"/>
      <c r="L204" s="139"/>
      <c r="M204" s="139"/>
      <c r="N204" s="139"/>
      <c r="O204" s="139"/>
      <c r="S204" s="80"/>
      <c r="AH204" s="80"/>
      <c r="AI204" s="80"/>
      <c r="AJ204" s="80"/>
      <c r="AK204" s="88"/>
      <c r="AL204" s="148"/>
    </row>
    <row r="205" spans="7:38" ht="15.75" customHeight="1">
      <c r="G205" s="80"/>
      <c r="L205" s="139"/>
      <c r="M205" s="139"/>
      <c r="N205" s="139"/>
      <c r="O205" s="139"/>
      <c r="S205" s="80"/>
      <c r="AH205" s="80"/>
      <c r="AI205" s="80"/>
      <c r="AJ205" s="80"/>
      <c r="AK205" s="88"/>
      <c r="AL205" s="148"/>
    </row>
    <row r="206" spans="7:38" ht="15.75" customHeight="1">
      <c r="G206" s="80"/>
      <c r="L206" s="139"/>
      <c r="M206" s="139"/>
      <c r="N206" s="139"/>
      <c r="O206" s="139"/>
      <c r="S206" s="80"/>
      <c r="AH206" s="80"/>
      <c r="AI206" s="80"/>
      <c r="AJ206" s="80"/>
      <c r="AK206" s="88"/>
      <c r="AL206" s="148"/>
    </row>
    <row r="207" spans="7:38" ht="15.75" customHeight="1">
      <c r="G207" s="80"/>
      <c r="L207" s="139"/>
      <c r="M207" s="139"/>
      <c r="N207" s="139"/>
      <c r="O207" s="139"/>
      <c r="S207" s="80"/>
      <c r="AH207" s="80"/>
      <c r="AI207" s="80"/>
      <c r="AJ207" s="80"/>
      <c r="AK207" s="88"/>
      <c r="AL207" s="148"/>
    </row>
    <row r="208" spans="7:38" ht="15.75" customHeight="1">
      <c r="G208" s="80"/>
      <c r="L208" s="139"/>
      <c r="M208" s="139"/>
      <c r="N208" s="139"/>
      <c r="O208" s="139"/>
      <c r="S208" s="80"/>
      <c r="AH208" s="80"/>
      <c r="AI208" s="80"/>
      <c r="AJ208" s="80"/>
      <c r="AK208" s="88"/>
      <c r="AL208" s="148"/>
    </row>
    <row r="209" spans="7:38" ht="15.75" customHeight="1">
      <c r="G209" s="80"/>
      <c r="L209" s="139"/>
      <c r="M209" s="139"/>
      <c r="N209" s="139"/>
      <c r="O209" s="139"/>
      <c r="S209" s="80"/>
      <c r="AH209" s="80"/>
      <c r="AI209" s="80"/>
      <c r="AJ209" s="80"/>
      <c r="AK209" s="88"/>
      <c r="AL209" s="148"/>
    </row>
    <row r="210" spans="7:38" ht="15.75" customHeight="1">
      <c r="G210" s="80"/>
      <c r="L210" s="139"/>
      <c r="M210" s="139"/>
      <c r="N210" s="139"/>
      <c r="O210" s="139"/>
      <c r="S210" s="80"/>
      <c r="AH210" s="80"/>
      <c r="AI210" s="80"/>
      <c r="AJ210" s="80"/>
      <c r="AK210" s="88"/>
      <c r="AL210" s="148"/>
    </row>
    <row r="211" spans="7:38" ht="15.75" customHeight="1">
      <c r="G211" s="80"/>
      <c r="L211" s="139"/>
      <c r="M211" s="139"/>
      <c r="N211" s="139"/>
      <c r="O211" s="139"/>
      <c r="S211" s="80"/>
      <c r="AH211" s="80"/>
      <c r="AI211" s="80"/>
      <c r="AJ211" s="80"/>
      <c r="AK211" s="88"/>
      <c r="AL211" s="148"/>
    </row>
    <row r="212" spans="7:38" ht="15.75" customHeight="1">
      <c r="G212" s="80"/>
      <c r="L212" s="139"/>
      <c r="M212" s="139"/>
      <c r="N212" s="139"/>
      <c r="O212" s="139"/>
      <c r="S212" s="80"/>
      <c r="AH212" s="80"/>
      <c r="AI212" s="80"/>
      <c r="AJ212" s="80"/>
      <c r="AK212" s="88"/>
      <c r="AL212" s="148"/>
    </row>
    <row r="213" spans="7:38" ht="15.75" customHeight="1">
      <c r="G213" s="80"/>
      <c r="L213" s="139"/>
      <c r="M213" s="139"/>
      <c r="N213" s="139"/>
      <c r="O213" s="139"/>
      <c r="S213" s="80"/>
      <c r="AH213" s="80"/>
      <c r="AI213" s="80"/>
      <c r="AJ213" s="80"/>
      <c r="AK213" s="88"/>
      <c r="AL213" s="148"/>
    </row>
    <row r="214" spans="7:38" ht="15.75" customHeight="1">
      <c r="G214" s="80"/>
      <c r="L214" s="139"/>
      <c r="M214" s="139"/>
      <c r="N214" s="139"/>
      <c r="O214" s="139"/>
      <c r="S214" s="80"/>
      <c r="AH214" s="80"/>
      <c r="AI214" s="80"/>
      <c r="AJ214" s="80"/>
      <c r="AK214" s="88"/>
      <c r="AL214" s="148"/>
    </row>
    <row r="215" spans="7:38" ht="15.75" customHeight="1">
      <c r="G215" s="80"/>
      <c r="L215" s="139"/>
      <c r="M215" s="139"/>
      <c r="N215" s="139"/>
      <c r="O215" s="139"/>
      <c r="S215" s="80"/>
      <c r="AH215" s="80"/>
      <c r="AI215" s="80"/>
      <c r="AJ215" s="80"/>
      <c r="AK215" s="88"/>
      <c r="AL215" s="148"/>
    </row>
    <row r="216" spans="7:38" ht="15.75" customHeight="1">
      <c r="G216" s="80"/>
      <c r="L216" s="139"/>
      <c r="M216" s="139"/>
      <c r="N216" s="139"/>
      <c r="O216" s="139"/>
      <c r="S216" s="80"/>
      <c r="AH216" s="80"/>
      <c r="AI216" s="80"/>
      <c r="AJ216" s="80"/>
      <c r="AK216" s="88"/>
      <c r="AL216" s="148"/>
    </row>
    <row r="217" spans="7:38" ht="15.75" customHeight="1">
      <c r="G217" s="80"/>
      <c r="L217" s="139"/>
      <c r="M217" s="139"/>
      <c r="N217" s="139"/>
      <c r="O217" s="139"/>
      <c r="S217" s="80"/>
      <c r="AH217" s="80"/>
      <c r="AI217" s="80"/>
      <c r="AJ217" s="80"/>
      <c r="AK217" s="88"/>
      <c r="AL217" s="148"/>
    </row>
    <row r="218" spans="7:38" ht="15.75" customHeight="1">
      <c r="G218" s="80"/>
      <c r="L218" s="139"/>
      <c r="M218" s="139"/>
      <c r="N218" s="139"/>
      <c r="O218" s="139"/>
      <c r="S218" s="80"/>
      <c r="AH218" s="80"/>
      <c r="AI218" s="80"/>
      <c r="AJ218" s="80"/>
      <c r="AK218" s="88"/>
      <c r="AL218" s="148"/>
    </row>
    <row r="219" spans="7:38" ht="15.75" customHeight="1">
      <c r="G219" s="80"/>
      <c r="L219" s="139"/>
      <c r="M219" s="139"/>
      <c r="N219" s="139"/>
      <c r="O219" s="139"/>
      <c r="S219" s="80"/>
      <c r="AH219" s="80"/>
      <c r="AI219" s="80"/>
      <c r="AJ219" s="80"/>
      <c r="AK219" s="88"/>
      <c r="AL219" s="148"/>
    </row>
    <row r="220" spans="7:38" ht="15.75" customHeight="1">
      <c r="G220" s="80"/>
      <c r="L220" s="139"/>
      <c r="M220" s="139"/>
      <c r="N220" s="139"/>
      <c r="O220" s="139"/>
      <c r="S220" s="80"/>
      <c r="AH220" s="80"/>
      <c r="AI220" s="80"/>
      <c r="AJ220" s="80"/>
      <c r="AK220" s="88"/>
      <c r="AL220" s="148"/>
    </row>
    <row r="221" spans="7:38" ht="15.75" customHeight="1">
      <c r="G221" s="80"/>
      <c r="L221" s="139"/>
      <c r="M221" s="139"/>
      <c r="N221" s="139"/>
      <c r="O221" s="139"/>
      <c r="S221" s="80"/>
      <c r="AH221" s="80"/>
      <c r="AI221" s="80"/>
      <c r="AJ221" s="80"/>
      <c r="AK221" s="88"/>
      <c r="AL221" s="148"/>
    </row>
    <row r="222" spans="7:38" ht="15.75" customHeight="1">
      <c r="G222" s="80"/>
      <c r="L222" s="139"/>
      <c r="M222" s="139"/>
      <c r="N222" s="139"/>
      <c r="O222" s="139"/>
      <c r="S222" s="80"/>
      <c r="AH222" s="80"/>
      <c r="AI222" s="80"/>
      <c r="AJ222" s="80"/>
      <c r="AK222" s="88"/>
      <c r="AL222" s="148"/>
    </row>
    <row r="223" spans="7:38" ht="15.75" customHeight="1">
      <c r="G223" s="80"/>
      <c r="L223" s="139"/>
      <c r="M223" s="139"/>
      <c r="N223" s="139"/>
      <c r="O223" s="139"/>
      <c r="S223" s="80"/>
      <c r="AH223" s="80"/>
      <c r="AI223" s="80"/>
      <c r="AJ223" s="80"/>
      <c r="AK223" s="88"/>
      <c r="AL223" s="148"/>
    </row>
    <row r="224" spans="7:38" ht="15.75" customHeight="1">
      <c r="G224" s="80"/>
      <c r="L224" s="139"/>
      <c r="M224" s="139"/>
      <c r="N224" s="139"/>
      <c r="O224" s="139"/>
      <c r="S224" s="80"/>
      <c r="AH224" s="80"/>
      <c r="AI224" s="80"/>
      <c r="AJ224" s="80"/>
      <c r="AK224" s="88"/>
      <c r="AL224" s="148"/>
    </row>
    <row r="225" spans="7:38" ht="15.75" customHeight="1">
      <c r="G225" s="80"/>
      <c r="L225" s="139"/>
      <c r="M225" s="139"/>
      <c r="N225" s="139"/>
      <c r="O225" s="139"/>
      <c r="S225" s="80"/>
      <c r="AH225" s="80"/>
      <c r="AI225" s="80"/>
      <c r="AJ225" s="80"/>
      <c r="AK225" s="88"/>
      <c r="AL225" s="148"/>
    </row>
    <row r="226" spans="7:38" ht="15.75" customHeight="1">
      <c r="G226" s="80"/>
      <c r="L226" s="139"/>
      <c r="M226" s="139"/>
      <c r="N226" s="139"/>
      <c r="O226" s="139"/>
      <c r="S226" s="80"/>
      <c r="AH226" s="80"/>
      <c r="AI226" s="80"/>
      <c r="AJ226" s="80"/>
      <c r="AK226" s="88"/>
      <c r="AL226" s="148"/>
    </row>
    <row r="227" spans="7:38" ht="15.75" customHeight="1">
      <c r="G227" s="80"/>
      <c r="S227" s="80"/>
      <c r="AH227" s="80"/>
      <c r="AI227" s="80"/>
      <c r="AJ227" s="80"/>
      <c r="AL227" s="80"/>
    </row>
    <row r="228" spans="7:38" ht="15.75" customHeight="1">
      <c r="G228" s="80"/>
      <c r="S228" s="80"/>
      <c r="AH228" s="80"/>
      <c r="AI228" s="80"/>
      <c r="AJ228" s="80"/>
      <c r="AL228" s="80"/>
    </row>
    <row r="229" spans="7:38" ht="15.75" customHeight="1">
      <c r="G229" s="80"/>
      <c r="S229" s="80"/>
      <c r="AH229" s="80"/>
      <c r="AI229" s="80"/>
      <c r="AJ229" s="80"/>
      <c r="AL229" s="80"/>
    </row>
    <row r="230" spans="7:38" ht="15.75" customHeight="1">
      <c r="G230" s="80"/>
      <c r="S230" s="80"/>
      <c r="AH230" s="80"/>
      <c r="AI230" s="80"/>
      <c r="AJ230" s="80"/>
      <c r="AL230" s="80"/>
    </row>
    <row r="231" spans="7:38" ht="15.75" customHeight="1">
      <c r="G231" s="80"/>
      <c r="S231" s="80"/>
      <c r="AH231" s="80"/>
      <c r="AI231" s="80"/>
      <c r="AJ231" s="80"/>
      <c r="AL231" s="80"/>
    </row>
    <row r="232" spans="7:38" ht="15.75" customHeight="1">
      <c r="G232" s="80"/>
      <c r="S232" s="80"/>
      <c r="AH232" s="80"/>
      <c r="AI232" s="80"/>
      <c r="AJ232" s="80"/>
      <c r="AL232" s="80"/>
    </row>
    <row r="233" spans="7:38" ht="15.75" customHeight="1">
      <c r="G233" s="80"/>
      <c r="S233" s="80"/>
      <c r="AH233" s="80"/>
      <c r="AI233" s="80"/>
      <c r="AJ233" s="80"/>
      <c r="AL233" s="80"/>
    </row>
    <row r="234" spans="7:38" ht="15.75" customHeight="1">
      <c r="G234" s="80"/>
      <c r="S234" s="80"/>
      <c r="AH234" s="80"/>
      <c r="AI234" s="80"/>
      <c r="AJ234" s="80"/>
      <c r="AL234" s="80"/>
    </row>
    <row r="235" spans="7:38" ht="15.75" customHeight="1">
      <c r="G235" s="80"/>
      <c r="S235" s="80"/>
      <c r="AH235" s="80"/>
      <c r="AI235" s="80"/>
      <c r="AJ235" s="80"/>
      <c r="AL235" s="80"/>
    </row>
    <row r="236" spans="7:38" ht="15.75" customHeight="1">
      <c r="G236" s="80"/>
      <c r="S236" s="80"/>
      <c r="AH236" s="80"/>
      <c r="AI236" s="80"/>
      <c r="AJ236" s="80"/>
      <c r="AL236" s="80"/>
    </row>
    <row r="237" spans="7:38" ht="15.75" customHeight="1">
      <c r="G237" s="80"/>
      <c r="S237" s="80"/>
      <c r="AH237" s="80"/>
      <c r="AI237" s="80"/>
      <c r="AJ237" s="80"/>
      <c r="AL237" s="80"/>
    </row>
    <row r="238" spans="7:38" ht="15.75" customHeight="1">
      <c r="G238" s="80"/>
      <c r="AH238" s="80"/>
      <c r="AI238" s="80"/>
      <c r="AJ238" s="80"/>
      <c r="AL238" s="80"/>
    </row>
    <row r="239" spans="7:38" ht="15.75" customHeight="1">
      <c r="G239" s="80"/>
      <c r="AH239" s="80"/>
      <c r="AI239" s="80"/>
      <c r="AJ239" s="80"/>
      <c r="AL239" s="80"/>
    </row>
    <row r="240" spans="7:38" ht="15.75" customHeight="1">
      <c r="G240" s="80"/>
      <c r="AH240" s="80"/>
      <c r="AI240" s="80"/>
      <c r="AJ240" s="80"/>
      <c r="AL240" s="80"/>
    </row>
    <row r="241" spans="7:38" ht="15.75" customHeight="1">
      <c r="G241" s="80"/>
      <c r="AH241" s="80"/>
      <c r="AI241" s="80"/>
      <c r="AJ241" s="80"/>
      <c r="AL241" s="80"/>
    </row>
    <row r="242" spans="7:38" ht="15.75" customHeight="1">
      <c r="G242" s="80"/>
      <c r="AH242" s="80"/>
      <c r="AI242" s="80"/>
      <c r="AJ242" s="80"/>
      <c r="AL242" s="80"/>
    </row>
    <row r="243" spans="7:38" ht="15.75" customHeight="1">
      <c r="G243" s="80"/>
      <c r="AH243" s="80"/>
      <c r="AI243" s="80"/>
      <c r="AJ243" s="80"/>
      <c r="AL243" s="80"/>
    </row>
    <row r="244" spans="7:38" ht="15.75" customHeight="1">
      <c r="G244" s="80"/>
      <c r="AH244" s="80"/>
      <c r="AI244" s="80"/>
      <c r="AJ244" s="80"/>
      <c r="AL244" s="80"/>
    </row>
    <row r="245" spans="7:38" ht="15.75" customHeight="1">
      <c r="G245" s="80"/>
      <c r="AH245" s="80"/>
      <c r="AI245" s="80"/>
      <c r="AJ245" s="80"/>
      <c r="AL245" s="80"/>
    </row>
    <row r="246" spans="7:38" ht="15.75" customHeight="1">
      <c r="G246" s="80"/>
      <c r="AH246" s="80"/>
      <c r="AI246" s="80"/>
      <c r="AJ246" s="80"/>
      <c r="AL246" s="80"/>
    </row>
    <row r="247" spans="7:38" ht="15.75" customHeight="1">
      <c r="G247" s="80"/>
      <c r="AH247" s="80"/>
      <c r="AI247" s="80"/>
      <c r="AJ247" s="80"/>
      <c r="AL247" s="80"/>
    </row>
    <row r="248" spans="7:38" ht="15.75" customHeight="1">
      <c r="G248" s="80"/>
      <c r="AH248" s="80"/>
      <c r="AI248" s="80"/>
      <c r="AJ248" s="80"/>
      <c r="AL248" s="80"/>
    </row>
    <row r="249" spans="7:38" ht="15.75" customHeight="1">
      <c r="G249" s="80"/>
      <c r="AH249" s="80"/>
      <c r="AI249" s="80"/>
      <c r="AJ249" s="80"/>
      <c r="AL249" s="80"/>
    </row>
    <row r="250" spans="7:38" ht="15.75" customHeight="1">
      <c r="G250" s="80"/>
      <c r="AH250" s="80"/>
      <c r="AI250" s="80"/>
      <c r="AJ250" s="80"/>
      <c r="AL250" s="80"/>
    </row>
    <row r="251" spans="7:38" ht="15.75" customHeight="1">
      <c r="G251" s="80"/>
      <c r="AH251" s="80"/>
      <c r="AI251" s="80"/>
      <c r="AJ251" s="80"/>
      <c r="AL251" s="80"/>
    </row>
    <row r="252" spans="7:38" ht="15.75" customHeight="1">
      <c r="G252" s="80"/>
      <c r="AH252" s="80"/>
      <c r="AI252" s="80"/>
      <c r="AJ252" s="80"/>
      <c r="AL252" s="80"/>
    </row>
    <row r="253" spans="7:38" ht="15.75" customHeight="1">
      <c r="G253" s="80"/>
      <c r="AH253" s="80"/>
      <c r="AI253" s="80"/>
      <c r="AJ253" s="80"/>
      <c r="AL253" s="80"/>
    </row>
    <row r="254" spans="7:38" ht="15.75" customHeight="1">
      <c r="G254" s="80"/>
      <c r="AH254" s="80"/>
      <c r="AI254" s="80"/>
      <c r="AJ254" s="80"/>
      <c r="AL254" s="80"/>
    </row>
    <row r="255" spans="7:38" ht="15.75" customHeight="1">
      <c r="G255" s="80"/>
      <c r="AH255" s="80"/>
      <c r="AI255" s="80"/>
      <c r="AJ255" s="80"/>
      <c r="AL255" s="80"/>
    </row>
    <row r="256" spans="7:38" ht="15.75" customHeight="1">
      <c r="G256" s="80"/>
      <c r="AH256" s="80"/>
      <c r="AI256" s="80"/>
      <c r="AJ256" s="80"/>
      <c r="AL256" s="80"/>
    </row>
    <row r="257" spans="7:38" ht="15.75" customHeight="1">
      <c r="G257" s="80"/>
      <c r="AH257" s="80"/>
      <c r="AI257" s="80"/>
      <c r="AJ257" s="80"/>
      <c r="AL257" s="80"/>
    </row>
    <row r="258" spans="7:38" ht="15.75" customHeight="1">
      <c r="G258" s="80"/>
      <c r="AH258" s="80"/>
      <c r="AI258" s="80"/>
      <c r="AJ258" s="80"/>
      <c r="AL258" s="80"/>
    </row>
    <row r="259" spans="7:38" ht="15.75" customHeight="1">
      <c r="G259" s="80"/>
      <c r="AH259" s="80"/>
      <c r="AI259" s="80"/>
      <c r="AJ259" s="80"/>
      <c r="AL259" s="80"/>
    </row>
    <row r="260" spans="7:38" ht="15.75" customHeight="1">
      <c r="G260" s="80"/>
      <c r="AH260" s="80"/>
      <c r="AI260" s="80"/>
      <c r="AJ260" s="80"/>
      <c r="AL260" s="80"/>
    </row>
    <row r="261" spans="7:38" ht="15.75" customHeight="1">
      <c r="G261" s="80"/>
      <c r="AH261" s="80"/>
      <c r="AI261" s="80"/>
      <c r="AJ261" s="80"/>
      <c r="AL261" s="80"/>
    </row>
    <row r="262" spans="7:38" ht="15.75" customHeight="1">
      <c r="G262" s="80"/>
      <c r="AH262" s="80"/>
      <c r="AI262" s="80"/>
      <c r="AJ262" s="80"/>
      <c r="AL262" s="80"/>
    </row>
    <row r="263" spans="7:38" ht="15.75" customHeight="1">
      <c r="G263" s="80"/>
      <c r="AH263" s="80"/>
      <c r="AI263" s="80"/>
      <c r="AJ263" s="80"/>
      <c r="AL263" s="80"/>
    </row>
    <row r="264" spans="7:38" ht="15.75" customHeight="1">
      <c r="G264" s="80"/>
      <c r="AH264" s="80"/>
      <c r="AI264" s="80"/>
      <c r="AJ264" s="80"/>
      <c r="AL264" s="80"/>
    </row>
    <row r="265" spans="7:38" ht="15.75" customHeight="1">
      <c r="G265" s="80"/>
      <c r="AH265" s="80"/>
      <c r="AI265" s="80"/>
      <c r="AJ265" s="80"/>
      <c r="AL265" s="80"/>
    </row>
    <row r="266" spans="7:38" ht="15.75" customHeight="1">
      <c r="G266" s="80"/>
      <c r="AH266" s="80"/>
      <c r="AI266" s="80"/>
      <c r="AJ266" s="80"/>
      <c r="AL266" s="80"/>
    </row>
    <row r="267" spans="7:38" ht="15.75" customHeight="1">
      <c r="G267" s="80"/>
      <c r="AH267" s="80"/>
      <c r="AI267" s="80"/>
      <c r="AJ267" s="80"/>
      <c r="AL267" s="80"/>
    </row>
    <row r="268" spans="7:38" ht="15.75" customHeight="1">
      <c r="G268" s="80"/>
      <c r="AH268" s="80"/>
      <c r="AI268" s="80"/>
      <c r="AJ268" s="80"/>
      <c r="AL268" s="80"/>
    </row>
    <row r="269" spans="7:38" ht="15.75" customHeight="1">
      <c r="G269" s="80"/>
      <c r="AH269" s="80"/>
      <c r="AI269" s="80"/>
      <c r="AJ269" s="80"/>
      <c r="AL269" s="80"/>
    </row>
    <row r="270" spans="7:38" ht="15.75" customHeight="1">
      <c r="G270" s="80"/>
      <c r="AH270" s="80"/>
      <c r="AI270" s="80"/>
      <c r="AJ270" s="80"/>
      <c r="AL270" s="80"/>
    </row>
    <row r="271" spans="7:38" ht="15.75" customHeight="1">
      <c r="G271" s="80"/>
      <c r="AH271" s="80"/>
      <c r="AI271" s="80"/>
      <c r="AJ271" s="80"/>
      <c r="AL271" s="80"/>
    </row>
    <row r="272" spans="7:38" ht="15.75" customHeight="1">
      <c r="G272" s="80"/>
      <c r="AH272" s="80"/>
      <c r="AI272" s="80"/>
      <c r="AJ272" s="80"/>
      <c r="AL272" s="80"/>
    </row>
    <row r="273" spans="7:38" ht="15.75" customHeight="1">
      <c r="G273" s="80"/>
      <c r="AH273" s="80"/>
      <c r="AI273" s="80"/>
      <c r="AJ273" s="80"/>
      <c r="AL273" s="80"/>
    </row>
    <row r="274" spans="7:38" ht="15.75" customHeight="1">
      <c r="G274" s="80"/>
      <c r="AH274" s="80"/>
      <c r="AI274" s="80"/>
      <c r="AJ274" s="80"/>
      <c r="AL274" s="80"/>
    </row>
    <row r="275" spans="7:38" ht="15.75" customHeight="1">
      <c r="G275" s="80"/>
      <c r="AH275" s="80"/>
      <c r="AI275" s="80"/>
      <c r="AJ275" s="80"/>
      <c r="AL275" s="80"/>
    </row>
    <row r="276" spans="7:38" ht="15.75" customHeight="1">
      <c r="G276" s="80"/>
      <c r="AH276" s="80"/>
      <c r="AI276" s="80"/>
      <c r="AJ276" s="80"/>
      <c r="AL276" s="80"/>
    </row>
    <row r="277" spans="7:38" ht="15.75" customHeight="1">
      <c r="G277" s="80"/>
      <c r="AH277" s="80"/>
      <c r="AI277" s="80"/>
      <c r="AJ277" s="80"/>
      <c r="AL277" s="80"/>
    </row>
    <row r="278" spans="7:38" ht="15.75" customHeight="1">
      <c r="G278" s="80"/>
      <c r="AH278" s="80"/>
      <c r="AI278" s="80"/>
      <c r="AJ278" s="80"/>
      <c r="AL278" s="80"/>
    </row>
    <row r="279" spans="7:38" ht="15.75" customHeight="1">
      <c r="G279" s="80"/>
      <c r="AH279" s="80"/>
      <c r="AI279" s="80"/>
      <c r="AJ279" s="80"/>
      <c r="AL279" s="80"/>
    </row>
    <row r="280" spans="7:38" ht="15.75" customHeight="1">
      <c r="G280" s="80"/>
      <c r="AH280" s="80"/>
      <c r="AI280" s="80"/>
      <c r="AJ280" s="80"/>
      <c r="AL280" s="80"/>
    </row>
    <row r="281" spans="7:38" ht="15.75" customHeight="1">
      <c r="G281" s="80"/>
      <c r="AH281" s="80"/>
      <c r="AI281" s="80"/>
      <c r="AJ281" s="80"/>
      <c r="AL281" s="80"/>
    </row>
    <row r="282" spans="7:38" ht="15.75" customHeight="1">
      <c r="G282" s="80"/>
      <c r="AH282" s="80"/>
      <c r="AI282" s="80"/>
      <c r="AJ282" s="80"/>
      <c r="AL282" s="80"/>
    </row>
    <row r="283" spans="7:38" ht="15.75" customHeight="1">
      <c r="G283" s="80"/>
      <c r="AH283" s="80"/>
      <c r="AI283" s="80"/>
      <c r="AJ283" s="80"/>
      <c r="AL283" s="80"/>
    </row>
    <row r="284" spans="7:38" ht="15.75" customHeight="1">
      <c r="G284" s="80"/>
      <c r="AH284" s="80"/>
      <c r="AI284" s="80"/>
      <c r="AJ284" s="80"/>
      <c r="AL284" s="80"/>
    </row>
    <row r="285" spans="7:38" ht="15.75" customHeight="1">
      <c r="G285" s="80"/>
      <c r="AH285" s="80"/>
      <c r="AI285" s="80"/>
      <c r="AJ285" s="80"/>
      <c r="AL285" s="80"/>
    </row>
    <row r="286" spans="7:38" ht="15.75" customHeight="1">
      <c r="G286" s="80"/>
      <c r="AH286" s="80"/>
      <c r="AI286" s="80"/>
      <c r="AJ286" s="80"/>
      <c r="AL286" s="80"/>
    </row>
    <row r="287" spans="7:38" ht="15.75" customHeight="1">
      <c r="G287" s="80"/>
      <c r="AH287" s="80"/>
      <c r="AI287" s="80"/>
      <c r="AJ287" s="80"/>
      <c r="AL287" s="80"/>
    </row>
    <row r="288" spans="7:38" ht="15.75" customHeight="1">
      <c r="G288" s="80"/>
      <c r="AH288" s="80"/>
      <c r="AI288" s="80"/>
      <c r="AJ288" s="80"/>
      <c r="AL288" s="80"/>
    </row>
    <row r="289" spans="7:38" ht="15.75" customHeight="1">
      <c r="G289" s="80"/>
      <c r="AH289" s="80"/>
      <c r="AI289" s="80"/>
      <c r="AJ289" s="80"/>
      <c r="AL289" s="80"/>
    </row>
    <row r="290" spans="7:38" ht="15.75" customHeight="1">
      <c r="G290" s="80"/>
      <c r="AH290" s="80"/>
      <c r="AI290" s="80"/>
      <c r="AJ290" s="80"/>
      <c r="AL290" s="80"/>
    </row>
    <row r="291" spans="7:38" ht="15.75" customHeight="1">
      <c r="G291" s="80"/>
      <c r="AH291" s="80"/>
      <c r="AI291" s="80"/>
      <c r="AJ291" s="80"/>
      <c r="AL291" s="80"/>
    </row>
    <row r="292" spans="7:38" ht="15.75" customHeight="1">
      <c r="G292" s="80"/>
      <c r="AH292" s="80"/>
      <c r="AI292" s="80"/>
      <c r="AJ292" s="80"/>
      <c r="AL292" s="80"/>
    </row>
    <row r="293" spans="7:38" ht="15.75" customHeight="1">
      <c r="G293" s="80"/>
      <c r="AH293" s="80"/>
      <c r="AI293" s="80"/>
      <c r="AJ293" s="80"/>
      <c r="AL293" s="80"/>
    </row>
    <row r="294" spans="7:38" ht="15.75" customHeight="1">
      <c r="G294" s="80"/>
      <c r="AH294" s="80"/>
      <c r="AI294" s="80"/>
      <c r="AJ294" s="80"/>
      <c r="AL294" s="80"/>
    </row>
    <row r="295" spans="7:38" ht="15.75" customHeight="1">
      <c r="G295" s="80"/>
      <c r="AH295" s="80"/>
      <c r="AI295" s="80"/>
      <c r="AJ295" s="80"/>
      <c r="AL295" s="80"/>
    </row>
    <row r="296" spans="7:38" ht="15.75" customHeight="1">
      <c r="G296" s="80"/>
      <c r="AH296" s="80"/>
      <c r="AI296" s="80"/>
      <c r="AJ296" s="80"/>
      <c r="AL296" s="80"/>
    </row>
    <row r="297" spans="7:38" ht="15.75" customHeight="1">
      <c r="G297" s="80"/>
      <c r="AH297" s="80"/>
      <c r="AI297" s="80"/>
      <c r="AJ297" s="80"/>
      <c r="AL297" s="80"/>
    </row>
    <row r="298" spans="7:38" ht="15.75" customHeight="1">
      <c r="G298" s="80"/>
      <c r="AH298" s="80"/>
      <c r="AI298" s="80"/>
      <c r="AJ298" s="80"/>
      <c r="AL298" s="80"/>
    </row>
    <row r="299" spans="7:38" ht="15.75" customHeight="1">
      <c r="G299" s="80"/>
      <c r="AH299" s="80"/>
      <c r="AI299" s="80"/>
      <c r="AJ299" s="80"/>
      <c r="AL299" s="80"/>
    </row>
    <row r="300" spans="7:38" ht="15.75" customHeight="1">
      <c r="G300" s="80"/>
      <c r="AH300" s="80"/>
      <c r="AI300" s="80"/>
      <c r="AJ300" s="80"/>
      <c r="AL300" s="80"/>
    </row>
    <row r="301" spans="7:38" ht="15.75" customHeight="1">
      <c r="G301" s="80"/>
      <c r="AH301" s="80"/>
      <c r="AI301" s="80"/>
      <c r="AJ301" s="80"/>
      <c r="AL301" s="80"/>
    </row>
    <row r="302" spans="7:38" ht="15.75" customHeight="1">
      <c r="G302" s="80"/>
      <c r="AH302" s="80"/>
      <c r="AI302" s="80"/>
      <c r="AJ302" s="80"/>
      <c r="AL302" s="80"/>
    </row>
    <row r="303" spans="7:38" ht="15.75" customHeight="1">
      <c r="G303" s="80"/>
      <c r="AH303" s="80"/>
      <c r="AI303" s="80"/>
      <c r="AJ303" s="80"/>
      <c r="AL303" s="80"/>
    </row>
    <row r="304" spans="7:38" ht="15.75" customHeight="1">
      <c r="G304" s="80"/>
      <c r="AH304" s="80"/>
      <c r="AI304" s="80"/>
      <c r="AJ304" s="80"/>
      <c r="AL304" s="80"/>
    </row>
    <row r="305" spans="7:38" ht="15.75" customHeight="1">
      <c r="G305" s="80"/>
      <c r="AH305" s="80"/>
      <c r="AI305" s="80"/>
      <c r="AJ305" s="80"/>
      <c r="AL305" s="80"/>
    </row>
    <row r="306" spans="7:38" ht="15.75" customHeight="1">
      <c r="G306" s="80"/>
      <c r="AH306" s="80"/>
      <c r="AI306" s="80"/>
      <c r="AJ306" s="80"/>
      <c r="AL306" s="80"/>
    </row>
    <row r="307" spans="7:38" ht="15.75" customHeight="1">
      <c r="G307" s="80"/>
      <c r="AH307" s="80"/>
      <c r="AI307" s="80"/>
      <c r="AJ307" s="80"/>
      <c r="AL307" s="80"/>
    </row>
    <row r="308" spans="7:38" ht="15.75" customHeight="1">
      <c r="G308" s="80"/>
      <c r="AH308" s="80"/>
      <c r="AI308" s="80"/>
      <c r="AJ308" s="80"/>
      <c r="AL308" s="80"/>
    </row>
    <row r="309" spans="7:38" ht="15.75" customHeight="1">
      <c r="G309" s="80"/>
      <c r="AH309" s="80"/>
      <c r="AI309" s="80"/>
      <c r="AJ309" s="80"/>
      <c r="AL309" s="80"/>
    </row>
    <row r="310" spans="7:38" ht="15.75" customHeight="1">
      <c r="G310" s="80"/>
      <c r="AH310" s="80"/>
      <c r="AI310" s="80"/>
      <c r="AJ310" s="80"/>
      <c r="AL310" s="80"/>
    </row>
    <row r="311" spans="7:38" ht="15.75" customHeight="1">
      <c r="G311" s="80"/>
      <c r="AH311" s="80"/>
      <c r="AI311" s="80"/>
      <c r="AJ311" s="80"/>
      <c r="AL311" s="80"/>
    </row>
    <row r="312" spans="7:38" ht="15.75" customHeight="1">
      <c r="G312" s="80"/>
      <c r="AH312" s="80"/>
      <c r="AI312" s="80"/>
      <c r="AJ312" s="80"/>
      <c r="AL312" s="80"/>
    </row>
    <row r="313" spans="7:38" ht="15.75" customHeight="1">
      <c r="G313" s="80"/>
      <c r="AH313" s="80"/>
      <c r="AI313" s="80"/>
      <c r="AJ313" s="80"/>
      <c r="AL313" s="80"/>
    </row>
    <row r="314" spans="7:38" ht="15.75" customHeight="1">
      <c r="G314" s="80"/>
      <c r="AH314" s="80"/>
      <c r="AI314" s="80"/>
      <c r="AJ314" s="80"/>
      <c r="AL314" s="80"/>
    </row>
    <row r="315" spans="7:38" ht="15.75" customHeight="1">
      <c r="G315" s="80"/>
      <c r="AH315" s="80"/>
      <c r="AI315" s="80"/>
      <c r="AJ315" s="80"/>
      <c r="AL315" s="80"/>
    </row>
    <row r="316" spans="7:38" ht="15.75" customHeight="1">
      <c r="G316" s="80"/>
      <c r="AH316" s="80"/>
      <c r="AI316" s="80"/>
      <c r="AJ316" s="80"/>
      <c r="AL316" s="80"/>
    </row>
    <row r="317" spans="7:38" ht="15.75" customHeight="1">
      <c r="G317" s="80"/>
      <c r="AH317" s="80"/>
      <c r="AI317" s="80"/>
      <c r="AJ317" s="80"/>
      <c r="AL317" s="80"/>
    </row>
    <row r="318" spans="7:38" ht="15.75" customHeight="1">
      <c r="G318" s="80"/>
      <c r="AH318" s="80"/>
      <c r="AI318" s="80"/>
      <c r="AJ318" s="80"/>
      <c r="AL318" s="80"/>
    </row>
    <row r="319" spans="7:38" ht="15.75" customHeight="1">
      <c r="G319" s="80"/>
      <c r="AH319" s="80"/>
      <c r="AI319" s="80"/>
      <c r="AJ319" s="80"/>
      <c r="AL319" s="80"/>
    </row>
    <row r="320" spans="7:38" ht="15.75" customHeight="1">
      <c r="G320" s="80"/>
      <c r="AH320" s="80"/>
      <c r="AI320" s="80"/>
      <c r="AJ320" s="80"/>
      <c r="AL320" s="80"/>
    </row>
    <row r="321" spans="7:38" ht="15.75" customHeight="1">
      <c r="G321" s="80"/>
      <c r="AH321" s="80"/>
      <c r="AI321" s="80"/>
      <c r="AJ321" s="80"/>
      <c r="AL321" s="80"/>
    </row>
    <row r="322" spans="7:38" ht="15.75" customHeight="1">
      <c r="G322" s="80"/>
      <c r="AH322" s="80"/>
      <c r="AI322" s="80"/>
      <c r="AJ322" s="80"/>
      <c r="AL322" s="80"/>
    </row>
    <row r="323" spans="7:38" ht="15.75" customHeight="1">
      <c r="G323" s="80"/>
      <c r="AH323" s="80"/>
      <c r="AI323" s="80"/>
      <c r="AJ323" s="80"/>
      <c r="AL323" s="80"/>
    </row>
    <row r="324" spans="7:38" ht="15.75" customHeight="1">
      <c r="G324" s="80"/>
      <c r="AH324" s="80"/>
      <c r="AI324" s="80"/>
      <c r="AJ324" s="80"/>
      <c r="AL324" s="80"/>
    </row>
    <row r="325" spans="7:38" ht="15.75" customHeight="1">
      <c r="G325" s="80"/>
      <c r="AH325" s="80"/>
      <c r="AI325" s="80"/>
      <c r="AJ325" s="80"/>
      <c r="AL325" s="80"/>
    </row>
    <row r="326" spans="7:38" ht="15.75" customHeight="1">
      <c r="G326" s="80"/>
      <c r="AH326" s="80"/>
      <c r="AI326" s="80"/>
      <c r="AJ326" s="80"/>
      <c r="AL326" s="80"/>
    </row>
    <row r="327" spans="7:38" ht="15.75" customHeight="1">
      <c r="G327" s="80"/>
      <c r="AH327" s="80"/>
      <c r="AI327" s="80"/>
      <c r="AJ327" s="80"/>
      <c r="AL327" s="80"/>
    </row>
    <row r="328" spans="7:38" ht="15.75" customHeight="1">
      <c r="G328" s="80"/>
      <c r="AH328" s="80"/>
      <c r="AI328" s="80"/>
      <c r="AJ328" s="80"/>
      <c r="AL328" s="80"/>
    </row>
    <row r="329" spans="7:38" ht="15.75" customHeight="1">
      <c r="G329" s="80"/>
      <c r="AH329" s="80"/>
      <c r="AI329" s="80"/>
      <c r="AJ329" s="80"/>
      <c r="AL329" s="80"/>
    </row>
    <row r="330" spans="7:38" ht="15.75" customHeight="1">
      <c r="G330" s="80"/>
      <c r="AH330" s="80"/>
      <c r="AI330" s="80"/>
      <c r="AJ330" s="80"/>
      <c r="AL330" s="80"/>
    </row>
    <row r="331" spans="7:38" ht="15.75" customHeight="1">
      <c r="G331" s="80"/>
      <c r="AH331" s="80"/>
      <c r="AI331" s="80"/>
      <c r="AJ331" s="80"/>
      <c r="AL331" s="80"/>
    </row>
    <row r="332" spans="7:38" ht="15.75" customHeight="1">
      <c r="G332" s="80"/>
      <c r="AH332" s="80"/>
      <c r="AI332" s="80"/>
      <c r="AJ332" s="80"/>
      <c r="AL332" s="80"/>
    </row>
    <row r="333" spans="7:38" ht="15.75" customHeight="1">
      <c r="G333" s="80"/>
      <c r="AH333" s="80"/>
      <c r="AI333" s="80"/>
      <c r="AJ333" s="80"/>
      <c r="AL333" s="80"/>
    </row>
    <row r="334" spans="7:38" ht="15.75" customHeight="1">
      <c r="G334" s="80"/>
      <c r="AH334" s="80"/>
      <c r="AI334" s="80"/>
      <c r="AJ334" s="80"/>
      <c r="AL334" s="80"/>
    </row>
    <row r="335" spans="7:38" ht="15.75" customHeight="1">
      <c r="G335" s="80"/>
      <c r="AH335" s="80"/>
      <c r="AI335" s="80"/>
      <c r="AJ335" s="80"/>
      <c r="AL335" s="80"/>
    </row>
    <row r="336" spans="7:38" ht="15.75" customHeight="1">
      <c r="G336" s="80"/>
      <c r="AH336" s="80"/>
      <c r="AI336" s="80"/>
      <c r="AJ336" s="80"/>
      <c r="AL336" s="80"/>
    </row>
    <row r="337" spans="7:38" ht="15.75" customHeight="1">
      <c r="G337" s="80"/>
      <c r="AH337" s="80"/>
      <c r="AI337" s="80"/>
      <c r="AJ337" s="80"/>
      <c r="AL337" s="80"/>
    </row>
    <row r="338" spans="7:38" ht="15.75" customHeight="1">
      <c r="G338" s="80"/>
      <c r="AH338" s="80"/>
      <c r="AI338" s="80"/>
      <c r="AJ338" s="80"/>
      <c r="AL338" s="80"/>
    </row>
    <row r="339" spans="7:38" ht="15.75" customHeight="1">
      <c r="G339" s="80"/>
      <c r="AH339" s="80"/>
      <c r="AI339" s="80"/>
      <c r="AJ339" s="80"/>
      <c r="AL339" s="80"/>
    </row>
    <row r="340" spans="7:38" ht="15.75" customHeight="1">
      <c r="G340" s="80"/>
      <c r="AH340" s="80"/>
      <c r="AI340" s="80"/>
      <c r="AJ340" s="80"/>
      <c r="AL340" s="80"/>
    </row>
    <row r="341" spans="7:38" ht="15.75" customHeight="1">
      <c r="G341" s="80"/>
      <c r="AH341" s="80"/>
      <c r="AI341" s="80"/>
      <c r="AJ341" s="80"/>
      <c r="AL341" s="80"/>
    </row>
    <row r="342" spans="7:38" ht="15.75" customHeight="1">
      <c r="G342" s="80"/>
      <c r="AH342" s="80"/>
      <c r="AI342" s="80"/>
      <c r="AJ342" s="80"/>
      <c r="AL342" s="80"/>
    </row>
    <row r="343" spans="7:38" ht="15.75" customHeight="1">
      <c r="G343" s="80"/>
      <c r="AH343" s="80"/>
      <c r="AI343" s="80"/>
      <c r="AJ343" s="80"/>
      <c r="AL343" s="80"/>
    </row>
    <row r="344" spans="7:38" ht="15.75" customHeight="1">
      <c r="G344" s="80"/>
      <c r="AH344" s="80"/>
      <c r="AI344" s="80"/>
      <c r="AJ344" s="80"/>
      <c r="AL344" s="80"/>
    </row>
    <row r="345" spans="7:38" ht="15.75" customHeight="1">
      <c r="G345" s="80"/>
      <c r="AH345" s="80"/>
      <c r="AI345" s="80"/>
      <c r="AJ345" s="80"/>
      <c r="AL345" s="80"/>
    </row>
    <row r="346" spans="7:38" ht="15.75" customHeight="1">
      <c r="G346" s="80"/>
      <c r="AH346" s="80"/>
      <c r="AI346" s="80"/>
      <c r="AJ346" s="80"/>
      <c r="AL346" s="80"/>
    </row>
    <row r="347" spans="7:38" ht="15.75" customHeight="1">
      <c r="G347" s="80"/>
      <c r="AH347" s="80"/>
      <c r="AI347" s="80"/>
      <c r="AJ347" s="80"/>
      <c r="AL347" s="80"/>
    </row>
    <row r="348" spans="7:38" ht="15.75" customHeight="1">
      <c r="G348" s="80"/>
      <c r="AH348" s="80"/>
      <c r="AI348" s="80"/>
      <c r="AJ348" s="80"/>
      <c r="AL348" s="80"/>
    </row>
    <row r="349" spans="7:38" ht="15.75" customHeight="1">
      <c r="G349" s="80"/>
      <c r="AH349" s="80"/>
      <c r="AI349" s="80"/>
      <c r="AJ349" s="80"/>
      <c r="AL349" s="80"/>
    </row>
    <row r="350" spans="7:38" ht="15.75" customHeight="1">
      <c r="G350" s="80"/>
      <c r="AH350" s="80"/>
      <c r="AI350" s="80"/>
      <c r="AJ350" s="80"/>
      <c r="AL350" s="80"/>
    </row>
    <row r="351" spans="7:38" ht="15.75" customHeight="1">
      <c r="G351" s="80"/>
      <c r="AH351" s="80"/>
      <c r="AI351" s="80"/>
      <c r="AJ351" s="80"/>
      <c r="AL351" s="80"/>
    </row>
    <row r="352" spans="7:38" ht="15.75" customHeight="1">
      <c r="G352" s="80"/>
      <c r="AH352" s="80"/>
      <c r="AI352" s="80"/>
      <c r="AJ352" s="80"/>
      <c r="AL352" s="80"/>
    </row>
    <row r="353" spans="7:38" ht="15.75" customHeight="1">
      <c r="G353" s="80"/>
      <c r="AH353" s="80"/>
      <c r="AI353" s="80"/>
      <c r="AJ353" s="80"/>
      <c r="AL353" s="80"/>
    </row>
    <row r="354" spans="7:38" ht="15.75" customHeight="1">
      <c r="G354" s="80"/>
      <c r="AH354" s="80"/>
      <c r="AI354" s="80"/>
      <c r="AJ354" s="80"/>
      <c r="AL354" s="80"/>
    </row>
    <row r="355" spans="7:38" ht="15.75" customHeight="1">
      <c r="G355" s="80"/>
      <c r="AH355" s="80"/>
      <c r="AI355" s="80"/>
      <c r="AJ355" s="80"/>
      <c r="AL355" s="80"/>
    </row>
    <row r="356" spans="7:38" ht="15.75" customHeight="1">
      <c r="G356" s="80"/>
      <c r="AH356" s="80"/>
      <c r="AI356" s="80"/>
      <c r="AJ356" s="80"/>
      <c r="AL356" s="80"/>
    </row>
    <row r="357" spans="7:38" ht="15.75" customHeight="1">
      <c r="G357" s="80"/>
      <c r="AH357" s="80"/>
      <c r="AI357" s="80"/>
      <c r="AJ357" s="80"/>
      <c r="AL357" s="80"/>
    </row>
    <row r="358" spans="7:38" ht="15.75" customHeight="1">
      <c r="G358" s="80"/>
      <c r="AH358" s="80"/>
      <c r="AI358" s="80"/>
      <c r="AJ358" s="80"/>
      <c r="AL358" s="80"/>
    </row>
    <row r="359" spans="7:38" ht="15.75" customHeight="1">
      <c r="G359" s="80"/>
      <c r="AH359" s="80"/>
      <c r="AI359" s="80"/>
      <c r="AJ359" s="80"/>
      <c r="AL359" s="80"/>
    </row>
    <row r="360" spans="7:38" ht="15.75" customHeight="1">
      <c r="G360" s="80"/>
      <c r="AH360" s="80"/>
      <c r="AI360" s="80"/>
      <c r="AJ360" s="80"/>
      <c r="AL360" s="80"/>
    </row>
    <row r="361" spans="7:38" ht="15.75" customHeight="1">
      <c r="G361" s="80"/>
      <c r="AH361" s="80"/>
      <c r="AI361" s="80"/>
      <c r="AJ361" s="80"/>
      <c r="AL361" s="80"/>
    </row>
    <row r="362" spans="7:38" ht="15.75" customHeight="1">
      <c r="G362" s="80"/>
      <c r="AH362" s="80"/>
      <c r="AI362" s="80"/>
      <c r="AJ362" s="80"/>
      <c r="AL362" s="80"/>
    </row>
    <row r="363" spans="7:38" ht="15.75" customHeight="1">
      <c r="G363" s="80"/>
      <c r="AH363" s="80"/>
      <c r="AI363" s="80"/>
      <c r="AJ363" s="80"/>
      <c r="AL363" s="80"/>
    </row>
    <row r="364" spans="7:38" ht="15.75" customHeight="1">
      <c r="G364" s="80"/>
      <c r="AH364" s="80"/>
      <c r="AI364" s="80"/>
      <c r="AJ364" s="80"/>
      <c r="AL364" s="80"/>
    </row>
    <row r="365" spans="7:38" ht="15.75" customHeight="1">
      <c r="G365" s="80"/>
      <c r="AH365" s="80"/>
      <c r="AI365" s="80"/>
      <c r="AJ365" s="80"/>
      <c r="AL365" s="80"/>
    </row>
    <row r="366" spans="7:38" ht="15.75" customHeight="1">
      <c r="G366" s="80"/>
      <c r="AH366" s="80"/>
      <c r="AI366" s="80"/>
      <c r="AJ366" s="80"/>
      <c r="AL366" s="80"/>
    </row>
    <row r="367" spans="7:38" ht="15.75" customHeight="1">
      <c r="G367" s="80"/>
      <c r="AH367" s="80"/>
      <c r="AI367" s="80"/>
      <c r="AJ367" s="80"/>
      <c r="AL367" s="80"/>
    </row>
    <row r="368" spans="7:38" ht="15.75" customHeight="1">
      <c r="G368" s="80"/>
      <c r="AH368" s="80"/>
      <c r="AI368" s="80"/>
      <c r="AJ368" s="80"/>
      <c r="AL368" s="80"/>
    </row>
    <row r="369" spans="7:38" ht="15.75" customHeight="1">
      <c r="G369" s="80"/>
      <c r="AH369" s="80"/>
      <c r="AI369" s="80"/>
      <c r="AJ369" s="80"/>
      <c r="AL369" s="80"/>
    </row>
    <row r="370" spans="7:38" ht="15.75" customHeight="1">
      <c r="G370" s="80"/>
      <c r="AH370" s="80"/>
      <c r="AI370" s="80"/>
      <c r="AJ370" s="80"/>
      <c r="AL370" s="80"/>
    </row>
    <row r="371" spans="7:38" ht="15.75" customHeight="1">
      <c r="G371" s="80"/>
      <c r="AH371" s="80"/>
      <c r="AI371" s="80"/>
      <c r="AJ371" s="80"/>
      <c r="AL371" s="80"/>
    </row>
    <row r="372" spans="7:38" ht="15.75" customHeight="1">
      <c r="G372" s="80"/>
      <c r="AH372" s="80"/>
      <c r="AI372" s="80"/>
      <c r="AJ372" s="80"/>
      <c r="AL372" s="80"/>
    </row>
    <row r="373" spans="7:38" ht="15.75" customHeight="1">
      <c r="G373" s="80"/>
      <c r="AH373" s="80"/>
      <c r="AI373" s="80"/>
      <c r="AJ373" s="80"/>
      <c r="AL373" s="80"/>
    </row>
    <row r="374" spans="7:38" ht="15.75" customHeight="1">
      <c r="G374" s="80"/>
      <c r="AH374" s="80"/>
      <c r="AI374" s="80"/>
      <c r="AJ374" s="80"/>
      <c r="AL374" s="80"/>
    </row>
    <row r="375" spans="7:38" ht="15.75" customHeight="1">
      <c r="G375" s="80"/>
      <c r="AH375" s="80"/>
      <c r="AI375" s="80"/>
      <c r="AJ375" s="80"/>
      <c r="AL375" s="80"/>
    </row>
    <row r="376" spans="7:38" ht="15.75" customHeight="1">
      <c r="G376" s="80"/>
      <c r="AH376" s="80"/>
      <c r="AI376" s="80"/>
      <c r="AJ376" s="80"/>
      <c r="AL376" s="80"/>
    </row>
    <row r="377" spans="7:38" ht="15.75" customHeight="1">
      <c r="G377" s="80"/>
      <c r="AH377" s="80"/>
      <c r="AI377" s="80"/>
      <c r="AJ377" s="80"/>
      <c r="AL377" s="80"/>
    </row>
    <row r="378" spans="7:38" ht="15.75" customHeight="1">
      <c r="G378" s="80"/>
      <c r="AH378" s="80"/>
      <c r="AI378" s="80"/>
      <c r="AJ378" s="80"/>
      <c r="AL378" s="80"/>
    </row>
    <row r="379" spans="7:38" ht="15.75" customHeight="1">
      <c r="G379" s="80"/>
      <c r="AH379" s="80"/>
      <c r="AI379" s="80"/>
      <c r="AJ379" s="80"/>
      <c r="AL379" s="80"/>
    </row>
    <row r="380" spans="7:38" ht="15.75" customHeight="1">
      <c r="G380" s="80"/>
      <c r="AH380" s="80"/>
      <c r="AI380" s="80"/>
      <c r="AJ380" s="80"/>
      <c r="AL380" s="80"/>
    </row>
    <row r="381" spans="7:38" ht="15.75" customHeight="1">
      <c r="G381" s="80"/>
      <c r="AH381" s="80"/>
      <c r="AI381" s="80"/>
      <c r="AJ381" s="80"/>
      <c r="AL381" s="80"/>
    </row>
    <row r="382" spans="7:38" ht="15.75" customHeight="1">
      <c r="G382" s="80"/>
      <c r="AH382" s="80"/>
      <c r="AI382" s="80"/>
      <c r="AJ382" s="80"/>
      <c r="AL382" s="80"/>
    </row>
    <row r="383" spans="7:38" ht="15.75" customHeight="1">
      <c r="G383" s="80"/>
      <c r="AH383" s="80"/>
      <c r="AI383" s="80"/>
      <c r="AJ383" s="80"/>
      <c r="AL383" s="80"/>
    </row>
    <row r="384" spans="7:38" ht="15.75" customHeight="1">
      <c r="G384" s="80"/>
      <c r="AH384" s="80"/>
      <c r="AI384" s="80"/>
      <c r="AJ384" s="80"/>
      <c r="AL384" s="80"/>
    </row>
    <row r="385" spans="7:38" ht="15.75" customHeight="1">
      <c r="G385" s="80"/>
      <c r="AH385" s="80"/>
      <c r="AI385" s="80"/>
      <c r="AJ385" s="80"/>
      <c r="AL385" s="80"/>
    </row>
    <row r="386" spans="7:38" ht="15.75" customHeight="1">
      <c r="G386" s="80"/>
      <c r="AH386" s="80"/>
      <c r="AI386" s="80"/>
      <c r="AJ386" s="80"/>
      <c r="AL386" s="80"/>
    </row>
    <row r="387" spans="7:38" ht="15.75" customHeight="1">
      <c r="G387" s="80"/>
      <c r="AH387" s="80"/>
      <c r="AI387" s="80"/>
      <c r="AJ387" s="80"/>
      <c r="AL387" s="80"/>
    </row>
    <row r="388" spans="7:38" ht="15.75" customHeight="1">
      <c r="G388" s="80"/>
      <c r="AH388" s="80"/>
      <c r="AI388" s="80"/>
      <c r="AJ388" s="80"/>
      <c r="AL388" s="80"/>
    </row>
    <row r="389" spans="7:38" ht="15.75" customHeight="1">
      <c r="G389" s="80"/>
      <c r="AH389" s="80"/>
      <c r="AI389" s="80"/>
      <c r="AJ389" s="80"/>
      <c r="AL389" s="80"/>
    </row>
    <row r="390" spans="7:38" ht="15.75" customHeight="1">
      <c r="G390" s="80"/>
      <c r="AH390" s="80"/>
      <c r="AI390" s="80"/>
      <c r="AJ390" s="80"/>
      <c r="AL390" s="80"/>
    </row>
    <row r="391" spans="7:38" ht="15.75" customHeight="1">
      <c r="G391" s="80"/>
      <c r="AH391" s="80"/>
      <c r="AI391" s="80"/>
      <c r="AJ391" s="80"/>
      <c r="AL391" s="80"/>
    </row>
    <row r="392" spans="7:38" ht="15.75" customHeight="1">
      <c r="G392" s="80"/>
      <c r="AH392" s="80"/>
      <c r="AI392" s="80"/>
      <c r="AJ392" s="80"/>
      <c r="AL392" s="80"/>
    </row>
    <row r="393" spans="7:38" ht="15.75" customHeight="1">
      <c r="G393" s="80"/>
      <c r="AH393" s="80"/>
      <c r="AI393" s="80"/>
      <c r="AJ393" s="80"/>
      <c r="AL393" s="80"/>
    </row>
    <row r="394" spans="7:38" ht="15.75" customHeight="1">
      <c r="G394" s="80"/>
      <c r="AH394" s="80"/>
      <c r="AI394" s="80"/>
      <c r="AJ394" s="80"/>
      <c r="AL394" s="80"/>
    </row>
    <row r="395" spans="7:38" ht="15.75" customHeight="1">
      <c r="G395" s="80"/>
      <c r="AH395" s="80"/>
      <c r="AI395" s="80"/>
      <c r="AJ395" s="80"/>
      <c r="AL395" s="80"/>
    </row>
    <row r="396" spans="7:38" ht="15.75" customHeight="1">
      <c r="G396" s="80"/>
      <c r="AH396" s="80"/>
      <c r="AI396" s="80"/>
      <c r="AJ396" s="80"/>
      <c r="AL396" s="80"/>
    </row>
    <row r="397" spans="7:38" ht="15.75" customHeight="1">
      <c r="G397" s="80"/>
      <c r="AH397" s="80"/>
      <c r="AI397" s="80"/>
      <c r="AJ397" s="80"/>
      <c r="AL397" s="80"/>
    </row>
    <row r="398" spans="7:38" ht="15.75" customHeight="1">
      <c r="G398" s="80"/>
      <c r="AH398" s="80"/>
      <c r="AI398" s="80"/>
      <c r="AJ398" s="80"/>
      <c r="AL398" s="80"/>
    </row>
    <row r="399" spans="7:38" ht="15.75" customHeight="1">
      <c r="G399" s="80"/>
      <c r="AH399" s="80"/>
      <c r="AI399" s="80"/>
      <c r="AJ399" s="80"/>
      <c r="AL399" s="80"/>
    </row>
    <row r="400" spans="7:38" ht="15.75" customHeight="1">
      <c r="G400" s="80"/>
      <c r="AH400" s="80"/>
      <c r="AI400" s="80"/>
      <c r="AJ400" s="80"/>
      <c r="AL400" s="80"/>
    </row>
    <row r="401" spans="7:38" ht="15.75" customHeight="1">
      <c r="G401" s="80"/>
      <c r="AH401" s="80"/>
      <c r="AI401" s="80"/>
      <c r="AJ401" s="80"/>
      <c r="AL401" s="80"/>
    </row>
    <row r="402" spans="7:38" ht="15.75" customHeight="1">
      <c r="G402" s="80"/>
      <c r="AH402" s="80"/>
      <c r="AI402" s="80"/>
      <c r="AJ402" s="80"/>
      <c r="AL402" s="80"/>
    </row>
    <row r="403" spans="7:38" ht="15.75" customHeight="1">
      <c r="G403" s="80"/>
      <c r="AH403" s="80"/>
      <c r="AI403" s="80"/>
      <c r="AJ403" s="80"/>
      <c r="AL403" s="80"/>
    </row>
    <row r="404" spans="7:38" ht="15.75" customHeight="1">
      <c r="G404" s="80"/>
      <c r="AH404" s="80"/>
      <c r="AI404" s="80"/>
      <c r="AJ404" s="80"/>
      <c r="AL404" s="80"/>
    </row>
    <row r="405" spans="7:38" ht="15.75" customHeight="1">
      <c r="G405" s="80"/>
      <c r="AH405" s="80"/>
      <c r="AI405" s="80"/>
      <c r="AJ405" s="80"/>
      <c r="AL405" s="80"/>
    </row>
    <row r="406" spans="7:38" ht="15.75" customHeight="1">
      <c r="G406" s="80"/>
      <c r="AH406" s="80"/>
      <c r="AI406" s="80"/>
      <c r="AJ406" s="80"/>
      <c r="AL406" s="80"/>
    </row>
    <row r="407" spans="7:38" ht="15.75" customHeight="1">
      <c r="G407" s="80"/>
      <c r="AH407" s="80"/>
      <c r="AI407" s="80"/>
      <c r="AJ407" s="80"/>
      <c r="AL407" s="80"/>
    </row>
    <row r="408" spans="7:38" ht="15.75" customHeight="1">
      <c r="G408" s="80"/>
      <c r="AH408" s="80"/>
      <c r="AI408" s="80"/>
      <c r="AJ408" s="80"/>
      <c r="AL408" s="80"/>
    </row>
    <row r="409" spans="7:38" ht="15.75" customHeight="1">
      <c r="G409" s="80"/>
      <c r="AH409" s="80"/>
      <c r="AI409" s="80"/>
      <c r="AJ409" s="80"/>
      <c r="AL409" s="80"/>
    </row>
    <row r="410" spans="7:38" ht="15.75" customHeight="1">
      <c r="G410" s="80"/>
      <c r="AH410" s="80"/>
      <c r="AI410" s="80"/>
      <c r="AJ410" s="80"/>
      <c r="AL410" s="80"/>
    </row>
    <row r="411" spans="7:38" ht="15.75" customHeight="1">
      <c r="G411" s="80"/>
      <c r="AH411" s="80"/>
      <c r="AI411" s="80"/>
      <c r="AJ411" s="80"/>
      <c r="AL411" s="80"/>
    </row>
    <row r="412" spans="7:38" ht="15.75" customHeight="1">
      <c r="G412" s="80"/>
      <c r="AH412" s="80"/>
      <c r="AI412" s="80"/>
      <c r="AJ412" s="80"/>
      <c r="AL412" s="80"/>
    </row>
    <row r="413" spans="7:38" ht="15.75" customHeight="1">
      <c r="G413" s="80"/>
      <c r="AH413" s="80"/>
      <c r="AI413" s="80"/>
      <c r="AJ413" s="80"/>
      <c r="AL413" s="80"/>
    </row>
    <row r="414" spans="7:38" ht="15.75" customHeight="1">
      <c r="G414" s="80"/>
      <c r="AH414" s="80"/>
      <c r="AI414" s="80"/>
      <c r="AJ414" s="80"/>
      <c r="AL414" s="80"/>
    </row>
    <row r="415" spans="7:38" ht="15.75" customHeight="1">
      <c r="G415" s="80"/>
      <c r="AH415" s="80"/>
      <c r="AI415" s="80"/>
      <c r="AJ415" s="80"/>
      <c r="AL415" s="80"/>
    </row>
    <row r="416" spans="7:38" ht="15.75" customHeight="1">
      <c r="G416" s="80"/>
      <c r="AH416" s="80"/>
      <c r="AI416" s="80"/>
      <c r="AJ416" s="80"/>
      <c r="AL416" s="80"/>
    </row>
    <row r="417" spans="7:38" ht="15.75" customHeight="1">
      <c r="G417" s="80"/>
      <c r="AH417" s="80"/>
      <c r="AI417" s="80"/>
      <c r="AJ417" s="80"/>
      <c r="AL417" s="80"/>
    </row>
    <row r="418" spans="7:38" ht="15.75" customHeight="1">
      <c r="G418" s="80"/>
      <c r="AH418" s="80"/>
      <c r="AI418" s="80"/>
      <c r="AJ418" s="80"/>
      <c r="AL418" s="80"/>
    </row>
    <row r="419" spans="7:38" ht="15.75" customHeight="1">
      <c r="G419" s="80"/>
      <c r="AH419" s="80"/>
      <c r="AI419" s="80"/>
      <c r="AJ419" s="80"/>
      <c r="AL419" s="80"/>
    </row>
    <row r="420" spans="7:38" ht="15.75" customHeight="1">
      <c r="G420" s="80"/>
      <c r="AH420" s="80"/>
      <c r="AI420" s="80"/>
      <c r="AJ420" s="80"/>
      <c r="AL420" s="80"/>
    </row>
    <row r="421" spans="7:38" ht="15.75" customHeight="1">
      <c r="G421" s="80"/>
      <c r="AH421" s="80"/>
      <c r="AI421" s="80"/>
      <c r="AJ421" s="80"/>
      <c r="AL421" s="80"/>
    </row>
    <row r="422" spans="7:38" ht="15.75" customHeight="1">
      <c r="G422" s="80"/>
      <c r="AH422" s="80"/>
      <c r="AI422" s="80"/>
      <c r="AJ422" s="80"/>
      <c r="AL422" s="80"/>
    </row>
    <row r="423" spans="7:38" ht="15.75" customHeight="1">
      <c r="G423" s="80"/>
      <c r="AH423" s="80"/>
      <c r="AI423" s="80"/>
      <c r="AJ423" s="80"/>
      <c r="AL423" s="80"/>
    </row>
    <row r="424" spans="7:38" ht="15.75" customHeight="1">
      <c r="G424" s="80"/>
      <c r="AH424" s="80"/>
      <c r="AI424" s="80"/>
      <c r="AJ424" s="80"/>
      <c r="AL424" s="80"/>
    </row>
    <row r="425" spans="7:38" ht="15.75" customHeight="1">
      <c r="G425" s="80"/>
      <c r="AH425" s="80"/>
      <c r="AI425" s="80"/>
      <c r="AJ425" s="80"/>
      <c r="AL425" s="80"/>
    </row>
    <row r="426" spans="7:38" ht="15.75" customHeight="1">
      <c r="G426" s="80"/>
      <c r="AH426" s="80"/>
      <c r="AI426" s="80"/>
      <c r="AJ426" s="80"/>
      <c r="AL426" s="80"/>
    </row>
    <row r="427" spans="7:38" ht="15.75" customHeight="1">
      <c r="G427" s="80"/>
      <c r="AH427" s="80"/>
      <c r="AI427" s="80"/>
      <c r="AJ427" s="80"/>
      <c r="AL427" s="80"/>
    </row>
    <row r="428" spans="7:38" ht="15.75" customHeight="1">
      <c r="G428" s="80"/>
      <c r="AH428" s="80"/>
      <c r="AI428" s="80"/>
      <c r="AJ428" s="80"/>
      <c r="AL428" s="80"/>
    </row>
    <row r="429" spans="7:38" ht="15.75" customHeight="1">
      <c r="G429" s="80"/>
      <c r="AH429" s="80"/>
      <c r="AI429" s="80"/>
      <c r="AJ429" s="80"/>
      <c r="AL429" s="80"/>
    </row>
    <row r="430" spans="7:38" ht="15.75" customHeight="1">
      <c r="G430" s="80"/>
      <c r="AH430" s="80"/>
      <c r="AI430" s="80"/>
      <c r="AJ430" s="80"/>
      <c r="AL430" s="80"/>
    </row>
    <row r="431" spans="7:38" ht="15.75" customHeight="1">
      <c r="G431" s="80"/>
      <c r="AH431" s="80"/>
      <c r="AI431" s="80"/>
      <c r="AJ431" s="80"/>
      <c r="AL431" s="80"/>
    </row>
    <row r="432" spans="7:38" ht="15.75" customHeight="1">
      <c r="G432" s="80"/>
      <c r="AH432" s="80"/>
      <c r="AI432" s="80"/>
      <c r="AJ432" s="80"/>
      <c r="AL432" s="80"/>
    </row>
    <row r="433" spans="7:38" ht="15.75" customHeight="1">
      <c r="G433" s="80"/>
      <c r="AH433" s="80"/>
      <c r="AI433" s="80"/>
      <c r="AJ433" s="80"/>
      <c r="AL433" s="80"/>
    </row>
    <row r="434" spans="7:38" ht="15.75" customHeight="1">
      <c r="G434" s="80"/>
      <c r="AH434" s="80"/>
      <c r="AI434" s="80"/>
      <c r="AJ434" s="80"/>
      <c r="AL434" s="80"/>
    </row>
    <row r="435" spans="7:38" ht="15.75" customHeight="1">
      <c r="G435" s="80"/>
      <c r="AH435" s="80"/>
      <c r="AI435" s="80"/>
      <c r="AJ435" s="80"/>
      <c r="AL435" s="80"/>
    </row>
    <row r="436" spans="7:38" ht="15.75" customHeight="1">
      <c r="G436" s="80"/>
      <c r="AH436" s="80"/>
      <c r="AI436" s="80"/>
      <c r="AJ436" s="80"/>
      <c r="AL436" s="80"/>
    </row>
    <row r="437" spans="7:38" ht="15.75" customHeight="1">
      <c r="G437" s="80"/>
      <c r="AH437" s="80"/>
      <c r="AI437" s="80"/>
      <c r="AJ437" s="80"/>
      <c r="AL437" s="80"/>
    </row>
    <row r="438" spans="7:38" ht="15.75" customHeight="1">
      <c r="G438" s="80"/>
      <c r="AH438" s="80"/>
      <c r="AI438" s="80"/>
      <c r="AJ438" s="80"/>
      <c r="AL438" s="80"/>
    </row>
    <row r="439" spans="7:38" ht="15.75" customHeight="1">
      <c r="G439" s="80"/>
      <c r="AH439" s="80"/>
      <c r="AI439" s="80"/>
      <c r="AJ439" s="80"/>
      <c r="AL439" s="80"/>
    </row>
    <row r="440" spans="7:38" ht="15.75" customHeight="1">
      <c r="G440" s="80"/>
      <c r="AH440" s="80"/>
      <c r="AI440" s="80"/>
      <c r="AJ440" s="80"/>
      <c r="AL440" s="80"/>
    </row>
    <row r="441" spans="7:38" ht="15.75" customHeight="1">
      <c r="G441" s="80"/>
      <c r="AH441" s="80"/>
      <c r="AI441" s="80"/>
      <c r="AJ441" s="80"/>
      <c r="AL441" s="80"/>
    </row>
    <row r="442" spans="7:38" ht="15.75" customHeight="1">
      <c r="G442" s="80"/>
      <c r="AH442" s="80"/>
      <c r="AI442" s="80"/>
      <c r="AJ442" s="80"/>
      <c r="AL442" s="80"/>
    </row>
    <row r="443" spans="7:38" ht="15.75" customHeight="1">
      <c r="G443" s="80"/>
      <c r="AH443" s="80"/>
      <c r="AI443" s="80"/>
      <c r="AJ443" s="80"/>
      <c r="AL443" s="80"/>
    </row>
    <row r="444" spans="7:38" ht="15.75" customHeight="1">
      <c r="G444" s="80"/>
      <c r="AH444" s="80"/>
      <c r="AI444" s="80"/>
      <c r="AJ444" s="80"/>
      <c r="AL444" s="80"/>
    </row>
    <row r="445" spans="7:38" ht="15.75" customHeight="1">
      <c r="G445" s="80"/>
      <c r="AH445" s="80"/>
      <c r="AI445" s="80"/>
      <c r="AJ445" s="80"/>
      <c r="AL445" s="80"/>
    </row>
    <row r="446" spans="7:38" ht="15.75" customHeight="1">
      <c r="G446" s="80"/>
      <c r="AH446" s="80"/>
      <c r="AI446" s="80"/>
      <c r="AJ446" s="80"/>
      <c r="AL446" s="80"/>
    </row>
    <row r="447" spans="7:38" ht="15.75" customHeight="1">
      <c r="G447" s="80"/>
      <c r="AH447" s="80"/>
      <c r="AI447" s="80"/>
      <c r="AJ447" s="80"/>
      <c r="AL447" s="80"/>
    </row>
    <row r="448" spans="7:38" ht="15.75" customHeight="1">
      <c r="G448" s="80"/>
      <c r="AH448" s="80"/>
      <c r="AI448" s="80"/>
      <c r="AJ448" s="80"/>
      <c r="AL448" s="80"/>
    </row>
    <row r="449" spans="7:38" ht="15.75" customHeight="1">
      <c r="G449" s="80"/>
      <c r="AH449" s="80"/>
      <c r="AI449" s="80"/>
      <c r="AJ449" s="80"/>
      <c r="AL449" s="80"/>
    </row>
    <row r="450" spans="7:38" ht="15.75" customHeight="1">
      <c r="G450" s="80"/>
      <c r="AH450" s="80"/>
      <c r="AI450" s="80"/>
      <c r="AJ450" s="80"/>
      <c r="AL450" s="80"/>
    </row>
    <row r="451" spans="7:38" ht="15.75" customHeight="1">
      <c r="G451" s="80"/>
      <c r="AH451" s="80"/>
      <c r="AI451" s="80"/>
      <c r="AJ451" s="80"/>
      <c r="AL451" s="80"/>
    </row>
    <row r="452" spans="7:38" ht="15.75" customHeight="1">
      <c r="G452" s="80"/>
      <c r="AH452" s="80"/>
      <c r="AI452" s="80"/>
      <c r="AJ452" s="80"/>
      <c r="AL452" s="80"/>
    </row>
    <row r="453" spans="7:38" ht="15.75" customHeight="1">
      <c r="G453" s="80"/>
      <c r="AH453" s="80"/>
      <c r="AI453" s="80"/>
      <c r="AJ453" s="80"/>
      <c r="AL453" s="80"/>
    </row>
    <row r="454" spans="7:38" ht="15.75" customHeight="1">
      <c r="G454" s="80"/>
      <c r="AH454" s="80"/>
      <c r="AI454" s="80"/>
      <c r="AJ454" s="80"/>
      <c r="AL454" s="80"/>
    </row>
    <row r="455" spans="7:38" ht="15.75" customHeight="1">
      <c r="G455" s="80"/>
      <c r="AH455" s="80"/>
      <c r="AI455" s="80"/>
      <c r="AJ455" s="80"/>
      <c r="AL455" s="80"/>
    </row>
    <row r="456" spans="7:38" ht="15.75" customHeight="1">
      <c r="G456" s="80"/>
      <c r="AH456" s="80"/>
      <c r="AI456" s="80"/>
      <c r="AJ456" s="80"/>
      <c r="AL456" s="80"/>
    </row>
    <row r="457" spans="7:38" ht="15.75" customHeight="1">
      <c r="G457" s="80"/>
      <c r="AH457" s="80"/>
      <c r="AI457" s="80"/>
      <c r="AJ457" s="80"/>
      <c r="AL457" s="80"/>
    </row>
    <row r="458" spans="7:38" ht="15.75" customHeight="1">
      <c r="G458" s="80"/>
      <c r="AH458" s="80"/>
      <c r="AI458" s="80"/>
      <c r="AJ458" s="80"/>
      <c r="AL458" s="80"/>
    </row>
    <row r="459" spans="7:38" ht="15.75" customHeight="1">
      <c r="G459" s="80"/>
      <c r="AH459" s="80"/>
      <c r="AI459" s="80"/>
      <c r="AJ459" s="80"/>
      <c r="AL459" s="80"/>
    </row>
    <row r="460" spans="7:38" ht="15.75" customHeight="1">
      <c r="G460" s="80"/>
      <c r="AH460" s="80"/>
      <c r="AI460" s="80"/>
      <c r="AJ460" s="80"/>
      <c r="AL460" s="80"/>
    </row>
    <row r="461" spans="7:38" ht="15.75" customHeight="1">
      <c r="G461" s="80"/>
      <c r="AH461" s="80"/>
      <c r="AI461" s="80"/>
      <c r="AJ461" s="80"/>
      <c r="AL461" s="80"/>
    </row>
    <row r="462" spans="7:38" ht="15.75" customHeight="1">
      <c r="G462" s="80"/>
      <c r="AH462" s="80"/>
      <c r="AI462" s="80"/>
      <c r="AJ462" s="80"/>
      <c r="AL462" s="80"/>
    </row>
    <row r="463" spans="7:38" ht="15.75" customHeight="1">
      <c r="G463" s="80"/>
      <c r="AH463" s="80"/>
      <c r="AI463" s="80"/>
      <c r="AJ463" s="80"/>
      <c r="AL463" s="80"/>
    </row>
    <row r="464" spans="7:38" ht="15.75" customHeight="1">
      <c r="G464" s="80"/>
      <c r="AH464" s="80"/>
      <c r="AI464" s="80"/>
      <c r="AJ464" s="80"/>
      <c r="AL464" s="80"/>
    </row>
    <row r="465" spans="7:38" ht="15.75" customHeight="1">
      <c r="G465" s="80"/>
      <c r="AH465" s="80"/>
      <c r="AI465" s="80"/>
      <c r="AJ465" s="80"/>
      <c r="AL465" s="80"/>
    </row>
    <row r="466" spans="7:38" ht="15.75" customHeight="1">
      <c r="G466" s="80"/>
      <c r="AH466" s="80"/>
      <c r="AI466" s="80"/>
      <c r="AJ466" s="80"/>
      <c r="AL466" s="80"/>
    </row>
    <row r="467" spans="7:38" ht="15.75" customHeight="1">
      <c r="G467" s="80"/>
      <c r="AH467" s="80"/>
      <c r="AI467" s="80"/>
      <c r="AJ467" s="80"/>
      <c r="AL467" s="80"/>
    </row>
    <row r="468" spans="7:38" ht="15.75" customHeight="1">
      <c r="G468" s="80"/>
      <c r="AH468" s="80"/>
      <c r="AI468" s="80"/>
      <c r="AJ468" s="80"/>
      <c r="AL468" s="80"/>
    </row>
    <row r="469" spans="7:38" ht="15.75" customHeight="1">
      <c r="G469" s="80"/>
      <c r="AH469" s="80"/>
      <c r="AI469" s="80"/>
      <c r="AJ469" s="80"/>
      <c r="AL469" s="80"/>
    </row>
    <row r="470" spans="7:38" ht="15.75" customHeight="1">
      <c r="G470" s="80"/>
      <c r="AH470" s="80"/>
      <c r="AI470" s="80"/>
      <c r="AJ470" s="80"/>
      <c r="AL470" s="80"/>
    </row>
    <row r="471" spans="7:38" ht="15.75" customHeight="1">
      <c r="G471" s="80"/>
      <c r="AH471" s="80"/>
      <c r="AI471" s="80"/>
      <c r="AJ471" s="80"/>
      <c r="AL471" s="80"/>
    </row>
    <row r="472" spans="7:38" ht="15.75" customHeight="1">
      <c r="G472" s="80"/>
      <c r="AH472" s="80"/>
      <c r="AI472" s="80"/>
      <c r="AJ472" s="80"/>
      <c r="AL472" s="80"/>
    </row>
    <row r="473" spans="7:38" ht="15.75" customHeight="1">
      <c r="G473" s="80"/>
      <c r="AH473" s="80"/>
      <c r="AI473" s="80"/>
      <c r="AJ473" s="80"/>
      <c r="AL473" s="80"/>
    </row>
    <row r="474" spans="7:38" ht="15.75" customHeight="1">
      <c r="G474" s="80"/>
      <c r="AH474" s="80"/>
      <c r="AI474" s="80"/>
      <c r="AJ474" s="80"/>
      <c r="AL474" s="80"/>
    </row>
    <row r="475" spans="7:38" ht="15.75" customHeight="1">
      <c r="G475" s="80"/>
      <c r="AH475" s="80"/>
      <c r="AI475" s="80"/>
      <c r="AJ475" s="80"/>
      <c r="AL475" s="80"/>
    </row>
    <row r="476" spans="7:38" ht="15.75" customHeight="1">
      <c r="G476" s="80"/>
      <c r="AH476" s="80"/>
      <c r="AI476" s="80"/>
      <c r="AJ476" s="80"/>
      <c r="AL476" s="80"/>
    </row>
    <row r="477" spans="7:38" ht="15.75" customHeight="1">
      <c r="G477" s="80"/>
      <c r="AH477" s="80"/>
      <c r="AI477" s="80"/>
      <c r="AJ477" s="80"/>
      <c r="AL477" s="80"/>
    </row>
    <row r="478" spans="7:38" ht="15.75" customHeight="1">
      <c r="G478" s="80"/>
      <c r="AH478" s="80"/>
      <c r="AI478" s="80"/>
      <c r="AJ478" s="80"/>
      <c r="AL478" s="80"/>
    </row>
    <row r="479" spans="7:38" ht="15.75" customHeight="1">
      <c r="G479" s="80"/>
      <c r="AH479" s="80"/>
      <c r="AI479" s="80"/>
      <c r="AJ479" s="80"/>
      <c r="AL479" s="80"/>
    </row>
    <row r="480" spans="7:38" ht="15.75" customHeight="1">
      <c r="G480" s="80"/>
      <c r="AH480" s="80"/>
      <c r="AI480" s="80"/>
      <c r="AJ480" s="80"/>
      <c r="AL480" s="80"/>
    </row>
    <row r="481" spans="7:38" ht="15.75" customHeight="1">
      <c r="G481" s="80"/>
      <c r="AH481" s="80"/>
      <c r="AI481" s="80"/>
      <c r="AJ481" s="80"/>
      <c r="AL481" s="80"/>
    </row>
    <row r="482" spans="7:38" ht="15.75" customHeight="1">
      <c r="G482" s="80"/>
      <c r="AH482" s="80"/>
      <c r="AI482" s="80"/>
      <c r="AJ482" s="80"/>
      <c r="AL482" s="80"/>
    </row>
    <row r="483" spans="7:38" ht="15.75" customHeight="1">
      <c r="G483" s="80"/>
      <c r="AH483" s="80"/>
      <c r="AI483" s="80"/>
      <c r="AJ483" s="80"/>
      <c r="AL483" s="80"/>
    </row>
    <row r="484" spans="7:38" ht="15.75" customHeight="1">
      <c r="G484" s="80"/>
      <c r="AH484" s="80"/>
      <c r="AI484" s="80"/>
      <c r="AJ484" s="80"/>
      <c r="AL484" s="80"/>
    </row>
    <row r="485" spans="7:38" ht="15.75" customHeight="1">
      <c r="G485" s="80"/>
      <c r="AH485" s="80"/>
      <c r="AI485" s="80"/>
      <c r="AJ485" s="80"/>
      <c r="AL485" s="80"/>
    </row>
    <row r="486" spans="7:38" ht="15.75" customHeight="1">
      <c r="G486" s="80"/>
      <c r="AH486" s="80"/>
      <c r="AI486" s="80"/>
      <c r="AJ486" s="80"/>
      <c r="AL486" s="80"/>
    </row>
    <row r="487" spans="7:38" ht="15.75" customHeight="1">
      <c r="G487" s="80"/>
      <c r="AH487" s="80"/>
      <c r="AI487" s="80"/>
      <c r="AJ487" s="80"/>
      <c r="AL487" s="80"/>
    </row>
    <row r="488" spans="7:38" ht="15.75" customHeight="1">
      <c r="G488" s="80"/>
      <c r="AH488" s="80"/>
      <c r="AI488" s="80"/>
      <c r="AJ488" s="80"/>
      <c r="AL488" s="80"/>
    </row>
    <row r="489" spans="7:38" ht="15.75" customHeight="1">
      <c r="G489" s="80"/>
      <c r="AH489" s="80"/>
      <c r="AI489" s="80"/>
      <c r="AJ489" s="80"/>
      <c r="AL489" s="80"/>
    </row>
    <row r="490" spans="7:38" ht="15.75" customHeight="1">
      <c r="G490" s="80"/>
      <c r="AH490" s="80"/>
      <c r="AI490" s="80"/>
      <c r="AJ490" s="80"/>
      <c r="AL490" s="80"/>
    </row>
    <row r="491" spans="7:38" ht="15.75" customHeight="1">
      <c r="G491" s="80"/>
      <c r="AH491" s="80"/>
      <c r="AI491" s="80"/>
      <c r="AJ491" s="80"/>
      <c r="AL491" s="80"/>
    </row>
    <row r="492" spans="7:38" ht="15.75" customHeight="1">
      <c r="G492" s="80"/>
      <c r="AH492" s="80"/>
      <c r="AI492" s="80"/>
      <c r="AJ492" s="80"/>
      <c r="AL492" s="80"/>
    </row>
    <row r="493" spans="7:38" ht="15.75" customHeight="1">
      <c r="G493" s="80"/>
      <c r="AH493" s="80"/>
      <c r="AI493" s="80"/>
      <c r="AJ493" s="80"/>
      <c r="AL493" s="80"/>
    </row>
    <row r="494" spans="7:38" ht="15.75" customHeight="1">
      <c r="G494" s="80"/>
      <c r="AH494" s="80"/>
      <c r="AI494" s="80"/>
      <c r="AJ494" s="80"/>
      <c r="AL494" s="80"/>
    </row>
    <row r="495" spans="7:38" ht="15.75" customHeight="1">
      <c r="G495" s="80"/>
      <c r="AH495" s="80"/>
      <c r="AI495" s="80"/>
      <c r="AJ495" s="80"/>
      <c r="AL495" s="80"/>
    </row>
    <row r="496" spans="7:38" ht="15.75" customHeight="1">
      <c r="G496" s="80"/>
      <c r="AH496" s="80"/>
      <c r="AI496" s="80"/>
      <c r="AJ496" s="80"/>
      <c r="AL496" s="80"/>
    </row>
    <row r="497" spans="7:38" ht="15.75" customHeight="1">
      <c r="G497" s="80"/>
      <c r="AH497" s="80"/>
      <c r="AI497" s="80"/>
      <c r="AJ497" s="80"/>
      <c r="AL497" s="80"/>
    </row>
    <row r="498" spans="7:38" ht="15.75" customHeight="1">
      <c r="G498" s="80"/>
      <c r="AH498" s="80"/>
      <c r="AI498" s="80"/>
      <c r="AJ498" s="80"/>
      <c r="AL498" s="80"/>
    </row>
    <row r="499" spans="7:38" ht="15.75" customHeight="1">
      <c r="G499" s="80"/>
      <c r="AH499" s="80"/>
      <c r="AI499" s="80"/>
      <c r="AJ499" s="80"/>
      <c r="AL499" s="80"/>
    </row>
    <row r="500" spans="7:38" ht="15.75" customHeight="1">
      <c r="G500" s="80"/>
      <c r="AH500" s="80"/>
      <c r="AI500" s="80"/>
      <c r="AJ500" s="80"/>
      <c r="AL500" s="80"/>
    </row>
    <row r="501" spans="7:38" ht="15.75" customHeight="1">
      <c r="G501" s="80"/>
      <c r="AH501" s="80"/>
      <c r="AI501" s="80"/>
      <c r="AJ501" s="80"/>
      <c r="AL501" s="80"/>
    </row>
    <row r="502" spans="7:38" ht="15.75" customHeight="1">
      <c r="G502" s="80"/>
      <c r="AH502" s="80"/>
      <c r="AI502" s="80"/>
      <c r="AJ502" s="80"/>
      <c r="AL502" s="80"/>
    </row>
    <row r="503" spans="7:38" ht="15.75" customHeight="1">
      <c r="G503" s="80"/>
      <c r="AH503" s="80"/>
      <c r="AI503" s="80"/>
      <c r="AJ503" s="80"/>
      <c r="AL503" s="80"/>
    </row>
    <row r="504" spans="7:38" ht="15.75" customHeight="1">
      <c r="G504" s="80"/>
      <c r="AH504" s="80"/>
      <c r="AI504" s="80"/>
      <c r="AJ504" s="80"/>
      <c r="AL504" s="80"/>
    </row>
    <row r="505" spans="7:38" ht="15.75" customHeight="1">
      <c r="G505" s="80"/>
      <c r="AH505" s="80"/>
      <c r="AI505" s="80"/>
      <c r="AJ505" s="80"/>
      <c r="AL505" s="80"/>
    </row>
    <row r="506" spans="7:38" ht="15.75" customHeight="1">
      <c r="G506" s="80"/>
      <c r="AH506" s="80"/>
      <c r="AI506" s="80"/>
      <c r="AJ506" s="80"/>
      <c r="AL506" s="80"/>
    </row>
    <row r="507" spans="7:38" ht="15.75" customHeight="1">
      <c r="G507" s="80"/>
      <c r="AH507" s="80"/>
      <c r="AI507" s="80"/>
      <c r="AJ507" s="80"/>
      <c r="AL507" s="80"/>
    </row>
    <row r="508" spans="7:38" ht="15.75" customHeight="1">
      <c r="G508" s="80"/>
      <c r="AH508" s="80"/>
      <c r="AI508" s="80"/>
      <c r="AJ508" s="80"/>
      <c r="AL508" s="80"/>
    </row>
    <row r="509" spans="7:38" ht="15.75" customHeight="1">
      <c r="G509" s="80"/>
      <c r="AH509" s="80"/>
      <c r="AI509" s="80"/>
      <c r="AJ509" s="80"/>
      <c r="AL509" s="80"/>
    </row>
    <row r="510" spans="7:38" ht="15.75" customHeight="1">
      <c r="G510" s="80"/>
      <c r="AH510" s="80"/>
      <c r="AI510" s="80"/>
      <c r="AJ510" s="80"/>
      <c r="AL510" s="80"/>
    </row>
    <row r="511" spans="7:38" ht="15.75" customHeight="1">
      <c r="G511" s="80"/>
      <c r="AH511" s="80"/>
      <c r="AI511" s="80"/>
      <c r="AJ511" s="80"/>
      <c r="AL511" s="80"/>
    </row>
    <row r="512" spans="7:38" ht="15.75" customHeight="1">
      <c r="G512" s="80"/>
      <c r="AH512" s="80"/>
      <c r="AI512" s="80"/>
      <c r="AJ512" s="80"/>
      <c r="AL512" s="80"/>
    </row>
    <row r="513" spans="7:38" ht="15.75" customHeight="1">
      <c r="G513" s="80"/>
      <c r="AH513" s="80"/>
      <c r="AI513" s="80"/>
      <c r="AJ513" s="80"/>
      <c r="AL513" s="80"/>
    </row>
    <row r="514" spans="7:38" ht="15.75" customHeight="1">
      <c r="G514" s="80"/>
      <c r="AH514" s="80"/>
      <c r="AI514" s="80"/>
      <c r="AJ514" s="80"/>
      <c r="AL514" s="80"/>
    </row>
    <row r="515" spans="7:38" ht="15.75" customHeight="1">
      <c r="G515" s="80"/>
      <c r="AH515" s="80"/>
      <c r="AI515" s="80"/>
      <c r="AJ515" s="80"/>
      <c r="AL515" s="80"/>
    </row>
    <row r="516" spans="7:38" ht="15.75" customHeight="1">
      <c r="G516" s="80"/>
      <c r="AH516" s="80"/>
      <c r="AI516" s="80"/>
      <c r="AJ516" s="80"/>
      <c r="AL516" s="80"/>
    </row>
    <row r="517" spans="7:38" ht="15.75" customHeight="1">
      <c r="G517" s="80"/>
      <c r="AH517" s="80"/>
      <c r="AI517" s="80"/>
      <c r="AJ517" s="80"/>
      <c r="AL517" s="80"/>
    </row>
    <row r="518" spans="7:38" ht="15.75" customHeight="1">
      <c r="G518" s="80"/>
      <c r="AH518" s="80"/>
      <c r="AI518" s="80"/>
      <c r="AJ518" s="80"/>
      <c r="AL518" s="80"/>
    </row>
    <row r="519" spans="7:38" ht="15.75" customHeight="1">
      <c r="G519" s="80"/>
      <c r="AH519" s="80"/>
      <c r="AI519" s="80"/>
      <c r="AJ519" s="80"/>
      <c r="AL519" s="80"/>
    </row>
    <row r="520" spans="7:38" ht="15.75" customHeight="1">
      <c r="G520" s="80"/>
      <c r="AH520" s="80"/>
      <c r="AI520" s="80"/>
      <c r="AJ520" s="80"/>
      <c r="AL520" s="80"/>
    </row>
    <row r="521" spans="7:38" ht="15.75" customHeight="1">
      <c r="G521" s="80"/>
      <c r="AH521" s="80"/>
      <c r="AI521" s="80"/>
      <c r="AJ521" s="80"/>
      <c r="AL521" s="80"/>
    </row>
    <row r="522" spans="7:38" ht="15.75" customHeight="1">
      <c r="G522" s="80"/>
      <c r="AH522" s="80"/>
      <c r="AI522" s="80"/>
      <c r="AJ522" s="80"/>
      <c r="AL522" s="80"/>
    </row>
    <row r="523" spans="7:38" ht="15.75" customHeight="1">
      <c r="G523" s="80"/>
      <c r="AH523" s="80"/>
      <c r="AI523" s="80"/>
      <c r="AJ523" s="80"/>
      <c r="AL523" s="80"/>
    </row>
    <row r="524" spans="7:38" ht="15.75" customHeight="1">
      <c r="G524" s="80"/>
      <c r="AH524" s="80"/>
      <c r="AI524" s="80"/>
      <c r="AJ524" s="80"/>
      <c r="AL524" s="80"/>
    </row>
    <row r="525" spans="7:38" ht="15.75" customHeight="1">
      <c r="G525" s="80"/>
      <c r="AH525" s="80"/>
      <c r="AI525" s="80"/>
      <c r="AJ525" s="80"/>
      <c r="AL525" s="80"/>
    </row>
    <row r="526" spans="7:38" ht="15.75" customHeight="1">
      <c r="G526" s="80"/>
      <c r="AH526" s="80"/>
      <c r="AI526" s="80"/>
      <c r="AJ526" s="80"/>
      <c r="AL526" s="80"/>
    </row>
    <row r="527" spans="7:38" ht="15.75" customHeight="1">
      <c r="G527" s="80"/>
      <c r="AH527" s="80"/>
      <c r="AI527" s="80"/>
      <c r="AJ527" s="80"/>
      <c r="AL527" s="80"/>
    </row>
    <row r="528" spans="7:38" ht="15.75" customHeight="1">
      <c r="G528" s="80"/>
      <c r="AH528" s="80"/>
      <c r="AI528" s="80"/>
      <c r="AJ528" s="80"/>
      <c r="AL528" s="80"/>
    </row>
    <row r="529" spans="7:38" ht="15.75" customHeight="1">
      <c r="G529" s="80"/>
      <c r="AH529" s="80"/>
      <c r="AI529" s="80"/>
      <c r="AJ529" s="80"/>
      <c r="AL529" s="80"/>
    </row>
    <row r="530" spans="7:38" ht="15.75" customHeight="1">
      <c r="G530" s="80"/>
      <c r="AH530" s="80"/>
      <c r="AI530" s="80"/>
      <c r="AJ530" s="80"/>
      <c r="AL530" s="80"/>
    </row>
    <row r="531" spans="7:38" ht="15.75" customHeight="1">
      <c r="G531" s="80"/>
      <c r="AH531" s="80"/>
      <c r="AI531" s="80"/>
      <c r="AJ531" s="80"/>
      <c r="AL531" s="80"/>
    </row>
    <row r="532" spans="7:38" ht="15.75" customHeight="1">
      <c r="G532" s="80"/>
      <c r="AH532" s="80"/>
      <c r="AI532" s="80"/>
      <c r="AJ532" s="80"/>
      <c r="AL532" s="80"/>
    </row>
    <row r="533" spans="7:38" ht="15.75" customHeight="1">
      <c r="G533" s="80"/>
      <c r="AH533" s="80"/>
      <c r="AI533" s="80"/>
      <c r="AJ533" s="80"/>
      <c r="AL533" s="80"/>
    </row>
    <row r="534" spans="7:38" ht="15.75" customHeight="1">
      <c r="G534" s="80"/>
      <c r="AH534" s="80"/>
      <c r="AI534" s="80"/>
      <c r="AJ534" s="80"/>
      <c r="AL534" s="80"/>
    </row>
    <row r="535" spans="7:38" ht="15.75" customHeight="1">
      <c r="G535" s="80"/>
      <c r="AH535" s="80"/>
      <c r="AI535" s="80"/>
      <c r="AJ535" s="80"/>
      <c r="AL535" s="80"/>
    </row>
    <row r="536" spans="7:38" ht="15.75" customHeight="1">
      <c r="G536" s="80"/>
      <c r="AH536" s="80"/>
      <c r="AI536" s="80"/>
      <c r="AJ536" s="80"/>
      <c r="AL536" s="80"/>
    </row>
    <row r="537" spans="7:38" ht="15.75" customHeight="1">
      <c r="G537" s="80"/>
      <c r="AH537" s="80"/>
      <c r="AI537" s="80"/>
      <c r="AJ537" s="80"/>
      <c r="AL537" s="80"/>
    </row>
    <row r="538" spans="7:38" ht="15.75" customHeight="1">
      <c r="G538" s="80"/>
      <c r="AH538" s="80"/>
      <c r="AI538" s="80"/>
      <c r="AJ538" s="80"/>
      <c r="AL538" s="80"/>
    </row>
    <row r="539" spans="7:38" ht="15.75" customHeight="1">
      <c r="G539" s="80"/>
      <c r="AH539" s="80"/>
      <c r="AI539" s="80"/>
      <c r="AJ539" s="80"/>
      <c r="AL539" s="80"/>
    </row>
    <row r="540" spans="7:38" ht="15.75" customHeight="1">
      <c r="G540" s="80"/>
      <c r="AH540" s="80"/>
      <c r="AI540" s="80"/>
      <c r="AJ540" s="80"/>
      <c r="AL540" s="80"/>
    </row>
    <row r="541" spans="7:38" ht="15.75" customHeight="1">
      <c r="G541" s="80"/>
      <c r="AH541" s="80"/>
      <c r="AI541" s="80"/>
      <c r="AJ541" s="80"/>
      <c r="AL541" s="80"/>
    </row>
    <row r="542" spans="7:38" ht="15.75" customHeight="1">
      <c r="G542" s="80"/>
      <c r="AH542" s="80"/>
      <c r="AI542" s="80"/>
      <c r="AJ542" s="80"/>
      <c r="AL542" s="80"/>
    </row>
    <row r="543" spans="7:38" ht="15.75" customHeight="1">
      <c r="G543" s="80"/>
      <c r="AH543" s="80"/>
      <c r="AI543" s="80"/>
      <c r="AJ543" s="80"/>
      <c r="AL543" s="80"/>
    </row>
    <row r="544" spans="7:38" ht="15.75" customHeight="1">
      <c r="G544" s="80"/>
      <c r="AH544" s="80"/>
      <c r="AI544" s="80"/>
      <c r="AJ544" s="80"/>
      <c r="AL544" s="80"/>
    </row>
    <row r="545" spans="7:38" ht="15.75" customHeight="1">
      <c r="G545" s="80"/>
      <c r="AH545" s="80"/>
      <c r="AI545" s="80"/>
      <c r="AJ545" s="80"/>
      <c r="AL545" s="80"/>
    </row>
    <row r="546" spans="7:38" ht="15.75" customHeight="1">
      <c r="G546" s="80"/>
      <c r="AH546" s="80"/>
      <c r="AI546" s="80"/>
      <c r="AJ546" s="80"/>
      <c r="AL546" s="80"/>
    </row>
    <row r="547" spans="7:38" ht="15.75" customHeight="1">
      <c r="G547" s="80"/>
      <c r="AH547" s="80"/>
      <c r="AI547" s="80"/>
      <c r="AJ547" s="80"/>
      <c r="AL547" s="80"/>
    </row>
    <row r="548" spans="7:38" ht="15.75" customHeight="1">
      <c r="G548" s="80"/>
      <c r="AH548" s="80"/>
      <c r="AI548" s="80"/>
      <c r="AJ548" s="80"/>
      <c r="AL548" s="80"/>
    </row>
    <row r="549" spans="7:38" ht="15.75" customHeight="1">
      <c r="G549" s="80"/>
      <c r="AH549" s="80"/>
      <c r="AI549" s="80"/>
      <c r="AJ549" s="80"/>
      <c r="AL549" s="80"/>
    </row>
    <row r="550" spans="7:38" ht="15.75" customHeight="1">
      <c r="G550" s="80"/>
      <c r="AH550" s="80"/>
      <c r="AI550" s="80"/>
      <c r="AJ550" s="80"/>
      <c r="AL550" s="80"/>
    </row>
    <row r="551" spans="7:38" ht="15.75" customHeight="1">
      <c r="G551" s="80"/>
      <c r="AH551" s="80"/>
      <c r="AI551" s="80"/>
      <c r="AJ551" s="80"/>
      <c r="AL551" s="80"/>
    </row>
    <row r="552" spans="7:38" ht="15.75" customHeight="1">
      <c r="G552" s="80"/>
      <c r="AH552" s="80"/>
      <c r="AI552" s="80"/>
      <c r="AJ552" s="80"/>
      <c r="AL552" s="80"/>
    </row>
    <row r="553" spans="7:38" ht="15.75" customHeight="1">
      <c r="G553" s="80"/>
      <c r="AH553" s="80"/>
      <c r="AI553" s="80"/>
      <c r="AJ553" s="80"/>
      <c r="AL553" s="80"/>
    </row>
    <row r="554" spans="7:38" ht="15.75" customHeight="1">
      <c r="G554" s="80"/>
      <c r="AH554" s="80"/>
      <c r="AI554" s="80"/>
      <c r="AJ554" s="80"/>
      <c r="AL554" s="80"/>
    </row>
    <row r="555" spans="7:38" ht="15.75" customHeight="1">
      <c r="G555" s="80"/>
      <c r="AH555" s="80"/>
      <c r="AI555" s="80"/>
      <c r="AJ555" s="80"/>
      <c r="AL555" s="80"/>
    </row>
    <row r="556" spans="7:38" ht="15.75" customHeight="1">
      <c r="G556" s="80"/>
      <c r="AH556" s="80"/>
      <c r="AI556" s="80"/>
      <c r="AJ556" s="80"/>
      <c r="AL556" s="80"/>
    </row>
    <row r="557" spans="7:38" ht="15.75" customHeight="1">
      <c r="G557" s="80"/>
      <c r="AH557" s="80"/>
      <c r="AI557" s="80"/>
      <c r="AJ557" s="80"/>
      <c r="AL557" s="80"/>
    </row>
    <row r="558" spans="7:38" ht="15.75" customHeight="1">
      <c r="G558" s="80"/>
      <c r="AH558" s="80"/>
      <c r="AI558" s="80"/>
      <c r="AJ558" s="80"/>
      <c r="AL558" s="80"/>
    </row>
    <row r="559" spans="7:38" ht="15.75" customHeight="1">
      <c r="G559" s="80"/>
      <c r="AH559" s="80"/>
      <c r="AI559" s="80"/>
      <c r="AJ559" s="80"/>
      <c r="AL559" s="80"/>
    </row>
    <row r="560" spans="7:38" ht="15.75" customHeight="1">
      <c r="G560" s="80"/>
      <c r="AH560" s="80"/>
      <c r="AI560" s="80"/>
      <c r="AJ560" s="80"/>
      <c r="AL560" s="80"/>
    </row>
    <row r="561" spans="7:38" ht="15.75" customHeight="1">
      <c r="G561" s="80"/>
      <c r="AH561" s="80"/>
      <c r="AI561" s="80"/>
      <c r="AJ561" s="80"/>
      <c r="AL561" s="80"/>
    </row>
    <row r="562" spans="7:38" ht="15.75" customHeight="1">
      <c r="G562" s="80"/>
      <c r="AH562" s="80"/>
      <c r="AI562" s="80"/>
      <c r="AJ562" s="80"/>
      <c r="AL562" s="80"/>
    </row>
    <row r="563" spans="7:38" ht="15.75" customHeight="1">
      <c r="G563" s="80"/>
      <c r="AH563" s="80"/>
      <c r="AI563" s="80"/>
      <c r="AJ563" s="80"/>
      <c r="AL563" s="80"/>
    </row>
    <row r="564" spans="7:38" ht="15.75" customHeight="1">
      <c r="G564" s="80"/>
      <c r="AH564" s="80"/>
      <c r="AI564" s="80"/>
      <c r="AJ564" s="80"/>
      <c r="AL564" s="80"/>
    </row>
    <row r="565" spans="7:38" ht="15.75" customHeight="1">
      <c r="G565" s="80"/>
      <c r="AH565" s="80"/>
      <c r="AI565" s="80"/>
      <c r="AJ565" s="80"/>
      <c r="AL565" s="80"/>
    </row>
    <row r="566" spans="7:38" ht="15.75" customHeight="1">
      <c r="G566" s="80"/>
      <c r="AH566" s="80"/>
      <c r="AI566" s="80"/>
      <c r="AJ566" s="80"/>
      <c r="AL566" s="80"/>
    </row>
    <row r="567" spans="7:38" ht="15.75" customHeight="1">
      <c r="G567" s="80"/>
      <c r="AH567" s="80"/>
      <c r="AI567" s="80"/>
      <c r="AJ567" s="80"/>
      <c r="AL567" s="80"/>
    </row>
    <row r="568" spans="7:38" ht="15.75" customHeight="1">
      <c r="G568" s="80"/>
      <c r="AH568" s="80"/>
      <c r="AI568" s="80"/>
      <c r="AJ568" s="80"/>
      <c r="AL568" s="80"/>
    </row>
    <row r="569" spans="7:38" ht="15.75" customHeight="1">
      <c r="G569" s="80"/>
      <c r="AH569" s="80"/>
      <c r="AI569" s="80"/>
      <c r="AJ569" s="80"/>
      <c r="AL569" s="80"/>
    </row>
    <row r="570" spans="7:38" ht="15.75" customHeight="1">
      <c r="G570" s="80"/>
      <c r="AH570" s="80"/>
      <c r="AI570" s="80"/>
      <c r="AJ570" s="80"/>
      <c r="AL570" s="80"/>
    </row>
    <row r="571" spans="7:38" ht="15.75" customHeight="1">
      <c r="G571" s="80"/>
      <c r="AH571" s="80"/>
      <c r="AI571" s="80"/>
      <c r="AJ571" s="80"/>
      <c r="AL571" s="80"/>
    </row>
    <row r="572" spans="7:38" ht="15.75" customHeight="1">
      <c r="G572" s="80"/>
      <c r="AH572" s="80"/>
      <c r="AI572" s="80"/>
      <c r="AJ572" s="80"/>
      <c r="AL572" s="80"/>
    </row>
    <row r="573" spans="7:38" ht="15.75" customHeight="1">
      <c r="G573" s="80"/>
      <c r="AH573" s="80"/>
      <c r="AI573" s="80"/>
      <c r="AJ573" s="80"/>
      <c r="AL573" s="80"/>
    </row>
    <row r="574" spans="7:38" ht="15.75" customHeight="1">
      <c r="G574" s="80"/>
      <c r="AH574" s="80"/>
      <c r="AI574" s="80"/>
      <c r="AJ574" s="80"/>
      <c r="AL574" s="80"/>
    </row>
    <row r="575" spans="7:38" ht="15.75" customHeight="1">
      <c r="G575" s="80"/>
      <c r="AH575" s="80"/>
      <c r="AI575" s="80"/>
      <c r="AJ575" s="80"/>
      <c r="AL575" s="80"/>
    </row>
    <row r="576" spans="7:38" ht="15.75" customHeight="1">
      <c r="G576" s="80"/>
      <c r="AH576" s="80"/>
      <c r="AI576" s="80"/>
      <c r="AJ576" s="80"/>
      <c r="AL576" s="80"/>
    </row>
    <row r="577" spans="7:38" ht="15.75" customHeight="1">
      <c r="G577" s="80"/>
      <c r="AH577" s="80"/>
      <c r="AI577" s="80"/>
      <c r="AJ577" s="80"/>
      <c r="AL577" s="80"/>
    </row>
    <row r="578" spans="7:38" ht="15.75" customHeight="1">
      <c r="G578" s="80"/>
      <c r="AH578" s="80"/>
      <c r="AI578" s="80"/>
      <c r="AJ578" s="80"/>
      <c r="AL578" s="80"/>
    </row>
    <row r="579" spans="7:38" ht="15.75" customHeight="1">
      <c r="G579" s="80"/>
      <c r="AH579" s="80"/>
      <c r="AI579" s="80"/>
      <c r="AJ579" s="80"/>
      <c r="AL579" s="80"/>
    </row>
    <row r="580" spans="7:38" ht="15.75" customHeight="1">
      <c r="G580" s="80"/>
      <c r="AH580" s="80"/>
      <c r="AI580" s="80"/>
      <c r="AJ580" s="80"/>
      <c r="AL580" s="80"/>
    </row>
    <row r="581" spans="7:38" ht="15.75" customHeight="1">
      <c r="G581" s="80"/>
      <c r="AH581" s="80"/>
      <c r="AI581" s="80"/>
      <c r="AJ581" s="80"/>
      <c r="AL581" s="80"/>
    </row>
    <row r="582" spans="7:38" ht="15.75" customHeight="1">
      <c r="G582" s="80"/>
      <c r="AH582" s="80"/>
      <c r="AI582" s="80"/>
      <c r="AJ582" s="80"/>
      <c r="AL582" s="80"/>
    </row>
    <row r="583" spans="7:38" ht="15.75" customHeight="1">
      <c r="G583" s="80"/>
      <c r="AH583" s="80"/>
      <c r="AI583" s="80"/>
      <c r="AJ583" s="80"/>
      <c r="AL583" s="80"/>
    </row>
    <row r="584" spans="7:38" ht="15.75" customHeight="1">
      <c r="G584" s="80"/>
      <c r="AH584" s="80"/>
      <c r="AI584" s="80"/>
      <c r="AJ584" s="80"/>
      <c r="AL584" s="80"/>
    </row>
    <row r="585" spans="7:38" ht="15.75" customHeight="1">
      <c r="G585" s="80"/>
      <c r="AH585" s="80"/>
      <c r="AI585" s="80"/>
      <c r="AJ585" s="80"/>
      <c r="AL585" s="80"/>
    </row>
    <row r="586" spans="7:38" ht="15.75" customHeight="1">
      <c r="G586" s="80"/>
      <c r="AH586" s="80"/>
      <c r="AI586" s="80"/>
      <c r="AJ586" s="80"/>
      <c r="AL586" s="80"/>
    </row>
    <row r="587" spans="7:38" ht="15.75" customHeight="1">
      <c r="G587" s="80"/>
      <c r="AH587" s="80"/>
      <c r="AI587" s="80"/>
      <c r="AJ587" s="80"/>
      <c r="AL587" s="80"/>
    </row>
    <row r="588" spans="7:38" ht="15.75" customHeight="1">
      <c r="G588" s="80"/>
      <c r="AH588" s="80"/>
      <c r="AI588" s="80"/>
      <c r="AJ588" s="80"/>
      <c r="AL588" s="80"/>
    </row>
    <row r="589" spans="7:38" ht="15.75" customHeight="1">
      <c r="G589" s="80"/>
      <c r="AH589" s="80"/>
      <c r="AI589" s="80"/>
      <c r="AJ589" s="80"/>
      <c r="AL589" s="80"/>
    </row>
    <row r="590" spans="7:38" ht="15.75" customHeight="1">
      <c r="G590" s="80"/>
      <c r="AH590" s="80"/>
      <c r="AI590" s="80"/>
      <c r="AJ590" s="80"/>
      <c r="AL590" s="80"/>
    </row>
    <row r="591" spans="7:38" ht="15.75" customHeight="1">
      <c r="G591" s="80"/>
      <c r="AH591" s="80"/>
      <c r="AI591" s="80"/>
      <c r="AJ591" s="80"/>
      <c r="AL591" s="80"/>
    </row>
    <row r="592" spans="7:38" ht="15.75" customHeight="1">
      <c r="G592" s="80"/>
      <c r="AH592" s="80"/>
      <c r="AI592" s="80"/>
      <c r="AJ592" s="80"/>
      <c r="AL592" s="80"/>
    </row>
    <row r="593" spans="7:38" ht="15.75" customHeight="1">
      <c r="G593" s="80"/>
      <c r="AH593" s="80"/>
      <c r="AI593" s="80"/>
      <c r="AJ593" s="80"/>
      <c r="AL593" s="80"/>
    </row>
    <row r="594" spans="7:38" ht="15.75" customHeight="1">
      <c r="G594" s="80"/>
      <c r="AH594" s="80"/>
      <c r="AI594" s="80"/>
      <c r="AJ594" s="80"/>
      <c r="AL594" s="80"/>
    </row>
    <row r="595" spans="7:38" ht="15.75" customHeight="1">
      <c r="G595" s="80"/>
      <c r="AH595" s="80"/>
      <c r="AI595" s="80"/>
      <c r="AJ595" s="80"/>
      <c r="AL595" s="80"/>
    </row>
    <row r="596" spans="7:38" ht="15.75" customHeight="1">
      <c r="G596" s="80"/>
      <c r="AH596" s="80"/>
      <c r="AI596" s="80"/>
      <c r="AJ596" s="80"/>
      <c r="AL596" s="80"/>
    </row>
    <row r="597" spans="7:38" ht="15.75" customHeight="1">
      <c r="G597" s="80"/>
      <c r="AH597" s="80"/>
      <c r="AI597" s="80"/>
      <c r="AJ597" s="80"/>
      <c r="AL597" s="80"/>
    </row>
    <row r="598" spans="7:38" ht="15.75" customHeight="1">
      <c r="G598" s="80"/>
      <c r="AH598" s="80"/>
      <c r="AI598" s="80"/>
      <c r="AJ598" s="80"/>
      <c r="AL598" s="80"/>
    </row>
    <row r="599" spans="7:38" ht="15.75" customHeight="1">
      <c r="G599" s="80"/>
      <c r="AH599" s="80"/>
      <c r="AI599" s="80"/>
      <c r="AJ599" s="80"/>
      <c r="AL599" s="80"/>
    </row>
    <row r="600" spans="7:38" ht="15.75" customHeight="1">
      <c r="G600" s="80"/>
      <c r="AH600" s="80"/>
      <c r="AI600" s="80"/>
      <c r="AJ600" s="80"/>
      <c r="AL600" s="80"/>
    </row>
    <row r="601" spans="7:38" ht="15.75" customHeight="1">
      <c r="G601" s="80"/>
      <c r="AH601" s="80"/>
      <c r="AI601" s="80"/>
      <c r="AJ601" s="80"/>
      <c r="AL601" s="80"/>
    </row>
    <row r="602" spans="7:38" ht="15.75" customHeight="1">
      <c r="G602" s="80"/>
      <c r="AH602" s="80"/>
      <c r="AI602" s="80"/>
      <c r="AJ602" s="80"/>
      <c r="AL602" s="80"/>
    </row>
    <row r="603" spans="7:38" ht="15.75" customHeight="1">
      <c r="G603" s="80"/>
      <c r="AH603" s="80"/>
      <c r="AI603" s="80"/>
      <c r="AJ603" s="80"/>
      <c r="AL603" s="80"/>
    </row>
    <row r="604" spans="7:38" ht="15.75" customHeight="1">
      <c r="G604" s="80"/>
      <c r="AH604" s="80"/>
      <c r="AI604" s="80"/>
      <c r="AJ604" s="80"/>
      <c r="AL604" s="80"/>
    </row>
    <row r="605" spans="7:38" ht="15.75" customHeight="1">
      <c r="G605" s="80"/>
      <c r="AH605" s="80"/>
      <c r="AI605" s="80"/>
      <c r="AJ605" s="80"/>
      <c r="AL605" s="80"/>
    </row>
    <row r="606" spans="7:38" ht="15.75" customHeight="1">
      <c r="G606" s="80"/>
      <c r="AH606" s="80"/>
      <c r="AI606" s="80"/>
      <c r="AJ606" s="80"/>
      <c r="AL606" s="80"/>
    </row>
    <row r="607" spans="7:38" ht="15.75" customHeight="1">
      <c r="G607" s="80"/>
      <c r="AH607" s="80"/>
      <c r="AI607" s="80"/>
      <c r="AJ607" s="80"/>
      <c r="AL607" s="80"/>
    </row>
    <row r="608" spans="7:38" ht="15.75" customHeight="1">
      <c r="G608" s="80"/>
      <c r="AH608" s="80"/>
      <c r="AI608" s="80"/>
      <c r="AJ608" s="80"/>
      <c r="AL608" s="80"/>
    </row>
    <row r="609" spans="7:38" ht="15.75" customHeight="1">
      <c r="G609" s="80"/>
      <c r="AH609" s="80"/>
      <c r="AI609" s="80"/>
      <c r="AJ609" s="80"/>
      <c r="AL609" s="80"/>
    </row>
    <row r="610" spans="7:38" ht="15.75" customHeight="1">
      <c r="G610" s="80"/>
      <c r="AH610" s="80"/>
      <c r="AI610" s="80"/>
      <c r="AJ610" s="80"/>
      <c r="AL610" s="80"/>
    </row>
    <row r="611" spans="7:38" ht="15.75" customHeight="1">
      <c r="G611" s="80"/>
      <c r="AH611" s="80"/>
      <c r="AI611" s="80"/>
      <c r="AJ611" s="80"/>
      <c r="AL611" s="80"/>
    </row>
    <row r="612" spans="7:38" ht="15.75" customHeight="1">
      <c r="G612" s="80"/>
      <c r="AH612" s="80"/>
      <c r="AI612" s="80"/>
      <c r="AJ612" s="80"/>
      <c r="AL612" s="80"/>
    </row>
    <row r="613" spans="7:38" ht="15.75" customHeight="1">
      <c r="G613" s="80"/>
      <c r="AH613" s="80"/>
      <c r="AI613" s="80"/>
      <c r="AJ613" s="80"/>
      <c r="AL613" s="80"/>
    </row>
    <row r="614" spans="7:38" ht="15.75" customHeight="1">
      <c r="G614" s="80"/>
      <c r="AH614" s="80"/>
      <c r="AI614" s="80"/>
      <c r="AJ614" s="80"/>
      <c r="AL614" s="80"/>
    </row>
    <row r="615" spans="7:38" ht="15.75" customHeight="1">
      <c r="G615" s="80"/>
      <c r="AH615" s="80"/>
      <c r="AI615" s="80"/>
      <c r="AJ615" s="80"/>
      <c r="AL615" s="80"/>
    </row>
    <row r="616" spans="7:38" ht="15.75" customHeight="1">
      <c r="G616" s="80"/>
      <c r="AH616" s="80"/>
      <c r="AI616" s="80"/>
      <c r="AJ616" s="80"/>
      <c r="AL616" s="80"/>
    </row>
    <row r="617" spans="7:38" ht="15.75" customHeight="1">
      <c r="G617" s="80"/>
      <c r="AH617" s="80"/>
      <c r="AI617" s="80"/>
      <c r="AJ617" s="80"/>
      <c r="AL617" s="80"/>
    </row>
    <row r="618" spans="7:38" ht="15.75" customHeight="1">
      <c r="G618" s="80"/>
      <c r="AH618" s="80"/>
      <c r="AI618" s="80"/>
      <c r="AJ618" s="80"/>
      <c r="AL618" s="80"/>
    </row>
    <row r="619" spans="7:38" ht="15.75" customHeight="1">
      <c r="G619" s="80"/>
      <c r="AH619" s="80"/>
      <c r="AI619" s="80"/>
      <c r="AJ619" s="80"/>
      <c r="AL619" s="80"/>
    </row>
  </sheetData>
  <autoFilter ref="A3:AL201" xr:uid="{00000000-0009-0000-0000-00001D000000}">
    <sortState xmlns:xlrd2="http://schemas.microsoft.com/office/spreadsheetml/2017/richdata2" ref="A4:AL201">
      <sortCondition ref="A3:A201"/>
    </sortState>
  </autoFilter>
  <pageMargins left="0.7" right="0.7" top="0.75" bottom="0.75" header="0" footer="0"/>
  <pageSetup scale="15" orientation="portrait" r:id="rId1"/>
  <ignoredErrors>
    <ignoredError sqref="AI3" formula="1"/>
  </ignoredError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1">
    <tabColor rgb="FF00B050"/>
    <pageSetUpPr fitToPage="1"/>
  </sheetPr>
  <dimension ref="A1:AL1000"/>
  <sheetViews>
    <sheetView showGridLines="0" workbookViewId="0">
      <pane xSplit="1" ySplit="3" topLeftCell="D4" activePane="bottomRight" state="frozen"/>
      <selection activeCell="AO3" sqref="AO3"/>
      <selection pane="topRight" activeCell="AO3" sqref="AO3"/>
      <selection pane="bottomLeft" activeCell="AO3" sqref="AO3"/>
      <selection pane="bottomRight" activeCell="AO3" sqref="AO3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style="926" customWidth="1"/>
    <col min="34" max="34" width="20.33203125" customWidth="1"/>
    <col min="35" max="35" width="14.44140625" customWidth="1"/>
    <col min="36" max="36" width="17.5546875" customWidth="1"/>
    <col min="37" max="37" width="5.109375" customWidth="1"/>
    <col min="38" max="38" width="14.44140625" customWidth="1"/>
  </cols>
  <sheetData>
    <row r="1" spans="1:38" ht="15" customHeight="1">
      <c r="A1" s="6"/>
      <c r="B1" s="6"/>
      <c r="C1" s="6"/>
      <c r="D1" s="6"/>
      <c r="E1" s="6"/>
      <c r="F1" s="6"/>
      <c r="G1" s="80"/>
      <c r="H1" s="81"/>
      <c r="I1" s="82">
        <v>636.85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83"/>
      <c r="AC1" s="83"/>
      <c r="AD1" s="83"/>
      <c r="AE1" s="83"/>
      <c r="AF1" s="83"/>
      <c r="AG1" s="921" t="s">
        <v>34</v>
      </c>
      <c r="AH1" s="85" t="s">
        <v>35</v>
      </c>
      <c r="AI1" s="86" t="s">
        <v>36</v>
      </c>
      <c r="AJ1" s="87" t="s">
        <v>37</v>
      </c>
      <c r="AK1" s="88"/>
      <c r="AL1" s="89" t="s">
        <v>38</v>
      </c>
    </row>
    <row r="2" spans="1:38" ht="15" customHeight="1">
      <c r="A2" s="6"/>
      <c r="B2" s="6"/>
      <c r="C2" s="6"/>
      <c r="D2" s="6"/>
      <c r="E2" s="6"/>
      <c r="F2" s="6"/>
      <c r="G2" s="90"/>
      <c r="H2" s="90"/>
      <c r="I2" s="91">
        <f>SUM(I4:I627)</f>
        <v>636.85</v>
      </c>
      <c r="J2" s="81"/>
      <c r="K2" s="92">
        <f>SUM(K4:K627)</f>
        <v>621.16368999999997</v>
      </c>
      <c r="L2" s="93">
        <f>SUMPRODUCT(L4:L739,K4:K739)/K2</f>
        <v>0.26920092232854115</v>
      </c>
      <c r="M2" s="6"/>
      <c r="N2" s="6"/>
      <c r="O2" s="6"/>
      <c r="P2" s="6"/>
      <c r="Q2" s="94">
        <f>+SUMPRODUCT(Q4:Q627,AH4:AH627)/SUM(AH4:AH627)</f>
        <v>89.572514642327661</v>
      </c>
      <c r="R2" s="89">
        <f>+SUMPRODUCT(R4:R627,AH4:AH627)/SUM(AH4:AH627)</f>
        <v>2643.8508055755192</v>
      </c>
      <c r="S2" s="6"/>
      <c r="T2" s="6"/>
      <c r="U2" s="6"/>
      <c r="V2" s="6"/>
      <c r="W2" s="6"/>
      <c r="X2" s="6"/>
      <c r="Y2" s="6"/>
      <c r="Z2" s="6"/>
      <c r="AA2" s="6"/>
      <c r="AB2" s="83"/>
      <c r="AC2" s="83"/>
      <c r="AD2" s="83"/>
      <c r="AE2" s="83"/>
      <c r="AF2" s="83"/>
      <c r="AG2" s="922">
        <f>SUMPRODUCT($AG4:$AG627,$K4:$K627)/SUM($K4:$K627)</f>
        <v>46.110859763679869</v>
      </c>
      <c r="AH2" s="96">
        <f>SUM(AH4:AH627)</f>
        <v>5135.2667678704929</v>
      </c>
      <c r="AI2" s="97">
        <v>2720</v>
      </c>
      <c r="AJ2" s="98"/>
      <c r="AK2" s="88"/>
      <c r="AL2" s="99"/>
    </row>
    <row r="3" spans="1:38" ht="15" customHeight="1">
      <c r="A3" s="100" t="s">
        <v>11</v>
      </c>
      <c r="B3" s="100" t="s">
        <v>39</v>
      </c>
      <c r="C3" s="100" t="s">
        <v>40</v>
      </c>
      <c r="D3" s="100" t="s">
        <v>41</v>
      </c>
      <c r="E3" s="100" t="s">
        <v>42</v>
      </c>
      <c r="F3" s="100" t="s">
        <v>43</v>
      </c>
      <c r="G3" s="101" t="s">
        <v>16</v>
      </c>
      <c r="H3" s="102"/>
      <c r="I3" s="103" t="s">
        <v>13</v>
      </c>
      <c r="J3" s="104" t="s">
        <v>14</v>
      </c>
      <c r="K3" s="105" t="s">
        <v>15</v>
      </c>
      <c r="L3" s="103" t="s">
        <v>44</v>
      </c>
      <c r="M3" s="106" t="s">
        <v>45</v>
      </c>
      <c r="N3" s="107" t="s">
        <v>46</v>
      </c>
      <c r="O3" s="101" t="s">
        <v>47</v>
      </c>
      <c r="P3" s="108" t="s">
        <v>48</v>
      </c>
      <c r="Q3" s="103" t="s">
        <v>49</v>
      </c>
      <c r="R3" s="103" t="s">
        <v>50</v>
      </c>
      <c r="S3" s="109" t="s">
        <v>51</v>
      </c>
      <c r="T3" s="110" t="s">
        <v>52</v>
      </c>
      <c r="U3" s="110" t="s">
        <v>21</v>
      </c>
      <c r="V3" s="111" t="s">
        <v>22</v>
      </c>
      <c r="W3" s="112" t="s">
        <v>53</v>
      </c>
      <c r="X3" s="112" t="s">
        <v>54</v>
      </c>
      <c r="Y3" s="112" t="s">
        <v>55</v>
      </c>
      <c r="Z3" s="101" t="s">
        <v>56</v>
      </c>
      <c r="AA3" s="101" t="s">
        <v>57</v>
      </c>
      <c r="AB3" s="113" t="s">
        <v>58</v>
      </c>
      <c r="AC3" s="114" t="s">
        <v>59</v>
      </c>
      <c r="AD3" s="115" t="s">
        <v>60</v>
      </c>
      <c r="AE3" s="115" t="s">
        <v>61</v>
      </c>
      <c r="AF3" s="115" t="s">
        <v>62</v>
      </c>
      <c r="AG3" s="927" t="s">
        <v>63</v>
      </c>
      <c r="AH3" s="116" t="s">
        <v>64</v>
      </c>
      <c r="AI3" s="117">
        <f>SUMPRODUCT(K4:K627,AI4:AI627)/K2</f>
        <v>48.725017546184034</v>
      </c>
      <c r="AJ3" s="118">
        <f>SUBTOTAL(9,AJ4:AJ9909)</f>
        <v>5056.3976972304026</v>
      </c>
      <c r="AK3" s="88"/>
      <c r="AL3" s="118">
        <f>SUBTOTAL(9,AL4:AL9909)</f>
        <v>311685.04734777322</v>
      </c>
    </row>
    <row r="4" spans="1:38" ht="15" customHeight="1">
      <c r="A4" s="119"/>
      <c r="B4" s="120"/>
      <c r="C4" s="120"/>
      <c r="D4" s="120"/>
      <c r="E4" s="120"/>
      <c r="F4" s="120"/>
      <c r="G4" s="121"/>
      <c r="H4" s="121"/>
      <c r="I4" s="122"/>
      <c r="J4" s="120"/>
      <c r="K4" s="122"/>
      <c r="L4" s="123"/>
      <c r="M4" s="124"/>
      <c r="N4" s="124"/>
      <c r="O4" s="121"/>
      <c r="P4" s="121"/>
      <c r="Q4" s="123"/>
      <c r="R4" s="123"/>
      <c r="S4" s="121"/>
      <c r="T4" s="125"/>
      <c r="U4" s="125"/>
      <c r="V4" s="125"/>
      <c r="W4" s="121"/>
      <c r="X4" s="121"/>
      <c r="Y4" s="121"/>
      <c r="Z4" s="121"/>
      <c r="AA4" s="121"/>
      <c r="AB4" s="126"/>
      <c r="AC4" s="127"/>
      <c r="AD4" s="128"/>
      <c r="AE4" s="128"/>
      <c r="AF4" s="128"/>
      <c r="AG4" s="928"/>
      <c r="AH4" s="130"/>
      <c r="AI4" s="131"/>
      <c r="AJ4" s="132"/>
      <c r="AK4" s="133"/>
      <c r="AL4" s="131"/>
    </row>
    <row r="5" spans="1:38" ht="15.75" customHeight="1">
      <c r="A5" s="164" t="s">
        <v>206</v>
      </c>
      <c r="B5" s="135">
        <v>45565</v>
      </c>
      <c r="C5" s="136">
        <v>45557</v>
      </c>
      <c r="D5" s="6" t="s">
        <v>93</v>
      </c>
      <c r="E5" s="6">
        <v>20169040231</v>
      </c>
      <c r="F5" s="6" t="s">
        <v>207</v>
      </c>
      <c r="G5" s="80">
        <v>48</v>
      </c>
      <c r="H5" s="6" t="s">
        <v>69</v>
      </c>
      <c r="I5" s="137">
        <v>4.66</v>
      </c>
      <c r="J5" s="137">
        <v>1</v>
      </c>
      <c r="K5" s="138">
        <f t="shared" ref="K5:K29" si="0">+I5-(I5*(J5/100))</f>
        <v>4.6134000000000004</v>
      </c>
      <c r="L5" s="139">
        <v>0.51400000000000001</v>
      </c>
      <c r="M5" s="139">
        <v>0.47299999999999998</v>
      </c>
      <c r="N5" s="140">
        <v>0.498</v>
      </c>
      <c r="O5" s="141">
        <f t="shared" ref="O5:O17" si="1">+ROUND((M5+N5)/2,3)</f>
        <v>0.48599999999999999</v>
      </c>
      <c r="P5" s="6">
        <v>90</v>
      </c>
      <c r="Q5" s="137">
        <v>89.22</v>
      </c>
      <c r="R5" s="57">
        <v>2605.85</v>
      </c>
      <c r="S5" s="80">
        <v>130</v>
      </c>
      <c r="T5" s="6"/>
      <c r="U5" s="6">
        <v>130</v>
      </c>
      <c r="V5" s="142">
        <v>1.1023000000000001</v>
      </c>
      <c r="W5" s="137"/>
      <c r="X5" s="137"/>
      <c r="Y5" s="6">
        <v>30</v>
      </c>
      <c r="Z5" s="143">
        <f t="shared" ref="Z5:Z12" si="2"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 t="shared" ref="AA5:AA29" si="3">+Y5+Z5</f>
        <v>60</v>
      </c>
      <c r="AB5" s="145">
        <f t="shared" ref="AB5:AB14" si="4">+((O5*P5*(R5-U5)/100)-S5-AA5+T5)*V5</f>
        <v>984.28422361700007</v>
      </c>
      <c r="AC5" s="145">
        <f>+(S5-T5)*V5-'data 1'!$F$4</f>
        <v>63.299000000000007</v>
      </c>
      <c r="AD5" s="145">
        <f t="shared" ref="AD5:AD29" si="5">+(Q5-P5)*(R5-U5)*L5*V5/100</f>
        <v>-10.941625810986016</v>
      </c>
      <c r="AE5" s="145">
        <f>+(Y5*V5-'data 2'!$B$2)+V5*(Z5-IF(D5="UNTUCA",IF(+((W5-3)*2.5+(X5-3)*3.1)&gt;0,+((W5-3)*1.5+(X5-3)*3.1),0),IF(+((W5-3)*1.5+(X5-3)*3.1)&gt;0,+((W5-3)*1.5+(X5-3)*3.1),0)))</f>
        <v>-23.861999999999995</v>
      </c>
      <c r="AF5" s="145">
        <f t="shared" ref="AF5:AF29" si="6">(L5-O5)*(R5-U5)*Q5*V5/100</f>
        <v>68.178020393028063</v>
      </c>
      <c r="AG5" s="925">
        <f t="shared" ref="AG5:AG12" si="7">+IF(D5="RONALD WILLIAN GARIBAY ESCUDERO",AC5+AD5+AE5+AF5+80,AC5+AD5+AE5+AF5)</f>
        <v>96.67339458204205</v>
      </c>
      <c r="AH5" s="146">
        <f t="shared" ref="AH5:AH29" si="8">31.1035*L5*Q5*1.1023*K5/100</f>
        <v>72.536319968493473</v>
      </c>
      <c r="AI5" s="147">
        <f t="shared" ref="AI5:AI14" si="9">+((+$AI$2-R5+U5)*L5*Q5*V5)/100</f>
        <v>123.41895757278606</v>
      </c>
      <c r="AJ5" s="147">
        <f t="shared" ref="AJ5:AJ29" si="10">31.1035*1.1023*K5*P5*O5/100</f>
        <v>69.184524317145147</v>
      </c>
      <c r="AK5" s="88"/>
      <c r="AL5" s="148">
        <f t="shared" ref="AL5:AL29" si="11">+IF(AB5*K5&gt;0,AB5*K5,0)</f>
        <v>4540.8968372346681</v>
      </c>
    </row>
    <row r="6" spans="1:38" ht="15.75" customHeight="1">
      <c r="A6" s="164" t="s">
        <v>208</v>
      </c>
      <c r="B6" s="135">
        <v>45565</v>
      </c>
      <c r="C6" s="136">
        <v>45557</v>
      </c>
      <c r="D6" s="6" t="s">
        <v>93</v>
      </c>
      <c r="E6" s="6">
        <v>20169040231</v>
      </c>
      <c r="F6" s="6" t="s">
        <v>207</v>
      </c>
      <c r="G6" s="80">
        <v>48</v>
      </c>
      <c r="H6" s="6" t="s">
        <v>69</v>
      </c>
      <c r="I6" s="137">
        <v>4.51</v>
      </c>
      <c r="J6" s="137">
        <v>1.1000000000000001</v>
      </c>
      <c r="K6" s="138">
        <f t="shared" si="0"/>
        <v>4.4603899999999994</v>
      </c>
      <c r="L6" s="139">
        <v>0.71599999999999997</v>
      </c>
      <c r="M6" s="139">
        <v>0.67300000000000004</v>
      </c>
      <c r="N6" s="140">
        <v>0.77700000000000002</v>
      </c>
      <c r="O6" s="141">
        <f t="shared" si="1"/>
        <v>0.72499999999999998</v>
      </c>
      <c r="P6" s="6">
        <v>90</v>
      </c>
      <c r="Q6" s="137">
        <v>89.14</v>
      </c>
      <c r="R6" s="57">
        <v>2605.85</v>
      </c>
      <c r="S6" s="80">
        <v>160</v>
      </c>
      <c r="T6" s="6"/>
      <c r="U6" s="6">
        <v>130</v>
      </c>
      <c r="V6" s="142">
        <v>1.1023000000000001</v>
      </c>
      <c r="W6" s="137"/>
      <c r="X6" s="137"/>
      <c r="Y6" s="6">
        <v>30</v>
      </c>
      <c r="Z6" s="143">
        <f t="shared" si="2"/>
        <v>30</v>
      </c>
      <c r="AA6" s="144">
        <f t="shared" si="3"/>
        <v>60</v>
      </c>
      <c r="AB6" s="145">
        <f t="shared" si="4"/>
        <v>1538.2509693875002</v>
      </c>
      <c r="AC6" s="145">
        <f>+(S6-T6)*V6-'data 1'!$F$4</f>
        <v>96.367999999999995</v>
      </c>
      <c r="AD6" s="145">
        <f t="shared" si="5"/>
        <v>-16.804887532107987</v>
      </c>
      <c r="AE6" s="145">
        <f>+(Y6*V6-'data 2'!$B$2)+V6*(Z6-IF(D6="UNTUCA",IF(+((W6-3)*2.5+(X6-3)*3.1)&gt;0,+((W6-3)*1.5+(X6-3)*3.1),0),IF(+((W6-3)*1.5+(X6-3)*3.1)&gt;0,+((W6-3)*1.5+(X6-3)*3.1),0)))</f>
        <v>-23.861999999999995</v>
      </c>
      <c r="AF6" s="145">
        <f t="shared" si="6"/>
        <v>-21.894713965683017</v>
      </c>
      <c r="AG6" s="925">
        <f t="shared" si="7"/>
        <v>33.806398502208999</v>
      </c>
      <c r="AH6" s="146">
        <f t="shared" si="8"/>
        <v>97.603986190134435</v>
      </c>
      <c r="AI6" s="147">
        <f t="shared" si="9"/>
        <v>171.76797198450808</v>
      </c>
      <c r="AJ6" s="147">
        <f t="shared" si="10"/>
        <v>99.784346807831511</v>
      </c>
      <c r="AK6" s="88"/>
      <c r="AL6" s="148">
        <f t="shared" si="11"/>
        <v>6861.1992413463113</v>
      </c>
    </row>
    <row r="7" spans="1:38" ht="15.75" customHeight="1">
      <c r="A7" s="164" t="s">
        <v>209</v>
      </c>
      <c r="B7" s="135">
        <v>45559</v>
      </c>
      <c r="C7" s="136">
        <v>45557</v>
      </c>
      <c r="D7" s="6" t="s">
        <v>93</v>
      </c>
      <c r="E7" s="6">
        <v>20169040231</v>
      </c>
      <c r="F7" s="6" t="s">
        <v>210</v>
      </c>
      <c r="G7" s="80">
        <v>18</v>
      </c>
      <c r="H7" s="6" t="s">
        <v>69</v>
      </c>
      <c r="I7" s="137">
        <v>1.52</v>
      </c>
      <c r="J7" s="137">
        <v>1.3</v>
      </c>
      <c r="K7" s="138">
        <f t="shared" si="0"/>
        <v>1.50024</v>
      </c>
      <c r="L7" s="139">
        <v>0.443</v>
      </c>
      <c r="M7" s="139">
        <v>0.42499999999999999</v>
      </c>
      <c r="N7" s="159">
        <v>0.42499999999999999</v>
      </c>
      <c r="O7" s="141">
        <f t="shared" si="1"/>
        <v>0.42499999999999999</v>
      </c>
      <c r="P7" s="6">
        <v>90</v>
      </c>
      <c r="Q7" s="6">
        <v>89.23</v>
      </c>
      <c r="R7" s="57">
        <v>2605.85</v>
      </c>
      <c r="S7" s="80">
        <v>130</v>
      </c>
      <c r="T7" s="6"/>
      <c r="U7" s="6">
        <v>130</v>
      </c>
      <c r="V7" s="142">
        <v>1.1023000000000001</v>
      </c>
      <c r="W7" s="137"/>
      <c r="X7" s="137"/>
      <c r="Y7" s="6">
        <v>30</v>
      </c>
      <c r="Z7" s="143">
        <f t="shared" si="2"/>
        <v>30</v>
      </c>
      <c r="AA7" s="144">
        <f t="shared" si="3"/>
        <v>60</v>
      </c>
      <c r="AB7" s="145">
        <f t="shared" si="4"/>
        <v>834.4550165375</v>
      </c>
      <c r="AC7" s="145">
        <f>+(S7-T7)*V7-'data 1'!$F$4</f>
        <v>63.299000000000007</v>
      </c>
      <c r="AD7" s="145">
        <f t="shared" si="5"/>
        <v>-9.3093334839504518</v>
      </c>
      <c r="AE7" s="145">
        <f>+(Y7*V7-'data 2'!$B$2)+V7*(Z7-IF(D7="UNTUCA",IF(+((W7-3)*2.5+(X7-3)*3.1)&gt;0,+((W7-3)*1.5+(X7-3)*3.1),0),IF(+((W7-3)*1.5+(X7-3)*3.1)&gt;0,+((W7-3)*1.5+(X7-3)*3.1),0)))</f>
        <v>-23.861999999999995</v>
      </c>
      <c r="AF7" s="145">
        <f t="shared" si="6"/>
        <v>43.833639828537045</v>
      </c>
      <c r="AG7" s="925">
        <f t="shared" si="7"/>
        <v>73.961306344586603</v>
      </c>
      <c r="AH7" s="146">
        <f t="shared" si="8"/>
        <v>20.332202624535274</v>
      </c>
      <c r="AI7" s="147">
        <f t="shared" si="9"/>
        <v>106.38273593385054</v>
      </c>
      <c r="AJ7" s="147">
        <f t="shared" si="10"/>
        <v>19.674388792310491</v>
      </c>
      <c r="AK7" s="88"/>
      <c r="AL7" s="148">
        <f t="shared" si="11"/>
        <v>1251.882794010219</v>
      </c>
    </row>
    <row r="8" spans="1:38" ht="15.75" customHeight="1">
      <c r="A8" s="165" t="s">
        <v>211</v>
      </c>
      <c r="B8" s="135">
        <v>45563</v>
      </c>
      <c r="C8" s="136">
        <v>45560</v>
      </c>
      <c r="D8" s="6" t="s">
        <v>85</v>
      </c>
      <c r="E8" s="6">
        <v>10460498487</v>
      </c>
      <c r="F8" s="6" t="s">
        <v>212</v>
      </c>
      <c r="G8" s="80" t="s">
        <v>68</v>
      </c>
      <c r="H8" s="6" t="s">
        <v>69</v>
      </c>
      <c r="I8" s="137">
        <v>28.52</v>
      </c>
      <c r="J8" s="137">
        <v>3.7</v>
      </c>
      <c r="K8" s="138">
        <f t="shared" si="0"/>
        <v>27.464759999999998</v>
      </c>
      <c r="L8" s="139">
        <v>0.23400000000000001</v>
      </c>
      <c r="M8" s="139">
        <v>0.217</v>
      </c>
      <c r="N8" s="140">
        <v>0.25600000000000001</v>
      </c>
      <c r="O8" s="141">
        <f t="shared" si="1"/>
        <v>0.23699999999999999</v>
      </c>
      <c r="P8" s="6">
        <v>90</v>
      </c>
      <c r="Q8" s="6">
        <v>89.46</v>
      </c>
      <c r="R8" s="57">
        <v>2635.95</v>
      </c>
      <c r="S8" s="80">
        <v>120</v>
      </c>
      <c r="T8" s="6"/>
      <c r="U8" s="6">
        <v>130</v>
      </c>
      <c r="V8" s="142">
        <v>1.1023000000000001</v>
      </c>
      <c r="W8" s="137"/>
      <c r="X8" s="137"/>
      <c r="Y8" s="6">
        <v>40</v>
      </c>
      <c r="Z8" s="143">
        <f t="shared" si="2"/>
        <v>30</v>
      </c>
      <c r="AA8" s="144">
        <f t="shared" si="3"/>
        <v>70</v>
      </c>
      <c r="AB8" s="145">
        <f t="shared" si="4"/>
        <v>379.7634425105</v>
      </c>
      <c r="AC8" s="145">
        <f>+(S8-T8)*V8-'data 1'!$F$4</f>
        <v>52.27600000000001</v>
      </c>
      <c r="AD8" s="145">
        <f t="shared" si="5"/>
        <v>-3.4904532543660407</v>
      </c>
      <c r="AE8" s="145">
        <f>+(Y8*V8-'data 2'!$B$2)+V8*(Z8-IF(D8="UNTUCA",IF(+((W8-3)*2.5+(X8-3)*3.1)&gt;0,+((W8-3)*1.5+(X8-3)*3.1),0),IF(+((W8-3)*1.5+(X8-3)*3.1)&gt;0,+((W8-3)*1.5+(X8-3)*3.1),0)))</f>
        <v>-12.838999999999999</v>
      </c>
      <c r="AF8" s="145">
        <f t="shared" si="6"/>
        <v>-7.4134840488029372</v>
      </c>
      <c r="AG8" s="925">
        <f t="shared" si="7"/>
        <v>28.533062696831038</v>
      </c>
      <c r="AH8" s="146">
        <f t="shared" si="8"/>
        <v>197.11951812935123</v>
      </c>
      <c r="AI8" s="147">
        <f t="shared" si="9"/>
        <v>49.392361511766047</v>
      </c>
      <c r="AJ8" s="147">
        <f t="shared" si="10"/>
        <v>200.85180225221518</v>
      </c>
      <c r="AK8" s="88"/>
      <c r="AL8" s="148">
        <f t="shared" si="11"/>
        <v>10430.111805324679</v>
      </c>
    </row>
    <row r="9" spans="1:38" ht="15.75" customHeight="1">
      <c r="A9" s="165" t="s">
        <v>213</v>
      </c>
      <c r="B9" s="135">
        <v>45566</v>
      </c>
      <c r="C9" s="135">
        <v>45560</v>
      </c>
      <c r="D9" s="142" t="s">
        <v>85</v>
      </c>
      <c r="E9" s="142">
        <v>10460498487</v>
      </c>
      <c r="F9" s="142" t="s">
        <v>214</v>
      </c>
      <c r="G9" s="132">
        <v>85</v>
      </c>
      <c r="H9" s="142" t="s">
        <v>69</v>
      </c>
      <c r="I9" s="143">
        <v>7.4</v>
      </c>
      <c r="J9" s="143">
        <v>5.95</v>
      </c>
      <c r="K9" s="138">
        <f t="shared" si="0"/>
        <v>6.9597000000000007</v>
      </c>
      <c r="L9" s="141">
        <v>0.35699999999999998</v>
      </c>
      <c r="M9" s="141">
        <v>0.35699999999999998</v>
      </c>
      <c r="N9" s="153">
        <v>0.35699999999999998</v>
      </c>
      <c r="O9" s="141">
        <f t="shared" si="1"/>
        <v>0.35699999999999998</v>
      </c>
      <c r="P9" s="142">
        <v>90</v>
      </c>
      <c r="Q9" s="143">
        <v>89.52</v>
      </c>
      <c r="R9" s="144">
        <v>2635.95</v>
      </c>
      <c r="S9" s="132">
        <v>130</v>
      </c>
      <c r="T9" s="142"/>
      <c r="U9" s="142">
        <v>100</v>
      </c>
      <c r="V9" s="142">
        <v>1.1023000000000001</v>
      </c>
      <c r="W9" s="143"/>
      <c r="X9" s="143"/>
      <c r="Y9" s="142"/>
      <c r="Z9" s="143">
        <f t="shared" si="2"/>
        <v>30</v>
      </c>
      <c r="AA9" s="144">
        <f t="shared" si="3"/>
        <v>30</v>
      </c>
      <c r="AB9" s="145">
        <f t="shared" si="4"/>
        <v>721.78685019049988</v>
      </c>
      <c r="AC9" s="145">
        <f>+(S9-T9)*V9-'data 1'!$F$4</f>
        <v>63.299000000000007</v>
      </c>
      <c r="AD9" s="145">
        <f t="shared" si="5"/>
        <v>-4.7901592010160394</v>
      </c>
      <c r="AE9" s="145">
        <f>+(Y9*V9-'data 2'!$B$2)+V9*(Z9-IF(D9="UNTUCA",IF(+((W9-3)*2.5+(X9-3)*3.1)&gt;0,+((W9-3)*1.5+(X9-3)*3.1),0),IF(+((W9-3)*1.5+(X9-3)*3.1)&gt;0,+((W9-3)*1.5+(X9-3)*3.1),0)))</f>
        <v>-56.930999999999997</v>
      </c>
      <c r="AF9" s="145">
        <f t="shared" si="6"/>
        <v>0</v>
      </c>
      <c r="AG9" s="925">
        <f t="shared" si="7"/>
        <v>1.5778407989839707</v>
      </c>
      <c r="AH9" s="146">
        <f t="shared" si="8"/>
        <v>76.258433283815691</v>
      </c>
      <c r="AI9" s="156">
        <f t="shared" si="9"/>
        <v>64.837150328916053</v>
      </c>
      <c r="AJ9" s="156">
        <f t="shared" si="10"/>
        <v>76.667325687482261</v>
      </c>
      <c r="AK9" s="133"/>
      <c r="AL9" s="148">
        <f t="shared" si="11"/>
        <v>5023.4199412708222</v>
      </c>
    </row>
    <row r="10" spans="1:38" ht="15.75" customHeight="1">
      <c r="A10" s="165" t="s">
        <v>215</v>
      </c>
      <c r="B10" s="135">
        <v>45566</v>
      </c>
      <c r="C10" s="135">
        <v>45560</v>
      </c>
      <c r="D10" s="142" t="s">
        <v>85</v>
      </c>
      <c r="E10" s="142">
        <v>10460498487</v>
      </c>
      <c r="F10" s="142" t="s">
        <v>214</v>
      </c>
      <c r="G10" s="132" t="s">
        <v>68</v>
      </c>
      <c r="H10" s="142" t="s">
        <v>69</v>
      </c>
      <c r="I10" s="143">
        <v>32.450000000000003</v>
      </c>
      <c r="J10" s="143">
        <v>7.3</v>
      </c>
      <c r="K10" s="138">
        <f t="shared" si="0"/>
        <v>30.081150000000001</v>
      </c>
      <c r="L10" s="141">
        <v>0.219</v>
      </c>
      <c r="M10" s="141">
        <v>0.219</v>
      </c>
      <c r="N10" s="153">
        <v>0.219</v>
      </c>
      <c r="O10" s="141">
        <f t="shared" si="1"/>
        <v>0.219</v>
      </c>
      <c r="P10" s="142">
        <v>90</v>
      </c>
      <c r="Q10" s="143">
        <v>89.35</v>
      </c>
      <c r="R10" s="144">
        <v>2635.95</v>
      </c>
      <c r="S10" s="132">
        <v>120</v>
      </c>
      <c r="T10" s="142"/>
      <c r="U10" s="142">
        <v>100</v>
      </c>
      <c r="V10" s="142">
        <v>1.1023000000000001</v>
      </c>
      <c r="W10" s="143"/>
      <c r="X10" s="143"/>
      <c r="Y10" s="142"/>
      <c r="Z10" s="143">
        <f t="shared" si="2"/>
        <v>30</v>
      </c>
      <c r="AA10" s="144">
        <f t="shared" si="3"/>
        <v>30</v>
      </c>
      <c r="AB10" s="145">
        <f t="shared" si="4"/>
        <v>385.62394171350002</v>
      </c>
      <c r="AC10" s="145">
        <f>+(S10-T10)*V10-'data 1'!$F$4</f>
        <v>52.27600000000001</v>
      </c>
      <c r="AD10" s="145">
        <f t="shared" si="5"/>
        <v>-3.9792201345975355</v>
      </c>
      <c r="AE10" s="145">
        <f>+(Y10*V10-'data 2'!$B$2)+V10*(Z10-IF(D10="UNTUCA",IF(+((W10-3)*2.5+(X10-3)*3.1)&gt;0,+((W10-3)*1.5+(X10-3)*3.1),0),IF(+((W10-3)*1.5+(X10-3)*3.1)&gt;0,+((W10-3)*1.5+(X10-3)*3.1),0)))</f>
        <v>-56.930999999999997</v>
      </c>
      <c r="AF10" s="145">
        <f t="shared" si="6"/>
        <v>0</v>
      </c>
      <c r="AG10" s="925">
        <f t="shared" si="7"/>
        <v>-8.6342201345975198</v>
      </c>
      <c r="AH10" s="146">
        <f t="shared" si="8"/>
        <v>201.809764793201</v>
      </c>
      <c r="AI10" s="156">
        <f t="shared" si="9"/>
        <v>39.69851860509754</v>
      </c>
      <c r="AJ10" s="156">
        <f t="shared" si="10"/>
        <v>203.27788283590473</v>
      </c>
      <c r="AK10" s="133"/>
      <c r="AL10" s="148">
        <f t="shared" si="11"/>
        <v>11600.011634275052</v>
      </c>
    </row>
    <row r="11" spans="1:38" ht="15.75" customHeight="1">
      <c r="A11" s="165" t="s">
        <v>216</v>
      </c>
      <c r="B11" s="135">
        <v>45567</v>
      </c>
      <c r="C11" s="136">
        <v>45561</v>
      </c>
      <c r="D11" s="6" t="s">
        <v>72</v>
      </c>
      <c r="E11" s="6">
        <v>20606031361</v>
      </c>
      <c r="F11" s="6" t="s">
        <v>217</v>
      </c>
      <c r="G11" s="80">
        <v>162</v>
      </c>
      <c r="H11" s="6" t="s">
        <v>69</v>
      </c>
      <c r="I11" s="137">
        <v>13.94</v>
      </c>
      <c r="J11" s="137">
        <v>0.5</v>
      </c>
      <c r="K11" s="138">
        <f t="shared" si="0"/>
        <v>13.8703</v>
      </c>
      <c r="L11" s="139">
        <v>0.30599999999999999</v>
      </c>
      <c r="M11" s="139">
        <v>0.28899999999999998</v>
      </c>
      <c r="N11" s="140">
        <v>0.313</v>
      </c>
      <c r="O11" s="141">
        <f t="shared" si="1"/>
        <v>0.30099999999999999</v>
      </c>
      <c r="P11" s="6">
        <v>90</v>
      </c>
      <c r="Q11" s="137">
        <v>89.6</v>
      </c>
      <c r="R11" s="57">
        <v>2657.6</v>
      </c>
      <c r="S11" s="80">
        <v>110</v>
      </c>
      <c r="T11" s="6"/>
      <c r="U11" s="6">
        <v>120</v>
      </c>
      <c r="V11" s="6">
        <v>1.1023000000000001</v>
      </c>
      <c r="W11" s="137"/>
      <c r="X11" s="137"/>
      <c r="Y11" s="6"/>
      <c r="Z11" s="143">
        <f t="shared" si="2"/>
        <v>30</v>
      </c>
      <c r="AA11" s="144">
        <f t="shared" si="3"/>
        <v>30</v>
      </c>
      <c r="AB11" s="145">
        <f t="shared" si="4"/>
        <v>603.438526432</v>
      </c>
      <c r="AC11" s="145">
        <f>+(S11-T11)*V11-'data 1'!$F$4</f>
        <v>41.253</v>
      </c>
      <c r="AD11" s="145">
        <f t="shared" si="5"/>
        <v>-3.423768491520049</v>
      </c>
      <c r="AE11" s="145">
        <f>+(Y11*V11-'data 2'!$B$2)+V11*(Z11-IF(D11="UNTUCA",IF(+((W11-3)*2.5+(X11-3)*3.1)&gt;0,+((W11-3)*1.5+(X11-3)*3.1),0),IF(+((W11-3)*1.5+(X11-3)*3.1)&gt;0,+((W11-3)*1.5+(X11-3)*3.1),0)))</f>
        <v>-56.930999999999997</v>
      </c>
      <c r="AF11" s="145">
        <f t="shared" si="6"/>
        <v>12.531440230400012</v>
      </c>
      <c r="AG11" s="925">
        <f t="shared" si="7"/>
        <v>-6.5703282611200358</v>
      </c>
      <c r="AH11" s="146">
        <f t="shared" si="8"/>
        <v>130.38401785310182</v>
      </c>
      <c r="AI11" s="147">
        <f t="shared" si="9"/>
        <v>55.125694955520032</v>
      </c>
      <c r="AJ11" s="147">
        <f t="shared" si="10"/>
        <v>128.82612058095998</v>
      </c>
      <c r="AK11" s="88"/>
      <c r="AL11" s="148">
        <f t="shared" si="11"/>
        <v>8369.8733931697698</v>
      </c>
    </row>
    <row r="12" spans="1:38" ht="15.75" customHeight="1">
      <c r="A12" s="165" t="s">
        <v>218</v>
      </c>
      <c r="B12" s="135">
        <v>45567</v>
      </c>
      <c r="C12" s="136">
        <v>45561</v>
      </c>
      <c r="D12" s="6" t="s">
        <v>72</v>
      </c>
      <c r="E12" s="6">
        <v>20606031361</v>
      </c>
      <c r="F12" s="6" t="s">
        <v>217</v>
      </c>
      <c r="G12" s="80">
        <v>91</v>
      </c>
      <c r="H12" s="6" t="s">
        <v>69</v>
      </c>
      <c r="I12" s="137">
        <v>8.91</v>
      </c>
      <c r="J12" s="137">
        <v>7.3</v>
      </c>
      <c r="K12" s="138">
        <f t="shared" si="0"/>
        <v>8.2595700000000001</v>
      </c>
      <c r="L12" s="139">
        <v>0.93899999999999995</v>
      </c>
      <c r="M12" s="139">
        <v>0.89200000000000002</v>
      </c>
      <c r="N12" s="149">
        <v>0.95399999999999996</v>
      </c>
      <c r="O12" s="141">
        <f t="shared" si="1"/>
        <v>0.92300000000000004</v>
      </c>
      <c r="P12" s="6">
        <v>90</v>
      </c>
      <c r="Q12" s="137">
        <v>89.32</v>
      </c>
      <c r="R12" s="57">
        <v>2657.6</v>
      </c>
      <c r="S12" s="80">
        <v>170</v>
      </c>
      <c r="T12" s="6"/>
      <c r="U12" s="6">
        <v>120</v>
      </c>
      <c r="V12" s="6">
        <v>1.1023000000000001</v>
      </c>
      <c r="W12" s="137"/>
      <c r="X12" s="137"/>
      <c r="Y12" s="6"/>
      <c r="Z12" s="143">
        <f t="shared" si="2"/>
        <v>30</v>
      </c>
      <c r="AA12" s="144">
        <f t="shared" si="3"/>
        <v>30</v>
      </c>
      <c r="AB12" s="145">
        <f t="shared" si="4"/>
        <v>2103.1711159360002</v>
      </c>
      <c r="AC12" s="145">
        <f>+(S12-T12)*V12-'data 1'!$F$4</f>
        <v>107.39100000000002</v>
      </c>
      <c r="AD12" s="145">
        <f t="shared" si="5"/>
        <v>-17.860658964096178</v>
      </c>
      <c r="AE12" s="145">
        <f>+(Y12*V12-'data 2'!$B$2)+V12*(Z12-IF(D12="UNTUCA",IF(+((W12-3)*2.5+(X12-3)*3.1)&gt;0,+((W12-3)*1.5+(X12-3)*3.1),0),IF(+((W12-3)*1.5+(X12-3)*3.1)&gt;0,+((W12-3)*1.5+(X12-3)*3.1),0)))</f>
        <v>-56.930999999999997</v>
      </c>
      <c r="AF12" s="145">
        <f t="shared" si="6"/>
        <v>39.975294334975757</v>
      </c>
      <c r="AG12" s="925">
        <f t="shared" si="7"/>
        <v>72.574635370879605</v>
      </c>
      <c r="AH12" s="146">
        <f t="shared" si="8"/>
        <v>237.50940633453345</v>
      </c>
      <c r="AI12" s="147">
        <f t="shared" si="9"/>
        <v>168.63159510489606</v>
      </c>
      <c r="AJ12" s="147">
        <f t="shared" si="10"/>
        <v>235.23975473199829</v>
      </c>
      <c r="AK12" s="88"/>
      <c r="AL12" s="148">
        <f t="shared" si="11"/>
        <v>17371.289054051511</v>
      </c>
    </row>
    <row r="13" spans="1:38" ht="15.75" customHeight="1">
      <c r="A13" s="165" t="s">
        <v>219</v>
      </c>
      <c r="B13" s="135">
        <v>45567</v>
      </c>
      <c r="C13" s="135">
        <v>45563</v>
      </c>
      <c r="D13" s="142" t="s">
        <v>77</v>
      </c>
      <c r="E13" s="142">
        <v>20554057862</v>
      </c>
      <c r="F13" s="142" t="s">
        <v>78</v>
      </c>
      <c r="G13" s="132" t="s">
        <v>68</v>
      </c>
      <c r="H13" s="142" t="s">
        <v>69</v>
      </c>
      <c r="I13" s="143">
        <v>48.18</v>
      </c>
      <c r="J13" s="143">
        <v>2.4</v>
      </c>
      <c r="K13" s="138">
        <f t="shared" si="0"/>
        <v>47.023679999999999</v>
      </c>
      <c r="L13" s="141">
        <v>0.246</v>
      </c>
      <c r="M13" s="141">
        <v>0.23400000000000001</v>
      </c>
      <c r="N13" s="153">
        <v>0.23699999999999999</v>
      </c>
      <c r="O13" s="141">
        <f t="shared" si="1"/>
        <v>0.23599999999999999</v>
      </c>
      <c r="P13" s="154">
        <v>90</v>
      </c>
      <c r="Q13" s="142">
        <v>89.86</v>
      </c>
      <c r="R13" s="151">
        <v>2661.85</v>
      </c>
      <c r="S13" s="132">
        <v>100</v>
      </c>
      <c r="T13" s="142"/>
      <c r="U13" s="142">
        <v>100</v>
      </c>
      <c r="V13" s="142">
        <v>1.1023000000000001</v>
      </c>
      <c r="W13" s="142"/>
      <c r="X13" s="142"/>
      <c r="Y13" s="142"/>
      <c r="Z13" s="155">
        <v>35</v>
      </c>
      <c r="AA13" s="144">
        <f t="shared" si="3"/>
        <v>35</v>
      </c>
      <c r="AB13" s="145">
        <f t="shared" si="4"/>
        <v>450.991648962</v>
      </c>
      <c r="AC13" s="145">
        <f>+(S13-T13)*V13-'data 1'!$F$4</f>
        <v>30.230000000000004</v>
      </c>
      <c r="AD13" s="145">
        <f t="shared" si="5"/>
        <v>-0.97256054662200397</v>
      </c>
      <c r="AE13" s="145">
        <f>+(Y13*V13-'data 2'!$B$2)+V13*(Z13-IF(D13="UNTUCA",IF(+((W13-3)*2.5+(X13-3)*3.1)&gt;0,+((W13-3)*1.5+(X13-3)*3.1),0),IF(+((W13-3)*1.5+(X13-3)*3.1)&gt;0,+((W13-3)*1.5+(X13-3)*3.1),0)))</f>
        <v>-51.419499999999999</v>
      </c>
      <c r="AF13" s="145">
        <f t="shared" si="6"/>
        <v>25.375810313430019</v>
      </c>
      <c r="AG13" s="925">
        <f t="shared" ref="AG13:AG22" si="12">+IF(D13="RONALD WILLIAN GARIBAY ESCUDERO",AC13+AD13+AE13+AF13+80,AC13+AD13+AE13+AF13)+90-30</f>
        <v>63.213749766808021</v>
      </c>
      <c r="AH13" s="146">
        <f t="shared" si="8"/>
        <v>356.39139042739282</v>
      </c>
      <c r="AI13" s="156">
        <f t="shared" si="9"/>
        <v>38.536345323222022</v>
      </c>
      <c r="AJ13" s="156">
        <f t="shared" si="10"/>
        <v>342.43661471040866</v>
      </c>
      <c r="AK13" s="144"/>
      <c r="AL13" s="148">
        <f t="shared" si="11"/>
        <v>21207.286983461421</v>
      </c>
    </row>
    <row r="14" spans="1:38" ht="15.75" customHeight="1">
      <c r="A14" s="165" t="s">
        <v>220</v>
      </c>
      <c r="B14" s="135">
        <v>45567</v>
      </c>
      <c r="C14" s="135">
        <v>45563</v>
      </c>
      <c r="D14" s="142" t="s">
        <v>77</v>
      </c>
      <c r="E14" s="142">
        <v>20554057862</v>
      </c>
      <c r="F14" s="142" t="s">
        <v>78</v>
      </c>
      <c r="G14" s="132" t="s">
        <v>68</v>
      </c>
      <c r="H14" s="142" t="s">
        <v>69</v>
      </c>
      <c r="I14" s="143">
        <v>46.98</v>
      </c>
      <c r="J14" s="143">
        <v>2.7</v>
      </c>
      <c r="K14" s="138">
        <f t="shared" si="0"/>
        <v>45.711539999999999</v>
      </c>
      <c r="L14" s="141">
        <v>0.20200000000000001</v>
      </c>
      <c r="M14" s="141">
        <v>0.19600000000000001</v>
      </c>
      <c r="N14" s="153">
        <v>0.19600000000000001</v>
      </c>
      <c r="O14" s="141">
        <f t="shared" si="1"/>
        <v>0.19600000000000001</v>
      </c>
      <c r="P14" s="154">
        <v>90</v>
      </c>
      <c r="Q14" s="142">
        <v>89.86</v>
      </c>
      <c r="R14" s="151">
        <v>2661.85</v>
      </c>
      <c r="S14" s="132">
        <v>100</v>
      </c>
      <c r="T14" s="142"/>
      <c r="U14" s="142">
        <v>100</v>
      </c>
      <c r="V14" s="142">
        <v>1.1023000000000001</v>
      </c>
      <c r="W14" s="142"/>
      <c r="X14" s="142"/>
      <c r="Y14" s="142"/>
      <c r="Z14" s="155">
        <v>35</v>
      </c>
      <c r="AA14" s="144">
        <f t="shared" si="3"/>
        <v>35</v>
      </c>
      <c r="AB14" s="145">
        <f t="shared" si="4"/>
        <v>349.33026778200002</v>
      </c>
      <c r="AC14" s="145">
        <f>+(S14-T14)*V14-'data 1'!$F$4</f>
        <v>30.230000000000004</v>
      </c>
      <c r="AD14" s="145">
        <f t="shared" si="5"/>
        <v>-0.79860662771400326</v>
      </c>
      <c r="AE14" s="145">
        <f>+(Y14*V14-'data 2'!$B$2)+V14*(Z14-IF(D14="UNTUCA",IF(+((W14-3)*2.5+(X14-3)*3.1)&gt;0,+((W14-3)*1.5+(X14-3)*3.1),0),IF(+((W14-3)*1.5+(X14-3)*3.1)&gt;0,+((W14-3)*1.5+(X14-3)*3.1),0)))</f>
        <v>-51.419499999999999</v>
      </c>
      <c r="AF14" s="145">
        <f t="shared" si="6"/>
        <v>15.225486188058012</v>
      </c>
      <c r="AG14" s="925">
        <f t="shared" si="12"/>
        <v>53.23737956034401</v>
      </c>
      <c r="AH14" s="146">
        <f t="shared" si="8"/>
        <v>284.48063302991307</v>
      </c>
      <c r="AI14" s="156">
        <f t="shared" si="9"/>
        <v>31.643665671914022</v>
      </c>
      <c r="AJ14" s="156">
        <f t="shared" si="10"/>
        <v>276.46076331321029</v>
      </c>
      <c r="AK14" s="144"/>
      <c r="AL14" s="148">
        <f t="shared" si="11"/>
        <v>15968.424508927605</v>
      </c>
    </row>
    <row r="15" spans="1:38" ht="15.75" customHeight="1">
      <c r="A15" s="165" t="s">
        <v>221</v>
      </c>
      <c r="B15" s="135">
        <v>45567</v>
      </c>
      <c r="C15" s="135">
        <v>45563</v>
      </c>
      <c r="D15" s="142" t="s">
        <v>77</v>
      </c>
      <c r="E15" s="142">
        <v>20554057862</v>
      </c>
      <c r="F15" s="142" t="s">
        <v>78</v>
      </c>
      <c r="G15" s="132" t="s">
        <v>68</v>
      </c>
      <c r="H15" s="142" t="s">
        <v>69</v>
      </c>
      <c r="I15" s="143">
        <v>44.13</v>
      </c>
      <c r="J15" s="143">
        <v>1.95</v>
      </c>
      <c r="K15" s="138">
        <f t="shared" si="0"/>
        <v>43.269465000000004</v>
      </c>
      <c r="L15" s="141">
        <v>0.191</v>
      </c>
      <c r="M15" s="141">
        <v>0.185</v>
      </c>
      <c r="N15" s="153">
        <v>0.188</v>
      </c>
      <c r="O15" s="141">
        <f t="shared" si="1"/>
        <v>0.187</v>
      </c>
      <c r="P15" s="154">
        <v>90</v>
      </c>
      <c r="Q15" s="142">
        <v>89.86</v>
      </c>
      <c r="R15" s="151">
        <v>2661.85</v>
      </c>
      <c r="S15" s="132">
        <v>100</v>
      </c>
      <c r="T15" s="142"/>
      <c r="U15" s="142">
        <v>100</v>
      </c>
      <c r="V15" s="142">
        <v>1.1023000000000001</v>
      </c>
      <c r="W15" s="142"/>
      <c r="X15" s="142"/>
      <c r="Y15" s="142"/>
      <c r="Z15" s="155">
        <v>35</v>
      </c>
      <c r="AA15" s="144">
        <f t="shared" si="3"/>
        <v>35</v>
      </c>
      <c r="AB15" s="145">
        <f>+((O15*P15*(R15-U16)/100)-S15-AA15+T15)*V15</f>
        <v>326.45645701649994</v>
      </c>
      <c r="AC15" s="145">
        <f>+(S15-T15)*V15-'data 1'!$F$4</f>
        <v>30.230000000000004</v>
      </c>
      <c r="AD15" s="145">
        <f t="shared" si="5"/>
        <v>-0.75511814798700316</v>
      </c>
      <c r="AE15" s="145">
        <f>+(Y15*V15-'data 2'!$B$2)+V15*(Z15-IF(D15="UNTUCA",IF(+((W15-3)*2.5+(X15-3)*3.1)&gt;0,+((W15-3)*1.5+(X15-3)*3.1),0),IF(+((W15-3)*1.5+(X15-3)*3.1)&gt;0,+((W15-3)*1.5+(X15-3)*3.1),0)))</f>
        <v>-51.419499999999999</v>
      </c>
      <c r="AF15" s="145">
        <f t="shared" si="6"/>
        <v>10.150324125372009</v>
      </c>
      <c r="AG15" s="925">
        <f t="shared" si="12"/>
        <v>48.205705977385009</v>
      </c>
      <c r="AH15" s="146">
        <f t="shared" si="8"/>
        <v>254.61874677711992</v>
      </c>
      <c r="AI15" s="156">
        <f>+((+$AI$2-R15+U16)*L15*Q15*V15)/100</f>
        <v>29.920495759087022</v>
      </c>
      <c r="AJ15" s="156">
        <f t="shared" si="10"/>
        <v>249.67480002394237</v>
      </c>
      <c r="AK15" s="144"/>
      <c r="AL15" s="148">
        <f t="shared" si="11"/>
        <v>14125.596240899449</v>
      </c>
    </row>
    <row r="16" spans="1:38" ht="15.75" customHeight="1">
      <c r="A16" s="165" t="s">
        <v>222</v>
      </c>
      <c r="B16" s="135">
        <v>45567</v>
      </c>
      <c r="C16" s="135">
        <v>45563</v>
      </c>
      <c r="D16" s="142" t="s">
        <v>77</v>
      </c>
      <c r="E16" s="142">
        <v>20554057862</v>
      </c>
      <c r="F16" s="142" t="s">
        <v>78</v>
      </c>
      <c r="G16" s="132" t="s">
        <v>68</v>
      </c>
      <c r="H16" s="142" t="s">
        <v>69</v>
      </c>
      <c r="I16" s="143">
        <v>45.2</v>
      </c>
      <c r="J16" s="143">
        <v>2.2000000000000002</v>
      </c>
      <c r="K16" s="138">
        <f t="shared" si="0"/>
        <v>44.205600000000004</v>
      </c>
      <c r="L16" s="141">
        <v>0.20699999999999999</v>
      </c>
      <c r="M16" s="141">
        <v>0.2</v>
      </c>
      <c r="N16" s="153">
        <v>0.20599999999999999</v>
      </c>
      <c r="O16" s="141">
        <f t="shared" si="1"/>
        <v>0.20300000000000001</v>
      </c>
      <c r="P16" s="154">
        <v>90</v>
      </c>
      <c r="Q16" s="142">
        <v>89.86</v>
      </c>
      <c r="R16" s="151">
        <v>2661.85</v>
      </c>
      <c r="S16" s="132">
        <v>100</v>
      </c>
      <c r="T16" s="142"/>
      <c r="U16" s="142">
        <v>100</v>
      </c>
      <c r="V16" s="142">
        <v>1.1023000000000001</v>
      </c>
      <c r="W16" s="142"/>
      <c r="X16" s="142"/>
      <c r="Y16" s="142"/>
      <c r="Z16" s="155">
        <v>35</v>
      </c>
      <c r="AA16" s="144">
        <f t="shared" si="3"/>
        <v>35</v>
      </c>
      <c r="AB16" s="145">
        <f>+((O16*P16*(R16-U17)/100)-S16-AA16+T16)*V16</f>
        <v>367.12100948849996</v>
      </c>
      <c r="AC16" s="145">
        <f>+(S16-T16)*V16-'data 1'!$F$4</f>
        <v>30.230000000000004</v>
      </c>
      <c r="AD16" s="145">
        <f t="shared" si="5"/>
        <v>-0.81837411849900332</v>
      </c>
      <c r="AE16" s="145">
        <f>+(Y16*V16-'data 2'!$B$2)+V16*(Z16-IF(D16="UNTUCA",IF(+((W16-3)*2.5+(X16-3)*3.1)&gt;0,+((W16-3)*1.5+(X16-3)*3.1),0),IF(+((W16-3)*1.5+(X16-3)*3.1)&gt;0,+((W16-3)*1.5+(X16-3)*3.1),0)))</f>
        <v>-51.419499999999999</v>
      </c>
      <c r="AF16" s="145">
        <f t="shared" si="6"/>
        <v>10.150324125371938</v>
      </c>
      <c r="AG16" s="925">
        <f t="shared" si="12"/>
        <v>48.142450006872934</v>
      </c>
      <c r="AH16" s="146">
        <f t="shared" si="8"/>
        <v>281.91820307958272</v>
      </c>
      <c r="AI16" s="156">
        <f>+((+$AI$2-R16+U17)*L16*Q16*V16)/100</f>
        <v>32.426924723199015</v>
      </c>
      <c r="AJ16" s="156">
        <f t="shared" si="10"/>
        <v>276.90124360190885</v>
      </c>
      <c r="AK16" s="144"/>
      <c r="AL16" s="148">
        <f t="shared" si="11"/>
        <v>16228.804497044835</v>
      </c>
    </row>
    <row r="17" spans="1:38" ht="15.75" customHeight="1">
      <c r="A17" s="165" t="s">
        <v>223</v>
      </c>
      <c r="B17" s="135">
        <v>45567</v>
      </c>
      <c r="C17" s="135">
        <v>45563</v>
      </c>
      <c r="D17" s="142" t="s">
        <v>77</v>
      </c>
      <c r="E17" s="142">
        <v>20554057862</v>
      </c>
      <c r="F17" s="142" t="s">
        <v>78</v>
      </c>
      <c r="G17" s="132" t="s">
        <v>68</v>
      </c>
      <c r="H17" s="142" t="s">
        <v>69</v>
      </c>
      <c r="I17" s="143">
        <v>39.5</v>
      </c>
      <c r="J17" s="143">
        <v>2.85</v>
      </c>
      <c r="K17" s="138">
        <f t="shared" si="0"/>
        <v>38.374250000000004</v>
      </c>
      <c r="L17" s="141">
        <v>0.24099999999999999</v>
      </c>
      <c r="M17" s="141">
        <v>0.22800000000000001</v>
      </c>
      <c r="N17" s="153">
        <v>0.23200000000000001</v>
      </c>
      <c r="O17" s="141">
        <f t="shared" si="1"/>
        <v>0.23</v>
      </c>
      <c r="P17" s="154">
        <v>90</v>
      </c>
      <c r="Q17" s="142">
        <v>89.86</v>
      </c>
      <c r="R17" s="151">
        <v>2661.85</v>
      </c>
      <c r="S17" s="132">
        <v>100</v>
      </c>
      <c r="T17" s="142"/>
      <c r="U17" s="142">
        <v>100</v>
      </c>
      <c r="V17" s="142">
        <v>1.1023000000000001</v>
      </c>
      <c r="W17" s="142"/>
      <c r="X17" s="142"/>
      <c r="Y17" s="142"/>
      <c r="Z17" s="155">
        <v>35</v>
      </c>
      <c r="AA17" s="144">
        <f t="shared" si="3"/>
        <v>35</v>
      </c>
      <c r="AB17" s="145">
        <f t="shared" ref="AB17:AB29" si="13">+((O17*P17*(R17-U17)/100)-S17-AA17+T17)*V17</f>
        <v>435.74244178500004</v>
      </c>
      <c r="AC17" s="145">
        <f>+(S17-T17)*V17-'data 1'!$F$4</f>
        <v>30.230000000000004</v>
      </c>
      <c r="AD17" s="145">
        <f t="shared" si="5"/>
        <v>-0.95279305583700391</v>
      </c>
      <c r="AE17" s="145">
        <f>+(Y17*V17-'data 2'!$B$2)+V17*(Z17-IF(D17="UNTUCA",IF(+((W17-3)*2.5+(X17-3)*3.1)&gt;0,+((W17-3)*1.5+(X17-3)*3.1),0),IF(+((W17-3)*1.5+(X17-3)*3.1)&gt;0,+((W17-3)*1.5+(X17-3)*3.1),0)))</f>
        <v>-51.419499999999999</v>
      </c>
      <c r="AF17" s="145">
        <f t="shared" si="6"/>
        <v>27.913391344772958</v>
      </c>
      <c r="AG17" s="925">
        <f t="shared" si="12"/>
        <v>65.77109828893596</v>
      </c>
      <c r="AH17" s="146">
        <f t="shared" si="8"/>
        <v>284.92622666065364</v>
      </c>
      <c r="AI17" s="156">
        <f t="shared" ref="AI17:AI29" si="14">+((+$AI$2-R17+U17)*L17*Q17*V17)/100</f>
        <v>37.753086271937022</v>
      </c>
      <c r="AJ17" s="156">
        <f t="shared" si="10"/>
        <v>272.34494284218653</v>
      </c>
      <c r="AK17" s="144"/>
      <c r="AL17" s="148">
        <f t="shared" si="11"/>
        <v>16721.289396668039</v>
      </c>
    </row>
    <row r="18" spans="1:38" ht="15.75" customHeight="1">
      <c r="A18" s="165" t="s">
        <v>224</v>
      </c>
      <c r="B18" s="135">
        <v>45569</v>
      </c>
      <c r="C18" s="135">
        <v>45564</v>
      </c>
      <c r="D18" s="142" t="s">
        <v>77</v>
      </c>
      <c r="E18" s="142">
        <v>20554057862</v>
      </c>
      <c r="F18" s="142" t="s">
        <v>78</v>
      </c>
      <c r="G18" s="132" t="s">
        <v>68</v>
      </c>
      <c r="H18" s="142" t="s">
        <v>69</v>
      </c>
      <c r="I18" s="143">
        <v>46.94</v>
      </c>
      <c r="J18" s="143">
        <v>2.1</v>
      </c>
      <c r="K18" s="138">
        <f t="shared" si="0"/>
        <v>45.954259999999998</v>
      </c>
      <c r="L18" s="141">
        <v>0.224</v>
      </c>
      <c r="M18" s="141">
        <v>0.21299999999999999</v>
      </c>
      <c r="N18" s="153">
        <v>0.246</v>
      </c>
      <c r="O18" s="153">
        <v>0.22700000000000001</v>
      </c>
      <c r="P18" s="154">
        <v>90</v>
      </c>
      <c r="Q18" s="142">
        <v>89.18</v>
      </c>
      <c r="R18" s="151">
        <v>2629.95</v>
      </c>
      <c r="S18" s="132">
        <v>100</v>
      </c>
      <c r="T18" s="142"/>
      <c r="U18" s="142">
        <v>100</v>
      </c>
      <c r="V18" s="142">
        <v>1.1023000000000001</v>
      </c>
      <c r="W18" s="142"/>
      <c r="X18" s="142"/>
      <c r="Y18" s="142"/>
      <c r="Z18" s="155">
        <v>35</v>
      </c>
      <c r="AA18" s="144">
        <f t="shared" si="3"/>
        <v>35</v>
      </c>
      <c r="AB18" s="145">
        <f t="shared" si="13"/>
        <v>420.93396170550005</v>
      </c>
      <c r="AC18" s="145">
        <f>+(S18-T18)*V18-'data 1'!$F$4</f>
        <v>30.230000000000004</v>
      </c>
      <c r="AD18" s="145">
        <f t="shared" si="5"/>
        <v>-5.1224015039679571</v>
      </c>
      <c r="AE18" s="145">
        <f>+(Y18*V18-'data 2'!$B$2)+V18*(Z18-IF(D18="UNTUCA",IF(+((W18-3)*2.5+(X18-3)*3.1)&gt;0,+((W18-3)*1.5+(X18-3)*3.1),0),IF(+((W18-3)*1.5+(X18-3)*3.1)&gt;0,+((W18-3)*1.5+(X18-3)*3.1),0)))</f>
        <v>-51.419499999999999</v>
      </c>
      <c r="AF18" s="145">
        <f t="shared" si="6"/>
        <v>-7.4610588979290071</v>
      </c>
      <c r="AG18" s="925">
        <f t="shared" si="12"/>
        <v>26.22703959810304</v>
      </c>
      <c r="AH18" s="146">
        <f t="shared" si="8"/>
        <v>314.73883480815982</v>
      </c>
      <c r="AI18" s="156">
        <f t="shared" si="14"/>
        <v>41.84881526716805</v>
      </c>
      <c r="AJ18" s="156">
        <f t="shared" si="10"/>
        <v>321.8868337677161</v>
      </c>
      <c r="AK18" s="133"/>
      <c r="AL18" s="148">
        <f t="shared" si="11"/>
        <v>19343.708719044593</v>
      </c>
    </row>
    <row r="19" spans="1:38" ht="15.75" customHeight="1">
      <c r="A19" s="165" t="s">
        <v>225</v>
      </c>
      <c r="B19" s="135">
        <v>45569</v>
      </c>
      <c r="C19" s="135">
        <v>45564</v>
      </c>
      <c r="D19" s="142" t="s">
        <v>77</v>
      </c>
      <c r="E19" s="142">
        <v>20554057862</v>
      </c>
      <c r="F19" s="142" t="s">
        <v>78</v>
      </c>
      <c r="G19" s="132" t="s">
        <v>68</v>
      </c>
      <c r="H19" s="142" t="s">
        <v>69</v>
      </c>
      <c r="I19" s="143">
        <v>48.06</v>
      </c>
      <c r="J19" s="143">
        <v>1.5</v>
      </c>
      <c r="K19" s="138">
        <f t="shared" si="0"/>
        <v>47.339100000000002</v>
      </c>
      <c r="L19" s="141">
        <v>0.23300000000000001</v>
      </c>
      <c r="M19" s="141">
        <v>0.221</v>
      </c>
      <c r="N19" s="153">
        <v>0.28499999999999998</v>
      </c>
      <c r="O19" s="153">
        <v>0.23</v>
      </c>
      <c r="P19" s="154">
        <v>90</v>
      </c>
      <c r="Q19" s="142">
        <v>89.78</v>
      </c>
      <c r="R19" s="151">
        <v>2629.95</v>
      </c>
      <c r="S19" s="132">
        <v>100</v>
      </c>
      <c r="T19" s="142"/>
      <c r="U19" s="142">
        <v>100</v>
      </c>
      <c r="V19" s="142">
        <v>1.1023000000000001</v>
      </c>
      <c r="W19" s="142"/>
      <c r="X19" s="142"/>
      <c r="Y19" s="142"/>
      <c r="Z19" s="155">
        <v>35</v>
      </c>
      <c r="AA19" s="144">
        <f t="shared" si="3"/>
        <v>35</v>
      </c>
      <c r="AB19" s="145">
        <f t="shared" si="13"/>
        <v>428.46362419500002</v>
      </c>
      <c r="AC19" s="145">
        <f>+(S19-T19)*V19-'data 1'!$F$4</f>
        <v>30.230000000000004</v>
      </c>
      <c r="AD19" s="145">
        <f t="shared" si="5"/>
        <v>-1.4295203674509926</v>
      </c>
      <c r="AE19" s="145">
        <f>+(Y19*V19-'data 2'!$B$2)+V19*(Z19-IF(D19="UNTUCA",IF(+((W19-3)*2.5+(X19-3)*3.1)&gt;0,+((W19-3)*1.5+(X19-3)*3.1),0),IF(+((W19-3)*1.5+(X19-3)*3.1)&gt;0,+((W19-3)*1.5+(X19-3)*3.1),0)))</f>
        <v>-51.419499999999999</v>
      </c>
      <c r="AF19" s="145">
        <f t="shared" si="6"/>
        <v>7.5112566478590068</v>
      </c>
      <c r="AG19" s="925">
        <f t="shared" si="12"/>
        <v>44.892236280408014</v>
      </c>
      <c r="AH19" s="146">
        <f t="shared" si="8"/>
        <v>339.5193949945691</v>
      </c>
      <c r="AI19" s="156">
        <f t="shared" si="14"/>
        <v>43.82311085735104</v>
      </c>
      <c r="AJ19" s="156">
        <f t="shared" si="10"/>
        <v>335.96915858161532</v>
      </c>
      <c r="AK19" s="133"/>
      <c r="AL19" s="148">
        <f t="shared" si="11"/>
        <v>20283.082352129528</v>
      </c>
    </row>
    <row r="20" spans="1:38" ht="15.75" customHeight="1">
      <c r="A20" s="165" t="s">
        <v>226</v>
      </c>
      <c r="B20" s="135">
        <v>45569</v>
      </c>
      <c r="C20" s="135">
        <v>45564</v>
      </c>
      <c r="D20" s="142" t="s">
        <v>77</v>
      </c>
      <c r="E20" s="142">
        <v>20554057862</v>
      </c>
      <c r="F20" s="142" t="s">
        <v>78</v>
      </c>
      <c r="G20" s="132" t="s">
        <v>68</v>
      </c>
      <c r="H20" s="142" t="s">
        <v>69</v>
      </c>
      <c r="I20" s="143">
        <v>46.34</v>
      </c>
      <c r="J20" s="143">
        <v>1.55</v>
      </c>
      <c r="K20" s="138">
        <f t="shared" si="0"/>
        <v>45.621730000000007</v>
      </c>
      <c r="L20" s="141">
        <v>0.247</v>
      </c>
      <c r="M20" s="141">
        <v>0.22900000000000001</v>
      </c>
      <c r="N20" s="153">
        <v>0.23899999999999999</v>
      </c>
      <c r="O20" s="141">
        <f>+ROUND((M20+N20)/2,3)</f>
        <v>0.23400000000000001</v>
      </c>
      <c r="P20" s="154">
        <v>90</v>
      </c>
      <c r="Q20" s="142">
        <v>89.51</v>
      </c>
      <c r="R20" s="151">
        <v>2629.95</v>
      </c>
      <c r="S20" s="132">
        <v>100</v>
      </c>
      <c r="T20" s="142"/>
      <c r="U20" s="142">
        <v>100</v>
      </c>
      <c r="V20" s="142">
        <v>1.1023000000000001</v>
      </c>
      <c r="W20" s="142"/>
      <c r="X20" s="142"/>
      <c r="Y20" s="142"/>
      <c r="Z20" s="155">
        <v>35</v>
      </c>
      <c r="AA20" s="144">
        <f t="shared" si="3"/>
        <v>35</v>
      </c>
      <c r="AB20" s="145">
        <f t="shared" si="13"/>
        <v>438.50317418100013</v>
      </c>
      <c r="AC20" s="145">
        <f>+(S20-T20)*V20-'data 1'!$F$4</f>
        <v>30.230000000000004</v>
      </c>
      <c r="AD20" s="145">
        <f t="shared" si="5"/>
        <v>-3.375240930015464</v>
      </c>
      <c r="AE20" s="145">
        <f>+(Y20*V20-'data 2'!$B$2)+V20*(Z20-IF(D20="UNTUCA",IF(+((W20-3)*2.5+(X20-3)*3.1)&gt;0,+((W20-3)*1.5+(X20-3)*3.1),0),IF(+((W20-3)*1.5+(X20-3)*3.1)&gt;0,+((W20-3)*1.5+(X20-3)*3.1),0)))</f>
        <v>-51.419499999999999</v>
      </c>
      <c r="AF20" s="145">
        <f t="shared" si="6"/>
        <v>32.450893195025465</v>
      </c>
      <c r="AG20" s="925">
        <f t="shared" si="12"/>
        <v>67.886152265009997</v>
      </c>
      <c r="AH20" s="146">
        <f t="shared" si="8"/>
        <v>345.81938139714987</v>
      </c>
      <c r="AI20" s="156">
        <f t="shared" si="14"/>
        <v>46.316548857715553</v>
      </c>
      <c r="AJ20" s="156">
        <f t="shared" si="10"/>
        <v>329.41182570802607</v>
      </c>
      <c r="AK20" s="133"/>
      <c r="AL20" s="148">
        <f t="shared" si="11"/>
        <v>20005.273416628563</v>
      </c>
    </row>
    <row r="21" spans="1:38" ht="15.75" customHeight="1">
      <c r="A21" s="165" t="s">
        <v>227</v>
      </c>
      <c r="B21" s="135">
        <v>45569</v>
      </c>
      <c r="C21" s="135">
        <v>45564</v>
      </c>
      <c r="D21" s="142" t="s">
        <v>77</v>
      </c>
      <c r="E21" s="142">
        <v>20554057862</v>
      </c>
      <c r="F21" s="142" t="s">
        <v>78</v>
      </c>
      <c r="G21" s="132" t="s">
        <v>68</v>
      </c>
      <c r="H21" s="142" t="s">
        <v>69</v>
      </c>
      <c r="I21" s="143">
        <v>46.39</v>
      </c>
      <c r="J21" s="143">
        <v>1.45</v>
      </c>
      <c r="K21" s="138">
        <f t="shared" si="0"/>
        <v>45.717345000000002</v>
      </c>
      <c r="L21" s="141">
        <v>0.22700000000000001</v>
      </c>
      <c r="M21" s="141">
        <v>0.21099999999999999</v>
      </c>
      <c r="N21" s="153">
        <v>0.248</v>
      </c>
      <c r="O21" s="153">
        <v>0.23799999999999999</v>
      </c>
      <c r="P21" s="154">
        <v>90</v>
      </c>
      <c r="Q21" s="142">
        <v>89.65</v>
      </c>
      <c r="R21" s="151">
        <v>2629.95</v>
      </c>
      <c r="S21" s="132">
        <v>100</v>
      </c>
      <c r="T21" s="142"/>
      <c r="U21" s="142">
        <v>100</v>
      </c>
      <c r="V21" s="142">
        <v>1.1023000000000001</v>
      </c>
      <c r="W21" s="142"/>
      <c r="X21" s="142"/>
      <c r="Y21" s="142"/>
      <c r="Z21" s="155">
        <v>35</v>
      </c>
      <c r="AA21" s="144">
        <f t="shared" si="3"/>
        <v>35</v>
      </c>
      <c r="AB21" s="145">
        <f t="shared" si="13"/>
        <v>448.5427241669999</v>
      </c>
      <c r="AC21" s="145">
        <f>+(S21-T21)*V21-'data 1'!$F$4</f>
        <v>30.230000000000004</v>
      </c>
      <c r="AD21" s="145">
        <f t="shared" si="5"/>
        <v>-2.2156729066324643</v>
      </c>
      <c r="AE21" s="145">
        <f>+(Y21*V21-'data 2'!$B$2)+V21*(Z21-IF(D21="UNTUCA",IF(+((W21-3)*2.5+(X21-3)*3.1)&gt;0,+((W21-3)*1.5+(X21-3)*3.1),0),IF(+((W21-3)*1.5+(X21-3)*3.1)&gt;0,+((W21-3)*1.5+(X21-3)*3.1),0)))</f>
        <v>-51.419499999999999</v>
      </c>
      <c r="AF21" s="145">
        <f t="shared" si="6"/>
        <v>-27.501395051927457</v>
      </c>
      <c r="AG21" s="925">
        <f t="shared" si="12"/>
        <v>9.0934320414400815</v>
      </c>
      <c r="AH21" s="146">
        <f t="shared" si="8"/>
        <v>318.98203288996473</v>
      </c>
      <c r="AI21" s="156">
        <f t="shared" si="14"/>
        <v>42.632797609132552</v>
      </c>
      <c r="AJ21" s="156">
        <f t="shared" si="10"/>
        <v>335.74498696610374</v>
      </c>
      <c r="AK21" s="133"/>
      <c r="AL21" s="148">
        <f t="shared" si="11"/>
        <v>20506.182467982573</v>
      </c>
    </row>
    <row r="22" spans="1:38" ht="15.75" customHeight="1">
      <c r="A22" s="165" t="s">
        <v>228</v>
      </c>
      <c r="B22" s="135">
        <v>45569</v>
      </c>
      <c r="C22" s="135">
        <v>45564</v>
      </c>
      <c r="D22" s="142" t="s">
        <v>77</v>
      </c>
      <c r="E22" s="142">
        <v>20554057862</v>
      </c>
      <c r="F22" s="142" t="s">
        <v>78</v>
      </c>
      <c r="G22" s="132" t="s">
        <v>68</v>
      </c>
      <c r="H22" s="142" t="s">
        <v>69</v>
      </c>
      <c r="I22" s="143">
        <v>47.65</v>
      </c>
      <c r="J22" s="143">
        <v>1.55</v>
      </c>
      <c r="K22" s="138">
        <f t="shared" si="0"/>
        <v>46.911425000000001</v>
      </c>
      <c r="L22" s="141">
        <v>0.24299999999999999</v>
      </c>
      <c r="M22" s="141">
        <v>0.22600000000000001</v>
      </c>
      <c r="N22" s="141">
        <v>0.22600000000000001</v>
      </c>
      <c r="O22" s="141">
        <f t="shared" ref="O22:O29" si="15">+ROUND((M22+N22)/2,3)</f>
        <v>0.22600000000000001</v>
      </c>
      <c r="P22" s="154">
        <v>90</v>
      </c>
      <c r="Q22" s="142">
        <v>89.63</v>
      </c>
      <c r="R22" s="151">
        <v>2629.95</v>
      </c>
      <c r="S22" s="132">
        <v>100</v>
      </c>
      <c r="T22" s="142"/>
      <c r="U22" s="142">
        <v>100</v>
      </c>
      <c r="V22" s="142">
        <v>1.1023000000000001</v>
      </c>
      <c r="W22" s="142"/>
      <c r="X22" s="142"/>
      <c r="Y22" s="142"/>
      <c r="Z22" s="155">
        <v>35</v>
      </c>
      <c r="AA22" s="144">
        <f t="shared" si="3"/>
        <v>35</v>
      </c>
      <c r="AB22" s="145">
        <f t="shared" si="13"/>
        <v>418.42407420899997</v>
      </c>
      <c r="AC22" s="145">
        <f>+(S22-T22)*V22-'data 1'!$F$4</f>
        <v>30.230000000000004</v>
      </c>
      <c r="AD22" s="145">
        <f t="shared" si="5"/>
        <v>-2.5073776090035311</v>
      </c>
      <c r="AE22" s="145">
        <f>+(Y22*V22-'data 2'!$B$2)+V22*(Z22-IF(D22="UNTUCA",IF(+((W22-3)*2.5+(X22-3)*3.1)&gt;0,+((W22-3)*1.5+(X22-3)*3.1),0),IF(+((W22-3)*1.5+(X22-3)*3.1)&gt;0,+((W22-3)*1.5+(X22-3)*3.1),0)))</f>
        <v>-51.419499999999999</v>
      </c>
      <c r="AF22" s="145">
        <f t="shared" si="6"/>
        <v>42.492674192133464</v>
      </c>
      <c r="AG22" s="925">
        <f t="shared" si="12"/>
        <v>78.795796583129942</v>
      </c>
      <c r="AH22" s="146">
        <f t="shared" si="8"/>
        <v>350.30582965930518</v>
      </c>
      <c r="AI22" s="156">
        <f t="shared" si="14"/>
        <v>45.627571189903549</v>
      </c>
      <c r="AJ22" s="156">
        <f t="shared" si="10"/>
        <v>327.1437618150461</v>
      </c>
      <c r="AK22" s="133"/>
      <c r="AL22" s="148">
        <f t="shared" si="11"/>
        <v>19628.869575449939</v>
      </c>
    </row>
    <row r="23" spans="1:38" ht="15.75" customHeight="1">
      <c r="A23" s="165" t="s">
        <v>229</v>
      </c>
      <c r="B23" s="136">
        <v>45568</v>
      </c>
      <c r="C23" s="136">
        <v>45565</v>
      </c>
      <c r="D23" s="6" t="s">
        <v>230</v>
      </c>
      <c r="E23" s="142">
        <v>20605956905</v>
      </c>
      <c r="F23" s="142" t="s">
        <v>78</v>
      </c>
      <c r="G23" s="80">
        <v>108</v>
      </c>
      <c r="H23" s="6" t="s">
        <v>69</v>
      </c>
      <c r="I23" s="137">
        <v>7.59</v>
      </c>
      <c r="J23" s="137">
        <v>9.0500000000000007</v>
      </c>
      <c r="K23" s="138">
        <f t="shared" si="0"/>
        <v>6.903105</v>
      </c>
      <c r="L23" s="139">
        <v>0.96</v>
      </c>
      <c r="M23" s="139">
        <v>0.92200000000000004</v>
      </c>
      <c r="N23" s="166">
        <v>1.016</v>
      </c>
      <c r="O23" s="141">
        <f t="shared" si="15"/>
        <v>0.96899999999999997</v>
      </c>
      <c r="P23" s="6">
        <v>90</v>
      </c>
      <c r="Q23" s="6">
        <v>89.13</v>
      </c>
      <c r="R23" s="151">
        <v>2629.95</v>
      </c>
      <c r="S23" s="80">
        <v>160</v>
      </c>
      <c r="T23" s="6"/>
      <c r="U23" s="6">
        <v>100</v>
      </c>
      <c r="V23" s="6">
        <v>1.1023000000000001</v>
      </c>
      <c r="W23" s="6"/>
      <c r="X23" s="6"/>
      <c r="Y23" s="6">
        <v>5</v>
      </c>
      <c r="Z23" s="160">
        <v>20</v>
      </c>
      <c r="AA23" s="144">
        <f t="shared" si="3"/>
        <v>25</v>
      </c>
      <c r="AB23" s="145">
        <f t="shared" si="13"/>
        <v>2228.1554841084999</v>
      </c>
      <c r="AC23" s="145">
        <f>+(S23-T23)*V23-'data 1'!$F$4</f>
        <v>96.367999999999995</v>
      </c>
      <c r="AD23" s="145">
        <f t="shared" si="5"/>
        <v>-23.291755967520121</v>
      </c>
      <c r="AE23" s="145">
        <f>+(Y23*V23-'data 2'!$B$2)+V23*(Z23-IF(D23="UNTUCA",IF(+((W23-3)*2.5+(X23-3)*3.1)&gt;0,+((W23-3)*1.5+(X23-3)*3.1),0),IF(+((W23-3)*1.5+(X23-3)*3.1)&gt;0,+((W23-3)*1.5+(X23-3)*3.1),0)))</f>
        <v>-62.442500000000003</v>
      </c>
      <c r="AF23" s="145">
        <f t="shared" si="6"/>
        <v>-22.37062725630452</v>
      </c>
      <c r="AG23" s="925">
        <f>+IF(D23="RONALD WILLIAN GARIBAY ESCUDERO",AC23+AD23+AE23+AF23+80,AC23+AD23+AE23+AF23)+90-70</f>
        <v>8.2631167761753517</v>
      </c>
      <c r="AH23" s="146">
        <f t="shared" si="8"/>
        <v>202.51103260265677</v>
      </c>
      <c r="AI23" s="147">
        <f t="shared" si="14"/>
        <v>179.2515092155202</v>
      </c>
      <c r="AJ23" s="147">
        <f t="shared" si="10"/>
        <v>206.40482012787615</v>
      </c>
      <c r="AK23" s="88"/>
      <c r="AL23" s="148">
        <f t="shared" si="11"/>
        <v>15381.191263126806</v>
      </c>
    </row>
    <row r="24" spans="1:38" ht="15.75" customHeight="1">
      <c r="A24" s="165" t="s">
        <v>231</v>
      </c>
      <c r="B24" s="136">
        <v>45570</v>
      </c>
      <c r="C24" s="136">
        <v>45567</v>
      </c>
      <c r="D24" s="6" t="s">
        <v>85</v>
      </c>
      <c r="E24" s="6">
        <v>10460498487</v>
      </c>
      <c r="F24" s="142" t="s">
        <v>232</v>
      </c>
      <c r="G24" s="80" t="s">
        <v>68</v>
      </c>
      <c r="H24" s="6" t="s">
        <v>69</v>
      </c>
      <c r="I24" s="137">
        <v>26.96</v>
      </c>
      <c r="J24" s="137">
        <v>2.2999999999999998</v>
      </c>
      <c r="K24" s="138">
        <f t="shared" si="0"/>
        <v>26.339919999999999</v>
      </c>
      <c r="L24" s="139">
        <v>0.215</v>
      </c>
      <c r="M24" s="139">
        <v>0.20100000000000001</v>
      </c>
      <c r="N24" s="159">
        <v>0.20100000000000001</v>
      </c>
      <c r="O24" s="141">
        <f t="shared" si="15"/>
        <v>0.20100000000000001</v>
      </c>
      <c r="P24" s="6">
        <v>90</v>
      </c>
      <c r="Q24" s="137">
        <v>89.25</v>
      </c>
      <c r="R24" s="151">
        <v>2660.95</v>
      </c>
      <c r="S24" s="80">
        <v>110</v>
      </c>
      <c r="T24" s="6"/>
      <c r="U24" s="142">
        <v>100</v>
      </c>
      <c r="V24" s="6">
        <v>1.1023000000000001</v>
      </c>
      <c r="W24" s="6"/>
      <c r="X24" s="6"/>
      <c r="Y24" s="6"/>
      <c r="Z24" s="143">
        <f t="shared" ref="Z24:Z29" si="16">IF(IF(D24="UNTUCA",IF(+((W24-3)*1.5+(X24-3)*3.1)&gt;0,+((W24-3)*1.5+(X24-3)*3.1),0),IF(+((W24-3)*1.5+(X24-3)*3.1)&gt;0,+((W24-3)*1.5+(X24-3)*3.1),0))&lt;30,30,IF(D24="UNTUCA",IF(+((W24-3)*1.5+(X24-3)*3.1)&gt;0,+((W24-3)*1.5+(X24-3)*3.1),0),IF(+((W24-3)*1.5+(X24-3)*3.1)&gt;0,+((W24-3)*1.5+(X24-3)*3.1),0)))</f>
        <v>30</v>
      </c>
      <c r="AA24" s="144">
        <f t="shared" si="3"/>
        <v>30</v>
      </c>
      <c r="AB24" s="145">
        <f t="shared" si="13"/>
        <v>356.34697496649994</v>
      </c>
      <c r="AC24" s="145">
        <f>+(S24-T24)*V24-'data 1'!$F$4</f>
        <v>41.253</v>
      </c>
      <c r="AD24" s="145">
        <f t="shared" si="5"/>
        <v>-4.5519829858124998</v>
      </c>
      <c r="AE24" s="145">
        <f>+(Y24*V24-'data 2'!$B$2)+V24*(Z24-IF(D24="UNTUCA",IF(+((W24-3)*2.5+(X24-3)*3.1)&gt;0,+((W24-3)*1.5+(X24-3)*3.1),0),IF(+((W24-3)*1.5+(X24-3)*3.1)&gt;0,+((W24-3)*1.5+(X24-3)*3.1),0)))</f>
        <v>-56.930999999999997</v>
      </c>
      <c r="AF24" s="145">
        <f t="shared" si="6"/>
        <v>35.272575136574964</v>
      </c>
      <c r="AG24" s="925">
        <f t="shared" ref="AG24:AG29" si="17">+IF(D24="RONALD WILLIAN GARIBAY ESCUDERO",AC24+AD24+AE24+AF24+80,AC24+AD24+AE24+AF24)</f>
        <v>15.042592150762466</v>
      </c>
      <c r="AH24" s="146">
        <f t="shared" si="8"/>
        <v>173.28868478637287</v>
      </c>
      <c r="AI24" s="147">
        <f t="shared" si="14"/>
        <v>33.641872888312534</v>
      </c>
      <c r="AJ24" s="147">
        <f t="shared" si="10"/>
        <v>163.36615505363744</v>
      </c>
      <c r="AK24" s="88"/>
      <c r="AL24" s="148">
        <f t="shared" si="11"/>
        <v>9386.1508128596106</v>
      </c>
    </row>
    <row r="25" spans="1:38" ht="15.75" customHeight="1">
      <c r="A25" s="165" t="s">
        <v>233</v>
      </c>
      <c r="B25" s="135">
        <v>45570</v>
      </c>
      <c r="C25" s="135">
        <v>45567</v>
      </c>
      <c r="D25" s="142" t="s">
        <v>93</v>
      </c>
      <c r="E25" s="142">
        <v>20169040231</v>
      </c>
      <c r="F25" s="142" t="s">
        <v>234</v>
      </c>
      <c r="G25" s="132">
        <v>106</v>
      </c>
      <c r="H25" s="142" t="s">
        <v>69</v>
      </c>
      <c r="I25" s="143">
        <v>9.51</v>
      </c>
      <c r="J25" s="143">
        <v>1</v>
      </c>
      <c r="K25" s="138">
        <f t="shared" si="0"/>
        <v>9.4148999999999994</v>
      </c>
      <c r="L25" s="141">
        <v>0.74199999999999999</v>
      </c>
      <c r="M25" s="141">
        <v>0.70499999999999996</v>
      </c>
      <c r="N25" s="153">
        <v>0.80500000000000005</v>
      </c>
      <c r="O25" s="141">
        <f t="shared" si="15"/>
        <v>0.755</v>
      </c>
      <c r="P25" s="142">
        <v>90</v>
      </c>
      <c r="Q25" s="143">
        <v>89.63</v>
      </c>
      <c r="R25" s="151">
        <v>2646.66</v>
      </c>
      <c r="S25" s="132">
        <v>210</v>
      </c>
      <c r="T25" s="142"/>
      <c r="U25" s="142">
        <v>130</v>
      </c>
      <c r="V25" s="142">
        <v>1.1023000000000001</v>
      </c>
      <c r="W25" s="142"/>
      <c r="X25" s="142"/>
      <c r="Y25" s="142">
        <v>50</v>
      </c>
      <c r="Z25" s="143">
        <f t="shared" si="16"/>
        <v>30</v>
      </c>
      <c r="AA25" s="144">
        <f t="shared" si="3"/>
        <v>80</v>
      </c>
      <c r="AB25" s="145">
        <f t="shared" si="13"/>
        <v>1565.3436790809999</v>
      </c>
      <c r="AC25" s="145">
        <f>+(S25-T25)*V25-'data 1'!$F$4</f>
        <v>151.483</v>
      </c>
      <c r="AD25" s="145">
        <f t="shared" si="5"/>
        <v>-7.6160534486372935</v>
      </c>
      <c r="AE25" s="145">
        <f>+(Y25*V25-'data 2'!$B$2)+V25*(Z25-IF(D25="UNTUCA",IF(+((W25-3)*2.5+(X25-3)*3.1)&gt;0,+((W25-3)*1.5+(X25-3)*3.1),0),IF(+((W25-3)*1.5+(X25-3)*3.1)&gt;0,+((W25-3)*1.5+(X25-3)*3.1),0)))</f>
        <v>-1.8159999999999954</v>
      </c>
      <c r="AF25" s="145">
        <f t="shared" si="6"/>
        <v>-32.323702621904232</v>
      </c>
      <c r="AG25" s="925">
        <f t="shared" si="17"/>
        <v>109.72724392945847</v>
      </c>
      <c r="AH25" s="146">
        <f t="shared" si="8"/>
        <v>214.67530199314078</v>
      </c>
      <c r="AI25" s="156">
        <f t="shared" si="14"/>
        <v>149.06645666583728</v>
      </c>
      <c r="AJ25" s="156">
        <f t="shared" si="10"/>
        <v>219.3381832173466</v>
      </c>
      <c r="AK25" s="133"/>
      <c r="AL25" s="148">
        <f t="shared" si="11"/>
        <v>14737.554204179705</v>
      </c>
    </row>
    <row r="26" spans="1:38" ht="15.75" customHeight="1">
      <c r="A26" s="165" t="s">
        <v>235</v>
      </c>
      <c r="B26" s="135">
        <v>45570</v>
      </c>
      <c r="C26" s="135">
        <v>45567</v>
      </c>
      <c r="D26" s="142" t="s">
        <v>93</v>
      </c>
      <c r="E26" s="142">
        <v>20169040231</v>
      </c>
      <c r="F26" s="142" t="s">
        <v>234</v>
      </c>
      <c r="G26" s="132">
        <v>50</v>
      </c>
      <c r="H26" s="142" t="s">
        <v>69</v>
      </c>
      <c r="I26" s="143">
        <v>4.45</v>
      </c>
      <c r="J26" s="143">
        <v>1</v>
      </c>
      <c r="K26" s="138">
        <f t="shared" si="0"/>
        <v>4.4055</v>
      </c>
      <c r="L26" s="141">
        <v>0.622</v>
      </c>
      <c r="M26" s="141">
        <v>0.59</v>
      </c>
      <c r="N26" s="153">
        <v>0.63800000000000001</v>
      </c>
      <c r="O26" s="141">
        <f t="shared" si="15"/>
        <v>0.61399999999999999</v>
      </c>
      <c r="P26" s="142">
        <v>90</v>
      </c>
      <c r="Q26" s="143">
        <v>89.49</v>
      </c>
      <c r="R26" s="151">
        <v>2646.66</v>
      </c>
      <c r="S26" s="132">
        <v>190</v>
      </c>
      <c r="T26" s="142"/>
      <c r="U26" s="142">
        <v>130</v>
      </c>
      <c r="V26" s="142">
        <v>1.1023000000000001</v>
      </c>
      <c r="W26" s="142"/>
      <c r="X26" s="142"/>
      <c r="Y26" s="142">
        <v>50</v>
      </c>
      <c r="Z26" s="143">
        <f t="shared" si="16"/>
        <v>30</v>
      </c>
      <c r="AA26" s="144">
        <f t="shared" si="3"/>
        <v>80</v>
      </c>
      <c r="AB26" s="145">
        <f t="shared" si="13"/>
        <v>1235.3545721268001</v>
      </c>
      <c r="AC26" s="145">
        <f>+(S26-T26)*V26-'data 1'!$F$4</f>
        <v>129.43700000000001</v>
      </c>
      <c r="AD26" s="145">
        <f t="shared" si="5"/>
        <v>-8.800045439559689</v>
      </c>
      <c r="AE26" s="145">
        <f>+(Y26*V26-'data 2'!$B$2)+V26*(Z26-IF(D26="UNTUCA",IF(+((W26-3)*2.5+(X26-3)*3.1)&gt;0,+((W26-3)*1.5+(X26-3)*3.1),0),IF(+((W26-3)*1.5+(X26-3)*3.1)&gt;0,+((W26-3)*1.5+(X26-3)*3.1),0)))</f>
        <v>-1.8159999999999954</v>
      </c>
      <c r="AF26" s="145">
        <f t="shared" si="6"/>
        <v>19.860439225425615</v>
      </c>
      <c r="AG26" s="925">
        <f t="shared" si="17"/>
        <v>138.68139378586594</v>
      </c>
      <c r="AH26" s="146">
        <f t="shared" si="8"/>
        <v>84.075443639311572</v>
      </c>
      <c r="AI26" s="156">
        <f t="shared" si="14"/>
        <v>124.76349133995969</v>
      </c>
      <c r="AJ26" s="156">
        <f t="shared" si="10"/>
        <v>83.467067500192357</v>
      </c>
      <c r="AK26" s="133"/>
      <c r="AL26" s="148">
        <f t="shared" si="11"/>
        <v>5442.354567504618</v>
      </c>
    </row>
    <row r="27" spans="1:38" ht="15.75" customHeight="1">
      <c r="A27" s="165" t="s">
        <v>236</v>
      </c>
      <c r="B27" s="135">
        <v>45570</v>
      </c>
      <c r="C27" s="135">
        <v>45569</v>
      </c>
      <c r="D27" s="142" t="s">
        <v>93</v>
      </c>
      <c r="E27" s="142">
        <v>20169040232</v>
      </c>
      <c r="F27" s="142" t="s">
        <v>237</v>
      </c>
      <c r="G27" s="132">
        <v>93</v>
      </c>
      <c r="H27" s="142" t="s">
        <v>69</v>
      </c>
      <c r="I27" s="143">
        <v>8.5</v>
      </c>
      <c r="J27" s="143">
        <v>1.1000000000000001</v>
      </c>
      <c r="K27" s="138">
        <f t="shared" si="0"/>
        <v>8.4064999999999994</v>
      </c>
      <c r="L27" s="141">
        <v>0.40100000000000002</v>
      </c>
      <c r="M27" s="141">
        <v>0.38</v>
      </c>
      <c r="N27" s="157">
        <v>0.38</v>
      </c>
      <c r="O27" s="141">
        <f t="shared" si="15"/>
        <v>0.38</v>
      </c>
      <c r="P27" s="154">
        <v>90</v>
      </c>
      <c r="Q27" s="143">
        <v>89.15</v>
      </c>
      <c r="R27" s="151">
        <v>2650.05</v>
      </c>
      <c r="S27" s="132">
        <v>130</v>
      </c>
      <c r="T27" s="142"/>
      <c r="U27" s="142">
        <v>130</v>
      </c>
      <c r="V27" s="142">
        <v>1.1023000000000001</v>
      </c>
      <c r="W27" s="142"/>
      <c r="X27" s="142"/>
      <c r="Y27" s="142">
        <v>30</v>
      </c>
      <c r="Z27" s="143">
        <f t="shared" si="16"/>
        <v>30</v>
      </c>
      <c r="AA27" s="144">
        <f t="shared" si="3"/>
        <v>60</v>
      </c>
      <c r="AB27" s="145">
        <f t="shared" si="13"/>
        <v>740.58808133000014</v>
      </c>
      <c r="AC27" s="145">
        <f>+(S27-T27)*V27-'data 1'!$F$4</f>
        <v>63.299000000000007</v>
      </c>
      <c r="AD27" s="145">
        <f t="shared" si="5"/>
        <v>-9.4683055254774384</v>
      </c>
      <c r="AE27" s="145">
        <f>+(Y27*V27-'data 2'!$B$2)+V27*(Z27-IF(D27="UNTUCA",IF(+((W27-3)*2.5+(X27-3)*3.1)&gt;0,+((W27-3)*1.5+(X27-3)*3.1),0),IF(+((W27-3)*1.5+(X27-3)*3.1)&gt;0,+((W27-3)*1.5+(X27-3)*3.1),0)))</f>
        <v>-23.861999999999995</v>
      </c>
      <c r="AF27" s="145">
        <f t="shared" si="6"/>
        <v>52.00553964947256</v>
      </c>
      <c r="AG27" s="925">
        <f t="shared" si="17"/>
        <v>81.974234123995132</v>
      </c>
      <c r="AH27" s="146">
        <f t="shared" si="8"/>
        <v>103.03624111365674</v>
      </c>
      <c r="AI27" s="156">
        <f t="shared" si="14"/>
        <v>78.79287294597745</v>
      </c>
      <c r="AJ27" s="156">
        <f t="shared" si="10"/>
        <v>98.571279207675147</v>
      </c>
      <c r="AK27" s="133"/>
      <c r="AL27" s="148">
        <f t="shared" si="11"/>
        <v>6225.7537057006457</v>
      </c>
    </row>
    <row r="28" spans="1:38" ht="15.75" customHeight="1">
      <c r="A28" s="165" t="s">
        <v>238</v>
      </c>
      <c r="B28" s="135">
        <v>45570</v>
      </c>
      <c r="C28" s="135">
        <v>45569</v>
      </c>
      <c r="D28" s="142" t="s">
        <v>93</v>
      </c>
      <c r="E28" s="142">
        <v>20169040233</v>
      </c>
      <c r="F28" s="142" t="s">
        <v>237</v>
      </c>
      <c r="G28" s="132">
        <v>100</v>
      </c>
      <c r="H28" s="142" t="s">
        <v>69</v>
      </c>
      <c r="I28" s="143">
        <v>9.27</v>
      </c>
      <c r="J28" s="143">
        <v>1.2</v>
      </c>
      <c r="K28" s="138">
        <f t="shared" si="0"/>
        <v>9.1587599999999991</v>
      </c>
      <c r="L28" s="141">
        <v>0.36699999999999999</v>
      </c>
      <c r="M28" s="141">
        <v>0.34899999999999998</v>
      </c>
      <c r="N28" s="157">
        <v>0.34899999999999998</v>
      </c>
      <c r="O28" s="141">
        <f t="shared" si="15"/>
        <v>0.34899999999999998</v>
      </c>
      <c r="P28" s="154">
        <v>90</v>
      </c>
      <c r="Q28" s="143">
        <v>89.46</v>
      </c>
      <c r="R28" s="167">
        <v>2650.05</v>
      </c>
      <c r="S28" s="132">
        <v>130</v>
      </c>
      <c r="T28" s="142"/>
      <c r="U28" s="142">
        <v>130</v>
      </c>
      <c r="V28" s="142">
        <v>1.1023000000000001</v>
      </c>
      <c r="W28" s="142"/>
      <c r="X28" s="142"/>
      <c r="Y28" s="142">
        <v>30</v>
      </c>
      <c r="Z28" s="143">
        <f t="shared" si="16"/>
        <v>30</v>
      </c>
      <c r="AA28" s="144">
        <f t="shared" si="3"/>
        <v>60</v>
      </c>
      <c r="AB28" s="145">
        <f t="shared" si="13"/>
        <v>663.08603522149997</v>
      </c>
      <c r="AC28" s="145">
        <f>+(S28-T28)*V28-'data 1'!$F$4</f>
        <v>63.299000000000007</v>
      </c>
      <c r="AD28" s="145">
        <f t="shared" si="5"/>
        <v>-5.5051453397070649</v>
      </c>
      <c r="AE28" s="145">
        <f>+(Y28*V28-'data 2'!$B$2)+V28*(Z28-IF(D28="UNTUCA",IF(+((W28-3)*2.5+(X28-3)*3.1)&gt;0,+((W28-3)*1.5+(X28-3)*3.1),0),IF(+((W28-3)*1.5+(X28-3)*3.1)&gt;0,+((W28-3)*1.5+(X28-3)*3.1),0)))</f>
        <v>-23.861999999999995</v>
      </c>
      <c r="AF28" s="145">
        <f t="shared" si="6"/>
        <v>44.731180934622046</v>
      </c>
      <c r="AG28" s="925">
        <f t="shared" si="17"/>
        <v>78.663035594914987</v>
      </c>
      <c r="AH28" s="146">
        <f t="shared" si="8"/>
        <v>103.09573663949328</v>
      </c>
      <c r="AI28" s="156">
        <f t="shared" si="14"/>
        <v>72.362935114406937</v>
      </c>
      <c r="AJ28" s="156">
        <f t="shared" si="10"/>
        <v>98.631056330306507</v>
      </c>
      <c r="AK28" s="133"/>
      <c r="AL28" s="148">
        <f t="shared" si="11"/>
        <v>6073.0458559452645</v>
      </c>
    </row>
    <row r="29" spans="1:38" ht="15.75" customHeight="1">
      <c r="A29" s="165" t="s">
        <v>239</v>
      </c>
      <c r="B29" s="135">
        <v>45570</v>
      </c>
      <c r="C29" s="135">
        <v>45569</v>
      </c>
      <c r="D29" s="142" t="s">
        <v>93</v>
      </c>
      <c r="E29" s="142">
        <v>20169040234</v>
      </c>
      <c r="F29" s="142" t="s">
        <v>237</v>
      </c>
      <c r="G29" s="132">
        <v>100</v>
      </c>
      <c r="H29" s="142" t="s">
        <v>69</v>
      </c>
      <c r="I29" s="143">
        <v>9.2899999999999991</v>
      </c>
      <c r="J29" s="143">
        <v>1</v>
      </c>
      <c r="K29" s="138">
        <f t="shared" si="0"/>
        <v>9.1970999999999989</v>
      </c>
      <c r="L29" s="141">
        <v>0.316</v>
      </c>
      <c r="M29" s="141">
        <v>0.3</v>
      </c>
      <c r="N29" s="157">
        <v>0.3</v>
      </c>
      <c r="O29" s="141">
        <f t="shared" si="15"/>
        <v>0.3</v>
      </c>
      <c r="P29" s="154">
        <v>90</v>
      </c>
      <c r="Q29" s="143">
        <v>89.65</v>
      </c>
      <c r="R29" s="167">
        <v>2650.05</v>
      </c>
      <c r="S29" s="132">
        <v>130</v>
      </c>
      <c r="T29" s="142"/>
      <c r="U29" s="142">
        <v>130</v>
      </c>
      <c r="V29" s="142">
        <v>1.1023000000000001</v>
      </c>
      <c r="W29" s="142"/>
      <c r="X29" s="142"/>
      <c r="Y29" s="142">
        <v>30</v>
      </c>
      <c r="Z29" s="143">
        <f t="shared" si="16"/>
        <v>30</v>
      </c>
      <c r="AA29" s="144">
        <f t="shared" si="3"/>
        <v>60</v>
      </c>
      <c r="AB29" s="145">
        <f t="shared" si="13"/>
        <v>540.58280105000017</v>
      </c>
      <c r="AC29" s="145">
        <f>+(S29-T29)*V29-'data 1'!$F$4</f>
        <v>63.299000000000007</v>
      </c>
      <c r="AD29" s="145">
        <f t="shared" si="5"/>
        <v>-3.0723033331899501</v>
      </c>
      <c r="AE29" s="145">
        <f>+(Y29*V29-'data 2'!$B$2)+V29*(Z29-IF(D29="UNTUCA",IF(+((W29-3)*2.5+(X29-3)*3.1)&gt;0,+((W29-3)*1.5+(X29-3)*3.1),0),IF(+((W29-3)*1.5+(X29-3)*3.1)&gt;0,+((W29-3)*1.5+(X29-3)*3.1),0)))</f>
        <v>-23.861999999999995</v>
      </c>
      <c r="AF29" s="145">
        <f t="shared" si="6"/>
        <v>39.845496393560047</v>
      </c>
      <c r="AG29" s="925">
        <f t="shared" si="17"/>
        <v>76.210193060370102</v>
      </c>
      <c r="AH29" s="146">
        <f t="shared" si="8"/>
        <v>89.330004194883145</v>
      </c>
      <c r="AI29" s="156">
        <f t="shared" si="14"/>
        <v>62.439381491189948</v>
      </c>
      <c r="AJ29" s="156">
        <f t="shared" si="10"/>
        <v>85.138058457356834</v>
      </c>
      <c r="AK29" s="133"/>
      <c r="AL29" s="148">
        <f t="shared" si="11"/>
        <v>4971.7940795369559</v>
      </c>
    </row>
    <row r="30" spans="1:38" ht="15.75" customHeight="1">
      <c r="A30" s="6"/>
      <c r="B30" s="6"/>
      <c r="C30" s="6"/>
      <c r="D30" s="6"/>
      <c r="E30" s="6"/>
      <c r="F30" s="6"/>
      <c r="G30" s="80"/>
      <c r="H30" s="6"/>
      <c r="I30" s="6"/>
      <c r="J30" s="6"/>
      <c r="K30" s="6"/>
      <c r="L30" s="139"/>
      <c r="M30" s="139"/>
      <c r="N30" s="139"/>
      <c r="O30" s="139"/>
      <c r="P30" s="6"/>
      <c r="Q30" s="6"/>
      <c r="R30" s="6"/>
      <c r="S30" s="80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929"/>
      <c r="AH30" s="80"/>
      <c r="AI30" s="80"/>
      <c r="AJ30" s="80"/>
      <c r="AK30" s="88"/>
      <c r="AL30" s="148"/>
    </row>
    <row r="31" spans="1:38" ht="15.75" customHeight="1">
      <c r="A31" s="6"/>
      <c r="B31" s="6"/>
      <c r="C31" s="6"/>
      <c r="D31" s="6"/>
      <c r="E31" s="6"/>
      <c r="F31" s="6"/>
      <c r="G31" s="80"/>
      <c r="H31" s="6"/>
      <c r="I31" s="6"/>
      <c r="J31" s="6"/>
      <c r="K31" s="6"/>
      <c r="L31" s="139"/>
      <c r="M31" s="139"/>
      <c r="N31" s="139"/>
      <c r="O31" s="139"/>
      <c r="P31" s="6"/>
      <c r="Q31" s="6"/>
      <c r="R31" s="6"/>
      <c r="S31" s="80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929"/>
      <c r="AH31" s="80"/>
      <c r="AI31" s="80"/>
      <c r="AJ31" s="80"/>
      <c r="AK31" s="88"/>
      <c r="AL31" s="148"/>
    </row>
    <row r="32" spans="1:38" ht="15.75" customHeight="1">
      <c r="A32" s="6"/>
      <c r="B32" s="6"/>
      <c r="C32" s="6"/>
      <c r="D32" s="6"/>
      <c r="E32" s="6"/>
      <c r="F32" s="6"/>
      <c r="G32" s="80"/>
      <c r="H32" s="6"/>
      <c r="I32" s="6"/>
      <c r="J32" s="6"/>
      <c r="K32" s="6"/>
      <c r="L32" s="139"/>
      <c r="M32" s="139"/>
      <c r="N32" s="139"/>
      <c r="O32" s="139"/>
      <c r="P32" s="6"/>
      <c r="Q32" s="6"/>
      <c r="R32" s="6"/>
      <c r="S32" s="80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929"/>
      <c r="AH32" s="80"/>
      <c r="AI32" s="80"/>
      <c r="AJ32" s="80"/>
      <c r="AK32" s="88"/>
      <c r="AL32" s="148"/>
    </row>
    <row r="33" spans="1:38" ht="15.75" customHeight="1">
      <c r="A33" s="6"/>
      <c r="B33" s="6"/>
      <c r="C33" s="6"/>
      <c r="D33" s="6"/>
      <c r="E33" s="6"/>
      <c r="F33" s="6"/>
      <c r="G33" s="80"/>
      <c r="H33" s="6"/>
      <c r="I33" s="6"/>
      <c r="J33" s="6"/>
      <c r="K33" s="6"/>
      <c r="L33" s="139"/>
      <c r="M33" s="139"/>
      <c r="N33" s="139"/>
      <c r="O33" s="139"/>
      <c r="P33" s="6"/>
      <c r="Q33" s="6"/>
      <c r="R33" s="6"/>
      <c r="S33" s="80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929"/>
      <c r="AH33" s="80"/>
      <c r="AI33" s="80"/>
      <c r="AJ33" s="80"/>
      <c r="AK33" s="88"/>
      <c r="AL33" s="148"/>
    </row>
    <row r="34" spans="1:38" ht="15.75" customHeight="1">
      <c r="A34" s="6"/>
      <c r="B34" s="6"/>
      <c r="C34" s="6"/>
      <c r="D34" s="6"/>
      <c r="E34" s="6"/>
      <c r="F34" s="6"/>
      <c r="G34" s="80"/>
      <c r="H34" s="6"/>
      <c r="I34" s="6"/>
      <c r="J34" s="6"/>
      <c r="K34" s="6"/>
      <c r="L34" s="139"/>
      <c r="M34" s="139"/>
      <c r="N34" s="139"/>
      <c r="O34" s="139"/>
      <c r="P34" s="6"/>
      <c r="Q34" s="6"/>
      <c r="R34" s="6"/>
      <c r="S34" s="80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929"/>
      <c r="AH34" s="80"/>
      <c r="AI34" s="80"/>
      <c r="AJ34" s="80"/>
      <c r="AK34" s="88"/>
      <c r="AL34" s="148"/>
    </row>
    <row r="35" spans="1:38" ht="15.75" customHeight="1">
      <c r="A35" s="6"/>
      <c r="B35" s="6"/>
      <c r="C35" s="6"/>
      <c r="D35" s="6"/>
      <c r="E35" s="6"/>
      <c r="F35" s="6"/>
      <c r="G35" s="80"/>
      <c r="H35" s="6"/>
      <c r="I35" s="6"/>
      <c r="J35" s="6"/>
      <c r="K35" s="6"/>
      <c r="L35" s="139"/>
      <c r="M35" s="139"/>
      <c r="N35" s="139"/>
      <c r="O35" s="139"/>
      <c r="P35" s="6"/>
      <c r="Q35" s="6"/>
      <c r="R35" s="6"/>
      <c r="S35" s="80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929"/>
      <c r="AH35" s="80"/>
      <c r="AI35" s="80"/>
      <c r="AJ35" s="80"/>
      <c r="AK35" s="88"/>
      <c r="AL35" s="148"/>
    </row>
    <row r="36" spans="1:38" ht="15.75" customHeight="1">
      <c r="A36" s="6"/>
      <c r="B36" s="6"/>
      <c r="C36" s="6"/>
      <c r="D36" s="6"/>
      <c r="E36" s="6"/>
      <c r="F36" s="6"/>
      <c r="G36" s="80"/>
      <c r="H36" s="6"/>
      <c r="I36" s="6"/>
      <c r="J36" s="6"/>
      <c r="K36" s="6"/>
      <c r="L36" s="139"/>
      <c r="M36" s="139"/>
      <c r="N36" s="139"/>
      <c r="O36" s="139"/>
      <c r="P36" s="6"/>
      <c r="Q36" s="6"/>
      <c r="R36" s="6"/>
      <c r="S36" s="80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929"/>
      <c r="AH36" s="80"/>
      <c r="AI36" s="80"/>
      <c r="AJ36" s="80"/>
      <c r="AK36" s="88"/>
      <c r="AL36" s="148"/>
    </row>
    <row r="37" spans="1:38" ht="15.75" customHeight="1">
      <c r="A37" s="6"/>
      <c r="B37" s="6"/>
      <c r="C37" s="6"/>
      <c r="D37" s="6"/>
      <c r="E37" s="6"/>
      <c r="F37" s="6"/>
      <c r="G37" s="80"/>
      <c r="H37" s="6"/>
      <c r="I37" s="6"/>
      <c r="J37" s="6"/>
      <c r="K37" s="6"/>
      <c r="L37" s="139"/>
      <c r="M37" s="139"/>
      <c r="N37" s="139"/>
      <c r="O37" s="139"/>
      <c r="P37" s="6"/>
      <c r="Q37" s="6"/>
      <c r="R37" s="6"/>
      <c r="S37" s="80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929"/>
      <c r="AH37" s="80"/>
      <c r="AI37" s="80"/>
      <c r="AJ37" s="80"/>
      <c r="AK37" s="88"/>
      <c r="AL37" s="148"/>
    </row>
    <row r="38" spans="1:38" ht="15.75" customHeight="1">
      <c r="A38" s="6"/>
      <c r="B38" s="6"/>
      <c r="C38" s="6"/>
      <c r="D38" s="6"/>
      <c r="E38" s="6"/>
      <c r="F38" s="6"/>
      <c r="G38" s="80"/>
      <c r="H38" s="6"/>
      <c r="I38" s="6"/>
      <c r="J38" s="6"/>
      <c r="K38" s="6"/>
      <c r="L38" s="139"/>
      <c r="M38" s="139"/>
      <c r="N38" s="139"/>
      <c r="O38" s="139"/>
      <c r="P38" s="6"/>
      <c r="Q38" s="6"/>
      <c r="R38" s="6"/>
      <c r="S38" s="80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929"/>
      <c r="AH38" s="80"/>
      <c r="AI38" s="80"/>
      <c r="AJ38" s="80"/>
      <c r="AK38" s="88"/>
      <c r="AL38" s="148"/>
    </row>
    <row r="39" spans="1:38" ht="15.75" customHeight="1">
      <c r="A39" s="6"/>
      <c r="B39" s="6"/>
      <c r="C39" s="6"/>
      <c r="D39" s="6"/>
      <c r="E39" s="6"/>
      <c r="F39" s="6"/>
      <c r="G39" s="80"/>
      <c r="H39" s="6"/>
      <c r="I39" s="6"/>
      <c r="J39" s="6"/>
      <c r="K39" s="6"/>
      <c r="L39" s="139"/>
      <c r="M39" s="139"/>
      <c r="N39" s="139"/>
      <c r="O39" s="139"/>
      <c r="P39" s="6"/>
      <c r="Q39" s="6"/>
      <c r="R39" s="6"/>
      <c r="S39" s="80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929"/>
      <c r="AH39" s="80"/>
      <c r="AI39" s="80"/>
      <c r="AJ39" s="80"/>
      <c r="AK39" s="88"/>
      <c r="AL39" s="148"/>
    </row>
    <row r="40" spans="1:38" ht="15.75" customHeight="1">
      <c r="A40" s="6"/>
      <c r="B40" s="6"/>
      <c r="C40" s="6"/>
      <c r="D40" s="6"/>
      <c r="E40" s="6"/>
      <c r="F40" s="6"/>
      <c r="G40" s="80"/>
      <c r="H40" s="6"/>
      <c r="I40" s="6"/>
      <c r="J40" s="6"/>
      <c r="K40" s="6"/>
      <c r="L40" s="139"/>
      <c r="M40" s="139"/>
      <c r="N40" s="139"/>
      <c r="O40" s="139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929"/>
      <c r="AH40" s="80"/>
      <c r="AI40" s="80"/>
      <c r="AJ40" s="80"/>
      <c r="AK40" s="88"/>
      <c r="AL40" s="148"/>
    </row>
    <row r="41" spans="1:38" ht="15.75" customHeight="1">
      <c r="A41" s="6"/>
      <c r="B41" s="6"/>
      <c r="C41" s="6"/>
      <c r="D41" s="6"/>
      <c r="E41" s="6"/>
      <c r="F41" s="6"/>
      <c r="G41" s="80"/>
      <c r="H41" s="6"/>
      <c r="I41" s="6"/>
      <c r="J41" s="6"/>
      <c r="K41" s="6"/>
      <c r="L41" s="139"/>
      <c r="M41" s="139"/>
      <c r="N41" s="139"/>
      <c r="O41" s="139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929"/>
      <c r="AH41" s="80"/>
      <c r="AI41" s="80"/>
      <c r="AJ41" s="80"/>
      <c r="AK41" s="88"/>
      <c r="AL41" s="148"/>
    </row>
    <row r="42" spans="1:38" ht="15.75" customHeight="1">
      <c r="A42" s="6"/>
      <c r="B42" s="6"/>
      <c r="C42" s="6"/>
      <c r="D42" s="6"/>
      <c r="E42" s="6"/>
      <c r="F42" s="6"/>
      <c r="G42" s="80"/>
      <c r="H42" s="6"/>
      <c r="I42" s="6"/>
      <c r="J42" s="6"/>
      <c r="K42" s="6"/>
      <c r="L42" s="139"/>
      <c r="M42" s="139"/>
      <c r="N42" s="139"/>
      <c r="O42" s="139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929"/>
      <c r="AH42" s="80"/>
      <c r="AI42" s="80"/>
      <c r="AJ42" s="80"/>
      <c r="AK42" s="88"/>
      <c r="AL42" s="148"/>
    </row>
    <row r="43" spans="1:38" ht="15.75" customHeight="1">
      <c r="A43" s="6"/>
      <c r="B43" s="6"/>
      <c r="C43" s="6"/>
      <c r="D43" s="6"/>
      <c r="E43" s="6"/>
      <c r="F43" s="6"/>
      <c r="G43" s="80"/>
      <c r="H43" s="6"/>
      <c r="I43" s="6"/>
      <c r="J43" s="6"/>
      <c r="K43" s="6"/>
      <c r="L43" s="139"/>
      <c r="M43" s="139"/>
      <c r="N43" s="139"/>
      <c r="O43" s="139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929"/>
      <c r="AH43" s="80"/>
      <c r="AI43" s="80"/>
      <c r="AJ43" s="80"/>
      <c r="AK43" s="88"/>
      <c r="AL43" s="148"/>
    </row>
    <row r="44" spans="1:38" ht="15.75" customHeight="1">
      <c r="A44" s="6"/>
      <c r="B44" s="6"/>
      <c r="C44" s="6"/>
      <c r="D44" s="6"/>
      <c r="E44" s="6"/>
      <c r="F44" s="6"/>
      <c r="G44" s="80"/>
      <c r="H44" s="6"/>
      <c r="I44" s="6"/>
      <c r="J44" s="6"/>
      <c r="K44" s="6"/>
      <c r="L44" s="139"/>
      <c r="M44" s="139"/>
      <c r="N44" s="139"/>
      <c r="O44" s="139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929"/>
      <c r="AH44" s="80"/>
      <c r="AI44" s="80"/>
      <c r="AJ44" s="80"/>
      <c r="AK44" s="88"/>
      <c r="AL44" s="148"/>
    </row>
    <row r="45" spans="1:38" ht="15.75" customHeight="1">
      <c r="A45" s="6"/>
      <c r="B45" s="6"/>
      <c r="C45" s="6"/>
      <c r="D45" s="6"/>
      <c r="E45" s="6"/>
      <c r="F45" s="6"/>
      <c r="G45" s="80"/>
      <c r="H45" s="6"/>
      <c r="I45" s="6"/>
      <c r="J45" s="6"/>
      <c r="K45" s="6"/>
      <c r="L45" s="139"/>
      <c r="M45" s="139"/>
      <c r="N45" s="139"/>
      <c r="O45" s="139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929"/>
      <c r="AH45" s="80"/>
      <c r="AI45" s="80"/>
      <c r="AJ45" s="80"/>
      <c r="AK45" s="88"/>
      <c r="AL45" s="148"/>
    </row>
    <row r="46" spans="1:38" ht="15.75" customHeight="1">
      <c r="A46" s="6"/>
      <c r="B46" s="6"/>
      <c r="C46" s="6"/>
      <c r="D46" s="6"/>
      <c r="E46" s="6"/>
      <c r="F46" s="6"/>
      <c r="G46" s="80"/>
      <c r="H46" s="6"/>
      <c r="I46" s="6"/>
      <c r="J46" s="6"/>
      <c r="K46" s="6"/>
      <c r="L46" s="139"/>
      <c r="M46" s="139"/>
      <c r="N46" s="139"/>
      <c r="O46" s="139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929"/>
      <c r="AH46" s="80"/>
      <c r="AI46" s="80"/>
      <c r="AJ46" s="80"/>
      <c r="AK46" s="88"/>
      <c r="AL46" s="148"/>
    </row>
    <row r="47" spans="1:38" ht="15.75" customHeight="1">
      <c r="A47" s="6"/>
      <c r="B47" s="6"/>
      <c r="C47" s="6"/>
      <c r="D47" s="6"/>
      <c r="E47" s="6"/>
      <c r="F47" s="6"/>
      <c r="G47" s="80"/>
      <c r="H47" s="6"/>
      <c r="I47" s="6"/>
      <c r="J47" s="6"/>
      <c r="K47" s="6"/>
      <c r="L47" s="139"/>
      <c r="M47" s="139"/>
      <c r="N47" s="139"/>
      <c r="O47" s="139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929"/>
      <c r="AH47" s="80"/>
      <c r="AI47" s="80"/>
      <c r="AJ47" s="80"/>
      <c r="AK47" s="88"/>
      <c r="AL47" s="148"/>
    </row>
    <row r="48" spans="1:38" ht="15.75" customHeight="1">
      <c r="A48" s="6"/>
      <c r="B48" s="6"/>
      <c r="C48" s="6"/>
      <c r="D48" s="6"/>
      <c r="E48" s="6"/>
      <c r="F48" s="6"/>
      <c r="G48" s="80"/>
      <c r="H48" s="6"/>
      <c r="I48" s="6"/>
      <c r="J48" s="6"/>
      <c r="K48" s="6"/>
      <c r="L48" s="139"/>
      <c r="M48" s="139"/>
      <c r="N48" s="139"/>
      <c r="O48" s="139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929"/>
      <c r="AH48" s="80"/>
      <c r="AI48" s="80"/>
      <c r="AJ48" s="80"/>
      <c r="AK48" s="88"/>
      <c r="AL48" s="148"/>
    </row>
    <row r="49" spans="1:38" ht="15.75" customHeight="1">
      <c r="A49" s="6"/>
      <c r="B49" s="6"/>
      <c r="C49" s="6"/>
      <c r="D49" s="6"/>
      <c r="E49" s="6"/>
      <c r="F49" s="6"/>
      <c r="G49" s="80"/>
      <c r="H49" s="6"/>
      <c r="I49" s="6"/>
      <c r="J49" s="6"/>
      <c r="K49" s="6"/>
      <c r="L49" s="139"/>
      <c r="M49" s="139"/>
      <c r="N49" s="139"/>
      <c r="O49" s="139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929"/>
      <c r="AH49" s="80"/>
      <c r="AI49" s="80"/>
      <c r="AJ49" s="80"/>
      <c r="AK49" s="88"/>
      <c r="AL49" s="148"/>
    </row>
    <row r="50" spans="1:38" ht="15.75" customHeight="1">
      <c r="A50" s="6"/>
      <c r="B50" s="6"/>
      <c r="C50" s="6"/>
      <c r="D50" s="6"/>
      <c r="E50" s="6"/>
      <c r="F50" s="6"/>
      <c r="G50" s="80"/>
      <c r="H50" s="6"/>
      <c r="I50" s="6"/>
      <c r="J50" s="6"/>
      <c r="K50" s="6"/>
      <c r="L50" s="139"/>
      <c r="M50" s="139"/>
      <c r="N50" s="139"/>
      <c r="O50" s="139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929"/>
      <c r="AH50" s="80"/>
      <c r="AI50" s="80"/>
      <c r="AJ50" s="80"/>
      <c r="AK50" s="88"/>
      <c r="AL50" s="148"/>
    </row>
    <row r="51" spans="1:38" ht="15.75" customHeight="1">
      <c r="A51" s="6"/>
      <c r="B51" s="6"/>
      <c r="C51" s="6"/>
      <c r="D51" s="6"/>
      <c r="E51" s="6"/>
      <c r="F51" s="6"/>
      <c r="G51" s="80"/>
      <c r="H51" s="6"/>
      <c r="I51" s="6"/>
      <c r="J51" s="6"/>
      <c r="K51" s="6"/>
      <c r="L51" s="139"/>
      <c r="M51" s="139"/>
      <c r="N51" s="139"/>
      <c r="O51" s="139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929"/>
      <c r="AH51" s="80"/>
      <c r="AI51" s="80"/>
      <c r="AJ51" s="80"/>
      <c r="AK51" s="88"/>
      <c r="AL51" s="148"/>
    </row>
    <row r="52" spans="1:38" ht="15.75" customHeight="1">
      <c r="A52" s="6"/>
      <c r="B52" s="6"/>
      <c r="C52" s="6"/>
      <c r="D52" s="6"/>
      <c r="E52" s="6"/>
      <c r="F52" s="6"/>
      <c r="G52" s="80"/>
      <c r="H52" s="6"/>
      <c r="I52" s="6"/>
      <c r="J52" s="6"/>
      <c r="K52" s="6"/>
      <c r="L52" s="139"/>
      <c r="M52" s="139"/>
      <c r="N52" s="139"/>
      <c r="O52" s="139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929"/>
      <c r="AH52" s="80"/>
      <c r="AI52" s="80"/>
      <c r="AJ52" s="80"/>
      <c r="AK52" s="88"/>
      <c r="AL52" s="148"/>
    </row>
    <row r="53" spans="1:38" ht="15.75" customHeight="1">
      <c r="A53" s="6"/>
      <c r="B53" s="6"/>
      <c r="C53" s="6"/>
      <c r="D53" s="6"/>
      <c r="E53" s="6"/>
      <c r="F53" s="6"/>
      <c r="G53" s="80"/>
      <c r="H53" s="6"/>
      <c r="I53" s="6"/>
      <c r="J53" s="6"/>
      <c r="K53" s="6"/>
      <c r="L53" s="139"/>
      <c r="M53" s="139"/>
      <c r="N53" s="139"/>
      <c r="O53" s="139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929"/>
      <c r="AH53" s="80"/>
      <c r="AI53" s="80"/>
      <c r="AJ53" s="80"/>
      <c r="AK53" s="88"/>
      <c r="AL53" s="148"/>
    </row>
    <row r="54" spans="1:38" ht="15.75" customHeight="1">
      <c r="A54" s="6"/>
      <c r="B54" s="6"/>
      <c r="C54" s="6"/>
      <c r="D54" s="6"/>
      <c r="E54" s="6"/>
      <c r="F54" s="6"/>
      <c r="G54" s="80"/>
      <c r="H54" s="6"/>
      <c r="I54" s="6"/>
      <c r="J54" s="6"/>
      <c r="K54" s="6"/>
      <c r="L54" s="139"/>
      <c r="M54" s="139"/>
      <c r="N54" s="139"/>
      <c r="O54" s="139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929"/>
      <c r="AH54" s="80"/>
      <c r="AI54" s="80"/>
      <c r="AJ54" s="80"/>
      <c r="AK54" s="88"/>
      <c r="AL54" s="148"/>
    </row>
    <row r="55" spans="1:38" ht="15.75" customHeight="1">
      <c r="A55" s="6"/>
      <c r="B55" s="6"/>
      <c r="C55" s="6"/>
      <c r="D55" s="6"/>
      <c r="E55" s="6"/>
      <c r="F55" s="6"/>
      <c r="G55" s="80"/>
      <c r="H55" s="6"/>
      <c r="I55" s="6"/>
      <c r="J55" s="6"/>
      <c r="K55" s="6"/>
      <c r="L55" s="139"/>
      <c r="M55" s="139"/>
      <c r="N55" s="139"/>
      <c r="O55" s="139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929"/>
      <c r="AH55" s="80"/>
      <c r="AI55" s="80"/>
      <c r="AJ55" s="80"/>
      <c r="AK55" s="88"/>
      <c r="AL55" s="148"/>
    </row>
    <row r="56" spans="1:38" ht="15.75" customHeight="1">
      <c r="A56" s="6"/>
      <c r="B56" s="6"/>
      <c r="C56" s="6"/>
      <c r="D56" s="6"/>
      <c r="E56" s="6"/>
      <c r="F56" s="6"/>
      <c r="G56" s="80"/>
      <c r="H56" s="6"/>
      <c r="I56" s="6"/>
      <c r="J56" s="6"/>
      <c r="K56" s="6"/>
      <c r="L56" s="139"/>
      <c r="M56" s="139"/>
      <c r="N56" s="139"/>
      <c r="O56" s="139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929"/>
      <c r="AH56" s="80"/>
      <c r="AI56" s="80"/>
      <c r="AJ56" s="80"/>
      <c r="AK56" s="88"/>
      <c r="AL56" s="148"/>
    </row>
    <row r="57" spans="1:38" ht="15.75" customHeight="1">
      <c r="A57" s="6"/>
      <c r="B57" s="6"/>
      <c r="C57" s="6"/>
      <c r="D57" s="6"/>
      <c r="E57" s="6"/>
      <c r="F57" s="6"/>
      <c r="G57" s="80"/>
      <c r="H57" s="6"/>
      <c r="I57" s="6"/>
      <c r="J57" s="6"/>
      <c r="K57" s="6"/>
      <c r="L57" s="139"/>
      <c r="M57" s="139"/>
      <c r="N57" s="139"/>
      <c r="O57" s="139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929"/>
      <c r="AH57" s="80"/>
      <c r="AI57" s="80"/>
      <c r="AJ57" s="80"/>
      <c r="AK57" s="88"/>
      <c r="AL57" s="148"/>
    </row>
    <row r="58" spans="1:38" ht="15.75" customHeight="1">
      <c r="A58" s="6"/>
      <c r="B58" s="6"/>
      <c r="C58" s="6"/>
      <c r="D58" s="6"/>
      <c r="E58" s="6"/>
      <c r="F58" s="6"/>
      <c r="G58" s="80"/>
      <c r="H58" s="6"/>
      <c r="I58" s="6"/>
      <c r="J58" s="6"/>
      <c r="K58" s="6"/>
      <c r="L58" s="139"/>
      <c r="M58" s="139"/>
      <c r="N58" s="139"/>
      <c r="O58" s="139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929"/>
      <c r="AH58" s="80"/>
      <c r="AI58" s="80"/>
      <c r="AJ58" s="80"/>
      <c r="AK58" s="88"/>
      <c r="AL58" s="148"/>
    </row>
    <row r="59" spans="1:38" ht="15.75" customHeight="1">
      <c r="A59" s="6"/>
      <c r="B59" s="6"/>
      <c r="C59" s="6"/>
      <c r="D59" s="6"/>
      <c r="E59" s="6"/>
      <c r="F59" s="6"/>
      <c r="G59" s="80"/>
      <c r="H59" s="6"/>
      <c r="I59" s="6"/>
      <c r="J59" s="6"/>
      <c r="K59" s="6"/>
      <c r="L59" s="139"/>
      <c r="M59" s="139"/>
      <c r="N59" s="139"/>
      <c r="O59" s="139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929"/>
      <c r="AH59" s="80"/>
      <c r="AI59" s="80"/>
      <c r="AJ59" s="80"/>
      <c r="AK59" s="88"/>
      <c r="AL59" s="148"/>
    </row>
    <row r="60" spans="1:38" ht="15.75" customHeight="1">
      <c r="A60" s="6"/>
      <c r="B60" s="6"/>
      <c r="C60" s="6"/>
      <c r="D60" s="6"/>
      <c r="E60" s="6"/>
      <c r="F60" s="6"/>
      <c r="G60" s="80"/>
      <c r="H60" s="6"/>
      <c r="I60" s="6"/>
      <c r="J60" s="6"/>
      <c r="K60" s="6"/>
      <c r="L60" s="139"/>
      <c r="M60" s="139"/>
      <c r="N60" s="139"/>
      <c r="O60" s="139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929"/>
      <c r="AH60" s="80"/>
      <c r="AI60" s="80"/>
      <c r="AJ60" s="80"/>
      <c r="AK60" s="88"/>
      <c r="AL60" s="148"/>
    </row>
    <row r="61" spans="1:38" ht="15.75" customHeight="1">
      <c r="A61" s="6"/>
      <c r="B61" s="6"/>
      <c r="C61" s="6"/>
      <c r="D61" s="6"/>
      <c r="E61" s="6"/>
      <c r="F61" s="6"/>
      <c r="G61" s="80"/>
      <c r="H61" s="6"/>
      <c r="I61" s="6"/>
      <c r="J61" s="6"/>
      <c r="K61" s="6"/>
      <c r="L61" s="139"/>
      <c r="M61" s="139"/>
      <c r="N61" s="139"/>
      <c r="O61" s="139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929"/>
      <c r="AH61" s="80"/>
      <c r="AI61" s="80"/>
      <c r="AJ61" s="80"/>
      <c r="AK61" s="88"/>
      <c r="AL61" s="148"/>
    </row>
    <row r="62" spans="1:38" ht="15.75" customHeight="1">
      <c r="A62" s="6"/>
      <c r="B62" s="6"/>
      <c r="C62" s="6"/>
      <c r="D62" s="6"/>
      <c r="E62" s="6"/>
      <c r="F62" s="6"/>
      <c r="G62" s="80"/>
      <c r="H62" s="6"/>
      <c r="I62" s="6"/>
      <c r="J62" s="6"/>
      <c r="K62" s="6"/>
      <c r="L62" s="139"/>
      <c r="M62" s="139"/>
      <c r="N62" s="139"/>
      <c r="O62" s="139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929"/>
      <c r="AH62" s="80"/>
      <c r="AI62" s="80"/>
      <c r="AJ62" s="80"/>
      <c r="AK62" s="88"/>
      <c r="AL62" s="148"/>
    </row>
    <row r="63" spans="1:38" ht="15.75" customHeight="1">
      <c r="A63" s="6"/>
      <c r="B63" s="6"/>
      <c r="C63" s="6"/>
      <c r="D63" s="6"/>
      <c r="E63" s="6"/>
      <c r="F63" s="6"/>
      <c r="G63" s="80"/>
      <c r="H63" s="6"/>
      <c r="I63" s="6"/>
      <c r="J63" s="6"/>
      <c r="K63" s="6"/>
      <c r="L63" s="139"/>
      <c r="M63" s="139"/>
      <c r="N63" s="139"/>
      <c r="O63" s="139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929"/>
      <c r="AH63" s="80"/>
      <c r="AI63" s="80"/>
      <c r="AJ63" s="80"/>
      <c r="AK63" s="88"/>
      <c r="AL63" s="148"/>
    </row>
    <row r="64" spans="1:38" ht="15.75" customHeight="1">
      <c r="A64" s="6"/>
      <c r="B64" s="6"/>
      <c r="C64" s="6"/>
      <c r="D64" s="6"/>
      <c r="E64" s="6"/>
      <c r="F64" s="6"/>
      <c r="G64" s="80"/>
      <c r="H64" s="6"/>
      <c r="I64" s="6"/>
      <c r="J64" s="6"/>
      <c r="K64" s="6"/>
      <c r="L64" s="139"/>
      <c r="M64" s="139"/>
      <c r="N64" s="139"/>
      <c r="O64" s="139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929"/>
      <c r="AH64" s="80"/>
      <c r="AI64" s="80"/>
      <c r="AJ64" s="80"/>
      <c r="AK64" s="88"/>
      <c r="AL64" s="148"/>
    </row>
    <row r="65" spans="1:38" ht="15.75" customHeight="1">
      <c r="A65" s="6"/>
      <c r="B65" s="6"/>
      <c r="C65" s="6"/>
      <c r="D65" s="6"/>
      <c r="E65" s="6"/>
      <c r="F65" s="6"/>
      <c r="G65" s="80"/>
      <c r="H65" s="6"/>
      <c r="I65" s="6"/>
      <c r="J65" s="6"/>
      <c r="K65" s="6"/>
      <c r="L65" s="139"/>
      <c r="M65" s="139"/>
      <c r="N65" s="139"/>
      <c r="O65" s="139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929"/>
      <c r="AH65" s="80"/>
      <c r="AI65" s="80"/>
      <c r="AJ65" s="80"/>
      <c r="AK65" s="88"/>
      <c r="AL65" s="148"/>
    </row>
    <row r="66" spans="1:38" ht="15.75" customHeight="1">
      <c r="A66" s="6"/>
      <c r="B66" s="6"/>
      <c r="C66" s="6"/>
      <c r="D66" s="6"/>
      <c r="E66" s="6"/>
      <c r="F66" s="6"/>
      <c r="G66" s="80"/>
      <c r="H66" s="6"/>
      <c r="I66" s="6"/>
      <c r="J66" s="6"/>
      <c r="K66" s="6"/>
      <c r="L66" s="139"/>
      <c r="M66" s="139"/>
      <c r="N66" s="139"/>
      <c r="O66" s="139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929"/>
      <c r="AH66" s="80"/>
      <c r="AI66" s="80"/>
      <c r="AJ66" s="80"/>
      <c r="AK66" s="88"/>
      <c r="AL66" s="148"/>
    </row>
    <row r="67" spans="1:38" ht="15.75" customHeight="1">
      <c r="A67" s="6"/>
      <c r="B67" s="6"/>
      <c r="C67" s="6"/>
      <c r="D67" s="6"/>
      <c r="E67" s="6"/>
      <c r="F67" s="6"/>
      <c r="G67" s="80"/>
      <c r="H67" s="6"/>
      <c r="I67" s="6"/>
      <c r="J67" s="6"/>
      <c r="K67" s="6"/>
      <c r="L67" s="139"/>
      <c r="M67" s="139"/>
      <c r="N67" s="139"/>
      <c r="O67" s="139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929"/>
      <c r="AH67" s="80"/>
      <c r="AI67" s="80"/>
      <c r="AJ67" s="80"/>
      <c r="AK67" s="88"/>
      <c r="AL67" s="148"/>
    </row>
    <row r="68" spans="1:38" ht="15.75" customHeight="1">
      <c r="A68" s="6"/>
      <c r="B68" s="6"/>
      <c r="C68" s="6"/>
      <c r="D68" s="6"/>
      <c r="E68" s="6"/>
      <c r="F68" s="6"/>
      <c r="G68" s="80"/>
      <c r="H68" s="6"/>
      <c r="I68" s="6"/>
      <c r="J68" s="6"/>
      <c r="K68" s="6"/>
      <c r="L68" s="139"/>
      <c r="M68" s="139"/>
      <c r="N68" s="139"/>
      <c r="O68" s="139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929"/>
      <c r="AH68" s="80"/>
      <c r="AI68" s="80"/>
      <c r="AJ68" s="80"/>
      <c r="AK68" s="88"/>
      <c r="AL68" s="148"/>
    </row>
    <row r="69" spans="1:38" ht="15.75" customHeight="1">
      <c r="A69" s="6"/>
      <c r="B69" s="6"/>
      <c r="C69" s="6"/>
      <c r="D69" s="6"/>
      <c r="E69" s="6"/>
      <c r="F69" s="6"/>
      <c r="G69" s="80"/>
      <c r="H69" s="6"/>
      <c r="I69" s="6"/>
      <c r="J69" s="6"/>
      <c r="K69" s="6"/>
      <c r="L69" s="139"/>
      <c r="M69" s="139"/>
      <c r="N69" s="139"/>
      <c r="O69" s="139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929"/>
      <c r="AH69" s="80"/>
      <c r="AI69" s="80"/>
      <c r="AJ69" s="80"/>
      <c r="AK69" s="88"/>
      <c r="AL69" s="148"/>
    </row>
    <row r="70" spans="1:38" ht="15.75" customHeight="1">
      <c r="A70" s="6"/>
      <c r="B70" s="6"/>
      <c r="C70" s="6"/>
      <c r="D70" s="6"/>
      <c r="E70" s="6"/>
      <c r="F70" s="6"/>
      <c r="G70" s="80"/>
      <c r="H70" s="6"/>
      <c r="I70" s="6"/>
      <c r="J70" s="6"/>
      <c r="K70" s="6"/>
      <c r="L70" s="139"/>
      <c r="M70" s="139"/>
      <c r="N70" s="139"/>
      <c r="O70" s="139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929"/>
      <c r="AH70" s="80"/>
      <c r="AI70" s="80"/>
      <c r="AJ70" s="80"/>
      <c r="AK70" s="88"/>
      <c r="AL70" s="148"/>
    </row>
    <row r="71" spans="1:38" ht="15.75" customHeight="1">
      <c r="A71" s="6"/>
      <c r="B71" s="6"/>
      <c r="C71" s="6"/>
      <c r="D71" s="6"/>
      <c r="E71" s="6"/>
      <c r="F71" s="6"/>
      <c r="G71" s="80"/>
      <c r="H71" s="6"/>
      <c r="I71" s="6"/>
      <c r="J71" s="6"/>
      <c r="K71" s="6"/>
      <c r="L71" s="139"/>
      <c r="M71" s="139"/>
      <c r="N71" s="139"/>
      <c r="O71" s="139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929"/>
      <c r="AH71" s="80"/>
      <c r="AI71" s="80"/>
      <c r="AJ71" s="80"/>
      <c r="AK71" s="88"/>
      <c r="AL71" s="148"/>
    </row>
    <row r="72" spans="1:38" ht="15.75" customHeight="1">
      <c r="A72" s="6"/>
      <c r="B72" s="6"/>
      <c r="C72" s="6"/>
      <c r="D72" s="6"/>
      <c r="E72" s="6"/>
      <c r="F72" s="6"/>
      <c r="G72" s="80"/>
      <c r="H72" s="6"/>
      <c r="I72" s="6"/>
      <c r="J72" s="6"/>
      <c r="K72" s="6"/>
      <c r="L72" s="139"/>
      <c r="M72" s="139"/>
      <c r="N72" s="139"/>
      <c r="O72" s="139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929"/>
      <c r="AH72" s="80"/>
      <c r="AI72" s="80"/>
      <c r="AJ72" s="80"/>
      <c r="AK72" s="88"/>
      <c r="AL72" s="148"/>
    </row>
    <row r="73" spans="1:38" ht="15.75" customHeight="1">
      <c r="A73" s="6"/>
      <c r="B73" s="6"/>
      <c r="C73" s="6"/>
      <c r="D73" s="6"/>
      <c r="E73" s="6"/>
      <c r="F73" s="6"/>
      <c r="G73" s="80"/>
      <c r="H73" s="6"/>
      <c r="I73" s="6"/>
      <c r="J73" s="6"/>
      <c r="K73" s="6"/>
      <c r="L73" s="139"/>
      <c r="M73" s="139"/>
      <c r="N73" s="139"/>
      <c r="O73" s="139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929"/>
      <c r="AH73" s="80"/>
      <c r="AI73" s="80"/>
      <c r="AJ73" s="80"/>
      <c r="AK73" s="88"/>
      <c r="AL73" s="148"/>
    </row>
    <row r="74" spans="1:38" ht="15.75" customHeight="1">
      <c r="A74" s="6"/>
      <c r="B74" s="6"/>
      <c r="C74" s="6"/>
      <c r="D74" s="6"/>
      <c r="E74" s="6"/>
      <c r="F74" s="6"/>
      <c r="G74" s="80"/>
      <c r="H74" s="6"/>
      <c r="I74" s="6"/>
      <c r="J74" s="6"/>
      <c r="K74" s="6"/>
      <c r="L74" s="139"/>
      <c r="M74" s="139"/>
      <c r="N74" s="139"/>
      <c r="O74" s="139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929"/>
      <c r="AH74" s="80"/>
      <c r="AI74" s="80"/>
      <c r="AJ74" s="80"/>
      <c r="AK74" s="88"/>
      <c r="AL74" s="148"/>
    </row>
    <row r="75" spans="1:38" ht="15.75" customHeight="1">
      <c r="A75" s="6"/>
      <c r="B75" s="6"/>
      <c r="C75" s="6"/>
      <c r="D75" s="6"/>
      <c r="E75" s="6"/>
      <c r="F75" s="6"/>
      <c r="G75" s="80"/>
      <c r="H75" s="6"/>
      <c r="I75" s="6"/>
      <c r="J75" s="6"/>
      <c r="K75" s="6"/>
      <c r="L75" s="139"/>
      <c r="M75" s="139"/>
      <c r="N75" s="139"/>
      <c r="O75" s="139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929"/>
      <c r="AH75" s="80"/>
      <c r="AI75" s="80"/>
      <c r="AJ75" s="80"/>
      <c r="AK75" s="88"/>
      <c r="AL75" s="148"/>
    </row>
    <row r="76" spans="1:38" ht="15.75" customHeight="1">
      <c r="A76" s="6"/>
      <c r="B76" s="6"/>
      <c r="C76" s="6"/>
      <c r="D76" s="6"/>
      <c r="E76" s="6"/>
      <c r="F76" s="6"/>
      <c r="G76" s="80"/>
      <c r="H76" s="6"/>
      <c r="I76" s="6"/>
      <c r="J76" s="6"/>
      <c r="K76" s="6"/>
      <c r="L76" s="139"/>
      <c r="M76" s="139"/>
      <c r="N76" s="139"/>
      <c r="O76" s="139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929"/>
      <c r="AH76" s="80"/>
      <c r="AI76" s="80"/>
      <c r="AJ76" s="80"/>
      <c r="AK76" s="88"/>
      <c r="AL76" s="148"/>
    </row>
    <row r="77" spans="1:38" ht="15.75" customHeight="1">
      <c r="A77" s="6"/>
      <c r="B77" s="6"/>
      <c r="C77" s="6"/>
      <c r="D77" s="6"/>
      <c r="E77" s="6"/>
      <c r="F77" s="6"/>
      <c r="G77" s="80"/>
      <c r="H77" s="6"/>
      <c r="I77" s="6"/>
      <c r="J77" s="6"/>
      <c r="K77" s="6"/>
      <c r="L77" s="139"/>
      <c r="M77" s="139"/>
      <c r="N77" s="139"/>
      <c r="O77" s="139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929"/>
      <c r="AH77" s="80"/>
      <c r="AI77" s="80"/>
      <c r="AJ77" s="80"/>
      <c r="AK77" s="88"/>
      <c r="AL77" s="148"/>
    </row>
    <row r="78" spans="1:38" ht="15.75" customHeight="1">
      <c r="A78" s="6"/>
      <c r="B78" s="6"/>
      <c r="C78" s="6"/>
      <c r="D78" s="6"/>
      <c r="E78" s="6"/>
      <c r="F78" s="6"/>
      <c r="G78" s="80"/>
      <c r="H78" s="6"/>
      <c r="I78" s="6"/>
      <c r="J78" s="6"/>
      <c r="K78" s="6"/>
      <c r="L78" s="139"/>
      <c r="M78" s="139"/>
      <c r="N78" s="139"/>
      <c r="O78" s="139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929"/>
      <c r="AH78" s="80"/>
      <c r="AI78" s="80"/>
      <c r="AJ78" s="80"/>
      <c r="AK78" s="88"/>
      <c r="AL78" s="148"/>
    </row>
    <row r="79" spans="1:38" ht="15.75" customHeight="1">
      <c r="A79" s="6"/>
      <c r="B79" s="6"/>
      <c r="C79" s="6"/>
      <c r="D79" s="6"/>
      <c r="E79" s="6"/>
      <c r="F79" s="6"/>
      <c r="G79" s="80"/>
      <c r="H79" s="6"/>
      <c r="I79" s="6"/>
      <c r="J79" s="6"/>
      <c r="K79" s="6"/>
      <c r="L79" s="139"/>
      <c r="M79" s="139"/>
      <c r="N79" s="139"/>
      <c r="O79" s="139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929"/>
      <c r="AH79" s="80"/>
      <c r="AI79" s="80"/>
      <c r="AJ79" s="80"/>
      <c r="AK79" s="88"/>
      <c r="AL79" s="148"/>
    </row>
    <row r="80" spans="1:38" ht="15.75" customHeight="1">
      <c r="A80" s="6"/>
      <c r="B80" s="6"/>
      <c r="C80" s="6"/>
      <c r="D80" s="6"/>
      <c r="E80" s="6"/>
      <c r="F80" s="6"/>
      <c r="G80" s="80"/>
      <c r="H80" s="6"/>
      <c r="I80" s="6"/>
      <c r="J80" s="6"/>
      <c r="K80" s="6"/>
      <c r="L80" s="139"/>
      <c r="M80" s="139"/>
      <c r="N80" s="139"/>
      <c r="O80" s="139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929"/>
      <c r="AH80" s="80"/>
      <c r="AI80" s="80"/>
      <c r="AJ80" s="80"/>
      <c r="AK80" s="88"/>
      <c r="AL80" s="148"/>
    </row>
    <row r="81" spans="1:38" ht="15.75" customHeight="1">
      <c r="A81" s="6"/>
      <c r="B81" s="6"/>
      <c r="C81" s="6"/>
      <c r="D81" s="6"/>
      <c r="E81" s="6"/>
      <c r="F81" s="6"/>
      <c r="G81" s="80"/>
      <c r="H81" s="6"/>
      <c r="I81" s="6"/>
      <c r="J81" s="6"/>
      <c r="K81" s="6"/>
      <c r="L81" s="139"/>
      <c r="M81" s="139"/>
      <c r="N81" s="139"/>
      <c r="O81" s="139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929"/>
      <c r="AH81" s="80"/>
      <c r="AI81" s="80"/>
      <c r="AJ81" s="80"/>
      <c r="AK81" s="88"/>
      <c r="AL81" s="148"/>
    </row>
    <row r="82" spans="1:38" ht="15.75" customHeight="1">
      <c r="A82" s="6"/>
      <c r="B82" s="6"/>
      <c r="C82" s="6"/>
      <c r="D82" s="6"/>
      <c r="E82" s="6"/>
      <c r="F82" s="6"/>
      <c r="G82" s="80"/>
      <c r="H82" s="6"/>
      <c r="I82" s="6"/>
      <c r="J82" s="6"/>
      <c r="K82" s="6"/>
      <c r="L82" s="139"/>
      <c r="M82" s="139"/>
      <c r="N82" s="139"/>
      <c r="O82" s="139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929"/>
      <c r="AH82" s="80"/>
      <c r="AI82" s="80"/>
      <c r="AJ82" s="80"/>
      <c r="AK82" s="88"/>
      <c r="AL82" s="148"/>
    </row>
    <row r="83" spans="1:38" ht="15.75" customHeight="1">
      <c r="A83" s="6"/>
      <c r="B83" s="6"/>
      <c r="C83" s="6"/>
      <c r="D83" s="6"/>
      <c r="E83" s="6"/>
      <c r="F83" s="6"/>
      <c r="G83" s="80"/>
      <c r="H83" s="6"/>
      <c r="I83" s="6"/>
      <c r="J83" s="6"/>
      <c r="K83" s="6"/>
      <c r="L83" s="139"/>
      <c r="M83" s="139"/>
      <c r="N83" s="139"/>
      <c r="O83" s="139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929"/>
      <c r="AH83" s="80"/>
      <c r="AI83" s="80"/>
      <c r="AJ83" s="80"/>
      <c r="AK83" s="88"/>
      <c r="AL83" s="148"/>
    </row>
    <row r="84" spans="1:38" ht="15.75" customHeight="1">
      <c r="A84" s="6"/>
      <c r="B84" s="6"/>
      <c r="C84" s="6"/>
      <c r="D84" s="6"/>
      <c r="E84" s="6"/>
      <c r="F84" s="6"/>
      <c r="G84" s="80"/>
      <c r="H84" s="6"/>
      <c r="I84" s="6"/>
      <c r="J84" s="6"/>
      <c r="K84" s="6"/>
      <c r="L84" s="139"/>
      <c r="M84" s="139"/>
      <c r="N84" s="139"/>
      <c r="O84" s="139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929"/>
      <c r="AH84" s="80"/>
      <c r="AI84" s="80"/>
      <c r="AJ84" s="80"/>
      <c r="AK84" s="88"/>
      <c r="AL84" s="148"/>
    </row>
    <row r="85" spans="1:38" ht="15.75" customHeight="1">
      <c r="A85" s="6"/>
      <c r="B85" s="6"/>
      <c r="C85" s="6"/>
      <c r="D85" s="6"/>
      <c r="E85" s="6"/>
      <c r="F85" s="6"/>
      <c r="G85" s="80"/>
      <c r="H85" s="6"/>
      <c r="I85" s="6"/>
      <c r="J85" s="6"/>
      <c r="K85" s="6"/>
      <c r="L85" s="139"/>
      <c r="M85" s="139"/>
      <c r="N85" s="139"/>
      <c r="O85" s="139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929"/>
      <c r="AH85" s="80"/>
      <c r="AI85" s="80"/>
      <c r="AJ85" s="80"/>
      <c r="AK85" s="88"/>
      <c r="AL85" s="148"/>
    </row>
    <row r="86" spans="1:38" ht="15.75" customHeight="1">
      <c r="A86" s="6"/>
      <c r="B86" s="6"/>
      <c r="C86" s="6"/>
      <c r="D86" s="6"/>
      <c r="E86" s="6"/>
      <c r="F86" s="6"/>
      <c r="G86" s="80"/>
      <c r="H86" s="6"/>
      <c r="I86" s="6"/>
      <c r="J86" s="6"/>
      <c r="K86" s="6"/>
      <c r="L86" s="139"/>
      <c r="M86" s="139"/>
      <c r="N86" s="139"/>
      <c r="O86" s="139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929"/>
      <c r="AH86" s="80"/>
      <c r="AI86" s="80"/>
      <c r="AJ86" s="80"/>
      <c r="AK86" s="88"/>
      <c r="AL86" s="148"/>
    </row>
    <row r="87" spans="1:38" ht="15.75" customHeight="1">
      <c r="A87" s="6"/>
      <c r="B87" s="6"/>
      <c r="C87" s="6"/>
      <c r="D87" s="6"/>
      <c r="E87" s="6"/>
      <c r="F87" s="6"/>
      <c r="G87" s="80"/>
      <c r="H87" s="6"/>
      <c r="I87" s="6"/>
      <c r="J87" s="6"/>
      <c r="K87" s="6"/>
      <c r="L87" s="139"/>
      <c r="M87" s="139"/>
      <c r="N87" s="139"/>
      <c r="O87" s="139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929"/>
      <c r="AH87" s="80"/>
      <c r="AI87" s="80"/>
      <c r="AJ87" s="80"/>
      <c r="AK87" s="88"/>
      <c r="AL87" s="148"/>
    </row>
    <row r="88" spans="1:38" ht="15.75" customHeight="1">
      <c r="A88" s="6"/>
      <c r="B88" s="6"/>
      <c r="C88" s="6"/>
      <c r="D88" s="6"/>
      <c r="E88" s="6"/>
      <c r="F88" s="6"/>
      <c r="G88" s="80"/>
      <c r="H88" s="6"/>
      <c r="I88" s="6"/>
      <c r="J88" s="6"/>
      <c r="K88" s="6"/>
      <c r="L88" s="139"/>
      <c r="M88" s="139"/>
      <c r="N88" s="139"/>
      <c r="O88" s="139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929"/>
      <c r="AH88" s="80"/>
      <c r="AI88" s="80"/>
      <c r="AJ88" s="80"/>
      <c r="AK88" s="88"/>
      <c r="AL88" s="148"/>
    </row>
    <row r="89" spans="1:38" ht="15.75" customHeight="1">
      <c r="A89" s="6"/>
      <c r="B89" s="6"/>
      <c r="C89" s="6"/>
      <c r="D89" s="6"/>
      <c r="E89" s="6"/>
      <c r="F89" s="6"/>
      <c r="G89" s="80"/>
      <c r="H89" s="6"/>
      <c r="I89" s="6"/>
      <c r="J89" s="6"/>
      <c r="K89" s="6"/>
      <c r="L89" s="139"/>
      <c r="M89" s="139"/>
      <c r="N89" s="139"/>
      <c r="O89" s="139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929"/>
      <c r="AH89" s="80"/>
      <c r="AI89" s="80"/>
      <c r="AJ89" s="80"/>
      <c r="AK89" s="88"/>
      <c r="AL89" s="148"/>
    </row>
    <row r="90" spans="1:38" ht="15.75" customHeight="1">
      <c r="A90" s="6"/>
      <c r="B90" s="6"/>
      <c r="C90" s="6"/>
      <c r="D90" s="6"/>
      <c r="E90" s="6"/>
      <c r="F90" s="6"/>
      <c r="G90" s="80"/>
      <c r="H90" s="6"/>
      <c r="I90" s="6"/>
      <c r="J90" s="6"/>
      <c r="K90" s="6"/>
      <c r="L90" s="139"/>
      <c r="M90" s="139"/>
      <c r="N90" s="139"/>
      <c r="O90" s="139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929"/>
      <c r="AH90" s="80"/>
      <c r="AI90" s="80"/>
      <c r="AJ90" s="80"/>
      <c r="AK90" s="88"/>
      <c r="AL90" s="148"/>
    </row>
    <row r="91" spans="1:38" ht="15.75" customHeight="1">
      <c r="A91" s="6"/>
      <c r="B91" s="6"/>
      <c r="C91" s="6"/>
      <c r="D91" s="6"/>
      <c r="E91" s="6"/>
      <c r="F91" s="6"/>
      <c r="G91" s="80"/>
      <c r="H91" s="6"/>
      <c r="I91" s="6"/>
      <c r="J91" s="6"/>
      <c r="K91" s="6"/>
      <c r="L91" s="139"/>
      <c r="M91" s="139"/>
      <c r="N91" s="139"/>
      <c r="O91" s="139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929"/>
      <c r="AH91" s="80"/>
      <c r="AI91" s="80"/>
      <c r="AJ91" s="80"/>
      <c r="AK91" s="88"/>
      <c r="AL91" s="148"/>
    </row>
    <row r="92" spans="1:38" ht="15.75" customHeight="1">
      <c r="A92" s="6"/>
      <c r="B92" s="6"/>
      <c r="C92" s="6"/>
      <c r="D92" s="6"/>
      <c r="E92" s="6"/>
      <c r="F92" s="6"/>
      <c r="G92" s="80"/>
      <c r="H92" s="6"/>
      <c r="I92" s="6"/>
      <c r="J92" s="6"/>
      <c r="K92" s="6"/>
      <c r="L92" s="139"/>
      <c r="M92" s="139"/>
      <c r="N92" s="139"/>
      <c r="O92" s="139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929"/>
      <c r="AH92" s="80"/>
      <c r="AI92" s="80"/>
      <c r="AJ92" s="80"/>
      <c r="AK92" s="88"/>
      <c r="AL92" s="148"/>
    </row>
    <row r="93" spans="1:38" ht="15.75" customHeight="1">
      <c r="A93" s="6"/>
      <c r="B93" s="6"/>
      <c r="C93" s="6"/>
      <c r="D93" s="6"/>
      <c r="E93" s="6"/>
      <c r="F93" s="6"/>
      <c r="G93" s="80"/>
      <c r="H93" s="6"/>
      <c r="I93" s="6"/>
      <c r="J93" s="6"/>
      <c r="K93" s="6"/>
      <c r="L93" s="139"/>
      <c r="M93" s="139"/>
      <c r="N93" s="139"/>
      <c r="O93" s="139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929"/>
      <c r="AH93" s="80"/>
      <c r="AI93" s="80"/>
      <c r="AJ93" s="80"/>
      <c r="AK93" s="88"/>
      <c r="AL93" s="148"/>
    </row>
    <row r="94" spans="1:38" ht="15.75" customHeight="1">
      <c r="A94" s="6"/>
      <c r="B94" s="6"/>
      <c r="C94" s="6"/>
      <c r="D94" s="6"/>
      <c r="E94" s="6"/>
      <c r="F94" s="6"/>
      <c r="G94" s="80"/>
      <c r="H94" s="6"/>
      <c r="I94" s="6"/>
      <c r="J94" s="6"/>
      <c r="K94" s="6"/>
      <c r="L94" s="139"/>
      <c r="M94" s="139"/>
      <c r="N94" s="139"/>
      <c r="O94" s="139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929"/>
      <c r="AH94" s="80"/>
      <c r="AI94" s="80"/>
      <c r="AJ94" s="80"/>
      <c r="AK94" s="88"/>
      <c r="AL94" s="148"/>
    </row>
    <row r="95" spans="1:38" ht="15.75" customHeight="1">
      <c r="A95" s="6"/>
      <c r="B95" s="6"/>
      <c r="C95" s="6"/>
      <c r="D95" s="6"/>
      <c r="E95" s="6"/>
      <c r="F95" s="6"/>
      <c r="G95" s="80"/>
      <c r="H95" s="6"/>
      <c r="I95" s="6"/>
      <c r="J95" s="6"/>
      <c r="K95" s="6"/>
      <c r="L95" s="139"/>
      <c r="M95" s="139"/>
      <c r="N95" s="139"/>
      <c r="O95" s="139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929"/>
      <c r="AH95" s="80"/>
      <c r="AI95" s="80"/>
      <c r="AJ95" s="80"/>
      <c r="AK95" s="88"/>
      <c r="AL95" s="148"/>
    </row>
    <row r="96" spans="1:38" ht="15.75" customHeight="1">
      <c r="A96" s="6"/>
      <c r="B96" s="6"/>
      <c r="C96" s="6"/>
      <c r="D96" s="6"/>
      <c r="E96" s="6"/>
      <c r="F96" s="6"/>
      <c r="G96" s="80"/>
      <c r="H96" s="6"/>
      <c r="I96" s="6"/>
      <c r="J96" s="6"/>
      <c r="K96" s="6"/>
      <c r="L96" s="139"/>
      <c r="M96" s="139"/>
      <c r="N96" s="139"/>
      <c r="O96" s="139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929"/>
      <c r="AH96" s="80"/>
      <c r="AI96" s="80"/>
      <c r="AJ96" s="80"/>
      <c r="AK96" s="88"/>
      <c r="AL96" s="148"/>
    </row>
    <row r="97" spans="1:38" ht="15.75" customHeight="1">
      <c r="A97" s="6"/>
      <c r="B97" s="6"/>
      <c r="C97" s="6"/>
      <c r="D97" s="6"/>
      <c r="E97" s="6"/>
      <c r="F97" s="6"/>
      <c r="G97" s="80"/>
      <c r="H97" s="6"/>
      <c r="I97" s="6"/>
      <c r="J97" s="6"/>
      <c r="K97" s="6"/>
      <c r="L97" s="139"/>
      <c r="M97" s="139"/>
      <c r="N97" s="139"/>
      <c r="O97" s="139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929"/>
      <c r="AH97" s="80"/>
      <c r="AI97" s="80"/>
      <c r="AJ97" s="80"/>
      <c r="AK97" s="88"/>
      <c r="AL97" s="148"/>
    </row>
    <row r="98" spans="1:38" ht="15.75" customHeight="1">
      <c r="A98" s="6"/>
      <c r="B98" s="6"/>
      <c r="C98" s="6"/>
      <c r="D98" s="6"/>
      <c r="E98" s="6"/>
      <c r="F98" s="6"/>
      <c r="G98" s="80"/>
      <c r="H98" s="6"/>
      <c r="I98" s="6"/>
      <c r="J98" s="6"/>
      <c r="K98" s="6"/>
      <c r="L98" s="139"/>
      <c r="M98" s="139"/>
      <c r="N98" s="139"/>
      <c r="O98" s="139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929"/>
      <c r="AH98" s="80"/>
      <c r="AI98" s="80"/>
      <c r="AJ98" s="80"/>
      <c r="AK98" s="88"/>
      <c r="AL98" s="148"/>
    </row>
    <row r="99" spans="1:38" ht="15.75" customHeight="1">
      <c r="A99" s="6"/>
      <c r="B99" s="6"/>
      <c r="C99" s="6"/>
      <c r="D99" s="6"/>
      <c r="E99" s="6"/>
      <c r="F99" s="6"/>
      <c r="G99" s="80"/>
      <c r="H99" s="6"/>
      <c r="I99" s="6"/>
      <c r="J99" s="6"/>
      <c r="K99" s="6"/>
      <c r="L99" s="139"/>
      <c r="M99" s="139"/>
      <c r="N99" s="139"/>
      <c r="O99" s="139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929"/>
      <c r="AH99" s="80"/>
      <c r="AI99" s="80"/>
      <c r="AJ99" s="80"/>
      <c r="AK99" s="88"/>
      <c r="AL99" s="148"/>
    </row>
    <row r="100" spans="1:38" ht="15.75" customHeight="1">
      <c r="A100" s="6"/>
      <c r="B100" s="6"/>
      <c r="C100" s="6"/>
      <c r="D100" s="6"/>
      <c r="E100" s="6"/>
      <c r="F100" s="6"/>
      <c r="G100" s="80"/>
      <c r="H100" s="6"/>
      <c r="I100" s="6"/>
      <c r="J100" s="6"/>
      <c r="K100" s="6"/>
      <c r="L100" s="139"/>
      <c r="M100" s="139"/>
      <c r="N100" s="139"/>
      <c r="O100" s="139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929"/>
      <c r="AH100" s="80"/>
      <c r="AI100" s="80"/>
      <c r="AJ100" s="80"/>
      <c r="AK100" s="88"/>
      <c r="AL100" s="148"/>
    </row>
    <row r="101" spans="1:38" ht="15.75" customHeight="1">
      <c r="A101" s="6"/>
      <c r="B101" s="6"/>
      <c r="C101" s="6"/>
      <c r="D101" s="6"/>
      <c r="E101" s="6"/>
      <c r="F101" s="6"/>
      <c r="G101" s="80"/>
      <c r="H101" s="6"/>
      <c r="I101" s="6"/>
      <c r="J101" s="6"/>
      <c r="K101" s="6"/>
      <c r="L101" s="139"/>
      <c r="M101" s="139"/>
      <c r="N101" s="139"/>
      <c r="O101" s="139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929"/>
      <c r="AH101" s="80"/>
      <c r="AI101" s="80"/>
      <c r="AJ101" s="80"/>
      <c r="AK101" s="88"/>
      <c r="AL101" s="148"/>
    </row>
    <row r="102" spans="1:38" ht="15.75" customHeight="1">
      <c r="A102" s="6"/>
      <c r="B102" s="6"/>
      <c r="C102" s="6"/>
      <c r="D102" s="6"/>
      <c r="E102" s="6"/>
      <c r="F102" s="6"/>
      <c r="G102" s="80"/>
      <c r="H102" s="6"/>
      <c r="I102" s="6"/>
      <c r="J102" s="6"/>
      <c r="K102" s="6"/>
      <c r="L102" s="139"/>
      <c r="M102" s="139"/>
      <c r="N102" s="139"/>
      <c r="O102" s="139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929"/>
      <c r="AH102" s="80"/>
      <c r="AI102" s="80"/>
      <c r="AJ102" s="80"/>
      <c r="AK102" s="88"/>
      <c r="AL102" s="148"/>
    </row>
    <row r="103" spans="1:38" ht="15.75" customHeight="1">
      <c r="A103" s="6"/>
      <c r="B103" s="6"/>
      <c r="C103" s="6"/>
      <c r="D103" s="6"/>
      <c r="E103" s="6"/>
      <c r="F103" s="6"/>
      <c r="G103" s="80"/>
      <c r="H103" s="6"/>
      <c r="I103" s="6"/>
      <c r="J103" s="6"/>
      <c r="K103" s="6"/>
      <c r="L103" s="139"/>
      <c r="M103" s="139"/>
      <c r="N103" s="139"/>
      <c r="O103" s="139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929"/>
      <c r="AH103" s="80"/>
      <c r="AI103" s="80"/>
      <c r="AJ103" s="80"/>
      <c r="AK103" s="88"/>
      <c r="AL103" s="148"/>
    </row>
    <row r="104" spans="1:38" ht="15.75" customHeight="1">
      <c r="A104" s="6"/>
      <c r="B104" s="6"/>
      <c r="C104" s="6"/>
      <c r="D104" s="6"/>
      <c r="E104" s="6"/>
      <c r="F104" s="6"/>
      <c r="G104" s="80"/>
      <c r="H104" s="6"/>
      <c r="I104" s="6"/>
      <c r="J104" s="6"/>
      <c r="K104" s="6"/>
      <c r="L104" s="139"/>
      <c r="M104" s="139"/>
      <c r="N104" s="139"/>
      <c r="O104" s="139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929"/>
      <c r="AH104" s="80"/>
      <c r="AI104" s="80"/>
      <c r="AJ104" s="80"/>
      <c r="AK104" s="88"/>
      <c r="AL104" s="148"/>
    </row>
    <row r="105" spans="1:38" ht="15.75" customHeight="1">
      <c r="A105" s="6"/>
      <c r="B105" s="6"/>
      <c r="C105" s="6"/>
      <c r="D105" s="6"/>
      <c r="E105" s="6"/>
      <c r="F105" s="6"/>
      <c r="G105" s="80"/>
      <c r="H105" s="6"/>
      <c r="I105" s="6"/>
      <c r="J105" s="6"/>
      <c r="K105" s="6"/>
      <c r="L105" s="139"/>
      <c r="M105" s="139"/>
      <c r="N105" s="139"/>
      <c r="O105" s="139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929"/>
      <c r="AH105" s="80"/>
      <c r="AI105" s="80"/>
      <c r="AJ105" s="80"/>
      <c r="AK105" s="88"/>
      <c r="AL105" s="148"/>
    </row>
    <row r="106" spans="1:38" ht="15.75" customHeight="1">
      <c r="A106" s="6"/>
      <c r="B106" s="6"/>
      <c r="C106" s="6"/>
      <c r="D106" s="6"/>
      <c r="E106" s="6"/>
      <c r="F106" s="6"/>
      <c r="G106" s="80"/>
      <c r="H106" s="6"/>
      <c r="I106" s="6"/>
      <c r="J106" s="6"/>
      <c r="K106" s="6"/>
      <c r="L106" s="139"/>
      <c r="M106" s="139"/>
      <c r="N106" s="139"/>
      <c r="O106" s="139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929"/>
      <c r="AH106" s="80"/>
      <c r="AI106" s="80"/>
      <c r="AJ106" s="80"/>
      <c r="AK106" s="88"/>
      <c r="AL106" s="148"/>
    </row>
    <row r="107" spans="1:38" ht="15.75" customHeight="1">
      <c r="A107" s="6"/>
      <c r="B107" s="6"/>
      <c r="C107" s="6"/>
      <c r="D107" s="6"/>
      <c r="E107" s="6"/>
      <c r="F107" s="6"/>
      <c r="G107" s="80"/>
      <c r="H107" s="6"/>
      <c r="I107" s="6"/>
      <c r="J107" s="6"/>
      <c r="K107" s="6"/>
      <c r="L107" s="139"/>
      <c r="M107" s="139"/>
      <c r="N107" s="139"/>
      <c r="O107" s="139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929"/>
      <c r="AH107" s="80"/>
      <c r="AI107" s="80"/>
      <c r="AJ107" s="80"/>
      <c r="AK107" s="88"/>
      <c r="AL107" s="148"/>
    </row>
    <row r="108" spans="1:38" ht="15.75" customHeight="1">
      <c r="A108" s="6"/>
      <c r="B108" s="6"/>
      <c r="C108" s="6"/>
      <c r="D108" s="6"/>
      <c r="E108" s="6"/>
      <c r="F108" s="6"/>
      <c r="G108" s="80"/>
      <c r="H108" s="6"/>
      <c r="I108" s="6"/>
      <c r="J108" s="6"/>
      <c r="K108" s="6"/>
      <c r="L108" s="139"/>
      <c r="M108" s="139"/>
      <c r="N108" s="139"/>
      <c r="O108" s="139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929"/>
      <c r="AH108" s="80"/>
      <c r="AI108" s="80"/>
      <c r="AJ108" s="80"/>
      <c r="AK108" s="88"/>
      <c r="AL108" s="148"/>
    </row>
    <row r="109" spans="1:38" ht="15.75" customHeight="1">
      <c r="A109" s="6"/>
      <c r="B109" s="6"/>
      <c r="C109" s="6"/>
      <c r="D109" s="6"/>
      <c r="E109" s="6"/>
      <c r="F109" s="6"/>
      <c r="G109" s="80"/>
      <c r="H109" s="6"/>
      <c r="I109" s="6"/>
      <c r="J109" s="6"/>
      <c r="K109" s="6"/>
      <c r="L109" s="139"/>
      <c r="M109" s="139"/>
      <c r="N109" s="139"/>
      <c r="O109" s="139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929"/>
      <c r="AH109" s="80"/>
      <c r="AI109" s="80"/>
      <c r="AJ109" s="80"/>
      <c r="AK109" s="88"/>
      <c r="AL109" s="148"/>
    </row>
    <row r="110" spans="1:38" ht="15.75" customHeight="1">
      <c r="A110" s="6"/>
      <c r="B110" s="6"/>
      <c r="C110" s="6"/>
      <c r="D110" s="6"/>
      <c r="E110" s="6"/>
      <c r="F110" s="6"/>
      <c r="G110" s="80"/>
      <c r="H110" s="6"/>
      <c r="I110" s="6"/>
      <c r="J110" s="6"/>
      <c r="K110" s="6"/>
      <c r="L110" s="139"/>
      <c r="M110" s="139"/>
      <c r="N110" s="139"/>
      <c r="O110" s="139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929"/>
      <c r="AH110" s="80"/>
      <c r="AI110" s="80"/>
      <c r="AJ110" s="80"/>
      <c r="AK110" s="88"/>
      <c r="AL110" s="148"/>
    </row>
    <row r="111" spans="1:38" ht="15.75" customHeight="1">
      <c r="A111" s="6"/>
      <c r="B111" s="6"/>
      <c r="C111" s="6"/>
      <c r="D111" s="6"/>
      <c r="E111" s="6"/>
      <c r="F111" s="6"/>
      <c r="G111" s="80"/>
      <c r="H111" s="6"/>
      <c r="I111" s="6"/>
      <c r="J111" s="6"/>
      <c r="K111" s="6"/>
      <c r="L111" s="139"/>
      <c r="M111" s="139"/>
      <c r="N111" s="139"/>
      <c r="O111" s="139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929"/>
      <c r="AH111" s="80"/>
      <c r="AI111" s="80"/>
      <c r="AJ111" s="80"/>
      <c r="AK111" s="88"/>
      <c r="AL111" s="148"/>
    </row>
    <row r="112" spans="1:38" ht="15.75" customHeight="1">
      <c r="A112" s="6"/>
      <c r="B112" s="6"/>
      <c r="C112" s="6"/>
      <c r="D112" s="6"/>
      <c r="E112" s="6"/>
      <c r="F112" s="6"/>
      <c r="G112" s="80"/>
      <c r="H112" s="6"/>
      <c r="I112" s="6"/>
      <c r="J112" s="6"/>
      <c r="K112" s="6"/>
      <c r="L112" s="139"/>
      <c r="M112" s="139"/>
      <c r="N112" s="139"/>
      <c r="O112" s="139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929"/>
      <c r="AH112" s="80"/>
      <c r="AI112" s="80"/>
      <c r="AJ112" s="80"/>
      <c r="AK112" s="88"/>
      <c r="AL112" s="148"/>
    </row>
    <row r="113" spans="1:38" ht="15.75" customHeight="1">
      <c r="A113" s="6"/>
      <c r="B113" s="6"/>
      <c r="C113" s="6"/>
      <c r="D113" s="6"/>
      <c r="E113" s="6"/>
      <c r="F113" s="6"/>
      <c r="G113" s="80"/>
      <c r="H113" s="6"/>
      <c r="I113" s="6"/>
      <c r="J113" s="6"/>
      <c r="K113" s="6"/>
      <c r="L113" s="139"/>
      <c r="M113" s="139"/>
      <c r="N113" s="139"/>
      <c r="O113" s="139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929"/>
      <c r="AH113" s="80"/>
      <c r="AI113" s="80"/>
      <c r="AJ113" s="80"/>
      <c r="AK113" s="88"/>
      <c r="AL113" s="148"/>
    </row>
    <row r="114" spans="1:38" ht="15.75" customHeight="1">
      <c r="A114" s="6"/>
      <c r="B114" s="6"/>
      <c r="C114" s="6"/>
      <c r="D114" s="6"/>
      <c r="E114" s="6"/>
      <c r="F114" s="6"/>
      <c r="G114" s="80"/>
      <c r="H114" s="6"/>
      <c r="I114" s="6"/>
      <c r="J114" s="6"/>
      <c r="K114" s="6"/>
      <c r="L114" s="139"/>
      <c r="M114" s="139"/>
      <c r="N114" s="139"/>
      <c r="O114" s="139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929"/>
      <c r="AH114" s="80"/>
      <c r="AI114" s="80"/>
      <c r="AJ114" s="80"/>
      <c r="AK114" s="88"/>
      <c r="AL114" s="148"/>
    </row>
    <row r="115" spans="1:38" ht="15.75" customHeight="1">
      <c r="A115" s="6"/>
      <c r="B115" s="6"/>
      <c r="C115" s="6"/>
      <c r="D115" s="6"/>
      <c r="E115" s="6"/>
      <c r="F115" s="6"/>
      <c r="G115" s="80"/>
      <c r="H115" s="6"/>
      <c r="I115" s="6"/>
      <c r="J115" s="6"/>
      <c r="K115" s="6"/>
      <c r="L115" s="139"/>
      <c r="M115" s="139"/>
      <c r="N115" s="139"/>
      <c r="O115" s="139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929"/>
      <c r="AH115" s="80"/>
      <c r="AI115" s="80"/>
      <c r="AJ115" s="80"/>
      <c r="AK115" s="88"/>
      <c r="AL115" s="148"/>
    </row>
    <row r="116" spans="1:38" ht="15.75" customHeight="1">
      <c r="A116" s="6"/>
      <c r="B116" s="6"/>
      <c r="C116" s="6"/>
      <c r="D116" s="6"/>
      <c r="E116" s="6"/>
      <c r="F116" s="6"/>
      <c r="G116" s="80"/>
      <c r="H116" s="6"/>
      <c r="I116" s="6"/>
      <c r="J116" s="6"/>
      <c r="K116" s="6"/>
      <c r="L116" s="139"/>
      <c r="M116" s="139"/>
      <c r="N116" s="139"/>
      <c r="O116" s="139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929"/>
      <c r="AH116" s="80"/>
      <c r="AI116" s="80"/>
      <c r="AJ116" s="80"/>
      <c r="AK116" s="88"/>
      <c r="AL116" s="148"/>
    </row>
    <row r="117" spans="1:38" ht="15.75" customHeight="1">
      <c r="A117" s="6"/>
      <c r="B117" s="6"/>
      <c r="C117" s="6"/>
      <c r="D117" s="6"/>
      <c r="E117" s="6"/>
      <c r="F117" s="6"/>
      <c r="G117" s="80"/>
      <c r="H117" s="6"/>
      <c r="I117" s="6"/>
      <c r="J117" s="6"/>
      <c r="K117" s="6"/>
      <c r="L117" s="139"/>
      <c r="M117" s="139"/>
      <c r="N117" s="139"/>
      <c r="O117" s="139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929"/>
      <c r="AH117" s="80"/>
      <c r="AI117" s="80"/>
      <c r="AJ117" s="80"/>
      <c r="AK117" s="88"/>
      <c r="AL117" s="148"/>
    </row>
    <row r="118" spans="1:38" ht="15.75" customHeight="1">
      <c r="A118" s="6"/>
      <c r="B118" s="6"/>
      <c r="C118" s="6"/>
      <c r="D118" s="6"/>
      <c r="E118" s="6"/>
      <c r="F118" s="6"/>
      <c r="G118" s="80"/>
      <c r="H118" s="6"/>
      <c r="I118" s="6"/>
      <c r="J118" s="6"/>
      <c r="K118" s="6"/>
      <c r="L118" s="139"/>
      <c r="M118" s="139"/>
      <c r="N118" s="139"/>
      <c r="O118" s="139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929"/>
      <c r="AH118" s="80"/>
      <c r="AI118" s="80"/>
      <c r="AJ118" s="80"/>
      <c r="AK118" s="88"/>
      <c r="AL118" s="148"/>
    </row>
    <row r="119" spans="1:38" ht="15.75" customHeight="1">
      <c r="A119" s="6"/>
      <c r="B119" s="6"/>
      <c r="C119" s="6"/>
      <c r="D119" s="6"/>
      <c r="E119" s="6"/>
      <c r="F119" s="6"/>
      <c r="G119" s="80"/>
      <c r="H119" s="6"/>
      <c r="I119" s="6"/>
      <c r="J119" s="6"/>
      <c r="K119" s="6"/>
      <c r="L119" s="139"/>
      <c r="M119" s="139"/>
      <c r="N119" s="139"/>
      <c r="O119" s="139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929"/>
      <c r="AH119" s="80"/>
      <c r="AI119" s="80"/>
      <c r="AJ119" s="80"/>
      <c r="AK119" s="88"/>
      <c r="AL119" s="148"/>
    </row>
    <row r="120" spans="1:38" ht="15.75" customHeight="1">
      <c r="A120" s="6"/>
      <c r="B120" s="6"/>
      <c r="C120" s="6"/>
      <c r="D120" s="6"/>
      <c r="E120" s="6"/>
      <c r="F120" s="6"/>
      <c r="G120" s="80"/>
      <c r="H120" s="6"/>
      <c r="I120" s="6"/>
      <c r="J120" s="6"/>
      <c r="K120" s="6"/>
      <c r="L120" s="139"/>
      <c r="M120" s="139"/>
      <c r="N120" s="139"/>
      <c r="O120" s="139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929"/>
      <c r="AH120" s="80"/>
      <c r="AI120" s="80"/>
      <c r="AJ120" s="80"/>
      <c r="AK120" s="88"/>
      <c r="AL120" s="148"/>
    </row>
    <row r="121" spans="1:38" ht="15.75" customHeight="1">
      <c r="A121" s="6"/>
      <c r="B121" s="6"/>
      <c r="C121" s="6"/>
      <c r="D121" s="6"/>
      <c r="E121" s="6"/>
      <c r="F121" s="6"/>
      <c r="G121" s="80"/>
      <c r="H121" s="6"/>
      <c r="I121" s="6"/>
      <c r="J121" s="6"/>
      <c r="K121" s="6"/>
      <c r="L121" s="139"/>
      <c r="M121" s="139"/>
      <c r="N121" s="139"/>
      <c r="O121" s="139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929"/>
      <c r="AH121" s="80"/>
      <c r="AI121" s="80"/>
      <c r="AJ121" s="80"/>
      <c r="AK121" s="88"/>
      <c r="AL121" s="148"/>
    </row>
    <row r="122" spans="1:38" ht="15.75" customHeight="1">
      <c r="A122" s="6"/>
      <c r="B122" s="6"/>
      <c r="C122" s="6"/>
      <c r="D122" s="6"/>
      <c r="E122" s="6"/>
      <c r="F122" s="6"/>
      <c r="G122" s="80"/>
      <c r="H122" s="6"/>
      <c r="I122" s="6"/>
      <c r="J122" s="6"/>
      <c r="K122" s="6"/>
      <c r="L122" s="139"/>
      <c r="M122" s="139"/>
      <c r="N122" s="139"/>
      <c r="O122" s="139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929"/>
      <c r="AH122" s="80"/>
      <c r="AI122" s="80"/>
      <c r="AJ122" s="80"/>
      <c r="AK122" s="88"/>
      <c r="AL122" s="148"/>
    </row>
    <row r="123" spans="1:38" ht="15.75" customHeight="1">
      <c r="A123" s="6"/>
      <c r="B123" s="6"/>
      <c r="C123" s="6"/>
      <c r="D123" s="6"/>
      <c r="E123" s="6"/>
      <c r="F123" s="6"/>
      <c r="G123" s="80"/>
      <c r="H123" s="6"/>
      <c r="I123" s="6"/>
      <c r="J123" s="6"/>
      <c r="K123" s="6"/>
      <c r="L123" s="139"/>
      <c r="M123" s="139"/>
      <c r="N123" s="139"/>
      <c r="O123" s="139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929"/>
      <c r="AH123" s="80"/>
      <c r="AI123" s="80"/>
      <c r="AJ123" s="80"/>
      <c r="AK123" s="88"/>
      <c r="AL123" s="148"/>
    </row>
    <row r="124" spans="1:38" ht="15.75" customHeight="1">
      <c r="A124" s="6"/>
      <c r="B124" s="6"/>
      <c r="C124" s="6"/>
      <c r="D124" s="6"/>
      <c r="E124" s="6"/>
      <c r="F124" s="6"/>
      <c r="G124" s="80"/>
      <c r="H124" s="6"/>
      <c r="I124" s="6"/>
      <c r="J124" s="6"/>
      <c r="K124" s="6"/>
      <c r="L124" s="139"/>
      <c r="M124" s="139"/>
      <c r="N124" s="139"/>
      <c r="O124" s="139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929"/>
      <c r="AH124" s="80"/>
      <c r="AI124" s="80"/>
      <c r="AJ124" s="80"/>
      <c r="AK124" s="88"/>
      <c r="AL124" s="148"/>
    </row>
    <row r="125" spans="1:38" ht="15.75" customHeight="1">
      <c r="A125" s="6"/>
      <c r="B125" s="6"/>
      <c r="C125" s="6"/>
      <c r="D125" s="6"/>
      <c r="E125" s="6"/>
      <c r="F125" s="6"/>
      <c r="G125" s="80"/>
      <c r="H125" s="6"/>
      <c r="I125" s="6"/>
      <c r="J125" s="6"/>
      <c r="K125" s="6"/>
      <c r="L125" s="139"/>
      <c r="M125" s="139"/>
      <c r="N125" s="139"/>
      <c r="O125" s="139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929"/>
      <c r="AH125" s="80"/>
      <c r="AI125" s="80"/>
      <c r="AJ125" s="80"/>
      <c r="AK125" s="88"/>
      <c r="AL125" s="148"/>
    </row>
    <row r="126" spans="1:38" ht="15.75" customHeight="1">
      <c r="A126" s="6"/>
      <c r="B126" s="6"/>
      <c r="C126" s="6"/>
      <c r="D126" s="6"/>
      <c r="E126" s="6"/>
      <c r="F126" s="6"/>
      <c r="G126" s="80"/>
      <c r="H126" s="6"/>
      <c r="I126" s="6"/>
      <c r="J126" s="6"/>
      <c r="K126" s="6"/>
      <c r="L126" s="139"/>
      <c r="M126" s="139"/>
      <c r="N126" s="139"/>
      <c r="O126" s="139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929"/>
      <c r="AH126" s="80"/>
      <c r="AI126" s="80"/>
      <c r="AJ126" s="80"/>
      <c r="AK126" s="88"/>
      <c r="AL126" s="148"/>
    </row>
    <row r="127" spans="1:38" ht="15.75" customHeight="1">
      <c r="A127" s="6"/>
      <c r="B127" s="6"/>
      <c r="C127" s="6"/>
      <c r="D127" s="6"/>
      <c r="E127" s="6"/>
      <c r="F127" s="6"/>
      <c r="G127" s="80"/>
      <c r="H127" s="6"/>
      <c r="I127" s="6"/>
      <c r="J127" s="6"/>
      <c r="K127" s="6"/>
      <c r="L127" s="139"/>
      <c r="M127" s="139"/>
      <c r="N127" s="139"/>
      <c r="O127" s="139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929"/>
      <c r="AH127" s="80"/>
      <c r="AI127" s="80"/>
      <c r="AJ127" s="80"/>
      <c r="AK127" s="88"/>
      <c r="AL127" s="148"/>
    </row>
    <row r="128" spans="1:38" ht="15.75" customHeight="1">
      <c r="A128" s="6"/>
      <c r="B128" s="6"/>
      <c r="C128" s="6"/>
      <c r="D128" s="6"/>
      <c r="E128" s="6"/>
      <c r="F128" s="6"/>
      <c r="G128" s="80"/>
      <c r="H128" s="6"/>
      <c r="I128" s="6"/>
      <c r="J128" s="6"/>
      <c r="K128" s="6"/>
      <c r="L128" s="139"/>
      <c r="M128" s="139"/>
      <c r="N128" s="139"/>
      <c r="O128" s="139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929"/>
      <c r="AH128" s="80"/>
      <c r="AI128" s="80"/>
      <c r="AJ128" s="80"/>
      <c r="AK128" s="88"/>
      <c r="AL128" s="148"/>
    </row>
    <row r="129" spans="1:38" ht="15.75" customHeight="1">
      <c r="A129" s="6"/>
      <c r="B129" s="6"/>
      <c r="C129" s="6"/>
      <c r="D129" s="6"/>
      <c r="E129" s="6"/>
      <c r="F129" s="6"/>
      <c r="G129" s="80"/>
      <c r="H129" s="6"/>
      <c r="I129" s="6"/>
      <c r="J129" s="6"/>
      <c r="K129" s="6"/>
      <c r="L129" s="139"/>
      <c r="M129" s="139"/>
      <c r="N129" s="139"/>
      <c r="O129" s="139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929"/>
      <c r="AH129" s="80"/>
      <c r="AI129" s="80"/>
      <c r="AJ129" s="80"/>
      <c r="AK129" s="88"/>
      <c r="AL129" s="148"/>
    </row>
    <row r="130" spans="1:38" ht="15.75" customHeight="1">
      <c r="A130" s="6"/>
      <c r="B130" s="6"/>
      <c r="C130" s="6"/>
      <c r="D130" s="6"/>
      <c r="E130" s="6"/>
      <c r="F130" s="6"/>
      <c r="G130" s="80"/>
      <c r="H130" s="6"/>
      <c r="I130" s="6"/>
      <c r="J130" s="6"/>
      <c r="K130" s="6"/>
      <c r="L130" s="139"/>
      <c r="M130" s="139"/>
      <c r="N130" s="139"/>
      <c r="O130" s="139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929"/>
      <c r="AH130" s="80"/>
      <c r="AI130" s="80"/>
      <c r="AJ130" s="80"/>
      <c r="AK130" s="88"/>
      <c r="AL130" s="148"/>
    </row>
    <row r="131" spans="1:38" ht="15.75" customHeight="1">
      <c r="A131" s="6"/>
      <c r="B131" s="6"/>
      <c r="C131" s="6"/>
      <c r="D131" s="6"/>
      <c r="E131" s="6"/>
      <c r="F131" s="6"/>
      <c r="G131" s="80"/>
      <c r="H131" s="6"/>
      <c r="I131" s="6"/>
      <c r="J131" s="6"/>
      <c r="K131" s="6"/>
      <c r="L131" s="139"/>
      <c r="M131" s="139"/>
      <c r="N131" s="139"/>
      <c r="O131" s="139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929"/>
      <c r="AH131" s="80"/>
      <c r="AI131" s="80"/>
      <c r="AJ131" s="80"/>
      <c r="AK131" s="88"/>
      <c r="AL131" s="148"/>
    </row>
    <row r="132" spans="1:38" ht="15.75" customHeight="1">
      <c r="A132" s="6"/>
      <c r="B132" s="6"/>
      <c r="C132" s="6"/>
      <c r="D132" s="6"/>
      <c r="E132" s="6"/>
      <c r="F132" s="6"/>
      <c r="G132" s="80"/>
      <c r="H132" s="6"/>
      <c r="I132" s="6"/>
      <c r="J132" s="6"/>
      <c r="K132" s="6"/>
      <c r="L132" s="139"/>
      <c r="M132" s="139"/>
      <c r="N132" s="139"/>
      <c r="O132" s="139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929"/>
      <c r="AH132" s="80"/>
      <c r="AI132" s="80"/>
      <c r="AJ132" s="80"/>
      <c r="AK132" s="88"/>
      <c r="AL132" s="148"/>
    </row>
    <row r="133" spans="1:38" ht="15.75" customHeight="1">
      <c r="A133" s="6"/>
      <c r="B133" s="6"/>
      <c r="C133" s="6"/>
      <c r="D133" s="6"/>
      <c r="E133" s="6"/>
      <c r="F133" s="6"/>
      <c r="G133" s="80"/>
      <c r="H133" s="6"/>
      <c r="I133" s="6"/>
      <c r="J133" s="6"/>
      <c r="K133" s="6"/>
      <c r="L133" s="139"/>
      <c r="M133" s="139"/>
      <c r="N133" s="139"/>
      <c r="O133" s="139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929"/>
      <c r="AH133" s="80"/>
      <c r="AI133" s="80"/>
      <c r="AJ133" s="80"/>
      <c r="AK133" s="88"/>
      <c r="AL133" s="148"/>
    </row>
    <row r="134" spans="1:38" ht="15.75" customHeight="1">
      <c r="A134" s="6"/>
      <c r="B134" s="6"/>
      <c r="C134" s="6"/>
      <c r="D134" s="6"/>
      <c r="E134" s="6"/>
      <c r="F134" s="6"/>
      <c r="G134" s="80"/>
      <c r="H134" s="6"/>
      <c r="I134" s="6"/>
      <c r="J134" s="6"/>
      <c r="K134" s="6"/>
      <c r="L134" s="139"/>
      <c r="M134" s="139"/>
      <c r="N134" s="139"/>
      <c r="O134" s="139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929"/>
      <c r="AH134" s="80"/>
      <c r="AI134" s="80"/>
      <c r="AJ134" s="80"/>
      <c r="AK134" s="88"/>
      <c r="AL134" s="148"/>
    </row>
    <row r="135" spans="1:38" ht="15.75" customHeight="1">
      <c r="A135" s="6"/>
      <c r="B135" s="6"/>
      <c r="C135" s="6"/>
      <c r="D135" s="6"/>
      <c r="E135" s="6"/>
      <c r="F135" s="6"/>
      <c r="G135" s="80"/>
      <c r="H135" s="6"/>
      <c r="I135" s="6"/>
      <c r="J135" s="6"/>
      <c r="K135" s="6"/>
      <c r="L135" s="139"/>
      <c r="M135" s="139"/>
      <c r="N135" s="139"/>
      <c r="O135" s="139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929"/>
      <c r="AH135" s="80"/>
      <c r="AI135" s="80"/>
      <c r="AJ135" s="80"/>
      <c r="AK135" s="88"/>
      <c r="AL135" s="148"/>
    </row>
    <row r="136" spans="1:38" ht="15.75" customHeight="1">
      <c r="A136" s="6"/>
      <c r="B136" s="6"/>
      <c r="C136" s="6"/>
      <c r="D136" s="6"/>
      <c r="E136" s="6"/>
      <c r="F136" s="6"/>
      <c r="G136" s="80"/>
      <c r="H136" s="6"/>
      <c r="I136" s="6"/>
      <c r="J136" s="6"/>
      <c r="K136" s="6"/>
      <c r="L136" s="139"/>
      <c r="M136" s="139"/>
      <c r="N136" s="139"/>
      <c r="O136" s="139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929"/>
      <c r="AH136" s="80"/>
      <c r="AI136" s="80"/>
      <c r="AJ136" s="80"/>
      <c r="AK136" s="88"/>
      <c r="AL136" s="148"/>
    </row>
    <row r="137" spans="1:38" ht="15.75" customHeight="1">
      <c r="A137" s="6"/>
      <c r="B137" s="6"/>
      <c r="C137" s="6"/>
      <c r="D137" s="6"/>
      <c r="E137" s="6"/>
      <c r="F137" s="6"/>
      <c r="G137" s="80"/>
      <c r="H137" s="6"/>
      <c r="I137" s="6"/>
      <c r="J137" s="6"/>
      <c r="K137" s="6"/>
      <c r="L137" s="139"/>
      <c r="M137" s="139"/>
      <c r="N137" s="139"/>
      <c r="O137" s="139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929"/>
      <c r="AH137" s="80"/>
      <c r="AI137" s="80"/>
      <c r="AJ137" s="80"/>
      <c r="AK137" s="88"/>
      <c r="AL137" s="148"/>
    </row>
    <row r="138" spans="1:38" ht="15.75" customHeight="1">
      <c r="A138" s="6"/>
      <c r="B138" s="6"/>
      <c r="C138" s="6"/>
      <c r="D138" s="6"/>
      <c r="E138" s="6"/>
      <c r="F138" s="6"/>
      <c r="G138" s="80"/>
      <c r="H138" s="6"/>
      <c r="I138" s="6"/>
      <c r="J138" s="6"/>
      <c r="K138" s="6"/>
      <c r="L138" s="139"/>
      <c r="M138" s="139"/>
      <c r="N138" s="139"/>
      <c r="O138" s="139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929"/>
      <c r="AH138" s="80"/>
      <c r="AI138" s="80"/>
      <c r="AJ138" s="80"/>
      <c r="AK138" s="88"/>
      <c r="AL138" s="148"/>
    </row>
    <row r="139" spans="1:38" ht="15.75" customHeight="1">
      <c r="A139" s="6"/>
      <c r="B139" s="6"/>
      <c r="C139" s="6"/>
      <c r="D139" s="6"/>
      <c r="E139" s="6"/>
      <c r="F139" s="6"/>
      <c r="G139" s="80"/>
      <c r="H139" s="6"/>
      <c r="I139" s="6"/>
      <c r="J139" s="6"/>
      <c r="K139" s="6"/>
      <c r="L139" s="139"/>
      <c r="M139" s="139"/>
      <c r="N139" s="139"/>
      <c r="O139" s="139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929"/>
      <c r="AH139" s="80"/>
      <c r="AI139" s="80"/>
      <c r="AJ139" s="80"/>
      <c r="AK139" s="88"/>
      <c r="AL139" s="148"/>
    </row>
    <row r="140" spans="1:38" ht="15.75" customHeight="1">
      <c r="A140" s="6"/>
      <c r="B140" s="6"/>
      <c r="C140" s="6"/>
      <c r="D140" s="6"/>
      <c r="E140" s="6"/>
      <c r="F140" s="6"/>
      <c r="G140" s="80"/>
      <c r="H140" s="6"/>
      <c r="I140" s="6"/>
      <c r="J140" s="6"/>
      <c r="K140" s="6"/>
      <c r="L140" s="139"/>
      <c r="M140" s="139"/>
      <c r="N140" s="139"/>
      <c r="O140" s="139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929"/>
      <c r="AH140" s="80"/>
      <c r="AI140" s="80"/>
      <c r="AJ140" s="80"/>
      <c r="AK140" s="88"/>
      <c r="AL140" s="148"/>
    </row>
    <row r="141" spans="1:38" ht="15.75" customHeight="1">
      <c r="A141" s="6"/>
      <c r="B141" s="6"/>
      <c r="C141" s="6"/>
      <c r="D141" s="6"/>
      <c r="E141" s="6"/>
      <c r="F141" s="6"/>
      <c r="G141" s="80"/>
      <c r="H141" s="6"/>
      <c r="I141" s="6"/>
      <c r="J141" s="6"/>
      <c r="K141" s="6"/>
      <c r="L141" s="139"/>
      <c r="M141" s="139"/>
      <c r="N141" s="139"/>
      <c r="O141" s="139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929"/>
      <c r="AH141" s="80"/>
      <c r="AI141" s="80"/>
      <c r="AJ141" s="80"/>
      <c r="AK141" s="88"/>
      <c r="AL141" s="148"/>
    </row>
    <row r="142" spans="1:38" ht="15.75" customHeight="1">
      <c r="A142" s="6"/>
      <c r="B142" s="6"/>
      <c r="C142" s="6"/>
      <c r="D142" s="6"/>
      <c r="E142" s="6"/>
      <c r="F142" s="6"/>
      <c r="G142" s="80"/>
      <c r="H142" s="6"/>
      <c r="I142" s="6"/>
      <c r="J142" s="6"/>
      <c r="K142" s="6"/>
      <c r="L142" s="139"/>
      <c r="M142" s="139"/>
      <c r="N142" s="139"/>
      <c r="O142" s="139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929"/>
      <c r="AH142" s="80"/>
      <c r="AI142" s="80"/>
      <c r="AJ142" s="80"/>
      <c r="AK142" s="88"/>
      <c r="AL142" s="148"/>
    </row>
    <row r="143" spans="1:38" ht="15.75" customHeight="1">
      <c r="A143" s="6"/>
      <c r="B143" s="6"/>
      <c r="C143" s="6"/>
      <c r="D143" s="6"/>
      <c r="E143" s="6"/>
      <c r="F143" s="6"/>
      <c r="G143" s="80"/>
      <c r="H143" s="6"/>
      <c r="I143" s="6"/>
      <c r="J143" s="6"/>
      <c r="K143" s="6"/>
      <c r="L143" s="139"/>
      <c r="M143" s="139"/>
      <c r="N143" s="139"/>
      <c r="O143" s="139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929"/>
      <c r="AH143" s="80"/>
      <c r="AI143" s="80"/>
      <c r="AJ143" s="80"/>
      <c r="AK143" s="88"/>
      <c r="AL143" s="148"/>
    </row>
    <row r="144" spans="1:38" ht="15.75" customHeight="1">
      <c r="A144" s="6"/>
      <c r="B144" s="6"/>
      <c r="C144" s="6"/>
      <c r="D144" s="6"/>
      <c r="E144" s="6"/>
      <c r="F144" s="6"/>
      <c r="G144" s="80"/>
      <c r="H144" s="6"/>
      <c r="I144" s="6"/>
      <c r="J144" s="6"/>
      <c r="K144" s="6"/>
      <c r="L144" s="139"/>
      <c r="M144" s="139"/>
      <c r="N144" s="139"/>
      <c r="O144" s="139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929"/>
      <c r="AH144" s="80"/>
      <c r="AI144" s="80"/>
      <c r="AJ144" s="80"/>
      <c r="AK144" s="88"/>
      <c r="AL144" s="148"/>
    </row>
    <row r="145" spans="1:38" ht="15.75" customHeight="1">
      <c r="A145" s="6"/>
      <c r="B145" s="6"/>
      <c r="C145" s="6"/>
      <c r="D145" s="6"/>
      <c r="E145" s="6"/>
      <c r="F145" s="6"/>
      <c r="G145" s="80"/>
      <c r="H145" s="6"/>
      <c r="I145" s="6"/>
      <c r="J145" s="6"/>
      <c r="K145" s="6"/>
      <c r="L145" s="139"/>
      <c r="M145" s="139"/>
      <c r="N145" s="139"/>
      <c r="O145" s="139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929"/>
      <c r="AH145" s="80"/>
      <c r="AI145" s="80"/>
      <c r="AJ145" s="80"/>
      <c r="AK145" s="88"/>
      <c r="AL145" s="148"/>
    </row>
    <row r="146" spans="1:38" ht="15.75" customHeight="1">
      <c r="A146" s="6"/>
      <c r="B146" s="6"/>
      <c r="C146" s="6"/>
      <c r="D146" s="6"/>
      <c r="E146" s="6"/>
      <c r="F146" s="6"/>
      <c r="G146" s="80"/>
      <c r="H146" s="6"/>
      <c r="I146" s="6"/>
      <c r="J146" s="6"/>
      <c r="K146" s="6"/>
      <c r="L146" s="139"/>
      <c r="M146" s="139"/>
      <c r="N146" s="139"/>
      <c r="O146" s="139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929"/>
      <c r="AH146" s="80"/>
      <c r="AI146" s="80"/>
      <c r="AJ146" s="80"/>
      <c r="AK146" s="88"/>
      <c r="AL146" s="148"/>
    </row>
    <row r="147" spans="1:38" ht="15.75" customHeight="1">
      <c r="A147" s="6"/>
      <c r="B147" s="6"/>
      <c r="C147" s="6"/>
      <c r="D147" s="6"/>
      <c r="E147" s="6"/>
      <c r="F147" s="6"/>
      <c r="G147" s="80"/>
      <c r="H147" s="6"/>
      <c r="I147" s="6"/>
      <c r="J147" s="6"/>
      <c r="K147" s="6"/>
      <c r="L147" s="139"/>
      <c r="M147" s="139"/>
      <c r="N147" s="139"/>
      <c r="O147" s="139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929"/>
      <c r="AH147" s="80"/>
      <c r="AI147" s="80"/>
      <c r="AJ147" s="80"/>
      <c r="AK147" s="88"/>
      <c r="AL147" s="148"/>
    </row>
    <row r="148" spans="1:38" ht="15.75" customHeight="1">
      <c r="A148" s="6"/>
      <c r="B148" s="6"/>
      <c r="C148" s="6"/>
      <c r="D148" s="6"/>
      <c r="E148" s="6"/>
      <c r="F148" s="6"/>
      <c r="G148" s="80"/>
      <c r="H148" s="6"/>
      <c r="I148" s="6"/>
      <c r="J148" s="6"/>
      <c r="K148" s="6"/>
      <c r="L148" s="139"/>
      <c r="M148" s="139"/>
      <c r="N148" s="139"/>
      <c r="O148" s="139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929"/>
      <c r="AH148" s="80"/>
      <c r="AI148" s="80"/>
      <c r="AJ148" s="80"/>
      <c r="AK148" s="88"/>
      <c r="AL148" s="148"/>
    </row>
    <row r="149" spans="1:38" ht="15.75" customHeight="1">
      <c r="A149" s="6"/>
      <c r="B149" s="6"/>
      <c r="C149" s="6"/>
      <c r="D149" s="6"/>
      <c r="E149" s="6"/>
      <c r="F149" s="6"/>
      <c r="G149" s="80"/>
      <c r="H149" s="6"/>
      <c r="I149" s="6"/>
      <c r="J149" s="6"/>
      <c r="K149" s="6"/>
      <c r="L149" s="139"/>
      <c r="M149" s="139"/>
      <c r="N149" s="139"/>
      <c r="O149" s="139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929"/>
      <c r="AH149" s="80"/>
      <c r="AI149" s="80"/>
      <c r="AJ149" s="80"/>
      <c r="AK149" s="88"/>
      <c r="AL149" s="148"/>
    </row>
    <row r="150" spans="1:38" ht="15.75" customHeight="1">
      <c r="A150" s="6"/>
      <c r="B150" s="6"/>
      <c r="C150" s="6"/>
      <c r="D150" s="6"/>
      <c r="E150" s="6"/>
      <c r="F150" s="6"/>
      <c r="G150" s="80"/>
      <c r="H150" s="6"/>
      <c r="I150" s="6"/>
      <c r="J150" s="6"/>
      <c r="K150" s="6"/>
      <c r="L150" s="139"/>
      <c r="M150" s="139"/>
      <c r="N150" s="139"/>
      <c r="O150" s="139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929"/>
      <c r="AH150" s="80"/>
      <c r="AI150" s="80"/>
      <c r="AJ150" s="80"/>
      <c r="AK150" s="88"/>
      <c r="AL150" s="148"/>
    </row>
    <row r="151" spans="1:38" ht="15.75" customHeight="1">
      <c r="A151" s="6"/>
      <c r="B151" s="6"/>
      <c r="C151" s="6"/>
      <c r="D151" s="6"/>
      <c r="E151" s="6"/>
      <c r="F151" s="6"/>
      <c r="G151" s="80"/>
      <c r="H151" s="6"/>
      <c r="I151" s="6"/>
      <c r="J151" s="6"/>
      <c r="K151" s="6"/>
      <c r="L151" s="139"/>
      <c r="M151" s="139"/>
      <c r="N151" s="139"/>
      <c r="O151" s="139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929"/>
      <c r="AH151" s="80"/>
      <c r="AI151" s="80"/>
      <c r="AJ151" s="80"/>
      <c r="AK151" s="88"/>
      <c r="AL151" s="148"/>
    </row>
    <row r="152" spans="1:38" ht="15.75" customHeight="1">
      <c r="A152" s="6"/>
      <c r="B152" s="6"/>
      <c r="C152" s="6"/>
      <c r="D152" s="6"/>
      <c r="E152" s="6"/>
      <c r="F152" s="6"/>
      <c r="G152" s="80"/>
      <c r="H152" s="6"/>
      <c r="I152" s="6"/>
      <c r="J152" s="6"/>
      <c r="K152" s="6"/>
      <c r="L152" s="139"/>
      <c r="M152" s="139"/>
      <c r="N152" s="139"/>
      <c r="O152" s="139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929"/>
      <c r="AH152" s="80"/>
      <c r="AI152" s="80"/>
      <c r="AJ152" s="80"/>
      <c r="AK152" s="88"/>
      <c r="AL152" s="148"/>
    </row>
    <row r="153" spans="1:38" ht="15.75" customHeight="1">
      <c r="A153" s="6"/>
      <c r="B153" s="6"/>
      <c r="C153" s="6"/>
      <c r="D153" s="6"/>
      <c r="E153" s="6"/>
      <c r="F153" s="6"/>
      <c r="G153" s="80"/>
      <c r="H153" s="6"/>
      <c r="I153" s="6"/>
      <c r="J153" s="6"/>
      <c r="K153" s="6"/>
      <c r="L153" s="139"/>
      <c r="M153" s="139"/>
      <c r="N153" s="139"/>
      <c r="O153" s="139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929"/>
      <c r="AH153" s="80"/>
      <c r="AI153" s="80"/>
      <c r="AJ153" s="80"/>
      <c r="AK153" s="88"/>
      <c r="AL153" s="148"/>
    </row>
    <row r="154" spans="1:38" ht="15.75" customHeight="1">
      <c r="A154" s="6"/>
      <c r="B154" s="6"/>
      <c r="C154" s="6"/>
      <c r="D154" s="6"/>
      <c r="E154" s="6"/>
      <c r="F154" s="6"/>
      <c r="G154" s="80"/>
      <c r="H154" s="6"/>
      <c r="I154" s="6"/>
      <c r="J154" s="6"/>
      <c r="K154" s="6"/>
      <c r="L154" s="139"/>
      <c r="M154" s="139"/>
      <c r="N154" s="139"/>
      <c r="O154" s="139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929"/>
      <c r="AH154" s="80"/>
      <c r="AI154" s="80"/>
      <c r="AJ154" s="80"/>
      <c r="AK154" s="88"/>
      <c r="AL154" s="148"/>
    </row>
    <row r="155" spans="1:38" ht="15.75" customHeight="1">
      <c r="A155" s="6"/>
      <c r="B155" s="6"/>
      <c r="C155" s="6"/>
      <c r="D155" s="6"/>
      <c r="E155" s="6"/>
      <c r="F155" s="6"/>
      <c r="G155" s="80"/>
      <c r="H155" s="6"/>
      <c r="I155" s="6"/>
      <c r="J155" s="6"/>
      <c r="K155" s="6"/>
      <c r="L155" s="139"/>
      <c r="M155" s="139"/>
      <c r="N155" s="139"/>
      <c r="O155" s="139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929"/>
      <c r="AH155" s="80"/>
      <c r="AI155" s="80"/>
      <c r="AJ155" s="80"/>
      <c r="AK155" s="88"/>
      <c r="AL155" s="148"/>
    </row>
    <row r="156" spans="1:38" ht="15.75" customHeight="1">
      <c r="A156" s="6"/>
      <c r="B156" s="6"/>
      <c r="C156" s="6"/>
      <c r="D156" s="6"/>
      <c r="E156" s="6"/>
      <c r="F156" s="6"/>
      <c r="G156" s="80"/>
      <c r="H156" s="6"/>
      <c r="I156" s="6"/>
      <c r="J156" s="6"/>
      <c r="K156" s="6"/>
      <c r="L156" s="139"/>
      <c r="M156" s="139"/>
      <c r="N156" s="139"/>
      <c r="O156" s="139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929"/>
      <c r="AH156" s="80"/>
      <c r="AI156" s="80"/>
      <c r="AJ156" s="80"/>
      <c r="AK156" s="88"/>
      <c r="AL156" s="148"/>
    </row>
    <row r="157" spans="1:38" ht="15.75" customHeight="1">
      <c r="A157" s="6"/>
      <c r="B157" s="6"/>
      <c r="C157" s="6"/>
      <c r="D157" s="6"/>
      <c r="E157" s="6"/>
      <c r="F157" s="6"/>
      <c r="G157" s="80"/>
      <c r="H157" s="6"/>
      <c r="I157" s="6"/>
      <c r="J157" s="6"/>
      <c r="K157" s="6"/>
      <c r="L157" s="139"/>
      <c r="M157" s="139"/>
      <c r="N157" s="139"/>
      <c r="O157" s="139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929"/>
      <c r="AH157" s="80"/>
      <c r="AI157" s="80"/>
      <c r="AJ157" s="80"/>
      <c r="AK157" s="88"/>
      <c r="AL157" s="148"/>
    </row>
    <row r="158" spans="1:38" ht="15.75" customHeight="1">
      <c r="A158" s="6"/>
      <c r="B158" s="6"/>
      <c r="C158" s="6"/>
      <c r="D158" s="6"/>
      <c r="E158" s="6"/>
      <c r="F158" s="6"/>
      <c r="G158" s="80"/>
      <c r="H158" s="6"/>
      <c r="I158" s="6"/>
      <c r="J158" s="6"/>
      <c r="K158" s="6"/>
      <c r="L158" s="139"/>
      <c r="M158" s="139"/>
      <c r="N158" s="139"/>
      <c r="O158" s="139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929"/>
      <c r="AH158" s="80"/>
      <c r="AI158" s="80"/>
      <c r="AJ158" s="80"/>
      <c r="AK158" s="88"/>
      <c r="AL158" s="148"/>
    </row>
    <row r="159" spans="1:38" ht="15.75" customHeight="1">
      <c r="A159" s="6"/>
      <c r="B159" s="6"/>
      <c r="C159" s="6"/>
      <c r="D159" s="6"/>
      <c r="E159" s="6"/>
      <c r="F159" s="6"/>
      <c r="G159" s="80"/>
      <c r="H159" s="6"/>
      <c r="I159" s="6"/>
      <c r="J159" s="6"/>
      <c r="K159" s="6"/>
      <c r="L159" s="139"/>
      <c r="M159" s="139"/>
      <c r="N159" s="139"/>
      <c r="O159" s="139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929"/>
      <c r="AH159" s="80"/>
      <c r="AI159" s="80"/>
      <c r="AJ159" s="80"/>
      <c r="AK159" s="88"/>
      <c r="AL159" s="148"/>
    </row>
    <row r="160" spans="1:38" ht="15.75" customHeight="1">
      <c r="A160" s="6"/>
      <c r="B160" s="6"/>
      <c r="C160" s="6"/>
      <c r="D160" s="6"/>
      <c r="E160" s="6"/>
      <c r="F160" s="6"/>
      <c r="G160" s="80"/>
      <c r="H160" s="6"/>
      <c r="I160" s="6"/>
      <c r="J160" s="6"/>
      <c r="K160" s="6"/>
      <c r="L160" s="139"/>
      <c r="M160" s="139"/>
      <c r="N160" s="139"/>
      <c r="O160" s="139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929"/>
      <c r="AH160" s="80"/>
      <c r="AI160" s="80"/>
      <c r="AJ160" s="80"/>
      <c r="AK160" s="88"/>
      <c r="AL160" s="148"/>
    </row>
    <row r="161" spans="1:38" ht="15.75" customHeight="1">
      <c r="A161" s="6"/>
      <c r="B161" s="6"/>
      <c r="C161" s="6"/>
      <c r="D161" s="6"/>
      <c r="E161" s="6"/>
      <c r="F161" s="6"/>
      <c r="G161" s="80"/>
      <c r="H161" s="6"/>
      <c r="I161" s="6"/>
      <c r="J161" s="6"/>
      <c r="K161" s="6"/>
      <c r="L161" s="139"/>
      <c r="M161" s="139"/>
      <c r="N161" s="139"/>
      <c r="O161" s="139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929"/>
      <c r="AH161" s="80"/>
      <c r="AI161" s="80"/>
      <c r="AJ161" s="80"/>
      <c r="AK161" s="88"/>
      <c r="AL161" s="148"/>
    </row>
    <row r="162" spans="1:38" ht="15.75" customHeight="1">
      <c r="A162" s="6"/>
      <c r="B162" s="6"/>
      <c r="C162" s="6"/>
      <c r="D162" s="6"/>
      <c r="E162" s="6"/>
      <c r="F162" s="6"/>
      <c r="G162" s="80"/>
      <c r="H162" s="6"/>
      <c r="I162" s="6"/>
      <c r="J162" s="6"/>
      <c r="K162" s="6"/>
      <c r="L162" s="139"/>
      <c r="M162" s="139"/>
      <c r="N162" s="139"/>
      <c r="O162" s="139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929"/>
      <c r="AH162" s="80"/>
      <c r="AI162" s="80"/>
      <c r="AJ162" s="80"/>
      <c r="AK162" s="88"/>
      <c r="AL162" s="148"/>
    </row>
    <row r="163" spans="1:38" ht="15.75" customHeight="1">
      <c r="A163" s="6"/>
      <c r="B163" s="6"/>
      <c r="C163" s="6"/>
      <c r="D163" s="6"/>
      <c r="E163" s="6"/>
      <c r="F163" s="6"/>
      <c r="G163" s="80"/>
      <c r="H163" s="6"/>
      <c r="I163" s="6"/>
      <c r="J163" s="6"/>
      <c r="K163" s="6"/>
      <c r="L163" s="139"/>
      <c r="M163" s="139"/>
      <c r="N163" s="139"/>
      <c r="O163" s="139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929"/>
      <c r="AH163" s="80"/>
      <c r="AI163" s="80"/>
      <c r="AJ163" s="80"/>
      <c r="AK163" s="88"/>
      <c r="AL163" s="148"/>
    </row>
    <row r="164" spans="1:38" ht="15.75" customHeight="1">
      <c r="A164" s="6"/>
      <c r="B164" s="6"/>
      <c r="C164" s="6"/>
      <c r="D164" s="6"/>
      <c r="E164" s="6"/>
      <c r="F164" s="6"/>
      <c r="G164" s="80"/>
      <c r="H164" s="6"/>
      <c r="I164" s="6"/>
      <c r="J164" s="6"/>
      <c r="K164" s="6"/>
      <c r="L164" s="139"/>
      <c r="M164" s="139"/>
      <c r="N164" s="139"/>
      <c r="O164" s="139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929"/>
      <c r="AH164" s="80"/>
      <c r="AI164" s="80"/>
      <c r="AJ164" s="80"/>
      <c r="AK164" s="88"/>
      <c r="AL164" s="148"/>
    </row>
    <row r="165" spans="1:38" ht="15.75" customHeight="1">
      <c r="A165" s="6"/>
      <c r="B165" s="6"/>
      <c r="C165" s="6"/>
      <c r="D165" s="6"/>
      <c r="E165" s="6"/>
      <c r="F165" s="6"/>
      <c r="G165" s="80"/>
      <c r="H165" s="6"/>
      <c r="I165" s="6"/>
      <c r="J165" s="6"/>
      <c r="K165" s="6"/>
      <c r="L165" s="139"/>
      <c r="M165" s="139"/>
      <c r="N165" s="139"/>
      <c r="O165" s="139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929"/>
      <c r="AH165" s="80"/>
      <c r="AI165" s="80"/>
      <c r="AJ165" s="80"/>
      <c r="AK165" s="88"/>
      <c r="AL165" s="148"/>
    </row>
    <row r="166" spans="1:38" ht="15.75" customHeight="1">
      <c r="A166" s="6"/>
      <c r="B166" s="6"/>
      <c r="C166" s="6"/>
      <c r="D166" s="6"/>
      <c r="E166" s="6"/>
      <c r="F166" s="6"/>
      <c r="G166" s="80"/>
      <c r="H166" s="6"/>
      <c r="I166" s="6"/>
      <c r="J166" s="6"/>
      <c r="K166" s="6"/>
      <c r="L166" s="139"/>
      <c r="M166" s="139"/>
      <c r="N166" s="139"/>
      <c r="O166" s="139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929"/>
      <c r="AH166" s="80"/>
      <c r="AI166" s="80"/>
      <c r="AJ166" s="80"/>
      <c r="AK166" s="88"/>
      <c r="AL166" s="148"/>
    </row>
    <row r="167" spans="1:38" ht="15.75" customHeight="1">
      <c r="A167" s="6"/>
      <c r="B167" s="6"/>
      <c r="C167" s="6"/>
      <c r="D167" s="6"/>
      <c r="E167" s="6"/>
      <c r="F167" s="6"/>
      <c r="G167" s="80"/>
      <c r="H167" s="6"/>
      <c r="I167" s="6"/>
      <c r="J167" s="6"/>
      <c r="K167" s="6"/>
      <c r="L167" s="139"/>
      <c r="M167" s="139"/>
      <c r="N167" s="139"/>
      <c r="O167" s="139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929"/>
      <c r="AH167" s="80"/>
      <c r="AI167" s="80"/>
      <c r="AJ167" s="80"/>
      <c r="AK167" s="88"/>
      <c r="AL167" s="148"/>
    </row>
    <row r="168" spans="1:38" ht="15.75" customHeight="1">
      <c r="A168" s="6"/>
      <c r="B168" s="6"/>
      <c r="C168" s="6"/>
      <c r="D168" s="6"/>
      <c r="E168" s="6"/>
      <c r="F168" s="6"/>
      <c r="G168" s="80"/>
      <c r="H168" s="6"/>
      <c r="I168" s="6"/>
      <c r="J168" s="6"/>
      <c r="K168" s="6"/>
      <c r="L168" s="139"/>
      <c r="M168" s="139"/>
      <c r="N168" s="139"/>
      <c r="O168" s="139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929"/>
      <c r="AH168" s="80"/>
      <c r="AI168" s="80"/>
      <c r="AJ168" s="80"/>
      <c r="AK168" s="88"/>
      <c r="AL168" s="148"/>
    </row>
    <row r="169" spans="1:38" ht="15.75" customHeight="1">
      <c r="A169" s="6"/>
      <c r="B169" s="6"/>
      <c r="C169" s="6"/>
      <c r="D169" s="6"/>
      <c r="E169" s="6"/>
      <c r="F169" s="6"/>
      <c r="G169" s="80"/>
      <c r="H169" s="6"/>
      <c r="I169" s="6"/>
      <c r="J169" s="6"/>
      <c r="K169" s="6"/>
      <c r="L169" s="139"/>
      <c r="M169" s="139"/>
      <c r="N169" s="139"/>
      <c r="O169" s="139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929"/>
      <c r="AH169" s="80"/>
      <c r="AI169" s="80"/>
      <c r="AJ169" s="80"/>
      <c r="AK169" s="88"/>
      <c r="AL169" s="148"/>
    </row>
    <row r="170" spans="1:38" ht="15.75" customHeight="1">
      <c r="A170" s="6"/>
      <c r="B170" s="6"/>
      <c r="C170" s="6"/>
      <c r="D170" s="6"/>
      <c r="E170" s="6"/>
      <c r="F170" s="6"/>
      <c r="G170" s="80"/>
      <c r="H170" s="6"/>
      <c r="I170" s="6"/>
      <c r="J170" s="6"/>
      <c r="K170" s="6"/>
      <c r="L170" s="139"/>
      <c r="M170" s="139"/>
      <c r="N170" s="139"/>
      <c r="O170" s="139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929"/>
      <c r="AH170" s="80"/>
      <c r="AI170" s="80"/>
      <c r="AJ170" s="80"/>
      <c r="AK170" s="88"/>
      <c r="AL170" s="148"/>
    </row>
    <row r="171" spans="1:38" ht="15.75" customHeight="1">
      <c r="A171" s="6"/>
      <c r="B171" s="6"/>
      <c r="C171" s="6"/>
      <c r="D171" s="6"/>
      <c r="E171" s="6"/>
      <c r="F171" s="6"/>
      <c r="G171" s="80"/>
      <c r="H171" s="6"/>
      <c r="I171" s="6"/>
      <c r="J171" s="6"/>
      <c r="K171" s="6"/>
      <c r="L171" s="139"/>
      <c r="M171" s="139"/>
      <c r="N171" s="139"/>
      <c r="O171" s="139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929"/>
      <c r="AH171" s="80"/>
      <c r="AI171" s="80"/>
      <c r="AJ171" s="80"/>
      <c r="AK171" s="88"/>
      <c r="AL171" s="148"/>
    </row>
    <row r="172" spans="1:38" ht="15.75" customHeight="1">
      <c r="A172" s="6"/>
      <c r="B172" s="6"/>
      <c r="C172" s="6"/>
      <c r="D172" s="6"/>
      <c r="E172" s="6"/>
      <c r="F172" s="6"/>
      <c r="G172" s="80"/>
      <c r="H172" s="6"/>
      <c r="I172" s="6"/>
      <c r="J172" s="6"/>
      <c r="K172" s="6"/>
      <c r="L172" s="139"/>
      <c r="M172" s="139"/>
      <c r="N172" s="139"/>
      <c r="O172" s="139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929"/>
      <c r="AH172" s="80"/>
      <c r="AI172" s="80"/>
      <c r="AJ172" s="80"/>
      <c r="AK172" s="88"/>
      <c r="AL172" s="148"/>
    </row>
    <row r="173" spans="1:38" ht="15.75" customHeight="1">
      <c r="A173" s="6"/>
      <c r="B173" s="6"/>
      <c r="C173" s="6"/>
      <c r="D173" s="6"/>
      <c r="E173" s="6"/>
      <c r="F173" s="6"/>
      <c r="G173" s="80"/>
      <c r="H173" s="6"/>
      <c r="I173" s="6"/>
      <c r="J173" s="6"/>
      <c r="K173" s="6"/>
      <c r="L173" s="139"/>
      <c r="M173" s="139"/>
      <c r="N173" s="139"/>
      <c r="O173" s="139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929"/>
      <c r="AH173" s="80"/>
      <c r="AI173" s="80"/>
      <c r="AJ173" s="80"/>
      <c r="AK173" s="88"/>
      <c r="AL173" s="148"/>
    </row>
    <row r="174" spans="1:38" ht="15.75" customHeight="1">
      <c r="A174" s="6"/>
      <c r="B174" s="6"/>
      <c r="C174" s="6"/>
      <c r="D174" s="6"/>
      <c r="E174" s="6"/>
      <c r="F174" s="6"/>
      <c r="G174" s="80"/>
      <c r="H174" s="6"/>
      <c r="I174" s="6"/>
      <c r="J174" s="6"/>
      <c r="K174" s="6"/>
      <c r="L174" s="139"/>
      <c r="M174" s="139"/>
      <c r="N174" s="139"/>
      <c r="O174" s="139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929"/>
      <c r="AH174" s="80"/>
      <c r="AI174" s="80"/>
      <c r="AJ174" s="80"/>
      <c r="AK174" s="88"/>
      <c r="AL174" s="148"/>
    </row>
    <row r="175" spans="1:38" ht="15.75" customHeight="1">
      <c r="A175" s="6"/>
      <c r="B175" s="6"/>
      <c r="C175" s="6"/>
      <c r="D175" s="6"/>
      <c r="E175" s="6"/>
      <c r="F175" s="6"/>
      <c r="G175" s="80"/>
      <c r="H175" s="6"/>
      <c r="I175" s="6"/>
      <c r="J175" s="6"/>
      <c r="K175" s="6"/>
      <c r="L175" s="139"/>
      <c r="M175" s="139"/>
      <c r="N175" s="139"/>
      <c r="O175" s="139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929"/>
      <c r="AH175" s="80"/>
      <c r="AI175" s="80"/>
      <c r="AJ175" s="80"/>
      <c r="AK175" s="88"/>
      <c r="AL175" s="148"/>
    </row>
    <row r="176" spans="1:38" ht="15.75" customHeight="1">
      <c r="A176" s="6"/>
      <c r="B176" s="6"/>
      <c r="C176" s="6"/>
      <c r="D176" s="6"/>
      <c r="E176" s="6"/>
      <c r="F176" s="6"/>
      <c r="G176" s="80"/>
      <c r="H176" s="6"/>
      <c r="I176" s="6"/>
      <c r="J176" s="6"/>
      <c r="K176" s="6"/>
      <c r="L176" s="139"/>
      <c r="M176" s="139"/>
      <c r="N176" s="139"/>
      <c r="O176" s="139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929"/>
      <c r="AH176" s="80"/>
      <c r="AI176" s="80"/>
      <c r="AJ176" s="80"/>
      <c r="AK176" s="88"/>
      <c r="AL176" s="148"/>
    </row>
    <row r="177" spans="1:38" ht="15.75" customHeight="1">
      <c r="A177" s="6"/>
      <c r="B177" s="6"/>
      <c r="C177" s="6"/>
      <c r="D177" s="6"/>
      <c r="E177" s="6"/>
      <c r="F177" s="6"/>
      <c r="G177" s="80"/>
      <c r="H177" s="6"/>
      <c r="I177" s="6"/>
      <c r="J177" s="6"/>
      <c r="K177" s="6"/>
      <c r="L177" s="139"/>
      <c r="M177" s="139"/>
      <c r="N177" s="139"/>
      <c r="O177" s="139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929"/>
      <c r="AH177" s="80"/>
      <c r="AI177" s="80"/>
      <c r="AJ177" s="80"/>
      <c r="AK177" s="88"/>
      <c r="AL177" s="148"/>
    </row>
    <row r="178" spans="1:38" ht="15.75" customHeight="1">
      <c r="A178" s="6"/>
      <c r="B178" s="6"/>
      <c r="C178" s="6"/>
      <c r="D178" s="6"/>
      <c r="E178" s="6"/>
      <c r="F178" s="6"/>
      <c r="G178" s="80"/>
      <c r="H178" s="6"/>
      <c r="I178" s="6"/>
      <c r="J178" s="6"/>
      <c r="K178" s="6"/>
      <c r="L178" s="139"/>
      <c r="M178" s="139"/>
      <c r="N178" s="139"/>
      <c r="O178" s="139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929"/>
      <c r="AH178" s="80"/>
      <c r="AI178" s="80"/>
      <c r="AJ178" s="80"/>
      <c r="AK178" s="88"/>
      <c r="AL178" s="148"/>
    </row>
    <row r="179" spans="1:38" ht="15.75" customHeight="1">
      <c r="A179" s="6"/>
      <c r="B179" s="6"/>
      <c r="C179" s="6"/>
      <c r="D179" s="6"/>
      <c r="E179" s="6"/>
      <c r="F179" s="6"/>
      <c r="G179" s="80"/>
      <c r="H179" s="6"/>
      <c r="I179" s="6"/>
      <c r="J179" s="6"/>
      <c r="K179" s="6"/>
      <c r="L179" s="139"/>
      <c r="M179" s="139"/>
      <c r="N179" s="139"/>
      <c r="O179" s="139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929"/>
      <c r="AH179" s="80"/>
      <c r="AI179" s="80"/>
      <c r="AJ179" s="80"/>
      <c r="AK179" s="88"/>
      <c r="AL179" s="148"/>
    </row>
    <row r="180" spans="1:38" ht="15.75" customHeight="1">
      <c r="A180" s="6"/>
      <c r="B180" s="6"/>
      <c r="C180" s="6"/>
      <c r="D180" s="6"/>
      <c r="E180" s="6"/>
      <c r="F180" s="6"/>
      <c r="G180" s="80"/>
      <c r="H180" s="6"/>
      <c r="I180" s="6"/>
      <c r="J180" s="6"/>
      <c r="K180" s="6"/>
      <c r="L180" s="139"/>
      <c r="M180" s="139"/>
      <c r="N180" s="139"/>
      <c r="O180" s="139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929"/>
      <c r="AH180" s="80"/>
      <c r="AI180" s="80"/>
      <c r="AJ180" s="80"/>
      <c r="AK180" s="88"/>
      <c r="AL180" s="148"/>
    </row>
    <row r="181" spans="1:38" ht="15.75" customHeight="1">
      <c r="A181" s="6"/>
      <c r="B181" s="6"/>
      <c r="C181" s="6"/>
      <c r="D181" s="6"/>
      <c r="E181" s="6"/>
      <c r="F181" s="6"/>
      <c r="G181" s="80"/>
      <c r="H181" s="6"/>
      <c r="I181" s="6"/>
      <c r="J181" s="6"/>
      <c r="K181" s="6"/>
      <c r="L181" s="139"/>
      <c r="M181" s="139"/>
      <c r="N181" s="139"/>
      <c r="O181" s="139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929"/>
      <c r="AH181" s="80"/>
      <c r="AI181" s="80"/>
      <c r="AJ181" s="80"/>
      <c r="AK181" s="88"/>
      <c r="AL181" s="148"/>
    </row>
    <row r="182" spans="1:38" ht="15.75" customHeight="1">
      <c r="A182" s="6"/>
      <c r="B182" s="6"/>
      <c r="C182" s="6"/>
      <c r="D182" s="6"/>
      <c r="E182" s="6"/>
      <c r="F182" s="6"/>
      <c r="G182" s="80"/>
      <c r="H182" s="6"/>
      <c r="I182" s="6"/>
      <c r="J182" s="6"/>
      <c r="K182" s="6"/>
      <c r="L182" s="139"/>
      <c r="M182" s="139"/>
      <c r="N182" s="139"/>
      <c r="O182" s="139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929"/>
      <c r="AH182" s="80"/>
      <c r="AI182" s="80"/>
      <c r="AJ182" s="80"/>
      <c r="AK182" s="88"/>
      <c r="AL182" s="148"/>
    </row>
    <row r="183" spans="1:38" ht="15.75" customHeight="1">
      <c r="A183" s="6"/>
      <c r="B183" s="6"/>
      <c r="C183" s="6"/>
      <c r="D183" s="6"/>
      <c r="E183" s="6"/>
      <c r="F183" s="6"/>
      <c r="G183" s="80"/>
      <c r="H183" s="6"/>
      <c r="I183" s="6"/>
      <c r="J183" s="6"/>
      <c r="K183" s="6"/>
      <c r="L183" s="139"/>
      <c r="M183" s="139"/>
      <c r="N183" s="139"/>
      <c r="O183" s="139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929"/>
      <c r="AH183" s="80"/>
      <c r="AI183" s="80"/>
      <c r="AJ183" s="80"/>
      <c r="AK183" s="88"/>
      <c r="AL183" s="148"/>
    </row>
    <row r="184" spans="1:38" ht="15.75" customHeight="1">
      <c r="A184" s="6"/>
      <c r="B184" s="6"/>
      <c r="C184" s="6"/>
      <c r="D184" s="6"/>
      <c r="E184" s="6"/>
      <c r="F184" s="6"/>
      <c r="G184" s="80"/>
      <c r="H184" s="6"/>
      <c r="I184" s="6"/>
      <c r="J184" s="6"/>
      <c r="K184" s="6"/>
      <c r="L184" s="139"/>
      <c r="M184" s="139"/>
      <c r="N184" s="139"/>
      <c r="O184" s="139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929"/>
      <c r="AH184" s="80"/>
      <c r="AI184" s="80"/>
      <c r="AJ184" s="80"/>
      <c r="AK184" s="88"/>
      <c r="AL184" s="148"/>
    </row>
    <row r="185" spans="1:38" ht="15.75" customHeight="1">
      <c r="A185" s="6"/>
      <c r="B185" s="6"/>
      <c r="C185" s="6"/>
      <c r="D185" s="6"/>
      <c r="E185" s="6"/>
      <c r="F185" s="6"/>
      <c r="G185" s="80"/>
      <c r="H185" s="6"/>
      <c r="I185" s="6"/>
      <c r="J185" s="6"/>
      <c r="K185" s="6"/>
      <c r="L185" s="139"/>
      <c r="M185" s="139"/>
      <c r="N185" s="139"/>
      <c r="O185" s="139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929"/>
      <c r="AH185" s="80"/>
      <c r="AI185" s="80"/>
      <c r="AJ185" s="80"/>
      <c r="AK185" s="88"/>
      <c r="AL185" s="148"/>
    </row>
    <row r="186" spans="1:38" ht="15.75" customHeight="1">
      <c r="A186" s="6"/>
      <c r="B186" s="6"/>
      <c r="C186" s="6"/>
      <c r="D186" s="6"/>
      <c r="E186" s="6"/>
      <c r="F186" s="6"/>
      <c r="G186" s="80"/>
      <c r="H186" s="6"/>
      <c r="I186" s="6"/>
      <c r="J186" s="6"/>
      <c r="K186" s="6"/>
      <c r="L186" s="139"/>
      <c r="M186" s="139"/>
      <c r="N186" s="139"/>
      <c r="O186" s="139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929"/>
      <c r="AH186" s="80"/>
      <c r="AI186" s="80"/>
      <c r="AJ186" s="80"/>
      <c r="AK186" s="88"/>
      <c r="AL186" s="148"/>
    </row>
    <row r="187" spans="1:38" ht="15.75" customHeight="1">
      <c r="A187" s="6"/>
      <c r="B187" s="6"/>
      <c r="C187" s="6"/>
      <c r="D187" s="6"/>
      <c r="E187" s="6"/>
      <c r="F187" s="6"/>
      <c r="G187" s="80"/>
      <c r="H187" s="6"/>
      <c r="I187" s="6"/>
      <c r="J187" s="6"/>
      <c r="K187" s="6"/>
      <c r="L187" s="139"/>
      <c r="M187" s="139"/>
      <c r="N187" s="139"/>
      <c r="O187" s="139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929"/>
      <c r="AH187" s="80"/>
      <c r="AI187" s="80"/>
      <c r="AJ187" s="80"/>
      <c r="AK187" s="88"/>
      <c r="AL187" s="148"/>
    </row>
    <row r="188" spans="1:38" ht="15.75" customHeight="1">
      <c r="A188" s="6"/>
      <c r="B188" s="6"/>
      <c r="C188" s="6"/>
      <c r="D188" s="6"/>
      <c r="E188" s="6"/>
      <c r="F188" s="6"/>
      <c r="G188" s="80"/>
      <c r="H188" s="6"/>
      <c r="I188" s="6"/>
      <c r="J188" s="6"/>
      <c r="K188" s="6"/>
      <c r="L188" s="139"/>
      <c r="M188" s="139"/>
      <c r="N188" s="139"/>
      <c r="O188" s="139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929"/>
      <c r="AH188" s="80"/>
      <c r="AI188" s="80"/>
      <c r="AJ188" s="80"/>
      <c r="AK188" s="88"/>
      <c r="AL188" s="148"/>
    </row>
    <row r="189" spans="1:38" ht="15.75" customHeight="1">
      <c r="A189" s="6"/>
      <c r="B189" s="6"/>
      <c r="C189" s="6"/>
      <c r="D189" s="6"/>
      <c r="E189" s="6"/>
      <c r="F189" s="6"/>
      <c r="G189" s="80"/>
      <c r="H189" s="6"/>
      <c r="I189" s="6"/>
      <c r="J189" s="6"/>
      <c r="K189" s="6"/>
      <c r="L189" s="139"/>
      <c r="M189" s="139"/>
      <c r="N189" s="139"/>
      <c r="O189" s="139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929"/>
      <c r="AH189" s="80"/>
      <c r="AI189" s="80"/>
      <c r="AJ189" s="80"/>
      <c r="AK189" s="88"/>
      <c r="AL189" s="148"/>
    </row>
    <row r="190" spans="1:38" ht="15.75" customHeight="1">
      <c r="A190" s="6"/>
      <c r="B190" s="6"/>
      <c r="C190" s="6"/>
      <c r="D190" s="6"/>
      <c r="E190" s="6"/>
      <c r="F190" s="6"/>
      <c r="G190" s="80"/>
      <c r="H190" s="6"/>
      <c r="I190" s="6"/>
      <c r="J190" s="6"/>
      <c r="K190" s="6"/>
      <c r="L190" s="139"/>
      <c r="M190" s="139"/>
      <c r="N190" s="139"/>
      <c r="O190" s="139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929"/>
      <c r="AH190" s="80"/>
      <c r="AI190" s="80"/>
      <c r="AJ190" s="80"/>
      <c r="AK190" s="88"/>
      <c r="AL190" s="148"/>
    </row>
    <row r="191" spans="1:38" ht="15.75" customHeight="1">
      <c r="A191" s="6"/>
      <c r="B191" s="6"/>
      <c r="C191" s="6"/>
      <c r="D191" s="6"/>
      <c r="E191" s="6"/>
      <c r="F191" s="6"/>
      <c r="G191" s="80"/>
      <c r="H191" s="6"/>
      <c r="I191" s="6"/>
      <c r="J191" s="6"/>
      <c r="K191" s="6"/>
      <c r="L191" s="139"/>
      <c r="M191" s="139"/>
      <c r="N191" s="139"/>
      <c r="O191" s="139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929"/>
      <c r="AH191" s="80"/>
      <c r="AI191" s="80"/>
      <c r="AJ191" s="80"/>
      <c r="AK191" s="88"/>
      <c r="AL191" s="148"/>
    </row>
    <row r="192" spans="1:38" ht="15.75" customHeight="1">
      <c r="A192" s="6"/>
      <c r="B192" s="6"/>
      <c r="C192" s="6"/>
      <c r="D192" s="6"/>
      <c r="E192" s="6"/>
      <c r="F192" s="6"/>
      <c r="G192" s="80"/>
      <c r="H192" s="6"/>
      <c r="I192" s="6"/>
      <c r="J192" s="6"/>
      <c r="K192" s="6"/>
      <c r="L192" s="139"/>
      <c r="M192" s="139"/>
      <c r="N192" s="139"/>
      <c r="O192" s="139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929"/>
      <c r="AH192" s="80"/>
      <c r="AI192" s="80"/>
      <c r="AJ192" s="80"/>
      <c r="AK192" s="88"/>
      <c r="AL192" s="148"/>
    </row>
    <row r="193" spans="1:38" ht="15.75" customHeight="1">
      <c r="A193" s="6"/>
      <c r="B193" s="6"/>
      <c r="C193" s="6"/>
      <c r="D193" s="6"/>
      <c r="E193" s="6"/>
      <c r="F193" s="6"/>
      <c r="G193" s="80"/>
      <c r="H193" s="6"/>
      <c r="I193" s="6"/>
      <c r="J193" s="6"/>
      <c r="K193" s="6"/>
      <c r="L193" s="139"/>
      <c r="M193" s="139"/>
      <c r="N193" s="139"/>
      <c r="O193" s="139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929"/>
      <c r="AH193" s="80"/>
      <c r="AI193" s="80"/>
      <c r="AJ193" s="80"/>
      <c r="AK193" s="88"/>
      <c r="AL193" s="148"/>
    </row>
    <row r="194" spans="1:38" ht="15.75" customHeight="1">
      <c r="A194" s="6"/>
      <c r="B194" s="6"/>
      <c r="C194" s="6"/>
      <c r="D194" s="6"/>
      <c r="E194" s="6"/>
      <c r="F194" s="6"/>
      <c r="G194" s="80"/>
      <c r="H194" s="6"/>
      <c r="I194" s="6"/>
      <c r="J194" s="6"/>
      <c r="K194" s="6"/>
      <c r="L194" s="139"/>
      <c r="M194" s="139"/>
      <c r="N194" s="139"/>
      <c r="O194" s="139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929"/>
      <c r="AH194" s="80"/>
      <c r="AI194" s="80"/>
      <c r="AJ194" s="80"/>
      <c r="AK194" s="88"/>
      <c r="AL194" s="148"/>
    </row>
    <row r="195" spans="1:38" ht="15.75" customHeight="1">
      <c r="A195" s="6"/>
      <c r="B195" s="6"/>
      <c r="C195" s="6"/>
      <c r="D195" s="6"/>
      <c r="E195" s="6"/>
      <c r="F195" s="6"/>
      <c r="G195" s="80"/>
      <c r="H195" s="6"/>
      <c r="I195" s="6"/>
      <c r="J195" s="6"/>
      <c r="K195" s="6"/>
      <c r="L195" s="139"/>
      <c r="M195" s="139"/>
      <c r="N195" s="139"/>
      <c r="O195" s="139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929"/>
      <c r="AH195" s="80"/>
      <c r="AI195" s="80"/>
      <c r="AJ195" s="80"/>
      <c r="AK195" s="88"/>
      <c r="AL195" s="148"/>
    </row>
    <row r="196" spans="1:38" ht="15.75" customHeight="1">
      <c r="A196" s="6"/>
      <c r="B196" s="6"/>
      <c r="C196" s="6"/>
      <c r="D196" s="6"/>
      <c r="E196" s="6"/>
      <c r="F196" s="6"/>
      <c r="G196" s="80"/>
      <c r="H196" s="6"/>
      <c r="I196" s="6"/>
      <c r="J196" s="6"/>
      <c r="K196" s="6"/>
      <c r="L196" s="139"/>
      <c r="M196" s="139"/>
      <c r="N196" s="139"/>
      <c r="O196" s="139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929"/>
      <c r="AH196" s="80"/>
      <c r="AI196" s="80"/>
      <c r="AJ196" s="80"/>
      <c r="AK196" s="88"/>
      <c r="AL196" s="148"/>
    </row>
    <row r="197" spans="1:38" ht="15.75" customHeight="1">
      <c r="A197" s="6"/>
      <c r="B197" s="6"/>
      <c r="C197" s="6"/>
      <c r="D197" s="6"/>
      <c r="E197" s="6"/>
      <c r="F197" s="6"/>
      <c r="G197" s="80"/>
      <c r="H197" s="6"/>
      <c r="I197" s="6"/>
      <c r="J197" s="6"/>
      <c r="K197" s="6"/>
      <c r="L197" s="139"/>
      <c r="M197" s="139"/>
      <c r="N197" s="139"/>
      <c r="O197" s="139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929"/>
      <c r="AH197" s="80"/>
      <c r="AI197" s="80"/>
      <c r="AJ197" s="80"/>
      <c r="AK197" s="88"/>
      <c r="AL197" s="148"/>
    </row>
    <row r="198" spans="1:38" ht="15.75" customHeight="1">
      <c r="A198" s="6"/>
      <c r="B198" s="6"/>
      <c r="C198" s="6"/>
      <c r="D198" s="6"/>
      <c r="E198" s="6"/>
      <c r="F198" s="6"/>
      <c r="G198" s="80"/>
      <c r="H198" s="6"/>
      <c r="I198" s="6"/>
      <c r="J198" s="6"/>
      <c r="K198" s="6"/>
      <c r="L198" s="139"/>
      <c r="M198" s="139"/>
      <c r="N198" s="139"/>
      <c r="O198" s="139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929"/>
      <c r="AH198" s="80"/>
      <c r="AI198" s="80"/>
      <c r="AJ198" s="80"/>
      <c r="AK198" s="88"/>
      <c r="AL198" s="148"/>
    </row>
    <row r="199" spans="1:38" ht="15.75" customHeight="1">
      <c r="A199" s="6"/>
      <c r="B199" s="6"/>
      <c r="C199" s="6"/>
      <c r="D199" s="6"/>
      <c r="E199" s="6"/>
      <c r="F199" s="6"/>
      <c r="G199" s="80"/>
      <c r="H199" s="6"/>
      <c r="I199" s="6"/>
      <c r="J199" s="6"/>
      <c r="K199" s="6"/>
      <c r="L199" s="139"/>
      <c r="M199" s="139"/>
      <c r="N199" s="139"/>
      <c r="O199" s="139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929"/>
      <c r="AH199" s="80"/>
      <c r="AI199" s="80"/>
      <c r="AJ199" s="80"/>
      <c r="AK199" s="88"/>
      <c r="AL199" s="148"/>
    </row>
    <row r="200" spans="1:38" ht="15.75" customHeight="1">
      <c r="A200" s="6"/>
      <c r="B200" s="6"/>
      <c r="C200" s="6"/>
      <c r="D200" s="6"/>
      <c r="E200" s="6"/>
      <c r="F200" s="6"/>
      <c r="G200" s="80"/>
      <c r="H200" s="6"/>
      <c r="I200" s="6"/>
      <c r="J200" s="6"/>
      <c r="K200" s="6"/>
      <c r="L200" s="139"/>
      <c r="M200" s="139"/>
      <c r="N200" s="139"/>
      <c r="O200" s="139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929"/>
      <c r="AH200" s="80"/>
      <c r="AI200" s="80"/>
      <c r="AJ200" s="80"/>
      <c r="AK200" s="88"/>
      <c r="AL200" s="148"/>
    </row>
    <row r="201" spans="1:38" ht="15.75" customHeight="1">
      <c r="A201" s="6"/>
      <c r="B201" s="6"/>
      <c r="C201" s="6"/>
      <c r="D201" s="6"/>
      <c r="E201" s="6"/>
      <c r="F201" s="6"/>
      <c r="G201" s="80"/>
      <c r="H201" s="6"/>
      <c r="I201" s="6"/>
      <c r="J201" s="6"/>
      <c r="K201" s="6"/>
      <c r="L201" s="139"/>
      <c r="M201" s="139"/>
      <c r="N201" s="139"/>
      <c r="O201" s="139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929"/>
      <c r="AH201" s="80"/>
      <c r="AI201" s="80"/>
      <c r="AJ201" s="80"/>
      <c r="AK201" s="88"/>
      <c r="AL201" s="148"/>
    </row>
    <row r="202" spans="1:38" ht="15.75" customHeight="1">
      <c r="A202" s="6"/>
      <c r="B202" s="6"/>
      <c r="C202" s="6"/>
      <c r="D202" s="6"/>
      <c r="E202" s="6"/>
      <c r="F202" s="6"/>
      <c r="G202" s="80"/>
      <c r="H202" s="6"/>
      <c r="I202" s="6"/>
      <c r="J202" s="6"/>
      <c r="K202" s="6"/>
      <c r="L202" s="139"/>
      <c r="M202" s="139"/>
      <c r="N202" s="139"/>
      <c r="O202" s="139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929"/>
      <c r="AH202" s="80"/>
      <c r="AI202" s="80"/>
      <c r="AJ202" s="80"/>
      <c r="AK202" s="88"/>
      <c r="AL202" s="148"/>
    </row>
    <row r="203" spans="1:38" ht="15.75" customHeight="1">
      <c r="A203" s="6"/>
      <c r="B203" s="6"/>
      <c r="C203" s="6"/>
      <c r="D203" s="6"/>
      <c r="E203" s="6"/>
      <c r="F203" s="6"/>
      <c r="G203" s="80"/>
      <c r="H203" s="6"/>
      <c r="I203" s="6"/>
      <c r="J203" s="6"/>
      <c r="K203" s="6"/>
      <c r="L203" s="139"/>
      <c r="M203" s="139"/>
      <c r="N203" s="139"/>
      <c r="O203" s="139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929"/>
      <c r="AH203" s="80"/>
      <c r="AI203" s="80"/>
      <c r="AJ203" s="80"/>
      <c r="AK203" s="88"/>
      <c r="AL203" s="148"/>
    </row>
    <row r="204" spans="1:38" ht="15.75" customHeight="1">
      <c r="A204" s="6"/>
      <c r="B204" s="6"/>
      <c r="C204" s="6"/>
      <c r="D204" s="6"/>
      <c r="E204" s="6"/>
      <c r="F204" s="6"/>
      <c r="G204" s="80"/>
      <c r="H204" s="6"/>
      <c r="I204" s="6"/>
      <c r="J204" s="6"/>
      <c r="K204" s="6"/>
      <c r="L204" s="139"/>
      <c r="M204" s="139"/>
      <c r="N204" s="139"/>
      <c r="O204" s="139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929"/>
      <c r="AH204" s="80"/>
      <c r="AI204" s="80"/>
      <c r="AJ204" s="80"/>
      <c r="AK204" s="88"/>
      <c r="AL204" s="148"/>
    </row>
    <row r="205" spans="1:38" ht="15.75" customHeight="1">
      <c r="A205" s="6"/>
      <c r="B205" s="6"/>
      <c r="C205" s="6"/>
      <c r="D205" s="6"/>
      <c r="E205" s="6"/>
      <c r="F205" s="6"/>
      <c r="G205" s="80"/>
      <c r="H205" s="6"/>
      <c r="I205" s="6"/>
      <c r="J205" s="6"/>
      <c r="K205" s="6"/>
      <c r="L205" s="139"/>
      <c r="M205" s="139"/>
      <c r="N205" s="139"/>
      <c r="O205" s="139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929"/>
      <c r="AH205" s="80"/>
      <c r="AI205" s="80"/>
      <c r="AJ205" s="80"/>
      <c r="AK205" s="88"/>
      <c r="AL205" s="148"/>
    </row>
    <row r="206" spans="1:38" ht="15.75" customHeight="1">
      <c r="A206" s="6"/>
      <c r="B206" s="6"/>
      <c r="C206" s="6"/>
      <c r="D206" s="6"/>
      <c r="E206" s="6"/>
      <c r="F206" s="6"/>
      <c r="G206" s="80"/>
      <c r="H206" s="6"/>
      <c r="I206" s="6"/>
      <c r="J206" s="6"/>
      <c r="K206" s="6"/>
      <c r="L206" s="139"/>
      <c r="M206" s="139"/>
      <c r="N206" s="139"/>
      <c r="O206" s="139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929"/>
      <c r="AH206" s="80"/>
      <c r="AI206" s="80"/>
      <c r="AJ206" s="80"/>
      <c r="AK206" s="88"/>
      <c r="AL206" s="148"/>
    </row>
    <row r="207" spans="1:38" ht="15.75" customHeight="1">
      <c r="A207" s="6"/>
      <c r="B207" s="6"/>
      <c r="C207" s="6"/>
      <c r="D207" s="6"/>
      <c r="E207" s="6"/>
      <c r="F207" s="6"/>
      <c r="G207" s="80"/>
      <c r="H207" s="6"/>
      <c r="I207" s="6"/>
      <c r="J207" s="6"/>
      <c r="K207" s="6"/>
      <c r="L207" s="139"/>
      <c r="M207" s="139"/>
      <c r="N207" s="139"/>
      <c r="O207" s="139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929"/>
      <c r="AH207" s="80"/>
      <c r="AI207" s="80"/>
      <c r="AJ207" s="80"/>
      <c r="AK207" s="88"/>
      <c r="AL207" s="148"/>
    </row>
    <row r="208" spans="1:38" ht="15.75" customHeight="1">
      <c r="A208" s="6"/>
      <c r="B208" s="6"/>
      <c r="C208" s="6"/>
      <c r="D208" s="6"/>
      <c r="E208" s="6"/>
      <c r="F208" s="6"/>
      <c r="G208" s="80"/>
      <c r="H208" s="6"/>
      <c r="I208" s="6"/>
      <c r="J208" s="6"/>
      <c r="K208" s="6"/>
      <c r="L208" s="139"/>
      <c r="M208" s="139"/>
      <c r="N208" s="139"/>
      <c r="O208" s="139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929"/>
      <c r="AH208" s="80"/>
      <c r="AI208" s="80"/>
      <c r="AJ208" s="80"/>
      <c r="AK208" s="88"/>
      <c r="AL208" s="148"/>
    </row>
    <row r="209" spans="1:38" ht="15.75" customHeight="1">
      <c r="A209" s="6"/>
      <c r="B209" s="6"/>
      <c r="C209" s="6"/>
      <c r="D209" s="6"/>
      <c r="E209" s="6"/>
      <c r="F209" s="6"/>
      <c r="G209" s="80"/>
      <c r="H209" s="6"/>
      <c r="I209" s="6"/>
      <c r="J209" s="6"/>
      <c r="K209" s="6"/>
      <c r="L209" s="139"/>
      <c r="M209" s="139"/>
      <c r="N209" s="139"/>
      <c r="O209" s="139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929"/>
      <c r="AH209" s="80"/>
      <c r="AI209" s="80"/>
      <c r="AJ209" s="80"/>
      <c r="AK209" s="88"/>
      <c r="AL209" s="148"/>
    </row>
    <row r="210" spans="1:38" ht="15.75" customHeight="1">
      <c r="A210" s="6"/>
      <c r="B210" s="6"/>
      <c r="C210" s="6"/>
      <c r="D210" s="6"/>
      <c r="E210" s="6"/>
      <c r="F210" s="6"/>
      <c r="G210" s="80"/>
      <c r="H210" s="6"/>
      <c r="I210" s="6"/>
      <c r="J210" s="6"/>
      <c r="K210" s="6"/>
      <c r="L210" s="139"/>
      <c r="M210" s="139"/>
      <c r="N210" s="139"/>
      <c r="O210" s="139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929"/>
      <c r="AH210" s="80"/>
      <c r="AI210" s="80"/>
      <c r="AJ210" s="80"/>
      <c r="AK210" s="88"/>
      <c r="AL210" s="148"/>
    </row>
    <row r="211" spans="1:38" ht="15.75" customHeight="1">
      <c r="A211" s="6"/>
      <c r="B211" s="6"/>
      <c r="C211" s="6"/>
      <c r="D211" s="6"/>
      <c r="E211" s="6"/>
      <c r="F211" s="6"/>
      <c r="G211" s="80"/>
      <c r="H211" s="6"/>
      <c r="I211" s="6"/>
      <c r="J211" s="6"/>
      <c r="K211" s="6"/>
      <c r="L211" s="139"/>
      <c r="M211" s="139"/>
      <c r="N211" s="139"/>
      <c r="O211" s="139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929"/>
      <c r="AH211" s="80"/>
      <c r="AI211" s="80"/>
      <c r="AJ211" s="80"/>
      <c r="AK211" s="88"/>
      <c r="AL211" s="148"/>
    </row>
    <row r="212" spans="1:38" ht="15.75" customHeight="1">
      <c r="A212" s="6"/>
      <c r="B212" s="6"/>
      <c r="C212" s="6"/>
      <c r="D212" s="6"/>
      <c r="E212" s="6"/>
      <c r="F212" s="6"/>
      <c r="G212" s="80"/>
      <c r="H212" s="6"/>
      <c r="I212" s="6"/>
      <c r="J212" s="6"/>
      <c r="K212" s="6"/>
      <c r="L212" s="139"/>
      <c r="M212" s="139"/>
      <c r="N212" s="139"/>
      <c r="O212" s="139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929"/>
      <c r="AH212" s="80"/>
      <c r="AI212" s="80"/>
      <c r="AJ212" s="80"/>
      <c r="AK212" s="88"/>
      <c r="AL212" s="148"/>
    </row>
    <row r="213" spans="1:38" ht="15.75" customHeight="1">
      <c r="A213" s="6"/>
      <c r="B213" s="6"/>
      <c r="C213" s="6"/>
      <c r="D213" s="6"/>
      <c r="E213" s="6"/>
      <c r="F213" s="6"/>
      <c r="G213" s="80"/>
      <c r="H213" s="6"/>
      <c r="I213" s="6"/>
      <c r="J213" s="6"/>
      <c r="K213" s="6"/>
      <c r="L213" s="139"/>
      <c r="M213" s="139"/>
      <c r="N213" s="139"/>
      <c r="O213" s="139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929"/>
      <c r="AH213" s="80"/>
      <c r="AI213" s="80"/>
      <c r="AJ213" s="80"/>
      <c r="AK213" s="88"/>
      <c r="AL213" s="148"/>
    </row>
    <row r="214" spans="1:38" ht="15.75" customHeight="1">
      <c r="A214" s="6"/>
      <c r="B214" s="6"/>
      <c r="C214" s="6"/>
      <c r="D214" s="6"/>
      <c r="E214" s="6"/>
      <c r="F214" s="6"/>
      <c r="G214" s="80"/>
      <c r="H214" s="6"/>
      <c r="I214" s="6"/>
      <c r="J214" s="6"/>
      <c r="K214" s="6"/>
      <c r="L214" s="139"/>
      <c r="M214" s="139"/>
      <c r="N214" s="139"/>
      <c r="O214" s="139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929"/>
      <c r="AH214" s="80"/>
      <c r="AI214" s="80"/>
      <c r="AJ214" s="80"/>
      <c r="AK214" s="88"/>
      <c r="AL214" s="148"/>
    </row>
    <row r="215" spans="1:38" ht="15.75" customHeight="1">
      <c r="A215" s="6"/>
      <c r="B215" s="6"/>
      <c r="C215" s="6"/>
      <c r="D215" s="6"/>
      <c r="E215" s="6"/>
      <c r="F215" s="6"/>
      <c r="G215" s="80"/>
      <c r="H215" s="6"/>
      <c r="I215" s="6"/>
      <c r="J215" s="6"/>
      <c r="K215" s="6"/>
      <c r="L215" s="139"/>
      <c r="M215" s="139"/>
      <c r="N215" s="139"/>
      <c r="O215" s="139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929"/>
      <c r="AH215" s="80"/>
      <c r="AI215" s="80"/>
      <c r="AJ215" s="80"/>
      <c r="AK215" s="88"/>
      <c r="AL215" s="148"/>
    </row>
    <row r="216" spans="1:38" ht="15.75" customHeight="1">
      <c r="A216" s="6"/>
      <c r="B216" s="6"/>
      <c r="C216" s="6"/>
      <c r="D216" s="6"/>
      <c r="E216" s="6"/>
      <c r="F216" s="6"/>
      <c r="G216" s="80"/>
      <c r="H216" s="6"/>
      <c r="I216" s="6"/>
      <c r="J216" s="6"/>
      <c r="K216" s="6"/>
      <c r="L216" s="139"/>
      <c r="M216" s="139"/>
      <c r="N216" s="139"/>
      <c r="O216" s="139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929"/>
      <c r="AH216" s="80"/>
      <c r="AI216" s="80"/>
      <c r="AJ216" s="80"/>
      <c r="AK216" s="88"/>
      <c r="AL216" s="148"/>
    </row>
    <row r="217" spans="1:38" ht="15.75" customHeight="1">
      <c r="A217" s="6"/>
      <c r="B217" s="6"/>
      <c r="C217" s="6"/>
      <c r="D217" s="6"/>
      <c r="E217" s="6"/>
      <c r="F217" s="6"/>
      <c r="G217" s="80"/>
      <c r="H217" s="6"/>
      <c r="I217" s="6"/>
      <c r="J217" s="6"/>
      <c r="K217" s="6"/>
      <c r="L217" s="139"/>
      <c r="M217" s="139"/>
      <c r="N217" s="139"/>
      <c r="O217" s="139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929"/>
      <c r="AH217" s="80"/>
      <c r="AI217" s="80"/>
      <c r="AJ217" s="80"/>
      <c r="AK217" s="88"/>
      <c r="AL217" s="148"/>
    </row>
    <row r="218" spans="1:38" ht="15.75" customHeight="1">
      <c r="A218" s="6"/>
      <c r="B218" s="6"/>
      <c r="C218" s="6"/>
      <c r="D218" s="6"/>
      <c r="E218" s="6"/>
      <c r="F218" s="6"/>
      <c r="G218" s="80"/>
      <c r="H218" s="6"/>
      <c r="I218" s="6"/>
      <c r="J218" s="6"/>
      <c r="K218" s="6"/>
      <c r="L218" s="139"/>
      <c r="M218" s="139"/>
      <c r="N218" s="139"/>
      <c r="O218" s="139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929"/>
      <c r="AH218" s="80"/>
      <c r="AI218" s="80"/>
      <c r="AJ218" s="80"/>
      <c r="AK218" s="88"/>
      <c r="AL218" s="148"/>
    </row>
    <row r="219" spans="1:38" ht="15.75" customHeight="1">
      <c r="A219" s="6"/>
      <c r="B219" s="6"/>
      <c r="C219" s="6"/>
      <c r="D219" s="6"/>
      <c r="E219" s="6"/>
      <c r="F219" s="6"/>
      <c r="G219" s="80"/>
      <c r="H219" s="6"/>
      <c r="I219" s="6"/>
      <c r="J219" s="6"/>
      <c r="K219" s="6"/>
      <c r="L219" s="139"/>
      <c r="M219" s="139"/>
      <c r="N219" s="139"/>
      <c r="O219" s="139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929"/>
      <c r="AH219" s="80"/>
      <c r="AI219" s="80"/>
      <c r="AJ219" s="80"/>
      <c r="AK219" s="88"/>
      <c r="AL219" s="148"/>
    </row>
    <row r="220" spans="1:38" ht="15.75" customHeight="1">
      <c r="A220" s="6"/>
      <c r="B220" s="6"/>
      <c r="C220" s="6"/>
      <c r="D220" s="6"/>
      <c r="E220" s="6"/>
      <c r="F220" s="6"/>
      <c r="G220" s="80"/>
      <c r="H220" s="6"/>
      <c r="I220" s="6"/>
      <c r="J220" s="6"/>
      <c r="K220" s="6"/>
      <c r="L220" s="139"/>
      <c r="M220" s="139"/>
      <c r="N220" s="139"/>
      <c r="O220" s="139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929"/>
      <c r="AH220" s="80"/>
      <c r="AI220" s="80"/>
      <c r="AJ220" s="80"/>
      <c r="AK220" s="88"/>
      <c r="AL220" s="148"/>
    </row>
    <row r="221" spans="1:38" ht="15.75" customHeight="1">
      <c r="A221" s="6"/>
      <c r="B221" s="6"/>
      <c r="C221" s="6"/>
      <c r="D221" s="6"/>
      <c r="E221" s="6"/>
      <c r="F221" s="6"/>
      <c r="G221" s="80"/>
      <c r="H221" s="6"/>
      <c r="I221" s="6"/>
      <c r="J221" s="6"/>
      <c r="K221" s="6"/>
      <c r="L221" s="139"/>
      <c r="M221" s="139"/>
      <c r="N221" s="139"/>
      <c r="O221" s="139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929"/>
      <c r="AH221" s="80"/>
      <c r="AI221" s="80"/>
      <c r="AJ221" s="80"/>
      <c r="AK221" s="88"/>
      <c r="AL221" s="148"/>
    </row>
    <row r="222" spans="1:38" ht="15.75" customHeight="1">
      <c r="A222" s="6"/>
      <c r="B222" s="6"/>
      <c r="C222" s="6"/>
      <c r="D222" s="6"/>
      <c r="E222" s="6"/>
      <c r="F222" s="6"/>
      <c r="G222" s="80"/>
      <c r="H222" s="6"/>
      <c r="I222" s="6"/>
      <c r="J222" s="6"/>
      <c r="K222" s="6"/>
      <c r="L222" s="139"/>
      <c r="M222" s="139"/>
      <c r="N222" s="139"/>
      <c r="O222" s="139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929"/>
      <c r="AH222" s="80"/>
      <c r="AI222" s="80"/>
      <c r="AJ222" s="80"/>
      <c r="AK222" s="88"/>
      <c r="AL222" s="148"/>
    </row>
    <row r="223" spans="1:38" ht="15.75" customHeight="1">
      <c r="A223" s="6"/>
      <c r="B223" s="6"/>
      <c r="C223" s="6"/>
      <c r="D223" s="6"/>
      <c r="E223" s="6"/>
      <c r="F223" s="6"/>
      <c r="G223" s="80"/>
      <c r="H223" s="6"/>
      <c r="I223" s="6"/>
      <c r="J223" s="6"/>
      <c r="K223" s="6"/>
      <c r="L223" s="139"/>
      <c r="M223" s="139"/>
      <c r="N223" s="139"/>
      <c r="O223" s="139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929"/>
      <c r="AH223" s="80"/>
      <c r="AI223" s="80"/>
      <c r="AJ223" s="80"/>
      <c r="AK223" s="88"/>
      <c r="AL223" s="148"/>
    </row>
    <row r="224" spans="1:38" ht="15.75" customHeight="1">
      <c r="A224" s="6"/>
      <c r="B224" s="6"/>
      <c r="C224" s="6"/>
      <c r="D224" s="6"/>
      <c r="E224" s="6"/>
      <c r="F224" s="6"/>
      <c r="G224" s="80"/>
      <c r="H224" s="6"/>
      <c r="I224" s="6"/>
      <c r="J224" s="6"/>
      <c r="K224" s="6"/>
      <c r="L224" s="139"/>
      <c r="M224" s="139"/>
      <c r="N224" s="139"/>
      <c r="O224" s="139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929"/>
      <c r="AH224" s="80"/>
      <c r="AI224" s="80"/>
      <c r="AJ224" s="80"/>
      <c r="AK224" s="88"/>
      <c r="AL224" s="148"/>
    </row>
    <row r="225" spans="1:38" ht="15.75" customHeight="1">
      <c r="A225" s="6"/>
      <c r="B225" s="6"/>
      <c r="C225" s="6"/>
      <c r="D225" s="6"/>
      <c r="E225" s="6"/>
      <c r="F225" s="6"/>
      <c r="G225" s="80"/>
      <c r="H225" s="6"/>
      <c r="I225" s="6"/>
      <c r="J225" s="6"/>
      <c r="K225" s="6"/>
      <c r="L225" s="139"/>
      <c r="M225" s="139"/>
      <c r="N225" s="139"/>
      <c r="O225" s="139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929"/>
      <c r="AH225" s="80"/>
      <c r="AI225" s="80"/>
      <c r="AJ225" s="80"/>
      <c r="AK225" s="88"/>
      <c r="AL225" s="148"/>
    </row>
    <row r="226" spans="1:38" ht="15.75" customHeight="1">
      <c r="A226" s="6"/>
      <c r="B226" s="6"/>
      <c r="C226" s="6"/>
      <c r="D226" s="6"/>
      <c r="E226" s="6"/>
      <c r="F226" s="6"/>
      <c r="G226" s="80"/>
      <c r="H226" s="6"/>
      <c r="I226" s="6"/>
      <c r="J226" s="6"/>
      <c r="K226" s="6"/>
      <c r="L226" s="139"/>
      <c r="M226" s="139"/>
      <c r="N226" s="139"/>
      <c r="O226" s="139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929"/>
      <c r="AH226" s="80"/>
      <c r="AI226" s="80"/>
      <c r="AJ226" s="80"/>
      <c r="AK226" s="88"/>
      <c r="AL226" s="148"/>
    </row>
    <row r="227" spans="1:38" ht="15.75" customHeight="1">
      <c r="A227" s="6"/>
      <c r="B227" s="6"/>
      <c r="C227" s="6"/>
      <c r="D227" s="6"/>
      <c r="E227" s="6"/>
      <c r="F227" s="6"/>
      <c r="G227" s="80"/>
      <c r="H227" s="6"/>
      <c r="I227" s="6"/>
      <c r="J227" s="6"/>
      <c r="K227" s="6"/>
      <c r="L227" s="139"/>
      <c r="M227" s="139"/>
      <c r="N227" s="139"/>
      <c r="O227" s="139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929"/>
      <c r="AH227" s="80"/>
      <c r="AI227" s="80"/>
      <c r="AJ227" s="80"/>
      <c r="AK227" s="88"/>
      <c r="AL227" s="148"/>
    </row>
    <row r="228" spans="1:38" ht="15.75" customHeight="1">
      <c r="A228" s="6"/>
      <c r="B228" s="6"/>
      <c r="C228" s="6"/>
      <c r="D228" s="6"/>
      <c r="E228" s="6"/>
      <c r="F228" s="6"/>
      <c r="G228" s="80"/>
      <c r="H228" s="6"/>
      <c r="I228" s="6"/>
      <c r="J228" s="6"/>
      <c r="K228" s="6"/>
      <c r="L228" s="139"/>
      <c r="M228" s="139"/>
      <c r="N228" s="139"/>
      <c r="O228" s="139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929"/>
      <c r="AH228" s="80"/>
      <c r="AI228" s="80"/>
      <c r="AJ228" s="80"/>
      <c r="AK228" s="88"/>
      <c r="AL228" s="148"/>
    </row>
    <row r="229" spans="1:38" ht="15.75" customHeight="1">
      <c r="A229" s="6"/>
      <c r="B229" s="6"/>
      <c r="C229" s="6"/>
      <c r="D229" s="6"/>
      <c r="E229" s="6"/>
      <c r="F229" s="6"/>
      <c r="G229" s="80"/>
      <c r="H229" s="6"/>
      <c r="I229" s="6"/>
      <c r="J229" s="6"/>
      <c r="K229" s="6"/>
      <c r="L229" s="139"/>
      <c r="M229" s="139"/>
      <c r="N229" s="139"/>
      <c r="O229" s="139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929"/>
      <c r="AH229" s="80"/>
      <c r="AI229" s="80"/>
      <c r="AJ229" s="80"/>
      <c r="AK229" s="88"/>
      <c r="AL229" s="148"/>
    </row>
    <row r="230" spans="1:38" ht="15.75" customHeight="1">
      <c r="A230" s="6"/>
      <c r="B230" s="6"/>
      <c r="C230" s="6"/>
      <c r="D230" s="6"/>
      <c r="E230" s="6"/>
      <c r="F230" s="6"/>
      <c r="G230" s="80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929"/>
      <c r="AH230" s="80"/>
      <c r="AI230" s="80"/>
      <c r="AJ230" s="80"/>
      <c r="AK230" s="6"/>
      <c r="AL230" s="80"/>
    </row>
    <row r="231" spans="1:38" ht="15.75" customHeight="1">
      <c r="A231" s="6"/>
      <c r="B231" s="6"/>
      <c r="C231" s="6"/>
      <c r="D231" s="6"/>
      <c r="E231" s="6"/>
      <c r="F231" s="6"/>
      <c r="G231" s="80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929"/>
      <c r="AH231" s="80"/>
      <c r="AI231" s="80"/>
      <c r="AJ231" s="80"/>
      <c r="AK231" s="6"/>
      <c r="AL231" s="80"/>
    </row>
    <row r="232" spans="1:38" ht="15.75" customHeight="1">
      <c r="A232" s="6"/>
      <c r="B232" s="6"/>
      <c r="C232" s="6"/>
      <c r="D232" s="6"/>
      <c r="E232" s="6"/>
      <c r="F232" s="6"/>
      <c r="G232" s="80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929"/>
      <c r="AH232" s="80"/>
      <c r="AI232" s="80"/>
      <c r="AJ232" s="80"/>
      <c r="AK232" s="6"/>
      <c r="AL232" s="80"/>
    </row>
    <row r="233" spans="1:38" ht="15.75" customHeight="1">
      <c r="A233" s="6"/>
      <c r="B233" s="6"/>
      <c r="C233" s="6"/>
      <c r="D233" s="6"/>
      <c r="E233" s="6"/>
      <c r="F233" s="6"/>
      <c r="G233" s="80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929"/>
      <c r="AH233" s="80"/>
      <c r="AI233" s="80"/>
      <c r="AJ233" s="80"/>
      <c r="AK233" s="6"/>
      <c r="AL233" s="80"/>
    </row>
    <row r="234" spans="1:38" ht="15.75" customHeight="1">
      <c r="A234" s="6"/>
      <c r="B234" s="6"/>
      <c r="C234" s="6"/>
      <c r="D234" s="6"/>
      <c r="E234" s="6"/>
      <c r="F234" s="6"/>
      <c r="G234" s="80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929"/>
      <c r="AH234" s="80"/>
      <c r="AI234" s="80"/>
      <c r="AJ234" s="80"/>
      <c r="AK234" s="6"/>
      <c r="AL234" s="80"/>
    </row>
    <row r="235" spans="1:38" ht="15.75" customHeight="1">
      <c r="A235" s="6"/>
      <c r="B235" s="6"/>
      <c r="C235" s="6"/>
      <c r="D235" s="6"/>
      <c r="E235" s="6"/>
      <c r="F235" s="6"/>
      <c r="G235" s="80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929"/>
      <c r="AH235" s="80"/>
      <c r="AI235" s="80"/>
      <c r="AJ235" s="80"/>
      <c r="AK235" s="6"/>
      <c r="AL235" s="80"/>
    </row>
    <row r="236" spans="1:38" ht="15.75" customHeight="1">
      <c r="A236" s="6"/>
      <c r="B236" s="6"/>
      <c r="C236" s="6"/>
      <c r="D236" s="6"/>
      <c r="E236" s="6"/>
      <c r="F236" s="6"/>
      <c r="G236" s="80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929"/>
      <c r="AH236" s="80"/>
      <c r="AI236" s="80"/>
      <c r="AJ236" s="80"/>
      <c r="AK236" s="6"/>
      <c r="AL236" s="80"/>
    </row>
    <row r="237" spans="1:38" ht="15.75" customHeight="1">
      <c r="A237" s="6"/>
      <c r="B237" s="6"/>
      <c r="C237" s="6"/>
      <c r="D237" s="6"/>
      <c r="E237" s="6"/>
      <c r="F237" s="6"/>
      <c r="G237" s="80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929"/>
      <c r="AH237" s="80"/>
      <c r="AI237" s="80"/>
      <c r="AJ237" s="80"/>
      <c r="AK237" s="6"/>
      <c r="AL237" s="80"/>
    </row>
    <row r="238" spans="1:38" ht="15.75" customHeight="1">
      <c r="A238" s="6"/>
      <c r="B238" s="6"/>
      <c r="C238" s="6"/>
      <c r="D238" s="6"/>
      <c r="E238" s="6"/>
      <c r="F238" s="6"/>
      <c r="G238" s="80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929"/>
      <c r="AH238" s="80"/>
      <c r="AI238" s="80"/>
      <c r="AJ238" s="80"/>
      <c r="AK238" s="6"/>
      <c r="AL238" s="80"/>
    </row>
    <row r="239" spans="1:38" ht="15.75" customHeight="1">
      <c r="A239" s="6"/>
      <c r="B239" s="6"/>
      <c r="C239" s="6"/>
      <c r="D239" s="6"/>
      <c r="E239" s="6"/>
      <c r="F239" s="6"/>
      <c r="G239" s="80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929"/>
      <c r="AH239" s="80"/>
      <c r="AI239" s="80"/>
      <c r="AJ239" s="80"/>
      <c r="AK239" s="6"/>
      <c r="AL239" s="80"/>
    </row>
    <row r="240" spans="1:38" ht="15.75" customHeight="1">
      <c r="A240" s="6"/>
      <c r="B240" s="6"/>
      <c r="C240" s="6"/>
      <c r="D240" s="6"/>
      <c r="E240" s="6"/>
      <c r="F240" s="6"/>
      <c r="G240" s="80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929"/>
      <c r="AH240" s="80"/>
      <c r="AI240" s="80"/>
      <c r="AJ240" s="80"/>
      <c r="AK240" s="6"/>
      <c r="AL240" s="80"/>
    </row>
    <row r="241" spans="1:38" ht="15.75" customHeight="1">
      <c r="A241" s="6"/>
      <c r="B241" s="6"/>
      <c r="C241" s="6"/>
      <c r="D241" s="6"/>
      <c r="E241" s="6"/>
      <c r="F241" s="6"/>
      <c r="G241" s="80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929"/>
      <c r="AH241" s="80"/>
      <c r="AI241" s="80"/>
      <c r="AJ241" s="80"/>
      <c r="AK241" s="6"/>
      <c r="AL241" s="80"/>
    </row>
    <row r="242" spans="1:38" ht="15.75" customHeight="1">
      <c r="A242" s="6"/>
      <c r="B242" s="6"/>
      <c r="C242" s="6"/>
      <c r="D242" s="6"/>
      <c r="E242" s="6"/>
      <c r="F242" s="6"/>
      <c r="G242" s="80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929"/>
      <c r="AH242" s="80"/>
      <c r="AI242" s="80"/>
      <c r="AJ242" s="80"/>
      <c r="AK242" s="6"/>
      <c r="AL242" s="80"/>
    </row>
    <row r="243" spans="1:38" ht="15.75" customHeight="1">
      <c r="A243" s="6"/>
      <c r="B243" s="6"/>
      <c r="C243" s="6"/>
      <c r="D243" s="6"/>
      <c r="E243" s="6"/>
      <c r="F243" s="6"/>
      <c r="G243" s="80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929"/>
      <c r="AH243" s="80"/>
      <c r="AI243" s="80"/>
      <c r="AJ243" s="80"/>
      <c r="AK243" s="6"/>
      <c r="AL243" s="80"/>
    </row>
    <row r="244" spans="1:38" ht="15.75" customHeight="1">
      <c r="A244" s="6"/>
      <c r="B244" s="6"/>
      <c r="C244" s="6"/>
      <c r="D244" s="6"/>
      <c r="E244" s="6"/>
      <c r="F244" s="6"/>
      <c r="G244" s="80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929"/>
      <c r="AH244" s="80"/>
      <c r="AI244" s="80"/>
      <c r="AJ244" s="80"/>
      <c r="AK244" s="6"/>
      <c r="AL244" s="80"/>
    </row>
    <row r="245" spans="1:38" ht="15.75" customHeight="1">
      <c r="A245" s="6"/>
      <c r="B245" s="6"/>
      <c r="C245" s="6"/>
      <c r="D245" s="6"/>
      <c r="E245" s="6"/>
      <c r="F245" s="6"/>
      <c r="G245" s="80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929"/>
      <c r="AH245" s="80"/>
      <c r="AI245" s="80"/>
      <c r="AJ245" s="80"/>
      <c r="AK245" s="6"/>
      <c r="AL245" s="80"/>
    </row>
    <row r="246" spans="1:38" ht="15.75" customHeight="1">
      <c r="A246" s="6"/>
      <c r="B246" s="6"/>
      <c r="C246" s="6"/>
      <c r="D246" s="6"/>
      <c r="E246" s="6"/>
      <c r="F246" s="6"/>
      <c r="G246" s="80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929"/>
      <c r="AH246" s="80"/>
      <c r="AI246" s="80"/>
      <c r="AJ246" s="80"/>
      <c r="AK246" s="6"/>
      <c r="AL246" s="80"/>
    </row>
    <row r="247" spans="1:38" ht="15.75" customHeight="1">
      <c r="A247" s="6"/>
      <c r="B247" s="6"/>
      <c r="C247" s="6"/>
      <c r="D247" s="6"/>
      <c r="E247" s="6"/>
      <c r="F247" s="6"/>
      <c r="G247" s="80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929"/>
      <c r="AH247" s="80"/>
      <c r="AI247" s="80"/>
      <c r="AJ247" s="80"/>
      <c r="AK247" s="6"/>
      <c r="AL247" s="80"/>
    </row>
    <row r="248" spans="1:38" ht="15.75" customHeight="1">
      <c r="A248" s="6"/>
      <c r="B248" s="6"/>
      <c r="C248" s="6"/>
      <c r="D248" s="6"/>
      <c r="E248" s="6"/>
      <c r="F248" s="6"/>
      <c r="G248" s="80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929"/>
      <c r="AH248" s="80"/>
      <c r="AI248" s="80"/>
      <c r="AJ248" s="80"/>
      <c r="AK248" s="6"/>
      <c r="AL248" s="80"/>
    </row>
    <row r="249" spans="1:38" ht="15.75" customHeight="1">
      <c r="A249" s="6"/>
      <c r="B249" s="6"/>
      <c r="C249" s="6"/>
      <c r="D249" s="6"/>
      <c r="E249" s="6"/>
      <c r="F249" s="6"/>
      <c r="G249" s="80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929"/>
      <c r="AH249" s="80"/>
      <c r="AI249" s="80"/>
      <c r="AJ249" s="80"/>
      <c r="AK249" s="6"/>
      <c r="AL249" s="80"/>
    </row>
    <row r="250" spans="1:38" ht="15.75" customHeight="1">
      <c r="A250" s="6"/>
      <c r="B250" s="6"/>
      <c r="C250" s="6"/>
      <c r="D250" s="6"/>
      <c r="E250" s="6"/>
      <c r="F250" s="6"/>
      <c r="G250" s="80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929"/>
      <c r="AH250" s="80"/>
      <c r="AI250" s="80"/>
      <c r="AJ250" s="80"/>
      <c r="AK250" s="6"/>
      <c r="AL250" s="80"/>
    </row>
    <row r="251" spans="1:38" ht="15.75" customHeight="1">
      <c r="A251" s="6"/>
      <c r="B251" s="6"/>
      <c r="C251" s="6"/>
      <c r="D251" s="6"/>
      <c r="E251" s="6"/>
      <c r="F251" s="6"/>
      <c r="G251" s="80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929"/>
      <c r="AH251" s="80"/>
      <c r="AI251" s="80"/>
      <c r="AJ251" s="80"/>
      <c r="AK251" s="6"/>
      <c r="AL251" s="80"/>
    </row>
    <row r="252" spans="1:38" ht="15.75" customHeight="1">
      <c r="A252" s="6"/>
      <c r="B252" s="6"/>
      <c r="C252" s="6"/>
      <c r="D252" s="6"/>
      <c r="E252" s="6"/>
      <c r="F252" s="6"/>
      <c r="G252" s="80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929"/>
      <c r="AH252" s="80"/>
      <c r="AI252" s="80"/>
      <c r="AJ252" s="80"/>
      <c r="AK252" s="6"/>
      <c r="AL252" s="80"/>
    </row>
    <row r="253" spans="1:38" ht="15.75" customHeight="1">
      <c r="A253" s="6"/>
      <c r="B253" s="6"/>
      <c r="C253" s="6"/>
      <c r="D253" s="6"/>
      <c r="E253" s="6"/>
      <c r="F253" s="6"/>
      <c r="G253" s="80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929"/>
      <c r="AH253" s="80"/>
      <c r="AI253" s="80"/>
      <c r="AJ253" s="80"/>
      <c r="AK253" s="6"/>
      <c r="AL253" s="80"/>
    </row>
    <row r="254" spans="1:38" ht="15.75" customHeight="1">
      <c r="A254" s="6"/>
      <c r="B254" s="6"/>
      <c r="C254" s="6"/>
      <c r="D254" s="6"/>
      <c r="E254" s="6"/>
      <c r="F254" s="6"/>
      <c r="G254" s="80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929"/>
      <c r="AH254" s="80"/>
      <c r="AI254" s="80"/>
      <c r="AJ254" s="80"/>
      <c r="AK254" s="6"/>
      <c r="AL254" s="80"/>
    </row>
    <row r="255" spans="1:38" ht="15.75" customHeight="1">
      <c r="A255" s="6"/>
      <c r="B255" s="6"/>
      <c r="C255" s="6"/>
      <c r="D255" s="6"/>
      <c r="E255" s="6"/>
      <c r="F255" s="6"/>
      <c r="G255" s="80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929"/>
      <c r="AH255" s="80"/>
      <c r="AI255" s="80"/>
      <c r="AJ255" s="80"/>
      <c r="AK255" s="6"/>
      <c r="AL255" s="80"/>
    </row>
    <row r="256" spans="1:38" ht="15.75" customHeight="1">
      <c r="A256" s="6"/>
      <c r="B256" s="6"/>
      <c r="C256" s="6"/>
      <c r="D256" s="6"/>
      <c r="E256" s="6"/>
      <c r="F256" s="6"/>
      <c r="G256" s="80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929"/>
      <c r="AH256" s="80"/>
      <c r="AI256" s="80"/>
      <c r="AJ256" s="80"/>
      <c r="AK256" s="6"/>
      <c r="AL256" s="80"/>
    </row>
    <row r="257" spans="1:38" ht="15.75" customHeight="1">
      <c r="A257" s="6"/>
      <c r="B257" s="6"/>
      <c r="C257" s="6"/>
      <c r="D257" s="6"/>
      <c r="E257" s="6"/>
      <c r="F257" s="6"/>
      <c r="G257" s="80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929"/>
      <c r="AH257" s="80"/>
      <c r="AI257" s="80"/>
      <c r="AJ257" s="80"/>
      <c r="AK257" s="6"/>
      <c r="AL257" s="80"/>
    </row>
    <row r="258" spans="1:38" ht="15.75" customHeight="1">
      <c r="A258" s="6"/>
      <c r="B258" s="6"/>
      <c r="C258" s="6"/>
      <c r="D258" s="6"/>
      <c r="E258" s="6"/>
      <c r="F258" s="6"/>
      <c r="G258" s="80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929"/>
      <c r="AH258" s="80"/>
      <c r="AI258" s="80"/>
      <c r="AJ258" s="80"/>
      <c r="AK258" s="6"/>
      <c r="AL258" s="80"/>
    </row>
    <row r="259" spans="1:38" ht="15.75" customHeight="1">
      <c r="A259" s="6"/>
      <c r="B259" s="6"/>
      <c r="C259" s="6"/>
      <c r="D259" s="6"/>
      <c r="E259" s="6"/>
      <c r="F259" s="6"/>
      <c r="G259" s="80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929"/>
      <c r="AH259" s="80"/>
      <c r="AI259" s="80"/>
      <c r="AJ259" s="80"/>
      <c r="AK259" s="6"/>
      <c r="AL259" s="80"/>
    </row>
    <row r="260" spans="1:38" ht="15.75" customHeight="1">
      <c r="A260" s="6"/>
      <c r="B260" s="6"/>
      <c r="C260" s="6"/>
      <c r="D260" s="6"/>
      <c r="E260" s="6"/>
      <c r="F260" s="6"/>
      <c r="G260" s="80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929"/>
      <c r="AH260" s="80"/>
      <c r="AI260" s="80"/>
      <c r="AJ260" s="80"/>
      <c r="AK260" s="6"/>
      <c r="AL260" s="80"/>
    </row>
    <row r="261" spans="1:38" ht="15.75" customHeight="1">
      <c r="A261" s="6"/>
      <c r="B261" s="6"/>
      <c r="C261" s="6"/>
      <c r="D261" s="6"/>
      <c r="E261" s="6"/>
      <c r="F261" s="6"/>
      <c r="G261" s="80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929"/>
      <c r="AH261" s="80"/>
      <c r="AI261" s="80"/>
      <c r="AJ261" s="80"/>
      <c r="AK261" s="6"/>
      <c r="AL261" s="80"/>
    </row>
    <row r="262" spans="1:38" ht="15.75" customHeight="1">
      <c r="A262" s="6"/>
      <c r="B262" s="6"/>
      <c r="C262" s="6"/>
      <c r="D262" s="6"/>
      <c r="E262" s="6"/>
      <c r="F262" s="6"/>
      <c r="G262" s="80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929"/>
      <c r="AH262" s="80"/>
      <c r="AI262" s="80"/>
      <c r="AJ262" s="80"/>
      <c r="AK262" s="6"/>
      <c r="AL262" s="80"/>
    </row>
    <row r="263" spans="1:38" ht="15.75" customHeight="1">
      <c r="A263" s="6"/>
      <c r="B263" s="6"/>
      <c r="C263" s="6"/>
      <c r="D263" s="6"/>
      <c r="E263" s="6"/>
      <c r="F263" s="6"/>
      <c r="G263" s="80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929"/>
      <c r="AH263" s="80"/>
      <c r="AI263" s="80"/>
      <c r="AJ263" s="80"/>
      <c r="AK263" s="6"/>
      <c r="AL263" s="80"/>
    </row>
    <row r="264" spans="1:38" ht="15.75" customHeight="1">
      <c r="A264" s="6"/>
      <c r="B264" s="6"/>
      <c r="C264" s="6"/>
      <c r="D264" s="6"/>
      <c r="E264" s="6"/>
      <c r="F264" s="6"/>
      <c r="G264" s="80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929"/>
      <c r="AH264" s="80"/>
      <c r="AI264" s="80"/>
      <c r="AJ264" s="80"/>
      <c r="AK264" s="6"/>
      <c r="AL264" s="80"/>
    </row>
    <row r="265" spans="1:38" ht="15.75" customHeight="1">
      <c r="A265" s="6"/>
      <c r="B265" s="6"/>
      <c r="C265" s="6"/>
      <c r="D265" s="6"/>
      <c r="E265" s="6"/>
      <c r="F265" s="6"/>
      <c r="G265" s="80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929"/>
      <c r="AH265" s="80"/>
      <c r="AI265" s="80"/>
      <c r="AJ265" s="80"/>
      <c r="AK265" s="6"/>
      <c r="AL265" s="80"/>
    </row>
    <row r="266" spans="1:38" ht="15.75" customHeight="1">
      <c r="A266" s="6"/>
      <c r="B266" s="6"/>
      <c r="C266" s="6"/>
      <c r="D266" s="6"/>
      <c r="E266" s="6"/>
      <c r="F266" s="6"/>
      <c r="G266" s="80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929"/>
      <c r="AH266" s="80"/>
      <c r="AI266" s="80"/>
      <c r="AJ266" s="80"/>
      <c r="AK266" s="6"/>
      <c r="AL266" s="80"/>
    </row>
    <row r="267" spans="1:38" ht="15.75" customHeight="1">
      <c r="A267" s="6"/>
      <c r="B267" s="6"/>
      <c r="C267" s="6"/>
      <c r="D267" s="6"/>
      <c r="E267" s="6"/>
      <c r="F267" s="6"/>
      <c r="G267" s="80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929"/>
      <c r="AH267" s="80"/>
      <c r="AI267" s="80"/>
      <c r="AJ267" s="80"/>
      <c r="AK267" s="6"/>
      <c r="AL267" s="80"/>
    </row>
    <row r="268" spans="1:38" ht="15.75" customHeight="1">
      <c r="A268" s="6"/>
      <c r="B268" s="6"/>
      <c r="C268" s="6"/>
      <c r="D268" s="6"/>
      <c r="E268" s="6"/>
      <c r="F268" s="6"/>
      <c r="G268" s="80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929"/>
      <c r="AH268" s="80"/>
      <c r="AI268" s="80"/>
      <c r="AJ268" s="80"/>
      <c r="AK268" s="6"/>
      <c r="AL268" s="80"/>
    </row>
    <row r="269" spans="1:38" ht="15.75" customHeight="1">
      <c r="A269" s="6"/>
      <c r="B269" s="6"/>
      <c r="C269" s="6"/>
      <c r="D269" s="6"/>
      <c r="E269" s="6"/>
      <c r="F269" s="6"/>
      <c r="G269" s="80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929"/>
      <c r="AH269" s="80"/>
      <c r="AI269" s="80"/>
      <c r="AJ269" s="80"/>
      <c r="AK269" s="6"/>
      <c r="AL269" s="80"/>
    </row>
    <row r="270" spans="1:38" ht="15.75" customHeight="1">
      <c r="A270" s="6"/>
      <c r="B270" s="6"/>
      <c r="C270" s="6"/>
      <c r="D270" s="6"/>
      <c r="E270" s="6"/>
      <c r="F270" s="6"/>
      <c r="G270" s="80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929"/>
      <c r="AH270" s="80"/>
      <c r="AI270" s="80"/>
      <c r="AJ270" s="80"/>
      <c r="AK270" s="6"/>
      <c r="AL270" s="80"/>
    </row>
    <row r="271" spans="1:38" ht="15.75" customHeight="1">
      <c r="A271" s="6"/>
      <c r="B271" s="6"/>
      <c r="C271" s="6"/>
      <c r="D271" s="6"/>
      <c r="E271" s="6"/>
      <c r="F271" s="6"/>
      <c r="G271" s="80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929"/>
      <c r="AH271" s="80"/>
      <c r="AI271" s="80"/>
      <c r="AJ271" s="80"/>
      <c r="AK271" s="6"/>
      <c r="AL271" s="80"/>
    </row>
    <row r="272" spans="1:38" ht="15.75" customHeight="1">
      <c r="A272" s="6"/>
      <c r="B272" s="6"/>
      <c r="C272" s="6"/>
      <c r="D272" s="6"/>
      <c r="E272" s="6"/>
      <c r="F272" s="6"/>
      <c r="G272" s="80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929"/>
      <c r="AH272" s="80"/>
      <c r="AI272" s="80"/>
      <c r="AJ272" s="80"/>
      <c r="AK272" s="6"/>
      <c r="AL272" s="80"/>
    </row>
    <row r="273" spans="1:38" ht="15.75" customHeight="1">
      <c r="A273" s="6"/>
      <c r="B273" s="6"/>
      <c r="C273" s="6"/>
      <c r="D273" s="6"/>
      <c r="E273" s="6"/>
      <c r="F273" s="6"/>
      <c r="G273" s="80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929"/>
      <c r="AH273" s="80"/>
      <c r="AI273" s="80"/>
      <c r="AJ273" s="80"/>
      <c r="AK273" s="6"/>
      <c r="AL273" s="80"/>
    </row>
    <row r="274" spans="1:38" ht="15.75" customHeight="1">
      <c r="A274" s="6"/>
      <c r="B274" s="6"/>
      <c r="C274" s="6"/>
      <c r="D274" s="6"/>
      <c r="E274" s="6"/>
      <c r="F274" s="6"/>
      <c r="G274" s="80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929"/>
      <c r="AH274" s="80"/>
      <c r="AI274" s="80"/>
      <c r="AJ274" s="80"/>
      <c r="AK274" s="6"/>
      <c r="AL274" s="80"/>
    </row>
    <row r="275" spans="1:38" ht="15.75" customHeight="1">
      <c r="A275" s="6"/>
      <c r="B275" s="6"/>
      <c r="C275" s="6"/>
      <c r="D275" s="6"/>
      <c r="E275" s="6"/>
      <c r="F275" s="6"/>
      <c r="G275" s="80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929"/>
      <c r="AH275" s="80"/>
      <c r="AI275" s="80"/>
      <c r="AJ275" s="80"/>
      <c r="AK275" s="6"/>
      <c r="AL275" s="80"/>
    </row>
    <row r="276" spans="1:38" ht="15.75" customHeight="1">
      <c r="A276" s="6"/>
      <c r="B276" s="6"/>
      <c r="C276" s="6"/>
      <c r="D276" s="6"/>
      <c r="E276" s="6"/>
      <c r="F276" s="6"/>
      <c r="G276" s="80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929"/>
      <c r="AH276" s="80"/>
      <c r="AI276" s="80"/>
      <c r="AJ276" s="80"/>
      <c r="AK276" s="6"/>
      <c r="AL276" s="80"/>
    </row>
    <row r="277" spans="1:38" ht="15.75" customHeight="1">
      <c r="A277" s="6"/>
      <c r="B277" s="6"/>
      <c r="C277" s="6"/>
      <c r="D277" s="6"/>
      <c r="E277" s="6"/>
      <c r="F277" s="6"/>
      <c r="G277" s="80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929"/>
      <c r="AH277" s="80"/>
      <c r="AI277" s="80"/>
      <c r="AJ277" s="80"/>
      <c r="AK277" s="6"/>
      <c r="AL277" s="80"/>
    </row>
    <row r="278" spans="1:38" ht="15.75" customHeight="1">
      <c r="A278" s="6"/>
      <c r="B278" s="6"/>
      <c r="C278" s="6"/>
      <c r="D278" s="6"/>
      <c r="E278" s="6"/>
      <c r="F278" s="6"/>
      <c r="G278" s="80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929"/>
      <c r="AH278" s="80"/>
      <c r="AI278" s="80"/>
      <c r="AJ278" s="80"/>
      <c r="AK278" s="6"/>
      <c r="AL278" s="80"/>
    </row>
    <row r="279" spans="1:38" ht="15.75" customHeight="1">
      <c r="A279" s="6"/>
      <c r="B279" s="6"/>
      <c r="C279" s="6"/>
      <c r="D279" s="6"/>
      <c r="E279" s="6"/>
      <c r="F279" s="6"/>
      <c r="G279" s="80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929"/>
      <c r="AH279" s="80"/>
      <c r="AI279" s="80"/>
      <c r="AJ279" s="80"/>
      <c r="AK279" s="6"/>
      <c r="AL279" s="80"/>
    </row>
    <row r="280" spans="1:38" ht="15.75" customHeight="1">
      <c r="A280" s="6"/>
      <c r="B280" s="6"/>
      <c r="C280" s="6"/>
      <c r="D280" s="6"/>
      <c r="E280" s="6"/>
      <c r="F280" s="6"/>
      <c r="G280" s="80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929"/>
      <c r="AH280" s="80"/>
      <c r="AI280" s="80"/>
      <c r="AJ280" s="80"/>
      <c r="AK280" s="6"/>
      <c r="AL280" s="80"/>
    </row>
    <row r="281" spans="1:38" ht="15.75" customHeight="1">
      <c r="A281" s="6"/>
      <c r="B281" s="6"/>
      <c r="C281" s="6"/>
      <c r="D281" s="6"/>
      <c r="E281" s="6"/>
      <c r="F281" s="6"/>
      <c r="G281" s="80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929"/>
      <c r="AH281" s="80"/>
      <c r="AI281" s="80"/>
      <c r="AJ281" s="80"/>
      <c r="AK281" s="6"/>
      <c r="AL281" s="80"/>
    </row>
    <row r="282" spans="1:38" ht="15.75" customHeight="1">
      <c r="A282" s="6"/>
      <c r="B282" s="6"/>
      <c r="C282" s="6"/>
      <c r="D282" s="6"/>
      <c r="E282" s="6"/>
      <c r="F282" s="6"/>
      <c r="G282" s="80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929"/>
      <c r="AH282" s="80"/>
      <c r="AI282" s="80"/>
      <c r="AJ282" s="80"/>
      <c r="AK282" s="6"/>
      <c r="AL282" s="80"/>
    </row>
    <row r="283" spans="1:38" ht="15.75" customHeight="1">
      <c r="A283" s="6"/>
      <c r="B283" s="6"/>
      <c r="C283" s="6"/>
      <c r="D283" s="6"/>
      <c r="E283" s="6"/>
      <c r="F283" s="6"/>
      <c r="G283" s="80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929"/>
      <c r="AH283" s="80"/>
      <c r="AI283" s="80"/>
      <c r="AJ283" s="80"/>
      <c r="AK283" s="6"/>
      <c r="AL283" s="80"/>
    </row>
    <row r="284" spans="1:38" ht="15.75" customHeight="1">
      <c r="A284" s="6"/>
      <c r="B284" s="6"/>
      <c r="C284" s="6"/>
      <c r="D284" s="6"/>
      <c r="E284" s="6"/>
      <c r="F284" s="6"/>
      <c r="G284" s="80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929"/>
      <c r="AH284" s="80"/>
      <c r="AI284" s="80"/>
      <c r="AJ284" s="80"/>
      <c r="AK284" s="6"/>
      <c r="AL284" s="80"/>
    </row>
    <row r="285" spans="1:38" ht="15.75" customHeight="1">
      <c r="A285" s="6"/>
      <c r="B285" s="6"/>
      <c r="C285" s="6"/>
      <c r="D285" s="6"/>
      <c r="E285" s="6"/>
      <c r="F285" s="6"/>
      <c r="G285" s="80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929"/>
      <c r="AH285" s="80"/>
      <c r="AI285" s="80"/>
      <c r="AJ285" s="80"/>
      <c r="AK285" s="6"/>
      <c r="AL285" s="80"/>
    </row>
    <row r="286" spans="1:38" ht="15.75" customHeight="1">
      <c r="A286" s="6"/>
      <c r="B286" s="6"/>
      <c r="C286" s="6"/>
      <c r="D286" s="6"/>
      <c r="E286" s="6"/>
      <c r="F286" s="6"/>
      <c r="G286" s="80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929"/>
      <c r="AH286" s="80"/>
      <c r="AI286" s="80"/>
      <c r="AJ286" s="80"/>
      <c r="AK286" s="6"/>
      <c r="AL286" s="80"/>
    </row>
    <row r="287" spans="1:38" ht="15.75" customHeight="1">
      <c r="A287" s="6"/>
      <c r="B287" s="6"/>
      <c r="C287" s="6"/>
      <c r="D287" s="6"/>
      <c r="E287" s="6"/>
      <c r="F287" s="6"/>
      <c r="G287" s="80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929"/>
      <c r="AH287" s="80"/>
      <c r="AI287" s="80"/>
      <c r="AJ287" s="80"/>
      <c r="AK287" s="6"/>
      <c r="AL287" s="80"/>
    </row>
    <row r="288" spans="1:38" ht="15.75" customHeight="1">
      <c r="A288" s="6"/>
      <c r="B288" s="6"/>
      <c r="C288" s="6"/>
      <c r="D288" s="6"/>
      <c r="E288" s="6"/>
      <c r="F288" s="6"/>
      <c r="G288" s="80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929"/>
      <c r="AH288" s="80"/>
      <c r="AI288" s="80"/>
      <c r="AJ288" s="80"/>
      <c r="AK288" s="6"/>
      <c r="AL288" s="80"/>
    </row>
    <row r="289" spans="1:38" ht="15.75" customHeight="1">
      <c r="A289" s="6"/>
      <c r="B289" s="6"/>
      <c r="C289" s="6"/>
      <c r="D289" s="6"/>
      <c r="E289" s="6"/>
      <c r="F289" s="6"/>
      <c r="G289" s="80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929"/>
      <c r="AH289" s="80"/>
      <c r="AI289" s="80"/>
      <c r="AJ289" s="80"/>
      <c r="AK289" s="6"/>
      <c r="AL289" s="80"/>
    </row>
    <row r="290" spans="1:38" ht="15.75" customHeight="1">
      <c r="A290" s="6"/>
      <c r="B290" s="6"/>
      <c r="C290" s="6"/>
      <c r="D290" s="6"/>
      <c r="E290" s="6"/>
      <c r="F290" s="6"/>
      <c r="G290" s="80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929"/>
      <c r="AH290" s="80"/>
      <c r="AI290" s="80"/>
      <c r="AJ290" s="80"/>
      <c r="AK290" s="6"/>
      <c r="AL290" s="80"/>
    </row>
    <row r="291" spans="1:38" ht="15.75" customHeight="1">
      <c r="A291" s="6"/>
      <c r="B291" s="6"/>
      <c r="C291" s="6"/>
      <c r="D291" s="6"/>
      <c r="E291" s="6"/>
      <c r="F291" s="6"/>
      <c r="G291" s="80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929"/>
      <c r="AH291" s="80"/>
      <c r="AI291" s="80"/>
      <c r="AJ291" s="80"/>
      <c r="AK291" s="6"/>
      <c r="AL291" s="80"/>
    </row>
    <row r="292" spans="1:38" ht="15.75" customHeight="1">
      <c r="A292" s="6"/>
      <c r="B292" s="6"/>
      <c r="C292" s="6"/>
      <c r="D292" s="6"/>
      <c r="E292" s="6"/>
      <c r="F292" s="6"/>
      <c r="G292" s="80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929"/>
      <c r="AH292" s="80"/>
      <c r="AI292" s="80"/>
      <c r="AJ292" s="80"/>
      <c r="AK292" s="6"/>
      <c r="AL292" s="80"/>
    </row>
    <row r="293" spans="1:38" ht="15.75" customHeight="1">
      <c r="A293" s="6"/>
      <c r="B293" s="6"/>
      <c r="C293" s="6"/>
      <c r="D293" s="6"/>
      <c r="E293" s="6"/>
      <c r="F293" s="6"/>
      <c r="G293" s="80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929"/>
      <c r="AH293" s="80"/>
      <c r="AI293" s="80"/>
      <c r="AJ293" s="80"/>
      <c r="AK293" s="6"/>
      <c r="AL293" s="80"/>
    </row>
    <row r="294" spans="1:38" ht="15.75" customHeight="1">
      <c r="A294" s="6"/>
      <c r="B294" s="6"/>
      <c r="C294" s="6"/>
      <c r="D294" s="6"/>
      <c r="E294" s="6"/>
      <c r="F294" s="6"/>
      <c r="G294" s="80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929"/>
      <c r="AH294" s="80"/>
      <c r="AI294" s="80"/>
      <c r="AJ294" s="80"/>
      <c r="AK294" s="6"/>
      <c r="AL294" s="80"/>
    </row>
    <row r="295" spans="1:38" ht="15.75" customHeight="1">
      <c r="A295" s="6"/>
      <c r="B295" s="6"/>
      <c r="C295" s="6"/>
      <c r="D295" s="6"/>
      <c r="E295" s="6"/>
      <c r="F295" s="6"/>
      <c r="G295" s="80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929"/>
      <c r="AH295" s="80"/>
      <c r="AI295" s="80"/>
      <c r="AJ295" s="80"/>
      <c r="AK295" s="6"/>
      <c r="AL295" s="80"/>
    </row>
    <row r="296" spans="1:38" ht="15.75" customHeight="1">
      <c r="A296" s="6"/>
      <c r="B296" s="6"/>
      <c r="C296" s="6"/>
      <c r="D296" s="6"/>
      <c r="E296" s="6"/>
      <c r="F296" s="6"/>
      <c r="G296" s="80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929"/>
      <c r="AH296" s="80"/>
      <c r="AI296" s="80"/>
      <c r="AJ296" s="80"/>
      <c r="AK296" s="6"/>
      <c r="AL296" s="80"/>
    </row>
    <row r="297" spans="1:38" ht="15.75" customHeight="1">
      <c r="A297" s="6"/>
      <c r="B297" s="6"/>
      <c r="C297" s="6"/>
      <c r="D297" s="6"/>
      <c r="E297" s="6"/>
      <c r="F297" s="6"/>
      <c r="G297" s="80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929"/>
      <c r="AH297" s="80"/>
      <c r="AI297" s="80"/>
      <c r="AJ297" s="80"/>
      <c r="AK297" s="6"/>
      <c r="AL297" s="80"/>
    </row>
    <row r="298" spans="1:38" ht="15.75" customHeight="1">
      <c r="A298" s="6"/>
      <c r="B298" s="6"/>
      <c r="C298" s="6"/>
      <c r="D298" s="6"/>
      <c r="E298" s="6"/>
      <c r="F298" s="6"/>
      <c r="G298" s="80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929"/>
      <c r="AH298" s="80"/>
      <c r="AI298" s="80"/>
      <c r="AJ298" s="80"/>
      <c r="AK298" s="6"/>
      <c r="AL298" s="80"/>
    </row>
    <row r="299" spans="1:38" ht="15.75" customHeight="1">
      <c r="A299" s="6"/>
      <c r="B299" s="6"/>
      <c r="C299" s="6"/>
      <c r="D299" s="6"/>
      <c r="E299" s="6"/>
      <c r="F299" s="6"/>
      <c r="G299" s="80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929"/>
      <c r="AH299" s="80"/>
      <c r="AI299" s="80"/>
      <c r="AJ299" s="80"/>
      <c r="AK299" s="6"/>
      <c r="AL299" s="80"/>
    </row>
    <row r="300" spans="1:38" ht="15.75" customHeight="1">
      <c r="A300" s="6"/>
      <c r="B300" s="6"/>
      <c r="C300" s="6"/>
      <c r="D300" s="6"/>
      <c r="E300" s="6"/>
      <c r="F300" s="6"/>
      <c r="G300" s="80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929"/>
      <c r="AH300" s="80"/>
      <c r="AI300" s="80"/>
      <c r="AJ300" s="80"/>
      <c r="AK300" s="6"/>
      <c r="AL300" s="80"/>
    </row>
    <row r="301" spans="1:38" ht="15.75" customHeight="1">
      <c r="A301" s="6"/>
      <c r="B301" s="6"/>
      <c r="C301" s="6"/>
      <c r="D301" s="6"/>
      <c r="E301" s="6"/>
      <c r="F301" s="6"/>
      <c r="G301" s="80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929"/>
      <c r="AH301" s="80"/>
      <c r="AI301" s="80"/>
      <c r="AJ301" s="80"/>
      <c r="AK301" s="6"/>
      <c r="AL301" s="80"/>
    </row>
    <row r="302" spans="1:38" ht="15.75" customHeight="1">
      <c r="A302" s="6"/>
      <c r="B302" s="6"/>
      <c r="C302" s="6"/>
      <c r="D302" s="6"/>
      <c r="E302" s="6"/>
      <c r="F302" s="6"/>
      <c r="G302" s="80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929"/>
      <c r="AH302" s="80"/>
      <c r="AI302" s="80"/>
      <c r="AJ302" s="80"/>
      <c r="AK302" s="6"/>
      <c r="AL302" s="80"/>
    </row>
    <row r="303" spans="1:38" ht="15.75" customHeight="1">
      <c r="A303" s="6"/>
      <c r="B303" s="6"/>
      <c r="C303" s="6"/>
      <c r="D303" s="6"/>
      <c r="E303" s="6"/>
      <c r="F303" s="6"/>
      <c r="G303" s="80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929"/>
      <c r="AH303" s="80"/>
      <c r="AI303" s="80"/>
      <c r="AJ303" s="80"/>
      <c r="AK303" s="6"/>
      <c r="AL303" s="80"/>
    </row>
    <row r="304" spans="1:38" ht="15.75" customHeight="1">
      <c r="A304" s="6"/>
      <c r="B304" s="6"/>
      <c r="C304" s="6"/>
      <c r="D304" s="6"/>
      <c r="E304" s="6"/>
      <c r="F304" s="6"/>
      <c r="G304" s="80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929"/>
      <c r="AH304" s="80"/>
      <c r="AI304" s="80"/>
      <c r="AJ304" s="80"/>
      <c r="AK304" s="6"/>
      <c r="AL304" s="80"/>
    </row>
    <row r="305" spans="1:38" ht="15.75" customHeight="1">
      <c r="A305" s="6"/>
      <c r="B305" s="6"/>
      <c r="C305" s="6"/>
      <c r="D305" s="6"/>
      <c r="E305" s="6"/>
      <c r="F305" s="6"/>
      <c r="G305" s="80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929"/>
      <c r="AH305" s="80"/>
      <c r="AI305" s="80"/>
      <c r="AJ305" s="80"/>
      <c r="AK305" s="6"/>
      <c r="AL305" s="80"/>
    </row>
    <row r="306" spans="1:38" ht="15.75" customHeight="1">
      <c r="A306" s="6"/>
      <c r="B306" s="6"/>
      <c r="C306" s="6"/>
      <c r="D306" s="6"/>
      <c r="E306" s="6"/>
      <c r="F306" s="6"/>
      <c r="G306" s="80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929"/>
      <c r="AH306" s="80"/>
      <c r="AI306" s="80"/>
      <c r="AJ306" s="80"/>
      <c r="AK306" s="6"/>
      <c r="AL306" s="80"/>
    </row>
    <row r="307" spans="1:38" ht="15.75" customHeight="1">
      <c r="A307" s="6"/>
      <c r="B307" s="6"/>
      <c r="C307" s="6"/>
      <c r="D307" s="6"/>
      <c r="E307" s="6"/>
      <c r="F307" s="6"/>
      <c r="G307" s="80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929"/>
      <c r="AH307" s="80"/>
      <c r="AI307" s="80"/>
      <c r="AJ307" s="80"/>
      <c r="AK307" s="6"/>
      <c r="AL307" s="80"/>
    </row>
    <row r="308" spans="1:38" ht="15.75" customHeight="1">
      <c r="A308" s="6"/>
      <c r="B308" s="6"/>
      <c r="C308" s="6"/>
      <c r="D308" s="6"/>
      <c r="E308" s="6"/>
      <c r="F308" s="6"/>
      <c r="G308" s="80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929"/>
      <c r="AH308" s="80"/>
      <c r="AI308" s="80"/>
      <c r="AJ308" s="80"/>
      <c r="AK308" s="6"/>
      <c r="AL308" s="80"/>
    </row>
    <row r="309" spans="1:38" ht="15.75" customHeight="1">
      <c r="A309" s="6"/>
      <c r="B309" s="6"/>
      <c r="C309" s="6"/>
      <c r="D309" s="6"/>
      <c r="E309" s="6"/>
      <c r="F309" s="6"/>
      <c r="G309" s="80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929"/>
      <c r="AH309" s="80"/>
      <c r="AI309" s="80"/>
      <c r="AJ309" s="80"/>
      <c r="AK309" s="6"/>
      <c r="AL309" s="80"/>
    </row>
    <row r="310" spans="1:38" ht="15.75" customHeight="1">
      <c r="A310" s="6"/>
      <c r="B310" s="6"/>
      <c r="C310" s="6"/>
      <c r="D310" s="6"/>
      <c r="E310" s="6"/>
      <c r="F310" s="6"/>
      <c r="G310" s="80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929"/>
      <c r="AH310" s="80"/>
      <c r="AI310" s="80"/>
      <c r="AJ310" s="80"/>
      <c r="AK310" s="6"/>
      <c r="AL310" s="80"/>
    </row>
    <row r="311" spans="1:38" ht="15.75" customHeight="1">
      <c r="A311" s="6"/>
      <c r="B311" s="6"/>
      <c r="C311" s="6"/>
      <c r="D311" s="6"/>
      <c r="E311" s="6"/>
      <c r="F311" s="6"/>
      <c r="G311" s="80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929"/>
      <c r="AH311" s="80"/>
      <c r="AI311" s="80"/>
      <c r="AJ311" s="80"/>
      <c r="AK311" s="6"/>
      <c r="AL311" s="80"/>
    </row>
    <row r="312" spans="1:38" ht="15.75" customHeight="1">
      <c r="A312" s="6"/>
      <c r="B312" s="6"/>
      <c r="C312" s="6"/>
      <c r="D312" s="6"/>
      <c r="E312" s="6"/>
      <c r="F312" s="6"/>
      <c r="G312" s="80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929"/>
      <c r="AH312" s="80"/>
      <c r="AI312" s="80"/>
      <c r="AJ312" s="80"/>
      <c r="AK312" s="6"/>
      <c r="AL312" s="80"/>
    </row>
    <row r="313" spans="1:38" ht="15.75" customHeight="1">
      <c r="A313" s="6"/>
      <c r="B313" s="6"/>
      <c r="C313" s="6"/>
      <c r="D313" s="6"/>
      <c r="E313" s="6"/>
      <c r="F313" s="6"/>
      <c r="G313" s="80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929"/>
      <c r="AH313" s="80"/>
      <c r="AI313" s="80"/>
      <c r="AJ313" s="80"/>
      <c r="AK313" s="6"/>
      <c r="AL313" s="80"/>
    </row>
    <row r="314" spans="1:38" ht="15.75" customHeight="1">
      <c r="A314" s="6"/>
      <c r="B314" s="6"/>
      <c r="C314" s="6"/>
      <c r="D314" s="6"/>
      <c r="E314" s="6"/>
      <c r="F314" s="6"/>
      <c r="G314" s="80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929"/>
      <c r="AH314" s="80"/>
      <c r="AI314" s="80"/>
      <c r="AJ314" s="80"/>
      <c r="AK314" s="6"/>
      <c r="AL314" s="80"/>
    </row>
    <row r="315" spans="1:38" ht="15.75" customHeight="1">
      <c r="A315" s="6"/>
      <c r="B315" s="6"/>
      <c r="C315" s="6"/>
      <c r="D315" s="6"/>
      <c r="E315" s="6"/>
      <c r="F315" s="6"/>
      <c r="G315" s="80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929"/>
      <c r="AH315" s="80"/>
      <c r="AI315" s="80"/>
      <c r="AJ315" s="80"/>
      <c r="AK315" s="6"/>
      <c r="AL315" s="80"/>
    </row>
    <row r="316" spans="1:38" ht="15.75" customHeight="1">
      <c r="A316" s="6"/>
      <c r="B316" s="6"/>
      <c r="C316" s="6"/>
      <c r="D316" s="6"/>
      <c r="E316" s="6"/>
      <c r="F316" s="6"/>
      <c r="G316" s="80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929"/>
      <c r="AH316" s="80"/>
      <c r="AI316" s="80"/>
      <c r="AJ316" s="80"/>
      <c r="AK316" s="6"/>
      <c r="AL316" s="80"/>
    </row>
    <row r="317" spans="1:38" ht="15.75" customHeight="1">
      <c r="A317" s="6"/>
      <c r="B317" s="6"/>
      <c r="C317" s="6"/>
      <c r="D317" s="6"/>
      <c r="E317" s="6"/>
      <c r="F317" s="6"/>
      <c r="G317" s="80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929"/>
      <c r="AH317" s="80"/>
      <c r="AI317" s="80"/>
      <c r="AJ317" s="80"/>
      <c r="AK317" s="6"/>
      <c r="AL317" s="80"/>
    </row>
    <row r="318" spans="1:38" ht="15.75" customHeight="1">
      <c r="A318" s="6"/>
      <c r="B318" s="6"/>
      <c r="C318" s="6"/>
      <c r="D318" s="6"/>
      <c r="E318" s="6"/>
      <c r="F318" s="6"/>
      <c r="G318" s="80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929"/>
      <c r="AH318" s="80"/>
      <c r="AI318" s="80"/>
      <c r="AJ318" s="80"/>
      <c r="AK318" s="6"/>
      <c r="AL318" s="80"/>
    </row>
    <row r="319" spans="1:38" ht="15.75" customHeight="1">
      <c r="A319" s="6"/>
      <c r="B319" s="6"/>
      <c r="C319" s="6"/>
      <c r="D319" s="6"/>
      <c r="E319" s="6"/>
      <c r="F319" s="6"/>
      <c r="G319" s="80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929"/>
      <c r="AH319" s="80"/>
      <c r="AI319" s="80"/>
      <c r="AJ319" s="80"/>
      <c r="AK319" s="6"/>
      <c r="AL319" s="80"/>
    </row>
    <row r="320" spans="1:38" ht="15.75" customHeight="1">
      <c r="A320" s="6"/>
      <c r="B320" s="6"/>
      <c r="C320" s="6"/>
      <c r="D320" s="6"/>
      <c r="E320" s="6"/>
      <c r="F320" s="6"/>
      <c r="G320" s="80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929"/>
      <c r="AH320" s="80"/>
      <c r="AI320" s="80"/>
      <c r="AJ320" s="80"/>
      <c r="AK320" s="6"/>
      <c r="AL320" s="80"/>
    </row>
    <row r="321" spans="1:38" ht="15.75" customHeight="1">
      <c r="A321" s="6"/>
      <c r="B321" s="6"/>
      <c r="C321" s="6"/>
      <c r="D321" s="6"/>
      <c r="E321" s="6"/>
      <c r="F321" s="6"/>
      <c r="G321" s="80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929"/>
      <c r="AH321" s="80"/>
      <c r="AI321" s="80"/>
      <c r="AJ321" s="80"/>
      <c r="AK321" s="6"/>
      <c r="AL321" s="80"/>
    </row>
    <row r="322" spans="1:38" ht="15.75" customHeight="1">
      <c r="A322" s="6"/>
      <c r="B322" s="6"/>
      <c r="C322" s="6"/>
      <c r="D322" s="6"/>
      <c r="E322" s="6"/>
      <c r="F322" s="6"/>
      <c r="G322" s="80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929"/>
      <c r="AH322" s="80"/>
      <c r="AI322" s="80"/>
      <c r="AJ322" s="80"/>
      <c r="AK322" s="6"/>
      <c r="AL322" s="80"/>
    </row>
    <row r="323" spans="1:38" ht="15.75" customHeight="1">
      <c r="A323" s="6"/>
      <c r="B323" s="6"/>
      <c r="C323" s="6"/>
      <c r="D323" s="6"/>
      <c r="E323" s="6"/>
      <c r="F323" s="6"/>
      <c r="G323" s="80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929"/>
      <c r="AH323" s="80"/>
      <c r="AI323" s="80"/>
      <c r="AJ323" s="80"/>
      <c r="AK323" s="6"/>
      <c r="AL323" s="80"/>
    </row>
    <row r="324" spans="1:38" ht="15.75" customHeight="1">
      <c r="A324" s="6"/>
      <c r="B324" s="6"/>
      <c r="C324" s="6"/>
      <c r="D324" s="6"/>
      <c r="E324" s="6"/>
      <c r="F324" s="6"/>
      <c r="G324" s="80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929"/>
      <c r="AH324" s="80"/>
      <c r="AI324" s="80"/>
      <c r="AJ324" s="80"/>
      <c r="AK324" s="6"/>
      <c r="AL324" s="80"/>
    </row>
    <row r="325" spans="1:38" ht="15.75" customHeight="1">
      <c r="A325" s="6"/>
      <c r="B325" s="6"/>
      <c r="C325" s="6"/>
      <c r="D325" s="6"/>
      <c r="E325" s="6"/>
      <c r="F325" s="6"/>
      <c r="G325" s="80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929"/>
      <c r="AH325" s="80"/>
      <c r="AI325" s="80"/>
      <c r="AJ325" s="80"/>
      <c r="AK325" s="6"/>
      <c r="AL325" s="80"/>
    </row>
    <row r="326" spans="1:38" ht="15.75" customHeight="1">
      <c r="A326" s="6"/>
      <c r="B326" s="6"/>
      <c r="C326" s="6"/>
      <c r="D326" s="6"/>
      <c r="E326" s="6"/>
      <c r="F326" s="6"/>
      <c r="G326" s="80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929"/>
      <c r="AH326" s="80"/>
      <c r="AI326" s="80"/>
      <c r="AJ326" s="80"/>
      <c r="AK326" s="6"/>
      <c r="AL326" s="80"/>
    </row>
    <row r="327" spans="1:38" ht="15.75" customHeight="1">
      <c r="A327" s="6"/>
      <c r="B327" s="6"/>
      <c r="C327" s="6"/>
      <c r="D327" s="6"/>
      <c r="E327" s="6"/>
      <c r="F327" s="6"/>
      <c r="G327" s="80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929"/>
      <c r="AH327" s="80"/>
      <c r="AI327" s="80"/>
      <c r="AJ327" s="80"/>
      <c r="AK327" s="6"/>
      <c r="AL327" s="80"/>
    </row>
    <row r="328" spans="1:38" ht="15.75" customHeight="1">
      <c r="A328" s="6"/>
      <c r="B328" s="6"/>
      <c r="C328" s="6"/>
      <c r="D328" s="6"/>
      <c r="E328" s="6"/>
      <c r="F328" s="6"/>
      <c r="G328" s="80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929"/>
      <c r="AH328" s="80"/>
      <c r="AI328" s="80"/>
      <c r="AJ328" s="80"/>
      <c r="AK328" s="6"/>
      <c r="AL328" s="80"/>
    </row>
    <row r="329" spans="1:38" ht="15.75" customHeight="1">
      <c r="A329" s="6"/>
      <c r="B329" s="6"/>
      <c r="C329" s="6"/>
      <c r="D329" s="6"/>
      <c r="E329" s="6"/>
      <c r="F329" s="6"/>
      <c r="G329" s="80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929"/>
      <c r="AH329" s="80"/>
      <c r="AI329" s="80"/>
      <c r="AJ329" s="80"/>
      <c r="AK329" s="6"/>
      <c r="AL329" s="80"/>
    </row>
    <row r="330" spans="1:38" ht="15.75" customHeight="1">
      <c r="A330" s="6"/>
      <c r="B330" s="6"/>
      <c r="C330" s="6"/>
      <c r="D330" s="6"/>
      <c r="E330" s="6"/>
      <c r="F330" s="6"/>
      <c r="G330" s="80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929"/>
      <c r="AH330" s="80"/>
      <c r="AI330" s="80"/>
      <c r="AJ330" s="80"/>
      <c r="AK330" s="6"/>
      <c r="AL330" s="80"/>
    </row>
    <row r="331" spans="1:38" ht="15.75" customHeight="1">
      <c r="A331" s="6"/>
      <c r="B331" s="6"/>
      <c r="C331" s="6"/>
      <c r="D331" s="6"/>
      <c r="E331" s="6"/>
      <c r="F331" s="6"/>
      <c r="G331" s="80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929"/>
      <c r="AH331" s="80"/>
      <c r="AI331" s="80"/>
      <c r="AJ331" s="80"/>
      <c r="AK331" s="6"/>
      <c r="AL331" s="80"/>
    </row>
    <row r="332" spans="1:38" ht="15.75" customHeight="1">
      <c r="A332" s="6"/>
      <c r="B332" s="6"/>
      <c r="C332" s="6"/>
      <c r="D332" s="6"/>
      <c r="E332" s="6"/>
      <c r="F332" s="6"/>
      <c r="G332" s="80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929"/>
      <c r="AH332" s="80"/>
      <c r="AI332" s="80"/>
      <c r="AJ332" s="80"/>
      <c r="AK332" s="6"/>
      <c r="AL332" s="80"/>
    </row>
    <row r="333" spans="1:38" ht="15.75" customHeight="1">
      <c r="A333" s="6"/>
      <c r="B333" s="6"/>
      <c r="C333" s="6"/>
      <c r="D333" s="6"/>
      <c r="E333" s="6"/>
      <c r="F333" s="6"/>
      <c r="G333" s="80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929"/>
      <c r="AH333" s="80"/>
      <c r="AI333" s="80"/>
      <c r="AJ333" s="80"/>
      <c r="AK333" s="6"/>
      <c r="AL333" s="80"/>
    </row>
    <row r="334" spans="1:38" ht="15.75" customHeight="1">
      <c r="A334" s="6"/>
      <c r="B334" s="6"/>
      <c r="C334" s="6"/>
      <c r="D334" s="6"/>
      <c r="E334" s="6"/>
      <c r="F334" s="6"/>
      <c r="G334" s="80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929"/>
      <c r="AH334" s="80"/>
      <c r="AI334" s="80"/>
      <c r="AJ334" s="80"/>
      <c r="AK334" s="6"/>
      <c r="AL334" s="80"/>
    </row>
    <row r="335" spans="1:38" ht="15.75" customHeight="1">
      <c r="A335" s="6"/>
      <c r="B335" s="6"/>
      <c r="C335" s="6"/>
      <c r="D335" s="6"/>
      <c r="E335" s="6"/>
      <c r="F335" s="6"/>
      <c r="G335" s="80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929"/>
      <c r="AH335" s="80"/>
      <c r="AI335" s="80"/>
      <c r="AJ335" s="80"/>
      <c r="AK335" s="6"/>
      <c r="AL335" s="80"/>
    </row>
    <row r="336" spans="1:38" ht="15.75" customHeight="1">
      <c r="A336" s="6"/>
      <c r="B336" s="6"/>
      <c r="C336" s="6"/>
      <c r="D336" s="6"/>
      <c r="E336" s="6"/>
      <c r="F336" s="6"/>
      <c r="G336" s="80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929"/>
      <c r="AH336" s="80"/>
      <c r="AI336" s="80"/>
      <c r="AJ336" s="80"/>
      <c r="AK336" s="6"/>
      <c r="AL336" s="80"/>
    </row>
    <row r="337" spans="1:38" ht="15.75" customHeight="1">
      <c r="A337" s="6"/>
      <c r="B337" s="6"/>
      <c r="C337" s="6"/>
      <c r="D337" s="6"/>
      <c r="E337" s="6"/>
      <c r="F337" s="6"/>
      <c r="G337" s="80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929"/>
      <c r="AH337" s="80"/>
      <c r="AI337" s="80"/>
      <c r="AJ337" s="80"/>
      <c r="AK337" s="6"/>
      <c r="AL337" s="80"/>
    </row>
    <row r="338" spans="1:38" ht="15.75" customHeight="1">
      <c r="A338" s="6"/>
      <c r="B338" s="6"/>
      <c r="C338" s="6"/>
      <c r="D338" s="6"/>
      <c r="E338" s="6"/>
      <c r="F338" s="6"/>
      <c r="G338" s="80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929"/>
      <c r="AH338" s="80"/>
      <c r="AI338" s="80"/>
      <c r="AJ338" s="80"/>
      <c r="AK338" s="6"/>
      <c r="AL338" s="80"/>
    </row>
    <row r="339" spans="1:38" ht="15.75" customHeight="1">
      <c r="A339" s="6"/>
      <c r="B339" s="6"/>
      <c r="C339" s="6"/>
      <c r="D339" s="6"/>
      <c r="E339" s="6"/>
      <c r="F339" s="6"/>
      <c r="G339" s="80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929"/>
      <c r="AH339" s="80"/>
      <c r="AI339" s="80"/>
      <c r="AJ339" s="80"/>
      <c r="AK339" s="6"/>
      <c r="AL339" s="80"/>
    </row>
    <row r="340" spans="1:38" ht="15.75" customHeight="1">
      <c r="A340" s="6"/>
      <c r="B340" s="6"/>
      <c r="C340" s="6"/>
      <c r="D340" s="6"/>
      <c r="E340" s="6"/>
      <c r="F340" s="6"/>
      <c r="G340" s="80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929"/>
      <c r="AH340" s="80"/>
      <c r="AI340" s="80"/>
      <c r="AJ340" s="80"/>
      <c r="AK340" s="6"/>
      <c r="AL340" s="80"/>
    </row>
    <row r="341" spans="1:38" ht="15.75" customHeight="1">
      <c r="A341" s="6"/>
      <c r="B341" s="6"/>
      <c r="C341" s="6"/>
      <c r="D341" s="6"/>
      <c r="E341" s="6"/>
      <c r="F341" s="6"/>
      <c r="G341" s="80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929"/>
      <c r="AH341" s="80"/>
      <c r="AI341" s="80"/>
      <c r="AJ341" s="80"/>
      <c r="AK341" s="6"/>
      <c r="AL341" s="80"/>
    </row>
    <row r="342" spans="1:38" ht="15.75" customHeight="1">
      <c r="A342" s="6"/>
      <c r="B342" s="6"/>
      <c r="C342" s="6"/>
      <c r="D342" s="6"/>
      <c r="E342" s="6"/>
      <c r="F342" s="6"/>
      <c r="G342" s="80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929"/>
      <c r="AH342" s="80"/>
      <c r="AI342" s="80"/>
      <c r="AJ342" s="80"/>
      <c r="AK342" s="6"/>
      <c r="AL342" s="80"/>
    </row>
    <row r="343" spans="1:38" ht="15.75" customHeight="1">
      <c r="A343" s="6"/>
      <c r="B343" s="6"/>
      <c r="C343" s="6"/>
      <c r="D343" s="6"/>
      <c r="E343" s="6"/>
      <c r="F343" s="6"/>
      <c r="G343" s="80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929"/>
      <c r="AH343" s="80"/>
      <c r="AI343" s="80"/>
      <c r="AJ343" s="80"/>
      <c r="AK343" s="6"/>
      <c r="AL343" s="80"/>
    </row>
    <row r="344" spans="1:38" ht="15.75" customHeight="1">
      <c r="A344" s="6"/>
      <c r="B344" s="6"/>
      <c r="C344" s="6"/>
      <c r="D344" s="6"/>
      <c r="E344" s="6"/>
      <c r="F344" s="6"/>
      <c r="G344" s="80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929"/>
      <c r="AH344" s="80"/>
      <c r="AI344" s="80"/>
      <c r="AJ344" s="80"/>
      <c r="AK344" s="6"/>
      <c r="AL344" s="80"/>
    </row>
    <row r="345" spans="1:38" ht="15.75" customHeight="1">
      <c r="A345" s="6"/>
      <c r="B345" s="6"/>
      <c r="C345" s="6"/>
      <c r="D345" s="6"/>
      <c r="E345" s="6"/>
      <c r="F345" s="6"/>
      <c r="G345" s="80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929"/>
      <c r="AH345" s="80"/>
      <c r="AI345" s="80"/>
      <c r="AJ345" s="80"/>
      <c r="AK345" s="6"/>
      <c r="AL345" s="80"/>
    </row>
    <row r="346" spans="1:38" ht="15.75" customHeight="1">
      <c r="A346" s="6"/>
      <c r="B346" s="6"/>
      <c r="C346" s="6"/>
      <c r="D346" s="6"/>
      <c r="E346" s="6"/>
      <c r="F346" s="6"/>
      <c r="G346" s="80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929"/>
      <c r="AH346" s="80"/>
      <c r="AI346" s="80"/>
      <c r="AJ346" s="80"/>
      <c r="AK346" s="6"/>
      <c r="AL346" s="80"/>
    </row>
    <row r="347" spans="1:38" ht="15.75" customHeight="1">
      <c r="A347" s="6"/>
      <c r="B347" s="6"/>
      <c r="C347" s="6"/>
      <c r="D347" s="6"/>
      <c r="E347" s="6"/>
      <c r="F347" s="6"/>
      <c r="G347" s="80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929"/>
      <c r="AH347" s="80"/>
      <c r="AI347" s="80"/>
      <c r="AJ347" s="80"/>
      <c r="AK347" s="6"/>
      <c r="AL347" s="80"/>
    </row>
    <row r="348" spans="1:38" ht="15.75" customHeight="1">
      <c r="A348" s="6"/>
      <c r="B348" s="6"/>
      <c r="C348" s="6"/>
      <c r="D348" s="6"/>
      <c r="E348" s="6"/>
      <c r="F348" s="6"/>
      <c r="G348" s="80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929"/>
      <c r="AH348" s="80"/>
      <c r="AI348" s="80"/>
      <c r="AJ348" s="80"/>
      <c r="AK348" s="6"/>
      <c r="AL348" s="80"/>
    </row>
    <row r="349" spans="1:38" ht="15.75" customHeight="1">
      <c r="A349" s="6"/>
      <c r="B349" s="6"/>
      <c r="C349" s="6"/>
      <c r="D349" s="6"/>
      <c r="E349" s="6"/>
      <c r="F349" s="6"/>
      <c r="G349" s="80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929"/>
      <c r="AH349" s="80"/>
      <c r="AI349" s="80"/>
      <c r="AJ349" s="80"/>
      <c r="AK349" s="6"/>
      <c r="AL349" s="80"/>
    </row>
    <row r="350" spans="1:38" ht="15.75" customHeight="1">
      <c r="A350" s="6"/>
      <c r="B350" s="6"/>
      <c r="C350" s="6"/>
      <c r="D350" s="6"/>
      <c r="E350" s="6"/>
      <c r="F350" s="6"/>
      <c r="G350" s="80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929"/>
      <c r="AH350" s="80"/>
      <c r="AI350" s="80"/>
      <c r="AJ350" s="80"/>
      <c r="AK350" s="6"/>
      <c r="AL350" s="80"/>
    </row>
    <row r="351" spans="1:38" ht="15.75" customHeight="1">
      <c r="A351" s="6"/>
      <c r="B351" s="6"/>
      <c r="C351" s="6"/>
      <c r="D351" s="6"/>
      <c r="E351" s="6"/>
      <c r="F351" s="6"/>
      <c r="G351" s="80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929"/>
      <c r="AH351" s="80"/>
      <c r="AI351" s="80"/>
      <c r="AJ351" s="80"/>
      <c r="AK351" s="6"/>
      <c r="AL351" s="80"/>
    </row>
    <row r="352" spans="1:38" ht="15.75" customHeight="1">
      <c r="A352" s="6"/>
      <c r="B352" s="6"/>
      <c r="C352" s="6"/>
      <c r="D352" s="6"/>
      <c r="E352" s="6"/>
      <c r="F352" s="6"/>
      <c r="G352" s="80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929"/>
      <c r="AH352" s="80"/>
      <c r="AI352" s="80"/>
      <c r="AJ352" s="80"/>
      <c r="AK352" s="6"/>
      <c r="AL352" s="80"/>
    </row>
    <row r="353" spans="1:38" ht="15.75" customHeight="1">
      <c r="A353" s="6"/>
      <c r="B353" s="6"/>
      <c r="C353" s="6"/>
      <c r="D353" s="6"/>
      <c r="E353" s="6"/>
      <c r="F353" s="6"/>
      <c r="G353" s="80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929"/>
      <c r="AH353" s="80"/>
      <c r="AI353" s="80"/>
      <c r="AJ353" s="80"/>
      <c r="AK353" s="6"/>
      <c r="AL353" s="80"/>
    </row>
    <row r="354" spans="1:38" ht="15.75" customHeight="1">
      <c r="A354" s="6"/>
      <c r="B354" s="6"/>
      <c r="C354" s="6"/>
      <c r="D354" s="6"/>
      <c r="E354" s="6"/>
      <c r="F354" s="6"/>
      <c r="G354" s="80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929"/>
      <c r="AH354" s="80"/>
      <c r="AI354" s="80"/>
      <c r="AJ354" s="80"/>
      <c r="AK354" s="6"/>
      <c r="AL354" s="80"/>
    </row>
    <row r="355" spans="1:38" ht="15.75" customHeight="1">
      <c r="A355" s="6"/>
      <c r="B355" s="6"/>
      <c r="C355" s="6"/>
      <c r="D355" s="6"/>
      <c r="E355" s="6"/>
      <c r="F355" s="6"/>
      <c r="G355" s="80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929"/>
      <c r="AH355" s="80"/>
      <c r="AI355" s="80"/>
      <c r="AJ355" s="80"/>
      <c r="AK355" s="6"/>
      <c r="AL355" s="80"/>
    </row>
    <row r="356" spans="1:38" ht="15.75" customHeight="1">
      <c r="A356" s="6"/>
      <c r="B356" s="6"/>
      <c r="C356" s="6"/>
      <c r="D356" s="6"/>
      <c r="E356" s="6"/>
      <c r="F356" s="6"/>
      <c r="G356" s="80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929"/>
      <c r="AH356" s="80"/>
      <c r="AI356" s="80"/>
      <c r="AJ356" s="80"/>
      <c r="AK356" s="6"/>
      <c r="AL356" s="80"/>
    </row>
    <row r="357" spans="1:38" ht="15.75" customHeight="1">
      <c r="A357" s="6"/>
      <c r="B357" s="6"/>
      <c r="C357" s="6"/>
      <c r="D357" s="6"/>
      <c r="E357" s="6"/>
      <c r="F357" s="6"/>
      <c r="G357" s="80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929"/>
      <c r="AH357" s="80"/>
      <c r="AI357" s="80"/>
      <c r="AJ357" s="80"/>
      <c r="AK357" s="6"/>
      <c r="AL357" s="80"/>
    </row>
    <row r="358" spans="1:38" ht="15.75" customHeight="1">
      <c r="A358" s="6"/>
      <c r="B358" s="6"/>
      <c r="C358" s="6"/>
      <c r="D358" s="6"/>
      <c r="E358" s="6"/>
      <c r="F358" s="6"/>
      <c r="G358" s="80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929"/>
      <c r="AH358" s="80"/>
      <c r="AI358" s="80"/>
      <c r="AJ358" s="80"/>
      <c r="AK358" s="6"/>
      <c r="AL358" s="80"/>
    </row>
    <row r="359" spans="1:38" ht="15.75" customHeight="1">
      <c r="A359" s="6"/>
      <c r="B359" s="6"/>
      <c r="C359" s="6"/>
      <c r="D359" s="6"/>
      <c r="E359" s="6"/>
      <c r="F359" s="6"/>
      <c r="G359" s="80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929"/>
      <c r="AH359" s="80"/>
      <c r="AI359" s="80"/>
      <c r="AJ359" s="80"/>
      <c r="AK359" s="6"/>
      <c r="AL359" s="80"/>
    </row>
    <row r="360" spans="1:38" ht="15.75" customHeight="1">
      <c r="A360" s="6"/>
      <c r="B360" s="6"/>
      <c r="C360" s="6"/>
      <c r="D360" s="6"/>
      <c r="E360" s="6"/>
      <c r="F360" s="6"/>
      <c r="G360" s="80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929"/>
      <c r="AH360" s="80"/>
      <c r="AI360" s="80"/>
      <c r="AJ360" s="80"/>
      <c r="AK360" s="6"/>
      <c r="AL360" s="80"/>
    </row>
    <row r="361" spans="1:38" ht="15.75" customHeight="1">
      <c r="A361" s="6"/>
      <c r="B361" s="6"/>
      <c r="C361" s="6"/>
      <c r="D361" s="6"/>
      <c r="E361" s="6"/>
      <c r="F361" s="6"/>
      <c r="G361" s="80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929"/>
      <c r="AH361" s="80"/>
      <c r="AI361" s="80"/>
      <c r="AJ361" s="80"/>
      <c r="AK361" s="6"/>
      <c r="AL361" s="80"/>
    </row>
    <row r="362" spans="1:38" ht="15.75" customHeight="1">
      <c r="A362" s="6"/>
      <c r="B362" s="6"/>
      <c r="C362" s="6"/>
      <c r="D362" s="6"/>
      <c r="E362" s="6"/>
      <c r="F362" s="6"/>
      <c r="G362" s="80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929"/>
      <c r="AH362" s="80"/>
      <c r="AI362" s="80"/>
      <c r="AJ362" s="80"/>
      <c r="AK362" s="6"/>
      <c r="AL362" s="80"/>
    </row>
    <row r="363" spans="1:38" ht="15.75" customHeight="1">
      <c r="A363" s="6"/>
      <c r="B363" s="6"/>
      <c r="C363" s="6"/>
      <c r="D363" s="6"/>
      <c r="E363" s="6"/>
      <c r="F363" s="6"/>
      <c r="G363" s="80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929"/>
      <c r="AH363" s="80"/>
      <c r="AI363" s="80"/>
      <c r="AJ363" s="80"/>
      <c r="AK363" s="6"/>
      <c r="AL363" s="80"/>
    </row>
    <row r="364" spans="1:38" ht="15.75" customHeight="1">
      <c r="A364" s="6"/>
      <c r="B364" s="6"/>
      <c r="C364" s="6"/>
      <c r="D364" s="6"/>
      <c r="E364" s="6"/>
      <c r="F364" s="6"/>
      <c r="G364" s="80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929"/>
      <c r="AH364" s="80"/>
      <c r="AI364" s="80"/>
      <c r="AJ364" s="80"/>
      <c r="AK364" s="6"/>
      <c r="AL364" s="80"/>
    </row>
    <row r="365" spans="1:38" ht="15.75" customHeight="1">
      <c r="A365" s="6"/>
      <c r="B365" s="6"/>
      <c r="C365" s="6"/>
      <c r="D365" s="6"/>
      <c r="E365" s="6"/>
      <c r="F365" s="6"/>
      <c r="G365" s="80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929"/>
      <c r="AH365" s="80"/>
      <c r="AI365" s="80"/>
      <c r="AJ365" s="80"/>
      <c r="AK365" s="6"/>
      <c r="AL365" s="80"/>
    </row>
    <row r="366" spans="1:38" ht="15.75" customHeight="1">
      <c r="A366" s="6"/>
      <c r="B366" s="6"/>
      <c r="C366" s="6"/>
      <c r="D366" s="6"/>
      <c r="E366" s="6"/>
      <c r="F366" s="6"/>
      <c r="G366" s="80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929"/>
      <c r="AH366" s="80"/>
      <c r="AI366" s="80"/>
      <c r="AJ366" s="80"/>
      <c r="AK366" s="6"/>
      <c r="AL366" s="80"/>
    </row>
    <row r="367" spans="1:38" ht="15.75" customHeight="1">
      <c r="A367" s="6"/>
      <c r="B367" s="6"/>
      <c r="C367" s="6"/>
      <c r="D367" s="6"/>
      <c r="E367" s="6"/>
      <c r="F367" s="6"/>
      <c r="G367" s="80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929"/>
      <c r="AH367" s="80"/>
      <c r="AI367" s="80"/>
      <c r="AJ367" s="80"/>
      <c r="AK367" s="6"/>
      <c r="AL367" s="80"/>
    </row>
    <row r="368" spans="1:38" ht="15.75" customHeight="1">
      <c r="A368" s="6"/>
      <c r="B368" s="6"/>
      <c r="C368" s="6"/>
      <c r="D368" s="6"/>
      <c r="E368" s="6"/>
      <c r="F368" s="6"/>
      <c r="G368" s="80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929"/>
      <c r="AH368" s="80"/>
      <c r="AI368" s="80"/>
      <c r="AJ368" s="80"/>
      <c r="AK368" s="6"/>
      <c r="AL368" s="80"/>
    </row>
    <row r="369" spans="1:38" ht="15.75" customHeight="1">
      <c r="A369" s="6"/>
      <c r="B369" s="6"/>
      <c r="C369" s="6"/>
      <c r="D369" s="6"/>
      <c r="E369" s="6"/>
      <c r="F369" s="6"/>
      <c r="G369" s="80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929"/>
      <c r="AH369" s="80"/>
      <c r="AI369" s="80"/>
      <c r="AJ369" s="80"/>
      <c r="AK369" s="6"/>
      <c r="AL369" s="80"/>
    </row>
    <row r="370" spans="1:38" ht="15.75" customHeight="1">
      <c r="A370" s="6"/>
      <c r="B370" s="6"/>
      <c r="C370" s="6"/>
      <c r="D370" s="6"/>
      <c r="E370" s="6"/>
      <c r="F370" s="6"/>
      <c r="G370" s="80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929"/>
      <c r="AH370" s="80"/>
      <c r="AI370" s="80"/>
      <c r="AJ370" s="80"/>
      <c r="AK370" s="6"/>
      <c r="AL370" s="80"/>
    </row>
    <row r="371" spans="1:38" ht="15.75" customHeight="1">
      <c r="A371" s="6"/>
      <c r="B371" s="6"/>
      <c r="C371" s="6"/>
      <c r="D371" s="6"/>
      <c r="E371" s="6"/>
      <c r="F371" s="6"/>
      <c r="G371" s="80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929"/>
      <c r="AH371" s="80"/>
      <c r="AI371" s="80"/>
      <c r="AJ371" s="80"/>
      <c r="AK371" s="6"/>
      <c r="AL371" s="80"/>
    </row>
    <row r="372" spans="1:38" ht="15.75" customHeight="1">
      <c r="A372" s="6"/>
      <c r="B372" s="6"/>
      <c r="C372" s="6"/>
      <c r="D372" s="6"/>
      <c r="E372" s="6"/>
      <c r="F372" s="6"/>
      <c r="G372" s="80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929"/>
      <c r="AH372" s="80"/>
      <c r="AI372" s="80"/>
      <c r="AJ372" s="80"/>
      <c r="AK372" s="6"/>
      <c r="AL372" s="80"/>
    </row>
    <row r="373" spans="1:38" ht="15.75" customHeight="1">
      <c r="A373" s="6"/>
      <c r="B373" s="6"/>
      <c r="C373" s="6"/>
      <c r="D373" s="6"/>
      <c r="E373" s="6"/>
      <c r="F373" s="6"/>
      <c r="G373" s="80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929"/>
      <c r="AH373" s="80"/>
      <c r="AI373" s="80"/>
      <c r="AJ373" s="80"/>
      <c r="AK373" s="6"/>
      <c r="AL373" s="80"/>
    </row>
    <row r="374" spans="1:38" ht="15.75" customHeight="1">
      <c r="A374" s="6"/>
      <c r="B374" s="6"/>
      <c r="C374" s="6"/>
      <c r="D374" s="6"/>
      <c r="E374" s="6"/>
      <c r="F374" s="6"/>
      <c r="G374" s="80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929"/>
      <c r="AH374" s="80"/>
      <c r="AI374" s="80"/>
      <c r="AJ374" s="80"/>
      <c r="AK374" s="6"/>
      <c r="AL374" s="80"/>
    </row>
    <row r="375" spans="1:38" ht="15.75" customHeight="1">
      <c r="A375" s="6"/>
      <c r="B375" s="6"/>
      <c r="C375" s="6"/>
      <c r="D375" s="6"/>
      <c r="E375" s="6"/>
      <c r="F375" s="6"/>
      <c r="G375" s="80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929"/>
      <c r="AH375" s="80"/>
      <c r="AI375" s="80"/>
      <c r="AJ375" s="80"/>
      <c r="AK375" s="6"/>
      <c r="AL375" s="80"/>
    </row>
    <row r="376" spans="1:38" ht="15.75" customHeight="1">
      <c r="A376" s="6"/>
      <c r="B376" s="6"/>
      <c r="C376" s="6"/>
      <c r="D376" s="6"/>
      <c r="E376" s="6"/>
      <c r="F376" s="6"/>
      <c r="G376" s="80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929"/>
      <c r="AH376" s="80"/>
      <c r="AI376" s="80"/>
      <c r="AJ376" s="80"/>
      <c r="AK376" s="6"/>
      <c r="AL376" s="80"/>
    </row>
    <row r="377" spans="1:38" ht="15.75" customHeight="1">
      <c r="A377" s="6"/>
      <c r="B377" s="6"/>
      <c r="C377" s="6"/>
      <c r="D377" s="6"/>
      <c r="E377" s="6"/>
      <c r="F377" s="6"/>
      <c r="G377" s="80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929"/>
      <c r="AH377" s="80"/>
      <c r="AI377" s="80"/>
      <c r="AJ377" s="80"/>
      <c r="AK377" s="6"/>
      <c r="AL377" s="80"/>
    </row>
    <row r="378" spans="1:38" ht="15.75" customHeight="1">
      <c r="A378" s="6"/>
      <c r="B378" s="6"/>
      <c r="C378" s="6"/>
      <c r="D378" s="6"/>
      <c r="E378" s="6"/>
      <c r="F378" s="6"/>
      <c r="G378" s="80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929"/>
      <c r="AH378" s="80"/>
      <c r="AI378" s="80"/>
      <c r="AJ378" s="80"/>
      <c r="AK378" s="6"/>
      <c r="AL378" s="80"/>
    </row>
    <row r="379" spans="1:38" ht="15.75" customHeight="1">
      <c r="A379" s="6"/>
      <c r="B379" s="6"/>
      <c r="C379" s="6"/>
      <c r="D379" s="6"/>
      <c r="E379" s="6"/>
      <c r="F379" s="6"/>
      <c r="G379" s="80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929"/>
      <c r="AH379" s="80"/>
      <c r="AI379" s="80"/>
      <c r="AJ379" s="80"/>
      <c r="AK379" s="6"/>
      <c r="AL379" s="80"/>
    </row>
    <row r="380" spans="1:38" ht="15.75" customHeight="1">
      <c r="A380" s="6"/>
      <c r="B380" s="6"/>
      <c r="C380" s="6"/>
      <c r="D380" s="6"/>
      <c r="E380" s="6"/>
      <c r="F380" s="6"/>
      <c r="G380" s="80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929"/>
      <c r="AH380" s="80"/>
      <c r="AI380" s="80"/>
      <c r="AJ380" s="80"/>
      <c r="AK380" s="6"/>
      <c r="AL380" s="80"/>
    </row>
    <row r="381" spans="1:38" ht="15.75" customHeight="1">
      <c r="A381" s="6"/>
      <c r="B381" s="6"/>
      <c r="C381" s="6"/>
      <c r="D381" s="6"/>
      <c r="E381" s="6"/>
      <c r="F381" s="6"/>
      <c r="G381" s="80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929"/>
      <c r="AH381" s="80"/>
      <c r="AI381" s="80"/>
      <c r="AJ381" s="80"/>
      <c r="AK381" s="6"/>
      <c r="AL381" s="80"/>
    </row>
    <row r="382" spans="1:38" ht="15.75" customHeight="1">
      <c r="A382" s="6"/>
      <c r="B382" s="6"/>
      <c r="C382" s="6"/>
      <c r="D382" s="6"/>
      <c r="E382" s="6"/>
      <c r="F382" s="6"/>
      <c r="G382" s="80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929"/>
      <c r="AH382" s="80"/>
      <c r="AI382" s="80"/>
      <c r="AJ382" s="80"/>
      <c r="AK382" s="6"/>
      <c r="AL382" s="80"/>
    </row>
    <row r="383" spans="1:38" ht="15.75" customHeight="1">
      <c r="A383" s="6"/>
      <c r="B383" s="6"/>
      <c r="C383" s="6"/>
      <c r="D383" s="6"/>
      <c r="E383" s="6"/>
      <c r="F383" s="6"/>
      <c r="G383" s="80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929"/>
      <c r="AH383" s="80"/>
      <c r="AI383" s="80"/>
      <c r="AJ383" s="80"/>
      <c r="AK383" s="6"/>
      <c r="AL383" s="80"/>
    </row>
    <row r="384" spans="1:38" ht="15.75" customHeight="1">
      <c r="A384" s="6"/>
      <c r="B384" s="6"/>
      <c r="C384" s="6"/>
      <c r="D384" s="6"/>
      <c r="E384" s="6"/>
      <c r="F384" s="6"/>
      <c r="G384" s="80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929"/>
      <c r="AH384" s="80"/>
      <c r="AI384" s="80"/>
      <c r="AJ384" s="80"/>
      <c r="AK384" s="6"/>
      <c r="AL384" s="80"/>
    </row>
    <row r="385" spans="1:38" ht="15.75" customHeight="1">
      <c r="A385" s="6"/>
      <c r="B385" s="6"/>
      <c r="C385" s="6"/>
      <c r="D385" s="6"/>
      <c r="E385" s="6"/>
      <c r="F385" s="6"/>
      <c r="G385" s="80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929"/>
      <c r="AH385" s="80"/>
      <c r="AI385" s="80"/>
      <c r="AJ385" s="80"/>
      <c r="AK385" s="6"/>
      <c r="AL385" s="80"/>
    </row>
    <row r="386" spans="1:38" ht="15.75" customHeight="1">
      <c r="A386" s="6"/>
      <c r="B386" s="6"/>
      <c r="C386" s="6"/>
      <c r="D386" s="6"/>
      <c r="E386" s="6"/>
      <c r="F386" s="6"/>
      <c r="G386" s="80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929"/>
      <c r="AH386" s="80"/>
      <c r="AI386" s="80"/>
      <c r="AJ386" s="80"/>
      <c r="AK386" s="6"/>
      <c r="AL386" s="80"/>
    </row>
    <row r="387" spans="1:38" ht="15.75" customHeight="1">
      <c r="A387" s="6"/>
      <c r="B387" s="6"/>
      <c r="C387" s="6"/>
      <c r="D387" s="6"/>
      <c r="E387" s="6"/>
      <c r="F387" s="6"/>
      <c r="G387" s="80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929"/>
      <c r="AH387" s="80"/>
      <c r="AI387" s="80"/>
      <c r="AJ387" s="80"/>
      <c r="AK387" s="6"/>
      <c r="AL387" s="80"/>
    </row>
    <row r="388" spans="1:38" ht="15.75" customHeight="1">
      <c r="A388" s="6"/>
      <c r="B388" s="6"/>
      <c r="C388" s="6"/>
      <c r="D388" s="6"/>
      <c r="E388" s="6"/>
      <c r="F388" s="6"/>
      <c r="G388" s="80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929"/>
      <c r="AH388" s="80"/>
      <c r="AI388" s="80"/>
      <c r="AJ388" s="80"/>
      <c r="AK388" s="6"/>
      <c r="AL388" s="80"/>
    </row>
    <row r="389" spans="1:38" ht="15.75" customHeight="1">
      <c r="A389" s="6"/>
      <c r="B389" s="6"/>
      <c r="C389" s="6"/>
      <c r="D389" s="6"/>
      <c r="E389" s="6"/>
      <c r="F389" s="6"/>
      <c r="G389" s="80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929"/>
      <c r="AH389" s="80"/>
      <c r="AI389" s="80"/>
      <c r="AJ389" s="80"/>
      <c r="AK389" s="6"/>
      <c r="AL389" s="80"/>
    </row>
    <row r="390" spans="1:38" ht="15.75" customHeight="1">
      <c r="A390" s="6"/>
      <c r="B390" s="6"/>
      <c r="C390" s="6"/>
      <c r="D390" s="6"/>
      <c r="E390" s="6"/>
      <c r="F390" s="6"/>
      <c r="G390" s="80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929"/>
      <c r="AH390" s="80"/>
      <c r="AI390" s="80"/>
      <c r="AJ390" s="80"/>
      <c r="AK390" s="6"/>
      <c r="AL390" s="80"/>
    </row>
    <row r="391" spans="1:38" ht="15.75" customHeight="1">
      <c r="A391" s="6"/>
      <c r="B391" s="6"/>
      <c r="C391" s="6"/>
      <c r="D391" s="6"/>
      <c r="E391" s="6"/>
      <c r="F391" s="6"/>
      <c r="G391" s="80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929"/>
      <c r="AH391" s="80"/>
      <c r="AI391" s="80"/>
      <c r="AJ391" s="80"/>
      <c r="AK391" s="6"/>
      <c r="AL391" s="80"/>
    </row>
    <row r="392" spans="1:38" ht="15.75" customHeight="1">
      <c r="A392" s="6"/>
      <c r="B392" s="6"/>
      <c r="C392" s="6"/>
      <c r="D392" s="6"/>
      <c r="E392" s="6"/>
      <c r="F392" s="6"/>
      <c r="G392" s="80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929"/>
      <c r="AH392" s="80"/>
      <c r="AI392" s="80"/>
      <c r="AJ392" s="80"/>
      <c r="AK392" s="6"/>
      <c r="AL392" s="80"/>
    </row>
    <row r="393" spans="1:38" ht="15.75" customHeight="1">
      <c r="A393" s="6"/>
      <c r="B393" s="6"/>
      <c r="C393" s="6"/>
      <c r="D393" s="6"/>
      <c r="E393" s="6"/>
      <c r="F393" s="6"/>
      <c r="G393" s="80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929"/>
      <c r="AH393" s="80"/>
      <c r="AI393" s="80"/>
      <c r="AJ393" s="80"/>
      <c r="AK393" s="6"/>
      <c r="AL393" s="80"/>
    </row>
    <row r="394" spans="1:38" ht="15.75" customHeight="1">
      <c r="A394" s="6"/>
      <c r="B394" s="6"/>
      <c r="C394" s="6"/>
      <c r="D394" s="6"/>
      <c r="E394" s="6"/>
      <c r="F394" s="6"/>
      <c r="G394" s="80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929"/>
      <c r="AH394" s="80"/>
      <c r="AI394" s="80"/>
      <c r="AJ394" s="80"/>
      <c r="AK394" s="6"/>
      <c r="AL394" s="80"/>
    </row>
    <row r="395" spans="1:38" ht="15.75" customHeight="1">
      <c r="A395" s="6"/>
      <c r="B395" s="6"/>
      <c r="C395" s="6"/>
      <c r="D395" s="6"/>
      <c r="E395" s="6"/>
      <c r="F395" s="6"/>
      <c r="G395" s="80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929"/>
      <c r="AH395" s="80"/>
      <c r="AI395" s="80"/>
      <c r="AJ395" s="80"/>
      <c r="AK395" s="6"/>
      <c r="AL395" s="80"/>
    </row>
    <row r="396" spans="1:38" ht="15.75" customHeight="1">
      <c r="A396" s="6"/>
      <c r="B396" s="6"/>
      <c r="C396" s="6"/>
      <c r="D396" s="6"/>
      <c r="E396" s="6"/>
      <c r="F396" s="6"/>
      <c r="G396" s="80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929"/>
      <c r="AH396" s="80"/>
      <c r="AI396" s="80"/>
      <c r="AJ396" s="80"/>
      <c r="AK396" s="6"/>
      <c r="AL396" s="80"/>
    </row>
    <row r="397" spans="1:38" ht="15.75" customHeight="1">
      <c r="A397" s="6"/>
      <c r="B397" s="6"/>
      <c r="C397" s="6"/>
      <c r="D397" s="6"/>
      <c r="E397" s="6"/>
      <c r="F397" s="6"/>
      <c r="G397" s="80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929"/>
      <c r="AH397" s="80"/>
      <c r="AI397" s="80"/>
      <c r="AJ397" s="80"/>
      <c r="AK397" s="6"/>
      <c r="AL397" s="80"/>
    </row>
    <row r="398" spans="1:38" ht="15.75" customHeight="1">
      <c r="A398" s="6"/>
      <c r="B398" s="6"/>
      <c r="C398" s="6"/>
      <c r="D398" s="6"/>
      <c r="E398" s="6"/>
      <c r="F398" s="6"/>
      <c r="G398" s="80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929"/>
      <c r="AH398" s="80"/>
      <c r="AI398" s="80"/>
      <c r="AJ398" s="80"/>
      <c r="AK398" s="6"/>
      <c r="AL398" s="80"/>
    </row>
    <row r="399" spans="1:38" ht="15.75" customHeight="1">
      <c r="A399" s="6"/>
      <c r="B399" s="6"/>
      <c r="C399" s="6"/>
      <c r="D399" s="6"/>
      <c r="E399" s="6"/>
      <c r="F399" s="6"/>
      <c r="G399" s="80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929"/>
      <c r="AH399" s="80"/>
      <c r="AI399" s="80"/>
      <c r="AJ399" s="80"/>
      <c r="AK399" s="6"/>
      <c r="AL399" s="80"/>
    </row>
    <row r="400" spans="1:38" ht="15.75" customHeight="1">
      <c r="A400" s="6"/>
      <c r="B400" s="6"/>
      <c r="C400" s="6"/>
      <c r="D400" s="6"/>
      <c r="E400" s="6"/>
      <c r="F400" s="6"/>
      <c r="G400" s="80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929"/>
      <c r="AH400" s="80"/>
      <c r="AI400" s="80"/>
      <c r="AJ400" s="80"/>
      <c r="AK400" s="6"/>
      <c r="AL400" s="80"/>
    </row>
    <row r="401" spans="1:38" ht="15.75" customHeight="1">
      <c r="A401" s="6"/>
      <c r="B401" s="6"/>
      <c r="C401" s="6"/>
      <c r="D401" s="6"/>
      <c r="E401" s="6"/>
      <c r="F401" s="6"/>
      <c r="G401" s="80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929"/>
      <c r="AH401" s="80"/>
      <c r="AI401" s="80"/>
      <c r="AJ401" s="80"/>
      <c r="AK401" s="6"/>
      <c r="AL401" s="80"/>
    </row>
    <row r="402" spans="1:38" ht="15.75" customHeight="1">
      <c r="A402" s="6"/>
      <c r="B402" s="6"/>
      <c r="C402" s="6"/>
      <c r="D402" s="6"/>
      <c r="E402" s="6"/>
      <c r="F402" s="6"/>
      <c r="G402" s="80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929"/>
      <c r="AH402" s="80"/>
      <c r="AI402" s="80"/>
      <c r="AJ402" s="80"/>
      <c r="AK402" s="6"/>
      <c r="AL402" s="80"/>
    </row>
    <row r="403" spans="1:38" ht="15.75" customHeight="1">
      <c r="A403" s="6"/>
      <c r="B403" s="6"/>
      <c r="C403" s="6"/>
      <c r="D403" s="6"/>
      <c r="E403" s="6"/>
      <c r="F403" s="6"/>
      <c r="G403" s="80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929"/>
      <c r="AH403" s="80"/>
      <c r="AI403" s="80"/>
      <c r="AJ403" s="80"/>
      <c r="AK403" s="6"/>
      <c r="AL403" s="80"/>
    </row>
    <row r="404" spans="1:38" ht="15.75" customHeight="1">
      <c r="A404" s="6"/>
      <c r="B404" s="6"/>
      <c r="C404" s="6"/>
      <c r="D404" s="6"/>
      <c r="E404" s="6"/>
      <c r="F404" s="6"/>
      <c r="G404" s="80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929"/>
      <c r="AH404" s="80"/>
      <c r="AI404" s="80"/>
      <c r="AJ404" s="80"/>
      <c r="AK404" s="6"/>
      <c r="AL404" s="80"/>
    </row>
    <row r="405" spans="1:38" ht="15.75" customHeight="1">
      <c r="A405" s="6"/>
      <c r="B405" s="6"/>
      <c r="C405" s="6"/>
      <c r="D405" s="6"/>
      <c r="E405" s="6"/>
      <c r="F405" s="6"/>
      <c r="G405" s="80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929"/>
      <c r="AH405" s="80"/>
      <c r="AI405" s="80"/>
      <c r="AJ405" s="80"/>
      <c r="AK405" s="6"/>
      <c r="AL405" s="80"/>
    </row>
    <row r="406" spans="1:38" ht="15.75" customHeight="1">
      <c r="A406" s="6"/>
      <c r="B406" s="6"/>
      <c r="C406" s="6"/>
      <c r="D406" s="6"/>
      <c r="E406" s="6"/>
      <c r="F406" s="6"/>
      <c r="G406" s="80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929"/>
      <c r="AH406" s="80"/>
      <c r="AI406" s="80"/>
      <c r="AJ406" s="80"/>
      <c r="AK406" s="6"/>
      <c r="AL406" s="80"/>
    </row>
    <row r="407" spans="1:38" ht="15.75" customHeight="1">
      <c r="A407" s="6"/>
      <c r="B407" s="6"/>
      <c r="C407" s="6"/>
      <c r="D407" s="6"/>
      <c r="E407" s="6"/>
      <c r="F407" s="6"/>
      <c r="G407" s="80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929"/>
      <c r="AH407" s="80"/>
      <c r="AI407" s="80"/>
      <c r="AJ407" s="80"/>
      <c r="AK407" s="6"/>
      <c r="AL407" s="80"/>
    </row>
    <row r="408" spans="1:38" ht="15.75" customHeight="1">
      <c r="A408" s="6"/>
      <c r="B408" s="6"/>
      <c r="C408" s="6"/>
      <c r="D408" s="6"/>
      <c r="E408" s="6"/>
      <c r="F408" s="6"/>
      <c r="G408" s="80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929"/>
      <c r="AH408" s="80"/>
      <c r="AI408" s="80"/>
      <c r="AJ408" s="80"/>
      <c r="AK408" s="6"/>
      <c r="AL408" s="80"/>
    </row>
    <row r="409" spans="1:38" ht="15.75" customHeight="1">
      <c r="A409" s="6"/>
      <c r="B409" s="6"/>
      <c r="C409" s="6"/>
      <c r="D409" s="6"/>
      <c r="E409" s="6"/>
      <c r="F409" s="6"/>
      <c r="G409" s="80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929"/>
      <c r="AH409" s="80"/>
      <c r="AI409" s="80"/>
      <c r="AJ409" s="80"/>
      <c r="AK409" s="6"/>
      <c r="AL409" s="80"/>
    </row>
    <row r="410" spans="1:38" ht="15.75" customHeight="1">
      <c r="A410" s="6"/>
      <c r="B410" s="6"/>
      <c r="C410" s="6"/>
      <c r="D410" s="6"/>
      <c r="E410" s="6"/>
      <c r="F410" s="6"/>
      <c r="G410" s="80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929"/>
      <c r="AH410" s="80"/>
      <c r="AI410" s="80"/>
      <c r="AJ410" s="80"/>
      <c r="AK410" s="6"/>
      <c r="AL410" s="80"/>
    </row>
    <row r="411" spans="1:38" ht="15.75" customHeight="1">
      <c r="A411" s="6"/>
      <c r="B411" s="6"/>
      <c r="C411" s="6"/>
      <c r="D411" s="6"/>
      <c r="E411" s="6"/>
      <c r="F411" s="6"/>
      <c r="G411" s="80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929"/>
      <c r="AH411" s="80"/>
      <c r="AI411" s="80"/>
      <c r="AJ411" s="80"/>
      <c r="AK411" s="6"/>
      <c r="AL411" s="80"/>
    </row>
    <row r="412" spans="1:38" ht="15.75" customHeight="1">
      <c r="A412" s="6"/>
      <c r="B412" s="6"/>
      <c r="C412" s="6"/>
      <c r="D412" s="6"/>
      <c r="E412" s="6"/>
      <c r="F412" s="6"/>
      <c r="G412" s="80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929"/>
      <c r="AH412" s="80"/>
      <c r="AI412" s="80"/>
      <c r="AJ412" s="80"/>
      <c r="AK412" s="6"/>
      <c r="AL412" s="80"/>
    </row>
    <row r="413" spans="1:38" ht="15.75" customHeight="1">
      <c r="A413" s="6"/>
      <c r="B413" s="6"/>
      <c r="C413" s="6"/>
      <c r="D413" s="6"/>
      <c r="E413" s="6"/>
      <c r="F413" s="6"/>
      <c r="G413" s="80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929"/>
      <c r="AH413" s="80"/>
      <c r="AI413" s="80"/>
      <c r="AJ413" s="80"/>
      <c r="AK413" s="6"/>
      <c r="AL413" s="80"/>
    </row>
    <row r="414" spans="1:38" ht="15.75" customHeight="1">
      <c r="A414" s="6"/>
      <c r="B414" s="6"/>
      <c r="C414" s="6"/>
      <c r="D414" s="6"/>
      <c r="E414" s="6"/>
      <c r="F414" s="6"/>
      <c r="G414" s="80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929"/>
      <c r="AH414" s="80"/>
      <c r="AI414" s="80"/>
      <c r="AJ414" s="80"/>
      <c r="AK414" s="6"/>
      <c r="AL414" s="80"/>
    </row>
    <row r="415" spans="1:38" ht="15.75" customHeight="1">
      <c r="A415" s="6"/>
      <c r="B415" s="6"/>
      <c r="C415" s="6"/>
      <c r="D415" s="6"/>
      <c r="E415" s="6"/>
      <c r="F415" s="6"/>
      <c r="G415" s="80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929"/>
      <c r="AH415" s="80"/>
      <c r="AI415" s="80"/>
      <c r="AJ415" s="80"/>
      <c r="AK415" s="6"/>
      <c r="AL415" s="80"/>
    </row>
    <row r="416" spans="1:38" ht="15.75" customHeight="1">
      <c r="A416" s="6"/>
      <c r="B416" s="6"/>
      <c r="C416" s="6"/>
      <c r="D416" s="6"/>
      <c r="E416" s="6"/>
      <c r="F416" s="6"/>
      <c r="G416" s="80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929"/>
      <c r="AH416" s="80"/>
      <c r="AI416" s="80"/>
      <c r="AJ416" s="80"/>
      <c r="AK416" s="6"/>
      <c r="AL416" s="80"/>
    </row>
    <row r="417" spans="1:38" ht="15.75" customHeight="1">
      <c r="A417" s="6"/>
      <c r="B417" s="6"/>
      <c r="C417" s="6"/>
      <c r="D417" s="6"/>
      <c r="E417" s="6"/>
      <c r="F417" s="6"/>
      <c r="G417" s="80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929"/>
      <c r="AH417" s="80"/>
      <c r="AI417" s="80"/>
      <c r="AJ417" s="80"/>
      <c r="AK417" s="6"/>
      <c r="AL417" s="80"/>
    </row>
    <row r="418" spans="1:38" ht="15.75" customHeight="1">
      <c r="A418" s="6"/>
      <c r="B418" s="6"/>
      <c r="C418" s="6"/>
      <c r="D418" s="6"/>
      <c r="E418" s="6"/>
      <c r="F418" s="6"/>
      <c r="G418" s="80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929"/>
      <c r="AH418" s="80"/>
      <c r="AI418" s="80"/>
      <c r="AJ418" s="80"/>
      <c r="AK418" s="6"/>
      <c r="AL418" s="80"/>
    </row>
    <row r="419" spans="1:38" ht="15.75" customHeight="1">
      <c r="A419" s="6"/>
      <c r="B419" s="6"/>
      <c r="C419" s="6"/>
      <c r="D419" s="6"/>
      <c r="E419" s="6"/>
      <c r="F419" s="6"/>
      <c r="G419" s="80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929"/>
      <c r="AH419" s="80"/>
      <c r="AI419" s="80"/>
      <c r="AJ419" s="80"/>
      <c r="AK419" s="6"/>
      <c r="AL419" s="80"/>
    </row>
    <row r="420" spans="1:38" ht="15.75" customHeight="1">
      <c r="A420" s="6"/>
      <c r="B420" s="6"/>
      <c r="C420" s="6"/>
      <c r="D420" s="6"/>
      <c r="E420" s="6"/>
      <c r="F420" s="6"/>
      <c r="G420" s="80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929"/>
      <c r="AH420" s="80"/>
      <c r="AI420" s="80"/>
      <c r="AJ420" s="80"/>
      <c r="AK420" s="6"/>
      <c r="AL420" s="80"/>
    </row>
    <row r="421" spans="1:38" ht="15.75" customHeight="1">
      <c r="A421" s="6"/>
      <c r="B421" s="6"/>
      <c r="C421" s="6"/>
      <c r="D421" s="6"/>
      <c r="E421" s="6"/>
      <c r="F421" s="6"/>
      <c r="G421" s="80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929"/>
      <c r="AH421" s="80"/>
      <c r="AI421" s="80"/>
      <c r="AJ421" s="80"/>
      <c r="AK421" s="6"/>
      <c r="AL421" s="80"/>
    </row>
    <row r="422" spans="1:38" ht="15.75" customHeight="1">
      <c r="A422" s="6"/>
      <c r="B422" s="6"/>
      <c r="C422" s="6"/>
      <c r="D422" s="6"/>
      <c r="E422" s="6"/>
      <c r="F422" s="6"/>
      <c r="G422" s="80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929"/>
      <c r="AH422" s="80"/>
      <c r="AI422" s="80"/>
      <c r="AJ422" s="80"/>
      <c r="AK422" s="6"/>
      <c r="AL422" s="80"/>
    </row>
    <row r="423" spans="1:38" ht="15.75" customHeight="1">
      <c r="A423" s="6"/>
      <c r="B423" s="6"/>
      <c r="C423" s="6"/>
      <c r="D423" s="6"/>
      <c r="E423" s="6"/>
      <c r="F423" s="6"/>
      <c r="G423" s="80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929"/>
      <c r="AH423" s="80"/>
      <c r="AI423" s="80"/>
      <c r="AJ423" s="80"/>
      <c r="AK423" s="6"/>
      <c r="AL423" s="80"/>
    </row>
    <row r="424" spans="1:38" ht="15.75" customHeight="1">
      <c r="A424" s="6"/>
      <c r="B424" s="6"/>
      <c r="C424" s="6"/>
      <c r="D424" s="6"/>
      <c r="E424" s="6"/>
      <c r="F424" s="6"/>
      <c r="G424" s="80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929"/>
      <c r="AH424" s="80"/>
      <c r="AI424" s="80"/>
      <c r="AJ424" s="80"/>
      <c r="AK424" s="6"/>
      <c r="AL424" s="80"/>
    </row>
    <row r="425" spans="1:38" ht="15.75" customHeight="1">
      <c r="A425" s="6"/>
      <c r="B425" s="6"/>
      <c r="C425" s="6"/>
      <c r="D425" s="6"/>
      <c r="E425" s="6"/>
      <c r="F425" s="6"/>
      <c r="G425" s="80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929"/>
      <c r="AH425" s="80"/>
      <c r="AI425" s="80"/>
      <c r="AJ425" s="80"/>
      <c r="AK425" s="6"/>
      <c r="AL425" s="80"/>
    </row>
    <row r="426" spans="1:38" ht="15.75" customHeight="1">
      <c r="A426" s="6"/>
      <c r="B426" s="6"/>
      <c r="C426" s="6"/>
      <c r="D426" s="6"/>
      <c r="E426" s="6"/>
      <c r="F426" s="6"/>
      <c r="G426" s="80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929"/>
      <c r="AH426" s="80"/>
      <c r="AI426" s="80"/>
      <c r="AJ426" s="80"/>
      <c r="AK426" s="6"/>
      <c r="AL426" s="80"/>
    </row>
    <row r="427" spans="1:38" ht="15.75" customHeight="1">
      <c r="A427" s="6"/>
      <c r="B427" s="6"/>
      <c r="C427" s="6"/>
      <c r="D427" s="6"/>
      <c r="E427" s="6"/>
      <c r="F427" s="6"/>
      <c r="G427" s="80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929"/>
      <c r="AH427" s="80"/>
      <c r="AI427" s="80"/>
      <c r="AJ427" s="80"/>
      <c r="AK427" s="6"/>
      <c r="AL427" s="80"/>
    </row>
    <row r="428" spans="1:38" ht="15.75" customHeight="1">
      <c r="A428" s="6"/>
      <c r="B428" s="6"/>
      <c r="C428" s="6"/>
      <c r="D428" s="6"/>
      <c r="E428" s="6"/>
      <c r="F428" s="6"/>
      <c r="G428" s="80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929"/>
      <c r="AH428" s="80"/>
      <c r="AI428" s="80"/>
      <c r="AJ428" s="80"/>
      <c r="AK428" s="6"/>
      <c r="AL428" s="80"/>
    </row>
    <row r="429" spans="1:38" ht="15.75" customHeight="1">
      <c r="A429" s="6"/>
      <c r="B429" s="6"/>
      <c r="C429" s="6"/>
      <c r="D429" s="6"/>
      <c r="E429" s="6"/>
      <c r="F429" s="6"/>
      <c r="G429" s="80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929"/>
      <c r="AH429" s="80"/>
      <c r="AI429" s="80"/>
      <c r="AJ429" s="80"/>
      <c r="AK429" s="6"/>
      <c r="AL429" s="80"/>
    </row>
    <row r="430" spans="1:38" ht="15.75" customHeight="1">
      <c r="A430" s="6"/>
      <c r="B430" s="6"/>
      <c r="C430" s="6"/>
      <c r="D430" s="6"/>
      <c r="E430" s="6"/>
      <c r="F430" s="6"/>
      <c r="G430" s="80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929"/>
      <c r="AH430" s="80"/>
      <c r="AI430" s="80"/>
      <c r="AJ430" s="80"/>
      <c r="AK430" s="6"/>
      <c r="AL430" s="80"/>
    </row>
    <row r="431" spans="1:38" ht="15.75" customHeight="1">
      <c r="A431" s="6"/>
      <c r="B431" s="6"/>
      <c r="C431" s="6"/>
      <c r="D431" s="6"/>
      <c r="E431" s="6"/>
      <c r="F431" s="6"/>
      <c r="G431" s="80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929"/>
      <c r="AH431" s="80"/>
      <c r="AI431" s="80"/>
      <c r="AJ431" s="80"/>
      <c r="AK431" s="6"/>
      <c r="AL431" s="80"/>
    </row>
    <row r="432" spans="1:38" ht="15.75" customHeight="1">
      <c r="A432" s="6"/>
      <c r="B432" s="6"/>
      <c r="C432" s="6"/>
      <c r="D432" s="6"/>
      <c r="E432" s="6"/>
      <c r="F432" s="6"/>
      <c r="G432" s="80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929"/>
      <c r="AH432" s="80"/>
      <c r="AI432" s="80"/>
      <c r="AJ432" s="80"/>
      <c r="AK432" s="6"/>
      <c r="AL432" s="80"/>
    </row>
    <row r="433" spans="1:38" ht="15.75" customHeight="1">
      <c r="A433" s="6"/>
      <c r="B433" s="6"/>
      <c r="C433" s="6"/>
      <c r="D433" s="6"/>
      <c r="E433" s="6"/>
      <c r="F433" s="6"/>
      <c r="G433" s="80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929"/>
      <c r="AH433" s="80"/>
      <c r="AI433" s="80"/>
      <c r="AJ433" s="80"/>
      <c r="AK433" s="6"/>
      <c r="AL433" s="80"/>
    </row>
    <row r="434" spans="1:38" ht="15.75" customHeight="1">
      <c r="A434" s="6"/>
      <c r="B434" s="6"/>
      <c r="C434" s="6"/>
      <c r="D434" s="6"/>
      <c r="E434" s="6"/>
      <c r="F434" s="6"/>
      <c r="G434" s="80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929"/>
      <c r="AH434" s="80"/>
      <c r="AI434" s="80"/>
      <c r="AJ434" s="80"/>
      <c r="AK434" s="6"/>
      <c r="AL434" s="80"/>
    </row>
    <row r="435" spans="1:38" ht="15.75" customHeight="1">
      <c r="A435" s="6"/>
      <c r="B435" s="6"/>
      <c r="C435" s="6"/>
      <c r="D435" s="6"/>
      <c r="E435" s="6"/>
      <c r="F435" s="6"/>
      <c r="G435" s="80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929"/>
      <c r="AH435" s="80"/>
      <c r="AI435" s="80"/>
      <c r="AJ435" s="80"/>
      <c r="AK435" s="6"/>
      <c r="AL435" s="80"/>
    </row>
    <row r="436" spans="1:38" ht="15.75" customHeight="1">
      <c r="A436" s="6"/>
      <c r="B436" s="6"/>
      <c r="C436" s="6"/>
      <c r="D436" s="6"/>
      <c r="E436" s="6"/>
      <c r="F436" s="6"/>
      <c r="G436" s="80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929"/>
      <c r="AH436" s="80"/>
      <c r="AI436" s="80"/>
      <c r="AJ436" s="80"/>
      <c r="AK436" s="6"/>
      <c r="AL436" s="80"/>
    </row>
    <row r="437" spans="1:38" ht="15.75" customHeight="1">
      <c r="A437" s="6"/>
      <c r="B437" s="6"/>
      <c r="C437" s="6"/>
      <c r="D437" s="6"/>
      <c r="E437" s="6"/>
      <c r="F437" s="6"/>
      <c r="G437" s="80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929"/>
      <c r="AH437" s="80"/>
      <c r="AI437" s="80"/>
      <c r="AJ437" s="80"/>
      <c r="AK437" s="6"/>
      <c r="AL437" s="80"/>
    </row>
    <row r="438" spans="1:38" ht="15.75" customHeight="1">
      <c r="A438" s="6"/>
      <c r="B438" s="6"/>
      <c r="C438" s="6"/>
      <c r="D438" s="6"/>
      <c r="E438" s="6"/>
      <c r="F438" s="6"/>
      <c r="G438" s="80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929"/>
      <c r="AH438" s="80"/>
      <c r="AI438" s="80"/>
      <c r="AJ438" s="80"/>
      <c r="AK438" s="6"/>
      <c r="AL438" s="80"/>
    </row>
    <row r="439" spans="1:38" ht="15.75" customHeight="1">
      <c r="A439" s="6"/>
      <c r="B439" s="6"/>
      <c r="C439" s="6"/>
      <c r="D439" s="6"/>
      <c r="E439" s="6"/>
      <c r="F439" s="6"/>
      <c r="G439" s="80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929"/>
      <c r="AH439" s="80"/>
      <c r="AI439" s="80"/>
      <c r="AJ439" s="80"/>
      <c r="AK439" s="6"/>
      <c r="AL439" s="80"/>
    </row>
    <row r="440" spans="1:38" ht="15.75" customHeight="1">
      <c r="A440" s="6"/>
      <c r="B440" s="6"/>
      <c r="C440" s="6"/>
      <c r="D440" s="6"/>
      <c r="E440" s="6"/>
      <c r="F440" s="6"/>
      <c r="G440" s="80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929"/>
      <c r="AH440" s="80"/>
      <c r="AI440" s="80"/>
      <c r="AJ440" s="80"/>
      <c r="AK440" s="6"/>
      <c r="AL440" s="80"/>
    </row>
    <row r="441" spans="1:38" ht="15.75" customHeight="1">
      <c r="A441" s="6"/>
      <c r="B441" s="6"/>
      <c r="C441" s="6"/>
      <c r="D441" s="6"/>
      <c r="E441" s="6"/>
      <c r="F441" s="6"/>
      <c r="G441" s="80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929"/>
      <c r="AH441" s="80"/>
      <c r="AI441" s="80"/>
      <c r="AJ441" s="80"/>
      <c r="AK441" s="6"/>
      <c r="AL441" s="80"/>
    </row>
    <row r="442" spans="1:38" ht="15.75" customHeight="1">
      <c r="A442" s="6"/>
      <c r="B442" s="6"/>
      <c r="C442" s="6"/>
      <c r="D442" s="6"/>
      <c r="E442" s="6"/>
      <c r="F442" s="6"/>
      <c r="G442" s="80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929"/>
      <c r="AH442" s="80"/>
      <c r="AI442" s="80"/>
      <c r="AJ442" s="80"/>
      <c r="AK442" s="6"/>
      <c r="AL442" s="80"/>
    </row>
    <row r="443" spans="1:38" ht="15.75" customHeight="1">
      <c r="A443" s="6"/>
      <c r="B443" s="6"/>
      <c r="C443" s="6"/>
      <c r="D443" s="6"/>
      <c r="E443" s="6"/>
      <c r="F443" s="6"/>
      <c r="G443" s="80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929"/>
      <c r="AH443" s="80"/>
      <c r="AI443" s="80"/>
      <c r="AJ443" s="80"/>
      <c r="AK443" s="6"/>
      <c r="AL443" s="80"/>
    </row>
    <row r="444" spans="1:38" ht="15.75" customHeight="1">
      <c r="A444" s="6"/>
      <c r="B444" s="6"/>
      <c r="C444" s="6"/>
      <c r="D444" s="6"/>
      <c r="E444" s="6"/>
      <c r="F444" s="6"/>
      <c r="G444" s="80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929"/>
      <c r="AH444" s="80"/>
      <c r="AI444" s="80"/>
      <c r="AJ444" s="80"/>
      <c r="AK444" s="6"/>
      <c r="AL444" s="80"/>
    </row>
    <row r="445" spans="1:38" ht="15.75" customHeight="1">
      <c r="A445" s="6"/>
      <c r="B445" s="6"/>
      <c r="C445" s="6"/>
      <c r="D445" s="6"/>
      <c r="E445" s="6"/>
      <c r="F445" s="6"/>
      <c r="G445" s="80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929"/>
      <c r="AH445" s="80"/>
      <c r="AI445" s="80"/>
      <c r="AJ445" s="80"/>
      <c r="AK445" s="6"/>
      <c r="AL445" s="80"/>
    </row>
    <row r="446" spans="1:38" ht="15.75" customHeight="1">
      <c r="A446" s="6"/>
      <c r="B446" s="6"/>
      <c r="C446" s="6"/>
      <c r="D446" s="6"/>
      <c r="E446" s="6"/>
      <c r="F446" s="6"/>
      <c r="G446" s="80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929"/>
      <c r="AH446" s="80"/>
      <c r="AI446" s="80"/>
      <c r="AJ446" s="80"/>
      <c r="AK446" s="6"/>
      <c r="AL446" s="80"/>
    </row>
    <row r="447" spans="1:38" ht="15.75" customHeight="1">
      <c r="A447" s="6"/>
      <c r="B447" s="6"/>
      <c r="C447" s="6"/>
      <c r="D447" s="6"/>
      <c r="E447" s="6"/>
      <c r="F447" s="6"/>
      <c r="G447" s="80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929"/>
      <c r="AH447" s="80"/>
      <c r="AI447" s="80"/>
      <c r="AJ447" s="80"/>
      <c r="AK447" s="6"/>
      <c r="AL447" s="80"/>
    </row>
    <row r="448" spans="1:38" ht="15.75" customHeight="1">
      <c r="A448" s="6"/>
      <c r="B448" s="6"/>
      <c r="C448" s="6"/>
      <c r="D448" s="6"/>
      <c r="E448" s="6"/>
      <c r="F448" s="6"/>
      <c r="G448" s="80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929"/>
      <c r="AH448" s="80"/>
      <c r="AI448" s="80"/>
      <c r="AJ448" s="80"/>
      <c r="AK448" s="6"/>
      <c r="AL448" s="80"/>
    </row>
    <row r="449" spans="1:38" ht="15.75" customHeight="1">
      <c r="A449" s="6"/>
      <c r="B449" s="6"/>
      <c r="C449" s="6"/>
      <c r="D449" s="6"/>
      <c r="E449" s="6"/>
      <c r="F449" s="6"/>
      <c r="G449" s="80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929"/>
      <c r="AH449" s="80"/>
      <c r="AI449" s="80"/>
      <c r="AJ449" s="80"/>
      <c r="AK449" s="6"/>
      <c r="AL449" s="80"/>
    </row>
    <row r="450" spans="1:38" ht="15.75" customHeight="1">
      <c r="A450" s="6"/>
      <c r="B450" s="6"/>
      <c r="C450" s="6"/>
      <c r="D450" s="6"/>
      <c r="E450" s="6"/>
      <c r="F450" s="6"/>
      <c r="G450" s="80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929"/>
      <c r="AH450" s="80"/>
      <c r="AI450" s="80"/>
      <c r="AJ450" s="80"/>
      <c r="AK450" s="6"/>
      <c r="AL450" s="80"/>
    </row>
    <row r="451" spans="1:38" ht="15.75" customHeight="1">
      <c r="A451" s="6"/>
      <c r="B451" s="6"/>
      <c r="C451" s="6"/>
      <c r="D451" s="6"/>
      <c r="E451" s="6"/>
      <c r="F451" s="6"/>
      <c r="G451" s="80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929"/>
      <c r="AH451" s="80"/>
      <c r="AI451" s="80"/>
      <c r="AJ451" s="80"/>
      <c r="AK451" s="6"/>
      <c r="AL451" s="80"/>
    </row>
    <row r="452" spans="1:38" ht="15.75" customHeight="1">
      <c r="A452" s="6"/>
      <c r="B452" s="6"/>
      <c r="C452" s="6"/>
      <c r="D452" s="6"/>
      <c r="E452" s="6"/>
      <c r="F452" s="6"/>
      <c r="G452" s="80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929"/>
      <c r="AH452" s="80"/>
      <c r="AI452" s="80"/>
      <c r="AJ452" s="80"/>
      <c r="AK452" s="6"/>
      <c r="AL452" s="80"/>
    </row>
    <row r="453" spans="1:38" ht="15.75" customHeight="1">
      <c r="A453" s="6"/>
      <c r="B453" s="6"/>
      <c r="C453" s="6"/>
      <c r="D453" s="6"/>
      <c r="E453" s="6"/>
      <c r="F453" s="6"/>
      <c r="G453" s="80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929"/>
      <c r="AH453" s="80"/>
      <c r="AI453" s="80"/>
      <c r="AJ453" s="80"/>
      <c r="AK453" s="6"/>
      <c r="AL453" s="80"/>
    </row>
    <row r="454" spans="1:38" ht="15.75" customHeight="1">
      <c r="A454" s="6"/>
      <c r="B454" s="6"/>
      <c r="C454" s="6"/>
      <c r="D454" s="6"/>
      <c r="E454" s="6"/>
      <c r="F454" s="6"/>
      <c r="G454" s="80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929"/>
      <c r="AH454" s="80"/>
      <c r="AI454" s="80"/>
      <c r="AJ454" s="80"/>
      <c r="AK454" s="6"/>
      <c r="AL454" s="80"/>
    </row>
    <row r="455" spans="1:38" ht="15.75" customHeight="1">
      <c r="A455" s="6"/>
      <c r="B455" s="6"/>
      <c r="C455" s="6"/>
      <c r="D455" s="6"/>
      <c r="E455" s="6"/>
      <c r="F455" s="6"/>
      <c r="G455" s="80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929"/>
      <c r="AH455" s="80"/>
      <c r="AI455" s="80"/>
      <c r="AJ455" s="80"/>
      <c r="AK455" s="6"/>
      <c r="AL455" s="80"/>
    </row>
    <row r="456" spans="1:38" ht="15.75" customHeight="1">
      <c r="A456" s="6"/>
      <c r="B456" s="6"/>
      <c r="C456" s="6"/>
      <c r="D456" s="6"/>
      <c r="E456" s="6"/>
      <c r="F456" s="6"/>
      <c r="G456" s="80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929"/>
      <c r="AH456" s="80"/>
      <c r="AI456" s="80"/>
      <c r="AJ456" s="80"/>
      <c r="AK456" s="6"/>
      <c r="AL456" s="80"/>
    </row>
    <row r="457" spans="1:38" ht="15.75" customHeight="1">
      <c r="A457" s="6"/>
      <c r="B457" s="6"/>
      <c r="C457" s="6"/>
      <c r="D457" s="6"/>
      <c r="E457" s="6"/>
      <c r="F457" s="6"/>
      <c r="G457" s="80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929"/>
      <c r="AH457" s="80"/>
      <c r="AI457" s="80"/>
      <c r="AJ457" s="80"/>
      <c r="AK457" s="6"/>
      <c r="AL457" s="80"/>
    </row>
    <row r="458" spans="1:38" ht="15.75" customHeight="1">
      <c r="A458" s="6"/>
      <c r="B458" s="6"/>
      <c r="C458" s="6"/>
      <c r="D458" s="6"/>
      <c r="E458" s="6"/>
      <c r="F458" s="6"/>
      <c r="G458" s="80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929"/>
      <c r="AH458" s="80"/>
      <c r="AI458" s="80"/>
      <c r="AJ458" s="80"/>
      <c r="AK458" s="6"/>
      <c r="AL458" s="80"/>
    </row>
    <row r="459" spans="1:38" ht="15.75" customHeight="1">
      <c r="A459" s="6"/>
      <c r="B459" s="6"/>
      <c r="C459" s="6"/>
      <c r="D459" s="6"/>
      <c r="E459" s="6"/>
      <c r="F459" s="6"/>
      <c r="G459" s="80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929"/>
      <c r="AH459" s="80"/>
      <c r="AI459" s="80"/>
      <c r="AJ459" s="80"/>
      <c r="AK459" s="6"/>
      <c r="AL459" s="80"/>
    </row>
    <row r="460" spans="1:38" ht="15.75" customHeight="1">
      <c r="A460" s="6"/>
      <c r="B460" s="6"/>
      <c r="C460" s="6"/>
      <c r="D460" s="6"/>
      <c r="E460" s="6"/>
      <c r="F460" s="6"/>
      <c r="G460" s="80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929"/>
      <c r="AH460" s="80"/>
      <c r="AI460" s="80"/>
      <c r="AJ460" s="80"/>
      <c r="AK460" s="6"/>
      <c r="AL460" s="80"/>
    </row>
    <row r="461" spans="1:38" ht="15.75" customHeight="1">
      <c r="A461" s="6"/>
      <c r="B461" s="6"/>
      <c r="C461" s="6"/>
      <c r="D461" s="6"/>
      <c r="E461" s="6"/>
      <c r="F461" s="6"/>
      <c r="G461" s="80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929"/>
      <c r="AH461" s="80"/>
      <c r="AI461" s="80"/>
      <c r="AJ461" s="80"/>
      <c r="AK461" s="6"/>
      <c r="AL461" s="80"/>
    </row>
    <row r="462" spans="1:38" ht="15.75" customHeight="1">
      <c r="A462" s="6"/>
      <c r="B462" s="6"/>
      <c r="C462" s="6"/>
      <c r="D462" s="6"/>
      <c r="E462" s="6"/>
      <c r="F462" s="6"/>
      <c r="G462" s="80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929"/>
      <c r="AH462" s="80"/>
      <c r="AI462" s="80"/>
      <c r="AJ462" s="80"/>
      <c r="AK462" s="6"/>
      <c r="AL462" s="80"/>
    </row>
    <row r="463" spans="1:38" ht="15.75" customHeight="1">
      <c r="A463" s="6"/>
      <c r="B463" s="6"/>
      <c r="C463" s="6"/>
      <c r="D463" s="6"/>
      <c r="E463" s="6"/>
      <c r="F463" s="6"/>
      <c r="G463" s="80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929"/>
      <c r="AH463" s="80"/>
      <c r="AI463" s="80"/>
      <c r="AJ463" s="80"/>
      <c r="AK463" s="6"/>
      <c r="AL463" s="80"/>
    </row>
    <row r="464" spans="1:38" ht="15.75" customHeight="1">
      <c r="A464" s="6"/>
      <c r="B464" s="6"/>
      <c r="C464" s="6"/>
      <c r="D464" s="6"/>
      <c r="E464" s="6"/>
      <c r="F464" s="6"/>
      <c r="G464" s="80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929"/>
      <c r="AH464" s="80"/>
      <c r="AI464" s="80"/>
      <c r="AJ464" s="80"/>
      <c r="AK464" s="6"/>
      <c r="AL464" s="80"/>
    </row>
    <row r="465" spans="1:38" ht="15.75" customHeight="1">
      <c r="A465" s="6"/>
      <c r="B465" s="6"/>
      <c r="C465" s="6"/>
      <c r="D465" s="6"/>
      <c r="E465" s="6"/>
      <c r="F465" s="6"/>
      <c r="G465" s="80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929"/>
      <c r="AH465" s="80"/>
      <c r="AI465" s="80"/>
      <c r="AJ465" s="80"/>
      <c r="AK465" s="6"/>
      <c r="AL465" s="80"/>
    </row>
    <row r="466" spans="1:38" ht="15.75" customHeight="1">
      <c r="A466" s="6"/>
      <c r="B466" s="6"/>
      <c r="C466" s="6"/>
      <c r="D466" s="6"/>
      <c r="E466" s="6"/>
      <c r="F466" s="6"/>
      <c r="G466" s="80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929"/>
      <c r="AH466" s="80"/>
      <c r="AI466" s="80"/>
      <c r="AJ466" s="80"/>
      <c r="AK466" s="6"/>
      <c r="AL466" s="80"/>
    </row>
    <row r="467" spans="1:38" ht="15.75" customHeight="1">
      <c r="A467" s="6"/>
      <c r="B467" s="6"/>
      <c r="C467" s="6"/>
      <c r="D467" s="6"/>
      <c r="E467" s="6"/>
      <c r="F467" s="6"/>
      <c r="G467" s="80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929"/>
      <c r="AH467" s="80"/>
      <c r="AI467" s="80"/>
      <c r="AJ467" s="80"/>
      <c r="AK467" s="6"/>
      <c r="AL467" s="80"/>
    </row>
    <row r="468" spans="1:38" ht="15.75" customHeight="1">
      <c r="A468" s="6"/>
      <c r="B468" s="6"/>
      <c r="C468" s="6"/>
      <c r="D468" s="6"/>
      <c r="E468" s="6"/>
      <c r="F468" s="6"/>
      <c r="G468" s="80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929"/>
      <c r="AH468" s="80"/>
      <c r="AI468" s="80"/>
      <c r="AJ468" s="80"/>
      <c r="AK468" s="6"/>
      <c r="AL468" s="80"/>
    </row>
    <row r="469" spans="1:38" ht="15.75" customHeight="1">
      <c r="A469" s="6"/>
      <c r="B469" s="6"/>
      <c r="C469" s="6"/>
      <c r="D469" s="6"/>
      <c r="E469" s="6"/>
      <c r="F469" s="6"/>
      <c r="G469" s="80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929"/>
      <c r="AH469" s="80"/>
      <c r="AI469" s="80"/>
      <c r="AJ469" s="80"/>
      <c r="AK469" s="6"/>
      <c r="AL469" s="80"/>
    </row>
    <row r="470" spans="1:38" ht="15.75" customHeight="1">
      <c r="A470" s="6"/>
      <c r="B470" s="6"/>
      <c r="C470" s="6"/>
      <c r="D470" s="6"/>
      <c r="E470" s="6"/>
      <c r="F470" s="6"/>
      <c r="G470" s="80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929"/>
      <c r="AH470" s="80"/>
      <c r="AI470" s="80"/>
      <c r="AJ470" s="80"/>
      <c r="AK470" s="6"/>
      <c r="AL470" s="80"/>
    </row>
    <row r="471" spans="1:38" ht="15.75" customHeight="1">
      <c r="A471" s="6"/>
      <c r="B471" s="6"/>
      <c r="C471" s="6"/>
      <c r="D471" s="6"/>
      <c r="E471" s="6"/>
      <c r="F471" s="6"/>
      <c r="G471" s="80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929"/>
      <c r="AH471" s="80"/>
      <c r="AI471" s="80"/>
      <c r="AJ471" s="80"/>
      <c r="AK471" s="6"/>
      <c r="AL471" s="80"/>
    </row>
    <row r="472" spans="1:38" ht="15.75" customHeight="1">
      <c r="A472" s="6"/>
      <c r="B472" s="6"/>
      <c r="C472" s="6"/>
      <c r="D472" s="6"/>
      <c r="E472" s="6"/>
      <c r="F472" s="6"/>
      <c r="G472" s="80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929"/>
      <c r="AH472" s="80"/>
      <c r="AI472" s="80"/>
      <c r="AJ472" s="80"/>
      <c r="AK472" s="6"/>
      <c r="AL472" s="80"/>
    </row>
    <row r="473" spans="1:38" ht="15.75" customHeight="1">
      <c r="A473" s="6"/>
      <c r="B473" s="6"/>
      <c r="C473" s="6"/>
      <c r="D473" s="6"/>
      <c r="E473" s="6"/>
      <c r="F473" s="6"/>
      <c r="G473" s="80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929"/>
      <c r="AH473" s="80"/>
      <c r="AI473" s="80"/>
      <c r="AJ473" s="80"/>
      <c r="AK473" s="6"/>
      <c r="AL473" s="80"/>
    </row>
    <row r="474" spans="1:38" ht="15.75" customHeight="1">
      <c r="A474" s="6"/>
      <c r="B474" s="6"/>
      <c r="C474" s="6"/>
      <c r="D474" s="6"/>
      <c r="E474" s="6"/>
      <c r="F474" s="6"/>
      <c r="G474" s="80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929"/>
      <c r="AH474" s="80"/>
      <c r="AI474" s="80"/>
      <c r="AJ474" s="80"/>
      <c r="AK474" s="6"/>
      <c r="AL474" s="80"/>
    </row>
    <row r="475" spans="1:38" ht="15.75" customHeight="1">
      <c r="A475" s="6"/>
      <c r="B475" s="6"/>
      <c r="C475" s="6"/>
      <c r="D475" s="6"/>
      <c r="E475" s="6"/>
      <c r="F475" s="6"/>
      <c r="G475" s="80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929"/>
      <c r="AH475" s="80"/>
      <c r="AI475" s="80"/>
      <c r="AJ475" s="80"/>
      <c r="AK475" s="6"/>
      <c r="AL475" s="80"/>
    </row>
    <row r="476" spans="1:38" ht="15.75" customHeight="1">
      <c r="A476" s="6"/>
      <c r="B476" s="6"/>
      <c r="C476" s="6"/>
      <c r="D476" s="6"/>
      <c r="E476" s="6"/>
      <c r="F476" s="6"/>
      <c r="G476" s="80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929"/>
      <c r="AH476" s="80"/>
      <c r="AI476" s="80"/>
      <c r="AJ476" s="80"/>
      <c r="AK476" s="6"/>
      <c r="AL476" s="80"/>
    </row>
    <row r="477" spans="1:38" ht="15.75" customHeight="1">
      <c r="A477" s="6"/>
      <c r="B477" s="6"/>
      <c r="C477" s="6"/>
      <c r="D477" s="6"/>
      <c r="E477" s="6"/>
      <c r="F477" s="6"/>
      <c r="G477" s="80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929"/>
      <c r="AH477" s="80"/>
      <c r="AI477" s="80"/>
      <c r="AJ477" s="80"/>
      <c r="AK477" s="6"/>
      <c r="AL477" s="80"/>
    </row>
    <row r="478" spans="1:38" ht="15.75" customHeight="1">
      <c r="A478" s="6"/>
      <c r="B478" s="6"/>
      <c r="C478" s="6"/>
      <c r="D478" s="6"/>
      <c r="E478" s="6"/>
      <c r="F478" s="6"/>
      <c r="G478" s="80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929"/>
      <c r="AH478" s="80"/>
      <c r="AI478" s="80"/>
      <c r="AJ478" s="80"/>
      <c r="AK478" s="6"/>
      <c r="AL478" s="80"/>
    </row>
    <row r="479" spans="1:38" ht="15.75" customHeight="1">
      <c r="A479" s="6"/>
      <c r="B479" s="6"/>
      <c r="C479" s="6"/>
      <c r="D479" s="6"/>
      <c r="E479" s="6"/>
      <c r="F479" s="6"/>
      <c r="G479" s="80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929"/>
      <c r="AH479" s="80"/>
      <c r="AI479" s="80"/>
      <c r="AJ479" s="80"/>
      <c r="AK479" s="6"/>
      <c r="AL479" s="80"/>
    </row>
    <row r="480" spans="1:38" ht="15.75" customHeight="1">
      <c r="A480" s="6"/>
      <c r="B480" s="6"/>
      <c r="C480" s="6"/>
      <c r="D480" s="6"/>
      <c r="E480" s="6"/>
      <c r="F480" s="6"/>
      <c r="G480" s="80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929"/>
      <c r="AH480" s="80"/>
      <c r="AI480" s="80"/>
      <c r="AJ480" s="80"/>
      <c r="AK480" s="6"/>
      <c r="AL480" s="80"/>
    </row>
    <row r="481" spans="1:38" ht="15.75" customHeight="1">
      <c r="A481" s="6"/>
      <c r="B481" s="6"/>
      <c r="C481" s="6"/>
      <c r="D481" s="6"/>
      <c r="E481" s="6"/>
      <c r="F481" s="6"/>
      <c r="G481" s="80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929"/>
      <c r="AH481" s="80"/>
      <c r="AI481" s="80"/>
      <c r="AJ481" s="80"/>
      <c r="AK481" s="6"/>
      <c r="AL481" s="80"/>
    </row>
    <row r="482" spans="1:38" ht="15.75" customHeight="1">
      <c r="A482" s="6"/>
      <c r="B482" s="6"/>
      <c r="C482" s="6"/>
      <c r="D482" s="6"/>
      <c r="E482" s="6"/>
      <c r="F482" s="6"/>
      <c r="G482" s="80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929"/>
      <c r="AH482" s="80"/>
      <c r="AI482" s="80"/>
      <c r="AJ482" s="80"/>
      <c r="AK482" s="6"/>
      <c r="AL482" s="80"/>
    </row>
    <row r="483" spans="1:38" ht="15.75" customHeight="1">
      <c r="A483" s="6"/>
      <c r="B483" s="6"/>
      <c r="C483" s="6"/>
      <c r="D483" s="6"/>
      <c r="E483" s="6"/>
      <c r="F483" s="6"/>
      <c r="G483" s="80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929"/>
      <c r="AH483" s="80"/>
      <c r="AI483" s="80"/>
      <c r="AJ483" s="80"/>
      <c r="AK483" s="6"/>
      <c r="AL483" s="80"/>
    </row>
    <row r="484" spans="1:38" ht="15.75" customHeight="1">
      <c r="A484" s="6"/>
      <c r="B484" s="6"/>
      <c r="C484" s="6"/>
      <c r="D484" s="6"/>
      <c r="E484" s="6"/>
      <c r="F484" s="6"/>
      <c r="G484" s="80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929"/>
      <c r="AH484" s="80"/>
      <c r="AI484" s="80"/>
      <c r="AJ484" s="80"/>
      <c r="AK484" s="6"/>
      <c r="AL484" s="80"/>
    </row>
    <row r="485" spans="1:38" ht="15.75" customHeight="1">
      <c r="A485" s="6"/>
      <c r="B485" s="6"/>
      <c r="C485" s="6"/>
      <c r="D485" s="6"/>
      <c r="E485" s="6"/>
      <c r="F485" s="6"/>
      <c r="G485" s="80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929"/>
      <c r="AH485" s="80"/>
      <c r="AI485" s="80"/>
      <c r="AJ485" s="80"/>
      <c r="AK485" s="6"/>
      <c r="AL485" s="80"/>
    </row>
    <row r="486" spans="1:38" ht="15.75" customHeight="1">
      <c r="A486" s="6"/>
      <c r="B486" s="6"/>
      <c r="C486" s="6"/>
      <c r="D486" s="6"/>
      <c r="E486" s="6"/>
      <c r="F486" s="6"/>
      <c r="G486" s="80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929"/>
      <c r="AH486" s="80"/>
      <c r="AI486" s="80"/>
      <c r="AJ486" s="80"/>
      <c r="AK486" s="6"/>
      <c r="AL486" s="80"/>
    </row>
    <row r="487" spans="1:38" ht="15.75" customHeight="1">
      <c r="A487" s="6"/>
      <c r="B487" s="6"/>
      <c r="C487" s="6"/>
      <c r="D487" s="6"/>
      <c r="E487" s="6"/>
      <c r="F487" s="6"/>
      <c r="G487" s="80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929"/>
      <c r="AH487" s="80"/>
      <c r="AI487" s="80"/>
      <c r="AJ487" s="80"/>
      <c r="AK487" s="6"/>
      <c r="AL487" s="80"/>
    </row>
    <row r="488" spans="1:38" ht="15.75" customHeight="1">
      <c r="A488" s="6"/>
      <c r="B488" s="6"/>
      <c r="C488" s="6"/>
      <c r="D488" s="6"/>
      <c r="E488" s="6"/>
      <c r="F488" s="6"/>
      <c r="G488" s="80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929"/>
      <c r="AH488" s="80"/>
      <c r="AI488" s="80"/>
      <c r="AJ488" s="80"/>
      <c r="AK488" s="6"/>
      <c r="AL488" s="80"/>
    </row>
    <row r="489" spans="1:38" ht="15.75" customHeight="1">
      <c r="A489" s="6"/>
      <c r="B489" s="6"/>
      <c r="C489" s="6"/>
      <c r="D489" s="6"/>
      <c r="E489" s="6"/>
      <c r="F489" s="6"/>
      <c r="G489" s="80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929"/>
      <c r="AH489" s="80"/>
      <c r="AI489" s="80"/>
      <c r="AJ489" s="80"/>
      <c r="AK489" s="6"/>
      <c r="AL489" s="80"/>
    </row>
    <row r="490" spans="1:38" ht="15.75" customHeight="1">
      <c r="A490" s="6"/>
      <c r="B490" s="6"/>
      <c r="C490" s="6"/>
      <c r="D490" s="6"/>
      <c r="E490" s="6"/>
      <c r="F490" s="6"/>
      <c r="G490" s="80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929"/>
      <c r="AH490" s="80"/>
      <c r="AI490" s="80"/>
      <c r="AJ490" s="80"/>
      <c r="AK490" s="6"/>
      <c r="AL490" s="80"/>
    </row>
    <row r="491" spans="1:38" ht="15.75" customHeight="1">
      <c r="A491" s="6"/>
      <c r="B491" s="6"/>
      <c r="C491" s="6"/>
      <c r="D491" s="6"/>
      <c r="E491" s="6"/>
      <c r="F491" s="6"/>
      <c r="G491" s="80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929"/>
      <c r="AH491" s="80"/>
      <c r="AI491" s="80"/>
      <c r="AJ491" s="80"/>
      <c r="AK491" s="6"/>
      <c r="AL491" s="80"/>
    </row>
    <row r="492" spans="1:38" ht="15.75" customHeight="1">
      <c r="A492" s="6"/>
      <c r="B492" s="6"/>
      <c r="C492" s="6"/>
      <c r="D492" s="6"/>
      <c r="E492" s="6"/>
      <c r="F492" s="6"/>
      <c r="G492" s="80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929"/>
      <c r="AH492" s="80"/>
      <c r="AI492" s="80"/>
      <c r="AJ492" s="80"/>
      <c r="AK492" s="6"/>
      <c r="AL492" s="80"/>
    </row>
    <row r="493" spans="1:38" ht="15.75" customHeight="1">
      <c r="A493" s="6"/>
      <c r="B493" s="6"/>
      <c r="C493" s="6"/>
      <c r="D493" s="6"/>
      <c r="E493" s="6"/>
      <c r="F493" s="6"/>
      <c r="G493" s="80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929"/>
      <c r="AH493" s="80"/>
      <c r="AI493" s="80"/>
      <c r="AJ493" s="80"/>
      <c r="AK493" s="6"/>
      <c r="AL493" s="80"/>
    </row>
    <row r="494" spans="1:38" ht="15.75" customHeight="1">
      <c r="A494" s="6"/>
      <c r="B494" s="6"/>
      <c r="C494" s="6"/>
      <c r="D494" s="6"/>
      <c r="E494" s="6"/>
      <c r="F494" s="6"/>
      <c r="G494" s="80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929"/>
      <c r="AH494" s="80"/>
      <c r="AI494" s="80"/>
      <c r="AJ494" s="80"/>
      <c r="AK494" s="6"/>
      <c r="AL494" s="80"/>
    </row>
    <row r="495" spans="1:38" ht="15.75" customHeight="1">
      <c r="A495" s="6"/>
      <c r="B495" s="6"/>
      <c r="C495" s="6"/>
      <c r="D495" s="6"/>
      <c r="E495" s="6"/>
      <c r="F495" s="6"/>
      <c r="G495" s="80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929"/>
      <c r="AH495" s="80"/>
      <c r="AI495" s="80"/>
      <c r="AJ495" s="80"/>
      <c r="AK495" s="6"/>
      <c r="AL495" s="80"/>
    </row>
    <row r="496" spans="1:38" ht="15.75" customHeight="1">
      <c r="A496" s="6"/>
      <c r="B496" s="6"/>
      <c r="C496" s="6"/>
      <c r="D496" s="6"/>
      <c r="E496" s="6"/>
      <c r="F496" s="6"/>
      <c r="G496" s="80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929"/>
      <c r="AH496" s="80"/>
      <c r="AI496" s="80"/>
      <c r="AJ496" s="80"/>
      <c r="AK496" s="6"/>
      <c r="AL496" s="80"/>
    </row>
    <row r="497" spans="1:38" ht="15.75" customHeight="1">
      <c r="A497" s="6"/>
      <c r="B497" s="6"/>
      <c r="C497" s="6"/>
      <c r="D497" s="6"/>
      <c r="E497" s="6"/>
      <c r="F497" s="6"/>
      <c r="G497" s="80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929"/>
      <c r="AH497" s="80"/>
      <c r="AI497" s="80"/>
      <c r="AJ497" s="80"/>
      <c r="AK497" s="6"/>
      <c r="AL497" s="80"/>
    </row>
    <row r="498" spans="1:38" ht="15.75" customHeight="1">
      <c r="A498" s="6"/>
      <c r="B498" s="6"/>
      <c r="C498" s="6"/>
      <c r="D498" s="6"/>
      <c r="E498" s="6"/>
      <c r="F498" s="6"/>
      <c r="G498" s="80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929"/>
      <c r="AH498" s="80"/>
      <c r="AI498" s="80"/>
      <c r="AJ498" s="80"/>
      <c r="AK498" s="6"/>
      <c r="AL498" s="80"/>
    </row>
    <row r="499" spans="1:38" ht="15.75" customHeight="1">
      <c r="A499" s="6"/>
      <c r="B499" s="6"/>
      <c r="C499" s="6"/>
      <c r="D499" s="6"/>
      <c r="E499" s="6"/>
      <c r="F499" s="6"/>
      <c r="G499" s="80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929"/>
      <c r="AH499" s="80"/>
      <c r="AI499" s="80"/>
      <c r="AJ499" s="80"/>
      <c r="AK499" s="6"/>
      <c r="AL499" s="80"/>
    </row>
    <row r="500" spans="1:38" ht="15.75" customHeight="1">
      <c r="A500" s="6"/>
      <c r="B500" s="6"/>
      <c r="C500" s="6"/>
      <c r="D500" s="6"/>
      <c r="E500" s="6"/>
      <c r="F500" s="6"/>
      <c r="G500" s="80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929"/>
      <c r="AH500" s="80"/>
      <c r="AI500" s="80"/>
      <c r="AJ500" s="80"/>
      <c r="AK500" s="6"/>
      <c r="AL500" s="80"/>
    </row>
    <row r="501" spans="1:38" ht="15.75" customHeight="1">
      <c r="A501" s="6"/>
      <c r="B501" s="6"/>
      <c r="C501" s="6"/>
      <c r="D501" s="6"/>
      <c r="E501" s="6"/>
      <c r="F501" s="6"/>
      <c r="G501" s="80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929"/>
      <c r="AH501" s="80"/>
      <c r="AI501" s="80"/>
      <c r="AJ501" s="80"/>
      <c r="AK501" s="6"/>
      <c r="AL501" s="80"/>
    </row>
    <row r="502" spans="1:38" ht="15.75" customHeight="1">
      <c r="A502" s="6"/>
      <c r="B502" s="6"/>
      <c r="C502" s="6"/>
      <c r="D502" s="6"/>
      <c r="E502" s="6"/>
      <c r="F502" s="6"/>
      <c r="G502" s="80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929"/>
      <c r="AH502" s="80"/>
      <c r="AI502" s="80"/>
      <c r="AJ502" s="80"/>
      <c r="AK502" s="6"/>
      <c r="AL502" s="80"/>
    </row>
    <row r="503" spans="1:38" ht="15.75" customHeight="1">
      <c r="A503" s="6"/>
      <c r="B503" s="6"/>
      <c r="C503" s="6"/>
      <c r="D503" s="6"/>
      <c r="E503" s="6"/>
      <c r="F503" s="6"/>
      <c r="G503" s="80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929"/>
      <c r="AH503" s="80"/>
      <c r="AI503" s="80"/>
      <c r="AJ503" s="80"/>
      <c r="AK503" s="6"/>
      <c r="AL503" s="80"/>
    </row>
    <row r="504" spans="1:38" ht="15.75" customHeight="1">
      <c r="A504" s="6"/>
      <c r="B504" s="6"/>
      <c r="C504" s="6"/>
      <c r="D504" s="6"/>
      <c r="E504" s="6"/>
      <c r="F504" s="6"/>
      <c r="G504" s="80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929"/>
      <c r="AH504" s="80"/>
      <c r="AI504" s="80"/>
      <c r="AJ504" s="80"/>
      <c r="AK504" s="6"/>
      <c r="AL504" s="80"/>
    </row>
    <row r="505" spans="1:38" ht="15.75" customHeight="1">
      <c r="A505" s="6"/>
      <c r="B505" s="6"/>
      <c r="C505" s="6"/>
      <c r="D505" s="6"/>
      <c r="E505" s="6"/>
      <c r="F505" s="6"/>
      <c r="G505" s="80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929"/>
      <c r="AH505" s="80"/>
      <c r="AI505" s="80"/>
      <c r="AJ505" s="80"/>
      <c r="AK505" s="6"/>
      <c r="AL505" s="80"/>
    </row>
    <row r="506" spans="1:38" ht="15.75" customHeight="1">
      <c r="A506" s="6"/>
      <c r="B506" s="6"/>
      <c r="C506" s="6"/>
      <c r="D506" s="6"/>
      <c r="E506" s="6"/>
      <c r="F506" s="6"/>
      <c r="G506" s="80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929"/>
      <c r="AH506" s="80"/>
      <c r="AI506" s="80"/>
      <c r="AJ506" s="80"/>
      <c r="AK506" s="6"/>
      <c r="AL506" s="80"/>
    </row>
    <row r="507" spans="1:38" ht="15.75" customHeight="1">
      <c r="A507" s="6"/>
      <c r="B507" s="6"/>
      <c r="C507" s="6"/>
      <c r="D507" s="6"/>
      <c r="E507" s="6"/>
      <c r="F507" s="6"/>
      <c r="G507" s="80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929"/>
      <c r="AH507" s="80"/>
      <c r="AI507" s="80"/>
      <c r="AJ507" s="80"/>
      <c r="AK507" s="6"/>
      <c r="AL507" s="80"/>
    </row>
    <row r="508" spans="1:38" ht="15.75" customHeight="1">
      <c r="A508" s="6"/>
      <c r="B508" s="6"/>
      <c r="C508" s="6"/>
      <c r="D508" s="6"/>
      <c r="E508" s="6"/>
      <c r="F508" s="6"/>
      <c r="G508" s="80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929"/>
      <c r="AH508" s="80"/>
      <c r="AI508" s="80"/>
      <c r="AJ508" s="80"/>
      <c r="AK508" s="6"/>
      <c r="AL508" s="80"/>
    </row>
    <row r="509" spans="1:38" ht="15.75" customHeight="1">
      <c r="A509" s="6"/>
      <c r="B509" s="6"/>
      <c r="C509" s="6"/>
      <c r="D509" s="6"/>
      <c r="E509" s="6"/>
      <c r="F509" s="6"/>
      <c r="G509" s="80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929"/>
      <c r="AH509" s="80"/>
      <c r="AI509" s="80"/>
      <c r="AJ509" s="80"/>
      <c r="AK509" s="6"/>
      <c r="AL509" s="80"/>
    </row>
    <row r="510" spans="1:38" ht="15.75" customHeight="1">
      <c r="A510" s="6"/>
      <c r="B510" s="6"/>
      <c r="C510" s="6"/>
      <c r="D510" s="6"/>
      <c r="E510" s="6"/>
      <c r="F510" s="6"/>
      <c r="G510" s="80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929"/>
      <c r="AH510" s="80"/>
      <c r="AI510" s="80"/>
      <c r="AJ510" s="80"/>
      <c r="AK510" s="6"/>
      <c r="AL510" s="80"/>
    </row>
    <row r="511" spans="1:38" ht="15.75" customHeight="1">
      <c r="A511" s="6"/>
      <c r="B511" s="6"/>
      <c r="C511" s="6"/>
      <c r="D511" s="6"/>
      <c r="E511" s="6"/>
      <c r="F511" s="6"/>
      <c r="G511" s="80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929"/>
      <c r="AH511" s="80"/>
      <c r="AI511" s="80"/>
      <c r="AJ511" s="80"/>
      <c r="AK511" s="6"/>
      <c r="AL511" s="80"/>
    </row>
    <row r="512" spans="1:38" ht="15.75" customHeight="1">
      <c r="A512" s="6"/>
      <c r="B512" s="6"/>
      <c r="C512" s="6"/>
      <c r="D512" s="6"/>
      <c r="E512" s="6"/>
      <c r="F512" s="6"/>
      <c r="G512" s="80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929"/>
      <c r="AH512" s="80"/>
      <c r="AI512" s="80"/>
      <c r="AJ512" s="80"/>
      <c r="AK512" s="6"/>
      <c r="AL512" s="80"/>
    </row>
    <row r="513" spans="1:38" ht="15.75" customHeight="1">
      <c r="A513" s="6"/>
      <c r="B513" s="6"/>
      <c r="C513" s="6"/>
      <c r="D513" s="6"/>
      <c r="E513" s="6"/>
      <c r="F513" s="6"/>
      <c r="G513" s="80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929"/>
      <c r="AH513" s="80"/>
      <c r="AI513" s="80"/>
      <c r="AJ513" s="80"/>
      <c r="AK513" s="6"/>
      <c r="AL513" s="80"/>
    </row>
    <row r="514" spans="1:38" ht="15.75" customHeight="1">
      <c r="A514" s="6"/>
      <c r="B514" s="6"/>
      <c r="C514" s="6"/>
      <c r="D514" s="6"/>
      <c r="E514" s="6"/>
      <c r="F514" s="6"/>
      <c r="G514" s="80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929"/>
      <c r="AH514" s="80"/>
      <c r="AI514" s="80"/>
      <c r="AJ514" s="80"/>
      <c r="AK514" s="6"/>
      <c r="AL514" s="80"/>
    </row>
    <row r="515" spans="1:38" ht="15.75" customHeight="1">
      <c r="A515" s="6"/>
      <c r="B515" s="6"/>
      <c r="C515" s="6"/>
      <c r="D515" s="6"/>
      <c r="E515" s="6"/>
      <c r="F515" s="6"/>
      <c r="G515" s="80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929"/>
      <c r="AH515" s="80"/>
      <c r="AI515" s="80"/>
      <c r="AJ515" s="80"/>
      <c r="AK515" s="6"/>
      <c r="AL515" s="80"/>
    </row>
    <row r="516" spans="1:38" ht="15.75" customHeight="1">
      <c r="A516" s="6"/>
      <c r="B516" s="6"/>
      <c r="C516" s="6"/>
      <c r="D516" s="6"/>
      <c r="E516" s="6"/>
      <c r="F516" s="6"/>
      <c r="G516" s="80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929"/>
      <c r="AH516" s="80"/>
      <c r="AI516" s="80"/>
      <c r="AJ516" s="80"/>
      <c r="AK516" s="6"/>
      <c r="AL516" s="80"/>
    </row>
    <row r="517" spans="1:38" ht="15.75" customHeight="1">
      <c r="A517" s="6"/>
      <c r="B517" s="6"/>
      <c r="C517" s="6"/>
      <c r="D517" s="6"/>
      <c r="E517" s="6"/>
      <c r="F517" s="6"/>
      <c r="G517" s="80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929"/>
      <c r="AH517" s="80"/>
      <c r="AI517" s="80"/>
      <c r="AJ517" s="80"/>
      <c r="AK517" s="6"/>
      <c r="AL517" s="80"/>
    </row>
    <row r="518" spans="1:38" ht="15.75" customHeight="1">
      <c r="A518" s="6"/>
      <c r="B518" s="6"/>
      <c r="C518" s="6"/>
      <c r="D518" s="6"/>
      <c r="E518" s="6"/>
      <c r="F518" s="6"/>
      <c r="G518" s="80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929"/>
      <c r="AH518" s="80"/>
      <c r="AI518" s="80"/>
      <c r="AJ518" s="80"/>
      <c r="AK518" s="6"/>
      <c r="AL518" s="80"/>
    </row>
    <row r="519" spans="1:38" ht="15.75" customHeight="1">
      <c r="A519" s="6"/>
      <c r="B519" s="6"/>
      <c r="C519" s="6"/>
      <c r="D519" s="6"/>
      <c r="E519" s="6"/>
      <c r="F519" s="6"/>
      <c r="G519" s="80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929"/>
      <c r="AH519" s="80"/>
      <c r="AI519" s="80"/>
      <c r="AJ519" s="80"/>
      <c r="AK519" s="6"/>
      <c r="AL519" s="80"/>
    </row>
    <row r="520" spans="1:38" ht="15.75" customHeight="1">
      <c r="A520" s="6"/>
      <c r="B520" s="6"/>
      <c r="C520" s="6"/>
      <c r="D520" s="6"/>
      <c r="E520" s="6"/>
      <c r="F520" s="6"/>
      <c r="G520" s="80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929"/>
      <c r="AH520" s="80"/>
      <c r="AI520" s="80"/>
      <c r="AJ520" s="80"/>
      <c r="AK520" s="6"/>
      <c r="AL520" s="80"/>
    </row>
    <row r="521" spans="1:38" ht="15.75" customHeight="1">
      <c r="A521" s="6"/>
      <c r="B521" s="6"/>
      <c r="C521" s="6"/>
      <c r="D521" s="6"/>
      <c r="E521" s="6"/>
      <c r="F521" s="6"/>
      <c r="G521" s="80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929"/>
      <c r="AH521" s="80"/>
      <c r="AI521" s="80"/>
      <c r="AJ521" s="80"/>
      <c r="AK521" s="6"/>
      <c r="AL521" s="80"/>
    </row>
    <row r="522" spans="1:38" ht="15.75" customHeight="1">
      <c r="A522" s="6"/>
      <c r="B522" s="6"/>
      <c r="C522" s="6"/>
      <c r="D522" s="6"/>
      <c r="E522" s="6"/>
      <c r="F522" s="6"/>
      <c r="G522" s="80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929"/>
      <c r="AH522" s="80"/>
      <c r="AI522" s="80"/>
      <c r="AJ522" s="80"/>
      <c r="AK522" s="6"/>
      <c r="AL522" s="80"/>
    </row>
    <row r="523" spans="1:38" ht="15.75" customHeight="1">
      <c r="A523" s="6"/>
      <c r="B523" s="6"/>
      <c r="C523" s="6"/>
      <c r="D523" s="6"/>
      <c r="E523" s="6"/>
      <c r="F523" s="6"/>
      <c r="G523" s="80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929"/>
      <c r="AH523" s="80"/>
      <c r="AI523" s="80"/>
      <c r="AJ523" s="80"/>
      <c r="AK523" s="6"/>
      <c r="AL523" s="80"/>
    </row>
    <row r="524" spans="1:38" ht="15.75" customHeight="1">
      <c r="A524" s="6"/>
      <c r="B524" s="6"/>
      <c r="C524" s="6"/>
      <c r="D524" s="6"/>
      <c r="E524" s="6"/>
      <c r="F524" s="6"/>
      <c r="G524" s="80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929"/>
      <c r="AH524" s="80"/>
      <c r="AI524" s="80"/>
      <c r="AJ524" s="80"/>
      <c r="AK524" s="6"/>
      <c r="AL524" s="80"/>
    </row>
    <row r="525" spans="1:38" ht="15.75" customHeight="1">
      <c r="A525" s="6"/>
      <c r="B525" s="6"/>
      <c r="C525" s="6"/>
      <c r="D525" s="6"/>
      <c r="E525" s="6"/>
      <c r="F525" s="6"/>
      <c r="G525" s="80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929"/>
      <c r="AH525" s="80"/>
      <c r="AI525" s="80"/>
      <c r="AJ525" s="80"/>
      <c r="AK525" s="6"/>
      <c r="AL525" s="80"/>
    </row>
    <row r="526" spans="1:38" ht="15.75" customHeight="1">
      <c r="A526" s="6"/>
      <c r="B526" s="6"/>
      <c r="C526" s="6"/>
      <c r="D526" s="6"/>
      <c r="E526" s="6"/>
      <c r="F526" s="6"/>
      <c r="G526" s="80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929"/>
      <c r="AH526" s="80"/>
      <c r="AI526" s="80"/>
      <c r="AJ526" s="80"/>
      <c r="AK526" s="6"/>
      <c r="AL526" s="80"/>
    </row>
    <row r="527" spans="1:38" ht="15.75" customHeight="1">
      <c r="A527" s="6"/>
      <c r="B527" s="6"/>
      <c r="C527" s="6"/>
      <c r="D527" s="6"/>
      <c r="E527" s="6"/>
      <c r="F527" s="6"/>
      <c r="G527" s="80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929"/>
      <c r="AH527" s="80"/>
      <c r="AI527" s="80"/>
      <c r="AJ527" s="80"/>
      <c r="AK527" s="6"/>
      <c r="AL527" s="80"/>
    </row>
    <row r="528" spans="1:38" ht="15.75" customHeight="1">
      <c r="A528" s="6"/>
      <c r="B528" s="6"/>
      <c r="C528" s="6"/>
      <c r="D528" s="6"/>
      <c r="E528" s="6"/>
      <c r="F528" s="6"/>
      <c r="G528" s="80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929"/>
      <c r="AH528" s="80"/>
      <c r="AI528" s="80"/>
      <c r="AJ528" s="80"/>
      <c r="AK528" s="6"/>
      <c r="AL528" s="80"/>
    </row>
    <row r="529" spans="1:38" ht="15.75" customHeight="1">
      <c r="A529" s="6"/>
      <c r="B529" s="6"/>
      <c r="C529" s="6"/>
      <c r="D529" s="6"/>
      <c r="E529" s="6"/>
      <c r="F529" s="6"/>
      <c r="G529" s="80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929"/>
      <c r="AH529" s="80"/>
      <c r="AI529" s="80"/>
      <c r="AJ529" s="80"/>
      <c r="AK529" s="6"/>
      <c r="AL529" s="80"/>
    </row>
    <row r="530" spans="1:38" ht="15.75" customHeight="1">
      <c r="A530" s="6"/>
      <c r="B530" s="6"/>
      <c r="C530" s="6"/>
      <c r="D530" s="6"/>
      <c r="E530" s="6"/>
      <c r="F530" s="6"/>
      <c r="G530" s="80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929"/>
      <c r="AH530" s="80"/>
      <c r="AI530" s="80"/>
      <c r="AJ530" s="80"/>
      <c r="AK530" s="6"/>
      <c r="AL530" s="80"/>
    </row>
    <row r="531" spans="1:38" ht="15.75" customHeight="1">
      <c r="A531" s="6"/>
      <c r="B531" s="6"/>
      <c r="C531" s="6"/>
      <c r="D531" s="6"/>
      <c r="E531" s="6"/>
      <c r="F531" s="6"/>
      <c r="G531" s="80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929"/>
      <c r="AH531" s="80"/>
      <c r="AI531" s="80"/>
      <c r="AJ531" s="80"/>
      <c r="AK531" s="6"/>
      <c r="AL531" s="80"/>
    </row>
    <row r="532" spans="1:38" ht="15.75" customHeight="1">
      <c r="A532" s="6"/>
      <c r="B532" s="6"/>
      <c r="C532" s="6"/>
      <c r="D532" s="6"/>
      <c r="E532" s="6"/>
      <c r="F532" s="6"/>
      <c r="G532" s="80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929"/>
      <c r="AH532" s="80"/>
      <c r="AI532" s="80"/>
      <c r="AJ532" s="80"/>
      <c r="AK532" s="6"/>
      <c r="AL532" s="80"/>
    </row>
    <row r="533" spans="1:38" ht="15.75" customHeight="1">
      <c r="A533" s="6"/>
      <c r="B533" s="6"/>
      <c r="C533" s="6"/>
      <c r="D533" s="6"/>
      <c r="E533" s="6"/>
      <c r="F533" s="6"/>
      <c r="G533" s="80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929"/>
      <c r="AH533" s="80"/>
      <c r="AI533" s="80"/>
      <c r="AJ533" s="80"/>
      <c r="AK533" s="6"/>
      <c r="AL533" s="80"/>
    </row>
    <row r="534" spans="1:38" ht="15.75" customHeight="1">
      <c r="A534" s="6"/>
      <c r="B534" s="6"/>
      <c r="C534" s="6"/>
      <c r="D534" s="6"/>
      <c r="E534" s="6"/>
      <c r="F534" s="6"/>
      <c r="G534" s="80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929"/>
      <c r="AH534" s="80"/>
      <c r="AI534" s="80"/>
      <c r="AJ534" s="80"/>
      <c r="AK534" s="6"/>
      <c r="AL534" s="80"/>
    </row>
    <row r="535" spans="1:38" ht="15.75" customHeight="1">
      <c r="A535" s="6"/>
      <c r="B535" s="6"/>
      <c r="C535" s="6"/>
      <c r="D535" s="6"/>
      <c r="E535" s="6"/>
      <c r="F535" s="6"/>
      <c r="G535" s="80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929"/>
      <c r="AH535" s="80"/>
      <c r="AI535" s="80"/>
      <c r="AJ535" s="80"/>
      <c r="AK535" s="6"/>
      <c r="AL535" s="80"/>
    </row>
    <row r="536" spans="1:38" ht="15.75" customHeight="1">
      <c r="A536" s="6"/>
      <c r="B536" s="6"/>
      <c r="C536" s="6"/>
      <c r="D536" s="6"/>
      <c r="E536" s="6"/>
      <c r="F536" s="6"/>
      <c r="G536" s="80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929"/>
      <c r="AH536" s="80"/>
      <c r="AI536" s="80"/>
      <c r="AJ536" s="80"/>
      <c r="AK536" s="6"/>
      <c r="AL536" s="80"/>
    </row>
    <row r="537" spans="1:38" ht="15.75" customHeight="1">
      <c r="A537" s="6"/>
      <c r="B537" s="6"/>
      <c r="C537" s="6"/>
      <c r="D537" s="6"/>
      <c r="E537" s="6"/>
      <c r="F537" s="6"/>
      <c r="G537" s="80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929"/>
      <c r="AH537" s="80"/>
      <c r="AI537" s="80"/>
      <c r="AJ537" s="80"/>
      <c r="AK537" s="6"/>
      <c r="AL537" s="80"/>
    </row>
    <row r="538" spans="1:38" ht="15.75" customHeight="1">
      <c r="A538" s="6"/>
      <c r="B538" s="6"/>
      <c r="C538" s="6"/>
      <c r="D538" s="6"/>
      <c r="E538" s="6"/>
      <c r="F538" s="6"/>
      <c r="G538" s="80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929"/>
      <c r="AH538" s="80"/>
      <c r="AI538" s="80"/>
      <c r="AJ538" s="80"/>
      <c r="AK538" s="6"/>
      <c r="AL538" s="80"/>
    </row>
    <row r="539" spans="1:38" ht="15.75" customHeight="1">
      <c r="A539" s="6"/>
      <c r="B539" s="6"/>
      <c r="C539" s="6"/>
      <c r="D539" s="6"/>
      <c r="E539" s="6"/>
      <c r="F539" s="6"/>
      <c r="G539" s="80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929"/>
      <c r="AH539" s="80"/>
      <c r="AI539" s="80"/>
      <c r="AJ539" s="80"/>
      <c r="AK539" s="6"/>
      <c r="AL539" s="80"/>
    </row>
    <row r="540" spans="1:38" ht="15.75" customHeight="1">
      <c r="A540" s="6"/>
      <c r="B540" s="6"/>
      <c r="C540" s="6"/>
      <c r="D540" s="6"/>
      <c r="E540" s="6"/>
      <c r="F540" s="6"/>
      <c r="G540" s="80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929"/>
      <c r="AH540" s="80"/>
      <c r="AI540" s="80"/>
      <c r="AJ540" s="80"/>
      <c r="AK540" s="6"/>
      <c r="AL540" s="80"/>
    </row>
    <row r="541" spans="1:38" ht="15.75" customHeight="1">
      <c r="A541" s="6"/>
      <c r="B541" s="6"/>
      <c r="C541" s="6"/>
      <c r="D541" s="6"/>
      <c r="E541" s="6"/>
      <c r="F541" s="6"/>
      <c r="G541" s="80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929"/>
      <c r="AH541" s="80"/>
      <c r="AI541" s="80"/>
      <c r="AJ541" s="80"/>
      <c r="AK541" s="6"/>
      <c r="AL541" s="80"/>
    </row>
    <row r="542" spans="1:38" ht="15.75" customHeight="1">
      <c r="A542" s="6"/>
      <c r="B542" s="6"/>
      <c r="C542" s="6"/>
      <c r="D542" s="6"/>
      <c r="E542" s="6"/>
      <c r="F542" s="6"/>
      <c r="G542" s="80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929"/>
      <c r="AH542" s="80"/>
      <c r="AI542" s="80"/>
      <c r="AJ542" s="80"/>
      <c r="AK542" s="6"/>
      <c r="AL542" s="80"/>
    </row>
    <row r="543" spans="1:38" ht="15.75" customHeight="1">
      <c r="A543" s="6"/>
      <c r="B543" s="6"/>
      <c r="C543" s="6"/>
      <c r="D543" s="6"/>
      <c r="E543" s="6"/>
      <c r="F543" s="6"/>
      <c r="G543" s="80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929"/>
      <c r="AH543" s="80"/>
      <c r="AI543" s="80"/>
      <c r="AJ543" s="80"/>
      <c r="AK543" s="6"/>
      <c r="AL543" s="80"/>
    </row>
    <row r="544" spans="1:38" ht="15.75" customHeight="1">
      <c r="A544" s="6"/>
      <c r="B544" s="6"/>
      <c r="C544" s="6"/>
      <c r="D544" s="6"/>
      <c r="E544" s="6"/>
      <c r="F544" s="6"/>
      <c r="G544" s="80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929"/>
      <c r="AH544" s="80"/>
      <c r="AI544" s="80"/>
      <c r="AJ544" s="80"/>
      <c r="AK544" s="6"/>
      <c r="AL544" s="80"/>
    </row>
    <row r="545" spans="1:38" ht="15.75" customHeight="1">
      <c r="A545" s="6"/>
      <c r="B545" s="6"/>
      <c r="C545" s="6"/>
      <c r="D545" s="6"/>
      <c r="E545" s="6"/>
      <c r="F545" s="6"/>
      <c r="G545" s="80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929"/>
      <c r="AH545" s="80"/>
      <c r="AI545" s="80"/>
      <c r="AJ545" s="80"/>
      <c r="AK545" s="6"/>
      <c r="AL545" s="80"/>
    </row>
    <row r="546" spans="1:38" ht="15.75" customHeight="1">
      <c r="A546" s="6"/>
      <c r="B546" s="6"/>
      <c r="C546" s="6"/>
      <c r="D546" s="6"/>
      <c r="E546" s="6"/>
      <c r="F546" s="6"/>
      <c r="G546" s="80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929"/>
      <c r="AH546" s="80"/>
      <c r="AI546" s="80"/>
      <c r="AJ546" s="80"/>
      <c r="AK546" s="6"/>
      <c r="AL546" s="80"/>
    </row>
    <row r="547" spans="1:38" ht="15.75" customHeight="1">
      <c r="A547" s="6"/>
      <c r="B547" s="6"/>
      <c r="C547" s="6"/>
      <c r="D547" s="6"/>
      <c r="E547" s="6"/>
      <c r="F547" s="6"/>
      <c r="G547" s="80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929"/>
      <c r="AH547" s="80"/>
      <c r="AI547" s="80"/>
      <c r="AJ547" s="80"/>
      <c r="AK547" s="6"/>
      <c r="AL547" s="80"/>
    </row>
    <row r="548" spans="1:38" ht="15.75" customHeight="1">
      <c r="A548" s="6"/>
      <c r="B548" s="6"/>
      <c r="C548" s="6"/>
      <c r="D548" s="6"/>
      <c r="E548" s="6"/>
      <c r="F548" s="6"/>
      <c r="G548" s="80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929"/>
      <c r="AH548" s="80"/>
      <c r="AI548" s="80"/>
      <c r="AJ548" s="80"/>
      <c r="AK548" s="6"/>
      <c r="AL548" s="80"/>
    </row>
    <row r="549" spans="1:38" ht="15.75" customHeight="1">
      <c r="A549" s="6"/>
      <c r="B549" s="6"/>
      <c r="C549" s="6"/>
      <c r="D549" s="6"/>
      <c r="E549" s="6"/>
      <c r="F549" s="6"/>
      <c r="G549" s="80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929"/>
      <c r="AH549" s="80"/>
      <c r="AI549" s="80"/>
      <c r="AJ549" s="80"/>
      <c r="AK549" s="6"/>
      <c r="AL549" s="80"/>
    </row>
    <row r="550" spans="1:38" ht="15.75" customHeight="1">
      <c r="A550" s="6"/>
      <c r="B550" s="6"/>
      <c r="C550" s="6"/>
      <c r="D550" s="6"/>
      <c r="E550" s="6"/>
      <c r="F550" s="6"/>
      <c r="G550" s="80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929"/>
      <c r="AH550" s="80"/>
      <c r="AI550" s="80"/>
      <c r="AJ550" s="80"/>
      <c r="AK550" s="6"/>
      <c r="AL550" s="80"/>
    </row>
    <row r="551" spans="1:38" ht="15.75" customHeight="1">
      <c r="A551" s="6"/>
      <c r="B551" s="6"/>
      <c r="C551" s="6"/>
      <c r="D551" s="6"/>
      <c r="E551" s="6"/>
      <c r="F551" s="6"/>
      <c r="G551" s="80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929"/>
      <c r="AH551" s="80"/>
      <c r="AI551" s="80"/>
      <c r="AJ551" s="80"/>
      <c r="AK551" s="6"/>
      <c r="AL551" s="80"/>
    </row>
    <row r="552" spans="1:38" ht="15.75" customHeight="1">
      <c r="A552" s="6"/>
      <c r="B552" s="6"/>
      <c r="C552" s="6"/>
      <c r="D552" s="6"/>
      <c r="E552" s="6"/>
      <c r="F552" s="6"/>
      <c r="G552" s="80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929"/>
      <c r="AH552" s="80"/>
      <c r="AI552" s="80"/>
      <c r="AJ552" s="80"/>
      <c r="AK552" s="6"/>
      <c r="AL552" s="80"/>
    </row>
    <row r="553" spans="1:38" ht="15.75" customHeight="1">
      <c r="A553" s="6"/>
      <c r="B553" s="6"/>
      <c r="C553" s="6"/>
      <c r="D553" s="6"/>
      <c r="E553" s="6"/>
      <c r="F553" s="6"/>
      <c r="G553" s="80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929"/>
      <c r="AH553" s="80"/>
      <c r="AI553" s="80"/>
      <c r="AJ553" s="80"/>
      <c r="AK553" s="6"/>
      <c r="AL553" s="80"/>
    </row>
    <row r="554" spans="1:38" ht="15.75" customHeight="1">
      <c r="A554" s="6"/>
      <c r="B554" s="6"/>
      <c r="C554" s="6"/>
      <c r="D554" s="6"/>
      <c r="E554" s="6"/>
      <c r="F554" s="6"/>
      <c r="G554" s="80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929"/>
      <c r="AH554" s="80"/>
      <c r="AI554" s="80"/>
      <c r="AJ554" s="80"/>
      <c r="AK554" s="6"/>
      <c r="AL554" s="80"/>
    </row>
    <row r="555" spans="1:38" ht="15.75" customHeight="1">
      <c r="A555" s="6"/>
      <c r="B555" s="6"/>
      <c r="C555" s="6"/>
      <c r="D555" s="6"/>
      <c r="E555" s="6"/>
      <c r="F555" s="6"/>
      <c r="G555" s="80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929"/>
      <c r="AH555" s="80"/>
      <c r="AI555" s="80"/>
      <c r="AJ555" s="80"/>
      <c r="AK555" s="6"/>
      <c r="AL555" s="80"/>
    </row>
    <row r="556" spans="1:38" ht="15.75" customHeight="1">
      <c r="A556" s="6"/>
      <c r="B556" s="6"/>
      <c r="C556" s="6"/>
      <c r="D556" s="6"/>
      <c r="E556" s="6"/>
      <c r="F556" s="6"/>
      <c r="G556" s="80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929"/>
      <c r="AH556" s="80"/>
      <c r="AI556" s="80"/>
      <c r="AJ556" s="80"/>
      <c r="AK556" s="6"/>
      <c r="AL556" s="80"/>
    </row>
    <row r="557" spans="1:38" ht="15.75" customHeight="1">
      <c r="A557" s="6"/>
      <c r="B557" s="6"/>
      <c r="C557" s="6"/>
      <c r="D557" s="6"/>
      <c r="E557" s="6"/>
      <c r="F557" s="6"/>
      <c r="G557" s="80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929"/>
      <c r="AH557" s="80"/>
      <c r="AI557" s="80"/>
      <c r="AJ557" s="80"/>
      <c r="AK557" s="6"/>
      <c r="AL557" s="80"/>
    </row>
    <row r="558" spans="1:38" ht="15.75" customHeight="1">
      <c r="A558" s="6"/>
      <c r="B558" s="6"/>
      <c r="C558" s="6"/>
      <c r="D558" s="6"/>
      <c r="E558" s="6"/>
      <c r="F558" s="6"/>
      <c r="G558" s="80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929"/>
      <c r="AH558" s="80"/>
      <c r="AI558" s="80"/>
      <c r="AJ558" s="80"/>
      <c r="AK558" s="6"/>
      <c r="AL558" s="80"/>
    </row>
    <row r="559" spans="1:38" ht="15.75" customHeight="1">
      <c r="A559" s="6"/>
      <c r="B559" s="6"/>
      <c r="C559" s="6"/>
      <c r="D559" s="6"/>
      <c r="E559" s="6"/>
      <c r="F559" s="6"/>
      <c r="G559" s="80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929"/>
      <c r="AH559" s="80"/>
      <c r="AI559" s="80"/>
      <c r="AJ559" s="80"/>
      <c r="AK559" s="6"/>
      <c r="AL559" s="80"/>
    </row>
    <row r="560" spans="1:38" ht="15.75" customHeight="1">
      <c r="A560" s="6"/>
      <c r="B560" s="6"/>
      <c r="C560" s="6"/>
      <c r="D560" s="6"/>
      <c r="E560" s="6"/>
      <c r="F560" s="6"/>
      <c r="G560" s="80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929"/>
      <c r="AH560" s="80"/>
      <c r="AI560" s="80"/>
      <c r="AJ560" s="80"/>
      <c r="AK560" s="6"/>
      <c r="AL560" s="80"/>
    </row>
    <row r="561" spans="1:38" ht="15.75" customHeight="1">
      <c r="A561" s="6"/>
      <c r="B561" s="6"/>
      <c r="C561" s="6"/>
      <c r="D561" s="6"/>
      <c r="E561" s="6"/>
      <c r="F561" s="6"/>
      <c r="G561" s="80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929"/>
      <c r="AH561" s="80"/>
      <c r="AI561" s="80"/>
      <c r="AJ561" s="80"/>
      <c r="AK561" s="6"/>
      <c r="AL561" s="80"/>
    </row>
    <row r="562" spans="1:38" ht="15.75" customHeight="1">
      <c r="A562" s="6"/>
      <c r="B562" s="6"/>
      <c r="C562" s="6"/>
      <c r="D562" s="6"/>
      <c r="E562" s="6"/>
      <c r="F562" s="6"/>
      <c r="G562" s="80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929"/>
      <c r="AH562" s="80"/>
      <c r="AI562" s="80"/>
      <c r="AJ562" s="80"/>
      <c r="AK562" s="6"/>
      <c r="AL562" s="80"/>
    </row>
    <row r="563" spans="1:38" ht="15.75" customHeight="1">
      <c r="A563" s="6"/>
      <c r="B563" s="6"/>
      <c r="C563" s="6"/>
      <c r="D563" s="6"/>
      <c r="E563" s="6"/>
      <c r="F563" s="6"/>
      <c r="G563" s="80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929"/>
      <c r="AH563" s="80"/>
      <c r="AI563" s="80"/>
      <c r="AJ563" s="80"/>
      <c r="AK563" s="6"/>
      <c r="AL563" s="80"/>
    </row>
    <row r="564" spans="1:38" ht="15.75" customHeight="1">
      <c r="A564" s="6"/>
      <c r="B564" s="6"/>
      <c r="C564" s="6"/>
      <c r="D564" s="6"/>
      <c r="E564" s="6"/>
      <c r="F564" s="6"/>
      <c r="G564" s="80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929"/>
      <c r="AH564" s="80"/>
      <c r="AI564" s="80"/>
      <c r="AJ564" s="80"/>
      <c r="AK564" s="6"/>
      <c r="AL564" s="80"/>
    </row>
    <row r="565" spans="1:38" ht="15.75" customHeight="1">
      <c r="A565" s="6"/>
      <c r="B565" s="6"/>
      <c r="C565" s="6"/>
      <c r="D565" s="6"/>
      <c r="E565" s="6"/>
      <c r="F565" s="6"/>
      <c r="G565" s="80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929"/>
      <c r="AH565" s="80"/>
      <c r="AI565" s="80"/>
      <c r="AJ565" s="80"/>
      <c r="AK565" s="6"/>
      <c r="AL565" s="80"/>
    </row>
    <row r="566" spans="1:38" ht="15.75" customHeight="1">
      <c r="A566" s="6"/>
      <c r="B566" s="6"/>
      <c r="C566" s="6"/>
      <c r="D566" s="6"/>
      <c r="E566" s="6"/>
      <c r="F566" s="6"/>
      <c r="G566" s="80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929"/>
      <c r="AH566" s="80"/>
      <c r="AI566" s="80"/>
      <c r="AJ566" s="80"/>
      <c r="AK566" s="6"/>
      <c r="AL566" s="80"/>
    </row>
    <row r="567" spans="1:38" ht="15.75" customHeight="1">
      <c r="A567" s="6"/>
      <c r="B567" s="6"/>
      <c r="C567" s="6"/>
      <c r="D567" s="6"/>
      <c r="E567" s="6"/>
      <c r="F567" s="6"/>
      <c r="G567" s="80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929"/>
      <c r="AH567" s="80"/>
      <c r="AI567" s="80"/>
      <c r="AJ567" s="80"/>
      <c r="AK567" s="6"/>
      <c r="AL567" s="80"/>
    </row>
    <row r="568" spans="1:38" ht="15.75" customHeight="1">
      <c r="A568" s="6"/>
      <c r="B568" s="6"/>
      <c r="C568" s="6"/>
      <c r="D568" s="6"/>
      <c r="E568" s="6"/>
      <c r="F568" s="6"/>
      <c r="G568" s="80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929"/>
      <c r="AH568" s="80"/>
      <c r="AI568" s="80"/>
      <c r="AJ568" s="80"/>
      <c r="AK568" s="6"/>
      <c r="AL568" s="80"/>
    </row>
    <row r="569" spans="1:38" ht="15.75" customHeight="1">
      <c r="A569" s="6"/>
      <c r="B569" s="6"/>
      <c r="C569" s="6"/>
      <c r="D569" s="6"/>
      <c r="E569" s="6"/>
      <c r="F569" s="6"/>
      <c r="G569" s="80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929"/>
      <c r="AH569" s="80"/>
      <c r="AI569" s="80"/>
      <c r="AJ569" s="80"/>
      <c r="AK569" s="6"/>
      <c r="AL569" s="80"/>
    </row>
    <row r="570" spans="1:38" ht="15.75" customHeight="1">
      <c r="A570" s="6"/>
      <c r="B570" s="6"/>
      <c r="C570" s="6"/>
      <c r="D570" s="6"/>
      <c r="E570" s="6"/>
      <c r="F570" s="6"/>
      <c r="G570" s="80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929"/>
      <c r="AH570" s="80"/>
      <c r="AI570" s="80"/>
      <c r="AJ570" s="80"/>
      <c r="AK570" s="6"/>
      <c r="AL570" s="80"/>
    </row>
    <row r="571" spans="1:38" ht="15.75" customHeight="1">
      <c r="A571" s="6"/>
      <c r="B571" s="6"/>
      <c r="C571" s="6"/>
      <c r="D571" s="6"/>
      <c r="E571" s="6"/>
      <c r="F571" s="6"/>
      <c r="G571" s="80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929"/>
      <c r="AH571" s="80"/>
      <c r="AI571" s="80"/>
      <c r="AJ571" s="80"/>
      <c r="AK571" s="6"/>
      <c r="AL571" s="80"/>
    </row>
    <row r="572" spans="1:38" ht="15.75" customHeight="1">
      <c r="A572" s="6"/>
      <c r="B572" s="6"/>
      <c r="C572" s="6"/>
      <c r="D572" s="6"/>
      <c r="E572" s="6"/>
      <c r="F572" s="6"/>
      <c r="G572" s="80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929"/>
      <c r="AH572" s="80"/>
      <c r="AI572" s="80"/>
      <c r="AJ572" s="80"/>
      <c r="AK572" s="6"/>
      <c r="AL572" s="80"/>
    </row>
    <row r="573" spans="1:38" ht="15.75" customHeight="1">
      <c r="A573" s="6"/>
      <c r="B573" s="6"/>
      <c r="C573" s="6"/>
      <c r="D573" s="6"/>
      <c r="E573" s="6"/>
      <c r="F573" s="6"/>
      <c r="G573" s="80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929"/>
      <c r="AH573" s="80"/>
      <c r="AI573" s="80"/>
      <c r="AJ573" s="80"/>
      <c r="AK573" s="6"/>
      <c r="AL573" s="80"/>
    </row>
    <row r="574" spans="1:38" ht="15.75" customHeight="1">
      <c r="A574" s="6"/>
      <c r="B574" s="6"/>
      <c r="C574" s="6"/>
      <c r="D574" s="6"/>
      <c r="E574" s="6"/>
      <c r="F574" s="6"/>
      <c r="G574" s="80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929"/>
      <c r="AH574" s="80"/>
      <c r="AI574" s="80"/>
      <c r="AJ574" s="80"/>
      <c r="AK574" s="6"/>
      <c r="AL574" s="80"/>
    </row>
    <row r="575" spans="1:38" ht="15.75" customHeight="1">
      <c r="A575" s="6"/>
      <c r="B575" s="6"/>
      <c r="C575" s="6"/>
      <c r="D575" s="6"/>
      <c r="E575" s="6"/>
      <c r="F575" s="6"/>
      <c r="G575" s="80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929"/>
      <c r="AH575" s="80"/>
      <c r="AI575" s="80"/>
      <c r="AJ575" s="80"/>
      <c r="AK575" s="6"/>
      <c r="AL575" s="80"/>
    </row>
    <row r="576" spans="1:38" ht="15.75" customHeight="1">
      <c r="A576" s="6"/>
      <c r="B576" s="6"/>
      <c r="C576" s="6"/>
      <c r="D576" s="6"/>
      <c r="E576" s="6"/>
      <c r="F576" s="6"/>
      <c r="G576" s="80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929"/>
      <c r="AH576" s="80"/>
      <c r="AI576" s="80"/>
      <c r="AJ576" s="80"/>
      <c r="AK576" s="6"/>
      <c r="AL576" s="80"/>
    </row>
    <row r="577" spans="1:38" ht="15.75" customHeight="1">
      <c r="A577" s="6"/>
      <c r="B577" s="6"/>
      <c r="C577" s="6"/>
      <c r="D577" s="6"/>
      <c r="E577" s="6"/>
      <c r="F577" s="6"/>
      <c r="G577" s="80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929"/>
      <c r="AH577" s="80"/>
      <c r="AI577" s="80"/>
      <c r="AJ577" s="80"/>
      <c r="AK577" s="6"/>
      <c r="AL577" s="80"/>
    </row>
    <row r="578" spans="1:38" ht="15.75" customHeight="1">
      <c r="A578" s="6"/>
      <c r="B578" s="6"/>
      <c r="C578" s="6"/>
      <c r="D578" s="6"/>
      <c r="E578" s="6"/>
      <c r="F578" s="6"/>
      <c r="G578" s="80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929"/>
      <c r="AH578" s="80"/>
      <c r="AI578" s="80"/>
      <c r="AJ578" s="80"/>
      <c r="AK578" s="6"/>
      <c r="AL578" s="80"/>
    </row>
    <row r="579" spans="1:38" ht="15.75" customHeight="1">
      <c r="A579" s="6"/>
      <c r="B579" s="6"/>
      <c r="C579" s="6"/>
      <c r="D579" s="6"/>
      <c r="E579" s="6"/>
      <c r="F579" s="6"/>
      <c r="G579" s="80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929"/>
      <c r="AH579" s="80"/>
      <c r="AI579" s="80"/>
      <c r="AJ579" s="80"/>
      <c r="AK579" s="6"/>
      <c r="AL579" s="80"/>
    </row>
    <row r="580" spans="1:38" ht="15.75" customHeight="1">
      <c r="A580" s="6"/>
      <c r="B580" s="6"/>
      <c r="C580" s="6"/>
      <c r="D580" s="6"/>
      <c r="E580" s="6"/>
      <c r="F580" s="6"/>
      <c r="G580" s="80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929"/>
      <c r="AH580" s="80"/>
      <c r="AI580" s="80"/>
      <c r="AJ580" s="80"/>
      <c r="AK580" s="6"/>
      <c r="AL580" s="80"/>
    </row>
    <row r="581" spans="1:38" ht="15.75" customHeight="1">
      <c r="A581" s="6"/>
      <c r="B581" s="6"/>
      <c r="C581" s="6"/>
      <c r="D581" s="6"/>
      <c r="E581" s="6"/>
      <c r="F581" s="6"/>
      <c r="G581" s="80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929"/>
      <c r="AH581" s="80"/>
      <c r="AI581" s="80"/>
      <c r="AJ581" s="80"/>
      <c r="AK581" s="6"/>
      <c r="AL581" s="80"/>
    </row>
    <row r="582" spans="1:38" ht="15.75" customHeight="1">
      <c r="A582" s="6"/>
      <c r="B582" s="6"/>
      <c r="C582" s="6"/>
      <c r="D582" s="6"/>
      <c r="E582" s="6"/>
      <c r="F582" s="6"/>
      <c r="G582" s="80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929"/>
      <c r="AH582" s="80"/>
      <c r="AI582" s="80"/>
      <c r="AJ582" s="80"/>
      <c r="AK582" s="6"/>
      <c r="AL582" s="80"/>
    </row>
    <row r="583" spans="1:38" ht="15.75" customHeight="1">
      <c r="A583" s="6"/>
      <c r="B583" s="6"/>
      <c r="C583" s="6"/>
      <c r="D583" s="6"/>
      <c r="E583" s="6"/>
      <c r="F583" s="6"/>
      <c r="G583" s="80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929"/>
      <c r="AH583" s="80"/>
      <c r="AI583" s="80"/>
      <c r="AJ583" s="80"/>
      <c r="AK583" s="6"/>
      <c r="AL583" s="80"/>
    </row>
    <row r="584" spans="1:38" ht="15.75" customHeight="1">
      <c r="A584" s="6"/>
      <c r="B584" s="6"/>
      <c r="C584" s="6"/>
      <c r="D584" s="6"/>
      <c r="E584" s="6"/>
      <c r="F584" s="6"/>
      <c r="G584" s="80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929"/>
      <c r="AH584" s="80"/>
      <c r="AI584" s="80"/>
      <c r="AJ584" s="80"/>
      <c r="AK584" s="6"/>
      <c r="AL584" s="80"/>
    </row>
    <row r="585" spans="1:38" ht="15.75" customHeight="1">
      <c r="A585" s="6"/>
      <c r="B585" s="6"/>
      <c r="C585" s="6"/>
      <c r="D585" s="6"/>
      <c r="E585" s="6"/>
      <c r="F585" s="6"/>
      <c r="G585" s="80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929"/>
      <c r="AH585" s="80"/>
      <c r="AI585" s="80"/>
      <c r="AJ585" s="80"/>
      <c r="AK585" s="6"/>
      <c r="AL585" s="80"/>
    </row>
    <row r="586" spans="1:38" ht="15.75" customHeight="1">
      <c r="A586" s="6"/>
      <c r="B586" s="6"/>
      <c r="C586" s="6"/>
      <c r="D586" s="6"/>
      <c r="E586" s="6"/>
      <c r="F586" s="6"/>
      <c r="G586" s="80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929"/>
      <c r="AH586" s="80"/>
      <c r="AI586" s="80"/>
      <c r="AJ586" s="80"/>
      <c r="AK586" s="6"/>
      <c r="AL586" s="80"/>
    </row>
    <row r="587" spans="1:38" ht="15.75" customHeight="1">
      <c r="A587" s="6"/>
      <c r="B587" s="6"/>
      <c r="C587" s="6"/>
      <c r="D587" s="6"/>
      <c r="E587" s="6"/>
      <c r="F587" s="6"/>
      <c r="G587" s="80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929"/>
      <c r="AH587" s="80"/>
      <c r="AI587" s="80"/>
      <c r="AJ587" s="80"/>
      <c r="AK587" s="6"/>
      <c r="AL587" s="80"/>
    </row>
    <row r="588" spans="1:38" ht="15.75" customHeight="1">
      <c r="A588" s="6"/>
      <c r="B588" s="6"/>
      <c r="C588" s="6"/>
      <c r="D588" s="6"/>
      <c r="E588" s="6"/>
      <c r="F588" s="6"/>
      <c r="G588" s="80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929"/>
      <c r="AH588" s="80"/>
      <c r="AI588" s="80"/>
      <c r="AJ588" s="80"/>
      <c r="AK588" s="6"/>
      <c r="AL588" s="80"/>
    </row>
    <row r="589" spans="1:38" ht="15.75" customHeight="1">
      <c r="A589" s="6"/>
      <c r="B589" s="6"/>
      <c r="C589" s="6"/>
      <c r="D589" s="6"/>
      <c r="E589" s="6"/>
      <c r="F589" s="6"/>
      <c r="G589" s="80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929"/>
      <c r="AH589" s="80"/>
      <c r="AI589" s="80"/>
      <c r="AJ589" s="80"/>
      <c r="AK589" s="6"/>
      <c r="AL589" s="80"/>
    </row>
    <row r="590" spans="1:38" ht="15.75" customHeight="1">
      <c r="A590" s="6"/>
      <c r="B590" s="6"/>
      <c r="C590" s="6"/>
      <c r="D590" s="6"/>
      <c r="E590" s="6"/>
      <c r="F590" s="6"/>
      <c r="G590" s="80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929"/>
      <c r="AH590" s="80"/>
      <c r="AI590" s="80"/>
      <c r="AJ590" s="80"/>
      <c r="AK590" s="6"/>
      <c r="AL590" s="80"/>
    </row>
    <row r="591" spans="1:38" ht="15.75" customHeight="1">
      <c r="A591" s="6"/>
      <c r="B591" s="6"/>
      <c r="C591" s="6"/>
      <c r="D591" s="6"/>
      <c r="E591" s="6"/>
      <c r="F591" s="6"/>
      <c r="G591" s="80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929"/>
      <c r="AH591" s="80"/>
      <c r="AI591" s="80"/>
      <c r="AJ591" s="80"/>
      <c r="AK591" s="6"/>
      <c r="AL591" s="80"/>
    </row>
    <row r="592" spans="1:38" ht="15.75" customHeight="1">
      <c r="A592" s="6"/>
      <c r="B592" s="6"/>
      <c r="C592" s="6"/>
      <c r="D592" s="6"/>
      <c r="E592" s="6"/>
      <c r="F592" s="6"/>
      <c r="G592" s="80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929"/>
      <c r="AH592" s="80"/>
      <c r="AI592" s="80"/>
      <c r="AJ592" s="80"/>
      <c r="AK592" s="6"/>
      <c r="AL592" s="80"/>
    </row>
    <row r="593" spans="1:38" ht="15.75" customHeight="1">
      <c r="A593" s="6"/>
      <c r="B593" s="6"/>
      <c r="C593" s="6"/>
      <c r="D593" s="6"/>
      <c r="E593" s="6"/>
      <c r="F593" s="6"/>
      <c r="G593" s="80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929"/>
      <c r="AH593" s="80"/>
      <c r="AI593" s="80"/>
      <c r="AJ593" s="80"/>
      <c r="AK593" s="6"/>
      <c r="AL593" s="80"/>
    </row>
    <row r="594" spans="1:38" ht="15.75" customHeight="1">
      <c r="A594" s="6"/>
      <c r="B594" s="6"/>
      <c r="C594" s="6"/>
      <c r="D594" s="6"/>
      <c r="E594" s="6"/>
      <c r="F594" s="6"/>
      <c r="G594" s="80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929"/>
      <c r="AH594" s="80"/>
      <c r="AI594" s="80"/>
      <c r="AJ594" s="80"/>
      <c r="AK594" s="6"/>
      <c r="AL594" s="80"/>
    </row>
    <row r="595" spans="1:38" ht="15.75" customHeight="1">
      <c r="A595" s="6"/>
      <c r="B595" s="6"/>
      <c r="C595" s="6"/>
      <c r="D595" s="6"/>
      <c r="E595" s="6"/>
      <c r="F595" s="6"/>
      <c r="G595" s="80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929"/>
      <c r="AH595" s="80"/>
      <c r="AI595" s="80"/>
      <c r="AJ595" s="80"/>
      <c r="AK595" s="6"/>
      <c r="AL595" s="80"/>
    </row>
    <row r="596" spans="1:38" ht="15.75" customHeight="1">
      <c r="A596" s="6"/>
      <c r="B596" s="6"/>
      <c r="C596" s="6"/>
      <c r="D596" s="6"/>
      <c r="E596" s="6"/>
      <c r="F596" s="6"/>
      <c r="G596" s="80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929"/>
      <c r="AH596" s="80"/>
      <c r="AI596" s="80"/>
      <c r="AJ596" s="80"/>
      <c r="AK596" s="6"/>
      <c r="AL596" s="80"/>
    </row>
    <row r="597" spans="1:38" ht="15.75" customHeight="1">
      <c r="A597" s="6"/>
      <c r="B597" s="6"/>
      <c r="C597" s="6"/>
      <c r="D597" s="6"/>
      <c r="E597" s="6"/>
      <c r="F597" s="6"/>
      <c r="G597" s="80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929"/>
      <c r="AH597" s="80"/>
      <c r="AI597" s="80"/>
      <c r="AJ597" s="80"/>
      <c r="AK597" s="6"/>
      <c r="AL597" s="80"/>
    </row>
    <row r="598" spans="1:38" ht="15.75" customHeight="1">
      <c r="A598" s="6"/>
      <c r="B598" s="6"/>
      <c r="C598" s="6"/>
      <c r="D598" s="6"/>
      <c r="E598" s="6"/>
      <c r="F598" s="6"/>
      <c r="G598" s="80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929"/>
      <c r="AH598" s="80"/>
      <c r="AI598" s="80"/>
      <c r="AJ598" s="80"/>
      <c r="AK598" s="6"/>
      <c r="AL598" s="80"/>
    </row>
    <row r="599" spans="1:38" ht="15.75" customHeight="1">
      <c r="A599" s="6"/>
      <c r="B599" s="6"/>
      <c r="C599" s="6"/>
      <c r="D599" s="6"/>
      <c r="E599" s="6"/>
      <c r="F599" s="6"/>
      <c r="G599" s="80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929"/>
      <c r="AH599" s="80"/>
      <c r="AI599" s="80"/>
      <c r="AJ599" s="80"/>
      <c r="AK599" s="6"/>
      <c r="AL599" s="80"/>
    </row>
    <row r="600" spans="1:38" ht="15.75" customHeight="1">
      <c r="A600" s="6"/>
      <c r="B600" s="6"/>
      <c r="C600" s="6"/>
      <c r="D600" s="6"/>
      <c r="E600" s="6"/>
      <c r="F600" s="6"/>
      <c r="G600" s="80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929"/>
      <c r="AH600" s="80"/>
      <c r="AI600" s="80"/>
      <c r="AJ600" s="80"/>
      <c r="AK600" s="6"/>
      <c r="AL600" s="80"/>
    </row>
    <row r="601" spans="1:38" ht="15.75" customHeight="1">
      <c r="A601" s="6"/>
      <c r="B601" s="6"/>
      <c r="C601" s="6"/>
      <c r="D601" s="6"/>
      <c r="E601" s="6"/>
      <c r="F601" s="6"/>
      <c r="G601" s="80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929"/>
      <c r="AH601" s="80"/>
      <c r="AI601" s="80"/>
      <c r="AJ601" s="80"/>
      <c r="AK601" s="6"/>
      <c r="AL601" s="80"/>
    </row>
    <row r="602" spans="1:38" ht="15.75" customHeight="1">
      <c r="A602" s="6"/>
      <c r="B602" s="6"/>
      <c r="C602" s="6"/>
      <c r="D602" s="6"/>
      <c r="E602" s="6"/>
      <c r="F602" s="6"/>
      <c r="G602" s="80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929"/>
      <c r="AH602" s="80"/>
      <c r="AI602" s="80"/>
      <c r="AJ602" s="80"/>
      <c r="AK602" s="6"/>
      <c r="AL602" s="80"/>
    </row>
    <row r="603" spans="1:38" ht="15.75" customHeight="1">
      <c r="A603" s="6"/>
      <c r="B603" s="6"/>
      <c r="C603" s="6"/>
      <c r="D603" s="6"/>
      <c r="E603" s="6"/>
      <c r="F603" s="6"/>
      <c r="G603" s="80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929"/>
      <c r="AH603" s="80"/>
      <c r="AI603" s="80"/>
      <c r="AJ603" s="80"/>
      <c r="AK603" s="6"/>
      <c r="AL603" s="80"/>
    </row>
    <row r="604" spans="1:38" ht="15.75" customHeight="1">
      <c r="A604" s="6"/>
      <c r="B604" s="6"/>
      <c r="C604" s="6"/>
      <c r="D604" s="6"/>
      <c r="E604" s="6"/>
      <c r="F604" s="6"/>
      <c r="G604" s="80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929"/>
      <c r="AH604" s="80"/>
      <c r="AI604" s="80"/>
      <c r="AJ604" s="80"/>
      <c r="AK604" s="6"/>
      <c r="AL604" s="80"/>
    </row>
    <row r="605" spans="1:38" ht="15.75" customHeight="1">
      <c r="A605" s="6"/>
      <c r="B605" s="6"/>
      <c r="C605" s="6"/>
      <c r="D605" s="6"/>
      <c r="E605" s="6"/>
      <c r="F605" s="6"/>
      <c r="G605" s="80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929"/>
      <c r="AH605" s="80"/>
      <c r="AI605" s="80"/>
      <c r="AJ605" s="80"/>
      <c r="AK605" s="6"/>
      <c r="AL605" s="80"/>
    </row>
    <row r="606" spans="1:38" ht="15.75" customHeight="1">
      <c r="A606" s="6"/>
      <c r="B606" s="6"/>
      <c r="C606" s="6"/>
      <c r="D606" s="6"/>
      <c r="E606" s="6"/>
      <c r="F606" s="6"/>
      <c r="G606" s="80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929"/>
      <c r="AH606" s="80"/>
      <c r="AI606" s="80"/>
      <c r="AJ606" s="80"/>
      <c r="AK606" s="6"/>
      <c r="AL606" s="80"/>
    </row>
    <row r="607" spans="1:38" ht="15.75" customHeight="1">
      <c r="A607" s="6"/>
      <c r="B607" s="6"/>
      <c r="C607" s="6"/>
      <c r="D607" s="6"/>
      <c r="E607" s="6"/>
      <c r="F607" s="6"/>
      <c r="G607" s="80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929"/>
      <c r="AH607" s="80"/>
      <c r="AI607" s="80"/>
      <c r="AJ607" s="80"/>
      <c r="AK607" s="6"/>
      <c r="AL607" s="80"/>
    </row>
    <row r="608" spans="1:38" ht="15.75" customHeight="1">
      <c r="A608" s="6"/>
      <c r="B608" s="6"/>
      <c r="C608" s="6"/>
      <c r="D608" s="6"/>
      <c r="E608" s="6"/>
      <c r="F608" s="6"/>
      <c r="G608" s="80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929"/>
      <c r="AH608" s="80"/>
      <c r="AI608" s="80"/>
      <c r="AJ608" s="80"/>
      <c r="AK608" s="6"/>
      <c r="AL608" s="80"/>
    </row>
    <row r="609" spans="1:38" ht="15.75" customHeight="1">
      <c r="A609" s="6"/>
      <c r="B609" s="6"/>
      <c r="C609" s="6"/>
      <c r="D609" s="6"/>
      <c r="E609" s="6"/>
      <c r="F609" s="6"/>
      <c r="G609" s="80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929"/>
      <c r="AH609" s="80"/>
      <c r="AI609" s="80"/>
      <c r="AJ609" s="80"/>
      <c r="AK609" s="6"/>
      <c r="AL609" s="80"/>
    </row>
    <row r="610" spans="1:38" ht="15.75" customHeight="1">
      <c r="A610" s="6"/>
      <c r="B610" s="6"/>
      <c r="C610" s="6"/>
      <c r="D610" s="6"/>
      <c r="E610" s="6"/>
      <c r="F610" s="6"/>
      <c r="G610" s="80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929"/>
      <c r="AH610" s="80"/>
      <c r="AI610" s="80"/>
      <c r="AJ610" s="80"/>
      <c r="AK610" s="6"/>
      <c r="AL610" s="80"/>
    </row>
    <row r="611" spans="1:38" ht="15.75" customHeight="1">
      <c r="A611" s="6"/>
      <c r="B611" s="6"/>
      <c r="C611" s="6"/>
      <c r="D611" s="6"/>
      <c r="E611" s="6"/>
      <c r="F611" s="6"/>
      <c r="G611" s="80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929"/>
      <c r="AH611" s="80"/>
      <c r="AI611" s="80"/>
      <c r="AJ611" s="80"/>
      <c r="AK611" s="6"/>
      <c r="AL611" s="80"/>
    </row>
    <row r="612" spans="1:38" ht="15.75" customHeight="1">
      <c r="A612" s="6"/>
      <c r="B612" s="6"/>
      <c r="C612" s="6"/>
      <c r="D612" s="6"/>
      <c r="E612" s="6"/>
      <c r="F612" s="6"/>
      <c r="G612" s="80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929"/>
      <c r="AH612" s="80"/>
      <c r="AI612" s="80"/>
      <c r="AJ612" s="80"/>
      <c r="AK612" s="6"/>
      <c r="AL612" s="80"/>
    </row>
    <row r="613" spans="1:38" ht="15.75" customHeight="1">
      <c r="A613" s="6"/>
      <c r="B613" s="6"/>
      <c r="C613" s="6"/>
      <c r="D613" s="6"/>
      <c r="E613" s="6"/>
      <c r="F613" s="6"/>
      <c r="G613" s="80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929"/>
      <c r="AH613" s="80"/>
      <c r="AI613" s="80"/>
      <c r="AJ613" s="80"/>
      <c r="AK613" s="6"/>
      <c r="AL613" s="80"/>
    </row>
    <row r="614" spans="1:38" ht="15.75" customHeight="1">
      <c r="A614" s="6"/>
      <c r="B614" s="6"/>
      <c r="C614" s="6"/>
      <c r="D614" s="6"/>
      <c r="E614" s="6"/>
      <c r="F614" s="6"/>
      <c r="G614" s="80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929"/>
      <c r="AH614" s="80"/>
      <c r="AI614" s="80"/>
      <c r="AJ614" s="80"/>
      <c r="AK614" s="6"/>
      <c r="AL614" s="80"/>
    </row>
    <row r="615" spans="1:38" ht="15.75" customHeight="1">
      <c r="A615" s="6"/>
      <c r="B615" s="6"/>
      <c r="C615" s="6"/>
      <c r="D615" s="6"/>
      <c r="E615" s="6"/>
      <c r="F615" s="6"/>
      <c r="G615" s="80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929"/>
      <c r="AH615" s="80"/>
      <c r="AI615" s="80"/>
      <c r="AJ615" s="80"/>
      <c r="AK615" s="6"/>
      <c r="AL615" s="80"/>
    </row>
    <row r="616" spans="1:38" ht="15.75" customHeight="1">
      <c r="A616" s="6"/>
      <c r="B616" s="6"/>
      <c r="C616" s="6"/>
      <c r="D616" s="6"/>
      <c r="E616" s="6"/>
      <c r="F616" s="6"/>
      <c r="G616" s="80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929"/>
      <c r="AH616" s="80"/>
      <c r="AI616" s="80"/>
      <c r="AJ616" s="80"/>
      <c r="AK616" s="6"/>
      <c r="AL616" s="80"/>
    </row>
    <row r="617" spans="1:38" ht="15.75" customHeight="1">
      <c r="A617" s="6"/>
      <c r="B617" s="6"/>
      <c r="C617" s="6"/>
      <c r="D617" s="6"/>
      <c r="E617" s="6"/>
      <c r="F617" s="6"/>
      <c r="G617" s="80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929"/>
      <c r="AH617" s="80"/>
      <c r="AI617" s="80"/>
      <c r="AJ617" s="80"/>
      <c r="AK617" s="6"/>
      <c r="AL617" s="80"/>
    </row>
    <row r="618" spans="1:38" ht="15.75" customHeight="1">
      <c r="A618" s="6"/>
      <c r="B618" s="6"/>
      <c r="C618" s="6"/>
      <c r="D618" s="6"/>
      <c r="E618" s="6"/>
      <c r="F618" s="6"/>
      <c r="G618" s="80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929"/>
      <c r="AH618" s="80"/>
      <c r="AI618" s="80"/>
      <c r="AJ618" s="80"/>
      <c r="AK618" s="6"/>
      <c r="AL618" s="80"/>
    </row>
    <row r="619" spans="1:38" ht="15.75" customHeight="1">
      <c r="A619" s="6"/>
      <c r="B619" s="6"/>
      <c r="C619" s="6"/>
      <c r="D619" s="6"/>
      <c r="E619" s="6"/>
      <c r="F619" s="6"/>
      <c r="G619" s="80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929"/>
      <c r="AH619" s="80"/>
      <c r="AI619" s="80"/>
      <c r="AJ619" s="80"/>
      <c r="AK619" s="6"/>
      <c r="AL619" s="80"/>
    </row>
    <row r="620" spans="1:38" ht="15.75" customHeight="1">
      <c r="A620" s="6"/>
      <c r="B620" s="6"/>
      <c r="C620" s="6"/>
      <c r="D620" s="6"/>
      <c r="E620" s="6"/>
      <c r="F620" s="6"/>
      <c r="G620" s="80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929"/>
      <c r="AH620" s="80"/>
      <c r="AI620" s="80"/>
      <c r="AJ620" s="80"/>
      <c r="AK620" s="6"/>
      <c r="AL620" s="80"/>
    </row>
    <row r="621" spans="1:38" ht="15.75" customHeight="1">
      <c r="A621" s="6"/>
      <c r="B621" s="6"/>
      <c r="C621" s="6"/>
      <c r="D621" s="6"/>
      <c r="E621" s="6"/>
      <c r="F621" s="6"/>
      <c r="G621" s="80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929"/>
      <c r="AH621" s="80"/>
      <c r="AI621" s="80"/>
      <c r="AJ621" s="80"/>
      <c r="AK621" s="6"/>
      <c r="AL621" s="80"/>
    </row>
    <row r="622" spans="1:38" ht="15.75" customHeight="1">
      <c r="A622" s="6"/>
      <c r="B622" s="6"/>
      <c r="C622" s="6"/>
      <c r="D622" s="6"/>
      <c r="E622" s="6"/>
      <c r="F622" s="6"/>
      <c r="G622" s="80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929"/>
      <c r="AH622" s="80"/>
      <c r="AI622" s="80"/>
      <c r="AJ622" s="80"/>
      <c r="AK622" s="6"/>
      <c r="AL622" s="80"/>
    </row>
    <row r="623" spans="1:38" ht="15.75" customHeight="1">
      <c r="A623" s="6"/>
      <c r="B623" s="6"/>
      <c r="C623" s="6"/>
      <c r="D623" s="6"/>
      <c r="E623" s="6"/>
      <c r="F623" s="6"/>
      <c r="G623" s="80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929"/>
      <c r="AH623" s="80"/>
      <c r="AI623" s="80"/>
      <c r="AJ623" s="80"/>
      <c r="AK623" s="6"/>
      <c r="AL623" s="80"/>
    </row>
    <row r="624" spans="1:38" ht="15.75" customHeight="1">
      <c r="A624" s="6"/>
      <c r="B624" s="6"/>
      <c r="C624" s="6"/>
      <c r="D624" s="6"/>
      <c r="E624" s="6"/>
      <c r="F624" s="6"/>
      <c r="G624" s="80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929"/>
      <c r="AH624" s="80"/>
      <c r="AI624" s="80"/>
      <c r="AJ624" s="80"/>
      <c r="AK624" s="6"/>
      <c r="AL624" s="80"/>
    </row>
    <row r="625" spans="1:38" ht="15.75" customHeight="1">
      <c r="A625" s="6"/>
      <c r="B625" s="6"/>
      <c r="C625" s="6"/>
      <c r="D625" s="6"/>
      <c r="E625" s="6"/>
      <c r="F625" s="6"/>
      <c r="G625" s="80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929"/>
      <c r="AH625" s="80"/>
      <c r="AI625" s="80"/>
      <c r="AJ625" s="80"/>
      <c r="AK625" s="6"/>
      <c r="AL625" s="80"/>
    </row>
    <row r="626" spans="1:38" ht="15.75" customHeight="1">
      <c r="A626" s="6"/>
      <c r="B626" s="6"/>
      <c r="C626" s="6"/>
      <c r="D626" s="6"/>
      <c r="E626" s="6"/>
      <c r="F626" s="6"/>
      <c r="G626" s="80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929"/>
      <c r="AH626" s="80"/>
      <c r="AI626" s="80"/>
      <c r="AJ626" s="80"/>
      <c r="AK626" s="6"/>
      <c r="AL626" s="80"/>
    </row>
    <row r="627" spans="1:38" ht="15.75" customHeight="1">
      <c r="A627" s="6"/>
      <c r="B627" s="6"/>
      <c r="C627" s="6"/>
      <c r="D627" s="6"/>
      <c r="E627" s="6"/>
      <c r="F627" s="6"/>
      <c r="G627" s="80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929"/>
      <c r="AH627" s="80"/>
      <c r="AI627" s="80"/>
      <c r="AJ627" s="80"/>
      <c r="AK627" s="6"/>
      <c r="AL627" s="80"/>
    </row>
    <row r="628" spans="1:38" ht="15.75" customHeight="1">
      <c r="A628" s="6"/>
      <c r="B628" s="6"/>
      <c r="C628" s="6"/>
      <c r="D628" s="6"/>
      <c r="E628" s="6"/>
      <c r="F628" s="6"/>
      <c r="G628" s="80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929"/>
      <c r="AH628" s="80"/>
      <c r="AI628" s="80"/>
      <c r="AJ628" s="80"/>
      <c r="AK628" s="6"/>
      <c r="AL628" s="80"/>
    </row>
    <row r="629" spans="1:38" ht="15.75" customHeight="1">
      <c r="A629" s="6"/>
      <c r="B629" s="6"/>
      <c r="C629" s="6"/>
      <c r="D629" s="6"/>
      <c r="E629" s="6"/>
      <c r="F629" s="6"/>
      <c r="G629" s="80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929"/>
      <c r="AH629" s="80"/>
      <c r="AI629" s="80"/>
      <c r="AJ629" s="80"/>
      <c r="AK629" s="6"/>
      <c r="AL629" s="80"/>
    </row>
    <row r="630" spans="1:38" ht="15.75" customHeight="1">
      <c r="A630" s="6"/>
      <c r="B630" s="6"/>
      <c r="C630" s="6"/>
      <c r="D630" s="6"/>
      <c r="E630" s="6"/>
      <c r="F630" s="6"/>
      <c r="G630" s="80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929"/>
      <c r="AH630" s="80"/>
      <c r="AI630" s="80"/>
      <c r="AJ630" s="80"/>
      <c r="AK630" s="6"/>
      <c r="AL630" s="80"/>
    </row>
    <row r="631" spans="1:38" ht="15.75" customHeight="1">
      <c r="A631" s="6"/>
      <c r="B631" s="6"/>
      <c r="C631" s="6"/>
      <c r="D631" s="6"/>
      <c r="E631" s="6"/>
      <c r="F631" s="6"/>
      <c r="G631" s="80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929"/>
      <c r="AH631" s="80"/>
      <c r="AI631" s="80"/>
      <c r="AJ631" s="80"/>
      <c r="AK631" s="6"/>
      <c r="AL631" s="80"/>
    </row>
    <row r="632" spans="1:38" ht="15.75" customHeight="1">
      <c r="A632" s="6"/>
      <c r="B632" s="6"/>
      <c r="C632" s="6"/>
      <c r="D632" s="6"/>
      <c r="E632" s="6"/>
      <c r="F632" s="6"/>
      <c r="G632" s="80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929"/>
      <c r="AH632" s="80"/>
      <c r="AI632" s="80"/>
      <c r="AJ632" s="80"/>
      <c r="AK632" s="6"/>
      <c r="AL632" s="80"/>
    </row>
    <row r="633" spans="1:38" ht="15.75" customHeight="1">
      <c r="A633" s="6"/>
      <c r="B633" s="6"/>
      <c r="C633" s="6"/>
      <c r="D633" s="6"/>
      <c r="E633" s="6"/>
      <c r="F633" s="6"/>
      <c r="G633" s="80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929"/>
      <c r="AH633" s="80"/>
      <c r="AI633" s="80"/>
      <c r="AJ633" s="80"/>
      <c r="AK633" s="6"/>
      <c r="AL633" s="80"/>
    </row>
    <row r="634" spans="1:38" ht="15.75" customHeight="1">
      <c r="A634" s="6"/>
      <c r="B634" s="6"/>
      <c r="C634" s="6"/>
      <c r="D634" s="6"/>
      <c r="E634" s="6"/>
      <c r="F634" s="6"/>
      <c r="G634" s="80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929"/>
      <c r="AH634" s="80"/>
      <c r="AI634" s="80"/>
      <c r="AJ634" s="80"/>
      <c r="AK634" s="6"/>
      <c r="AL634" s="80"/>
    </row>
    <row r="635" spans="1:38" ht="15.75" customHeight="1">
      <c r="A635" s="6"/>
      <c r="B635" s="6"/>
      <c r="C635" s="6"/>
      <c r="D635" s="6"/>
      <c r="E635" s="6"/>
      <c r="F635" s="6"/>
      <c r="G635" s="80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929"/>
      <c r="AH635" s="80"/>
      <c r="AI635" s="80"/>
      <c r="AJ635" s="80"/>
      <c r="AK635" s="6"/>
      <c r="AL635" s="80"/>
    </row>
    <row r="636" spans="1:38" ht="15.75" customHeight="1">
      <c r="A636" s="6"/>
      <c r="B636" s="6"/>
      <c r="C636" s="6"/>
      <c r="D636" s="6"/>
      <c r="E636" s="6"/>
      <c r="F636" s="6"/>
      <c r="G636" s="80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929"/>
      <c r="AH636" s="80"/>
      <c r="AI636" s="80"/>
      <c r="AJ636" s="80"/>
      <c r="AK636" s="6"/>
      <c r="AL636" s="80"/>
    </row>
    <row r="637" spans="1:38" ht="15.75" customHeight="1">
      <c r="A637" s="6"/>
      <c r="B637" s="6"/>
      <c r="C637" s="6"/>
      <c r="D637" s="6"/>
      <c r="E637" s="6"/>
      <c r="F637" s="6"/>
      <c r="G637" s="80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929"/>
      <c r="AH637" s="80"/>
      <c r="AI637" s="80"/>
      <c r="AJ637" s="80"/>
      <c r="AK637" s="6"/>
      <c r="AL637" s="80"/>
    </row>
    <row r="638" spans="1:38" ht="15.75" customHeight="1">
      <c r="A638" s="6"/>
      <c r="B638" s="6"/>
      <c r="C638" s="6"/>
      <c r="D638" s="6"/>
      <c r="E638" s="6"/>
      <c r="F638" s="6"/>
      <c r="G638" s="80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929"/>
      <c r="AH638" s="80"/>
      <c r="AI638" s="80"/>
      <c r="AJ638" s="80"/>
      <c r="AK638" s="6"/>
      <c r="AL638" s="80"/>
    </row>
    <row r="639" spans="1:38" ht="15.75" customHeight="1">
      <c r="A639" s="6"/>
      <c r="B639" s="6"/>
      <c r="C639" s="6"/>
      <c r="D639" s="6"/>
      <c r="E639" s="6"/>
      <c r="F639" s="6"/>
      <c r="G639" s="80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929"/>
      <c r="AH639" s="80"/>
      <c r="AI639" s="80"/>
      <c r="AJ639" s="80"/>
      <c r="AK639" s="6"/>
      <c r="AL639" s="80"/>
    </row>
    <row r="640" spans="1:38" ht="15.75" customHeight="1">
      <c r="A640" s="6"/>
      <c r="B640" s="6"/>
      <c r="C640" s="6"/>
      <c r="D640" s="6"/>
      <c r="E640" s="6"/>
      <c r="F640" s="6"/>
      <c r="G640" s="80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929"/>
      <c r="AH640" s="80"/>
      <c r="AI640" s="80"/>
      <c r="AJ640" s="80"/>
      <c r="AK640" s="6"/>
      <c r="AL640" s="80"/>
    </row>
    <row r="641" spans="1:38" ht="15.75" customHeight="1">
      <c r="A641" s="6"/>
      <c r="B641" s="6"/>
      <c r="C641" s="6"/>
      <c r="D641" s="6"/>
      <c r="E641" s="6"/>
      <c r="F641" s="6"/>
      <c r="G641" s="80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929"/>
      <c r="AH641" s="80"/>
      <c r="AI641" s="80"/>
      <c r="AJ641" s="80"/>
      <c r="AK641" s="6"/>
      <c r="AL641" s="80"/>
    </row>
    <row r="642" spans="1:38" ht="15.75" customHeight="1">
      <c r="A642" s="6"/>
      <c r="B642" s="6"/>
      <c r="C642" s="6"/>
      <c r="D642" s="6"/>
      <c r="E642" s="6"/>
      <c r="F642" s="6"/>
      <c r="G642" s="80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929"/>
      <c r="AH642" s="80"/>
      <c r="AI642" s="80"/>
      <c r="AJ642" s="80"/>
      <c r="AK642" s="6"/>
      <c r="AL642" s="80"/>
    </row>
    <row r="643" spans="1:38" ht="15.75" customHeight="1">
      <c r="A643" s="6"/>
      <c r="B643" s="6"/>
      <c r="C643" s="6"/>
      <c r="D643" s="6"/>
      <c r="E643" s="6"/>
      <c r="F643" s="6"/>
      <c r="G643" s="80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929"/>
      <c r="AH643" s="80"/>
      <c r="AI643" s="80"/>
      <c r="AJ643" s="80"/>
      <c r="AK643" s="6"/>
      <c r="AL643" s="80"/>
    </row>
    <row r="644" spans="1:38" ht="15.75" customHeight="1">
      <c r="A644" s="6"/>
      <c r="B644" s="6"/>
      <c r="C644" s="6"/>
      <c r="D644" s="6"/>
      <c r="E644" s="6"/>
      <c r="F644" s="6"/>
      <c r="G644" s="80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929"/>
      <c r="AH644" s="80"/>
      <c r="AI644" s="80"/>
      <c r="AJ644" s="80"/>
      <c r="AK644" s="6"/>
      <c r="AL644" s="80"/>
    </row>
    <row r="645" spans="1:38" ht="15.75" customHeight="1">
      <c r="A645" s="6"/>
      <c r="B645" s="6"/>
      <c r="C645" s="6"/>
      <c r="D645" s="6"/>
      <c r="E645" s="6"/>
      <c r="F645" s="6"/>
      <c r="G645" s="80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929"/>
      <c r="AH645" s="80"/>
      <c r="AI645" s="80"/>
      <c r="AJ645" s="80"/>
      <c r="AK645" s="6"/>
      <c r="AL645" s="80"/>
    </row>
    <row r="646" spans="1:38" ht="15.75" customHeight="1">
      <c r="A646" s="6"/>
      <c r="B646" s="6"/>
      <c r="C646" s="6"/>
      <c r="D646" s="6"/>
      <c r="E646" s="6"/>
      <c r="F646" s="6"/>
      <c r="G646" s="80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929"/>
      <c r="AH646" s="80"/>
      <c r="AI646" s="80"/>
      <c r="AJ646" s="80"/>
      <c r="AK646" s="6"/>
      <c r="AL646" s="80"/>
    </row>
    <row r="647" spans="1:38" ht="15.75" customHeight="1">
      <c r="A647" s="6"/>
      <c r="B647" s="6"/>
      <c r="C647" s="6"/>
      <c r="D647" s="6"/>
      <c r="E647" s="6"/>
      <c r="F647" s="6"/>
      <c r="G647" s="80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929"/>
      <c r="AH647" s="80"/>
      <c r="AI647" s="80"/>
      <c r="AJ647" s="80"/>
      <c r="AK647" s="6"/>
      <c r="AL647" s="80"/>
    </row>
    <row r="648" spans="1:38" ht="15.75" customHeight="1">
      <c r="A648" s="6"/>
      <c r="B648" s="6"/>
      <c r="C648" s="6"/>
      <c r="D648" s="6"/>
      <c r="E648" s="6"/>
      <c r="F648" s="6"/>
      <c r="G648" s="80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929"/>
      <c r="AH648" s="80"/>
      <c r="AI648" s="80"/>
      <c r="AJ648" s="80"/>
      <c r="AK648" s="6"/>
      <c r="AL648" s="80"/>
    </row>
    <row r="649" spans="1:38" ht="15.75" customHeight="1">
      <c r="A649" s="6"/>
      <c r="B649" s="6"/>
      <c r="C649" s="6"/>
      <c r="D649" s="6"/>
      <c r="E649" s="6"/>
      <c r="F649" s="6"/>
      <c r="G649" s="80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929"/>
      <c r="AH649" s="80"/>
      <c r="AI649" s="80"/>
      <c r="AJ649" s="80"/>
      <c r="AK649" s="6"/>
      <c r="AL649" s="80"/>
    </row>
    <row r="650" spans="1:38" ht="15.75" customHeight="1">
      <c r="A650" s="6"/>
      <c r="B650" s="6"/>
      <c r="C650" s="6"/>
      <c r="D650" s="6"/>
      <c r="E650" s="6"/>
      <c r="F650" s="6"/>
      <c r="G650" s="80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929"/>
      <c r="AH650" s="80"/>
      <c r="AI650" s="80"/>
      <c r="AJ650" s="80"/>
      <c r="AK650" s="6"/>
      <c r="AL650" s="80"/>
    </row>
    <row r="651" spans="1:38" ht="15.75" customHeight="1">
      <c r="A651" s="6"/>
      <c r="B651" s="6"/>
      <c r="C651" s="6"/>
      <c r="D651" s="6"/>
      <c r="E651" s="6"/>
      <c r="F651" s="6"/>
      <c r="G651" s="80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929"/>
      <c r="AH651" s="80"/>
      <c r="AI651" s="80"/>
      <c r="AJ651" s="80"/>
      <c r="AK651" s="6"/>
      <c r="AL651" s="80"/>
    </row>
    <row r="652" spans="1:38" ht="15.75" customHeight="1">
      <c r="A652" s="6"/>
      <c r="B652" s="6"/>
      <c r="C652" s="6"/>
      <c r="D652" s="6"/>
      <c r="E652" s="6"/>
      <c r="F652" s="6"/>
      <c r="G652" s="80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929"/>
      <c r="AH652" s="80"/>
      <c r="AI652" s="80"/>
      <c r="AJ652" s="80"/>
      <c r="AK652" s="6"/>
      <c r="AL652" s="80"/>
    </row>
    <row r="653" spans="1:38" ht="15.75" customHeight="1">
      <c r="A653" s="6"/>
      <c r="B653" s="6"/>
      <c r="C653" s="6"/>
      <c r="D653" s="6"/>
      <c r="E653" s="6"/>
      <c r="F653" s="6"/>
      <c r="G653" s="80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929"/>
      <c r="AH653" s="80"/>
      <c r="AI653" s="80"/>
      <c r="AJ653" s="80"/>
      <c r="AK653" s="6"/>
      <c r="AL653" s="80"/>
    </row>
    <row r="654" spans="1:38" ht="15.75" customHeight="1">
      <c r="A654" s="6"/>
      <c r="B654" s="6"/>
      <c r="C654" s="6"/>
      <c r="D654" s="6"/>
      <c r="E654" s="6"/>
      <c r="F654" s="6"/>
      <c r="G654" s="80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929"/>
      <c r="AH654" s="80"/>
      <c r="AI654" s="80"/>
      <c r="AJ654" s="80"/>
      <c r="AK654" s="6"/>
      <c r="AL654" s="80"/>
    </row>
    <row r="655" spans="1:38" ht="15.75" customHeight="1">
      <c r="A655" s="6"/>
      <c r="B655" s="6"/>
      <c r="C655" s="6"/>
      <c r="D655" s="6"/>
      <c r="E655" s="6"/>
      <c r="F655" s="6"/>
      <c r="G655" s="80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929"/>
      <c r="AH655" s="80"/>
      <c r="AI655" s="80"/>
      <c r="AJ655" s="80"/>
      <c r="AK655" s="6"/>
      <c r="AL655" s="80"/>
    </row>
    <row r="656" spans="1:38" ht="15.75" customHeight="1">
      <c r="A656" s="6"/>
      <c r="B656" s="6"/>
      <c r="C656" s="6"/>
      <c r="D656" s="6"/>
      <c r="E656" s="6"/>
      <c r="F656" s="6"/>
      <c r="G656" s="80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929"/>
      <c r="AH656" s="80"/>
      <c r="AI656" s="80"/>
      <c r="AJ656" s="80"/>
      <c r="AK656" s="6"/>
      <c r="AL656" s="80"/>
    </row>
    <row r="657" spans="1:38" ht="15.75" customHeight="1">
      <c r="A657" s="6"/>
      <c r="B657" s="6"/>
      <c r="C657" s="6"/>
      <c r="D657" s="6"/>
      <c r="E657" s="6"/>
      <c r="F657" s="6"/>
      <c r="G657" s="80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929"/>
      <c r="AH657" s="80"/>
      <c r="AI657" s="80"/>
      <c r="AJ657" s="80"/>
      <c r="AK657" s="6"/>
      <c r="AL657" s="80"/>
    </row>
    <row r="658" spans="1:38" ht="15.75" customHeight="1">
      <c r="A658" s="6"/>
      <c r="B658" s="6"/>
      <c r="C658" s="6"/>
      <c r="D658" s="6"/>
      <c r="E658" s="6"/>
      <c r="F658" s="6"/>
      <c r="G658" s="80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929"/>
      <c r="AH658" s="80"/>
      <c r="AI658" s="80"/>
      <c r="AJ658" s="80"/>
      <c r="AK658" s="6"/>
      <c r="AL658" s="80"/>
    </row>
    <row r="659" spans="1:38" ht="15.75" customHeight="1">
      <c r="A659" s="6"/>
      <c r="B659" s="6"/>
      <c r="C659" s="6"/>
      <c r="D659" s="6"/>
      <c r="E659" s="6"/>
      <c r="F659" s="6"/>
      <c r="G659" s="80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929"/>
      <c r="AH659" s="80"/>
      <c r="AI659" s="80"/>
      <c r="AJ659" s="80"/>
      <c r="AK659" s="6"/>
      <c r="AL659" s="80"/>
    </row>
    <row r="660" spans="1:38" ht="15.75" customHeight="1">
      <c r="A660" s="6"/>
      <c r="B660" s="6"/>
      <c r="C660" s="6"/>
      <c r="D660" s="6"/>
      <c r="E660" s="6"/>
      <c r="F660" s="6"/>
      <c r="G660" s="80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929"/>
      <c r="AH660" s="80"/>
      <c r="AI660" s="80"/>
      <c r="AJ660" s="80"/>
      <c r="AK660" s="6"/>
      <c r="AL660" s="80"/>
    </row>
    <row r="661" spans="1:38" ht="15.75" customHeight="1">
      <c r="A661" s="6"/>
      <c r="B661" s="6"/>
      <c r="C661" s="6"/>
      <c r="D661" s="6"/>
      <c r="E661" s="6"/>
      <c r="F661" s="6"/>
      <c r="G661" s="80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929"/>
      <c r="AH661" s="80"/>
      <c r="AI661" s="80"/>
      <c r="AJ661" s="80"/>
      <c r="AK661" s="6"/>
      <c r="AL661" s="80"/>
    </row>
    <row r="662" spans="1:38" ht="15.75" customHeight="1">
      <c r="A662" s="6"/>
      <c r="B662" s="6"/>
      <c r="C662" s="6"/>
      <c r="D662" s="6"/>
      <c r="E662" s="6"/>
      <c r="F662" s="6"/>
      <c r="G662" s="80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929"/>
      <c r="AH662" s="80"/>
      <c r="AI662" s="80"/>
      <c r="AJ662" s="80"/>
      <c r="AK662" s="6"/>
      <c r="AL662" s="80"/>
    </row>
    <row r="663" spans="1:38" ht="15.75" customHeight="1">
      <c r="A663" s="6"/>
      <c r="B663" s="6"/>
      <c r="C663" s="6"/>
      <c r="D663" s="6"/>
      <c r="E663" s="6"/>
      <c r="F663" s="6"/>
      <c r="G663" s="80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929"/>
      <c r="AH663" s="80"/>
      <c r="AI663" s="80"/>
      <c r="AJ663" s="80"/>
      <c r="AK663" s="6"/>
      <c r="AL663" s="80"/>
    </row>
    <row r="664" spans="1:38" ht="15.75" customHeight="1">
      <c r="A664" s="6"/>
      <c r="B664" s="6"/>
      <c r="C664" s="6"/>
      <c r="D664" s="6"/>
      <c r="E664" s="6"/>
      <c r="F664" s="6"/>
      <c r="G664" s="80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929"/>
      <c r="AH664" s="80"/>
      <c r="AI664" s="80"/>
      <c r="AJ664" s="80"/>
      <c r="AK664" s="6"/>
      <c r="AL664" s="80"/>
    </row>
    <row r="665" spans="1:38" ht="15.75" customHeight="1">
      <c r="A665" s="6"/>
      <c r="B665" s="6"/>
      <c r="C665" s="6"/>
      <c r="D665" s="6"/>
      <c r="E665" s="6"/>
      <c r="F665" s="6"/>
      <c r="G665" s="80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929"/>
      <c r="AH665" s="80"/>
      <c r="AI665" s="80"/>
      <c r="AJ665" s="80"/>
      <c r="AK665" s="6"/>
      <c r="AL665" s="80"/>
    </row>
    <row r="666" spans="1:38" ht="15.75" customHeight="1">
      <c r="A666" s="6"/>
      <c r="B666" s="6"/>
      <c r="C666" s="6"/>
      <c r="D666" s="6"/>
      <c r="E666" s="6"/>
      <c r="F666" s="6"/>
      <c r="G666" s="80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929"/>
      <c r="AH666" s="80"/>
      <c r="AI666" s="80"/>
      <c r="AJ666" s="80"/>
      <c r="AK666" s="6"/>
      <c r="AL666" s="80"/>
    </row>
    <row r="667" spans="1:38" ht="15.75" customHeight="1">
      <c r="A667" s="6"/>
      <c r="B667" s="6"/>
      <c r="C667" s="6"/>
      <c r="D667" s="6"/>
      <c r="E667" s="6"/>
      <c r="F667" s="6"/>
      <c r="G667" s="80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929"/>
      <c r="AH667" s="80"/>
      <c r="AI667" s="80"/>
      <c r="AJ667" s="80"/>
      <c r="AK667" s="6"/>
      <c r="AL667" s="80"/>
    </row>
    <row r="668" spans="1:38" ht="15.75" customHeight="1">
      <c r="A668" s="6"/>
      <c r="B668" s="6"/>
      <c r="C668" s="6"/>
      <c r="D668" s="6"/>
      <c r="E668" s="6"/>
      <c r="F668" s="6"/>
      <c r="G668" s="80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929"/>
      <c r="AH668" s="80"/>
      <c r="AI668" s="80"/>
      <c r="AJ668" s="80"/>
      <c r="AK668" s="6"/>
      <c r="AL668" s="80"/>
    </row>
    <row r="669" spans="1:38" ht="15.75" customHeight="1">
      <c r="A669" s="6"/>
      <c r="B669" s="6"/>
      <c r="C669" s="6"/>
      <c r="D669" s="6"/>
      <c r="E669" s="6"/>
      <c r="F669" s="6"/>
      <c r="G669" s="80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929"/>
      <c r="AH669" s="80"/>
      <c r="AI669" s="80"/>
      <c r="AJ669" s="80"/>
      <c r="AK669" s="6"/>
      <c r="AL669" s="80"/>
    </row>
    <row r="670" spans="1:38" ht="15.75" customHeight="1">
      <c r="A670" s="6"/>
      <c r="B670" s="6"/>
      <c r="C670" s="6"/>
      <c r="D670" s="6"/>
      <c r="E670" s="6"/>
      <c r="F670" s="6"/>
      <c r="G670" s="80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929"/>
      <c r="AH670" s="80"/>
      <c r="AI670" s="80"/>
      <c r="AJ670" s="80"/>
      <c r="AK670" s="6"/>
      <c r="AL670" s="80"/>
    </row>
    <row r="671" spans="1:38" ht="15.75" customHeight="1">
      <c r="A671" s="6"/>
      <c r="B671" s="6"/>
      <c r="C671" s="6"/>
      <c r="D671" s="6"/>
      <c r="E671" s="6"/>
      <c r="F671" s="6"/>
      <c r="G671" s="80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929"/>
      <c r="AH671" s="80"/>
      <c r="AI671" s="80"/>
      <c r="AJ671" s="80"/>
      <c r="AK671" s="6"/>
      <c r="AL671" s="80"/>
    </row>
    <row r="672" spans="1:38" ht="15.75" customHeight="1">
      <c r="A672" s="6"/>
      <c r="B672" s="6"/>
      <c r="C672" s="6"/>
      <c r="D672" s="6"/>
      <c r="E672" s="6"/>
      <c r="F672" s="6"/>
      <c r="G672" s="80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929"/>
      <c r="AH672" s="80"/>
      <c r="AI672" s="80"/>
      <c r="AJ672" s="80"/>
      <c r="AK672" s="6"/>
      <c r="AL672" s="80"/>
    </row>
    <row r="673" spans="1:38" ht="15.75" customHeight="1">
      <c r="A673" s="6"/>
      <c r="B673" s="6"/>
      <c r="C673" s="6"/>
      <c r="D673" s="6"/>
      <c r="E673" s="6"/>
      <c r="F673" s="6"/>
      <c r="G673" s="80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929"/>
      <c r="AH673" s="80"/>
      <c r="AI673" s="80"/>
      <c r="AJ673" s="80"/>
      <c r="AK673" s="6"/>
      <c r="AL673" s="80"/>
    </row>
    <row r="674" spans="1:38" ht="15.75" customHeight="1">
      <c r="A674" s="6"/>
      <c r="B674" s="6"/>
      <c r="C674" s="6"/>
      <c r="D674" s="6"/>
      <c r="E674" s="6"/>
      <c r="F674" s="6"/>
      <c r="G674" s="80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929"/>
      <c r="AH674" s="80"/>
      <c r="AI674" s="80"/>
      <c r="AJ674" s="80"/>
      <c r="AK674" s="6"/>
      <c r="AL674" s="80"/>
    </row>
    <row r="675" spans="1:38" ht="15.75" customHeight="1">
      <c r="A675" s="6"/>
      <c r="B675" s="6"/>
      <c r="C675" s="6"/>
      <c r="D675" s="6"/>
      <c r="E675" s="6"/>
      <c r="F675" s="6"/>
      <c r="G675" s="80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929"/>
      <c r="AH675" s="80"/>
      <c r="AI675" s="80"/>
      <c r="AJ675" s="80"/>
      <c r="AK675" s="6"/>
      <c r="AL675" s="80"/>
    </row>
    <row r="676" spans="1:38" ht="15.75" customHeight="1">
      <c r="A676" s="6"/>
      <c r="B676" s="6"/>
      <c r="C676" s="6"/>
      <c r="D676" s="6"/>
      <c r="E676" s="6"/>
      <c r="F676" s="6"/>
      <c r="G676" s="80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929"/>
      <c r="AH676" s="80"/>
      <c r="AI676" s="80"/>
      <c r="AJ676" s="80"/>
      <c r="AK676" s="6"/>
      <c r="AL676" s="80"/>
    </row>
    <row r="677" spans="1:38" ht="15.75" customHeight="1">
      <c r="A677" s="6"/>
      <c r="B677" s="6"/>
      <c r="C677" s="6"/>
      <c r="D677" s="6"/>
      <c r="E677" s="6"/>
      <c r="F677" s="6"/>
      <c r="G677" s="80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929"/>
      <c r="AH677" s="80"/>
      <c r="AI677" s="80"/>
      <c r="AJ677" s="80"/>
      <c r="AK677" s="6"/>
      <c r="AL677" s="80"/>
    </row>
    <row r="678" spans="1:38" ht="15.75" customHeight="1">
      <c r="A678" s="6"/>
      <c r="B678" s="6"/>
      <c r="C678" s="6"/>
      <c r="D678" s="6"/>
      <c r="E678" s="6"/>
      <c r="F678" s="6"/>
      <c r="G678" s="80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929"/>
      <c r="AH678" s="80"/>
      <c r="AI678" s="80"/>
      <c r="AJ678" s="80"/>
      <c r="AK678" s="6"/>
      <c r="AL678" s="80"/>
    </row>
    <row r="679" spans="1:38" ht="15.75" customHeight="1">
      <c r="A679" s="6"/>
      <c r="B679" s="6"/>
      <c r="C679" s="6"/>
      <c r="D679" s="6"/>
      <c r="E679" s="6"/>
      <c r="F679" s="6"/>
      <c r="G679" s="80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929"/>
      <c r="AH679" s="80"/>
      <c r="AI679" s="80"/>
      <c r="AJ679" s="80"/>
      <c r="AK679" s="6"/>
      <c r="AL679" s="80"/>
    </row>
    <row r="680" spans="1:38" ht="15.75" customHeight="1">
      <c r="A680" s="6"/>
      <c r="B680" s="6"/>
      <c r="C680" s="6"/>
      <c r="D680" s="6"/>
      <c r="E680" s="6"/>
      <c r="F680" s="6"/>
      <c r="G680" s="80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929"/>
      <c r="AH680" s="80"/>
      <c r="AI680" s="80"/>
      <c r="AJ680" s="80"/>
      <c r="AK680" s="6"/>
      <c r="AL680" s="80"/>
    </row>
    <row r="681" spans="1:38" ht="15.75" customHeight="1">
      <c r="A681" s="6"/>
      <c r="B681" s="6"/>
      <c r="C681" s="6"/>
      <c r="D681" s="6"/>
      <c r="E681" s="6"/>
      <c r="F681" s="6"/>
      <c r="G681" s="80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929"/>
      <c r="AH681" s="80"/>
      <c r="AI681" s="80"/>
      <c r="AJ681" s="80"/>
      <c r="AK681" s="6"/>
      <c r="AL681" s="80"/>
    </row>
    <row r="682" spans="1:38" ht="15.75" customHeight="1">
      <c r="A682" s="6"/>
      <c r="B682" s="6"/>
      <c r="C682" s="6"/>
      <c r="D682" s="6"/>
      <c r="E682" s="6"/>
      <c r="F682" s="6"/>
      <c r="G682" s="80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929"/>
      <c r="AH682" s="80"/>
      <c r="AI682" s="80"/>
      <c r="AJ682" s="80"/>
      <c r="AK682" s="6"/>
      <c r="AL682" s="80"/>
    </row>
    <row r="683" spans="1:38" ht="15.75" customHeight="1">
      <c r="A683" s="6"/>
      <c r="B683" s="6"/>
      <c r="C683" s="6"/>
      <c r="D683" s="6"/>
      <c r="E683" s="6"/>
      <c r="F683" s="6"/>
      <c r="G683" s="80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929"/>
      <c r="AH683" s="80"/>
      <c r="AI683" s="80"/>
      <c r="AJ683" s="80"/>
      <c r="AK683" s="6"/>
      <c r="AL683" s="80"/>
    </row>
    <row r="684" spans="1:38" ht="15.75" customHeight="1">
      <c r="A684" s="6"/>
      <c r="B684" s="6"/>
      <c r="C684" s="6"/>
      <c r="D684" s="6"/>
      <c r="E684" s="6"/>
      <c r="F684" s="6"/>
      <c r="G684" s="80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929"/>
      <c r="AH684" s="80"/>
      <c r="AI684" s="80"/>
      <c r="AJ684" s="80"/>
      <c r="AK684" s="6"/>
      <c r="AL684" s="80"/>
    </row>
    <row r="685" spans="1:38" ht="15.75" customHeight="1">
      <c r="A685" s="6"/>
      <c r="B685" s="6"/>
      <c r="C685" s="6"/>
      <c r="D685" s="6"/>
      <c r="E685" s="6"/>
      <c r="F685" s="6"/>
      <c r="G685" s="80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929"/>
      <c r="AH685" s="80"/>
      <c r="AI685" s="80"/>
      <c r="AJ685" s="80"/>
      <c r="AK685" s="6"/>
      <c r="AL685" s="80"/>
    </row>
    <row r="686" spans="1:38" ht="15.75" customHeight="1">
      <c r="A686" s="6"/>
      <c r="B686" s="6"/>
      <c r="C686" s="6"/>
      <c r="D686" s="6"/>
      <c r="E686" s="6"/>
      <c r="F686" s="6"/>
      <c r="G686" s="80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929"/>
      <c r="AH686" s="80"/>
      <c r="AI686" s="80"/>
      <c r="AJ686" s="80"/>
      <c r="AK686" s="6"/>
      <c r="AL686" s="80"/>
    </row>
    <row r="687" spans="1:38" ht="15.75" customHeight="1">
      <c r="A687" s="6"/>
      <c r="B687" s="6"/>
      <c r="C687" s="6"/>
      <c r="D687" s="6"/>
      <c r="E687" s="6"/>
      <c r="F687" s="6"/>
      <c r="G687" s="80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929"/>
      <c r="AH687" s="80"/>
      <c r="AI687" s="80"/>
      <c r="AJ687" s="80"/>
      <c r="AK687" s="6"/>
      <c r="AL687" s="80"/>
    </row>
    <row r="688" spans="1:38" ht="15.75" customHeight="1">
      <c r="A688" s="6"/>
      <c r="B688" s="6"/>
      <c r="C688" s="6"/>
      <c r="D688" s="6"/>
      <c r="E688" s="6"/>
      <c r="F688" s="6"/>
      <c r="G688" s="80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929"/>
      <c r="AH688" s="80"/>
      <c r="AI688" s="80"/>
      <c r="AJ688" s="80"/>
      <c r="AK688" s="6"/>
      <c r="AL688" s="80"/>
    </row>
    <row r="689" spans="1:38" ht="15.75" customHeight="1">
      <c r="A689" s="6"/>
      <c r="B689" s="6"/>
      <c r="C689" s="6"/>
      <c r="D689" s="6"/>
      <c r="E689" s="6"/>
      <c r="F689" s="6"/>
      <c r="G689" s="80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929"/>
      <c r="AH689" s="80"/>
      <c r="AI689" s="80"/>
      <c r="AJ689" s="80"/>
      <c r="AK689" s="6"/>
      <c r="AL689" s="80"/>
    </row>
    <row r="690" spans="1:38" ht="15.75" customHeight="1">
      <c r="A690" s="6"/>
      <c r="B690" s="6"/>
      <c r="C690" s="6"/>
      <c r="D690" s="6"/>
      <c r="E690" s="6"/>
      <c r="F690" s="6"/>
      <c r="G690" s="80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929"/>
      <c r="AH690" s="80"/>
      <c r="AI690" s="80"/>
      <c r="AJ690" s="80"/>
      <c r="AK690" s="6"/>
      <c r="AL690" s="80"/>
    </row>
    <row r="691" spans="1:38" ht="15.75" customHeight="1">
      <c r="A691" s="6"/>
      <c r="B691" s="6"/>
      <c r="C691" s="6"/>
      <c r="D691" s="6"/>
      <c r="E691" s="6"/>
      <c r="F691" s="6"/>
      <c r="G691" s="80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929"/>
      <c r="AH691" s="80"/>
      <c r="AI691" s="80"/>
      <c r="AJ691" s="80"/>
      <c r="AK691" s="6"/>
      <c r="AL691" s="80"/>
    </row>
    <row r="692" spans="1:38" ht="15.75" customHeight="1">
      <c r="A692" s="6"/>
      <c r="B692" s="6"/>
      <c r="C692" s="6"/>
      <c r="D692" s="6"/>
      <c r="E692" s="6"/>
      <c r="F692" s="6"/>
      <c r="G692" s="80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929"/>
      <c r="AH692" s="80"/>
      <c r="AI692" s="80"/>
      <c r="AJ692" s="80"/>
      <c r="AK692" s="6"/>
      <c r="AL692" s="80"/>
    </row>
    <row r="693" spans="1:38" ht="15.75" customHeight="1">
      <c r="A693" s="6"/>
      <c r="B693" s="6"/>
      <c r="C693" s="6"/>
      <c r="D693" s="6"/>
      <c r="E693" s="6"/>
      <c r="F693" s="6"/>
      <c r="G693" s="80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929"/>
      <c r="AH693" s="80"/>
      <c r="AI693" s="80"/>
      <c r="AJ693" s="80"/>
      <c r="AK693" s="6"/>
      <c r="AL693" s="80"/>
    </row>
    <row r="694" spans="1:38" ht="15.75" customHeight="1">
      <c r="A694" s="6"/>
      <c r="B694" s="6"/>
      <c r="C694" s="6"/>
      <c r="D694" s="6"/>
      <c r="E694" s="6"/>
      <c r="F694" s="6"/>
      <c r="G694" s="80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929"/>
      <c r="AH694" s="80"/>
      <c r="AI694" s="80"/>
      <c r="AJ694" s="80"/>
      <c r="AK694" s="6"/>
      <c r="AL694" s="80"/>
    </row>
    <row r="695" spans="1:38" ht="15.75" customHeight="1">
      <c r="A695" s="6"/>
      <c r="B695" s="6"/>
      <c r="C695" s="6"/>
      <c r="D695" s="6"/>
      <c r="E695" s="6"/>
      <c r="F695" s="6"/>
      <c r="G695" s="80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929"/>
      <c r="AH695" s="80"/>
      <c r="AI695" s="80"/>
      <c r="AJ695" s="80"/>
      <c r="AK695" s="6"/>
      <c r="AL695" s="80"/>
    </row>
    <row r="696" spans="1:38" ht="15.75" customHeight="1">
      <c r="A696" s="6"/>
      <c r="B696" s="6"/>
      <c r="C696" s="6"/>
      <c r="D696" s="6"/>
      <c r="E696" s="6"/>
      <c r="F696" s="6"/>
      <c r="G696" s="80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929"/>
      <c r="AH696" s="80"/>
      <c r="AI696" s="80"/>
      <c r="AJ696" s="80"/>
      <c r="AK696" s="6"/>
      <c r="AL696" s="80"/>
    </row>
    <row r="697" spans="1:38" ht="15.75" customHeight="1">
      <c r="A697" s="6"/>
      <c r="B697" s="6"/>
      <c r="C697" s="6"/>
      <c r="D697" s="6"/>
      <c r="E697" s="6"/>
      <c r="F697" s="6"/>
      <c r="G697" s="80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929"/>
      <c r="AH697" s="80"/>
      <c r="AI697" s="80"/>
      <c r="AJ697" s="80"/>
      <c r="AK697" s="6"/>
      <c r="AL697" s="80"/>
    </row>
    <row r="698" spans="1:38" ht="15.75" customHeight="1">
      <c r="A698" s="6"/>
      <c r="B698" s="6"/>
      <c r="C698" s="6"/>
      <c r="D698" s="6"/>
      <c r="E698" s="6"/>
      <c r="F698" s="6"/>
      <c r="G698" s="80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929"/>
      <c r="AH698" s="80"/>
      <c r="AI698" s="80"/>
      <c r="AJ698" s="80"/>
      <c r="AK698" s="6"/>
      <c r="AL698" s="80"/>
    </row>
    <row r="699" spans="1:38" ht="15.75" customHeight="1">
      <c r="A699" s="6"/>
      <c r="B699" s="6"/>
      <c r="C699" s="6"/>
      <c r="D699" s="6"/>
      <c r="E699" s="6"/>
      <c r="F699" s="6"/>
      <c r="G699" s="80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929"/>
      <c r="AH699" s="80"/>
      <c r="AI699" s="80"/>
      <c r="AJ699" s="80"/>
      <c r="AK699" s="6"/>
      <c r="AL699" s="80"/>
    </row>
    <row r="700" spans="1:38" ht="15.75" customHeight="1">
      <c r="A700" s="6"/>
      <c r="B700" s="6"/>
      <c r="C700" s="6"/>
      <c r="D700" s="6"/>
      <c r="E700" s="6"/>
      <c r="F700" s="6"/>
      <c r="G700" s="80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929"/>
      <c r="AH700" s="80"/>
      <c r="AI700" s="80"/>
      <c r="AJ700" s="80"/>
      <c r="AK700" s="6"/>
      <c r="AL700" s="80"/>
    </row>
    <row r="701" spans="1:38" ht="15.75" customHeight="1">
      <c r="A701" s="6"/>
      <c r="B701" s="6"/>
      <c r="C701" s="6"/>
      <c r="D701" s="6"/>
      <c r="E701" s="6"/>
      <c r="F701" s="6"/>
      <c r="G701" s="80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929"/>
      <c r="AH701" s="80"/>
      <c r="AI701" s="80"/>
      <c r="AJ701" s="80"/>
      <c r="AK701" s="6"/>
      <c r="AL701" s="80"/>
    </row>
    <row r="702" spans="1:38" ht="15.75" customHeight="1">
      <c r="A702" s="6"/>
      <c r="B702" s="6"/>
      <c r="C702" s="6"/>
      <c r="D702" s="6"/>
      <c r="E702" s="6"/>
      <c r="F702" s="6"/>
      <c r="G702" s="80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929"/>
      <c r="AH702" s="80"/>
      <c r="AI702" s="80"/>
      <c r="AJ702" s="80"/>
      <c r="AK702" s="6"/>
      <c r="AL702" s="80"/>
    </row>
    <row r="703" spans="1:38" ht="15.75" customHeight="1">
      <c r="A703" s="6"/>
      <c r="B703" s="6"/>
      <c r="C703" s="6"/>
      <c r="D703" s="6"/>
      <c r="E703" s="6"/>
      <c r="F703" s="6"/>
      <c r="G703" s="80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929"/>
      <c r="AH703" s="80"/>
      <c r="AI703" s="80"/>
      <c r="AJ703" s="80"/>
      <c r="AK703" s="6"/>
      <c r="AL703" s="80"/>
    </row>
    <row r="704" spans="1:38" ht="15.75" customHeight="1">
      <c r="A704" s="6"/>
      <c r="B704" s="6"/>
      <c r="C704" s="6"/>
      <c r="D704" s="6"/>
      <c r="E704" s="6"/>
      <c r="F704" s="6"/>
      <c r="G704" s="80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929"/>
      <c r="AH704" s="80"/>
      <c r="AI704" s="80"/>
      <c r="AJ704" s="80"/>
      <c r="AK704" s="6"/>
      <c r="AL704" s="80"/>
    </row>
    <row r="705" spans="1:38" ht="15.75" customHeight="1">
      <c r="A705" s="6"/>
      <c r="B705" s="6"/>
      <c r="C705" s="6"/>
      <c r="D705" s="6"/>
      <c r="E705" s="6"/>
      <c r="F705" s="6"/>
      <c r="G705" s="80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929"/>
      <c r="AH705" s="80"/>
      <c r="AI705" s="80"/>
      <c r="AJ705" s="80"/>
      <c r="AK705" s="6"/>
      <c r="AL705" s="80"/>
    </row>
    <row r="706" spans="1:38" ht="15.75" customHeight="1">
      <c r="A706" s="6"/>
      <c r="B706" s="6"/>
      <c r="C706" s="6"/>
      <c r="D706" s="6"/>
      <c r="E706" s="6"/>
      <c r="F706" s="6"/>
      <c r="G706" s="80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929"/>
      <c r="AH706" s="80"/>
      <c r="AI706" s="80"/>
      <c r="AJ706" s="80"/>
      <c r="AK706" s="6"/>
      <c r="AL706" s="80"/>
    </row>
    <row r="707" spans="1:38" ht="15.75" customHeight="1">
      <c r="A707" s="6"/>
      <c r="B707" s="6"/>
      <c r="C707" s="6"/>
      <c r="D707" s="6"/>
      <c r="E707" s="6"/>
      <c r="F707" s="6"/>
      <c r="G707" s="80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929"/>
      <c r="AH707" s="80"/>
      <c r="AI707" s="80"/>
      <c r="AJ707" s="80"/>
      <c r="AK707" s="6"/>
      <c r="AL707" s="80"/>
    </row>
    <row r="708" spans="1:38" ht="15.75" customHeight="1">
      <c r="A708" s="6"/>
      <c r="B708" s="6"/>
      <c r="C708" s="6"/>
      <c r="D708" s="6"/>
      <c r="E708" s="6"/>
      <c r="F708" s="6"/>
      <c r="G708" s="80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929"/>
      <c r="AH708" s="80"/>
      <c r="AI708" s="80"/>
      <c r="AJ708" s="80"/>
      <c r="AK708" s="6"/>
      <c r="AL708" s="80"/>
    </row>
    <row r="709" spans="1:38" ht="15.75" customHeight="1">
      <c r="A709" s="6"/>
      <c r="B709" s="6"/>
      <c r="C709" s="6"/>
      <c r="D709" s="6"/>
      <c r="E709" s="6"/>
      <c r="F709" s="6"/>
      <c r="G709" s="80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929"/>
      <c r="AH709" s="80"/>
      <c r="AI709" s="80"/>
      <c r="AJ709" s="80"/>
      <c r="AK709" s="6"/>
      <c r="AL709" s="80"/>
    </row>
    <row r="710" spans="1:38" ht="15.75" customHeight="1">
      <c r="A710" s="6"/>
      <c r="B710" s="6"/>
      <c r="C710" s="6"/>
      <c r="D710" s="6"/>
      <c r="E710" s="6"/>
      <c r="F710" s="6"/>
      <c r="G710" s="80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929"/>
      <c r="AH710" s="80"/>
      <c r="AI710" s="80"/>
      <c r="AJ710" s="80"/>
      <c r="AK710" s="6"/>
      <c r="AL710" s="80"/>
    </row>
    <row r="711" spans="1:38" ht="15.75" customHeight="1">
      <c r="A711" s="6"/>
      <c r="B711" s="6"/>
      <c r="C711" s="6"/>
      <c r="D711" s="6"/>
      <c r="E711" s="6"/>
      <c r="F711" s="6"/>
      <c r="G711" s="80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929"/>
      <c r="AH711" s="80"/>
      <c r="AI711" s="80"/>
      <c r="AJ711" s="80"/>
      <c r="AK711" s="6"/>
      <c r="AL711" s="80"/>
    </row>
    <row r="712" spans="1:38" ht="15.75" customHeight="1">
      <c r="A712" s="6"/>
      <c r="B712" s="6"/>
      <c r="C712" s="6"/>
      <c r="D712" s="6"/>
      <c r="E712" s="6"/>
      <c r="F712" s="6"/>
      <c r="G712" s="80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929"/>
      <c r="AH712" s="80"/>
      <c r="AI712" s="80"/>
      <c r="AJ712" s="80"/>
      <c r="AK712" s="6"/>
      <c r="AL712" s="80"/>
    </row>
    <row r="713" spans="1:38" ht="15.75" customHeight="1">
      <c r="A713" s="6"/>
      <c r="B713" s="6"/>
      <c r="C713" s="6"/>
      <c r="D713" s="6"/>
      <c r="E713" s="6"/>
      <c r="F713" s="6"/>
      <c r="G713" s="80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929"/>
      <c r="AH713" s="80"/>
      <c r="AI713" s="80"/>
      <c r="AJ713" s="80"/>
      <c r="AK713" s="6"/>
      <c r="AL713" s="80"/>
    </row>
    <row r="714" spans="1:38" ht="15.75" customHeight="1">
      <c r="A714" s="6"/>
      <c r="B714" s="6"/>
      <c r="C714" s="6"/>
      <c r="D714" s="6"/>
      <c r="E714" s="6"/>
      <c r="F714" s="6"/>
      <c r="G714" s="80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929"/>
      <c r="AH714" s="80"/>
      <c r="AI714" s="80"/>
      <c r="AJ714" s="80"/>
      <c r="AK714" s="6"/>
      <c r="AL714" s="80"/>
    </row>
    <row r="715" spans="1:38" ht="15.75" customHeight="1">
      <c r="A715" s="6"/>
      <c r="B715" s="6"/>
      <c r="C715" s="6"/>
      <c r="D715" s="6"/>
      <c r="E715" s="6"/>
      <c r="F715" s="6"/>
      <c r="G715" s="80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929"/>
      <c r="AH715" s="80"/>
      <c r="AI715" s="80"/>
      <c r="AJ715" s="80"/>
      <c r="AK715" s="6"/>
      <c r="AL715" s="80"/>
    </row>
    <row r="716" spans="1:38" ht="15.75" customHeight="1">
      <c r="A716" s="6"/>
      <c r="B716" s="6"/>
      <c r="C716" s="6"/>
      <c r="D716" s="6"/>
      <c r="E716" s="6"/>
      <c r="F716" s="6"/>
      <c r="G716" s="80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929"/>
      <c r="AH716" s="80"/>
      <c r="AI716" s="80"/>
      <c r="AJ716" s="80"/>
      <c r="AK716" s="6"/>
      <c r="AL716" s="80"/>
    </row>
    <row r="717" spans="1:38" ht="15.75" customHeight="1">
      <c r="A717" s="6"/>
      <c r="B717" s="6"/>
      <c r="C717" s="6"/>
      <c r="D717" s="6"/>
      <c r="E717" s="6"/>
      <c r="F717" s="6"/>
      <c r="G717" s="80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929"/>
      <c r="AH717" s="80"/>
      <c r="AI717" s="80"/>
      <c r="AJ717" s="80"/>
      <c r="AK717" s="6"/>
      <c r="AL717" s="80"/>
    </row>
    <row r="718" spans="1:38" ht="15.75" customHeight="1">
      <c r="A718" s="6"/>
      <c r="B718" s="6"/>
      <c r="C718" s="6"/>
      <c r="D718" s="6"/>
      <c r="E718" s="6"/>
      <c r="F718" s="6"/>
      <c r="G718" s="80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929"/>
      <c r="AH718" s="80"/>
      <c r="AI718" s="80"/>
      <c r="AJ718" s="80"/>
      <c r="AK718" s="6"/>
      <c r="AL718" s="80"/>
    </row>
    <row r="719" spans="1:38" ht="15.75" customHeight="1">
      <c r="A719" s="6"/>
      <c r="B719" s="6"/>
      <c r="C719" s="6"/>
      <c r="D719" s="6"/>
      <c r="E719" s="6"/>
      <c r="F719" s="6"/>
      <c r="G719" s="80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929"/>
      <c r="AH719" s="80"/>
      <c r="AI719" s="80"/>
      <c r="AJ719" s="80"/>
      <c r="AK719" s="6"/>
      <c r="AL719" s="80"/>
    </row>
    <row r="720" spans="1:38" ht="15.75" customHeight="1">
      <c r="A720" s="6"/>
      <c r="B720" s="6"/>
      <c r="C720" s="6"/>
      <c r="D720" s="6"/>
      <c r="E720" s="6"/>
      <c r="F720" s="6"/>
      <c r="G720" s="80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929"/>
      <c r="AH720" s="80"/>
      <c r="AI720" s="80"/>
      <c r="AJ720" s="80"/>
      <c r="AK720" s="6"/>
      <c r="AL720" s="80"/>
    </row>
    <row r="721" spans="1:38" ht="15.75" customHeight="1">
      <c r="A721" s="6"/>
      <c r="B721" s="6"/>
      <c r="C721" s="6"/>
      <c r="D721" s="6"/>
      <c r="E721" s="6"/>
      <c r="F721" s="6"/>
      <c r="G721" s="80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929"/>
      <c r="AH721" s="80"/>
      <c r="AI721" s="80"/>
      <c r="AJ721" s="80"/>
      <c r="AK721" s="6"/>
      <c r="AL721" s="80"/>
    </row>
    <row r="722" spans="1:38" ht="15.75" customHeight="1">
      <c r="A722" s="6"/>
      <c r="B722" s="6"/>
      <c r="C722" s="6"/>
      <c r="D722" s="6"/>
      <c r="E722" s="6"/>
      <c r="F722" s="6"/>
      <c r="G722" s="80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929"/>
      <c r="AH722" s="80"/>
      <c r="AI722" s="80"/>
      <c r="AJ722" s="80"/>
      <c r="AK722" s="6"/>
      <c r="AL722" s="80"/>
    </row>
    <row r="723" spans="1:38" ht="15.75" customHeight="1">
      <c r="A723" s="6"/>
      <c r="B723" s="6"/>
      <c r="C723" s="6"/>
      <c r="D723" s="6"/>
      <c r="E723" s="6"/>
      <c r="F723" s="6"/>
      <c r="G723" s="80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929"/>
      <c r="AH723" s="80"/>
      <c r="AI723" s="80"/>
      <c r="AJ723" s="80"/>
      <c r="AK723" s="6"/>
      <c r="AL723" s="80"/>
    </row>
    <row r="724" spans="1:38" ht="15.75" customHeight="1">
      <c r="A724" s="6"/>
      <c r="B724" s="6"/>
      <c r="C724" s="6"/>
      <c r="D724" s="6"/>
      <c r="E724" s="6"/>
      <c r="F724" s="6"/>
      <c r="G724" s="80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929"/>
      <c r="AH724" s="80"/>
      <c r="AI724" s="80"/>
      <c r="AJ724" s="80"/>
      <c r="AK724" s="6"/>
      <c r="AL724" s="80"/>
    </row>
    <row r="725" spans="1:38" ht="15.75" customHeight="1">
      <c r="A725" s="6"/>
      <c r="B725" s="6"/>
      <c r="C725" s="6"/>
      <c r="D725" s="6"/>
      <c r="E725" s="6"/>
      <c r="F725" s="6"/>
      <c r="G725" s="80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929"/>
      <c r="AH725" s="80"/>
      <c r="AI725" s="80"/>
      <c r="AJ725" s="80"/>
      <c r="AK725" s="6"/>
      <c r="AL725" s="80"/>
    </row>
    <row r="726" spans="1:38" ht="15.75" customHeight="1">
      <c r="A726" s="6"/>
      <c r="B726" s="6"/>
      <c r="C726" s="6"/>
      <c r="D726" s="6"/>
      <c r="E726" s="6"/>
      <c r="F726" s="6"/>
      <c r="G726" s="80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929"/>
      <c r="AH726" s="80"/>
      <c r="AI726" s="80"/>
      <c r="AJ726" s="80"/>
      <c r="AK726" s="6"/>
      <c r="AL726" s="80"/>
    </row>
    <row r="727" spans="1:38" ht="15.75" customHeight="1">
      <c r="A727" s="6"/>
      <c r="B727" s="6"/>
      <c r="C727" s="6"/>
      <c r="D727" s="6"/>
      <c r="E727" s="6"/>
      <c r="F727" s="6"/>
      <c r="G727" s="80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929"/>
      <c r="AH727" s="80"/>
      <c r="AI727" s="80"/>
      <c r="AJ727" s="80"/>
      <c r="AK727" s="6"/>
      <c r="AL727" s="80"/>
    </row>
    <row r="728" spans="1:38" ht="15.75" customHeight="1">
      <c r="A728" s="6"/>
      <c r="B728" s="6"/>
      <c r="C728" s="6"/>
      <c r="D728" s="6"/>
      <c r="E728" s="6"/>
      <c r="F728" s="6"/>
      <c r="G728" s="80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929"/>
      <c r="AH728" s="80"/>
      <c r="AI728" s="80"/>
      <c r="AJ728" s="80"/>
      <c r="AK728" s="6"/>
      <c r="AL728" s="80"/>
    </row>
    <row r="729" spans="1:38" ht="15.75" customHeight="1">
      <c r="A729" s="6"/>
      <c r="B729" s="6"/>
      <c r="C729" s="6"/>
      <c r="D729" s="6"/>
      <c r="E729" s="6"/>
      <c r="F729" s="6"/>
      <c r="G729" s="80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929"/>
      <c r="AH729" s="80"/>
      <c r="AI729" s="80"/>
      <c r="AJ729" s="80"/>
      <c r="AK729" s="6"/>
      <c r="AL729" s="80"/>
    </row>
    <row r="730" spans="1:38" ht="15.75" customHeight="1">
      <c r="A730" s="6"/>
      <c r="B730" s="6"/>
      <c r="C730" s="6"/>
      <c r="D730" s="6"/>
      <c r="E730" s="6"/>
      <c r="F730" s="6"/>
      <c r="G730" s="80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929"/>
      <c r="AH730" s="80"/>
      <c r="AI730" s="80"/>
      <c r="AJ730" s="80"/>
      <c r="AK730" s="6"/>
      <c r="AL730" s="80"/>
    </row>
    <row r="731" spans="1:38" ht="15.75" customHeight="1">
      <c r="A731" s="6"/>
      <c r="B731" s="6"/>
      <c r="C731" s="6"/>
      <c r="D731" s="6"/>
      <c r="E731" s="6"/>
      <c r="F731" s="6"/>
      <c r="G731" s="80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929"/>
      <c r="AH731" s="80"/>
      <c r="AI731" s="80"/>
      <c r="AJ731" s="80"/>
      <c r="AK731" s="6"/>
      <c r="AL731" s="80"/>
    </row>
    <row r="732" spans="1:38" ht="15.75" customHeight="1">
      <c r="A732" s="6"/>
      <c r="B732" s="6"/>
      <c r="C732" s="6"/>
      <c r="D732" s="6"/>
      <c r="E732" s="6"/>
      <c r="F732" s="6"/>
      <c r="G732" s="80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929"/>
      <c r="AH732" s="80"/>
      <c r="AI732" s="80"/>
      <c r="AJ732" s="80"/>
      <c r="AK732" s="6"/>
      <c r="AL732" s="80"/>
    </row>
    <row r="733" spans="1:38" ht="15.75" customHeight="1">
      <c r="A733" s="6"/>
      <c r="B733" s="6"/>
      <c r="C733" s="6"/>
      <c r="D733" s="6"/>
      <c r="E733" s="6"/>
      <c r="F733" s="6"/>
      <c r="G733" s="80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929"/>
      <c r="AH733" s="80"/>
      <c r="AI733" s="80"/>
      <c r="AJ733" s="80"/>
      <c r="AK733" s="6"/>
      <c r="AL733" s="80"/>
    </row>
    <row r="734" spans="1:38" ht="15.75" customHeight="1">
      <c r="A734" s="6"/>
      <c r="B734" s="6"/>
      <c r="C734" s="6"/>
      <c r="D734" s="6"/>
      <c r="E734" s="6"/>
      <c r="F734" s="6"/>
      <c r="G734" s="80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929"/>
      <c r="AH734" s="80"/>
      <c r="AI734" s="80"/>
      <c r="AJ734" s="80"/>
      <c r="AK734" s="6"/>
      <c r="AL734" s="80"/>
    </row>
    <row r="735" spans="1:38" ht="15.75" customHeight="1">
      <c r="A735" s="6"/>
      <c r="B735" s="6"/>
      <c r="C735" s="6"/>
      <c r="D735" s="6"/>
      <c r="E735" s="6"/>
      <c r="F735" s="6"/>
      <c r="G735" s="80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929"/>
      <c r="AH735" s="80"/>
      <c r="AI735" s="80"/>
      <c r="AJ735" s="80"/>
      <c r="AK735" s="6"/>
      <c r="AL735" s="80"/>
    </row>
    <row r="736" spans="1:38" ht="15.75" customHeight="1">
      <c r="A736" s="6"/>
      <c r="B736" s="6"/>
      <c r="C736" s="6"/>
      <c r="D736" s="6"/>
      <c r="E736" s="6"/>
      <c r="F736" s="6"/>
      <c r="G736" s="80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929"/>
      <c r="AH736" s="80"/>
      <c r="AI736" s="80"/>
      <c r="AJ736" s="80"/>
      <c r="AK736" s="6"/>
      <c r="AL736" s="80"/>
    </row>
    <row r="737" spans="1:38" ht="15.75" customHeight="1">
      <c r="A737" s="6"/>
      <c r="B737" s="6"/>
      <c r="C737" s="6"/>
      <c r="D737" s="6"/>
      <c r="E737" s="6"/>
      <c r="F737" s="6"/>
      <c r="G737" s="80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929"/>
      <c r="AH737" s="80"/>
      <c r="AI737" s="80"/>
      <c r="AJ737" s="80"/>
      <c r="AK737" s="6"/>
      <c r="AL737" s="80"/>
    </row>
    <row r="738" spans="1:38" ht="15.75" customHeight="1">
      <c r="A738" s="6"/>
      <c r="B738" s="6"/>
      <c r="C738" s="6"/>
      <c r="D738" s="6"/>
      <c r="E738" s="6"/>
      <c r="F738" s="6"/>
      <c r="G738" s="80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929"/>
      <c r="AH738" s="80"/>
      <c r="AI738" s="80"/>
      <c r="AJ738" s="80"/>
      <c r="AK738" s="6"/>
      <c r="AL738" s="80"/>
    </row>
    <row r="739" spans="1:38" ht="15.75" customHeight="1">
      <c r="A739" s="6"/>
      <c r="B739" s="6"/>
      <c r="C739" s="6"/>
      <c r="D739" s="6"/>
      <c r="E739" s="6"/>
      <c r="F739" s="6"/>
      <c r="G739" s="80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929"/>
      <c r="AH739" s="80"/>
      <c r="AI739" s="80"/>
      <c r="AJ739" s="80"/>
      <c r="AK739" s="6"/>
      <c r="AL739" s="80"/>
    </row>
    <row r="740" spans="1:38" ht="15.75" customHeight="1">
      <c r="A740" s="6"/>
      <c r="B740" s="6"/>
      <c r="C740" s="6"/>
      <c r="D740" s="6"/>
      <c r="E740" s="6"/>
      <c r="F740" s="6"/>
      <c r="G740" s="80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929"/>
      <c r="AH740" s="80"/>
      <c r="AI740" s="80"/>
      <c r="AJ740" s="80"/>
      <c r="AK740" s="6"/>
      <c r="AL740" s="80"/>
    </row>
    <row r="741" spans="1:38" ht="15.75" customHeight="1">
      <c r="A741" s="6"/>
      <c r="B741" s="6"/>
      <c r="C741" s="6"/>
      <c r="D741" s="6"/>
      <c r="E741" s="6"/>
      <c r="F741" s="6"/>
      <c r="G741" s="80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929"/>
      <c r="AH741" s="80"/>
      <c r="AI741" s="80"/>
      <c r="AJ741" s="80"/>
      <c r="AK741" s="6"/>
      <c r="AL741" s="80"/>
    </row>
    <row r="742" spans="1:38" ht="15.75" customHeight="1">
      <c r="A742" s="6"/>
      <c r="B742" s="6"/>
      <c r="C742" s="6"/>
      <c r="D742" s="6"/>
      <c r="E742" s="6"/>
      <c r="F742" s="6"/>
      <c r="G742" s="80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929"/>
      <c r="AH742" s="80"/>
      <c r="AI742" s="80"/>
      <c r="AJ742" s="80"/>
      <c r="AK742" s="6"/>
      <c r="AL742" s="80"/>
    </row>
    <row r="743" spans="1:38" ht="15.75" customHeight="1">
      <c r="A743" s="6"/>
      <c r="B743" s="6"/>
      <c r="C743" s="6"/>
      <c r="D743" s="6"/>
      <c r="E743" s="6"/>
      <c r="F743" s="6"/>
      <c r="G743" s="80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929"/>
      <c r="AH743" s="80"/>
      <c r="AI743" s="80"/>
      <c r="AJ743" s="80"/>
      <c r="AK743" s="6"/>
      <c r="AL743" s="80"/>
    </row>
    <row r="744" spans="1:38" ht="15.75" customHeight="1">
      <c r="A744" s="6"/>
      <c r="B744" s="6"/>
      <c r="C744" s="6"/>
      <c r="D744" s="6"/>
      <c r="E744" s="6"/>
      <c r="F744" s="6"/>
      <c r="G744" s="80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929"/>
      <c r="AH744" s="80"/>
      <c r="AI744" s="80"/>
      <c r="AJ744" s="80"/>
      <c r="AK744" s="6"/>
      <c r="AL744" s="80"/>
    </row>
    <row r="745" spans="1:38" ht="15.75" customHeight="1">
      <c r="A745" s="6"/>
      <c r="B745" s="6"/>
      <c r="C745" s="6"/>
      <c r="D745" s="6"/>
      <c r="E745" s="6"/>
      <c r="F745" s="6"/>
      <c r="G745" s="80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929"/>
      <c r="AH745" s="80"/>
      <c r="AI745" s="80"/>
      <c r="AJ745" s="80"/>
      <c r="AK745" s="6"/>
      <c r="AL745" s="80"/>
    </row>
    <row r="746" spans="1:38" ht="15.75" customHeight="1">
      <c r="A746" s="6"/>
      <c r="B746" s="6"/>
      <c r="C746" s="6"/>
      <c r="D746" s="6"/>
      <c r="E746" s="6"/>
      <c r="F746" s="6"/>
      <c r="G746" s="80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929"/>
      <c r="AH746" s="80"/>
      <c r="AI746" s="80"/>
      <c r="AJ746" s="80"/>
      <c r="AK746" s="6"/>
      <c r="AL746" s="80"/>
    </row>
    <row r="747" spans="1:38" ht="15.75" customHeight="1">
      <c r="A747" s="6"/>
      <c r="B747" s="6"/>
      <c r="C747" s="6"/>
      <c r="D747" s="6"/>
      <c r="E747" s="6"/>
      <c r="F747" s="6"/>
      <c r="G747" s="80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929"/>
      <c r="AH747" s="80"/>
      <c r="AI747" s="80"/>
      <c r="AJ747" s="80"/>
      <c r="AK747" s="6"/>
      <c r="AL747" s="80"/>
    </row>
    <row r="748" spans="1:38" ht="15.75" customHeight="1">
      <c r="A748" s="6"/>
      <c r="B748" s="6"/>
      <c r="C748" s="6"/>
      <c r="D748" s="6"/>
      <c r="E748" s="6"/>
      <c r="F748" s="6"/>
      <c r="G748" s="80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929"/>
      <c r="AH748" s="80"/>
      <c r="AI748" s="80"/>
      <c r="AJ748" s="80"/>
      <c r="AK748" s="6"/>
      <c r="AL748" s="80"/>
    </row>
    <row r="749" spans="1:38" ht="15.75" customHeight="1">
      <c r="A749" s="6"/>
      <c r="B749" s="6"/>
      <c r="C749" s="6"/>
      <c r="D749" s="6"/>
      <c r="E749" s="6"/>
      <c r="F749" s="6"/>
      <c r="G749" s="80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929"/>
      <c r="AH749" s="80"/>
      <c r="AI749" s="80"/>
      <c r="AJ749" s="80"/>
      <c r="AK749" s="6"/>
      <c r="AL749" s="80"/>
    </row>
    <row r="750" spans="1:38" ht="15.75" customHeight="1">
      <c r="A750" s="6"/>
      <c r="B750" s="6"/>
      <c r="C750" s="6"/>
      <c r="D750" s="6"/>
      <c r="E750" s="6"/>
      <c r="F750" s="6"/>
      <c r="G750" s="80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929"/>
      <c r="AH750" s="80"/>
      <c r="AI750" s="80"/>
      <c r="AJ750" s="80"/>
      <c r="AK750" s="6"/>
      <c r="AL750" s="80"/>
    </row>
    <row r="751" spans="1:38" ht="15.75" customHeight="1">
      <c r="A751" s="6"/>
      <c r="B751" s="6"/>
      <c r="C751" s="6"/>
      <c r="D751" s="6"/>
      <c r="E751" s="6"/>
      <c r="F751" s="6"/>
      <c r="G751" s="80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929"/>
      <c r="AH751" s="80"/>
      <c r="AI751" s="80"/>
      <c r="AJ751" s="80"/>
      <c r="AK751" s="6"/>
      <c r="AL751" s="80"/>
    </row>
    <row r="752" spans="1:38" ht="15.75" customHeight="1">
      <c r="A752" s="6"/>
      <c r="B752" s="6"/>
      <c r="C752" s="6"/>
      <c r="D752" s="6"/>
      <c r="E752" s="6"/>
      <c r="F752" s="6"/>
      <c r="G752" s="80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929"/>
      <c r="AH752" s="80"/>
      <c r="AI752" s="80"/>
      <c r="AJ752" s="80"/>
      <c r="AK752" s="6"/>
      <c r="AL752" s="80"/>
    </row>
    <row r="753" spans="1:38" ht="15.75" customHeight="1">
      <c r="A753" s="6"/>
      <c r="B753" s="6"/>
      <c r="C753" s="6"/>
      <c r="D753" s="6"/>
      <c r="E753" s="6"/>
      <c r="F753" s="6"/>
      <c r="G753" s="80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929"/>
      <c r="AH753" s="80"/>
      <c r="AI753" s="80"/>
      <c r="AJ753" s="80"/>
      <c r="AK753" s="6"/>
      <c r="AL753" s="80"/>
    </row>
    <row r="754" spans="1:38" ht="15.75" customHeight="1">
      <c r="A754" s="6"/>
      <c r="B754" s="6"/>
      <c r="C754" s="6"/>
      <c r="D754" s="6"/>
      <c r="E754" s="6"/>
      <c r="F754" s="6"/>
      <c r="G754" s="80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929"/>
      <c r="AH754" s="80"/>
      <c r="AI754" s="80"/>
      <c r="AJ754" s="80"/>
      <c r="AK754" s="6"/>
      <c r="AL754" s="80"/>
    </row>
    <row r="755" spans="1:38" ht="15.75" customHeight="1">
      <c r="A755" s="6"/>
      <c r="B755" s="6"/>
      <c r="C755" s="6"/>
      <c r="D755" s="6"/>
      <c r="E755" s="6"/>
      <c r="F755" s="6"/>
      <c r="G755" s="80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929"/>
      <c r="AH755" s="80"/>
      <c r="AI755" s="80"/>
      <c r="AJ755" s="80"/>
      <c r="AK755" s="6"/>
      <c r="AL755" s="80"/>
    </row>
    <row r="756" spans="1:38" ht="15.75" customHeight="1">
      <c r="A756" s="6"/>
      <c r="B756" s="6"/>
      <c r="C756" s="6"/>
      <c r="D756" s="6"/>
      <c r="E756" s="6"/>
      <c r="F756" s="6"/>
      <c r="G756" s="80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929"/>
      <c r="AH756" s="80"/>
      <c r="AI756" s="80"/>
      <c r="AJ756" s="80"/>
      <c r="AK756" s="6"/>
      <c r="AL756" s="80"/>
    </row>
    <row r="757" spans="1:38" ht="15.75" customHeight="1">
      <c r="A757" s="6"/>
      <c r="B757" s="6"/>
      <c r="C757" s="6"/>
      <c r="D757" s="6"/>
      <c r="E757" s="6"/>
      <c r="F757" s="6"/>
      <c r="G757" s="80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929"/>
      <c r="AH757" s="80"/>
      <c r="AI757" s="80"/>
      <c r="AJ757" s="80"/>
      <c r="AK757" s="6"/>
      <c r="AL757" s="80"/>
    </row>
    <row r="758" spans="1:38" ht="15.75" customHeight="1">
      <c r="A758" s="6"/>
      <c r="B758" s="6"/>
      <c r="C758" s="6"/>
      <c r="D758" s="6"/>
      <c r="E758" s="6"/>
      <c r="F758" s="6"/>
      <c r="G758" s="80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929"/>
      <c r="AH758" s="80"/>
      <c r="AI758" s="80"/>
      <c r="AJ758" s="80"/>
      <c r="AK758" s="6"/>
      <c r="AL758" s="80"/>
    </row>
    <row r="759" spans="1:38" ht="15.75" customHeight="1">
      <c r="A759" s="6"/>
      <c r="B759" s="6"/>
      <c r="C759" s="6"/>
      <c r="D759" s="6"/>
      <c r="E759" s="6"/>
      <c r="F759" s="6"/>
      <c r="G759" s="80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929"/>
      <c r="AH759" s="80"/>
      <c r="AI759" s="80"/>
      <c r="AJ759" s="80"/>
      <c r="AK759" s="6"/>
      <c r="AL759" s="80"/>
    </row>
    <row r="760" spans="1:38" ht="15.75" customHeight="1">
      <c r="A760" s="6"/>
      <c r="B760" s="6"/>
      <c r="C760" s="6"/>
      <c r="D760" s="6"/>
      <c r="E760" s="6"/>
      <c r="F760" s="6"/>
      <c r="G760" s="80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929"/>
      <c r="AH760" s="80"/>
      <c r="AI760" s="80"/>
      <c r="AJ760" s="80"/>
      <c r="AK760" s="6"/>
      <c r="AL760" s="80"/>
    </row>
    <row r="761" spans="1:38" ht="15.75" customHeight="1">
      <c r="A761" s="6"/>
      <c r="B761" s="6"/>
      <c r="C761" s="6"/>
      <c r="D761" s="6"/>
      <c r="E761" s="6"/>
      <c r="F761" s="6"/>
      <c r="G761" s="80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929"/>
      <c r="AH761" s="80"/>
      <c r="AI761" s="80"/>
      <c r="AJ761" s="80"/>
      <c r="AK761" s="6"/>
      <c r="AL761" s="80"/>
    </row>
    <row r="762" spans="1:38" ht="15.75" customHeight="1">
      <c r="A762" s="6"/>
      <c r="B762" s="6"/>
      <c r="C762" s="6"/>
      <c r="D762" s="6"/>
      <c r="E762" s="6"/>
      <c r="F762" s="6"/>
      <c r="G762" s="80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929"/>
      <c r="AH762" s="80"/>
      <c r="AI762" s="80"/>
      <c r="AJ762" s="80"/>
      <c r="AK762" s="6"/>
      <c r="AL762" s="80"/>
    </row>
    <row r="763" spans="1:38" ht="15.75" customHeight="1">
      <c r="A763" s="6"/>
      <c r="B763" s="6"/>
      <c r="C763" s="6"/>
      <c r="D763" s="6"/>
      <c r="E763" s="6"/>
      <c r="F763" s="6"/>
      <c r="G763" s="80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929"/>
      <c r="AH763" s="80"/>
      <c r="AI763" s="80"/>
      <c r="AJ763" s="80"/>
      <c r="AK763" s="6"/>
      <c r="AL763" s="80"/>
    </row>
    <row r="764" spans="1:38" ht="15.75" customHeight="1">
      <c r="A764" s="6"/>
      <c r="B764" s="6"/>
      <c r="C764" s="6"/>
      <c r="D764" s="6"/>
      <c r="E764" s="6"/>
      <c r="F764" s="6"/>
      <c r="G764" s="80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929"/>
      <c r="AH764" s="80"/>
      <c r="AI764" s="80"/>
      <c r="AJ764" s="80"/>
      <c r="AK764" s="6"/>
      <c r="AL764" s="80"/>
    </row>
    <row r="765" spans="1:38" ht="15.75" customHeight="1">
      <c r="A765" s="6"/>
      <c r="B765" s="6"/>
      <c r="C765" s="6"/>
      <c r="D765" s="6"/>
      <c r="E765" s="6"/>
      <c r="F765" s="6"/>
      <c r="G765" s="80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929"/>
      <c r="AH765" s="80"/>
      <c r="AI765" s="80"/>
      <c r="AJ765" s="80"/>
      <c r="AK765" s="6"/>
      <c r="AL765" s="80"/>
    </row>
    <row r="766" spans="1:38" ht="15.75" customHeight="1">
      <c r="A766" s="6"/>
      <c r="B766" s="6"/>
      <c r="C766" s="6"/>
      <c r="D766" s="6"/>
      <c r="E766" s="6"/>
      <c r="F766" s="6"/>
      <c r="G766" s="80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929"/>
      <c r="AH766" s="80"/>
      <c r="AI766" s="80"/>
      <c r="AJ766" s="80"/>
      <c r="AK766" s="6"/>
      <c r="AL766" s="80"/>
    </row>
    <row r="767" spans="1:38" ht="15.75" customHeight="1">
      <c r="A767" s="6"/>
      <c r="B767" s="6"/>
      <c r="C767" s="6"/>
      <c r="D767" s="6"/>
      <c r="E767" s="6"/>
      <c r="F767" s="6"/>
      <c r="G767" s="80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929"/>
      <c r="AH767" s="80"/>
      <c r="AI767" s="80"/>
      <c r="AJ767" s="80"/>
      <c r="AK767" s="6"/>
      <c r="AL767" s="80"/>
    </row>
    <row r="768" spans="1:38" ht="15.75" customHeight="1">
      <c r="A768" s="6"/>
      <c r="B768" s="6"/>
      <c r="C768" s="6"/>
      <c r="D768" s="6"/>
      <c r="E768" s="6"/>
      <c r="F768" s="6"/>
      <c r="G768" s="80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929"/>
      <c r="AH768" s="80"/>
      <c r="AI768" s="80"/>
      <c r="AJ768" s="80"/>
      <c r="AK768" s="6"/>
      <c r="AL768" s="80"/>
    </row>
    <row r="769" spans="1:38" ht="15.75" customHeight="1">
      <c r="A769" s="6"/>
      <c r="B769" s="6"/>
      <c r="C769" s="6"/>
      <c r="D769" s="6"/>
      <c r="E769" s="6"/>
      <c r="F769" s="6"/>
      <c r="G769" s="80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929"/>
      <c r="AH769" s="80"/>
      <c r="AI769" s="80"/>
      <c r="AJ769" s="80"/>
      <c r="AK769" s="6"/>
      <c r="AL769" s="80"/>
    </row>
    <row r="770" spans="1:38" ht="15.75" customHeight="1">
      <c r="A770" s="6"/>
      <c r="B770" s="6"/>
      <c r="C770" s="6"/>
      <c r="D770" s="6"/>
      <c r="E770" s="6"/>
      <c r="F770" s="6"/>
      <c r="G770" s="80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929"/>
      <c r="AH770" s="80"/>
      <c r="AI770" s="80"/>
      <c r="AJ770" s="80"/>
      <c r="AK770" s="6"/>
      <c r="AL770" s="80"/>
    </row>
    <row r="771" spans="1:38" ht="15.75" customHeight="1">
      <c r="A771" s="6"/>
      <c r="B771" s="6"/>
      <c r="C771" s="6"/>
      <c r="D771" s="6"/>
      <c r="E771" s="6"/>
      <c r="F771" s="6"/>
      <c r="G771" s="80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929"/>
      <c r="AH771" s="80"/>
      <c r="AI771" s="80"/>
      <c r="AJ771" s="80"/>
      <c r="AK771" s="6"/>
      <c r="AL771" s="80"/>
    </row>
    <row r="772" spans="1:38" ht="15.75" customHeight="1">
      <c r="A772" s="6"/>
      <c r="B772" s="6"/>
      <c r="C772" s="6"/>
      <c r="D772" s="6"/>
      <c r="E772" s="6"/>
      <c r="F772" s="6"/>
      <c r="G772" s="80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929"/>
      <c r="AH772" s="80"/>
      <c r="AI772" s="80"/>
      <c r="AJ772" s="80"/>
      <c r="AK772" s="6"/>
      <c r="AL772" s="80"/>
    </row>
    <row r="773" spans="1:38" ht="15.75" customHeight="1">
      <c r="A773" s="6"/>
      <c r="B773" s="6"/>
      <c r="C773" s="6"/>
      <c r="D773" s="6"/>
      <c r="E773" s="6"/>
      <c r="F773" s="6"/>
      <c r="G773" s="80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929"/>
      <c r="AH773" s="80"/>
      <c r="AI773" s="80"/>
      <c r="AJ773" s="80"/>
      <c r="AK773" s="6"/>
      <c r="AL773" s="80"/>
    </row>
    <row r="774" spans="1:38" ht="15.75" customHeight="1">
      <c r="A774" s="6"/>
      <c r="B774" s="6"/>
      <c r="C774" s="6"/>
      <c r="D774" s="6"/>
      <c r="E774" s="6"/>
      <c r="F774" s="6"/>
      <c r="G774" s="80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929"/>
      <c r="AH774" s="80"/>
      <c r="AI774" s="80"/>
      <c r="AJ774" s="80"/>
      <c r="AK774" s="6"/>
      <c r="AL774" s="80"/>
    </row>
    <row r="775" spans="1:38" ht="15.75" customHeight="1">
      <c r="A775" s="6"/>
      <c r="B775" s="6"/>
      <c r="C775" s="6"/>
      <c r="D775" s="6"/>
      <c r="E775" s="6"/>
      <c r="F775" s="6"/>
      <c r="G775" s="80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929"/>
      <c r="AH775" s="80"/>
      <c r="AI775" s="80"/>
      <c r="AJ775" s="80"/>
      <c r="AK775" s="6"/>
      <c r="AL775" s="80"/>
    </row>
    <row r="776" spans="1:38" ht="15.75" customHeight="1">
      <c r="A776" s="6"/>
      <c r="B776" s="6"/>
      <c r="C776" s="6"/>
      <c r="D776" s="6"/>
      <c r="E776" s="6"/>
      <c r="F776" s="6"/>
      <c r="G776" s="80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929"/>
      <c r="AH776" s="80"/>
      <c r="AI776" s="80"/>
      <c r="AJ776" s="80"/>
      <c r="AK776" s="6"/>
      <c r="AL776" s="80"/>
    </row>
    <row r="777" spans="1:38" ht="15.75" customHeight="1">
      <c r="A777" s="6"/>
      <c r="B777" s="6"/>
      <c r="C777" s="6"/>
      <c r="D777" s="6"/>
      <c r="E777" s="6"/>
      <c r="F777" s="6"/>
      <c r="G777" s="80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929"/>
      <c r="AH777" s="80"/>
      <c r="AI777" s="80"/>
      <c r="AJ777" s="80"/>
      <c r="AK777" s="6"/>
      <c r="AL777" s="80"/>
    </row>
    <row r="778" spans="1:38" ht="15.75" customHeight="1">
      <c r="A778" s="6"/>
      <c r="B778" s="6"/>
      <c r="C778" s="6"/>
      <c r="D778" s="6"/>
      <c r="E778" s="6"/>
      <c r="F778" s="6"/>
      <c r="G778" s="80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929"/>
      <c r="AH778" s="80"/>
      <c r="AI778" s="80"/>
      <c r="AJ778" s="80"/>
      <c r="AK778" s="6"/>
      <c r="AL778" s="80"/>
    </row>
    <row r="779" spans="1:38" ht="15.75" customHeight="1">
      <c r="A779" s="6"/>
      <c r="B779" s="6"/>
      <c r="C779" s="6"/>
      <c r="D779" s="6"/>
      <c r="E779" s="6"/>
      <c r="F779" s="6"/>
      <c r="G779" s="80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929"/>
      <c r="AH779" s="80"/>
      <c r="AI779" s="80"/>
      <c r="AJ779" s="80"/>
      <c r="AK779" s="6"/>
      <c r="AL779" s="80"/>
    </row>
    <row r="780" spans="1:38" ht="15.75" customHeight="1">
      <c r="A780" s="6"/>
      <c r="B780" s="6"/>
      <c r="C780" s="6"/>
      <c r="D780" s="6"/>
      <c r="E780" s="6"/>
      <c r="F780" s="6"/>
      <c r="G780" s="80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929"/>
      <c r="AH780" s="80"/>
      <c r="AI780" s="80"/>
      <c r="AJ780" s="80"/>
      <c r="AK780" s="6"/>
      <c r="AL780" s="80"/>
    </row>
    <row r="781" spans="1:38" ht="15.75" customHeight="1">
      <c r="A781" s="6"/>
      <c r="B781" s="6"/>
      <c r="C781" s="6"/>
      <c r="D781" s="6"/>
      <c r="E781" s="6"/>
      <c r="F781" s="6"/>
      <c r="G781" s="80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929"/>
      <c r="AH781" s="80"/>
      <c r="AI781" s="80"/>
      <c r="AJ781" s="80"/>
      <c r="AK781" s="6"/>
      <c r="AL781" s="80"/>
    </row>
    <row r="782" spans="1:38" ht="15.75" customHeight="1">
      <c r="A782" s="6"/>
      <c r="B782" s="6"/>
      <c r="C782" s="6"/>
      <c r="D782" s="6"/>
      <c r="E782" s="6"/>
      <c r="F782" s="6"/>
      <c r="G782" s="80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929"/>
      <c r="AH782" s="80"/>
      <c r="AI782" s="80"/>
      <c r="AJ782" s="80"/>
      <c r="AK782" s="6"/>
      <c r="AL782" s="80"/>
    </row>
    <row r="783" spans="1:38" ht="15.75" customHeight="1">
      <c r="A783" s="6"/>
      <c r="B783" s="6"/>
      <c r="C783" s="6"/>
      <c r="D783" s="6"/>
      <c r="E783" s="6"/>
      <c r="F783" s="6"/>
      <c r="G783" s="80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929"/>
      <c r="AH783" s="80"/>
      <c r="AI783" s="80"/>
      <c r="AJ783" s="80"/>
      <c r="AK783" s="6"/>
      <c r="AL783" s="80"/>
    </row>
    <row r="784" spans="1:38" ht="15.75" customHeight="1">
      <c r="A784" s="6"/>
      <c r="B784" s="6"/>
      <c r="C784" s="6"/>
      <c r="D784" s="6"/>
      <c r="E784" s="6"/>
      <c r="F784" s="6"/>
      <c r="G784" s="80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929"/>
      <c r="AH784" s="80"/>
      <c r="AI784" s="80"/>
      <c r="AJ784" s="80"/>
      <c r="AK784" s="6"/>
      <c r="AL784" s="80"/>
    </row>
    <row r="785" spans="1:38" ht="15.75" customHeight="1">
      <c r="A785" s="6"/>
      <c r="B785" s="6"/>
      <c r="C785" s="6"/>
      <c r="D785" s="6"/>
      <c r="E785" s="6"/>
      <c r="F785" s="6"/>
      <c r="G785" s="80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929"/>
      <c r="AH785" s="80"/>
      <c r="AI785" s="80"/>
      <c r="AJ785" s="80"/>
      <c r="AK785" s="6"/>
      <c r="AL785" s="80"/>
    </row>
    <row r="786" spans="1:38" ht="15.75" customHeight="1">
      <c r="A786" s="6"/>
      <c r="B786" s="6"/>
      <c r="C786" s="6"/>
      <c r="D786" s="6"/>
      <c r="E786" s="6"/>
      <c r="F786" s="6"/>
      <c r="G786" s="80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929"/>
      <c r="AH786" s="80"/>
      <c r="AI786" s="80"/>
      <c r="AJ786" s="80"/>
      <c r="AK786" s="6"/>
      <c r="AL786" s="80"/>
    </row>
    <row r="787" spans="1:38" ht="15.75" customHeight="1">
      <c r="A787" s="6"/>
      <c r="B787" s="6"/>
      <c r="C787" s="6"/>
      <c r="D787" s="6"/>
      <c r="E787" s="6"/>
      <c r="F787" s="6"/>
      <c r="G787" s="80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929"/>
      <c r="AH787" s="80"/>
      <c r="AI787" s="80"/>
      <c r="AJ787" s="80"/>
      <c r="AK787" s="6"/>
      <c r="AL787" s="80"/>
    </row>
    <row r="788" spans="1:38" ht="15.75" customHeight="1">
      <c r="A788" s="6"/>
      <c r="B788" s="6"/>
      <c r="C788" s="6"/>
      <c r="D788" s="6"/>
      <c r="E788" s="6"/>
      <c r="F788" s="6"/>
      <c r="G788" s="80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929"/>
      <c r="AH788" s="80"/>
      <c r="AI788" s="80"/>
      <c r="AJ788" s="80"/>
      <c r="AK788" s="6"/>
      <c r="AL788" s="80"/>
    </row>
    <row r="789" spans="1:38" ht="15.75" customHeight="1">
      <c r="A789" s="6"/>
      <c r="B789" s="6"/>
      <c r="C789" s="6"/>
      <c r="D789" s="6"/>
      <c r="E789" s="6"/>
      <c r="F789" s="6"/>
      <c r="G789" s="80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929"/>
      <c r="AH789" s="80"/>
      <c r="AI789" s="80"/>
      <c r="AJ789" s="80"/>
      <c r="AK789" s="6"/>
      <c r="AL789" s="80"/>
    </row>
    <row r="790" spans="1:38" ht="15.75" customHeight="1">
      <c r="A790" s="6"/>
      <c r="B790" s="6"/>
      <c r="C790" s="6"/>
      <c r="D790" s="6"/>
      <c r="E790" s="6"/>
      <c r="F790" s="6"/>
      <c r="G790" s="80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929"/>
      <c r="AH790" s="80"/>
      <c r="AI790" s="80"/>
      <c r="AJ790" s="80"/>
      <c r="AK790" s="6"/>
      <c r="AL790" s="80"/>
    </row>
    <row r="791" spans="1:38" ht="15.75" customHeight="1">
      <c r="A791" s="6"/>
      <c r="B791" s="6"/>
      <c r="C791" s="6"/>
      <c r="D791" s="6"/>
      <c r="E791" s="6"/>
      <c r="F791" s="6"/>
      <c r="G791" s="80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929"/>
      <c r="AH791" s="80"/>
      <c r="AI791" s="80"/>
      <c r="AJ791" s="80"/>
      <c r="AK791" s="6"/>
      <c r="AL791" s="80"/>
    </row>
    <row r="792" spans="1:38" ht="15.75" customHeight="1">
      <c r="A792" s="6"/>
      <c r="B792" s="6"/>
      <c r="C792" s="6"/>
      <c r="D792" s="6"/>
      <c r="E792" s="6"/>
      <c r="F792" s="6"/>
      <c r="G792" s="80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929"/>
      <c r="AH792" s="80"/>
      <c r="AI792" s="80"/>
      <c r="AJ792" s="80"/>
      <c r="AK792" s="6"/>
      <c r="AL792" s="80"/>
    </row>
    <row r="793" spans="1:38" ht="15.75" customHeight="1">
      <c r="A793" s="6"/>
      <c r="B793" s="6"/>
      <c r="C793" s="6"/>
      <c r="D793" s="6"/>
      <c r="E793" s="6"/>
      <c r="F793" s="6"/>
      <c r="G793" s="80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929"/>
      <c r="AH793" s="80"/>
      <c r="AI793" s="80"/>
      <c r="AJ793" s="80"/>
      <c r="AK793" s="6"/>
      <c r="AL793" s="80"/>
    </row>
    <row r="794" spans="1:38" ht="15.75" customHeight="1">
      <c r="A794" s="6"/>
      <c r="B794" s="6"/>
      <c r="C794" s="6"/>
      <c r="D794" s="6"/>
      <c r="E794" s="6"/>
      <c r="F794" s="6"/>
      <c r="G794" s="80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929"/>
      <c r="AH794" s="80"/>
      <c r="AI794" s="80"/>
      <c r="AJ794" s="80"/>
      <c r="AK794" s="6"/>
      <c r="AL794" s="80"/>
    </row>
    <row r="795" spans="1:38" ht="15.75" customHeight="1">
      <c r="A795" s="6"/>
      <c r="B795" s="6"/>
      <c r="C795" s="6"/>
      <c r="D795" s="6"/>
      <c r="E795" s="6"/>
      <c r="F795" s="6"/>
      <c r="G795" s="80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929"/>
      <c r="AH795" s="80"/>
      <c r="AI795" s="80"/>
      <c r="AJ795" s="80"/>
      <c r="AK795" s="6"/>
      <c r="AL795" s="80"/>
    </row>
    <row r="796" spans="1:38" ht="15.75" customHeight="1">
      <c r="A796" s="6"/>
      <c r="B796" s="6"/>
      <c r="C796" s="6"/>
      <c r="D796" s="6"/>
      <c r="E796" s="6"/>
      <c r="F796" s="6"/>
      <c r="G796" s="80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929"/>
      <c r="AH796" s="80"/>
      <c r="AI796" s="80"/>
      <c r="AJ796" s="80"/>
      <c r="AK796" s="6"/>
      <c r="AL796" s="80"/>
    </row>
    <row r="797" spans="1:38" ht="15.75" customHeight="1">
      <c r="A797" s="6"/>
      <c r="B797" s="6"/>
      <c r="C797" s="6"/>
      <c r="D797" s="6"/>
      <c r="E797" s="6"/>
      <c r="F797" s="6"/>
      <c r="G797" s="80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929"/>
      <c r="AH797" s="80"/>
      <c r="AI797" s="80"/>
      <c r="AJ797" s="80"/>
      <c r="AK797" s="6"/>
      <c r="AL797" s="80"/>
    </row>
    <row r="798" spans="1:38" ht="15.75" customHeight="1">
      <c r="A798" s="6"/>
      <c r="B798" s="6"/>
      <c r="C798" s="6"/>
      <c r="D798" s="6"/>
      <c r="E798" s="6"/>
      <c r="F798" s="6"/>
      <c r="G798" s="80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929"/>
      <c r="AH798" s="80"/>
      <c r="AI798" s="80"/>
      <c r="AJ798" s="80"/>
      <c r="AK798" s="6"/>
      <c r="AL798" s="80"/>
    </row>
    <row r="799" spans="1:38" ht="15.75" customHeight="1">
      <c r="A799" s="6"/>
      <c r="B799" s="6"/>
      <c r="C799" s="6"/>
      <c r="D799" s="6"/>
      <c r="E799" s="6"/>
      <c r="F799" s="6"/>
      <c r="G799" s="80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929"/>
      <c r="AH799" s="80"/>
      <c r="AI799" s="80"/>
      <c r="AJ799" s="80"/>
      <c r="AK799" s="6"/>
      <c r="AL799" s="80"/>
    </row>
    <row r="800" spans="1:38" ht="15.75" customHeight="1">
      <c r="A800" s="6"/>
      <c r="B800" s="6"/>
      <c r="C800" s="6"/>
      <c r="D800" s="6"/>
      <c r="E800" s="6"/>
      <c r="F800" s="6"/>
      <c r="G800" s="80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929"/>
      <c r="AH800" s="80"/>
      <c r="AI800" s="80"/>
      <c r="AJ800" s="80"/>
      <c r="AK800" s="6"/>
      <c r="AL800" s="80"/>
    </row>
    <row r="801" spans="1:38" ht="15.75" customHeight="1">
      <c r="A801" s="6"/>
      <c r="B801" s="6"/>
      <c r="C801" s="6"/>
      <c r="D801" s="6"/>
      <c r="E801" s="6"/>
      <c r="F801" s="6"/>
      <c r="G801" s="80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929"/>
      <c r="AH801" s="80"/>
      <c r="AI801" s="80"/>
      <c r="AJ801" s="80"/>
      <c r="AK801" s="6"/>
      <c r="AL801" s="80"/>
    </row>
    <row r="802" spans="1:38" ht="15.75" customHeight="1">
      <c r="A802" s="6"/>
      <c r="B802" s="6"/>
      <c r="C802" s="6"/>
      <c r="D802" s="6"/>
      <c r="E802" s="6"/>
      <c r="F802" s="6"/>
      <c r="G802" s="80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929"/>
      <c r="AH802" s="80"/>
      <c r="AI802" s="80"/>
      <c r="AJ802" s="80"/>
      <c r="AK802" s="6"/>
      <c r="AL802" s="80"/>
    </row>
    <row r="803" spans="1:38" ht="15.75" customHeight="1">
      <c r="A803" s="6"/>
      <c r="B803" s="6"/>
      <c r="C803" s="6"/>
      <c r="D803" s="6"/>
      <c r="E803" s="6"/>
      <c r="F803" s="6"/>
      <c r="G803" s="80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929"/>
      <c r="AH803" s="80"/>
      <c r="AI803" s="80"/>
      <c r="AJ803" s="80"/>
      <c r="AK803" s="6"/>
      <c r="AL803" s="80"/>
    </row>
    <row r="804" spans="1:38" ht="15.75" customHeight="1">
      <c r="A804" s="6"/>
      <c r="B804" s="6"/>
      <c r="C804" s="6"/>
      <c r="D804" s="6"/>
      <c r="E804" s="6"/>
      <c r="F804" s="6"/>
      <c r="G804" s="80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929"/>
      <c r="AH804" s="80"/>
      <c r="AI804" s="80"/>
      <c r="AJ804" s="80"/>
      <c r="AK804" s="6"/>
      <c r="AL804" s="80"/>
    </row>
    <row r="805" spans="1:38" ht="15.75" customHeight="1">
      <c r="A805" s="6"/>
      <c r="B805" s="6"/>
      <c r="C805" s="6"/>
      <c r="D805" s="6"/>
      <c r="E805" s="6"/>
      <c r="F805" s="6"/>
      <c r="G805" s="80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929"/>
      <c r="AH805" s="80"/>
      <c r="AI805" s="80"/>
      <c r="AJ805" s="80"/>
      <c r="AK805" s="6"/>
      <c r="AL805" s="80"/>
    </row>
    <row r="806" spans="1:38" ht="15.75" customHeight="1">
      <c r="A806" s="6"/>
      <c r="B806" s="6"/>
      <c r="C806" s="6"/>
      <c r="D806" s="6"/>
      <c r="E806" s="6"/>
      <c r="F806" s="6"/>
      <c r="G806" s="80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929"/>
      <c r="AH806" s="80"/>
      <c r="AI806" s="80"/>
      <c r="AJ806" s="80"/>
      <c r="AK806" s="6"/>
      <c r="AL806" s="80"/>
    </row>
    <row r="807" spans="1:38" ht="15.75" customHeight="1">
      <c r="A807" s="6"/>
      <c r="B807" s="6"/>
      <c r="C807" s="6"/>
      <c r="D807" s="6"/>
      <c r="E807" s="6"/>
      <c r="F807" s="6"/>
      <c r="G807" s="80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929"/>
      <c r="AH807" s="80"/>
      <c r="AI807" s="80"/>
      <c r="AJ807" s="80"/>
      <c r="AK807" s="6"/>
      <c r="AL807" s="80"/>
    </row>
    <row r="808" spans="1:38" ht="15.75" customHeight="1">
      <c r="A808" s="6"/>
      <c r="B808" s="6"/>
      <c r="C808" s="6"/>
      <c r="D808" s="6"/>
      <c r="E808" s="6"/>
      <c r="F808" s="6"/>
      <c r="G808" s="80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929"/>
      <c r="AH808" s="80"/>
      <c r="AI808" s="80"/>
      <c r="AJ808" s="80"/>
      <c r="AK808" s="6"/>
      <c r="AL808" s="80"/>
    </row>
    <row r="809" spans="1:38" ht="15.75" customHeight="1">
      <c r="A809" s="6"/>
      <c r="B809" s="6"/>
      <c r="C809" s="6"/>
      <c r="D809" s="6"/>
      <c r="E809" s="6"/>
      <c r="F809" s="6"/>
      <c r="G809" s="80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929"/>
      <c r="AH809" s="80"/>
      <c r="AI809" s="80"/>
      <c r="AJ809" s="80"/>
      <c r="AK809" s="6"/>
      <c r="AL809" s="80"/>
    </row>
    <row r="810" spans="1:38" ht="15.75" customHeight="1">
      <c r="A810" s="6"/>
      <c r="B810" s="6"/>
      <c r="C810" s="6"/>
      <c r="D810" s="6"/>
      <c r="E810" s="6"/>
      <c r="F810" s="6"/>
      <c r="G810" s="80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929"/>
      <c r="AH810" s="80"/>
      <c r="AI810" s="80"/>
      <c r="AJ810" s="80"/>
      <c r="AK810" s="6"/>
      <c r="AL810" s="80"/>
    </row>
    <row r="811" spans="1:38" ht="15.75" customHeight="1">
      <c r="A811" s="6"/>
      <c r="B811" s="6"/>
      <c r="C811" s="6"/>
      <c r="D811" s="6"/>
      <c r="E811" s="6"/>
      <c r="F811" s="6"/>
      <c r="G811" s="80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929"/>
      <c r="AH811" s="80"/>
      <c r="AI811" s="80"/>
      <c r="AJ811" s="80"/>
      <c r="AK811" s="6"/>
      <c r="AL811" s="80"/>
    </row>
    <row r="812" spans="1:38" ht="15.75" customHeight="1">
      <c r="A812" s="6"/>
      <c r="B812" s="6"/>
      <c r="C812" s="6"/>
      <c r="D812" s="6"/>
      <c r="E812" s="6"/>
      <c r="F812" s="6"/>
      <c r="G812" s="80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929"/>
      <c r="AH812" s="80"/>
      <c r="AI812" s="80"/>
      <c r="AJ812" s="80"/>
      <c r="AK812" s="6"/>
      <c r="AL812" s="80"/>
    </row>
    <row r="813" spans="1:38" ht="15.75" customHeight="1">
      <c r="A813" s="6"/>
      <c r="B813" s="6"/>
      <c r="C813" s="6"/>
      <c r="D813" s="6"/>
      <c r="E813" s="6"/>
      <c r="F813" s="6"/>
      <c r="G813" s="80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929"/>
      <c r="AH813" s="80"/>
      <c r="AI813" s="80"/>
      <c r="AJ813" s="80"/>
      <c r="AK813" s="6"/>
      <c r="AL813" s="80"/>
    </row>
    <row r="814" spans="1:38" ht="15.75" customHeight="1">
      <c r="A814" s="6"/>
      <c r="B814" s="6"/>
      <c r="C814" s="6"/>
      <c r="D814" s="6"/>
      <c r="E814" s="6"/>
      <c r="F814" s="6"/>
      <c r="G814" s="80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929"/>
      <c r="AH814" s="80"/>
      <c r="AI814" s="80"/>
      <c r="AJ814" s="80"/>
      <c r="AK814" s="6"/>
      <c r="AL814" s="80"/>
    </row>
    <row r="815" spans="1:38" ht="15.75" customHeight="1">
      <c r="A815" s="6"/>
      <c r="B815" s="6"/>
      <c r="C815" s="6"/>
      <c r="D815" s="6"/>
      <c r="E815" s="6"/>
      <c r="F815" s="6"/>
      <c r="G815" s="80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929"/>
      <c r="AH815" s="80"/>
      <c r="AI815" s="80"/>
      <c r="AJ815" s="80"/>
      <c r="AK815" s="6"/>
      <c r="AL815" s="80"/>
    </row>
    <row r="816" spans="1:38" ht="15.75" customHeight="1">
      <c r="A816" s="6"/>
      <c r="B816" s="6"/>
      <c r="C816" s="6"/>
      <c r="D816" s="6"/>
      <c r="E816" s="6"/>
      <c r="F816" s="6"/>
      <c r="G816" s="80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929"/>
      <c r="AH816" s="80"/>
      <c r="AI816" s="80"/>
      <c r="AJ816" s="80"/>
      <c r="AK816" s="6"/>
      <c r="AL816" s="80"/>
    </row>
    <row r="817" spans="1:38" ht="15.75" customHeight="1">
      <c r="A817" s="6"/>
      <c r="B817" s="6"/>
      <c r="C817" s="6"/>
      <c r="D817" s="6"/>
      <c r="E817" s="6"/>
      <c r="F817" s="6"/>
      <c r="G817" s="80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929"/>
      <c r="AH817" s="80"/>
      <c r="AI817" s="80"/>
      <c r="AJ817" s="80"/>
      <c r="AK817" s="6"/>
      <c r="AL817" s="80"/>
    </row>
    <row r="818" spans="1:38" ht="15.75" customHeight="1">
      <c r="A818" s="6"/>
      <c r="B818" s="6"/>
      <c r="C818" s="6"/>
      <c r="D818" s="6"/>
      <c r="E818" s="6"/>
      <c r="F818" s="6"/>
      <c r="G818" s="80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929"/>
      <c r="AH818" s="80"/>
      <c r="AI818" s="80"/>
      <c r="AJ818" s="80"/>
      <c r="AK818" s="6"/>
      <c r="AL818" s="80"/>
    </row>
    <row r="819" spans="1:38" ht="15.75" customHeight="1">
      <c r="A819" s="6"/>
      <c r="B819" s="6"/>
      <c r="C819" s="6"/>
      <c r="D819" s="6"/>
      <c r="E819" s="6"/>
      <c r="F819" s="6"/>
      <c r="G819" s="80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929"/>
      <c r="AH819" s="80"/>
      <c r="AI819" s="80"/>
      <c r="AJ819" s="80"/>
      <c r="AK819" s="6"/>
      <c r="AL819" s="80"/>
    </row>
    <row r="820" spans="1:38" ht="15.75" customHeight="1">
      <c r="A820" s="6"/>
      <c r="B820" s="6"/>
      <c r="C820" s="6"/>
      <c r="D820" s="6"/>
      <c r="E820" s="6"/>
      <c r="F820" s="6"/>
      <c r="G820" s="80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929"/>
      <c r="AH820" s="80"/>
      <c r="AI820" s="80"/>
      <c r="AJ820" s="80"/>
      <c r="AK820" s="6"/>
      <c r="AL820" s="80"/>
    </row>
    <row r="821" spans="1:38" ht="15.75" customHeight="1">
      <c r="A821" s="6"/>
      <c r="B821" s="6"/>
      <c r="C821" s="6"/>
      <c r="D821" s="6"/>
      <c r="E821" s="6"/>
      <c r="F821" s="6"/>
      <c r="G821" s="80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929"/>
      <c r="AH821" s="80"/>
      <c r="AI821" s="80"/>
      <c r="AJ821" s="80"/>
      <c r="AK821" s="6"/>
      <c r="AL821" s="80"/>
    </row>
    <row r="822" spans="1:38" ht="15.75" customHeight="1">
      <c r="A822" s="6"/>
      <c r="B822" s="6"/>
      <c r="C822" s="6"/>
      <c r="D822" s="6"/>
      <c r="E822" s="6"/>
      <c r="F822" s="6"/>
      <c r="G822" s="80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929"/>
      <c r="AH822" s="80"/>
      <c r="AI822" s="80"/>
      <c r="AJ822" s="80"/>
      <c r="AK822" s="6"/>
      <c r="AL822" s="80"/>
    </row>
    <row r="823" spans="1:38" ht="15.75" customHeight="1">
      <c r="A823" s="6"/>
      <c r="B823" s="6"/>
      <c r="C823" s="6"/>
      <c r="D823" s="6"/>
      <c r="E823" s="6"/>
      <c r="F823" s="6"/>
      <c r="G823" s="80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929"/>
      <c r="AH823" s="80"/>
      <c r="AI823" s="80"/>
      <c r="AJ823" s="80"/>
      <c r="AK823" s="6"/>
      <c r="AL823" s="80"/>
    </row>
    <row r="824" spans="1:38" ht="15.75" customHeight="1">
      <c r="A824" s="6"/>
      <c r="B824" s="6"/>
      <c r="C824" s="6"/>
      <c r="D824" s="6"/>
      <c r="E824" s="6"/>
      <c r="F824" s="6"/>
      <c r="G824" s="80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929"/>
      <c r="AH824" s="80"/>
      <c r="AI824" s="80"/>
      <c r="AJ824" s="80"/>
      <c r="AK824" s="6"/>
      <c r="AL824" s="80"/>
    </row>
    <row r="825" spans="1:38" ht="15.75" customHeight="1">
      <c r="A825" s="6"/>
      <c r="B825" s="6"/>
      <c r="C825" s="6"/>
      <c r="D825" s="6"/>
      <c r="E825" s="6"/>
      <c r="F825" s="6"/>
      <c r="G825" s="80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929"/>
      <c r="AH825" s="80"/>
      <c r="AI825" s="80"/>
      <c r="AJ825" s="80"/>
      <c r="AK825" s="6"/>
      <c r="AL825" s="80"/>
    </row>
    <row r="826" spans="1:38" ht="15.75" customHeight="1">
      <c r="A826" s="6"/>
      <c r="B826" s="6"/>
      <c r="C826" s="6"/>
      <c r="D826" s="6"/>
      <c r="E826" s="6"/>
      <c r="F826" s="6"/>
      <c r="G826" s="80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929"/>
      <c r="AH826" s="80"/>
      <c r="AI826" s="80"/>
      <c r="AJ826" s="80"/>
      <c r="AK826" s="6"/>
      <c r="AL826" s="80"/>
    </row>
    <row r="827" spans="1:38" ht="15.75" customHeight="1">
      <c r="A827" s="6"/>
      <c r="B827" s="6"/>
      <c r="C827" s="6"/>
      <c r="D827" s="6"/>
      <c r="E827" s="6"/>
      <c r="F827" s="6"/>
      <c r="G827" s="80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929"/>
      <c r="AH827" s="80"/>
      <c r="AI827" s="80"/>
      <c r="AJ827" s="80"/>
      <c r="AK827" s="6"/>
      <c r="AL827" s="80"/>
    </row>
    <row r="828" spans="1:38" ht="15.75" customHeight="1">
      <c r="A828" s="6"/>
      <c r="B828" s="6"/>
      <c r="C828" s="6"/>
      <c r="D828" s="6"/>
      <c r="E828" s="6"/>
      <c r="F828" s="6"/>
      <c r="G828" s="80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929"/>
      <c r="AH828" s="80"/>
      <c r="AI828" s="80"/>
      <c r="AJ828" s="80"/>
      <c r="AK828" s="6"/>
      <c r="AL828" s="80"/>
    </row>
    <row r="829" spans="1:38" ht="15.75" customHeight="1">
      <c r="A829" s="6"/>
      <c r="B829" s="6"/>
      <c r="C829" s="6"/>
      <c r="D829" s="6"/>
      <c r="E829" s="6"/>
      <c r="F829" s="6"/>
      <c r="G829" s="80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929"/>
      <c r="AH829" s="80"/>
      <c r="AI829" s="80"/>
      <c r="AJ829" s="80"/>
      <c r="AK829" s="6"/>
      <c r="AL829" s="80"/>
    </row>
    <row r="830" spans="1:38" ht="15.75" customHeight="1">
      <c r="A830" s="6"/>
      <c r="B830" s="6"/>
      <c r="C830" s="6"/>
      <c r="D830" s="6"/>
      <c r="E830" s="6"/>
      <c r="F830" s="6"/>
      <c r="G830" s="80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929"/>
      <c r="AH830" s="80"/>
      <c r="AI830" s="80"/>
      <c r="AJ830" s="80"/>
      <c r="AK830" s="6"/>
      <c r="AL830" s="80"/>
    </row>
    <row r="831" spans="1:38" ht="15.75" customHeight="1">
      <c r="A831" s="6"/>
      <c r="B831" s="6"/>
      <c r="C831" s="6"/>
      <c r="D831" s="6"/>
      <c r="E831" s="6"/>
      <c r="F831" s="6"/>
      <c r="G831" s="80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929"/>
      <c r="AH831" s="80"/>
      <c r="AI831" s="80"/>
      <c r="AJ831" s="80"/>
      <c r="AK831" s="6"/>
      <c r="AL831" s="80"/>
    </row>
    <row r="832" spans="1:38" ht="15.75" customHeight="1">
      <c r="A832" s="6"/>
      <c r="B832" s="6"/>
      <c r="C832" s="6"/>
      <c r="D832" s="6"/>
      <c r="E832" s="6"/>
      <c r="F832" s="6"/>
      <c r="G832" s="80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929"/>
      <c r="AH832" s="80"/>
      <c r="AI832" s="80"/>
      <c r="AJ832" s="80"/>
      <c r="AK832" s="6"/>
      <c r="AL832" s="80"/>
    </row>
    <row r="833" spans="1:38" ht="15.75" customHeight="1">
      <c r="A833" s="6"/>
      <c r="B833" s="6"/>
      <c r="C833" s="6"/>
      <c r="D833" s="6"/>
      <c r="E833" s="6"/>
      <c r="F833" s="6"/>
      <c r="G833" s="80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929"/>
      <c r="AH833" s="80"/>
      <c r="AI833" s="80"/>
      <c r="AJ833" s="80"/>
      <c r="AK833" s="6"/>
      <c r="AL833" s="80"/>
    </row>
    <row r="834" spans="1:38" ht="15.75" customHeight="1">
      <c r="A834" s="6"/>
      <c r="B834" s="6"/>
      <c r="C834" s="6"/>
      <c r="D834" s="6"/>
      <c r="E834" s="6"/>
      <c r="F834" s="6"/>
      <c r="G834" s="80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929"/>
      <c r="AH834" s="80"/>
      <c r="AI834" s="80"/>
      <c r="AJ834" s="80"/>
      <c r="AK834" s="6"/>
      <c r="AL834" s="80"/>
    </row>
    <row r="835" spans="1:38" ht="15.75" customHeight="1">
      <c r="A835" s="6"/>
      <c r="B835" s="6"/>
      <c r="C835" s="6"/>
      <c r="D835" s="6"/>
      <c r="E835" s="6"/>
      <c r="F835" s="6"/>
      <c r="G835" s="80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929"/>
      <c r="AH835" s="80"/>
      <c r="AI835" s="80"/>
      <c r="AJ835" s="80"/>
      <c r="AK835" s="6"/>
      <c r="AL835" s="80"/>
    </row>
    <row r="836" spans="1:38" ht="15.75" customHeight="1">
      <c r="A836" s="6"/>
      <c r="B836" s="6"/>
      <c r="C836" s="6"/>
      <c r="D836" s="6"/>
      <c r="E836" s="6"/>
      <c r="F836" s="6"/>
      <c r="G836" s="80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929"/>
      <c r="AH836" s="80"/>
      <c r="AI836" s="80"/>
      <c r="AJ836" s="80"/>
      <c r="AK836" s="6"/>
      <c r="AL836" s="80"/>
    </row>
    <row r="837" spans="1:38" ht="15.75" customHeight="1">
      <c r="A837" s="6"/>
      <c r="B837" s="6"/>
      <c r="C837" s="6"/>
      <c r="D837" s="6"/>
      <c r="E837" s="6"/>
      <c r="F837" s="6"/>
      <c r="G837" s="80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929"/>
      <c r="AH837" s="80"/>
      <c r="AI837" s="80"/>
      <c r="AJ837" s="80"/>
      <c r="AK837" s="6"/>
      <c r="AL837" s="80"/>
    </row>
    <row r="838" spans="1:38" ht="15.75" customHeight="1">
      <c r="A838" s="6"/>
      <c r="B838" s="6"/>
      <c r="C838" s="6"/>
      <c r="D838" s="6"/>
      <c r="E838" s="6"/>
      <c r="F838" s="6"/>
      <c r="G838" s="80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929"/>
      <c r="AH838" s="80"/>
      <c r="AI838" s="80"/>
      <c r="AJ838" s="80"/>
      <c r="AK838" s="6"/>
      <c r="AL838" s="80"/>
    </row>
    <row r="839" spans="1:38" ht="15.75" customHeight="1">
      <c r="A839" s="6"/>
      <c r="B839" s="6"/>
      <c r="C839" s="6"/>
      <c r="D839" s="6"/>
      <c r="E839" s="6"/>
      <c r="F839" s="6"/>
      <c r="G839" s="80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929"/>
      <c r="AH839" s="80"/>
      <c r="AI839" s="80"/>
      <c r="AJ839" s="80"/>
      <c r="AK839" s="6"/>
      <c r="AL839" s="80"/>
    </row>
    <row r="840" spans="1:38" ht="15.75" customHeight="1">
      <c r="A840" s="6"/>
      <c r="B840" s="6"/>
      <c r="C840" s="6"/>
      <c r="D840" s="6"/>
      <c r="E840" s="6"/>
      <c r="F840" s="6"/>
      <c r="G840" s="80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929"/>
      <c r="AH840" s="80"/>
      <c r="AI840" s="80"/>
      <c r="AJ840" s="80"/>
      <c r="AK840" s="6"/>
      <c r="AL840" s="80"/>
    </row>
    <row r="841" spans="1:38" ht="15.75" customHeight="1">
      <c r="A841" s="6"/>
      <c r="B841" s="6"/>
      <c r="C841" s="6"/>
      <c r="D841" s="6"/>
      <c r="E841" s="6"/>
      <c r="F841" s="6"/>
      <c r="G841" s="80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929"/>
      <c r="AH841" s="80"/>
      <c r="AI841" s="80"/>
      <c r="AJ841" s="80"/>
      <c r="AK841" s="6"/>
      <c r="AL841" s="80"/>
    </row>
    <row r="842" spans="1:38" ht="15.75" customHeight="1">
      <c r="A842" s="6"/>
      <c r="B842" s="6"/>
      <c r="C842" s="6"/>
      <c r="D842" s="6"/>
      <c r="E842" s="6"/>
      <c r="F842" s="6"/>
      <c r="G842" s="80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929"/>
      <c r="AH842" s="80"/>
      <c r="AI842" s="80"/>
      <c r="AJ842" s="80"/>
      <c r="AK842" s="6"/>
      <c r="AL842" s="80"/>
    </row>
    <row r="843" spans="1:38" ht="15.75" customHeight="1">
      <c r="A843" s="6"/>
      <c r="B843" s="6"/>
      <c r="C843" s="6"/>
      <c r="D843" s="6"/>
      <c r="E843" s="6"/>
      <c r="F843" s="6"/>
      <c r="G843" s="80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929"/>
      <c r="AH843" s="80"/>
      <c r="AI843" s="80"/>
      <c r="AJ843" s="80"/>
      <c r="AK843" s="6"/>
      <c r="AL843" s="80"/>
    </row>
    <row r="844" spans="1:38" ht="15.75" customHeight="1">
      <c r="A844" s="6"/>
      <c r="B844" s="6"/>
      <c r="C844" s="6"/>
      <c r="D844" s="6"/>
      <c r="E844" s="6"/>
      <c r="F844" s="6"/>
      <c r="G844" s="80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929"/>
      <c r="AH844" s="80"/>
      <c r="AI844" s="80"/>
      <c r="AJ844" s="80"/>
      <c r="AK844" s="6"/>
      <c r="AL844" s="80"/>
    </row>
    <row r="845" spans="1:38" ht="15.75" customHeight="1">
      <c r="A845" s="6"/>
      <c r="B845" s="6"/>
      <c r="C845" s="6"/>
      <c r="D845" s="6"/>
      <c r="E845" s="6"/>
      <c r="F845" s="6"/>
      <c r="G845" s="80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929"/>
      <c r="AH845" s="80"/>
      <c r="AI845" s="80"/>
      <c r="AJ845" s="80"/>
      <c r="AK845" s="6"/>
      <c r="AL845" s="80"/>
    </row>
    <row r="846" spans="1:38" ht="15.75" customHeight="1">
      <c r="A846" s="6"/>
      <c r="B846" s="6"/>
      <c r="C846" s="6"/>
      <c r="D846" s="6"/>
      <c r="E846" s="6"/>
      <c r="F846" s="6"/>
      <c r="G846" s="80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929"/>
      <c r="AH846" s="80"/>
      <c r="AI846" s="80"/>
      <c r="AJ846" s="80"/>
      <c r="AK846" s="6"/>
      <c r="AL846" s="80"/>
    </row>
    <row r="847" spans="1:38" ht="15.75" customHeight="1">
      <c r="A847" s="6"/>
      <c r="B847" s="6"/>
      <c r="C847" s="6"/>
      <c r="D847" s="6"/>
      <c r="E847" s="6"/>
      <c r="F847" s="6"/>
      <c r="G847" s="80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929"/>
      <c r="AH847" s="80"/>
      <c r="AI847" s="80"/>
      <c r="AJ847" s="80"/>
      <c r="AK847" s="6"/>
      <c r="AL847" s="80"/>
    </row>
    <row r="848" spans="1:38" ht="15.75" customHeight="1">
      <c r="A848" s="6"/>
      <c r="B848" s="6"/>
      <c r="C848" s="6"/>
      <c r="D848" s="6"/>
      <c r="E848" s="6"/>
      <c r="F848" s="6"/>
      <c r="G848" s="80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929"/>
      <c r="AH848" s="80"/>
      <c r="AI848" s="80"/>
      <c r="AJ848" s="80"/>
      <c r="AK848" s="6"/>
      <c r="AL848" s="80"/>
    </row>
    <row r="849" spans="1:38" ht="15.75" customHeight="1">
      <c r="A849" s="6"/>
      <c r="B849" s="6"/>
      <c r="C849" s="6"/>
      <c r="D849" s="6"/>
      <c r="E849" s="6"/>
      <c r="F849" s="6"/>
      <c r="G849" s="80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929"/>
      <c r="AH849" s="80"/>
      <c r="AI849" s="80"/>
      <c r="AJ849" s="80"/>
      <c r="AK849" s="6"/>
      <c r="AL849" s="80"/>
    </row>
    <row r="850" spans="1:38" ht="15.75" customHeight="1">
      <c r="A850" s="6"/>
      <c r="B850" s="6"/>
      <c r="C850" s="6"/>
      <c r="D850" s="6"/>
      <c r="E850" s="6"/>
      <c r="F850" s="6"/>
      <c r="G850" s="80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929"/>
      <c r="AH850" s="80"/>
      <c r="AI850" s="80"/>
      <c r="AJ850" s="80"/>
      <c r="AK850" s="6"/>
      <c r="AL850" s="80"/>
    </row>
    <row r="851" spans="1:38" ht="15.75" customHeight="1">
      <c r="A851" s="6"/>
      <c r="B851" s="6"/>
      <c r="C851" s="6"/>
      <c r="D851" s="6"/>
      <c r="E851" s="6"/>
      <c r="F851" s="6"/>
      <c r="G851" s="80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929"/>
      <c r="AH851" s="80"/>
      <c r="AI851" s="80"/>
      <c r="AJ851" s="80"/>
      <c r="AK851" s="6"/>
      <c r="AL851" s="80"/>
    </row>
    <row r="852" spans="1:38" ht="15.75" customHeight="1">
      <c r="A852" s="6"/>
      <c r="B852" s="6"/>
      <c r="C852" s="6"/>
      <c r="D852" s="6"/>
      <c r="E852" s="6"/>
      <c r="F852" s="6"/>
      <c r="G852" s="80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929"/>
      <c r="AH852" s="80"/>
      <c r="AI852" s="80"/>
      <c r="AJ852" s="80"/>
      <c r="AK852" s="6"/>
      <c r="AL852" s="80"/>
    </row>
    <row r="853" spans="1:38" ht="15.75" customHeight="1">
      <c r="A853" s="6"/>
      <c r="B853" s="6"/>
      <c r="C853" s="6"/>
      <c r="D853" s="6"/>
      <c r="E853" s="6"/>
      <c r="F853" s="6"/>
      <c r="G853" s="80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929"/>
      <c r="AH853" s="80"/>
      <c r="AI853" s="80"/>
      <c r="AJ853" s="80"/>
      <c r="AK853" s="6"/>
      <c r="AL853" s="80"/>
    </row>
    <row r="854" spans="1:38" ht="15.75" customHeight="1">
      <c r="A854" s="6"/>
      <c r="B854" s="6"/>
      <c r="C854" s="6"/>
      <c r="D854" s="6"/>
      <c r="E854" s="6"/>
      <c r="F854" s="6"/>
      <c r="G854" s="80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929"/>
      <c r="AH854" s="80"/>
      <c r="AI854" s="80"/>
      <c r="AJ854" s="80"/>
      <c r="AK854" s="6"/>
      <c r="AL854" s="80"/>
    </row>
    <row r="855" spans="1:38" ht="15.75" customHeight="1">
      <c r="A855" s="6"/>
      <c r="B855" s="6"/>
      <c r="C855" s="6"/>
      <c r="D855" s="6"/>
      <c r="E855" s="6"/>
      <c r="F855" s="6"/>
      <c r="G855" s="80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929"/>
      <c r="AH855" s="80"/>
      <c r="AI855" s="80"/>
      <c r="AJ855" s="80"/>
      <c r="AK855" s="6"/>
      <c r="AL855" s="80"/>
    </row>
    <row r="856" spans="1:38" ht="15.75" customHeight="1">
      <c r="A856" s="6"/>
      <c r="B856" s="6"/>
      <c r="C856" s="6"/>
      <c r="D856" s="6"/>
      <c r="E856" s="6"/>
      <c r="F856" s="6"/>
      <c r="G856" s="80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929"/>
      <c r="AH856" s="80"/>
      <c r="AI856" s="80"/>
      <c r="AJ856" s="80"/>
      <c r="AK856" s="6"/>
      <c r="AL856" s="80"/>
    </row>
    <row r="857" spans="1:38" ht="15.75" customHeight="1">
      <c r="A857" s="6"/>
      <c r="B857" s="6"/>
      <c r="C857" s="6"/>
      <c r="D857" s="6"/>
      <c r="E857" s="6"/>
      <c r="F857" s="6"/>
      <c r="G857" s="80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929"/>
      <c r="AH857" s="80"/>
      <c r="AI857" s="80"/>
      <c r="AJ857" s="80"/>
      <c r="AK857" s="6"/>
      <c r="AL857" s="80"/>
    </row>
    <row r="858" spans="1:38" ht="15.75" customHeight="1">
      <c r="A858" s="6"/>
      <c r="B858" s="6"/>
      <c r="C858" s="6"/>
      <c r="D858" s="6"/>
      <c r="E858" s="6"/>
      <c r="F858" s="6"/>
      <c r="G858" s="80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929"/>
      <c r="AH858" s="80"/>
      <c r="AI858" s="80"/>
      <c r="AJ858" s="80"/>
      <c r="AK858" s="6"/>
      <c r="AL858" s="80"/>
    </row>
    <row r="859" spans="1:38" ht="15.75" customHeight="1">
      <c r="A859" s="6"/>
      <c r="B859" s="6"/>
      <c r="C859" s="6"/>
      <c r="D859" s="6"/>
      <c r="E859" s="6"/>
      <c r="F859" s="6"/>
      <c r="G859" s="80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929"/>
      <c r="AH859" s="80"/>
      <c r="AI859" s="80"/>
      <c r="AJ859" s="80"/>
      <c r="AK859" s="6"/>
      <c r="AL859" s="80"/>
    </row>
    <row r="860" spans="1:38" ht="15.75" customHeight="1">
      <c r="A860" s="6"/>
      <c r="B860" s="6"/>
      <c r="C860" s="6"/>
      <c r="D860" s="6"/>
      <c r="E860" s="6"/>
      <c r="F860" s="6"/>
      <c r="G860" s="80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929"/>
      <c r="AH860" s="80"/>
      <c r="AI860" s="80"/>
      <c r="AJ860" s="80"/>
      <c r="AK860" s="6"/>
      <c r="AL860" s="80"/>
    </row>
    <row r="861" spans="1:38" ht="15.75" customHeight="1">
      <c r="A861" s="6"/>
      <c r="B861" s="6"/>
      <c r="C861" s="6"/>
      <c r="D861" s="6"/>
      <c r="E861" s="6"/>
      <c r="F861" s="6"/>
      <c r="G861" s="80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929"/>
      <c r="AH861" s="80"/>
      <c r="AI861" s="80"/>
      <c r="AJ861" s="80"/>
      <c r="AK861" s="6"/>
      <c r="AL861" s="80"/>
    </row>
    <row r="862" spans="1:38" ht="15.75" customHeight="1">
      <c r="A862" s="6"/>
      <c r="B862" s="6"/>
      <c r="C862" s="6"/>
      <c r="D862" s="6"/>
      <c r="E862" s="6"/>
      <c r="F862" s="6"/>
      <c r="G862" s="80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929"/>
      <c r="AH862" s="80"/>
      <c r="AI862" s="80"/>
      <c r="AJ862" s="80"/>
      <c r="AK862" s="6"/>
      <c r="AL862" s="80"/>
    </row>
    <row r="863" spans="1:38" ht="15.75" customHeight="1">
      <c r="A863" s="6"/>
      <c r="B863" s="6"/>
      <c r="C863" s="6"/>
      <c r="D863" s="6"/>
      <c r="E863" s="6"/>
      <c r="F863" s="6"/>
      <c r="G863" s="80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929"/>
      <c r="AH863" s="80"/>
      <c r="AI863" s="80"/>
      <c r="AJ863" s="80"/>
      <c r="AK863" s="6"/>
      <c r="AL863" s="80"/>
    </row>
    <row r="864" spans="1:38" ht="15.75" customHeight="1">
      <c r="A864" s="6"/>
      <c r="B864" s="6"/>
      <c r="C864" s="6"/>
      <c r="D864" s="6"/>
      <c r="E864" s="6"/>
      <c r="F864" s="6"/>
      <c r="G864" s="80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929"/>
      <c r="AH864" s="80"/>
      <c r="AI864" s="80"/>
      <c r="AJ864" s="80"/>
      <c r="AK864" s="6"/>
      <c r="AL864" s="80"/>
    </row>
    <row r="865" spans="1:38" ht="15.75" customHeight="1">
      <c r="A865" s="6"/>
      <c r="B865" s="6"/>
      <c r="C865" s="6"/>
      <c r="D865" s="6"/>
      <c r="E865" s="6"/>
      <c r="F865" s="6"/>
      <c r="G865" s="80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929"/>
      <c r="AH865" s="80"/>
      <c r="AI865" s="80"/>
      <c r="AJ865" s="80"/>
      <c r="AK865" s="6"/>
      <c r="AL865" s="80"/>
    </row>
    <row r="866" spans="1:38" ht="15.75" customHeight="1">
      <c r="A866" s="6"/>
      <c r="B866" s="6"/>
      <c r="C866" s="6"/>
      <c r="D866" s="6"/>
      <c r="E866" s="6"/>
      <c r="F866" s="6"/>
      <c r="G866" s="80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929"/>
      <c r="AH866" s="80"/>
      <c r="AI866" s="80"/>
      <c r="AJ866" s="80"/>
      <c r="AK866" s="6"/>
      <c r="AL866" s="80"/>
    </row>
    <row r="867" spans="1:38" ht="15.75" customHeight="1">
      <c r="A867" s="6"/>
      <c r="B867" s="6"/>
      <c r="C867" s="6"/>
      <c r="D867" s="6"/>
      <c r="E867" s="6"/>
      <c r="F867" s="6"/>
      <c r="G867" s="80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929"/>
      <c r="AH867" s="80"/>
      <c r="AI867" s="80"/>
      <c r="AJ867" s="80"/>
      <c r="AK867" s="6"/>
      <c r="AL867" s="80"/>
    </row>
    <row r="868" spans="1:38" ht="15.75" customHeight="1">
      <c r="A868" s="6"/>
      <c r="B868" s="6"/>
      <c r="C868" s="6"/>
      <c r="D868" s="6"/>
      <c r="E868" s="6"/>
      <c r="F868" s="6"/>
      <c r="G868" s="80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929"/>
      <c r="AH868" s="80"/>
      <c r="AI868" s="80"/>
      <c r="AJ868" s="80"/>
      <c r="AK868" s="6"/>
      <c r="AL868" s="80"/>
    </row>
    <row r="869" spans="1:38" ht="15.75" customHeight="1">
      <c r="A869" s="6"/>
      <c r="B869" s="6"/>
      <c r="C869" s="6"/>
      <c r="D869" s="6"/>
      <c r="E869" s="6"/>
      <c r="F869" s="6"/>
      <c r="G869" s="80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929"/>
      <c r="AH869" s="80"/>
      <c r="AI869" s="80"/>
      <c r="AJ869" s="80"/>
      <c r="AK869" s="6"/>
      <c r="AL869" s="80"/>
    </row>
    <row r="870" spans="1:38" ht="15.75" customHeight="1">
      <c r="A870" s="6"/>
      <c r="B870" s="6"/>
      <c r="C870" s="6"/>
      <c r="D870" s="6"/>
      <c r="E870" s="6"/>
      <c r="F870" s="6"/>
      <c r="G870" s="80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929"/>
      <c r="AH870" s="80"/>
      <c r="AI870" s="80"/>
      <c r="AJ870" s="80"/>
      <c r="AK870" s="6"/>
      <c r="AL870" s="80"/>
    </row>
    <row r="871" spans="1:38" ht="15.75" customHeight="1">
      <c r="A871" s="6"/>
      <c r="B871" s="6"/>
      <c r="C871" s="6"/>
      <c r="D871" s="6"/>
      <c r="E871" s="6"/>
      <c r="F871" s="6"/>
      <c r="G871" s="80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929"/>
      <c r="AH871" s="80"/>
      <c r="AI871" s="80"/>
      <c r="AJ871" s="80"/>
      <c r="AK871" s="6"/>
      <c r="AL871" s="80"/>
    </row>
    <row r="872" spans="1:38" ht="15.75" customHeight="1">
      <c r="A872" s="6"/>
      <c r="B872" s="6"/>
      <c r="C872" s="6"/>
      <c r="D872" s="6"/>
      <c r="E872" s="6"/>
      <c r="F872" s="6"/>
      <c r="G872" s="80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929"/>
      <c r="AH872" s="80"/>
      <c r="AI872" s="80"/>
      <c r="AJ872" s="80"/>
      <c r="AK872" s="6"/>
      <c r="AL872" s="80"/>
    </row>
    <row r="873" spans="1:38" ht="15.75" customHeight="1">
      <c r="A873" s="6"/>
      <c r="B873" s="6"/>
      <c r="C873" s="6"/>
      <c r="D873" s="6"/>
      <c r="E873" s="6"/>
      <c r="F873" s="6"/>
      <c r="G873" s="80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929"/>
      <c r="AH873" s="80"/>
      <c r="AI873" s="80"/>
      <c r="AJ873" s="80"/>
      <c r="AK873" s="6"/>
      <c r="AL873" s="80"/>
    </row>
    <row r="874" spans="1:38" ht="15.75" customHeight="1">
      <c r="A874" s="6"/>
      <c r="B874" s="6"/>
      <c r="C874" s="6"/>
      <c r="D874" s="6"/>
      <c r="E874" s="6"/>
      <c r="F874" s="6"/>
      <c r="G874" s="80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929"/>
      <c r="AH874" s="80"/>
      <c r="AI874" s="80"/>
      <c r="AJ874" s="80"/>
      <c r="AK874" s="6"/>
      <c r="AL874" s="80"/>
    </row>
    <row r="875" spans="1:38" ht="15.75" customHeight="1">
      <c r="A875" s="6"/>
      <c r="B875" s="6"/>
      <c r="C875" s="6"/>
      <c r="D875" s="6"/>
      <c r="E875" s="6"/>
      <c r="F875" s="6"/>
      <c r="G875" s="80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929"/>
      <c r="AH875" s="80"/>
      <c r="AI875" s="80"/>
      <c r="AJ875" s="80"/>
      <c r="AK875" s="6"/>
      <c r="AL875" s="80"/>
    </row>
    <row r="876" spans="1:38" ht="15.75" customHeight="1">
      <c r="A876" s="6"/>
      <c r="B876" s="6"/>
      <c r="C876" s="6"/>
      <c r="D876" s="6"/>
      <c r="E876" s="6"/>
      <c r="F876" s="6"/>
      <c r="G876" s="80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929"/>
      <c r="AH876" s="80"/>
      <c r="AI876" s="80"/>
      <c r="AJ876" s="80"/>
      <c r="AK876" s="6"/>
      <c r="AL876" s="80"/>
    </row>
    <row r="877" spans="1:38" ht="15.75" customHeight="1">
      <c r="A877" s="6"/>
      <c r="B877" s="6"/>
      <c r="C877" s="6"/>
      <c r="D877" s="6"/>
      <c r="E877" s="6"/>
      <c r="F877" s="6"/>
      <c r="G877" s="80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929"/>
      <c r="AH877" s="80"/>
      <c r="AI877" s="80"/>
      <c r="AJ877" s="80"/>
      <c r="AK877" s="6"/>
      <c r="AL877" s="80"/>
    </row>
    <row r="878" spans="1:38" ht="15.75" customHeight="1">
      <c r="A878" s="6"/>
      <c r="B878" s="6"/>
      <c r="C878" s="6"/>
      <c r="D878" s="6"/>
      <c r="E878" s="6"/>
      <c r="F878" s="6"/>
      <c r="G878" s="80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929"/>
      <c r="AH878" s="80"/>
      <c r="AI878" s="80"/>
      <c r="AJ878" s="80"/>
      <c r="AK878" s="6"/>
      <c r="AL878" s="80"/>
    </row>
    <row r="879" spans="1:38" ht="15.75" customHeight="1">
      <c r="A879" s="6"/>
      <c r="B879" s="6"/>
      <c r="C879" s="6"/>
      <c r="D879" s="6"/>
      <c r="E879" s="6"/>
      <c r="F879" s="6"/>
      <c r="G879" s="80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929"/>
      <c r="AH879" s="80"/>
      <c r="AI879" s="80"/>
      <c r="AJ879" s="80"/>
      <c r="AK879" s="6"/>
      <c r="AL879" s="80"/>
    </row>
    <row r="880" spans="1:38" ht="15.75" customHeight="1">
      <c r="A880" s="6"/>
      <c r="B880" s="6"/>
      <c r="C880" s="6"/>
      <c r="D880" s="6"/>
      <c r="E880" s="6"/>
      <c r="F880" s="6"/>
      <c r="G880" s="80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929"/>
      <c r="AH880" s="80"/>
      <c r="AI880" s="80"/>
      <c r="AJ880" s="80"/>
      <c r="AK880" s="6"/>
      <c r="AL880" s="80"/>
    </row>
    <row r="881" spans="1:38" ht="15.75" customHeight="1">
      <c r="A881" s="6"/>
      <c r="B881" s="6"/>
      <c r="C881" s="6"/>
      <c r="D881" s="6"/>
      <c r="E881" s="6"/>
      <c r="F881" s="6"/>
      <c r="G881" s="80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929"/>
      <c r="AH881" s="80"/>
      <c r="AI881" s="80"/>
      <c r="AJ881" s="80"/>
      <c r="AK881" s="6"/>
      <c r="AL881" s="80"/>
    </row>
    <row r="882" spans="1:38" ht="15.75" customHeight="1">
      <c r="A882" s="6"/>
      <c r="B882" s="6"/>
      <c r="C882" s="6"/>
      <c r="D882" s="6"/>
      <c r="E882" s="6"/>
      <c r="F882" s="6"/>
      <c r="G882" s="80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929"/>
      <c r="AH882" s="80"/>
      <c r="AI882" s="80"/>
      <c r="AJ882" s="80"/>
      <c r="AK882" s="6"/>
      <c r="AL882" s="80"/>
    </row>
    <row r="883" spans="1:38" ht="15.75" customHeight="1">
      <c r="A883" s="6"/>
      <c r="B883" s="6"/>
      <c r="C883" s="6"/>
      <c r="D883" s="6"/>
      <c r="E883" s="6"/>
      <c r="F883" s="6"/>
      <c r="G883" s="80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929"/>
      <c r="AH883" s="80"/>
      <c r="AI883" s="80"/>
      <c r="AJ883" s="80"/>
      <c r="AK883" s="6"/>
      <c r="AL883" s="80"/>
    </row>
    <row r="884" spans="1:38" ht="15.75" customHeight="1">
      <c r="A884" s="6"/>
      <c r="B884" s="6"/>
      <c r="C884" s="6"/>
      <c r="D884" s="6"/>
      <c r="E884" s="6"/>
      <c r="F884" s="6"/>
      <c r="G884" s="80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929"/>
      <c r="AH884" s="80"/>
      <c r="AI884" s="80"/>
      <c r="AJ884" s="80"/>
      <c r="AK884" s="6"/>
      <c r="AL884" s="80"/>
    </row>
    <row r="885" spans="1:38" ht="15.75" customHeight="1">
      <c r="A885" s="6"/>
      <c r="B885" s="6"/>
      <c r="C885" s="6"/>
      <c r="D885" s="6"/>
      <c r="E885" s="6"/>
      <c r="F885" s="6"/>
      <c r="G885" s="80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929"/>
      <c r="AH885" s="80"/>
      <c r="AI885" s="80"/>
      <c r="AJ885" s="80"/>
      <c r="AK885" s="6"/>
      <c r="AL885" s="80"/>
    </row>
    <row r="886" spans="1:38" ht="15.75" customHeight="1">
      <c r="A886" s="6"/>
      <c r="B886" s="6"/>
      <c r="C886" s="6"/>
      <c r="D886" s="6"/>
      <c r="E886" s="6"/>
      <c r="F886" s="6"/>
      <c r="G886" s="80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929"/>
      <c r="AH886" s="80"/>
      <c r="AI886" s="80"/>
      <c r="AJ886" s="80"/>
      <c r="AK886" s="6"/>
      <c r="AL886" s="80"/>
    </row>
    <row r="887" spans="1:38" ht="15.75" customHeight="1">
      <c r="A887" s="6"/>
      <c r="B887" s="6"/>
      <c r="C887" s="6"/>
      <c r="D887" s="6"/>
      <c r="E887" s="6"/>
      <c r="F887" s="6"/>
      <c r="G887" s="80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929"/>
      <c r="AH887" s="80"/>
      <c r="AI887" s="80"/>
      <c r="AJ887" s="80"/>
      <c r="AK887" s="6"/>
      <c r="AL887" s="80"/>
    </row>
    <row r="888" spans="1:38" ht="15.75" customHeight="1">
      <c r="A888" s="6"/>
      <c r="B888" s="6"/>
      <c r="C888" s="6"/>
      <c r="D888" s="6"/>
      <c r="E888" s="6"/>
      <c r="F888" s="6"/>
      <c r="G888" s="80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929"/>
      <c r="AH888" s="80"/>
      <c r="AI888" s="80"/>
      <c r="AJ888" s="80"/>
      <c r="AK888" s="6"/>
      <c r="AL888" s="80"/>
    </row>
    <row r="889" spans="1:38" ht="15.75" customHeight="1">
      <c r="A889" s="6"/>
      <c r="B889" s="6"/>
      <c r="C889" s="6"/>
      <c r="D889" s="6"/>
      <c r="E889" s="6"/>
      <c r="F889" s="6"/>
      <c r="G889" s="80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929"/>
      <c r="AH889" s="80"/>
      <c r="AI889" s="80"/>
      <c r="AJ889" s="80"/>
      <c r="AK889" s="6"/>
      <c r="AL889" s="80"/>
    </row>
    <row r="890" spans="1:38" ht="15.75" customHeight="1">
      <c r="A890" s="6"/>
      <c r="B890" s="6"/>
      <c r="C890" s="6"/>
      <c r="D890" s="6"/>
      <c r="E890" s="6"/>
      <c r="F890" s="6"/>
      <c r="G890" s="80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929"/>
      <c r="AH890" s="80"/>
      <c r="AI890" s="80"/>
      <c r="AJ890" s="80"/>
      <c r="AK890" s="6"/>
      <c r="AL890" s="80"/>
    </row>
    <row r="891" spans="1:38" ht="15.75" customHeight="1">
      <c r="A891" s="6"/>
      <c r="B891" s="6"/>
      <c r="C891" s="6"/>
      <c r="D891" s="6"/>
      <c r="E891" s="6"/>
      <c r="F891" s="6"/>
      <c r="G891" s="80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929"/>
      <c r="AH891" s="80"/>
      <c r="AI891" s="80"/>
      <c r="AJ891" s="80"/>
      <c r="AK891" s="6"/>
      <c r="AL891" s="80"/>
    </row>
    <row r="892" spans="1:38" ht="15.75" customHeight="1">
      <c r="A892" s="6"/>
      <c r="B892" s="6"/>
      <c r="C892" s="6"/>
      <c r="D892" s="6"/>
      <c r="E892" s="6"/>
      <c r="F892" s="6"/>
      <c r="G892" s="80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929"/>
      <c r="AH892" s="80"/>
      <c r="AI892" s="80"/>
      <c r="AJ892" s="80"/>
      <c r="AK892" s="6"/>
      <c r="AL892" s="80"/>
    </row>
    <row r="893" spans="1:38" ht="15.75" customHeight="1">
      <c r="A893" s="6"/>
      <c r="B893" s="6"/>
      <c r="C893" s="6"/>
      <c r="D893" s="6"/>
      <c r="E893" s="6"/>
      <c r="F893" s="6"/>
      <c r="G893" s="80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929"/>
      <c r="AH893" s="80"/>
      <c r="AI893" s="80"/>
      <c r="AJ893" s="80"/>
      <c r="AK893" s="6"/>
      <c r="AL893" s="80"/>
    </row>
    <row r="894" spans="1:38" ht="15.75" customHeight="1">
      <c r="A894" s="6"/>
      <c r="B894" s="6"/>
      <c r="C894" s="6"/>
      <c r="D894" s="6"/>
      <c r="E894" s="6"/>
      <c r="F894" s="6"/>
      <c r="G894" s="80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929"/>
      <c r="AH894" s="80"/>
      <c r="AI894" s="80"/>
      <c r="AJ894" s="80"/>
      <c r="AK894" s="6"/>
      <c r="AL894" s="80"/>
    </row>
    <row r="895" spans="1:38" ht="15.75" customHeight="1">
      <c r="A895" s="6"/>
      <c r="B895" s="6"/>
      <c r="C895" s="6"/>
      <c r="D895" s="6"/>
      <c r="E895" s="6"/>
      <c r="F895" s="6"/>
      <c r="G895" s="80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929"/>
      <c r="AH895" s="80"/>
      <c r="AI895" s="80"/>
      <c r="AJ895" s="80"/>
      <c r="AK895" s="6"/>
      <c r="AL895" s="80"/>
    </row>
    <row r="896" spans="1:38" ht="15.75" customHeight="1">
      <c r="A896" s="6"/>
      <c r="B896" s="6"/>
      <c r="C896" s="6"/>
      <c r="D896" s="6"/>
      <c r="E896" s="6"/>
      <c r="F896" s="6"/>
      <c r="G896" s="80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929"/>
      <c r="AH896" s="80"/>
      <c r="AI896" s="80"/>
      <c r="AJ896" s="80"/>
      <c r="AK896" s="6"/>
      <c r="AL896" s="80"/>
    </row>
    <row r="897" spans="1:38" ht="15.75" customHeight="1">
      <c r="A897" s="6"/>
      <c r="B897" s="6"/>
      <c r="C897" s="6"/>
      <c r="D897" s="6"/>
      <c r="E897" s="6"/>
      <c r="F897" s="6"/>
      <c r="G897" s="80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929"/>
      <c r="AH897" s="80"/>
      <c r="AI897" s="80"/>
      <c r="AJ897" s="80"/>
      <c r="AK897" s="6"/>
      <c r="AL897" s="80"/>
    </row>
    <row r="898" spans="1:38" ht="15.75" customHeight="1">
      <c r="A898" s="6"/>
      <c r="B898" s="6"/>
      <c r="C898" s="6"/>
      <c r="D898" s="6"/>
      <c r="E898" s="6"/>
      <c r="F898" s="6"/>
      <c r="G898" s="80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929"/>
      <c r="AH898" s="80"/>
      <c r="AI898" s="80"/>
      <c r="AJ898" s="80"/>
      <c r="AK898" s="6"/>
      <c r="AL898" s="80"/>
    </row>
    <row r="899" spans="1:38" ht="15.75" customHeight="1">
      <c r="A899" s="6"/>
      <c r="B899" s="6"/>
      <c r="C899" s="6"/>
      <c r="D899" s="6"/>
      <c r="E899" s="6"/>
      <c r="F899" s="6"/>
      <c r="G899" s="80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929"/>
      <c r="AH899" s="80"/>
      <c r="AI899" s="80"/>
      <c r="AJ899" s="80"/>
      <c r="AK899" s="6"/>
      <c r="AL899" s="80"/>
    </row>
    <row r="900" spans="1:38" ht="15.75" customHeight="1">
      <c r="A900" s="6"/>
      <c r="B900" s="6"/>
      <c r="C900" s="6"/>
      <c r="D900" s="6"/>
      <c r="E900" s="6"/>
      <c r="F900" s="6"/>
      <c r="G900" s="80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929"/>
      <c r="AH900" s="80"/>
      <c r="AI900" s="80"/>
      <c r="AJ900" s="80"/>
      <c r="AK900" s="6"/>
      <c r="AL900" s="80"/>
    </row>
    <row r="901" spans="1:38" ht="15.75" customHeight="1">
      <c r="A901" s="6"/>
      <c r="B901" s="6"/>
      <c r="C901" s="6"/>
      <c r="D901" s="6"/>
      <c r="E901" s="6"/>
      <c r="F901" s="6"/>
      <c r="G901" s="80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929"/>
      <c r="AH901" s="80"/>
      <c r="AI901" s="80"/>
      <c r="AJ901" s="80"/>
      <c r="AK901" s="6"/>
      <c r="AL901" s="80"/>
    </row>
    <row r="902" spans="1:38" ht="15.75" customHeight="1">
      <c r="A902" s="6"/>
      <c r="B902" s="6"/>
      <c r="C902" s="6"/>
      <c r="D902" s="6"/>
      <c r="E902" s="6"/>
      <c r="F902" s="6"/>
      <c r="G902" s="80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929"/>
      <c r="AH902" s="80"/>
      <c r="AI902" s="80"/>
      <c r="AJ902" s="80"/>
      <c r="AK902" s="6"/>
      <c r="AL902" s="80"/>
    </row>
    <row r="903" spans="1:38" ht="15.75" customHeight="1">
      <c r="A903" s="6"/>
      <c r="B903" s="6"/>
      <c r="C903" s="6"/>
      <c r="D903" s="6"/>
      <c r="E903" s="6"/>
      <c r="F903" s="6"/>
      <c r="G903" s="80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929"/>
      <c r="AH903" s="80"/>
      <c r="AI903" s="80"/>
      <c r="AJ903" s="80"/>
      <c r="AK903" s="6"/>
      <c r="AL903" s="80"/>
    </row>
    <row r="904" spans="1:38" ht="15.75" customHeight="1">
      <c r="A904" s="6"/>
      <c r="B904" s="6"/>
      <c r="C904" s="6"/>
      <c r="D904" s="6"/>
      <c r="E904" s="6"/>
      <c r="F904" s="6"/>
      <c r="G904" s="80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929"/>
      <c r="AH904" s="80"/>
      <c r="AI904" s="80"/>
      <c r="AJ904" s="80"/>
      <c r="AK904" s="6"/>
      <c r="AL904" s="80"/>
    </row>
    <row r="905" spans="1:38" ht="15.75" customHeight="1">
      <c r="A905" s="6"/>
      <c r="B905" s="6"/>
      <c r="C905" s="6"/>
      <c r="D905" s="6"/>
      <c r="E905" s="6"/>
      <c r="F905" s="6"/>
      <c r="G905" s="80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929"/>
      <c r="AH905" s="80"/>
      <c r="AI905" s="80"/>
      <c r="AJ905" s="80"/>
      <c r="AK905" s="6"/>
      <c r="AL905" s="80"/>
    </row>
    <row r="906" spans="1:38" ht="15.75" customHeight="1">
      <c r="A906" s="6"/>
      <c r="B906" s="6"/>
      <c r="C906" s="6"/>
      <c r="D906" s="6"/>
      <c r="E906" s="6"/>
      <c r="F906" s="6"/>
      <c r="G906" s="80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929"/>
      <c r="AH906" s="80"/>
      <c r="AI906" s="80"/>
      <c r="AJ906" s="80"/>
      <c r="AK906" s="6"/>
      <c r="AL906" s="80"/>
    </row>
    <row r="907" spans="1:38" ht="15.75" customHeight="1">
      <c r="A907" s="6"/>
      <c r="B907" s="6"/>
      <c r="C907" s="6"/>
      <c r="D907" s="6"/>
      <c r="E907" s="6"/>
      <c r="F907" s="6"/>
      <c r="G907" s="80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929"/>
      <c r="AH907" s="80"/>
      <c r="AI907" s="80"/>
      <c r="AJ907" s="80"/>
      <c r="AK907" s="6"/>
      <c r="AL907" s="80"/>
    </row>
    <row r="908" spans="1:38" ht="15.75" customHeight="1">
      <c r="A908" s="6"/>
      <c r="B908" s="6"/>
      <c r="C908" s="6"/>
      <c r="D908" s="6"/>
      <c r="E908" s="6"/>
      <c r="F908" s="6"/>
      <c r="G908" s="80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929"/>
      <c r="AH908" s="80"/>
      <c r="AI908" s="80"/>
      <c r="AJ908" s="80"/>
      <c r="AK908" s="6"/>
      <c r="AL908" s="80"/>
    </row>
    <row r="909" spans="1:38" ht="15.75" customHeight="1">
      <c r="A909" s="6"/>
      <c r="B909" s="6"/>
      <c r="C909" s="6"/>
      <c r="D909" s="6"/>
      <c r="E909" s="6"/>
      <c r="F909" s="6"/>
      <c r="G909" s="80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929"/>
      <c r="AH909" s="80"/>
      <c r="AI909" s="80"/>
      <c r="AJ909" s="80"/>
      <c r="AK909" s="6"/>
      <c r="AL909" s="80"/>
    </row>
    <row r="910" spans="1:38" ht="15.75" customHeight="1">
      <c r="A910" s="6"/>
      <c r="B910" s="6"/>
      <c r="C910" s="6"/>
      <c r="D910" s="6"/>
      <c r="E910" s="6"/>
      <c r="F910" s="6"/>
      <c r="G910" s="80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929"/>
      <c r="AH910" s="80"/>
      <c r="AI910" s="80"/>
      <c r="AJ910" s="80"/>
      <c r="AK910" s="6"/>
      <c r="AL910" s="80"/>
    </row>
    <row r="911" spans="1:38" ht="15.75" customHeight="1">
      <c r="A911" s="6"/>
      <c r="B911" s="6"/>
      <c r="C911" s="6"/>
      <c r="D911" s="6"/>
      <c r="E911" s="6"/>
      <c r="F911" s="6"/>
      <c r="G911" s="80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929"/>
      <c r="AH911" s="80"/>
      <c r="AI911" s="80"/>
      <c r="AJ911" s="80"/>
      <c r="AK911" s="6"/>
      <c r="AL911" s="80"/>
    </row>
    <row r="912" spans="1:38" ht="15.75" customHeight="1">
      <c r="A912" s="6"/>
      <c r="B912" s="6"/>
      <c r="C912" s="6"/>
      <c r="D912" s="6"/>
      <c r="E912" s="6"/>
      <c r="F912" s="6"/>
      <c r="G912" s="80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929"/>
      <c r="AH912" s="80"/>
      <c r="AI912" s="80"/>
      <c r="AJ912" s="80"/>
      <c r="AK912" s="6"/>
      <c r="AL912" s="80"/>
    </row>
    <row r="913" spans="1:38" ht="15.75" customHeight="1">
      <c r="A913" s="6"/>
      <c r="B913" s="6"/>
      <c r="C913" s="6"/>
      <c r="D913" s="6"/>
      <c r="E913" s="6"/>
      <c r="F913" s="6"/>
      <c r="G913" s="80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929"/>
      <c r="AH913" s="80"/>
      <c r="AI913" s="80"/>
      <c r="AJ913" s="80"/>
      <c r="AK913" s="6"/>
      <c r="AL913" s="80"/>
    </row>
    <row r="914" spans="1:38" ht="15.75" customHeight="1">
      <c r="A914" s="6"/>
      <c r="B914" s="6"/>
      <c r="C914" s="6"/>
      <c r="D914" s="6"/>
      <c r="E914" s="6"/>
      <c r="F914" s="6"/>
      <c r="G914" s="80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929"/>
      <c r="AH914" s="80"/>
      <c r="AI914" s="80"/>
      <c r="AJ914" s="80"/>
      <c r="AK914" s="6"/>
      <c r="AL914" s="80"/>
    </row>
    <row r="915" spans="1:38" ht="15.75" customHeight="1">
      <c r="A915" s="6"/>
      <c r="B915" s="6"/>
      <c r="C915" s="6"/>
      <c r="D915" s="6"/>
      <c r="E915" s="6"/>
      <c r="F915" s="6"/>
      <c r="G915" s="80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929"/>
      <c r="AH915" s="80"/>
      <c r="AI915" s="80"/>
      <c r="AJ915" s="80"/>
      <c r="AK915" s="6"/>
      <c r="AL915" s="80"/>
    </row>
    <row r="916" spans="1:38" ht="15.75" customHeight="1">
      <c r="A916" s="6"/>
      <c r="B916" s="6"/>
      <c r="C916" s="6"/>
      <c r="D916" s="6"/>
      <c r="E916" s="6"/>
      <c r="F916" s="6"/>
      <c r="G916" s="80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929"/>
      <c r="AH916" s="80"/>
      <c r="AI916" s="80"/>
      <c r="AJ916" s="80"/>
      <c r="AK916" s="6"/>
      <c r="AL916" s="80"/>
    </row>
    <row r="917" spans="1:38" ht="15.75" customHeight="1">
      <c r="A917" s="6"/>
      <c r="B917" s="6"/>
      <c r="C917" s="6"/>
      <c r="D917" s="6"/>
      <c r="E917" s="6"/>
      <c r="F917" s="6"/>
      <c r="G917" s="80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929"/>
      <c r="AH917" s="80"/>
      <c r="AI917" s="80"/>
      <c r="AJ917" s="80"/>
      <c r="AK917" s="6"/>
      <c r="AL917" s="80"/>
    </row>
    <row r="918" spans="1:38" ht="15.75" customHeight="1">
      <c r="A918" s="6"/>
      <c r="B918" s="6"/>
      <c r="C918" s="6"/>
      <c r="D918" s="6"/>
      <c r="E918" s="6"/>
      <c r="F918" s="6"/>
      <c r="G918" s="80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929"/>
      <c r="AH918" s="80"/>
      <c r="AI918" s="80"/>
      <c r="AJ918" s="80"/>
      <c r="AK918" s="6"/>
      <c r="AL918" s="80"/>
    </row>
    <row r="919" spans="1:38" ht="15.75" customHeight="1">
      <c r="A919" s="6"/>
      <c r="B919" s="6"/>
      <c r="C919" s="6"/>
      <c r="D919" s="6"/>
      <c r="E919" s="6"/>
      <c r="F919" s="6"/>
      <c r="G919" s="80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929"/>
      <c r="AH919" s="80"/>
      <c r="AI919" s="80"/>
      <c r="AJ919" s="80"/>
      <c r="AK919" s="6"/>
      <c r="AL919" s="80"/>
    </row>
    <row r="920" spans="1:38" ht="15.75" customHeight="1">
      <c r="A920" s="6"/>
      <c r="B920" s="6"/>
      <c r="C920" s="6"/>
      <c r="D920" s="6"/>
      <c r="E920" s="6"/>
      <c r="F920" s="6"/>
      <c r="G920" s="80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929"/>
      <c r="AH920" s="80"/>
      <c r="AI920" s="80"/>
      <c r="AJ920" s="80"/>
      <c r="AK920" s="6"/>
      <c r="AL920" s="80"/>
    </row>
    <row r="921" spans="1:38" ht="15.75" customHeight="1">
      <c r="A921" s="6"/>
      <c r="B921" s="6"/>
      <c r="C921" s="6"/>
      <c r="D921" s="6"/>
      <c r="E921" s="6"/>
      <c r="F921" s="6"/>
      <c r="G921" s="80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929"/>
      <c r="AH921" s="80"/>
      <c r="AI921" s="80"/>
      <c r="AJ921" s="80"/>
      <c r="AK921" s="6"/>
      <c r="AL921" s="80"/>
    </row>
    <row r="922" spans="1:38" ht="15.75" customHeight="1">
      <c r="A922" s="6"/>
      <c r="B922" s="6"/>
      <c r="C922" s="6"/>
      <c r="D922" s="6"/>
      <c r="E922" s="6"/>
      <c r="F922" s="6"/>
      <c r="G922" s="80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929"/>
      <c r="AH922" s="80"/>
      <c r="AI922" s="80"/>
      <c r="AJ922" s="80"/>
      <c r="AK922" s="6"/>
      <c r="AL922" s="80"/>
    </row>
    <row r="923" spans="1:38" ht="15.75" customHeight="1">
      <c r="A923" s="6"/>
      <c r="B923" s="6"/>
      <c r="C923" s="6"/>
      <c r="D923" s="6"/>
      <c r="E923" s="6"/>
      <c r="F923" s="6"/>
      <c r="G923" s="80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929"/>
      <c r="AH923" s="80"/>
      <c r="AI923" s="80"/>
      <c r="AJ923" s="80"/>
      <c r="AK923" s="6"/>
      <c r="AL923" s="80"/>
    </row>
    <row r="924" spans="1:38" ht="15.75" customHeight="1">
      <c r="A924" s="6"/>
      <c r="B924" s="6"/>
      <c r="C924" s="6"/>
      <c r="D924" s="6"/>
      <c r="E924" s="6"/>
      <c r="F924" s="6"/>
      <c r="G924" s="80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929"/>
      <c r="AH924" s="80"/>
      <c r="AI924" s="80"/>
      <c r="AJ924" s="80"/>
      <c r="AK924" s="6"/>
      <c r="AL924" s="80"/>
    </row>
    <row r="925" spans="1:38" ht="15.75" customHeight="1">
      <c r="A925" s="6"/>
      <c r="B925" s="6"/>
      <c r="C925" s="6"/>
      <c r="D925" s="6"/>
      <c r="E925" s="6"/>
      <c r="F925" s="6"/>
      <c r="G925" s="80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929"/>
      <c r="AH925" s="80"/>
      <c r="AI925" s="80"/>
      <c r="AJ925" s="80"/>
      <c r="AK925" s="6"/>
      <c r="AL925" s="80"/>
    </row>
    <row r="926" spans="1:38" ht="15.75" customHeight="1">
      <c r="A926" s="6"/>
      <c r="B926" s="6"/>
      <c r="C926" s="6"/>
      <c r="D926" s="6"/>
      <c r="E926" s="6"/>
      <c r="F926" s="6"/>
      <c r="G926" s="80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929"/>
      <c r="AH926" s="80"/>
      <c r="AI926" s="80"/>
      <c r="AJ926" s="80"/>
      <c r="AK926" s="6"/>
      <c r="AL926" s="80"/>
    </row>
    <row r="927" spans="1:38" ht="15.75" customHeight="1">
      <c r="A927" s="6"/>
      <c r="B927" s="6"/>
      <c r="C927" s="6"/>
      <c r="D927" s="6"/>
      <c r="E927" s="6"/>
      <c r="F927" s="6"/>
      <c r="G927" s="80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929"/>
      <c r="AH927" s="80"/>
      <c r="AI927" s="80"/>
      <c r="AJ927" s="80"/>
      <c r="AK927" s="6"/>
      <c r="AL927" s="80"/>
    </row>
    <row r="928" spans="1:38" ht="15.75" customHeight="1">
      <c r="A928" s="6"/>
      <c r="B928" s="6"/>
      <c r="C928" s="6"/>
      <c r="D928" s="6"/>
      <c r="E928" s="6"/>
      <c r="F928" s="6"/>
      <c r="G928" s="80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929"/>
      <c r="AH928" s="80"/>
      <c r="AI928" s="80"/>
      <c r="AJ928" s="80"/>
      <c r="AK928" s="6"/>
      <c r="AL928" s="80"/>
    </row>
    <row r="929" spans="1:38" ht="15.75" customHeight="1">
      <c r="A929" s="6"/>
      <c r="B929" s="6"/>
      <c r="C929" s="6"/>
      <c r="D929" s="6"/>
      <c r="E929" s="6"/>
      <c r="F929" s="6"/>
      <c r="G929" s="80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929"/>
      <c r="AH929" s="80"/>
      <c r="AI929" s="80"/>
      <c r="AJ929" s="80"/>
      <c r="AK929" s="6"/>
      <c r="AL929" s="80"/>
    </row>
    <row r="930" spans="1:38" ht="15.75" customHeight="1">
      <c r="A930" s="6"/>
      <c r="B930" s="6"/>
      <c r="C930" s="6"/>
      <c r="D930" s="6"/>
      <c r="E930" s="6"/>
      <c r="F930" s="6"/>
      <c r="G930" s="80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929"/>
      <c r="AH930" s="80"/>
      <c r="AI930" s="80"/>
      <c r="AJ930" s="80"/>
      <c r="AK930" s="6"/>
      <c r="AL930" s="80"/>
    </row>
    <row r="931" spans="1:38" ht="15.75" customHeight="1">
      <c r="A931" s="6"/>
      <c r="B931" s="6"/>
      <c r="C931" s="6"/>
      <c r="D931" s="6"/>
      <c r="E931" s="6"/>
      <c r="F931" s="6"/>
      <c r="G931" s="80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929"/>
      <c r="AH931" s="80"/>
      <c r="AI931" s="80"/>
      <c r="AJ931" s="80"/>
      <c r="AK931" s="6"/>
      <c r="AL931" s="80"/>
    </row>
    <row r="932" spans="1:38" ht="15.75" customHeight="1">
      <c r="A932" s="6"/>
      <c r="B932" s="6"/>
      <c r="C932" s="6"/>
      <c r="D932" s="6"/>
      <c r="E932" s="6"/>
      <c r="F932" s="6"/>
      <c r="G932" s="80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929"/>
      <c r="AH932" s="80"/>
      <c r="AI932" s="80"/>
      <c r="AJ932" s="80"/>
      <c r="AK932" s="6"/>
      <c r="AL932" s="80"/>
    </row>
    <row r="933" spans="1:38" ht="15.75" customHeight="1">
      <c r="A933" s="6"/>
      <c r="B933" s="6"/>
      <c r="C933" s="6"/>
      <c r="D933" s="6"/>
      <c r="E933" s="6"/>
      <c r="F933" s="6"/>
      <c r="G933" s="80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929"/>
      <c r="AH933" s="80"/>
      <c r="AI933" s="80"/>
      <c r="AJ933" s="80"/>
      <c r="AK933" s="6"/>
      <c r="AL933" s="80"/>
    </row>
    <row r="934" spans="1:38" ht="15.75" customHeight="1">
      <c r="A934" s="6"/>
      <c r="B934" s="6"/>
      <c r="C934" s="6"/>
      <c r="D934" s="6"/>
      <c r="E934" s="6"/>
      <c r="F934" s="6"/>
      <c r="G934" s="80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929"/>
      <c r="AH934" s="80"/>
      <c r="AI934" s="80"/>
      <c r="AJ934" s="80"/>
      <c r="AK934" s="6"/>
      <c r="AL934" s="80"/>
    </row>
    <row r="935" spans="1:38" ht="15.75" customHeight="1">
      <c r="A935" s="6"/>
      <c r="B935" s="6"/>
      <c r="C935" s="6"/>
      <c r="D935" s="6"/>
      <c r="E935" s="6"/>
      <c r="F935" s="6"/>
      <c r="G935" s="80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929"/>
      <c r="AH935" s="80"/>
      <c r="AI935" s="80"/>
      <c r="AJ935" s="80"/>
      <c r="AK935" s="6"/>
      <c r="AL935" s="80"/>
    </row>
    <row r="936" spans="1:38" ht="15.75" customHeight="1">
      <c r="A936" s="6"/>
      <c r="B936" s="6"/>
      <c r="C936" s="6"/>
      <c r="D936" s="6"/>
      <c r="E936" s="6"/>
      <c r="F936" s="6"/>
      <c r="G936" s="80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929"/>
      <c r="AH936" s="80"/>
      <c r="AI936" s="80"/>
      <c r="AJ936" s="80"/>
      <c r="AK936" s="6"/>
      <c r="AL936" s="80"/>
    </row>
    <row r="937" spans="1:38" ht="15.75" customHeight="1">
      <c r="A937" s="6"/>
      <c r="B937" s="6"/>
      <c r="C937" s="6"/>
      <c r="D937" s="6"/>
      <c r="E937" s="6"/>
      <c r="F937" s="6"/>
      <c r="G937" s="80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929"/>
      <c r="AH937" s="80"/>
      <c r="AI937" s="80"/>
      <c r="AJ937" s="80"/>
      <c r="AK937" s="6"/>
      <c r="AL937" s="80"/>
    </row>
    <row r="938" spans="1:38" ht="15.75" customHeight="1">
      <c r="A938" s="6"/>
      <c r="B938" s="6"/>
      <c r="C938" s="6"/>
      <c r="D938" s="6"/>
      <c r="E938" s="6"/>
      <c r="F938" s="6"/>
      <c r="G938" s="80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929"/>
      <c r="AH938" s="80"/>
      <c r="AI938" s="80"/>
      <c r="AJ938" s="80"/>
      <c r="AK938" s="6"/>
      <c r="AL938" s="80"/>
    </row>
    <row r="939" spans="1:38" ht="15.75" customHeight="1">
      <c r="A939" s="6"/>
      <c r="B939" s="6"/>
      <c r="C939" s="6"/>
      <c r="D939" s="6"/>
      <c r="E939" s="6"/>
      <c r="F939" s="6"/>
      <c r="G939" s="80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929"/>
      <c r="AH939" s="80"/>
      <c r="AI939" s="80"/>
      <c r="AJ939" s="80"/>
      <c r="AK939" s="6"/>
      <c r="AL939" s="80"/>
    </row>
    <row r="940" spans="1:38" ht="15.75" customHeight="1">
      <c r="A940" s="6"/>
      <c r="B940" s="6"/>
      <c r="C940" s="6"/>
      <c r="D940" s="6"/>
      <c r="E940" s="6"/>
      <c r="F940" s="6"/>
      <c r="G940" s="80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929"/>
      <c r="AH940" s="80"/>
      <c r="AI940" s="80"/>
      <c r="AJ940" s="80"/>
      <c r="AK940" s="6"/>
      <c r="AL940" s="80"/>
    </row>
    <row r="941" spans="1:38" ht="15.75" customHeight="1">
      <c r="A941" s="6"/>
      <c r="B941" s="6"/>
      <c r="C941" s="6"/>
      <c r="D941" s="6"/>
      <c r="E941" s="6"/>
      <c r="F941" s="6"/>
      <c r="G941" s="80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929"/>
      <c r="AH941" s="80"/>
      <c r="AI941" s="80"/>
      <c r="AJ941" s="80"/>
      <c r="AK941" s="6"/>
      <c r="AL941" s="80"/>
    </row>
    <row r="942" spans="1:38" ht="15.75" customHeight="1">
      <c r="A942" s="6"/>
      <c r="B942" s="6"/>
      <c r="C942" s="6"/>
      <c r="D942" s="6"/>
      <c r="E942" s="6"/>
      <c r="F942" s="6"/>
      <c r="G942" s="80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929"/>
      <c r="AH942" s="80"/>
      <c r="AI942" s="80"/>
      <c r="AJ942" s="80"/>
      <c r="AK942" s="6"/>
      <c r="AL942" s="80"/>
    </row>
    <row r="943" spans="1:38" ht="15.75" customHeight="1">
      <c r="A943" s="6"/>
      <c r="B943" s="6"/>
      <c r="C943" s="6"/>
      <c r="D943" s="6"/>
      <c r="E943" s="6"/>
      <c r="F943" s="6"/>
      <c r="G943" s="80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929"/>
      <c r="AH943" s="80"/>
      <c r="AI943" s="80"/>
      <c r="AJ943" s="80"/>
      <c r="AK943" s="6"/>
      <c r="AL943" s="80"/>
    </row>
    <row r="944" spans="1:38" ht="15.75" customHeight="1">
      <c r="A944" s="6"/>
      <c r="B944" s="6"/>
      <c r="C944" s="6"/>
      <c r="D944" s="6"/>
      <c r="E944" s="6"/>
      <c r="F944" s="6"/>
      <c r="G944" s="80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929"/>
      <c r="AH944" s="80"/>
      <c r="AI944" s="80"/>
      <c r="AJ944" s="80"/>
      <c r="AK944" s="6"/>
      <c r="AL944" s="80"/>
    </row>
    <row r="945" spans="1:38" ht="15.75" customHeight="1">
      <c r="A945" s="6"/>
      <c r="B945" s="6"/>
      <c r="C945" s="6"/>
      <c r="D945" s="6"/>
      <c r="E945" s="6"/>
      <c r="F945" s="6"/>
      <c r="G945" s="80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929"/>
      <c r="AH945" s="80"/>
      <c r="AI945" s="80"/>
      <c r="AJ945" s="80"/>
      <c r="AK945" s="6"/>
      <c r="AL945" s="80"/>
    </row>
    <row r="946" spans="1:38" ht="15.75" customHeight="1">
      <c r="A946" s="6"/>
      <c r="B946" s="6"/>
      <c r="C946" s="6"/>
      <c r="D946" s="6"/>
      <c r="E946" s="6"/>
      <c r="F946" s="6"/>
      <c r="G946" s="80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929"/>
      <c r="AH946" s="80"/>
      <c r="AI946" s="80"/>
      <c r="AJ946" s="80"/>
      <c r="AK946" s="6"/>
      <c r="AL946" s="80"/>
    </row>
    <row r="947" spans="1:38" ht="15.75" customHeight="1">
      <c r="A947" s="6"/>
      <c r="B947" s="6"/>
      <c r="C947" s="6"/>
      <c r="D947" s="6"/>
      <c r="E947" s="6"/>
      <c r="F947" s="6"/>
      <c r="G947" s="80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929"/>
      <c r="AH947" s="80"/>
      <c r="AI947" s="80"/>
      <c r="AJ947" s="80"/>
      <c r="AK947" s="6"/>
      <c r="AL947" s="80"/>
    </row>
    <row r="948" spans="1:38" ht="15.75" customHeight="1">
      <c r="A948" s="6"/>
      <c r="B948" s="6"/>
      <c r="C948" s="6"/>
      <c r="D948" s="6"/>
      <c r="E948" s="6"/>
      <c r="F948" s="6"/>
      <c r="G948" s="80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929"/>
      <c r="AH948" s="80"/>
      <c r="AI948" s="80"/>
      <c r="AJ948" s="80"/>
      <c r="AK948" s="6"/>
      <c r="AL948" s="80"/>
    </row>
    <row r="949" spans="1:38" ht="15.75" customHeight="1">
      <c r="A949" s="6"/>
      <c r="B949" s="6"/>
      <c r="C949" s="6"/>
      <c r="D949" s="6"/>
      <c r="E949" s="6"/>
      <c r="F949" s="6"/>
      <c r="G949" s="80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929"/>
      <c r="AH949" s="80"/>
      <c r="AI949" s="80"/>
      <c r="AJ949" s="80"/>
      <c r="AK949" s="6"/>
      <c r="AL949" s="80"/>
    </row>
    <row r="950" spans="1:38" ht="15.75" customHeight="1">
      <c r="A950" s="6"/>
      <c r="B950" s="6"/>
      <c r="C950" s="6"/>
      <c r="D950" s="6"/>
      <c r="E950" s="6"/>
      <c r="F950" s="6"/>
      <c r="G950" s="80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929"/>
      <c r="AH950" s="80"/>
      <c r="AI950" s="80"/>
      <c r="AJ950" s="80"/>
      <c r="AK950" s="6"/>
      <c r="AL950" s="80"/>
    </row>
    <row r="951" spans="1:38" ht="15.75" customHeight="1">
      <c r="A951" s="6"/>
      <c r="B951" s="6"/>
      <c r="C951" s="6"/>
      <c r="D951" s="6"/>
      <c r="E951" s="6"/>
      <c r="F951" s="6"/>
      <c r="G951" s="80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929"/>
      <c r="AH951" s="80"/>
      <c r="AI951" s="80"/>
      <c r="AJ951" s="80"/>
      <c r="AK951" s="6"/>
      <c r="AL951" s="80"/>
    </row>
    <row r="952" spans="1:38" ht="15.75" customHeight="1">
      <c r="A952" s="6"/>
      <c r="B952" s="6"/>
      <c r="C952" s="6"/>
      <c r="D952" s="6"/>
      <c r="E952" s="6"/>
      <c r="F952" s="6"/>
      <c r="G952" s="80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929"/>
      <c r="AH952" s="80"/>
      <c r="AI952" s="80"/>
      <c r="AJ952" s="80"/>
      <c r="AK952" s="6"/>
      <c r="AL952" s="80"/>
    </row>
    <row r="953" spans="1:38" ht="15.75" customHeight="1">
      <c r="A953" s="6"/>
      <c r="B953" s="6"/>
      <c r="C953" s="6"/>
      <c r="D953" s="6"/>
      <c r="E953" s="6"/>
      <c r="F953" s="6"/>
      <c r="G953" s="80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929"/>
      <c r="AH953" s="80"/>
      <c r="AI953" s="80"/>
      <c r="AJ953" s="80"/>
      <c r="AK953" s="6"/>
      <c r="AL953" s="80"/>
    </row>
    <row r="954" spans="1:38" ht="15.75" customHeight="1">
      <c r="A954" s="6"/>
      <c r="B954" s="6"/>
      <c r="C954" s="6"/>
      <c r="D954" s="6"/>
      <c r="E954" s="6"/>
      <c r="F954" s="6"/>
      <c r="G954" s="80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929"/>
      <c r="AH954" s="80"/>
      <c r="AI954" s="80"/>
      <c r="AJ954" s="80"/>
      <c r="AK954" s="6"/>
      <c r="AL954" s="80"/>
    </row>
    <row r="955" spans="1:38" ht="15.75" customHeight="1">
      <c r="A955" s="6"/>
      <c r="B955" s="6"/>
      <c r="C955" s="6"/>
      <c r="D955" s="6"/>
      <c r="E955" s="6"/>
      <c r="F955" s="6"/>
      <c r="G955" s="80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929"/>
      <c r="AH955" s="80"/>
      <c r="AI955" s="80"/>
      <c r="AJ955" s="80"/>
      <c r="AK955" s="6"/>
      <c r="AL955" s="80"/>
    </row>
    <row r="956" spans="1:38" ht="15.75" customHeight="1">
      <c r="A956" s="6"/>
      <c r="B956" s="6"/>
      <c r="C956" s="6"/>
      <c r="D956" s="6"/>
      <c r="E956" s="6"/>
      <c r="F956" s="6"/>
      <c r="G956" s="80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929"/>
      <c r="AH956" s="80"/>
      <c r="AI956" s="80"/>
      <c r="AJ956" s="80"/>
      <c r="AK956" s="6"/>
      <c r="AL956" s="80"/>
    </row>
    <row r="957" spans="1:38" ht="15.75" customHeight="1">
      <c r="A957" s="6"/>
      <c r="B957" s="6"/>
      <c r="C957" s="6"/>
      <c r="D957" s="6"/>
      <c r="E957" s="6"/>
      <c r="F957" s="6"/>
      <c r="G957" s="80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929"/>
      <c r="AH957" s="80"/>
      <c r="AI957" s="80"/>
      <c r="AJ957" s="80"/>
      <c r="AK957" s="6"/>
      <c r="AL957" s="80"/>
    </row>
    <row r="958" spans="1:38" ht="15.75" customHeight="1">
      <c r="A958" s="6"/>
      <c r="B958" s="6"/>
      <c r="C958" s="6"/>
      <c r="D958" s="6"/>
      <c r="E958" s="6"/>
      <c r="F958" s="6"/>
      <c r="G958" s="80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929"/>
      <c r="AH958" s="80"/>
      <c r="AI958" s="80"/>
      <c r="AJ958" s="80"/>
      <c r="AK958" s="6"/>
      <c r="AL958" s="80"/>
    </row>
    <row r="959" spans="1:38" ht="15.75" customHeight="1">
      <c r="A959" s="6"/>
      <c r="B959" s="6"/>
      <c r="C959" s="6"/>
      <c r="D959" s="6"/>
      <c r="E959" s="6"/>
      <c r="F959" s="6"/>
      <c r="G959" s="80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929"/>
      <c r="AH959" s="80"/>
      <c r="AI959" s="80"/>
      <c r="AJ959" s="80"/>
      <c r="AK959" s="6"/>
      <c r="AL959" s="80"/>
    </row>
    <row r="960" spans="1:38" ht="15.75" customHeight="1">
      <c r="A960" s="6"/>
      <c r="B960" s="6"/>
      <c r="C960" s="6"/>
      <c r="D960" s="6"/>
      <c r="E960" s="6"/>
      <c r="F960" s="6"/>
      <c r="G960" s="80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929"/>
      <c r="AH960" s="80"/>
      <c r="AI960" s="80"/>
      <c r="AJ960" s="80"/>
      <c r="AK960" s="6"/>
      <c r="AL960" s="80"/>
    </row>
    <row r="961" spans="1:38" ht="15.75" customHeight="1">
      <c r="A961" s="6"/>
      <c r="B961" s="6"/>
      <c r="C961" s="6"/>
      <c r="D961" s="6"/>
      <c r="E961" s="6"/>
      <c r="F961" s="6"/>
      <c r="G961" s="80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929"/>
      <c r="AH961" s="80"/>
      <c r="AI961" s="80"/>
      <c r="AJ961" s="80"/>
      <c r="AK961" s="6"/>
      <c r="AL961" s="80"/>
    </row>
    <row r="962" spans="1:38" ht="15.75" customHeight="1">
      <c r="A962" s="6"/>
      <c r="B962" s="6"/>
      <c r="C962" s="6"/>
      <c r="D962" s="6"/>
      <c r="E962" s="6"/>
      <c r="F962" s="6"/>
      <c r="G962" s="80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929"/>
      <c r="AH962" s="80"/>
      <c r="AI962" s="80"/>
      <c r="AJ962" s="80"/>
      <c r="AK962" s="6"/>
      <c r="AL962" s="80"/>
    </row>
    <row r="963" spans="1:38" ht="15.75" customHeight="1">
      <c r="A963" s="6"/>
      <c r="B963" s="6"/>
      <c r="C963" s="6"/>
      <c r="D963" s="6"/>
      <c r="E963" s="6"/>
      <c r="F963" s="6"/>
      <c r="G963" s="80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929"/>
      <c r="AH963" s="80"/>
      <c r="AI963" s="80"/>
      <c r="AJ963" s="80"/>
      <c r="AK963" s="6"/>
      <c r="AL963" s="80"/>
    </row>
    <row r="964" spans="1:38" ht="15.75" customHeight="1">
      <c r="A964" s="6"/>
      <c r="B964" s="6"/>
      <c r="C964" s="6"/>
      <c r="D964" s="6"/>
      <c r="E964" s="6"/>
      <c r="F964" s="6"/>
      <c r="G964" s="80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929"/>
      <c r="AH964" s="80"/>
      <c r="AI964" s="80"/>
      <c r="AJ964" s="80"/>
      <c r="AK964" s="6"/>
      <c r="AL964" s="80"/>
    </row>
    <row r="965" spans="1:38" ht="15.75" customHeight="1">
      <c r="A965" s="6"/>
      <c r="B965" s="6"/>
      <c r="C965" s="6"/>
      <c r="D965" s="6"/>
      <c r="E965" s="6"/>
      <c r="F965" s="6"/>
      <c r="G965" s="80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929"/>
      <c r="AH965" s="80"/>
      <c r="AI965" s="80"/>
      <c r="AJ965" s="80"/>
      <c r="AK965" s="6"/>
      <c r="AL965" s="80"/>
    </row>
    <row r="966" spans="1:38" ht="15.75" customHeight="1">
      <c r="A966" s="6"/>
      <c r="B966" s="6"/>
      <c r="C966" s="6"/>
      <c r="D966" s="6"/>
      <c r="E966" s="6"/>
      <c r="F966" s="6"/>
      <c r="G966" s="80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929"/>
      <c r="AH966" s="80"/>
      <c r="AI966" s="80"/>
      <c r="AJ966" s="80"/>
      <c r="AK966" s="6"/>
      <c r="AL966" s="80"/>
    </row>
    <row r="967" spans="1:38" ht="15.75" customHeight="1">
      <c r="A967" s="6"/>
      <c r="B967" s="6"/>
      <c r="C967" s="6"/>
      <c r="D967" s="6"/>
      <c r="E967" s="6"/>
      <c r="F967" s="6"/>
      <c r="G967" s="80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929"/>
      <c r="AH967" s="80"/>
      <c r="AI967" s="80"/>
      <c r="AJ967" s="80"/>
      <c r="AK967" s="6"/>
      <c r="AL967" s="80"/>
    </row>
    <row r="968" spans="1:38" ht="15.75" customHeight="1">
      <c r="A968" s="6"/>
      <c r="B968" s="6"/>
      <c r="C968" s="6"/>
      <c r="D968" s="6"/>
      <c r="E968" s="6"/>
      <c r="F968" s="6"/>
      <c r="G968" s="80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929"/>
      <c r="AH968" s="80"/>
      <c r="AI968" s="80"/>
      <c r="AJ968" s="80"/>
      <c r="AK968" s="6"/>
      <c r="AL968" s="80"/>
    </row>
    <row r="969" spans="1:38" ht="15.75" customHeight="1">
      <c r="A969" s="6"/>
      <c r="B969" s="6"/>
      <c r="C969" s="6"/>
      <c r="D969" s="6"/>
      <c r="E969" s="6"/>
      <c r="F969" s="6"/>
      <c r="G969" s="80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929"/>
      <c r="AH969" s="80"/>
      <c r="AI969" s="80"/>
      <c r="AJ969" s="80"/>
      <c r="AK969" s="6"/>
      <c r="AL969" s="80"/>
    </row>
    <row r="970" spans="1:38" ht="15.75" customHeight="1">
      <c r="A970" s="6"/>
      <c r="B970" s="6"/>
      <c r="C970" s="6"/>
      <c r="D970" s="6"/>
      <c r="E970" s="6"/>
      <c r="F970" s="6"/>
      <c r="G970" s="80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929"/>
      <c r="AH970" s="80"/>
      <c r="AI970" s="80"/>
      <c r="AJ970" s="80"/>
      <c r="AK970" s="6"/>
      <c r="AL970" s="80"/>
    </row>
    <row r="971" spans="1:38" ht="15.75" customHeight="1">
      <c r="A971" s="6"/>
      <c r="B971" s="6"/>
      <c r="C971" s="6"/>
      <c r="D971" s="6"/>
      <c r="E971" s="6"/>
      <c r="F971" s="6"/>
      <c r="G971" s="80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929"/>
      <c r="AH971" s="80"/>
      <c r="AI971" s="80"/>
      <c r="AJ971" s="80"/>
      <c r="AK971" s="6"/>
      <c r="AL971" s="80"/>
    </row>
    <row r="972" spans="1:38" ht="15.75" customHeight="1">
      <c r="A972" s="6"/>
      <c r="B972" s="6"/>
      <c r="C972" s="6"/>
      <c r="D972" s="6"/>
      <c r="E972" s="6"/>
      <c r="F972" s="6"/>
      <c r="G972" s="80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929"/>
      <c r="AH972" s="80"/>
      <c r="AI972" s="80"/>
      <c r="AJ972" s="80"/>
      <c r="AK972" s="6"/>
      <c r="AL972" s="80"/>
    </row>
    <row r="973" spans="1:38" ht="15.75" customHeight="1">
      <c r="A973" s="6"/>
      <c r="B973" s="6"/>
      <c r="C973" s="6"/>
      <c r="D973" s="6"/>
      <c r="E973" s="6"/>
      <c r="F973" s="6"/>
      <c r="G973" s="80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929"/>
      <c r="AH973" s="80"/>
      <c r="AI973" s="80"/>
      <c r="AJ973" s="80"/>
      <c r="AK973" s="6"/>
      <c r="AL973" s="80"/>
    </row>
    <row r="974" spans="1:38" ht="15.75" customHeight="1">
      <c r="A974" s="6"/>
      <c r="B974" s="6"/>
      <c r="C974" s="6"/>
      <c r="D974" s="6"/>
      <c r="E974" s="6"/>
      <c r="F974" s="6"/>
      <c r="G974" s="80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929"/>
      <c r="AH974" s="80"/>
      <c r="AI974" s="80"/>
      <c r="AJ974" s="80"/>
      <c r="AK974" s="6"/>
      <c r="AL974" s="80"/>
    </row>
    <row r="975" spans="1:38" ht="15.75" customHeight="1">
      <c r="A975" s="6"/>
      <c r="B975" s="6"/>
      <c r="C975" s="6"/>
      <c r="D975" s="6"/>
      <c r="E975" s="6"/>
      <c r="F975" s="6"/>
      <c r="G975" s="80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929"/>
      <c r="AH975" s="80"/>
      <c r="AI975" s="80"/>
      <c r="AJ975" s="80"/>
      <c r="AK975" s="6"/>
      <c r="AL975" s="80"/>
    </row>
    <row r="976" spans="1:38" ht="15.75" customHeight="1">
      <c r="A976" s="6"/>
      <c r="B976" s="6"/>
      <c r="C976" s="6"/>
      <c r="D976" s="6"/>
      <c r="E976" s="6"/>
      <c r="F976" s="6"/>
      <c r="G976" s="80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929"/>
      <c r="AH976" s="80"/>
      <c r="AI976" s="80"/>
      <c r="AJ976" s="80"/>
      <c r="AK976" s="6"/>
      <c r="AL976" s="80"/>
    </row>
    <row r="977" spans="1:38" ht="15.75" customHeight="1">
      <c r="A977" s="6"/>
      <c r="B977" s="6"/>
      <c r="C977" s="6"/>
      <c r="D977" s="6"/>
      <c r="E977" s="6"/>
      <c r="F977" s="6"/>
      <c r="G977" s="80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929"/>
      <c r="AH977" s="80"/>
      <c r="AI977" s="80"/>
      <c r="AJ977" s="80"/>
      <c r="AK977" s="6"/>
      <c r="AL977" s="80"/>
    </row>
    <row r="978" spans="1:38" ht="15.75" customHeight="1">
      <c r="A978" s="6"/>
      <c r="B978" s="6"/>
      <c r="C978" s="6"/>
      <c r="D978" s="6"/>
      <c r="E978" s="6"/>
      <c r="F978" s="6"/>
      <c r="G978" s="80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929"/>
      <c r="AH978" s="80"/>
      <c r="AI978" s="80"/>
      <c r="AJ978" s="80"/>
      <c r="AK978" s="6"/>
      <c r="AL978" s="80"/>
    </row>
    <row r="979" spans="1:38" ht="15.75" customHeight="1">
      <c r="A979" s="6"/>
      <c r="B979" s="6"/>
      <c r="C979" s="6"/>
      <c r="D979" s="6"/>
      <c r="E979" s="6"/>
      <c r="F979" s="6"/>
      <c r="G979" s="80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929"/>
      <c r="AH979" s="80"/>
      <c r="AI979" s="80"/>
      <c r="AJ979" s="80"/>
      <c r="AK979" s="6"/>
      <c r="AL979" s="80"/>
    </row>
    <row r="980" spans="1:38" ht="15.75" customHeight="1">
      <c r="A980" s="6"/>
      <c r="B980" s="6"/>
      <c r="C980" s="6"/>
      <c r="D980" s="6"/>
      <c r="E980" s="6"/>
      <c r="F980" s="6"/>
      <c r="G980" s="80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929"/>
      <c r="AH980" s="80"/>
      <c r="AI980" s="80"/>
      <c r="AJ980" s="80"/>
      <c r="AK980" s="6"/>
      <c r="AL980" s="80"/>
    </row>
    <row r="981" spans="1:38" ht="15.75" customHeight="1">
      <c r="A981" s="6"/>
      <c r="B981" s="6"/>
      <c r="C981" s="6"/>
      <c r="D981" s="6"/>
      <c r="E981" s="6"/>
      <c r="F981" s="6"/>
      <c r="G981" s="80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929"/>
      <c r="AH981" s="80"/>
      <c r="AI981" s="80"/>
      <c r="AJ981" s="80"/>
      <c r="AK981" s="6"/>
      <c r="AL981" s="80"/>
    </row>
    <row r="982" spans="1:38" ht="15.75" customHeight="1">
      <c r="A982" s="6"/>
      <c r="B982" s="6"/>
      <c r="C982" s="6"/>
      <c r="D982" s="6"/>
      <c r="E982" s="6"/>
      <c r="F982" s="6"/>
      <c r="G982" s="80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929"/>
      <c r="AH982" s="80"/>
      <c r="AI982" s="80"/>
      <c r="AJ982" s="80"/>
      <c r="AK982" s="6"/>
      <c r="AL982" s="80"/>
    </row>
    <row r="983" spans="1:38" ht="15.75" customHeight="1">
      <c r="A983" s="6"/>
      <c r="B983" s="6"/>
      <c r="C983" s="6"/>
      <c r="D983" s="6"/>
      <c r="E983" s="6"/>
      <c r="F983" s="6"/>
      <c r="G983" s="80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929"/>
      <c r="AH983" s="80"/>
      <c r="AI983" s="80"/>
      <c r="AJ983" s="80"/>
      <c r="AK983" s="6"/>
      <c r="AL983" s="80"/>
    </row>
    <row r="984" spans="1:38" ht="15.75" customHeight="1">
      <c r="A984" s="6"/>
      <c r="B984" s="6"/>
      <c r="C984" s="6"/>
      <c r="D984" s="6"/>
      <c r="E984" s="6"/>
      <c r="F984" s="6"/>
      <c r="G984" s="80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929"/>
      <c r="AH984" s="80"/>
      <c r="AI984" s="80"/>
      <c r="AJ984" s="80"/>
      <c r="AK984" s="6"/>
      <c r="AL984" s="80"/>
    </row>
    <row r="985" spans="1:38" ht="15.75" customHeight="1">
      <c r="A985" s="6"/>
      <c r="B985" s="6"/>
      <c r="C985" s="6"/>
      <c r="D985" s="6"/>
      <c r="E985" s="6"/>
      <c r="F985" s="6"/>
      <c r="G985" s="80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929"/>
      <c r="AH985" s="80"/>
      <c r="AI985" s="80"/>
      <c r="AJ985" s="80"/>
      <c r="AK985" s="6"/>
      <c r="AL985" s="80"/>
    </row>
    <row r="986" spans="1:38" ht="15.75" customHeight="1">
      <c r="A986" s="6"/>
      <c r="B986" s="6"/>
      <c r="C986" s="6"/>
      <c r="D986" s="6"/>
      <c r="E986" s="6"/>
      <c r="F986" s="6"/>
      <c r="G986" s="80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929"/>
      <c r="AH986" s="80"/>
      <c r="AI986" s="80"/>
      <c r="AJ986" s="80"/>
      <c r="AK986" s="6"/>
      <c r="AL986" s="80"/>
    </row>
    <row r="987" spans="1:38" ht="15.75" customHeight="1">
      <c r="A987" s="6"/>
      <c r="B987" s="6"/>
      <c r="C987" s="6"/>
      <c r="D987" s="6"/>
      <c r="E987" s="6"/>
      <c r="F987" s="6"/>
      <c r="G987" s="80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929"/>
      <c r="AH987" s="80"/>
      <c r="AI987" s="80"/>
      <c r="AJ987" s="80"/>
      <c r="AK987" s="6"/>
      <c r="AL987" s="80"/>
    </row>
    <row r="988" spans="1:38" ht="15.75" customHeight="1">
      <c r="A988" s="6"/>
      <c r="B988" s="6"/>
      <c r="C988" s="6"/>
      <c r="D988" s="6"/>
      <c r="E988" s="6"/>
      <c r="F988" s="6"/>
      <c r="G988" s="80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929"/>
      <c r="AH988" s="80"/>
      <c r="AI988" s="80"/>
      <c r="AJ988" s="80"/>
      <c r="AK988" s="6"/>
      <c r="AL988" s="80"/>
    </row>
    <row r="989" spans="1:38" ht="15.75" customHeight="1">
      <c r="A989" s="6"/>
      <c r="B989" s="6"/>
      <c r="C989" s="6"/>
      <c r="D989" s="6"/>
      <c r="E989" s="6"/>
      <c r="F989" s="6"/>
      <c r="G989" s="80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929"/>
      <c r="AH989" s="80"/>
      <c r="AI989" s="80"/>
      <c r="AJ989" s="80"/>
      <c r="AK989" s="6"/>
      <c r="AL989" s="80"/>
    </row>
    <row r="990" spans="1:38" ht="15.75" customHeight="1">
      <c r="A990" s="6"/>
      <c r="B990" s="6"/>
      <c r="C990" s="6"/>
      <c r="D990" s="6"/>
      <c r="E990" s="6"/>
      <c r="F990" s="6"/>
      <c r="G990" s="80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929"/>
      <c r="AH990" s="80"/>
      <c r="AI990" s="80"/>
      <c r="AJ990" s="80"/>
      <c r="AK990" s="6"/>
      <c r="AL990" s="80"/>
    </row>
    <row r="991" spans="1:38" ht="15.75" customHeight="1">
      <c r="A991" s="6"/>
      <c r="B991" s="6"/>
      <c r="C991" s="6"/>
      <c r="D991" s="6"/>
      <c r="E991" s="6"/>
      <c r="F991" s="6"/>
      <c r="G991" s="80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929"/>
      <c r="AH991" s="80"/>
      <c r="AI991" s="80"/>
      <c r="AJ991" s="80"/>
      <c r="AK991" s="6"/>
      <c r="AL991" s="80"/>
    </row>
    <row r="992" spans="1:38" ht="15.75" customHeight="1">
      <c r="A992" s="6"/>
      <c r="B992" s="6"/>
      <c r="C992" s="6"/>
      <c r="D992" s="6"/>
      <c r="E992" s="6"/>
      <c r="F992" s="6"/>
      <c r="G992" s="80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929"/>
      <c r="AH992" s="80"/>
      <c r="AI992" s="80"/>
      <c r="AJ992" s="80"/>
      <c r="AK992" s="6"/>
      <c r="AL992" s="80"/>
    </row>
    <row r="993" spans="1:38" ht="15.75" customHeight="1">
      <c r="A993" s="6"/>
      <c r="B993" s="6"/>
      <c r="C993" s="6"/>
      <c r="D993" s="6"/>
      <c r="E993" s="6"/>
      <c r="F993" s="6"/>
      <c r="G993" s="80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929"/>
      <c r="AH993" s="80"/>
      <c r="AI993" s="80"/>
      <c r="AJ993" s="80"/>
      <c r="AK993" s="6"/>
      <c r="AL993" s="80"/>
    </row>
    <row r="994" spans="1:38" ht="15.75" customHeight="1">
      <c r="A994" s="6"/>
      <c r="B994" s="6"/>
      <c r="C994" s="6"/>
      <c r="D994" s="6"/>
      <c r="E994" s="6"/>
      <c r="F994" s="6"/>
      <c r="G994" s="80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929"/>
      <c r="AH994" s="80"/>
      <c r="AI994" s="80"/>
      <c r="AJ994" s="80"/>
      <c r="AK994" s="6"/>
      <c r="AL994" s="80"/>
    </row>
    <row r="995" spans="1:38" ht="15.75" customHeight="1">
      <c r="A995" s="6"/>
      <c r="B995" s="6"/>
      <c r="C995" s="6"/>
      <c r="D995" s="6"/>
      <c r="E995" s="6"/>
      <c r="F995" s="6"/>
      <c r="G995" s="80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929"/>
      <c r="AH995" s="80"/>
      <c r="AI995" s="80"/>
      <c r="AJ995" s="80"/>
      <c r="AK995" s="6"/>
      <c r="AL995" s="80"/>
    </row>
    <row r="996" spans="1:38" ht="15.75" customHeight="1">
      <c r="A996" s="6"/>
      <c r="B996" s="6"/>
      <c r="C996" s="6"/>
      <c r="D996" s="6"/>
      <c r="E996" s="6"/>
      <c r="F996" s="6"/>
      <c r="G996" s="80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929"/>
      <c r="AH996" s="80"/>
      <c r="AI996" s="80"/>
      <c r="AJ996" s="80"/>
      <c r="AK996" s="6"/>
      <c r="AL996" s="80"/>
    </row>
    <row r="997" spans="1:38" ht="15.75" customHeight="1">
      <c r="A997" s="6"/>
      <c r="B997" s="6"/>
      <c r="C997" s="6"/>
      <c r="D997" s="6"/>
      <c r="E997" s="6"/>
      <c r="F997" s="6"/>
      <c r="G997" s="80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929"/>
      <c r="AH997" s="80"/>
      <c r="AI997" s="80"/>
      <c r="AJ997" s="80"/>
      <c r="AK997" s="6"/>
      <c r="AL997" s="80"/>
    </row>
    <row r="998" spans="1:38" ht="15.75" customHeight="1">
      <c r="A998" s="6"/>
      <c r="B998" s="6"/>
      <c r="C998" s="6"/>
      <c r="D998" s="6"/>
      <c r="E998" s="6"/>
      <c r="F998" s="6"/>
      <c r="G998" s="80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929"/>
      <c r="AH998" s="80"/>
      <c r="AI998" s="80"/>
      <c r="AJ998" s="80"/>
      <c r="AK998" s="6"/>
      <c r="AL998" s="80"/>
    </row>
    <row r="999" spans="1:38" ht="15.75" customHeight="1">
      <c r="A999" s="6"/>
      <c r="B999" s="6"/>
      <c r="C999" s="6"/>
      <c r="D999" s="6"/>
      <c r="E999" s="6"/>
      <c r="F999" s="6"/>
      <c r="G999" s="80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929"/>
      <c r="AH999" s="80"/>
      <c r="AI999" s="80"/>
      <c r="AJ999" s="80"/>
      <c r="AK999" s="6"/>
      <c r="AL999" s="80"/>
    </row>
    <row r="1000" spans="1:38" ht="15.75" customHeight="1">
      <c r="A1000" s="6"/>
      <c r="B1000" s="6"/>
      <c r="C1000" s="6"/>
      <c r="D1000" s="6"/>
      <c r="E1000" s="6"/>
      <c r="F1000" s="6"/>
      <c r="G1000" s="80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929"/>
      <c r="AH1000" s="80"/>
      <c r="AI1000" s="80"/>
      <c r="AJ1000" s="80"/>
      <c r="AK1000" s="6"/>
      <c r="AL1000" s="80"/>
    </row>
  </sheetData>
  <autoFilter ref="A3:AL623" xr:uid="{00000000-0009-0000-0000-00001E000000}"/>
  <pageMargins left="0.7" right="0.7" top="0.75" bottom="0.75" header="0" footer="0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Hoja22">
    <tabColor rgb="FF00B050"/>
    <pageSetUpPr fitToPage="1"/>
  </sheetPr>
  <dimension ref="A1:AT1000"/>
  <sheetViews>
    <sheetView showGridLines="0" workbookViewId="0">
      <pane xSplit="1" ySplit="3" topLeftCell="B25" activePane="bottomRight" state="frozen"/>
      <selection activeCell="AO3" sqref="AO3"/>
      <selection pane="topRight" activeCell="AO3" sqref="AO3"/>
      <selection pane="bottomLeft" activeCell="AO3" sqref="AO3"/>
      <selection pane="bottomRight" activeCell="AO3" sqref="AO3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36.8867187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customWidth="1"/>
    <col min="34" max="34" width="20.33203125" customWidth="1"/>
    <col min="36" max="36" width="17.5546875" customWidth="1"/>
    <col min="37" max="38" width="14.44140625" customWidth="1"/>
    <col min="39" max="39" width="17.6640625" customWidth="1"/>
    <col min="43" max="44" width="17.109375" customWidth="1"/>
  </cols>
  <sheetData>
    <row r="1" spans="1:46" ht="15" customHeight="1">
      <c r="G1" s="80"/>
      <c r="H1" s="81"/>
      <c r="I1" s="81">
        <f>1089.38-'Analisis comercial'!I2</f>
        <v>74.959999999999809</v>
      </c>
      <c r="AB1" s="83"/>
      <c r="AC1" s="83"/>
      <c r="AD1" s="83"/>
      <c r="AE1" s="83"/>
      <c r="AF1" s="83"/>
      <c r="AG1" s="168" t="s">
        <v>240</v>
      </c>
      <c r="AH1" s="83" t="s">
        <v>241</v>
      </c>
      <c r="AI1" s="80" t="s">
        <v>242</v>
      </c>
      <c r="AJ1" s="169" t="s">
        <v>37</v>
      </c>
      <c r="AK1" s="88"/>
      <c r="AL1" s="57">
        <f>+AL3+'8'!AL3</f>
        <v>601334.38981355866</v>
      </c>
      <c r="AM1" s="57"/>
    </row>
    <row r="2" spans="1:46" ht="15" customHeight="1">
      <c r="G2" s="90"/>
      <c r="H2" s="90"/>
      <c r="I2" s="81">
        <f>SUM(I4:I779)</f>
        <v>415.74000000000012</v>
      </c>
      <c r="J2" s="81"/>
      <c r="K2" s="81">
        <f>SUM(K4:K779)</f>
        <v>403.92669999999987</v>
      </c>
      <c r="L2" s="170">
        <f>SUMPRODUCT(L4:L891,K4:K891)/K2</f>
        <v>0.39441570710849272</v>
      </c>
      <c r="Q2" s="137">
        <f>+SUMPRODUCT(Q4:Q779,AH4:AH779)/SUM(AH4:AH779)</f>
        <v>89.507904789268821</v>
      </c>
      <c r="R2" s="57">
        <f>+SUMPRODUCT(R4:R779,AH4:AH779)/SUM(AH4:AH779)</f>
        <v>2533.0027883765897</v>
      </c>
      <c r="AB2" s="83"/>
      <c r="AC2" s="83"/>
      <c r="AD2" s="83"/>
      <c r="AE2" s="83"/>
      <c r="AF2" s="83"/>
      <c r="AG2" s="168">
        <f>SUMPRODUCT($AG4:$AG779,$K4:$K779)/SUM($K4:$K779)</f>
        <v>79.817054695015841</v>
      </c>
      <c r="AH2" s="83">
        <f>SUM(AH4:AH779)</f>
        <v>4888.9411270202854</v>
      </c>
      <c r="AI2" s="171">
        <v>2657</v>
      </c>
      <c r="AJ2" s="169"/>
      <c r="AK2" s="88"/>
      <c r="AL2" s="57"/>
      <c r="AM2" s="57"/>
    </row>
    <row r="3" spans="1:46" ht="15" customHeight="1">
      <c r="A3" s="100" t="s">
        <v>11</v>
      </c>
      <c r="B3" s="100" t="s">
        <v>39</v>
      </c>
      <c r="C3" s="100" t="s">
        <v>40</v>
      </c>
      <c r="D3" s="100" t="s">
        <v>41</v>
      </c>
      <c r="E3" s="100" t="s">
        <v>42</v>
      </c>
      <c r="F3" s="100" t="s">
        <v>43</v>
      </c>
      <c r="G3" s="101" t="s">
        <v>16</v>
      </c>
      <c r="H3" s="101"/>
      <c r="I3" s="172" t="s">
        <v>13</v>
      </c>
      <c r="J3" s="172" t="s">
        <v>14</v>
      </c>
      <c r="K3" s="100" t="s">
        <v>15</v>
      </c>
      <c r="L3" s="112" t="s">
        <v>44</v>
      </c>
      <c r="M3" s="107" t="s">
        <v>45</v>
      </c>
      <c r="N3" s="107" t="s">
        <v>46</v>
      </c>
      <c r="O3" s="101" t="s">
        <v>47</v>
      </c>
      <c r="P3" s="112" t="s">
        <v>48</v>
      </c>
      <c r="Q3" s="112" t="s">
        <v>49</v>
      </c>
      <c r="R3" s="112" t="s">
        <v>50</v>
      </c>
      <c r="S3" s="112" t="s">
        <v>51</v>
      </c>
      <c r="T3" s="110" t="s">
        <v>52</v>
      </c>
      <c r="U3" s="110" t="s">
        <v>21</v>
      </c>
      <c r="V3" s="111" t="s">
        <v>22</v>
      </c>
      <c r="W3" s="112" t="s">
        <v>53</v>
      </c>
      <c r="X3" s="112" t="s">
        <v>54</v>
      </c>
      <c r="Y3" s="112" t="s">
        <v>55</v>
      </c>
      <c r="Z3" s="101" t="s">
        <v>56</v>
      </c>
      <c r="AA3" s="101" t="s">
        <v>57</v>
      </c>
      <c r="AB3" s="113" t="s">
        <v>58</v>
      </c>
      <c r="AC3" s="114" t="s">
        <v>59</v>
      </c>
      <c r="AD3" s="115" t="s">
        <v>60</v>
      </c>
      <c r="AE3" s="115" t="s">
        <v>61</v>
      </c>
      <c r="AF3" s="115" t="s">
        <v>62</v>
      </c>
      <c r="AG3" s="173" t="s">
        <v>63</v>
      </c>
      <c r="AH3" s="174" t="s">
        <v>64</v>
      </c>
      <c r="AI3" s="57">
        <f>SUMPRODUCT(K4:K779,AI4:AI779)/K2</f>
        <v>94.559928632970284</v>
      </c>
      <c r="AJ3" s="144">
        <f>SUM(AJ4:AJ779)</f>
        <v>4730.1564963015062</v>
      </c>
      <c r="AK3" s="88">
        <f>SUM(AK4:AK779)</f>
        <v>89.712817998555749</v>
      </c>
      <c r="AL3" s="57">
        <f>SUM(AL4:AL76)</f>
        <v>289649.34246578539</v>
      </c>
      <c r="AM3" s="57"/>
    </row>
    <row r="4" spans="1:46" ht="15" customHeight="1">
      <c r="A4" s="119"/>
      <c r="B4" s="120"/>
      <c r="C4" s="120"/>
      <c r="D4" s="120"/>
      <c r="E4" s="120"/>
      <c r="F4" s="120"/>
      <c r="G4" s="121"/>
      <c r="H4" s="121"/>
      <c r="I4" s="120"/>
      <c r="J4" s="120"/>
      <c r="K4" s="120"/>
      <c r="L4" s="121"/>
      <c r="M4" s="124"/>
      <c r="N4" s="124"/>
      <c r="O4" s="121"/>
      <c r="P4" s="121"/>
      <c r="Q4" s="121"/>
      <c r="R4" s="121"/>
      <c r="S4" s="121"/>
      <c r="T4" s="125"/>
      <c r="U4" s="125"/>
      <c r="V4" s="125"/>
      <c r="W4" s="121"/>
      <c r="X4" s="121"/>
      <c r="Y4" s="121"/>
      <c r="Z4" s="121"/>
      <c r="AA4" s="121"/>
      <c r="AB4" s="126"/>
      <c r="AC4" s="127"/>
      <c r="AD4" s="128"/>
      <c r="AE4" s="128"/>
      <c r="AF4" s="128"/>
      <c r="AG4" s="129"/>
      <c r="AH4" s="175"/>
      <c r="AI4" s="144"/>
      <c r="AJ4" s="132"/>
      <c r="AK4" s="133"/>
      <c r="AL4" s="144"/>
      <c r="AM4" s="144"/>
      <c r="AN4" s="142"/>
      <c r="AO4" s="142"/>
      <c r="AP4" s="142"/>
      <c r="AQ4" s="142"/>
      <c r="AR4" s="142"/>
      <c r="AS4" s="142"/>
      <c r="AT4" s="142"/>
    </row>
    <row r="5" spans="1:46" ht="15.75" customHeight="1">
      <c r="A5" s="134" t="s">
        <v>243</v>
      </c>
      <c r="B5" s="135">
        <v>45544</v>
      </c>
      <c r="C5" s="135">
        <v>45492</v>
      </c>
      <c r="D5" s="142" t="s">
        <v>93</v>
      </c>
      <c r="E5" s="176">
        <v>20169040231</v>
      </c>
      <c r="F5" s="142" t="s">
        <v>244</v>
      </c>
      <c r="G5" s="177">
        <v>65</v>
      </c>
      <c r="H5" s="79" t="s">
        <v>69</v>
      </c>
      <c r="I5" s="138">
        <v>5.57</v>
      </c>
      <c r="J5" s="143">
        <v>0.25</v>
      </c>
      <c r="K5" s="138">
        <f t="shared" ref="K5:K76" si="0">+I5-(I5*(J5/100))</f>
        <v>5.5560749999999999</v>
      </c>
      <c r="L5" s="170">
        <v>0.41900000000000004</v>
      </c>
      <c r="M5" s="141">
        <v>0.38757500000000006</v>
      </c>
      <c r="N5" s="178">
        <v>0.44500000000000001</v>
      </c>
      <c r="O5" s="141">
        <f>+ROUND((M5+N5)/2,3)</f>
        <v>0.41599999999999998</v>
      </c>
      <c r="P5" s="142">
        <v>90</v>
      </c>
      <c r="Q5" s="143">
        <v>89.372823430331067</v>
      </c>
      <c r="R5" s="144">
        <v>2501.85</v>
      </c>
      <c r="S5" s="132">
        <v>120</v>
      </c>
      <c r="T5" s="142"/>
      <c r="U5" s="142">
        <v>130</v>
      </c>
      <c r="V5" s="142">
        <v>1.1023000000000001</v>
      </c>
      <c r="W5" s="143">
        <v>5.8</v>
      </c>
      <c r="X5" s="143">
        <v>7.5</v>
      </c>
      <c r="Y5" s="142">
        <v>50</v>
      </c>
      <c r="Z5" s="143">
        <f t="shared" ref="Z5:Z26" si="1"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 t="shared" ref="AA5:AA76" si="2">+Y5+Z5</f>
        <v>80</v>
      </c>
      <c r="AB5" s="145">
        <f>+((O5*P5*(R5-U5)/100)-S5-AA5+T5)*V5</f>
        <v>758.40515147199983</v>
      </c>
      <c r="AC5" s="145">
        <f>+(S5-T5)*V5-'data 1'!$F$4</f>
        <v>52.27600000000001</v>
      </c>
      <c r="AD5" s="145">
        <f t="shared" ref="AD5:AD76" si="3">+(Q5-P5)*(R5-U5)*L5*V5/100</f>
        <v>-6.8705400538721282</v>
      </c>
      <c r="AE5" s="191">
        <f>+(Y5*V5-70)+V5*(Z5-IF(D5="UNTUCA",IF(+((W5-3)*2.5+(X5-3)*3.1)&gt;0,+((W5-3)*1.5+(X5-3)*3.1),0),IF(+((W5-3)*1.5+(X5-3)*3.1)&gt;0,+((W5-3)*1.5+(X5-3)*3.1),0)))</f>
        <v>-1.8227449999999958</v>
      </c>
      <c r="AF5" s="145">
        <f t="shared" ref="AF5:AF76" si="4">(L5-O5)*(R5-U5)*Q5*V5/100</f>
        <v>7.009931277613223</v>
      </c>
      <c r="AG5" s="145">
        <f>+AC5+AD5+AE5+AF5</f>
        <v>50.592646223741113</v>
      </c>
      <c r="AH5" s="145">
        <f t="shared" ref="AH5:AH76" si="5">31.1035*L5*Q5*1.1023*K5/100</f>
        <v>71.334015200717616</v>
      </c>
      <c r="AI5" s="143">
        <f t="shared" ref="AI5:AI76" si="6">+((+$AI$2-R5+U5)*L5*Q5*V5)/100</f>
        <v>117.7043963849548</v>
      </c>
      <c r="AJ5" s="143">
        <f t="shared" ref="AJ5:AJ76" si="7">31.1035*1.1023*K5*P5*O5/100</f>
        <v>71.320274966267959</v>
      </c>
      <c r="AK5" s="133">
        <f t="shared" ref="AK5:AK32" si="8">+AH5-AJ5</f>
        <v>1.3740234449656441E-2</v>
      </c>
      <c r="AL5" s="144">
        <f>+AB5*K5</f>
        <v>4213.7559019647915</v>
      </c>
      <c r="AM5" s="144"/>
      <c r="AN5" s="142"/>
      <c r="AO5" s="142"/>
      <c r="AP5" s="144"/>
      <c r="AQ5" s="142"/>
      <c r="AR5" s="142"/>
      <c r="AS5" s="142"/>
      <c r="AT5" s="142"/>
    </row>
    <row r="6" spans="1:46" ht="15.75" customHeight="1">
      <c r="A6" s="134" t="s">
        <v>245</v>
      </c>
      <c r="B6" s="135">
        <v>45544</v>
      </c>
      <c r="C6" s="135">
        <v>45492</v>
      </c>
      <c r="D6" s="142" t="s">
        <v>93</v>
      </c>
      <c r="E6" s="176">
        <v>20169040231</v>
      </c>
      <c r="F6" s="142" t="s">
        <v>244</v>
      </c>
      <c r="G6" s="177">
        <v>17</v>
      </c>
      <c r="H6" s="79" t="s">
        <v>69</v>
      </c>
      <c r="I6" s="138">
        <v>1.57</v>
      </c>
      <c r="J6" s="143">
        <v>0.3</v>
      </c>
      <c r="K6" s="138">
        <f t="shared" si="0"/>
        <v>1.5652900000000001</v>
      </c>
      <c r="L6" s="170">
        <v>0.35899999999999999</v>
      </c>
      <c r="M6" s="141">
        <v>0.34463999999999995</v>
      </c>
      <c r="N6" s="178">
        <v>0.34699999999999998</v>
      </c>
      <c r="O6" s="141">
        <f>+ROUND((M6+N6)/2,3)</f>
        <v>0.34599999999999997</v>
      </c>
      <c r="P6" s="142">
        <v>90</v>
      </c>
      <c r="Q6" s="143">
        <v>89.584245309607184</v>
      </c>
      <c r="R6" s="144">
        <v>2501.85</v>
      </c>
      <c r="S6" s="132">
        <v>110</v>
      </c>
      <c r="T6" s="142"/>
      <c r="U6" s="142">
        <v>130</v>
      </c>
      <c r="V6" s="142">
        <v>1.1023000000000001</v>
      </c>
      <c r="W6" s="143">
        <v>5.8</v>
      </c>
      <c r="X6" s="143">
        <v>7.5</v>
      </c>
      <c r="Y6" s="142">
        <v>50</v>
      </c>
      <c r="Z6" s="143">
        <f t="shared" si="1"/>
        <v>30</v>
      </c>
      <c r="AA6" s="144">
        <f t="shared" si="2"/>
        <v>80</v>
      </c>
      <c r="AB6" s="145">
        <f>+((O6*P6*(R6-U6)/100)-S6-AA6+T6)*V6</f>
        <v>604.71526540699983</v>
      </c>
      <c r="AC6" s="145">
        <f>+(S6-T6)*V6-'data 1'!$F$4</f>
        <v>41.253</v>
      </c>
      <c r="AD6" s="145">
        <f t="shared" si="3"/>
        <v>-3.9022818455441928</v>
      </c>
      <c r="AE6" s="191">
        <f>+(Y6*V6-70)+V6*(Z6-IF(D6="UNTUCA",IF(+((W6-3)*2.5+(X6-3)*3.1)&gt;0,+((W6-3)*1.5+(X6-3)*3.1),0),IF(+((W6-3)*1.5+(X6-3)*3.1)&gt;0,+((W6-3)*1.5+(X6-3)*3.1),0)))</f>
        <v>-1.8227449999999958</v>
      </c>
      <c r="AF6" s="145">
        <f t="shared" si="4"/>
        <v>30.448227727254693</v>
      </c>
      <c r="AG6" s="145">
        <f>+AC6+AD6+AE6+AF6</f>
        <v>65.976200881710497</v>
      </c>
      <c r="AH6" s="145">
        <f t="shared" si="5"/>
        <v>17.259569854366642</v>
      </c>
      <c r="AI6" s="143">
        <f t="shared" si="6"/>
        <v>101.08792250700687</v>
      </c>
      <c r="AJ6" s="143">
        <f t="shared" si="7"/>
        <v>16.711771473928295</v>
      </c>
      <c r="AK6" s="133">
        <f t="shared" si="8"/>
        <v>0.54779838043834772</v>
      </c>
      <c r="AL6" s="144">
        <f t="shared" ref="AL6:AL69" si="9">+AB6*K6</f>
        <v>946.55475778892276</v>
      </c>
      <c r="AM6" s="144"/>
      <c r="AN6" s="142"/>
      <c r="AO6" s="142"/>
      <c r="AP6" s="144"/>
      <c r="AQ6" s="142"/>
      <c r="AR6" s="142"/>
      <c r="AS6" s="142"/>
      <c r="AT6" s="142"/>
    </row>
    <row r="7" spans="1:46" ht="15.75" customHeight="1">
      <c r="A7" s="134" t="s">
        <v>246</v>
      </c>
      <c r="B7" s="179">
        <v>45537</v>
      </c>
      <c r="C7" s="179">
        <v>45531</v>
      </c>
      <c r="D7" s="180" t="s">
        <v>247</v>
      </c>
      <c r="E7" s="180"/>
      <c r="F7" s="181" t="s">
        <v>78</v>
      </c>
      <c r="G7" s="182">
        <v>22</v>
      </c>
      <c r="H7" s="180" t="s">
        <v>69</v>
      </c>
      <c r="I7" s="183">
        <v>1.97</v>
      </c>
      <c r="J7" s="183">
        <v>0.6</v>
      </c>
      <c r="K7" s="184">
        <f t="shared" si="0"/>
        <v>1.95818</v>
      </c>
      <c r="L7" s="185">
        <v>1.6559999999999999</v>
      </c>
      <c r="M7" s="186">
        <v>1.589</v>
      </c>
      <c r="N7" s="187">
        <v>1.819</v>
      </c>
      <c r="O7" s="188">
        <v>1.71</v>
      </c>
      <c r="P7" s="189">
        <v>90</v>
      </c>
      <c r="Q7" s="180">
        <v>89.51</v>
      </c>
      <c r="R7" s="190">
        <v>2517.9549999999999</v>
      </c>
      <c r="S7" s="185">
        <v>220</v>
      </c>
      <c r="T7" s="180"/>
      <c r="U7" s="180">
        <v>100</v>
      </c>
      <c r="V7" s="180">
        <v>1.1023000000000001</v>
      </c>
      <c r="W7" s="183">
        <v>5.5</v>
      </c>
      <c r="X7" s="183">
        <v>9.85</v>
      </c>
      <c r="Y7" s="180"/>
      <c r="Z7" s="183">
        <f t="shared" si="1"/>
        <v>30</v>
      </c>
      <c r="AA7" s="190">
        <f t="shared" si="2"/>
        <v>30</v>
      </c>
      <c r="AB7" s="191">
        <f>+((O7*P7*(R7-U7)/100)-S7-AA7+T7)*V7</f>
        <v>3826.3398548135001</v>
      </c>
      <c r="AC7" s="191">
        <f>+(S7-T7)*V7-'data 1'!$F$4</f>
        <v>162.506</v>
      </c>
      <c r="AD7" s="191">
        <f t="shared" si="3"/>
        <v>-21.627406041519375</v>
      </c>
      <c r="AE7" s="191">
        <f>+(Y7*V7-70)+V7*(Z7-IF(D7="UNTUCA",IF(+((W7-3)*2.5+(X7-3)*3.1)&gt;0,+((W7-3)*1.5+(X7-3)*3.1),0),IF(+((W7-3)*1.5+(X7-3)*3.1)&gt;0,+((W7-3)*1.5+(X7-3)*3.1),0)))</f>
        <v>-64.471965499999996</v>
      </c>
      <c r="AF7" s="191">
        <f t="shared" si="4"/>
        <v>-128.82891180854622</v>
      </c>
      <c r="AG7" s="192">
        <f>+IF(D7="RONALD WILLIAN GARIBAY ESCUDERO",AC7+AD7+AE7+AF7+80,AC7+AD7+AE7+AF7)+90-70-10</f>
        <v>-42.422283350065598</v>
      </c>
      <c r="AH7" s="191">
        <f t="shared" si="5"/>
        <v>99.516150772642675</v>
      </c>
      <c r="AI7" s="183">
        <f t="shared" si="6"/>
        <v>390.58122318807978</v>
      </c>
      <c r="AJ7" s="183">
        <f t="shared" si="7"/>
        <v>103.32378324332173</v>
      </c>
      <c r="AK7" s="193">
        <f t="shared" si="8"/>
        <v>-3.807632470679053</v>
      </c>
      <c r="AL7" s="144">
        <f t="shared" si="9"/>
        <v>7492.6621768986997</v>
      </c>
      <c r="AM7" s="190"/>
      <c r="AN7" s="180"/>
      <c r="AO7" s="180"/>
      <c r="AP7" s="180"/>
      <c r="AQ7" s="180"/>
      <c r="AR7" s="180"/>
      <c r="AS7" s="180"/>
      <c r="AT7" s="180"/>
    </row>
    <row r="8" spans="1:46" ht="15.75" customHeight="1">
      <c r="A8" s="134" t="s">
        <v>248</v>
      </c>
      <c r="B8" s="179">
        <v>45537</v>
      </c>
      <c r="C8" s="179">
        <v>45531</v>
      </c>
      <c r="D8" s="180" t="s">
        <v>247</v>
      </c>
      <c r="E8" s="180"/>
      <c r="F8" s="181" t="s">
        <v>78</v>
      </c>
      <c r="G8" s="182">
        <v>28</v>
      </c>
      <c r="H8" s="180" t="s">
        <v>69</v>
      </c>
      <c r="I8" s="183">
        <v>3.02</v>
      </c>
      <c r="J8" s="183">
        <v>0.7</v>
      </c>
      <c r="K8" s="184">
        <f t="shared" si="0"/>
        <v>2.9988600000000001</v>
      </c>
      <c r="L8" s="185">
        <v>1.831</v>
      </c>
      <c r="M8" s="186">
        <v>1.7569999999999999</v>
      </c>
      <c r="N8" s="187">
        <v>1.8939999999999999</v>
      </c>
      <c r="O8" s="188">
        <v>1.9119999999999999</v>
      </c>
      <c r="P8" s="189">
        <v>90</v>
      </c>
      <c r="Q8" s="180">
        <v>89.75</v>
      </c>
      <c r="R8" s="190">
        <v>2517.9549999999999</v>
      </c>
      <c r="S8" s="185">
        <v>240</v>
      </c>
      <c r="T8" s="180"/>
      <c r="U8" s="180">
        <v>100</v>
      </c>
      <c r="V8" s="180">
        <v>1.1023000000000001</v>
      </c>
      <c r="W8" s="183">
        <v>5.5</v>
      </c>
      <c r="X8" s="183">
        <v>9.8000000000000007</v>
      </c>
      <c r="Y8" s="180"/>
      <c r="Z8" s="183">
        <f t="shared" si="1"/>
        <v>30</v>
      </c>
      <c r="AA8" s="190">
        <f t="shared" si="2"/>
        <v>30</v>
      </c>
      <c r="AB8" s="191">
        <f>+((O8*P8*(R8-U8)/100)-S8-AA8+T8)*V8</f>
        <v>4288.8475394172001</v>
      </c>
      <c r="AC8" s="191">
        <f>+(S8-T8)*V8-'data 1'!$F$4</f>
        <v>184.55200000000002</v>
      </c>
      <c r="AD8" s="191">
        <f t="shared" si="3"/>
        <v>-12.200464748478751</v>
      </c>
      <c r="AE8" s="191">
        <f>+(Y8*V8-70)+V8*(Z8-IF(D8="UNTUCA",IF(+((W8-3)*2.5+(X8-3)*3.1)&gt;0,+((W8-3)*1.5+(X8-3)*3.1),0),IF(+((W8-3)*1.5+(X8-3)*3.1)&gt;0,+((W8-3)*1.5+(X8-3)*3.1),0)))</f>
        <v>-64.301108999999997</v>
      </c>
      <c r="AF8" s="191">
        <f t="shared" si="4"/>
        <v>-193.76150432605868</v>
      </c>
      <c r="AG8" s="192">
        <f>+IF(D8="RONALD WILLIAN GARIBAY ESCUDERO",AC8+AD8+AE8+AF8+80,AC8+AD8+AE8+AF8)+90-70-10</f>
        <v>-75.711078074537397</v>
      </c>
      <c r="AH8" s="191">
        <f t="shared" si="5"/>
        <v>168.96161898884003</v>
      </c>
      <c r="AI8" s="183">
        <f t="shared" si="6"/>
        <v>433.0143341758789</v>
      </c>
      <c r="AJ8" s="183">
        <f t="shared" si="7"/>
        <v>176.92762921215765</v>
      </c>
      <c r="AK8" s="193">
        <f t="shared" si="8"/>
        <v>-7.9660102233176247</v>
      </c>
      <c r="AL8" s="144">
        <f t="shared" si="9"/>
        <v>12861.653332056665</v>
      </c>
      <c r="AM8" s="190"/>
      <c r="AN8" s="180"/>
      <c r="AO8" s="180"/>
      <c r="AP8" s="180"/>
      <c r="AQ8" s="180"/>
      <c r="AR8" s="180"/>
      <c r="AS8" s="180"/>
      <c r="AT8" s="180"/>
    </row>
    <row r="9" spans="1:46" ht="15.75" customHeight="1">
      <c r="A9" s="162" t="s">
        <v>249</v>
      </c>
      <c r="B9" s="194"/>
      <c r="C9" s="194">
        <v>45536</v>
      </c>
      <c r="D9" s="163" t="s">
        <v>106</v>
      </c>
      <c r="E9" s="163">
        <v>20606534923</v>
      </c>
      <c r="F9" s="163" t="s">
        <v>250</v>
      </c>
      <c r="G9" s="161">
        <v>15</v>
      </c>
      <c r="H9" s="163" t="s">
        <v>69</v>
      </c>
      <c r="I9" s="163">
        <v>1.24</v>
      </c>
      <c r="J9" s="195">
        <v>5.0999999999999996</v>
      </c>
      <c r="K9" s="196">
        <f t="shared" si="0"/>
        <v>1.17676</v>
      </c>
      <c r="L9" s="197">
        <v>1.3000000000000001E-2</v>
      </c>
      <c r="M9" s="197">
        <v>1.248E-2</v>
      </c>
      <c r="N9" s="198">
        <v>1.248E-2</v>
      </c>
      <c r="O9" s="197">
        <f t="shared" ref="O9:O19" si="10">+ROUND((M9+N9)/2,3)</f>
        <v>1.2E-2</v>
      </c>
      <c r="P9" s="199">
        <v>90</v>
      </c>
      <c r="Q9" s="195">
        <v>81.23</v>
      </c>
      <c r="R9" s="200">
        <v>2499.42</v>
      </c>
      <c r="S9" s="161"/>
      <c r="T9" s="163"/>
      <c r="U9" s="163">
        <v>130</v>
      </c>
      <c r="V9" s="163">
        <v>1.1023000000000001</v>
      </c>
      <c r="W9" s="195">
        <v>5</v>
      </c>
      <c r="X9" s="195">
        <v>6.6</v>
      </c>
      <c r="Y9" s="163">
        <v>50</v>
      </c>
      <c r="Z9" s="195">
        <f t="shared" si="1"/>
        <v>30</v>
      </c>
      <c r="AA9" s="200">
        <f t="shared" si="2"/>
        <v>80</v>
      </c>
      <c r="AB9" s="201"/>
      <c r="AC9" s="201">
        <f>+(S9-T9)*V9-'data 1'!$F$4</f>
        <v>-80</v>
      </c>
      <c r="AD9" s="201">
        <f t="shared" si="3"/>
        <v>-2.9777264804065995</v>
      </c>
      <c r="AE9" s="191">
        <f t="shared" ref="AE9:AE72" si="11">+(Y9*V9-70)+V9*(Z9-IF(D9="UNTUCA",IF(+((W9-3)*2.5+(X9-3)*3.1)&gt;0,+((W9-3)*1.5+(X9-3)*3.1),0),IF(+((W9-3)*1.5+(X9-3)*3.1)&gt;0,+((W9-3)*1.5+(X9-3)*3.1),0)))</f>
        <v>2.5754320000000064</v>
      </c>
      <c r="AF9" s="201">
        <f t="shared" si="4"/>
        <v>2.1215746162918019</v>
      </c>
      <c r="AG9" s="201"/>
      <c r="AH9" s="201">
        <f t="shared" si="5"/>
        <v>0.4260462748652179</v>
      </c>
      <c r="AI9" s="195">
        <f t="shared" si="6"/>
        <v>3.3474823230966</v>
      </c>
      <c r="AJ9" s="195">
        <f t="shared" si="7"/>
        <v>0.43573327101055442</v>
      </c>
      <c r="AK9" s="202">
        <f t="shared" si="8"/>
        <v>-9.6869961453365239E-3</v>
      </c>
      <c r="AL9" s="144">
        <f t="shared" si="9"/>
        <v>0</v>
      </c>
      <c r="AM9" s="200"/>
      <c r="AN9" s="163"/>
      <c r="AO9" s="163"/>
      <c r="AP9" s="163"/>
      <c r="AQ9" s="163"/>
      <c r="AR9" s="163"/>
      <c r="AS9" s="163"/>
      <c r="AT9" s="163"/>
    </row>
    <row r="10" spans="1:46" ht="15.75" customHeight="1">
      <c r="A10" s="162" t="s">
        <v>251</v>
      </c>
      <c r="B10" s="194"/>
      <c r="C10" s="194">
        <v>45536</v>
      </c>
      <c r="D10" s="163" t="s">
        <v>106</v>
      </c>
      <c r="E10" s="163"/>
      <c r="F10" s="163" t="s">
        <v>250</v>
      </c>
      <c r="G10" s="161">
        <v>15</v>
      </c>
      <c r="H10" s="163" t="s">
        <v>69</v>
      </c>
      <c r="I10" s="163">
        <v>1.25</v>
      </c>
      <c r="J10" s="195">
        <v>4.8499999999999996</v>
      </c>
      <c r="K10" s="196">
        <f t="shared" si="0"/>
        <v>1.1893750000000001</v>
      </c>
      <c r="L10" s="197">
        <v>8.5000000000000006E-3</v>
      </c>
      <c r="M10" s="197">
        <v>8.1600000000000006E-3</v>
      </c>
      <c r="N10" s="198">
        <v>8.1600000000000006E-3</v>
      </c>
      <c r="O10" s="197">
        <f t="shared" si="10"/>
        <v>8.0000000000000002E-3</v>
      </c>
      <c r="P10" s="199">
        <v>90</v>
      </c>
      <c r="Q10" s="195">
        <v>81.11</v>
      </c>
      <c r="R10" s="200">
        <v>2499.42</v>
      </c>
      <c r="S10" s="161"/>
      <c r="T10" s="163"/>
      <c r="U10" s="163">
        <v>130</v>
      </c>
      <c r="V10" s="163">
        <v>1.1023000000000001</v>
      </c>
      <c r="W10" s="195">
        <v>5</v>
      </c>
      <c r="X10" s="195">
        <v>6.6</v>
      </c>
      <c r="Y10" s="163">
        <v>50</v>
      </c>
      <c r="Z10" s="195">
        <f t="shared" si="1"/>
        <v>30</v>
      </c>
      <c r="AA10" s="200">
        <f t="shared" si="2"/>
        <v>80</v>
      </c>
      <c r="AB10" s="201"/>
      <c r="AC10" s="201">
        <f>+(S10-T10)*V10-'data 1'!$F$4</f>
        <v>-80</v>
      </c>
      <c r="AD10" s="201">
        <f t="shared" si="3"/>
        <v>-1.9736154854129004</v>
      </c>
      <c r="AE10" s="191">
        <f t="shared" si="11"/>
        <v>2.5754320000000064</v>
      </c>
      <c r="AF10" s="201">
        <f t="shared" si="4"/>
        <v>1.0592202211463009</v>
      </c>
      <c r="AG10" s="201"/>
      <c r="AH10" s="201">
        <f t="shared" si="5"/>
        <v>0.28113906880630679</v>
      </c>
      <c r="AI10" s="195">
        <f t="shared" si="6"/>
        <v>2.1855050477978999</v>
      </c>
      <c r="AJ10" s="195">
        <f t="shared" si="7"/>
        <v>0.29360292056617504</v>
      </c>
      <c r="AK10" s="202">
        <f t="shared" si="8"/>
        <v>-1.246385175986825E-2</v>
      </c>
      <c r="AL10" s="144">
        <f t="shared" si="9"/>
        <v>0</v>
      </c>
      <c r="AM10" s="200"/>
      <c r="AN10" s="163"/>
      <c r="AO10" s="163"/>
      <c r="AP10" s="163"/>
      <c r="AQ10" s="163"/>
      <c r="AR10" s="163"/>
      <c r="AS10" s="163"/>
      <c r="AT10" s="163"/>
    </row>
    <row r="11" spans="1:46" ht="15.75" customHeight="1">
      <c r="A11" s="134" t="s">
        <v>252</v>
      </c>
      <c r="B11" s="135">
        <v>45540</v>
      </c>
      <c r="C11" s="136">
        <v>45536</v>
      </c>
      <c r="D11" s="79" t="s">
        <v>106</v>
      </c>
      <c r="F11" s="6" t="s">
        <v>253</v>
      </c>
      <c r="G11" s="80">
        <v>20</v>
      </c>
      <c r="H11" s="79" t="s">
        <v>69</v>
      </c>
      <c r="I11" s="79">
        <v>1.79</v>
      </c>
      <c r="J11" s="137">
        <v>1</v>
      </c>
      <c r="K11" s="138">
        <f t="shared" si="0"/>
        <v>1.7721</v>
      </c>
      <c r="L11" s="139">
        <v>0.42899999999999999</v>
      </c>
      <c r="M11" s="139">
        <v>0.41183999999999998</v>
      </c>
      <c r="N11" s="159">
        <v>0.41183999999999998</v>
      </c>
      <c r="O11" s="141">
        <f t="shared" si="10"/>
        <v>0.41199999999999998</v>
      </c>
      <c r="P11" s="150">
        <v>90</v>
      </c>
      <c r="Q11" s="137">
        <v>89.16</v>
      </c>
      <c r="R11" s="57">
        <v>2499.42</v>
      </c>
      <c r="S11" s="80">
        <v>130</v>
      </c>
      <c r="U11" s="79">
        <v>130</v>
      </c>
      <c r="V11" s="142">
        <v>1.1023000000000001</v>
      </c>
      <c r="W11" s="137">
        <v>5</v>
      </c>
      <c r="X11" s="137">
        <v>6.6</v>
      </c>
      <c r="Y11" s="79">
        <v>30</v>
      </c>
      <c r="Z11" s="143">
        <f t="shared" si="1"/>
        <v>30</v>
      </c>
      <c r="AA11" s="144">
        <f t="shared" si="2"/>
        <v>60</v>
      </c>
      <c r="AB11" s="145">
        <f t="shared" ref="AB11:AB38" si="12">+((O11*P11*(R11-U11)/100)-S11-AA11+T11)*V11</f>
        <v>759.02276575279996</v>
      </c>
      <c r="AC11" s="145">
        <f>+(S11-T11)*V11-'data 1'!$F$4</f>
        <v>63.299000000000007</v>
      </c>
      <c r="AD11" s="145">
        <f t="shared" si="3"/>
        <v>-9.4119245195976386</v>
      </c>
      <c r="AE11" s="191">
        <f t="shared" si="11"/>
        <v>-19.470567999999993</v>
      </c>
      <c r="AF11" s="145">
        <f t="shared" si="4"/>
        <v>39.587751783895243</v>
      </c>
      <c r="AG11" s="145">
        <f t="shared" ref="AG11:AG32" si="13">+IF(D11="RONALD WILLIAN GARIBAY ESCUDERO",AC11+AD11+AE11+AF11+80,AC11+AD11+AE11+AF11)</f>
        <v>74.004259264297616</v>
      </c>
      <c r="AH11" s="145">
        <f t="shared" si="5"/>
        <v>23.239385856812227</v>
      </c>
      <c r="AI11" s="137">
        <f t="shared" si="6"/>
        <v>121.25114230703757</v>
      </c>
      <c r="AJ11" s="137">
        <f t="shared" si="7"/>
        <v>22.528746089390573</v>
      </c>
      <c r="AK11" s="88">
        <f t="shared" si="8"/>
        <v>0.7106397674216538</v>
      </c>
      <c r="AL11" s="144">
        <f t="shared" si="9"/>
        <v>1345.0642431905369</v>
      </c>
      <c r="AM11" s="57"/>
    </row>
    <row r="12" spans="1:46" ht="15.75" customHeight="1">
      <c r="A12" s="134" t="s">
        <v>254</v>
      </c>
      <c r="B12" s="135">
        <v>45539</v>
      </c>
      <c r="C12" s="135">
        <v>45536</v>
      </c>
      <c r="D12" s="142" t="s">
        <v>93</v>
      </c>
      <c r="E12" s="142">
        <v>20169040231</v>
      </c>
      <c r="F12" s="142" t="s">
        <v>255</v>
      </c>
      <c r="G12" s="132">
        <v>13</v>
      </c>
      <c r="H12" s="142" t="s">
        <v>69</v>
      </c>
      <c r="I12" s="142">
        <v>1.1599999999999999</v>
      </c>
      <c r="J12" s="143">
        <v>0.2</v>
      </c>
      <c r="K12" s="138">
        <f t="shared" si="0"/>
        <v>1.1576799999999998</v>
      </c>
      <c r="L12" s="141">
        <v>0.38700000000000001</v>
      </c>
      <c r="M12" s="141">
        <v>0.37152000000000002</v>
      </c>
      <c r="N12" s="157">
        <v>0.37152000000000002</v>
      </c>
      <c r="O12" s="141">
        <f t="shared" si="10"/>
        <v>0.372</v>
      </c>
      <c r="P12" s="154">
        <v>90</v>
      </c>
      <c r="Q12" s="143">
        <v>89.36</v>
      </c>
      <c r="R12" s="144">
        <v>2499.42</v>
      </c>
      <c r="S12" s="132">
        <v>120</v>
      </c>
      <c r="T12" s="142"/>
      <c r="U12" s="142">
        <v>130</v>
      </c>
      <c r="V12" s="142">
        <v>1.1023000000000001</v>
      </c>
      <c r="W12" s="143">
        <v>5</v>
      </c>
      <c r="X12" s="143">
        <v>6.6</v>
      </c>
      <c r="Y12" s="142">
        <v>30</v>
      </c>
      <c r="Z12" s="143">
        <f t="shared" si="1"/>
        <v>30</v>
      </c>
      <c r="AA12" s="144">
        <f t="shared" si="2"/>
        <v>60</v>
      </c>
      <c r="AB12" s="145">
        <f t="shared" si="12"/>
        <v>676.02054577679996</v>
      </c>
      <c r="AC12" s="145">
        <f>+(S12-T12)*V12-'data 1'!$F$4</f>
        <v>52.27600000000001</v>
      </c>
      <c r="AD12" s="145">
        <f t="shared" si="3"/>
        <v>-6.4689351343488068</v>
      </c>
      <c r="AE12" s="191">
        <f t="shared" si="11"/>
        <v>-19.470567999999993</v>
      </c>
      <c r="AF12" s="145">
        <f t="shared" si="4"/>
        <v>35.008723571064031</v>
      </c>
      <c r="AG12" s="145">
        <f t="shared" si="13"/>
        <v>61.345220436715245</v>
      </c>
      <c r="AH12" s="145">
        <f t="shared" si="5"/>
        <v>13.726244322431432</v>
      </c>
      <c r="AI12" s="143">
        <f t="shared" si="6"/>
        <v>109.62575866406878</v>
      </c>
      <c r="AJ12" s="143">
        <f t="shared" si="7"/>
        <v>13.288716891029994</v>
      </c>
      <c r="AK12" s="133">
        <f t="shared" si="8"/>
        <v>0.43752743140143835</v>
      </c>
      <c r="AL12" s="144">
        <f t="shared" si="9"/>
        <v>782.61546543488566</v>
      </c>
      <c r="AM12" s="144"/>
      <c r="AN12" s="142"/>
      <c r="AO12" s="142"/>
      <c r="AP12" s="142"/>
      <c r="AQ12" s="142"/>
      <c r="AR12" s="142"/>
      <c r="AS12" s="142"/>
      <c r="AT12" s="142"/>
    </row>
    <row r="13" spans="1:46" ht="15.75" customHeight="1">
      <c r="A13" s="134" t="s">
        <v>256</v>
      </c>
      <c r="B13" s="135">
        <v>45539</v>
      </c>
      <c r="C13" s="135">
        <v>45536</v>
      </c>
      <c r="D13" s="142" t="s">
        <v>93</v>
      </c>
      <c r="E13" s="142">
        <v>20169040231</v>
      </c>
      <c r="F13" s="142" t="s">
        <v>255</v>
      </c>
      <c r="G13" s="132">
        <v>100</v>
      </c>
      <c r="H13" s="142" t="s">
        <v>69</v>
      </c>
      <c r="I13" s="142">
        <v>8.82</v>
      </c>
      <c r="J13" s="143">
        <v>0.3</v>
      </c>
      <c r="K13" s="138">
        <f t="shared" si="0"/>
        <v>8.7935400000000001</v>
      </c>
      <c r="L13" s="141">
        <v>0.41649999999999998</v>
      </c>
      <c r="M13" s="141">
        <v>0.37485000000000002</v>
      </c>
      <c r="N13" s="157">
        <v>0.37485000000000002</v>
      </c>
      <c r="O13" s="141">
        <f t="shared" si="10"/>
        <v>0.375</v>
      </c>
      <c r="P13" s="154">
        <v>90</v>
      </c>
      <c r="Q13" s="143">
        <v>89.3</v>
      </c>
      <c r="R13" s="144">
        <v>2499.42</v>
      </c>
      <c r="S13" s="132">
        <v>120</v>
      </c>
      <c r="T13" s="142"/>
      <c r="U13" s="142">
        <v>130</v>
      </c>
      <c r="V13" s="142">
        <v>1.1023000000000001</v>
      </c>
      <c r="W13" s="143">
        <v>5</v>
      </c>
      <c r="X13" s="143">
        <v>6.6</v>
      </c>
      <c r="Y13" s="142">
        <v>30</v>
      </c>
      <c r="Z13" s="143">
        <f t="shared" si="1"/>
        <v>30</v>
      </c>
      <c r="AA13" s="144">
        <f t="shared" si="2"/>
        <v>60</v>
      </c>
      <c r="AB13" s="145">
        <f t="shared" si="12"/>
        <v>683.07243727500008</v>
      </c>
      <c r="AC13" s="145">
        <f>+(S13-T13)*V13-'data 1'!$F$4</f>
        <v>52.27600000000001</v>
      </c>
      <c r="AD13" s="145">
        <f t="shared" si="3"/>
        <v>-7.614736912223032</v>
      </c>
      <c r="AE13" s="191">
        <f t="shared" si="11"/>
        <v>-19.470567999999993</v>
      </c>
      <c r="AF13" s="145">
        <f t="shared" si="4"/>
        <v>96.792434436126968</v>
      </c>
      <c r="AG13" s="145">
        <f t="shared" si="13"/>
        <v>121.98312952390395</v>
      </c>
      <c r="AH13" s="145">
        <f t="shared" si="5"/>
        <v>112.13450682825349</v>
      </c>
      <c r="AI13" s="143">
        <f t="shared" si="6"/>
        <v>117.90302598507299</v>
      </c>
      <c r="AJ13" s="143">
        <f t="shared" si="7"/>
        <v>101.75285179120399</v>
      </c>
      <c r="AK13" s="133">
        <f t="shared" si="8"/>
        <v>10.381655037049498</v>
      </c>
      <c r="AL13" s="144">
        <f t="shared" si="9"/>
        <v>6006.6248000752039</v>
      </c>
      <c r="AM13" s="144"/>
      <c r="AN13" s="142"/>
      <c r="AO13" s="142"/>
      <c r="AP13" s="142"/>
      <c r="AQ13" s="142"/>
      <c r="AR13" s="142"/>
      <c r="AS13" s="142"/>
      <c r="AT13" s="142"/>
    </row>
    <row r="14" spans="1:46" ht="15.75" customHeight="1">
      <c r="A14" s="134" t="s">
        <v>257</v>
      </c>
      <c r="B14" s="135">
        <v>45544</v>
      </c>
      <c r="C14" s="135">
        <v>45536</v>
      </c>
      <c r="D14" s="142" t="s">
        <v>93</v>
      </c>
      <c r="E14" s="142">
        <v>20169040231</v>
      </c>
      <c r="F14" s="142" t="s">
        <v>175</v>
      </c>
      <c r="G14" s="132">
        <v>47</v>
      </c>
      <c r="H14" s="142" t="s">
        <v>69</v>
      </c>
      <c r="I14" s="142">
        <v>4.37</v>
      </c>
      <c r="J14" s="143">
        <v>0.4</v>
      </c>
      <c r="K14" s="138">
        <f t="shared" si="0"/>
        <v>4.3525200000000002</v>
      </c>
      <c r="L14" s="141">
        <v>1.859</v>
      </c>
      <c r="M14" s="141">
        <v>1.7849999999999999</v>
      </c>
      <c r="N14" s="153">
        <v>1.885</v>
      </c>
      <c r="O14" s="141">
        <f t="shared" si="10"/>
        <v>1.835</v>
      </c>
      <c r="P14" s="154">
        <v>90</v>
      </c>
      <c r="Q14" s="143">
        <v>89.25</v>
      </c>
      <c r="R14" s="144">
        <v>2499.42</v>
      </c>
      <c r="S14" s="132">
        <v>250</v>
      </c>
      <c r="T14" s="142"/>
      <c r="U14" s="142">
        <v>130</v>
      </c>
      <c r="V14" s="142">
        <v>1.1023000000000001</v>
      </c>
      <c r="W14" s="143">
        <v>5</v>
      </c>
      <c r="X14" s="143">
        <v>6.6</v>
      </c>
      <c r="Y14" s="142">
        <v>50</v>
      </c>
      <c r="Z14" s="143">
        <f t="shared" si="1"/>
        <v>30</v>
      </c>
      <c r="AA14" s="144">
        <f t="shared" si="2"/>
        <v>80</v>
      </c>
      <c r="AB14" s="145">
        <f t="shared" si="12"/>
        <v>3949.6479663990008</v>
      </c>
      <c r="AC14" s="145">
        <f>+(S14-T14)*V14-'data 1'!$F$4</f>
        <v>195.57499999999999</v>
      </c>
      <c r="AD14" s="145">
        <f t="shared" si="3"/>
        <v>-36.415184153204997</v>
      </c>
      <c r="AE14" s="191">
        <f t="shared" si="11"/>
        <v>2.5754320000000064</v>
      </c>
      <c r="AF14" s="145">
        <f t="shared" si="4"/>
        <v>55.94500588572005</v>
      </c>
      <c r="AG14" s="145">
        <f t="shared" si="13"/>
        <v>217.68025373251504</v>
      </c>
      <c r="AH14" s="145">
        <f t="shared" si="5"/>
        <v>247.59248529150366</v>
      </c>
      <c r="AI14" s="143">
        <f t="shared" si="6"/>
        <v>525.95198841685499</v>
      </c>
      <c r="AJ14" s="143">
        <f t="shared" si="7"/>
        <v>246.44977312818</v>
      </c>
      <c r="AK14" s="133">
        <f t="shared" si="8"/>
        <v>1.1427121633236652</v>
      </c>
      <c r="AL14" s="144">
        <f t="shared" si="9"/>
        <v>17190.921766710981</v>
      </c>
      <c r="AM14" s="144"/>
      <c r="AN14" s="142"/>
      <c r="AO14" s="142"/>
      <c r="AP14" s="142"/>
      <c r="AQ14" s="142"/>
      <c r="AR14" s="142"/>
      <c r="AS14" s="142"/>
      <c r="AT14" s="142"/>
    </row>
    <row r="15" spans="1:46" ht="15.75" customHeight="1">
      <c r="A15" s="134" t="s">
        <v>258</v>
      </c>
      <c r="B15" s="135">
        <v>45544</v>
      </c>
      <c r="C15" s="135">
        <v>45536</v>
      </c>
      <c r="D15" s="142" t="s">
        <v>93</v>
      </c>
      <c r="E15" s="142">
        <v>20169040231</v>
      </c>
      <c r="F15" s="142" t="s">
        <v>175</v>
      </c>
      <c r="G15" s="132">
        <v>47</v>
      </c>
      <c r="H15" s="142" t="s">
        <v>69</v>
      </c>
      <c r="I15" s="142">
        <v>4.46</v>
      </c>
      <c r="J15" s="143">
        <v>0.45</v>
      </c>
      <c r="K15" s="138">
        <f t="shared" si="0"/>
        <v>4.4399300000000004</v>
      </c>
      <c r="L15" s="141">
        <v>1.198</v>
      </c>
      <c r="M15" s="141">
        <v>1.1379999999999999</v>
      </c>
      <c r="N15" s="153">
        <v>1.179</v>
      </c>
      <c r="O15" s="141">
        <f t="shared" si="10"/>
        <v>1.159</v>
      </c>
      <c r="P15" s="154">
        <v>90</v>
      </c>
      <c r="Q15" s="143">
        <v>89.27</v>
      </c>
      <c r="R15" s="144">
        <v>2499.42</v>
      </c>
      <c r="S15" s="132">
        <v>190</v>
      </c>
      <c r="T15" s="142"/>
      <c r="U15" s="142">
        <v>130</v>
      </c>
      <c r="V15" s="142">
        <v>1.1023000000000001</v>
      </c>
      <c r="W15" s="143">
        <v>5</v>
      </c>
      <c r="X15" s="143">
        <v>6.6</v>
      </c>
      <c r="Y15" s="142">
        <v>50</v>
      </c>
      <c r="Z15" s="143">
        <f t="shared" si="1"/>
        <v>30</v>
      </c>
      <c r="AA15" s="144">
        <f t="shared" si="2"/>
        <v>80</v>
      </c>
      <c r="AB15" s="145">
        <f t="shared" si="12"/>
        <v>2426.7597488046003</v>
      </c>
      <c r="AC15" s="145">
        <f>+(S15-T15)*V15-'data 1'!$F$4</f>
        <v>129.43700000000001</v>
      </c>
      <c r="AD15" s="145">
        <f t="shared" si="3"/>
        <v>-22.841337743836526</v>
      </c>
      <c r="AE15" s="191">
        <f t="shared" si="11"/>
        <v>2.5754320000000064</v>
      </c>
      <c r="AF15" s="145">
        <f t="shared" si="4"/>
        <v>90.931006695289611</v>
      </c>
      <c r="AG15" s="145">
        <f t="shared" si="13"/>
        <v>200.10210095145311</v>
      </c>
      <c r="AH15" s="145">
        <f t="shared" si="5"/>
        <v>162.79743020847002</v>
      </c>
      <c r="AI15" s="143">
        <f t="shared" si="6"/>
        <v>339.01650288869632</v>
      </c>
      <c r="AJ15" s="143">
        <f t="shared" si="7"/>
        <v>158.78560852462098</v>
      </c>
      <c r="AK15" s="133">
        <f t="shared" si="8"/>
        <v>4.0118216838490355</v>
      </c>
      <c r="AL15" s="144">
        <f t="shared" si="9"/>
        <v>10774.643411510011</v>
      </c>
      <c r="AM15" s="144"/>
      <c r="AN15" s="142"/>
      <c r="AO15" s="142"/>
      <c r="AP15" s="142"/>
      <c r="AQ15" s="142"/>
      <c r="AR15" s="142"/>
      <c r="AS15" s="142"/>
      <c r="AT15" s="142"/>
    </row>
    <row r="16" spans="1:46" ht="15.75" customHeight="1">
      <c r="A16" s="134" t="s">
        <v>259</v>
      </c>
      <c r="B16" s="135">
        <v>45544</v>
      </c>
      <c r="C16" s="136">
        <v>45536</v>
      </c>
      <c r="D16" s="79" t="s">
        <v>93</v>
      </c>
      <c r="E16" s="79">
        <v>20169040231</v>
      </c>
      <c r="F16" s="6" t="s">
        <v>193</v>
      </c>
      <c r="G16" s="80">
        <v>60</v>
      </c>
      <c r="H16" s="79" t="s">
        <v>69</v>
      </c>
      <c r="I16" s="79">
        <v>5.18</v>
      </c>
      <c r="J16" s="137">
        <v>0.3</v>
      </c>
      <c r="K16" s="138">
        <f t="shared" si="0"/>
        <v>5.1644600000000001</v>
      </c>
      <c r="L16" s="139">
        <v>0.19600000000000001</v>
      </c>
      <c r="M16" s="139">
        <v>0.184</v>
      </c>
      <c r="N16" s="149">
        <v>0.20200000000000001</v>
      </c>
      <c r="O16" s="141">
        <f t="shared" si="10"/>
        <v>0.193</v>
      </c>
      <c r="P16" s="150">
        <v>90</v>
      </c>
      <c r="Q16" s="137">
        <v>89.68</v>
      </c>
      <c r="R16" s="57">
        <v>2499.42</v>
      </c>
      <c r="S16" s="80">
        <v>110</v>
      </c>
      <c r="U16" s="79">
        <v>130</v>
      </c>
      <c r="V16" s="142">
        <v>1.1023000000000001</v>
      </c>
      <c r="W16" s="137">
        <v>5</v>
      </c>
      <c r="X16" s="137">
        <v>6.6</v>
      </c>
      <c r="Y16" s="79">
        <v>40</v>
      </c>
      <c r="Z16" s="143">
        <f t="shared" si="1"/>
        <v>30</v>
      </c>
      <c r="AA16" s="144">
        <f t="shared" si="2"/>
        <v>70</v>
      </c>
      <c r="AB16" s="145">
        <f t="shared" si="12"/>
        <v>255.25768638420004</v>
      </c>
      <c r="AC16" s="145">
        <f>+(S16-T16)*V16-'data 1'!$F$4</f>
        <v>41.253</v>
      </c>
      <c r="AD16" s="145">
        <f t="shared" si="3"/>
        <v>-1.6381282769151653</v>
      </c>
      <c r="AE16" s="191">
        <f t="shared" si="11"/>
        <v>-8.4475679999999969</v>
      </c>
      <c r="AF16" s="145">
        <f t="shared" si="4"/>
        <v>7.0268181062064068</v>
      </c>
      <c r="AG16" s="145">
        <f t="shared" si="13"/>
        <v>38.194121829291241</v>
      </c>
      <c r="AH16" s="145">
        <f t="shared" si="5"/>
        <v>31.123301384645401</v>
      </c>
      <c r="AI16" s="137">
        <f t="shared" si="6"/>
        <v>55.719878112595197</v>
      </c>
      <c r="AJ16" s="137">
        <f t="shared" si="7"/>
        <v>30.756279984803715</v>
      </c>
      <c r="AK16" s="88">
        <f t="shared" si="8"/>
        <v>0.36702139984168625</v>
      </c>
      <c r="AL16" s="144">
        <f t="shared" si="9"/>
        <v>1318.2681110237459</v>
      </c>
      <c r="AM16" s="57"/>
    </row>
    <row r="17" spans="1:39" ht="15.75" customHeight="1">
      <c r="A17" s="134" t="s">
        <v>260</v>
      </c>
      <c r="B17" s="135">
        <v>45544</v>
      </c>
      <c r="C17" s="136">
        <v>45537</v>
      </c>
      <c r="D17" s="79" t="s">
        <v>93</v>
      </c>
      <c r="E17" s="79">
        <v>20169040231</v>
      </c>
      <c r="F17" s="142" t="s">
        <v>261</v>
      </c>
      <c r="G17" s="132">
        <v>90</v>
      </c>
      <c r="H17" s="79" t="s">
        <v>69</v>
      </c>
      <c r="I17" s="137">
        <v>8.1300000000000008</v>
      </c>
      <c r="J17" s="137">
        <v>0.5</v>
      </c>
      <c r="K17" s="138">
        <f t="shared" si="0"/>
        <v>8.0893500000000014</v>
      </c>
      <c r="L17" s="139">
        <v>0.41099999999999998</v>
      </c>
      <c r="M17" s="139">
        <v>0.38600000000000001</v>
      </c>
      <c r="N17" s="159">
        <v>0.38600000000000001</v>
      </c>
      <c r="O17" s="141">
        <f t="shared" si="10"/>
        <v>0.38600000000000001</v>
      </c>
      <c r="P17" s="203">
        <v>90</v>
      </c>
      <c r="Q17" s="143">
        <v>90.036901002561422</v>
      </c>
      <c r="R17" s="57">
        <v>2499.42</v>
      </c>
      <c r="S17" s="80">
        <v>120</v>
      </c>
      <c r="U17" s="79">
        <v>130</v>
      </c>
      <c r="V17" s="142">
        <v>1.1023000000000001</v>
      </c>
      <c r="W17" s="137">
        <v>5</v>
      </c>
      <c r="X17" s="137">
        <v>6.6</v>
      </c>
      <c r="Y17" s="79">
        <v>50</v>
      </c>
      <c r="Z17" s="143">
        <f t="shared" si="1"/>
        <v>30</v>
      </c>
      <c r="AA17" s="144">
        <f t="shared" si="2"/>
        <v>80</v>
      </c>
      <c r="AB17" s="145">
        <f t="shared" si="12"/>
        <v>686.88337276840014</v>
      </c>
      <c r="AC17" s="145">
        <f>+(S17-T17)*V17-'data 1'!$F$4</f>
        <v>52.27600000000001</v>
      </c>
      <c r="AD17" s="145">
        <f t="shared" si="3"/>
        <v>0.39611550749553909</v>
      </c>
      <c r="AE17" s="191">
        <f t="shared" si="11"/>
        <v>2.5754320000000064</v>
      </c>
      <c r="AF17" s="145">
        <f t="shared" si="4"/>
        <v>58.789857102244177</v>
      </c>
      <c r="AG17" s="145">
        <f t="shared" si="13"/>
        <v>114.03740460973972</v>
      </c>
      <c r="AH17" s="145">
        <f t="shared" si="5"/>
        <v>102.63253500009382</v>
      </c>
      <c r="AI17" s="137">
        <f t="shared" si="6"/>
        <v>117.30616775996583</v>
      </c>
      <c r="AJ17" s="137">
        <f t="shared" si="7"/>
        <v>96.35017542785576</v>
      </c>
      <c r="AK17" s="88">
        <f t="shared" si="8"/>
        <v>6.2823595722380645</v>
      </c>
      <c r="AL17" s="144">
        <f t="shared" si="9"/>
        <v>5556.4400115040589</v>
      </c>
      <c r="AM17" s="57"/>
    </row>
    <row r="18" spans="1:39" ht="15.75" customHeight="1">
      <c r="A18" s="134" t="s">
        <v>262</v>
      </c>
      <c r="B18" s="135">
        <v>45544</v>
      </c>
      <c r="C18" s="136">
        <v>45537</v>
      </c>
      <c r="D18" s="79" t="s">
        <v>93</v>
      </c>
      <c r="E18" s="79">
        <v>20169040231</v>
      </c>
      <c r="F18" s="142" t="s">
        <v>261</v>
      </c>
      <c r="G18" s="80">
        <v>90</v>
      </c>
      <c r="H18" s="79" t="s">
        <v>69</v>
      </c>
      <c r="I18" s="137">
        <v>7.97</v>
      </c>
      <c r="J18" s="137">
        <v>0.45</v>
      </c>
      <c r="K18" s="138">
        <f t="shared" si="0"/>
        <v>7.9341349999999995</v>
      </c>
      <c r="L18" s="139">
        <v>0.28100000000000003</v>
      </c>
      <c r="M18" s="139">
        <v>0.26400000000000001</v>
      </c>
      <c r="N18" s="159">
        <v>0.26400000000000001</v>
      </c>
      <c r="O18" s="141">
        <f t="shared" si="10"/>
        <v>0.26400000000000001</v>
      </c>
      <c r="P18" s="79">
        <v>90</v>
      </c>
      <c r="Q18" s="137">
        <v>90.110937330649648</v>
      </c>
      <c r="R18" s="57">
        <v>2499.42</v>
      </c>
      <c r="S18" s="80">
        <v>110</v>
      </c>
      <c r="U18" s="79">
        <v>130</v>
      </c>
      <c r="V18" s="142">
        <v>1.1023000000000001</v>
      </c>
      <c r="W18" s="137">
        <v>5</v>
      </c>
      <c r="X18" s="137">
        <v>6.6</v>
      </c>
      <c r="Y18" s="79">
        <v>50</v>
      </c>
      <c r="Z18" s="143">
        <f t="shared" si="1"/>
        <v>30</v>
      </c>
      <c r="AA18" s="144">
        <f t="shared" si="2"/>
        <v>80</v>
      </c>
      <c r="AB18" s="145">
        <f t="shared" si="12"/>
        <v>411.12945184160003</v>
      </c>
      <c r="AC18" s="145">
        <f>+(S18-T18)*V18-'data 1'!$F$4</f>
        <v>41.253</v>
      </c>
      <c r="AD18" s="145">
        <f t="shared" si="3"/>
        <v>0.81419023442367633</v>
      </c>
      <c r="AE18" s="191">
        <f t="shared" si="11"/>
        <v>2.5754320000000064</v>
      </c>
      <c r="AF18" s="145">
        <f t="shared" si="4"/>
        <v>40.009975550245599</v>
      </c>
      <c r="AG18" s="145">
        <f t="shared" si="13"/>
        <v>84.652597784669283</v>
      </c>
      <c r="AH18" s="145">
        <f t="shared" si="5"/>
        <v>68.879895913137901</v>
      </c>
      <c r="AI18" s="137">
        <f t="shared" si="6"/>
        <v>80.26797632818139</v>
      </c>
      <c r="AJ18" s="137">
        <f t="shared" si="7"/>
        <v>64.633115602302226</v>
      </c>
      <c r="AK18" s="88">
        <f t="shared" si="8"/>
        <v>4.2467803108356748</v>
      </c>
      <c r="AL18" s="144">
        <f t="shared" si="9"/>
        <v>3261.9565733872532</v>
      </c>
      <c r="AM18" s="57"/>
    </row>
    <row r="19" spans="1:39" ht="15.75" customHeight="1">
      <c r="A19" s="134" t="s">
        <v>263</v>
      </c>
      <c r="B19" s="135">
        <v>45544</v>
      </c>
      <c r="C19" s="136">
        <v>45537</v>
      </c>
      <c r="D19" s="79" t="s">
        <v>93</v>
      </c>
      <c r="E19" s="79">
        <v>20169040231</v>
      </c>
      <c r="F19" s="142" t="s">
        <v>261</v>
      </c>
      <c r="G19" s="80">
        <v>90</v>
      </c>
      <c r="H19" s="79" t="s">
        <v>69</v>
      </c>
      <c r="I19" s="137">
        <v>8.0399999999999991</v>
      </c>
      <c r="J19" s="137">
        <v>0.6</v>
      </c>
      <c r="K19" s="138">
        <f t="shared" si="0"/>
        <v>7.9917599999999993</v>
      </c>
      <c r="L19" s="139">
        <v>0.32700000000000001</v>
      </c>
      <c r="M19" s="139">
        <v>0.307</v>
      </c>
      <c r="N19" s="159">
        <v>0.307</v>
      </c>
      <c r="O19" s="141">
        <f t="shared" si="10"/>
        <v>0.307</v>
      </c>
      <c r="P19" s="79">
        <v>90</v>
      </c>
      <c r="Q19" s="137">
        <v>90.425424096182454</v>
      </c>
      <c r="R19" s="57">
        <v>2499.42</v>
      </c>
      <c r="S19" s="80">
        <v>130</v>
      </c>
      <c r="U19" s="79">
        <v>130</v>
      </c>
      <c r="V19" s="142">
        <v>1.1023000000000001</v>
      </c>
      <c r="W19" s="137">
        <v>5</v>
      </c>
      <c r="X19" s="137">
        <v>6.6</v>
      </c>
      <c r="Y19" s="79">
        <v>50</v>
      </c>
      <c r="Z19" s="143">
        <f t="shared" si="1"/>
        <v>30</v>
      </c>
      <c r="AA19" s="144">
        <f t="shared" si="2"/>
        <v>80</v>
      </c>
      <c r="AB19" s="145">
        <f t="shared" si="12"/>
        <v>490.16056331580006</v>
      </c>
      <c r="AC19" s="145">
        <f>+(S19-T19)*V19-'data 1'!$F$4</f>
        <v>63.299000000000007</v>
      </c>
      <c r="AD19" s="145">
        <f t="shared" si="3"/>
        <v>3.6333873089203621</v>
      </c>
      <c r="AE19" s="191">
        <f t="shared" si="11"/>
        <v>2.5754320000000064</v>
      </c>
      <c r="AF19" s="145">
        <f t="shared" si="4"/>
        <v>47.234835511481414</v>
      </c>
      <c r="AG19" s="145">
        <f t="shared" si="13"/>
        <v>116.74265482040178</v>
      </c>
      <c r="AH19" s="145">
        <f t="shared" si="5"/>
        <v>81.01954676813321</v>
      </c>
      <c r="AI19" s="137">
        <f t="shared" si="6"/>
        <v>93.733923002678324</v>
      </c>
      <c r="AJ19" s="137">
        <f t="shared" si="7"/>
        <v>75.706363791321891</v>
      </c>
      <c r="AK19" s="88">
        <f t="shared" si="8"/>
        <v>5.3131829768113192</v>
      </c>
      <c r="AL19" s="144">
        <f t="shared" si="9"/>
        <v>3917.2455834846778</v>
      </c>
      <c r="AM19" s="57"/>
    </row>
    <row r="20" spans="1:39" ht="15.75" customHeight="1">
      <c r="A20" s="134" t="s">
        <v>264</v>
      </c>
      <c r="B20" s="135">
        <v>45544</v>
      </c>
      <c r="C20" s="136">
        <v>45537</v>
      </c>
      <c r="D20" s="79" t="s">
        <v>93</v>
      </c>
      <c r="E20" s="79">
        <v>20169040231</v>
      </c>
      <c r="F20" s="142" t="s">
        <v>261</v>
      </c>
      <c r="G20" s="80">
        <v>90</v>
      </c>
      <c r="H20" s="79" t="s">
        <v>69</v>
      </c>
      <c r="I20" s="137">
        <v>8.06</v>
      </c>
      <c r="J20" s="137">
        <v>0.55000000000000004</v>
      </c>
      <c r="K20" s="138">
        <f t="shared" si="0"/>
        <v>8.0156700000000001</v>
      </c>
      <c r="L20" s="139">
        <v>0.182</v>
      </c>
      <c r="M20" s="139">
        <v>0.182</v>
      </c>
      <c r="N20" s="159">
        <v>0.182</v>
      </c>
      <c r="O20" s="204">
        <v>0.182</v>
      </c>
      <c r="P20" s="79">
        <v>90</v>
      </c>
      <c r="Q20" s="137">
        <v>89.640709693556232</v>
      </c>
      <c r="R20" s="57">
        <v>2499.42</v>
      </c>
      <c r="S20" s="80">
        <v>95</v>
      </c>
      <c r="U20" s="79">
        <v>130</v>
      </c>
      <c r="V20" s="142">
        <v>1.1023000000000001</v>
      </c>
      <c r="W20" s="137">
        <v>5</v>
      </c>
      <c r="X20" s="137">
        <v>6.6</v>
      </c>
      <c r="Y20" s="79">
        <v>50</v>
      </c>
      <c r="Z20" s="143">
        <f t="shared" si="1"/>
        <v>30</v>
      </c>
      <c r="AA20" s="144">
        <f t="shared" si="2"/>
        <v>80</v>
      </c>
      <c r="AB20" s="145">
        <f t="shared" si="12"/>
        <v>234.91225089080001</v>
      </c>
      <c r="AC20" s="145">
        <f>+(S20-T20)*V20-'data 1'!$F$4</f>
        <v>24.718500000000006</v>
      </c>
      <c r="AD20" s="145">
        <f t="shared" si="3"/>
        <v>-1.707885477207997</v>
      </c>
      <c r="AE20" s="191">
        <f t="shared" si="11"/>
        <v>2.5754320000000064</v>
      </c>
      <c r="AF20" s="145">
        <f t="shared" si="4"/>
        <v>0</v>
      </c>
      <c r="AG20" s="145">
        <f t="shared" si="13"/>
        <v>25.586046522792014</v>
      </c>
      <c r="AH20" s="145">
        <f t="shared" si="5"/>
        <v>44.835867055412038</v>
      </c>
      <c r="AI20" s="137">
        <f t="shared" si="6"/>
        <v>51.717218709912451</v>
      </c>
      <c r="AJ20" s="137">
        <f t="shared" si="7"/>
        <v>45.015574383355791</v>
      </c>
      <c r="AK20" s="88">
        <f t="shared" si="8"/>
        <v>-0.17970732794375266</v>
      </c>
      <c r="AL20" s="144">
        <f t="shared" si="9"/>
        <v>1882.979082097859</v>
      </c>
      <c r="AM20" s="57"/>
    </row>
    <row r="21" spans="1:39" ht="15.75" customHeight="1">
      <c r="A21" s="134" t="s">
        <v>265</v>
      </c>
      <c r="B21" s="135">
        <v>45544</v>
      </c>
      <c r="C21" s="136">
        <v>45537</v>
      </c>
      <c r="D21" s="79" t="s">
        <v>93</v>
      </c>
      <c r="E21" s="79">
        <v>20169040231</v>
      </c>
      <c r="F21" s="142" t="s">
        <v>261</v>
      </c>
      <c r="G21" s="80">
        <v>90</v>
      </c>
      <c r="H21" s="79" t="s">
        <v>69</v>
      </c>
      <c r="I21" s="137">
        <v>8.07</v>
      </c>
      <c r="J21" s="137">
        <v>0.45</v>
      </c>
      <c r="K21" s="138">
        <f t="shared" si="0"/>
        <v>8.0336850000000002</v>
      </c>
      <c r="L21" s="139">
        <v>0.191</v>
      </c>
      <c r="M21" s="139">
        <v>0.191</v>
      </c>
      <c r="N21" s="159">
        <v>0.191</v>
      </c>
      <c r="O21" s="204">
        <v>0.191</v>
      </c>
      <c r="P21" s="79">
        <v>90</v>
      </c>
      <c r="Q21" s="137">
        <v>89.43825116454633</v>
      </c>
      <c r="R21" s="57">
        <v>2499.42</v>
      </c>
      <c r="S21" s="80">
        <v>95</v>
      </c>
      <c r="U21" s="79">
        <v>130</v>
      </c>
      <c r="V21" s="142">
        <v>1.1023000000000001</v>
      </c>
      <c r="W21" s="137">
        <v>5</v>
      </c>
      <c r="X21" s="137">
        <v>6.6</v>
      </c>
      <c r="Y21" s="79">
        <v>50</v>
      </c>
      <c r="Z21" s="143">
        <f t="shared" si="1"/>
        <v>30</v>
      </c>
      <c r="AA21" s="144">
        <f t="shared" si="2"/>
        <v>80</v>
      </c>
      <c r="AB21" s="145">
        <f t="shared" si="12"/>
        <v>256.06792538540003</v>
      </c>
      <c r="AC21" s="145">
        <f>+(S21-T21)*V21-'data 1'!$F$4</f>
        <v>24.718500000000006</v>
      </c>
      <c r="AD21" s="145">
        <f t="shared" si="3"/>
        <v>-2.8023179290376392</v>
      </c>
      <c r="AE21" s="191">
        <f t="shared" si="11"/>
        <v>2.5754320000000064</v>
      </c>
      <c r="AF21" s="145">
        <f t="shared" si="4"/>
        <v>0</v>
      </c>
      <c r="AG21" s="145">
        <f t="shared" si="13"/>
        <v>24.491614070962374</v>
      </c>
      <c r="AH21" s="145">
        <f t="shared" si="5"/>
        <v>47.052264991101559</v>
      </c>
      <c r="AI21" s="137">
        <f t="shared" si="6"/>
        <v>54.152081244482048</v>
      </c>
      <c r="AJ21" s="137">
        <f t="shared" si="7"/>
        <v>47.347793523022212</v>
      </c>
      <c r="AK21" s="88">
        <f t="shared" si="8"/>
        <v>-0.29552853192065243</v>
      </c>
      <c r="AL21" s="144">
        <f t="shared" si="9"/>
        <v>2057.1690511498073</v>
      </c>
      <c r="AM21" s="57"/>
    </row>
    <row r="22" spans="1:39" ht="15.75" customHeight="1">
      <c r="A22" s="134" t="s">
        <v>266</v>
      </c>
      <c r="B22" s="135">
        <v>45544</v>
      </c>
      <c r="C22" s="136">
        <v>45537</v>
      </c>
      <c r="D22" s="79" t="s">
        <v>93</v>
      </c>
      <c r="E22" s="79">
        <v>20169040231</v>
      </c>
      <c r="F22" s="142" t="s">
        <v>261</v>
      </c>
      <c r="G22" s="80">
        <v>90</v>
      </c>
      <c r="H22" s="79" t="s">
        <v>69</v>
      </c>
      <c r="I22" s="137">
        <v>8</v>
      </c>
      <c r="J22" s="137">
        <v>0.3</v>
      </c>
      <c r="K22" s="138">
        <f t="shared" si="0"/>
        <v>7.976</v>
      </c>
      <c r="L22" s="139">
        <v>0.19</v>
      </c>
      <c r="M22" s="139">
        <v>0.19</v>
      </c>
      <c r="N22" s="159">
        <v>0.19</v>
      </c>
      <c r="O22" s="204">
        <v>0.19</v>
      </c>
      <c r="P22" s="79">
        <v>90</v>
      </c>
      <c r="Q22" s="137">
        <v>89.579208207936148</v>
      </c>
      <c r="R22" s="57">
        <v>2499.42</v>
      </c>
      <c r="S22" s="80">
        <v>95</v>
      </c>
      <c r="U22" s="79">
        <v>130</v>
      </c>
      <c r="V22" s="142">
        <v>1.1023000000000001</v>
      </c>
      <c r="W22" s="137">
        <v>5</v>
      </c>
      <c r="X22" s="137">
        <v>6.6</v>
      </c>
      <c r="Y22" s="79">
        <v>50</v>
      </c>
      <c r="Z22" s="143">
        <f t="shared" si="1"/>
        <v>30</v>
      </c>
      <c r="AA22" s="144">
        <f t="shared" si="2"/>
        <v>80</v>
      </c>
      <c r="AB22" s="145">
        <f t="shared" si="12"/>
        <v>253.71729488600008</v>
      </c>
      <c r="AC22" s="145">
        <f>+(S22-T22)*V22-'data 1'!$F$4</f>
        <v>24.718500000000006</v>
      </c>
      <c r="AD22" s="145">
        <f t="shared" si="3"/>
        <v>-2.0881549317918897</v>
      </c>
      <c r="AE22" s="191">
        <f t="shared" si="11"/>
        <v>2.5754320000000064</v>
      </c>
      <c r="AF22" s="145">
        <f t="shared" si="4"/>
        <v>0</v>
      </c>
      <c r="AG22" s="145">
        <f t="shared" si="13"/>
        <v>25.205777068208121</v>
      </c>
      <c r="AH22" s="145">
        <f t="shared" si="5"/>
        <v>46.543070941330001</v>
      </c>
      <c r="AI22" s="137">
        <f t="shared" si="6"/>
        <v>53.953460770159424</v>
      </c>
      <c r="AJ22" s="137">
        <f t="shared" si="7"/>
        <v>46.761703619842812</v>
      </c>
      <c r="AK22" s="88">
        <f t="shared" si="8"/>
        <v>-0.21863267851281165</v>
      </c>
      <c r="AL22" s="144">
        <f t="shared" si="9"/>
        <v>2023.6491440107366</v>
      </c>
      <c r="AM22" s="57"/>
    </row>
    <row r="23" spans="1:39" ht="15.75" customHeight="1">
      <c r="A23" s="134" t="s">
        <v>267</v>
      </c>
      <c r="B23" s="135">
        <v>45544</v>
      </c>
      <c r="C23" s="136">
        <v>45541</v>
      </c>
      <c r="D23" s="79" t="s">
        <v>85</v>
      </c>
      <c r="E23" s="79">
        <v>10460498487</v>
      </c>
      <c r="F23" s="142" t="s">
        <v>268</v>
      </c>
      <c r="G23" s="80">
        <v>72</v>
      </c>
      <c r="H23" s="79" t="s">
        <v>69</v>
      </c>
      <c r="I23" s="79">
        <v>5.92</v>
      </c>
      <c r="J23" s="137">
        <v>18.600000000000001</v>
      </c>
      <c r="K23" s="138">
        <f t="shared" si="0"/>
        <v>4.8188800000000001</v>
      </c>
      <c r="L23" s="139">
        <v>0.17849999999999999</v>
      </c>
      <c r="M23" s="139">
        <v>0.17135999999999998</v>
      </c>
      <c r="N23" s="205">
        <v>0.17135999999999998</v>
      </c>
      <c r="O23" s="141">
        <f t="shared" ref="O23:O76" si="14">+ROUND((M23+N23)/2,3)</f>
        <v>0.17100000000000001</v>
      </c>
      <c r="P23" s="79">
        <v>89</v>
      </c>
      <c r="Q23" s="137">
        <v>90.248312249521945</v>
      </c>
      <c r="R23" s="57">
        <v>2497.56</v>
      </c>
      <c r="S23" s="80">
        <v>115</v>
      </c>
      <c r="U23" s="79">
        <v>130</v>
      </c>
      <c r="V23" s="142">
        <v>1.1023000000000001</v>
      </c>
      <c r="W23" s="137">
        <v>5.0999999999999996</v>
      </c>
      <c r="X23" s="137">
        <v>9.3000000000000007</v>
      </c>
      <c r="Y23" s="79">
        <v>50</v>
      </c>
      <c r="Z23" s="143">
        <f t="shared" si="1"/>
        <v>30</v>
      </c>
      <c r="AA23" s="144">
        <f t="shared" si="2"/>
        <v>80</v>
      </c>
      <c r="AB23" s="145">
        <f t="shared" si="12"/>
        <v>182.23108563972005</v>
      </c>
      <c r="AC23" s="145">
        <f>+(S23-T23)*V23-'data 1'!$F$4</f>
        <v>46.764500000000012</v>
      </c>
      <c r="AD23" s="145">
        <f t="shared" si="3"/>
        <v>5.8151678395110808</v>
      </c>
      <c r="AE23" s="191">
        <f t="shared" si="11"/>
        <v>-6.816163999999997</v>
      </c>
      <c r="AF23" s="145">
        <f t="shared" si="4"/>
        <v>17.664492048072685</v>
      </c>
      <c r="AG23" s="145">
        <f t="shared" si="13"/>
        <v>63.427995887583791</v>
      </c>
      <c r="AH23" s="145">
        <f t="shared" si="5"/>
        <v>26.615368907108369</v>
      </c>
      <c r="AI23" s="137">
        <f t="shared" si="6"/>
        <v>51.396750986577452</v>
      </c>
      <c r="AJ23" s="137">
        <f t="shared" si="7"/>
        <v>25.144401218935986</v>
      </c>
      <c r="AK23" s="88">
        <f t="shared" si="8"/>
        <v>1.470967688172383</v>
      </c>
      <c r="AL23" s="144">
        <f t="shared" si="9"/>
        <v>878.14973396753419</v>
      </c>
      <c r="AM23" s="57"/>
    </row>
    <row r="24" spans="1:39" ht="15.75" customHeight="1">
      <c r="A24" s="134" t="s">
        <v>269</v>
      </c>
      <c r="B24" s="135">
        <v>45544</v>
      </c>
      <c r="C24" s="136">
        <v>45541</v>
      </c>
      <c r="D24" s="79" t="s">
        <v>85</v>
      </c>
      <c r="F24" s="142" t="s">
        <v>270</v>
      </c>
      <c r="G24" s="80" t="s">
        <v>68</v>
      </c>
      <c r="H24" s="79" t="s">
        <v>69</v>
      </c>
      <c r="I24" s="79">
        <v>13.17</v>
      </c>
      <c r="J24" s="137">
        <v>10.3</v>
      </c>
      <c r="K24" s="138">
        <f t="shared" si="0"/>
        <v>11.81349</v>
      </c>
      <c r="L24" s="139">
        <v>0.1615</v>
      </c>
      <c r="M24" s="139">
        <v>0.15504000000000001</v>
      </c>
      <c r="N24" s="205">
        <v>0.15504000000000001</v>
      </c>
      <c r="O24" s="141">
        <f t="shared" si="14"/>
        <v>0.155</v>
      </c>
      <c r="P24" s="79">
        <v>89</v>
      </c>
      <c r="Q24" s="137">
        <v>90.170737386128707</v>
      </c>
      <c r="R24" s="57">
        <v>2497.56</v>
      </c>
      <c r="S24" s="80">
        <v>115</v>
      </c>
      <c r="U24" s="79">
        <v>130</v>
      </c>
      <c r="V24" s="142">
        <v>1.1023000000000001</v>
      </c>
      <c r="W24" s="137">
        <v>5.2</v>
      </c>
      <c r="X24" s="137">
        <v>8.8000000000000007</v>
      </c>
      <c r="Y24" s="79">
        <v>50</v>
      </c>
      <c r="Z24" s="143">
        <f t="shared" si="1"/>
        <v>30</v>
      </c>
      <c r="AA24" s="144">
        <f t="shared" si="2"/>
        <v>80</v>
      </c>
      <c r="AB24" s="145">
        <f t="shared" si="12"/>
        <v>145.06808347459997</v>
      </c>
      <c r="AC24" s="145">
        <f>+(S24-T24)*V24-'data 1'!$F$4</f>
        <v>46.764500000000012</v>
      </c>
      <c r="AD24" s="145">
        <f t="shared" si="3"/>
        <v>4.9343825396778946</v>
      </c>
      <c r="AE24" s="191">
        <f t="shared" si="11"/>
        <v>-5.2729440000000025</v>
      </c>
      <c r="AF24" s="145">
        <f t="shared" si="4"/>
        <v>15.296067069257452</v>
      </c>
      <c r="AG24" s="145">
        <f t="shared" si="13"/>
        <v>61.722005608935362</v>
      </c>
      <c r="AH24" s="145">
        <f t="shared" si="5"/>
        <v>58.982806770516291</v>
      </c>
      <c r="AI24" s="137">
        <f t="shared" si="6"/>
        <v>46.461850687103279</v>
      </c>
      <c r="AJ24" s="137">
        <f t="shared" si="7"/>
        <v>55.873900760277905</v>
      </c>
      <c r="AK24" s="88">
        <f t="shared" si="8"/>
        <v>3.1089060102383854</v>
      </c>
      <c r="AL24" s="144">
        <f t="shared" si="9"/>
        <v>1713.7603534463519</v>
      </c>
      <c r="AM24" s="57"/>
    </row>
    <row r="25" spans="1:39" ht="15.75" customHeight="1">
      <c r="A25" s="134" t="s">
        <v>271</v>
      </c>
      <c r="B25" s="135">
        <v>45544</v>
      </c>
      <c r="C25" s="136">
        <v>45541</v>
      </c>
      <c r="D25" s="79" t="s">
        <v>85</v>
      </c>
      <c r="F25" s="142" t="s">
        <v>272</v>
      </c>
      <c r="G25" s="80">
        <v>168</v>
      </c>
      <c r="H25" s="79" t="s">
        <v>69</v>
      </c>
      <c r="I25" s="79">
        <v>15.16</v>
      </c>
      <c r="J25" s="137">
        <v>10.4</v>
      </c>
      <c r="K25" s="138">
        <f t="shared" si="0"/>
        <v>13.583359999999999</v>
      </c>
      <c r="L25" s="139">
        <v>0.2445</v>
      </c>
      <c r="M25" s="139">
        <v>0.23471999999999998</v>
      </c>
      <c r="N25" s="205">
        <v>0.23471999999999998</v>
      </c>
      <c r="O25" s="141">
        <f t="shared" si="14"/>
        <v>0.23499999999999999</v>
      </c>
      <c r="P25" s="79">
        <v>89</v>
      </c>
      <c r="Q25" s="137">
        <v>90.260996062417959</v>
      </c>
      <c r="R25" s="57">
        <v>2497.56</v>
      </c>
      <c r="S25" s="80">
        <v>125</v>
      </c>
      <c r="U25" s="79">
        <v>130</v>
      </c>
      <c r="V25" s="142">
        <v>1.1023000000000001</v>
      </c>
      <c r="W25" s="137">
        <v>5.2</v>
      </c>
      <c r="X25" s="137">
        <v>9</v>
      </c>
      <c r="Y25" s="79">
        <v>50</v>
      </c>
      <c r="Z25" s="143">
        <f t="shared" si="1"/>
        <v>30</v>
      </c>
      <c r="AA25" s="144">
        <f t="shared" si="2"/>
        <v>80</v>
      </c>
      <c r="AB25" s="145">
        <f t="shared" si="12"/>
        <v>319.86009430019999</v>
      </c>
      <c r="AC25" s="145">
        <f>+(S25-T25)*V25-'data 1'!$F$4</f>
        <v>57.787499999999994</v>
      </c>
      <c r="AD25" s="145">
        <f t="shared" si="3"/>
        <v>8.0462476494195574</v>
      </c>
      <c r="AE25" s="191">
        <f t="shared" si="11"/>
        <v>-5.9563699999999997</v>
      </c>
      <c r="AF25" s="145">
        <f t="shared" si="4"/>
        <v>22.37816792478127</v>
      </c>
      <c r="AG25" s="145">
        <f t="shared" si="13"/>
        <v>82.255545574200823</v>
      </c>
      <c r="AH25" s="145">
        <f t="shared" si="5"/>
        <v>102.77684115032221</v>
      </c>
      <c r="AI25" s="137">
        <f t="shared" si="6"/>
        <v>70.410486032448858</v>
      </c>
      <c r="AJ25" s="137">
        <f t="shared" si="7"/>
        <v>97.403407257468658</v>
      </c>
      <c r="AK25" s="88">
        <f t="shared" si="8"/>
        <v>5.373433892853555</v>
      </c>
      <c r="AL25" s="144">
        <f t="shared" si="9"/>
        <v>4344.7748105135643</v>
      </c>
      <c r="AM25" s="57"/>
    </row>
    <row r="26" spans="1:39" ht="15.75" customHeight="1">
      <c r="A26" s="134" t="s">
        <v>273</v>
      </c>
      <c r="B26" s="135">
        <v>45545</v>
      </c>
      <c r="C26" s="136">
        <v>45543</v>
      </c>
      <c r="D26" s="158" t="s">
        <v>129</v>
      </c>
      <c r="F26" s="142" t="s">
        <v>274</v>
      </c>
      <c r="G26" s="80">
        <v>260</v>
      </c>
      <c r="H26" s="79" t="s">
        <v>69</v>
      </c>
      <c r="I26" s="79">
        <v>29.96</v>
      </c>
      <c r="J26" s="137">
        <v>1.95</v>
      </c>
      <c r="K26" s="138">
        <f t="shared" si="0"/>
        <v>29.375780000000002</v>
      </c>
      <c r="L26" s="139">
        <v>0.59</v>
      </c>
      <c r="M26" s="139">
        <v>0.56000000000000005</v>
      </c>
      <c r="N26" s="159">
        <v>0.56000000000000005</v>
      </c>
      <c r="O26" s="141">
        <f t="shared" si="14"/>
        <v>0.56000000000000005</v>
      </c>
      <c r="P26" s="79">
        <v>90</v>
      </c>
      <c r="Q26" s="137">
        <v>89.55</v>
      </c>
      <c r="R26" s="57">
        <v>2497.56</v>
      </c>
      <c r="S26" s="80">
        <v>130</v>
      </c>
      <c r="U26" s="79">
        <v>100</v>
      </c>
      <c r="V26" s="142">
        <v>1.1023000000000001</v>
      </c>
      <c r="W26" s="137">
        <v>5</v>
      </c>
      <c r="X26" s="137">
        <v>10.1</v>
      </c>
      <c r="Z26" s="143">
        <f t="shared" si="1"/>
        <v>30</v>
      </c>
      <c r="AA26" s="144">
        <f t="shared" si="2"/>
        <v>30</v>
      </c>
      <c r="AB26" s="145">
        <f t="shared" si="12"/>
        <v>1155.618515552</v>
      </c>
      <c r="AC26" s="145">
        <f>+(S26-T26)*V26-'data 1'!$F$4</f>
        <v>63.299000000000007</v>
      </c>
      <c r="AD26" s="145">
        <f t="shared" si="3"/>
        <v>-7.0167146801400442</v>
      </c>
      <c r="AE26" s="191">
        <f t="shared" si="11"/>
        <v>-64.499522999999996</v>
      </c>
      <c r="AF26" s="145">
        <f t="shared" si="4"/>
        <v>70.999638373619803</v>
      </c>
      <c r="AG26" s="145">
        <f t="shared" si="13"/>
        <v>142.78240069347976</v>
      </c>
      <c r="AH26" s="145">
        <f t="shared" si="5"/>
        <v>532.12795895543172</v>
      </c>
      <c r="AI26" s="137">
        <f t="shared" si="6"/>
        <v>151.09647928164003</v>
      </c>
      <c r="AJ26" s="137">
        <f t="shared" si="7"/>
        <v>507.60864835200033</v>
      </c>
      <c r="AK26" s="88">
        <f t="shared" si="8"/>
        <v>24.519310603431393</v>
      </c>
      <c r="AL26" s="144">
        <f t="shared" si="9"/>
        <v>33947.195276782135</v>
      </c>
      <c r="AM26" s="57"/>
    </row>
    <row r="27" spans="1:39" ht="15.75" customHeight="1">
      <c r="A27" s="134" t="s">
        <v>275</v>
      </c>
      <c r="B27" s="135">
        <v>45548</v>
      </c>
      <c r="C27" s="136">
        <v>45545</v>
      </c>
      <c r="D27" s="79" t="s">
        <v>106</v>
      </c>
      <c r="F27" s="142" t="s">
        <v>276</v>
      </c>
      <c r="G27" s="80">
        <v>71</v>
      </c>
      <c r="H27" s="79" t="s">
        <v>69</v>
      </c>
      <c r="I27" s="137">
        <v>6.83</v>
      </c>
      <c r="J27" s="137">
        <v>1.1000000000000001</v>
      </c>
      <c r="K27" s="138">
        <f t="shared" si="0"/>
        <v>6.7548700000000004</v>
      </c>
      <c r="L27" s="139">
        <v>0.873</v>
      </c>
      <c r="M27" s="139">
        <v>0.82899999999999996</v>
      </c>
      <c r="N27" s="159">
        <v>0.82899999999999996</v>
      </c>
      <c r="O27" s="141">
        <f t="shared" si="14"/>
        <v>0.82899999999999996</v>
      </c>
      <c r="P27" s="79">
        <v>90</v>
      </c>
      <c r="Q27" s="137">
        <v>89.17</v>
      </c>
      <c r="R27" s="57">
        <v>2497.56</v>
      </c>
      <c r="S27" s="80">
        <v>170</v>
      </c>
      <c r="U27" s="79">
        <v>130</v>
      </c>
      <c r="V27" s="142">
        <v>1.1023000000000001</v>
      </c>
      <c r="W27" s="137">
        <v>6</v>
      </c>
      <c r="X27" s="160">
        <v>9</v>
      </c>
      <c r="Y27" s="79">
        <v>50</v>
      </c>
      <c r="Z27" s="160">
        <v>30</v>
      </c>
      <c r="AA27" s="144">
        <f t="shared" si="2"/>
        <v>80</v>
      </c>
      <c r="AB27" s="145">
        <f t="shared" si="12"/>
        <v>1671.5679715867998</v>
      </c>
      <c r="AC27" s="145">
        <f>+(S27-T27)*V27-'data 1'!$F$4</f>
        <v>107.39100000000002</v>
      </c>
      <c r="AD27" s="145">
        <f t="shared" si="3"/>
        <v>-18.910070041309165</v>
      </c>
      <c r="AE27" s="191">
        <f t="shared" si="11"/>
        <v>-7.2791299999999994</v>
      </c>
      <c r="AF27" s="145">
        <f t="shared" si="4"/>
        <v>102.39346610590248</v>
      </c>
      <c r="AG27" s="145">
        <f t="shared" si="13"/>
        <v>183.59526606459332</v>
      </c>
      <c r="AH27" s="145">
        <f t="shared" si="5"/>
        <v>180.28478441526258</v>
      </c>
      <c r="AI27" s="137">
        <f t="shared" si="6"/>
        <v>248.36555641021928</v>
      </c>
      <c r="AJ27" s="137">
        <f t="shared" si="7"/>
        <v>172.79179036018613</v>
      </c>
      <c r="AK27" s="88">
        <f t="shared" si="8"/>
        <v>7.4929940550764513</v>
      </c>
      <c r="AL27" s="144">
        <f t="shared" si="9"/>
        <v>11291.224344232527</v>
      </c>
      <c r="AM27" s="57"/>
    </row>
    <row r="28" spans="1:39" ht="15.75" customHeight="1">
      <c r="A28" s="134" t="s">
        <v>277</v>
      </c>
      <c r="B28" s="135">
        <v>45551</v>
      </c>
      <c r="C28" s="136">
        <v>45545</v>
      </c>
      <c r="D28" s="79" t="s">
        <v>93</v>
      </c>
      <c r="E28" s="79">
        <v>20169040231</v>
      </c>
      <c r="F28" s="6" t="s">
        <v>99</v>
      </c>
      <c r="G28" s="80">
        <v>20</v>
      </c>
      <c r="H28" s="79" t="s">
        <v>69</v>
      </c>
      <c r="I28" s="137">
        <v>1.82</v>
      </c>
      <c r="J28" s="137">
        <v>1.5</v>
      </c>
      <c r="K28" s="138">
        <f t="shared" si="0"/>
        <v>1.7927</v>
      </c>
      <c r="L28" s="139">
        <v>0.29399999999999998</v>
      </c>
      <c r="M28" s="139">
        <v>0.27600000000000002</v>
      </c>
      <c r="N28" s="159">
        <v>0.27600000000000002</v>
      </c>
      <c r="O28" s="141">
        <f t="shared" si="14"/>
        <v>0.27600000000000002</v>
      </c>
      <c r="P28" s="79">
        <v>90</v>
      </c>
      <c r="Q28" s="137">
        <v>89.48</v>
      </c>
      <c r="R28" s="57">
        <v>2497.56</v>
      </c>
      <c r="S28" s="80">
        <v>110</v>
      </c>
      <c r="U28" s="79">
        <v>130</v>
      </c>
      <c r="V28" s="142">
        <v>1.1023000000000001</v>
      </c>
      <c r="W28" s="137">
        <v>5</v>
      </c>
      <c r="X28" s="137">
        <v>9.39</v>
      </c>
      <c r="Y28" s="79">
        <v>50</v>
      </c>
      <c r="Z28" s="143">
        <f>IF(IF(D28="UNTUCA",IF(+((W28-3)*1.5+(X28-3)*3.1)&gt;0,+((W28-3)*1.5+(X28-3)*3.1),0),IF(+((W28-3)*1.5+(X28-3)*3.1)&gt;0,+((W28-3)*1.5+(X28-3)*3.1),0))&lt;30,30,IF(D28="UNTUCA",IF(+((W28-3)*1.5+(X28-3)*3.1)&gt;0,+((W28-3)*1.5+(X28-3)*3.1),0),IF(+((W28-3)*1.5+(X28-3)*3.1)&gt;0,+((W28-3)*1.5+(X28-3)*3.1),0)))</f>
        <v>30</v>
      </c>
      <c r="AA28" s="144">
        <f t="shared" si="2"/>
        <v>80</v>
      </c>
      <c r="AB28" s="145">
        <f t="shared" si="12"/>
        <v>438.82772877920013</v>
      </c>
      <c r="AC28" s="145">
        <f>+(S28-T28)*V28-'data 1'!$F$4</f>
        <v>41.253</v>
      </c>
      <c r="AD28" s="145">
        <f t="shared" si="3"/>
        <v>-3.9898032099743692</v>
      </c>
      <c r="AE28" s="191">
        <f t="shared" si="11"/>
        <v>-6.9583606999999992</v>
      </c>
      <c r="AF28" s="145">
        <f t="shared" si="4"/>
        <v>42.033860819683113</v>
      </c>
      <c r="AG28" s="145">
        <f t="shared" si="13"/>
        <v>72.338696909708744</v>
      </c>
      <c r="AH28" s="145">
        <f t="shared" si="5"/>
        <v>16.169254381512001</v>
      </c>
      <c r="AI28" s="137">
        <f t="shared" si="6"/>
        <v>83.932790595494424</v>
      </c>
      <c r="AJ28" s="137">
        <f t="shared" si="7"/>
        <v>15.267512325057178</v>
      </c>
      <c r="AK28" s="88">
        <f t="shared" si="8"/>
        <v>0.90174205645482353</v>
      </c>
      <c r="AL28" s="144">
        <f t="shared" si="9"/>
        <v>786.68646938247207</v>
      </c>
      <c r="AM28" s="57"/>
    </row>
    <row r="29" spans="1:39" ht="15.75" customHeight="1">
      <c r="A29" s="134" t="s">
        <v>278</v>
      </c>
      <c r="B29" s="135">
        <v>45551</v>
      </c>
      <c r="C29" s="136">
        <v>45545</v>
      </c>
      <c r="D29" s="79" t="s">
        <v>93</v>
      </c>
      <c r="E29" s="79">
        <v>20169040231</v>
      </c>
      <c r="F29" s="6" t="s">
        <v>99</v>
      </c>
      <c r="G29" s="80">
        <v>80</v>
      </c>
      <c r="H29" s="79" t="s">
        <v>69</v>
      </c>
      <c r="I29" s="137">
        <v>7.51</v>
      </c>
      <c r="J29" s="137">
        <v>1.28</v>
      </c>
      <c r="K29" s="138">
        <f t="shared" si="0"/>
        <v>7.4138719999999996</v>
      </c>
      <c r="L29" s="139">
        <v>0.59299999999999997</v>
      </c>
      <c r="M29" s="139">
        <v>0.56299999999999994</v>
      </c>
      <c r="N29" s="159">
        <v>0.56299999999999994</v>
      </c>
      <c r="O29" s="141">
        <f t="shared" si="14"/>
        <v>0.56299999999999994</v>
      </c>
      <c r="P29" s="79">
        <v>90</v>
      </c>
      <c r="Q29" s="137">
        <v>89.6</v>
      </c>
      <c r="R29" s="57">
        <v>2497.56</v>
      </c>
      <c r="S29" s="80">
        <v>130</v>
      </c>
      <c r="U29" s="79">
        <v>130</v>
      </c>
      <c r="V29" s="142">
        <v>1.1023000000000001</v>
      </c>
      <c r="W29" s="137">
        <v>5</v>
      </c>
      <c r="X29" s="137">
        <v>10.48</v>
      </c>
      <c r="Y29" s="79">
        <v>50</v>
      </c>
      <c r="Z29" s="143">
        <f>IF(IF(D29="UNTUCA",IF(+((W29-3)*1.5+(X29-3)*3.1)&gt;0,+((W29-3)*1.5+(X29-3)*3.1),0),IF(+((W29-3)*1.5+(X29-3)*3.1)&gt;0,+((W29-3)*1.5+(X29-3)*3.1),0))&lt;30,30,IF(D29="UNTUCA",IF(+((W29-3)*1.5+(X29-3)*3.1)&gt;0,+((W29-3)*1.5+(X29-3)*3.1),0),IF(+((W29-3)*1.5+(X29-3)*3.1)&gt;0,+((W29-3)*1.5+(X29-3)*3.1),0)))</f>
        <v>30</v>
      </c>
      <c r="AA29" s="144">
        <f t="shared" si="2"/>
        <v>80</v>
      </c>
      <c r="AB29" s="145">
        <f t="shared" si="12"/>
        <v>1090.8830952995997</v>
      </c>
      <c r="AC29" s="145">
        <f>+(S29-T29)*V29-'data 1'!$F$4</f>
        <v>63.299000000000007</v>
      </c>
      <c r="AD29" s="145">
        <f t="shared" si="3"/>
        <v>-6.1903540123360878</v>
      </c>
      <c r="AE29" s="191">
        <f t="shared" si="11"/>
        <v>-10.6830324</v>
      </c>
      <c r="AF29" s="145">
        <f t="shared" si="4"/>
        <v>70.150386109440063</v>
      </c>
      <c r="AG29" s="145">
        <f t="shared" si="13"/>
        <v>116.57599969710398</v>
      </c>
      <c r="AH29" s="145">
        <f t="shared" si="5"/>
        <v>135.05692456211784</v>
      </c>
      <c r="AI29" s="137">
        <f t="shared" si="6"/>
        <v>169.52004537753604</v>
      </c>
      <c r="AJ29" s="137">
        <f t="shared" si="7"/>
        <v>128.79679534228407</v>
      </c>
      <c r="AK29" s="88">
        <f t="shared" si="8"/>
        <v>6.2601292198337717</v>
      </c>
      <c r="AL29" s="144">
        <f t="shared" si="9"/>
        <v>8087.6676355150339</v>
      </c>
      <c r="AM29" s="57"/>
    </row>
    <row r="30" spans="1:39" ht="15.75" customHeight="1">
      <c r="A30" s="134" t="s">
        <v>279</v>
      </c>
      <c r="B30" s="135">
        <v>45551</v>
      </c>
      <c r="C30" s="136">
        <v>45545</v>
      </c>
      <c r="D30" s="79" t="s">
        <v>93</v>
      </c>
      <c r="E30" s="79">
        <v>20169040231</v>
      </c>
      <c r="F30" s="6" t="s">
        <v>99</v>
      </c>
      <c r="G30" s="80">
        <v>60</v>
      </c>
      <c r="H30" s="79" t="s">
        <v>69</v>
      </c>
      <c r="I30" s="137">
        <v>5.69</v>
      </c>
      <c r="J30" s="137">
        <v>1.38</v>
      </c>
      <c r="K30" s="138">
        <f t="shared" si="0"/>
        <v>5.611478</v>
      </c>
      <c r="L30" s="139">
        <v>0.27900000000000003</v>
      </c>
      <c r="M30" s="139">
        <v>0.26200000000000001</v>
      </c>
      <c r="N30" s="159">
        <v>0.26200000000000001</v>
      </c>
      <c r="O30" s="141">
        <f t="shared" si="14"/>
        <v>0.26200000000000001</v>
      </c>
      <c r="P30" s="79">
        <v>90</v>
      </c>
      <c r="Q30" s="137">
        <v>89.9</v>
      </c>
      <c r="R30" s="57">
        <v>2497.56</v>
      </c>
      <c r="S30" s="80">
        <v>110</v>
      </c>
      <c r="U30" s="79">
        <v>130</v>
      </c>
      <c r="V30" s="142">
        <v>1.1023000000000001</v>
      </c>
      <c r="W30" s="137">
        <v>5</v>
      </c>
      <c r="X30" s="137">
        <v>9.85</v>
      </c>
      <c r="Y30" s="79">
        <v>50</v>
      </c>
      <c r="Z30" s="143">
        <f>IF(IF(D30="UNTUCA",IF(+((W30-3)*1.5+(X30-3)*3.1)&gt;0,+((W30-3)*1.5+(X30-3)*3.1),0),IF(+((W30-3)*1.5+(X30-3)*3.1)&gt;0,+((W30-3)*1.5+(X30-3)*3.1),0))&lt;30,30,IF(D30="UNTUCA",IF(+((W30-3)*1.5+(X30-3)*3.1)&gt;0,+((W30-3)*1.5+(X30-3)*3.1),0),IF(+((W30-3)*1.5+(X30-3)*3.1)&gt;0,+((W30-3)*1.5+(X30-3)*3.1),0)))</f>
        <v>30</v>
      </c>
      <c r="AA30" s="144">
        <f t="shared" si="2"/>
        <v>80</v>
      </c>
      <c r="AB30" s="145">
        <f t="shared" si="12"/>
        <v>405.9447352904001</v>
      </c>
      <c r="AC30" s="145">
        <f>+(S30-T30)*V30-'data 1'!$F$4</f>
        <v>41.253</v>
      </c>
      <c r="AD30" s="145">
        <f t="shared" si="3"/>
        <v>-0.72812342725195867</v>
      </c>
      <c r="AE30" s="191">
        <f t="shared" si="11"/>
        <v>-8.5302404999999979</v>
      </c>
      <c r="AF30" s="145">
        <f t="shared" si="4"/>
        <v>39.884983292804037</v>
      </c>
      <c r="AG30" s="145">
        <f t="shared" si="13"/>
        <v>71.879619365552088</v>
      </c>
      <c r="AH30" s="145">
        <f t="shared" si="5"/>
        <v>48.255878777336768</v>
      </c>
      <c r="AI30" s="137">
        <f t="shared" si="6"/>
        <v>80.024367813552033</v>
      </c>
      <c r="AJ30" s="137">
        <f t="shared" si="7"/>
        <v>45.365963040160139</v>
      </c>
      <c r="AK30" s="88">
        <f t="shared" si="8"/>
        <v>2.8899157371766293</v>
      </c>
      <c r="AL30" s="144">
        <f t="shared" si="9"/>
        <v>2277.9499512979037</v>
      </c>
      <c r="AM30" s="57"/>
    </row>
    <row r="31" spans="1:39" ht="15.75" customHeight="1">
      <c r="A31" s="134" t="s">
        <v>280</v>
      </c>
      <c r="B31" s="135">
        <v>45551</v>
      </c>
      <c r="C31" s="136">
        <v>45545</v>
      </c>
      <c r="D31" s="79" t="s">
        <v>106</v>
      </c>
      <c r="F31" s="6" t="s">
        <v>281</v>
      </c>
      <c r="G31" s="80">
        <v>67</v>
      </c>
      <c r="H31" s="79" t="s">
        <v>69</v>
      </c>
      <c r="I31" s="137">
        <v>7.3</v>
      </c>
      <c r="J31" s="137">
        <v>1.02</v>
      </c>
      <c r="K31" s="138">
        <f t="shared" si="0"/>
        <v>7.2255399999999996</v>
      </c>
      <c r="L31" s="139">
        <v>1.139</v>
      </c>
      <c r="M31" s="139">
        <v>1.0900000000000001</v>
      </c>
      <c r="N31" s="159">
        <v>1.0900000000000001</v>
      </c>
      <c r="O31" s="141">
        <f t="shared" si="14"/>
        <v>1.0900000000000001</v>
      </c>
      <c r="P31" s="79">
        <v>90</v>
      </c>
      <c r="Q31" s="137">
        <v>89.47</v>
      </c>
      <c r="R31" s="57">
        <v>2497.56</v>
      </c>
      <c r="S31" s="80">
        <v>180</v>
      </c>
      <c r="U31" s="79">
        <v>130</v>
      </c>
      <c r="V31" s="142">
        <v>1.1023000000000001</v>
      </c>
      <c r="W31" s="137">
        <v>6</v>
      </c>
      <c r="X31" s="160">
        <v>9</v>
      </c>
      <c r="Y31" s="79">
        <v>50</v>
      </c>
      <c r="Z31" s="160">
        <v>35</v>
      </c>
      <c r="AA31" s="144">
        <f t="shared" si="2"/>
        <v>85</v>
      </c>
      <c r="AB31" s="145">
        <f t="shared" si="12"/>
        <v>2268.0664216280006</v>
      </c>
      <c r="AC31" s="145">
        <f>+(S31-T31)*V31-'data 1'!$F$4</f>
        <v>118.41400000000002</v>
      </c>
      <c r="AD31" s="145">
        <f t="shared" si="3"/>
        <v>-15.754346570939635</v>
      </c>
      <c r="AE31" s="191">
        <f t="shared" si="11"/>
        <v>-1.7676299999999987</v>
      </c>
      <c r="AF31" s="145">
        <f t="shared" si="4"/>
        <v>114.41272217833624</v>
      </c>
      <c r="AG31" s="145">
        <f t="shared" si="13"/>
        <v>215.30474560739663</v>
      </c>
      <c r="AH31" s="145">
        <f t="shared" si="5"/>
        <v>252.45300252046957</v>
      </c>
      <c r="AI31" s="137">
        <f t="shared" si="6"/>
        <v>325.13185237476972</v>
      </c>
      <c r="AJ31" s="137">
        <f t="shared" si="7"/>
        <v>243.0235643581519</v>
      </c>
      <c r="AK31" s="88">
        <f t="shared" si="8"/>
        <v>9.4294381623176662</v>
      </c>
      <c r="AL31" s="144">
        <f t="shared" si="9"/>
        <v>16388.004652129985</v>
      </c>
      <c r="AM31" s="57"/>
    </row>
    <row r="32" spans="1:39" ht="15.75" customHeight="1">
      <c r="A32" s="134" t="s">
        <v>282</v>
      </c>
      <c r="B32" s="135">
        <v>45551</v>
      </c>
      <c r="C32" s="136">
        <v>45545</v>
      </c>
      <c r="D32" s="79" t="s">
        <v>106</v>
      </c>
      <c r="F32" s="6" t="s">
        <v>281</v>
      </c>
      <c r="G32" s="80">
        <v>40</v>
      </c>
      <c r="H32" s="79" t="s">
        <v>69</v>
      </c>
      <c r="I32" s="137">
        <v>4.5999999999999996</v>
      </c>
      <c r="J32" s="137">
        <v>1</v>
      </c>
      <c r="K32" s="138">
        <f t="shared" si="0"/>
        <v>4.5539999999999994</v>
      </c>
      <c r="L32" s="139">
        <v>1.1040000000000001</v>
      </c>
      <c r="M32" s="139">
        <v>1.048</v>
      </c>
      <c r="N32" s="159">
        <v>1.048</v>
      </c>
      <c r="O32" s="141">
        <f t="shared" si="14"/>
        <v>1.048</v>
      </c>
      <c r="P32" s="79">
        <v>90</v>
      </c>
      <c r="Q32" s="137">
        <v>89.67</v>
      </c>
      <c r="R32" s="57">
        <v>2497.56</v>
      </c>
      <c r="S32" s="80">
        <v>180</v>
      </c>
      <c r="U32" s="79">
        <v>130</v>
      </c>
      <c r="V32" s="142">
        <v>1.1023000000000001</v>
      </c>
      <c r="W32" s="137">
        <v>6</v>
      </c>
      <c r="X32" s="160">
        <v>9</v>
      </c>
      <c r="Y32" s="79">
        <v>50</v>
      </c>
      <c r="Z32" s="160">
        <v>35</v>
      </c>
      <c r="AA32" s="144">
        <f t="shared" si="2"/>
        <v>85</v>
      </c>
      <c r="AB32" s="145">
        <f t="shared" si="12"/>
        <v>2169.4174411616004</v>
      </c>
      <c r="AC32" s="145">
        <f>+(S32-T32)*V32-'data 1'!$F$4</f>
        <v>118.41400000000002</v>
      </c>
      <c r="AD32" s="145">
        <f t="shared" si="3"/>
        <v>-9.5078826887615513</v>
      </c>
      <c r="AE32" s="191">
        <f t="shared" si="11"/>
        <v>-1.7676299999999987</v>
      </c>
      <c r="AF32" s="145">
        <f t="shared" si="4"/>
        <v>131.04969005069771</v>
      </c>
      <c r="AG32" s="145">
        <f t="shared" si="13"/>
        <v>238.18817736193617</v>
      </c>
      <c r="AH32" s="145">
        <f t="shared" si="5"/>
        <v>154.56755554751282</v>
      </c>
      <c r="AI32" s="137">
        <f t="shared" si="6"/>
        <v>315.84543193244167</v>
      </c>
      <c r="AJ32" s="137">
        <f t="shared" si="7"/>
        <v>147.26715185189306</v>
      </c>
      <c r="AK32" s="88">
        <f t="shared" si="8"/>
        <v>7.3004036956197638</v>
      </c>
      <c r="AL32" s="144">
        <f t="shared" si="9"/>
        <v>9879.5270270499277</v>
      </c>
      <c r="AM32" s="57"/>
    </row>
    <row r="33" spans="1:46" ht="15.75" customHeight="1">
      <c r="A33" s="134" t="s">
        <v>283</v>
      </c>
      <c r="B33" s="135">
        <v>45548</v>
      </c>
      <c r="C33" s="136">
        <v>45547</v>
      </c>
      <c r="D33" s="206" t="s">
        <v>119</v>
      </c>
      <c r="G33" s="80">
        <v>54</v>
      </c>
      <c r="H33" s="79" t="s">
        <v>69</v>
      </c>
      <c r="I33" s="137">
        <v>4.6900000000000004</v>
      </c>
      <c r="J33" s="137">
        <v>1</v>
      </c>
      <c r="K33" s="138">
        <f t="shared" si="0"/>
        <v>4.6431000000000004</v>
      </c>
      <c r="L33" s="80">
        <v>0.21199999999999999</v>
      </c>
      <c r="M33" s="139">
        <v>0.19700000000000001</v>
      </c>
      <c r="N33" s="159">
        <v>0.19700000000000001</v>
      </c>
      <c r="O33" s="141">
        <f t="shared" si="14"/>
        <v>0.19700000000000001</v>
      </c>
      <c r="P33" s="79">
        <v>85</v>
      </c>
      <c r="Q33" s="137">
        <v>89.48</v>
      </c>
      <c r="R33" s="57">
        <v>2558.65</v>
      </c>
      <c r="S33" s="80">
        <v>95</v>
      </c>
      <c r="U33" s="79">
        <v>80</v>
      </c>
      <c r="V33" s="142">
        <v>1.1023000000000001</v>
      </c>
      <c r="W33" s="137">
        <v>5.5</v>
      </c>
      <c r="X33" s="137">
        <v>7.2</v>
      </c>
      <c r="Z33" s="160">
        <v>10</v>
      </c>
      <c r="AA33" s="144">
        <f t="shared" si="2"/>
        <v>10</v>
      </c>
      <c r="AB33" s="145">
        <f t="shared" si="12"/>
        <v>341.76805161775007</v>
      </c>
      <c r="AC33" s="145">
        <f>+(S33-T33)*V33-'data 1'!$F$4</f>
        <v>24.718500000000006</v>
      </c>
      <c r="AD33" s="145">
        <f t="shared" si="3"/>
        <v>25.949493684352024</v>
      </c>
      <c r="AE33" s="191">
        <f t="shared" si="11"/>
        <v>-77.462570999999997</v>
      </c>
      <c r="AF33" s="145">
        <f t="shared" si="4"/>
        <v>36.671801742689965</v>
      </c>
      <c r="AG33" s="145">
        <f t="shared" ref="AG33:AG39" si="15">+IF(D33="RONALD WILLIAN GARIBAY ESCUDERO",AC33+AD33+AE33+AF33+80,AC33+AD33+AE33+AF33)+90</f>
        <v>99.877224427041995</v>
      </c>
      <c r="AH33" s="145">
        <f t="shared" si="5"/>
        <v>30.198052995700355</v>
      </c>
      <c r="AI33" s="137">
        <f t="shared" si="6"/>
        <v>37.293638560007984</v>
      </c>
      <c r="AJ33" s="137">
        <f t="shared" si="7"/>
        <v>26.656446755942223</v>
      </c>
      <c r="AK33" s="88"/>
      <c r="AL33" s="144">
        <f t="shared" si="9"/>
        <v>1586.8632404663756</v>
      </c>
      <c r="AM33" s="57"/>
    </row>
    <row r="34" spans="1:46" ht="15.75" customHeight="1">
      <c r="A34" s="134" t="s">
        <v>284</v>
      </c>
      <c r="B34" s="135">
        <v>45548</v>
      </c>
      <c r="C34" s="136">
        <v>45547</v>
      </c>
      <c r="D34" s="206" t="s">
        <v>119</v>
      </c>
      <c r="G34" s="80">
        <v>40</v>
      </c>
      <c r="H34" s="79" t="s">
        <v>69</v>
      </c>
      <c r="I34" s="137">
        <v>3.36</v>
      </c>
      <c r="J34" s="137">
        <v>0.9</v>
      </c>
      <c r="K34" s="138">
        <f t="shared" si="0"/>
        <v>3.3297599999999998</v>
      </c>
      <c r="L34" s="80">
        <v>0.20499999999999999</v>
      </c>
      <c r="M34" s="139">
        <v>0.20100000000000001</v>
      </c>
      <c r="N34" s="159">
        <v>0.20100000000000001</v>
      </c>
      <c r="O34" s="141">
        <f t="shared" si="14"/>
        <v>0.20100000000000001</v>
      </c>
      <c r="P34" s="79">
        <v>85</v>
      </c>
      <c r="Q34" s="137">
        <v>89.97</v>
      </c>
      <c r="R34" s="57">
        <v>2558.65</v>
      </c>
      <c r="S34" s="80">
        <v>105</v>
      </c>
      <c r="U34" s="79">
        <v>80</v>
      </c>
      <c r="V34" s="142">
        <v>1.1023000000000001</v>
      </c>
      <c r="W34" s="137">
        <v>5.5</v>
      </c>
      <c r="X34" s="137">
        <v>7.2</v>
      </c>
      <c r="Z34" s="160">
        <v>10</v>
      </c>
      <c r="AA34" s="144">
        <f t="shared" si="2"/>
        <v>10</v>
      </c>
      <c r="AB34" s="145">
        <f t="shared" si="12"/>
        <v>340.03458566075005</v>
      </c>
      <c r="AC34" s="145">
        <f>+(S34-T34)*V34-'data 1'!$F$4</f>
        <v>35.741500000000002</v>
      </c>
      <c r="AD34" s="145">
        <f t="shared" si="3"/>
        <v>27.837181646207497</v>
      </c>
      <c r="AE34" s="191">
        <f t="shared" si="11"/>
        <v>-77.462570999999997</v>
      </c>
      <c r="AF34" s="145">
        <f t="shared" si="4"/>
        <v>9.8326985629259411</v>
      </c>
      <c r="AG34" s="145">
        <f t="shared" si="15"/>
        <v>85.948809209133444</v>
      </c>
      <c r="AH34" s="145">
        <f t="shared" si="5"/>
        <v>21.055889010123028</v>
      </c>
      <c r="AI34" s="137">
        <f t="shared" si="6"/>
        <v>36.25972471739248</v>
      </c>
      <c r="AJ34" s="137">
        <f t="shared" si="7"/>
        <v>19.504597127928925</v>
      </c>
      <c r="AK34" s="88"/>
      <c r="AL34" s="144">
        <f t="shared" si="9"/>
        <v>1132.2335619497389</v>
      </c>
      <c r="AM34" s="57"/>
    </row>
    <row r="35" spans="1:46" ht="15.75" customHeight="1">
      <c r="A35" s="134" t="s">
        <v>285</v>
      </c>
      <c r="B35" s="135">
        <v>45548</v>
      </c>
      <c r="C35" s="136">
        <v>45547</v>
      </c>
      <c r="D35" s="206" t="s">
        <v>119</v>
      </c>
      <c r="G35" s="80">
        <v>50</v>
      </c>
      <c r="H35" s="79" t="s">
        <v>69</v>
      </c>
      <c r="I35" s="137">
        <v>4.33</v>
      </c>
      <c r="J35" s="137">
        <v>0.9</v>
      </c>
      <c r="K35" s="138">
        <f t="shared" si="0"/>
        <v>4.2910300000000001</v>
      </c>
      <c r="L35" s="80">
        <v>0.41399999999999998</v>
      </c>
      <c r="M35" s="139">
        <v>0.38</v>
      </c>
      <c r="N35" s="159">
        <v>0.38</v>
      </c>
      <c r="O35" s="141">
        <f t="shared" si="14"/>
        <v>0.38</v>
      </c>
      <c r="P35" s="79">
        <v>90</v>
      </c>
      <c r="Q35" s="137">
        <v>89.44</v>
      </c>
      <c r="R35" s="57">
        <v>2558.65</v>
      </c>
      <c r="S35" s="80">
        <v>110</v>
      </c>
      <c r="U35" s="79">
        <v>80</v>
      </c>
      <c r="V35" s="142">
        <v>1.1023000000000001</v>
      </c>
      <c r="W35" s="137">
        <v>5.5</v>
      </c>
      <c r="X35" s="137">
        <v>7.2</v>
      </c>
      <c r="Z35" s="160">
        <v>10</v>
      </c>
      <c r="AA35" s="144">
        <f t="shared" si="2"/>
        <v>10</v>
      </c>
      <c r="AB35" s="145">
        <f t="shared" si="12"/>
        <v>802.1418360900002</v>
      </c>
      <c r="AC35" s="145">
        <f>+(S35-T35)*V35-'data 1'!$F$4</f>
        <v>41.253</v>
      </c>
      <c r="AD35" s="145">
        <f t="shared" si="3"/>
        <v>-6.3343693309680269</v>
      </c>
      <c r="AE35" s="191">
        <f t="shared" si="11"/>
        <v>-77.462570999999997</v>
      </c>
      <c r="AF35" s="145">
        <f t="shared" si="4"/>
        <v>83.085592480591956</v>
      </c>
      <c r="AG35" s="145">
        <f t="shared" si="15"/>
        <v>130.54165214962393</v>
      </c>
      <c r="AH35" s="145">
        <f t="shared" si="5"/>
        <v>54.475691500588319</v>
      </c>
      <c r="AI35" s="137">
        <f t="shared" si="6"/>
        <v>72.795587059727964</v>
      </c>
      <c r="AJ35" s="137">
        <f t="shared" si="7"/>
        <v>50.314913009993504</v>
      </c>
      <c r="AK35" s="88"/>
      <c r="AL35" s="144">
        <f t="shared" si="9"/>
        <v>3442.0146829172736</v>
      </c>
      <c r="AM35" s="57"/>
    </row>
    <row r="36" spans="1:46" ht="15.75" customHeight="1">
      <c r="A36" s="134" t="s">
        <v>286</v>
      </c>
      <c r="B36" s="135">
        <v>45548</v>
      </c>
      <c r="C36" s="136">
        <v>45547</v>
      </c>
      <c r="D36" s="206" t="s">
        <v>119</v>
      </c>
      <c r="G36" s="80">
        <v>45</v>
      </c>
      <c r="H36" s="79" t="s">
        <v>69</v>
      </c>
      <c r="I36" s="137">
        <v>3.97</v>
      </c>
      <c r="J36" s="137">
        <v>1</v>
      </c>
      <c r="K36" s="138">
        <f t="shared" si="0"/>
        <v>3.9303000000000003</v>
      </c>
      <c r="L36" s="80">
        <v>0.11799999999999999</v>
      </c>
      <c r="M36" s="139">
        <v>0.115</v>
      </c>
      <c r="N36" s="159">
        <v>0.115</v>
      </c>
      <c r="O36" s="141">
        <f t="shared" si="14"/>
        <v>0.115</v>
      </c>
      <c r="P36" s="79">
        <v>85</v>
      </c>
      <c r="Q36" s="137">
        <v>89.48</v>
      </c>
      <c r="R36" s="57">
        <v>2558.65</v>
      </c>
      <c r="S36" s="80">
        <v>95</v>
      </c>
      <c r="U36" s="79">
        <v>80</v>
      </c>
      <c r="V36" s="142">
        <v>1.1023000000000001</v>
      </c>
      <c r="W36" s="137">
        <v>5.5</v>
      </c>
      <c r="X36" s="137">
        <v>7.2</v>
      </c>
      <c r="Z36" s="160">
        <v>10</v>
      </c>
      <c r="AA36" s="144">
        <f t="shared" si="2"/>
        <v>10</v>
      </c>
      <c r="AB36" s="145">
        <f t="shared" si="12"/>
        <v>151.33260373625004</v>
      </c>
      <c r="AC36" s="145">
        <f>+(S36-T36)*V36-'data 1'!$F$4</f>
        <v>24.718500000000006</v>
      </c>
      <c r="AD36" s="145">
        <f t="shared" si="3"/>
        <v>14.443586107328013</v>
      </c>
      <c r="AE36" s="191">
        <f t="shared" si="11"/>
        <v>-77.462570999999997</v>
      </c>
      <c r="AF36" s="145">
        <f t="shared" si="4"/>
        <v>7.3343603485379729</v>
      </c>
      <c r="AG36" s="145">
        <f t="shared" si="15"/>
        <v>59.033875455865996</v>
      </c>
      <c r="AH36" s="145">
        <f t="shared" si="5"/>
        <v>14.227963859642948</v>
      </c>
      <c r="AI36" s="137">
        <f t="shared" si="6"/>
        <v>20.75777995321199</v>
      </c>
      <c r="AJ36" s="137">
        <f t="shared" si="7"/>
        <v>13.171994378822443</v>
      </c>
      <c r="AK36" s="88"/>
      <c r="AL36" s="144">
        <f t="shared" si="9"/>
        <v>594.7825324645836</v>
      </c>
      <c r="AM36" s="57"/>
    </row>
    <row r="37" spans="1:46" ht="15.75" customHeight="1">
      <c r="A37" s="134" t="s">
        <v>287</v>
      </c>
      <c r="B37" s="135">
        <v>45548</v>
      </c>
      <c r="C37" s="136">
        <v>45547</v>
      </c>
      <c r="D37" s="206" t="s">
        <v>119</v>
      </c>
      <c r="G37" s="80">
        <v>49</v>
      </c>
      <c r="H37" s="79" t="s">
        <v>69</v>
      </c>
      <c r="I37" s="137">
        <v>4</v>
      </c>
      <c r="J37" s="137">
        <v>1</v>
      </c>
      <c r="K37" s="138">
        <f t="shared" si="0"/>
        <v>3.96</v>
      </c>
      <c r="L37" s="80">
        <v>0.19600000000000001</v>
      </c>
      <c r="M37" s="139">
        <v>0.186</v>
      </c>
      <c r="N37" s="159">
        <v>0.186</v>
      </c>
      <c r="O37" s="141">
        <f t="shared" si="14"/>
        <v>0.186</v>
      </c>
      <c r="P37" s="79">
        <v>85</v>
      </c>
      <c r="Q37" s="137">
        <v>89.21</v>
      </c>
      <c r="R37" s="57">
        <v>2558.65</v>
      </c>
      <c r="S37" s="80">
        <v>95</v>
      </c>
      <c r="U37" s="79">
        <v>80</v>
      </c>
      <c r="V37" s="142">
        <v>1.1023000000000001</v>
      </c>
      <c r="W37" s="137">
        <v>5.5</v>
      </c>
      <c r="X37" s="137">
        <v>7.2</v>
      </c>
      <c r="Z37" s="160">
        <v>10</v>
      </c>
      <c r="AA37" s="144">
        <f t="shared" si="2"/>
        <v>10</v>
      </c>
      <c r="AB37" s="145">
        <f t="shared" si="12"/>
        <v>316.22183299950001</v>
      </c>
      <c r="AC37" s="145">
        <f>+(S37-T37)*V37-'data 1'!$F$4</f>
        <v>24.718500000000006</v>
      </c>
      <c r="AD37" s="145">
        <f t="shared" si="3"/>
        <v>22.545152679181971</v>
      </c>
      <c r="AE37" s="191">
        <f t="shared" si="11"/>
        <v>-77.462570999999997</v>
      </c>
      <c r="AF37" s="145">
        <f t="shared" si="4"/>
        <v>24.374097999295021</v>
      </c>
      <c r="AG37" s="145">
        <f t="shared" si="15"/>
        <v>84.175179678476994</v>
      </c>
      <c r="AH37" s="145">
        <f t="shared" si="5"/>
        <v>23.739625630366987</v>
      </c>
      <c r="AI37" s="137">
        <f t="shared" si="6"/>
        <v>34.374986146577982</v>
      </c>
      <c r="AJ37" s="137">
        <f t="shared" si="7"/>
        <v>21.4652586087918</v>
      </c>
      <c r="AK37" s="88"/>
      <c r="AL37" s="144">
        <f t="shared" si="9"/>
        <v>1252.2384586780199</v>
      </c>
      <c r="AM37" s="57"/>
    </row>
    <row r="38" spans="1:46" ht="15.75" customHeight="1">
      <c r="A38" s="134" t="s">
        <v>288</v>
      </c>
      <c r="B38" s="135">
        <v>45548</v>
      </c>
      <c r="C38" s="136">
        <v>45547</v>
      </c>
      <c r="D38" s="206" t="s">
        <v>119</v>
      </c>
      <c r="G38" s="80">
        <v>42</v>
      </c>
      <c r="H38" s="79" t="s">
        <v>69</v>
      </c>
      <c r="I38" s="137">
        <v>3.6</v>
      </c>
      <c r="J38" s="137">
        <v>0.8</v>
      </c>
      <c r="K38" s="138">
        <f t="shared" si="0"/>
        <v>3.5712000000000002</v>
      </c>
      <c r="L38" s="80">
        <v>0.186</v>
      </c>
      <c r="M38" s="139">
        <v>0.17599999999999999</v>
      </c>
      <c r="N38" s="159">
        <v>0.17599999999999999</v>
      </c>
      <c r="O38" s="141">
        <f t="shared" si="14"/>
        <v>0.17599999999999999</v>
      </c>
      <c r="P38" s="79">
        <v>85</v>
      </c>
      <c r="Q38" s="137">
        <v>89.24</v>
      </c>
      <c r="R38" s="57">
        <v>2558.65</v>
      </c>
      <c r="S38" s="80">
        <v>95</v>
      </c>
      <c r="U38" s="79">
        <v>80</v>
      </c>
      <c r="V38" s="142">
        <v>1.1023000000000001</v>
      </c>
      <c r="W38" s="137">
        <v>5.5</v>
      </c>
      <c r="X38" s="137">
        <v>7.2</v>
      </c>
      <c r="Z38" s="160">
        <v>10</v>
      </c>
      <c r="AA38" s="144">
        <f t="shared" si="2"/>
        <v>10</v>
      </c>
      <c r="AB38" s="145">
        <f t="shared" si="12"/>
        <v>292.997997892</v>
      </c>
      <c r="AC38" s="145">
        <f>+(S38-T38)*V38-'data 1'!$F$4</f>
        <v>24.718500000000006</v>
      </c>
      <c r="AD38" s="145">
        <f t="shared" si="3"/>
        <v>21.547347434327975</v>
      </c>
      <c r="AE38" s="191">
        <f t="shared" si="11"/>
        <v>-77.462570999999997</v>
      </c>
      <c r="AF38" s="145">
        <f t="shared" si="4"/>
        <v>24.382294646980021</v>
      </c>
      <c r="AG38" s="145">
        <f t="shared" si="15"/>
        <v>83.185571081308012</v>
      </c>
      <c r="AH38" s="145">
        <f t="shared" si="5"/>
        <v>20.323371131792424</v>
      </c>
      <c r="AI38" s="137">
        <f t="shared" si="6"/>
        <v>32.63213033521199</v>
      </c>
      <c r="AJ38" s="137">
        <f t="shared" si="7"/>
        <v>18.317020679502335</v>
      </c>
      <c r="AK38" s="88"/>
      <c r="AL38" s="144">
        <f t="shared" si="9"/>
        <v>1046.3544500719104</v>
      </c>
      <c r="AM38" s="57"/>
    </row>
    <row r="39" spans="1:46" ht="15.75" customHeight="1">
      <c r="A39" s="134" t="s">
        <v>289</v>
      </c>
      <c r="B39" s="194">
        <v>45548</v>
      </c>
      <c r="C39" s="194">
        <v>45547</v>
      </c>
      <c r="D39" s="207" t="s">
        <v>119</v>
      </c>
      <c r="E39" s="163"/>
      <c r="F39" s="163"/>
      <c r="G39" s="161">
        <v>20</v>
      </c>
      <c r="H39" s="163" t="s">
        <v>69</v>
      </c>
      <c r="I39" s="195">
        <v>1.65</v>
      </c>
      <c r="J39" s="195">
        <v>2.2000000000000002</v>
      </c>
      <c r="K39" s="196">
        <f t="shared" si="0"/>
        <v>1.6136999999999999</v>
      </c>
      <c r="L39" s="161">
        <v>4.2999999999999997E-2</v>
      </c>
      <c r="M39" s="197">
        <v>3.5000000000000003E-2</v>
      </c>
      <c r="N39" s="198">
        <v>3.5000000000000003E-2</v>
      </c>
      <c r="O39" s="197">
        <f t="shared" si="14"/>
        <v>3.5000000000000003E-2</v>
      </c>
      <c r="P39" s="163">
        <v>85</v>
      </c>
      <c r="Q39" s="195">
        <v>71.63</v>
      </c>
      <c r="R39" s="200">
        <v>2558.65</v>
      </c>
      <c r="S39" s="161">
        <v>95</v>
      </c>
      <c r="T39" s="163"/>
      <c r="U39" s="163">
        <v>80</v>
      </c>
      <c r="V39" s="163">
        <v>1.1023000000000001</v>
      </c>
      <c r="W39" s="195">
        <v>5.5</v>
      </c>
      <c r="X39" s="195">
        <v>6</v>
      </c>
      <c r="Y39" s="163"/>
      <c r="Z39" s="160">
        <v>10</v>
      </c>
      <c r="AA39" s="200">
        <f t="shared" si="2"/>
        <v>10</v>
      </c>
      <c r="AB39" s="208">
        <v>0</v>
      </c>
      <c r="AC39" s="201">
        <f>+(S39-T39)*V39-'data 1'!$F$4</f>
        <v>24.718500000000006</v>
      </c>
      <c r="AD39" s="201">
        <f t="shared" si="3"/>
        <v>-15.707782401944506</v>
      </c>
      <c r="AE39" s="191">
        <f t="shared" si="11"/>
        <v>-73.362015</v>
      </c>
      <c r="AF39" s="201">
        <f t="shared" si="4"/>
        <v>15.656689964707986</v>
      </c>
      <c r="AG39" s="201">
        <f t="shared" si="15"/>
        <v>41.305392562763494</v>
      </c>
      <c r="AH39" s="201">
        <f t="shared" si="5"/>
        <v>1.7041007791432043</v>
      </c>
      <c r="AI39" s="195">
        <f t="shared" si="6"/>
        <v>6.0553092496844965</v>
      </c>
      <c r="AJ39" s="195">
        <f t="shared" si="7"/>
        <v>1.6459583382144789</v>
      </c>
      <c r="AK39" s="202"/>
      <c r="AL39" s="144">
        <f t="shared" si="9"/>
        <v>0</v>
      </c>
      <c r="AM39" s="200"/>
      <c r="AN39" s="163"/>
      <c r="AO39" s="163"/>
      <c r="AP39" s="163"/>
      <c r="AQ39" s="163"/>
      <c r="AR39" s="163"/>
      <c r="AS39" s="163"/>
      <c r="AT39" s="163"/>
    </row>
    <row r="40" spans="1:46" ht="15.75" customHeight="1">
      <c r="A40" s="134" t="s">
        <v>290</v>
      </c>
      <c r="B40" s="209">
        <v>45551</v>
      </c>
      <c r="C40" s="209">
        <v>45549</v>
      </c>
      <c r="D40" s="210" t="s">
        <v>72</v>
      </c>
      <c r="E40" s="210"/>
      <c r="F40" s="210"/>
      <c r="G40" s="211" t="s">
        <v>68</v>
      </c>
      <c r="H40" s="210" t="s">
        <v>116</v>
      </c>
      <c r="I40" s="210">
        <v>33.9</v>
      </c>
      <c r="J40" s="212">
        <v>1</v>
      </c>
      <c r="K40" s="213">
        <f t="shared" si="0"/>
        <v>33.561</v>
      </c>
      <c r="L40" s="214">
        <v>0.17100000000000001</v>
      </c>
      <c r="M40" s="214">
        <v>0.16</v>
      </c>
      <c r="N40" s="215">
        <v>0.183</v>
      </c>
      <c r="O40" s="214">
        <f t="shared" si="14"/>
        <v>0.17199999999999999</v>
      </c>
      <c r="P40" s="210">
        <v>88</v>
      </c>
      <c r="Q40" s="212">
        <v>89.4</v>
      </c>
      <c r="R40" s="216">
        <v>2556.79</v>
      </c>
      <c r="S40" s="211">
        <v>110</v>
      </c>
      <c r="T40" s="210"/>
      <c r="U40" s="210">
        <v>120</v>
      </c>
      <c r="V40" s="210">
        <v>1.1023000000000001</v>
      </c>
      <c r="W40" s="217">
        <v>3</v>
      </c>
      <c r="X40" s="217">
        <v>3</v>
      </c>
      <c r="Y40" s="210"/>
      <c r="Z40" s="218">
        <v>20</v>
      </c>
      <c r="AA40" s="216">
        <f t="shared" si="2"/>
        <v>20</v>
      </c>
      <c r="AB40" s="219">
        <f t="shared" ref="AB40:AB76" si="16">+((O40*P40*(R40-U40)/100)-S40-AA40+T40)*V40</f>
        <v>263.26510266911998</v>
      </c>
      <c r="AC40" s="219">
        <f>+(S40-T40)*V40-'data 1'!$F$4</f>
        <v>41.253</v>
      </c>
      <c r="AD40" s="219">
        <f t="shared" si="3"/>
        <v>6.4304602390980268</v>
      </c>
      <c r="AE40" s="191">
        <f t="shared" si="11"/>
        <v>-47.954000000000001</v>
      </c>
      <c r="AF40" s="219">
        <f t="shared" si="4"/>
        <v>-2.4013498135979354</v>
      </c>
      <c r="AG40" s="219">
        <f t="shared" ref="AG40:AG62" si="17">+IF(D40="RONALD WILLIAN GARIBAY ESCUDERO",AC40+AD40+AE40+AF40+80,AC40+AD40+AE40+AF40)</f>
        <v>-2.6718895744999109</v>
      </c>
      <c r="AH40" s="219">
        <f t="shared" si="5"/>
        <v>175.90475983649409</v>
      </c>
      <c r="AI40" s="212">
        <f t="shared" si="6"/>
        <v>37.108249976142012</v>
      </c>
      <c r="AJ40" s="212">
        <f t="shared" si="7"/>
        <v>174.16267284725811</v>
      </c>
      <c r="AK40" s="220"/>
      <c r="AL40" s="144">
        <f t="shared" si="9"/>
        <v>8835.4401106783353</v>
      </c>
      <c r="AM40" s="216"/>
      <c r="AN40" s="210"/>
      <c r="AO40" s="210"/>
      <c r="AP40" s="210"/>
      <c r="AQ40" s="210"/>
      <c r="AR40" s="210"/>
      <c r="AS40" s="210"/>
      <c r="AT40" s="210"/>
    </row>
    <row r="41" spans="1:46" ht="15.75" customHeight="1">
      <c r="A41" s="134" t="s">
        <v>291</v>
      </c>
      <c r="B41" s="209">
        <v>45551</v>
      </c>
      <c r="C41" s="209">
        <v>45549</v>
      </c>
      <c r="D41" s="210" t="s">
        <v>72</v>
      </c>
      <c r="E41" s="210"/>
      <c r="F41" s="210"/>
      <c r="G41" s="211" t="s">
        <v>68</v>
      </c>
      <c r="H41" s="210" t="s">
        <v>116</v>
      </c>
      <c r="I41" s="210">
        <v>26.42</v>
      </c>
      <c r="J41" s="212">
        <v>1</v>
      </c>
      <c r="K41" s="213">
        <f t="shared" si="0"/>
        <v>26.155800000000003</v>
      </c>
      <c r="L41" s="214">
        <v>0.188</v>
      </c>
      <c r="M41" s="214">
        <v>0.17699999999999999</v>
      </c>
      <c r="N41" s="215">
        <v>0.2</v>
      </c>
      <c r="O41" s="214">
        <f t="shared" si="14"/>
        <v>0.189</v>
      </c>
      <c r="P41" s="210">
        <v>88</v>
      </c>
      <c r="Q41" s="212">
        <v>89.77</v>
      </c>
      <c r="R41" s="216">
        <v>2556.79</v>
      </c>
      <c r="S41" s="211">
        <v>110</v>
      </c>
      <c r="T41" s="210"/>
      <c r="U41" s="210">
        <v>120</v>
      </c>
      <c r="V41" s="210">
        <v>1.1023000000000001</v>
      </c>
      <c r="W41" s="217">
        <v>3</v>
      </c>
      <c r="X41" s="217">
        <v>3</v>
      </c>
      <c r="Y41" s="210"/>
      <c r="Z41" s="218">
        <v>20</v>
      </c>
      <c r="AA41" s="216">
        <f t="shared" si="2"/>
        <v>20</v>
      </c>
      <c r="AB41" s="219">
        <f t="shared" si="16"/>
        <v>303.44876397944006</v>
      </c>
      <c r="AC41" s="219">
        <f>+(S41-T41)*V41-'data 1'!$F$4</f>
        <v>41.253</v>
      </c>
      <c r="AD41" s="219">
        <f t="shared" si="3"/>
        <v>8.9381785679291799</v>
      </c>
      <c r="AE41" s="191">
        <f t="shared" si="11"/>
        <v>-47.954000000000001</v>
      </c>
      <c r="AF41" s="219">
        <f t="shared" si="4"/>
        <v>-2.4112882859809019</v>
      </c>
      <c r="AG41" s="219">
        <f t="shared" si="17"/>
        <v>-0.17410971805172437</v>
      </c>
      <c r="AH41" s="219">
        <f t="shared" si="5"/>
        <v>151.34432878479313</v>
      </c>
      <c r="AI41" s="212">
        <f t="shared" si="6"/>
        <v>40.966222435950804</v>
      </c>
      <c r="AJ41" s="212">
        <f t="shared" si="7"/>
        <v>149.14941471874218</v>
      </c>
      <c r="AK41" s="220"/>
      <c r="AL41" s="144">
        <f t="shared" si="9"/>
        <v>7936.9451808934391</v>
      </c>
      <c r="AM41" s="216"/>
      <c r="AN41" s="210"/>
      <c r="AO41" s="210"/>
      <c r="AP41" s="210"/>
      <c r="AQ41" s="210"/>
      <c r="AR41" s="210"/>
      <c r="AS41" s="210"/>
      <c r="AT41" s="210"/>
    </row>
    <row r="42" spans="1:46" ht="15.75" customHeight="1">
      <c r="A42" s="134" t="s">
        <v>292</v>
      </c>
      <c r="B42" s="135">
        <v>45551</v>
      </c>
      <c r="C42" s="136">
        <v>45549</v>
      </c>
      <c r="D42" s="206" t="s">
        <v>129</v>
      </c>
      <c r="E42" s="79">
        <v>10423109730</v>
      </c>
      <c r="G42" s="80" t="s">
        <v>68</v>
      </c>
      <c r="H42" s="79" t="s">
        <v>69</v>
      </c>
      <c r="I42" s="79">
        <v>21.61</v>
      </c>
      <c r="J42" s="137">
        <v>0.9</v>
      </c>
      <c r="K42" s="138">
        <f t="shared" si="0"/>
        <v>21.415510000000001</v>
      </c>
      <c r="L42" s="139">
        <v>0.20599999999999999</v>
      </c>
      <c r="M42" s="139">
        <v>0.17899999999999999</v>
      </c>
      <c r="N42" s="139">
        <v>0.24299999999999999</v>
      </c>
      <c r="O42" s="141">
        <f t="shared" si="14"/>
        <v>0.21099999999999999</v>
      </c>
      <c r="P42" s="79">
        <v>90</v>
      </c>
      <c r="Q42" s="137">
        <v>89.47</v>
      </c>
      <c r="R42" s="57">
        <v>2571.35</v>
      </c>
      <c r="S42" s="80">
        <v>110</v>
      </c>
      <c r="U42" s="79">
        <v>100</v>
      </c>
      <c r="V42" s="142">
        <v>1.1023000000000001</v>
      </c>
      <c r="W42" s="137">
        <v>5</v>
      </c>
      <c r="X42" s="137">
        <v>6.5</v>
      </c>
      <c r="Z42" s="143">
        <f t="shared" ref="Z42:Z64" si="18">IF(IF(D42="UNTUCA",IF(+((W42-3)*1.5+(X42-3)*3.1)&gt;0,+((W42-3)*1.5+(X42-3)*3.1),0),IF(+((W42-3)*1.5+(X42-3)*3.1)&gt;0,+((W42-3)*1.5+(X42-3)*3.1),0))&lt;30,30,IF(D42="UNTUCA",IF(+((W42-3)*1.5+(X42-3)*3.1)&gt;0,+((W42-3)*1.5+(X42-3)*3.1),0),IF(+((W42-3)*1.5+(X42-3)*3.1)&gt;0,+((W42-3)*1.5+(X42-3)*3.1),0)))</f>
        <v>30</v>
      </c>
      <c r="AA42" s="144">
        <f t="shared" si="2"/>
        <v>30</v>
      </c>
      <c r="AB42" s="145">
        <f t="shared" si="16"/>
        <v>362.99771303949996</v>
      </c>
      <c r="AC42" s="145">
        <f>+(S42-T42)*V42-'data 1'!$F$4</f>
        <v>41.253</v>
      </c>
      <c r="AD42" s="145">
        <f t="shared" si="3"/>
        <v>-2.974247828839006</v>
      </c>
      <c r="AE42" s="191">
        <f t="shared" si="11"/>
        <v>-52.197855000000004</v>
      </c>
      <c r="AF42" s="145">
        <f t="shared" si="4"/>
        <v>-12.186570491217511</v>
      </c>
      <c r="AG42" s="145">
        <f t="shared" si="17"/>
        <v>53.894326679943482</v>
      </c>
      <c r="AH42" s="145">
        <f t="shared" si="5"/>
        <v>135.32628147908343</v>
      </c>
      <c r="AI42" s="137">
        <f t="shared" si="6"/>
        <v>37.717197742859021</v>
      </c>
      <c r="AJ42" s="137">
        <f t="shared" si="7"/>
        <v>139.4319995142807</v>
      </c>
      <c r="AK42" s="88"/>
      <c r="AL42" s="144">
        <f t="shared" si="9"/>
        <v>7773.7811535745423</v>
      </c>
      <c r="AM42" s="57"/>
    </row>
    <row r="43" spans="1:46" ht="15.75" customHeight="1">
      <c r="A43" s="134" t="s">
        <v>293</v>
      </c>
      <c r="B43" s="135">
        <v>45552</v>
      </c>
      <c r="C43" s="194">
        <v>45551</v>
      </c>
      <c r="D43" s="79" t="s">
        <v>93</v>
      </c>
      <c r="E43" s="79">
        <v>20169040231</v>
      </c>
      <c r="F43" s="6" t="s">
        <v>294</v>
      </c>
      <c r="G43" s="80">
        <v>48</v>
      </c>
      <c r="H43" s="79" t="s">
        <v>69</v>
      </c>
      <c r="I43" s="137">
        <v>4.33</v>
      </c>
      <c r="J43" s="137">
        <v>0.9</v>
      </c>
      <c r="K43" s="138">
        <f t="shared" si="0"/>
        <v>4.2910300000000001</v>
      </c>
      <c r="L43" s="139">
        <v>0.29299999999999998</v>
      </c>
      <c r="M43" s="139">
        <v>0.28399999999999997</v>
      </c>
      <c r="N43" s="159">
        <v>0.28399999999999997</v>
      </c>
      <c r="O43" s="141">
        <f t="shared" si="14"/>
        <v>0.28399999999999997</v>
      </c>
      <c r="P43" s="79">
        <v>90</v>
      </c>
      <c r="Q43" s="137">
        <v>89.23</v>
      </c>
      <c r="R43" s="57">
        <v>2556.79</v>
      </c>
      <c r="S43" s="80">
        <v>110</v>
      </c>
      <c r="U43" s="79">
        <v>130</v>
      </c>
      <c r="V43" s="142">
        <v>1.1023000000000001</v>
      </c>
      <c r="W43" s="137">
        <v>5.5</v>
      </c>
      <c r="X43" s="137">
        <v>10.6</v>
      </c>
      <c r="Y43" s="79">
        <v>50</v>
      </c>
      <c r="Z43" s="143">
        <f t="shared" si="18"/>
        <v>30</v>
      </c>
      <c r="AA43" s="144">
        <f t="shared" si="2"/>
        <v>80</v>
      </c>
      <c r="AB43" s="145">
        <f t="shared" si="16"/>
        <v>474.30593770519999</v>
      </c>
      <c r="AC43" s="145">
        <f>+(S43-T43)*V43-'data 1'!$F$4</f>
        <v>41.253</v>
      </c>
      <c r="AD43" s="145">
        <f t="shared" si="3"/>
        <v>-6.0351816970136687</v>
      </c>
      <c r="AE43" s="191">
        <f t="shared" si="11"/>
        <v>-11.919812999999996</v>
      </c>
      <c r="AF43" s="145">
        <f t="shared" si="4"/>
        <v>21.482528989941919</v>
      </c>
      <c r="AG43" s="145">
        <f t="shared" si="17"/>
        <v>44.780534292928252</v>
      </c>
      <c r="AH43" s="145">
        <f t="shared" si="5"/>
        <v>38.463529489746897</v>
      </c>
      <c r="AI43" s="137">
        <f t="shared" si="6"/>
        <v>66.344130341403712</v>
      </c>
      <c r="AJ43" s="137">
        <f t="shared" si="7"/>
        <v>37.603777091679355</v>
      </c>
      <c r="AK43" s="88"/>
      <c r="AL43" s="144">
        <f t="shared" si="9"/>
        <v>2035.2610078711443</v>
      </c>
      <c r="AM43" s="57"/>
    </row>
    <row r="44" spans="1:46" ht="15.75" customHeight="1">
      <c r="A44" s="134" t="s">
        <v>295</v>
      </c>
      <c r="B44" s="135">
        <v>45552</v>
      </c>
      <c r="C44" s="194">
        <v>45551</v>
      </c>
      <c r="D44" s="79" t="s">
        <v>93</v>
      </c>
      <c r="E44" s="79">
        <v>20169040231</v>
      </c>
      <c r="F44" s="6" t="s">
        <v>294</v>
      </c>
      <c r="G44" s="80">
        <v>8</v>
      </c>
      <c r="H44" s="79" t="s">
        <v>69</v>
      </c>
      <c r="I44" s="137">
        <v>0.7</v>
      </c>
      <c r="J44" s="137">
        <v>1</v>
      </c>
      <c r="K44" s="138">
        <f t="shared" si="0"/>
        <v>0.69299999999999995</v>
      </c>
      <c r="L44" s="139">
        <v>0.38200000000000001</v>
      </c>
      <c r="M44" s="139">
        <v>0.36699999999999999</v>
      </c>
      <c r="N44" s="159">
        <v>0.36699999999999999</v>
      </c>
      <c r="O44" s="141">
        <f t="shared" si="14"/>
        <v>0.36699999999999999</v>
      </c>
      <c r="P44" s="79">
        <v>90</v>
      </c>
      <c r="Q44" s="137">
        <v>89.28583837911421</v>
      </c>
      <c r="R44" s="57">
        <v>2556.79</v>
      </c>
      <c r="S44" s="80">
        <v>120</v>
      </c>
      <c r="U44" s="79">
        <v>130</v>
      </c>
      <c r="V44" s="142">
        <v>1.1023000000000001</v>
      </c>
      <c r="W44" s="137">
        <v>5.5</v>
      </c>
      <c r="X44" s="137">
        <v>10.7</v>
      </c>
      <c r="Y44" s="79">
        <v>50</v>
      </c>
      <c r="Z44" s="143">
        <f t="shared" si="18"/>
        <v>30</v>
      </c>
      <c r="AA44" s="144">
        <f t="shared" si="2"/>
        <v>80</v>
      </c>
      <c r="AB44" s="145">
        <f t="shared" si="16"/>
        <v>663.10921879509999</v>
      </c>
      <c r="AC44" s="145">
        <f>+(S44-T44)*V44-'data 1'!$F$4</f>
        <v>52.27600000000001</v>
      </c>
      <c r="AD44" s="145">
        <f t="shared" si="3"/>
        <v>-7.2977986111271234</v>
      </c>
      <c r="AE44" s="191">
        <f t="shared" si="11"/>
        <v>-12.261525999999995</v>
      </c>
      <c r="AF44" s="145">
        <f t="shared" si="4"/>
        <v>35.826620556811797</v>
      </c>
      <c r="AG44" s="145">
        <f t="shared" si="17"/>
        <v>68.54329594568469</v>
      </c>
      <c r="AH44" s="145">
        <f t="shared" si="5"/>
        <v>8.1037912959750305</v>
      </c>
      <c r="AI44" s="137">
        <f t="shared" si="6"/>
        <v>86.550570743589944</v>
      </c>
      <c r="AJ44" s="137">
        <f t="shared" si="7"/>
        <v>7.8478533253300951</v>
      </c>
      <c r="AK44" s="88"/>
      <c r="AL44" s="144">
        <f t="shared" si="9"/>
        <v>459.53468862500426</v>
      </c>
      <c r="AM44" s="57"/>
    </row>
    <row r="45" spans="1:46" ht="15.75" customHeight="1">
      <c r="A45" s="134" t="s">
        <v>296</v>
      </c>
      <c r="B45" s="135">
        <v>45552</v>
      </c>
      <c r="C45" s="194">
        <v>45551</v>
      </c>
      <c r="D45" s="79" t="s">
        <v>93</v>
      </c>
      <c r="E45" s="79">
        <v>20169040231</v>
      </c>
      <c r="F45" s="6" t="s">
        <v>297</v>
      </c>
      <c r="G45" s="80">
        <v>21</v>
      </c>
      <c r="H45" s="79" t="s">
        <v>108</v>
      </c>
      <c r="I45" s="137">
        <v>1.79</v>
      </c>
      <c r="J45" s="137">
        <v>28</v>
      </c>
      <c r="K45" s="138">
        <f t="shared" si="0"/>
        <v>1.2887999999999999</v>
      </c>
      <c r="L45" s="139">
        <v>1.1830000000000001</v>
      </c>
      <c r="M45" s="139">
        <v>1.135</v>
      </c>
      <c r="N45" s="149">
        <v>1.1020000000000001</v>
      </c>
      <c r="O45" s="141">
        <f t="shared" si="14"/>
        <v>1.119</v>
      </c>
      <c r="P45" s="79">
        <v>90</v>
      </c>
      <c r="Q45" s="137">
        <v>89.186421021543495</v>
      </c>
      <c r="R45" s="57">
        <v>2556.79</v>
      </c>
      <c r="S45" s="80">
        <v>190</v>
      </c>
      <c r="U45" s="79">
        <v>130</v>
      </c>
      <c r="V45" s="142">
        <v>1.1023000000000001</v>
      </c>
      <c r="W45" s="137">
        <v>5</v>
      </c>
      <c r="X45" s="137">
        <v>6.5</v>
      </c>
      <c r="Y45" s="79">
        <v>50</v>
      </c>
      <c r="Z45" s="143">
        <f t="shared" si="18"/>
        <v>30</v>
      </c>
      <c r="AA45" s="144">
        <f t="shared" si="2"/>
        <v>80</v>
      </c>
      <c r="AB45" s="145">
        <f t="shared" si="16"/>
        <v>2396.4224763807001</v>
      </c>
      <c r="AC45" s="145">
        <f>+(S45-T45)*V45-'data 1'!$F$4</f>
        <v>129.43700000000001</v>
      </c>
      <c r="AD45" s="145">
        <f t="shared" si="3"/>
        <v>-25.746397338368926</v>
      </c>
      <c r="AE45" s="191">
        <f t="shared" si="11"/>
        <v>2.9171450000000014</v>
      </c>
      <c r="AF45" s="145">
        <f t="shared" si="4"/>
        <v>152.69004197228924</v>
      </c>
      <c r="AG45" s="145">
        <f t="shared" si="17"/>
        <v>259.29778963392033</v>
      </c>
      <c r="AH45" s="145">
        <f t="shared" si="5"/>
        <v>46.620623528569944</v>
      </c>
      <c r="AI45" s="137">
        <f t="shared" si="6"/>
        <v>267.73643312878926</v>
      </c>
      <c r="AJ45" s="137">
        <f t="shared" si="7"/>
        <v>44.500735876483759</v>
      </c>
      <c r="AK45" s="88"/>
      <c r="AL45" s="144">
        <f t="shared" si="9"/>
        <v>3088.509287559446</v>
      </c>
      <c r="AM45" s="57"/>
    </row>
    <row r="46" spans="1:46" ht="15.75" customHeight="1">
      <c r="A46" s="134" t="s">
        <v>298</v>
      </c>
      <c r="B46" s="135">
        <v>45552</v>
      </c>
      <c r="C46" s="194">
        <v>45551</v>
      </c>
      <c r="D46" s="79" t="s">
        <v>93</v>
      </c>
      <c r="E46" s="79">
        <v>20169040231</v>
      </c>
      <c r="F46" s="6" t="s">
        <v>294</v>
      </c>
      <c r="G46" s="80">
        <v>22</v>
      </c>
      <c r="H46" s="79" t="s">
        <v>69</v>
      </c>
      <c r="I46" s="137">
        <v>1.84</v>
      </c>
      <c r="J46" s="137">
        <v>0.9</v>
      </c>
      <c r="K46" s="138">
        <f t="shared" si="0"/>
        <v>1.8234400000000002</v>
      </c>
      <c r="L46" s="139">
        <v>0.45500000000000002</v>
      </c>
      <c r="M46" s="139">
        <v>0.43099999999999999</v>
      </c>
      <c r="N46" s="159">
        <v>0.43099999999999999</v>
      </c>
      <c r="O46" s="141">
        <f t="shared" si="14"/>
        <v>0.43099999999999999</v>
      </c>
      <c r="P46" s="79">
        <v>90</v>
      </c>
      <c r="Q46" s="137">
        <v>89.48</v>
      </c>
      <c r="R46" s="57">
        <v>2556.79</v>
      </c>
      <c r="S46" s="80">
        <v>130</v>
      </c>
      <c r="U46" s="79">
        <v>130</v>
      </c>
      <c r="V46" s="142">
        <v>1.1023000000000001</v>
      </c>
      <c r="W46" s="137">
        <v>5.5</v>
      </c>
      <c r="X46" s="137">
        <v>10.6</v>
      </c>
      <c r="Y46" s="79">
        <v>50</v>
      </c>
      <c r="Z46" s="143">
        <f t="shared" si="18"/>
        <v>30</v>
      </c>
      <c r="AA46" s="144">
        <f t="shared" si="2"/>
        <v>80</v>
      </c>
      <c r="AB46" s="145">
        <f t="shared" si="16"/>
        <v>806.16913433430011</v>
      </c>
      <c r="AC46" s="145">
        <f>+(S46-T46)*V46-'data 1'!$F$4</f>
        <v>63.299000000000007</v>
      </c>
      <c r="AD46" s="145">
        <f t="shared" si="3"/>
        <v>-6.3291697598219523</v>
      </c>
      <c r="AE46" s="191">
        <f t="shared" si="11"/>
        <v>-11.919812999999996</v>
      </c>
      <c r="AF46" s="145">
        <f t="shared" si="4"/>
        <v>57.44724701019846</v>
      </c>
      <c r="AG46" s="145">
        <f t="shared" si="17"/>
        <v>102.49726425037652</v>
      </c>
      <c r="AH46" s="145">
        <f t="shared" si="5"/>
        <v>25.452937954888156</v>
      </c>
      <c r="AI46" s="137">
        <f t="shared" si="6"/>
        <v>103.31452048572203</v>
      </c>
      <c r="AJ46" s="137">
        <f t="shared" si="7"/>
        <v>24.250479283727508</v>
      </c>
      <c r="AK46" s="88"/>
      <c r="AL46" s="144">
        <f t="shared" si="9"/>
        <v>1470.0010463105364</v>
      </c>
      <c r="AM46" s="57"/>
    </row>
    <row r="47" spans="1:46" ht="15.75" customHeight="1">
      <c r="A47" s="134" t="s">
        <v>299</v>
      </c>
      <c r="B47" s="135">
        <v>45552</v>
      </c>
      <c r="C47" s="194">
        <v>45551</v>
      </c>
      <c r="D47" s="79" t="s">
        <v>93</v>
      </c>
      <c r="E47" s="79">
        <v>20169040231</v>
      </c>
      <c r="F47" s="6" t="s">
        <v>300</v>
      </c>
      <c r="G47" s="80">
        <v>35</v>
      </c>
      <c r="H47" s="79" t="s">
        <v>108</v>
      </c>
      <c r="I47" s="137">
        <v>2.29</v>
      </c>
      <c r="J47" s="137">
        <v>6.9</v>
      </c>
      <c r="K47" s="138">
        <f t="shared" si="0"/>
        <v>2.1319900000000001</v>
      </c>
      <c r="L47" s="139">
        <v>0.48299999999999998</v>
      </c>
      <c r="M47" s="139">
        <v>0.46400000000000002</v>
      </c>
      <c r="N47" s="159">
        <v>0.46400000000000002</v>
      </c>
      <c r="O47" s="141">
        <f t="shared" si="14"/>
        <v>0.46400000000000002</v>
      </c>
      <c r="P47" s="79">
        <v>90</v>
      </c>
      <c r="Q47" s="137">
        <v>89.146437502000794</v>
      </c>
      <c r="R47" s="57">
        <v>2556.79</v>
      </c>
      <c r="S47" s="80">
        <v>130</v>
      </c>
      <c r="U47" s="79">
        <v>130</v>
      </c>
      <c r="V47" s="142">
        <v>1.1023000000000001</v>
      </c>
      <c r="W47" s="137">
        <v>8</v>
      </c>
      <c r="X47" s="217">
        <v>10</v>
      </c>
      <c r="Y47" s="79">
        <v>50</v>
      </c>
      <c r="Z47" s="143">
        <f t="shared" si="18"/>
        <v>30</v>
      </c>
      <c r="AA47" s="144">
        <f t="shared" si="2"/>
        <v>80</v>
      </c>
      <c r="AB47" s="145">
        <f t="shared" si="16"/>
        <v>885.6181376592001</v>
      </c>
      <c r="AC47" s="145">
        <f>+(S47-T47)*V47-'data 1'!$F$4</f>
        <v>63.299000000000007</v>
      </c>
      <c r="AD47" s="145">
        <f t="shared" si="3"/>
        <v>-11.028449543827652</v>
      </c>
      <c r="AE47" s="191">
        <f t="shared" si="11"/>
        <v>-14.003159999999998</v>
      </c>
      <c r="AF47" s="145">
        <f t="shared" si="4"/>
        <v>45.309534202184949</v>
      </c>
      <c r="AG47" s="145">
        <f t="shared" si="17"/>
        <v>83.576924658357314</v>
      </c>
      <c r="AH47" s="145">
        <f t="shared" si="5"/>
        <v>31.473522800829851</v>
      </c>
      <c r="AI47" s="137">
        <f t="shared" si="6"/>
        <v>109.26350187468489</v>
      </c>
      <c r="AJ47" s="137">
        <f t="shared" si="7"/>
        <v>30.524933226137268</v>
      </c>
      <c r="AK47" s="88"/>
      <c r="AL47" s="144">
        <f t="shared" si="9"/>
        <v>1888.1290133080381</v>
      </c>
      <c r="AM47" s="57"/>
    </row>
    <row r="48" spans="1:46" ht="15.75" customHeight="1">
      <c r="A48" s="134" t="s">
        <v>301</v>
      </c>
      <c r="B48" s="135">
        <v>45557</v>
      </c>
      <c r="C48" s="194">
        <v>45551</v>
      </c>
      <c r="D48" s="79" t="s">
        <v>93</v>
      </c>
      <c r="E48" s="79">
        <v>20169040231</v>
      </c>
      <c r="F48" s="6" t="s">
        <v>302</v>
      </c>
      <c r="G48" s="80">
        <v>30</v>
      </c>
      <c r="H48" s="79" t="s">
        <v>108</v>
      </c>
      <c r="I48" s="137">
        <v>2</v>
      </c>
      <c r="J48" s="137">
        <v>7.2</v>
      </c>
      <c r="K48" s="138">
        <f t="shared" si="0"/>
        <v>1.8559999999999999</v>
      </c>
      <c r="L48" s="139">
        <v>0.35399999999999998</v>
      </c>
      <c r="M48" s="139">
        <v>0.33900000000000002</v>
      </c>
      <c r="N48" s="159">
        <v>0.33900000000000002</v>
      </c>
      <c r="O48" s="141">
        <f t="shared" si="14"/>
        <v>0.33900000000000002</v>
      </c>
      <c r="P48" s="79">
        <v>90</v>
      </c>
      <c r="Q48" s="137">
        <v>89.16</v>
      </c>
      <c r="R48" s="57">
        <v>2556.79</v>
      </c>
      <c r="S48" s="80">
        <v>120</v>
      </c>
      <c r="U48" s="79">
        <v>130</v>
      </c>
      <c r="V48" s="142">
        <v>1.1023000000000001</v>
      </c>
      <c r="W48" s="137">
        <v>8</v>
      </c>
      <c r="X48" s="217">
        <v>10</v>
      </c>
      <c r="Y48" s="79">
        <v>50</v>
      </c>
      <c r="Z48" s="143">
        <f t="shared" si="18"/>
        <v>30</v>
      </c>
      <c r="AA48" s="144">
        <f t="shared" si="2"/>
        <v>80</v>
      </c>
      <c r="AB48" s="145">
        <f t="shared" si="16"/>
        <v>595.69794324670022</v>
      </c>
      <c r="AC48" s="145">
        <f>+(S48-T48)*V48-'data 1'!$F$4</f>
        <v>52.27600000000001</v>
      </c>
      <c r="AD48" s="145">
        <f t="shared" si="3"/>
        <v>-7.954530514711232</v>
      </c>
      <c r="AE48" s="191">
        <f t="shared" si="11"/>
        <v>-14.003159999999998</v>
      </c>
      <c r="AF48" s="145">
        <f t="shared" si="4"/>
        <v>35.776126951757902</v>
      </c>
      <c r="AG48" s="145">
        <f t="shared" si="17"/>
        <v>66.094436437046681</v>
      </c>
      <c r="AH48" s="145">
        <f t="shared" si="5"/>
        <v>20.084469406842306</v>
      </c>
      <c r="AI48" s="137">
        <f t="shared" si="6"/>
        <v>80.093507711551212</v>
      </c>
      <c r="AJ48" s="137">
        <f t="shared" si="7"/>
        <v>19.414635835366081</v>
      </c>
      <c r="AK48" s="88"/>
      <c r="AL48" s="144">
        <f t="shared" si="9"/>
        <v>1105.6153826658756</v>
      </c>
      <c r="AM48" s="57"/>
    </row>
    <row r="49" spans="1:46" ht="15.75" customHeight="1">
      <c r="A49" s="134" t="s">
        <v>303</v>
      </c>
      <c r="B49" s="135">
        <v>45552</v>
      </c>
      <c r="C49" s="135">
        <v>45551</v>
      </c>
      <c r="D49" s="142" t="s">
        <v>106</v>
      </c>
      <c r="E49" s="142">
        <v>20606534923</v>
      </c>
      <c r="F49" s="142" t="s">
        <v>304</v>
      </c>
      <c r="G49" s="132">
        <v>53</v>
      </c>
      <c r="H49" s="142" t="s">
        <v>69</v>
      </c>
      <c r="I49" s="143">
        <v>4.95</v>
      </c>
      <c r="J49" s="143">
        <v>0.8</v>
      </c>
      <c r="K49" s="138">
        <f t="shared" si="0"/>
        <v>4.9104000000000001</v>
      </c>
      <c r="L49" s="141">
        <v>0.29399999999999998</v>
      </c>
      <c r="M49" s="141">
        <v>0.28199999999999997</v>
      </c>
      <c r="N49" s="157">
        <v>0.28199999999999997</v>
      </c>
      <c r="O49" s="141">
        <f t="shared" si="14"/>
        <v>0.28199999999999997</v>
      </c>
      <c r="P49" s="142">
        <v>90</v>
      </c>
      <c r="Q49" s="143">
        <v>89.332662617408161</v>
      </c>
      <c r="R49" s="144">
        <v>2556.79</v>
      </c>
      <c r="S49" s="132">
        <v>110</v>
      </c>
      <c r="T49" s="142"/>
      <c r="U49" s="142">
        <v>100</v>
      </c>
      <c r="V49" s="142">
        <v>1.1023000000000001</v>
      </c>
      <c r="W49" s="143">
        <v>5.2</v>
      </c>
      <c r="X49" s="143">
        <v>6.5</v>
      </c>
      <c r="Y49" s="142">
        <v>30</v>
      </c>
      <c r="Z49" s="143">
        <f t="shared" si="18"/>
        <v>30</v>
      </c>
      <c r="AA49" s="144">
        <f t="shared" si="2"/>
        <v>60</v>
      </c>
      <c r="AB49" s="145">
        <f t="shared" si="16"/>
        <v>499.92975879459993</v>
      </c>
      <c r="AC49" s="145">
        <f>+(S49-T49)*V49-'data 1'!$F$4</f>
        <v>41.253</v>
      </c>
      <c r="AD49" s="145">
        <f t="shared" si="3"/>
        <v>-5.313254603445916</v>
      </c>
      <c r="AE49" s="191">
        <f t="shared" si="11"/>
        <v>-19.459544999999999</v>
      </c>
      <c r="AF49" s="145">
        <f t="shared" si="4"/>
        <v>29.030824328765497</v>
      </c>
      <c r="AG49" s="145">
        <f t="shared" si="17"/>
        <v>45.511024725319587</v>
      </c>
      <c r="AH49" s="145">
        <f t="shared" si="5"/>
        <v>44.216417204440503</v>
      </c>
      <c r="AI49" s="143">
        <f t="shared" si="6"/>
        <v>57.961975912520948</v>
      </c>
      <c r="AJ49" s="143">
        <f t="shared" si="7"/>
        <v>42.72849125420673</v>
      </c>
      <c r="AK49" s="133"/>
      <c r="AL49" s="144">
        <f t="shared" si="9"/>
        <v>2454.8550875850037</v>
      </c>
      <c r="AM49" s="144"/>
      <c r="AN49" s="142"/>
      <c r="AO49" s="142"/>
      <c r="AP49" s="142"/>
      <c r="AQ49" s="142"/>
      <c r="AR49" s="142"/>
      <c r="AS49" s="142"/>
      <c r="AT49" s="142"/>
    </row>
    <row r="50" spans="1:46" ht="15.75" customHeight="1">
      <c r="A50" s="134" t="s">
        <v>305</v>
      </c>
      <c r="B50" s="135">
        <v>45555</v>
      </c>
      <c r="C50" s="194">
        <v>45551</v>
      </c>
      <c r="D50" s="79" t="s">
        <v>93</v>
      </c>
      <c r="E50" s="79">
        <v>20169040231</v>
      </c>
      <c r="F50" s="6" t="s">
        <v>306</v>
      </c>
      <c r="G50" s="80">
        <v>16</v>
      </c>
      <c r="H50" s="79" t="s">
        <v>69</v>
      </c>
      <c r="I50" s="137">
        <v>1.41</v>
      </c>
      <c r="J50" s="137">
        <v>1</v>
      </c>
      <c r="K50" s="138">
        <f t="shared" si="0"/>
        <v>1.3958999999999999</v>
      </c>
      <c r="L50" s="139">
        <v>0.40600000000000003</v>
      </c>
      <c r="M50" s="139">
        <v>0.39</v>
      </c>
      <c r="N50" s="159">
        <v>0.39</v>
      </c>
      <c r="O50" s="141">
        <f t="shared" si="14"/>
        <v>0.39</v>
      </c>
      <c r="P50" s="79">
        <v>90</v>
      </c>
      <c r="Q50" s="137">
        <v>89.77</v>
      </c>
      <c r="R50" s="57">
        <v>2556.79</v>
      </c>
      <c r="S50" s="80">
        <v>120</v>
      </c>
      <c r="U50" s="79">
        <v>130</v>
      </c>
      <c r="V50" s="142">
        <v>1.1023000000000001</v>
      </c>
      <c r="W50" s="137">
        <v>5</v>
      </c>
      <c r="X50" s="137">
        <v>6.6</v>
      </c>
      <c r="Y50" s="79">
        <v>30</v>
      </c>
      <c r="Z50" s="143">
        <f t="shared" si="18"/>
        <v>30</v>
      </c>
      <c r="AA50" s="144">
        <f t="shared" si="2"/>
        <v>60</v>
      </c>
      <c r="AB50" s="145">
        <f t="shared" si="16"/>
        <v>740.52876656699993</v>
      </c>
      <c r="AC50" s="145">
        <f>+(S50-T50)*V50-'data 1'!$F$4</f>
        <v>52.27600000000001</v>
      </c>
      <c r="AD50" s="145">
        <f t="shared" si="3"/>
        <v>-2.4979622661546435</v>
      </c>
      <c r="AE50" s="191">
        <f t="shared" si="11"/>
        <v>-19.470567999999993</v>
      </c>
      <c r="AF50" s="145">
        <f t="shared" si="4"/>
        <v>38.42228702209443</v>
      </c>
      <c r="AG50" s="145">
        <f t="shared" si="17"/>
        <v>68.729756755939803</v>
      </c>
      <c r="AH50" s="145">
        <f t="shared" si="5"/>
        <v>17.442978090450225</v>
      </c>
      <c r="AI50" s="137">
        <f t="shared" si="6"/>
        <v>92.487118949174615</v>
      </c>
      <c r="AJ50" s="137">
        <f t="shared" si="7"/>
        <v>16.798499585827248</v>
      </c>
      <c r="AK50" s="88"/>
      <c r="AL50" s="144">
        <f t="shared" si="9"/>
        <v>1033.704105250875</v>
      </c>
      <c r="AM50" s="57"/>
    </row>
    <row r="51" spans="1:46" ht="15.75" customHeight="1">
      <c r="A51" s="134" t="s">
        <v>307</v>
      </c>
      <c r="B51" s="135">
        <v>45555</v>
      </c>
      <c r="C51" s="194">
        <v>45551</v>
      </c>
      <c r="D51" s="79" t="s">
        <v>93</v>
      </c>
      <c r="E51" s="79">
        <v>20169040231</v>
      </c>
      <c r="F51" s="6" t="s">
        <v>308</v>
      </c>
      <c r="G51" s="80">
        <v>25</v>
      </c>
      <c r="H51" s="79" t="s">
        <v>69</v>
      </c>
      <c r="I51" s="137">
        <v>2.39</v>
      </c>
      <c r="J51" s="137">
        <v>1.1000000000000001</v>
      </c>
      <c r="K51" s="138">
        <f t="shared" si="0"/>
        <v>2.3637100000000002</v>
      </c>
      <c r="L51" s="139">
        <v>0.30499999999999999</v>
      </c>
      <c r="M51" s="139">
        <v>0.29299999999999998</v>
      </c>
      <c r="N51" s="159">
        <v>0.29299999999999998</v>
      </c>
      <c r="O51" s="141">
        <f t="shared" si="14"/>
        <v>0.29299999999999998</v>
      </c>
      <c r="P51" s="79">
        <v>90</v>
      </c>
      <c r="Q51" s="137">
        <v>89.63</v>
      </c>
      <c r="R51" s="57">
        <v>2556.79</v>
      </c>
      <c r="S51" s="80">
        <v>110</v>
      </c>
      <c r="U51" s="79">
        <v>130</v>
      </c>
      <c r="V51" s="142">
        <v>1.1023000000000001</v>
      </c>
      <c r="W51" s="137">
        <v>5</v>
      </c>
      <c r="X51" s="137">
        <v>6.5</v>
      </c>
      <c r="Y51" s="79">
        <v>30</v>
      </c>
      <c r="Z51" s="143">
        <f t="shared" si="18"/>
        <v>30</v>
      </c>
      <c r="AA51" s="144">
        <f t="shared" si="2"/>
        <v>60</v>
      </c>
      <c r="AB51" s="145">
        <f t="shared" si="16"/>
        <v>518.01984770289994</v>
      </c>
      <c r="AC51" s="145">
        <f>+(S51-T51)*V51-'data 1'!$F$4</f>
        <v>41.253</v>
      </c>
      <c r="AD51" s="145">
        <f t="shared" si="3"/>
        <v>-3.0187946212845373</v>
      </c>
      <c r="AE51" s="191">
        <f t="shared" si="11"/>
        <v>-19.128854999999998</v>
      </c>
      <c r="AF51" s="145">
        <f t="shared" si="4"/>
        <v>28.771774416205226</v>
      </c>
      <c r="AG51" s="145">
        <f t="shared" si="17"/>
        <v>47.87712479492069</v>
      </c>
      <c r="AH51" s="145">
        <f t="shared" si="5"/>
        <v>22.154221707902003</v>
      </c>
      <c r="AI51" s="137">
        <f t="shared" si="6"/>
        <v>69.370883878434512</v>
      </c>
      <c r="AJ51" s="137">
        <f t="shared" si="7"/>
        <v>21.370436436767395</v>
      </c>
      <c r="AK51" s="88"/>
      <c r="AL51" s="144">
        <f t="shared" si="9"/>
        <v>1224.4486942138217</v>
      </c>
      <c r="AM51" s="57"/>
    </row>
    <row r="52" spans="1:46" ht="15.75" customHeight="1">
      <c r="A52" s="134" t="s">
        <v>309</v>
      </c>
      <c r="B52" s="135">
        <v>45555</v>
      </c>
      <c r="C52" s="194">
        <v>45551</v>
      </c>
      <c r="D52" s="79" t="s">
        <v>106</v>
      </c>
      <c r="E52" s="79">
        <v>20606534923</v>
      </c>
      <c r="F52" s="6" t="s">
        <v>310</v>
      </c>
      <c r="G52" s="80">
        <v>18</v>
      </c>
      <c r="H52" s="79" t="s">
        <v>69</v>
      </c>
      <c r="I52" s="137">
        <v>1.54</v>
      </c>
      <c r="J52" s="137">
        <v>1</v>
      </c>
      <c r="K52" s="138">
        <f t="shared" si="0"/>
        <v>1.5246</v>
      </c>
      <c r="L52" s="139">
        <v>0.78100000000000003</v>
      </c>
      <c r="M52" s="139">
        <v>0.75</v>
      </c>
      <c r="N52" s="159">
        <v>0.75</v>
      </c>
      <c r="O52" s="141">
        <f t="shared" si="14"/>
        <v>0.75</v>
      </c>
      <c r="P52" s="79">
        <v>90</v>
      </c>
      <c r="Q52" s="137">
        <v>89.135685052510325</v>
      </c>
      <c r="R52" s="57">
        <v>2556.79</v>
      </c>
      <c r="S52" s="80">
        <v>150</v>
      </c>
      <c r="U52" s="79">
        <v>130</v>
      </c>
      <c r="V52" s="142">
        <v>1.1023000000000001</v>
      </c>
      <c r="W52" s="137">
        <v>5.2</v>
      </c>
      <c r="X52" s="137">
        <v>6.4</v>
      </c>
      <c r="Y52" s="79">
        <v>50</v>
      </c>
      <c r="Z52" s="143">
        <f t="shared" si="18"/>
        <v>30</v>
      </c>
      <c r="AA52" s="144">
        <f t="shared" si="2"/>
        <v>80</v>
      </c>
      <c r="AB52" s="145">
        <f t="shared" si="16"/>
        <v>1552.1301664750001</v>
      </c>
      <c r="AC52" s="145">
        <f>+(S52-T52)*V52-'data 1'!$F$4</f>
        <v>85.344999999999999</v>
      </c>
      <c r="AD52" s="145">
        <f t="shared" si="3"/>
        <v>-18.057393484139343</v>
      </c>
      <c r="AE52" s="191">
        <f t="shared" si="11"/>
        <v>2.9281679999999994</v>
      </c>
      <c r="AF52" s="145">
        <f t="shared" si="4"/>
        <v>73.91716548189504</v>
      </c>
      <c r="AG52" s="145">
        <f t="shared" si="17"/>
        <v>144.1329399977557</v>
      </c>
      <c r="AH52" s="145">
        <f t="shared" si="5"/>
        <v>36.388790881775364</v>
      </c>
      <c r="AI52" s="137">
        <f t="shared" si="6"/>
        <v>176.65528417830967</v>
      </c>
      <c r="AJ52" s="137">
        <f t="shared" si="7"/>
        <v>35.28326426919525</v>
      </c>
      <c r="AK52" s="88"/>
      <c r="AL52" s="144">
        <f t="shared" si="9"/>
        <v>2366.3776518077852</v>
      </c>
      <c r="AM52" s="57"/>
    </row>
    <row r="53" spans="1:46" ht="15.75" customHeight="1">
      <c r="A53" s="134" t="s">
        <v>311</v>
      </c>
      <c r="B53" s="135">
        <v>45555</v>
      </c>
      <c r="C53" s="194">
        <v>45551</v>
      </c>
      <c r="D53" s="79" t="s">
        <v>93</v>
      </c>
      <c r="E53" s="79">
        <v>20169040231</v>
      </c>
      <c r="F53" s="6" t="s">
        <v>193</v>
      </c>
      <c r="G53" s="80">
        <v>12</v>
      </c>
      <c r="H53" s="79" t="s">
        <v>69</v>
      </c>
      <c r="I53" s="137">
        <v>1.02</v>
      </c>
      <c r="J53" s="137">
        <v>1.1000000000000001</v>
      </c>
      <c r="K53" s="138">
        <f t="shared" si="0"/>
        <v>1.00878</v>
      </c>
      <c r="L53" s="139">
        <v>0.33</v>
      </c>
      <c r="M53" s="139">
        <v>0.317</v>
      </c>
      <c r="N53" s="159">
        <v>0.317</v>
      </c>
      <c r="O53" s="141">
        <f t="shared" si="14"/>
        <v>0.317</v>
      </c>
      <c r="P53" s="79">
        <v>90</v>
      </c>
      <c r="Q53" s="137">
        <v>89.520854601137529</v>
      </c>
      <c r="R53" s="57">
        <v>2556.79</v>
      </c>
      <c r="S53" s="80">
        <v>120</v>
      </c>
      <c r="U53" s="79">
        <v>130</v>
      </c>
      <c r="V53" s="142">
        <v>1.1023000000000001</v>
      </c>
      <c r="W53" s="137">
        <v>5</v>
      </c>
      <c r="X53" s="137">
        <v>6.5</v>
      </c>
      <c r="Y53" s="79">
        <v>30</v>
      </c>
      <c r="Z53" s="143">
        <f t="shared" si="18"/>
        <v>30</v>
      </c>
      <c r="AA53" s="144">
        <f t="shared" si="2"/>
        <v>60</v>
      </c>
      <c r="AB53" s="145">
        <f t="shared" si="16"/>
        <v>564.77794103010012</v>
      </c>
      <c r="AC53" s="145">
        <f>+(S53-T53)*V53-'data 1'!$F$4</f>
        <v>52.27600000000001</v>
      </c>
      <c r="AD53" s="145">
        <f t="shared" si="3"/>
        <v>-4.2297360430372217</v>
      </c>
      <c r="AE53" s="191">
        <f t="shared" si="11"/>
        <v>-19.128854999999998</v>
      </c>
      <c r="AF53" s="145">
        <f t="shared" si="4"/>
        <v>31.131466253568259</v>
      </c>
      <c r="AG53" s="145">
        <f t="shared" si="17"/>
        <v>60.048875210531051</v>
      </c>
      <c r="AH53" s="145">
        <f t="shared" si="5"/>
        <v>10.217477546503433</v>
      </c>
      <c r="AI53" s="137">
        <f t="shared" si="6"/>
        <v>74.96562249711954</v>
      </c>
      <c r="AJ53" s="137">
        <f t="shared" si="7"/>
        <v>9.8675038448946388</v>
      </c>
      <c r="AK53" s="88"/>
      <c r="AL53" s="144">
        <f t="shared" si="9"/>
        <v>569.73669135234445</v>
      </c>
      <c r="AM53" s="57"/>
    </row>
    <row r="54" spans="1:46" ht="15.75" customHeight="1">
      <c r="A54" s="134" t="s">
        <v>312</v>
      </c>
      <c r="B54" s="135">
        <v>45552</v>
      </c>
      <c r="C54" s="194">
        <v>45551</v>
      </c>
      <c r="D54" s="79" t="s">
        <v>93</v>
      </c>
      <c r="E54" s="79">
        <v>20169040231</v>
      </c>
      <c r="F54" s="6" t="s">
        <v>297</v>
      </c>
      <c r="G54" s="80">
        <v>40</v>
      </c>
      <c r="H54" s="79" t="s">
        <v>108</v>
      </c>
      <c r="I54" s="137">
        <v>3.26</v>
      </c>
      <c r="J54" s="137">
        <v>15</v>
      </c>
      <c r="K54" s="138">
        <f t="shared" si="0"/>
        <v>2.7709999999999999</v>
      </c>
      <c r="L54" s="139">
        <v>1.425</v>
      </c>
      <c r="M54" s="139">
        <v>1.3680000000000001</v>
      </c>
      <c r="N54" s="149">
        <v>1.385</v>
      </c>
      <c r="O54" s="141">
        <f t="shared" si="14"/>
        <v>1.377</v>
      </c>
      <c r="P54" s="79">
        <v>90</v>
      </c>
      <c r="Q54" s="137">
        <v>89.25</v>
      </c>
      <c r="R54" s="57">
        <v>2556.79</v>
      </c>
      <c r="S54" s="80">
        <v>210</v>
      </c>
      <c r="U54" s="79">
        <v>130</v>
      </c>
      <c r="V54" s="142">
        <v>1.1023000000000001</v>
      </c>
      <c r="W54" s="137">
        <v>5</v>
      </c>
      <c r="X54" s="137">
        <v>6.6</v>
      </c>
      <c r="Y54" s="79">
        <v>50</v>
      </c>
      <c r="Z54" s="143">
        <f t="shared" si="18"/>
        <v>30</v>
      </c>
      <c r="AA54" s="144">
        <f t="shared" si="2"/>
        <v>80</v>
      </c>
      <c r="AB54" s="145">
        <f t="shared" si="16"/>
        <v>2995.5232296481004</v>
      </c>
      <c r="AC54" s="145">
        <f>+(S54-T54)*V54-'data 1'!$F$4</f>
        <v>151.483</v>
      </c>
      <c r="AD54" s="145">
        <f t="shared" si="3"/>
        <v>-28.589603469187505</v>
      </c>
      <c r="AE54" s="191">
        <f t="shared" si="11"/>
        <v>2.5754320000000064</v>
      </c>
      <c r="AF54" s="145">
        <f t="shared" si="4"/>
        <v>114.59916843228011</v>
      </c>
      <c r="AG54" s="145">
        <f t="shared" si="17"/>
        <v>240.06799696309261</v>
      </c>
      <c r="AH54" s="145">
        <f t="shared" si="5"/>
        <v>120.82830528256287</v>
      </c>
      <c r="AI54" s="137">
        <f t="shared" si="6"/>
        <v>322.73575428543762</v>
      </c>
      <c r="AJ54" s="137">
        <f t="shared" si="7"/>
        <v>117.73946138812141</v>
      </c>
      <c r="AK54" s="88"/>
      <c r="AL54" s="144">
        <f t="shared" si="9"/>
        <v>8300.5948693548853</v>
      </c>
      <c r="AM54" s="57"/>
    </row>
    <row r="55" spans="1:46" ht="15.75" customHeight="1">
      <c r="A55" s="134" t="s">
        <v>313</v>
      </c>
      <c r="B55" s="135">
        <v>45555</v>
      </c>
      <c r="C55" s="194">
        <v>45551</v>
      </c>
      <c r="D55" s="79" t="s">
        <v>93</v>
      </c>
      <c r="E55" s="79">
        <v>20169040231</v>
      </c>
      <c r="F55" s="6" t="s">
        <v>193</v>
      </c>
      <c r="G55" s="80">
        <v>18</v>
      </c>
      <c r="H55" s="79" t="s">
        <v>69</v>
      </c>
      <c r="I55" s="137">
        <v>1.52</v>
      </c>
      <c r="J55" s="137">
        <v>1</v>
      </c>
      <c r="K55" s="138">
        <f t="shared" si="0"/>
        <v>1.5047999999999999</v>
      </c>
      <c r="L55" s="139">
        <v>0.56399999999999995</v>
      </c>
      <c r="M55" s="139">
        <v>0.54100000000000004</v>
      </c>
      <c r="N55" s="159">
        <v>0.54100000000000004</v>
      </c>
      <c r="O55" s="141">
        <f t="shared" si="14"/>
        <v>0.54100000000000004</v>
      </c>
      <c r="P55" s="79">
        <v>90</v>
      </c>
      <c r="Q55" s="137">
        <v>89.53</v>
      </c>
      <c r="R55" s="57">
        <v>2556.79</v>
      </c>
      <c r="S55" s="80">
        <v>140</v>
      </c>
      <c r="U55" s="79">
        <v>130</v>
      </c>
      <c r="V55" s="142">
        <v>1.1023000000000001</v>
      </c>
      <c r="W55" s="137">
        <v>5</v>
      </c>
      <c r="X55" s="137">
        <v>8.6</v>
      </c>
      <c r="Y55" s="79">
        <v>30</v>
      </c>
      <c r="Z55" s="143">
        <f t="shared" si="18"/>
        <v>30</v>
      </c>
      <c r="AA55" s="144">
        <f t="shared" si="2"/>
        <v>60</v>
      </c>
      <c r="AB55" s="145">
        <f t="shared" si="16"/>
        <v>1082.0221454173002</v>
      </c>
      <c r="AC55" s="145">
        <f>+(S55-T55)*V55-'data 1'!$F$4</f>
        <v>74.322000000000003</v>
      </c>
      <c r="AD55" s="145">
        <f t="shared" si="3"/>
        <v>-7.0910241755435832</v>
      </c>
      <c r="AE55" s="191">
        <f t="shared" si="11"/>
        <v>-26.304827999999997</v>
      </c>
      <c r="AF55" s="145">
        <f t="shared" si="4"/>
        <v>55.084374800202085</v>
      </c>
      <c r="AG55" s="145">
        <f t="shared" si="17"/>
        <v>96.010522624658506</v>
      </c>
      <c r="AH55" s="145">
        <f t="shared" si="5"/>
        <v>26.051668321789766</v>
      </c>
      <c r="AI55" s="137">
        <f t="shared" si="6"/>
        <v>128.13615288246362</v>
      </c>
      <c r="AJ55" s="137">
        <f t="shared" si="7"/>
        <v>25.120462228436917</v>
      </c>
      <c r="AK55" s="88"/>
      <c r="AL55" s="144">
        <f t="shared" si="9"/>
        <v>1628.2269244239533</v>
      </c>
      <c r="AM55" s="57"/>
    </row>
    <row r="56" spans="1:46" ht="15.75" customHeight="1">
      <c r="A56" s="134" t="s">
        <v>314</v>
      </c>
      <c r="B56" s="135">
        <v>45557</v>
      </c>
      <c r="C56" s="194">
        <v>45551</v>
      </c>
      <c r="D56" s="79" t="s">
        <v>106</v>
      </c>
      <c r="E56" s="79">
        <v>20606534923</v>
      </c>
      <c r="F56" s="6" t="s">
        <v>315</v>
      </c>
      <c r="G56" s="80">
        <v>12</v>
      </c>
      <c r="H56" s="79" t="s">
        <v>69</v>
      </c>
      <c r="I56" s="137">
        <v>1.05</v>
      </c>
      <c r="J56" s="137">
        <v>0.9</v>
      </c>
      <c r="K56" s="138">
        <f t="shared" si="0"/>
        <v>1.0405500000000001</v>
      </c>
      <c r="L56" s="139">
        <v>0.36599999999999999</v>
      </c>
      <c r="M56" s="139">
        <v>0.35099999999999998</v>
      </c>
      <c r="N56" s="159">
        <v>0.35099999999999998</v>
      </c>
      <c r="O56" s="141">
        <f t="shared" si="14"/>
        <v>0.35099999999999998</v>
      </c>
      <c r="P56" s="79">
        <v>90</v>
      </c>
      <c r="Q56" s="137">
        <v>89.505703926672425</v>
      </c>
      <c r="R56" s="57">
        <v>2556.79</v>
      </c>
      <c r="S56" s="80">
        <v>130</v>
      </c>
      <c r="U56" s="79">
        <v>130</v>
      </c>
      <c r="V56" s="142">
        <v>1.1023000000000001</v>
      </c>
      <c r="W56" s="137">
        <v>5.0999999999999996</v>
      </c>
      <c r="X56" s="137">
        <v>6.6</v>
      </c>
      <c r="Y56" s="79">
        <v>50</v>
      </c>
      <c r="Z56" s="143">
        <f t="shared" si="18"/>
        <v>30</v>
      </c>
      <c r="AA56" s="144">
        <f t="shared" si="2"/>
        <v>80</v>
      </c>
      <c r="AB56" s="145">
        <f t="shared" si="16"/>
        <v>613.5654899102999</v>
      </c>
      <c r="AC56" s="145">
        <f>+(S56-T56)*V56-'data 1'!$F$4</f>
        <v>63.299000000000007</v>
      </c>
      <c r="AD56" s="145">
        <f t="shared" si="3"/>
        <v>-4.8394972783243251</v>
      </c>
      <c r="AE56" s="191">
        <f t="shared" si="11"/>
        <v>2.4100870000000043</v>
      </c>
      <c r="AF56" s="145">
        <f t="shared" si="4"/>
        <v>35.914843277109689</v>
      </c>
      <c r="AG56" s="145">
        <f t="shared" si="17"/>
        <v>96.784432998785377</v>
      </c>
      <c r="AH56" s="145">
        <f t="shared" si="5"/>
        <v>11.687020899937155</v>
      </c>
      <c r="AI56" s="137">
        <f t="shared" si="6"/>
        <v>83.129619014455869</v>
      </c>
      <c r="AJ56" s="137">
        <f t="shared" si="7"/>
        <v>11.269941163141548</v>
      </c>
      <c r="AK56" s="88"/>
      <c r="AL56" s="144">
        <f t="shared" si="9"/>
        <v>638.44557052616267</v>
      </c>
      <c r="AM56" s="57"/>
    </row>
    <row r="57" spans="1:46" ht="15.75" customHeight="1">
      <c r="A57" s="134" t="s">
        <v>316</v>
      </c>
      <c r="B57" s="135">
        <v>45555</v>
      </c>
      <c r="C57" s="194">
        <v>45551</v>
      </c>
      <c r="D57" s="79" t="s">
        <v>93</v>
      </c>
      <c r="E57" s="79">
        <v>20169040231</v>
      </c>
      <c r="F57" s="6" t="s">
        <v>297</v>
      </c>
      <c r="G57" s="80">
        <v>30</v>
      </c>
      <c r="H57" s="79" t="s">
        <v>108</v>
      </c>
      <c r="I57" s="137">
        <v>2.4700000000000002</v>
      </c>
      <c r="J57" s="137">
        <v>16</v>
      </c>
      <c r="K57" s="138">
        <f t="shared" si="0"/>
        <v>2.0748000000000002</v>
      </c>
      <c r="L57" s="139">
        <v>1.363</v>
      </c>
      <c r="M57" s="139">
        <v>1.3080000000000001</v>
      </c>
      <c r="N57" s="149">
        <v>1.3680000000000001</v>
      </c>
      <c r="O57" s="141">
        <f t="shared" si="14"/>
        <v>1.3380000000000001</v>
      </c>
      <c r="P57" s="79">
        <v>90</v>
      </c>
      <c r="Q57" s="137">
        <v>89.14</v>
      </c>
      <c r="R57" s="57">
        <v>2556.79</v>
      </c>
      <c r="S57" s="80">
        <v>210</v>
      </c>
      <c r="U57" s="79">
        <v>130</v>
      </c>
      <c r="V57" s="142">
        <v>1.1023000000000001</v>
      </c>
      <c r="W57" s="137">
        <v>5</v>
      </c>
      <c r="X57" s="137">
        <v>6.5</v>
      </c>
      <c r="Y57" s="79">
        <v>50</v>
      </c>
      <c r="Z57" s="143">
        <f t="shared" si="18"/>
        <v>30</v>
      </c>
      <c r="AA57" s="144">
        <f t="shared" si="2"/>
        <v>80</v>
      </c>
      <c r="AB57" s="145">
        <f t="shared" si="16"/>
        <v>2901.6289529914002</v>
      </c>
      <c r="AC57" s="145">
        <f>+(S57-T57)*V57-'data 1'!$F$4</f>
        <v>151.483</v>
      </c>
      <c r="AD57" s="145">
        <f t="shared" si="3"/>
        <v>-31.356408322350582</v>
      </c>
      <c r="AE57" s="191">
        <f t="shared" si="11"/>
        <v>2.9171450000000014</v>
      </c>
      <c r="AF57" s="145">
        <f t="shared" si="4"/>
        <v>59.613502999844783</v>
      </c>
      <c r="AG57" s="145">
        <f t="shared" si="17"/>
        <v>182.6572396774942</v>
      </c>
      <c r="AH57" s="145">
        <f t="shared" si="5"/>
        <v>86.427866848215956</v>
      </c>
      <c r="AI57" s="137">
        <f t="shared" si="6"/>
        <v>308.31345486647069</v>
      </c>
      <c r="AJ57" s="137">
        <f t="shared" si="7"/>
        <v>85.661156108497792</v>
      </c>
      <c r="AK57" s="88"/>
      <c r="AL57" s="144">
        <f t="shared" si="9"/>
        <v>6020.2997516665573</v>
      </c>
      <c r="AM57" s="57"/>
    </row>
    <row r="58" spans="1:46" ht="15.75" customHeight="1">
      <c r="A58" s="134" t="s">
        <v>317</v>
      </c>
      <c r="B58" s="135">
        <v>45555</v>
      </c>
      <c r="C58" s="136">
        <v>45552</v>
      </c>
      <c r="D58" s="79" t="s">
        <v>129</v>
      </c>
      <c r="E58" s="79">
        <v>10423109730</v>
      </c>
      <c r="G58" s="80">
        <v>18</v>
      </c>
      <c r="H58" s="79" t="s">
        <v>69</v>
      </c>
      <c r="I58" s="137">
        <v>1.56</v>
      </c>
      <c r="J58" s="137">
        <v>0.9</v>
      </c>
      <c r="K58" s="138">
        <f t="shared" si="0"/>
        <v>1.54596</v>
      </c>
      <c r="L58" s="139">
        <v>0.40949999999999998</v>
      </c>
      <c r="M58" s="139">
        <v>0.38902499999999995</v>
      </c>
      <c r="N58" s="149">
        <v>0.42699999999999999</v>
      </c>
      <c r="O58" s="141">
        <f t="shared" si="14"/>
        <v>0.40799999999999997</v>
      </c>
      <c r="P58" s="79">
        <v>90</v>
      </c>
      <c r="Q58" s="79">
        <v>89.23</v>
      </c>
      <c r="R58" s="57">
        <v>2560.7800000000002</v>
      </c>
      <c r="S58" s="80">
        <v>110</v>
      </c>
      <c r="U58" s="79">
        <v>100</v>
      </c>
      <c r="V58" s="142">
        <v>1.1023000000000001</v>
      </c>
      <c r="W58" s="137">
        <v>5.5</v>
      </c>
      <c r="X58" s="137">
        <v>10.199999999999999</v>
      </c>
      <c r="Y58" s="79">
        <v>30</v>
      </c>
      <c r="Z58" s="143">
        <f t="shared" si="18"/>
        <v>30</v>
      </c>
      <c r="AA58" s="144">
        <f t="shared" si="2"/>
        <v>60</v>
      </c>
      <c r="AB58" s="145">
        <f t="shared" si="16"/>
        <v>808.64553395680014</v>
      </c>
      <c r="AC58" s="145">
        <f>+(S58-T58)*V58-'data 1'!$F$4</f>
        <v>41.253</v>
      </c>
      <c r="AD58" s="145">
        <f t="shared" si="3"/>
        <v>-8.5529754821510569</v>
      </c>
      <c r="AE58" s="191">
        <f t="shared" si="11"/>
        <v>-32.598960999999996</v>
      </c>
      <c r="AF58" s="145">
        <f t="shared" si="4"/>
        <v>3.6305694413793037</v>
      </c>
      <c r="AG58" s="145">
        <f t="shared" si="17"/>
        <v>83.73163295922825</v>
      </c>
      <c r="AH58" s="145">
        <f t="shared" si="5"/>
        <v>19.367435629381578</v>
      </c>
      <c r="AI58" s="137">
        <f t="shared" si="6"/>
        <v>79.032892688486029</v>
      </c>
      <c r="AJ58" s="137">
        <f t="shared" si="7"/>
        <v>19.463009500790481</v>
      </c>
      <c r="AK58" s="88"/>
      <c r="AL58" s="144">
        <f t="shared" si="9"/>
        <v>1250.1336496758547</v>
      </c>
      <c r="AM58" s="57"/>
    </row>
    <row r="59" spans="1:46" ht="15.75" customHeight="1">
      <c r="A59" s="134" t="s">
        <v>318</v>
      </c>
      <c r="B59" s="135">
        <v>45555</v>
      </c>
      <c r="C59" s="136">
        <v>45552</v>
      </c>
      <c r="D59" s="79" t="s">
        <v>129</v>
      </c>
      <c r="E59" s="79">
        <v>10423109730</v>
      </c>
      <c r="G59" s="80">
        <v>21</v>
      </c>
      <c r="H59" s="79" t="s">
        <v>69</v>
      </c>
      <c r="I59" s="137">
        <v>1.87</v>
      </c>
      <c r="J59" s="137">
        <v>0.9</v>
      </c>
      <c r="K59" s="138">
        <f t="shared" si="0"/>
        <v>1.8531700000000002</v>
      </c>
      <c r="L59" s="139">
        <v>0.191</v>
      </c>
      <c r="M59" s="139">
        <v>0.17954000000000001</v>
      </c>
      <c r="N59" s="159">
        <v>0.17954000000000001</v>
      </c>
      <c r="O59" s="141">
        <f t="shared" si="14"/>
        <v>0.18</v>
      </c>
      <c r="P59" s="79">
        <v>90</v>
      </c>
      <c r="Q59" s="79">
        <v>89.44</v>
      </c>
      <c r="R59" s="57">
        <v>2560.7800000000002</v>
      </c>
      <c r="S59" s="80">
        <v>110</v>
      </c>
      <c r="U59" s="79">
        <v>100</v>
      </c>
      <c r="V59" s="142">
        <v>1.1023000000000001</v>
      </c>
      <c r="W59" s="137">
        <v>5.5</v>
      </c>
      <c r="X59" s="137">
        <v>9.8000000000000007</v>
      </c>
      <c r="Y59" s="79">
        <v>30</v>
      </c>
      <c r="Z59" s="143">
        <f t="shared" si="18"/>
        <v>30</v>
      </c>
      <c r="AA59" s="144">
        <f t="shared" si="2"/>
        <v>60</v>
      </c>
      <c r="AB59" s="145">
        <f t="shared" si="16"/>
        <v>252.03688262799997</v>
      </c>
      <c r="AC59" s="145">
        <f>+(S59-T59)*V59-'data 1'!$F$4</f>
        <v>41.253</v>
      </c>
      <c r="AD59" s="145">
        <f t="shared" si="3"/>
        <v>-2.9013090324624127</v>
      </c>
      <c r="AE59" s="191">
        <f t="shared" si="11"/>
        <v>-31.232109000000001</v>
      </c>
      <c r="AF59" s="145">
        <f t="shared" si="4"/>
        <v>26.686835064489628</v>
      </c>
      <c r="AG59" s="145">
        <f t="shared" si="17"/>
        <v>113.80641703202721</v>
      </c>
      <c r="AH59" s="145">
        <f t="shared" si="5"/>
        <v>10.853991773641448</v>
      </c>
      <c r="AI59" s="137">
        <f t="shared" si="6"/>
        <v>36.949471981302366</v>
      </c>
      <c r="AJ59" s="137">
        <f t="shared" si="7"/>
        <v>10.292937716764197</v>
      </c>
      <c r="AK59" s="88"/>
      <c r="AL59" s="144">
        <f t="shared" si="9"/>
        <v>467.06718977973077</v>
      </c>
      <c r="AM59" s="57"/>
    </row>
    <row r="60" spans="1:46" ht="15.75" customHeight="1">
      <c r="A60" s="134" t="s">
        <v>319</v>
      </c>
      <c r="B60" s="135">
        <v>45555</v>
      </c>
      <c r="C60" s="136">
        <v>45552</v>
      </c>
      <c r="D60" s="79" t="s">
        <v>129</v>
      </c>
      <c r="E60" s="79">
        <v>10423109730</v>
      </c>
      <c r="G60" s="80">
        <v>28</v>
      </c>
      <c r="H60" s="79" t="s">
        <v>69</v>
      </c>
      <c r="I60" s="137">
        <v>3.11</v>
      </c>
      <c r="J60" s="137">
        <v>1.7</v>
      </c>
      <c r="K60" s="138">
        <f t="shared" si="0"/>
        <v>3.0571299999999999</v>
      </c>
      <c r="L60" s="139">
        <v>0.17449999999999999</v>
      </c>
      <c r="M60" s="139">
        <v>0.16228499999999998</v>
      </c>
      <c r="N60" s="159">
        <v>0.16228499999999998</v>
      </c>
      <c r="O60" s="141">
        <f t="shared" si="14"/>
        <v>0.16200000000000001</v>
      </c>
      <c r="P60" s="79">
        <v>90</v>
      </c>
      <c r="Q60" s="79">
        <v>89.35</v>
      </c>
      <c r="R60" s="57">
        <v>2560.7800000000002</v>
      </c>
      <c r="S60" s="80">
        <v>110</v>
      </c>
      <c r="U60" s="79">
        <v>100</v>
      </c>
      <c r="V60" s="142">
        <v>1.1023000000000001</v>
      </c>
      <c r="W60" s="137">
        <v>5.5</v>
      </c>
      <c r="X60" s="137">
        <v>9.6999999999999993</v>
      </c>
      <c r="Y60" s="79">
        <v>30</v>
      </c>
      <c r="Z60" s="143">
        <f t="shared" si="18"/>
        <v>30</v>
      </c>
      <c r="AA60" s="144">
        <f t="shared" si="2"/>
        <v>60</v>
      </c>
      <c r="AB60" s="145">
        <f t="shared" si="16"/>
        <v>208.09409436520008</v>
      </c>
      <c r="AC60" s="145">
        <f>+(S60-T60)*V60-'data 1'!$F$4</f>
        <v>41.253</v>
      </c>
      <c r="AD60" s="145">
        <f t="shared" si="3"/>
        <v>-3.0766733078445272</v>
      </c>
      <c r="AE60" s="191">
        <f t="shared" si="11"/>
        <v>-30.890395999999996</v>
      </c>
      <c r="AF60" s="145">
        <f t="shared" si="4"/>
        <v>30.295433111737463</v>
      </c>
      <c r="AG60" s="145">
        <f t="shared" si="17"/>
        <v>117.58136380389294</v>
      </c>
      <c r="AH60" s="145">
        <f t="shared" si="5"/>
        <v>16.342291931265141</v>
      </c>
      <c r="AI60" s="137">
        <f t="shared" si="6"/>
        <v>33.723533024969463</v>
      </c>
      <c r="AJ60" s="137">
        <f t="shared" si="7"/>
        <v>15.282010724243428</v>
      </c>
      <c r="AK60" s="88"/>
      <c r="AL60" s="144">
        <f t="shared" si="9"/>
        <v>636.17069870668411</v>
      </c>
      <c r="AM60" s="57"/>
    </row>
    <row r="61" spans="1:46" ht="15.75" customHeight="1">
      <c r="A61" s="134" t="s">
        <v>320</v>
      </c>
      <c r="B61" s="135">
        <v>45559</v>
      </c>
      <c r="C61" s="136">
        <v>45555</v>
      </c>
      <c r="D61" s="79" t="s">
        <v>85</v>
      </c>
      <c r="E61" s="79">
        <v>10460498487</v>
      </c>
      <c r="F61" s="6" t="s">
        <v>321</v>
      </c>
      <c r="G61" s="80">
        <v>256</v>
      </c>
      <c r="H61" s="79" t="s">
        <v>69</v>
      </c>
      <c r="I61" s="137">
        <v>21.32</v>
      </c>
      <c r="J61" s="137">
        <v>6</v>
      </c>
      <c r="K61" s="138">
        <f t="shared" si="0"/>
        <v>20.040800000000001</v>
      </c>
      <c r="L61" s="188">
        <v>0.432</v>
      </c>
      <c r="M61" s="221">
        <v>0.38200000000000001</v>
      </c>
      <c r="N61" s="149">
        <v>0.43099999999999999</v>
      </c>
      <c r="O61" s="141">
        <f t="shared" si="14"/>
        <v>0.40699999999999997</v>
      </c>
      <c r="P61" s="79">
        <v>90</v>
      </c>
      <c r="Q61" s="79">
        <v>89.52</v>
      </c>
      <c r="R61" s="57">
        <v>2605.85</v>
      </c>
      <c r="S61" s="80">
        <v>140</v>
      </c>
      <c r="U61" s="79">
        <v>130</v>
      </c>
      <c r="V61" s="142">
        <v>1.1023000000000001</v>
      </c>
      <c r="W61" s="222">
        <v>3</v>
      </c>
      <c r="X61" s="222">
        <v>3</v>
      </c>
      <c r="Y61" s="79">
        <v>30</v>
      </c>
      <c r="Z61" s="143">
        <f t="shared" si="18"/>
        <v>30</v>
      </c>
      <c r="AA61" s="144">
        <f t="shared" si="2"/>
        <v>60</v>
      </c>
      <c r="AB61" s="145">
        <f t="shared" si="16"/>
        <v>779.22011936649994</v>
      </c>
      <c r="AC61" s="145">
        <f>+(S61-T61)*V61-'data 1'!$F$4</f>
        <v>74.322000000000003</v>
      </c>
      <c r="AD61" s="145">
        <f t="shared" si="3"/>
        <v>-5.6591228378880478</v>
      </c>
      <c r="AE61" s="191">
        <f t="shared" si="11"/>
        <v>-3.8619999999999948</v>
      </c>
      <c r="AF61" s="145">
        <f t="shared" si="4"/>
        <v>61.077917202900053</v>
      </c>
      <c r="AG61" s="145">
        <f t="shared" si="17"/>
        <v>125.87879436501201</v>
      </c>
      <c r="AH61" s="145">
        <f t="shared" si="5"/>
        <v>265.72226370307214</v>
      </c>
      <c r="AI61" s="137">
        <f t="shared" si="6"/>
        <v>77.222163716928037</v>
      </c>
      <c r="AJ61" s="137">
        <f t="shared" si="7"/>
        <v>251.68714935012278</v>
      </c>
      <c r="AK61" s="88"/>
      <c r="AL61" s="144">
        <f t="shared" si="9"/>
        <v>15616.194568200153</v>
      </c>
      <c r="AM61" s="57"/>
    </row>
    <row r="62" spans="1:46" ht="15.75" customHeight="1">
      <c r="A62" s="134" t="s">
        <v>322</v>
      </c>
      <c r="B62" s="135">
        <v>45559</v>
      </c>
      <c r="C62" s="136">
        <v>45555</v>
      </c>
      <c r="D62" s="79" t="s">
        <v>85</v>
      </c>
      <c r="E62" s="79">
        <v>10460498487</v>
      </c>
      <c r="F62" s="6" t="s">
        <v>321</v>
      </c>
      <c r="G62" s="80" t="s">
        <v>68</v>
      </c>
      <c r="H62" s="79" t="s">
        <v>69</v>
      </c>
      <c r="I62" s="137">
        <v>13.75</v>
      </c>
      <c r="J62" s="137">
        <v>4.5</v>
      </c>
      <c r="K62" s="138">
        <f t="shared" si="0"/>
        <v>13.13125</v>
      </c>
      <c r="L62" s="139">
        <v>0.19400000000000001</v>
      </c>
      <c r="M62" s="139">
        <v>0.17799999999999999</v>
      </c>
      <c r="N62" s="149">
        <v>0.18099999999999999</v>
      </c>
      <c r="O62" s="141">
        <f t="shared" si="14"/>
        <v>0.18</v>
      </c>
      <c r="P62" s="79">
        <v>88</v>
      </c>
      <c r="Q62" s="79">
        <v>89.42</v>
      </c>
      <c r="R62" s="57">
        <v>2605.85</v>
      </c>
      <c r="S62" s="80">
        <v>125</v>
      </c>
      <c r="U62" s="79">
        <v>130</v>
      </c>
      <c r="V62" s="142">
        <v>1.1023000000000001</v>
      </c>
      <c r="W62" s="137">
        <v>5.2</v>
      </c>
      <c r="X62" s="137">
        <v>9.4</v>
      </c>
      <c r="Y62" s="79">
        <v>30</v>
      </c>
      <c r="Z62" s="143">
        <f t="shared" si="18"/>
        <v>30</v>
      </c>
      <c r="AA62" s="144">
        <f t="shared" si="2"/>
        <v>60</v>
      </c>
      <c r="AB62" s="145">
        <f t="shared" si="16"/>
        <v>228.36860567200003</v>
      </c>
      <c r="AC62" s="145">
        <f>+(S62-T62)*V62-'data 1'!$F$4</f>
        <v>57.787499999999994</v>
      </c>
      <c r="AD62" s="145">
        <f t="shared" si="3"/>
        <v>7.5182058226340089</v>
      </c>
      <c r="AE62" s="191">
        <f t="shared" si="11"/>
        <v>-29.369222000000001</v>
      </c>
      <c r="AF62" s="145">
        <f t="shared" si="4"/>
        <v>34.165425821254033</v>
      </c>
      <c r="AG62" s="145">
        <f t="shared" si="17"/>
        <v>70.101909643888035</v>
      </c>
      <c r="AH62" s="145">
        <f t="shared" si="5"/>
        <v>78.100090025729955</v>
      </c>
      <c r="AI62" s="137">
        <f t="shared" si="6"/>
        <v>34.639733430046022</v>
      </c>
      <c r="AJ62" s="137">
        <f t="shared" si="7"/>
        <v>71.313264290119506</v>
      </c>
      <c r="AK62" s="88"/>
      <c r="AL62" s="144">
        <f t="shared" si="9"/>
        <v>2998.7652532304505</v>
      </c>
      <c r="AM62" s="57"/>
    </row>
    <row r="63" spans="1:46" ht="15.75" customHeight="1">
      <c r="A63" s="223" t="s">
        <v>323</v>
      </c>
      <c r="B63" s="224">
        <v>45559</v>
      </c>
      <c r="C63" s="224">
        <v>45556</v>
      </c>
      <c r="D63" s="225" t="s">
        <v>324</v>
      </c>
      <c r="E63" s="225">
        <v>20603329059</v>
      </c>
      <c r="F63" s="226" t="s">
        <v>78</v>
      </c>
      <c r="G63" s="227">
        <v>65</v>
      </c>
      <c r="H63" s="225" t="s">
        <v>108</v>
      </c>
      <c r="I63" s="228">
        <v>1.95</v>
      </c>
      <c r="J63" s="228">
        <v>14.5</v>
      </c>
      <c r="K63" s="229">
        <f t="shared" si="0"/>
        <v>1.6672499999999999</v>
      </c>
      <c r="L63" s="230">
        <v>0.97</v>
      </c>
      <c r="M63" s="230">
        <v>0.93100000000000005</v>
      </c>
      <c r="N63" s="231">
        <v>1.008</v>
      </c>
      <c r="O63" s="230">
        <f t="shared" si="14"/>
        <v>0.97</v>
      </c>
      <c r="P63" s="225">
        <v>90</v>
      </c>
      <c r="Q63" s="228">
        <v>89.33</v>
      </c>
      <c r="R63" s="232">
        <v>2622.35</v>
      </c>
      <c r="S63" s="227">
        <v>160</v>
      </c>
      <c r="T63" s="225"/>
      <c r="U63" s="225">
        <v>100</v>
      </c>
      <c r="V63" s="225">
        <v>1.1023000000000001</v>
      </c>
      <c r="W63" s="233">
        <v>3</v>
      </c>
      <c r="X63" s="233">
        <v>5</v>
      </c>
      <c r="Y63" s="225"/>
      <c r="Z63" s="228">
        <f t="shared" si="18"/>
        <v>30</v>
      </c>
      <c r="AA63" s="232">
        <f t="shared" si="2"/>
        <v>30</v>
      </c>
      <c r="AB63" s="234">
        <f t="shared" si="16"/>
        <v>2217.8403315650003</v>
      </c>
      <c r="AC63" s="234">
        <f>+(S63-T63)*V63-'data 1'!$F$4</f>
        <v>96.367999999999995</v>
      </c>
      <c r="AD63" s="234">
        <f t="shared" si="3"/>
        <v>-18.069731246095042</v>
      </c>
      <c r="AE63" s="191">
        <f t="shared" si="11"/>
        <v>-43.765259999999998</v>
      </c>
      <c r="AF63" s="234">
        <f t="shared" si="4"/>
        <v>0</v>
      </c>
      <c r="AG63" s="235">
        <f>+IF(D63="RONALD WILLIAN GARIBAY ESCUDERO",AC63+AD63+AE63+AF63+80,AC63+AD63+AE63+AF63)+90-70-10</f>
        <v>44.533008753904952</v>
      </c>
      <c r="AH63" s="234">
        <f t="shared" si="5"/>
        <v>49.531201572956334</v>
      </c>
      <c r="AI63" s="228">
        <f t="shared" si="6"/>
        <v>128.61014664219508</v>
      </c>
      <c r="AJ63" s="228">
        <f t="shared" si="7"/>
        <v>49.902699446614463</v>
      </c>
      <c r="AK63" s="236"/>
      <c r="AL63" s="144">
        <f t="shared" si="9"/>
        <v>3697.6942928017465</v>
      </c>
      <c r="AM63" s="232"/>
      <c r="AN63" s="225"/>
      <c r="AO63" s="225"/>
      <c r="AP63" s="225"/>
      <c r="AQ63" s="225"/>
      <c r="AR63" s="225"/>
      <c r="AS63" s="225"/>
      <c r="AT63" s="225"/>
    </row>
    <row r="64" spans="1:46" ht="15.75" customHeight="1">
      <c r="A64" s="223" t="s">
        <v>325</v>
      </c>
      <c r="B64" s="224">
        <v>45559</v>
      </c>
      <c r="C64" s="224">
        <v>45556</v>
      </c>
      <c r="D64" s="225" t="s">
        <v>324</v>
      </c>
      <c r="E64" s="225">
        <v>20603329059</v>
      </c>
      <c r="F64" s="226" t="s">
        <v>78</v>
      </c>
      <c r="G64" s="227">
        <v>89</v>
      </c>
      <c r="H64" s="225" t="s">
        <v>108</v>
      </c>
      <c r="I64" s="228">
        <v>2.98</v>
      </c>
      <c r="J64" s="228">
        <v>9</v>
      </c>
      <c r="K64" s="229">
        <f t="shared" si="0"/>
        <v>2.7118000000000002</v>
      </c>
      <c r="L64" s="230">
        <v>0.75</v>
      </c>
      <c r="M64" s="230">
        <v>0.72</v>
      </c>
      <c r="N64" s="237">
        <v>0.72</v>
      </c>
      <c r="O64" s="230">
        <f t="shared" si="14"/>
        <v>0.72</v>
      </c>
      <c r="P64" s="225">
        <v>90</v>
      </c>
      <c r="Q64" s="228">
        <v>89.5</v>
      </c>
      <c r="R64" s="232">
        <v>2622.35</v>
      </c>
      <c r="S64" s="227">
        <v>140</v>
      </c>
      <c r="T64" s="225"/>
      <c r="U64" s="225">
        <v>100</v>
      </c>
      <c r="V64" s="225">
        <v>1.1023000000000001</v>
      </c>
      <c r="W64" s="233">
        <v>3</v>
      </c>
      <c r="X64" s="233">
        <v>5</v>
      </c>
      <c r="Y64" s="225"/>
      <c r="Z64" s="228">
        <f t="shared" si="18"/>
        <v>30</v>
      </c>
      <c r="AA64" s="232">
        <f t="shared" si="2"/>
        <v>30</v>
      </c>
      <c r="AB64" s="234">
        <f t="shared" si="16"/>
        <v>1614.29939044</v>
      </c>
      <c r="AC64" s="234">
        <f>+(S64-T64)*V64-'data 1'!$F$4</f>
        <v>74.322000000000003</v>
      </c>
      <c r="AD64" s="234">
        <f t="shared" si="3"/>
        <v>-10.426449018749999</v>
      </c>
      <c r="AE64" s="191">
        <f t="shared" si="11"/>
        <v>-43.765259999999998</v>
      </c>
      <c r="AF64" s="234">
        <f t="shared" si="4"/>
        <v>74.65337497425007</v>
      </c>
      <c r="AG64" s="235">
        <f>+IF(D64="RONALD WILLIAN GARIBAY ESCUDERO",AC64+AD64+AE64+AF64+80,AC64+AD64+AE64+AF64)+90-70-10</f>
        <v>104.78366595550008</v>
      </c>
      <c r="AH64" s="234">
        <f t="shared" si="5"/>
        <v>62.409546154515802</v>
      </c>
      <c r="AI64" s="228">
        <f t="shared" si="6"/>
        <v>99.630076518750059</v>
      </c>
      <c r="AJ64" s="228">
        <f t="shared" si="7"/>
        <v>60.247874723465529</v>
      </c>
      <c r="AK64" s="236"/>
      <c r="AL64" s="144">
        <f t="shared" si="9"/>
        <v>4377.657086995192</v>
      </c>
      <c r="AM64" s="232"/>
      <c r="AN64" s="225"/>
      <c r="AO64" s="225"/>
      <c r="AP64" s="225"/>
      <c r="AQ64" s="225"/>
      <c r="AR64" s="225"/>
      <c r="AS64" s="225"/>
      <c r="AT64" s="225"/>
    </row>
    <row r="65" spans="1:39" ht="15.75" customHeight="1">
      <c r="A65" s="134" t="s">
        <v>326</v>
      </c>
      <c r="B65" s="135">
        <v>45558</v>
      </c>
      <c r="C65" s="136">
        <v>45556</v>
      </c>
      <c r="D65" s="206" t="s">
        <v>119</v>
      </c>
      <c r="E65" s="79">
        <v>10082235774</v>
      </c>
      <c r="G65" s="80">
        <v>41</v>
      </c>
      <c r="H65" s="79" t="s">
        <v>69</v>
      </c>
      <c r="I65" s="137">
        <v>3.41</v>
      </c>
      <c r="J65" s="137">
        <v>1.1000000000000001</v>
      </c>
      <c r="K65" s="138">
        <f t="shared" si="0"/>
        <v>3.37249</v>
      </c>
      <c r="L65" s="139">
        <v>0.29299999999999998</v>
      </c>
      <c r="M65" s="139">
        <v>0.27</v>
      </c>
      <c r="N65" s="159">
        <v>0.27</v>
      </c>
      <c r="O65" s="141">
        <f t="shared" si="14"/>
        <v>0.27</v>
      </c>
      <c r="P65" s="79">
        <v>90</v>
      </c>
      <c r="Q65" s="137">
        <v>89.58</v>
      </c>
      <c r="R65" s="57">
        <v>2605.85</v>
      </c>
      <c r="S65" s="80">
        <v>105</v>
      </c>
      <c r="U65" s="79">
        <v>80</v>
      </c>
      <c r="V65" s="142">
        <v>1.1023000000000001</v>
      </c>
      <c r="W65" s="137">
        <v>5.5</v>
      </c>
      <c r="X65" s="137">
        <v>6.5</v>
      </c>
      <c r="Y65" s="79">
        <v>0</v>
      </c>
      <c r="Z65" s="160">
        <v>10</v>
      </c>
      <c r="AA65" s="144">
        <f t="shared" si="2"/>
        <v>10</v>
      </c>
      <c r="AB65" s="145">
        <f t="shared" si="16"/>
        <v>549.80690256500009</v>
      </c>
      <c r="AC65" s="145">
        <f>+(S65-T65)*V65-'data 1'!$F$4</f>
        <v>35.741500000000002</v>
      </c>
      <c r="AD65" s="145">
        <f t="shared" si="3"/>
        <v>-3.4262912263230141</v>
      </c>
      <c r="AE65" s="191">
        <f t="shared" si="11"/>
        <v>-75.070580000000007</v>
      </c>
      <c r="AF65" s="145">
        <f t="shared" si="4"/>
        <v>57.364902204146908</v>
      </c>
      <c r="AG65" s="145">
        <f>+IF(D65="RONALD WILLIAN GARIBAY ESCUDERO",AC65+AD65+AE65+AF65+80,AC65+AD65+AE65+AF65)+90</f>
        <v>104.60953097782388</v>
      </c>
      <c r="AH65" s="145">
        <f t="shared" si="5"/>
        <v>30.348583000368084</v>
      </c>
      <c r="AI65" s="137">
        <f t="shared" si="6"/>
        <v>37.944320573163026</v>
      </c>
      <c r="AJ65" s="137">
        <f t="shared" si="7"/>
        <v>28.097392187772915</v>
      </c>
      <c r="AK65" s="88"/>
      <c r="AL65" s="144">
        <f t="shared" si="9"/>
        <v>1854.2182808314371</v>
      </c>
      <c r="AM65" s="57"/>
    </row>
    <row r="66" spans="1:39" ht="15.75" customHeight="1">
      <c r="A66" s="134" t="s">
        <v>327</v>
      </c>
      <c r="B66" s="135">
        <v>45558</v>
      </c>
      <c r="C66" s="136">
        <v>45556</v>
      </c>
      <c r="D66" s="206" t="s">
        <v>119</v>
      </c>
      <c r="E66" s="79">
        <v>10082235774</v>
      </c>
      <c r="G66" s="80">
        <v>56</v>
      </c>
      <c r="H66" s="79" t="s">
        <v>69</v>
      </c>
      <c r="I66" s="137">
        <v>4.9800000000000004</v>
      </c>
      <c r="J66" s="137">
        <v>1</v>
      </c>
      <c r="K66" s="138">
        <f t="shared" si="0"/>
        <v>4.9302000000000001</v>
      </c>
      <c r="L66" s="80">
        <v>0.20100000000000001</v>
      </c>
      <c r="M66" s="139">
        <v>0.187</v>
      </c>
      <c r="N66" s="159">
        <v>0.187</v>
      </c>
      <c r="O66" s="141">
        <f t="shared" si="14"/>
        <v>0.187</v>
      </c>
      <c r="P66" s="79">
        <v>85</v>
      </c>
      <c r="Q66" s="137">
        <v>89.13</v>
      </c>
      <c r="R66" s="57">
        <v>2605.85</v>
      </c>
      <c r="S66" s="80">
        <v>95</v>
      </c>
      <c r="U66" s="79">
        <v>80</v>
      </c>
      <c r="V66" s="142">
        <v>1.1023000000000001</v>
      </c>
      <c r="W66" s="137">
        <v>5.5</v>
      </c>
      <c r="X66" s="137">
        <v>6.5</v>
      </c>
      <c r="Y66" s="79">
        <v>0</v>
      </c>
      <c r="Z66" s="160">
        <v>10</v>
      </c>
      <c r="AA66" s="144">
        <f t="shared" si="2"/>
        <v>10</v>
      </c>
      <c r="AB66" s="145">
        <f t="shared" si="16"/>
        <v>326.81415612224993</v>
      </c>
      <c r="AC66" s="145">
        <f>+(S66-T66)*V66-'data 1'!$F$4</f>
        <v>24.718500000000006</v>
      </c>
      <c r="AD66" s="145">
        <f t="shared" si="3"/>
        <v>23.112848494291473</v>
      </c>
      <c r="AE66" s="191">
        <f t="shared" si="11"/>
        <v>-75.070580000000007</v>
      </c>
      <c r="AF66" s="145">
        <f t="shared" si="4"/>
        <v>34.742359158381021</v>
      </c>
      <c r="AG66" s="145">
        <f>+IF(D66="RONALD WILLIAN GARIBAY ESCUDERO",AC66+AD66+AE66+AF66+80,AC66+AD66+AE66+AF66)+90</f>
        <v>97.503127652672489</v>
      </c>
      <c r="AH66" s="145">
        <f t="shared" si="5"/>
        <v>30.282628626366527</v>
      </c>
      <c r="AI66" s="137">
        <f t="shared" si="6"/>
        <v>25.89930238838852</v>
      </c>
      <c r="AJ66" s="137">
        <f t="shared" si="7"/>
        <v>26.867925715085288</v>
      </c>
      <c r="AK66" s="88"/>
      <c r="AL66" s="144">
        <f t="shared" si="9"/>
        <v>1611.2591525139167</v>
      </c>
      <c r="AM66" s="57"/>
    </row>
    <row r="67" spans="1:39" ht="15.75" customHeight="1">
      <c r="A67" s="134" t="s">
        <v>328</v>
      </c>
      <c r="B67" s="135">
        <v>45558</v>
      </c>
      <c r="C67" s="136">
        <v>45556</v>
      </c>
      <c r="D67" s="206" t="s">
        <v>119</v>
      </c>
      <c r="E67" s="79">
        <v>10082235774</v>
      </c>
      <c r="G67" s="80">
        <v>42</v>
      </c>
      <c r="H67" s="79" t="s">
        <v>69</v>
      </c>
      <c r="I67" s="137">
        <v>3.29</v>
      </c>
      <c r="J67" s="137">
        <v>1.2</v>
      </c>
      <c r="K67" s="138">
        <f t="shared" si="0"/>
        <v>3.2505199999999999</v>
      </c>
      <c r="L67" s="80">
        <v>0.32400000000000001</v>
      </c>
      <c r="M67" s="139">
        <v>0.30099999999999999</v>
      </c>
      <c r="N67" s="159">
        <v>0.30099999999999999</v>
      </c>
      <c r="O67" s="141">
        <f t="shared" si="14"/>
        <v>0.30099999999999999</v>
      </c>
      <c r="P67" s="79">
        <v>90</v>
      </c>
      <c r="Q67" s="137">
        <v>89.23</v>
      </c>
      <c r="R67" s="57">
        <v>2605.85</v>
      </c>
      <c r="S67" s="80">
        <v>110</v>
      </c>
      <c r="U67" s="79">
        <v>80</v>
      </c>
      <c r="V67" s="142">
        <v>1.1023000000000001</v>
      </c>
      <c r="W67" s="137">
        <v>5.5</v>
      </c>
      <c r="X67" s="137">
        <v>6.5</v>
      </c>
      <c r="Y67" s="79">
        <v>0</v>
      </c>
      <c r="Z67" s="160">
        <v>10</v>
      </c>
      <c r="AA67" s="144">
        <f t="shared" si="2"/>
        <v>10</v>
      </c>
      <c r="AB67" s="145">
        <f t="shared" si="16"/>
        <v>621.9758228595</v>
      </c>
      <c r="AC67" s="145">
        <f>+(S67-T67)*V67-'data 1'!$F$4</f>
        <v>41.253</v>
      </c>
      <c r="AD67" s="145">
        <f t="shared" si="3"/>
        <v>-6.9461330663339655</v>
      </c>
      <c r="AE67" s="191">
        <f t="shared" si="11"/>
        <v>-75.070580000000007</v>
      </c>
      <c r="AF67" s="145">
        <f t="shared" si="4"/>
        <v>57.140770525519557</v>
      </c>
      <c r="AG67" s="145">
        <f>+IF(D67="RONALD WILLIAN GARIBAY ESCUDERO",AC67+AD67+AE67+AF67+80,AC67+AD67+AE67+AF67)+90</f>
        <v>106.37705745918558</v>
      </c>
      <c r="AH67" s="145">
        <f t="shared" si="5"/>
        <v>32.219427183800818</v>
      </c>
      <c r="AI67" s="137">
        <f t="shared" si="6"/>
        <v>41.79496881605403</v>
      </c>
      <c r="AJ67" s="137">
        <f t="shared" si="7"/>
        <v>30.190542487965075</v>
      </c>
      <c r="AK67" s="88"/>
      <c r="AL67" s="144">
        <f t="shared" si="9"/>
        <v>2021.7448517212617</v>
      </c>
      <c r="AM67" s="57"/>
    </row>
    <row r="68" spans="1:39" ht="15.75" customHeight="1">
      <c r="A68" s="134" t="s">
        <v>329</v>
      </c>
      <c r="B68" s="135">
        <v>45558</v>
      </c>
      <c r="C68" s="136">
        <v>45556</v>
      </c>
      <c r="D68" s="206" t="s">
        <v>119</v>
      </c>
      <c r="E68" s="79">
        <v>10082235774</v>
      </c>
      <c r="G68" s="80">
        <v>50</v>
      </c>
      <c r="H68" s="79" t="s">
        <v>69</v>
      </c>
      <c r="I68" s="137">
        <v>4.13</v>
      </c>
      <c r="J68" s="137">
        <v>1</v>
      </c>
      <c r="K68" s="138">
        <f t="shared" si="0"/>
        <v>4.0887000000000002</v>
      </c>
      <c r="L68" s="80">
        <v>0.14299999999999999</v>
      </c>
      <c r="M68" s="139">
        <v>0.13</v>
      </c>
      <c r="N68" s="159">
        <v>0.13</v>
      </c>
      <c r="O68" s="141">
        <f t="shared" si="14"/>
        <v>0.13</v>
      </c>
      <c r="P68" s="79">
        <v>85</v>
      </c>
      <c r="Q68" s="137">
        <v>89.51</v>
      </c>
      <c r="R68" s="57">
        <v>2605.85</v>
      </c>
      <c r="S68" s="80">
        <v>95</v>
      </c>
      <c r="U68" s="79">
        <v>80</v>
      </c>
      <c r="V68" s="142">
        <v>1.1023000000000001</v>
      </c>
      <c r="W68" s="137">
        <v>5.5</v>
      </c>
      <c r="X68" s="137">
        <v>6.5</v>
      </c>
      <c r="Y68" s="79">
        <v>0</v>
      </c>
      <c r="Z68" s="160">
        <v>10</v>
      </c>
      <c r="AA68" s="144">
        <f t="shared" si="2"/>
        <v>10</v>
      </c>
      <c r="AB68" s="145">
        <f t="shared" si="16"/>
        <v>191.91751227750001</v>
      </c>
      <c r="AC68" s="145">
        <f>+(S68-T68)*V68-'data 1'!$F$4</f>
        <v>24.718500000000006</v>
      </c>
      <c r="AD68" s="145">
        <f t="shared" si="3"/>
        <v>17.956427763631524</v>
      </c>
      <c r="AE68" s="191">
        <f t="shared" si="11"/>
        <v>-75.070580000000007</v>
      </c>
      <c r="AF68" s="145">
        <f t="shared" si="4"/>
        <v>32.398303751716462</v>
      </c>
      <c r="AG68" s="145">
        <f>+IF(D68="RONALD WILLIAN GARIBAY ESCUDERO",AC68+AD68+AE68+AF68+80,AC68+AD68+AE68+AF68)+90</f>
        <v>90.002651515347992</v>
      </c>
      <c r="AH68" s="145">
        <f t="shared" si="5"/>
        <v>17.943283135498199</v>
      </c>
      <c r="AI68" s="137">
        <f t="shared" si="6"/>
        <v>18.504429363348514</v>
      </c>
      <c r="AJ68" s="137">
        <f t="shared" si="7"/>
        <v>15.49018460626387</v>
      </c>
      <c r="AK68" s="88"/>
      <c r="AL68" s="144">
        <f t="shared" si="9"/>
        <v>784.69313244901434</v>
      </c>
      <c r="AM68" s="57"/>
    </row>
    <row r="69" spans="1:39" ht="15.75" customHeight="1">
      <c r="A69" s="134" t="s">
        <v>330</v>
      </c>
      <c r="B69" s="135">
        <v>45558</v>
      </c>
      <c r="C69" s="136">
        <v>45556</v>
      </c>
      <c r="D69" s="206" t="s">
        <v>119</v>
      </c>
      <c r="E69" s="79">
        <v>10082235774</v>
      </c>
      <c r="G69" s="80">
        <v>42</v>
      </c>
      <c r="H69" s="79" t="s">
        <v>69</v>
      </c>
      <c r="I69" s="137">
        <v>3.33</v>
      </c>
      <c r="J69" s="137">
        <v>1.1000000000000001</v>
      </c>
      <c r="K69" s="138">
        <f t="shared" si="0"/>
        <v>3.2933699999999999</v>
      </c>
      <c r="L69" s="139">
        <v>0.23699999999999999</v>
      </c>
      <c r="M69" s="139">
        <v>0.218</v>
      </c>
      <c r="N69" s="159">
        <v>0.218</v>
      </c>
      <c r="O69" s="141">
        <f t="shared" si="14"/>
        <v>0.218</v>
      </c>
      <c r="P69" s="79">
        <v>85</v>
      </c>
      <c r="Q69" s="137">
        <v>89.16</v>
      </c>
      <c r="R69" s="57">
        <v>2605.85</v>
      </c>
      <c r="S69" s="80">
        <v>105</v>
      </c>
      <c r="U69" s="79">
        <v>80</v>
      </c>
      <c r="V69" s="142">
        <v>1.1023000000000001</v>
      </c>
      <c r="W69" s="137">
        <v>5.5</v>
      </c>
      <c r="X69" s="137">
        <v>6.5</v>
      </c>
      <c r="Y69" s="79">
        <v>0</v>
      </c>
      <c r="Z69" s="160">
        <v>10</v>
      </c>
      <c r="AA69" s="144">
        <f t="shared" si="2"/>
        <v>10</v>
      </c>
      <c r="AB69" s="145">
        <f t="shared" si="16"/>
        <v>389.1559975115</v>
      </c>
      <c r="AC69" s="145">
        <f>+(S69-T69)*V69-'data 1'!$F$4</f>
        <v>35.741500000000002</v>
      </c>
      <c r="AD69" s="145">
        <f t="shared" si="3"/>
        <v>27.450422930735975</v>
      </c>
      <c r="AE69" s="191">
        <f t="shared" si="11"/>
        <v>-75.070580000000007</v>
      </c>
      <c r="AF69" s="145">
        <f t="shared" si="4"/>
        <v>47.166214765481975</v>
      </c>
      <c r="AG69" s="145">
        <f>+IF(D69="RONALD WILLIAN GARIBAY ESCUDERO",AC69+AD69+AE69+AF69+80,AC69+AD69+AE69+AF69)+90</f>
        <v>125.28755769621795</v>
      </c>
      <c r="AH69" s="145">
        <f t="shared" si="5"/>
        <v>23.859865994952546</v>
      </c>
      <c r="AI69" s="137">
        <f t="shared" si="6"/>
        <v>30.548262101634023</v>
      </c>
      <c r="AJ69" s="137">
        <f t="shared" si="7"/>
        <v>20.923051002344941</v>
      </c>
      <c r="AK69" s="88"/>
      <c r="AL69" s="144">
        <f t="shared" si="9"/>
        <v>1281.6346875244487</v>
      </c>
      <c r="AM69" s="57"/>
    </row>
    <row r="70" spans="1:39" ht="15.75" customHeight="1">
      <c r="A70" s="134" t="s">
        <v>331</v>
      </c>
      <c r="B70" s="135">
        <v>45558</v>
      </c>
      <c r="C70" s="136">
        <v>45556</v>
      </c>
      <c r="D70" s="206" t="s">
        <v>119</v>
      </c>
      <c r="E70" s="79">
        <v>10082235774</v>
      </c>
      <c r="G70" s="80">
        <v>33</v>
      </c>
      <c r="H70" s="79" t="s">
        <v>69</v>
      </c>
      <c r="I70" s="137">
        <v>2.91</v>
      </c>
      <c r="J70" s="137">
        <v>1.2</v>
      </c>
      <c r="K70" s="138">
        <f t="shared" si="0"/>
        <v>2.8750800000000001</v>
      </c>
      <c r="L70" s="80">
        <v>0.105</v>
      </c>
      <c r="M70" s="139">
        <v>9.7000000000000003E-2</v>
      </c>
      <c r="N70" s="159">
        <v>9.7000000000000003E-2</v>
      </c>
      <c r="O70" s="141">
        <f t="shared" si="14"/>
        <v>9.7000000000000003E-2</v>
      </c>
      <c r="P70" s="79">
        <v>85</v>
      </c>
      <c r="Q70" s="137">
        <v>89.26</v>
      </c>
      <c r="R70" s="57">
        <v>2605.85</v>
      </c>
      <c r="S70" s="80">
        <v>95</v>
      </c>
      <c r="U70" s="79">
        <v>80</v>
      </c>
      <c r="V70" s="142">
        <v>1.1023000000000001</v>
      </c>
      <c r="W70" s="137">
        <v>5.5</v>
      </c>
      <c r="X70" s="137">
        <v>6.5</v>
      </c>
      <c r="Y70" s="79">
        <v>0</v>
      </c>
      <c r="Z70" s="160">
        <v>10</v>
      </c>
      <c r="AA70" s="144">
        <f t="shared" si="2"/>
        <v>10</v>
      </c>
      <c r="AB70" s="145">
        <f t="shared" si="16"/>
        <v>113.81945531475002</v>
      </c>
      <c r="AC70" s="145">
        <f>+(S70-T70)*V70-'data 1'!$F$4</f>
        <v>24.718500000000006</v>
      </c>
      <c r="AD70" s="145">
        <f t="shared" si="3"/>
        <v>12.453925447215013</v>
      </c>
      <c r="AE70" s="191">
        <f t="shared" si="11"/>
        <v>-75.070580000000007</v>
      </c>
      <c r="AF70" s="145">
        <f t="shared" si="4"/>
        <v>19.881732804263986</v>
      </c>
      <c r="AG70" s="145">
        <v>90</v>
      </c>
      <c r="AH70" s="145">
        <f t="shared" si="5"/>
        <v>9.2385791609581176</v>
      </c>
      <c r="AI70" s="137">
        <f t="shared" si="6"/>
        <v>13.54921966933501</v>
      </c>
      <c r="AJ70" s="137">
        <f t="shared" si="7"/>
        <v>8.1273630999967654</v>
      </c>
      <c r="AK70" s="88"/>
      <c r="AL70" s="144">
        <f t="shared" ref="AL70:AL76" si="19">+AB70*K70</f>
        <v>327.24003958633148</v>
      </c>
      <c r="AM70" s="57"/>
    </row>
    <row r="71" spans="1:39" ht="15.75" customHeight="1">
      <c r="A71" s="134" t="s">
        <v>332</v>
      </c>
      <c r="B71" s="135">
        <v>45558</v>
      </c>
      <c r="C71" s="136">
        <v>45556</v>
      </c>
      <c r="D71" s="206" t="s">
        <v>119</v>
      </c>
      <c r="E71" s="79">
        <v>10082235774</v>
      </c>
      <c r="G71" s="80">
        <v>39</v>
      </c>
      <c r="H71" s="79" t="s">
        <v>69</v>
      </c>
      <c r="I71" s="137">
        <v>3.3</v>
      </c>
      <c r="J71" s="137">
        <v>1.1000000000000001</v>
      </c>
      <c r="K71" s="138">
        <f t="shared" si="0"/>
        <v>3.2637</v>
      </c>
      <c r="L71" s="139">
        <v>0.15</v>
      </c>
      <c r="M71" s="139">
        <v>0.13700000000000001</v>
      </c>
      <c r="N71" s="159">
        <v>0.13700000000000001</v>
      </c>
      <c r="O71" s="141">
        <f t="shared" si="14"/>
        <v>0.13700000000000001</v>
      </c>
      <c r="P71" s="79">
        <v>85</v>
      </c>
      <c r="Q71" s="137">
        <v>89.65</v>
      </c>
      <c r="R71" s="57">
        <v>2605.85</v>
      </c>
      <c r="S71" s="80">
        <v>95</v>
      </c>
      <c r="U71" s="79">
        <v>80</v>
      </c>
      <c r="V71" s="142">
        <v>1.1023000000000001</v>
      </c>
      <c r="W71" s="137">
        <v>5.5</v>
      </c>
      <c r="X71" s="137">
        <v>6.5</v>
      </c>
      <c r="Y71" s="79">
        <v>0</v>
      </c>
      <c r="Z71" s="160">
        <v>10</v>
      </c>
      <c r="AA71" s="144">
        <f t="shared" si="2"/>
        <v>10</v>
      </c>
      <c r="AB71" s="145">
        <f t="shared" si="16"/>
        <v>208.48376678475003</v>
      </c>
      <c r="AC71" s="145">
        <f>+(S71-T71)*V71-'data 1'!$F$4</f>
        <v>24.718500000000006</v>
      </c>
      <c r="AD71" s="145">
        <f t="shared" si="3"/>
        <v>19.420105073625024</v>
      </c>
      <c r="AE71" s="191">
        <f t="shared" si="11"/>
        <v>-75.070580000000007</v>
      </c>
      <c r="AF71" s="145">
        <f t="shared" si="4"/>
        <v>32.448977000797463</v>
      </c>
      <c r="AG71" s="145">
        <f>+IF(D71="RONALD WILLIAN GARIBAY ESCUDERO",AC71+AD71+AE71+AF71+80,AC71+AD71+AE71+AF71)+90</f>
        <v>91.517002074422493</v>
      </c>
      <c r="AH71" s="145">
        <f t="shared" si="5"/>
        <v>15.047378791122112</v>
      </c>
      <c r="AI71" s="137">
        <f t="shared" si="6"/>
        <v>19.440599586375019</v>
      </c>
      <c r="AJ71" s="137">
        <f t="shared" si="7"/>
        <v>13.030431382979517</v>
      </c>
      <c r="AK71" s="88"/>
      <c r="AL71" s="144">
        <f t="shared" si="19"/>
        <v>680.42846965538865</v>
      </c>
      <c r="AM71" s="57"/>
    </row>
    <row r="72" spans="1:39" ht="15.75" customHeight="1">
      <c r="A72" s="134" t="s">
        <v>333</v>
      </c>
      <c r="B72" s="135">
        <v>45558</v>
      </c>
      <c r="C72" s="136">
        <v>45556</v>
      </c>
      <c r="D72" s="206" t="s">
        <v>119</v>
      </c>
      <c r="E72" s="79">
        <v>10082235774</v>
      </c>
      <c r="G72" s="80">
        <v>12</v>
      </c>
      <c r="H72" s="79" t="s">
        <v>69</v>
      </c>
      <c r="I72" s="137">
        <v>1.1000000000000001</v>
      </c>
      <c r="J72" s="137">
        <v>1.2</v>
      </c>
      <c r="K72" s="138">
        <f t="shared" si="0"/>
        <v>1.0868</v>
      </c>
      <c r="L72" s="139">
        <v>6.3E-2</v>
      </c>
      <c r="M72" s="139">
        <v>5.8000000000000003E-2</v>
      </c>
      <c r="N72" s="166">
        <v>5.8000000000000003E-2</v>
      </c>
      <c r="O72" s="141">
        <f t="shared" si="14"/>
        <v>5.8000000000000003E-2</v>
      </c>
      <c r="P72" s="79">
        <v>85</v>
      </c>
      <c r="Q72" s="238">
        <v>89.65</v>
      </c>
      <c r="R72" s="57">
        <v>2605.85</v>
      </c>
      <c r="S72" s="80">
        <v>95</v>
      </c>
      <c r="U72" s="79">
        <v>80</v>
      </c>
      <c r="V72" s="142">
        <v>1.1023000000000001</v>
      </c>
      <c r="W72" s="137">
        <v>5.5</v>
      </c>
      <c r="X72" s="137">
        <v>6.5</v>
      </c>
      <c r="Y72" s="79">
        <v>0</v>
      </c>
      <c r="Z72" s="160">
        <v>10</v>
      </c>
      <c r="AA72" s="144">
        <f t="shared" si="2"/>
        <v>10</v>
      </c>
      <c r="AB72" s="145">
        <f t="shared" si="16"/>
        <v>21.521751631500003</v>
      </c>
      <c r="AC72" s="145">
        <f>+(S72-T72)*V72-'data 1'!$F$4</f>
        <v>24.718500000000006</v>
      </c>
      <c r="AD72" s="145">
        <f t="shared" si="3"/>
        <v>8.1564441309225106</v>
      </c>
      <c r="AE72" s="191">
        <f t="shared" si="11"/>
        <v>-75.070580000000007</v>
      </c>
      <c r="AF72" s="145">
        <f t="shared" si="4"/>
        <v>12.480375769537496</v>
      </c>
      <c r="AG72" s="145">
        <f>+IF(D72="RONALD WILLIAN GARIBAY ESCUDERO",AC72+AD72+AE72+AF72+80,AC72+AD72+AE72+AF72)+90</f>
        <v>60.284739900460004</v>
      </c>
      <c r="AH72" s="145">
        <f t="shared" si="5"/>
        <v>2.1045029670252893</v>
      </c>
      <c r="AI72" s="137">
        <f t="shared" si="6"/>
        <v>8.1650518262775069</v>
      </c>
      <c r="AJ72" s="137">
        <f t="shared" si="7"/>
        <v>1.8369850348240824</v>
      </c>
      <c r="AK72" s="88"/>
      <c r="AL72" s="144">
        <f t="shared" si="19"/>
        <v>23.389839673114203</v>
      </c>
      <c r="AM72" s="57"/>
    </row>
    <row r="73" spans="1:39" ht="15.75" customHeight="1">
      <c r="A73" s="134" t="s">
        <v>334</v>
      </c>
      <c r="B73" s="135">
        <v>45560</v>
      </c>
      <c r="C73" s="136">
        <v>45557</v>
      </c>
      <c r="D73" s="79" t="s">
        <v>93</v>
      </c>
      <c r="E73" s="79">
        <v>20169040231</v>
      </c>
      <c r="F73" s="6" t="s">
        <v>335</v>
      </c>
      <c r="G73" s="80">
        <v>51</v>
      </c>
      <c r="H73" s="79" t="s">
        <v>69</v>
      </c>
      <c r="I73" s="137">
        <v>5.35</v>
      </c>
      <c r="J73" s="137">
        <v>1.4</v>
      </c>
      <c r="K73" s="138">
        <f t="shared" si="0"/>
        <v>5.2750999999999992</v>
      </c>
      <c r="L73" s="139">
        <v>0.40600000000000003</v>
      </c>
      <c r="M73" s="139">
        <v>0.39600000000000002</v>
      </c>
      <c r="N73" s="149">
        <v>0.4</v>
      </c>
      <c r="O73" s="141">
        <f t="shared" si="14"/>
        <v>0.39800000000000002</v>
      </c>
      <c r="P73" s="79">
        <v>90</v>
      </c>
      <c r="Q73" s="6">
        <v>89.53</v>
      </c>
      <c r="R73" s="57">
        <v>2605.85</v>
      </c>
      <c r="S73" s="80">
        <v>120</v>
      </c>
      <c r="U73" s="79">
        <v>130</v>
      </c>
      <c r="V73" s="142">
        <v>1.1023000000000001</v>
      </c>
      <c r="W73" s="137">
        <v>5</v>
      </c>
      <c r="X73" s="137">
        <v>10.1</v>
      </c>
      <c r="Y73" s="79">
        <v>30</v>
      </c>
      <c r="Z73" s="143">
        <f>IF(IF(D73="UNTUCA",IF(+((W73-3)*1.5+(X73-3)*3.1)&gt;0,+((W73-3)*1.5+(X73-3)*3.1),0),IF(+((W73-3)*1.5+(X73-3)*3.1)&gt;0,+((W73-3)*1.5+(X73-3)*3.1),0))&lt;30,30,IF(D73="UNTUCA",IF(+((W73-3)*1.5+(X73-3)*3.1)&gt;0,+((W73-3)*1.5+(X73-3)*3.1),0),IF(+((W73-3)*1.5+(X73-3)*3.1)&gt;0,+((W73-3)*1.5+(X73-3)*3.1),0)))</f>
        <v>30</v>
      </c>
      <c r="AA73" s="144">
        <f t="shared" si="2"/>
        <v>60</v>
      </c>
      <c r="AB73" s="145">
        <f t="shared" si="16"/>
        <v>779.16017078100003</v>
      </c>
      <c r="AC73" s="145">
        <f>+(S73-T73)*V73-'data 1'!$F$4</f>
        <v>52.27600000000001</v>
      </c>
      <c r="AD73" s="145">
        <f t="shared" si="3"/>
        <v>-5.2077248260309874</v>
      </c>
      <c r="AE73" s="191">
        <f>+(Y73*V73-70)+V73*(Z73-IF(D73="UNTUCA",IF(+((W73-3)*2.5+(X73-3)*3.1)&gt;0,+((W73-3)*1.5+(X73-3)*3.1),0),IF(+((W73-3)*1.5+(X73-3)*3.1)&gt;0,+((W73-3)*1.5+(X73-3)*3.1),0)))</f>
        <v>-31.430522999999994</v>
      </c>
      <c r="AF73" s="145">
        <f t="shared" si="4"/>
        <v>19.547116808492017</v>
      </c>
      <c r="AG73" s="145">
        <f>+IF(D73="RONALD WILLIAN GARIBAY ESCUDERO",AC73+AD73+AE73+AF73+80,AC73+AD73+AE73+AF73)</f>
        <v>35.18486898246104</v>
      </c>
      <c r="AH73" s="145">
        <f t="shared" si="5"/>
        <v>65.740709115104607</v>
      </c>
      <c r="AI73" s="137">
        <f t="shared" si="6"/>
        <v>72.582640568011044</v>
      </c>
      <c r="AJ73" s="137">
        <f t="shared" si="7"/>
        <v>64.783640250015196</v>
      </c>
      <c r="AK73" s="88"/>
      <c r="AL73" s="144">
        <f t="shared" si="19"/>
        <v>4110.1478168868525</v>
      </c>
      <c r="AM73" s="57"/>
    </row>
    <row r="74" spans="1:39" ht="15.75" customHeight="1">
      <c r="A74" s="134" t="s">
        <v>336</v>
      </c>
      <c r="B74" s="135">
        <v>45560</v>
      </c>
      <c r="C74" s="136">
        <v>45557</v>
      </c>
      <c r="D74" s="79" t="s">
        <v>93</v>
      </c>
      <c r="E74" s="79">
        <v>20169040231</v>
      </c>
      <c r="F74" s="6" t="s">
        <v>335</v>
      </c>
      <c r="G74" s="80">
        <v>10</v>
      </c>
      <c r="H74" s="79" t="s">
        <v>69</v>
      </c>
      <c r="I74" s="137">
        <v>0.89</v>
      </c>
      <c r="J74" s="137">
        <v>1</v>
      </c>
      <c r="K74" s="138">
        <f t="shared" si="0"/>
        <v>0.88109999999999999</v>
      </c>
      <c r="L74" s="139">
        <v>1.117</v>
      </c>
      <c r="M74" s="139">
        <v>1.0720000000000001</v>
      </c>
      <c r="N74" s="166">
        <v>1.0720000000000001</v>
      </c>
      <c r="O74" s="141">
        <f t="shared" si="14"/>
        <v>1.0720000000000001</v>
      </c>
      <c r="P74" s="79">
        <v>90</v>
      </c>
      <c r="Q74" s="6">
        <v>89.13</v>
      </c>
      <c r="R74" s="57">
        <v>2605.85</v>
      </c>
      <c r="S74" s="80">
        <v>170</v>
      </c>
      <c r="U74" s="79">
        <v>130</v>
      </c>
      <c r="V74" s="142">
        <v>1.1023000000000001</v>
      </c>
      <c r="W74" s="137">
        <v>5</v>
      </c>
      <c r="X74" s="137">
        <v>10.1</v>
      </c>
      <c r="Y74" s="79">
        <v>30</v>
      </c>
      <c r="Z74" s="143">
        <f>IF(IF(D74="UNTUCA",IF(+((W74-3)*1.5+(X74-3)*3.1)&gt;0,+((W74-3)*1.5+(X74-3)*3.1),0),IF(+((W74-3)*1.5+(X74-3)*3.1)&gt;0,+((W74-3)*1.5+(X74-3)*3.1),0))&lt;30,30,IF(D74="UNTUCA",IF(+((W74-3)*1.5+(X74-3)*3.1)&gt;0,+((W74-3)*1.5+(X74-3)*3.1),0),IF(+((W74-3)*1.5+(X74-3)*3.1)&gt;0,+((W74-3)*1.5+(X74-3)*3.1),0)))</f>
        <v>30</v>
      </c>
      <c r="AA74" s="144">
        <f t="shared" si="2"/>
        <v>60</v>
      </c>
      <c r="AB74" s="145">
        <f t="shared" si="16"/>
        <v>2379.5350981840002</v>
      </c>
      <c r="AC74" s="145">
        <f>+(S74-T74)*V74-'data 1'!$F$4</f>
        <v>107.39100000000002</v>
      </c>
      <c r="AD74" s="145">
        <f t="shared" si="3"/>
        <v>-26.521407130744638</v>
      </c>
      <c r="AE74" s="191">
        <f>+(Y74*V74-70)+V74*(Z74-IF(D74="UNTUCA",IF(+((W74-3)*2.5+(X74-3)*3.1)&gt;0,+((W74-3)*1.5+(X74-3)*3.1),0),IF(+((W74-3)*1.5+(X74-3)*3.1)&gt;0,+((W74-3)*1.5+(X74-3)*3.1),0)))</f>
        <v>-31.430522999999994</v>
      </c>
      <c r="AF74" s="145">
        <f t="shared" si="4"/>
        <v>109.46128874586734</v>
      </c>
      <c r="AG74" s="145">
        <f>+IF(D74="RONALD WILLIAN GARIBAY ESCUDERO",AC74+AD74+AE74+AF74+80,AC74+AD74+AE74+AF74)</f>
        <v>158.90035861512274</v>
      </c>
      <c r="AH74" s="145">
        <f t="shared" si="5"/>
        <v>30.075395708535385</v>
      </c>
      <c r="AI74" s="137">
        <f t="shared" si="6"/>
        <v>198.7994714605546</v>
      </c>
      <c r="AJ74" s="137">
        <f t="shared" si="7"/>
        <v>29.145503700392904</v>
      </c>
      <c r="AK74" s="88"/>
      <c r="AL74" s="144">
        <f t="shared" si="19"/>
        <v>2096.6083750099224</v>
      </c>
      <c r="AM74" s="57"/>
    </row>
    <row r="75" spans="1:39" ht="15.75" customHeight="1">
      <c r="A75" s="134" t="s">
        <v>337</v>
      </c>
      <c r="B75" s="135">
        <v>45560</v>
      </c>
      <c r="C75" s="136">
        <v>45557</v>
      </c>
      <c r="D75" s="79" t="s">
        <v>93</v>
      </c>
      <c r="E75" s="79">
        <v>20169040231</v>
      </c>
      <c r="F75" s="6" t="s">
        <v>338</v>
      </c>
      <c r="G75" s="80">
        <v>48</v>
      </c>
      <c r="H75" s="79" t="s">
        <v>69</v>
      </c>
      <c r="I75" s="137">
        <v>3.08</v>
      </c>
      <c r="J75" s="137">
        <v>4.5</v>
      </c>
      <c r="K75" s="138">
        <f t="shared" si="0"/>
        <v>2.9414000000000002</v>
      </c>
      <c r="L75" s="139">
        <v>0.158</v>
      </c>
      <c r="M75" s="139">
        <v>0.154</v>
      </c>
      <c r="N75" s="80">
        <v>0.154</v>
      </c>
      <c r="O75" s="141">
        <f t="shared" si="14"/>
        <v>0.154</v>
      </c>
      <c r="P75" s="79">
        <v>90</v>
      </c>
      <c r="Q75" s="6">
        <v>89.44</v>
      </c>
      <c r="R75" s="57">
        <v>2605.85</v>
      </c>
      <c r="S75" s="80">
        <v>120</v>
      </c>
      <c r="U75" s="79">
        <v>130</v>
      </c>
      <c r="V75" s="142">
        <v>1.1023000000000001</v>
      </c>
      <c r="W75" s="137">
        <v>5</v>
      </c>
      <c r="X75" s="137">
        <v>10.199999999999999</v>
      </c>
      <c r="Y75" s="79">
        <v>50</v>
      </c>
      <c r="Z75" s="143">
        <f>IF(IF(D75="UNTUCA",IF(+((W75-3)*1.5+(X75-3)*3.1)&gt;0,+((W75-3)*1.5+(X75-3)*3.1),0),IF(+((W75-3)*1.5+(X75-3)*3.1)&gt;0,+((W75-3)*1.5+(X75-3)*3.1),0))&lt;30,30,IF(D75="UNTUCA",IF(+((W75-3)*1.5+(X75-3)*3.1)&gt;0,+((W75-3)*1.5+(X75-3)*3.1),0),IF(+((W75-3)*1.5+(X75-3)*3.1)&gt;0,+((W75-3)*1.5+(X75-3)*3.1),0)))</f>
        <v>30</v>
      </c>
      <c r="AA75" s="144">
        <f t="shared" si="2"/>
        <v>80</v>
      </c>
      <c r="AB75" s="145">
        <f t="shared" si="16"/>
        <v>157.79734246299992</v>
      </c>
      <c r="AC75" s="145">
        <f>+(S75-T75)*V75-'data 1'!$F$4</f>
        <v>52.27600000000001</v>
      </c>
      <c r="AD75" s="145">
        <f t="shared" si="3"/>
        <v>-2.4147337417840098</v>
      </c>
      <c r="AE75" s="191">
        <f>+(Y75*V75-70)+V75*(Z75-IF(D75="UNTUCA",IF(+((W75-3)*2.5+(X75-3)*3.1)&gt;0,+((W75-3)*1.5+(X75-3)*3.1),0),IF(+((W75-3)*1.5+(X75-3)*3.1)&gt;0,+((W75-3)*1.5+(X75-3)*3.1),0)))</f>
        <v>-9.726235999999993</v>
      </c>
      <c r="AF75" s="145">
        <f t="shared" si="4"/>
        <v>9.7637335382080099</v>
      </c>
      <c r="AG75" s="145">
        <f>+IF(D75="RONALD WILLIAN GARIBAY ESCUDERO",AC75+AD75+AE75+AF75+80,AC75+AD75+AE75+AF75)</f>
        <v>49.898763796424014</v>
      </c>
      <c r="AH75" s="145">
        <f t="shared" si="5"/>
        <v>14.25121968498539</v>
      </c>
      <c r="AI75" s="137">
        <f t="shared" si="6"/>
        <v>28.218051599504019</v>
      </c>
      <c r="AJ75" s="137">
        <f t="shared" si="7"/>
        <v>13.977399800863422</v>
      </c>
      <c r="AK75" s="88"/>
      <c r="AL75" s="144">
        <f t="shared" si="19"/>
        <v>464.14510312066801</v>
      </c>
      <c r="AM75" s="57"/>
    </row>
    <row r="76" spans="1:39" ht="15.75" customHeight="1">
      <c r="A76" s="134" t="s">
        <v>339</v>
      </c>
      <c r="B76" s="135">
        <v>45560</v>
      </c>
      <c r="C76" s="136">
        <v>45557</v>
      </c>
      <c r="D76" s="79" t="s">
        <v>93</v>
      </c>
      <c r="E76" s="79">
        <v>20169040231</v>
      </c>
      <c r="F76" s="6" t="s">
        <v>338</v>
      </c>
      <c r="G76" s="80">
        <v>69</v>
      </c>
      <c r="H76" s="79" t="s">
        <v>69</v>
      </c>
      <c r="I76" s="137">
        <v>6.71</v>
      </c>
      <c r="J76" s="137">
        <v>4.5999999999999996</v>
      </c>
      <c r="K76" s="138">
        <f t="shared" si="0"/>
        <v>6.4013400000000003</v>
      </c>
      <c r="L76" s="139">
        <v>0.48399999999999999</v>
      </c>
      <c r="M76" s="139">
        <v>0.46</v>
      </c>
      <c r="N76" s="139">
        <v>0.54</v>
      </c>
      <c r="O76" s="141">
        <f t="shared" si="14"/>
        <v>0.5</v>
      </c>
      <c r="P76" s="79">
        <v>90</v>
      </c>
      <c r="Q76" s="6">
        <v>89.38</v>
      </c>
      <c r="R76" s="57">
        <v>2605.85</v>
      </c>
      <c r="S76" s="80">
        <v>150</v>
      </c>
      <c r="U76" s="79">
        <v>130</v>
      </c>
      <c r="V76" s="142">
        <v>1.1023000000000001</v>
      </c>
      <c r="W76" s="137">
        <v>5</v>
      </c>
      <c r="X76" s="137">
        <v>10.1</v>
      </c>
      <c r="Y76" s="79">
        <v>50</v>
      </c>
      <c r="Z76" s="143">
        <f>IF(IF(D76="UNTUCA",IF(+((W76-3)*1.5+(X76-3)*3.1)&gt;0,+((W76-3)*1.5+(X76-3)*3.1),0),IF(+((W76-3)*1.5+(X76-3)*3.1)&gt;0,+((W76-3)*1.5+(X76-3)*3.1),0))&lt;30,30,IF(D76="UNTUCA",IF(+((W76-3)*1.5+(X76-3)*3.1)&gt;0,+((W76-3)*1.5+(X76-3)*3.1),0),IF(+((W76-3)*1.5+(X76-3)*3.1)&gt;0,+((W76-3)*1.5+(X76-3)*3.1),0)))</f>
        <v>30</v>
      </c>
      <c r="AA76" s="144">
        <f t="shared" si="2"/>
        <v>80</v>
      </c>
      <c r="AB76" s="145">
        <f t="shared" si="16"/>
        <v>974.57925475000002</v>
      </c>
      <c r="AC76" s="145">
        <f>+(S76-T76)*V76-'data 1'!$F$4</f>
        <v>85.344999999999999</v>
      </c>
      <c r="AD76" s="145">
        <f t="shared" si="3"/>
        <v>-8.18957166856406</v>
      </c>
      <c r="AE76" s="191">
        <f>+(Y76*V76-70)+V76*(Z76-IF(D76="UNTUCA",IF(+((W76-3)*2.5+(X76-3)*3.1)&gt;0,+((W76-3)*1.5+(X76-3)*3.1),0),IF(+((W76-3)*1.5+(X76-3)*3.1)&gt;0,+((W76-3)*1.5+(X76-3)*3.1),0)))</f>
        <v>-9.3845229999999944</v>
      </c>
      <c r="AF76" s="145">
        <f t="shared" si="4"/>
        <v>-39.028734510064034</v>
      </c>
      <c r="AG76" s="145">
        <f>+IF(D76="RONALD WILLIAN GARIBAY ESCUDERO",AC76+AD76+AE76+AF76+80,AC76+AD76+AE76+AF76)</f>
        <v>28.742170821371921</v>
      </c>
      <c r="AH76" s="145">
        <f t="shared" si="5"/>
        <v>94.943595883697611</v>
      </c>
      <c r="AI76" s="137">
        <f t="shared" si="6"/>
        <v>86.382119881684034</v>
      </c>
      <c r="AJ76" s="137">
        <f t="shared" si="7"/>
        <v>98.762591672994162</v>
      </c>
      <c r="AK76" s="88"/>
      <c r="AL76" s="144">
        <f t="shared" si="19"/>
        <v>6238.6131666013653</v>
      </c>
      <c r="AM76" s="57"/>
    </row>
    <row r="77" spans="1:39" ht="15.75" customHeight="1">
      <c r="G77" s="80"/>
      <c r="M77" s="139"/>
      <c r="N77" s="80"/>
      <c r="S77" s="80"/>
      <c r="AK77" s="88"/>
      <c r="AL77" s="57"/>
      <c r="AM77" s="57"/>
    </row>
    <row r="78" spans="1:39" ht="15.75" customHeight="1">
      <c r="G78" s="80"/>
      <c r="M78" s="139"/>
      <c r="N78" s="80"/>
      <c r="S78" s="80"/>
      <c r="AK78" s="88"/>
      <c r="AL78" s="57"/>
      <c r="AM78" s="57"/>
    </row>
    <row r="79" spans="1:39" ht="15.75" customHeight="1">
      <c r="G79" s="80"/>
      <c r="N79" s="80"/>
      <c r="S79" s="80"/>
      <c r="AK79" s="88"/>
      <c r="AL79" s="57"/>
      <c r="AM79" s="57"/>
    </row>
    <row r="80" spans="1:39" ht="15.75" customHeight="1">
      <c r="G80" s="80"/>
      <c r="N80" s="80"/>
      <c r="S80" s="80"/>
      <c r="AK80" s="88"/>
      <c r="AL80" s="57"/>
      <c r="AM80" s="57"/>
    </row>
    <row r="81" spans="7:39" ht="15.75" customHeight="1">
      <c r="G81" s="80"/>
      <c r="N81" s="80"/>
      <c r="S81" s="80"/>
      <c r="AK81" s="88"/>
      <c r="AL81" s="57"/>
      <c r="AM81" s="57"/>
    </row>
    <row r="82" spans="7:39" ht="15.75" customHeight="1">
      <c r="G82" s="80"/>
      <c r="N82" s="80"/>
      <c r="S82" s="80"/>
      <c r="AK82" s="88"/>
      <c r="AL82" s="57"/>
      <c r="AM82" s="57"/>
    </row>
    <row r="83" spans="7:39" ht="15.75" customHeight="1">
      <c r="G83" s="80"/>
      <c r="N83" s="80"/>
      <c r="S83" s="80"/>
      <c r="AK83" s="88"/>
      <c r="AL83" s="57"/>
      <c r="AM83" s="57"/>
    </row>
    <row r="84" spans="7:39" ht="15.75" customHeight="1">
      <c r="G84" s="80"/>
      <c r="N84" s="80"/>
      <c r="S84" s="80"/>
      <c r="AK84" s="88"/>
      <c r="AL84" s="57"/>
      <c r="AM84" s="57"/>
    </row>
    <row r="85" spans="7:39" ht="15.75" customHeight="1">
      <c r="G85" s="80"/>
      <c r="S85" s="80"/>
      <c r="AK85" s="88"/>
      <c r="AL85" s="57"/>
      <c r="AM85" s="57"/>
    </row>
    <row r="86" spans="7:39" ht="15.75" customHeight="1">
      <c r="G86" s="80"/>
      <c r="S86" s="80"/>
      <c r="AK86" s="88"/>
      <c r="AL86" s="57"/>
      <c r="AM86" s="57"/>
    </row>
    <row r="87" spans="7:39" ht="15.75" customHeight="1">
      <c r="G87" s="80"/>
      <c r="S87" s="80"/>
      <c r="AK87" s="88"/>
      <c r="AL87" s="57"/>
      <c r="AM87" s="57"/>
    </row>
    <row r="88" spans="7:39" ht="15.75" customHeight="1">
      <c r="G88" s="80"/>
      <c r="S88" s="80"/>
      <c r="AK88" s="88"/>
      <c r="AL88" s="57"/>
      <c r="AM88" s="57"/>
    </row>
    <row r="89" spans="7:39" ht="15.75" customHeight="1">
      <c r="G89" s="80"/>
      <c r="S89" s="80"/>
      <c r="AK89" s="88"/>
      <c r="AL89" s="57"/>
      <c r="AM89" s="57"/>
    </row>
    <row r="90" spans="7:39" ht="15.75" customHeight="1">
      <c r="G90" s="80"/>
      <c r="S90" s="80"/>
      <c r="AK90" s="88"/>
      <c r="AL90" s="57"/>
      <c r="AM90" s="57"/>
    </row>
    <row r="91" spans="7:39" ht="15.75" customHeight="1">
      <c r="G91" s="80"/>
      <c r="S91" s="80"/>
      <c r="AK91" s="88"/>
      <c r="AL91" s="57"/>
      <c r="AM91" s="57"/>
    </row>
    <row r="92" spans="7:39" ht="15.75" customHeight="1">
      <c r="G92" s="80"/>
      <c r="S92" s="80"/>
      <c r="AK92" s="88"/>
      <c r="AL92" s="57"/>
      <c r="AM92" s="57"/>
    </row>
    <row r="93" spans="7:39" ht="15.75" customHeight="1">
      <c r="G93" s="80"/>
      <c r="S93" s="80"/>
      <c r="AK93" s="88"/>
      <c r="AL93" s="57"/>
      <c r="AM93" s="57"/>
    </row>
    <row r="94" spans="7:39" ht="15.75" customHeight="1">
      <c r="G94" s="80"/>
      <c r="S94" s="80"/>
      <c r="AK94" s="88"/>
      <c r="AL94" s="57"/>
      <c r="AM94" s="57"/>
    </row>
    <row r="95" spans="7:39" ht="15.75" customHeight="1">
      <c r="G95" s="80"/>
      <c r="S95" s="80"/>
      <c r="AK95" s="88"/>
      <c r="AL95" s="57"/>
      <c r="AM95" s="57"/>
    </row>
    <row r="96" spans="7:39" ht="15.75" customHeight="1">
      <c r="G96" s="80"/>
      <c r="S96" s="80"/>
      <c r="AK96" s="88"/>
      <c r="AL96" s="57"/>
      <c r="AM96" s="57"/>
    </row>
    <row r="97" spans="7:39" ht="15.75" customHeight="1">
      <c r="G97" s="80"/>
      <c r="S97" s="80"/>
      <c r="AK97" s="88"/>
      <c r="AL97" s="57"/>
      <c r="AM97" s="57"/>
    </row>
    <row r="98" spans="7:39" ht="15.75" customHeight="1">
      <c r="G98" s="80"/>
      <c r="S98" s="80"/>
      <c r="AK98" s="88"/>
      <c r="AL98" s="57"/>
      <c r="AM98" s="57"/>
    </row>
    <row r="99" spans="7:39" ht="15.75" customHeight="1">
      <c r="G99" s="80"/>
      <c r="S99" s="80"/>
      <c r="AK99" s="88"/>
      <c r="AL99" s="57"/>
      <c r="AM99" s="57"/>
    </row>
    <row r="100" spans="7:39" ht="15.75" customHeight="1">
      <c r="G100" s="80"/>
      <c r="S100" s="80"/>
      <c r="AK100" s="88"/>
      <c r="AL100" s="57"/>
      <c r="AM100" s="57"/>
    </row>
    <row r="101" spans="7:39" ht="15.75" customHeight="1">
      <c r="G101" s="80"/>
      <c r="S101" s="80"/>
      <c r="AK101" s="88"/>
      <c r="AL101" s="57"/>
      <c r="AM101" s="57"/>
    </row>
    <row r="102" spans="7:39" ht="15.75" customHeight="1">
      <c r="G102" s="80"/>
      <c r="S102" s="80"/>
      <c r="AK102" s="88"/>
      <c r="AL102" s="57"/>
      <c r="AM102" s="57"/>
    </row>
    <row r="103" spans="7:39" ht="15.75" customHeight="1">
      <c r="G103" s="80"/>
      <c r="S103" s="80"/>
      <c r="AK103" s="88"/>
      <c r="AL103" s="57"/>
      <c r="AM103" s="57"/>
    </row>
    <row r="104" spans="7:39" ht="15.75" customHeight="1">
      <c r="G104" s="80"/>
      <c r="S104" s="80"/>
      <c r="AK104" s="88"/>
      <c r="AL104" s="57"/>
      <c r="AM104" s="57"/>
    </row>
    <row r="105" spans="7:39" ht="15.75" customHeight="1">
      <c r="G105" s="80"/>
      <c r="S105" s="80"/>
      <c r="AK105" s="88"/>
      <c r="AL105" s="57"/>
      <c r="AM105" s="57"/>
    </row>
    <row r="106" spans="7:39" ht="15.75" customHeight="1">
      <c r="G106" s="80"/>
      <c r="S106" s="80"/>
      <c r="AK106" s="88"/>
      <c r="AL106" s="57"/>
      <c r="AM106" s="57"/>
    </row>
    <row r="107" spans="7:39" ht="15.75" customHeight="1">
      <c r="G107" s="80"/>
      <c r="S107" s="80"/>
      <c r="AK107" s="88"/>
      <c r="AL107" s="57"/>
      <c r="AM107" s="57"/>
    </row>
    <row r="108" spans="7:39" ht="15.75" customHeight="1">
      <c r="G108" s="80"/>
      <c r="S108" s="80"/>
      <c r="AK108" s="88"/>
      <c r="AL108" s="57"/>
      <c r="AM108" s="57"/>
    </row>
    <row r="109" spans="7:39" ht="15.75" customHeight="1">
      <c r="G109" s="80"/>
      <c r="S109" s="80"/>
      <c r="AK109" s="88"/>
      <c r="AL109" s="57"/>
      <c r="AM109" s="57"/>
    </row>
    <row r="110" spans="7:39" ht="15.75" customHeight="1">
      <c r="G110" s="80"/>
      <c r="S110" s="80"/>
      <c r="AK110" s="88"/>
      <c r="AL110" s="57"/>
      <c r="AM110" s="57"/>
    </row>
    <row r="111" spans="7:39" ht="15.75" customHeight="1">
      <c r="G111" s="80"/>
      <c r="S111" s="80"/>
      <c r="AK111" s="88"/>
      <c r="AL111" s="57"/>
      <c r="AM111" s="57"/>
    </row>
    <row r="112" spans="7:39" ht="15.75" customHeight="1">
      <c r="G112" s="80"/>
      <c r="S112" s="80"/>
      <c r="AK112" s="88"/>
      <c r="AL112" s="57"/>
      <c r="AM112" s="57"/>
    </row>
    <row r="113" spans="7:39" ht="15.75" customHeight="1">
      <c r="G113" s="80"/>
      <c r="S113" s="80"/>
      <c r="AK113" s="88"/>
      <c r="AL113" s="57"/>
      <c r="AM113" s="57"/>
    </row>
    <row r="114" spans="7:39" ht="15.75" customHeight="1">
      <c r="G114" s="80"/>
      <c r="S114" s="80"/>
      <c r="AK114" s="88"/>
      <c r="AL114" s="57"/>
      <c r="AM114" s="57"/>
    </row>
    <row r="115" spans="7:39" ht="15.75" customHeight="1">
      <c r="G115" s="80"/>
      <c r="S115" s="80"/>
      <c r="AK115" s="88"/>
      <c r="AL115" s="57"/>
      <c r="AM115" s="57"/>
    </row>
    <row r="116" spans="7:39" ht="15.75" customHeight="1">
      <c r="G116" s="80"/>
      <c r="S116" s="80"/>
      <c r="AK116" s="88"/>
      <c r="AL116" s="57"/>
      <c r="AM116" s="57"/>
    </row>
    <row r="117" spans="7:39" ht="15.75" customHeight="1">
      <c r="G117" s="80"/>
      <c r="S117" s="80"/>
      <c r="AK117" s="88"/>
      <c r="AL117" s="57"/>
      <c r="AM117" s="57"/>
    </row>
    <row r="118" spans="7:39" ht="15.75" customHeight="1">
      <c r="G118" s="80"/>
      <c r="S118" s="80"/>
      <c r="AK118" s="88"/>
      <c r="AL118" s="57"/>
      <c r="AM118" s="57"/>
    </row>
    <row r="119" spans="7:39" ht="15.75" customHeight="1">
      <c r="G119" s="80"/>
      <c r="S119" s="80"/>
      <c r="AK119" s="88"/>
      <c r="AL119" s="57"/>
      <c r="AM119" s="57"/>
    </row>
    <row r="120" spans="7:39" ht="15.75" customHeight="1">
      <c r="G120" s="80"/>
      <c r="S120" s="80"/>
      <c r="AK120" s="88"/>
      <c r="AL120" s="57"/>
      <c r="AM120" s="57"/>
    </row>
    <row r="121" spans="7:39" ht="15.75" customHeight="1">
      <c r="G121" s="80"/>
      <c r="S121" s="80"/>
      <c r="AK121" s="88"/>
      <c r="AL121" s="57"/>
      <c r="AM121" s="57"/>
    </row>
    <row r="122" spans="7:39" ht="15.75" customHeight="1">
      <c r="G122" s="80"/>
      <c r="S122" s="80"/>
      <c r="AK122" s="88"/>
      <c r="AL122" s="57"/>
      <c r="AM122" s="57"/>
    </row>
    <row r="123" spans="7:39" ht="15.75" customHeight="1">
      <c r="G123" s="80"/>
      <c r="S123" s="80"/>
      <c r="AK123" s="88"/>
      <c r="AL123" s="57"/>
      <c r="AM123" s="57"/>
    </row>
    <row r="124" spans="7:39" ht="15.75" customHeight="1">
      <c r="G124" s="80"/>
      <c r="S124" s="80"/>
      <c r="AK124" s="88"/>
      <c r="AL124" s="57"/>
      <c r="AM124" s="57"/>
    </row>
    <row r="125" spans="7:39" ht="15.75" customHeight="1">
      <c r="G125" s="80"/>
      <c r="S125" s="80"/>
      <c r="AK125" s="88"/>
      <c r="AL125" s="57"/>
      <c r="AM125" s="57"/>
    </row>
    <row r="126" spans="7:39" ht="15.75" customHeight="1">
      <c r="G126" s="80"/>
      <c r="S126" s="80"/>
      <c r="AK126" s="88"/>
      <c r="AL126" s="57"/>
      <c r="AM126" s="57"/>
    </row>
    <row r="127" spans="7:39" ht="15.75" customHeight="1">
      <c r="G127" s="80"/>
      <c r="S127" s="80"/>
      <c r="AK127" s="88"/>
      <c r="AL127" s="57"/>
      <c r="AM127" s="57"/>
    </row>
    <row r="128" spans="7:39" ht="15.75" customHeight="1">
      <c r="G128" s="80"/>
      <c r="S128" s="80"/>
      <c r="AK128" s="88"/>
      <c r="AL128" s="57"/>
      <c r="AM128" s="57"/>
    </row>
    <row r="129" spans="7:39" ht="15.75" customHeight="1">
      <c r="G129" s="80"/>
      <c r="S129" s="80"/>
      <c r="AK129" s="88"/>
      <c r="AL129" s="57"/>
      <c r="AM129" s="57"/>
    </row>
    <row r="130" spans="7:39" ht="15.75" customHeight="1">
      <c r="G130" s="80"/>
      <c r="S130" s="80"/>
      <c r="AK130" s="88"/>
      <c r="AL130" s="57"/>
      <c r="AM130" s="57"/>
    </row>
    <row r="131" spans="7:39" ht="15.75" customHeight="1">
      <c r="G131" s="80"/>
      <c r="S131" s="80"/>
      <c r="AK131" s="88"/>
      <c r="AL131" s="57"/>
      <c r="AM131" s="57"/>
    </row>
    <row r="132" spans="7:39" ht="15.75" customHeight="1">
      <c r="G132" s="80"/>
      <c r="S132" s="80"/>
      <c r="AK132" s="88"/>
      <c r="AL132" s="57"/>
      <c r="AM132" s="57"/>
    </row>
    <row r="133" spans="7:39" ht="15.75" customHeight="1">
      <c r="G133" s="80"/>
      <c r="S133" s="80"/>
      <c r="AK133" s="88"/>
      <c r="AL133" s="57"/>
      <c r="AM133" s="57"/>
    </row>
    <row r="134" spans="7:39" ht="15.75" customHeight="1">
      <c r="G134" s="80"/>
      <c r="S134" s="80"/>
      <c r="AK134" s="88"/>
      <c r="AL134" s="57"/>
      <c r="AM134" s="57"/>
    </row>
    <row r="135" spans="7:39" ht="15.75" customHeight="1">
      <c r="G135" s="80"/>
      <c r="S135" s="80"/>
      <c r="AK135" s="88"/>
      <c r="AL135" s="57"/>
      <c r="AM135" s="57"/>
    </row>
    <row r="136" spans="7:39" ht="15.75" customHeight="1">
      <c r="G136" s="80"/>
      <c r="S136" s="80"/>
      <c r="AK136" s="88"/>
      <c r="AL136" s="57"/>
      <c r="AM136" s="57"/>
    </row>
    <row r="137" spans="7:39" ht="15.75" customHeight="1">
      <c r="G137" s="80"/>
      <c r="S137" s="80"/>
      <c r="AK137" s="88"/>
      <c r="AL137" s="57"/>
      <c r="AM137" s="57"/>
    </row>
    <row r="138" spans="7:39" ht="15.75" customHeight="1">
      <c r="G138" s="80"/>
      <c r="S138" s="80"/>
      <c r="AK138" s="88"/>
      <c r="AL138" s="57"/>
      <c r="AM138" s="57"/>
    </row>
    <row r="139" spans="7:39" ht="15.75" customHeight="1">
      <c r="G139" s="80"/>
      <c r="S139" s="80"/>
      <c r="AK139" s="88"/>
      <c r="AL139" s="57"/>
      <c r="AM139" s="57"/>
    </row>
    <row r="140" spans="7:39" ht="15.75" customHeight="1">
      <c r="G140" s="80"/>
      <c r="S140" s="80"/>
      <c r="AK140" s="88"/>
      <c r="AL140" s="57"/>
      <c r="AM140" s="57"/>
    </row>
    <row r="141" spans="7:39" ht="15.75" customHeight="1">
      <c r="G141" s="80"/>
      <c r="S141" s="80"/>
      <c r="AK141" s="88"/>
      <c r="AL141" s="57"/>
      <c r="AM141" s="57"/>
    </row>
    <row r="142" spans="7:39" ht="15.75" customHeight="1">
      <c r="G142" s="80"/>
      <c r="S142" s="80"/>
      <c r="AK142" s="88"/>
      <c r="AL142" s="57"/>
      <c r="AM142" s="57"/>
    </row>
    <row r="143" spans="7:39" ht="15.75" customHeight="1">
      <c r="G143" s="80"/>
      <c r="S143" s="80"/>
      <c r="AK143" s="88"/>
      <c r="AL143" s="57"/>
      <c r="AM143" s="57"/>
    </row>
    <row r="144" spans="7:39" ht="15.75" customHeight="1">
      <c r="G144" s="80"/>
      <c r="S144" s="80"/>
      <c r="AK144" s="88"/>
      <c r="AL144" s="57"/>
      <c r="AM144" s="57"/>
    </row>
    <row r="145" spans="7:39" ht="15.75" customHeight="1">
      <c r="G145" s="80"/>
      <c r="S145" s="80"/>
      <c r="AK145" s="88"/>
      <c r="AL145" s="57"/>
      <c r="AM145" s="57"/>
    </row>
    <row r="146" spans="7:39" ht="15.75" customHeight="1">
      <c r="G146" s="80"/>
      <c r="S146" s="80"/>
      <c r="AK146" s="88"/>
      <c r="AL146" s="57"/>
      <c r="AM146" s="57"/>
    </row>
    <row r="147" spans="7:39" ht="15.75" customHeight="1">
      <c r="G147" s="80"/>
      <c r="S147" s="80"/>
      <c r="AK147" s="88"/>
      <c r="AL147" s="57"/>
      <c r="AM147" s="57"/>
    </row>
    <row r="148" spans="7:39" ht="15.75" customHeight="1">
      <c r="G148" s="80"/>
      <c r="S148" s="80"/>
      <c r="AK148" s="88"/>
      <c r="AL148" s="57"/>
      <c r="AM148" s="57"/>
    </row>
    <row r="149" spans="7:39" ht="15.75" customHeight="1">
      <c r="G149" s="80"/>
      <c r="S149" s="80"/>
      <c r="AK149" s="88"/>
      <c r="AL149" s="57"/>
      <c r="AM149" s="57"/>
    </row>
    <row r="150" spans="7:39" ht="15.75" customHeight="1">
      <c r="G150" s="80"/>
      <c r="S150" s="80"/>
      <c r="AK150" s="88"/>
      <c r="AL150" s="57"/>
      <c r="AM150" s="57"/>
    </row>
    <row r="151" spans="7:39" ht="15.75" customHeight="1">
      <c r="G151" s="80"/>
      <c r="S151" s="80"/>
      <c r="AK151" s="88"/>
      <c r="AL151" s="57"/>
      <c r="AM151" s="57"/>
    </row>
    <row r="152" spans="7:39" ht="15.75" customHeight="1">
      <c r="G152" s="80"/>
      <c r="S152" s="80"/>
      <c r="AK152" s="88"/>
      <c r="AL152" s="57"/>
      <c r="AM152" s="57"/>
    </row>
    <row r="153" spans="7:39" ht="15.75" customHeight="1">
      <c r="G153" s="80"/>
      <c r="S153" s="80"/>
      <c r="AK153" s="88"/>
      <c r="AL153" s="57"/>
      <c r="AM153" s="57"/>
    </row>
    <row r="154" spans="7:39" ht="15.75" customHeight="1">
      <c r="G154" s="80"/>
      <c r="S154" s="80"/>
      <c r="AK154" s="88"/>
      <c r="AL154" s="57"/>
      <c r="AM154" s="57"/>
    </row>
    <row r="155" spans="7:39" ht="15.75" customHeight="1">
      <c r="G155" s="80"/>
      <c r="S155" s="80"/>
      <c r="AK155" s="88"/>
      <c r="AL155" s="57"/>
      <c r="AM155" s="57"/>
    </row>
    <row r="156" spans="7:39" ht="15.75" customHeight="1">
      <c r="G156" s="80"/>
      <c r="S156" s="80"/>
      <c r="AK156" s="88"/>
      <c r="AL156" s="57"/>
      <c r="AM156" s="57"/>
    </row>
    <row r="157" spans="7:39" ht="15.75" customHeight="1">
      <c r="G157" s="80"/>
      <c r="S157" s="80"/>
      <c r="AK157" s="88"/>
      <c r="AL157" s="57"/>
      <c r="AM157" s="57"/>
    </row>
    <row r="158" spans="7:39" ht="15.75" customHeight="1">
      <c r="G158" s="80"/>
      <c r="S158" s="80"/>
      <c r="AK158" s="88"/>
      <c r="AL158" s="57"/>
      <c r="AM158" s="57"/>
    </row>
    <row r="159" spans="7:39" ht="15.75" customHeight="1">
      <c r="G159" s="80"/>
      <c r="S159" s="80"/>
      <c r="AK159" s="88"/>
      <c r="AL159" s="57"/>
      <c r="AM159" s="57"/>
    </row>
    <row r="160" spans="7:39" ht="15.75" customHeight="1">
      <c r="G160" s="80"/>
      <c r="S160" s="80"/>
      <c r="AK160" s="88"/>
      <c r="AL160" s="57"/>
      <c r="AM160" s="57"/>
    </row>
    <row r="161" spans="7:39" ht="15.75" customHeight="1">
      <c r="G161" s="80"/>
      <c r="S161" s="80"/>
      <c r="AK161" s="88"/>
      <c r="AL161" s="57"/>
      <c r="AM161" s="57"/>
    </row>
    <row r="162" spans="7:39" ht="15.75" customHeight="1">
      <c r="G162" s="80"/>
      <c r="S162" s="80"/>
      <c r="AK162" s="88"/>
      <c r="AL162" s="57"/>
      <c r="AM162" s="57"/>
    </row>
    <row r="163" spans="7:39" ht="15.75" customHeight="1">
      <c r="G163" s="80"/>
      <c r="S163" s="80"/>
      <c r="AK163" s="88"/>
      <c r="AL163" s="57"/>
      <c r="AM163" s="57"/>
    </row>
    <row r="164" spans="7:39" ht="15.75" customHeight="1">
      <c r="G164" s="80"/>
      <c r="S164" s="80"/>
      <c r="AK164" s="88"/>
      <c r="AL164" s="57"/>
      <c r="AM164" s="57"/>
    </row>
    <row r="165" spans="7:39" ht="15.75" customHeight="1">
      <c r="G165" s="80"/>
      <c r="S165" s="80"/>
      <c r="AK165" s="88"/>
      <c r="AL165" s="57"/>
      <c r="AM165" s="57"/>
    </row>
    <row r="166" spans="7:39" ht="15.75" customHeight="1">
      <c r="G166" s="80"/>
      <c r="S166" s="80"/>
      <c r="AK166" s="88"/>
      <c r="AL166" s="57"/>
      <c r="AM166" s="57"/>
    </row>
    <row r="167" spans="7:39" ht="15.75" customHeight="1">
      <c r="G167" s="80"/>
      <c r="S167" s="80"/>
      <c r="AK167" s="88"/>
      <c r="AL167" s="57"/>
      <c r="AM167" s="57"/>
    </row>
    <row r="168" spans="7:39" ht="15.75" customHeight="1">
      <c r="G168" s="80"/>
      <c r="S168" s="80"/>
      <c r="AK168" s="88"/>
      <c r="AL168" s="57"/>
      <c r="AM168" s="57"/>
    </row>
    <row r="169" spans="7:39" ht="15.75" customHeight="1">
      <c r="G169" s="80"/>
      <c r="S169" s="80"/>
      <c r="AK169" s="88"/>
      <c r="AL169" s="57"/>
      <c r="AM169" s="57"/>
    </row>
    <row r="170" spans="7:39" ht="15.75" customHeight="1">
      <c r="G170" s="80"/>
      <c r="S170" s="80"/>
      <c r="AK170" s="88"/>
      <c r="AL170" s="57"/>
      <c r="AM170" s="57"/>
    </row>
    <row r="171" spans="7:39" ht="15.75" customHeight="1">
      <c r="G171" s="80"/>
      <c r="S171" s="80"/>
      <c r="AK171" s="88"/>
      <c r="AL171" s="57"/>
      <c r="AM171" s="57"/>
    </row>
    <row r="172" spans="7:39" ht="15.75" customHeight="1">
      <c r="G172" s="80"/>
      <c r="S172" s="80"/>
      <c r="AK172" s="88"/>
      <c r="AL172" s="57"/>
      <c r="AM172" s="57"/>
    </row>
    <row r="173" spans="7:39" ht="15.75" customHeight="1">
      <c r="G173" s="80"/>
      <c r="S173" s="80"/>
      <c r="AK173" s="88"/>
      <c r="AL173" s="57"/>
      <c r="AM173" s="57"/>
    </row>
    <row r="174" spans="7:39" ht="15.75" customHeight="1">
      <c r="G174" s="80"/>
      <c r="S174" s="80"/>
      <c r="AK174" s="88"/>
      <c r="AL174" s="57"/>
      <c r="AM174" s="57"/>
    </row>
    <row r="175" spans="7:39" ht="15.75" customHeight="1">
      <c r="G175" s="80"/>
      <c r="S175" s="80"/>
      <c r="AK175" s="88"/>
      <c r="AL175" s="57"/>
      <c r="AM175" s="57"/>
    </row>
    <row r="176" spans="7:39" ht="15.75" customHeight="1">
      <c r="G176" s="80"/>
      <c r="S176" s="80"/>
      <c r="AK176" s="88"/>
      <c r="AL176" s="57"/>
      <c r="AM176" s="57"/>
    </row>
    <row r="177" spans="7:39" ht="15.75" customHeight="1">
      <c r="G177" s="80"/>
      <c r="S177" s="80"/>
      <c r="AK177" s="88"/>
      <c r="AL177" s="57"/>
      <c r="AM177" s="57"/>
    </row>
    <row r="178" spans="7:39" ht="15.75" customHeight="1">
      <c r="G178" s="80"/>
      <c r="S178" s="80"/>
      <c r="AK178" s="88"/>
      <c r="AL178" s="57"/>
      <c r="AM178" s="57"/>
    </row>
    <row r="179" spans="7:39" ht="15.75" customHeight="1">
      <c r="G179" s="80"/>
      <c r="S179" s="80"/>
      <c r="AK179" s="88"/>
      <c r="AL179" s="57"/>
      <c r="AM179" s="57"/>
    </row>
    <row r="180" spans="7:39" ht="15.75" customHeight="1">
      <c r="G180" s="80"/>
      <c r="S180" s="80"/>
      <c r="AK180" s="88"/>
      <c r="AL180" s="57"/>
      <c r="AM180" s="57"/>
    </row>
    <row r="181" spans="7:39" ht="15.75" customHeight="1">
      <c r="G181" s="80"/>
      <c r="S181" s="80"/>
      <c r="AK181" s="88"/>
      <c r="AL181" s="57"/>
      <c r="AM181" s="57"/>
    </row>
    <row r="182" spans="7:39" ht="15.75" customHeight="1">
      <c r="G182" s="80"/>
      <c r="S182" s="80"/>
      <c r="AK182" s="88"/>
      <c r="AL182" s="57"/>
      <c r="AM182" s="57"/>
    </row>
    <row r="183" spans="7:39" ht="15.75" customHeight="1">
      <c r="G183" s="80"/>
      <c r="S183" s="80"/>
      <c r="AK183" s="88"/>
      <c r="AL183" s="57"/>
      <c r="AM183" s="57"/>
    </row>
    <row r="184" spans="7:39" ht="15.75" customHeight="1">
      <c r="G184" s="80"/>
      <c r="S184" s="80"/>
      <c r="AK184" s="88"/>
      <c r="AL184" s="57"/>
      <c r="AM184" s="57"/>
    </row>
    <row r="185" spans="7:39" ht="15.75" customHeight="1">
      <c r="G185" s="80"/>
      <c r="S185" s="80"/>
      <c r="AK185" s="88"/>
      <c r="AL185" s="57"/>
      <c r="AM185" s="57"/>
    </row>
    <row r="186" spans="7:39" ht="15.75" customHeight="1">
      <c r="G186" s="80"/>
      <c r="S186" s="80"/>
      <c r="AK186" s="88"/>
      <c r="AL186" s="57"/>
      <c r="AM186" s="57"/>
    </row>
    <row r="187" spans="7:39" ht="15.75" customHeight="1">
      <c r="G187" s="80"/>
      <c r="S187" s="80"/>
      <c r="AK187" s="88"/>
      <c r="AL187" s="57"/>
      <c r="AM187" s="57"/>
    </row>
    <row r="188" spans="7:39" ht="15.75" customHeight="1">
      <c r="G188" s="80"/>
      <c r="S188" s="80"/>
      <c r="AK188" s="88"/>
      <c r="AL188" s="57"/>
      <c r="AM188" s="57"/>
    </row>
    <row r="189" spans="7:39" ht="15.75" customHeight="1">
      <c r="G189" s="80"/>
      <c r="S189" s="80"/>
      <c r="AK189" s="88"/>
      <c r="AL189" s="57"/>
      <c r="AM189" s="57"/>
    </row>
    <row r="190" spans="7:39" ht="15.75" customHeight="1">
      <c r="G190" s="80"/>
      <c r="S190" s="80"/>
      <c r="AK190" s="88"/>
      <c r="AL190" s="57"/>
      <c r="AM190" s="57"/>
    </row>
    <row r="191" spans="7:39" ht="15.75" customHeight="1">
      <c r="G191" s="80"/>
      <c r="S191" s="80"/>
      <c r="AK191" s="88"/>
      <c r="AL191" s="57"/>
      <c r="AM191" s="57"/>
    </row>
    <row r="192" spans="7:39" ht="15.75" customHeight="1">
      <c r="G192" s="80"/>
      <c r="AK192" s="88"/>
      <c r="AL192" s="57"/>
      <c r="AM192" s="57"/>
    </row>
    <row r="193" spans="7:39" ht="15.75" customHeight="1">
      <c r="G193" s="80"/>
      <c r="AK193" s="88"/>
      <c r="AL193" s="57"/>
      <c r="AM193" s="57"/>
    </row>
    <row r="194" spans="7:39" ht="15.75" customHeight="1">
      <c r="G194" s="80"/>
      <c r="AK194" s="88"/>
      <c r="AL194" s="57"/>
      <c r="AM194" s="57"/>
    </row>
    <row r="195" spans="7:39" ht="15.75" customHeight="1">
      <c r="G195" s="80"/>
      <c r="AK195" s="88"/>
      <c r="AL195" s="57"/>
      <c r="AM195" s="57"/>
    </row>
    <row r="196" spans="7:39" ht="15.75" customHeight="1">
      <c r="G196" s="80"/>
      <c r="AK196" s="88"/>
      <c r="AL196" s="57"/>
      <c r="AM196" s="57"/>
    </row>
    <row r="197" spans="7:39" ht="15.75" customHeight="1">
      <c r="G197" s="80"/>
      <c r="AK197" s="88"/>
      <c r="AL197" s="57"/>
      <c r="AM197" s="57"/>
    </row>
    <row r="198" spans="7:39" ht="15.75" customHeight="1">
      <c r="G198" s="80"/>
      <c r="AK198" s="88"/>
      <c r="AL198" s="57"/>
      <c r="AM198" s="57"/>
    </row>
    <row r="199" spans="7:39" ht="15.75" customHeight="1">
      <c r="G199" s="80"/>
      <c r="AK199" s="88"/>
      <c r="AL199" s="57"/>
      <c r="AM199" s="57"/>
    </row>
    <row r="200" spans="7:39" ht="15.75" customHeight="1">
      <c r="G200" s="80"/>
      <c r="AK200" s="88"/>
      <c r="AL200" s="57"/>
      <c r="AM200" s="57"/>
    </row>
    <row r="201" spans="7:39" ht="15.75" customHeight="1">
      <c r="G201" s="80"/>
      <c r="AK201" s="88"/>
      <c r="AL201" s="57"/>
      <c r="AM201" s="57"/>
    </row>
    <row r="202" spans="7:39" ht="15.75" customHeight="1">
      <c r="G202" s="80"/>
      <c r="AK202" s="88"/>
      <c r="AL202" s="57"/>
      <c r="AM202" s="57"/>
    </row>
    <row r="203" spans="7:39" ht="15.75" customHeight="1">
      <c r="G203" s="80"/>
      <c r="AK203" s="88"/>
      <c r="AL203" s="57"/>
      <c r="AM203" s="57"/>
    </row>
    <row r="204" spans="7:39" ht="15.75" customHeight="1">
      <c r="G204" s="80"/>
      <c r="AK204" s="88"/>
      <c r="AL204" s="57"/>
      <c r="AM204" s="57"/>
    </row>
    <row r="205" spans="7:39" ht="15.75" customHeight="1">
      <c r="G205" s="80"/>
      <c r="AK205" s="88"/>
      <c r="AL205" s="57"/>
      <c r="AM205" s="57"/>
    </row>
    <row r="206" spans="7:39" ht="15.75" customHeight="1">
      <c r="G206" s="80"/>
      <c r="AK206" s="88"/>
      <c r="AL206" s="57"/>
      <c r="AM206" s="57"/>
    </row>
    <row r="207" spans="7:39" ht="15.75" customHeight="1">
      <c r="G207" s="80"/>
      <c r="AK207" s="88"/>
      <c r="AL207" s="57"/>
      <c r="AM207" s="57"/>
    </row>
    <row r="208" spans="7:39" ht="15.75" customHeight="1">
      <c r="G208" s="80"/>
      <c r="AK208" s="88"/>
      <c r="AL208" s="57"/>
      <c r="AM208" s="57"/>
    </row>
    <row r="209" spans="7:39" ht="15.75" customHeight="1">
      <c r="G209" s="80"/>
      <c r="AK209" s="88"/>
      <c r="AL209" s="57"/>
      <c r="AM209" s="57"/>
    </row>
    <row r="210" spans="7:39" ht="15.75" customHeight="1">
      <c r="G210" s="80"/>
      <c r="AK210" s="88"/>
      <c r="AL210" s="57"/>
      <c r="AM210" s="57"/>
    </row>
    <row r="211" spans="7:39" ht="15.75" customHeight="1">
      <c r="G211" s="80"/>
      <c r="AK211" s="88"/>
      <c r="AL211" s="57"/>
      <c r="AM211" s="57"/>
    </row>
    <row r="212" spans="7:39" ht="15.75" customHeight="1">
      <c r="G212" s="80"/>
      <c r="AK212" s="88"/>
      <c r="AL212" s="57"/>
      <c r="AM212" s="57"/>
    </row>
    <row r="213" spans="7:39" ht="15.75" customHeight="1">
      <c r="G213" s="80"/>
      <c r="AK213" s="88"/>
      <c r="AL213" s="57"/>
      <c r="AM213" s="57"/>
    </row>
    <row r="214" spans="7:39" ht="15.75" customHeight="1">
      <c r="G214" s="80"/>
      <c r="AK214" s="88"/>
      <c r="AL214" s="57"/>
      <c r="AM214" s="57"/>
    </row>
    <row r="215" spans="7:39" ht="15.75" customHeight="1">
      <c r="G215" s="80"/>
      <c r="AK215" s="88"/>
      <c r="AL215" s="57"/>
      <c r="AM215" s="57"/>
    </row>
    <row r="216" spans="7:39" ht="15.75" customHeight="1">
      <c r="G216" s="80"/>
      <c r="AK216" s="88"/>
      <c r="AL216" s="57"/>
      <c r="AM216" s="57"/>
    </row>
    <row r="217" spans="7:39" ht="15.75" customHeight="1">
      <c r="G217" s="80"/>
      <c r="AK217" s="88"/>
      <c r="AL217" s="57"/>
      <c r="AM217" s="57"/>
    </row>
    <row r="218" spans="7:39" ht="15.75" customHeight="1">
      <c r="G218" s="80"/>
      <c r="AK218" s="88"/>
      <c r="AL218" s="57"/>
      <c r="AM218" s="57"/>
    </row>
    <row r="219" spans="7:39" ht="15.75" customHeight="1">
      <c r="G219" s="80"/>
      <c r="AK219" s="88"/>
      <c r="AL219" s="57"/>
      <c r="AM219" s="57"/>
    </row>
    <row r="220" spans="7:39" ht="15.75" customHeight="1">
      <c r="G220" s="80"/>
      <c r="AK220" s="88"/>
      <c r="AL220" s="57"/>
      <c r="AM220" s="57"/>
    </row>
    <row r="221" spans="7:39" ht="15.75" customHeight="1">
      <c r="G221" s="80"/>
      <c r="AK221" s="88"/>
      <c r="AL221" s="57"/>
      <c r="AM221" s="57"/>
    </row>
    <row r="222" spans="7:39" ht="15.75" customHeight="1">
      <c r="G222" s="80"/>
      <c r="AK222" s="88"/>
      <c r="AL222" s="57"/>
      <c r="AM222" s="57"/>
    </row>
    <row r="223" spans="7:39" ht="15.75" customHeight="1">
      <c r="G223" s="80"/>
      <c r="AK223" s="88"/>
      <c r="AL223" s="57"/>
      <c r="AM223" s="57"/>
    </row>
    <row r="224" spans="7:39" ht="15.75" customHeight="1">
      <c r="G224" s="80"/>
      <c r="AK224" s="88"/>
      <c r="AL224" s="57"/>
      <c r="AM224" s="57"/>
    </row>
    <row r="225" spans="7:39" ht="15.75" customHeight="1">
      <c r="G225" s="80"/>
      <c r="AK225" s="88"/>
      <c r="AL225" s="57"/>
      <c r="AM225" s="57"/>
    </row>
    <row r="226" spans="7:39" ht="15.75" customHeight="1">
      <c r="G226" s="80"/>
      <c r="AK226" s="88"/>
      <c r="AL226" s="57"/>
      <c r="AM226" s="57"/>
    </row>
    <row r="227" spans="7:39" ht="15.75" customHeight="1">
      <c r="G227" s="80"/>
      <c r="AK227" s="88"/>
      <c r="AL227" s="57"/>
      <c r="AM227" s="57"/>
    </row>
    <row r="228" spans="7:39" ht="15.75" customHeight="1">
      <c r="G228" s="80"/>
      <c r="AK228" s="88"/>
      <c r="AL228" s="57"/>
      <c r="AM228" s="57"/>
    </row>
    <row r="229" spans="7:39" ht="15.75" customHeight="1">
      <c r="G229" s="80"/>
      <c r="AK229" s="88"/>
      <c r="AL229" s="57"/>
      <c r="AM229" s="57"/>
    </row>
    <row r="230" spans="7:39" ht="15.75" customHeight="1">
      <c r="G230" s="80"/>
      <c r="AK230" s="88"/>
      <c r="AL230" s="57"/>
      <c r="AM230" s="57"/>
    </row>
    <row r="231" spans="7:39" ht="15.75" customHeight="1">
      <c r="G231" s="80"/>
      <c r="AK231" s="88"/>
      <c r="AL231" s="57"/>
      <c r="AM231" s="57"/>
    </row>
    <row r="232" spans="7:39" ht="15.75" customHeight="1">
      <c r="G232" s="80"/>
      <c r="AK232" s="88"/>
      <c r="AL232" s="57"/>
      <c r="AM232" s="57"/>
    </row>
    <row r="233" spans="7:39" ht="15.75" customHeight="1">
      <c r="G233" s="80"/>
      <c r="AK233" s="88"/>
      <c r="AL233" s="57"/>
      <c r="AM233" s="57"/>
    </row>
    <row r="234" spans="7:39" ht="15.75" customHeight="1">
      <c r="G234" s="80"/>
      <c r="AK234" s="88"/>
      <c r="AL234" s="57"/>
      <c r="AM234" s="57"/>
    </row>
    <row r="235" spans="7:39" ht="15.75" customHeight="1">
      <c r="G235" s="80"/>
      <c r="AK235" s="88"/>
      <c r="AL235" s="57"/>
      <c r="AM235" s="57"/>
    </row>
    <row r="236" spans="7:39" ht="15.75" customHeight="1">
      <c r="G236" s="80"/>
      <c r="AK236" s="88"/>
      <c r="AL236" s="57"/>
      <c r="AM236" s="57"/>
    </row>
    <row r="237" spans="7:39" ht="15.75" customHeight="1">
      <c r="G237" s="80"/>
      <c r="AK237" s="88"/>
      <c r="AL237" s="57"/>
      <c r="AM237" s="57"/>
    </row>
    <row r="238" spans="7:39" ht="15.75" customHeight="1">
      <c r="G238" s="80"/>
      <c r="AK238" s="88"/>
      <c r="AL238" s="57"/>
      <c r="AM238" s="57"/>
    </row>
    <row r="239" spans="7:39" ht="15.75" customHeight="1">
      <c r="G239" s="80"/>
      <c r="AK239" s="88"/>
      <c r="AL239" s="57"/>
      <c r="AM239" s="57"/>
    </row>
    <row r="240" spans="7:39" ht="15.75" customHeight="1">
      <c r="G240" s="80"/>
      <c r="AK240" s="88"/>
      <c r="AL240" s="57"/>
      <c r="AM240" s="57"/>
    </row>
    <row r="241" spans="7:39" ht="15.75" customHeight="1">
      <c r="G241" s="80"/>
      <c r="AK241" s="88"/>
      <c r="AL241" s="57"/>
      <c r="AM241" s="57"/>
    </row>
    <row r="242" spans="7:39" ht="15.75" customHeight="1">
      <c r="G242" s="80"/>
      <c r="AK242" s="88"/>
      <c r="AL242" s="57"/>
      <c r="AM242" s="57"/>
    </row>
    <row r="243" spans="7:39" ht="15.75" customHeight="1">
      <c r="G243" s="80"/>
      <c r="AK243" s="88"/>
      <c r="AL243" s="57"/>
      <c r="AM243" s="57"/>
    </row>
    <row r="244" spans="7:39" ht="15.75" customHeight="1">
      <c r="G244" s="80"/>
      <c r="AK244" s="88"/>
      <c r="AL244" s="57"/>
      <c r="AM244" s="57"/>
    </row>
    <row r="245" spans="7:39" ht="15.75" customHeight="1">
      <c r="G245" s="80"/>
      <c r="AK245" s="88"/>
      <c r="AL245" s="57"/>
      <c r="AM245" s="57"/>
    </row>
    <row r="246" spans="7:39" ht="15.75" customHeight="1">
      <c r="G246" s="80"/>
      <c r="AK246" s="88"/>
      <c r="AL246" s="57"/>
      <c r="AM246" s="57"/>
    </row>
    <row r="247" spans="7:39" ht="15.75" customHeight="1">
      <c r="G247" s="80"/>
      <c r="AK247" s="88"/>
      <c r="AL247" s="57"/>
      <c r="AM247" s="57"/>
    </row>
    <row r="248" spans="7:39" ht="15.75" customHeight="1">
      <c r="G248" s="80"/>
      <c r="AK248" s="88"/>
      <c r="AL248" s="57"/>
      <c r="AM248" s="57"/>
    </row>
    <row r="249" spans="7:39" ht="15.75" customHeight="1">
      <c r="G249" s="80"/>
      <c r="AK249" s="88"/>
      <c r="AL249" s="57"/>
      <c r="AM249" s="57"/>
    </row>
    <row r="250" spans="7:39" ht="15.75" customHeight="1">
      <c r="G250" s="80"/>
      <c r="AK250" s="88"/>
      <c r="AL250" s="57"/>
      <c r="AM250" s="57"/>
    </row>
    <row r="251" spans="7:39" ht="15.75" customHeight="1">
      <c r="G251" s="80"/>
      <c r="AK251" s="88"/>
      <c r="AL251" s="57"/>
      <c r="AM251" s="57"/>
    </row>
    <row r="252" spans="7:39" ht="15.75" customHeight="1">
      <c r="G252" s="80"/>
      <c r="AK252" s="88"/>
      <c r="AL252" s="57"/>
      <c r="AM252" s="57"/>
    </row>
    <row r="253" spans="7:39" ht="15.75" customHeight="1">
      <c r="G253" s="80"/>
      <c r="AK253" s="88"/>
      <c r="AL253" s="57"/>
      <c r="AM253" s="57"/>
    </row>
    <row r="254" spans="7:39" ht="15.75" customHeight="1">
      <c r="G254" s="80"/>
      <c r="AK254" s="88"/>
      <c r="AL254" s="57"/>
      <c r="AM254" s="57"/>
    </row>
    <row r="255" spans="7:39" ht="15.75" customHeight="1">
      <c r="G255" s="80"/>
      <c r="AK255" s="88"/>
      <c r="AL255" s="57"/>
      <c r="AM255" s="57"/>
    </row>
    <row r="256" spans="7:39" ht="15.75" customHeight="1">
      <c r="G256" s="80"/>
      <c r="AK256" s="88"/>
      <c r="AL256" s="57"/>
      <c r="AM256" s="57"/>
    </row>
    <row r="257" spans="7:39" ht="15.75" customHeight="1">
      <c r="G257" s="80"/>
      <c r="AK257" s="88"/>
      <c r="AL257" s="57"/>
      <c r="AM257" s="57"/>
    </row>
    <row r="258" spans="7:39" ht="15.75" customHeight="1">
      <c r="G258" s="80"/>
      <c r="AK258" s="88"/>
      <c r="AL258" s="57"/>
      <c r="AM258" s="57"/>
    </row>
    <row r="259" spans="7:39" ht="15.75" customHeight="1">
      <c r="G259" s="80"/>
      <c r="AK259" s="88"/>
      <c r="AL259" s="57"/>
      <c r="AM259" s="57"/>
    </row>
    <row r="260" spans="7:39" ht="15.75" customHeight="1">
      <c r="G260" s="80"/>
      <c r="AK260" s="88"/>
      <c r="AL260" s="57"/>
      <c r="AM260" s="57"/>
    </row>
    <row r="261" spans="7:39" ht="15.75" customHeight="1">
      <c r="G261" s="80"/>
      <c r="AK261" s="88"/>
      <c r="AL261" s="57"/>
      <c r="AM261" s="57"/>
    </row>
    <row r="262" spans="7:39" ht="15.75" customHeight="1">
      <c r="G262" s="80"/>
      <c r="AK262" s="88"/>
      <c r="AL262" s="57"/>
      <c r="AM262" s="57"/>
    </row>
    <row r="263" spans="7:39" ht="15.75" customHeight="1">
      <c r="G263" s="80"/>
      <c r="AK263" s="88"/>
      <c r="AL263" s="57"/>
      <c r="AM263" s="57"/>
    </row>
    <row r="264" spans="7:39" ht="15.75" customHeight="1">
      <c r="G264" s="80"/>
      <c r="AK264" s="88"/>
      <c r="AL264" s="57"/>
      <c r="AM264" s="57"/>
    </row>
    <row r="265" spans="7:39" ht="15.75" customHeight="1">
      <c r="G265" s="80"/>
      <c r="AK265" s="88"/>
      <c r="AL265" s="57"/>
      <c r="AM265" s="57"/>
    </row>
    <row r="266" spans="7:39" ht="15.75" customHeight="1">
      <c r="G266" s="80"/>
      <c r="AK266" s="88"/>
      <c r="AL266" s="57"/>
      <c r="AM266" s="57"/>
    </row>
    <row r="267" spans="7:39" ht="15.75" customHeight="1">
      <c r="G267" s="80"/>
      <c r="AK267" s="88"/>
      <c r="AL267" s="57"/>
      <c r="AM267" s="57"/>
    </row>
    <row r="268" spans="7:39" ht="15.75" customHeight="1">
      <c r="G268" s="80"/>
      <c r="AK268" s="88"/>
      <c r="AL268" s="57"/>
      <c r="AM268" s="57"/>
    </row>
    <row r="269" spans="7:39" ht="15.75" customHeight="1">
      <c r="G269" s="80"/>
      <c r="AK269" s="88"/>
      <c r="AL269" s="57"/>
      <c r="AM269" s="57"/>
    </row>
    <row r="270" spans="7:39" ht="15.75" customHeight="1">
      <c r="G270" s="80"/>
      <c r="AK270" s="88"/>
      <c r="AL270" s="57"/>
      <c r="AM270" s="57"/>
    </row>
    <row r="271" spans="7:39" ht="15.75" customHeight="1">
      <c r="G271" s="80"/>
      <c r="AK271" s="88"/>
      <c r="AL271" s="57"/>
      <c r="AM271" s="57"/>
    </row>
    <row r="272" spans="7:39" ht="15.75" customHeight="1">
      <c r="G272" s="80"/>
      <c r="AK272" s="88"/>
      <c r="AL272" s="57"/>
      <c r="AM272" s="57"/>
    </row>
    <row r="273" spans="7:39" ht="15.75" customHeight="1">
      <c r="G273" s="80"/>
      <c r="AK273" s="88"/>
      <c r="AL273" s="57"/>
      <c r="AM273" s="57"/>
    </row>
    <row r="274" spans="7:39" ht="15.75" customHeight="1">
      <c r="G274" s="80"/>
      <c r="AK274" s="88"/>
      <c r="AL274" s="57"/>
      <c r="AM274" s="57"/>
    </row>
    <row r="275" spans="7:39" ht="15.75" customHeight="1">
      <c r="G275" s="80"/>
      <c r="AK275" s="88"/>
      <c r="AL275" s="57"/>
      <c r="AM275" s="57"/>
    </row>
    <row r="276" spans="7:39" ht="15.75" customHeight="1">
      <c r="G276" s="80"/>
      <c r="AK276" s="88"/>
      <c r="AL276" s="57"/>
      <c r="AM276" s="57"/>
    </row>
    <row r="277" spans="7:39" ht="15.75" customHeight="1">
      <c r="G277" s="80"/>
    </row>
    <row r="278" spans="7:39" ht="15.75" customHeight="1">
      <c r="G278" s="80"/>
    </row>
    <row r="279" spans="7:39" ht="15.75" customHeight="1">
      <c r="G279" s="80"/>
    </row>
    <row r="280" spans="7:39" ht="15.75" customHeight="1">
      <c r="G280" s="80"/>
    </row>
    <row r="281" spans="7:39" ht="15.75" customHeight="1">
      <c r="G281" s="80"/>
    </row>
    <row r="282" spans="7:39" ht="15.75" customHeight="1">
      <c r="G282" s="80"/>
    </row>
    <row r="283" spans="7:39" ht="15.75" customHeight="1">
      <c r="G283" s="80"/>
    </row>
    <row r="284" spans="7:39" ht="15.75" customHeight="1">
      <c r="G284" s="80"/>
    </row>
    <row r="285" spans="7:39" ht="15.75" customHeight="1">
      <c r="G285" s="80"/>
    </row>
    <row r="286" spans="7:39" ht="15.75" customHeight="1">
      <c r="G286" s="80"/>
    </row>
    <row r="287" spans="7:39" ht="15.75" customHeight="1">
      <c r="G287" s="80"/>
    </row>
    <row r="288" spans="7:39" ht="15.75" customHeight="1">
      <c r="G288" s="80"/>
    </row>
    <row r="289" spans="7:7" ht="15.75" customHeight="1">
      <c r="G289" s="80"/>
    </row>
    <row r="290" spans="7:7" ht="15.75" customHeight="1">
      <c r="G290" s="80"/>
    </row>
    <row r="291" spans="7:7" ht="15.75" customHeight="1">
      <c r="G291" s="80"/>
    </row>
    <row r="292" spans="7:7" ht="15.75" customHeight="1">
      <c r="G292" s="80"/>
    </row>
    <row r="293" spans="7:7" ht="15.75" customHeight="1">
      <c r="G293" s="80"/>
    </row>
    <row r="294" spans="7:7" ht="15.75" customHeight="1">
      <c r="G294" s="80"/>
    </row>
    <row r="295" spans="7:7" ht="15.75" customHeight="1">
      <c r="G295" s="80"/>
    </row>
    <row r="296" spans="7:7" ht="15.75" customHeight="1">
      <c r="G296" s="80"/>
    </row>
    <row r="297" spans="7:7" ht="15.75" customHeight="1">
      <c r="G297" s="80"/>
    </row>
    <row r="298" spans="7:7" ht="15.75" customHeight="1">
      <c r="G298" s="80"/>
    </row>
    <row r="299" spans="7:7" ht="15.75" customHeight="1">
      <c r="G299" s="80"/>
    </row>
    <row r="300" spans="7:7" ht="15.75" customHeight="1">
      <c r="G300" s="80"/>
    </row>
    <row r="301" spans="7:7" ht="15.75" customHeight="1">
      <c r="G301" s="80"/>
    </row>
    <row r="302" spans="7:7" ht="15.75" customHeight="1">
      <c r="G302" s="80"/>
    </row>
    <row r="303" spans="7:7" ht="15.75" customHeight="1">
      <c r="G303" s="80"/>
    </row>
    <row r="304" spans="7:7" ht="15.75" customHeight="1">
      <c r="G304" s="80"/>
    </row>
    <row r="305" spans="7:7" ht="15.75" customHeight="1">
      <c r="G305" s="80"/>
    </row>
    <row r="306" spans="7:7" ht="15.75" customHeight="1">
      <c r="G306" s="80"/>
    </row>
    <row r="307" spans="7:7" ht="15.75" customHeight="1">
      <c r="G307" s="80"/>
    </row>
    <row r="308" spans="7:7" ht="15.75" customHeight="1">
      <c r="G308" s="80"/>
    </row>
    <row r="309" spans="7:7" ht="15.75" customHeight="1">
      <c r="G309" s="80"/>
    </row>
    <row r="310" spans="7:7" ht="15.75" customHeight="1">
      <c r="G310" s="80"/>
    </row>
    <row r="311" spans="7:7" ht="15.75" customHeight="1">
      <c r="G311" s="80"/>
    </row>
    <row r="312" spans="7:7" ht="15.75" customHeight="1">
      <c r="G312" s="80"/>
    </row>
    <row r="313" spans="7:7" ht="15.75" customHeight="1">
      <c r="G313" s="80"/>
    </row>
    <row r="314" spans="7:7" ht="15.75" customHeight="1">
      <c r="G314" s="80"/>
    </row>
    <row r="315" spans="7:7" ht="15.75" customHeight="1">
      <c r="G315" s="80"/>
    </row>
    <row r="316" spans="7:7" ht="15.75" customHeight="1">
      <c r="G316" s="80"/>
    </row>
    <row r="317" spans="7:7" ht="15.75" customHeight="1">
      <c r="G317" s="80"/>
    </row>
    <row r="318" spans="7:7" ht="15.75" customHeight="1">
      <c r="G318" s="80"/>
    </row>
    <row r="319" spans="7:7" ht="15.75" customHeight="1">
      <c r="G319" s="80"/>
    </row>
    <row r="320" spans="7:7" ht="15.75" customHeight="1">
      <c r="G320" s="80"/>
    </row>
    <row r="321" spans="7:7" ht="15.75" customHeight="1">
      <c r="G321" s="80"/>
    </row>
    <row r="322" spans="7:7" ht="15.75" customHeight="1">
      <c r="G322" s="80"/>
    </row>
    <row r="323" spans="7:7" ht="15.75" customHeight="1">
      <c r="G323" s="80"/>
    </row>
    <row r="324" spans="7:7" ht="15.75" customHeight="1">
      <c r="G324" s="80"/>
    </row>
    <row r="325" spans="7:7" ht="15.75" customHeight="1">
      <c r="G325" s="80"/>
    </row>
    <row r="326" spans="7:7" ht="15.75" customHeight="1">
      <c r="G326" s="80"/>
    </row>
    <row r="327" spans="7:7" ht="15.75" customHeight="1">
      <c r="G327" s="80"/>
    </row>
    <row r="328" spans="7:7" ht="15.75" customHeight="1">
      <c r="G328" s="80"/>
    </row>
    <row r="329" spans="7:7" ht="15.75" customHeight="1">
      <c r="G329" s="80"/>
    </row>
    <row r="330" spans="7:7" ht="15.75" customHeight="1">
      <c r="G330" s="80"/>
    </row>
    <row r="331" spans="7:7" ht="15.75" customHeight="1">
      <c r="G331" s="80"/>
    </row>
    <row r="332" spans="7:7" ht="15.75" customHeight="1">
      <c r="G332" s="80"/>
    </row>
    <row r="333" spans="7:7" ht="15.75" customHeight="1">
      <c r="G333" s="80"/>
    </row>
    <row r="334" spans="7:7" ht="15.75" customHeight="1">
      <c r="G334" s="80"/>
    </row>
    <row r="335" spans="7:7" ht="15.75" customHeight="1">
      <c r="G335" s="80"/>
    </row>
    <row r="336" spans="7:7" ht="15.75" customHeight="1">
      <c r="G336" s="80"/>
    </row>
    <row r="337" spans="7:7" ht="15.75" customHeight="1">
      <c r="G337" s="80"/>
    </row>
    <row r="338" spans="7:7" ht="15.75" customHeight="1">
      <c r="G338" s="80"/>
    </row>
    <row r="339" spans="7:7" ht="15.75" customHeight="1">
      <c r="G339" s="80"/>
    </row>
    <row r="340" spans="7:7" ht="15.75" customHeight="1">
      <c r="G340" s="80"/>
    </row>
    <row r="341" spans="7:7" ht="15.75" customHeight="1">
      <c r="G341" s="80"/>
    </row>
    <row r="342" spans="7:7" ht="15.75" customHeight="1">
      <c r="G342" s="80"/>
    </row>
    <row r="343" spans="7:7" ht="15.75" customHeight="1">
      <c r="G343" s="80"/>
    </row>
    <row r="344" spans="7:7" ht="15.75" customHeight="1">
      <c r="G344" s="80"/>
    </row>
    <row r="345" spans="7:7" ht="15.75" customHeight="1">
      <c r="G345" s="80"/>
    </row>
    <row r="346" spans="7:7" ht="15.75" customHeight="1">
      <c r="G346" s="80"/>
    </row>
    <row r="347" spans="7:7" ht="15.75" customHeight="1">
      <c r="G347" s="80"/>
    </row>
    <row r="348" spans="7:7" ht="15.75" customHeight="1">
      <c r="G348" s="80"/>
    </row>
    <row r="349" spans="7:7" ht="15.75" customHeight="1">
      <c r="G349" s="80"/>
    </row>
    <row r="350" spans="7:7" ht="15.75" customHeight="1">
      <c r="G350" s="80"/>
    </row>
    <row r="351" spans="7:7" ht="15.75" customHeight="1">
      <c r="G351" s="80"/>
    </row>
    <row r="352" spans="7:7" ht="15.75" customHeight="1">
      <c r="G352" s="80"/>
    </row>
    <row r="353" spans="7:7" ht="15.75" customHeight="1">
      <c r="G353" s="80"/>
    </row>
    <row r="354" spans="7:7" ht="15.75" customHeight="1">
      <c r="G354" s="80"/>
    </row>
    <row r="355" spans="7:7" ht="15.75" customHeight="1">
      <c r="G355" s="80"/>
    </row>
    <row r="356" spans="7:7" ht="15.75" customHeight="1">
      <c r="G356" s="80"/>
    </row>
    <row r="357" spans="7:7" ht="15.75" customHeight="1">
      <c r="G357" s="80"/>
    </row>
    <row r="358" spans="7:7" ht="15.75" customHeight="1">
      <c r="G358" s="80"/>
    </row>
    <row r="359" spans="7:7" ht="15.75" customHeight="1">
      <c r="G359" s="80"/>
    </row>
    <row r="360" spans="7:7" ht="15.75" customHeight="1">
      <c r="G360" s="80"/>
    </row>
    <row r="361" spans="7:7" ht="15.75" customHeight="1">
      <c r="G361" s="80"/>
    </row>
    <row r="362" spans="7:7" ht="15.75" customHeight="1">
      <c r="G362" s="80"/>
    </row>
    <row r="363" spans="7:7" ht="15.75" customHeight="1">
      <c r="G363" s="80"/>
    </row>
    <row r="364" spans="7:7" ht="15.75" customHeight="1">
      <c r="G364" s="80"/>
    </row>
    <row r="365" spans="7:7" ht="15.75" customHeight="1">
      <c r="G365" s="80"/>
    </row>
    <row r="366" spans="7:7" ht="15.75" customHeight="1">
      <c r="G366" s="80"/>
    </row>
    <row r="367" spans="7:7" ht="15.75" customHeight="1">
      <c r="G367" s="80"/>
    </row>
    <row r="368" spans="7:7" ht="15.75" customHeight="1">
      <c r="G368" s="80"/>
    </row>
    <row r="369" spans="7:7" ht="15.75" customHeight="1">
      <c r="G369" s="80"/>
    </row>
    <row r="370" spans="7:7" ht="15.75" customHeight="1">
      <c r="G370" s="80"/>
    </row>
    <row r="371" spans="7:7" ht="15.75" customHeight="1">
      <c r="G371" s="80"/>
    </row>
    <row r="372" spans="7:7" ht="15.75" customHeight="1">
      <c r="G372" s="80"/>
    </row>
    <row r="373" spans="7:7" ht="15.75" customHeight="1">
      <c r="G373" s="80"/>
    </row>
    <row r="374" spans="7:7" ht="15.75" customHeight="1">
      <c r="G374" s="80"/>
    </row>
    <row r="375" spans="7:7" ht="15.75" customHeight="1">
      <c r="G375" s="80"/>
    </row>
    <row r="376" spans="7:7" ht="15.75" customHeight="1">
      <c r="G376" s="80"/>
    </row>
    <row r="377" spans="7:7" ht="15.75" customHeight="1">
      <c r="G377" s="80"/>
    </row>
    <row r="378" spans="7:7" ht="15.75" customHeight="1">
      <c r="G378" s="80"/>
    </row>
    <row r="379" spans="7:7" ht="15.75" customHeight="1">
      <c r="G379" s="80"/>
    </row>
    <row r="380" spans="7:7" ht="15.75" customHeight="1">
      <c r="G380" s="80"/>
    </row>
    <row r="381" spans="7:7" ht="15.75" customHeight="1">
      <c r="G381" s="80"/>
    </row>
    <row r="382" spans="7:7" ht="15.75" customHeight="1">
      <c r="G382" s="80"/>
    </row>
    <row r="383" spans="7:7" ht="15.75" customHeight="1">
      <c r="G383" s="80"/>
    </row>
    <row r="384" spans="7:7" ht="15.75" customHeight="1">
      <c r="G384" s="80"/>
    </row>
    <row r="385" spans="7:7" ht="15.75" customHeight="1">
      <c r="G385" s="80"/>
    </row>
    <row r="386" spans="7:7" ht="15.75" customHeight="1">
      <c r="G386" s="80"/>
    </row>
    <row r="387" spans="7:7" ht="15.75" customHeight="1">
      <c r="G387" s="80"/>
    </row>
    <row r="388" spans="7:7" ht="15.75" customHeight="1">
      <c r="G388" s="80"/>
    </row>
    <row r="389" spans="7:7" ht="15.75" customHeight="1">
      <c r="G389" s="80"/>
    </row>
    <row r="390" spans="7:7" ht="15.75" customHeight="1">
      <c r="G390" s="80"/>
    </row>
    <row r="391" spans="7:7" ht="15.75" customHeight="1">
      <c r="G391" s="80"/>
    </row>
    <row r="392" spans="7:7" ht="15.75" customHeight="1">
      <c r="G392" s="80"/>
    </row>
    <row r="393" spans="7:7" ht="15.75" customHeight="1">
      <c r="G393" s="80"/>
    </row>
    <row r="394" spans="7:7" ht="15.75" customHeight="1">
      <c r="G394" s="80"/>
    </row>
    <row r="395" spans="7:7" ht="15.75" customHeight="1">
      <c r="G395" s="80"/>
    </row>
    <row r="396" spans="7:7" ht="15.75" customHeight="1">
      <c r="G396" s="80"/>
    </row>
    <row r="397" spans="7:7" ht="15.75" customHeight="1">
      <c r="G397" s="80"/>
    </row>
    <row r="398" spans="7:7" ht="15.75" customHeight="1">
      <c r="G398" s="80"/>
    </row>
    <row r="399" spans="7:7" ht="15.75" customHeight="1">
      <c r="G399" s="80"/>
    </row>
    <row r="400" spans="7:7" ht="15.75" customHeight="1">
      <c r="G400" s="80"/>
    </row>
    <row r="401" spans="7:7" ht="15.75" customHeight="1">
      <c r="G401" s="80"/>
    </row>
    <row r="402" spans="7:7" ht="15.75" customHeight="1">
      <c r="G402" s="80"/>
    </row>
    <row r="403" spans="7:7" ht="15.75" customHeight="1">
      <c r="G403" s="80"/>
    </row>
    <row r="404" spans="7:7" ht="15.75" customHeight="1">
      <c r="G404" s="80"/>
    </row>
    <row r="405" spans="7:7" ht="15.75" customHeight="1">
      <c r="G405" s="80"/>
    </row>
    <row r="406" spans="7:7" ht="15.75" customHeight="1">
      <c r="G406" s="80"/>
    </row>
    <row r="407" spans="7:7" ht="15.75" customHeight="1">
      <c r="G407" s="80"/>
    </row>
    <row r="408" spans="7:7" ht="15.75" customHeight="1">
      <c r="G408" s="80"/>
    </row>
    <row r="409" spans="7:7" ht="15.75" customHeight="1">
      <c r="G409" s="80"/>
    </row>
    <row r="410" spans="7:7" ht="15.75" customHeight="1">
      <c r="G410" s="80"/>
    </row>
    <row r="411" spans="7:7" ht="15.75" customHeight="1">
      <c r="G411" s="80"/>
    </row>
    <row r="412" spans="7:7" ht="15.75" customHeight="1">
      <c r="G412" s="80"/>
    </row>
    <row r="413" spans="7:7" ht="15.75" customHeight="1">
      <c r="G413" s="80"/>
    </row>
    <row r="414" spans="7:7" ht="15.75" customHeight="1">
      <c r="G414" s="80"/>
    </row>
    <row r="415" spans="7:7" ht="15.75" customHeight="1">
      <c r="G415" s="80"/>
    </row>
    <row r="416" spans="7:7" ht="15.75" customHeight="1">
      <c r="G416" s="80"/>
    </row>
    <row r="417" spans="7:7" ht="15.75" customHeight="1">
      <c r="G417" s="80"/>
    </row>
    <row r="418" spans="7:7" ht="15.75" customHeight="1">
      <c r="G418" s="80"/>
    </row>
    <row r="419" spans="7:7" ht="15.75" customHeight="1">
      <c r="G419" s="80"/>
    </row>
    <row r="420" spans="7:7" ht="15.75" customHeight="1">
      <c r="G420" s="80"/>
    </row>
    <row r="421" spans="7:7" ht="15.75" customHeight="1">
      <c r="G421" s="80"/>
    </row>
    <row r="422" spans="7:7" ht="15.75" customHeight="1">
      <c r="G422" s="80"/>
    </row>
    <row r="423" spans="7:7" ht="15.75" customHeight="1">
      <c r="G423" s="80"/>
    </row>
    <row r="424" spans="7:7" ht="15.75" customHeight="1">
      <c r="G424" s="80"/>
    </row>
    <row r="425" spans="7:7" ht="15.75" customHeight="1">
      <c r="G425" s="80"/>
    </row>
    <row r="426" spans="7:7" ht="15.75" customHeight="1">
      <c r="G426" s="80"/>
    </row>
    <row r="427" spans="7:7" ht="15.75" customHeight="1">
      <c r="G427" s="80"/>
    </row>
    <row r="428" spans="7:7" ht="15.75" customHeight="1">
      <c r="G428" s="80"/>
    </row>
    <row r="429" spans="7:7" ht="15.75" customHeight="1">
      <c r="G429" s="80"/>
    </row>
    <row r="430" spans="7:7" ht="15.75" customHeight="1">
      <c r="G430" s="80"/>
    </row>
    <row r="431" spans="7:7" ht="15.75" customHeight="1">
      <c r="G431" s="80"/>
    </row>
    <row r="432" spans="7:7" ht="15.75" customHeight="1">
      <c r="G432" s="80"/>
    </row>
    <row r="433" spans="7:7" ht="15.75" customHeight="1">
      <c r="G433" s="80"/>
    </row>
    <row r="434" spans="7:7" ht="15.75" customHeight="1">
      <c r="G434" s="80"/>
    </row>
    <row r="435" spans="7:7" ht="15.75" customHeight="1">
      <c r="G435" s="80"/>
    </row>
    <row r="436" spans="7:7" ht="15.75" customHeight="1">
      <c r="G436" s="80"/>
    </row>
    <row r="437" spans="7:7" ht="15.75" customHeight="1">
      <c r="G437" s="80"/>
    </row>
    <row r="438" spans="7:7" ht="15.75" customHeight="1">
      <c r="G438" s="80"/>
    </row>
    <row r="439" spans="7:7" ht="15.75" customHeight="1">
      <c r="G439" s="80"/>
    </row>
    <row r="440" spans="7:7" ht="15.75" customHeight="1">
      <c r="G440" s="80"/>
    </row>
    <row r="441" spans="7:7" ht="15.75" customHeight="1">
      <c r="G441" s="80"/>
    </row>
    <row r="442" spans="7:7" ht="15.75" customHeight="1">
      <c r="G442" s="80"/>
    </row>
    <row r="443" spans="7:7" ht="15.75" customHeight="1">
      <c r="G443" s="80"/>
    </row>
    <row r="444" spans="7:7" ht="15.75" customHeight="1">
      <c r="G444" s="80"/>
    </row>
    <row r="445" spans="7:7" ht="15.75" customHeight="1">
      <c r="G445" s="80"/>
    </row>
    <row r="446" spans="7:7" ht="15.75" customHeight="1">
      <c r="G446" s="80"/>
    </row>
    <row r="447" spans="7:7" ht="15.75" customHeight="1">
      <c r="G447" s="80"/>
    </row>
    <row r="448" spans="7:7" ht="15.75" customHeight="1">
      <c r="G448" s="80"/>
    </row>
    <row r="449" spans="7:7" ht="15.75" customHeight="1">
      <c r="G449" s="80"/>
    </row>
    <row r="450" spans="7:7" ht="15.75" customHeight="1">
      <c r="G450" s="80"/>
    </row>
    <row r="451" spans="7:7" ht="15.75" customHeight="1">
      <c r="G451" s="80"/>
    </row>
    <row r="452" spans="7:7" ht="15.75" customHeight="1">
      <c r="G452" s="80"/>
    </row>
    <row r="453" spans="7:7" ht="15.75" customHeight="1">
      <c r="G453" s="80"/>
    </row>
    <row r="454" spans="7:7" ht="15.75" customHeight="1">
      <c r="G454" s="80"/>
    </row>
    <row r="455" spans="7:7" ht="15.75" customHeight="1">
      <c r="G455" s="80"/>
    </row>
    <row r="456" spans="7:7" ht="15.75" customHeight="1">
      <c r="G456" s="80"/>
    </row>
    <row r="457" spans="7:7" ht="15.75" customHeight="1">
      <c r="G457" s="80"/>
    </row>
    <row r="458" spans="7:7" ht="15.75" customHeight="1">
      <c r="G458" s="80"/>
    </row>
    <row r="459" spans="7:7" ht="15.75" customHeight="1">
      <c r="G459" s="80"/>
    </row>
    <row r="460" spans="7:7" ht="15.75" customHeight="1">
      <c r="G460" s="80"/>
    </row>
    <row r="461" spans="7:7" ht="15.75" customHeight="1">
      <c r="G461" s="80"/>
    </row>
    <row r="462" spans="7:7" ht="15.75" customHeight="1">
      <c r="G462" s="80"/>
    </row>
    <row r="463" spans="7:7" ht="15.75" customHeight="1">
      <c r="G463" s="80"/>
    </row>
    <row r="464" spans="7:7" ht="15.75" customHeight="1">
      <c r="G464" s="80"/>
    </row>
    <row r="465" spans="7:7" ht="15.75" customHeight="1">
      <c r="G465" s="80"/>
    </row>
    <row r="466" spans="7:7" ht="15.75" customHeight="1">
      <c r="G466" s="80"/>
    </row>
    <row r="467" spans="7:7" ht="15.75" customHeight="1">
      <c r="G467" s="80"/>
    </row>
    <row r="468" spans="7:7" ht="15.75" customHeight="1">
      <c r="G468" s="80"/>
    </row>
    <row r="469" spans="7:7" ht="15.75" customHeight="1">
      <c r="G469" s="80"/>
    </row>
    <row r="470" spans="7:7" ht="15.75" customHeight="1">
      <c r="G470" s="80"/>
    </row>
    <row r="471" spans="7:7" ht="15.75" customHeight="1">
      <c r="G471" s="80"/>
    </row>
    <row r="472" spans="7:7" ht="15.75" customHeight="1">
      <c r="G472" s="80"/>
    </row>
    <row r="473" spans="7:7" ht="15.75" customHeight="1">
      <c r="G473" s="80"/>
    </row>
    <row r="474" spans="7:7" ht="15.75" customHeight="1">
      <c r="G474" s="80"/>
    </row>
    <row r="475" spans="7:7" ht="15.75" customHeight="1">
      <c r="G475" s="80"/>
    </row>
    <row r="476" spans="7:7" ht="15.75" customHeight="1">
      <c r="G476" s="80"/>
    </row>
    <row r="477" spans="7:7" ht="15.75" customHeight="1">
      <c r="G477" s="80"/>
    </row>
    <row r="478" spans="7:7" ht="15.75" customHeight="1">
      <c r="G478" s="80"/>
    </row>
    <row r="479" spans="7:7" ht="15.75" customHeight="1">
      <c r="G479" s="80"/>
    </row>
    <row r="480" spans="7:7" ht="15.75" customHeight="1">
      <c r="G480" s="80"/>
    </row>
    <row r="481" spans="7:7" ht="15.75" customHeight="1">
      <c r="G481" s="80"/>
    </row>
    <row r="482" spans="7:7" ht="15.75" customHeight="1">
      <c r="G482" s="80"/>
    </row>
    <row r="483" spans="7:7" ht="15.75" customHeight="1">
      <c r="G483" s="80"/>
    </row>
    <row r="484" spans="7:7" ht="15.75" customHeight="1">
      <c r="G484" s="80"/>
    </row>
    <row r="485" spans="7:7" ht="15.75" customHeight="1">
      <c r="G485" s="80"/>
    </row>
    <row r="486" spans="7:7" ht="15.75" customHeight="1">
      <c r="G486" s="80"/>
    </row>
    <row r="487" spans="7:7" ht="15.75" customHeight="1">
      <c r="G487" s="80"/>
    </row>
    <row r="488" spans="7:7" ht="15.75" customHeight="1">
      <c r="G488" s="80"/>
    </row>
    <row r="489" spans="7:7" ht="15.75" customHeight="1">
      <c r="G489" s="80"/>
    </row>
    <row r="490" spans="7:7" ht="15.75" customHeight="1">
      <c r="G490" s="80"/>
    </row>
    <row r="491" spans="7:7" ht="15.75" customHeight="1">
      <c r="G491" s="80"/>
    </row>
    <row r="492" spans="7:7" ht="15.75" customHeight="1">
      <c r="G492" s="80"/>
    </row>
    <row r="493" spans="7:7" ht="15.75" customHeight="1">
      <c r="G493" s="80"/>
    </row>
    <row r="494" spans="7:7" ht="15.75" customHeight="1">
      <c r="G494" s="80"/>
    </row>
    <row r="495" spans="7:7" ht="15.75" customHeight="1">
      <c r="G495" s="80"/>
    </row>
    <row r="496" spans="7:7" ht="15.75" customHeight="1">
      <c r="G496" s="80"/>
    </row>
    <row r="497" spans="7:7" ht="15.75" customHeight="1">
      <c r="G497" s="80"/>
    </row>
    <row r="498" spans="7:7" ht="15.75" customHeight="1">
      <c r="G498" s="80"/>
    </row>
    <row r="499" spans="7:7" ht="15.75" customHeight="1">
      <c r="G499" s="80"/>
    </row>
    <row r="500" spans="7:7" ht="15.75" customHeight="1">
      <c r="G500" s="80"/>
    </row>
    <row r="501" spans="7:7" ht="15.75" customHeight="1">
      <c r="G501" s="80"/>
    </row>
    <row r="502" spans="7:7" ht="15.75" customHeight="1">
      <c r="G502" s="80"/>
    </row>
    <row r="503" spans="7:7" ht="15.75" customHeight="1">
      <c r="G503" s="80"/>
    </row>
    <row r="504" spans="7:7" ht="15.75" customHeight="1">
      <c r="G504" s="80"/>
    </row>
    <row r="505" spans="7:7" ht="15.75" customHeight="1">
      <c r="G505" s="80"/>
    </row>
    <row r="506" spans="7:7" ht="15.75" customHeight="1">
      <c r="G506" s="80"/>
    </row>
    <row r="507" spans="7:7" ht="15.75" customHeight="1">
      <c r="G507" s="80"/>
    </row>
    <row r="508" spans="7:7" ht="15.75" customHeight="1">
      <c r="G508" s="80"/>
    </row>
    <row r="509" spans="7:7" ht="15.75" customHeight="1">
      <c r="G509" s="80"/>
    </row>
    <row r="510" spans="7:7" ht="15.75" customHeight="1">
      <c r="G510" s="80"/>
    </row>
    <row r="511" spans="7:7" ht="15.75" customHeight="1">
      <c r="G511" s="80"/>
    </row>
    <row r="512" spans="7:7" ht="15.75" customHeight="1">
      <c r="G512" s="80"/>
    </row>
    <row r="513" spans="7:7" ht="15.75" customHeight="1">
      <c r="G513" s="80"/>
    </row>
    <row r="514" spans="7:7" ht="15.75" customHeight="1">
      <c r="G514" s="80"/>
    </row>
    <row r="515" spans="7:7" ht="15.75" customHeight="1">
      <c r="G515" s="80"/>
    </row>
    <row r="516" spans="7:7" ht="15.75" customHeight="1">
      <c r="G516" s="80"/>
    </row>
    <row r="517" spans="7:7" ht="15.75" customHeight="1">
      <c r="G517" s="80"/>
    </row>
    <row r="518" spans="7:7" ht="15.75" customHeight="1">
      <c r="G518" s="80"/>
    </row>
    <row r="519" spans="7:7" ht="15.75" customHeight="1">
      <c r="G519" s="80"/>
    </row>
    <row r="520" spans="7:7" ht="15.75" customHeight="1">
      <c r="G520" s="80"/>
    </row>
    <row r="521" spans="7:7" ht="15.75" customHeight="1">
      <c r="G521" s="80"/>
    </row>
    <row r="522" spans="7:7" ht="15.75" customHeight="1">
      <c r="G522" s="80"/>
    </row>
    <row r="523" spans="7:7" ht="15.75" customHeight="1">
      <c r="G523" s="80"/>
    </row>
    <row r="524" spans="7:7" ht="15.75" customHeight="1">
      <c r="G524" s="80"/>
    </row>
    <row r="525" spans="7:7" ht="15.75" customHeight="1">
      <c r="G525" s="80"/>
    </row>
    <row r="526" spans="7:7" ht="15.75" customHeight="1">
      <c r="G526" s="80"/>
    </row>
    <row r="527" spans="7:7" ht="15.75" customHeight="1">
      <c r="G527" s="80"/>
    </row>
    <row r="528" spans="7:7" ht="15.75" customHeight="1">
      <c r="G528" s="80"/>
    </row>
    <row r="529" spans="7:7" ht="15.75" customHeight="1">
      <c r="G529" s="80"/>
    </row>
    <row r="530" spans="7:7" ht="15.75" customHeight="1">
      <c r="G530" s="80"/>
    </row>
    <row r="531" spans="7:7" ht="15.75" customHeight="1">
      <c r="G531" s="80"/>
    </row>
    <row r="532" spans="7:7" ht="15.75" customHeight="1">
      <c r="G532" s="80"/>
    </row>
    <row r="533" spans="7:7" ht="15.75" customHeight="1">
      <c r="G533" s="80"/>
    </row>
    <row r="534" spans="7:7" ht="15.75" customHeight="1">
      <c r="G534" s="80"/>
    </row>
    <row r="535" spans="7:7" ht="15.75" customHeight="1">
      <c r="G535" s="80"/>
    </row>
    <row r="536" spans="7:7" ht="15.75" customHeight="1">
      <c r="G536" s="80"/>
    </row>
    <row r="537" spans="7:7" ht="15.75" customHeight="1">
      <c r="G537" s="80"/>
    </row>
    <row r="538" spans="7:7" ht="15.75" customHeight="1">
      <c r="G538" s="80"/>
    </row>
    <row r="539" spans="7:7" ht="15.75" customHeight="1">
      <c r="G539" s="80"/>
    </row>
    <row r="540" spans="7:7" ht="15.75" customHeight="1">
      <c r="G540" s="80"/>
    </row>
    <row r="541" spans="7:7" ht="15.75" customHeight="1">
      <c r="G541" s="80"/>
    </row>
    <row r="542" spans="7:7" ht="15.75" customHeight="1">
      <c r="G542" s="80"/>
    </row>
    <row r="543" spans="7:7" ht="15.75" customHeight="1">
      <c r="G543" s="80"/>
    </row>
    <row r="544" spans="7:7" ht="15.75" customHeight="1">
      <c r="G544" s="80"/>
    </row>
    <row r="545" spans="7:7" ht="15.75" customHeight="1">
      <c r="G545" s="80"/>
    </row>
    <row r="546" spans="7:7" ht="15.75" customHeight="1">
      <c r="G546" s="80"/>
    </row>
    <row r="547" spans="7:7" ht="15.75" customHeight="1">
      <c r="G547" s="80"/>
    </row>
    <row r="548" spans="7:7" ht="15.75" customHeight="1">
      <c r="G548" s="80"/>
    </row>
    <row r="549" spans="7:7" ht="15.75" customHeight="1">
      <c r="G549" s="80"/>
    </row>
    <row r="550" spans="7:7" ht="15.75" customHeight="1">
      <c r="G550" s="80"/>
    </row>
    <row r="551" spans="7:7" ht="15.75" customHeight="1">
      <c r="G551" s="80"/>
    </row>
    <row r="552" spans="7:7" ht="15.75" customHeight="1">
      <c r="G552" s="80"/>
    </row>
    <row r="553" spans="7:7" ht="15.75" customHeight="1">
      <c r="G553" s="80"/>
    </row>
    <row r="554" spans="7:7" ht="15.75" customHeight="1">
      <c r="G554" s="80"/>
    </row>
    <row r="555" spans="7:7" ht="15.75" customHeight="1">
      <c r="G555" s="80"/>
    </row>
    <row r="556" spans="7:7" ht="15.75" customHeight="1">
      <c r="G556" s="80"/>
    </row>
    <row r="557" spans="7:7" ht="15.75" customHeight="1">
      <c r="G557" s="80"/>
    </row>
    <row r="558" spans="7:7" ht="15.75" customHeight="1">
      <c r="G558" s="80"/>
    </row>
    <row r="559" spans="7:7" ht="15.75" customHeight="1">
      <c r="G559" s="80"/>
    </row>
    <row r="560" spans="7:7" ht="15.75" customHeight="1">
      <c r="G560" s="80"/>
    </row>
    <row r="561" spans="7:7" ht="15.75" customHeight="1">
      <c r="G561" s="80"/>
    </row>
    <row r="562" spans="7:7" ht="15.75" customHeight="1">
      <c r="G562" s="80"/>
    </row>
    <row r="563" spans="7:7" ht="15.75" customHeight="1">
      <c r="G563" s="80"/>
    </row>
    <row r="564" spans="7:7" ht="15.75" customHeight="1">
      <c r="G564" s="80"/>
    </row>
    <row r="565" spans="7:7" ht="15.75" customHeight="1">
      <c r="G565" s="80"/>
    </row>
    <row r="566" spans="7:7" ht="15.75" customHeight="1">
      <c r="G566" s="80"/>
    </row>
    <row r="567" spans="7:7" ht="15.75" customHeight="1">
      <c r="G567" s="80"/>
    </row>
    <row r="568" spans="7:7" ht="15.75" customHeight="1">
      <c r="G568" s="80"/>
    </row>
    <row r="569" spans="7:7" ht="15.75" customHeight="1">
      <c r="G569" s="80"/>
    </row>
    <row r="570" spans="7:7" ht="15.75" customHeight="1">
      <c r="G570" s="80"/>
    </row>
    <row r="571" spans="7:7" ht="15.75" customHeight="1">
      <c r="G571" s="80"/>
    </row>
    <row r="572" spans="7:7" ht="15.75" customHeight="1">
      <c r="G572" s="80"/>
    </row>
    <row r="573" spans="7:7" ht="15.75" customHeight="1">
      <c r="G573" s="80"/>
    </row>
    <row r="574" spans="7:7" ht="15.75" customHeight="1">
      <c r="G574" s="80"/>
    </row>
    <row r="575" spans="7:7" ht="15.75" customHeight="1">
      <c r="G575" s="80"/>
    </row>
    <row r="576" spans="7:7" ht="15.75" customHeight="1">
      <c r="G576" s="80"/>
    </row>
    <row r="577" spans="7:7" ht="15.75" customHeight="1">
      <c r="G577" s="80"/>
    </row>
    <row r="578" spans="7:7" ht="15.75" customHeight="1">
      <c r="G578" s="80"/>
    </row>
    <row r="579" spans="7:7" ht="15.75" customHeight="1">
      <c r="G579" s="80"/>
    </row>
    <row r="580" spans="7:7" ht="15.75" customHeight="1">
      <c r="G580" s="80"/>
    </row>
    <row r="581" spans="7:7" ht="15.75" customHeight="1">
      <c r="G581" s="80"/>
    </row>
    <row r="582" spans="7:7" ht="15.75" customHeight="1">
      <c r="G582" s="80"/>
    </row>
    <row r="583" spans="7:7" ht="15.75" customHeight="1">
      <c r="G583" s="80"/>
    </row>
    <row r="584" spans="7:7" ht="15.75" customHeight="1">
      <c r="G584" s="80"/>
    </row>
    <row r="585" spans="7:7" ht="15.75" customHeight="1">
      <c r="G585" s="80"/>
    </row>
    <row r="586" spans="7:7" ht="15.75" customHeight="1">
      <c r="G586" s="80"/>
    </row>
    <row r="587" spans="7:7" ht="15.75" customHeight="1">
      <c r="G587" s="80"/>
    </row>
    <row r="588" spans="7:7" ht="15.75" customHeight="1">
      <c r="G588" s="80"/>
    </row>
    <row r="589" spans="7:7" ht="15.75" customHeight="1">
      <c r="G589" s="80"/>
    </row>
    <row r="590" spans="7:7" ht="15.75" customHeight="1">
      <c r="G590" s="80"/>
    </row>
    <row r="591" spans="7:7" ht="15.75" customHeight="1">
      <c r="G591" s="80"/>
    </row>
    <row r="592" spans="7:7" ht="15.75" customHeight="1">
      <c r="G592" s="80"/>
    </row>
    <row r="593" spans="7:7" ht="15.75" customHeight="1">
      <c r="G593" s="80"/>
    </row>
    <row r="594" spans="7:7" ht="15.75" customHeight="1">
      <c r="G594" s="80"/>
    </row>
    <row r="595" spans="7:7" ht="15.75" customHeight="1">
      <c r="G595" s="80"/>
    </row>
    <row r="596" spans="7:7" ht="15.75" customHeight="1">
      <c r="G596" s="80"/>
    </row>
    <row r="597" spans="7:7" ht="15.75" customHeight="1">
      <c r="G597" s="80"/>
    </row>
    <row r="598" spans="7:7" ht="15.75" customHeight="1">
      <c r="G598" s="80"/>
    </row>
    <row r="599" spans="7:7" ht="15.75" customHeight="1">
      <c r="G599" s="80"/>
    </row>
    <row r="600" spans="7:7" ht="15.75" customHeight="1">
      <c r="G600" s="80"/>
    </row>
    <row r="601" spans="7:7" ht="15.75" customHeight="1">
      <c r="G601" s="80"/>
    </row>
    <row r="602" spans="7:7" ht="15.75" customHeight="1">
      <c r="G602" s="80"/>
    </row>
    <row r="603" spans="7:7" ht="15.75" customHeight="1">
      <c r="G603" s="80"/>
    </row>
    <row r="604" spans="7:7" ht="15.75" customHeight="1">
      <c r="G604" s="80"/>
    </row>
    <row r="605" spans="7:7" ht="15.75" customHeight="1">
      <c r="G605" s="80"/>
    </row>
    <row r="606" spans="7:7" ht="15.75" customHeight="1">
      <c r="G606" s="80"/>
    </row>
    <row r="607" spans="7:7" ht="15.75" customHeight="1">
      <c r="G607" s="80"/>
    </row>
    <row r="608" spans="7:7" ht="15.75" customHeight="1">
      <c r="G608" s="80"/>
    </row>
    <row r="609" spans="7:7" ht="15.75" customHeight="1">
      <c r="G609" s="80"/>
    </row>
    <row r="610" spans="7:7" ht="15.75" customHeight="1">
      <c r="G610" s="80"/>
    </row>
    <row r="611" spans="7:7" ht="15.75" customHeight="1">
      <c r="G611" s="80"/>
    </row>
    <row r="612" spans="7:7" ht="15.75" customHeight="1">
      <c r="G612" s="80"/>
    </row>
    <row r="613" spans="7:7" ht="15.75" customHeight="1">
      <c r="G613" s="80"/>
    </row>
    <row r="614" spans="7:7" ht="15.75" customHeight="1">
      <c r="G614" s="80"/>
    </row>
    <row r="615" spans="7:7" ht="15.75" customHeight="1">
      <c r="G615" s="80"/>
    </row>
    <row r="616" spans="7:7" ht="15.75" customHeight="1">
      <c r="G616" s="80"/>
    </row>
    <row r="617" spans="7:7" ht="15.75" customHeight="1">
      <c r="G617" s="80"/>
    </row>
    <row r="618" spans="7:7" ht="15.75" customHeight="1">
      <c r="G618" s="80"/>
    </row>
    <row r="619" spans="7:7" ht="15.75" customHeight="1">
      <c r="G619" s="80"/>
    </row>
    <row r="620" spans="7:7" ht="15.75" customHeight="1">
      <c r="G620" s="80"/>
    </row>
    <row r="621" spans="7:7" ht="15.75" customHeight="1">
      <c r="G621" s="80"/>
    </row>
    <row r="622" spans="7:7" ht="15.75" customHeight="1">
      <c r="G622" s="80"/>
    </row>
    <row r="623" spans="7:7" ht="15.75" customHeight="1">
      <c r="G623" s="80"/>
    </row>
    <row r="624" spans="7:7" ht="15.75" customHeight="1">
      <c r="G624" s="80"/>
    </row>
    <row r="625" spans="7:7" ht="15.75" customHeight="1">
      <c r="G625" s="80"/>
    </row>
    <row r="626" spans="7:7" ht="15.75" customHeight="1">
      <c r="G626" s="80"/>
    </row>
    <row r="627" spans="7:7" ht="15.75" customHeight="1">
      <c r="G627" s="80"/>
    </row>
    <row r="628" spans="7:7" ht="15.75" customHeight="1">
      <c r="G628" s="80"/>
    </row>
    <row r="629" spans="7:7" ht="15.75" customHeight="1">
      <c r="G629" s="80"/>
    </row>
    <row r="630" spans="7:7" ht="15.75" customHeight="1">
      <c r="G630" s="80"/>
    </row>
    <row r="631" spans="7:7" ht="15.75" customHeight="1">
      <c r="G631" s="80"/>
    </row>
    <row r="632" spans="7:7" ht="15.75" customHeight="1">
      <c r="G632" s="80"/>
    </row>
    <row r="633" spans="7:7" ht="15.75" customHeight="1">
      <c r="G633" s="80"/>
    </row>
    <row r="634" spans="7:7" ht="15.75" customHeight="1">
      <c r="G634" s="80"/>
    </row>
    <row r="635" spans="7:7" ht="15.75" customHeight="1">
      <c r="G635" s="80"/>
    </row>
    <row r="636" spans="7:7" ht="15.75" customHeight="1">
      <c r="G636" s="80"/>
    </row>
    <row r="637" spans="7:7" ht="15.75" customHeight="1">
      <c r="G637" s="80"/>
    </row>
    <row r="638" spans="7:7" ht="15.75" customHeight="1">
      <c r="G638" s="80"/>
    </row>
    <row r="639" spans="7:7" ht="15.75" customHeight="1">
      <c r="G639" s="80"/>
    </row>
    <row r="640" spans="7:7" ht="15.75" customHeight="1">
      <c r="G640" s="80"/>
    </row>
    <row r="641" spans="7:7" ht="15.75" customHeight="1">
      <c r="G641" s="80"/>
    </row>
    <row r="642" spans="7:7" ht="15.75" customHeight="1">
      <c r="G642" s="80"/>
    </row>
    <row r="643" spans="7:7" ht="15.75" customHeight="1">
      <c r="G643" s="80"/>
    </row>
    <row r="644" spans="7:7" ht="15.75" customHeight="1">
      <c r="G644" s="80"/>
    </row>
    <row r="645" spans="7:7" ht="15.75" customHeight="1">
      <c r="G645" s="80"/>
    </row>
    <row r="646" spans="7:7" ht="15.75" customHeight="1">
      <c r="G646" s="80"/>
    </row>
    <row r="647" spans="7:7" ht="15.75" customHeight="1">
      <c r="G647" s="80"/>
    </row>
    <row r="648" spans="7:7" ht="15.75" customHeight="1">
      <c r="G648" s="80"/>
    </row>
    <row r="649" spans="7:7" ht="15.75" customHeight="1">
      <c r="G649" s="80"/>
    </row>
    <row r="650" spans="7:7" ht="15.75" customHeight="1">
      <c r="G650" s="80"/>
    </row>
    <row r="651" spans="7:7" ht="15.75" customHeight="1">
      <c r="G651" s="80"/>
    </row>
    <row r="652" spans="7:7" ht="15.75" customHeight="1">
      <c r="G652" s="80"/>
    </row>
    <row r="653" spans="7:7" ht="15.75" customHeight="1">
      <c r="G653" s="80"/>
    </row>
    <row r="654" spans="7:7" ht="15.75" customHeight="1">
      <c r="G654" s="80"/>
    </row>
    <row r="655" spans="7:7" ht="15.75" customHeight="1">
      <c r="G655" s="80"/>
    </row>
    <row r="656" spans="7:7" ht="15.75" customHeight="1">
      <c r="G656" s="80"/>
    </row>
    <row r="657" spans="7:7" ht="15.75" customHeight="1">
      <c r="G657" s="80"/>
    </row>
    <row r="658" spans="7:7" ht="15.75" customHeight="1">
      <c r="G658" s="80"/>
    </row>
    <row r="659" spans="7:7" ht="15.75" customHeight="1">
      <c r="G659" s="80"/>
    </row>
    <row r="660" spans="7:7" ht="15.75" customHeight="1">
      <c r="G660" s="80"/>
    </row>
    <row r="661" spans="7:7" ht="15.75" customHeight="1">
      <c r="G661" s="80"/>
    </row>
    <row r="662" spans="7:7" ht="15.75" customHeight="1">
      <c r="G662" s="80"/>
    </row>
    <row r="663" spans="7:7" ht="15.75" customHeight="1">
      <c r="G663" s="80"/>
    </row>
    <row r="664" spans="7:7" ht="15.75" customHeight="1">
      <c r="G664" s="80"/>
    </row>
    <row r="665" spans="7:7" ht="15.75" customHeight="1">
      <c r="G665" s="80"/>
    </row>
    <row r="666" spans="7:7" ht="15.75" customHeight="1">
      <c r="G666" s="80"/>
    </row>
    <row r="667" spans="7:7" ht="15.75" customHeight="1">
      <c r="G667" s="80"/>
    </row>
    <row r="668" spans="7:7" ht="15.75" customHeight="1">
      <c r="G668" s="80"/>
    </row>
    <row r="669" spans="7:7" ht="15.75" customHeight="1">
      <c r="G669" s="80"/>
    </row>
    <row r="670" spans="7:7" ht="15.75" customHeight="1">
      <c r="G670" s="80"/>
    </row>
    <row r="671" spans="7:7" ht="15.75" customHeight="1">
      <c r="G671" s="80"/>
    </row>
    <row r="672" spans="7:7" ht="15.75" customHeight="1">
      <c r="G672" s="80"/>
    </row>
    <row r="673" spans="7:7" ht="15.75" customHeight="1">
      <c r="G673" s="80"/>
    </row>
    <row r="674" spans="7:7" ht="15.75" customHeight="1">
      <c r="G674" s="80"/>
    </row>
    <row r="675" spans="7:7" ht="15.75" customHeight="1">
      <c r="G675" s="80"/>
    </row>
    <row r="676" spans="7:7" ht="15.75" customHeight="1">
      <c r="G676" s="80"/>
    </row>
    <row r="677" spans="7:7" ht="15.75" customHeight="1">
      <c r="G677" s="80"/>
    </row>
    <row r="678" spans="7:7" ht="15.75" customHeight="1">
      <c r="G678" s="80"/>
    </row>
    <row r="679" spans="7:7" ht="15.75" customHeight="1">
      <c r="G679" s="80"/>
    </row>
    <row r="680" spans="7:7" ht="15.75" customHeight="1">
      <c r="G680" s="80"/>
    </row>
    <row r="681" spans="7:7" ht="15.75" customHeight="1">
      <c r="G681" s="80"/>
    </row>
    <row r="682" spans="7:7" ht="15.75" customHeight="1">
      <c r="G682" s="80"/>
    </row>
    <row r="683" spans="7:7" ht="15.75" customHeight="1">
      <c r="G683" s="80"/>
    </row>
    <row r="684" spans="7:7" ht="15.75" customHeight="1">
      <c r="G684" s="80"/>
    </row>
    <row r="685" spans="7:7" ht="15.75" customHeight="1">
      <c r="G685" s="80"/>
    </row>
    <row r="686" spans="7:7" ht="15.75" customHeight="1">
      <c r="G686" s="80"/>
    </row>
    <row r="687" spans="7:7" ht="15.75" customHeight="1">
      <c r="G687" s="80"/>
    </row>
    <row r="688" spans="7:7" ht="15.75" customHeight="1">
      <c r="G688" s="80"/>
    </row>
    <row r="689" spans="7:7" ht="15.75" customHeight="1">
      <c r="G689" s="80"/>
    </row>
    <row r="690" spans="7:7" ht="15.75" customHeight="1">
      <c r="G690" s="80"/>
    </row>
    <row r="691" spans="7:7" ht="15.75" customHeight="1">
      <c r="G691" s="80"/>
    </row>
    <row r="692" spans="7:7" ht="15.75" customHeight="1">
      <c r="G692" s="80"/>
    </row>
    <row r="693" spans="7:7" ht="15.75" customHeight="1">
      <c r="G693" s="80"/>
    </row>
    <row r="694" spans="7:7" ht="15.75" customHeight="1">
      <c r="G694" s="80"/>
    </row>
    <row r="695" spans="7:7" ht="15.75" customHeight="1">
      <c r="G695" s="80"/>
    </row>
    <row r="696" spans="7:7" ht="15.75" customHeight="1">
      <c r="G696" s="80"/>
    </row>
    <row r="697" spans="7:7" ht="15.75" customHeight="1">
      <c r="G697" s="80"/>
    </row>
    <row r="698" spans="7:7" ht="15.75" customHeight="1">
      <c r="G698" s="80"/>
    </row>
    <row r="699" spans="7:7" ht="15.75" customHeight="1">
      <c r="G699" s="80"/>
    </row>
    <row r="700" spans="7:7" ht="15.75" customHeight="1">
      <c r="G700" s="80"/>
    </row>
    <row r="701" spans="7:7" ht="15.75" customHeight="1">
      <c r="G701" s="80"/>
    </row>
    <row r="702" spans="7:7" ht="15.75" customHeight="1">
      <c r="G702" s="80"/>
    </row>
    <row r="703" spans="7:7" ht="15.75" customHeight="1">
      <c r="G703" s="80"/>
    </row>
    <row r="704" spans="7:7" ht="15.75" customHeight="1">
      <c r="G704" s="80"/>
    </row>
    <row r="705" spans="7:7" ht="15.75" customHeight="1">
      <c r="G705" s="80"/>
    </row>
    <row r="706" spans="7:7" ht="15.75" customHeight="1">
      <c r="G706" s="80"/>
    </row>
    <row r="707" spans="7:7" ht="15.75" customHeight="1">
      <c r="G707" s="80"/>
    </row>
    <row r="708" spans="7:7" ht="15.75" customHeight="1">
      <c r="G708" s="80"/>
    </row>
    <row r="709" spans="7:7" ht="15.75" customHeight="1">
      <c r="G709" s="80"/>
    </row>
    <row r="710" spans="7:7" ht="15.75" customHeight="1">
      <c r="G710" s="80"/>
    </row>
    <row r="711" spans="7:7" ht="15.75" customHeight="1">
      <c r="G711" s="80"/>
    </row>
    <row r="712" spans="7:7" ht="15.75" customHeight="1">
      <c r="G712" s="80"/>
    </row>
    <row r="713" spans="7:7" ht="15.75" customHeight="1">
      <c r="G713" s="80"/>
    </row>
    <row r="714" spans="7:7" ht="15.75" customHeight="1">
      <c r="G714" s="80"/>
    </row>
    <row r="715" spans="7:7" ht="15.75" customHeight="1">
      <c r="G715" s="80"/>
    </row>
    <row r="716" spans="7:7" ht="15.75" customHeight="1">
      <c r="G716" s="80"/>
    </row>
    <row r="717" spans="7:7" ht="15.75" customHeight="1">
      <c r="G717" s="80"/>
    </row>
    <row r="718" spans="7:7" ht="15.75" customHeight="1">
      <c r="G718" s="80"/>
    </row>
    <row r="719" spans="7:7" ht="15.75" customHeight="1">
      <c r="G719" s="80"/>
    </row>
    <row r="720" spans="7:7" ht="15.75" customHeight="1">
      <c r="G720" s="80"/>
    </row>
    <row r="721" spans="7:7" ht="15.75" customHeight="1">
      <c r="G721" s="80"/>
    </row>
    <row r="722" spans="7:7" ht="15.75" customHeight="1">
      <c r="G722" s="80"/>
    </row>
    <row r="723" spans="7:7" ht="15.75" customHeight="1">
      <c r="G723" s="80"/>
    </row>
    <row r="724" spans="7:7" ht="15.75" customHeight="1">
      <c r="G724" s="80"/>
    </row>
    <row r="725" spans="7:7" ht="15.75" customHeight="1">
      <c r="G725" s="80"/>
    </row>
    <row r="726" spans="7:7" ht="15.75" customHeight="1">
      <c r="G726" s="80"/>
    </row>
    <row r="727" spans="7:7" ht="15.75" customHeight="1">
      <c r="G727" s="80"/>
    </row>
    <row r="728" spans="7:7" ht="15.75" customHeight="1">
      <c r="G728" s="80"/>
    </row>
    <row r="729" spans="7:7" ht="15.75" customHeight="1">
      <c r="G729" s="80"/>
    </row>
    <row r="730" spans="7:7" ht="15.75" customHeight="1">
      <c r="G730" s="80"/>
    </row>
    <row r="731" spans="7:7" ht="15.75" customHeight="1">
      <c r="G731" s="80"/>
    </row>
    <row r="732" spans="7:7" ht="15.75" customHeight="1">
      <c r="G732" s="80"/>
    </row>
    <row r="733" spans="7:7" ht="15.75" customHeight="1">
      <c r="G733" s="80"/>
    </row>
    <row r="734" spans="7:7" ht="15.75" customHeight="1">
      <c r="G734" s="80"/>
    </row>
    <row r="735" spans="7:7" ht="15.75" customHeight="1">
      <c r="G735" s="80"/>
    </row>
    <row r="736" spans="7:7" ht="15.75" customHeight="1">
      <c r="G736" s="80"/>
    </row>
    <row r="737" spans="7:7" ht="15.75" customHeight="1">
      <c r="G737" s="80"/>
    </row>
    <row r="738" spans="7:7" ht="15.75" customHeight="1">
      <c r="G738" s="80"/>
    </row>
    <row r="739" spans="7:7" ht="15.75" customHeight="1">
      <c r="G739" s="80"/>
    </row>
    <row r="740" spans="7:7" ht="15.75" customHeight="1">
      <c r="G740" s="80"/>
    </row>
    <row r="741" spans="7:7" ht="15.75" customHeight="1">
      <c r="G741" s="80"/>
    </row>
    <row r="742" spans="7:7" ht="15.75" customHeight="1">
      <c r="G742" s="80"/>
    </row>
    <row r="743" spans="7:7" ht="15.75" customHeight="1">
      <c r="G743" s="80"/>
    </row>
    <row r="744" spans="7:7" ht="15.75" customHeight="1">
      <c r="G744" s="80"/>
    </row>
    <row r="745" spans="7:7" ht="15.75" customHeight="1">
      <c r="G745" s="80"/>
    </row>
    <row r="746" spans="7:7" ht="15.75" customHeight="1">
      <c r="G746" s="80"/>
    </row>
    <row r="747" spans="7:7" ht="15.75" customHeight="1">
      <c r="G747" s="80"/>
    </row>
    <row r="748" spans="7:7" ht="15.75" customHeight="1">
      <c r="G748" s="80"/>
    </row>
    <row r="749" spans="7:7" ht="15.75" customHeight="1">
      <c r="G749" s="80"/>
    </row>
    <row r="750" spans="7:7" ht="15.75" customHeight="1">
      <c r="G750" s="80"/>
    </row>
    <row r="751" spans="7:7" ht="15.75" customHeight="1">
      <c r="G751" s="80"/>
    </row>
    <row r="752" spans="7:7" ht="15.75" customHeight="1">
      <c r="G752" s="80"/>
    </row>
    <row r="753" spans="7:7" ht="15.75" customHeight="1">
      <c r="G753" s="80"/>
    </row>
    <row r="754" spans="7:7" ht="15.75" customHeight="1">
      <c r="G754" s="80"/>
    </row>
    <row r="755" spans="7:7" ht="15.75" customHeight="1">
      <c r="G755" s="80"/>
    </row>
    <row r="756" spans="7:7" ht="15.75" customHeight="1">
      <c r="G756" s="80"/>
    </row>
    <row r="757" spans="7:7" ht="15.75" customHeight="1">
      <c r="G757" s="80"/>
    </row>
    <row r="758" spans="7:7" ht="15.75" customHeight="1">
      <c r="G758" s="80"/>
    </row>
    <row r="759" spans="7:7" ht="15.75" customHeight="1">
      <c r="G759" s="80"/>
    </row>
    <row r="760" spans="7:7" ht="15.75" customHeight="1">
      <c r="G760" s="80"/>
    </row>
    <row r="761" spans="7:7" ht="15.75" customHeight="1">
      <c r="G761" s="80"/>
    </row>
    <row r="762" spans="7:7" ht="15.75" customHeight="1">
      <c r="G762" s="80"/>
    </row>
    <row r="763" spans="7:7" ht="15.75" customHeight="1">
      <c r="G763" s="80"/>
    </row>
    <row r="764" spans="7:7" ht="15.75" customHeight="1">
      <c r="G764" s="80"/>
    </row>
    <row r="765" spans="7:7" ht="15.75" customHeight="1">
      <c r="G765" s="80"/>
    </row>
    <row r="766" spans="7:7" ht="15.75" customHeight="1">
      <c r="G766" s="80"/>
    </row>
    <row r="767" spans="7:7" ht="15.75" customHeight="1">
      <c r="G767" s="80"/>
    </row>
    <row r="768" spans="7:7" ht="15.75" customHeight="1">
      <c r="G768" s="80"/>
    </row>
    <row r="769" spans="7:7" ht="15.75" customHeight="1">
      <c r="G769" s="80"/>
    </row>
    <row r="770" spans="7:7" ht="15.75" customHeight="1">
      <c r="G770" s="80"/>
    </row>
    <row r="771" spans="7:7" ht="15.75" customHeight="1">
      <c r="G771" s="80"/>
    </row>
    <row r="772" spans="7:7" ht="15.75" customHeight="1">
      <c r="G772" s="80"/>
    </row>
    <row r="773" spans="7:7" ht="15.75" customHeight="1">
      <c r="G773" s="80"/>
    </row>
    <row r="774" spans="7:7" ht="15.75" customHeight="1">
      <c r="G774" s="80"/>
    </row>
    <row r="775" spans="7:7" ht="15.75" customHeight="1">
      <c r="G775" s="80"/>
    </row>
    <row r="776" spans="7:7" ht="15.75" customHeight="1">
      <c r="G776" s="80"/>
    </row>
    <row r="777" spans="7:7" ht="15.75" customHeight="1">
      <c r="G777" s="80"/>
    </row>
    <row r="778" spans="7:7" ht="15.75" customHeight="1">
      <c r="G778" s="80"/>
    </row>
    <row r="779" spans="7:7" ht="15.75" customHeight="1">
      <c r="G779" s="80"/>
    </row>
    <row r="780" spans="7:7" ht="15.75" customHeight="1">
      <c r="G780" s="80"/>
    </row>
    <row r="781" spans="7:7" ht="15.75" customHeight="1">
      <c r="G781" s="80"/>
    </row>
    <row r="782" spans="7:7" ht="15.75" customHeight="1">
      <c r="G782" s="80"/>
    </row>
    <row r="783" spans="7:7" ht="15.75" customHeight="1">
      <c r="G783" s="80"/>
    </row>
    <row r="784" spans="7:7" ht="15.75" customHeight="1">
      <c r="G784" s="80"/>
    </row>
    <row r="785" spans="7:7" ht="15.75" customHeight="1">
      <c r="G785" s="80"/>
    </row>
    <row r="786" spans="7:7" ht="15.75" customHeight="1">
      <c r="G786" s="80"/>
    </row>
    <row r="787" spans="7:7" ht="15.75" customHeight="1">
      <c r="G787" s="80"/>
    </row>
    <row r="788" spans="7:7" ht="15.75" customHeight="1">
      <c r="G788" s="80"/>
    </row>
    <row r="789" spans="7:7" ht="15.75" customHeight="1">
      <c r="G789" s="80"/>
    </row>
    <row r="790" spans="7:7" ht="15.75" customHeight="1">
      <c r="G790" s="80"/>
    </row>
    <row r="791" spans="7:7" ht="15.75" customHeight="1">
      <c r="G791" s="80"/>
    </row>
    <row r="792" spans="7:7" ht="15.75" customHeight="1">
      <c r="G792" s="80"/>
    </row>
    <row r="793" spans="7:7" ht="15.75" customHeight="1">
      <c r="G793" s="80"/>
    </row>
    <row r="794" spans="7:7" ht="15.75" customHeight="1">
      <c r="G794" s="80"/>
    </row>
    <row r="795" spans="7:7" ht="15.75" customHeight="1">
      <c r="G795" s="80"/>
    </row>
    <row r="796" spans="7:7" ht="15.75" customHeight="1">
      <c r="G796" s="80"/>
    </row>
    <row r="797" spans="7:7" ht="15.75" customHeight="1">
      <c r="G797" s="80"/>
    </row>
    <row r="798" spans="7:7" ht="15.75" customHeight="1">
      <c r="G798" s="80"/>
    </row>
    <row r="799" spans="7:7" ht="15.75" customHeight="1">
      <c r="G799" s="80"/>
    </row>
    <row r="800" spans="7:7" ht="15.75" customHeight="1">
      <c r="G800" s="80"/>
    </row>
    <row r="801" spans="7:7" ht="15.75" customHeight="1">
      <c r="G801" s="80"/>
    </row>
    <row r="802" spans="7:7" ht="15.75" customHeight="1">
      <c r="G802" s="80"/>
    </row>
    <row r="803" spans="7:7" ht="15.75" customHeight="1">
      <c r="G803" s="80"/>
    </row>
    <row r="804" spans="7:7" ht="15.75" customHeight="1">
      <c r="G804" s="80"/>
    </row>
    <row r="805" spans="7:7" ht="15.75" customHeight="1">
      <c r="G805" s="80"/>
    </row>
    <row r="806" spans="7:7" ht="15.75" customHeight="1">
      <c r="G806" s="80"/>
    </row>
    <row r="807" spans="7:7" ht="15.75" customHeight="1">
      <c r="G807" s="80"/>
    </row>
    <row r="808" spans="7:7" ht="15.75" customHeight="1">
      <c r="G808" s="80"/>
    </row>
    <row r="809" spans="7:7" ht="15.75" customHeight="1">
      <c r="G809" s="80"/>
    </row>
    <row r="810" spans="7:7" ht="15.75" customHeight="1">
      <c r="G810" s="80"/>
    </row>
    <row r="811" spans="7:7" ht="15.75" customHeight="1">
      <c r="G811" s="80"/>
    </row>
    <row r="812" spans="7:7" ht="15.75" customHeight="1">
      <c r="G812" s="80"/>
    </row>
    <row r="813" spans="7:7" ht="15.75" customHeight="1">
      <c r="G813" s="80"/>
    </row>
    <row r="814" spans="7:7" ht="15.75" customHeight="1">
      <c r="G814" s="80"/>
    </row>
    <row r="815" spans="7:7" ht="15.75" customHeight="1">
      <c r="G815" s="80"/>
    </row>
    <row r="816" spans="7:7" ht="15.75" customHeight="1">
      <c r="G816" s="80"/>
    </row>
    <row r="817" spans="7:7" ht="15.75" customHeight="1">
      <c r="G817" s="80"/>
    </row>
    <row r="818" spans="7:7" ht="15.75" customHeight="1">
      <c r="G818" s="80"/>
    </row>
    <row r="819" spans="7:7" ht="15.75" customHeight="1">
      <c r="G819" s="80"/>
    </row>
    <row r="820" spans="7:7" ht="15.75" customHeight="1">
      <c r="G820" s="80"/>
    </row>
    <row r="821" spans="7:7" ht="15.75" customHeight="1">
      <c r="G821" s="80"/>
    </row>
    <row r="822" spans="7:7" ht="15.75" customHeight="1">
      <c r="G822" s="80"/>
    </row>
    <row r="823" spans="7:7" ht="15.75" customHeight="1">
      <c r="G823" s="80"/>
    </row>
    <row r="824" spans="7:7" ht="15.75" customHeight="1">
      <c r="G824" s="80"/>
    </row>
    <row r="825" spans="7:7" ht="15.75" customHeight="1">
      <c r="G825" s="80"/>
    </row>
    <row r="826" spans="7:7" ht="15.75" customHeight="1">
      <c r="G826" s="80"/>
    </row>
    <row r="827" spans="7:7" ht="15.75" customHeight="1">
      <c r="G827" s="80"/>
    </row>
    <row r="828" spans="7:7" ht="15.75" customHeight="1">
      <c r="G828" s="80"/>
    </row>
    <row r="829" spans="7:7" ht="15.75" customHeight="1">
      <c r="G829" s="80"/>
    </row>
    <row r="830" spans="7:7" ht="15.75" customHeight="1">
      <c r="G830" s="80"/>
    </row>
    <row r="831" spans="7:7" ht="15.75" customHeight="1">
      <c r="G831" s="80"/>
    </row>
    <row r="832" spans="7:7" ht="15.75" customHeight="1">
      <c r="G832" s="80"/>
    </row>
    <row r="833" spans="7:7" ht="15.75" customHeight="1">
      <c r="G833" s="80"/>
    </row>
    <row r="834" spans="7:7" ht="15.75" customHeight="1">
      <c r="G834" s="80"/>
    </row>
    <row r="835" spans="7:7" ht="15.75" customHeight="1">
      <c r="G835" s="80"/>
    </row>
    <row r="836" spans="7:7" ht="15.75" customHeight="1">
      <c r="G836" s="80"/>
    </row>
    <row r="837" spans="7:7" ht="15.75" customHeight="1">
      <c r="G837" s="80"/>
    </row>
    <row r="838" spans="7:7" ht="15.75" customHeight="1">
      <c r="G838" s="80"/>
    </row>
    <row r="839" spans="7:7" ht="15.75" customHeight="1">
      <c r="G839" s="80"/>
    </row>
    <row r="840" spans="7:7" ht="15.75" customHeight="1">
      <c r="G840" s="80"/>
    </row>
    <row r="841" spans="7:7" ht="15.75" customHeight="1">
      <c r="G841" s="80"/>
    </row>
    <row r="842" spans="7:7" ht="15.75" customHeight="1">
      <c r="G842" s="80"/>
    </row>
    <row r="843" spans="7:7" ht="15.75" customHeight="1">
      <c r="G843" s="80"/>
    </row>
    <row r="844" spans="7:7" ht="15.75" customHeight="1">
      <c r="G844" s="80"/>
    </row>
    <row r="845" spans="7:7" ht="15.75" customHeight="1">
      <c r="G845" s="80"/>
    </row>
    <row r="846" spans="7:7" ht="15.75" customHeight="1">
      <c r="G846" s="80"/>
    </row>
    <row r="847" spans="7:7" ht="15.75" customHeight="1">
      <c r="G847" s="80"/>
    </row>
    <row r="848" spans="7:7" ht="15.75" customHeight="1">
      <c r="G848" s="80"/>
    </row>
    <row r="849" spans="7:7" ht="15.75" customHeight="1">
      <c r="G849" s="80"/>
    </row>
    <row r="850" spans="7:7" ht="15.75" customHeight="1">
      <c r="G850" s="80"/>
    </row>
    <row r="851" spans="7:7" ht="15.75" customHeight="1">
      <c r="G851" s="80"/>
    </row>
    <row r="852" spans="7:7" ht="15.75" customHeight="1">
      <c r="G852" s="80"/>
    </row>
    <row r="853" spans="7:7" ht="15.75" customHeight="1">
      <c r="G853" s="80"/>
    </row>
    <row r="854" spans="7:7" ht="15.75" customHeight="1">
      <c r="G854" s="80"/>
    </row>
    <row r="855" spans="7:7" ht="15.75" customHeight="1">
      <c r="G855" s="80"/>
    </row>
    <row r="856" spans="7:7" ht="15.75" customHeight="1">
      <c r="G856" s="80"/>
    </row>
    <row r="857" spans="7:7" ht="15.75" customHeight="1">
      <c r="G857" s="80"/>
    </row>
    <row r="858" spans="7:7" ht="15.75" customHeight="1">
      <c r="G858" s="80"/>
    </row>
    <row r="859" spans="7:7" ht="15.75" customHeight="1">
      <c r="G859" s="80"/>
    </row>
    <row r="860" spans="7:7" ht="15.75" customHeight="1">
      <c r="G860" s="80"/>
    </row>
    <row r="861" spans="7:7" ht="15.75" customHeight="1">
      <c r="G861" s="80"/>
    </row>
    <row r="862" spans="7:7" ht="15.75" customHeight="1">
      <c r="G862" s="80"/>
    </row>
    <row r="863" spans="7:7" ht="15.75" customHeight="1">
      <c r="G863" s="80"/>
    </row>
    <row r="864" spans="7:7" ht="15.75" customHeight="1">
      <c r="G864" s="80"/>
    </row>
    <row r="865" spans="7:7" ht="15.75" customHeight="1">
      <c r="G865" s="80"/>
    </row>
    <row r="866" spans="7:7" ht="15.75" customHeight="1">
      <c r="G866" s="80"/>
    </row>
    <row r="867" spans="7:7" ht="15.75" customHeight="1">
      <c r="G867" s="80"/>
    </row>
    <row r="868" spans="7:7" ht="15.75" customHeight="1">
      <c r="G868" s="80"/>
    </row>
    <row r="869" spans="7:7" ht="15.75" customHeight="1">
      <c r="G869" s="80"/>
    </row>
    <row r="870" spans="7:7" ht="15.75" customHeight="1">
      <c r="G870" s="80"/>
    </row>
    <row r="871" spans="7:7" ht="15.75" customHeight="1">
      <c r="G871" s="80"/>
    </row>
    <row r="872" spans="7:7" ht="15.75" customHeight="1">
      <c r="G872" s="80"/>
    </row>
    <row r="873" spans="7:7" ht="15.75" customHeight="1">
      <c r="G873" s="80"/>
    </row>
    <row r="874" spans="7:7" ht="15.75" customHeight="1">
      <c r="G874" s="80"/>
    </row>
    <row r="875" spans="7:7" ht="15.75" customHeight="1">
      <c r="G875" s="80"/>
    </row>
    <row r="876" spans="7:7" ht="15.75" customHeight="1">
      <c r="G876" s="80"/>
    </row>
    <row r="877" spans="7:7" ht="15.75" customHeight="1">
      <c r="G877" s="80"/>
    </row>
    <row r="878" spans="7:7" ht="15.75" customHeight="1">
      <c r="G878" s="80"/>
    </row>
    <row r="879" spans="7:7" ht="15.75" customHeight="1">
      <c r="G879" s="80"/>
    </row>
    <row r="880" spans="7:7" ht="15.75" customHeight="1">
      <c r="G880" s="80"/>
    </row>
    <row r="881" spans="7:7" ht="15.75" customHeight="1">
      <c r="G881" s="80"/>
    </row>
    <row r="882" spans="7:7" ht="15.75" customHeight="1">
      <c r="G882" s="80"/>
    </row>
    <row r="883" spans="7:7" ht="15.75" customHeight="1">
      <c r="G883" s="80"/>
    </row>
    <row r="884" spans="7:7" ht="15.75" customHeight="1">
      <c r="G884" s="80"/>
    </row>
    <row r="885" spans="7:7" ht="15.75" customHeight="1">
      <c r="G885" s="80"/>
    </row>
    <row r="886" spans="7:7" ht="15.75" customHeight="1">
      <c r="G886" s="80"/>
    </row>
    <row r="887" spans="7:7" ht="15.75" customHeight="1">
      <c r="G887" s="80"/>
    </row>
    <row r="888" spans="7:7" ht="15.75" customHeight="1">
      <c r="G888" s="80"/>
    </row>
    <row r="889" spans="7:7" ht="15.75" customHeight="1">
      <c r="G889" s="80"/>
    </row>
    <row r="890" spans="7:7" ht="15.75" customHeight="1">
      <c r="G890" s="80"/>
    </row>
    <row r="891" spans="7:7" ht="15.75" customHeight="1">
      <c r="G891" s="80"/>
    </row>
    <row r="892" spans="7:7" ht="15.75" customHeight="1">
      <c r="G892" s="80"/>
    </row>
    <row r="893" spans="7:7" ht="15.75" customHeight="1">
      <c r="G893" s="80"/>
    </row>
    <row r="894" spans="7:7" ht="15.75" customHeight="1">
      <c r="G894" s="80"/>
    </row>
    <row r="895" spans="7:7" ht="15.75" customHeight="1">
      <c r="G895" s="80"/>
    </row>
    <row r="896" spans="7:7" ht="15.75" customHeight="1">
      <c r="G896" s="80"/>
    </row>
    <row r="897" spans="7:7" ht="15.75" customHeight="1">
      <c r="G897" s="80"/>
    </row>
    <row r="898" spans="7:7" ht="15.75" customHeight="1">
      <c r="G898" s="80"/>
    </row>
    <row r="899" spans="7:7" ht="15.75" customHeight="1">
      <c r="G899" s="80"/>
    </row>
    <row r="900" spans="7:7" ht="15.75" customHeight="1">
      <c r="G900" s="80"/>
    </row>
    <row r="901" spans="7:7" ht="15.75" customHeight="1">
      <c r="G901" s="80"/>
    </row>
    <row r="902" spans="7:7" ht="15.75" customHeight="1">
      <c r="G902" s="80"/>
    </row>
    <row r="903" spans="7:7" ht="15.75" customHeight="1">
      <c r="G903" s="80"/>
    </row>
    <row r="904" spans="7:7" ht="15.75" customHeight="1">
      <c r="G904" s="80"/>
    </row>
    <row r="905" spans="7:7" ht="15.75" customHeight="1">
      <c r="G905" s="80"/>
    </row>
    <row r="906" spans="7:7" ht="15.75" customHeight="1">
      <c r="G906" s="80"/>
    </row>
    <row r="907" spans="7:7" ht="15.75" customHeight="1">
      <c r="G907" s="80"/>
    </row>
    <row r="908" spans="7:7" ht="15.75" customHeight="1">
      <c r="G908" s="80"/>
    </row>
    <row r="909" spans="7:7" ht="15.75" customHeight="1">
      <c r="G909" s="80"/>
    </row>
    <row r="910" spans="7:7" ht="15.75" customHeight="1">
      <c r="G910" s="80"/>
    </row>
    <row r="911" spans="7:7" ht="15.75" customHeight="1">
      <c r="G911" s="80"/>
    </row>
    <row r="912" spans="7:7" ht="15.75" customHeight="1">
      <c r="G912" s="80"/>
    </row>
    <row r="913" spans="7:7" ht="15.75" customHeight="1">
      <c r="G913" s="80"/>
    </row>
    <row r="914" spans="7:7" ht="15.75" customHeight="1">
      <c r="G914" s="80"/>
    </row>
    <row r="915" spans="7:7" ht="15.75" customHeight="1">
      <c r="G915" s="80"/>
    </row>
    <row r="916" spans="7:7" ht="15.75" customHeight="1">
      <c r="G916" s="80"/>
    </row>
    <row r="917" spans="7:7" ht="15.75" customHeight="1">
      <c r="G917" s="80"/>
    </row>
    <row r="918" spans="7:7" ht="15.75" customHeight="1">
      <c r="G918" s="80"/>
    </row>
    <row r="919" spans="7:7" ht="15.75" customHeight="1">
      <c r="G919" s="80"/>
    </row>
    <row r="920" spans="7:7" ht="15.75" customHeight="1">
      <c r="G920" s="80"/>
    </row>
    <row r="921" spans="7:7" ht="15.75" customHeight="1">
      <c r="G921" s="80"/>
    </row>
    <row r="922" spans="7:7" ht="15.75" customHeight="1">
      <c r="G922" s="80"/>
    </row>
    <row r="923" spans="7:7" ht="15.75" customHeight="1">
      <c r="G923" s="80"/>
    </row>
    <row r="924" spans="7:7" ht="15.75" customHeight="1">
      <c r="G924" s="80"/>
    </row>
    <row r="925" spans="7:7" ht="15.75" customHeight="1">
      <c r="G925" s="80"/>
    </row>
    <row r="926" spans="7:7" ht="15.75" customHeight="1">
      <c r="G926" s="80"/>
    </row>
    <row r="927" spans="7:7" ht="15.75" customHeight="1">
      <c r="G927" s="80"/>
    </row>
    <row r="928" spans="7:7" ht="15.75" customHeight="1">
      <c r="G928" s="80"/>
    </row>
    <row r="929" spans="7:7" ht="15.75" customHeight="1">
      <c r="G929" s="80"/>
    </row>
    <row r="930" spans="7:7" ht="15.75" customHeight="1">
      <c r="G930" s="80"/>
    </row>
    <row r="931" spans="7:7" ht="15.75" customHeight="1">
      <c r="G931" s="80"/>
    </row>
    <row r="932" spans="7:7" ht="15.75" customHeight="1">
      <c r="G932" s="80"/>
    </row>
    <row r="933" spans="7:7" ht="15.75" customHeight="1">
      <c r="G933" s="80"/>
    </row>
    <row r="934" spans="7:7" ht="15.75" customHeight="1">
      <c r="G934" s="80"/>
    </row>
    <row r="935" spans="7:7" ht="15.75" customHeight="1">
      <c r="G935" s="80"/>
    </row>
    <row r="936" spans="7:7" ht="15.75" customHeight="1">
      <c r="G936" s="80"/>
    </row>
    <row r="937" spans="7:7" ht="15.75" customHeight="1">
      <c r="G937" s="80"/>
    </row>
    <row r="938" spans="7:7" ht="15.75" customHeight="1">
      <c r="G938" s="80"/>
    </row>
    <row r="939" spans="7:7" ht="15.75" customHeight="1">
      <c r="G939" s="80"/>
    </row>
    <row r="940" spans="7:7" ht="15.75" customHeight="1">
      <c r="G940" s="80"/>
    </row>
    <row r="941" spans="7:7" ht="15.75" customHeight="1">
      <c r="G941" s="80"/>
    </row>
    <row r="942" spans="7:7" ht="15.75" customHeight="1">
      <c r="G942" s="80"/>
    </row>
    <row r="943" spans="7:7" ht="15.75" customHeight="1">
      <c r="G943" s="80"/>
    </row>
    <row r="944" spans="7:7" ht="15.75" customHeight="1">
      <c r="G944" s="80"/>
    </row>
    <row r="945" spans="7:7" ht="15.75" customHeight="1">
      <c r="G945" s="80"/>
    </row>
    <row r="946" spans="7:7" ht="15.75" customHeight="1">
      <c r="G946" s="80"/>
    </row>
    <row r="947" spans="7:7" ht="15.75" customHeight="1">
      <c r="G947" s="80"/>
    </row>
    <row r="948" spans="7:7" ht="15.75" customHeight="1">
      <c r="G948" s="80"/>
    </row>
    <row r="949" spans="7:7" ht="15.75" customHeight="1">
      <c r="G949" s="80"/>
    </row>
    <row r="950" spans="7:7" ht="15.75" customHeight="1">
      <c r="G950" s="80"/>
    </row>
    <row r="951" spans="7:7" ht="15.75" customHeight="1">
      <c r="G951" s="80"/>
    </row>
    <row r="952" spans="7:7" ht="15.75" customHeight="1">
      <c r="G952" s="80"/>
    </row>
    <row r="953" spans="7:7" ht="15.75" customHeight="1">
      <c r="G953" s="80"/>
    </row>
    <row r="954" spans="7:7" ht="15.75" customHeight="1">
      <c r="G954" s="80"/>
    </row>
    <row r="955" spans="7:7" ht="15.75" customHeight="1">
      <c r="G955" s="80"/>
    </row>
    <row r="956" spans="7:7" ht="15.75" customHeight="1">
      <c r="G956" s="80"/>
    </row>
    <row r="957" spans="7:7" ht="15.75" customHeight="1">
      <c r="G957" s="80"/>
    </row>
    <row r="958" spans="7:7" ht="15.75" customHeight="1">
      <c r="G958" s="80"/>
    </row>
    <row r="959" spans="7:7" ht="15.75" customHeight="1">
      <c r="G959" s="80"/>
    </row>
    <row r="960" spans="7:7" ht="15.75" customHeight="1">
      <c r="G960" s="80"/>
    </row>
    <row r="961" spans="7:7" ht="15.75" customHeight="1">
      <c r="G961" s="80"/>
    </row>
    <row r="962" spans="7:7" ht="15.75" customHeight="1">
      <c r="G962" s="80"/>
    </row>
    <row r="963" spans="7:7" ht="15.75" customHeight="1">
      <c r="G963" s="80"/>
    </row>
    <row r="964" spans="7:7" ht="15.75" customHeight="1">
      <c r="G964" s="80"/>
    </row>
    <row r="965" spans="7:7" ht="15.75" customHeight="1">
      <c r="G965" s="80"/>
    </row>
    <row r="966" spans="7:7" ht="15.75" customHeight="1">
      <c r="G966" s="80"/>
    </row>
    <row r="967" spans="7:7" ht="15.75" customHeight="1">
      <c r="G967" s="80"/>
    </row>
    <row r="968" spans="7:7" ht="15.75" customHeight="1">
      <c r="G968" s="80"/>
    </row>
    <row r="969" spans="7:7" ht="15.75" customHeight="1">
      <c r="G969" s="80"/>
    </row>
    <row r="970" spans="7:7" ht="15.75" customHeight="1">
      <c r="G970" s="80"/>
    </row>
    <row r="971" spans="7:7" ht="15.75" customHeight="1">
      <c r="G971" s="80"/>
    </row>
    <row r="972" spans="7:7" ht="15.75" customHeight="1">
      <c r="G972" s="80"/>
    </row>
    <row r="973" spans="7:7" ht="15.75" customHeight="1">
      <c r="G973" s="80"/>
    </row>
    <row r="974" spans="7:7" ht="15.75" customHeight="1">
      <c r="G974" s="80"/>
    </row>
    <row r="975" spans="7:7" ht="15.75" customHeight="1">
      <c r="G975" s="80"/>
    </row>
    <row r="976" spans="7:7" ht="15.75" customHeight="1">
      <c r="G976" s="80"/>
    </row>
    <row r="977" spans="7:7" ht="15.75" customHeight="1">
      <c r="G977" s="80"/>
    </row>
    <row r="978" spans="7:7" ht="15.75" customHeight="1">
      <c r="G978" s="80"/>
    </row>
    <row r="979" spans="7:7" ht="15.75" customHeight="1">
      <c r="G979" s="80"/>
    </row>
    <row r="980" spans="7:7" ht="15.75" customHeight="1">
      <c r="G980" s="80"/>
    </row>
    <row r="981" spans="7:7" ht="15.75" customHeight="1">
      <c r="G981" s="80"/>
    </row>
    <row r="982" spans="7:7" ht="15.75" customHeight="1">
      <c r="G982" s="80"/>
    </row>
    <row r="983" spans="7:7" ht="15.75" customHeight="1">
      <c r="G983" s="80"/>
    </row>
    <row r="984" spans="7:7" ht="15.75" customHeight="1">
      <c r="G984" s="80"/>
    </row>
    <row r="985" spans="7:7" ht="15.75" customHeight="1">
      <c r="G985" s="80"/>
    </row>
    <row r="986" spans="7:7" ht="15.75" customHeight="1">
      <c r="G986" s="80"/>
    </row>
    <row r="987" spans="7:7" ht="15.75" customHeight="1">
      <c r="G987" s="80"/>
    </row>
    <row r="988" spans="7:7" ht="15.75" customHeight="1">
      <c r="G988" s="80"/>
    </row>
    <row r="989" spans="7:7" ht="15.75" customHeight="1">
      <c r="G989" s="80"/>
    </row>
    <row r="990" spans="7:7" ht="15.75" customHeight="1">
      <c r="G990" s="80"/>
    </row>
    <row r="991" spans="7:7" ht="15.75" customHeight="1">
      <c r="G991" s="80"/>
    </row>
    <row r="992" spans="7:7" ht="15.75" customHeight="1">
      <c r="G992" s="80"/>
    </row>
    <row r="993" spans="7:7" ht="15.75" customHeight="1">
      <c r="G993" s="80"/>
    </row>
    <row r="994" spans="7:7" ht="15.75" customHeight="1">
      <c r="G994" s="80"/>
    </row>
    <row r="995" spans="7:7" ht="15.75" customHeight="1">
      <c r="G995" s="80"/>
    </row>
    <row r="996" spans="7:7" ht="15.75" customHeight="1">
      <c r="G996" s="80"/>
    </row>
    <row r="997" spans="7:7" ht="15.75" customHeight="1">
      <c r="G997" s="80"/>
    </row>
    <row r="998" spans="7:7" ht="15.75" customHeight="1">
      <c r="G998" s="80"/>
    </row>
    <row r="999" spans="7:7" ht="15.75" customHeight="1">
      <c r="G999" s="80"/>
    </row>
    <row r="1000" spans="7:7" ht="15.75" customHeight="1">
      <c r="G1000" s="80"/>
    </row>
  </sheetData>
  <pageMargins left="0.7" right="0.7" top="0.75" bottom="0.75" header="0" footer="0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Hoja23">
    <tabColor rgb="FF00B050"/>
    <pageSetUpPr fitToPage="1"/>
  </sheetPr>
  <dimension ref="A1:AT1000"/>
  <sheetViews>
    <sheetView showGridLines="0" workbookViewId="0">
      <pane xSplit="1" ySplit="3" topLeftCell="B4" activePane="bottomRight" state="frozen"/>
      <selection activeCell="AO3" sqref="AO3"/>
      <selection pane="topRight" activeCell="AO3" sqref="AO3"/>
      <selection pane="bottomLeft" activeCell="AO3" sqref="AO3"/>
      <selection pane="bottomRight" activeCell="AO3" sqref="AO3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23.664062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customWidth="1"/>
    <col min="34" max="34" width="20.33203125" customWidth="1"/>
    <col min="36" max="36" width="17.5546875" customWidth="1"/>
    <col min="37" max="38" width="14.44140625" customWidth="1"/>
    <col min="39" max="39" width="17.6640625" customWidth="1"/>
    <col min="43" max="44" width="17.109375" customWidth="1"/>
  </cols>
  <sheetData>
    <row r="1" spans="1:46" ht="15" customHeight="1">
      <c r="H1" s="81"/>
      <c r="I1" s="82">
        <f>510.96-I2</f>
        <v>152.88</v>
      </c>
      <c r="AB1" s="83"/>
      <c r="AC1" s="83"/>
      <c r="AD1" s="83"/>
      <c r="AE1" s="83"/>
      <c r="AF1" s="83"/>
      <c r="AG1" s="168" t="s">
        <v>240</v>
      </c>
      <c r="AH1" s="83" t="s">
        <v>241</v>
      </c>
      <c r="AI1" s="80" t="s">
        <v>242</v>
      </c>
      <c r="AJ1" s="169" t="s">
        <v>37</v>
      </c>
      <c r="AK1" s="88"/>
      <c r="AL1" s="57"/>
      <c r="AM1" s="57"/>
    </row>
    <row r="2" spans="1:46" ht="15" customHeight="1">
      <c r="G2" s="90"/>
      <c r="H2" s="90"/>
      <c r="I2" s="81">
        <f>SUM(I4:I828)</f>
        <v>358.08</v>
      </c>
      <c r="J2" s="81"/>
      <c r="K2" s="81">
        <f>SUM(K4:K828)</f>
        <v>332.56859400000002</v>
      </c>
      <c r="L2" s="170">
        <f>SUMPRODUCT(L4:L940,K4:K940)/K2</f>
        <v>0.56210993202202386</v>
      </c>
      <c r="Q2" s="137">
        <f>+SUMPRODUCT(Q4:Q828,AH4:AH828)/SUM(AH4:AH828)</f>
        <v>89.581925148725631</v>
      </c>
      <c r="R2" s="57">
        <f>+SUMPRODUCT(R4:R828,AH4:AH828)/SUM(AH4:AH828)</f>
        <v>2482.9308337070606</v>
      </c>
      <c r="AB2" s="83"/>
      <c r="AC2" s="83"/>
      <c r="AD2" s="83"/>
      <c r="AE2" s="83"/>
      <c r="AF2" s="83"/>
      <c r="AG2" s="168">
        <f>SUMPRODUCT($AG4:$AG828,$K4:$K828)/SUM($K4:$K828)</f>
        <v>80.733776629402769</v>
      </c>
      <c r="AH2" s="83">
        <f>SUM(AH4:AH828)</f>
        <v>5741.423385837963</v>
      </c>
      <c r="AI2" s="200">
        <v>2558</v>
      </c>
      <c r="AJ2" s="169"/>
      <c r="AK2" s="88"/>
      <c r="AL2" s="57"/>
      <c r="AM2" s="57"/>
    </row>
    <row r="3" spans="1:46" ht="15" customHeight="1">
      <c r="A3" s="100" t="s">
        <v>11</v>
      </c>
      <c r="B3" s="100" t="s">
        <v>39</v>
      </c>
      <c r="C3" s="100" t="s">
        <v>40</v>
      </c>
      <c r="D3" s="100" t="s">
        <v>41</v>
      </c>
      <c r="E3" s="100" t="s">
        <v>340</v>
      </c>
      <c r="F3" s="100" t="s">
        <v>43</v>
      </c>
      <c r="G3" s="100" t="s">
        <v>16</v>
      </c>
      <c r="H3" s="101"/>
      <c r="I3" s="172" t="s">
        <v>13</v>
      </c>
      <c r="J3" s="172" t="s">
        <v>14</v>
      </c>
      <c r="K3" s="100" t="s">
        <v>15</v>
      </c>
      <c r="L3" s="112" t="s">
        <v>44</v>
      </c>
      <c r="M3" s="107" t="s">
        <v>45</v>
      </c>
      <c r="N3" s="107" t="s">
        <v>46</v>
      </c>
      <c r="O3" s="101" t="s">
        <v>47</v>
      </c>
      <c r="P3" s="112" t="s">
        <v>48</v>
      </c>
      <c r="Q3" s="112" t="s">
        <v>49</v>
      </c>
      <c r="R3" s="112" t="s">
        <v>50</v>
      </c>
      <c r="S3" s="112" t="s">
        <v>51</v>
      </c>
      <c r="T3" s="110" t="s">
        <v>52</v>
      </c>
      <c r="U3" s="110" t="s">
        <v>21</v>
      </c>
      <c r="V3" s="111" t="s">
        <v>22</v>
      </c>
      <c r="W3" s="112" t="s">
        <v>53</v>
      </c>
      <c r="X3" s="112" t="s">
        <v>54</v>
      </c>
      <c r="Y3" s="112" t="s">
        <v>55</v>
      </c>
      <c r="Z3" s="101" t="s">
        <v>56</v>
      </c>
      <c r="AA3" s="101" t="s">
        <v>57</v>
      </c>
      <c r="AB3" s="113" t="s">
        <v>58</v>
      </c>
      <c r="AC3" s="114" t="s">
        <v>59</v>
      </c>
      <c r="AD3" s="115" t="s">
        <v>60</v>
      </c>
      <c r="AE3" s="115" t="s">
        <v>61</v>
      </c>
      <c r="AF3" s="115" t="s">
        <v>62</v>
      </c>
      <c r="AG3" s="173" t="s">
        <v>63</v>
      </c>
      <c r="AH3" s="174" t="s">
        <v>64</v>
      </c>
      <c r="AI3" s="57">
        <f>SUMPRODUCT(K4:K828,AI4:AI828)/K2</f>
        <v>106.45880508943384</v>
      </c>
      <c r="AJ3" s="144">
        <f>SUM(AJ4:AJ828)</f>
        <v>5597.8321251708576</v>
      </c>
      <c r="AK3" s="88">
        <f>SUM(AK4:AK828)</f>
        <v>143.59126066710886</v>
      </c>
      <c r="AL3" s="57">
        <f>+AH2-AJ3</f>
        <v>143.59126066710542</v>
      </c>
      <c r="AM3" s="57"/>
    </row>
    <row r="4" spans="1:46" ht="15" customHeight="1">
      <c r="A4" s="119"/>
      <c r="B4" s="120"/>
      <c r="C4" s="120"/>
      <c r="D4" s="120"/>
      <c r="E4" s="120"/>
      <c r="F4" s="120"/>
      <c r="G4" s="120"/>
      <c r="H4" s="121"/>
      <c r="I4" s="120"/>
      <c r="J4" s="120"/>
      <c r="K4" s="120"/>
      <c r="L4" s="121"/>
      <c r="M4" s="124"/>
      <c r="N4" s="124"/>
      <c r="O4" s="121"/>
      <c r="P4" s="121"/>
      <c r="Q4" s="121"/>
      <c r="R4" s="121"/>
      <c r="S4" s="121"/>
      <c r="T4" s="125"/>
      <c r="U4" s="125"/>
      <c r="V4" s="125"/>
      <c r="W4" s="121"/>
      <c r="X4" s="121"/>
      <c r="Y4" s="121"/>
      <c r="Z4" s="121"/>
      <c r="AA4" s="121"/>
      <c r="AB4" s="126"/>
      <c r="AC4" s="127"/>
      <c r="AD4" s="128"/>
      <c r="AE4" s="128"/>
      <c r="AF4" s="128"/>
      <c r="AG4" s="129"/>
      <c r="AH4" s="175"/>
      <c r="AI4" s="144"/>
      <c r="AJ4" s="132"/>
      <c r="AK4" s="133"/>
      <c r="AL4" s="144"/>
      <c r="AM4" s="144"/>
      <c r="AN4" s="142"/>
      <c r="AO4" s="142"/>
      <c r="AP4" s="142"/>
      <c r="AQ4" s="142"/>
      <c r="AR4" s="142"/>
      <c r="AS4" s="142"/>
      <c r="AT4" s="142"/>
    </row>
    <row r="5" spans="1:46" ht="15.75" customHeight="1">
      <c r="A5" s="134" t="s">
        <v>341</v>
      </c>
      <c r="B5" s="136">
        <v>45524</v>
      </c>
      <c r="C5" s="136">
        <v>45513</v>
      </c>
      <c r="D5" s="79" t="s">
        <v>342</v>
      </c>
      <c r="E5" s="176"/>
      <c r="F5" s="6" t="s">
        <v>67</v>
      </c>
      <c r="G5" s="90">
        <v>20</v>
      </c>
      <c r="H5" s="239" t="s">
        <v>69</v>
      </c>
      <c r="I5" s="137">
        <v>1.83</v>
      </c>
      <c r="J5" s="137">
        <v>2.0499999999999998</v>
      </c>
      <c r="K5" s="138">
        <f t="shared" ref="K5:K51" si="0">+I5-(I5*(J5/100))</f>
        <v>1.7924850000000001</v>
      </c>
      <c r="L5" s="240">
        <v>0.28599999999999998</v>
      </c>
      <c r="M5" s="240">
        <v>0.22275</v>
      </c>
      <c r="N5" s="241">
        <v>0.29799999999999999</v>
      </c>
      <c r="O5" s="141">
        <f t="shared" ref="O5:O51" si="1">+ROUND((M5+N5)/2,3)</f>
        <v>0.26</v>
      </c>
      <c r="P5" s="158">
        <v>90</v>
      </c>
      <c r="Q5" s="143">
        <v>90.13333333333334</v>
      </c>
      <c r="R5" s="57">
        <v>2416.92</v>
      </c>
      <c r="S5" s="80">
        <v>120</v>
      </c>
      <c r="U5" s="142">
        <v>130</v>
      </c>
      <c r="V5" s="142">
        <v>1.1023000000000001</v>
      </c>
      <c r="W5" s="137">
        <v>5.5</v>
      </c>
      <c r="X5" s="137">
        <v>9.1</v>
      </c>
      <c r="Y5" s="79">
        <v>50</v>
      </c>
      <c r="Z5" s="160">
        <v>25</v>
      </c>
      <c r="AA5" s="144">
        <f t="shared" ref="AA5:AA51" si="2">+Y5+Z5</f>
        <v>75</v>
      </c>
      <c r="AB5" s="145">
        <f t="shared" ref="AB5:AB51" si="3">+((O5*P5*(R5-U5)/100)-S5-AA5+T5)*V5</f>
        <v>374.93552834400015</v>
      </c>
      <c r="AC5" s="145">
        <f>+(S5-T5)*V5-'data 1'!$F$4</f>
        <v>52.27600000000001</v>
      </c>
      <c r="AD5" s="145">
        <f t="shared" ref="AD5:AD51" si="4">+(Q5-P5)*(R5-U5)*L5*V5/100</f>
        <v>0.96129249063471445</v>
      </c>
      <c r="AE5" s="145">
        <f>+(Y5*V5-'data 2'!$B$2)+V5*(Z5-IF(D5="UNTUCA",IF(+((W5-3)*2.5+(X5-3)*3.1)&gt;0,+((W5-3)*1.5+(X5-3)*3.1),0),IF(+((W5-3)*1.5+(X5-3)*3.1)&gt;0,+((W5-3)*1.5+(X5-3)*3.1),0)))</f>
        <v>-32.305617999999996</v>
      </c>
      <c r="AF5" s="145">
        <f t="shared" ref="AF5:AF51" si="5">(L5-O5)*(R5-U5)*Q5*V5/100</f>
        <v>59.075793060821269</v>
      </c>
      <c r="AG5" s="145">
        <f t="shared" ref="AG5:AG19" si="6">+AC5+AD5+AE5+AF5</f>
        <v>80.007467551455989</v>
      </c>
      <c r="AH5" s="145">
        <f t="shared" ref="AH5:AH51" si="7">31.1035*L5*Q5*1.1023*K5/100</f>
        <v>15.842220911847491</v>
      </c>
      <c r="AI5" s="137">
        <f t="shared" ref="AI5:AI51" si="8">+((+$AI$2-R5+U5)*L5*Q5*V5)/100</f>
        <v>77.028022760831988</v>
      </c>
      <c r="AJ5" s="137">
        <f t="shared" ref="AJ5:AJ51" si="9">31.1035*1.1023*K5*P5*O5/100</f>
        <v>14.380714248920196</v>
      </c>
      <c r="AK5" s="88">
        <f t="shared" ref="AK5:AK51" si="10">+AH5-AJ5</f>
        <v>1.4615066629272953</v>
      </c>
      <c r="AL5" s="57"/>
      <c r="AM5" s="57"/>
    </row>
    <row r="6" spans="1:46" ht="15.75" customHeight="1">
      <c r="A6" s="134" t="s">
        <v>343</v>
      </c>
      <c r="B6" s="136">
        <v>45524</v>
      </c>
      <c r="C6" s="136">
        <v>45513</v>
      </c>
      <c r="D6" s="79" t="s">
        <v>342</v>
      </c>
      <c r="E6" s="176"/>
      <c r="F6" s="6" t="s">
        <v>67</v>
      </c>
      <c r="G6" s="90">
        <v>42</v>
      </c>
      <c r="H6" s="239" t="s">
        <v>69</v>
      </c>
      <c r="I6" s="137">
        <v>3.46</v>
      </c>
      <c r="J6" s="137">
        <v>2.7</v>
      </c>
      <c r="K6" s="138">
        <f t="shared" si="0"/>
        <v>3.3665799999999999</v>
      </c>
      <c r="L6" s="240">
        <v>0.183</v>
      </c>
      <c r="M6" s="240">
        <v>0.14099999999999999</v>
      </c>
      <c r="N6" s="241">
        <v>0.28699999999999998</v>
      </c>
      <c r="O6" s="141">
        <f t="shared" si="1"/>
        <v>0.214</v>
      </c>
      <c r="P6" s="158">
        <v>90</v>
      </c>
      <c r="Q6" s="143">
        <v>90.88</v>
      </c>
      <c r="R6" s="57">
        <v>2416.92</v>
      </c>
      <c r="S6" s="80">
        <v>120</v>
      </c>
      <c r="U6" s="142">
        <v>130</v>
      </c>
      <c r="V6" s="142">
        <v>1.1023000000000001</v>
      </c>
      <c r="W6" s="137">
        <v>5.5</v>
      </c>
      <c r="X6" s="137">
        <v>9</v>
      </c>
      <c r="Y6" s="79">
        <v>50</v>
      </c>
      <c r="Z6" s="160">
        <v>25</v>
      </c>
      <c r="AA6" s="144">
        <f t="shared" si="2"/>
        <v>75</v>
      </c>
      <c r="AB6" s="145">
        <f t="shared" si="3"/>
        <v>270.57143102160006</v>
      </c>
      <c r="AC6" s="145">
        <f>+(S6-T6)*V6-'data 1'!$F$4</f>
        <v>52.27600000000001</v>
      </c>
      <c r="AD6" s="145">
        <f t="shared" si="4"/>
        <v>4.0596121335263788</v>
      </c>
      <c r="AE6" s="145">
        <f>+(Y6*V6-'data 2'!$B$2)+V6*(Z6-IF(D6="UNTUCA",IF(+((W6-3)*2.5+(X6-3)*3.1)&gt;0,+((W6-3)*1.5+(X6-3)*3.1),0),IF(+((W6-3)*1.5+(X6-3)*3.1)&gt;0,+((W6-3)*1.5+(X6-3)*3.1),0)))</f>
        <v>-31.963905</v>
      </c>
      <c r="AF6" s="145">
        <f t="shared" si="5"/>
        <v>-71.020020315084807</v>
      </c>
      <c r="AG6" s="145">
        <f t="shared" si="6"/>
        <v>-46.648313181558422</v>
      </c>
      <c r="AH6" s="145">
        <f t="shared" si="7"/>
        <v>19.19629504775536</v>
      </c>
      <c r="AI6" s="137">
        <f t="shared" si="8"/>
        <v>49.695457428633581</v>
      </c>
      <c r="AJ6" s="137">
        <f t="shared" si="9"/>
        <v>22.230759027683671</v>
      </c>
      <c r="AK6" s="88">
        <f t="shared" si="10"/>
        <v>-3.0344639799283115</v>
      </c>
      <c r="AL6" s="57" t="s">
        <v>344</v>
      </c>
      <c r="AM6" s="57"/>
    </row>
    <row r="7" spans="1:46" ht="15.75" customHeight="1">
      <c r="A7" s="134" t="s">
        <v>345</v>
      </c>
      <c r="B7" s="136">
        <v>45524</v>
      </c>
      <c r="C7" s="136">
        <v>45513</v>
      </c>
      <c r="D7" s="79" t="s">
        <v>342</v>
      </c>
      <c r="E7" s="176"/>
      <c r="F7" s="6" t="s">
        <v>67</v>
      </c>
      <c r="G7" s="90">
        <v>157</v>
      </c>
      <c r="H7" s="239" t="s">
        <v>69</v>
      </c>
      <c r="I7" s="137">
        <v>15.08</v>
      </c>
      <c r="J7" s="137">
        <v>2.4500000000000002</v>
      </c>
      <c r="K7" s="138">
        <f t="shared" si="0"/>
        <v>14.71054</v>
      </c>
      <c r="L7" s="240">
        <v>0.20799999999999999</v>
      </c>
      <c r="M7" s="240">
        <v>0.1431</v>
      </c>
      <c r="N7" s="241">
        <v>0.23499999999999999</v>
      </c>
      <c r="O7" s="141">
        <f t="shared" si="1"/>
        <v>0.189</v>
      </c>
      <c r="P7" s="158">
        <v>90</v>
      </c>
      <c r="Q7" s="143">
        <v>90.289308176100633</v>
      </c>
      <c r="R7" s="57">
        <v>2416.92</v>
      </c>
      <c r="S7" s="80">
        <v>110</v>
      </c>
      <c r="U7" s="142">
        <v>130</v>
      </c>
      <c r="V7" s="142">
        <v>1.1023000000000001</v>
      </c>
      <c r="W7" s="137">
        <v>5.5</v>
      </c>
      <c r="X7" s="137">
        <v>10</v>
      </c>
      <c r="Y7" s="79">
        <v>50</v>
      </c>
      <c r="Z7" s="160">
        <v>25</v>
      </c>
      <c r="AA7" s="144">
        <f t="shared" si="2"/>
        <v>75</v>
      </c>
      <c r="AB7" s="145">
        <f t="shared" si="3"/>
        <v>224.87481291160012</v>
      </c>
      <c r="AC7" s="145">
        <f>+(S7-T7)*V7-'data 1'!$F$4</f>
        <v>41.253</v>
      </c>
      <c r="AD7" s="145">
        <f t="shared" si="4"/>
        <v>1.516962420898637</v>
      </c>
      <c r="AE7" s="145">
        <f>+(Y7*V7-'data 2'!$B$2)+V7*(Z7-IF(D7="UNTUCA",IF(+((W7-3)*2.5+(X7-3)*3.1)&gt;0,+((W7-3)*1.5+(X7-3)*3.1),0),IF(+((W7-3)*1.5+(X7-3)*3.1)&gt;0,+((W7-3)*1.5+(X7-3)*3.1),0)))</f>
        <v>-35.381034999999997</v>
      </c>
      <c r="AF7" s="145">
        <f t="shared" si="5"/>
        <v>43.24547844627822</v>
      </c>
      <c r="AG7" s="145">
        <f t="shared" si="6"/>
        <v>50.634405867176859</v>
      </c>
      <c r="AH7" s="145">
        <f t="shared" si="7"/>
        <v>94.71905245773975</v>
      </c>
      <c r="AI7" s="137">
        <f t="shared" si="8"/>
        <v>56.117322904102629</v>
      </c>
      <c r="AJ7" s="137">
        <f t="shared" si="9"/>
        <v>85.791052952490503</v>
      </c>
      <c r="AK7" s="88">
        <f t="shared" si="10"/>
        <v>8.9279995052492467</v>
      </c>
      <c r="AL7" s="57"/>
      <c r="AM7" s="57"/>
    </row>
    <row r="8" spans="1:46" ht="15.75" customHeight="1">
      <c r="A8" s="134" t="s">
        <v>346</v>
      </c>
      <c r="B8" s="136">
        <v>45524</v>
      </c>
      <c r="C8" s="136">
        <v>45513</v>
      </c>
      <c r="D8" s="79" t="s">
        <v>342</v>
      </c>
      <c r="F8" s="6" t="s">
        <v>67</v>
      </c>
      <c r="G8" s="90">
        <v>46</v>
      </c>
      <c r="H8" s="239" t="s">
        <v>69</v>
      </c>
      <c r="I8" s="137">
        <v>3.78</v>
      </c>
      <c r="J8" s="137">
        <v>4.1500000000000004</v>
      </c>
      <c r="K8" s="138">
        <f t="shared" si="0"/>
        <v>3.6231299999999997</v>
      </c>
      <c r="L8" s="240">
        <v>0.40400000000000003</v>
      </c>
      <c r="M8" s="240">
        <v>0.37975999999999999</v>
      </c>
      <c r="N8" s="242">
        <v>0.37975999999999999</v>
      </c>
      <c r="O8" s="141">
        <f t="shared" si="1"/>
        <v>0.38</v>
      </c>
      <c r="P8" s="158">
        <v>90</v>
      </c>
      <c r="Q8" s="137">
        <v>90.668316831683171</v>
      </c>
      <c r="R8" s="57">
        <v>2416.92</v>
      </c>
      <c r="S8" s="80">
        <v>130</v>
      </c>
      <c r="U8" s="142">
        <v>130</v>
      </c>
      <c r="V8" s="142">
        <v>1.1023000000000001</v>
      </c>
      <c r="W8" s="137">
        <v>5.5</v>
      </c>
      <c r="X8" s="137">
        <v>10</v>
      </c>
      <c r="Y8" s="79">
        <v>50</v>
      </c>
      <c r="Z8" s="160">
        <v>25</v>
      </c>
      <c r="AA8" s="144">
        <f t="shared" si="2"/>
        <v>75</v>
      </c>
      <c r="AB8" s="145">
        <f t="shared" si="3"/>
        <v>636.16669527200008</v>
      </c>
      <c r="AC8" s="145">
        <f>+(S8-T8)*V8-'data 1'!$F$4</f>
        <v>63.299000000000007</v>
      </c>
      <c r="AD8" s="145">
        <f t="shared" si="4"/>
        <v>6.8063541732000292</v>
      </c>
      <c r="AE8" s="145">
        <f>+(Y8*V8-'data 2'!$B$2)+V8*(Z8-IF(D8="UNTUCA",IF(+((W8-3)*2.5+(X8-3)*3.1)&gt;0,+((W8-3)*1.5+(X8-3)*3.1),0),IF(+((W8-3)*1.5+(X8-3)*3.1)&gt;0,+((W8-3)*1.5+(X8-3)*3.1),0)))</f>
        <v>-35.381034999999997</v>
      </c>
      <c r="AF8" s="145">
        <f t="shared" si="5"/>
        <v>54.855171257275309</v>
      </c>
      <c r="AG8" s="145">
        <f t="shared" si="6"/>
        <v>89.579490430475346</v>
      </c>
      <c r="AH8" s="145">
        <f t="shared" si="7"/>
        <v>45.501939115450007</v>
      </c>
      <c r="AI8" s="137">
        <f t="shared" si="8"/>
        <v>109.4546465892</v>
      </c>
      <c r="AJ8" s="137">
        <f t="shared" si="9"/>
        <v>42.48338295791401</v>
      </c>
      <c r="AK8" s="88">
        <f t="shared" si="10"/>
        <v>3.0185561575359969</v>
      </c>
      <c r="AL8" s="57"/>
      <c r="AM8" s="57"/>
    </row>
    <row r="9" spans="1:46" ht="15.75" customHeight="1">
      <c r="A9" s="134" t="s">
        <v>347</v>
      </c>
      <c r="B9" s="136">
        <v>45524</v>
      </c>
      <c r="C9" s="136">
        <v>45513</v>
      </c>
      <c r="D9" s="79" t="s">
        <v>342</v>
      </c>
      <c r="F9" s="6" t="s">
        <v>67</v>
      </c>
      <c r="G9" s="90">
        <v>50</v>
      </c>
      <c r="H9" s="239" t="s">
        <v>69</v>
      </c>
      <c r="I9" s="137">
        <v>4.25</v>
      </c>
      <c r="J9" s="137">
        <v>5.55</v>
      </c>
      <c r="K9" s="138">
        <f t="shared" si="0"/>
        <v>4.0141249999999999</v>
      </c>
      <c r="L9" s="240">
        <v>0.377</v>
      </c>
      <c r="M9" s="240">
        <v>0.35730000000000001</v>
      </c>
      <c r="N9" s="241">
        <v>0.38400000000000001</v>
      </c>
      <c r="O9" s="141">
        <f t="shared" si="1"/>
        <v>0.371</v>
      </c>
      <c r="P9" s="158">
        <v>90</v>
      </c>
      <c r="Q9" s="137">
        <v>90.181360201511339</v>
      </c>
      <c r="R9" s="57">
        <v>2416.92</v>
      </c>
      <c r="S9" s="80">
        <v>130</v>
      </c>
      <c r="U9" s="142">
        <v>130</v>
      </c>
      <c r="V9" s="142">
        <v>1.1023000000000001</v>
      </c>
      <c r="W9" s="137">
        <v>5.5</v>
      </c>
      <c r="X9" s="137">
        <v>9.1</v>
      </c>
      <c r="Y9" s="79">
        <v>50</v>
      </c>
      <c r="Z9" s="160">
        <v>25</v>
      </c>
      <c r="AA9" s="144">
        <f t="shared" si="2"/>
        <v>75</v>
      </c>
      <c r="AB9" s="145">
        <f t="shared" si="3"/>
        <v>615.74763275240014</v>
      </c>
      <c r="AC9" s="145">
        <f>+(S9-T9)*V9-'data 1'!$F$4</f>
        <v>63.299000000000007</v>
      </c>
      <c r="AD9" s="145">
        <f t="shared" si="4"/>
        <v>1.7235906117860322</v>
      </c>
      <c r="AE9" s="145">
        <f>+(Y9*V9-'data 2'!$B$2)+V9*(Z9-IF(D9="UNTUCA",IF(+((W9-3)*2.5+(X9-3)*3.1)&gt;0,+((W9-3)*1.5+(X9-3)*3.1),0),IF(+((W9-3)*1.5+(X9-3)*3.1)&gt;0,+((W9-3)*1.5+(X9-3)*3.1),0)))</f>
        <v>-32.305617999999996</v>
      </c>
      <c r="AF9" s="145">
        <f t="shared" si="5"/>
        <v>13.640139496720215</v>
      </c>
      <c r="AG9" s="145">
        <f t="shared" si="6"/>
        <v>46.357112108506264</v>
      </c>
      <c r="AH9" s="145">
        <f t="shared" si="7"/>
        <v>46.790543871003926</v>
      </c>
      <c r="AI9" s="137">
        <f t="shared" si="8"/>
        <v>101.59104228748954</v>
      </c>
      <c r="AJ9" s="137">
        <f t="shared" si="9"/>
        <v>45.953265740942271</v>
      </c>
      <c r="AK9" s="88">
        <f t="shared" si="10"/>
        <v>0.83727813006165519</v>
      </c>
      <c r="AL9" s="57"/>
      <c r="AM9" s="57"/>
    </row>
    <row r="10" spans="1:46" ht="15.75" customHeight="1">
      <c r="A10" s="134" t="s">
        <v>348</v>
      </c>
      <c r="B10" s="136">
        <v>45519</v>
      </c>
      <c r="C10" s="136">
        <v>45517</v>
      </c>
      <c r="D10" s="79" t="s">
        <v>93</v>
      </c>
      <c r="F10" s="6" t="s">
        <v>349</v>
      </c>
      <c r="G10" s="90">
        <v>4</v>
      </c>
      <c r="H10" s="239" t="s">
        <v>108</v>
      </c>
      <c r="I10" s="137">
        <v>0.32</v>
      </c>
      <c r="J10" s="137">
        <v>17.18</v>
      </c>
      <c r="K10" s="138">
        <f t="shared" si="0"/>
        <v>0.26502399999999998</v>
      </c>
      <c r="L10" s="240">
        <v>3.5090000000000003</v>
      </c>
      <c r="M10" s="240">
        <v>3.4037300000000004</v>
      </c>
      <c r="N10" s="242">
        <v>3.4037300000000004</v>
      </c>
      <c r="O10" s="141">
        <f t="shared" si="1"/>
        <v>3.4039999999999999</v>
      </c>
      <c r="P10" s="142">
        <v>90</v>
      </c>
      <c r="Q10" s="137">
        <v>89.07221609702313</v>
      </c>
      <c r="R10" s="57">
        <v>2423.89</v>
      </c>
      <c r="S10" s="80">
        <v>410</v>
      </c>
      <c r="U10" s="142">
        <v>130</v>
      </c>
      <c r="V10" s="142">
        <v>1.1023000000000001</v>
      </c>
      <c r="W10" s="137">
        <v>5</v>
      </c>
      <c r="X10" s="137">
        <v>7.1</v>
      </c>
      <c r="Y10" s="79">
        <v>50</v>
      </c>
      <c r="Z10" s="143">
        <f t="shared" ref="Z10:Z20" si="11">IF(IF(D10="UNTUCA",IF(+((W10-3)*1.5+(X10-3)*3.1)&gt;0,+((W10-3)*1.5+(X10-3)*3.1),0),IF(+((W10-3)*1.5+(X10-3)*3.1)&gt;0,+((W10-3)*1.5+(X10-3)*3.1),0))&lt;30,30,IF(D10="UNTUCA",IF(+((W10-3)*1.5+(X10-3)*3.1)&gt;0,+((W10-3)*1.5+(X10-3)*3.1),0),IF(+((W10-3)*1.5+(X10-3)*3.1)&gt;0,+((W10-3)*1.5+(X10-3)*3.1),0)))</f>
        <v>30</v>
      </c>
      <c r="AA10" s="144">
        <f t="shared" si="2"/>
        <v>80</v>
      </c>
      <c r="AB10" s="145">
        <f t="shared" si="3"/>
        <v>7206.3539356292004</v>
      </c>
      <c r="AC10" s="145">
        <f>+(S10-T10)*V10-'data 1'!$F$4</f>
        <v>371.94300000000004</v>
      </c>
      <c r="AD10" s="145">
        <f t="shared" si="4"/>
        <v>-82.319475948655366</v>
      </c>
      <c r="AE10" s="145">
        <f>+(Y10*V10-'data 2'!$B$2)+V10*(Z10-IF(D10="UNTUCA",IF(+((W10-3)*2.5+(X10-3)*3.1)&gt;0,+((W10-3)*1.5+(X10-3)*3.1),0),IF(+((W10-3)*1.5+(X10-3)*3.1)&gt;0,+((W10-3)*1.5+(X10-3)*3.1),0)))</f>
        <v>-19.133132999999994</v>
      </c>
      <c r="AF10" s="145">
        <f t="shared" si="5"/>
        <v>236.48519228500083</v>
      </c>
      <c r="AG10" s="145">
        <f t="shared" si="6"/>
        <v>506.97558333634555</v>
      </c>
      <c r="AH10" s="145">
        <f t="shared" si="7"/>
        <v>28.400101983215144</v>
      </c>
      <c r="AI10" s="137">
        <f t="shared" si="8"/>
        <v>909.93480779926676</v>
      </c>
      <c r="AJ10" s="137">
        <f t="shared" si="9"/>
        <v>27.837250311100615</v>
      </c>
      <c r="AK10" s="88">
        <f t="shared" si="10"/>
        <v>0.56285167211452958</v>
      </c>
      <c r="AL10" s="57"/>
      <c r="AM10" s="57"/>
    </row>
    <row r="11" spans="1:46" ht="15.75" customHeight="1">
      <c r="A11" s="134" t="s">
        <v>350</v>
      </c>
      <c r="B11" s="136">
        <v>45519</v>
      </c>
      <c r="C11" s="136">
        <v>45517</v>
      </c>
      <c r="D11" s="79" t="s">
        <v>93</v>
      </c>
      <c r="F11" s="6" t="s">
        <v>349</v>
      </c>
      <c r="G11" s="90">
        <v>30</v>
      </c>
      <c r="H11" s="239" t="s">
        <v>108</v>
      </c>
      <c r="I11" s="137">
        <v>2.48</v>
      </c>
      <c r="J11" s="137">
        <v>23.95</v>
      </c>
      <c r="K11" s="138">
        <f t="shared" si="0"/>
        <v>1.8860399999999999</v>
      </c>
      <c r="L11" s="240">
        <v>3.5634999999999999</v>
      </c>
      <c r="M11" s="240">
        <v>3.4565949999999996</v>
      </c>
      <c r="N11" s="242">
        <v>3.4565949999999996</v>
      </c>
      <c r="O11" s="141">
        <f t="shared" si="1"/>
        <v>3.4569999999999999</v>
      </c>
      <c r="P11" s="142">
        <v>90</v>
      </c>
      <c r="Q11" s="137">
        <v>89.020367751060817</v>
      </c>
      <c r="R11" s="57">
        <v>2423.89</v>
      </c>
      <c r="S11" s="80">
        <v>410</v>
      </c>
      <c r="U11" s="142">
        <v>130</v>
      </c>
      <c r="V11" s="142">
        <v>1.1023000000000001</v>
      </c>
      <c r="W11" s="137">
        <v>5</v>
      </c>
      <c r="X11" s="137">
        <v>7.2</v>
      </c>
      <c r="Y11" s="79">
        <v>50</v>
      </c>
      <c r="Z11" s="143">
        <f t="shared" si="11"/>
        <v>30</v>
      </c>
      <c r="AA11" s="144">
        <f t="shared" si="2"/>
        <v>80</v>
      </c>
      <c r="AB11" s="145">
        <f t="shared" si="3"/>
        <v>7326.9660066011002</v>
      </c>
      <c r="AC11" s="145">
        <f>+(S11-T11)*V11-'data 1'!$F$4</f>
        <v>371.94300000000004</v>
      </c>
      <c r="AD11" s="145">
        <f t="shared" si="4"/>
        <v>-88.269818195859585</v>
      </c>
      <c r="AE11" s="145">
        <f>+(Y11*V11-'data 2'!$B$2)+V11*(Z11-IF(D11="UNTUCA",IF(+((W11-3)*2.5+(X11-3)*3.1)&gt;0,+((W11-3)*1.5+(X11-3)*3.1),0),IF(+((W11-3)*1.5+(X11-3)*3.1)&gt;0,+((W11-3)*1.5+(X11-3)*3.1),0)))</f>
        <v>-19.474845999999999</v>
      </c>
      <c r="AF11" s="145">
        <f t="shared" si="5"/>
        <v>239.72392919264996</v>
      </c>
      <c r="AG11" s="145">
        <f t="shared" si="6"/>
        <v>503.92226499679037</v>
      </c>
      <c r="AH11" s="145">
        <f t="shared" si="7"/>
        <v>205.12855262629935</v>
      </c>
      <c r="AI11" s="137">
        <f t="shared" si="8"/>
        <v>923.52955804753481</v>
      </c>
      <c r="AJ11" s="137">
        <f t="shared" si="9"/>
        <v>201.18789999128759</v>
      </c>
      <c r="AK11" s="88">
        <f t="shared" si="10"/>
        <v>3.9406526350117588</v>
      </c>
      <c r="AL11" s="57"/>
      <c r="AM11" s="57"/>
    </row>
    <row r="12" spans="1:46" ht="15.75" customHeight="1">
      <c r="A12" s="134" t="s">
        <v>351</v>
      </c>
      <c r="B12" s="136">
        <v>45519</v>
      </c>
      <c r="C12" s="136">
        <v>45517</v>
      </c>
      <c r="D12" s="79" t="s">
        <v>93</v>
      </c>
      <c r="F12" s="6" t="s">
        <v>349</v>
      </c>
      <c r="G12" s="90">
        <v>33</v>
      </c>
      <c r="H12" s="239" t="s">
        <v>108</v>
      </c>
      <c r="I12" s="137">
        <v>2.58</v>
      </c>
      <c r="J12" s="137">
        <v>24.85</v>
      </c>
      <c r="K12" s="138">
        <f t="shared" si="0"/>
        <v>1.9388700000000001</v>
      </c>
      <c r="L12" s="240">
        <v>1.7444999999999999</v>
      </c>
      <c r="M12" s="240">
        <v>1.6834425</v>
      </c>
      <c r="N12" s="241">
        <v>1.768</v>
      </c>
      <c r="O12" s="141">
        <f t="shared" si="1"/>
        <v>1.726</v>
      </c>
      <c r="P12" s="142">
        <v>90</v>
      </c>
      <c r="Q12" s="137">
        <v>89.33439675174013</v>
      </c>
      <c r="R12" s="57">
        <v>2423.89</v>
      </c>
      <c r="S12" s="80">
        <v>240</v>
      </c>
      <c r="U12" s="142">
        <v>130</v>
      </c>
      <c r="V12" s="142">
        <v>1.1023000000000001</v>
      </c>
      <c r="W12" s="137">
        <v>5</v>
      </c>
      <c r="X12" s="137">
        <v>8.5</v>
      </c>
      <c r="Y12" s="79">
        <v>50</v>
      </c>
      <c r="Z12" s="143">
        <f t="shared" si="11"/>
        <v>30</v>
      </c>
      <c r="AA12" s="144">
        <f t="shared" si="2"/>
        <v>80</v>
      </c>
      <c r="AB12" s="145">
        <f t="shared" si="3"/>
        <v>3575.1212546698002</v>
      </c>
      <c r="AC12" s="145">
        <f>+(S12-T12)*V12-'data 1'!$F$4</f>
        <v>184.55200000000002</v>
      </c>
      <c r="AD12" s="145">
        <f t="shared" si="4"/>
        <v>-29.360185965981405</v>
      </c>
      <c r="AE12" s="145">
        <f>+(Y12*V12-'data 2'!$B$2)+V12*(Z12-IF(D12="UNTUCA",IF(+((W12-3)*2.5+(X12-3)*3.1)&gt;0,+((W12-3)*1.5+(X12-3)*3.1),0),IF(+((W12-3)*1.5+(X12-3)*3.1)&gt;0,+((W12-3)*1.5+(X12-3)*3.1),0)))</f>
        <v>-23.917114999999999</v>
      </c>
      <c r="AF12" s="145">
        <f t="shared" si="5"/>
        <v>41.789082206116461</v>
      </c>
      <c r="AG12" s="145">
        <f t="shared" si="6"/>
        <v>173.06378124013509</v>
      </c>
      <c r="AH12" s="145">
        <f t="shared" si="7"/>
        <v>103.59706295241763</v>
      </c>
      <c r="AI12" s="137">
        <f t="shared" si="8"/>
        <v>453.70580454545978</v>
      </c>
      <c r="AJ12" s="137">
        <f t="shared" si="9"/>
        <v>103.26212570429736</v>
      </c>
      <c r="AK12" s="88">
        <f t="shared" si="10"/>
        <v>0.33493724812026926</v>
      </c>
      <c r="AL12" s="57"/>
      <c r="AM12" s="57"/>
    </row>
    <row r="13" spans="1:46" ht="15.75" customHeight="1">
      <c r="A13" s="134" t="s">
        <v>352</v>
      </c>
      <c r="B13" s="136">
        <v>45519</v>
      </c>
      <c r="C13" s="136">
        <v>45517</v>
      </c>
      <c r="D13" s="79" t="s">
        <v>93</v>
      </c>
      <c r="F13" s="6" t="s">
        <v>349</v>
      </c>
      <c r="G13" s="90">
        <v>46</v>
      </c>
      <c r="H13" s="239" t="s">
        <v>108</v>
      </c>
      <c r="I13" s="137">
        <v>4</v>
      </c>
      <c r="J13" s="137">
        <v>23</v>
      </c>
      <c r="K13" s="138">
        <f t="shared" si="0"/>
        <v>3.08</v>
      </c>
      <c r="L13" s="240">
        <v>1.9515</v>
      </c>
      <c r="M13" s="240">
        <v>1.87344</v>
      </c>
      <c r="N13" s="242">
        <v>1.87344</v>
      </c>
      <c r="O13" s="141">
        <f t="shared" si="1"/>
        <v>1.873</v>
      </c>
      <c r="P13" s="142">
        <v>90</v>
      </c>
      <c r="Q13" s="137">
        <v>89.432773109243684</v>
      </c>
      <c r="R13" s="57">
        <v>2423.89</v>
      </c>
      <c r="S13" s="80">
        <v>260</v>
      </c>
      <c r="U13" s="142">
        <v>130</v>
      </c>
      <c r="V13" s="142">
        <v>1.1023000000000001</v>
      </c>
      <c r="W13" s="137">
        <v>5</v>
      </c>
      <c r="X13" s="137">
        <v>8.1</v>
      </c>
      <c r="Y13" s="79">
        <v>50</v>
      </c>
      <c r="Z13" s="143">
        <f t="shared" si="11"/>
        <v>30</v>
      </c>
      <c r="AA13" s="144">
        <f t="shared" si="2"/>
        <v>80</v>
      </c>
      <c r="AB13" s="145">
        <f t="shared" si="3"/>
        <v>3887.6030741578998</v>
      </c>
      <c r="AC13" s="145">
        <f>+(S13-T13)*V13-'data 1'!$F$4</f>
        <v>206.59800000000001</v>
      </c>
      <c r="AD13" s="145">
        <f t="shared" si="4"/>
        <v>-27.989668998929996</v>
      </c>
      <c r="AE13" s="145">
        <f>+(Y13*V13-'data 2'!$B$2)+V13*(Z13-IF(D13="UNTUCA",IF(+((W13-3)*2.5+(X13-3)*3.1)&gt;0,+((W13-3)*1.5+(X13-3)*3.1),0),IF(+((W13-3)*1.5+(X13-3)*3.1)&gt;0,+((W13-3)*1.5+(X13-3)*3.1),0)))</f>
        <v>-22.550262999999994</v>
      </c>
      <c r="AF13" s="145">
        <f t="shared" si="5"/>
        <v>177.51650948240578</v>
      </c>
      <c r="AG13" s="145">
        <f t="shared" si="6"/>
        <v>333.57457748347576</v>
      </c>
      <c r="AH13" s="145">
        <f t="shared" si="7"/>
        <v>184.29987423077404</v>
      </c>
      <c r="AI13" s="137">
        <f t="shared" si="8"/>
        <v>508.10083158772738</v>
      </c>
      <c r="AJ13" s="137">
        <f t="shared" si="9"/>
        <v>178.00822619852582</v>
      </c>
      <c r="AK13" s="88">
        <f t="shared" si="10"/>
        <v>6.2916480322482187</v>
      </c>
      <c r="AL13" s="57"/>
      <c r="AM13" s="57"/>
    </row>
    <row r="14" spans="1:46" ht="15.75" customHeight="1">
      <c r="A14" s="134" t="s">
        <v>353</v>
      </c>
      <c r="B14" s="135">
        <v>45544</v>
      </c>
      <c r="C14" s="135">
        <v>45521</v>
      </c>
      <c r="D14" s="142" t="s">
        <v>106</v>
      </c>
      <c r="E14" s="142"/>
      <c r="F14" s="142" t="s">
        <v>354</v>
      </c>
      <c r="G14" s="177">
        <v>150</v>
      </c>
      <c r="H14" s="142" t="s">
        <v>108</v>
      </c>
      <c r="I14" s="142">
        <v>11.86</v>
      </c>
      <c r="J14" s="143">
        <v>7.1</v>
      </c>
      <c r="K14" s="138">
        <f t="shared" si="0"/>
        <v>11.017939999999999</v>
      </c>
      <c r="L14" s="170">
        <v>0.26300000000000001</v>
      </c>
      <c r="M14" s="132">
        <v>0.22800000000000001</v>
      </c>
      <c r="N14" s="243">
        <v>0.22800000000000001</v>
      </c>
      <c r="O14" s="141">
        <f t="shared" si="1"/>
        <v>0.22800000000000001</v>
      </c>
      <c r="P14" s="142">
        <v>90</v>
      </c>
      <c r="Q14" s="142">
        <v>89.26</v>
      </c>
      <c r="R14" s="144">
        <v>2453.44</v>
      </c>
      <c r="S14" s="132">
        <v>110</v>
      </c>
      <c r="T14" s="142"/>
      <c r="U14" s="142">
        <v>130</v>
      </c>
      <c r="V14" s="142">
        <v>1.1023000000000001</v>
      </c>
      <c r="W14" s="143">
        <v>5</v>
      </c>
      <c r="X14" s="143">
        <v>6</v>
      </c>
      <c r="Y14" s="142">
        <v>30</v>
      </c>
      <c r="Z14" s="143">
        <f t="shared" si="11"/>
        <v>30</v>
      </c>
      <c r="AA14" s="144">
        <f t="shared" si="2"/>
        <v>60</v>
      </c>
      <c r="AB14" s="145">
        <f t="shared" si="3"/>
        <v>338.15244754240001</v>
      </c>
      <c r="AC14" s="145">
        <f>+(S14-T14)*V14-'data 1'!$F$4</f>
        <v>41.253</v>
      </c>
      <c r="AD14" s="145">
        <f t="shared" si="4"/>
        <v>-4.9844671423343661</v>
      </c>
      <c r="AE14" s="145">
        <f>+(Y14*V14-'data 2'!$B$2)+V14*(Z14-IF(D14="UNTUCA",IF(+((W14-3)*2.5+(X14-3)*3.1)&gt;0,+((W14-3)*1.5+(X14-3)*3.1),0),IF(+((W14-3)*1.5+(X14-3)*3.1)&gt;0,+((W14-3)*1.5+(X14-3)*3.1),0)))</f>
        <v>-37.420289999999994</v>
      </c>
      <c r="AF14" s="145">
        <f t="shared" si="5"/>
        <v>80.012197098792015</v>
      </c>
      <c r="AG14" s="145">
        <f t="shared" si="6"/>
        <v>78.860439956457654</v>
      </c>
      <c r="AH14" s="145">
        <f t="shared" si="7"/>
        <v>88.679268756151075</v>
      </c>
      <c r="AI14" s="143">
        <f t="shared" si="8"/>
        <v>60.696883318854397</v>
      </c>
      <c r="AJ14" s="143">
        <f t="shared" si="9"/>
        <v>77.515192294063823</v>
      </c>
      <c r="AK14" s="133">
        <f t="shared" si="10"/>
        <v>11.164076462087252</v>
      </c>
      <c r="AL14" s="144"/>
      <c r="AM14" s="144"/>
      <c r="AN14" s="142"/>
      <c r="AO14" s="142"/>
      <c r="AP14" s="142"/>
      <c r="AQ14" s="142"/>
      <c r="AR14" s="142"/>
      <c r="AS14" s="142"/>
      <c r="AT14" s="142"/>
    </row>
    <row r="15" spans="1:46" ht="15.75" customHeight="1">
      <c r="A15" s="134" t="s">
        <v>355</v>
      </c>
      <c r="B15" s="136">
        <v>45525</v>
      </c>
      <c r="C15" s="136">
        <v>45521</v>
      </c>
      <c r="D15" s="79" t="s">
        <v>106</v>
      </c>
      <c r="F15" s="6" t="s">
        <v>356</v>
      </c>
      <c r="G15" s="90">
        <v>10</v>
      </c>
      <c r="H15" s="79" t="s">
        <v>69</v>
      </c>
      <c r="I15" s="137">
        <v>0.8</v>
      </c>
      <c r="J15" s="137">
        <v>1.2</v>
      </c>
      <c r="K15" s="138">
        <f t="shared" si="0"/>
        <v>0.79039999999999999</v>
      </c>
      <c r="L15" s="240">
        <v>2.044</v>
      </c>
      <c r="M15" s="80">
        <v>1.9810000000000001</v>
      </c>
      <c r="N15" s="166">
        <v>1.9810000000000001</v>
      </c>
      <c r="O15" s="141">
        <f t="shared" si="1"/>
        <v>1.9810000000000001</v>
      </c>
      <c r="P15" s="142">
        <v>90</v>
      </c>
      <c r="Q15" s="79">
        <v>89.66</v>
      </c>
      <c r="R15" s="200">
        <v>2453.44</v>
      </c>
      <c r="S15" s="80">
        <v>270</v>
      </c>
      <c r="U15" s="142">
        <v>130</v>
      </c>
      <c r="V15" s="142">
        <v>1.1023000000000001</v>
      </c>
      <c r="W15" s="137">
        <v>5</v>
      </c>
      <c r="X15" s="137">
        <v>6</v>
      </c>
      <c r="Y15" s="79">
        <v>50</v>
      </c>
      <c r="Z15" s="143">
        <f t="shared" si="11"/>
        <v>30</v>
      </c>
      <c r="AA15" s="144">
        <f t="shared" si="2"/>
        <v>80</v>
      </c>
      <c r="AB15" s="145">
        <f t="shared" si="3"/>
        <v>4180.429954304801</v>
      </c>
      <c r="AC15" s="145">
        <f>+(S15-T15)*V15-'data 1'!$F$4</f>
        <v>217.62100000000004</v>
      </c>
      <c r="AD15" s="145">
        <f t="shared" si="4"/>
        <v>-17.79881453723538</v>
      </c>
      <c r="AE15" s="145">
        <f>+(Y15*V15-'data 2'!$B$2)+V15*(Z15-IF(D15="UNTUCA",IF(+((W15-3)*2.5+(X15-3)*3.1)&gt;0,+((W15-3)*1.5+(X15-3)*3.1),0),IF(+((W15-3)*1.5+(X15-3)*3.1)&gt;0,+((W15-3)*1.5+(X15-3)*3.1),0)))</f>
        <v>-15.374289999999998</v>
      </c>
      <c r="AF15" s="145">
        <f t="shared" si="5"/>
        <v>144.66735901164947</v>
      </c>
      <c r="AG15" s="145">
        <f t="shared" si="6"/>
        <v>329.11525447441409</v>
      </c>
      <c r="AH15" s="145">
        <f t="shared" si="7"/>
        <v>49.663306049999903</v>
      </c>
      <c r="AI15" s="137">
        <f t="shared" si="8"/>
        <v>473.84181850539511</v>
      </c>
      <c r="AJ15" s="137">
        <f t="shared" si="9"/>
        <v>48.315111467274285</v>
      </c>
      <c r="AK15" s="88">
        <f t="shared" si="10"/>
        <v>1.3481945827256183</v>
      </c>
      <c r="AL15" s="57"/>
      <c r="AM15" s="57"/>
    </row>
    <row r="16" spans="1:46" ht="15.75" customHeight="1">
      <c r="A16" s="134" t="s">
        <v>357</v>
      </c>
      <c r="B16" s="135">
        <v>45524</v>
      </c>
      <c r="C16" s="135">
        <v>45521</v>
      </c>
      <c r="D16" s="142" t="s">
        <v>93</v>
      </c>
      <c r="E16" s="142"/>
      <c r="F16" s="142" t="s">
        <v>358</v>
      </c>
      <c r="G16" s="90">
        <v>51</v>
      </c>
      <c r="H16" s="142" t="s">
        <v>108</v>
      </c>
      <c r="I16" s="143">
        <v>4.7</v>
      </c>
      <c r="J16" s="143">
        <v>25.42</v>
      </c>
      <c r="K16" s="138">
        <f t="shared" si="0"/>
        <v>3.5052599999999998</v>
      </c>
      <c r="L16" s="170">
        <v>1.7250000000000001</v>
      </c>
      <c r="M16" s="132">
        <v>1.67</v>
      </c>
      <c r="N16" s="153">
        <v>1.72</v>
      </c>
      <c r="O16" s="141">
        <f t="shared" si="1"/>
        <v>1.6950000000000001</v>
      </c>
      <c r="P16" s="142">
        <v>90</v>
      </c>
      <c r="Q16" s="142">
        <v>89.61</v>
      </c>
      <c r="R16" s="144">
        <v>2453.44</v>
      </c>
      <c r="S16" s="132">
        <v>240</v>
      </c>
      <c r="T16" s="142"/>
      <c r="U16" s="142">
        <v>130</v>
      </c>
      <c r="V16" s="142">
        <v>1.1023000000000001</v>
      </c>
      <c r="W16" s="143">
        <v>5</v>
      </c>
      <c r="X16" s="143">
        <v>6</v>
      </c>
      <c r="Y16" s="142">
        <v>50</v>
      </c>
      <c r="Z16" s="143">
        <f t="shared" si="11"/>
        <v>30</v>
      </c>
      <c r="AA16" s="144">
        <f t="shared" si="2"/>
        <v>80</v>
      </c>
      <c r="AB16" s="145">
        <f t="shared" si="3"/>
        <v>3554.2646297560009</v>
      </c>
      <c r="AC16" s="145">
        <f>+(S16-T16)*V16-'data 1'!$F$4</f>
        <v>184.55200000000002</v>
      </c>
      <c r="AD16" s="145">
        <f t="shared" si="4"/>
        <v>-17.229988027980028</v>
      </c>
      <c r="AE16" s="145">
        <f>+(Y16*V16-'data 2'!$B$2)+V16*(Z16-IF(D16="UNTUCA",IF(+((W16-3)*2.5+(X16-3)*3.1)&gt;0,+((W16-3)*1.5+(X16-3)*3.1),0),IF(+((W16-3)*1.5+(X16-3)*3.1)&gt;0,+((W16-3)*1.5+(X16-3)*3.1),0)))</f>
        <v>-15.374289999999998</v>
      </c>
      <c r="AF16" s="145">
        <f t="shared" si="5"/>
        <v>68.850801658296078</v>
      </c>
      <c r="AG16" s="145">
        <f t="shared" si="6"/>
        <v>220.79852363031608</v>
      </c>
      <c r="AH16" s="145">
        <f t="shared" si="7"/>
        <v>185.76970137491264</v>
      </c>
      <c r="AI16" s="143">
        <f t="shared" si="8"/>
        <v>399.66796307447993</v>
      </c>
      <c r="AJ16" s="143">
        <f t="shared" si="9"/>
        <v>183.33336855677615</v>
      </c>
      <c r="AK16" s="133">
        <f t="shared" si="10"/>
        <v>2.4363328181364921</v>
      </c>
      <c r="AL16" s="144"/>
      <c r="AM16" s="144"/>
      <c r="AN16" s="142"/>
      <c r="AO16" s="142"/>
      <c r="AP16" s="142"/>
      <c r="AQ16" s="142"/>
      <c r="AR16" s="142"/>
      <c r="AS16" s="142"/>
      <c r="AT16" s="142"/>
    </row>
    <row r="17" spans="1:46" ht="15.75" customHeight="1">
      <c r="A17" s="134" t="s">
        <v>359</v>
      </c>
      <c r="B17" s="135">
        <v>45524</v>
      </c>
      <c r="C17" s="135">
        <v>45521</v>
      </c>
      <c r="D17" s="142" t="s">
        <v>93</v>
      </c>
      <c r="E17" s="142"/>
      <c r="F17" s="142" t="s">
        <v>360</v>
      </c>
      <c r="G17" s="90">
        <v>45</v>
      </c>
      <c r="H17" s="142" t="s">
        <v>108</v>
      </c>
      <c r="I17" s="143">
        <v>3.7</v>
      </c>
      <c r="J17" s="143">
        <v>26.12</v>
      </c>
      <c r="K17" s="138">
        <f t="shared" si="0"/>
        <v>2.7335600000000002</v>
      </c>
      <c r="L17" s="170">
        <v>0.80700000000000005</v>
      </c>
      <c r="M17" s="132">
        <v>0.78300000000000003</v>
      </c>
      <c r="N17" s="153">
        <v>0.86299999999999999</v>
      </c>
      <c r="O17" s="141">
        <f t="shared" si="1"/>
        <v>0.82299999999999995</v>
      </c>
      <c r="P17" s="142">
        <v>90</v>
      </c>
      <c r="Q17" s="142">
        <v>89.52</v>
      </c>
      <c r="R17" s="144">
        <v>2453.44</v>
      </c>
      <c r="S17" s="132">
        <v>150</v>
      </c>
      <c r="T17" s="142"/>
      <c r="U17" s="142">
        <v>130</v>
      </c>
      <c r="V17" s="142">
        <v>1.1023000000000001</v>
      </c>
      <c r="W17" s="143">
        <v>5</v>
      </c>
      <c r="X17" s="143">
        <v>6</v>
      </c>
      <c r="Y17" s="142">
        <v>50</v>
      </c>
      <c r="Z17" s="143">
        <f t="shared" si="11"/>
        <v>30</v>
      </c>
      <c r="AA17" s="144">
        <f t="shared" si="2"/>
        <v>80</v>
      </c>
      <c r="AB17" s="145">
        <f t="shared" si="3"/>
        <v>1643.4984444184001</v>
      </c>
      <c r="AC17" s="145">
        <f>+(S17-T17)*V17-'data 1'!$F$4</f>
        <v>85.344999999999999</v>
      </c>
      <c r="AD17" s="145">
        <f t="shared" si="4"/>
        <v>-9.9207850799232844</v>
      </c>
      <c r="AE17" s="145">
        <f>+(Y17*V17-'data 2'!$B$2)+V17*(Z17-IF(D17="UNTUCA",IF(+((W17-3)*2.5+(X17-3)*3.1)&gt;0,+((W17-3)*1.5+(X17-3)*3.1),0),IF(+((W17-3)*1.5+(X17-3)*3.1)&gt;0,+((W17-3)*1.5+(X17-3)*3.1),0)))</f>
        <v>-15.374289999999998</v>
      </c>
      <c r="AF17" s="145">
        <f t="shared" si="5"/>
        <v>-36.683547309158179</v>
      </c>
      <c r="AG17" s="145">
        <f t="shared" si="6"/>
        <v>23.366377610918526</v>
      </c>
      <c r="AH17" s="145">
        <f t="shared" si="7"/>
        <v>67.706644093354328</v>
      </c>
      <c r="AI17" s="143">
        <f t="shared" si="8"/>
        <v>186.7873103960832</v>
      </c>
      <c r="AJ17" s="143">
        <f t="shared" si="9"/>
        <v>69.419267180639508</v>
      </c>
      <c r="AK17" s="133">
        <f t="shared" si="10"/>
        <v>-1.7126230872851806</v>
      </c>
      <c r="AL17" s="144"/>
      <c r="AM17" s="144"/>
      <c r="AN17" s="142"/>
      <c r="AO17" s="142"/>
      <c r="AP17" s="142"/>
      <c r="AQ17" s="142"/>
      <c r="AR17" s="142"/>
      <c r="AS17" s="142"/>
      <c r="AT17" s="142"/>
    </row>
    <row r="18" spans="1:46" ht="15.75" customHeight="1">
      <c r="A18" s="134" t="s">
        <v>361</v>
      </c>
      <c r="B18" s="135">
        <v>45524</v>
      </c>
      <c r="C18" s="135">
        <v>45521</v>
      </c>
      <c r="D18" s="142" t="s">
        <v>93</v>
      </c>
      <c r="E18" s="142"/>
      <c r="F18" s="142" t="s">
        <v>362</v>
      </c>
      <c r="G18" s="90">
        <v>20</v>
      </c>
      <c r="H18" s="142" t="s">
        <v>108</v>
      </c>
      <c r="I18" s="143">
        <v>1.5</v>
      </c>
      <c r="J18" s="143">
        <v>18.5</v>
      </c>
      <c r="K18" s="138">
        <f t="shared" si="0"/>
        <v>1.2225000000000001</v>
      </c>
      <c r="L18" s="170">
        <v>2.879</v>
      </c>
      <c r="M18" s="132">
        <v>2.7949999999999999</v>
      </c>
      <c r="N18" s="153">
        <v>3.056</v>
      </c>
      <c r="O18" s="141">
        <f t="shared" si="1"/>
        <v>2.9260000000000002</v>
      </c>
      <c r="P18" s="142">
        <v>90</v>
      </c>
      <c r="Q18" s="142">
        <v>89.14</v>
      </c>
      <c r="R18" s="144">
        <v>2453.44</v>
      </c>
      <c r="S18" s="132">
        <v>340</v>
      </c>
      <c r="T18" s="142"/>
      <c r="U18" s="142">
        <v>130</v>
      </c>
      <c r="V18" s="142">
        <v>1.1023000000000001</v>
      </c>
      <c r="W18" s="143">
        <v>5</v>
      </c>
      <c r="X18" s="143">
        <v>8</v>
      </c>
      <c r="Y18" s="142">
        <v>50</v>
      </c>
      <c r="Z18" s="143">
        <f t="shared" si="11"/>
        <v>30</v>
      </c>
      <c r="AA18" s="144">
        <f t="shared" si="2"/>
        <v>80</v>
      </c>
      <c r="AB18" s="145">
        <f t="shared" si="3"/>
        <v>6281.5082434608012</v>
      </c>
      <c r="AC18" s="145">
        <f>+(S18-T18)*V18-'data 1'!$F$4</f>
        <v>294.78200000000004</v>
      </c>
      <c r="AD18" s="145">
        <f t="shared" si="4"/>
        <v>-63.41199042437276</v>
      </c>
      <c r="AE18" s="145">
        <f>+(Y18*V18-'data 2'!$B$2)+V18*(Z18-IF(D18="UNTUCA",IF(+((W18-3)*2.5+(X18-3)*3.1)&gt;0,+((W18-3)*1.5+(X18-3)*3.1),0),IF(+((W18-3)*1.5+(X18-3)*3.1)&gt;0,+((W18-3)*1.5+(X18-3)*3.1),0)))</f>
        <v>-22.208549999999995</v>
      </c>
      <c r="AF18" s="145">
        <f t="shared" si="5"/>
        <v>-107.30050277556995</v>
      </c>
      <c r="AG18" s="145">
        <f t="shared" si="6"/>
        <v>101.86095680005732</v>
      </c>
      <c r="AH18" s="145">
        <f t="shared" si="7"/>
        <v>107.56530963250188</v>
      </c>
      <c r="AI18" s="143">
        <f t="shared" si="8"/>
        <v>663.54144620721274</v>
      </c>
      <c r="AJ18" s="143">
        <f t="shared" si="9"/>
        <v>110.37602973908861</v>
      </c>
      <c r="AK18" s="133">
        <f t="shared" si="10"/>
        <v>-2.8107201065867287</v>
      </c>
      <c r="AL18" s="144"/>
      <c r="AM18" s="144"/>
      <c r="AN18" s="142"/>
      <c r="AO18" s="142"/>
      <c r="AP18" s="142"/>
      <c r="AQ18" s="142"/>
      <c r="AR18" s="142"/>
      <c r="AS18" s="142"/>
      <c r="AT18" s="142"/>
    </row>
    <row r="19" spans="1:46" ht="15.75" customHeight="1">
      <c r="A19" s="134" t="s">
        <v>363</v>
      </c>
      <c r="B19" s="135">
        <v>45544</v>
      </c>
      <c r="C19" s="135">
        <v>45521</v>
      </c>
      <c r="D19" s="142" t="s">
        <v>106</v>
      </c>
      <c r="E19" s="142"/>
      <c r="F19" s="142" t="s">
        <v>354</v>
      </c>
      <c r="G19" s="177">
        <v>150</v>
      </c>
      <c r="H19" s="142" t="s">
        <v>108</v>
      </c>
      <c r="I19" s="143">
        <v>12.06</v>
      </c>
      <c r="J19" s="143">
        <v>8.35</v>
      </c>
      <c r="K19" s="138">
        <f t="shared" si="0"/>
        <v>11.052990000000001</v>
      </c>
      <c r="L19" s="170">
        <v>0.33600000000000002</v>
      </c>
      <c r="M19" s="132">
        <v>0.245</v>
      </c>
      <c r="N19" s="157">
        <v>0.245</v>
      </c>
      <c r="O19" s="141">
        <f t="shared" si="1"/>
        <v>0.245</v>
      </c>
      <c r="P19" s="142">
        <v>90</v>
      </c>
      <c r="Q19" s="143">
        <v>89.13</v>
      </c>
      <c r="R19" s="144">
        <v>2453.44</v>
      </c>
      <c r="S19" s="132">
        <v>110</v>
      </c>
      <c r="T19" s="142"/>
      <c r="U19" s="142">
        <v>130</v>
      </c>
      <c r="V19" s="142">
        <v>1.1023000000000001</v>
      </c>
      <c r="W19" s="143">
        <v>5</v>
      </c>
      <c r="X19" s="143">
        <v>6</v>
      </c>
      <c r="Y19" s="142">
        <v>30</v>
      </c>
      <c r="Z19" s="143">
        <f t="shared" si="11"/>
        <v>30</v>
      </c>
      <c r="AA19" s="144">
        <f t="shared" si="2"/>
        <v>60</v>
      </c>
      <c r="AB19" s="145">
        <f t="shared" si="3"/>
        <v>377.33770459600004</v>
      </c>
      <c r="AC19" s="145">
        <f>+(S19-T19)*V19-'data 1'!$F$4</f>
        <v>41.253</v>
      </c>
      <c r="AD19" s="145">
        <f t="shared" si="4"/>
        <v>-7.48668911235844</v>
      </c>
      <c r="AE19" s="145">
        <f>+(Y19*V19-'data 2'!$B$2)+V19*(Z19-IF(D19="UNTUCA",IF(+((W19-3)*2.5+(X19-3)*3.1)&gt;0,+((W19-3)*1.5+(X19-3)*3.1),0),IF(+((W19-3)*1.5+(X19-3)*3.1)&gt;0,+((W19-3)*1.5+(X19-3)*3.1),0)))</f>
        <v>-37.420289999999994</v>
      </c>
      <c r="AF19" s="145">
        <f t="shared" si="5"/>
        <v>207.72873102486966</v>
      </c>
      <c r="AG19" s="145">
        <f t="shared" si="6"/>
        <v>204.07475191251123</v>
      </c>
      <c r="AH19" s="145">
        <f t="shared" si="7"/>
        <v>113.48854557281018</v>
      </c>
      <c r="AI19" s="143">
        <f t="shared" si="8"/>
        <v>77.431370168678399</v>
      </c>
      <c r="AJ19" s="143">
        <f t="shared" si="9"/>
        <v>83.559809303440687</v>
      </c>
      <c r="AK19" s="133">
        <f t="shared" si="10"/>
        <v>29.928736269369494</v>
      </c>
      <c r="AL19" s="144"/>
      <c r="AM19" s="144"/>
      <c r="AN19" s="142"/>
      <c r="AO19" s="142"/>
      <c r="AP19" s="142"/>
      <c r="AQ19" s="142"/>
      <c r="AR19" s="142"/>
      <c r="AS19" s="142"/>
      <c r="AT19" s="142"/>
    </row>
    <row r="20" spans="1:46" ht="15.75" customHeight="1">
      <c r="A20" s="134" t="s">
        <v>364</v>
      </c>
      <c r="B20" s="135">
        <v>45524</v>
      </c>
      <c r="C20" s="135">
        <v>45522</v>
      </c>
      <c r="D20" s="158" t="s">
        <v>129</v>
      </c>
      <c r="E20" s="142"/>
      <c r="F20" s="142"/>
      <c r="G20" s="90">
        <v>254</v>
      </c>
      <c r="H20" s="142" t="s">
        <v>69</v>
      </c>
      <c r="I20" s="142">
        <v>28.65</v>
      </c>
      <c r="J20" s="143">
        <v>1.1000000000000001</v>
      </c>
      <c r="K20" s="138">
        <f t="shared" si="0"/>
        <v>28.334849999999999</v>
      </c>
      <c r="L20" s="240">
        <v>0.67700000000000005</v>
      </c>
      <c r="M20" s="132">
        <v>0.627</v>
      </c>
      <c r="N20" s="157">
        <v>0.627</v>
      </c>
      <c r="O20" s="141">
        <f t="shared" si="1"/>
        <v>0.627</v>
      </c>
      <c r="P20" s="142">
        <v>90</v>
      </c>
      <c r="Q20" s="137">
        <v>89.81</v>
      </c>
      <c r="R20" s="144">
        <v>2508.14</v>
      </c>
      <c r="S20" s="80">
        <v>140</v>
      </c>
      <c r="T20" s="142"/>
      <c r="U20" s="142">
        <v>100</v>
      </c>
      <c r="V20" s="142">
        <v>1.1023000000000001</v>
      </c>
      <c r="W20" s="137">
        <v>5</v>
      </c>
      <c r="X20" s="137">
        <v>11</v>
      </c>
      <c r="Z20" s="143">
        <f t="shared" si="11"/>
        <v>30</v>
      </c>
      <c r="AA20" s="144">
        <f t="shared" si="2"/>
        <v>30</v>
      </c>
      <c r="AB20" s="145">
        <f t="shared" si="3"/>
        <v>1310.5392430246002</v>
      </c>
      <c r="AC20" s="145">
        <f>+(S20-T20)*V20-'data 1'!$F$4</f>
        <v>74.322000000000003</v>
      </c>
      <c r="AD20" s="145">
        <f t="shared" si="4"/>
        <v>-3.4144739883085595</v>
      </c>
      <c r="AE20" s="145">
        <f>+(Y20*V20-'data 2'!$B$2)+V20*(Z20-IF(D20="UNTUCA",IF(+((W20-3)*2.5+(X20-3)*3.1)&gt;0,+((W20-3)*1.5+(X20-3)*3.1),0),IF(+((W20-3)*1.5+(X20-3)*3.1)&gt;0,+((W20-3)*1.5+(X20-3)*3.1),0)))</f>
        <v>-87.574939999999998</v>
      </c>
      <c r="AF20" s="145">
        <f t="shared" si="5"/>
        <v>119.19999568141012</v>
      </c>
      <c r="AG20" s="145">
        <f>+IF(D20="RONALD WILLIAN GARIBAY ESCUDERO",AC20+AD20+AE20+AF20+80,AC20+AD20+AE20+AF20)</f>
        <v>182.53258169310158</v>
      </c>
      <c r="AH20" s="145">
        <f t="shared" si="7"/>
        <v>590.66787633102194</v>
      </c>
      <c r="AI20" s="137">
        <f t="shared" si="8"/>
        <v>100.4381953362887</v>
      </c>
      <c r="AJ20" s="137">
        <f t="shared" si="9"/>
        <v>548.20127015821458</v>
      </c>
      <c r="AK20" s="88">
        <f t="shared" si="10"/>
        <v>42.46660617280736</v>
      </c>
      <c r="AL20" s="144"/>
      <c r="AM20" s="144"/>
      <c r="AN20" s="142"/>
      <c r="AO20" s="142"/>
      <c r="AP20" s="142"/>
      <c r="AQ20" s="142"/>
      <c r="AR20" s="142"/>
      <c r="AS20" s="142"/>
      <c r="AT20" s="142"/>
    </row>
    <row r="21" spans="1:46" ht="15.75" customHeight="1">
      <c r="A21" s="134" t="s">
        <v>365</v>
      </c>
      <c r="B21" s="136">
        <v>45528</v>
      </c>
      <c r="C21" s="136">
        <v>45525</v>
      </c>
      <c r="D21" s="206" t="s">
        <v>366</v>
      </c>
      <c r="G21" s="90" t="s">
        <v>68</v>
      </c>
      <c r="H21" s="79" t="s">
        <v>69</v>
      </c>
      <c r="I21" s="137">
        <v>19.29</v>
      </c>
      <c r="J21" s="137">
        <v>1.2</v>
      </c>
      <c r="K21" s="138">
        <f t="shared" si="0"/>
        <v>19.058519999999998</v>
      </c>
      <c r="L21" s="80">
        <v>1.3779999999999999</v>
      </c>
      <c r="M21" s="80">
        <v>1.3220000000000001</v>
      </c>
      <c r="N21" s="140">
        <v>1.4550000000000001</v>
      </c>
      <c r="O21" s="141">
        <f t="shared" si="1"/>
        <v>1.389</v>
      </c>
      <c r="P21" s="79">
        <v>90</v>
      </c>
      <c r="Q21" s="137">
        <v>89.21</v>
      </c>
      <c r="R21" s="144">
        <v>2493.83</v>
      </c>
      <c r="S21" s="80">
        <v>210</v>
      </c>
      <c r="U21" s="79">
        <v>100</v>
      </c>
      <c r="V21" s="142">
        <v>1.1023000000000001</v>
      </c>
      <c r="W21" s="143">
        <v>5</v>
      </c>
      <c r="X21" s="143">
        <v>13.6</v>
      </c>
      <c r="Y21" s="142">
        <v>30</v>
      </c>
      <c r="Z21" s="160">
        <v>31</v>
      </c>
      <c r="AA21" s="144">
        <f t="shared" si="2"/>
        <v>61</v>
      </c>
      <c r="AB21" s="145">
        <f t="shared" si="3"/>
        <v>2999.9390831309001</v>
      </c>
      <c r="AC21" s="145">
        <f>+(S21-T21)*V21-'data 1'!$F$4</f>
        <v>151.483</v>
      </c>
      <c r="AD21" s="145">
        <f t="shared" si="4"/>
        <v>-28.725620698536023</v>
      </c>
      <c r="AE21" s="145">
        <f>+(Y21*V21-'data 2'!$B$2)+V21*(Z21-IF(D21="UNTUCA",IF(+((W21-3)*2.5+(X21-3)*3.1)&gt;0,+((W21-3)*1.5+(X21-3)*3.1),0),IF(+((W21-3)*1.5+(X21-3)*3.1)&gt;0,+((W21-3)*1.5+(X21-3)*3.1),0)))</f>
        <v>-62.288177999999995</v>
      </c>
      <c r="AF21" s="145">
        <f t="shared" si="5"/>
        <v>-25.894011544598182</v>
      </c>
      <c r="AG21" s="244">
        <f>+IF(D21="RONALD WILLIAN GARIBAY ESCUDERO",AC21+AD21+AE21+AF21+80,AC21+AD21+AE21+AF21)+90-10</f>
        <v>114.57518975686581</v>
      </c>
      <c r="AH21" s="145">
        <f t="shared" si="7"/>
        <v>803.26898443528569</v>
      </c>
      <c r="AI21" s="137">
        <f t="shared" si="8"/>
        <v>222.46226902765585</v>
      </c>
      <c r="AJ21" s="137">
        <f t="shared" si="9"/>
        <v>816.85128519874331</v>
      </c>
      <c r="AK21" s="88">
        <f t="shared" si="10"/>
        <v>-13.582300763457624</v>
      </c>
      <c r="AL21" s="57"/>
      <c r="AM21" s="57"/>
    </row>
    <row r="22" spans="1:46" ht="15.75" customHeight="1">
      <c r="A22" s="134" t="s">
        <v>367</v>
      </c>
      <c r="B22" s="135">
        <v>45531</v>
      </c>
      <c r="C22" s="135">
        <v>45525</v>
      </c>
      <c r="D22" s="142" t="s">
        <v>85</v>
      </c>
      <c r="E22" s="142"/>
      <c r="F22" s="142" t="s">
        <v>368</v>
      </c>
      <c r="G22" s="90">
        <v>47</v>
      </c>
      <c r="H22" s="142" t="s">
        <v>69</v>
      </c>
      <c r="I22" s="143">
        <v>3.72</v>
      </c>
      <c r="J22" s="143">
        <v>14.3</v>
      </c>
      <c r="K22" s="138">
        <f t="shared" si="0"/>
        <v>3.18804</v>
      </c>
      <c r="L22" s="240">
        <v>0.127</v>
      </c>
      <c r="M22" s="132">
        <v>0.11799999999999999</v>
      </c>
      <c r="N22" s="157">
        <v>0.128</v>
      </c>
      <c r="O22" s="141">
        <f t="shared" si="1"/>
        <v>0.123</v>
      </c>
      <c r="P22" s="203">
        <v>90</v>
      </c>
      <c r="Q22" s="137">
        <v>89.32</v>
      </c>
      <c r="R22" s="144">
        <v>2463.83</v>
      </c>
      <c r="S22" s="80">
        <v>100</v>
      </c>
      <c r="T22" s="142"/>
      <c r="U22" s="142">
        <v>100</v>
      </c>
      <c r="V22" s="142">
        <v>1.1023000000000001</v>
      </c>
      <c r="W22" s="143">
        <v>5</v>
      </c>
      <c r="X22" s="137">
        <v>14.35</v>
      </c>
      <c r="Y22" s="142">
        <v>20</v>
      </c>
      <c r="Z22" s="143">
        <f>IF(IF(D22="UNTUCA",IF(+((W22-3)*1.5+(X22-3)*3.1)&gt;0,+((W22-3)*1.5+(X22-3)*3.1),0),IF(+((W22-3)*1.5+(X22-3)*3.1)&gt;0,+((W22-3)*1.5+(X22-3)*3.1),0))&lt;30,30,IF(D22="UNTUCA",IF(+((W22-3)*1.5+(X22-3)*3.1)&gt;0,+((W22-3)*1.5+(X22-3)*3.1),0),IF(+((W22-3)*1.5+(X22-3)*3.1)&gt;0,+((W22-3)*1.5+(X22-3)*3.1),0)))</f>
        <v>38.185000000000002</v>
      </c>
      <c r="AA22" s="144">
        <f t="shared" si="2"/>
        <v>58.185000000000002</v>
      </c>
      <c r="AB22" s="145">
        <f t="shared" si="3"/>
        <v>114.07810835629998</v>
      </c>
      <c r="AC22" s="145">
        <f>+(S22-T22)*V22-'data 1'!$F$4</f>
        <v>30.230000000000004</v>
      </c>
      <c r="AD22" s="145">
        <f t="shared" si="4"/>
        <v>-2.2502391750524229</v>
      </c>
      <c r="AE22" s="145">
        <f>+(Y22*V22-'data 2'!$B$2)+V22*(Z22-IF(D22="UNTUCA",IF(+((W22-3)*2.5+(X22-3)*3.1)&gt;0,+((W22-3)*1.5+(X22-3)*3.1),0),IF(+((W22-3)*1.5+(X22-3)*3.1)&gt;0,+((W22-3)*1.5+(X22-3)*3.1),0)))</f>
        <v>-67.954000000000008</v>
      </c>
      <c r="AF22" s="145">
        <f t="shared" si="5"/>
        <v>9.3094656375952063</v>
      </c>
      <c r="AG22" s="145">
        <f>+IF(D22="RONALD WILLIAN GARIBAY ESCUDERO",AC22+AD22+AE22+AF22+80,AC22+AD22+AE22+AF22)</f>
        <v>-30.664773537457219</v>
      </c>
      <c r="AH22" s="145">
        <f t="shared" si="7"/>
        <v>12.398960214107841</v>
      </c>
      <c r="AI22" s="137">
        <f t="shared" si="8"/>
        <v>24.279200042112411</v>
      </c>
      <c r="AJ22" s="137">
        <f t="shared" si="9"/>
        <v>12.099862969044663</v>
      </c>
      <c r="AK22" s="88">
        <f t="shared" si="10"/>
        <v>0.29909724506317836</v>
      </c>
      <c r="AL22" s="144" t="s">
        <v>369</v>
      </c>
      <c r="AM22" s="144"/>
      <c r="AN22" s="142"/>
      <c r="AO22" s="142"/>
      <c r="AP22" s="142"/>
      <c r="AQ22" s="142"/>
      <c r="AR22" s="142"/>
      <c r="AS22" s="142"/>
      <c r="AT22" s="142"/>
    </row>
    <row r="23" spans="1:46" ht="15.75" customHeight="1">
      <c r="A23" s="134" t="s">
        <v>370</v>
      </c>
      <c r="B23" s="135">
        <v>45531</v>
      </c>
      <c r="C23" s="136">
        <v>45525</v>
      </c>
      <c r="D23" s="79" t="s">
        <v>85</v>
      </c>
      <c r="F23" s="142" t="s">
        <v>368</v>
      </c>
      <c r="G23" s="90">
        <v>89</v>
      </c>
      <c r="H23" s="79" t="s">
        <v>69</v>
      </c>
      <c r="I23" s="137">
        <v>7.13</v>
      </c>
      <c r="J23" s="137">
        <v>11.3</v>
      </c>
      <c r="K23" s="138">
        <f t="shared" si="0"/>
        <v>6.3243099999999997</v>
      </c>
      <c r="L23" s="139">
        <v>0.11</v>
      </c>
      <c r="M23" s="80">
        <v>0.105</v>
      </c>
      <c r="N23" s="166">
        <v>0.109</v>
      </c>
      <c r="O23" s="141">
        <f t="shared" si="1"/>
        <v>0.107</v>
      </c>
      <c r="P23" s="203">
        <v>90</v>
      </c>
      <c r="Q23" s="137">
        <v>88.89</v>
      </c>
      <c r="R23" s="144">
        <v>2463.83</v>
      </c>
      <c r="S23" s="80">
        <v>100</v>
      </c>
      <c r="U23" s="79">
        <v>100</v>
      </c>
      <c r="V23" s="142">
        <v>1.1023000000000001</v>
      </c>
      <c r="W23" s="143">
        <v>5</v>
      </c>
      <c r="X23" s="137">
        <v>10.1</v>
      </c>
      <c r="Y23" s="142">
        <v>20</v>
      </c>
      <c r="Z23" s="143">
        <f>IF(IF(D23="UNTUCA",IF(+((W23-3)*1.5+(X23-3)*3.1)&gt;0,+((W23-3)*1.5+(X23-3)*3.1),0),IF(+((W23-3)*1.5+(X23-3)*3.1)&gt;0,+((W23-3)*1.5+(X23-3)*3.1),0))&lt;30,30,IF(D23="UNTUCA",IF(+((W23-3)*1.5+(X23-3)*3.1)&gt;0,+((W23-3)*1.5+(X23-3)*3.1),0),IF(+((W23-3)*1.5+(X23-3)*3.1)&gt;0,+((W23-3)*1.5+(X23-3)*3.1),0)))</f>
        <v>30</v>
      </c>
      <c r="AA23" s="144">
        <f t="shared" si="2"/>
        <v>50</v>
      </c>
      <c r="AB23" s="145">
        <f t="shared" si="3"/>
        <v>85.579076606699942</v>
      </c>
      <c r="AC23" s="145">
        <f>+(S23-T23)*V23-'data 1'!$F$4</f>
        <v>30.230000000000004</v>
      </c>
      <c r="AD23" s="145">
        <f t="shared" si="4"/>
        <v>-3.1814984167889988</v>
      </c>
      <c r="AE23" s="145">
        <f>+(Y23*V23-'data 2'!$B$2)+V23*(Z23-IF(D23="UNTUCA",IF(+((W23-3)*2.5+(X23-3)*3.1)&gt;0,+((W23-3)*1.5+(X23-3)*3.1),0),IF(+((W23-3)*1.5+(X23-3)*3.1)&gt;0,+((W23-3)*1.5+(X23-3)*3.1),0)))</f>
        <v>-62.453523000000004</v>
      </c>
      <c r="AF23" s="145">
        <f t="shared" si="5"/>
        <v>6.9484863456603065</v>
      </c>
      <c r="AG23" s="145">
        <f>+IF(D23="RONALD WILLIAN GARIBAY ESCUDERO",AC23+AD23+AE23+AF23+80,AC23+AD23+AE23+AF23)</f>
        <v>-28.456535071128691</v>
      </c>
      <c r="AH23" s="145">
        <f t="shared" si="7"/>
        <v>21.201559660480392</v>
      </c>
      <c r="AI23" s="137">
        <f t="shared" si="8"/>
        <v>20.927990494389011</v>
      </c>
      <c r="AJ23" s="137">
        <f t="shared" si="9"/>
        <v>20.880865986605112</v>
      </c>
      <c r="AK23" s="88">
        <f t="shared" si="10"/>
        <v>0.32069367387527947</v>
      </c>
      <c r="AL23" s="144" t="s">
        <v>369</v>
      </c>
      <c r="AM23" s="57"/>
    </row>
    <row r="24" spans="1:46" ht="15.75" customHeight="1">
      <c r="A24" s="134" t="s">
        <v>371</v>
      </c>
      <c r="B24" s="135">
        <v>45531</v>
      </c>
      <c r="C24" s="136">
        <v>45525</v>
      </c>
      <c r="D24" s="79" t="s">
        <v>85</v>
      </c>
      <c r="F24" s="79" t="s">
        <v>159</v>
      </c>
      <c r="G24" s="90">
        <v>12</v>
      </c>
      <c r="H24" s="79" t="s">
        <v>69</v>
      </c>
      <c r="I24" s="137">
        <v>1</v>
      </c>
      <c r="J24" s="137">
        <v>2</v>
      </c>
      <c r="K24" s="138">
        <f t="shared" si="0"/>
        <v>0.98</v>
      </c>
      <c r="L24" s="80">
        <v>0.24</v>
      </c>
      <c r="M24" s="80">
        <v>0.223</v>
      </c>
      <c r="N24" s="166">
        <v>0.223</v>
      </c>
      <c r="O24" s="141">
        <f t="shared" si="1"/>
        <v>0.223</v>
      </c>
      <c r="P24" s="203">
        <v>90</v>
      </c>
      <c r="Q24" s="137">
        <v>89.43</v>
      </c>
      <c r="R24" s="144">
        <v>2463.83</v>
      </c>
      <c r="S24" s="80">
        <v>125</v>
      </c>
      <c r="U24" s="79">
        <v>130</v>
      </c>
      <c r="V24" s="142">
        <v>1.1023000000000001</v>
      </c>
      <c r="W24" s="143">
        <v>5</v>
      </c>
      <c r="X24" s="137">
        <v>5</v>
      </c>
      <c r="Y24" s="79">
        <v>50</v>
      </c>
      <c r="Z24" s="143">
        <f>IF(IF(D24="UNTUCA",IF(+((W24-3)*1.5+(X24-3)*3.1)&gt;0,+((W24-3)*1.5+(X24-3)*3.1),0),IF(+((W24-3)*1.5+(X24-3)*3.1)&gt;0,+((W24-3)*1.5+(X24-3)*3.1),0))&lt;30,30,IF(D24="UNTUCA",IF(+((W24-3)*1.5+(X24-3)*3.1)&gt;0,+((W24-3)*1.5+(X24-3)*3.1),0),IF(+((W24-3)*1.5+(X24-3)*3.1)&gt;0,+((W24-3)*1.5+(X24-3)*3.1),0)))</f>
        <v>30</v>
      </c>
      <c r="AA24" s="144">
        <f t="shared" si="2"/>
        <v>80</v>
      </c>
      <c r="AB24" s="145">
        <f t="shared" si="3"/>
        <v>290.3454683663</v>
      </c>
      <c r="AC24" s="145">
        <f>+(S24-T24)*V24-'data 1'!$F$4</f>
        <v>57.787499999999994</v>
      </c>
      <c r="AD24" s="145">
        <f t="shared" si="4"/>
        <v>-3.5192905467119577</v>
      </c>
      <c r="AE24" s="145">
        <f>+(Y24*V24-'data 2'!$B$2)+V24*(Z24-IF(D24="UNTUCA",IF(+((W24-3)*2.5+(X24-3)*3.1)&gt;0,+((W24-3)*1.5+(X24-3)*3.1),0),IF(+((W24-3)*1.5+(X24-3)*3.1)&gt;0,+((W24-3)*1.5+(X24-3)*3.1),0)))</f>
        <v>-11.957159999999995</v>
      </c>
      <c r="AF24" s="145">
        <f t="shared" si="5"/>
        <v>39.111203297307874</v>
      </c>
      <c r="AG24" s="145">
        <f>+IF(D24="RONALD WILLIAN GARIBAY ESCUDERO",AC24+AD24+AE24+AF24+80,AC24+AD24+AE24+AF24)</f>
        <v>81.422252750595916</v>
      </c>
      <c r="AH24" s="145">
        <f t="shared" si="7"/>
        <v>7.2115665797886495</v>
      </c>
      <c r="AI24" s="137">
        <f t="shared" si="8"/>
        <v>53.036123311512029</v>
      </c>
      <c r="AJ24" s="137">
        <f t="shared" si="9"/>
        <v>6.7434558340023001</v>
      </c>
      <c r="AK24" s="88">
        <f t="shared" si="10"/>
        <v>0.46811074578634937</v>
      </c>
      <c r="AL24" s="57"/>
      <c r="AM24" s="57"/>
    </row>
    <row r="25" spans="1:46" ht="15.75" customHeight="1">
      <c r="A25" s="134" t="s">
        <v>372</v>
      </c>
      <c r="B25" s="135">
        <v>45531</v>
      </c>
      <c r="C25" s="136">
        <v>45525</v>
      </c>
      <c r="D25" s="79" t="s">
        <v>85</v>
      </c>
      <c r="F25" s="79" t="s">
        <v>159</v>
      </c>
      <c r="G25" s="90">
        <v>84</v>
      </c>
      <c r="H25" s="79" t="s">
        <v>69</v>
      </c>
      <c r="I25" s="137">
        <v>7.22</v>
      </c>
      <c r="J25" s="137">
        <v>7.2</v>
      </c>
      <c r="K25" s="138">
        <f t="shared" si="0"/>
        <v>6.7001599999999994</v>
      </c>
      <c r="L25" s="80">
        <v>1.3540000000000001</v>
      </c>
      <c r="M25" s="80">
        <v>1.2989999999999999</v>
      </c>
      <c r="N25" s="140">
        <v>1.349</v>
      </c>
      <c r="O25" s="141">
        <f t="shared" si="1"/>
        <v>1.3240000000000001</v>
      </c>
      <c r="P25" s="203">
        <v>90</v>
      </c>
      <c r="Q25" s="137">
        <v>89.54</v>
      </c>
      <c r="R25" s="144">
        <v>2463.83</v>
      </c>
      <c r="S25" s="80">
        <v>215</v>
      </c>
      <c r="U25" s="79">
        <v>130</v>
      </c>
      <c r="V25" s="142">
        <v>1.1023000000000001</v>
      </c>
      <c r="W25" s="143">
        <v>5</v>
      </c>
      <c r="X25" s="137">
        <v>8.5500000000000007</v>
      </c>
      <c r="Y25" s="79">
        <v>50</v>
      </c>
      <c r="Z25" s="143">
        <f>IF(IF(D25="UNTUCA",IF(+((W25-3)*1.5+(X25-3)*3.1)&gt;0,+((W25-3)*1.5+(X25-3)*3.1),0),IF(+((W25-3)*1.5+(X25-3)*3.1)&gt;0,+((W25-3)*1.5+(X25-3)*3.1),0))&lt;30,30,IF(D25="UNTUCA",IF(+((W25-3)*1.5+(X25-3)*3.1)&gt;0,+((W25-3)*1.5+(X25-3)*3.1),0),IF(+((W25-3)*1.5+(X25-3)*3.1)&gt;0,+((W25-3)*1.5+(X25-3)*3.1),0)))</f>
        <v>30</v>
      </c>
      <c r="AA25" s="144">
        <f t="shared" si="2"/>
        <v>80</v>
      </c>
      <c r="AB25" s="145">
        <f t="shared" si="3"/>
        <v>2740.3087920044004</v>
      </c>
      <c r="AC25" s="145">
        <f>+(S25-T25)*V25-'data 1'!$F$4</f>
        <v>156.99450000000002</v>
      </c>
      <c r="AD25" s="145">
        <f t="shared" si="4"/>
        <v>-16.023062310775384</v>
      </c>
      <c r="AE25" s="145">
        <f>+(Y25*V25-'data 2'!$B$2)+V25*(Z25-IF(D25="UNTUCA",IF(+((W25-3)*2.5+(X25-3)*3.1)&gt;0,+((W25-3)*1.5+(X25-3)*3.1),0),IF(+((W25-3)*1.5+(X25-3)*3.1)&gt;0,+((W25-3)*1.5+(X25-3)*3.1),0)))</f>
        <v>-24.087971500000002</v>
      </c>
      <c r="AF25" s="145">
        <f t="shared" si="5"/>
        <v>69.104665691358065</v>
      </c>
      <c r="AG25" s="145">
        <f>+IF(D25="RONALD WILLIAN GARIBAY ESCUDERO",AC25+AD25+AE25+AF25+80,AC25+AD25+AE25+AF25)</f>
        <v>185.9881318805827</v>
      </c>
      <c r="AH25" s="145">
        <f t="shared" si="7"/>
        <v>278.50307679847856</v>
      </c>
      <c r="AI25" s="137">
        <f t="shared" si="8"/>
        <v>299.58016361481577</v>
      </c>
      <c r="AJ25" s="137">
        <f t="shared" si="9"/>
        <v>273.73147499749007</v>
      </c>
      <c r="AK25" s="88">
        <f t="shared" si="10"/>
        <v>4.771601800988492</v>
      </c>
      <c r="AL25" s="57"/>
      <c r="AM25" s="57"/>
    </row>
    <row r="26" spans="1:46" ht="15.75" customHeight="1">
      <c r="A26" s="134" t="s">
        <v>373</v>
      </c>
      <c r="B26" s="135">
        <v>45531</v>
      </c>
      <c r="C26" s="136">
        <v>45525</v>
      </c>
      <c r="D26" s="79" t="s">
        <v>85</v>
      </c>
      <c r="F26" s="79" t="s">
        <v>159</v>
      </c>
      <c r="G26" s="90">
        <v>351</v>
      </c>
      <c r="H26" s="79" t="s">
        <v>69</v>
      </c>
      <c r="I26" s="137">
        <v>22.92</v>
      </c>
      <c r="J26" s="137">
        <v>8.1</v>
      </c>
      <c r="K26" s="138">
        <f t="shared" si="0"/>
        <v>21.063480000000002</v>
      </c>
      <c r="L26" s="80">
        <v>0.46400000000000002</v>
      </c>
      <c r="M26" s="80">
        <v>0.432</v>
      </c>
      <c r="N26" s="140">
        <v>0.52600000000000002</v>
      </c>
      <c r="O26" s="141">
        <f t="shared" si="1"/>
        <v>0.47899999999999998</v>
      </c>
      <c r="P26" s="203">
        <v>90</v>
      </c>
      <c r="Q26" s="137">
        <v>89.8</v>
      </c>
      <c r="R26" s="144">
        <v>2463.83</v>
      </c>
      <c r="S26" s="80">
        <v>155</v>
      </c>
      <c r="U26" s="79">
        <v>130</v>
      </c>
      <c r="V26" s="142">
        <v>1.1023000000000001</v>
      </c>
      <c r="W26" s="143">
        <v>5</v>
      </c>
      <c r="X26" s="137">
        <v>7.65</v>
      </c>
      <c r="Y26" s="79">
        <v>50</v>
      </c>
      <c r="Z26" s="143">
        <f>IF(IF(D26="UNTUCA",IF(+((W26-3)*1.5+(X26-3)*3.1)&gt;0,+((W26-3)*1.5+(X26-3)*3.1),0),IF(+((W26-3)*1.5+(X26-3)*3.1)&gt;0,+((W26-3)*1.5+(X26-3)*3.1),0))&lt;30,30,IF(D26="UNTUCA",IF(+((W26-3)*1.5+(X26-3)*3.1)&gt;0,+((W26-3)*1.5+(X26-3)*3.1),0),IF(+((W26-3)*1.5+(X26-3)*3.1)&gt;0,+((W26-3)*1.5+(X26-3)*3.1),0)))</f>
        <v>30</v>
      </c>
      <c r="AA26" s="144">
        <f t="shared" si="2"/>
        <v>80</v>
      </c>
      <c r="AB26" s="145">
        <f t="shared" si="3"/>
        <v>849.99908675990002</v>
      </c>
      <c r="AC26" s="145">
        <f>+(S26-T26)*V26-'data 1'!$F$4</f>
        <v>90.856500000000011</v>
      </c>
      <c r="AD26" s="145">
        <f t="shared" si="4"/>
        <v>-2.3873549907520344</v>
      </c>
      <c r="AE26" s="145">
        <f>+(Y26*V26-'data 2'!$B$2)+V26*(Z26-IF(D26="UNTUCA",IF(+((W26-3)*2.5+(X26-3)*3.1)&gt;0,+((W26-3)*1.5+(X26-3)*3.1),0),IF(+((W26-3)*1.5+(X26-3)*3.1)&gt;0,+((W26-3)*1.5+(X26-3)*3.1),0)))</f>
        <v>-21.012554499999997</v>
      </c>
      <c r="AF26" s="145">
        <f t="shared" si="5"/>
        <v>-34.652663497229902</v>
      </c>
      <c r="AG26" s="145">
        <f>+IF(D26="RONALD WILLIAN GARIBAY ESCUDERO",AC26+AD26+AE26+AF26+80,AC26+AD26+AE26+AF26)</f>
        <v>32.803927012018086</v>
      </c>
      <c r="AH26" s="145">
        <f t="shared" si="7"/>
        <v>300.90784552254519</v>
      </c>
      <c r="AI26" s="137">
        <f t="shared" si="8"/>
        <v>102.96073079715205</v>
      </c>
      <c r="AJ26" s="137">
        <f t="shared" si="9"/>
        <v>311.32730830189985</v>
      </c>
      <c r="AK26" s="88">
        <f t="shared" si="10"/>
        <v>-10.41946277935466</v>
      </c>
      <c r="AL26" s="57"/>
      <c r="AM26" s="57"/>
    </row>
    <row r="27" spans="1:46" ht="15.75" customHeight="1">
      <c r="A27" s="134" t="s">
        <v>374</v>
      </c>
      <c r="B27" s="136">
        <v>45532</v>
      </c>
      <c r="C27" s="136">
        <v>45530</v>
      </c>
      <c r="D27" s="206" t="s">
        <v>119</v>
      </c>
      <c r="F27" s="79" t="s">
        <v>375</v>
      </c>
      <c r="G27" s="90"/>
      <c r="H27" s="79" t="s">
        <v>69</v>
      </c>
      <c r="I27" s="79">
        <v>3.73</v>
      </c>
      <c r="J27" s="137">
        <v>2.35</v>
      </c>
      <c r="K27" s="138">
        <f t="shared" si="0"/>
        <v>3.6423450000000002</v>
      </c>
      <c r="L27" s="80">
        <v>9.0999999999999998E-2</v>
      </c>
      <c r="M27" s="139">
        <v>8.3000000000000004E-2</v>
      </c>
      <c r="N27" s="166">
        <v>8.3000000000000004E-2</v>
      </c>
      <c r="O27" s="141">
        <f t="shared" si="1"/>
        <v>8.3000000000000004E-2</v>
      </c>
      <c r="P27" s="203">
        <v>85</v>
      </c>
      <c r="Q27" s="143">
        <v>89.05</v>
      </c>
      <c r="R27" s="57">
        <v>2519.4899999999998</v>
      </c>
      <c r="S27" s="80">
        <v>95</v>
      </c>
      <c r="U27" s="79">
        <v>80</v>
      </c>
      <c r="V27" s="142">
        <v>1.1023000000000001</v>
      </c>
      <c r="W27" s="137">
        <v>5</v>
      </c>
      <c r="X27" s="137">
        <v>7.2</v>
      </c>
      <c r="Z27" s="245">
        <v>10</v>
      </c>
      <c r="AA27" s="144">
        <f t="shared" si="2"/>
        <v>10</v>
      </c>
      <c r="AB27" s="145">
        <f t="shared" si="3"/>
        <v>73.970965294850004</v>
      </c>
      <c r="AC27" s="145">
        <f>+(S27-T27)*V27-'data 1'!$F$4</f>
        <v>24.718500000000006</v>
      </c>
      <c r="AD27" s="145">
        <f t="shared" si="4"/>
        <v>9.9104931374084924</v>
      </c>
      <c r="AE27" s="145">
        <f>+(Y27*V27-'data 2'!$B$2)+V27*(Z27-IF(D27="UNTUCA",IF(+((W27-3)*2.5+(X27-3)*3.1)&gt;0,+((W27-3)*1.5+(X27-3)*3.1),0),IF(+((W27-3)*1.5+(X27-3)*3.1)&gt;0,+((W27-3)*1.5+(X27-3)*3.1),0)))</f>
        <v>-96.635846000000001</v>
      </c>
      <c r="AF27" s="145">
        <f t="shared" si="5"/>
        <v>19.156790967547987</v>
      </c>
      <c r="AG27" s="244">
        <f t="shared" ref="AG27:AG33" si="12">+IF(D27="RONALD WILLIAN GARIBAY ESCUDERO",AC27+AD27+AE27+AF27+80,AC27+AD27+AE27+AF27)+90</f>
        <v>47.14993810495649</v>
      </c>
      <c r="AH27" s="145">
        <f t="shared" si="7"/>
        <v>10.11964936271182</v>
      </c>
      <c r="AI27" s="137">
        <f t="shared" si="8"/>
        <v>10.585956904841519</v>
      </c>
      <c r="AJ27" s="137">
        <f t="shared" si="9"/>
        <v>8.8102283880437469</v>
      </c>
      <c r="AK27" s="88">
        <f t="shared" si="10"/>
        <v>1.3094209746680736</v>
      </c>
      <c r="AL27" s="57"/>
      <c r="AM27" s="57"/>
    </row>
    <row r="28" spans="1:46" ht="15.75" customHeight="1">
      <c r="A28" s="134" t="s">
        <v>376</v>
      </c>
      <c r="B28" s="136">
        <v>45532</v>
      </c>
      <c r="C28" s="136">
        <v>45530</v>
      </c>
      <c r="D28" s="206" t="s">
        <v>119</v>
      </c>
      <c r="F28" s="79" t="s">
        <v>375</v>
      </c>
      <c r="G28" s="90"/>
      <c r="H28" s="79" t="s">
        <v>69</v>
      </c>
      <c r="I28" s="79">
        <v>3.71</v>
      </c>
      <c r="J28" s="137">
        <v>1.2</v>
      </c>
      <c r="K28" s="138">
        <f t="shared" si="0"/>
        <v>3.6654800000000001</v>
      </c>
      <c r="L28" s="80">
        <v>0.16500000000000001</v>
      </c>
      <c r="M28" s="139">
        <v>0.153</v>
      </c>
      <c r="N28" s="166">
        <v>0.153</v>
      </c>
      <c r="O28" s="141">
        <f t="shared" si="1"/>
        <v>0.153</v>
      </c>
      <c r="P28" s="203">
        <v>85</v>
      </c>
      <c r="Q28" s="143">
        <v>89.63</v>
      </c>
      <c r="R28" s="57">
        <v>2519.4899999999998</v>
      </c>
      <c r="S28" s="80">
        <v>95</v>
      </c>
      <c r="U28" s="79">
        <v>80</v>
      </c>
      <c r="V28" s="142">
        <v>1.1023000000000001</v>
      </c>
      <c r="W28" s="137">
        <v>5</v>
      </c>
      <c r="X28" s="137">
        <v>7.1</v>
      </c>
      <c r="Z28" s="245">
        <v>10</v>
      </c>
      <c r="AA28" s="144">
        <f t="shared" si="2"/>
        <v>10</v>
      </c>
      <c r="AB28" s="145">
        <f t="shared" si="3"/>
        <v>233.96943000134993</v>
      </c>
      <c r="AC28" s="145">
        <f>+(S28-T28)*V28-'data 1'!$F$4</f>
        <v>24.718500000000006</v>
      </c>
      <c r="AD28" s="145">
        <f t="shared" si="4"/>
        <v>20.542996153366481</v>
      </c>
      <c r="AE28" s="145">
        <f>+(Y28*V28-'data 2'!$B$2)+V28*(Z28-IF(D28="UNTUCA",IF(+((W28-3)*2.5+(X28-3)*3.1)&gt;0,+((W28-3)*1.5+(X28-3)*3.1),0),IF(+((W28-3)*1.5+(X28-3)*3.1)&gt;0,+((W28-3)*1.5+(X28-3)*3.1),0)))</f>
        <v>-96.294133000000002</v>
      </c>
      <c r="AF28" s="145">
        <f t="shared" si="5"/>
        <v>28.922344319281219</v>
      </c>
      <c r="AG28" s="244">
        <f t="shared" si="12"/>
        <v>67.8897074726477</v>
      </c>
      <c r="AH28" s="145">
        <f t="shared" si="7"/>
        <v>18.585629019385134</v>
      </c>
      <c r="AI28" s="137">
        <f t="shared" si="8"/>
        <v>19.319333794183535</v>
      </c>
      <c r="AJ28" s="137">
        <f t="shared" si="9"/>
        <v>16.343696164846296</v>
      </c>
      <c r="AK28" s="88">
        <f t="shared" si="10"/>
        <v>2.2419328545388382</v>
      </c>
      <c r="AL28" s="57"/>
      <c r="AM28" s="57"/>
    </row>
    <row r="29" spans="1:46" ht="15.75" customHeight="1">
      <c r="A29" s="134" t="s">
        <v>377</v>
      </c>
      <c r="B29" s="136">
        <v>45532</v>
      </c>
      <c r="C29" s="136">
        <v>45530</v>
      </c>
      <c r="D29" s="206" t="s">
        <v>119</v>
      </c>
      <c r="F29" s="79" t="s">
        <v>375</v>
      </c>
      <c r="G29" s="90"/>
      <c r="H29" s="79" t="s">
        <v>69</v>
      </c>
      <c r="I29" s="79">
        <v>4.37</v>
      </c>
      <c r="J29" s="137">
        <v>0.8</v>
      </c>
      <c r="K29" s="138">
        <f t="shared" si="0"/>
        <v>4.3350400000000002</v>
      </c>
      <c r="L29" s="80">
        <v>0.14599999999999999</v>
      </c>
      <c r="M29" s="139">
        <v>0.13600000000000001</v>
      </c>
      <c r="N29" s="166">
        <v>0.13600000000000001</v>
      </c>
      <c r="O29" s="141">
        <f t="shared" si="1"/>
        <v>0.13600000000000001</v>
      </c>
      <c r="P29" s="203">
        <v>85</v>
      </c>
      <c r="Q29" s="143">
        <v>89.16</v>
      </c>
      <c r="R29" s="57">
        <v>2519.4899999999998</v>
      </c>
      <c r="S29" s="80">
        <v>95</v>
      </c>
      <c r="U29" s="79">
        <v>80</v>
      </c>
      <c r="V29" s="142">
        <v>1.1023000000000001</v>
      </c>
      <c r="W29" s="137">
        <v>5</v>
      </c>
      <c r="X29" s="137">
        <v>7.2</v>
      </c>
      <c r="Z29" s="245">
        <v>10</v>
      </c>
      <c r="AA29" s="144">
        <f t="shared" si="2"/>
        <v>10</v>
      </c>
      <c r="AB29" s="145">
        <f t="shared" si="3"/>
        <v>195.1126600012</v>
      </c>
      <c r="AC29" s="145">
        <f>+(S29-T29)*V29-'data 1'!$F$4</f>
        <v>24.718500000000006</v>
      </c>
      <c r="AD29" s="145">
        <f t="shared" si="4"/>
        <v>16.33221302926718</v>
      </c>
      <c r="AE29" s="145">
        <f>+(Y29*V29-'data 2'!$B$2)+V29*(Z29-IF(D29="UNTUCA",IF(+((W29-3)*2.5+(X29-3)*3.1)&gt;0,+((W29-3)*1.5+(X29-3)*3.1),0),IF(+((W29-3)*1.5+(X29-3)*3.1)&gt;0,+((W29-3)*1.5+(X29-3)*3.1),0)))</f>
        <v>-96.635846000000001</v>
      </c>
      <c r="AF29" s="145">
        <f t="shared" si="5"/>
        <v>23.975568257531954</v>
      </c>
      <c r="AG29" s="244">
        <f t="shared" si="12"/>
        <v>58.390435286799139</v>
      </c>
      <c r="AH29" s="145">
        <f t="shared" si="7"/>
        <v>19.34751063216245</v>
      </c>
      <c r="AI29" s="137">
        <f t="shared" si="8"/>
        <v>17.005042478272834</v>
      </c>
      <c r="AJ29" s="137">
        <f t="shared" si="9"/>
        <v>17.18145790757865</v>
      </c>
      <c r="AK29" s="88">
        <f t="shared" si="10"/>
        <v>2.1660527245837997</v>
      </c>
      <c r="AL29" s="57"/>
      <c r="AM29" s="57"/>
    </row>
    <row r="30" spans="1:46" ht="15.75" customHeight="1">
      <c r="A30" s="134" t="s">
        <v>378</v>
      </c>
      <c r="B30" s="136">
        <v>45532</v>
      </c>
      <c r="C30" s="136">
        <v>45530</v>
      </c>
      <c r="D30" s="206" t="s">
        <v>119</v>
      </c>
      <c r="F30" s="79" t="s">
        <v>375</v>
      </c>
      <c r="G30" s="90"/>
      <c r="H30" s="79" t="s">
        <v>69</v>
      </c>
      <c r="I30" s="79">
        <v>4.5599999999999996</v>
      </c>
      <c r="J30" s="137">
        <v>1.25</v>
      </c>
      <c r="K30" s="138">
        <f t="shared" si="0"/>
        <v>4.5029999999999992</v>
      </c>
      <c r="L30" s="80">
        <v>0.14099999999999999</v>
      </c>
      <c r="M30" s="139">
        <v>0.13100000000000001</v>
      </c>
      <c r="N30" s="166">
        <v>0.13100000000000001</v>
      </c>
      <c r="O30" s="141">
        <f t="shared" si="1"/>
        <v>0.13100000000000001</v>
      </c>
      <c r="P30" s="203">
        <v>85</v>
      </c>
      <c r="Q30" s="143">
        <v>89.5</v>
      </c>
      <c r="R30" s="57">
        <v>2519.4899999999998</v>
      </c>
      <c r="S30" s="80">
        <v>95</v>
      </c>
      <c r="U30" s="79">
        <v>80</v>
      </c>
      <c r="V30" s="142">
        <v>1.1023000000000001</v>
      </c>
      <c r="W30" s="137">
        <v>5</v>
      </c>
      <c r="X30" s="137">
        <v>7.2</v>
      </c>
      <c r="Z30" s="245">
        <v>10</v>
      </c>
      <c r="AA30" s="144">
        <f t="shared" si="2"/>
        <v>10</v>
      </c>
      <c r="AB30" s="145">
        <f t="shared" si="3"/>
        <v>183.68419823644999</v>
      </c>
      <c r="AC30" s="145">
        <f>+(S30-T30)*V30-'data 1'!$F$4</f>
        <v>24.718500000000006</v>
      </c>
      <c r="AD30" s="145">
        <f t="shared" si="4"/>
        <v>17.062021152314998</v>
      </c>
      <c r="AE30" s="145">
        <f>+(Y30*V30-'data 2'!$B$2)+V30*(Z30-IF(D30="UNTUCA",IF(+((W30-3)*2.5+(X30-3)*3.1)&gt;0,+((W30-3)*1.5+(X30-3)*3.1),0),IF(+((W30-3)*1.5+(X30-3)*3.1)&gt;0,+((W30-3)*1.5+(X30-3)*3.1),0)))</f>
        <v>-96.635846000000001</v>
      </c>
      <c r="AF30" s="145">
        <f t="shared" si="5"/>
        <v>24.06699595164995</v>
      </c>
      <c r="AG30" s="244">
        <f t="shared" si="12"/>
        <v>59.211671103964953</v>
      </c>
      <c r="AH30" s="145">
        <f t="shared" si="7"/>
        <v>19.482880385998779</v>
      </c>
      <c r="AI30" s="137">
        <f t="shared" si="8"/>
        <v>16.485303744735027</v>
      </c>
      <c r="AJ30" s="137">
        <f t="shared" si="9"/>
        <v>17.191003851031851</v>
      </c>
      <c r="AK30" s="88">
        <f t="shared" si="10"/>
        <v>2.2918765349669279</v>
      </c>
      <c r="AL30" s="57"/>
      <c r="AM30" s="57"/>
    </row>
    <row r="31" spans="1:46" ht="15.75" customHeight="1">
      <c r="A31" s="134" t="s">
        <v>379</v>
      </c>
      <c r="B31" s="136">
        <v>45532</v>
      </c>
      <c r="C31" s="136">
        <v>45530</v>
      </c>
      <c r="D31" s="206" t="s">
        <v>119</v>
      </c>
      <c r="F31" s="79" t="s">
        <v>375</v>
      </c>
      <c r="G31" s="90"/>
      <c r="H31" s="79" t="s">
        <v>69</v>
      </c>
      <c r="I31" s="79">
        <v>4.0199999999999996</v>
      </c>
      <c r="J31" s="137">
        <v>1.25</v>
      </c>
      <c r="K31" s="138">
        <f t="shared" si="0"/>
        <v>3.9697499999999994</v>
      </c>
      <c r="L31" s="80">
        <v>0.10100000000000001</v>
      </c>
      <c r="M31" s="139">
        <v>9.4E-2</v>
      </c>
      <c r="N31" s="166">
        <v>9.4E-2</v>
      </c>
      <c r="O31" s="141">
        <f t="shared" si="1"/>
        <v>9.4E-2</v>
      </c>
      <c r="P31" s="203">
        <v>85</v>
      </c>
      <c r="Q31" s="143">
        <v>89.09</v>
      </c>
      <c r="R31" s="57">
        <v>2519.4899999999998</v>
      </c>
      <c r="S31" s="80">
        <v>95</v>
      </c>
      <c r="U31" s="79">
        <v>80</v>
      </c>
      <c r="V31" s="142">
        <v>1.1023000000000001</v>
      </c>
      <c r="W31" s="137">
        <v>5</v>
      </c>
      <c r="X31" s="137">
        <v>7</v>
      </c>
      <c r="Z31" s="245">
        <v>10</v>
      </c>
      <c r="AA31" s="144">
        <f t="shared" si="2"/>
        <v>10</v>
      </c>
      <c r="AB31" s="145">
        <f t="shared" si="3"/>
        <v>99.113581177299992</v>
      </c>
      <c r="AC31" s="145">
        <f>+(S31-T31)*V31-'data 1'!$F$4</f>
        <v>24.718500000000006</v>
      </c>
      <c r="AD31" s="145">
        <f t="shared" si="4"/>
        <v>11.108195930354311</v>
      </c>
      <c r="AE31" s="145">
        <f>+(Y31*V31-'data 2'!$B$2)+V31*(Z31-IF(D31="UNTUCA",IF(+((W31-3)*2.5+(X31-3)*3.1)&gt;0,+((W31-3)*1.5+(X31-3)*3.1),0),IF(+((W31-3)*1.5+(X31-3)*3.1)&gt;0,+((W31-3)*1.5+(X31-3)*3.1),0)))</f>
        <v>-95.952420000000004</v>
      </c>
      <c r="AF31" s="145">
        <f t="shared" si="5"/>
        <v>16.769721436120115</v>
      </c>
      <c r="AG31" s="244">
        <f t="shared" si="12"/>
        <v>46.64399736647443</v>
      </c>
      <c r="AH31" s="145">
        <f t="shared" si="7"/>
        <v>12.246798134626935</v>
      </c>
      <c r="AI31" s="137">
        <f t="shared" si="8"/>
        <v>11.754526468755722</v>
      </c>
      <c r="AJ31" s="137">
        <f t="shared" si="9"/>
        <v>10.87474309499785</v>
      </c>
      <c r="AK31" s="88">
        <f t="shared" si="10"/>
        <v>1.3720550396290854</v>
      </c>
      <c r="AL31" s="57"/>
      <c r="AM31" s="57"/>
    </row>
    <row r="32" spans="1:46" ht="15.75" customHeight="1">
      <c r="A32" s="134" t="s">
        <v>380</v>
      </c>
      <c r="B32" s="136">
        <v>45532</v>
      </c>
      <c r="C32" s="136">
        <v>45530</v>
      </c>
      <c r="D32" s="206" t="s">
        <v>119</v>
      </c>
      <c r="F32" s="79" t="s">
        <v>375</v>
      </c>
      <c r="G32" s="90"/>
      <c r="H32" s="79" t="s">
        <v>69</v>
      </c>
      <c r="I32" s="79">
        <v>3.09</v>
      </c>
      <c r="J32" s="137">
        <v>0.9</v>
      </c>
      <c r="K32" s="138">
        <f t="shared" si="0"/>
        <v>3.0621899999999997</v>
      </c>
      <c r="L32" s="80">
        <v>0.182</v>
      </c>
      <c r="M32" s="139">
        <v>0.16700000000000001</v>
      </c>
      <c r="N32" s="166">
        <v>0.16700000000000001</v>
      </c>
      <c r="O32" s="141">
        <f t="shared" si="1"/>
        <v>0.16700000000000001</v>
      </c>
      <c r="P32" s="203">
        <v>85</v>
      </c>
      <c r="Q32" s="143">
        <v>89.37</v>
      </c>
      <c r="R32" s="57">
        <v>2519.4899999999998</v>
      </c>
      <c r="S32" s="80">
        <v>95</v>
      </c>
      <c r="U32" s="79">
        <v>80</v>
      </c>
      <c r="V32" s="142">
        <v>1.1023000000000001</v>
      </c>
      <c r="W32" s="137">
        <v>5</v>
      </c>
      <c r="X32" s="137">
        <v>7</v>
      </c>
      <c r="Z32" s="245">
        <v>10</v>
      </c>
      <c r="AA32" s="144">
        <f t="shared" si="2"/>
        <v>10</v>
      </c>
      <c r="AB32" s="145">
        <f t="shared" si="3"/>
        <v>265.96912294264996</v>
      </c>
      <c r="AC32" s="145">
        <f>+(S32-T32)*V32-'data 1'!$F$4</f>
        <v>24.718500000000006</v>
      </c>
      <c r="AD32" s="145">
        <f t="shared" si="4"/>
        <v>21.387088894061822</v>
      </c>
      <c r="AE32" s="145">
        <f>+(Y32*V32-'data 2'!$B$2)+V32*(Z32-IF(D32="UNTUCA",IF(+((W32-3)*2.5+(X32-3)*3.1)&gt;0,+((W32-3)*1.5+(X32-3)*3.1),0),IF(+((W32-3)*1.5+(X32-3)*3.1)&gt;0,+((W32-3)*1.5+(X32-3)*3.1),0)))</f>
        <v>-95.952420000000004</v>
      </c>
      <c r="AF32" s="145">
        <f t="shared" si="5"/>
        <v>36.048057455848465</v>
      </c>
      <c r="AG32" s="244">
        <f t="shared" si="12"/>
        <v>76.201226349910286</v>
      </c>
      <c r="AH32" s="145">
        <f t="shared" si="7"/>
        <v>17.076715736665989</v>
      </c>
      <c r="AI32" s="137">
        <f t="shared" si="8"/>
        <v>21.247994802598235</v>
      </c>
      <c r="AJ32" s="137">
        <f t="shared" si="9"/>
        <v>14.903099466840146</v>
      </c>
      <c r="AK32" s="88">
        <f t="shared" si="10"/>
        <v>2.1736162698258426</v>
      </c>
      <c r="AL32" s="57"/>
      <c r="AM32" s="57"/>
    </row>
    <row r="33" spans="1:46" ht="15.75" customHeight="1">
      <c r="A33" s="134" t="s">
        <v>381</v>
      </c>
      <c r="B33" s="136">
        <v>45532</v>
      </c>
      <c r="C33" s="136">
        <v>45530</v>
      </c>
      <c r="D33" s="206" t="s">
        <v>119</v>
      </c>
      <c r="F33" s="79" t="s">
        <v>375</v>
      </c>
      <c r="G33" s="90"/>
      <c r="H33" s="79" t="s">
        <v>69</v>
      </c>
      <c r="I33" s="79">
        <v>7.53</v>
      </c>
      <c r="J33" s="137">
        <v>1.2</v>
      </c>
      <c r="K33" s="138">
        <f t="shared" si="0"/>
        <v>7.4396399999999998</v>
      </c>
      <c r="L33" s="80">
        <v>0.16200000000000001</v>
      </c>
      <c r="M33" s="139">
        <v>0.14899999999999999</v>
      </c>
      <c r="N33" s="166">
        <v>0.14899999999999999</v>
      </c>
      <c r="O33" s="141">
        <f t="shared" si="1"/>
        <v>0.14899999999999999</v>
      </c>
      <c r="P33" s="203">
        <v>85</v>
      </c>
      <c r="Q33" s="143">
        <v>89.48</v>
      </c>
      <c r="R33" s="57">
        <v>2519.4899999999998</v>
      </c>
      <c r="S33" s="80">
        <v>95</v>
      </c>
      <c r="U33" s="79">
        <v>80</v>
      </c>
      <c r="V33" s="142">
        <v>1.1023000000000001</v>
      </c>
      <c r="W33" s="137">
        <v>5</v>
      </c>
      <c r="X33" s="137">
        <v>9.5</v>
      </c>
      <c r="Z33" s="245">
        <v>10</v>
      </c>
      <c r="AA33" s="144">
        <f t="shared" si="2"/>
        <v>10</v>
      </c>
      <c r="AB33" s="145">
        <f t="shared" si="3"/>
        <v>224.82666058954996</v>
      </c>
      <c r="AC33" s="145">
        <f>+(S33-T33)*V33-'data 1'!$F$4</f>
        <v>24.718500000000006</v>
      </c>
      <c r="AD33" s="145">
        <f t="shared" si="4"/>
        <v>19.516048024435218</v>
      </c>
      <c r="AE33" s="145">
        <f>+(Y33*V33-'data 2'!$B$2)+V33*(Z33-IF(D33="UNTUCA",IF(+((W33-3)*2.5+(X33-3)*3.1)&gt;0,+((W33-3)*1.5+(X33-3)*3.1),0),IF(+((W33-3)*1.5+(X33-3)*3.1)&gt;0,+((W33-3)*1.5+(X33-3)*3.1),0)))</f>
        <v>-104.495245</v>
      </c>
      <c r="AF33" s="145">
        <f t="shared" si="5"/>
        <v>31.280103207594831</v>
      </c>
      <c r="AG33" s="244">
        <f t="shared" si="12"/>
        <v>61.019406232030065</v>
      </c>
      <c r="AH33" s="145">
        <f t="shared" si="7"/>
        <v>36.974471923043254</v>
      </c>
      <c r="AI33" s="137">
        <f t="shared" si="8"/>
        <v>18.936329221504838</v>
      </c>
      <c r="AJ33" s="137">
        <f t="shared" si="9"/>
        <v>32.304735102219048</v>
      </c>
      <c r="AK33" s="88">
        <f t="shared" si="10"/>
        <v>4.6697368208242054</v>
      </c>
      <c r="AL33" s="57"/>
      <c r="AM33" s="57"/>
    </row>
    <row r="34" spans="1:46" ht="15.75" customHeight="1">
      <c r="A34" s="134" t="s">
        <v>382</v>
      </c>
      <c r="B34" s="136">
        <v>45535</v>
      </c>
      <c r="C34" s="136">
        <v>45530</v>
      </c>
      <c r="D34" s="79" t="s">
        <v>85</v>
      </c>
      <c r="F34" s="6" t="s">
        <v>383</v>
      </c>
      <c r="G34" s="90">
        <v>17</v>
      </c>
      <c r="H34" s="79" t="s">
        <v>69</v>
      </c>
      <c r="I34" s="79">
        <v>1.47</v>
      </c>
      <c r="J34" s="137">
        <v>2.2000000000000002</v>
      </c>
      <c r="K34" s="138">
        <f t="shared" si="0"/>
        <v>1.4376599999999999</v>
      </c>
      <c r="L34" s="80">
        <v>0.80400000000000005</v>
      </c>
      <c r="M34" s="139">
        <v>0.76400000000000001</v>
      </c>
      <c r="N34" s="140">
        <v>0.86699999999999999</v>
      </c>
      <c r="O34" s="141">
        <f t="shared" si="1"/>
        <v>0.81599999999999995</v>
      </c>
      <c r="P34" s="203">
        <v>90</v>
      </c>
      <c r="Q34" s="143">
        <v>89.43</v>
      </c>
      <c r="R34" s="57">
        <v>2499.12</v>
      </c>
      <c r="S34" s="80">
        <v>170</v>
      </c>
      <c r="U34" s="79">
        <v>130</v>
      </c>
      <c r="V34" s="142">
        <v>1.1023000000000001</v>
      </c>
      <c r="W34" s="137">
        <v>5</v>
      </c>
      <c r="X34" s="246">
        <v>6</v>
      </c>
      <c r="Y34" s="79">
        <v>50</v>
      </c>
      <c r="Z34" s="143">
        <f t="shared" ref="Z34:Z45" si="13">IF(IF(D34="UNTUCA",IF(+((W34-3)*1.5+(X34-3)*3.1)&gt;0,+((W34-3)*1.5+(X34-3)*3.1),0),IF(+((W34-3)*1.5+(X34-3)*3.1)&gt;0,+((W34-3)*1.5+(X34-3)*3.1),0))&lt;30,30,IF(D34="UNTUCA",IF(+((W34-3)*1.5+(X34-3)*3.1)&gt;0,+((W34-3)*1.5+(X34-3)*3.1),0),IF(+((W34-3)*1.5+(X34-3)*3.1)&gt;0,+((W34-3)*1.5+(X34-3)*3.1),0)))</f>
        <v>30</v>
      </c>
      <c r="AA34" s="144">
        <f t="shared" si="2"/>
        <v>80</v>
      </c>
      <c r="AB34" s="145">
        <f t="shared" si="3"/>
        <v>1642.2966287744002</v>
      </c>
      <c r="AC34" s="145">
        <f>+(S34-T34)*V34-'data 1'!$F$4</f>
        <v>107.39100000000002</v>
      </c>
      <c r="AD34" s="145">
        <f t="shared" si="4"/>
        <v>-11.967895016812657</v>
      </c>
      <c r="AE34" s="145">
        <f>+(Y34*V34-'data 2'!$B$2)+V34*(Z34-IF(D34="UNTUCA",IF(+((W34-3)*2.5+(X34-3)*3.1)&gt;0,+((W34-3)*1.5+(X34-3)*3.1),0),IF(+((W34-3)*1.5+(X34-3)*3.1)&gt;0,+((W34-3)*1.5+(X34-3)*3.1),0)))</f>
        <v>-15.374289999999998</v>
      </c>
      <c r="AF34" s="145">
        <f t="shared" si="5"/>
        <v>-28.025369242041371</v>
      </c>
      <c r="AG34" s="145">
        <f>+IF(D34="RONALD WILLIAN GARIBAY ESCUDERO",AC34+AD34+AE34+AF34+80,AC34+AD34+AE34+AF34)</f>
        <v>52.023445741145984</v>
      </c>
      <c r="AH34" s="145">
        <f t="shared" si="7"/>
        <v>35.440883378042329</v>
      </c>
      <c r="AI34" s="137">
        <f t="shared" si="8"/>
        <v>149.70112393769293</v>
      </c>
      <c r="AJ34" s="137">
        <f t="shared" si="9"/>
        <v>36.199112834622426</v>
      </c>
      <c r="AK34" s="88">
        <f t="shared" si="10"/>
        <v>-0.75822945658009644</v>
      </c>
      <c r="AL34" s="57"/>
      <c r="AM34" s="57"/>
    </row>
    <row r="35" spans="1:46" ht="15.75" customHeight="1">
      <c r="A35" s="134" t="s">
        <v>384</v>
      </c>
      <c r="B35" s="136">
        <v>45535</v>
      </c>
      <c r="C35" s="136">
        <v>45530</v>
      </c>
      <c r="D35" s="79" t="s">
        <v>85</v>
      </c>
      <c r="F35" s="6" t="s">
        <v>383</v>
      </c>
      <c r="G35" s="90">
        <v>67</v>
      </c>
      <c r="H35" s="79" t="s">
        <v>69</v>
      </c>
      <c r="I35" s="79">
        <v>5.28</v>
      </c>
      <c r="J35" s="137">
        <v>2.25</v>
      </c>
      <c r="K35" s="138">
        <f t="shared" si="0"/>
        <v>5.1612</v>
      </c>
      <c r="L35" s="80">
        <v>0.71699999999999997</v>
      </c>
      <c r="M35" s="139">
        <v>0.65200000000000002</v>
      </c>
      <c r="N35" s="140">
        <v>0.84299999999999997</v>
      </c>
      <c r="O35" s="141">
        <f t="shared" si="1"/>
        <v>0.748</v>
      </c>
      <c r="P35" s="203">
        <v>90</v>
      </c>
      <c r="Q35" s="143">
        <v>89.47</v>
      </c>
      <c r="R35" s="57">
        <v>2499.12</v>
      </c>
      <c r="S35" s="80">
        <v>160</v>
      </c>
      <c r="U35" s="79">
        <v>130</v>
      </c>
      <c r="V35" s="142">
        <v>1.1023000000000001</v>
      </c>
      <c r="W35" s="137">
        <v>5</v>
      </c>
      <c r="X35" s="246">
        <v>6</v>
      </c>
      <c r="Y35" s="79">
        <v>50</v>
      </c>
      <c r="Z35" s="143">
        <f t="shared" si="13"/>
        <v>30</v>
      </c>
      <c r="AA35" s="144">
        <f t="shared" si="2"/>
        <v>80</v>
      </c>
      <c r="AB35" s="145">
        <f t="shared" si="3"/>
        <v>1493.4969930432001</v>
      </c>
      <c r="AC35" s="145">
        <f>+(S35-T35)*V35-'data 1'!$F$4</f>
        <v>96.367999999999995</v>
      </c>
      <c r="AD35" s="145">
        <f t="shared" si="4"/>
        <v>-9.9238888568976193</v>
      </c>
      <c r="AE35" s="145">
        <f>+(Y35*V35-'data 2'!$B$2)+V35*(Z35-IF(D35="UNTUCA",IF(+((W35-3)*2.5+(X35-3)*3.1)&gt;0,+((W35-3)*1.5+(X35-3)*3.1),0),IF(+((W35-3)*1.5+(X35-3)*3.1)&gt;0,+((W35-3)*1.5+(X35-3)*3.1),0)))</f>
        <v>-15.374289999999998</v>
      </c>
      <c r="AF35" s="145">
        <f t="shared" si="5"/>
        <v>-72.431252906043269</v>
      </c>
      <c r="AG35" s="145">
        <f>+IF(D35="RONALD WILLIAN GARIBAY ESCUDERO",AC35+AD35+AE35+AF35+80,AC35+AD35+AE35+AF35)</f>
        <v>-1.3614317629408959</v>
      </c>
      <c r="AH35" s="145">
        <f t="shared" si="7"/>
        <v>113.5158095961734</v>
      </c>
      <c r="AI35" s="137">
        <f t="shared" si="8"/>
        <v>133.56183417575767</v>
      </c>
      <c r="AJ35" s="137">
        <f t="shared" si="9"/>
        <v>119.12526100182393</v>
      </c>
      <c r="AK35" s="88">
        <f t="shared" si="10"/>
        <v>-5.6094514056505318</v>
      </c>
      <c r="AL35" s="57" t="s">
        <v>385</v>
      </c>
      <c r="AM35" s="57"/>
    </row>
    <row r="36" spans="1:46" ht="15.75" customHeight="1">
      <c r="A36" s="134" t="s">
        <v>386</v>
      </c>
      <c r="B36" s="136">
        <v>45535</v>
      </c>
      <c r="C36" s="136">
        <v>45530</v>
      </c>
      <c r="D36" s="79" t="s">
        <v>85</v>
      </c>
      <c r="F36" s="6" t="s">
        <v>383</v>
      </c>
      <c r="G36" s="90">
        <v>104</v>
      </c>
      <c r="H36" s="79" t="s">
        <v>69</v>
      </c>
      <c r="I36" s="79">
        <v>9.09</v>
      </c>
      <c r="J36" s="137">
        <v>2.4500000000000002</v>
      </c>
      <c r="K36" s="138">
        <f t="shared" si="0"/>
        <v>8.8672950000000004</v>
      </c>
      <c r="L36" s="80">
        <v>0.32500000000000001</v>
      </c>
      <c r="M36" s="139">
        <v>0.30199999999999999</v>
      </c>
      <c r="N36" s="140">
        <v>0.34100000000000003</v>
      </c>
      <c r="O36" s="141">
        <f t="shared" si="1"/>
        <v>0.32200000000000001</v>
      </c>
      <c r="P36" s="203">
        <v>90</v>
      </c>
      <c r="Q36" s="143">
        <v>89.38</v>
      </c>
      <c r="R36" s="57">
        <v>2499.12</v>
      </c>
      <c r="S36" s="80">
        <v>130</v>
      </c>
      <c r="U36" s="79">
        <v>130</v>
      </c>
      <c r="V36" s="142">
        <v>1.1023000000000001</v>
      </c>
      <c r="W36" s="137">
        <v>5</v>
      </c>
      <c r="X36" s="246">
        <v>6</v>
      </c>
      <c r="Y36" s="79">
        <v>50</v>
      </c>
      <c r="Z36" s="143">
        <f t="shared" si="13"/>
        <v>30</v>
      </c>
      <c r="AA36" s="144">
        <f t="shared" si="2"/>
        <v>80</v>
      </c>
      <c r="AB36" s="145">
        <f t="shared" si="3"/>
        <v>525.32418684480001</v>
      </c>
      <c r="AC36" s="145">
        <f>+(S36-T36)*V36-'data 1'!$F$4</f>
        <v>63.299000000000007</v>
      </c>
      <c r="AD36" s="145">
        <f t="shared" si="4"/>
        <v>-5.2621341666400383</v>
      </c>
      <c r="AE36" s="145">
        <f>+(Y36*V36-'data 2'!$B$2)+V36*(Z36-IF(D36="UNTUCA",IF(+((W36-3)*2.5+(X36-3)*3.1)&gt;0,+((W36-3)*1.5+(X36-3)*3.1),0),IF(+((W36-3)*1.5+(X36-3)*3.1)&gt;0,+((W36-3)*1.5+(X36-3)*3.1),0)))</f>
        <v>-15.374289999999998</v>
      </c>
      <c r="AF36" s="145">
        <f t="shared" si="5"/>
        <v>7.0024250890464064</v>
      </c>
      <c r="AG36" s="145">
        <f>+IF(D36="RONALD WILLIAN GARIBAY ESCUDERO",AC36+AD36+AE36+AF36+80,AC36+AD36+AE36+AF36)</f>
        <v>49.665000922406371</v>
      </c>
      <c r="AH36" s="145">
        <f t="shared" si="7"/>
        <v>88.312857553623161</v>
      </c>
      <c r="AI36" s="137">
        <f t="shared" si="8"/>
        <v>60.479681135640043</v>
      </c>
      <c r="AJ36" s="137">
        <f t="shared" si="9"/>
        <v>88.104604778353419</v>
      </c>
      <c r="AK36" s="88">
        <f t="shared" si="10"/>
        <v>0.20825277526974162</v>
      </c>
      <c r="AL36" s="57"/>
      <c r="AM36" s="57"/>
    </row>
    <row r="37" spans="1:46" ht="15.75" customHeight="1">
      <c r="A37" s="134" t="s">
        <v>387</v>
      </c>
      <c r="B37" s="136">
        <v>45533</v>
      </c>
      <c r="C37" s="136">
        <v>45530</v>
      </c>
      <c r="D37" s="206" t="s">
        <v>366</v>
      </c>
      <c r="G37" s="90" t="s">
        <v>68</v>
      </c>
      <c r="H37" s="79" t="s">
        <v>108</v>
      </c>
      <c r="I37" s="79">
        <v>8.27</v>
      </c>
      <c r="J37" s="137">
        <v>8.8000000000000007</v>
      </c>
      <c r="K37" s="138">
        <f t="shared" si="0"/>
        <v>7.5422399999999996</v>
      </c>
      <c r="L37" s="80">
        <v>1.2290000000000001</v>
      </c>
      <c r="M37" s="139">
        <v>1.18</v>
      </c>
      <c r="N37" s="153">
        <v>1.3169999999999999</v>
      </c>
      <c r="O37" s="141">
        <f t="shared" si="1"/>
        <v>1.2490000000000001</v>
      </c>
      <c r="P37" s="203">
        <v>90</v>
      </c>
      <c r="Q37" s="143">
        <v>89.85</v>
      </c>
      <c r="R37" s="57">
        <v>2512.4899999999998</v>
      </c>
      <c r="S37" s="80">
        <v>170</v>
      </c>
      <c r="U37" s="79">
        <v>130</v>
      </c>
      <c r="V37" s="142">
        <v>1.1023000000000001</v>
      </c>
      <c r="W37" s="137">
        <v>5</v>
      </c>
      <c r="X37" s="137">
        <v>8.5500000000000007</v>
      </c>
      <c r="Y37" s="79">
        <v>50</v>
      </c>
      <c r="Z37" s="143">
        <f t="shared" si="13"/>
        <v>30</v>
      </c>
      <c r="AA37" s="144">
        <f t="shared" si="2"/>
        <v>80</v>
      </c>
      <c r="AB37" s="145">
        <f t="shared" si="3"/>
        <v>2676.5574710207002</v>
      </c>
      <c r="AC37" s="145">
        <f>+(S37-T37)*V37-'data 1'!$F$4</f>
        <v>107.39100000000002</v>
      </c>
      <c r="AD37" s="145">
        <f t="shared" si="4"/>
        <v>-4.8414342232246836</v>
      </c>
      <c r="AE37" s="145">
        <f>+(Y37*V37-'data 2'!$B$2)+V37*(Z37-IF(D37="UNTUCA",IF(+((W37-3)*2.5+(X37-3)*3.1)&gt;0,+((W37-3)*1.5+(X37-3)*3.1),0),IF(+((W37-3)*1.5+(X37-3)*3.1)&gt;0,+((W37-3)*1.5+(X37-3)*3.1),0)))</f>
        <v>-24.087971500000002</v>
      </c>
      <c r="AF37" s="145">
        <f t="shared" si="5"/>
        <v>-47.193150524190031</v>
      </c>
      <c r="AG37" s="145">
        <f>+IF(D37="RONALD WILLIAN GARIBAY ESCUDERO",AC37+AD37+AE37+AF37+80,AC37+AD37+AE37+AF37)+90-10</f>
        <v>111.26844375258531</v>
      </c>
      <c r="AH37" s="145">
        <f t="shared" si="7"/>
        <v>285.54817016587526</v>
      </c>
      <c r="AI37" s="137">
        <f t="shared" si="8"/>
        <v>213.63462268062477</v>
      </c>
      <c r="AJ37" s="137">
        <f t="shared" si="9"/>
        <v>290.67947354936143</v>
      </c>
      <c r="AK37" s="88">
        <f t="shared" si="10"/>
        <v>-5.1313033834861699</v>
      </c>
      <c r="AL37" s="57"/>
      <c r="AM37" s="57"/>
    </row>
    <row r="38" spans="1:46" ht="15.75" customHeight="1">
      <c r="A38" s="134" t="s">
        <v>388</v>
      </c>
      <c r="B38" s="135"/>
      <c r="C38" s="136">
        <v>45532</v>
      </c>
      <c r="D38" s="79" t="s">
        <v>125</v>
      </c>
      <c r="F38" s="6" t="s">
        <v>389</v>
      </c>
      <c r="G38" s="90">
        <v>207</v>
      </c>
      <c r="H38" s="79" t="s">
        <v>69</v>
      </c>
      <c r="I38" s="137">
        <v>16.59</v>
      </c>
      <c r="J38" s="137">
        <v>10.8</v>
      </c>
      <c r="K38" s="138">
        <f t="shared" si="0"/>
        <v>14.79828</v>
      </c>
      <c r="L38" s="80">
        <v>0.16900000000000001</v>
      </c>
      <c r="M38" s="139">
        <v>0.16200000000000001</v>
      </c>
      <c r="N38" s="140">
        <v>0.17199999999999999</v>
      </c>
      <c r="O38" s="141">
        <f t="shared" si="1"/>
        <v>0.16700000000000001</v>
      </c>
      <c r="P38" s="150">
        <v>90</v>
      </c>
      <c r="Q38" s="143">
        <v>89.14</v>
      </c>
      <c r="R38" s="57">
        <v>2504.67</v>
      </c>
      <c r="S38" s="80">
        <v>110</v>
      </c>
      <c r="U38" s="79">
        <v>110</v>
      </c>
      <c r="V38" s="142">
        <v>1.1023000000000001</v>
      </c>
      <c r="W38" s="137">
        <v>5</v>
      </c>
      <c r="X38" s="137">
        <v>7</v>
      </c>
      <c r="Z38" s="143">
        <f t="shared" si="13"/>
        <v>30</v>
      </c>
      <c r="AA38" s="144">
        <f t="shared" si="2"/>
        <v>30</v>
      </c>
      <c r="AB38" s="145">
        <f t="shared" si="3"/>
        <v>242.41660457230009</v>
      </c>
      <c r="AC38" s="145">
        <f>+(S38-T38)*V38-'data 1'!$F$4</f>
        <v>41.253</v>
      </c>
      <c r="AD38" s="145">
        <f t="shared" si="4"/>
        <v>-3.8364596665693984</v>
      </c>
      <c r="AE38" s="145">
        <f>+(Y38*V38-'data 2'!$B$2)+V38*(Z38-IF(D38="UNTUCA",IF(+((W38-3)*2.5+(X38-3)*3.1)&gt;0,+((W38-3)*1.5+(X38-3)*3.1),0),IF(+((W38-3)*1.5+(X38-3)*3.1)&gt;0,+((W38-3)*1.5+(X38-3)*3.1),0)))</f>
        <v>-73.906419999999997</v>
      </c>
      <c r="AF38" s="145">
        <f t="shared" si="5"/>
        <v>4.7059586442548049</v>
      </c>
      <c r="AG38" s="145">
        <f t="shared" ref="AG38:AG45" si="14">+IF(D38="RONALD WILLIAN GARIBAY ESCUDERO",AC38+AD38+AE38+AF38+80,AC38+AD38+AE38+AF38)</f>
        <v>-31.783921022314587</v>
      </c>
      <c r="AH38" s="145">
        <f t="shared" si="7"/>
        <v>76.432777902634541</v>
      </c>
      <c r="AI38" s="137">
        <f t="shared" si="8"/>
        <v>27.122211846909391</v>
      </c>
      <c r="AJ38" s="137">
        <f t="shared" si="9"/>
        <v>76.256925272564871</v>
      </c>
      <c r="AK38" s="88">
        <f t="shared" si="10"/>
        <v>0.17585263006967011</v>
      </c>
      <c r="AL38" s="57"/>
      <c r="AM38" s="57"/>
    </row>
    <row r="39" spans="1:46" ht="15.75" customHeight="1">
      <c r="A39" s="134" t="s">
        <v>390</v>
      </c>
      <c r="B39" s="135"/>
      <c r="C39" s="136">
        <v>45532</v>
      </c>
      <c r="D39" s="79" t="s">
        <v>125</v>
      </c>
      <c r="F39" s="6" t="s">
        <v>389</v>
      </c>
      <c r="G39" s="79" t="s">
        <v>68</v>
      </c>
      <c r="H39" s="79" t="s">
        <v>69</v>
      </c>
      <c r="I39" s="137">
        <v>20.95</v>
      </c>
      <c r="J39" s="137">
        <v>14.75</v>
      </c>
      <c r="K39" s="138">
        <f t="shared" si="0"/>
        <v>17.859874999999999</v>
      </c>
      <c r="L39" s="80">
        <v>0.69699999999999995</v>
      </c>
      <c r="M39" s="139">
        <v>0.66900000000000004</v>
      </c>
      <c r="N39" s="140">
        <v>0.67100000000000004</v>
      </c>
      <c r="O39" s="141">
        <f t="shared" si="1"/>
        <v>0.67</v>
      </c>
      <c r="P39" s="150">
        <v>90</v>
      </c>
      <c r="Q39" s="137">
        <v>89.45</v>
      </c>
      <c r="R39" s="57">
        <v>2504.67</v>
      </c>
      <c r="S39" s="80">
        <v>150</v>
      </c>
      <c r="U39" s="79">
        <v>110</v>
      </c>
      <c r="V39" s="142">
        <v>1.1023000000000001</v>
      </c>
      <c r="W39" s="137">
        <v>5</v>
      </c>
      <c r="X39" s="137">
        <v>7</v>
      </c>
      <c r="Z39" s="143">
        <f t="shared" si="13"/>
        <v>30</v>
      </c>
      <c r="AA39" s="144">
        <f t="shared" si="2"/>
        <v>30</v>
      </c>
      <c r="AB39" s="145">
        <f t="shared" si="3"/>
        <v>1393.2917788230004</v>
      </c>
      <c r="AC39" s="145">
        <f>+(S39-T39)*V39-'data 1'!$F$4</f>
        <v>85.344999999999999</v>
      </c>
      <c r="AD39" s="145">
        <f t="shared" si="4"/>
        <v>-10.119078114623447</v>
      </c>
      <c r="AE39" s="145">
        <f>+(Y39*V39-'data 2'!$B$2)+V39*(Z39-IF(D39="UNTUCA",IF(+((W39-3)*2.5+(X39-3)*3.1)&gt;0,+((W39-3)*1.5+(X39-3)*3.1),0),IF(+((W39-3)*1.5+(X39-3)*3.1)&gt;0,+((W39-3)*1.5+(X39-3)*3.1),0)))</f>
        <v>-73.906419999999997</v>
      </c>
      <c r="AF39" s="145">
        <f t="shared" si="5"/>
        <v>63.751379962261311</v>
      </c>
      <c r="AG39" s="145">
        <f t="shared" si="14"/>
        <v>65.070881847637864</v>
      </c>
      <c r="AH39" s="145">
        <f t="shared" si="7"/>
        <v>381.76895329788016</v>
      </c>
      <c r="AI39" s="137">
        <f t="shared" si="8"/>
        <v>112.24807259142344</v>
      </c>
      <c r="AJ39" s="137">
        <f t="shared" si="9"/>
        <v>369.23664517439471</v>
      </c>
      <c r="AK39" s="88">
        <f t="shared" si="10"/>
        <v>12.53230812348545</v>
      </c>
      <c r="AL39" s="57"/>
      <c r="AM39" s="57"/>
    </row>
    <row r="40" spans="1:46" ht="15.75" customHeight="1">
      <c r="A40" s="134" t="s">
        <v>391</v>
      </c>
      <c r="B40" s="135"/>
      <c r="C40" s="136">
        <v>45532</v>
      </c>
      <c r="D40" s="79" t="s">
        <v>125</v>
      </c>
      <c r="F40" s="6" t="s">
        <v>389</v>
      </c>
      <c r="G40" s="79">
        <v>53</v>
      </c>
      <c r="H40" s="79" t="s">
        <v>69</v>
      </c>
      <c r="I40" s="137">
        <v>34.07</v>
      </c>
      <c r="J40" s="137">
        <v>13</v>
      </c>
      <c r="K40" s="138">
        <f t="shared" si="0"/>
        <v>29.640900000000002</v>
      </c>
      <c r="L40" s="80">
        <v>0.65600000000000003</v>
      </c>
      <c r="M40" s="139">
        <v>0.629</v>
      </c>
      <c r="N40" s="140">
        <v>0.67700000000000005</v>
      </c>
      <c r="O40" s="141">
        <f t="shared" si="1"/>
        <v>0.65300000000000002</v>
      </c>
      <c r="P40" s="150">
        <v>90</v>
      </c>
      <c r="Q40" s="137">
        <v>89.54</v>
      </c>
      <c r="R40" s="57">
        <v>2504.67</v>
      </c>
      <c r="S40" s="80">
        <v>150</v>
      </c>
      <c r="U40" s="79">
        <v>110</v>
      </c>
      <c r="V40" s="142">
        <v>1.1023000000000001</v>
      </c>
      <c r="W40" s="137">
        <v>5</v>
      </c>
      <c r="X40" s="137">
        <v>7</v>
      </c>
      <c r="Z40" s="143">
        <f t="shared" si="13"/>
        <v>30</v>
      </c>
      <c r="AA40" s="144">
        <f t="shared" si="2"/>
        <v>30</v>
      </c>
      <c r="AB40" s="145">
        <f t="shared" si="3"/>
        <v>1352.9052142857004</v>
      </c>
      <c r="AC40" s="145">
        <f>+(S40-T40)*V40-'data 1'!$F$4</f>
        <v>85.344999999999999</v>
      </c>
      <c r="AD40" s="145">
        <f t="shared" si="4"/>
        <v>-7.9653919704414928</v>
      </c>
      <c r="AE40" s="145">
        <f>+(Y40*V40-'data 2'!$B$2)+V40*(Z40-IF(D40="UNTUCA",IF(+((W40-3)*2.5+(X40-3)*3.1)&gt;0,+((W40-3)*1.5+(X40-3)*3.1),0),IF(+((W40-3)*1.5+(X40-3)*3.1)&gt;0,+((W40-3)*1.5+(X40-3)*3.1),0)))</f>
        <v>-73.906419999999997</v>
      </c>
      <c r="AF40" s="145">
        <f t="shared" si="5"/>
        <v>7.0906137032742071</v>
      </c>
      <c r="AG40" s="145">
        <f t="shared" si="14"/>
        <v>10.563801732832722</v>
      </c>
      <c r="AH40" s="145">
        <f t="shared" si="7"/>
        <v>596.92722223598912</v>
      </c>
      <c r="AI40" s="137">
        <f t="shared" si="8"/>
        <v>105.75153961620157</v>
      </c>
      <c r="AJ40" s="137">
        <f t="shared" si="9"/>
        <v>597.24998315933681</v>
      </c>
      <c r="AK40" s="88">
        <f t="shared" si="10"/>
        <v>-0.32276092334768691</v>
      </c>
      <c r="AL40" s="57"/>
      <c r="AM40" s="57"/>
    </row>
    <row r="41" spans="1:46" ht="15.75" customHeight="1">
      <c r="A41" s="134" t="s">
        <v>392</v>
      </c>
      <c r="B41" s="135">
        <v>45535</v>
      </c>
      <c r="C41" s="136">
        <v>45532</v>
      </c>
      <c r="D41" s="79" t="s">
        <v>85</v>
      </c>
      <c r="F41" s="6" t="s">
        <v>383</v>
      </c>
      <c r="G41" s="79">
        <v>21</v>
      </c>
      <c r="H41" s="79" t="s">
        <v>69</v>
      </c>
      <c r="I41" s="137">
        <v>1.9</v>
      </c>
      <c r="J41" s="137">
        <v>2.25</v>
      </c>
      <c r="K41" s="138">
        <f t="shared" si="0"/>
        <v>1.8572499999999998</v>
      </c>
      <c r="L41" s="80">
        <v>0.76400000000000001</v>
      </c>
      <c r="M41" s="139">
        <v>0.73299999999999998</v>
      </c>
      <c r="N41" s="140">
        <v>0.83599999999999997</v>
      </c>
      <c r="O41" s="141">
        <f t="shared" si="1"/>
        <v>0.78500000000000003</v>
      </c>
      <c r="P41" s="150">
        <v>90</v>
      </c>
      <c r="Q41" s="137">
        <v>89.64</v>
      </c>
      <c r="R41" s="57">
        <v>2501.67</v>
      </c>
      <c r="S41" s="80">
        <v>160</v>
      </c>
      <c r="U41" s="79">
        <v>130</v>
      </c>
      <c r="V41" s="142">
        <v>1.1023000000000001</v>
      </c>
      <c r="W41" s="137">
        <v>5</v>
      </c>
      <c r="X41" s="137">
        <v>15.7</v>
      </c>
      <c r="Y41" s="79">
        <v>50</v>
      </c>
      <c r="Z41" s="143">
        <f t="shared" si="13"/>
        <v>42.37</v>
      </c>
      <c r="AA41" s="144">
        <f t="shared" si="2"/>
        <v>92.37</v>
      </c>
      <c r="AB41" s="145">
        <f t="shared" si="3"/>
        <v>1568.8097346665002</v>
      </c>
      <c r="AC41" s="145">
        <f>+(S41-T41)*V41-'data 1'!$F$4</f>
        <v>96.367999999999995</v>
      </c>
      <c r="AD41" s="145">
        <f t="shared" si="4"/>
        <v>-7.1903482794863889</v>
      </c>
      <c r="AE41" s="145">
        <f>+(Y41*V41-'data 2'!$B$2)+V41*(Z41-IF(D41="UNTUCA",IF(+((W41-3)*2.5+(X41-3)*3.1)&gt;0,+((W41-3)*1.5+(X41-3)*3.1),0),IF(+((W41-3)*1.5+(X41-3)*3.1)&gt;0,+((W41-3)*1.5+(X41-3)*3.1),0)))</f>
        <v>-34.884999999999998</v>
      </c>
      <c r="AF41" s="145">
        <f t="shared" si="5"/>
        <v>-49.212475331720441</v>
      </c>
      <c r="AG41" s="145">
        <f t="shared" si="14"/>
        <v>5.0801763887931699</v>
      </c>
      <c r="AH41" s="145">
        <f t="shared" si="7"/>
        <v>43.608850863607657</v>
      </c>
      <c r="AI41" s="137">
        <f t="shared" si="8"/>
        <v>140.66232702452635</v>
      </c>
      <c r="AJ41" s="137">
        <f t="shared" si="9"/>
        <v>44.987473359316851</v>
      </c>
      <c r="AK41" s="88">
        <f t="shared" si="10"/>
        <v>-1.3786224957091946</v>
      </c>
      <c r="AL41" s="57"/>
      <c r="AM41" s="57"/>
    </row>
    <row r="42" spans="1:46" ht="15.75" customHeight="1">
      <c r="A42" s="134" t="s">
        <v>393</v>
      </c>
      <c r="B42" s="135">
        <v>45537</v>
      </c>
      <c r="C42" s="136">
        <v>45532</v>
      </c>
      <c r="D42" s="79" t="s">
        <v>66</v>
      </c>
      <c r="F42" s="6" t="s">
        <v>394</v>
      </c>
      <c r="G42" s="79" t="s">
        <v>68</v>
      </c>
      <c r="H42" s="79" t="s">
        <v>69</v>
      </c>
      <c r="I42" s="137">
        <v>17.62</v>
      </c>
      <c r="J42" s="137">
        <v>3.4</v>
      </c>
      <c r="K42" s="138">
        <f t="shared" si="0"/>
        <v>17.02092</v>
      </c>
      <c r="L42" s="80">
        <v>0.28399999999999997</v>
      </c>
      <c r="M42" s="139">
        <v>0.23899999999999999</v>
      </c>
      <c r="N42" s="140">
        <v>0.313</v>
      </c>
      <c r="O42" s="141">
        <f t="shared" si="1"/>
        <v>0.27600000000000002</v>
      </c>
      <c r="P42" s="150">
        <v>90</v>
      </c>
      <c r="Q42" s="137">
        <v>90.51</v>
      </c>
      <c r="R42" s="57">
        <v>2501.67</v>
      </c>
      <c r="S42" s="80">
        <v>125</v>
      </c>
      <c r="U42" s="79">
        <v>130</v>
      </c>
      <c r="V42" s="142">
        <v>1.1023000000000001</v>
      </c>
      <c r="W42" s="137">
        <v>5</v>
      </c>
      <c r="X42" s="137">
        <v>6.5</v>
      </c>
      <c r="Y42" s="79">
        <v>50</v>
      </c>
      <c r="Z42" s="143">
        <f t="shared" si="13"/>
        <v>30</v>
      </c>
      <c r="AA42" s="144">
        <f t="shared" si="2"/>
        <v>80</v>
      </c>
      <c r="AB42" s="145">
        <f t="shared" si="3"/>
        <v>423.41859330440008</v>
      </c>
      <c r="AC42" s="145">
        <f>+(S42-T42)*V42-'data 1'!$F$4</f>
        <v>57.787499999999994</v>
      </c>
      <c r="AD42" s="145">
        <f t="shared" si="4"/>
        <v>3.7865403025044384</v>
      </c>
      <c r="AE42" s="145">
        <f>+(Y42*V42-'data 2'!$B$2)+V42*(Z42-IF(D42="UNTUCA",IF(+((W42-3)*2.5+(X42-3)*3.1)&gt;0,+((W42-3)*1.5+(X42-3)*3.1),0),IF(+((W42-3)*1.5+(X42-3)*3.1)&gt;0,+((W42-3)*1.5+(X42-3)*3.1),0)))</f>
        <v>-17.082854999999999</v>
      </c>
      <c r="AF42" s="145">
        <f t="shared" si="5"/>
        <v>18.929564362312689</v>
      </c>
      <c r="AG42" s="145">
        <f t="shared" si="14"/>
        <v>63.420749664817123</v>
      </c>
      <c r="AH42" s="145">
        <f t="shared" si="7"/>
        <v>150.00543845438048</v>
      </c>
      <c r="AI42" s="137">
        <f t="shared" si="8"/>
        <v>52.795571614455575</v>
      </c>
      <c r="AJ42" s="137">
        <f t="shared" si="9"/>
        <v>144.95850163653273</v>
      </c>
      <c r="AK42" s="88">
        <f t="shared" si="10"/>
        <v>5.0469368178477509</v>
      </c>
      <c r="AL42" s="57"/>
      <c r="AM42" s="57"/>
    </row>
    <row r="43" spans="1:46" ht="15.75" customHeight="1">
      <c r="A43" s="134" t="s">
        <v>395</v>
      </c>
      <c r="B43" s="135">
        <v>45537</v>
      </c>
      <c r="C43" s="136">
        <v>45532</v>
      </c>
      <c r="D43" s="79" t="s">
        <v>66</v>
      </c>
      <c r="F43" s="6" t="s">
        <v>394</v>
      </c>
      <c r="G43" s="79" t="s">
        <v>68</v>
      </c>
      <c r="H43" s="79" t="s">
        <v>69</v>
      </c>
      <c r="I43" s="137">
        <v>19.86</v>
      </c>
      <c r="J43" s="137">
        <v>2.1</v>
      </c>
      <c r="K43" s="138">
        <f t="shared" si="0"/>
        <v>19.44294</v>
      </c>
      <c r="L43" s="80">
        <v>0.223</v>
      </c>
      <c r="M43" s="139">
        <v>0.20699999999999999</v>
      </c>
      <c r="N43" s="166">
        <v>0.20699999999999999</v>
      </c>
      <c r="O43" s="141">
        <f t="shared" si="1"/>
        <v>0.20699999999999999</v>
      </c>
      <c r="P43" s="150">
        <v>90</v>
      </c>
      <c r="Q43" s="137">
        <v>90.4</v>
      </c>
      <c r="R43" s="57">
        <v>2501.67</v>
      </c>
      <c r="S43" s="80">
        <v>120</v>
      </c>
      <c r="U43" s="79">
        <v>130</v>
      </c>
      <c r="V43" s="142">
        <v>1.1023000000000001</v>
      </c>
      <c r="W43" s="137">
        <v>5</v>
      </c>
      <c r="X43" s="137">
        <v>6.6</v>
      </c>
      <c r="Y43" s="79">
        <v>50</v>
      </c>
      <c r="Z43" s="143">
        <f t="shared" si="13"/>
        <v>30</v>
      </c>
      <c r="AA43" s="144">
        <f t="shared" si="2"/>
        <v>80</v>
      </c>
      <c r="AB43" s="145">
        <f t="shared" si="3"/>
        <v>266.5825699783</v>
      </c>
      <c r="AC43" s="145">
        <f>+(S43-T43)*V43-'data 1'!$F$4</f>
        <v>52.27600000000001</v>
      </c>
      <c r="AD43" s="145">
        <f t="shared" si="4"/>
        <v>2.3319483221720332</v>
      </c>
      <c r="AE43" s="145">
        <f>+(Y43*V43-'data 2'!$B$2)+V43*(Z43-IF(D43="UNTUCA",IF(+((W43-3)*2.5+(X43-3)*3.1)&gt;0,+((W43-3)*1.5+(X43-3)*3.1),0),IF(+((W43-3)*1.5+(X43-3)*3.1)&gt;0,+((W43-3)*1.5+(X43-3)*3.1),0)))</f>
        <v>-17.424567999999994</v>
      </c>
      <c r="AF43" s="145">
        <f t="shared" si="5"/>
        <v>37.813117188224034</v>
      </c>
      <c r="AG43" s="145">
        <f t="shared" si="14"/>
        <v>74.996497510396082</v>
      </c>
      <c r="AH43" s="145">
        <f t="shared" si="7"/>
        <v>134.38298966500415</v>
      </c>
      <c r="AI43" s="137">
        <f t="shared" si="8"/>
        <v>41.405295161927988</v>
      </c>
      <c r="AJ43" s="137">
        <f t="shared" si="9"/>
        <v>124.18920877113312</v>
      </c>
      <c r="AK43" s="88">
        <f t="shared" si="10"/>
        <v>10.193780893871022</v>
      </c>
      <c r="AL43" s="57"/>
      <c r="AM43" s="57"/>
    </row>
    <row r="44" spans="1:46" ht="15.75" customHeight="1">
      <c r="A44" s="134" t="s">
        <v>396</v>
      </c>
      <c r="B44" s="135">
        <v>45539</v>
      </c>
      <c r="C44" s="135">
        <v>45536</v>
      </c>
      <c r="D44" s="142" t="s">
        <v>93</v>
      </c>
      <c r="E44" s="142"/>
      <c r="F44" s="142" t="s">
        <v>255</v>
      </c>
      <c r="G44" s="142">
        <v>80</v>
      </c>
      <c r="H44" s="142" t="s">
        <v>108</v>
      </c>
      <c r="I44" s="142">
        <v>7.13</v>
      </c>
      <c r="J44" s="143">
        <v>23.9</v>
      </c>
      <c r="K44" s="138">
        <f t="shared" si="0"/>
        <v>5.4259300000000001</v>
      </c>
      <c r="L44" s="141">
        <v>0.98799999999999999</v>
      </c>
      <c r="M44" s="141">
        <v>0.93859999999999999</v>
      </c>
      <c r="N44" s="157">
        <v>0.93859999999999999</v>
      </c>
      <c r="O44" s="141">
        <f t="shared" si="1"/>
        <v>0.93899999999999995</v>
      </c>
      <c r="P44" s="154">
        <v>90</v>
      </c>
      <c r="Q44" s="143">
        <v>90.14</v>
      </c>
      <c r="R44" s="144">
        <v>2499.42</v>
      </c>
      <c r="S44" s="132">
        <v>170</v>
      </c>
      <c r="T44" s="142"/>
      <c r="U44" s="142">
        <v>130</v>
      </c>
      <c r="V44" s="142">
        <v>1.1023000000000001</v>
      </c>
      <c r="W44" s="143">
        <v>5</v>
      </c>
      <c r="X44" s="143">
        <v>6.6</v>
      </c>
      <c r="Y44" s="142">
        <v>30</v>
      </c>
      <c r="Z44" s="143">
        <f t="shared" si="13"/>
        <v>30</v>
      </c>
      <c r="AA44" s="144">
        <f t="shared" si="2"/>
        <v>60</v>
      </c>
      <c r="AB44" s="145">
        <f t="shared" si="3"/>
        <v>1953.7130389366</v>
      </c>
      <c r="AC44" s="145">
        <f>+(S44-T44)*V44-'data 1'!$F$4</f>
        <v>107.39100000000002</v>
      </c>
      <c r="AD44" s="145">
        <f t="shared" si="4"/>
        <v>3.612657896411215</v>
      </c>
      <c r="AE44" s="145">
        <f>+(Y44*V44-'data 2'!$B$2)+V44*(Z44-IF(D44="UNTUCA",IF(+((W44-3)*2.5+(X44-3)*3.1)&gt;0,+((W44-3)*1.5+(X44-3)*3.1),0),IF(+((W44-3)*1.5+(X44-3)*3.1)&gt;0,+((W44-3)*1.5+(X44-3)*3.1),0)))</f>
        <v>-39.470567999999993</v>
      </c>
      <c r="AF44" s="145">
        <f t="shared" si="5"/>
        <v>115.36006475088772</v>
      </c>
      <c r="AG44" s="145">
        <f t="shared" si="14"/>
        <v>186.89315464729896</v>
      </c>
      <c r="AH44" s="145">
        <f t="shared" si="7"/>
        <v>165.67529563150899</v>
      </c>
      <c r="AI44" s="143">
        <f t="shared" si="8"/>
        <v>185.12707405526874</v>
      </c>
      <c r="AJ44" s="143">
        <f t="shared" si="9"/>
        <v>157.21405067846356</v>
      </c>
      <c r="AK44" s="133">
        <f t="shared" si="10"/>
        <v>8.4612449530454228</v>
      </c>
      <c r="AL44" s="144"/>
      <c r="AM44" s="144"/>
      <c r="AN44" s="142"/>
      <c r="AO44" s="142"/>
      <c r="AP44" s="142"/>
      <c r="AQ44" s="142"/>
      <c r="AR44" s="142"/>
      <c r="AS44" s="142"/>
      <c r="AT44" s="142"/>
    </row>
    <row r="45" spans="1:46" ht="15.75" customHeight="1">
      <c r="A45" s="134" t="s">
        <v>397</v>
      </c>
      <c r="B45" s="135">
        <v>45540</v>
      </c>
      <c r="C45" s="136">
        <v>45536</v>
      </c>
      <c r="D45" s="79" t="s">
        <v>93</v>
      </c>
      <c r="F45" s="6" t="s">
        <v>398</v>
      </c>
      <c r="G45" s="79">
        <v>15</v>
      </c>
      <c r="H45" s="79" t="s">
        <v>108</v>
      </c>
      <c r="I45" s="79">
        <v>0.85</v>
      </c>
      <c r="J45" s="137">
        <v>1.25</v>
      </c>
      <c r="K45" s="138">
        <f t="shared" si="0"/>
        <v>0.83937499999999998</v>
      </c>
      <c r="L45" s="139">
        <v>2.1150000000000002</v>
      </c>
      <c r="M45" s="139">
        <v>2.0299999999999998</v>
      </c>
      <c r="N45" s="159">
        <v>2.0299999999999998</v>
      </c>
      <c r="O45" s="141">
        <f t="shared" si="1"/>
        <v>2.0299999999999998</v>
      </c>
      <c r="P45" s="150">
        <v>90</v>
      </c>
      <c r="Q45" s="137">
        <v>89.36</v>
      </c>
      <c r="R45" s="57">
        <v>2499.42</v>
      </c>
      <c r="S45" s="80">
        <v>280</v>
      </c>
      <c r="U45" s="79">
        <v>130</v>
      </c>
      <c r="V45" s="142">
        <v>1.1023000000000001</v>
      </c>
      <c r="W45" s="137">
        <v>5</v>
      </c>
      <c r="X45" s="137">
        <v>6.6</v>
      </c>
      <c r="Y45" s="79">
        <v>50</v>
      </c>
      <c r="Z45" s="143">
        <f t="shared" si="13"/>
        <v>30</v>
      </c>
      <c r="AA45" s="144">
        <f t="shared" si="2"/>
        <v>80</v>
      </c>
      <c r="AB45" s="145">
        <f t="shared" si="3"/>
        <v>4374.9519137819998</v>
      </c>
      <c r="AC45" s="145">
        <f>+(S45-T45)*V45-'data 1'!$F$4</f>
        <v>228.64400000000001</v>
      </c>
      <c r="AD45" s="145">
        <f t="shared" si="4"/>
        <v>-35.353482710976039</v>
      </c>
      <c r="AE45" s="145">
        <f>+(Y45*V45-'data 2'!$B$2)+V45*(Z45-IF(D45="UNTUCA",IF(+((W45-3)*2.5+(X45-3)*3.1)&gt;0,+((W45-3)*1.5+(X45-3)*3.1),0),IF(+((W45-3)*1.5+(X45-3)*3.1)&gt;0,+((W45-3)*1.5+(X45-3)*3.1),0)))</f>
        <v>-17.424567999999994</v>
      </c>
      <c r="AF45" s="145">
        <f t="shared" si="5"/>
        <v>198.38276690269697</v>
      </c>
      <c r="AG45" s="145">
        <f t="shared" si="14"/>
        <v>374.24871619172097</v>
      </c>
      <c r="AH45" s="145">
        <f t="shared" si="7"/>
        <v>54.389946434832545</v>
      </c>
      <c r="AI45" s="137">
        <f t="shared" si="8"/>
        <v>392.87009387757587</v>
      </c>
      <c r="AJ45" s="137">
        <f t="shared" si="9"/>
        <v>52.577949705094397</v>
      </c>
      <c r="AK45" s="88">
        <f t="shared" si="10"/>
        <v>1.8119967297381478</v>
      </c>
      <c r="AL45" s="57"/>
      <c r="AM45" s="57"/>
    </row>
    <row r="46" spans="1:46" ht="15.75" customHeight="1">
      <c r="A46" s="134" t="s">
        <v>399</v>
      </c>
      <c r="B46" s="135">
        <v>45538</v>
      </c>
      <c r="C46" s="135">
        <v>45537</v>
      </c>
      <c r="D46" s="158" t="s">
        <v>119</v>
      </c>
      <c r="E46" s="142"/>
      <c r="F46" s="142" t="s">
        <v>375</v>
      </c>
      <c r="G46" s="142">
        <v>49</v>
      </c>
      <c r="H46" s="142" t="s">
        <v>69</v>
      </c>
      <c r="I46" s="143">
        <v>4.7699999999999996</v>
      </c>
      <c r="J46" s="143">
        <v>1.3</v>
      </c>
      <c r="K46" s="138">
        <f t="shared" si="0"/>
        <v>4.7079899999999997</v>
      </c>
      <c r="L46" s="141">
        <v>0.11899999999999999</v>
      </c>
      <c r="M46" s="141">
        <v>0.107</v>
      </c>
      <c r="N46" s="157">
        <v>0.107</v>
      </c>
      <c r="O46" s="141">
        <f t="shared" si="1"/>
        <v>0.107</v>
      </c>
      <c r="P46" s="203">
        <v>85</v>
      </c>
      <c r="Q46" s="143">
        <v>89.65</v>
      </c>
      <c r="R46" s="144">
        <v>2499.42</v>
      </c>
      <c r="S46" s="132">
        <v>95</v>
      </c>
      <c r="T46" s="142"/>
      <c r="U46" s="142">
        <v>80</v>
      </c>
      <c r="V46" s="142">
        <v>1.1023000000000001</v>
      </c>
      <c r="W46" s="143">
        <v>5</v>
      </c>
      <c r="X46" s="143">
        <v>7.2</v>
      </c>
      <c r="Y46" s="142"/>
      <c r="Z46" s="143">
        <v>10</v>
      </c>
      <c r="AA46" s="144">
        <f t="shared" si="2"/>
        <v>10</v>
      </c>
      <c r="AB46" s="145">
        <f t="shared" si="3"/>
        <v>126.81548027270003</v>
      </c>
      <c r="AC46" s="145">
        <f>+(S46-T46)*V46-'data 1'!$F$4</f>
        <v>24.718500000000006</v>
      </c>
      <c r="AD46" s="145">
        <f t="shared" si="4"/>
        <v>14.757438706311017</v>
      </c>
      <c r="AE46" s="145">
        <f>+(Y46*V46-'data 2'!$B$2)+V46*(Z46-IF(D46="UNTUCA",IF(+((W46-3)*2.5+(X46-3)*3.1)&gt;0,+((W46-3)*1.5+(X46-3)*3.1),0),IF(+((W46-3)*1.5+(X46-3)*3.1)&gt;0,+((W46-3)*1.5+(X46-3)*3.1),0)))</f>
        <v>-96.635846000000001</v>
      </c>
      <c r="AF46" s="145">
        <f t="shared" si="5"/>
        <v>28.690797072827994</v>
      </c>
      <c r="AG46" s="244">
        <f t="shared" ref="AG46:AG51" si="15">+IF(D46="RONALD WILLIAN GARIBAY ESCUDERO",AC46+AD46+AE46+AF46+80,AC46+AD46+AE46+AF46)+90</f>
        <v>61.530889779139017</v>
      </c>
      <c r="AH46" s="145">
        <f t="shared" si="7"/>
        <v>17.22034532606752</v>
      </c>
      <c r="AI46" s="143">
        <f t="shared" si="8"/>
        <v>16.296623031688995</v>
      </c>
      <c r="AJ46" s="143">
        <f t="shared" si="9"/>
        <v>14.680718268578</v>
      </c>
      <c r="AK46" s="133">
        <f t="shared" si="10"/>
        <v>2.5396270574895201</v>
      </c>
      <c r="AL46" s="144"/>
      <c r="AM46" s="144"/>
      <c r="AN46" s="142"/>
      <c r="AO46" s="142"/>
      <c r="AP46" s="142"/>
      <c r="AQ46" s="142"/>
      <c r="AR46" s="142"/>
      <c r="AS46" s="142"/>
      <c r="AT46" s="142"/>
    </row>
    <row r="47" spans="1:46" ht="15.75" customHeight="1">
      <c r="A47" s="134" t="s">
        <v>400</v>
      </c>
      <c r="B47" s="135">
        <v>45538</v>
      </c>
      <c r="C47" s="135">
        <v>45537</v>
      </c>
      <c r="D47" s="158" t="s">
        <v>119</v>
      </c>
      <c r="E47" s="142"/>
      <c r="F47" s="142" t="s">
        <v>375</v>
      </c>
      <c r="G47" s="142">
        <v>33</v>
      </c>
      <c r="H47" s="142" t="s">
        <v>69</v>
      </c>
      <c r="I47" s="143">
        <v>3.15</v>
      </c>
      <c r="J47" s="143">
        <v>1.2</v>
      </c>
      <c r="K47" s="138">
        <f t="shared" si="0"/>
        <v>3.1122000000000001</v>
      </c>
      <c r="L47" s="141">
        <v>7.1999999999999995E-2</v>
      </c>
      <c r="M47" s="141">
        <v>6.7000000000000004E-2</v>
      </c>
      <c r="N47" s="157">
        <v>6.7000000000000004E-2</v>
      </c>
      <c r="O47" s="141">
        <f t="shared" si="1"/>
        <v>6.7000000000000004E-2</v>
      </c>
      <c r="P47" s="203">
        <v>85</v>
      </c>
      <c r="Q47" s="143">
        <v>81.36</v>
      </c>
      <c r="R47" s="144">
        <v>2499.42</v>
      </c>
      <c r="S47" s="132">
        <v>95</v>
      </c>
      <c r="T47" s="142"/>
      <c r="U47" s="142">
        <v>80</v>
      </c>
      <c r="V47" s="142">
        <v>1.1023000000000001</v>
      </c>
      <c r="W47" s="143">
        <v>5</v>
      </c>
      <c r="X47" s="143">
        <v>7.2</v>
      </c>
      <c r="Y47" s="142"/>
      <c r="Z47" s="143">
        <v>10</v>
      </c>
      <c r="AA47" s="144">
        <f t="shared" si="2"/>
        <v>10</v>
      </c>
      <c r="AB47" s="145">
        <f t="shared" si="3"/>
        <v>36.139973628699998</v>
      </c>
      <c r="AC47" s="145">
        <f>+(S47-T47)*V47-'data 1'!$F$4</f>
        <v>24.718500000000006</v>
      </c>
      <c r="AD47" s="145">
        <f t="shared" si="4"/>
        <v>-6.9894814062528008</v>
      </c>
      <c r="AE47" s="145">
        <f>+(Y47*V47-'data 2'!$B$2)+V47*(Z47-IF(D47="UNTUCA",IF(+((W47-3)*2.5+(X47-3)*3.1)&gt;0,+((W47-3)*1.5+(X47-3)*3.1),0),IF(+((W47-3)*1.5+(X47-3)*3.1)&gt;0,+((W47-3)*1.5+(X47-3)*3.1),0)))</f>
        <v>-96.635846000000001</v>
      </c>
      <c r="AF47" s="145">
        <f t="shared" si="5"/>
        <v>10.849057677287981</v>
      </c>
      <c r="AG47" s="244">
        <f t="shared" si="15"/>
        <v>21.942230271035186</v>
      </c>
      <c r="AH47" s="145">
        <f t="shared" si="7"/>
        <v>6.2505754807061704</v>
      </c>
      <c r="AI47" s="143">
        <f t="shared" si="8"/>
        <v>8.9483672723327956</v>
      </c>
      <c r="AJ47" s="143">
        <f t="shared" si="9"/>
        <v>6.0767349780505118</v>
      </c>
      <c r="AK47" s="133">
        <f t="shared" si="10"/>
        <v>0.17384050265565865</v>
      </c>
      <c r="AL47" s="144"/>
      <c r="AM47" s="144"/>
      <c r="AN47" s="142"/>
      <c r="AO47" s="142"/>
      <c r="AP47" s="142"/>
      <c r="AQ47" s="142"/>
      <c r="AR47" s="142"/>
      <c r="AS47" s="142"/>
      <c r="AT47" s="142"/>
    </row>
    <row r="48" spans="1:46" ht="15.75" customHeight="1">
      <c r="A48" s="134" t="s">
        <v>401</v>
      </c>
      <c r="B48" s="135">
        <v>45538</v>
      </c>
      <c r="C48" s="135">
        <v>45537</v>
      </c>
      <c r="D48" s="158" t="s">
        <v>119</v>
      </c>
      <c r="E48" s="142"/>
      <c r="F48" s="142" t="s">
        <v>375</v>
      </c>
      <c r="G48" s="142">
        <v>33</v>
      </c>
      <c r="H48" s="142" t="s">
        <v>69</v>
      </c>
      <c r="I48" s="143">
        <v>3.02</v>
      </c>
      <c r="J48" s="143">
        <v>1.1499999999999999</v>
      </c>
      <c r="K48" s="138">
        <f t="shared" si="0"/>
        <v>2.9852699999999999</v>
      </c>
      <c r="L48" s="141">
        <v>0.216</v>
      </c>
      <c r="M48" s="141">
        <v>0.2</v>
      </c>
      <c r="N48" s="157">
        <v>0.2</v>
      </c>
      <c r="O48" s="141">
        <f t="shared" si="1"/>
        <v>0.2</v>
      </c>
      <c r="P48" s="203">
        <v>85</v>
      </c>
      <c r="Q48" s="143">
        <v>90.42</v>
      </c>
      <c r="R48" s="144">
        <v>2499.42</v>
      </c>
      <c r="S48" s="132">
        <v>105</v>
      </c>
      <c r="T48" s="142"/>
      <c r="U48" s="142">
        <v>80</v>
      </c>
      <c r="V48" s="142">
        <v>1.1023000000000001</v>
      </c>
      <c r="W48" s="143">
        <v>5</v>
      </c>
      <c r="X48" s="143">
        <v>7.2</v>
      </c>
      <c r="Y48" s="142"/>
      <c r="Z48" s="143">
        <v>10</v>
      </c>
      <c r="AA48" s="144">
        <f t="shared" si="2"/>
        <v>10</v>
      </c>
      <c r="AB48" s="145">
        <f t="shared" si="3"/>
        <v>326.61303322000003</v>
      </c>
      <c r="AC48" s="145">
        <f>+(S48-T48)*V48-'data 1'!$F$4</f>
        <v>35.741500000000002</v>
      </c>
      <c r="AD48" s="145">
        <f t="shared" si="4"/>
        <v>31.22224386419521</v>
      </c>
      <c r="AE48" s="145">
        <f>+(Y48*V48-'data 2'!$B$2)+V48*(Z48-IF(D48="UNTUCA",IF(+((W48-3)*2.5+(X48-3)*3.1)&gt;0,+((W48-3)*1.5+(X48-3)*3.1),0),IF(+((W48-3)*1.5+(X48-3)*3.1)&gt;0,+((W48-3)*1.5+(X48-3)*3.1),0)))</f>
        <v>-96.635846000000001</v>
      </c>
      <c r="AF48" s="145">
        <f t="shared" si="5"/>
        <v>38.582961462355172</v>
      </c>
      <c r="AG48" s="244">
        <f t="shared" si="15"/>
        <v>98.91085932655038</v>
      </c>
      <c r="AH48" s="145">
        <f t="shared" si="7"/>
        <v>19.989914645210554</v>
      </c>
      <c r="AI48" s="143">
        <f t="shared" si="8"/>
        <v>29.834489998684784</v>
      </c>
      <c r="AJ48" s="143">
        <f t="shared" si="9"/>
        <v>17.399693865283993</v>
      </c>
      <c r="AK48" s="133">
        <f t="shared" si="10"/>
        <v>2.5902207799265611</v>
      </c>
      <c r="AL48" s="144"/>
      <c r="AM48" s="144"/>
      <c r="AN48" s="142"/>
      <c r="AO48" s="142"/>
      <c r="AP48" s="142"/>
      <c r="AQ48" s="142"/>
      <c r="AR48" s="142"/>
      <c r="AS48" s="142"/>
      <c r="AT48" s="142"/>
    </row>
    <row r="49" spans="1:46" ht="15.75" customHeight="1">
      <c r="A49" s="134" t="s">
        <v>402</v>
      </c>
      <c r="B49" s="135">
        <v>45538</v>
      </c>
      <c r="C49" s="135">
        <v>45537</v>
      </c>
      <c r="D49" s="158" t="s">
        <v>119</v>
      </c>
      <c r="E49" s="142"/>
      <c r="F49" s="142" t="s">
        <v>375</v>
      </c>
      <c r="G49" s="142">
        <v>46</v>
      </c>
      <c r="H49" s="142" t="s">
        <v>69</v>
      </c>
      <c r="I49" s="143">
        <v>4.18</v>
      </c>
      <c r="J49" s="143">
        <v>1.1000000000000001</v>
      </c>
      <c r="K49" s="138">
        <f t="shared" si="0"/>
        <v>4.1340199999999996</v>
      </c>
      <c r="L49" s="141">
        <v>0.192</v>
      </c>
      <c r="M49" s="141">
        <v>0.17299999999999999</v>
      </c>
      <c r="N49" s="157">
        <v>0.17299999999999999</v>
      </c>
      <c r="O49" s="141">
        <f t="shared" si="1"/>
        <v>0.17299999999999999</v>
      </c>
      <c r="P49" s="203">
        <v>85</v>
      </c>
      <c r="Q49" s="143">
        <v>90.55</v>
      </c>
      <c r="R49" s="144">
        <v>2499.42</v>
      </c>
      <c r="S49" s="132">
        <v>95</v>
      </c>
      <c r="T49" s="142"/>
      <c r="U49" s="142">
        <v>80</v>
      </c>
      <c r="V49" s="142">
        <v>1.1023000000000001</v>
      </c>
      <c r="W49" s="143">
        <v>5</v>
      </c>
      <c r="X49" s="143">
        <v>7.2</v>
      </c>
      <c r="Y49" s="142"/>
      <c r="Z49" s="143">
        <v>10</v>
      </c>
      <c r="AA49" s="144">
        <f t="shared" si="2"/>
        <v>10</v>
      </c>
      <c r="AB49" s="145">
        <f t="shared" si="3"/>
        <v>276.43006623529993</v>
      </c>
      <c r="AC49" s="145">
        <f>+(S49-T49)*V49-'data 1'!$F$4</f>
        <v>24.718500000000006</v>
      </c>
      <c r="AD49" s="145">
        <f t="shared" si="4"/>
        <v>28.418770552895989</v>
      </c>
      <c r="AE49" s="145">
        <f>+(Y49*V49-'data 2'!$B$2)+V49*(Z49-IF(D49="UNTUCA",IF(+((W49-3)*2.5+(X49-3)*3.1)&gt;0,+((W49-3)*1.5+(X49-3)*3.1),0),IF(+((W49-3)*1.5+(X49-3)*3.1)&gt;0,+((W49-3)*1.5+(X49-3)*3.1),0)))</f>
        <v>-96.635846000000001</v>
      </c>
      <c r="AF49" s="145">
        <f t="shared" si="5"/>
        <v>45.883139825197048</v>
      </c>
      <c r="AG49" s="244">
        <f t="shared" si="15"/>
        <v>92.384564378093046</v>
      </c>
      <c r="AH49" s="145">
        <f t="shared" si="7"/>
        <v>24.641737450617683</v>
      </c>
      <c r="AI49" s="143">
        <f t="shared" si="8"/>
        <v>26.557674746303988</v>
      </c>
      <c r="AJ49" s="143">
        <f t="shared" si="9"/>
        <v>20.842349370245088</v>
      </c>
      <c r="AK49" s="133">
        <f t="shared" si="10"/>
        <v>3.7993880803725943</v>
      </c>
      <c r="AL49" s="144"/>
      <c r="AM49" s="144"/>
      <c r="AN49" s="142"/>
      <c r="AO49" s="142"/>
      <c r="AP49" s="142"/>
      <c r="AQ49" s="142"/>
      <c r="AR49" s="142"/>
      <c r="AS49" s="142"/>
      <c r="AT49" s="142"/>
    </row>
    <row r="50" spans="1:46" ht="15.75" customHeight="1">
      <c r="A50" s="134" t="s">
        <v>403</v>
      </c>
      <c r="B50" s="135">
        <v>45538</v>
      </c>
      <c r="C50" s="135">
        <v>45537</v>
      </c>
      <c r="D50" s="158" t="s">
        <v>119</v>
      </c>
      <c r="E50" s="142"/>
      <c r="F50" s="142" t="s">
        <v>375</v>
      </c>
      <c r="G50" s="142">
        <v>43</v>
      </c>
      <c r="H50" s="142" t="s">
        <v>69</v>
      </c>
      <c r="I50" s="143">
        <v>3.74</v>
      </c>
      <c r="J50" s="143">
        <v>1</v>
      </c>
      <c r="K50" s="138">
        <f t="shared" si="0"/>
        <v>3.7026000000000003</v>
      </c>
      <c r="L50" s="141">
        <v>0.22700000000000001</v>
      </c>
      <c r="M50" s="141">
        <v>0.20799999999999999</v>
      </c>
      <c r="N50" s="157">
        <v>0.20799999999999999</v>
      </c>
      <c r="O50" s="141">
        <f t="shared" si="1"/>
        <v>0.20799999999999999</v>
      </c>
      <c r="P50" s="203">
        <v>85</v>
      </c>
      <c r="Q50" s="143">
        <v>90.39</v>
      </c>
      <c r="R50" s="144">
        <v>2499.42</v>
      </c>
      <c r="S50" s="132">
        <v>105</v>
      </c>
      <c r="T50" s="142"/>
      <c r="U50" s="142">
        <v>80</v>
      </c>
      <c r="V50" s="142">
        <v>1.1023000000000001</v>
      </c>
      <c r="W50" s="143">
        <v>5</v>
      </c>
      <c r="X50" s="143">
        <v>7.2</v>
      </c>
      <c r="Y50" s="142"/>
      <c r="Z50" s="143">
        <v>10</v>
      </c>
      <c r="AA50" s="144">
        <f t="shared" si="2"/>
        <v>10</v>
      </c>
      <c r="AB50" s="145">
        <f t="shared" si="3"/>
        <v>344.74813454880007</v>
      </c>
      <c r="AC50" s="145">
        <f>+(S50-T50)*V50-'data 1'!$F$4</f>
        <v>35.741500000000002</v>
      </c>
      <c r="AD50" s="145">
        <f t="shared" si="4"/>
        <v>32.630647836509809</v>
      </c>
      <c r="AE50" s="145">
        <f>+(Y50*V50-'data 2'!$B$2)+V50*(Z50-IF(D50="UNTUCA",IF(+((W50-3)*2.5+(X50-3)*3.1)&gt;0,+((W50-3)*1.5+(X50-3)*3.1),0),IF(+((W50-3)*1.5+(X50-3)*3.1)&gt;0,+((W50-3)*1.5+(X50-3)*3.1),0)))</f>
        <v>-96.635846000000001</v>
      </c>
      <c r="AF50" s="145">
        <f t="shared" si="5"/>
        <v>45.802065254550641</v>
      </c>
      <c r="AG50" s="244">
        <f t="shared" si="15"/>
        <v>107.53836709106045</v>
      </c>
      <c r="AH50" s="145">
        <f t="shared" si="7"/>
        <v>26.047263870670868</v>
      </c>
      <c r="AI50" s="143">
        <f t="shared" si="8"/>
        <v>31.343436292810182</v>
      </c>
      <c r="AJ50" s="143">
        <f t="shared" si="9"/>
        <v>22.443889753966822</v>
      </c>
      <c r="AK50" s="133">
        <f t="shared" si="10"/>
        <v>3.6033741167040461</v>
      </c>
      <c r="AL50" s="144"/>
      <c r="AM50" s="144"/>
      <c r="AN50" s="142"/>
      <c r="AO50" s="142"/>
      <c r="AP50" s="142"/>
      <c r="AQ50" s="142"/>
      <c r="AR50" s="142"/>
      <c r="AS50" s="142"/>
      <c r="AT50" s="142"/>
    </row>
    <row r="51" spans="1:46" ht="15.75" customHeight="1">
      <c r="A51" s="134" t="s">
        <v>404</v>
      </c>
      <c r="B51" s="135">
        <v>45538</v>
      </c>
      <c r="C51" s="135">
        <v>45537</v>
      </c>
      <c r="D51" s="158" t="s">
        <v>119</v>
      </c>
      <c r="E51" s="142"/>
      <c r="F51" s="142" t="s">
        <v>375</v>
      </c>
      <c r="G51" s="142">
        <v>34</v>
      </c>
      <c r="H51" s="142" t="s">
        <v>69</v>
      </c>
      <c r="I51" s="143">
        <v>2.8</v>
      </c>
      <c r="J51" s="143">
        <v>1.2</v>
      </c>
      <c r="K51" s="138">
        <f t="shared" si="0"/>
        <v>2.7664</v>
      </c>
      <c r="L51" s="141">
        <v>0.19800000000000001</v>
      </c>
      <c r="M51" s="141">
        <v>0.18</v>
      </c>
      <c r="N51" s="157">
        <v>0.18</v>
      </c>
      <c r="O51" s="141">
        <f t="shared" si="1"/>
        <v>0.18</v>
      </c>
      <c r="P51" s="203">
        <v>85</v>
      </c>
      <c r="Q51" s="143">
        <v>90.11</v>
      </c>
      <c r="R51" s="144">
        <v>2499.42</v>
      </c>
      <c r="S51" s="132">
        <v>95</v>
      </c>
      <c r="T51" s="142"/>
      <c r="U51" s="142">
        <v>80</v>
      </c>
      <c r="V51" s="142">
        <v>1.1023000000000001</v>
      </c>
      <c r="W51" s="143">
        <v>5</v>
      </c>
      <c r="X51" s="143">
        <v>7.2</v>
      </c>
      <c r="Y51" s="142"/>
      <c r="Z51" s="143">
        <v>10</v>
      </c>
      <c r="AA51" s="144">
        <f t="shared" si="2"/>
        <v>10</v>
      </c>
      <c r="AB51" s="145">
        <f t="shared" si="3"/>
        <v>292.29827989799998</v>
      </c>
      <c r="AC51" s="145">
        <f>+(S51-T51)*V51-'data 1'!$F$4</f>
        <v>24.718500000000006</v>
      </c>
      <c r="AD51" s="145">
        <f t="shared" si="4"/>
        <v>26.983430621254801</v>
      </c>
      <c r="AE51" s="145">
        <f>+(Y51*V51-'data 2'!$B$2)+V51*(Z51-IF(D51="UNTUCA",IF(+((W51-3)*2.5+(X51-3)*3.1)&gt;0,+((W51-3)*1.5+(X51-3)*3.1),0),IF(+((W51-3)*1.5+(X51-3)*3.1)&gt;0,+((W51-3)*1.5+(X51-3)*3.1),0)))</f>
        <v>-96.635846000000001</v>
      </c>
      <c r="AF51" s="145">
        <f t="shared" si="5"/>
        <v>43.25701713718685</v>
      </c>
      <c r="AG51" s="244">
        <f t="shared" si="15"/>
        <v>88.323101758441652</v>
      </c>
      <c r="AH51" s="145">
        <f t="shared" si="7"/>
        <v>16.922410472606696</v>
      </c>
      <c r="AI51" s="143">
        <f t="shared" si="8"/>
        <v>27.254520415465191</v>
      </c>
      <c r="AJ51" s="143">
        <f t="shared" si="9"/>
        <v>14.51160591773256</v>
      </c>
      <c r="AK51" s="133">
        <f t="shared" si="10"/>
        <v>2.4108045548741366</v>
      </c>
      <c r="AL51" s="144"/>
      <c r="AM51" s="144"/>
      <c r="AN51" s="142"/>
      <c r="AO51" s="142"/>
      <c r="AP51" s="142"/>
      <c r="AQ51" s="142"/>
      <c r="AR51" s="142"/>
      <c r="AS51" s="142"/>
      <c r="AT51" s="142"/>
    </row>
    <row r="52" spans="1:46" ht="15.75" customHeight="1">
      <c r="B52" s="135"/>
      <c r="C52" s="136"/>
      <c r="J52" s="137"/>
      <c r="K52" s="138"/>
      <c r="L52" s="80"/>
      <c r="M52" s="139"/>
      <c r="N52" s="80"/>
      <c r="O52" s="141"/>
      <c r="S52" s="80"/>
      <c r="V52" s="142"/>
      <c r="AB52" s="83"/>
      <c r="AC52" s="83"/>
      <c r="AD52" s="83"/>
      <c r="AE52" s="83"/>
      <c r="AF52" s="83"/>
      <c r="AG52" s="83"/>
      <c r="AH52" s="83"/>
      <c r="AK52" s="88"/>
      <c r="AL52" s="57"/>
      <c r="AM52" s="57"/>
    </row>
    <row r="53" spans="1:46" ht="15.75" customHeight="1">
      <c r="B53" s="135"/>
      <c r="C53" s="136"/>
      <c r="J53" s="137"/>
      <c r="K53" s="138"/>
      <c r="L53" s="80"/>
      <c r="M53" s="139"/>
      <c r="N53" s="80"/>
      <c r="O53" s="141"/>
      <c r="S53" s="80"/>
      <c r="AB53" s="83"/>
      <c r="AC53" s="83"/>
      <c r="AD53" s="83"/>
      <c r="AE53" s="83"/>
      <c r="AF53" s="83"/>
      <c r="AG53" s="83"/>
      <c r="AH53" s="83"/>
      <c r="AK53" s="88"/>
      <c r="AL53" s="57"/>
      <c r="AM53" s="57"/>
    </row>
    <row r="54" spans="1:46" ht="15.75" customHeight="1">
      <c r="B54" s="135"/>
      <c r="C54" s="136"/>
      <c r="J54" s="137"/>
      <c r="K54" s="138"/>
      <c r="L54" s="80"/>
      <c r="M54" s="139"/>
      <c r="N54" s="80"/>
      <c r="O54" s="141"/>
      <c r="S54" s="80"/>
      <c r="AB54" s="83"/>
      <c r="AC54" s="83"/>
      <c r="AD54" s="83"/>
      <c r="AE54" s="83"/>
      <c r="AF54" s="83"/>
      <c r="AG54" s="83"/>
      <c r="AH54" s="83"/>
      <c r="AK54" s="88"/>
      <c r="AL54" s="57"/>
      <c r="AM54" s="57"/>
    </row>
    <row r="55" spans="1:46" ht="15.75" customHeight="1">
      <c r="B55" s="135"/>
      <c r="C55" s="136"/>
      <c r="J55" s="137"/>
      <c r="K55" s="138"/>
      <c r="L55" s="80"/>
      <c r="M55" s="139"/>
      <c r="N55" s="80"/>
      <c r="O55" s="141"/>
      <c r="S55" s="80"/>
      <c r="AB55" s="83"/>
      <c r="AC55" s="83"/>
      <c r="AD55" s="83"/>
      <c r="AE55" s="83"/>
      <c r="AF55" s="83"/>
      <c r="AG55" s="83"/>
      <c r="AH55" s="83"/>
      <c r="AK55" s="88"/>
      <c r="AL55" s="57"/>
      <c r="AM55" s="57"/>
    </row>
    <row r="56" spans="1:46" ht="15.75" customHeight="1">
      <c r="B56" s="135"/>
      <c r="C56" s="136"/>
      <c r="J56" s="137"/>
      <c r="K56" s="138"/>
      <c r="L56" s="80"/>
      <c r="M56" s="139"/>
      <c r="N56" s="80"/>
      <c r="O56" s="141"/>
      <c r="S56" s="80"/>
      <c r="AB56" s="83"/>
      <c r="AC56" s="83"/>
      <c r="AD56" s="83"/>
      <c r="AE56" s="83"/>
      <c r="AF56" s="83"/>
      <c r="AG56" s="83"/>
      <c r="AH56" s="83"/>
      <c r="AK56" s="88"/>
      <c r="AL56" s="57"/>
      <c r="AM56" s="57"/>
    </row>
    <row r="57" spans="1:46" ht="15.75" customHeight="1">
      <c r="B57" s="135"/>
      <c r="C57" s="136"/>
      <c r="J57" s="137"/>
      <c r="K57" s="138"/>
      <c r="L57" s="80"/>
      <c r="M57" s="139"/>
      <c r="N57" s="80"/>
      <c r="O57" s="141"/>
      <c r="S57" s="80"/>
      <c r="AB57" s="83"/>
      <c r="AC57" s="83"/>
      <c r="AD57" s="83"/>
      <c r="AE57" s="83"/>
      <c r="AF57" s="83"/>
      <c r="AG57" s="83"/>
      <c r="AH57" s="83"/>
      <c r="AK57" s="88"/>
      <c r="AL57" s="57"/>
      <c r="AM57" s="57"/>
    </row>
    <row r="58" spans="1:46" ht="15.75" customHeight="1">
      <c r="B58" s="135"/>
      <c r="C58" s="136"/>
      <c r="J58" s="137"/>
      <c r="K58" s="138"/>
      <c r="L58" s="80"/>
      <c r="M58" s="139"/>
      <c r="N58" s="80"/>
      <c r="O58" s="141"/>
      <c r="S58" s="80"/>
      <c r="AB58" s="83"/>
      <c r="AC58" s="83"/>
      <c r="AD58" s="83"/>
      <c r="AE58" s="83"/>
      <c r="AF58" s="83"/>
      <c r="AG58" s="83"/>
      <c r="AH58" s="83"/>
      <c r="AK58" s="88"/>
      <c r="AL58" s="57"/>
      <c r="AM58" s="57"/>
    </row>
    <row r="59" spans="1:46" ht="15.75" customHeight="1">
      <c r="B59" s="135"/>
      <c r="C59" s="136"/>
      <c r="J59" s="137"/>
      <c r="K59" s="138"/>
      <c r="L59" s="80"/>
      <c r="M59" s="139"/>
      <c r="N59" s="80"/>
      <c r="O59" s="141"/>
      <c r="S59" s="80"/>
      <c r="AB59" s="83"/>
      <c r="AC59" s="83"/>
      <c r="AD59" s="83"/>
      <c r="AE59" s="83"/>
      <c r="AF59" s="83"/>
      <c r="AG59" s="83"/>
      <c r="AH59" s="83"/>
      <c r="AK59" s="88"/>
      <c r="AL59" s="57"/>
      <c r="AM59" s="57"/>
    </row>
    <row r="60" spans="1:46" ht="15.75" customHeight="1">
      <c r="B60" s="135"/>
      <c r="C60" s="136"/>
      <c r="J60" s="137"/>
      <c r="K60" s="138"/>
      <c r="L60" s="80"/>
      <c r="M60" s="139"/>
      <c r="N60" s="80"/>
      <c r="O60" s="141"/>
      <c r="S60" s="80"/>
      <c r="AB60" s="83"/>
      <c r="AC60" s="83"/>
      <c r="AD60" s="83"/>
      <c r="AE60" s="83"/>
      <c r="AF60" s="83"/>
      <c r="AG60" s="83"/>
      <c r="AH60" s="83"/>
      <c r="AK60" s="88"/>
      <c r="AL60" s="57"/>
      <c r="AM60" s="57"/>
    </row>
    <row r="61" spans="1:46" ht="15.75" customHeight="1">
      <c r="B61" s="135"/>
      <c r="C61" s="136"/>
      <c r="J61" s="137"/>
      <c r="K61" s="138"/>
      <c r="L61" s="80"/>
      <c r="M61" s="139"/>
      <c r="N61" s="80"/>
      <c r="O61" s="141"/>
      <c r="S61" s="80"/>
      <c r="AB61" s="83"/>
      <c r="AC61" s="83"/>
      <c r="AD61" s="83"/>
      <c r="AE61" s="83"/>
      <c r="AF61" s="83"/>
      <c r="AG61" s="83"/>
      <c r="AH61" s="83"/>
      <c r="AK61" s="88"/>
      <c r="AL61" s="57"/>
      <c r="AM61" s="57"/>
    </row>
    <row r="62" spans="1:46" ht="15.75" customHeight="1">
      <c r="B62" s="135"/>
      <c r="C62" s="136"/>
      <c r="J62" s="137"/>
      <c r="K62" s="138"/>
      <c r="L62" s="80"/>
      <c r="M62" s="139"/>
      <c r="N62" s="80"/>
      <c r="O62" s="141"/>
      <c r="S62" s="80"/>
      <c r="AB62" s="83"/>
      <c r="AC62" s="83"/>
      <c r="AD62" s="83"/>
      <c r="AE62" s="83"/>
      <c r="AF62" s="83"/>
      <c r="AG62" s="83"/>
      <c r="AH62" s="83"/>
      <c r="AK62" s="88"/>
      <c r="AL62" s="57"/>
      <c r="AM62" s="57"/>
    </row>
    <row r="63" spans="1:46" ht="15.75" customHeight="1">
      <c r="B63" s="135"/>
      <c r="C63" s="136"/>
      <c r="J63" s="137"/>
      <c r="K63" s="138"/>
      <c r="L63" s="80"/>
      <c r="M63" s="139"/>
      <c r="N63" s="80"/>
      <c r="O63" s="141"/>
      <c r="S63" s="80"/>
      <c r="AB63" s="83"/>
      <c r="AC63" s="83"/>
      <c r="AD63" s="83"/>
      <c r="AE63" s="83"/>
      <c r="AF63" s="83"/>
      <c r="AG63" s="83"/>
      <c r="AH63" s="83"/>
      <c r="AK63" s="88"/>
      <c r="AL63" s="57"/>
      <c r="AM63" s="57"/>
    </row>
    <row r="64" spans="1:46" ht="15.75" customHeight="1">
      <c r="B64" s="135"/>
      <c r="C64" s="136"/>
      <c r="J64" s="137"/>
      <c r="K64" s="138"/>
      <c r="L64" s="80"/>
      <c r="M64" s="139"/>
      <c r="N64" s="80"/>
      <c r="O64" s="141"/>
      <c r="S64" s="80"/>
      <c r="AB64" s="83"/>
      <c r="AC64" s="83"/>
      <c r="AD64" s="83"/>
      <c r="AE64" s="83"/>
      <c r="AF64" s="83"/>
      <c r="AG64" s="83"/>
      <c r="AH64" s="83"/>
      <c r="AK64" s="88"/>
      <c r="AL64" s="57"/>
      <c r="AM64" s="57"/>
    </row>
    <row r="65" spans="2:39" ht="15.75" customHeight="1">
      <c r="B65" s="135"/>
      <c r="C65" s="136"/>
      <c r="J65" s="137"/>
      <c r="K65" s="138"/>
      <c r="L65" s="80"/>
      <c r="M65" s="139"/>
      <c r="N65" s="80"/>
      <c r="O65" s="141"/>
      <c r="S65" s="80"/>
      <c r="AB65" s="83"/>
      <c r="AC65" s="83"/>
      <c r="AD65" s="83"/>
      <c r="AE65" s="83"/>
      <c r="AF65" s="83"/>
      <c r="AG65" s="83"/>
      <c r="AH65" s="83"/>
      <c r="AK65" s="88"/>
      <c r="AL65" s="57"/>
      <c r="AM65" s="57"/>
    </row>
    <row r="66" spans="2:39" ht="15.75" customHeight="1">
      <c r="B66" s="135"/>
      <c r="C66" s="136"/>
      <c r="J66" s="137"/>
      <c r="K66" s="138"/>
      <c r="L66" s="80"/>
      <c r="M66" s="139"/>
      <c r="N66" s="80"/>
      <c r="O66" s="141"/>
      <c r="S66" s="80"/>
      <c r="AB66" s="83"/>
      <c r="AC66" s="83"/>
      <c r="AD66" s="83"/>
      <c r="AE66" s="83"/>
      <c r="AF66" s="83"/>
      <c r="AG66" s="83"/>
      <c r="AH66" s="83"/>
      <c r="AK66" s="88"/>
      <c r="AL66" s="57"/>
      <c r="AM66" s="57"/>
    </row>
    <row r="67" spans="2:39" ht="15.75" customHeight="1">
      <c r="B67" s="135"/>
      <c r="C67" s="136"/>
      <c r="J67" s="137"/>
      <c r="K67" s="138"/>
      <c r="L67" s="80"/>
      <c r="M67" s="139"/>
      <c r="N67" s="80"/>
      <c r="O67" s="141"/>
      <c r="S67" s="80"/>
      <c r="AB67" s="83"/>
      <c r="AC67" s="83"/>
      <c r="AD67" s="83"/>
      <c r="AE67" s="83"/>
      <c r="AF67" s="83"/>
      <c r="AG67" s="83"/>
      <c r="AH67" s="83"/>
      <c r="AK67" s="88"/>
      <c r="AL67" s="57"/>
      <c r="AM67" s="57"/>
    </row>
    <row r="68" spans="2:39" ht="15.75" customHeight="1">
      <c r="B68" s="135"/>
      <c r="C68" s="136"/>
      <c r="J68" s="137"/>
      <c r="K68" s="138"/>
      <c r="L68" s="80"/>
      <c r="M68" s="139"/>
      <c r="N68" s="80"/>
      <c r="O68" s="141"/>
      <c r="S68" s="80"/>
      <c r="AB68" s="83"/>
      <c r="AC68" s="83"/>
      <c r="AD68" s="83"/>
      <c r="AE68" s="83"/>
      <c r="AF68" s="83"/>
      <c r="AG68" s="83"/>
      <c r="AH68" s="83"/>
      <c r="AK68" s="88"/>
      <c r="AL68" s="57"/>
      <c r="AM68" s="57"/>
    </row>
    <row r="69" spans="2:39" ht="15.75" customHeight="1">
      <c r="B69" s="135"/>
      <c r="C69" s="136"/>
      <c r="J69" s="137"/>
      <c r="K69" s="138"/>
      <c r="L69" s="80"/>
      <c r="M69" s="139"/>
      <c r="N69" s="80"/>
      <c r="O69" s="141"/>
      <c r="S69" s="80"/>
      <c r="AB69" s="83"/>
      <c r="AC69" s="83"/>
      <c r="AD69" s="83"/>
      <c r="AE69" s="83"/>
      <c r="AF69" s="83"/>
      <c r="AG69" s="83"/>
      <c r="AH69" s="83"/>
      <c r="AK69" s="88"/>
      <c r="AL69" s="57"/>
      <c r="AM69" s="57"/>
    </row>
    <row r="70" spans="2:39" ht="15.75" customHeight="1">
      <c r="B70" s="135"/>
      <c r="C70" s="136"/>
      <c r="J70" s="137"/>
      <c r="K70" s="138"/>
      <c r="M70" s="139"/>
      <c r="N70" s="80"/>
      <c r="O70" s="141"/>
      <c r="S70" s="80"/>
      <c r="AB70" s="83"/>
      <c r="AC70" s="83"/>
      <c r="AD70" s="83"/>
      <c r="AE70" s="83"/>
      <c r="AF70" s="83"/>
      <c r="AG70" s="83"/>
      <c r="AH70" s="83"/>
      <c r="AK70" s="88"/>
      <c r="AL70" s="57"/>
      <c r="AM70" s="57"/>
    </row>
    <row r="71" spans="2:39" ht="15.75" customHeight="1">
      <c r="B71" s="135"/>
      <c r="C71" s="136"/>
      <c r="J71" s="137"/>
      <c r="K71" s="138"/>
      <c r="M71" s="139"/>
      <c r="N71" s="80"/>
      <c r="O71" s="141"/>
      <c r="S71" s="80"/>
      <c r="AB71" s="83"/>
      <c r="AC71" s="83"/>
      <c r="AD71" s="83"/>
      <c r="AE71" s="83"/>
      <c r="AF71" s="83"/>
      <c r="AG71" s="83"/>
      <c r="AH71" s="83"/>
      <c r="AK71" s="88"/>
      <c r="AL71" s="57"/>
      <c r="AM71" s="57"/>
    </row>
    <row r="72" spans="2:39" ht="15.75" customHeight="1">
      <c r="B72" s="135"/>
      <c r="C72" s="136"/>
      <c r="J72" s="137"/>
      <c r="K72" s="138"/>
      <c r="M72" s="139"/>
      <c r="N72" s="80"/>
      <c r="O72" s="141"/>
      <c r="S72" s="80"/>
      <c r="AB72" s="83"/>
      <c r="AC72" s="83"/>
      <c r="AD72" s="83"/>
      <c r="AE72" s="83"/>
      <c r="AF72" s="83"/>
      <c r="AG72" s="83"/>
      <c r="AH72" s="83"/>
      <c r="AK72" s="88"/>
      <c r="AL72" s="57"/>
      <c r="AM72" s="57"/>
    </row>
    <row r="73" spans="2:39" ht="15.75" customHeight="1">
      <c r="B73" s="135"/>
      <c r="C73" s="136"/>
      <c r="J73" s="137"/>
      <c r="K73" s="138"/>
      <c r="M73" s="139"/>
      <c r="N73" s="80"/>
      <c r="O73" s="141"/>
      <c r="S73" s="80"/>
      <c r="AB73" s="83"/>
      <c r="AC73" s="83"/>
      <c r="AD73" s="83"/>
      <c r="AE73" s="83"/>
      <c r="AF73" s="83"/>
      <c r="AG73" s="83"/>
      <c r="AH73" s="83"/>
      <c r="AK73" s="88"/>
      <c r="AL73" s="57"/>
      <c r="AM73" s="57"/>
    </row>
    <row r="74" spans="2:39" ht="15.75" customHeight="1">
      <c r="B74" s="135"/>
      <c r="C74" s="136"/>
      <c r="J74" s="137"/>
      <c r="K74" s="138"/>
      <c r="M74" s="139"/>
      <c r="N74" s="80"/>
      <c r="O74" s="141"/>
      <c r="S74" s="80"/>
      <c r="AB74" s="83"/>
      <c r="AC74" s="83"/>
      <c r="AD74" s="83"/>
      <c r="AE74" s="83"/>
      <c r="AF74" s="83"/>
      <c r="AG74" s="83"/>
      <c r="AH74" s="83"/>
      <c r="AK74" s="88"/>
      <c r="AL74" s="57"/>
      <c r="AM74" s="57"/>
    </row>
    <row r="75" spans="2:39" ht="15.75" customHeight="1">
      <c r="B75" s="135"/>
      <c r="C75" s="136"/>
      <c r="J75" s="137"/>
      <c r="K75" s="138"/>
      <c r="N75" s="80"/>
      <c r="O75" s="141"/>
      <c r="S75" s="80"/>
      <c r="AB75" s="83"/>
      <c r="AC75" s="83"/>
      <c r="AD75" s="83"/>
      <c r="AE75" s="83"/>
      <c r="AF75" s="83"/>
      <c r="AG75" s="83"/>
      <c r="AH75" s="83"/>
      <c r="AK75" s="88"/>
      <c r="AL75" s="57"/>
      <c r="AM75" s="57"/>
    </row>
    <row r="76" spans="2:39" ht="15.75" customHeight="1">
      <c r="B76" s="135"/>
      <c r="C76" s="136"/>
      <c r="J76" s="137"/>
      <c r="K76" s="138"/>
      <c r="N76" s="80"/>
      <c r="O76" s="141"/>
      <c r="S76" s="80"/>
      <c r="AB76" s="83"/>
      <c r="AC76" s="83"/>
      <c r="AD76" s="83"/>
      <c r="AE76" s="83"/>
      <c r="AF76" s="83"/>
      <c r="AG76" s="83"/>
      <c r="AH76" s="83"/>
      <c r="AK76" s="88"/>
      <c r="AL76" s="57"/>
      <c r="AM76" s="57"/>
    </row>
    <row r="77" spans="2:39" ht="15.75" customHeight="1">
      <c r="B77" s="135"/>
      <c r="C77" s="136"/>
      <c r="J77" s="137"/>
      <c r="K77" s="138"/>
      <c r="N77" s="80"/>
      <c r="O77" s="141"/>
      <c r="S77" s="80"/>
      <c r="AB77" s="83"/>
      <c r="AC77" s="83"/>
      <c r="AD77" s="83"/>
      <c r="AE77" s="83"/>
      <c r="AF77" s="83"/>
      <c r="AG77" s="83"/>
      <c r="AH77" s="83"/>
      <c r="AK77" s="88"/>
      <c r="AL77" s="57"/>
      <c r="AM77" s="57"/>
    </row>
    <row r="78" spans="2:39" ht="15.75" customHeight="1">
      <c r="B78" s="135"/>
      <c r="C78" s="136"/>
      <c r="J78" s="137"/>
      <c r="K78" s="138"/>
      <c r="N78" s="80"/>
      <c r="O78" s="141"/>
      <c r="S78" s="80"/>
      <c r="AB78" s="83"/>
      <c r="AC78" s="83"/>
      <c r="AD78" s="83"/>
      <c r="AE78" s="83"/>
      <c r="AF78" s="83"/>
      <c r="AG78" s="83"/>
      <c r="AH78" s="83"/>
      <c r="AK78" s="88"/>
      <c r="AL78" s="57"/>
      <c r="AM78" s="57"/>
    </row>
    <row r="79" spans="2:39" ht="15.75" customHeight="1">
      <c r="B79" s="135"/>
      <c r="C79" s="136"/>
      <c r="J79" s="137"/>
      <c r="K79" s="138"/>
      <c r="N79" s="80"/>
      <c r="O79" s="141"/>
      <c r="S79" s="80"/>
      <c r="AB79" s="83"/>
      <c r="AC79" s="83"/>
      <c r="AD79" s="83"/>
      <c r="AE79" s="83"/>
      <c r="AF79" s="83"/>
      <c r="AG79" s="83"/>
      <c r="AH79" s="83"/>
      <c r="AK79" s="88"/>
      <c r="AL79" s="57"/>
      <c r="AM79" s="57"/>
    </row>
    <row r="80" spans="2:39" ht="15.75" customHeight="1">
      <c r="B80" s="135"/>
      <c r="C80" s="136"/>
      <c r="J80" s="137"/>
      <c r="K80" s="138"/>
      <c r="N80" s="80"/>
      <c r="O80" s="141"/>
      <c r="S80" s="80"/>
      <c r="AB80" s="83"/>
      <c r="AC80" s="83"/>
      <c r="AD80" s="83"/>
      <c r="AE80" s="83"/>
      <c r="AF80" s="83"/>
      <c r="AG80" s="83"/>
      <c r="AH80" s="83"/>
      <c r="AK80" s="88"/>
      <c r="AL80" s="57"/>
      <c r="AM80" s="57"/>
    </row>
    <row r="81" spans="2:39" ht="15.75" customHeight="1">
      <c r="B81" s="135"/>
      <c r="C81" s="136"/>
      <c r="J81" s="137"/>
      <c r="K81" s="138"/>
      <c r="N81" s="80"/>
      <c r="O81" s="141"/>
      <c r="S81" s="80"/>
      <c r="AB81" s="83"/>
      <c r="AC81" s="83"/>
      <c r="AD81" s="83"/>
      <c r="AE81" s="83"/>
      <c r="AF81" s="83"/>
      <c r="AG81" s="83"/>
      <c r="AH81" s="83"/>
      <c r="AK81" s="88"/>
      <c r="AL81" s="57"/>
      <c r="AM81" s="57"/>
    </row>
    <row r="82" spans="2:39" ht="15.75" customHeight="1">
      <c r="B82" s="135"/>
      <c r="C82" s="136"/>
      <c r="J82" s="137"/>
      <c r="K82" s="138"/>
      <c r="N82" s="80"/>
      <c r="O82" s="141"/>
      <c r="S82" s="80"/>
      <c r="AB82" s="83"/>
      <c r="AC82" s="83"/>
      <c r="AD82" s="83"/>
      <c r="AE82" s="83"/>
      <c r="AF82" s="83"/>
      <c r="AG82" s="83"/>
      <c r="AH82" s="83"/>
      <c r="AK82" s="88"/>
      <c r="AL82" s="57"/>
      <c r="AM82" s="57"/>
    </row>
    <row r="83" spans="2:39" ht="15.75" customHeight="1">
      <c r="B83" s="135"/>
      <c r="C83" s="136"/>
      <c r="J83" s="137"/>
      <c r="K83" s="138"/>
      <c r="N83" s="80"/>
      <c r="O83" s="141"/>
      <c r="S83" s="80"/>
      <c r="AB83" s="83"/>
      <c r="AC83" s="83"/>
      <c r="AD83" s="83"/>
      <c r="AE83" s="83"/>
      <c r="AF83" s="83"/>
      <c r="AG83" s="83"/>
      <c r="AH83" s="83"/>
      <c r="AK83" s="88"/>
      <c r="AL83" s="57"/>
      <c r="AM83" s="57"/>
    </row>
    <row r="84" spans="2:39" ht="15.75" customHeight="1">
      <c r="B84" s="135"/>
      <c r="C84" s="136"/>
      <c r="J84" s="137"/>
      <c r="K84" s="138"/>
      <c r="N84" s="80"/>
      <c r="O84" s="141"/>
      <c r="S84" s="80"/>
      <c r="AB84" s="83"/>
      <c r="AC84" s="83"/>
      <c r="AD84" s="83"/>
      <c r="AE84" s="83"/>
      <c r="AF84" s="83"/>
      <c r="AG84" s="83"/>
      <c r="AH84" s="83"/>
      <c r="AK84" s="88"/>
      <c r="AL84" s="57"/>
      <c r="AM84" s="57"/>
    </row>
    <row r="85" spans="2:39" ht="15.75" customHeight="1">
      <c r="B85" s="135"/>
      <c r="C85" s="136"/>
      <c r="J85" s="137"/>
      <c r="K85" s="138"/>
      <c r="N85" s="80"/>
      <c r="O85" s="141"/>
      <c r="S85" s="80"/>
      <c r="AB85" s="83"/>
      <c r="AC85" s="83"/>
      <c r="AD85" s="83"/>
      <c r="AE85" s="83"/>
      <c r="AF85" s="83"/>
      <c r="AG85" s="83"/>
      <c r="AH85" s="83"/>
      <c r="AK85" s="88"/>
      <c r="AL85" s="57"/>
      <c r="AM85" s="57"/>
    </row>
    <row r="86" spans="2:39" ht="15.75" customHeight="1">
      <c r="B86" s="135"/>
      <c r="C86" s="136"/>
      <c r="J86" s="137"/>
      <c r="N86" s="80"/>
      <c r="O86" s="141"/>
      <c r="S86" s="80"/>
      <c r="AB86" s="83"/>
      <c r="AC86" s="83"/>
      <c r="AD86" s="83"/>
      <c r="AE86" s="83"/>
      <c r="AF86" s="83"/>
      <c r="AG86" s="83"/>
      <c r="AH86" s="83"/>
      <c r="AK86" s="88"/>
      <c r="AL86" s="57"/>
      <c r="AM86" s="57"/>
    </row>
    <row r="87" spans="2:39" ht="15.75" customHeight="1">
      <c r="B87" s="135"/>
      <c r="C87" s="136"/>
      <c r="N87" s="80"/>
      <c r="O87" s="141"/>
      <c r="S87" s="80"/>
      <c r="AB87" s="83"/>
      <c r="AC87" s="83"/>
      <c r="AD87" s="83"/>
      <c r="AE87" s="83"/>
      <c r="AF87" s="83"/>
      <c r="AG87" s="83"/>
      <c r="AH87" s="83"/>
      <c r="AK87" s="88"/>
      <c r="AL87" s="57"/>
      <c r="AM87" s="57"/>
    </row>
    <row r="88" spans="2:39" ht="15.75" customHeight="1">
      <c r="B88" s="135"/>
      <c r="C88" s="136"/>
      <c r="N88" s="80"/>
      <c r="O88" s="141"/>
      <c r="S88" s="80"/>
      <c r="AB88" s="83"/>
      <c r="AC88" s="83"/>
      <c r="AD88" s="83"/>
      <c r="AE88" s="83"/>
      <c r="AF88" s="83"/>
      <c r="AG88" s="83"/>
      <c r="AH88" s="83"/>
      <c r="AK88" s="88"/>
      <c r="AL88" s="57"/>
      <c r="AM88" s="57"/>
    </row>
    <row r="89" spans="2:39" ht="15.75" customHeight="1">
      <c r="B89" s="135"/>
      <c r="C89" s="136"/>
      <c r="N89" s="80"/>
      <c r="O89" s="141"/>
      <c r="S89" s="80"/>
      <c r="AB89" s="83"/>
      <c r="AC89" s="83"/>
      <c r="AD89" s="83"/>
      <c r="AE89" s="83"/>
      <c r="AF89" s="83"/>
      <c r="AG89" s="83"/>
      <c r="AH89" s="83"/>
      <c r="AK89" s="88"/>
      <c r="AL89" s="57"/>
      <c r="AM89" s="57"/>
    </row>
    <row r="90" spans="2:39" ht="15.75" customHeight="1">
      <c r="B90" s="135"/>
      <c r="C90" s="136"/>
      <c r="N90" s="80"/>
      <c r="O90" s="141"/>
      <c r="S90" s="80"/>
      <c r="AB90" s="83"/>
      <c r="AC90" s="83"/>
      <c r="AD90" s="83"/>
      <c r="AE90" s="83"/>
      <c r="AF90" s="83"/>
      <c r="AG90" s="83"/>
      <c r="AH90" s="83"/>
      <c r="AK90" s="88"/>
      <c r="AL90" s="57"/>
      <c r="AM90" s="57"/>
    </row>
    <row r="91" spans="2:39" ht="15.75" customHeight="1">
      <c r="B91" s="135"/>
      <c r="C91" s="136"/>
      <c r="N91" s="80"/>
      <c r="O91" s="141"/>
      <c r="S91" s="80"/>
      <c r="AB91" s="83"/>
      <c r="AC91" s="83"/>
      <c r="AD91" s="83"/>
      <c r="AE91" s="83"/>
      <c r="AF91" s="83"/>
      <c r="AG91" s="83"/>
      <c r="AH91" s="83"/>
      <c r="AK91" s="88"/>
      <c r="AL91" s="57"/>
      <c r="AM91" s="57"/>
    </row>
    <row r="92" spans="2:39" ht="15.75" customHeight="1">
      <c r="B92" s="135"/>
      <c r="C92" s="136"/>
      <c r="N92" s="80"/>
      <c r="O92" s="141"/>
      <c r="S92" s="80"/>
      <c r="AB92" s="83"/>
      <c r="AC92" s="83"/>
      <c r="AD92" s="83"/>
      <c r="AE92" s="83"/>
      <c r="AF92" s="83"/>
      <c r="AG92" s="83"/>
      <c r="AH92" s="83"/>
      <c r="AK92" s="88"/>
      <c r="AL92" s="57"/>
      <c r="AM92" s="57"/>
    </row>
    <row r="93" spans="2:39" ht="15.75" customHeight="1">
      <c r="B93" s="135"/>
      <c r="C93" s="136"/>
      <c r="N93" s="80"/>
      <c r="O93" s="141"/>
      <c r="S93" s="80"/>
      <c r="AB93" s="83"/>
      <c r="AC93" s="83"/>
      <c r="AD93" s="83"/>
      <c r="AE93" s="83"/>
      <c r="AF93" s="83"/>
      <c r="AG93" s="83"/>
      <c r="AH93" s="83"/>
      <c r="AK93" s="88"/>
      <c r="AL93" s="57"/>
      <c r="AM93" s="57"/>
    </row>
    <row r="94" spans="2:39" ht="15.75" customHeight="1">
      <c r="B94" s="135"/>
      <c r="C94" s="136"/>
      <c r="N94" s="80"/>
      <c r="O94" s="141"/>
      <c r="S94" s="80"/>
      <c r="AB94" s="83"/>
      <c r="AC94" s="83"/>
      <c r="AD94" s="83"/>
      <c r="AE94" s="83"/>
      <c r="AF94" s="83"/>
      <c r="AG94" s="83"/>
      <c r="AH94" s="83"/>
      <c r="AK94" s="88"/>
      <c r="AL94" s="57"/>
      <c r="AM94" s="57"/>
    </row>
    <row r="95" spans="2:39" ht="15.75" customHeight="1">
      <c r="B95" s="135"/>
      <c r="C95" s="136"/>
      <c r="N95" s="80"/>
      <c r="O95" s="141"/>
      <c r="S95" s="80"/>
      <c r="AB95" s="83"/>
      <c r="AC95" s="83"/>
      <c r="AD95" s="83"/>
      <c r="AE95" s="83"/>
      <c r="AF95" s="83"/>
      <c r="AG95" s="83"/>
      <c r="AH95" s="83"/>
      <c r="AK95" s="88"/>
      <c r="AL95" s="57"/>
      <c r="AM95" s="57"/>
    </row>
    <row r="96" spans="2:39" ht="15.75" customHeight="1">
      <c r="B96" s="135"/>
      <c r="C96" s="136"/>
      <c r="N96" s="80"/>
      <c r="O96" s="141"/>
      <c r="S96" s="80"/>
      <c r="AB96" s="83"/>
      <c r="AC96" s="83"/>
      <c r="AD96" s="83"/>
      <c r="AE96" s="83"/>
      <c r="AF96" s="83"/>
      <c r="AG96" s="83"/>
      <c r="AH96" s="83"/>
      <c r="AK96" s="88"/>
      <c r="AL96" s="57"/>
      <c r="AM96" s="57"/>
    </row>
    <row r="97" spans="2:39" ht="15.75" customHeight="1">
      <c r="B97" s="135"/>
      <c r="C97" s="136"/>
      <c r="N97" s="80"/>
      <c r="O97" s="141"/>
      <c r="S97" s="80"/>
      <c r="AB97" s="83"/>
      <c r="AC97" s="83"/>
      <c r="AD97" s="83"/>
      <c r="AE97" s="83"/>
      <c r="AF97" s="83"/>
      <c r="AG97" s="83"/>
      <c r="AH97" s="83"/>
      <c r="AK97" s="88"/>
      <c r="AL97" s="57"/>
      <c r="AM97" s="57"/>
    </row>
    <row r="98" spans="2:39" ht="15.75" customHeight="1">
      <c r="B98" s="135"/>
      <c r="C98" s="136"/>
      <c r="N98" s="80"/>
      <c r="O98" s="141"/>
      <c r="S98" s="80"/>
      <c r="AB98" s="83"/>
      <c r="AC98" s="83"/>
      <c r="AD98" s="83"/>
      <c r="AE98" s="83"/>
      <c r="AF98" s="83"/>
      <c r="AG98" s="83"/>
      <c r="AH98" s="83"/>
      <c r="AK98" s="88"/>
      <c r="AL98" s="57"/>
      <c r="AM98" s="57"/>
    </row>
    <row r="99" spans="2:39" ht="15.75" customHeight="1">
      <c r="B99" s="135"/>
      <c r="C99" s="136"/>
      <c r="N99" s="80"/>
      <c r="O99" s="141"/>
      <c r="S99" s="80"/>
      <c r="AB99" s="83"/>
      <c r="AC99" s="83"/>
      <c r="AD99" s="83"/>
      <c r="AE99" s="83"/>
      <c r="AF99" s="83"/>
      <c r="AG99" s="83"/>
      <c r="AH99" s="83"/>
      <c r="AK99" s="88"/>
      <c r="AL99" s="57"/>
      <c r="AM99" s="57"/>
    </row>
    <row r="100" spans="2:39" ht="15.75" customHeight="1">
      <c r="B100" s="135"/>
      <c r="N100" s="80"/>
      <c r="O100" s="141"/>
      <c r="S100" s="80"/>
      <c r="AB100" s="83"/>
      <c r="AC100" s="83"/>
      <c r="AD100" s="83"/>
      <c r="AE100" s="83"/>
      <c r="AF100" s="83"/>
      <c r="AG100" s="83"/>
      <c r="AH100" s="83"/>
      <c r="AK100" s="88"/>
      <c r="AL100" s="57"/>
      <c r="AM100" s="57"/>
    </row>
    <row r="101" spans="2:39" ht="15.75" customHeight="1">
      <c r="B101" s="135"/>
      <c r="N101" s="80"/>
      <c r="O101" s="141"/>
      <c r="S101" s="80"/>
      <c r="AB101" s="83"/>
      <c r="AC101" s="83"/>
      <c r="AD101" s="83"/>
      <c r="AE101" s="83"/>
      <c r="AF101" s="83"/>
      <c r="AG101" s="83"/>
      <c r="AH101" s="83"/>
      <c r="AK101" s="88"/>
      <c r="AL101" s="57"/>
      <c r="AM101" s="57"/>
    </row>
    <row r="102" spans="2:39" ht="15.75" customHeight="1">
      <c r="B102" s="135"/>
      <c r="N102" s="80"/>
      <c r="O102" s="141"/>
      <c r="S102" s="80"/>
      <c r="AB102" s="83"/>
      <c r="AC102" s="83"/>
      <c r="AD102" s="83"/>
      <c r="AE102" s="83"/>
      <c r="AF102" s="83"/>
      <c r="AG102" s="83"/>
      <c r="AH102" s="83"/>
      <c r="AK102" s="88"/>
      <c r="AL102" s="57"/>
      <c r="AM102" s="57"/>
    </row>
    <row r="103" spans="2:39" ht="15.75" customHeight="1">
      <c r="B103" s="135"/>
      <c r="N103" s="80"/>
      <c r="O103" s="141"/>
      <c r="S103" s="80"/>
      <c r="AB103" s="83"/>
      <c r="AC103" s="83"/>
      <c r="AD103" s="83"/>
      <c r="AE103" s="83"/>
      <c r="AF103" s="83"/>
      <c r="AG103" s="83"/>
      <c r="AH103" s="83"/>
      <c r="AK103" s="88"/>
      <c r="AL103" s="57"/>
      <c r="AM103" s="57"/>
    </row>
    <row r="104" spans="2:39" ht="15.75" customHeight="1">
      <c r="B104" s="135"/>
      <c r="N104" s="80"/>
      <c r="O104" s="141"/>
      <c r="S104" s="80"/>
      <c r="AB104" s="83"/>
      <c r="AC104" s="83"/>
      <c r="AD104" s="83"/>
      <c r="AE104" s="83"/>
      <c r="AF104" s="83"/>
      <c r="AG104" s="83"/>
      <c r="AH104" s="83"/>
      <c r="AK104" s="88"/>
      <c r="AL104" s="57"/>
      <c r="AM104" s="57"/>
    </row>
    <row r="105" spans="2:39" ht="15.75" customHeight="1">
      <c r="B105" s="135"/>
      <c r="N105" s="80"/>
      <c r="S105" s="80"/>
      <c r="AB105" s="83"/>
      <c r="AC105" s="83"/>
      <c r="AD105" s="83"/>
      <c r="AE105" s="83"/>
      <c r="AF105" s="83"/>
      <c r="AG105" s="83"/>
      <c r="AH105" s="83"/>
      <c r="AK105" s="88"/>
      <c r="AL105" s="57"/>
      <c r="AM105" s="57"/>
    </row>
    <row r="106" spans="2:39" ht="15.75" customHeight="1">
      <c r="B106" s="135"/>
      <c r="N106" s="80"/>
      <c r="S106" s="80"/>
      <c r="AB106" s="83"/>
      <c r="AC106" s="83"/>
      <c r="AD106" s="83"/>
      <c r="AE106" s="83"/>
      <c r="AF106" s="83"/>
      <c r="AG106" s="83"/>
      <c r="AH106" s="83"/>
      <c r="AK106" s="88"/>
      <c r="AL106" s="57"/>
      <c r="AM106" s="57"/>
    </row>
    <row r="107" spans="2:39" ht="15.75" customHeight="1">
      <c r="B107" s="135"/>
      <c r="N107" s="80"/>
      <c r="S107" s="80"/>
      <c r="AB107" s="83"/>
      <c r="AC107" s="83"/>
      <c r="AD107" s="83"/>
      <c r="AE107" s="83"/>
      <c r="AF107" s="83"/>
      <c r="AG107" s="83"/>
      <c r="AH107" s="83"/>
      <c r="AK107" s="88"/>
      <c r="AL107" s="57"/>
      <c r="AM107" s="57"/>
    </row>
    <row r="108" spans="2:39" ht="15.75" customHeight="1">
      <c r="B108" s="135"/>
      <c r="N108" s="80"/>
      <c r="S108" s="80"/>
      <c r="AB108" s="83"/>
      <c r="AC108" s="83"/>
      <c r="AD108" s="83"/>
      <c r="AE108" s="83"/>
      <c r="AF108" s="83"/>
      <c r="AG108" s="83"/>
      <c r="AH108" s="83"/>
      <c r="AK108" s="88"/>
      <c r="AL108" s="57"/>
      <c r="AM108" s="57"/>
    </row>
    <row r="109" spans="2:39" ht="15.75" customHeight="1">
      <c r="B109" s="135"/>
      <c r="N109" s="80"/>
      <c r="S109" s="80"/>
      <c r="AB109" s="83"/>
      <c r="AC109" s="83"/>
      <c r="AD109" s="83"/>
      <c r="AE109" s="83"/>
      <c r="AF109" s="83"/>
      <c r="AG109" s="83"/>
      <c r="AH109" s="83"/>
      <c r="AK109" s="88"/>
      <c r="AL109" s="57"/>
      <c r="AM109" s="57"/>
    </row>
    <row r="110" spans="2:39" ht="15.75" customHeight="1">
      <c r="B110" s="135"/>
      <c r="N110" s="80"/>
      <c r="S110" s="80"/>
      <c r="AB110" s="83"/>
      <c r="AC110" s="83"/>
      <c r="AD110" s="83"/>
      <c r="AE110" s="83"/>
      <c r="AF110" s="83"/>
      <c r="AG110" s="83"/>
      <c r="AH110" s="83"/>
      <c r="AK110" s="88"/>
      <c r="AL110" s="57"/>
      <c r="AM110" s="57"/>
    </row>
    <row r="111" spans="2:39" ht="15.75" customHeight="1">
      <c r="B111" s="135"/>
      <c r="N111" s="80"/>
      <c r="S111" s="80"/>
      <c r="AB111" s="83"/>
      <c r="AC111" s="83"/>
      <c r="AD111" s="83"/>
      <c r="AE111" s="83"/>
      <c r="AF111" s="83"/>
      <c r="AG111" s="83"/>
      <c r="AH111" s="83"/>
      <c r="AK111" s="88"/>
      <c r="AL111" s="57"/>
      <c r="AM111" s="57"/>
    </row>
    <row r="112" spans="2:39" ht="15.75" customHeight="1">
      <c r="B112" s="135"/>
      <c r="N112" s="80"/>
      <c r="S112" s="80"/>
      <c r="AB112" s="83"/>
      <c r="AC112" s="83"/>
      <c r="AD112" s="83"/>
      <c r="AE112" s="83"/>
      <c r="AF112" s="83"/>
      <c r="AG112" s="83"/>
      <c r="AH112" s="83"/>
      <c r="AK112" s="88"/>
      <c r="AL112" s="57"/>
      <c r="AM112" s="57"/>
    </row>
    <row r="113" spans="2:39" ht="15.75" customHeight="1">
      <c r="B113" s="135"/>
      <c r="N113" s="80"/>
      <c r="S113" s="80"/>
      <c r="AB113" s="83"/>
      <c r="AC113" s="83"/>
      <c r="AD113" s="83"/>
      <c r="AE113" s="83"/>
      <c r="AF113" s="83"/>
      <c r="AG113" s="83"/>
      <c r="AH113" s="83"/>
      <c r="AK113" s="88"/>
      <c r="AL113" s="57"/>
      <c r="AM113" s="57"/>
    </row>
    <row r="114" spans="2:39" ht="15.75" customHeight="1">
      <c r="B114" s="135"/>
      <c r="N114" s="80"/>
      <c r="S114" s="80"/>
      <c r="AB114" s="83"/>
      <c r="AC114" s="83"/>
      <c r="AD114" s="83"/>
      <c r="AE114" s="83"/>
      <c r="AF114" s="83"/>
      <c r="AG114" s="83"/>
      <c r="AH114" s="83"/>
      <c r="AK114" s="88"/>
      <c r="AL114" s="57"/>
      <c r="AM114" s="57"/>
    </row>
    <row r="115" spans="2:39" ht="15.75" customHeight="1">
      <c r="B115" s="135"/>
      <c r="N115" s="80"/>
      <c r="S115" s="80"/>
      <c r="AB115" s="83"/>
      <c r="AC115" s="83"/>
      <c r="AD115" s="83"/>
      <c r="AE115" s="83"/>
      <c r="AF115" s="83"/>
      <c r="AG115" s="83"/>
      <c r="AH115" s="83"/>
      <c r="AK115" s="88"/>
      <c r="AL115" s="57"/>
      <c r="AM115" s="57"/>
    </row>
    <row r="116" spans="2:39" ht="15.75" customHeight="1">
      <c r="B116" s="135"/>
      <c r="N116" s="80"/>
      <c r="S116" s="80"/>
      <c r="AB116" s="83"/>
      <c r="AC116" s="83"/>
      <c r="AD116" s="83"/>
      <c r="AE116" s="83"/>
      <c r="AF116" s="83"/>
      <c r="AG116" s="83"/>
      <c r="AH116" s="83"/>
      <c r="AK116" s="88"/>
      <c r="AL116" s="57"/>
      <c r="AM116" s="57"/>
    </row>
    <row r="117" spans="2:39" ht="15.75" customHeight="1">
      <c r="B117" s="135"/>
      <c r="N117" s="80"/>
      <c r="S117" s="80"/>
      <c r="AB117" s="83"/>
      <c r="AC117" s="83"/>
      <c r="AD117" s="83"/>
      <c r="AE117" s="83"/>
      <c r="AF117" s="83"/>
      <c r="AG117" s="83"/>
      <c r="AH117" s="83"/>
      <c r="AK117" s="88"/>
      <c r="AL117" s="57"/>
      <c r="AM117" s="57"/>
    </row>
    <row r="118" spans="2:39" ht="15.75" customHeight="1">
      <c r="B118" s="135"/>
      <c r="N118" s="80"/>
      <c r="S118" s="80"/>
      <c r="AB118" s="83"/>
      <c r="AC118" s="83"/>
      <c r="AD118" s="83"/>
      <c r="AE118" s="83"/>
      <c r="AF118" s="83"/>
      <c r="AG118" s="83"/>
      <c r="AH118" s="83"/>
      <c r="AK118" s="88"/>
      <c r="AL118" s="57"/>
      <c r="AM118" s="57"/>
    </row>
    <row r="119" spans="2:39" ht="15.75" customHeight="1">
      <c r="B119" s="135"/>
      <c r="N119" s="80"/>
      <c r="S119" s="80"/>
      <c r="AB119" s="83"/>
      <c r="AC119" s="83"/>
      <c r="AD119" s="83"/>
      <c r="AE119" s="83"/>
      <c r="AF119" s="83"/>
      <c r="AG119" s="83"/>
      <c r="AH119" s="83"/>
      <c r="AK119" s="88"/>
      <c r="AL119" s="57"/>
      <c r="AM119" s="57"/>
    </row>
    <row r="120" spans="2:39" ht="15.75" customHeight="1">
      <c r="B120" s="135"/>
      <c r="N120" s="80"/>
      <c r="S120" s="80"/>
      <c r="AB120" s="83"/>
      <c r="AC120" s="83"/>
      <c r="AD120" s="83"/>
      <c r="AE120" s="83"/>
      <c r="AF120" s="83"/>
      <c r="AG120" s="83"/>
      <c r="AH120" s="83"/>
      <c r="AK120" s="88"/>
      <c r="AL120" s="57"/>
      <c r="AM120" s="57"/>
    </row>
    <row r="121" spans="2:39" ht="15.75" customHeight="1">
      <c r="B121" s="135"/>
      <c r="N121" s="80"/>
      <c r="S121" s="80"/>
      <c r="AB121" s="83"/>
      <c r="AC121" s="83"/>
      <c r="AD121" s="83"/>
      <c r="AE121" s="83"/>
      <c r="AF121" s="83"/>
      <c r="AG121" s="83"/>
      <c r="AH121" s="83"/>
      <c r="AK121" s="88"/>
      <c r="AL121" s="57"/>
      <c r="AM121" s="57"/>
    </row>
    <row r="122" spans="2:39" ht="15.75" customHeight="1">
      <c r="N122" s="80"/>
      <c r="S122" s="80"/>
      <c r="AK122" s="88"/>
      <c r="AL122" s="57"/>
      <c r="AM122" s="57"/>
    </row>
    <row r="123" spans="2:39" ht="15.75" customHeight="1">
      <c r="N123" s="80"/>
      <c r="S123" s="80"/>
      <c r="AK123" s="88"/>
      <c r="AL123" s="57"/>
      <c r="AM123" s="57"/>
    </row>
    <row r="124" spans="2:39" ht="15.75" customHeight="1">
      <c r="N124" s="80"/>
      <c r="S124" s="80"/>
      <c r="AK124" s="88"/>
      <c r="AL124" s="57"/>
      <c r="AM124" s="57"/>
    </row>
    <row r="125" spans="2:39" ht="15.75" customHeight="1">
      <c r="N125" s="80"/>
      <c r="S125" s="80"/>
      <c r="AK125" s="88"/>
      <c r="AL125" s="57"/>
      <c r="AM125" s="57"/>
    </row>
    <row r="126" spans="2:39" ht="15.75" customHeight="1">
      <c r="N126" s="80"/>
      <c r="S126" s="80"/>
      <c r="AK126" s="88"/>
      <c r="AL126" s="57"/>
      <c r="AM126" s="57"/>
    </row>
    <row r="127" spans="2:39" ht="15.75" customHeight="1">
      <c r="N127" s="80"/>
      <c r="S127" s="80"/>
      <c r="AK127" s="88"/>
      <c r="AL127" s="57"/>
      <c r="AM127" s="57"/>
    </row>
    <row r="128" spans="2:39" ht="15.75" customHeight="1">
      <c r="N128" s="80"/>
      <c r="S128" s="80"/>
      <c r="AK128" s="88"/>
      <c r="AL128" s="57"/>
      <c r="AM128" s="57"/>
    </row>
    <row r="129" spans="14:39" ht="15.75" customHeight="1">
      <c r="N129" s="80"/>
      <c r="S129" s="80"/>
      <c r="AK129" s="88"/>
      <c r="AL129" s="57"/>
      <c r="AM129" s="57"/>
    </row>
    <row r="130" spans="14:39" ht="15.75" customHeight="1">
      <c r="N130" s="80"/>
      <c r="S130" s="80"/>
      <c r="AK130" s="88"/>
      <c r="AL130" s="57"/>
      <c r="AM130" s="57"/>
    </row>
    <row r="131" spans="14:39" ht="15.75" customHeight="1">
      <c r="N131" s="80"/>
      <c r="S131" s="80"/>
      <c r="AK131" s="88"/>
      <c r="AL131" s="57"/>
      <c r="AM131" s="57"/>
    </row>
    <row r="132" spans="14:39" ht="15.75" customHeight="1">
      <c r="N132" s="80"/>
      <c r="S132" s="80"/>
      <c r="AK132" s="88"/>
      <c r="AL132" s="57"/>
      <c r="AM132" s="57"/>
    </row>
    <row r="133" spans="14:39" ht="15.75" customHeight="1">
      <c r="N133" s="80"/>
      <c r="S133" s="80"/>
      <c r="AK133" s="88"/>
      <c r="AL133" s="57"/>
      <c r="AM133" s="57"/>
    </row>
    <row r="134" spans="14:39" ht="15.75" customHeight="1">
      <c r="S134" s="80"/>
      <c r="AK134" s="88"/>
      <c r="AL134" s="57"/>
      <c r="AM134" s="57"/>
    </row>
    <row r="135" spans="14:39" ht="15.75" customHeight="1">
      <c r="S135" s="80"/>
      <c r="AK135" s="88"/>
      <c r="AL135" s="57"/>
      <c r="AM135" s="57"/>
    </row>
    <row r="136" spans="14:39" ht="15.75" customHeight="1">
      <c r="S136" s="80"/>
      <c r="AK136" s="88"/>
      <c r="AL136" s="57"/>
      <c r="AM136" s="57"/>
    </row>
    <row r="137" spans="14:39" ht="15.75" customHeight="1">
      <c r="S137" s="80"/>
      <c r="AK137" s="88"/>
      <c r="AL137" s="57"/>
      <c r="AM137" s="57"/>
    </row>
    <row r="138" spans="14:39" ht="15.75" customHeight="1">
      <c r="S138" s="80"/>
      <c r="AK138" s="88"/>
      <c r="AL138" s="57"/>
      <c r="AM138" s="57"/>
    </row>
    <row r="139" spans="14:39" ht="15.75" customHeight="1">
      <c r="S139" s="80"/>
      <c r="AK139" s="88"/>
      <c r="AL139" s="57"/>
      <c r="AM139" s="57"/>
    </row>
    <row r="140" spans="14:39" ht="15.75" customHeight="1">
      <c r="S140" s="80"/>
      <c r="AK140" s="88"/>
      <c r="AL140" s="57"/>
      <c r="AM140" s="57"/>
    </row>
    <row r="141" spans="14:39" ht="15.75" customHeight="1">
      <c r="S141" s="80"/>
      <c r="AK141" s="88"/>
      <c r="AL141" s="57"/>
      <c r="AM141" s="57"/>
    </row>
    <row r="142" spans="14:39" ht="15.75" customHeight="1">
      <c r="S142" s="80"/>
      <c r="AK142" s="88"/>
      <c r="AL142" s="57"/>
      <c r="AM142" s="57"/>
    </row>
    <row r="143" spans="14:39" ht="15.75" customHeight="1">
      <c r="S143" s="80"/>
      <c r="AK143" s="88"/>
      <c r="AL143" s="57"/>
      <c r="AM143" s="57"/>
    </row>
    <row r="144" spans="14:39" ht="15.75" customHeight="1">
      <c r="S144" s="80"/>
      <c r="AK144" s="88"/>
      <c r="AL144" s="57"/>
      <c r="AM144" s="57"/>
    </row>
    <row r="145" spans="19:39" ht="15.75" customHeight="1">
      <c r="S145" s="80"/>
      <c r="AK145" s="88"/>
      <c r="AL145" s="57"/>
      <c r="AM145" s="57"/>
    </row>
    <row r="146" spans="19:39" ht="15.75" customHeight="1">
      <c r="S146" s="80"/>
      <c r="AK146" s="88"/>
      <c r="AL146" s="57"/>
      <c r="AM146" s="57"/>
    </row>
    <row r="147" spans="19:39" ht="15.75" customHeight="1">
      <c r="S147" s="80"/>
      <c r="AK147" s="88"/>
      <c r="AL147" s="57"/>
      <c r="AM147" s="57"/>
    </row>
    <row r="148" spans="19:39" ht="15.75" customHeight="1">
      <c r="S148" s="80"/>
      <c r="AK148" s="88"/>
      <c r="AL148" s="57"/>
      <c r="AM148" s="57"/>
    </row>
    <row r="149" spans="19:39" ht="15.75" customHeight="1">
      <c r="S149" s="80"/>
      <c r="AK149" s="88"/>
      <c r="AL149" s="57"/>
      <c r="AM149" s="57"/>
    </row>
    <row r="150" spans="19:39" ht="15.75" customHeight="1">
      <c r="S150" s="80"/>
      <c r="AK150" s="88"/>
      <c r="AL150" s="57"/>
      <c r="AM150" s="57"/>
    </row>
    <row r="151" spans="19:39" ht="15.75" customHeight="1">
      <c r="S151" s="80"/>
      <c r="AK151" s="88"/>
      <c r="AL151" s="57"/>
      <c r="AM151" s="57"/>
    </row>
    <row r="152" spans="19:39" ht="15.75" customHeight="1">
      <c r="S152" s="80"/>
      <c r="AK152" s="88"/>
      <c r="AL152" s="57"/>
      <c r="AM152" s="57"/>
    </row>
    <row r="153" spans="19:39" ht="15.75" customHeight="1">
      <c r="S153" s="80"/>
      <c r="AK153" s="88"/>
      <c r="AL153" s="57"/>
      <c r="AM153" s="57"/>
    </row>
    <row r="154" spans="19:39" ht="15.75" customHeight="1">
      <c r="S154" s="80"/>
      <c r="AK154" s="88"/>
      <c r="AL154" s="57"/>
      <c r="AM154" s="57"/>
    </row>
    <row r="155" spans="19:39" ht="15.75" customHeight="1">
      <c r="S155" s="80"/>
      <c r="AK155" s="88"/>
      <c r="AL155" s="57"/>
      <c r="AM155" s="57"/>
    </row>
    <row r="156" spans="19:39" ht="15.75" customHeight="1">
      <c r="S156" s="80"/>
      <c r="AK156" s="88"/>
      <c r="AL156" s="57"/>
      <c r="AM156" s="57"/>
    </row>
    <row r="157" spans="19:39" ht="15.75" customHeight="1">
      <c r="S157" s="80"/>
      <c r="AK157" s="88"/>
      <c r="AL157" s="57"/>
      <c r="AM157" s="57"/>
    </row>
    <row r="158" spans="19:39" ht="15.75" customHeight="1">
      <c r="S158" s="80"/>
      <c r="AK158" s="88"/>
      <c r="AL158" s="57"/>
      <c r="AM158" s="57"/>
    </row>
    <row r="159" spans="19:39" ht="15.75" customHeight="1">
      <c r="S159" s="80"/>
      <c r="AK159" s="88"/>
      <c r="AL159" s="57"/>
      <c r="AM159" s="57"/>
    </row>
    <row r="160" spans="19:39" ht="15.75" customHeight="1">
      <c r="S160" s="80"/>
      <c r="AK160" s="88"/>
      <c r="AL160" s="57"/>
      <c r="AM160" s="57"/>
    </row>
    <row r="161" spans="19:39" ht="15.75" customHeight="1">
      <c r="S161" s="80"/>
      <c r="AK161" s="88"/>
      <c r="AL161" s="57"/>
      <c r="AM161" s="57"/>
    </row>
    <row r="162" spans="19:39" ht="15.75" customHeight="1">
      <c r="S162" s="80"/>
      <c r="AK162" s="88"/>
      <c r="AL162" s="57"/>
      <c r="AM162" s="57"/>
    </row>
    <row r="163" spans="19:39" ht="15.75" customHeight="1">
      <c r="S163" s="80"/>
      <c r="AK163" s="88"/>
      <c r="AL163" s="57"/>
      <c r="AM163" s="57"/>
    </row>
    <row r="164" spans="19:39" ht="15.75" customHeight="1">
      <c r="S164" s="80"/>
      <c r="AK164" s="88"/>
      <c r="AL164" s="57"/>
      <c r="AM164" s="57"/>
    </row>
    <row r="165" spans="19:39" ht="15.75" customHeight="1">
      <c r="S165" s="80"/>
      <c r="AK165" s="88"/>
      <c r="AL165" s="57"/>
      <c r="AM165" s="57"/>
    </row>
    <row r="166" spans="19:39" ht="15.75" customHeight="1">
      <c r="S166" s="80"/>
      <c r="AK166" s="88"/>
      <c r="AL166" s="57"/>
      <c r="AM166" s="57"/>
    </row>
    <row r="167" spans="19:39" ht="15.75" customHeight="1">
      <c r="S167" s="80"/>
      <c r="AK167" s="88"/>
      <c r="AL167" s="57"/>
      <c r="AM167" s="57"/>
    </row>
    <row r="168" spans="19:39" ht="15.75" customHeight="1">
      <c r="S168" s="80"/>
      <c r="AK168" s="88"/>
      <c r="AL168" s="57"/>
      <c r="AM168" s="57"/>
    </row>
    <row r="169" spans="19:39" ht="15.75" customHeight="1">
      <c r="S169" s="80"/>
      <c r="AK169" s="88"/>
      <c r="AL169" s="57"/>
      <c r="AM169" s="57"/>
    </row>
    <row r="170" spans="19:39" ht="15.75" customHeight="1">
      <c r="S170" s="80"/>
      <c r="AK170" s="88"/>
      <c r="AL170" s="57"/>
      <c r="AM170" s="57"/>
    </row>
    <row r="171" spans="19:39" ht="15.75" customHeight="1">
      <c r="S171" s="80"/>
      <c r="AK171" s="88"/>
      <c r="AL171" s="57"/>
      <c r="AM171" s="57"/>
    </row>
    <row r="172" spans="19:39" ht="15.75" customHeight="1">
      <c r="S172" s="80"/>
      <c r="AK172" s="88"/>
      <c r="AL172" s="57"/>
      <c r="AM172" s="57"/>
    </row>
    <row r="173" spans="19:39" ht="15.75" customHeight="1">
      <c r="S173" s="80"/>
      <c r="AK173" s="88"/>
      <c r="AL173" s="57"/>
      <c r="AM173" s="57"/>
    </row>
    <row r="174" spans="19:39" ht="15.75" customHeight="1">
      <c r="S174" s="80"/>
      <c r="AK174" s="88"/>
      <c r="AL174" s="57"/>
      <c r="AM174" s="57"/>
    </row>
    <row r="175" spans="19:39" ht="15.75" customHeight="1">
      <c r="S175" s="80"/>
      <c r="AK175" s="88"/>
      <c r="AL175" s="57"/>
      <c r="AM175" s="57"/>
    </row>
    <row r="176" spans="19:39" ht="15.75" customHeight="1">
      <c r="S176" s="80"/>
      <c r="AK176" s="88"/>
      <c r="AL176" s="57"/>
      <c r="AM176" s="57"/>
    </row>
    <row r="177" spans="19:39" ht="15.75" customHeight="1">
      <c r="S177" s="80"/>
      <c r="AK177" s="88"/>
      <c r="AL177" s="57"/>
      <c r="AM177" s="57"/>
    </row>
    <row r="178" spans="19:39" ht="15.75" customHeight="1">
      <c r="S178" s="80"/>
      <c r="AK178" s="88"/>
      <c r="AL178" s="57"/>
      <c r="AM178" s="57"/>
    </row>
    <row r="179" spans="19:39" ht="15.75" customHeight="1">
      <c r="S179" s="80"/>
      <c r="AK179" s="88"/>
      <c r="AL179" s="57"/>
      <c r="AM179" s="57"/>
    </row>
    <row r="180" spans="19:39" ht="15.75" customHeight="1">
      <c r="S180" s="80"/>
      <c r="AK180" s="88"/>
      <c r="AL180" s="57"/>
      <c r="AM180" s="57"/>
    </row>
    <row r="181" spans="19:39" ht="15.75" customHeight="1">
      <c r="S181" s="80"/>
      <c r="AK181" s="88"/>
      <c r="AL181" s="57"/>
      <c r="AM181" s="57"/>
    </row>
    <row r="182" spans="19:39" ht="15.75" customHeight="1">
      <c r="S182" s="80"/>
      <c r="AK182" s="88"/>
      <c r="AL182" s="57"/>
      <c r="AM182" s="57"/>
    </row>
    <row r="183" spans="19:39" ht="15.75" customHeight="1">
      <c r="S183" s="80"/>
      <c r="AK183" s="88"/>
      <c r="AL183" s="57"/>
      <c r="AM183" s="57"/>
    </row>
    <row r="184" spans="19:39" ht="15.75" customHeight="1">
      <c r="S184" s="80"/>
      <c r="AK184" s="88"/>
      <c r="AL184" s="57"/>
      <c r="AM184" s="57"/>
    </row>
    <row r="185" spans="19:39" ht="15.75" customHeight="1">
      <c r="S185" s="80"/>
      <c r="AK185" s="88"/>
      <c r="AL185" s="57"/>
      <c r="AM185" s="57"/>
    </row>
    <row r="186" spans="19:39" ht="15.75" customHeight="1">
      <c r="S186" s="80"/>
      <c r="AK186" s="88"/>
      <c r="AL186" s="57"/>
      <c r="AM186" s="57"/>
    </row>
    <row r="187" spans="19:39" ht="15.75" customHeight="1">
      <c r="S187" s="80"/>
      <c r="AK187" s="88"/>
      <c r="AL187" s="57"/>
      <c r="AM187" s="57"/>
    </row>
    <row r="188" spans="19:39" ht="15.75" customHeight="1">
      <c r="S188" s="80"/>
      <c r="AK188" s="88"/>
      <c r="AL188" s="57"/>
      <c r="AM188" s="57"/>
    </row>
    <row r="189" spans="19:39" ht="15.75" customHeight="1">
      <c r="S189" s="80"/>
      <c r="AK189" s="88"/>
      <c r="AL189" s="57"/>
      <c r="AM189" s="57"/>
    </row>
    <row r="190" spans="19:39" ht="15.75" customHeight="1">
      <c r="S190" s="80"/>
      <c r="AK190" s="88"/>
      <c r="AL190" s="57"/>
      <c r="AM190" s="57"/>
    </row>
    <row r="191" spans="19:39" ht="15.75" customHeight="1">
      <c r="S191" s="80"/>
      <c r="AK191" s="88"/>
      <c r="AL191" s="57"/>
      <c r="AM191" s="57"/>
    </row>
    <row r="192" spans="19:39" ht="15.75" customHeight="1">
      <c r="S192" s="80"/>
      <c r="AK192" s="88"/>
      <c r="AL192" s="57"/>
      <c r="AM192" s="57"/>
    </row>
    <row r="193" spans="19:39" ht="15.75" customHeight="1">
      <c r="S193" s="80"/>
      <c r="AK193" s="88"/>
      <c r="AL193" s="57"/>
      <c r="AM193" s="57"/>
    </row>
    <row r="194" spans="19:39" ht="15.75" customHeight="1">
      <c r="S194" s="80"/>
      <c r="AK194" s="88"/>
      <c r="AL194" s="57"/>
      <c r="AM194" s="57"/>
    </row>
    <row r="195" spans="19:39" ht="15.75" customHeight="1">
      <c r="S195" s="80"/>
      <c r="AK195" s="88"/>
      <c r="AL195" s="57"/>
      <c r="AM195" s="57"/>
    </row>
    <row r="196" spans="19:39" ht="15.75" customHeight="1">
      <c r="S196" s="80"/>
      <c r="AK196" s="88"/>
      <c r="AL196" s="57"/>
      <c r="AM196" s="57"/>
    </row>
    <row r="197" spans="19:39" ht="15.75" customHeight="1">
      <c r="S197" s="80"/>
      <c r="AK197" s="88"/>
      <c r="AL197" s="57"/>
      <c r="AM197" s="57"/>
    </row>
    <row r="198" spans="19:39" ht="15.75" customHeight="1">
      <c r="S198" s="80"/>
      <c r="AK198" s="88"/>
      <c r="AL198" s="57"/>
      <c r="AM198" s="57"/>
    </row>
    <row r="199" spans="19:39" ht="15.75" customHeight="1">
      <c r="S199" s="80"/>
      <c r="AK199" s="88"/>
      <c r="AL199" s="57"/>
      <c r="AM199" s="57"/>
    </row>
    <row r="200" spans="19:39" ht="15.75" customHeight="1">
      <c r="S200" s="80"/>
      <c r="AK200" s="88"/>
      <c r="AL200" s="57"/>
      <c r="AM200" s="57"/>
    </row>
    <row r="201" spans="19:39" ht="15.75" customHeight="1">
      <c r="S201" s="80"/>
      <c r="AK201" s="88"/>
      <c r="AL201" s="57"/>
      <c r="AM201" s="57"/>
    </row>
    <row r="202" spans="19:39" ht="15.75" customHeight="1">
      <c r="S202" s="80"/>
      <c r="AK202" s="88"/>
      <c r="AL202" s="57"/>
      <c r="AM202" s="57"/>
    </row>
    <row r="203" spans="19:39" ht="15.75" customHeight="1">
      <c r="S203" s="80"/>
      <c r="AK203" s="88"/>
      <c r="AL203" s="57"/>
      <c r="AM203" s="57"/>
    </row>
    <row r="204" spans="19:39" ht="15.75" customHeight="1">
      <c r="S204" s="80"/>
      <c r="AK204" s="88"/>
      <c r="AL204" s="57"/>
      <c r="AM204" s="57"/>
    </row>
    <row r="205" spans="19:39" ht="15.75" customHeight="1">
      <c r="S205" s="80"/>
      <c r="AK205" s="88"/>
      <c r="AL205" s="57"/>
      <c r="AM205" s="57"/>
    </row>
    <row r="206" spans="19:39" ht="15.75" customHeight="1">
      <c r="S206" s="80"/>
      <c r="AK206" s="88"/>
      <c r="AL206" s="57"/>
      <c r="AM206" s="57"/>
    </row>
    <row r="207" spans="19:39" ht="15.75" customHeight="1">
      <c r="S207" s="80"/>
      <c r="AK207" s="88"/>
      <c r="AL207" s="57"/>
      <c r="AM207" s="57"/>
    </row>
    <row r="208" spans="19:39" ht="15.75" customHeight="1">
      <c r="S208" s="80"/>
      <c r="AK208" s="88"/>
      <c r="AL208" s="57"/>
      <c r="AM208" s="57"/>
    </row>
    <row r="209" spans="19:39" ht="15.75" customHeight="1">
      <c r="S209" s="80"/>
      <c r="AK209" s="88"/>
      <c r="AL209" s="57"/>
      <c r="AM209" s="57"/>
    </row>
    <row r="210" spans="19:39" ht="15.75" customHeight="1">
      <c r="S210" s="80"/>
      <c r="AK210" s="88"/>
      <c r="AL210" s="57"/>
      <c r="AM210" s="57"/>
    </row>
    <row r="211" spans="19:39" ht="15.75" customHeight="1">
      <c r="S211" s="80"/>
      <c r="AK211" s="88"/>
      <c r="AL211" s="57"/>
      <c r="AM211" s="57"/>
    </row>
    <row r="212" spans="19:39" ht="15.75" customHeight="1">
      <c r="S212" s="80"/>
      <c r="AK212" s="88"/>
      <c r="AL212" s="57"/>
      <c r="AM212" s="57"/>
    </row>
    <row r="213" spans="19:39" ht="15.75" customHeight="1">
      <c r="S213" s="80"/>
      <c r="AK213" s="88"/>
      <c r="AL213" s="57"/>
      <c r="AM213" s="57"/>
    </row>
    <row r="214" spans="19:39" ht="15.75" customHeight="1">
      <c r="S214" s="80"/>
      <c r="AK214" s="88"/>
      <c r="AL214" s="57"/>
      <c r="AM214" s="57"/>
    </row>
    <row r="215" spans="19:39" ht="15.75" customHeight="1">
      <c r="S215" s="80"/>
      <c r="AK215" s="88"/>
      <c r="AL215" s="57"/>
      <c r="AM215" s="57"/>
    </row>
    <row r="216" spans="19:39" ht="15.75" customHeight="1">
      <c r="S216" s="80"/>
      <c r="AK216" s="88"/>
      <c r="AL216" s="57"/>
      <c r="AM216" s="57"/>
    </row>
    <row r="217" spans="19:39" ht="15.75" customHeight="1">
      <c r="S217" s="80"/>
      <c r="AK217" s="88"/>
      <c r="AL217" s="57"/>
      <c r="AM217" s="57"/>
    </row>
    <row r="218" spans="19:39" ht="15.75" customHeight="1">
      <c r="S218" s="80"/>
      <c r="AK218" s="88"/>
      <c r="AL218" s="57"/>
      <c r="AM218" s="57"/>
    </row>
    <row r="219" spans="19:39" ht="15.75" customHeight="1">
      <c r="S219" s="80"/>
      <c r="AK219" s="88"/>
      <c r="AL219" s="57"/>
      <c r="AM219" s="57"/>
    </row>
    <row r="220" spans="19:39" ht="15.75" customHeight="1">
      <c r="S220" s="80"/>
      <c r="AK220" s="88"/>
      <c r="AL220" s="57"/>
      <c r="AM220" s="57"/>
    </row>
    <row r="221" spans="19:39" ht="15.75" customHeight="1">
      <c r="S221" s="80"/>
      <c r="AK221" s="88"/>
      <c r="AL221" s="57"/>
      <c r="AM221" s="57"/>
    </row>
    <row r="222" spans="19:39" ht="15.75" customHeight="1">
      <c r="S222" s="80"/>
      <c r="AK222" s="88"/>
      <c r="AL222" s="57"/>
      <c r="AM222" s="57"/>
    </row>
    <row r="223" spans="19:39" ht="15.75" customHeight="1">
      <c r="S223" s="80"/>
      <c r="AK223" s="88"/>
      <c r="AL223" s="57"/>
      <c r="AM223" s="57"/>
    </row>
    <row r="224" spans="19:39" ht="15.75" customHeight="1">
      <c r="S224" s="80"/>
      <c r="AK224" s="88"/>
      <c r="AL224" s="57"/>
      <c r="AM224" s="57"/>
    </row>
    <row r="225" spans="19:39" ht="15.75" customHeight="1">
      <c r="S225" s="80"/>
      <c r="AK225" s="88"/>
      <c r="AL225" s="57"/>
      <c r="AM225" s="57"/>
    </row>
    <row r="226" spans="19:39" ht="15.75" customHeight="1">
      <c r="S226" s="80"/>
      <c r="AK226" s="88"/>
      <c r="AL226" s="57"/>
      <c r="AM226" s="57"/>
    </row>
    <row r="227" spans="19:39" ht="15.75" customHeight="1">
      <c r="S227" s="80"/>
      <c r="AK227" s="88"/>
      <c r="AL227" s="57"/>
      <c r="AM227" s="57"/>
    </row>
    <row r="228" spans="19:39" ht="15.75" customHeight="1">
      <c r="S228" s="80"/>
      <c r="AK228" s="88"/>
      <c r="AL228" s="57"/>
      <c r="AM228" s="57"/>
    </row>
    <row r="229" spans="19:39" ht="15.75" customHeight="1">
      <c r="S229" s="80"/>
      <c r="AK229" s="88"/>
      <c r="AL229" s="57"/>
      <c r="AM229" s="57"/>
    </row>
    <row r="230" spans="19:39" ht="15.75" customHeight="1">
      <c r="S230" s="80"/>
      <c r="AK230" s="88"/>
      <c r="AL230" s="57"/>
      <c r="AM230" s="57"/>
    </row>
    <row r="231" spans="19:39" ht="15.75" customHeight="1">
      <c r="S231" s="80"/>
      <c r="AK231" s="88"/>
      <c r="AL231" s="57"/>
      <c r="AM231" s="57"/>
    </row>
    <row r="232" spans="19:39" ht="15.75" customHeight="1">
      <c r="S232" s="80"/>
      <c r="AK232" s="88"/>
      <c r="AL232" s="57"/>
      <c r="AM232" s="57"/>
    </row>
    <row r="233" spans="19:39" ht="15.75" customHeight="1">
      <c r="S233" s="80"/>
      <c r="AK233" s="88"/>
      <c r="AL233" s="57"/>
      <c r="AM233" s="57"/>
    </row>
    <row r="234" spans="19:39" ht="15.75" customHeight="1">
      <c r="S234" s="80"/>
      <c r="AK234" s="88"/>
      <c r="AL234" s="57"/>
      <c r="AM234" s="57"/>
    </row>
    <row r="235" spans="19:39" ht="15.75" customHeight="1">
      <c r="S235" s="80"/>
      <c r="AK235" s="88"/>
      <c r="AL235" s="57"/>
      <c r="AM235" s="57"/>
    </row>
    <row r="236" spans="19:39" ht="15.75" customHeight="1">
      <c r="S236" s="80"/>
      <c r="AK236" s="88"/>
      <c r="AL236" s="57"/>
      <c r="AM236" s="57"/>
    </row>
    <row r="237" spans="19:39" ht="15.75" customHeight="1">
      <c r="S237" s="80"/>
      <c r="AK237" s="88"/>
      <c r="AL237" s="57"/>
      <c r="AM237" s="57"/>
    </row>
    <row r="238" spans="19:39" ht="15.75" customHeight="1">
      <c r="S238" s="80"/>
      <c r="AK238" s="88"/>
      <c r="AL238" s="57"/>
      <c r="AM238" s="57"/>
    </row>
    <row r="239" spans="19:39" ht="15.75" customHeight="1">
      <c r="S239" s="80"/>
      <c r="AK239" s="88"/>
      <c r="AL239" s="57"/>
      <c r="AM239" s="57"/>
    </row>
    <row r="240" spans="19:39" ht="15.75" customHeight="1">
      <c r="S240" s="80"/>
      <c r="AK240" s="88"/>
      <c r="AL240" s="57"/>
      <c r="AM240" s="57"/>
    </row>
    <row r="241" spans="37:39" ht="15.75" customHeight="1">
      <c r="AK241" s="88"/>
      <c r="AL241" s="57"/>
      <c r="AM241" s="57"/>
    </row>
    <row r="242" spans="37:39" ht="15.75" customHeight="1">
      <c r="AK242" s="88"/>
      <c r="AL242" s="57"/>
      <c r="AM242" s="57"/>
    </row>
    <row r="243" spans="37:39" ht="15.75" customHeight="1">
      <c r="AK243" s="88"/>
      <c r="AL243" s="57"/>
      <c r="AM243" s="57"/>
    </row>
    <row r="244" spans="37:39" ht="15.75" customHeight="1">
      <c r="AK244" s="88"/>
      <c r="AL244" s="57"/>
      <c r="AM244" s="57"/>
    </row>
    <row r="245" spans="37:39" ht="15.75" customHeight="1">
      <c r="AK245" s="88"/>
      <c r="AL245" s="57"/>
      <c r="AM245" s="57"/>
    </row>
    <row r="246" spans="37:39" ht="15.75" customHeight="1">
      <c r="AK246" s="88"/>
      <c r="AL246" s="57"/>
      <c r="AM246" s="57"/>
    </row>
    <row r="247" spans="37:39" ht="15.75" customHeight="1">
      <c r="AK247" s="88"/>
      <c r="AL247" s="57"/>
      <c r="AM247" s="57"/>
    </row>
    <row r="248" spans="37:39" ht="15.75" customHeight="1">
      <c r="AK248" s="88"/>
      <c r="AL248" s="57"/>
      <c r="AM248" s="57"/>
    </row>
    <row r="249" spans="37:39" ht="15.75" customHeight="1">
      <c r="AK249" s="88"/>
      <c r="AL249" s="57"/>
      <c r="AM249" s="57"/>
    </row>
    <row r="250" spans="37:39" ht="15.75" customHeight="1">
      <c r="AK250" s="88"/>
      <c r="AL250" s="57"/>
      <c r="AM250" s="57"/>
    </row>
    <row r="251" spans="37:39" ht="15.75" customHeight="1">
      <c r="AK251" s="88"/>
      <c r="AL251" s="57"/>
      <c r="AM251" s="57"/>
    </row>
    <row r="252" spans="37:39" ht="15.75" customHeight="1"/>
    <row r="253" spans="37:39" ht="15.75" customHeight="1"/>
    <row r="254" spans="37:39" ht="15.75" customHeight="1"/>
    <row r="255" spans="37:39" ht="15.75" customHeight="1"/>
    <row r="256" spans="37:39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Hoja24">
    <tabColor rgb="FF00B050"/>
    <pageSetUpPr fitToPage="1"/>
  </sheetPr>
  <dimension ref="A1:AT1000"/>
  <sheetViews>
    <sheetView showGridLines="0" workbookViewId="0">
      <pane xSplit="1" ySplit="3" topLeftCell="B4" activePane="bottomRight" state="frozen"/>
      <selection activeCell="AO3" sqref="AO3"/>
      <selection pane="topRight" activeCell="AO3" sqref="AO3"/>
      <selection pane="bottomLeft" activeCell="AO3" sqref="AO3"/>
      <selection pane="bottomRight" activeCell="AO3" sqref="AO3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23.664062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customWidth="1"/>
    <col min="34" max="34" width="20.33203125" customWidth="1"/>
    <col min="36" max="36" width="17.5546875" customWidth="1"/>
    <col min="37" max="38" width="14.44140625" customWidth="1"/>
    <col min="39" max="39" width="17.6640625" customWidth="1"/>
    <col min="43" max="44" width="17.109375" customWidth="1"/>
  </cols>
  <sheetData>
    <row r="1" spans="1:46" ht="15" customHeight="1">
      <c r="AB1" s="83"/>
      <c r="AC1" s="83"/>
      <c r="AD1" s="83"/>
      <c r="AE1" s="83"/>
      <c r="AF1" s="83"/>
      <c r="AG1" s="168" t="s">
        <v>240</v>
      </c>
      <c r="AH1" s="83" t="s">
        <v>241</v>
      </c>
      <c r="AI1" s="80" t="s">
        <v>242</v>
      </c>
      <c r="AJ1" s="169" t="s">
        <v>37</v>
      </c>
      <c r="AK1" s="88"/>
      <c r="AL1" s="57"/>
      <c r="AM1" s="57"/>
    </row>
    <row r="2" spans="1:46" ht="15" customHeight="1">
      <c r="G2" s="90"/>
      <c r="H2" s="90"/>
      <c r="I2" s="81">
        <f>SUM(I4:I874)</f>
        <v>454.17999999999995</v>
      </c>
      <c r="J2" s="81"/>
      <c r="K2" s="81">
        <f>SUM(K4:K874)</f>
        <v>430.88805799999989</v>
      </c>
      <c r="N2" s="170">
        <f>SUMPRODUCT(N4:N986,K4:K986)/K2</f>
        <v>0.44598211128399401</v>
      </c>
      <c r="Q2" s="137">
        <f>+SUMPRODUCT(Q4:Q874,AH4:AH874)/SUM(AH4:AH874)</f>
        <v>89.618427164026926</v>
      </c>
      <c r="R2" s="57">
        <f>+SUMPRODUCT(R4:R874,AH4:AH874)/SUM(AH4:AH874)</f>
        <v>2399.277431418107</v>
      </c>
      <c r="AB2" s="83"/>
      <c r="AC2" s="83"/>
      <c r="AD2" s="83"/>
      <c r="AE2" s="83"/>
      <c r="AF2" s="83"/>
      <c r="AG2" s="168">
        <f>SUMPRODUCT($AG4:$AG874,$K4:$K874)/SUM($K4:$K874)</f>
        <v>41.814422397558218</v>
      </c>
      <c r="AH2" s="83">
        <f>SUM(AH4:AH874)</f>
        <v>5877.0081645343716</v>
      </c>
      <c r="AI2" s="171">
        <v>2516.6</v>
      </c>
      <c r="AJ2" s="169"/>
      <c r="AK2" s="88"/>
      <c r="AL2" s="57"/>
      <c r="AM2" s="57"/>
    </row>
    <row r="3" spans="1:46" ht="15" customHeight="1">
      <c r="A3" s="100" t="s">
        <v>11</v>
      </c>
      <c r="B3" s="100" t="s">
        <v>39</v>
      </c>
      <c r="C3" s="100" t="s">
        <v>40</v>
      </c>
      <c r="D3" s="100" t="s">
        <v>41</v>
      </c>
      <c r="E3" s="100" t="s">
        <v>340</v>
      </c>
      <c r="F3" s="100" t="s">
        <v>43</v>
      </c>
      <c r="G3" s="100" t="s">
        <v>16</v>
      </c>
      <c r="H3" s="101"/>
      <c r="I3" s="172" t="s">
        <v>13</v>
      </c>
      <c r="J3" s="172" t="s">
        <v>14</v>
      </c>
      <c r="K3" s="100" t="s">
        <v>15</v>
      </c>
      <c r="L3" s="112" t="s">
        <v>44</v>
      </c>
      <c r="M3" s="107" t="s">
        <v>45</v>
      </c>
      <c r="N3" s="107" t="s">
        <v>46</v>
      </c>
      <c r="O3" s="101" t="s">
        <v>47</v>
      </c>
      <c r="P3" s="112" t="s">
        <v>48</v>
      </c>
      <c r="Q3" s="112" t="s">
        <v>49</v>
      </c>
      <c r="R3" s="112" t="s">
        <v>50</v>
      </c>
      <c r="S3" s="112" t="s">
        <v>51</v>
      </c>
      <c r="T3" s="110" t="s">
        <v>52</v>
      </c>
      <c r="U3" s="110" t="s">
        <v>21</v>
      </c>
      <c r="V3" s="111" t="s">
        <v>22</v>
      </c>
      <c r="W3" s="112" t="s">
        <v>53</v>
      </c>
      <c r="X3" s="112" t="s">
        <v>54</v>
      </c>
      <c r="Y3" s="112" t="s">
        <v>55</v>
      </c>
      <c r="Z3" s="101" t="s">
        <v>56</v>
      </c>
      <c r="AA3" s="101" t="s">
        <v>57</v>
      </c>
      <c r="AB3" s="113" t="s">
        <v>58</v>
      </c>
      <c r="AC3" s="114" t="s">
        <v>59</v>
      </c>
      <c r="AD3" s="115" t="s">
        <v>60</v>
      </c>
      <c r="AE3" s="115" t="s">
        <v>61</v>
      </c>
      <c r="AF3" s="115" t="s">
        <v>62</v>
      </c>
      <c r="AG3" s="173" t="s">
        <v>63</v>
      </c>
      <c r="AH3" s="174" t="s">
        <v>64</v>
      </c>
      <c r="AI3" s="57">
        <f>SUMPRODUCT(K4:K874,AI4:AI874)/K2</f>
        <v>106.7955074515571</v>
      </c>
      <c r="AJ3" s="144">
        <f>SUM(AJ4:AJ874)</f>
        <v>5730.1008922140099</v>
      </c>
      <c r="AK3" s="88">
        <f>SUM(AK4:AK874)</f>
        <v>146.90727232036511</v>
      </c>
      <c r="AL3" s="57">
        <f>+AH2-AJ3</f>
        <v>146.9072723203617</v>
      </c>
      <c r="AM3" s="57"/>
    </row>
    <row r="4" spans="1:46" ht="15" customHeight="1">
      <c r="A4" s="119"/>
      <c r="B4" s="120"/>
      <c r="C4" s="120"/>
      <c r="D4" s="120"/>
      <c r="E4" s="120"/>
      <c r="F4" s="120"/>
      <c r="G4" s="120"/>
      <c r="H4" s="121"/>
      <c r="I4" s="120"/>
      <c r="J4" s="120"/>
      <c r="K4" s="120"/>
      <c r="L4" s="121"/>
      <c r="M4" s="124"/>
      <c r="N4" s="124"/>
      <c r="O4" s="121"/>
      <c r="P4" s="121"/>
      <c r="Q4" s="121"/>
      <c r="R4" s="121"/>
      <c r="S4" s="121"/>
      <c r="T4" s="125"/>
      <c r="U4" s="125"/>
      <c r="V4" s="125"/>
      <c r="W4" s="121"/>
      <c r="X4" s="121"/>
      <c r="Y4" s="121"/>
      <c r="Z4" s="121"/>
      <c r="AA4" s="121"/>
      <c r="AB4" s="126"/>
      <c r="AC4" s="127"/>
      <c r="AD4" s="128"/>
      <c r="AE4" s="128"/>
      <c r="AF4" s="128"/>
      <c r="AG4" s="129"/>
      <c r="AH4" s="175"/>
      <c r="AI4" s="144"/>
      <c r="AJ4" s="132"/>
      <c r="AK4" s="133"/>
      <c r="AL4" s="144"/>
      <c r="AM4" s="144"/>
      <c r="AN4" s="142"/>
      <c r="AO4" s="142"/>
      <c r="AP4" s="142"/>
      <c r="AQ4" s="142"/>
      <c r="AR4" s="142"/>
      <c r="AS4" s="142"/>
      <c r="AT4" s="142"/>
    </row>
    <row r="5" spans="1:46" ht="15.75" customHeight="1">
      <c r="A5" s="134" t="s">
        <v>405</v>
      </c>
      <c r="B5" s="136">
        <v>45488</v>
      </c>
      <c r="C5" s="136">
        <v>45484</v>
      </c>
      <c r="D5" s="79" t="s">
        <v>93</v>
      </c>
      <c r="E5" s="176"/>
      <c r="F5" s="142" t="s">
        <v>406</v>
      </c>
      <c r="G5" s="90">
        <v>82</v>
      </c>
      <c r="H5" s="90" t="s">
        <v>69</v>
      </c>
      <c r="I5" s="82">
        <v>7.19</v>
      </c>
      <c r="J5" s="137">
        <v>1.25</v>
      </c>
      <c r="K5" s="138">
        <f t="shared" ref="K5:K62" si="0">+I5-(I5*(J5/100))</f>
        <v>7.1001250000000002</v>
      </c>
      <c r="L5" s="240">
        <v>0.31900000000000001</v>
      </c>
      <c r="M5" s="139">
        <v>0.30299999999999999</v>
      </c>
      <c r="N5" s="247">
        <v>0.30299999999999999</v>
      </c>
      <c r="O5" s="141">
        <f t="shared" ref="O5:O62" si="1">+ROUND((M5+N5)/2,3)</f>
        <v>0.30299999999999999</v>
      </c>
      <c r="P5" s="142">
        <v>90</v>
      </c>
      <c r="Q5" s="143">
        <v>90.31</v>
      </c>
      <c r="R5" s="57">
        <v>2401.375</v>
      </c>
      <c r="S5" s="80">
        <v>110</v>
      </c>
      <c r="U5" s="142">
        <v>130</v>
      </c>
      <c r="V5" s="142">
        <v>1.1023000000000001</v>
      </c>
      <c r="W5" s="137">
        <v>5.8</v>
      </c>
      <c r="X5" s="137">
        <v>7.8</v>
      </c>
      <c r="Y5" s="142">
        <v>30</v>
      </c>
      <c r="Z5" s="143">
        <f t="shared" ref="Z5:Z15" si="2">IF(IF(D5="UNTUCA",IF(+((W5-3)*1.5+(X5-3)*3.1)&gt;0,+((W5-3)*1.5+(X5-3)*3.1),0),IF(+((W5-3)*1.5+(X5-3)*3.1)&gt;0,+((W5-3)*1.5+(X5-3)*3.1),0))&lt;30,30,IF(D5="UNTUCA",IF(+((W5-3)*1.5+(X5-3)*3.1)&gt;0,+((W5-3)*1.5+(X5-3)*3.1),0),IF(+((W5-3)*1.5+(X5-3)*3.1)&gt;0,+((W5-3)*1.5+(X5-3)*3.1),0)))</f>
        <v>30</v>
      </c>
      <c r="AA5" s="144">
        <f t="shared" ref="AA5:AA62" si="3">+Y5+Z5</f>
        <v>60</v>
      </c>
      <c r="AB5" s="145">
        <f t="shared" ref="AB5:AB62" si="4">+((O5*P5*(R5-U5)/100)-S5-AA5+T5)*V5</f>
        <v>495.37798786375004</v>
      </c>
      <c r="AC5" s="145">
        <f>+(S5-T5)*V5-'data 1'!$F$4</f>
        <v>41.253</v>
      </c>
      <c r="AD5" s="145">
        <f t="shared" ref="AD5:AD62" si="5">+(Q5-P5)*(R5-U5)*L5*V5/100</f>
        <v>2.4759451855462684</v>
      </c>
      <c r="AE5" s="145">
        <f>+(Y5*V5-'data 2'!$B$2)+V5*(Z5-IF(D5="UNTUCA",IF(+((W5-3)*2.5+(X5-3)*3.1)&gt;0,+((W5-3)*1.5+(X5-3)*3.1),0),IF(+((W5-3)*1.5+(X5-3)*3.1)&gt;0,+((W5-3)*1.5+(X5-3)*3.1),0)))</f>
        <v>-44.893883999999993</v>
      </c>
      <c r="AF5" s="145">
        <f t="shared" ref="AF5:AF62" si="6">(L5-O5)*(R5-U5)*Q5*V5/100</f>
        <v>36.177993278460036</v>
      </c>
      <c r="AG5" s="145">
        <f t="shared" ref="AG5:AG15" si="7">+AC5+AD5+AE5+AF5</f>
        <v>35.013054464006309</v>
      </c>
      <c r="AH5" s="145">
        <f t="shared" ref="AH5:AH62" si="8">31.1035*L5*Q5*1.1023*K5/100</f>
        <v>70.129636733689452</v>
      </c>
      <c r="AI5" s="137">
        <f t="shared" ref="AI5:AI62" si="9">+((+$AI$2-R5+U5)*L5*Q5*V5)/100</f>
        <v>77.873747733905731</v>
      </c>
      <c r="AJ5" s="137">
        <f t="shared" ref="AJ5:AJ62" si="10">31.1035*1.1023*K5*P5*O5/100</f>
        <v>66.383508483933667</v>
      </c>
      <c r="AK5" s="88">
        <f t="shared" ref="AK5:AK62" si="11">+AH5-AJ5</f>
        <v>3.7461282497557846</v>
      </c>
      <c r="AL5" s="57"/>
      <c r="AM5" s="57"/>
      <c r="AP5" s="57">
        <f t="shared" ref="AP5:AP28" si="12">+AB5*K5</f>
        <v>3517.2456360811084</v>
      </c>
    </row>
    <row r="6" spans="1:46" ht="15.75" customHeight="1">
      <c r="A6" s="134" t="s">
        <v>407</v>
      </c>
      <c r="B6" s="136">
        <v>45488</v>
      </c>
      <c r="C6" s="136">
        <v>45484</v>
      </c>
      <c r="D6" s="79" t="s">
        <v>93</v>
      </c>
      <c r="E6" s="176"/>
      <c r="F6" s="142" t="s">
        <v>406</v>
      </c>
      <c r="G6" s="90">
        <v>81</v>
      </c>
      <c r="H6" s="90" t="s">
        <v>69</v>
      </c>
      <c r="I6" s="82">
        <v>6.83</v>
      </c>
      <c r="J6" s="137">
        <v>1.1499999999999999</v>
      </c>
      <c r="K6" s="138">
        <f t="shared" si="0"/>
        <v>6.751455</v>
      </c>
      <c r="L6" s="240">
        <v>0.312</v>
      </c>
      <c r="M6" s="139">
        <v>0.3</v>
      </c>
      <c r="N6" s="247">
        <v>0.3</v>
      </c>
      <c r="O6" s="141">
        <f t="shared" si="1"/>
        <v>0.3</v>
      </c>
      <c r="P6" s="142">
        <v>90</v>
      </c>
      <c r="Q6" s="143">
        <v>90.15</v>
      </c>
      <c r="R6" s="57">
        <v>2401.375</v>
      </c>
      <c r="S6" s="80">
        <v>110</v>
      </c>
      <c r="U6" s="142">
        <v>130</v>
      </c>
      <c r="V6" s="142">
        <v>1.1023000000000001</v>
      </c>
      <c r="W6" s="137">
        <v>5.8</v>
      </c>
      <c r="X6" s="137">
        <v>7.8</v>
      </c>
      <c r="Y6" s="142">
        <v>30</v>
      </c>
      <c r="Z6" s="143">
        <f t="shared" si="2"/>
        <v>30</v>
      </c>
      <c r="AA6" s="144">
        <f t="shared" si="3"/>
        <v>60</v>
      </c>
      <c r="AB6" s="145">
        <f t="shared" si="4"/>
        <v>488.61789887500004</v>
      </c>
      <c r="AC6" s="145">
        <f>+(S6-T6)*V6-'data 1'!$F$4</f>
        <v>41.253</v>
      </c>
      <c r="AD6" s="145">
        <f t="shared" si="5"/>
        <v>1.1717487580500445</v>
      </c>
      <c r="AE6" s="145">
        <f>+(Y6*V6-'data 2'!$B$2)+V6*(Z6-IF(D6="UNTUCA",IF(+((W6-3)*2.5+(X6-3)*3.1)&gt;0,+((W6-3)*1.5+(X6-3)*3.1),0),IF(+((W6-3)*1.5+(X6-3)*3.1)&gt;0,+((W6-3)*1.5+(X6-3)*3.1),0)))</f>
        <v>-44.893883999999993</v>
      </c>
      <c r="AF6" s="145">
        <f t="shared" si="6"/>
        <v>27.085423214925026</v>
      </c>
      <c r="AG6" s="145">
        <f t="shared" si="7"/>
        <v>24.616287972975076</v>
      </c>
      <c r="AH6" s="145">
        <f t="shared" si="8"/>
        <v>65.106863172395364</v>
      </c>
      <c r="AI6" s="137">
        <f t="shared" si="9"/>
        <v>76.029979904189972</v>
      </c>
      <c r="AJ6" s="137">
        <f t="shared" si="10"/>
        <v>62.498588735820441</v>
      </c>
      <c r="AK6" s="88">
        <f t="shared" si="11"/>
        <v>2.6082744365749235</v>
      </c>
      <c r="AL6" s="57"/>
      <c r="AM6" s="57"/>
      <c r="AP6" s="57">
        <f t="shared" si="12"/>
        <v>3298.8817564491133</v>
      </c>
    </row>
    <row r="7" spans="1:46" ht="15.75" customHeight="1">
      <c r="A7" s="134" t="s">
        <v>408</v>
      </c>
      <c r="B7" s="135">
        <v>45488</v>
      </c>
      <c r="C7" s="135">
        <v>45484</v>
      </c>
      <c r="D7" s="142" t="s">
        <v>93</v>
      </c>
      <c r="E7" s="176"/>
      <c r="F7" s="142" t="s">
        <v>261</v>
      </c>
      <c r="G7" s="177">
        <v>90</v>
      </c>
      <c r="H7" s="177" t="s">
        <v>69</v>
      </c>
      <c r="I7" s="138">
        <v>8.42</v>
      </c>
      <c r="J7" s="143">
        <v>1.1499999999999999</v>
      </c>
      <c r="K7" s="138">
        <f t="shared" si="0"/>
        <v>8.3231699999999993</v>
      </c>
      <c r="L7" s="170">
        <v>0.23200000000000001</v>
      </c>
      <c r="M7" s="141">
        <v>0.218</v>
      </c>
      <c r="N7" s="247">
        <v>0.218</v>
      </c>
      <c r="O7" s="141">
        <f t="shared" si="1"/>
        <v>0.218</v>
      </c>
      <c r="P7" s="142">
        <v>90</v>
      </c>
      <c r="Q7" s="143">
        <v>90.46</v>
      </c>
      <c r="R7" s="144">
        <v>2401.375</v>
      </c>
      <c r="S7" s="132">
        <v>95</v>
      </c>
      <c r="T7" s="142"/>
      <c r="U7" s="142">
        <v>130</v>
      </c>
      <c r="V7" s="142">
        <v>1.1023000000000001</v>
      </c>
      <c r="W7" s="143">
        <v>5.8</v>
      </c>
      <c r="X7" s="143">
        <v>7.9</v>
      </c>
      <c r="Y7" s="142">
        <v>30</v>
      </c>
      <c r="Z7" s="143">
        <f t="shared" si="2"/>
        <v>30</v>
      </c>
      <c r="AA7" s="144">
        <f t="shared" si="3"/>
        <v>60</v>
      </c>
      <c r="AB7" s="145">
        <f t="shared" si="4"/>
        <v>320.37663318250003</v>
      </c>
      <c r="AC7" s="145">
        <f>+(S7-T7)*V7-'data 1'!$F$4</f>
        <v>24.718500000000006</v>
      </c>
      <c r="AD7" s="145">
        <f t="shared" si="5"/>
        <v>2.671987766219964</v>
      </c>
      <c r="AE7" s="145">
        <f>+(Y7*V7-'data 2'!$B$2)+V7*(Z7-IF(D7="UNTUCA",IF(+((W7-3)*2.5+(X7-3)*3.1)&gt;0,+((W7-3)*1.5+(X7-3)*3.1),0),IF(+((W7-3)*1.5+(X7-3)*3.1)&gt;0,+((W7-3)*1.5+(X7-3)*3.1),0)))</f>
        <v>-45.235596999999999</v>
      </c>
      <c r="AF7" s="145">
        <f t="shared" si="6"/>
        <v>31.708322588565029</v>
      </c>
      <c r="AG7" s="145">
        <f t="shared" si="7"/>
        <v>13.863213354785</v>
      </c>
      <c r="AH7" s="145">
        <f t="shared" si="8"/>
        <v>59.88835756234446</v>
      </c>
      <c r="AI7" s="143">
        <f t="shared" si="9"/>
        <v>56.729521305475984</v>
      </c>
      <c r="AJ7" s="143">
        <f t="shared" si="10"/>
        <v>55.988242820850445</v>
      </c>
      <c r="AK7" s="133">
        <f t="shared" si="11"/>
        <v>3.9001147414940149</v>
      </c>
      <c r="AL7" s="144"/>
      <c r="AM7" s="144"/>
      <c r="AN7" s="142"/>
      <c r="AO7" s="142"/>
      <c r="AP7" s="57">
        <f t="shared" si="12"/>
        <v>2666.5491820055886</v>
      </c>
      <c r="AQ7" s="142"/>
      <c r="AR7" s="142"/>
      <c r="AS7" s="142"/>
      <c r="AT7" s="142"/>
    </row>
    <row r="8" spans="1:46" ht="15.75" customHeight="1">
      <c r="A8" s="134" t="s">
        <v>409</v>
      </c>
      <c r="B8" s="135">
        <v>45488</v>
      </c>
      <c r="C8" s="135">
        <v>45484</v>
      </c>
      <c r="D8" s="142" t="s">
        <v>93</v>
      </c>
      <c r="E8" s="176"/>
      <c r="F8" s="142" t="s">
        <v>261</v>
      </c>
      <c r="G8" s="177">
        <v>90</v>
      </c>
      <c r="H8" s="177" t="s">
        <v>69</v>
      </c>
      <c r="I8" s="138">
        <v>8.51</v>
      </c>
      <c r="J8" s="143">
        <v>1.1000000000000001</v>
      </c>
      <c r="K8" s="138">
        <f t="shared" si="0"/>
        <v>8.4163899999999998</v>
      </c>
      <c r="L8" s="170">
        <v>0.42899999999999999</v>
      </c>
      <c r="M8" s="141">
        <v>0.38600000000000001</v>
      </c>
      <c r="N8" s="247">
        <v>0.38600000000000001</v>
      </c>
      <c r="O8" s="141">
        <f t="shared" si="1"/>
        <v>0.38600000000000001</v>
      </c>
      <c r="P8" s="142">
        <v>90</v>
      </c>
      <c r="Q8" s="143">
        <v>89.15</v>
      </c>
      <c r="R8" s="144">
        <v>2401.375</v>
      </c>
      <c r="S8" s="132">
        <v>110</v>
      </c>
      <c r="T8" s="142"/>
      <c r="U8" s="142">
        <v>130</v>
      </c>
      <c r="V8" s="142">
        <v>1.1023000000000001</v>
      </c>
      <c r="W8" s="143">
        <v>6</v>
      </c>
      <c r="X8" s="143">
        <v>8</v>
      </c>
      <c r="Y8" s="142">
        <v>30</v>
      </c>
      <c r="Z8" s="143">
        <f t="shared" si="2"/>
        <v>30</v>
      </c>
      <c r="AA8" s="144">
        <f t="shared" si="3"/>
        <v>60</v>
      </c>
      <c r="AB8" s="145">
        <f t="shared" si="4"/>
        <v>682.40711655250004</v>
      </c>
      <c r="AC8" s="145">
        <f>+(S8-T8)*V8-'data 1'!$F$4</f>
        <v>41.253</v>
      </c>
      <c r="AD8" s="145">
        <f t="shared" si="5"/>
        <v>-9.1298757398061881</v>
      </c>
      <c r="AE8" s="145">
        <f>+(Y8*V8-'data 2'!$B$2)+V8*(Z8-IF(D8="UNTUCA",IF(+((W8-3)*2.5+(X8-3)*3.1)&gt;0,+((W8-3)*1.5+(X8-3)*3.1),0),IF(+((W8-3)*1.5+(X8-3)*3.1)&gt;0,+((W8-3)*1.5+(X8-3)*3.1),0)))</f>
        <v>-45.908000000000001</v>
      </c>
      <c r="AF8" s="145">
        <f t="shared" si="6"/>
        <v>95.979493088606233</v>
      </c>
      <c r="AG8" s="145">
        <f t="shared" si="7"/>
        <v>82.194617348800051</v>
      </c>
      <c r="AH8" s="145">
        <f t="shared" si="8"/>
        <v>110.36047489961182</v>
      </c>
      <c r="AI8" s="143">
        <f t="shared" si="9"/>
        <v>103.38158595818622</v>
      </c>
      <c r="AJ8" s="143">
        <f t="shared" si="10"/>
        <v>100.24546508301047</v>
      </c>
      <c r="AK8" s="133">
        <f t="shared" si="11"/>
        <v>10.115009816601344</v>
      </c>
      <c r="AL8" s="144"/>
      <c r="AM8" s="144"/>
      <c r="AN8" s="142"/>
      <c r="AO8" s="142"/>
      <c r="AP8" s="57">
        <f t="shared" si="12"/>
        <v>5743.404431681296</v>
      </c>
      <c r="AQ8" s="142"/>
      <c r="AR8" s="142"/>
      <c r="AS8" s="142"/>
      <c r="AT8" s="142"/>
    </row>
    <row r="9" spans="1:46" ht="15.75" customHeight="1">
      <c r="A9" s="134" t="s">
        <v>410</v>
      </c>
      <c r="B9" s="135">
        <v>45488</v>
      </c>
      <c r="C9" s="135">
        <v>45484</v>
      </c>
      <c r="D9" s="142" t="s">
        <v>93</v>
      </c>
      <c r="E9" s="176"/>
      <c r="F9" s="142" t="s">
        <v>261</v>
      </c>
      <c r="G9" s="177">
        <v>90</v>
      </c>
      <c r="H9" s="177" t="s">
        <v>69</v>
      </c>
      <c r="I9" s="138">
        <v>8.3699999999999992</v>
      </c>
      <c r="J9" s="143">
        <v>0.78</v>
      </c>
      <c r="K9" s="138">
        <f t="shared" si="0"/>
        <v>8.3047139999999988</v>
      </c>
      <c r="L9" s="170">
        <v>0.55100000000000005</v>
      </c>
      <c r="M9" s="141">
        <v>0.496</v>
      </c>
      <c r="N9" s="247">
        <v>0.496</v>
      </c>
      <c r="O9" s="141">
        <f t="shared" si="1"/>
        <v>0.496</v>
      </c>
      <c r="P9" s="142">
        <v>90</v>
      </c>
      <c r="Q9" s="143">
        <v>89.1</v>
      </c>
      <c r="R9" s="144">
        <v>2401.375</v>
      </c>
      <c r="S9" s="132">
        <v>120</v>
      </c>
      <c r="T9" s="142"/>
      <c r="U9" s="142">
        <v>130</v>
      </c>
      <c r="V9" s="142">
        <v>1.1023000000000001</v>
      </c>
      <c r="W9" s="143">
        <v>6</v>
      </c>
      <c r="X9" s="143">
        <v>8</v>
      </c>
      <c r="Y9" s="142">
        <v>30</v>
      </c>
      <c r="Z9" s="143">
        <f t="shared" si="2"/>
        <v>30</v>
      </c>
      <c r="AA9" s="144">
        <f t="shared" si="3"/>
        <v>60</v>
      </c>
      <c r="AB9" s="145">
        <f t="shared" si="4"/>
        <v>919.25404614000013</v>
      </c>
      <c r="AC9" s="145">
        <f>+(S9-T9)*V9-'data 1'!$F$4</f>
        <v>52.27600000000001</v>
      </c>
      <c r="AD9" s="145">
        <f t="shared" si="5"/>
        <v>-12.41603010933758</v>
      </c>
      <c r="AE9" s="145">
        <f>+(Y9*V9-'data 2'!$B$2)+V9*(Z9-IF(D9="UNTUCA",IF(+((W9-3)*2.5+(X9-3)*3.1)&gt;0,+((W9-3)*1.5+(X9-3)*3.1),0),IF(+((W9-3)*1.5+(X9-3)*3.1)&gt;0,+((W9-3)*1.5+(X9-3)*3.1),0)))</f>
        <v>-45.908000000000001</v>
      </c>
      <c r="AF9" s="145">
        <f t="shared" si="6"/>
        <v>122.69561514581261</v>
      </c>
      <c r="AG9" s="145">
        <f t="shared" si="7"/>
        <v>116.64758503647504</v>
      </c>
      <c r="AH9" s="145">
        <f t="shared" si="8"/>
        <v>139.78579889773948</v>
      </c>
      <c r="AI9" s="143">
        <f t="shared" si="9"/>
        <v>132.70700671296746</v>
      </c>
      <c r="AJ9" s="143">
        <f t="shared" si="10"/>
        <v>127.10362472873709</v>
      </c>
      <c r="AK9" s="133">
        <f t="shared" si="11"/>
        <v>12.682174169002394</v>
      </c>
      <c r="AL9" s="144"/>
      <c r="AM9" s="144"/>
      <c r="AN9" s="142"/>
      <c r="AO9" s="142"/>
      <c r="AP9" s="57">
        <f t="shared" si="12"/>
        <v>7634.1419465355038</v>
      </c>
      <c r="AQ9" s="142"/>
      <c r="AR9" s="142"/>
      <c r="AS9" s="142"/>
      <c r="AT9" s="142"/>
    </row>
    <row r="10" spans="1:46" ht="15.75" customHeight="1">
      <c r="A10" s="134" t="s">
        <v>411</v>
      </c>
      <c r="B10" s="136">
        <v>45489</v>
      </c>
      <c r="C10" s="136">
        <v>45486</v>
      </c>
      <c r="D10" s="79" t="s">
        <v>93</v>
      </c>
      <c r="E10" s="176"/>
      <c r="F10" s="142" t="s">
        <v>183</v>
      </c>
      <c r="G10" s="90">
        <v>106</v>
      </c>
      <c r="H10" s="90" t="s">
        <v>69</v>
      </c>
      <c r="I10" s="82">
        <v>9.2799999999999994</v>
      </c>
      <c r="J10" s="137">
        <v>0.5</v>
      </c>
      <c r="K10" s="138">
        <f t="shared" si="0"/>
        <v>9.2335999999999991</v>
      </c>
      <c r="L10" s="240">
        <v>0.92</v>
      </c>
      <c r="M10" s="139">
        <v>0.874</v>
      </c>
      <c r="N10" s="248">
        <v>0.96699999999999997</v>
      </c>
      <c r="O10" s="141">
        <f t="shared" si="1"/>
        <v>0.92100000000000004</v>
      </c>
      <c r="P10" s="142">
        <v>90</v>
      </c>
      <c r="Q10" s="142">
        <v>89.37</v>
      </c>
      <c r="R10" s="57">
        <v>2410.92</v>
      </c>
      <c r="S10" s="80">
        <v>150</v>
      </c>
      <c r="U10" s="142">
        <v>130</v>
      </c>
      <c r="V10" s="142">
        <v>1.1023000000000001</v>
      </c>
      <c r="W10" s="137">
        <v>6</v>
      </c>
      <c r="X10" s="137">
        <v>7</v>
      </c>
      <c r="Y10" s="142">
        <v>30</v>
      </c>
      <c r="Z10" s="143">
        <f t="shared" si="2"/>
        <v>30</v>
      </c>
      <c r="AA10" s="144">
        <f t="shared" si="3"/>
        <v>60</v>
      </c>
      <c r="AB10" s="145">
        <f t="shared" si="4"/>
        <v>1852.5855523523999</v>
      </c>
      <c r="AC10" s="145">
        <f>+(S10-T10)*V10-'data 1'!$F$4</f>
        <v>85.344999999999999</v>
      </c>
      <c r="AD10" s="145">
        <f t="shared" si="5"/>
        <v>-14.572640040335896</v>
      </c>
      <c r="AE10" s="145">
        <f>+(Y10*V10-'data 2'!$B$2)+V10*(Z10-IF(D10="UNTUCA",IF(+((W10-3)*2.5+(X10-3)*3.1)&gt;0,+((W10-3)*1.5+(X10-3)*3.1),0),IF(+((W10-3)*1.5+(X10-3)*3.1)&gt;0,+((W10-3)*1.5+(X10-3)*3.1),0)))</f>
        <v>-42.490869999999994</v>
      </c>
      <c r="AF10" s="145">
        <f t="shared" si="6"/>
        <v>-2.2469924782692026</v>
      </c>
      <c r="AG10" s="145">
        <f t="shared" si="7"/>
        <v>26.034497481394904</v>
      </c>
      <c r="AH10" s="145">
        <f t="shared" si="8"/>
        <v>260.29133540100668</v>
      </c>
      <c r="AI10" s="137">
        <f t="shared" si="9"/>
        <v>213.60042978105585</v>
      </c>
      <c r="AJ10" s="137">
        <f t="shared" si="10"/>
        <v>262.41113873673004</v>
      </c>
      <c r="AK10" s="88">
        <f t="shared" si="11"/>
        <v>-2.1198033357233612</v>
      </c>
      <c r="AL10" s="57"/>
      <c r="AM10" s="57"/>
      <c r="AP10" s="57">
        <f t="shared" si="12"/>
        <v>17106.033956201118</v>
      </c>
    </row>
    <row r="11" spans="1:46" ht="15.75" customHeight="1">
      <c r="A11" s="134" t="s">
        <v>412</v>
      </c>
      <c r="B11" s="136">
        <v>45489</v>
      </c>
      <c r="C11" s="136">
        <v>45486</v>
      </c>
      <c r="D11" s="79" t="s">
        <v>93</v>
      </c>
      <c r="E11" s="176"/>
      <c r="F11" s="142" t="s">
        <v>183</v>
      </c>
      <c r="G11" s="90">
        <v>105</v>
      </c>
      <c r="H11" s="90" t="s">
        <v>69</v>
      </c>
      <c r="I11" s="82">
        <v>8.8800000000000008</v>
      </c>
      <c r="J11" s="137">
        <v>0.78</v>
      </c>
      <c r="K11" s="138">
        <f t="shared" si="0"/>
        <v>8.8107360000000003</v>
      </c>
      <c r="L11" s="240">
        <v>0.67900000000000005</v>
      </c>
      <c r="M11" s="139">
        <v>0.64500000000000002</v>
      </c>
      <c r="N11" s="248">
        <v>0.71299999999999997</v>
      </c>
      <c r="O11" s="141">
        <f t="shared" si="1"/>
        <v>0.67900000000000005</v>
      </c>
      <c r="P11" s="142">
        <v>90</v>
      </c>
      <c r="Q11" s="142">
        <v>89.43</v>
      </c>
      <c r="R11" s="57">
        <v>2410.92</v>
      </c>
      <c r="S11" s="80">
        <v>135</v>
      </c>
      <c r="U11" s="142">
        <v>130</v>
      </c>
      <c r="V11" s="142">
        <v>1.1023000000000001</v>
      </c>
      <c r="W11" s="137">
        <v>5.8</v>
      </c>
      <c r="X11" s="137">
        <v>6.8</v>
      </c>
      <c r="Y11" s="142">
        <v>30</v>
      </c>
      <c r="Z11" s="143">
        <f t="shared" si="2"/>
        <v>30</v>
      </c>
      <c r="AA11" s="144">
        <f t="shared" si="3"/>
        <v>60</v>
      </c>
      <c r="AB11" s="145">
        <f t="shared" si="4"/>
        <v>1321.5146346876004</v>
      </c>
      <c r="AC11" s="145">
        <f>+(S11-T11)*V11-'data 1'!$F$4</f>
        <v>68.810500000000019</v>
      </c>
      <c r="AD11" s="145">
        <f t="shared" si="5"/>
        <v>-9.7309331863546848</v>
      </c>
      <c r="AE11" s="145">
        <f>+(Y11*V11-'data 2'!$B$2)+V11*(Z11-IF(D11="UNTUCA",IF(+((W11-3)*2.5+(X11-3)*3.1)&gt;0,+((W11-3)*1.5+(X11-3)*3.1),0),IF(+((W11-3)*1.5+(X11-3)*3.1)&gt;0,+((W11-3)*1.5+(X11-3)*3.1),0)))</f>
        <v>-41.476753999999993</v>
      </c>
      <c r="AF11" s="145">
        <f t="shared" si="6"/>
        <v>0</v>
      </c>
      <c r="AG11" s="145">
        <f t="shared" si="7"/>
        <v>17.602812813645343</v>
      </c>
      <c r="AH11" s="145">
        <f t="shared" si="8"/>
        <v>183.43164584081103</v>
      </c>
      <c r="AI11" s="137">
        <f t="shared" si="9"/>
        <v>157.75224262570072</v>
      </c>
      <c r="AJ11" s="137">
        <f t="shared" si="10"/>
        <v>184.60078414036667</v>
      </c>
      <c r="AK11" s="88">
        <f t="shared" si="11"/>
        <v>-1.169138299555641</v>
      </c>
      <c r="AL11" s="57"/>
      <c r="AM11" s="57"/>
      <c r="AP11" s="57">
        <f t="shared" si="12"/>
        <v>11643.516566368889</v>
      </c>
    </row>
    <row r="12" spans="1:46" ht="15.75" customHeight="1">
      <c r="A12" s="134" t="s">
        <v>413</v>
      </c>
      <c r="B12" s="135">
        <v>45496</v>
      </c>
      <c r="C12" s="135">
        <v>45486</v>
      </c>
      <c r="D12" s="142" t="s">
        <v>93</v>
      </c>
      <c r="E12" s="176"/>
      <c r="F12" s="142" t="s">
        <v>414</v>
      </c>
      <c r="G12" s="177">
        <v>27</v>
      </c>
      <c r="H12" s="177" t="s">
        <v>69</v>
      </c>
      <c r="I12" s="138">
        <v>2.37</v>
      </c>
      <c r="J12" s="143">
        <v>0.4</v>
      </c>
      <c r="K12" s="138">
        <f t="shared" si="0"/>
        <v>2.3605200000000002</v>
      </c>
      <c r="L12" s="170">
        <v>0.32900000000000001</v>
      </c>
      <c r="M12" s="141">
        <v>0.36199999999999999</v>
      </c>
      <c r="N12" s="157">
        <v>0.36199999999999999</v>
      </c>
      <c r="O12" s="141">
        <f t="shared" si="1"/>
        <v>0.36199999999999999</v>
      </c>
      <c r="P12" s="142">
        <v>90</v>
      </c>
      <c r="Q12" s="142">
        <v>90.43</v>
      </c>
      <c r="R12" s="144">
        <v>2410.92</v>
      </c>
      <c r="S12" s="132">
        <v>120</v>
      </c>
      <c r="T12" s="142"/>
      <c r="U12" s="142">
        <v>130</v>
      </c>
      <c r="V12" s="142">
        <v>1.1023000000000001</v>
      </c>
      <c r="W12" s="143">
        <v>5.8</v>
      </c>
      <c r="X12" s="143">
        <v>7</v>
      </c>
      <c r="Y12" s="142">
        <v>30</v>
      </c>
      <c r="Z12" s="143">
        <f t="shared" si="2"/>
        <v>30</v>
      </c>
      <c r="AA12" s="144">
        <f t="shared" si="3"/>
        <v>60</v>
      </c>
      <c r="AB12" s="145">
        <f t="shared" si="4"/>
        <v>620.73129419279996</v>
      </c>
      <c r="AC12" s="145">
        <f>+(S12-T12)*V12-'data 1'!$F$4</f>
        <v>52.27600000000001</v>
      </c>
      <c r="AD12" s="145">
        <f t="shared" si="5"/>
        <v>3.5569209567052571</v>
      </c>
      <c r="AE12" s="145">
        <f>+(Y12*V12-'data 2'!$B$2)+V12*(Z12-IF(D12="UNTUCA",IF(+((W12-3)*2.5+(X12-3)*3.1)&gt;0,+((W12-3)*1.5+(X12-3)*3.1),0),IF(+((W12-3)*1.5+(X12-3)*3.1)&gt;0,+((W12-3)*1.5+(X12-3)*3.1),0)))</f>
        <v>-42.160179999999997</v>
      </c>
      <c r="AF12" s="145">
        <f t="shared" si="6"/>
        <v>-75.030239271860353</v>
      </c>
      <c r="AG12" s="145">
        <f t="shared" si="7"/>
        <v>-61.357498315155084</v>
      </c>
      <c r="AH12" s="145">
        <f t="shared" si="8"/>
        <v>24.078264590196078</v>
      </c>
      <c r="AI12" s="143">
        <f t="shared" si="9"/>
        <v>77.291362953940776</v>
      </c>
      <c r="AJ12" s="143">
        <f t="shared" si="10"/>
        <v>26.367431940290281</v>
      </c>
      <c r="AK12" s="133">
        <f t="shared" si="11"/>
        <v>-2.2891673500942034</v>
      </c>
      <c r="AL12" s="144" t="s">
        <v>415</v>
      </c>
      <c r="AM12" s="144"/>
      <c r="AN12" s="142"/>
      <c r="AO12" s="142"/>
      <c r="AP12" s="57">
        <f t="shared" si="12"/>
        <v>1465.2486345679883</v>
      </c>
      <c r="AQ12" s="142"/>
      <c r="AR12" s="142"/>
      <c r="AS12" s="142"/>
      <c r="AT12" s="142"/>
    </row>
    <row r="13" spans="1:46" ht="15.75" customHeight="1">
      <c r="A13" s="134" t="s">
        <v>416</v>
      </c>
      <c r="B13" s="135">
        <v>45496</v>
      </c>
      <c r="C13" s="135">
        <v>45486</v>
      </c>
      <c r="D13" s="142" t="s">
        <v>93</v>
      </c>
      <c r="E13" s="176"/>
      <c r="F13" s="142" t="s">
        <v>414</v>
      </c>
      <c r="G13" s="177">
        <v>77</v>
      </c>
      <c r="H13" s="177" t="s">
        <v>69</v>
      </c>
      <c r="I13" s="138">
        <v>7.46</v>
      </c>
      <c r="J13" s="143">
        <v>0.75</v>
      </c>
      <c r="K13" s="138">
        <f t="shared" si="0"/>
        <v>7.4040499999999998</v>
      </c>
      <c r="L13" s="170">
        <v>7.5999999999999998E-2</v>
      </c>
      <c r="M13" s="141">
        <v>9.1999999999999998E-2</v>
      </c>
      <c r="N13" s="157">
        <v>9.1999999999999998E-2</v>
      </c>
      <c r="O13" s="141">
        <f t="shared" si="1"/>
        <v>9.1999999999999998E-2</v>
      </c>
      <c r="P13" s="142">
        <v>85</v>
      </c>
      <c r="Q13" s="142">
        <v>85.26</v>
      </c>
      <c r="R13" s="144">
        <v>2410.92</v>
      </c>
      <c r="S13" s="132">
        <v>95</v>
      </c>
      <c r="T13" s="142"/>
      <c r="U13" s="142">
        <v>130</v>
      </c>
      <c r="V13" s="142">
        <v>1.1023000000000001</v>
      </c>
      <c r="W13" s="143">
        <v>5</v>
      </c>
      <c r="X13" s="143">
        <v>6.5</v>
      </c>
      <c r="Y13" s="142">
        <v>30</v>
      </c>
      <c r="Z13" s="143">
        <f t="shared" si="2"/>
        <v>30</v>
      </c>
      <c r="AA13" s="144">
        <f t="shared" si="3"/>
        <v>60</v>
      </c>
      <c r="AB13" s="145">
        <f t="shared" si="4"/>
        <v>25.758484671200026</v>
      </c>
      <c r="AC13" s="145">
        <f>+(S13-T13)*V13-'data 1'!$F$4</f>
        <v>24.718500000000006</v>
      </c>
      <c r="AD13" s="145">
        <f t="shared" si="5"/>
        <v>0.49681740372160982</v>
      </c>
      <c r="AE13" s="145">
        <f>+(Y13*V13-'data 2'!$B$2)+V13*(Z13-IF(D13="UNTUCA",IF(+((W13-3)*2.5+(X13-3)*3.1)&gt;0,+((W13-3)*1.5+(X13-3)*3.1),0),IF(+((W13-3)*1.5+(X13-3)*3.1)&gt;0,+((W13-3)*1.5+(X13-3)*3.1),0)))</f>
        <v>-39.128855000000001</v>
      </c>
      <c r="AF13" s="145">
        <f t="shared" si="6"/>
        <v>-34.298503515225605</v>
      </c>
      <c r="AG13" s="145">
        <f t="shared" si="7"/>
        <v>-48.212041111503993</v>
      </c>
      <c r="AH13" s="145">
        <f t="shared" si="8"/>
        <v>16.448917893230103</v>
      </c>
      <c r="AI13" s="143">
        <f t="shared" si="9"/>
        <v>16.833772651046388</v>
      </c>
      <c r="AJ13" s="143">
        <f t="shared" si="10"/>
        <v>19.851126882023316</v>
      </c>
      <c r="AK13" s="133">
        <f t="shared" si="11"/>
        <v>-3.4022089887932125</v>
      </c>
      <c r="AL13" s="144"/>
      <c r="AM13" s="144"/>
      <c r="AN13" s="142"/>
      <c r="AO13" s="142"/>
      <c r="AP13" s="57">
        <f t="shared" si="12"/>
        <v>190.71710842979854</v>
      </c>
      <c r="AQ13" s="142"/>
      <c r="AR13" s="142"/>
      <c r="AS13" s="142"/>
      <c r="AT13" s="142"/>
    </row>
    <row r="14" spans="1:46" ht="15.75" customHeight="1">
      <c r="A14" s="134" t="s">
        <v>417</v>
      </c>
      <c r="B14" s="135">
        <v>45496</v>
      </c>
      <c r="C14" s="135">
        <v>45486</v>
      </c>
      <c r="D14" s="142" t="s">
        <v>93</v>
      </c>
      <c r="E14" s="176"/>
      <c r="F14" s="142" t="s">
        <v>414</v>
      </c>
      <c r="G14" s="177">
        <v>108</v>
      </c>
      <c r="H14" s="177" t="s">
        <v>69</v>
      </c>
      <c r="I14" s="138">
        <v>10.78</v>
      </c>
      <c r="J14" s="143">
        <v>0.7</v>
      </c>
      <c r="K14" s="138">
        <f t="shared" si="0"/>
        <v>10.70454</v>
      </c>
      <c r="L14" s="170">
        <v>9.7000000000000003E-2</v>
      </c>
      <c r="M14" s="141">
        <v>9.6000000000000002E-2</v>
      </c>
      <c r="N14" s="157">
        <v>9.6000000000000002E-2</v>
      </c>
      <c r="O14" s="141">
        <f t="shared" si="1"/>
        <v>9.6000000000000002E-2</v>
      </c>
      <c r="P14" s="142">
        <v>85</v>
      </c>
      <c r="Q14" s="142">
        <v>85.05</v>
      </c>
      <c r="R14" s="144">
        <v>2410.92</v>
      </c>
      <c r="S14" s="132">
        <v>95</v>
      </c>
      <c r="T14" s="142"/>
      <c r="U14" s="142">
        <v>130</v>
      </c>
      <c r="V14" s="142">
        <v>1.1023000000000001</v>
      </c>
      <c r="W14" s="143">
        <v>5</v>
      </c>
      <c r="X14" s="143">
        <v>6.5</v>
      </c>
      <c r="Y14" s="142">
        <v>30</v>
      </c>
      <c r="Z14" s="143">
        <f t="shared" si="2"/>
        <v>30</v>
      </c>
      <c r="AA14" s="144">
        <f t="shared" si="3"/>
        <v>60</v>
      </c>
      <c r="AB14" s="145">
        <f t="shared" si="4"/>
        <v>34.306962265599978</v>
      </c>
      <c r="AC14" s="145">
        <f>+(S14-T14)*V14-'data 1'!$F$4</f>
        <v>24.718500000000006</v>
      </c>
      <c r="AD14" s="145">
        <f t="shared" si="5"/>
        <v>0.12194151862599309</v>
      </c>
      <c r="AE14" s="145">
        <f>+(Y14*V14-'data 2'!$B$2)+V14*(Z14-IF(D14="UNTUCA",IF(+((W14-3)*2.5+(X14-3)*3.1)&gt;0,+((W14-3)*1.5+(X14-3)*3.1),0),IF(+((W14-3)*1.5+(X14-3)*3.1)&gt;0,+((W14-3)*1.5+(X14-3)*3.1),0)))</f>
        <v>-39.128855000000001</v>
      </c>
      <c r="AF14" s="145">
        <f t="shared" si="6"/>
        <v>2.1383765276580022</v>
      </c>
      <c r="AG14" s="145">
        <f t="shared" si="7"/>
        <v>-12.150036953716002</v>
      </c>
      <c r="AH14" s="145">
        <f t="shared" si="8"/>
        <v>30.277717379269934</v>
      </c>
      <c r="AI14" s="143">
        <f t="shared" si="9"/>
        <v>21.432290594903986</v>
      </c>
      <c r="AJ14" s="143">
        <f t="shared" si="10"/>
        <v>29.94795951621456</v>
      </c>
      <c r="AK14" s="133">
        <f t="shared" si="11"/>
        <v>0.32975786305537369</v>
      </c>
      <c r="AL14" s="144"/>
      <c r="AM14" s="144"/>
      <c r="AN14" s="142"/>
      <c r="AO14" s="142"/>
      <c r="AP14" s="57">
        <f t="shared" si="12"/>
        <v>367.24024985060555</v>
      </c>
      <c r="AQ14" s="142"/>
      <c r="AR14" s="142"/>
      <c r="AS14" s="142"/>
      <c r="AT14" s="142"/>
    </row>
    <row r="15" spans="1:46" ht="15.75" customHeight="1">
      <c r="A15" s="134" t="s">
        <v>418</v>
      </c>
      <c r="B15" s="135">
        <v>45496</v>
      </c>
      <c r="C15" s="135">
        <v>45486</v>
      </c>
      <c r="D15" s="142" t="s">
        <v>93</v>
      </c>
      <c r="E15" s="176"/>
      <c r="F15" s="142" t="s">
        <v>414</v>
      </c>
      <c r="G15" s="177">
        <v>108</v>
      </c>
      <c r="H15" s="177" t="s">
        <v>69</v>
      </c>
      <c r="I15" s="138">
        <v>10.83</v>
      </c>
      <c r="J15" s="143">
        <v>1.35</v>
      </c>
      <c r="K15" s="138">
        <f t="shared" si="0"/>
        <v>10.683795</v>
      </c>
      <c r="L15" s="170">
        <v>0.53600000000000003</v>
      </c>
      <c r="M15" s="141">
        <v>0.52500000000000002</v>
      </c>
      <c r="N15" s="157">
        <v>0.52500000000000002</v>
      </c>
      <c r="O15" s="141">
        <f t="shared" si="1"/>
        <v>0.52500000000000002</v>
      </c>
      <c r="P15" s="142">
        <v>90</v>
      </c>
      <c r="Q15" s="142">
        <v>89.89</v>
      </c>
      <c r="R15" s="144">
        <v>2410.92</v>
      </c>
      <c r="S15" s="132">
        <v>150</v>
      </c>
      <c r="T15" s="142"/>
      <c r="U15" s="142">
        <v>130</v>
      </c>
      <c r="V15" s="142">
        <v>1.1023000000000001</v>
      </c>
      <c r="W15" s="143">
        <v>5.8</v>
      </c>
      <c r="X15" s="143">
        <v>6.9</v>
      </c>
      <c r="Y15" s="142">
        <v>30</v>
      </c>
      <c r="Z15" s="143">
        <f t="shared" si="2"/>
        <v>30</v>
      </c>
      <c r="AA15" s="144">
        <f t="shared" si="3"/>
        <v>60</v>
      </c>
      <c r="AB15" s="145">
        <f t="shared" si="4"/>
        <v>956.50395980999997</v>
      </c>
      <c r="AC15" s="145">
        <f>+(S15-T15)*V15-'data 1'!$F$4</f>
        <v>85.344999999999999</v>
      </c>
      <c r="AD15" s="145">
        <f t="shared" si="5"/>
        <v>-1.4824065851935924</v>
      </c>
      <c r="AE15" s="145">
        <f>+(Y15*V15-'data 2'!$B$2)+V15*(Z15-IF(D15="UNTUCA",IF(+((W15-3)*2.5+(X15-3)*3.1)&gt;0,+((W15-3)*1.5+(X15-3)*3.1),0),IF(+((W15-3)*1.5+(X15-3)*3.1)&gt;0,+((W15-3)*1.5+(X15-3)*3.1),0)))</f>
        <v>-41.818466999999998</v>
      </c>
      <c r="AF15" s="145">
        <f t="shared" si="6"/>
        <v>24.860732825196422</v>
      </c>
      <c r="AG15" s="145">
        <f t="shared" si="7"/>
        <v>66.904859240002835</v>
      </c>
      <c r="AH15" s="145">
        <f t="shared" si="8"/>
        <v>176.48621356554807</v>
      </c>
      <c r="AI15" s="143">
        <f t="shared" si="9"/>
        <v>125.16955465186555</v>
      </c>
      <c r="AJ15" s="143">
        <f t="shared" si="10"/>
        <v>173.07583213172956</v>
      </c>
      <c r="AK15" s="133">
        <f t="shared" si="11"/>
        <v>3.4103814338185146</v>
      </c>
      <c r="AL15" s="144"/>
      <c r="AM15" s="144"/>
      <c r="AN15" s="142"/>
      <c r="AO15" s="142"/>
      <c r="AP15" s="57">
        <f t="shared" si="12"/>
        <v>10219.092223298279</v>
      </c>
      <c r="AQ15" s="142"/>
      <c r="AR15" s="142"/>
      <c r="AS15" s="142"/>
      <c r="AT15" s="142"/>
    </row>
    <row r="16" spans="1:46" ht="15.75" customHeight="1">
      <c r="A16" s="134" t="s">
        <v>419</v>
      </c>
      <c r="B16" s="136">
        <v>45490</v>
      </c>
      <c r="C16" s="136">
        <v>45487</v>
      </c>
      <c r="D16" s="206" t="s">
        <v>420</v>
      </c>
      <c r="E16" s="176"/>
      <c r="F16" s="6" t="s">
        <v>420</v>
      </c>
      <c r="G16" s="90" t="s">
        <v>68</v>
      </c>
      <c r="H16" s="90" t="s">
        <v>69</v>
      </c>
      <c r="I16" s="82">
        <v>27.48</v>
      </c>
      <c r="J16" s="137">
        <v>3.7</v>
      </c>
      <c r="K16" s="138">
        <f t="shared" si="0"/>
        <v>26.463239999999999</v>
      </c>
      <c r="L16" s="240">
        <v>0.25900000000000001</v>
      </c>
      <c r="M16" s="80">
        <v>0.21299999999999999</v>
      </c>
      <c r="N16" s="249">
        <v>0.21299999999999999</v>
      </c>
      <c r="O16" s="141">
        <f t="shared" si="1"/>
        <v>0.21299999999999999</v>
      </c>
      <c r="P16" s="142">
        <v>90</v>
      </c>
      <c r="Q16" s="143">
        <v>91.215722219438135</v>
      </c>
      <c r="R16" s="57">
        <v>2422.395</v>
      </c>
      <c r="S16" s="80">
        <v>110</v>
      </c>
      <c r="U16" s="142">
        <v>100</v>
      </c>
      <c r="V16" s="142">
        <v>1.1023000000000001</v>
      </c>
      <c r="W16" s="137">
        <v>5.7</v>
      </c>
      <c r="X16" s="137">
        <v>14.8</v>
      </c>
      <c r="Y16" s="142"/>
      <c r="Z16" s="245">
        <v>30</v>
      </c>
      <c r="AA16" s="144">
        <f t="shared" si="3"/>
        <v>30</v>
      </c>
      <c r="AB16" s="145">
        <f t="shared" si="4"/>
        <v>336.42540082944998</v>
      </c>
      <c r="AC16" s="145">
        <f>+(S16-T16)*V16-'data 1'!$F$4</f>
        <v>41.253</v>
      </c>
      <c r="AD16" s="145">
        <f t="shared" si="5"/>
        <v>8.0606490612335744</v>
      </c>
      <c r="AE16" s="145">
        <f>+(Y16*V16-'data 2'!$B$2)+V16*(Z16-IF(D16="UNTUCA",IF(+((W16-3)*2.5+(X16-3)*3.1)&gt;0,+((W16-3)*1.5+(X16-3)*3.1),0),IF(+((W16-3)*1.5+(X16-3)*3.1)&gt;0,+((W16-3)*1.5+(X16-3)*3.1),0)))</f>
        <v>-101.71744900000002</v>
      </c>
      <c r="AF16" s="145">
        <f t="shared" si="6"/>
        <v>107.41462782069055</v>
      </c>
      <c r="AG16" s="145">
        <f>+AC16+AD16+AE16+AF16+90</f>
        <v>145.01082788192411</v>
      </c>
      <c r="AH16" s="145">
        <f t="shared" si="8"/>
        <v>214.34904354411708</v>
      </c>
      <c r="AI16" s="137">
        <f t="shared" si="9"/>
        <v>50.57427662188082</v>
      </c>
      <c r="AJ16" s="137">
        <f t="shared" si="10"/>
        <v>173.92988013663606</v>
      </c>
      <c r="AK16" s="250">
        <f t="shared" si="11"/>
        <v>40.419163407481022</v>
      </c>
      <c r="AL16" s="57"/>
      <c r="AM16" s="57"/>
      <c r="AP16" s="57">
        <f t="shared" si="12"/>
        <v>8902.9061242459338</v>
      </c>
    </row>
    <row r="17" spans="1:42" ht="15.75" customHeight="1">
      <c r="A17" s="134" t="s">
        <v>421</v>
      </c>
      <c r="B17" s="136">
        <v>45489</v>
      </c>
      <c r="C17" s="136">
        <v>45488</v>
      </c>
      <c r="D17" s="79" t="s">
        <v>93</v>
      </c>
      <c r="E17" s="176"/>
      <c r="F17" s="79" t="s">
        <v>261</v>
      </c>
      <c r="G17" s="90">
        <v>90</v>
      </c>
      <c r="H17" s="90" t="s">
        <v>69</v>
      </c>
      <c r="I17" s="82">
        <v>8.3699999999999992</v>
      </c>
      <c r="J17" s="137">
        <v>1.2</v>
      </c>
      <c r="K17" s="138">
        <f t="shared" si="0"/>
        <v>8.2695599999999985</v>
      </c>
      <c r="L17" s="240">
        <v>0.47</v>
      </c>
      <c r="M17" s="80">
        <v>0.45100000000000001</v>
      </c>
      <c r="N17" s="166">
        <v>0.45100000000000001</v>
      </c>
      <c r="O17" s="141">
        <f t="shared" si="1"/>
        <v>0.45100000000000001</v>
      </c>
      <c r="P17" s="142">
        <v>90</v>
      </c>
      <c r="Q17" s="143">
        <v>89.380930494974535</v>
      </c>
      <c r="R17" s="57">
        <v>2422.395</v>
      </c>
      <c r="S17" s="80">
        <v>120</v>
      </c>
      <c r="U17" s="142">
        <v>130</v>
      </c>
      <c r="V17" s="142">
        <v>1.1023000000000001</v>
      </c>
      <c r="W17" s="137">
        <v>5.8</v>
      </c>
      <c r="X17" s="137">
        <v>8</v>
      </c>
      <c r="Y17" s="142">
        <v>30</v>
      </c>
      <c r="Z17" s="143">
        <f>IF(IF(D17="UNTUCA",IF(+((W17-3)*1.5+(X17-3)*3.1)&gt;0,+((W17-3)*1.5+(X17-3)*3.1),0),IF(+((W17-3)*1.5+(X17-3)*3.1)&gt;0,+((W17-3)*1.5+(X17-3)*3.1),0))&lt;30,30,IF(D17="UNTUCA",IF(+((W17-3)*1.5+(X17-3)*3.1)&gt;0,+((W17-3)*1.5+(X17-3)*3.1),0),IF(+((W17-3)*1.5+(X17-3)*3.1)&gt;0,+((W17-3)*1.5+(X17-3)*3.1),0)))</f>
        <v>30</v>
      </c>
      <c r="AA17" s="144">
        <f t="shared" si="3"/>
        <v>60</v>
      </c>
      <c r="AB17" s="145">
        <f t="shared" si="4"/>
        <v>827.25755475015023</v>
      </c>
      <c r="AC17" s="145">
        <f>+(S17-T17)*V17-'data 1'!$F$4</f>
        <v>52.27600000000001</v>
      </c>
      <c r="AD17" s="145">
        <f t="shared" si="5"/>
        <v>-7.3523560336881202</v>
      </c>
      <c r="AE17" s="145">
        <f>+(Y17*V17-'data 2'!$B$2)+V17*(Z17-IF(D17="UNTUCA",IF(+((W17-3)*2.5+(X17-3)*3.1)&gt;0,+((W17-3)*1.5+(X17-3)*3.1),0),IF(+((W17-3)*1.5+(X17-3)*3.1)&gt;0,+((W17-3)*1.5+(X17-3)*3.1),0)))</f>
        <v>-45.577309999999997</v>
      </c>
      <c r="AF17" s="145">
        <f t="shared" si="6"/>
        <v>42.9128869418604</v>
      </c>
      <c r="AG17" s="145">
        <f>+AC17+AD17+AE17+AF17</f>
        <v>42.259220908172296</v>
      </c>
      <c r="AH17" s="145">
        <f t="shared" si="8"/>
        <v>119.10615401717205</v>
      </c>
      <c r="AI17" s="137">
        <f t="shared" si="9"/>
        <v>103.82162699975396</v>
      </c>
      <c r="AJ17" s="137">
        <f t="shared" si="10"/>
        <v>115.08282737535947</v>
      </c>
      <c r="AK17" s="88">
        <f t="shared" si="11"/>
        <v>4.0233266418125737</v>
      </c>
      <c r="AL17" s="57"/>
      <c r="AM17" s="57"/>
      <c r="AP17" s="57">
        <f t="shared" si="12"/>
        <v>6841.055984459651</v>
      </c>
    </row>
    <row r="18" spans="1:42" ht="15.75" customHeight="1">
      <c r="A18" s="134" t="s">
        <v>422</v>
      </c>
      <c r="B18" s="136">
        <v>45489</v>
      </c>
      <c r="C18" s="136">
        <v>45488</v>
      </c>
      <c r="D18" s="79" t="s">
        <v>93</v>
      </c>
      <c r="E18" s="176"/>
      <c r="F18" s="79" t="s">
        <v>261</v>
      </c>
      <c r="G18" s="90">
        <v>90</v>
      </c>
      <c r="H18" s="90" t="s">
        <v>69</v>
      </c>
      <c r="I18" s="82">
        <v>8.59</v>
      </c>
      <c r="J18" s="137">
        <v>1.3</v>
      </c>
      <c r="K18" s="138">
        <f t="shared" si="0"/>
        <v>8.4783299999999997</v>
      </c>
      <c r="L18" s="240">
        <v>0.38700000000000001</v>
      </c>
      <c r="M18" s="80">
        <v>0.36699999999999999</v>
      </c>
      <c r="N18" s="166">
        <v>0.36699999999999999</v>
      </c>
      <c r="O18" s="141">
        <f t="shared" si="1"/>
        <v>0.36699999999999999</v>
      </c>
      <c r="P18" s="142">
        <v>90</v>
      </c>
      <c r="Q18" s="143">
        <v>89.389864833681926</v>
      </c>
      <c r="R18" s="57">
        <v>2422.395</v>
      </c>
      <c r="S18" s="80">
        <v>110</v>
      </c>
      <c r="U18" s="142">
        <v>130</v>
      </c>
      <c r="V18" s="142">
        <v>1.1023000000000001</v>
      </c>
      <c r="W18" s="137">
        <v>5.8</v>
      </c>
      <c r="X18" s="137">
        <v>7.9</v>
      </c>
      <c r="Y18" s="142">
        <v>30</v>
      </c>
      <c r="Z18" s="143">
        <f>IF(IF(D18="UNTUCA",IF(+((W18-3)*1.5+(X18-3)*3.1)&gt;0,+((W18-3)*1.5+(X18-3)*3.1),0),IF(+((W18-3)*1.5+(X18-3)*3.1)&gt;0,+((W18-3)*1.5+(X18-3)*3.1),0))&lt;30,30,IF(D18="UNTUCA",IF(+((W18-3)*1.5+(X18-3)*3.1)&gt;0,+((W18-3)*1.5+(X18-3)*3.1),0),IF(+((W18-3)*1.5+(X18-3)*3.1)&gt;0,+((W18-3)*1.5+(X18-3)*3.1),0)))</f>
        <v>30</v>
      </c>
      <c r="AA18" s="144">
        <f t="shared" si="3"/>
        <v>60</v>
      </c>
      <c r="AB18" s="145">
        <f t="shared" si="4"/>
        <v>647.24638490755012</v>
      </c>
      <c r="AC18" s="145">
        <f>+(S18-T18)*V18-'data 1'!$F$4</f>
        <v>41.253</v>
      </c>
      <c r="AD18" s="145">
        <f t="shared" si="5"/>
        <v>-5.9665911839786236</v>
      </c>
      <c r="AE18" s="145">
        <f>+(Y18*V18-'data 2'!$B$2)+V18*(Z18-IF(D18="UNTUCA",IF(+((W18-3)*2.5+(X18-3)*3.1)&gt;0,+((W18-3)*1.5+(X18-3)*3.1),0),IF(+((W18-3)*1.5+(X18-3)*3.1)&gt;0,+((W18-3)*1.5+(X18-3)*3.1),0)))</f>
        <v>-45.235596999999999</v>
      </c>
      <c r="AF18" s="145">
        <f t="shared" si="6"/>
        <v>45.175975187419752</v>
      </c>
      <c r="AG18" s="145">
        <f>+AC18+AD18+AE18+AF18</f>
        <v>35.226787003441132</v>
      </c>
      <c r="AH18" s="145">
        <f t="shared" si="8"/>
        <v>100.5584640844482</v>
      </c>
      <c r="AI18" s="137">
        <f t="shared" si="9"/>
        <v>85.495714591912218</v>
      </c>
      <c r="AJ18" s="137">
        <f t="shared" si="10"/>
        <v>96.012540091985429</v>
      </c>
      <c r="AK18" s="88">
        <f t="shared" si="11"/>
        <v>4.5459239924627752</v>
      </c>
      <c r="AL18" s="57"/>
      <c r="AM18" s="57"/>
      <c r="AP18" s="57">
        <f t="shared" si="12"/>
        <v>5487.568442553229</v>
      </c>
    </row>
    <row r="19" spans="1:42" ht="15.75" customHeight="1">
      <c r="A19" s="134" t="s">
        <v>423</v>
      </c>
      <c r="B19" s="136">
        <v>45489</v>
      </c>
      <c r="C19" s="136">
        <v>45488</v>
      </c>
      <c r="D19" s="79" t="s">
        <v>93</v>
      </c>
      <c r="E19" s="176"/>
      <c r="F19" s="79" t="s">
        <v>261</v>
      </c>
      <c r="G19" s="90">
        <v>90</v>
      </c>
      <c r="H19" s="90" t="s">
        <v>69</v>
      </c>
      <c r="I19" s="82">
        <v>8.73</v>
      </c>
      <c r="J19" s="137">
        <v>1.2</v>
      </c>
      <c r="K19" s="138">
        <f t="shared" si="0"/>
        <v>8.6252399999999998</v>
      </c>
      <c r="L19" s="240">
        <v>0.32400000000000001</v>
      </c>
      <c r="M19" s="80">
        <v>0.311</v>
      </c>
      <c r="N19" s="166">
        <v>0.311</v>
      </c>
      <c r="O19" s="141">
        <f t="shared" si="1"/>
        <v>0.311</v>
      </c>
      <c r="P19" s="142">
        <v>90</v>
      </c>
      <c r="Q19" s="143">
        <v>89.259463126070031</v>
      </c>
      <c r="R19" s="57">
        <v>2422.395</v>
      </c>
      <c r="S19" s="80">
        <v>110</v>
      </c>
      <c r="U19" s="142">
        <v>130</v>
      </c>
      <c r="V19" s="142">
        <v>1.1023000000000001</v>
      </c>
      <c r="W19" s="137">
        <v>5.8</v>
      </c>
      <c r="X19" s="137">
        <v>7.9</v>
      </c>
      <c r="Y19" s="142">
        <v>30</v>
      </c>
      <c r="Z19" s="143">
        <f>IF(IF(D19="UNTUCA",IF(+((W19-3)*1.5+(X19-3)*3.1)&gt;0,+((W19-3)*1.5+(X19-3)*3.1),0),IF(+((W19-3)*1.5+(X19-3)*3.1)&gt;0,+((W19-3)*1.5+(X19-3)*3.1),0))&lt;30,30,IF(D19="UNTUCA",IF(+((W19-3)*1.5+(X19-3)*3.1)&gt;0,+((W19-3)*1.5+(X19-3)*3.1),0),IF(+((W19-3)*1.5+(X19-3)*3.1)&gt;0,+((W19-3)*1.5+(X19-3)*3.1),0)))</f>
        <v>30</v>
      </c>
      <c r="AA19" s="144">
        <f t="shared" si="3"/>
        <v>60</v>
      </c>
      <c r="AB19" s="145">
        <f t="shared" si="4"/>
        <v>519.89027167914992</v>
      </c>
      <c r="AC19" s="145">
        <f>+(S19-T19)*V19-'data 1'!$F$4</f>
        <v>41.253</v>
      </c>
      <c r="AD19" s="145">
        <f t="shared" si="5"/>
        <v>-6.0629077263876754</v>
      </c>
      <c r="AE19" s="145">
        <f>+(Y19*V19-'data 2'!$B$2)+V19*(Z19-IF(D19="UNTUCA",IF(+((W19-3)*2.5+(X19-3)*3.1)&gt;0,+((W19-3)*1.5+(X19-3)*3.1),0),IF(+((W19-3)*1.5+(X19-3)*3.1)&gt;0,+((W19-3)*1.5+(X19-3)*3.1),0)))</f>
        <v>-45.235596999999999</v>
      </c>
      <c r="AF19" s="145">
        <f t="shared" si="6"/>
        <v>29.321547183267803</v>
      </c>
      <c r="AG19" s="145">
        <f>+AC19+AD19+AE19+AF19</f>
        <v>19.276042456880127</v>
      </c>
      <c r="AH19" s="145">
        <f t="shared" si="8"/>
        <v>85.522332694011624</v>
      </c>
      <c r="AI19" s="137">
        <f t="shared" si="9"/>
        <v>71.473390041579094</v>
      </c>
      <c r="AJ19" s="137">
        <f t="shared" si="10"/>
        <v>82.771944148784513</v>
      </c>
      <c r="AK19" s="88">
        <f t="shared" si="11"/>
        <v>2.7503885452271106</v>
      </c>
      <c r="AL19" s="57"/>
      <c r="AM19" s="57"/>
      <c r="AP19" s="57">
        <f t="shared" si="12"/>
        <v>4484.1783668978705</v>
      </c>
    </row>
    <row r="20" spans="1:42" ht="15.75" customHeight="1">
      <c r="A20" s="134" t="s">
        <v>424</v>
      </c>
      <c r="B20" s="136">
        <v>45493</v>
      </c>
      <c r="C20" s="136">
        <v>45491</v>
      </c>
      <c r="D20" s="206" t="s">
        <v>420</v>
      </c>
      <c r="F20" s="79" t="s">
        <v>420</v>
      </c>
      <c r="G20" s="90"/>
      <c r="H20" s="90" t="s">
        <v>69</v>
      </c>
      <c r="I20" s="82">
        <v>3.77</v>
      </c>
      <c r="J20" s="137">
        <v>1</v>
      </c>
      <c r="K20" s="138">
        <f t="shared" si="0"/>
        <v>3.7323</v>
      </c>
      <c r="L20" s="240">
        <v>0.48899999999999999</v>
      </c>
      <c r="M20" s="80">
        <v>0.44500000000000001</v>
      </c>
      <c r="N20" s="178">
        <v>0.51600000000000001</v>
      </c>
      <c r="O20" s="141">
        <f t="shared" si="1"/>
        <v>0.48099999999999998</v>
      </c>
      <c r="P20" s="142">
        <v>90</v>
      </c>
      <c r="Q20" s="143">
        <v>89.559708233168834</v>
      </c>
      <c r="R20" s="57">
        <v>2430.41</v>
      </c>
      <c r="S20" s="80">
        <v>130</v>
      </c>
      <c r="U20" s="142">
        <v>100</v>
      </c>
      <c r="V20" s="142">
        <v>1.1023000000000001</v>
      </c>
      <c r="W20" s="137">
        <v>5</v>
      </c>
      <c r="X20" s="137">
        <v>12</v>
      </c>
      <c r="Z20" s="245">
        <v>30</v>
      </c>
      <c r="AA20" s="144">
        <f t="shared" si="3"/>
        <v>30</v>
      </c>
      <c r="AB20" s="145">
        <f t="shared" si="4"/>
        <v>935.67025722469987</v>
      </c>
      <c r="AC20" s="145">
        <f>+(S20-T20)*V20-'data 1'!$F$4</f>
        <v>63.299000000000007</v>
      </c>
      <c r="AD20" s="145">
        <f t="shared" si="5"/>
        <v>-5.5307186497811598</v>
      </c>
      <c r="AE20" s="145">
        <f>+(Y20*V20-'data 2'!$B$2)+V20*(Z20-IF(D20="UNTUCA",IF(+((W20-3)*2.5+(X20-3)*3.1)&gt;0,+((W20-3)*1.5+(X20-3)*3.1),0),IF(+((W20-3)*1.5+(X20-3)*3.1)&gt;0,+((W20-3)*1.5+(X20-3)*3.1),0)))</f>
        <v>-90.992069999999998</v>
      </c>
      <c r="AF20" s="145">
        <f t="shared" si="6"/>
        <v>18.404956684900121</v>
      </c>
      <c r="AG20" s="145">
        <f>+AC20+AD20+AE20+AF20+90</f>
        <v>75.181168035118972</v>
      </c>
      <c r="AH20" s="145">
        <f t="shared" si="8"/>
        <v>56.041163493261109</v>
      </c>
      <c r="AI20" s="137">
        <f t="shared" si="9"/>
        <v>89.883026744435469</v>
      </c>
      <c r="AJ20" s="137">
        <f t="shared" si="10"/>
        <v>55.395335868251586</v>
      </c>
      <c r="AK20" s="88">
        <f t="shared" si="11"/>
        <v>0.64582762500952384</v>
      </c>
      <c r="AL20" s="57"/>
      <c r="AM20" s="57"/>
      <c r="AP20" s="57">
        <f t="shared" si="12"/>
        <v>3492.202101039747</v>
      </c>
    </row>
    <row r="21" spans="1:42" ht="15.75" customHeight="1">
      <c r="A21" s="134" t="s">
        <v>425</v>
      </c>
      <c r="B21" s="136">
        <v>45493</v>
      </c>
      <c r="C21" s="136">
        <v>45491</v>
      </c>
      <c r="D21" s="206" t="s">
        <v>420</v>
      </c>
      <c r="F21" s="79" t="s">
        <v>420</v>
      </c>
      <c r="G21" s="90"/>
      <c r="H21" s="90" t="s">
        <v>69</v>
      </c>
      <c r="I21" s="82">
        <v>5.74</v>
      </c>
      <c r="J21" s="137">
        <v>2</v>
      </c>
      <c r="K21" s="138">
        <f t="shared" si="0"/>
        <v>5.6252000000000004</v>
      </c>
      <c r="L21" s="240">
        <v>0.187</v>
      </c>
      <c r="M21" s="80">
        <v>0.17499999999999999</v>
      </c>
      <c r="N21" s="178">
        <v>0.22900000000000001</v>
      </c>
      <c r="O21" s="141">
        <f t="shared" si="1"/>
        <v>0.20200000000000001</v>
      </c>
      <c r="P21" s="142">
        <v>90</v>
      </c>
      <c r="Q21" s="143">
        <v>89.768564850565554</v>
      </c>
      <c r="R21" s="57">
        <v>2430.41</v>
      </c>
      <c r="S21" s="80">
        <v>110</v>
      </c>
      <c r="U21" s="142">
        <v>100</v>
      </c>
      <c r="V21" s="142">
        <v>1.1023000000000001</v>
      </c>
      <c r="W21" s="137">
        <v>5</v>
      </c>
      <c r="X21" s="137">
        <v>9</v>
      </c>
      <c r="Z21" s="143">
        <f t="shared" ref="Z21:Z32" si="13">IF(IF(D21="UNTUCA",IF(+((W21-3)*1.5+(X21-3)*3.1)&gt;0,+((W21-3)*1.5+(X21-3)*3.1),0),IF(+((W21-3)*1.5+(X21-3)*3.1)&gt;0,+((W21-3)*1.5+(X21-3)*3.1),0))&lt;30,30,IF(D21="UNTUCA",IF(+((W21-3)*1.5+(X21-3)*3.1)&gt;0,+((W21-3)*1.5+(X21-3)*3.1),0),IF(+((W21-3)*1.5+(X21-3)*3.1)&gt;0,+((W21-3)*1.5+(X21-3)*3.1),0)))</f>
        <v>30</v>
      </c>
      <c r="AA21" s="144">
        <f t="shared" si="3"/>
        <v>30</v>
      </c>
      <c r="AB21" s="145">
        <f t="shared" si="4"/>
        <v>312.68782943739996</v>
      </c>
      <c r="AC21" s="145">
        <f>+(S21-T21)*V21-'data 1'!$F$4</f>
        <v>41.253</v>
      </c>
      <c r="AD21" s="145">
        <f t="shared" si="5"/>
        <v>-1.1117395801440266</v>
      </c>
      <c r="AE21" s="145">
        <f>+(Y21*V21-'data 2'!$B$2)+V21*(Z21-IF(D21="UNTUCA",IF(+((W21-3)*2.5+(X21-3)*3.1)&gt;0,+((W21-3)*1.5+(X21-3)*3.1),0),IF(+((W21-3)*1.5+(X21-3)*3.1)&gt;0,+((W21-3)*1.5+(X21-3)*3.1),0)))</f>
        <v>-80.740679999999998</v>
      </c>
      <c r="AF21" s="145">
        <f t="shared" si="6"/>
        <v>-34.589770758830724</v>
      </c>
      <c r="AG21" s="145">
        <f>+AC21+AD21+AE21+AF21+90</f>
        <v>14.810809661025246</v>
      </c>
      <c r="AH21" s="145">
        <f t="shared" si="8"/>
        <v>32.375234738770189</v>
      </c>
      <c r="AI21" s="137">
        <f t="shared" si="9"/>
        <v>34.452603650250701</v>
      </c>
      <c r="AJ21" s="137">
        <f t="shared" si="10"/>
        <v>35.062341571340752</v>
      </c>
      <c r="AK21" s="88">
        <f t="shared" si="11"/>
        <v>-2.6871068325705636</v>
      </c>
      <c r="AL21" s="57"/>
      <c r="AM21" s="57"/>
      <c r="AP21" s="57">
        <f t="shared" si="12"/>
        <v>1758.9315781512623</v>
      </c>
    </row>
    <row r="22" spans="1:42" ht="15.75" customHeight="1">
      <c r="A22" s="134" t="s">
        <v>426</v>
      </c>
      <c r="B22" s="136">
        <v>45495</v>
      </c>
      <c r="C22" s="136">
        <v>45492</v>
      </c>
      <c r="D22" s="79" t="s">
        <v>93</v>
      </c>
      <c r="E22" s="176"/>
      <c r="F22" s="79" t="s">
        <v>261</v>
      </c>
      <c r="G22" s="90">
        <v>89</v>
      </c>
      <c r="H22" s="90" t="s">
        <v>69</v>
      </c>
      <c r="I22" s="82">
        <v>8.15</v>
      </c>
      <c r="J22" s="137">
        <v>1.3</v>
      </c>
      <c r="K22" s="138">
        <f t="shared" si="0"/>
        <v>8.0440500000000004</v>
      </c>
      <c r="L22" s="240">
        <v>0.51400000000000001</v>
      </c>
      <c r="M22" s="139">
        <v>0.48830000000000001</v>
      </c>
      <c r="N22" s="247">
        <v>0.48830000000000001</v>
      </c>
      <c r="O22" s="141">
        <f t="shared" si="1"/>
        <v>0.48799999999999999</v>
      </c>
      <c r="P22" s="142">
        <v>90</v>
      </c>
      <c r="Q22" s="143">
        <v>89.343814636864593</v>
      </c>
      <c r="R22" s="57">
        <v>2400.31</v>
      </c>
      <c r="S22" s="80">
        <v>120</v>
      </c>
      <c r="U22" s="142">
        <v>130</v>
      </c>
      <c r="V22" s="142">
        <v>1.1023000000000001</v>
      </c>
      <c r="W22" s="137">
        <v>5.6</v>
      </c>
      <c r="X22" s="137">
        <v>7</v>
      </c>
      <c r="Y22" s="79">
        <v>30</v>
      </c>
      <c r="Z22" s="143">
        <f t="shared" si="13"/>
        <v>30</v>
      </c>
      <c r="AA22" s="144">
        <f t="shared" si="3"/>
        <v>60</v>
      </c>
      <c r="AB22" s="145">
        <f t="shared" si="4"/>
        <v>900.71154354960004</v>
      </c>
      <c r="AC22" s="145">
        <f>+(S22-T22)*V22-'data 1'!$F$4</f>
        <v>52.27600000000001</v>
      </c>
      <c r="AD22" s="145">
        <f t="shared" si="5"/>
        <v>-8.4406254161590351</v>
      </c>
      <c r="AE22" s="145">
        <f>+(Y22*V22-'data 2'!$B$2)+V22*(Z22-IF(D22="UNTUCA",IF(+((W22-3)*2.5+(X22-3)*3.1)&gt;0,+((W22-3)*1.5+(X22-3)*3.1),0),IF(+((W22-3)*1.5+(X22-3)*3.1)&gt;0,+((W22-3)*1.5+(X22-3)*3.1),0)))</f>
        <v>-41.82949</v>
      </c>
      <c r="AF22" s="145">
        <f t="shared" si="6"/>
        <v>58.133009778324315</v>
      </c>
      <c r="AG22" s="145">
        <f t="shared" ref="AG22:AG61" si="14">+AC22+AD22+AE22+AF22</f>
        <v>60.138894362165288</v>
      </c>
      <c r="AH22" s="145">
        <f t="shared" si="8"/>
        <v>126.65182171622948</v>
      </c>
      <c r="AI22" s="137">
        <f t="shared" si="9"/>
        <v>124.67351281488818</v>
      </c>
      <c r="AJ22" s="137">
        <f t="shared" si="10"/>
        <v>121.12845062659024</v>
      </c>
      <c r="AK22" s="88">
        <f t="shared" si="11"/>
        <v>5.5233710896392409</v>
      </c>
      <c r="AL22" s="57"/>
      <c r="AM22" s="57"/>
      <c r="AP22" s="57">
        <f t="shared" si="12"/>
        <v>7245.3686918901603</v>
      </c>
    </row>
    <row r="23" spans="1:42" ht="15.75" customHeight="1">
      <c r="A23" s="134" t="s">
        <v>427</v>
      </c>
      <c r="B23" s="136">
        <v>45495</v>
      </c>
      <c r="C23" s="136">
        <v>45492</v>
      </c>
      <c r="D23" s="79" t="s">
        <v>93</v>
      </c>
      <c r="E23" s="176"/>
      <c r="F23" s="79" t="s">
        <v>261</v>
      </c>
      <c r="G23" s="90">
        <v>90</v>
      </c>
      <c r="H23" s="90" t="s">
        <v>69</v>
      </c>
      <c r="I23" s="82">
        <v>8.16</v>
      </c>
      <c r="J23" s="137">
        <v>1.2</v>
      </c>
      <c r="K23" s="138">
        <f t="shared" si="0"/>
        <v>8.0620799999999999</v>
      </c>
      <c r="L23" s="240">
        <v>0.70000000000000007</v>
      </c>
      <c r="M23" s="139">
        <v>0.66500000000000004</v>
      </c>
      <c r="N23" s="247">
        <v>0.66500000000000004</v>
      </c>
      <c r="O23" s="141">
        <f t="shared" si="1"/>
        <v>0.66500000000000004</v>
      </c>
      <c r="P23" s="142">
        <v>90</v>
      </c>
      <c r="Q23" s="143">
        <v>89.886798266630564</v>
      </c>
      <c r="R23" s="57">
        <v>2400.31</v>
      </c>
      <c r="S23" s="80">
        <v>140</v>
      </c>
      <c r="U23" s="142">
        <v>130</v>
      </c>
      <c r="V23" s="142">
        <v>1.1023000000000001</v>
      </c>
      <c r="W23" s="137">
        <v>5.6</v>
      </c>
      <c r="X23" s="137">
        <v>7.5</v>
      </c>
      <c r="Y23" s="79">
        <v>30</v>
      </c>
      <c r="Z23" s="143">
        <f t="shared" si="13"/>
        <v>30</v>
      </c>
      <c r="AA23" s="144">
        <f t="shared" si="3"/>
        <v>60</v>
      </c>
      <c r="AB23" s="145">
        <f t="shared" si="4"/>
        <v>1277.3237837305003</v>
      </c>
      <c r="AC23" s="145">
        <f>+(S23-T23)*V23-'data 1'!$F$4</f>
        <v>74.322000000000003</v>
      </c>
      <c r="AD23" s="145">
        <f t="shared" si="5"/>
        <v>-1.9830610588412358</v>
      </c>
      <c r="AE23" s="145">
        <f>+(Y23*V23-'data 2'!$B$2)+V23*(Z23-IF(D23="UNTUCA",IF(+((W23-3)*2.5+(X23-3)*3.1)&gt;0,+((W23-3)*1.5+(X23-3)*3.1),0),IF(+((W23-3)*1.5+(X23-3)*3.1)&gt;0,+((W23-3)*1.5+(X23-3)*3.1),0)))</f>
        <v>-43.538055</v>
      </c>
      <c r="AF23" s="145">
        <f t="shared" si="6"/>
        <v>78.731572406558001</v>
      </c>
      <c r="AG23" s="145">
        <f t="shared" si="14"/>
        <v>107.53245634771677</v>
      </c>
      <c r="AH23" s="145">
        <f t="shared" si="8"/>
        <v>173.92023915360923</v>
      </c>
      <c r="AI23" s="137">
        <f t="shared" si="9"/>
        <v>170.82071583185692</v>
      </c>
      <c r="AJ23" s="137">
        <f t="shared" si="10"/>
        <v>165.43230746215119</v>
      </c>
      <c r="AK23" s="88">
        <f t="shared" si="11"/>
        <v>8.4879316914580443</v>
      </c>
      <c r="AL23" s="57"/>
      <c r="AM23" s="57"/>
      <c r="AP23" s="57">
        <f t="shared" si="12"/>
        <v>10297.886530337992</v>
      </c>
    </row>
    <row r="24" spans="1:42" ht="15.75" customHeight="1">
      <c r="A24" s="134" t="s">
        <v>428</v>
      </c>
      <c r="B24" s="136">
        <v>45495</v>
      </c>
      <c r="C24" s="136">
        <v>45492</v>
      </c>
      <c r="D24" s="79" t="s">
        <v>93</v>
      </c>
      <c r="E24" s="176"/>
      <c r="F24" s="79" t="s">
        <v>261</v>
      </c>
      <c r="G24" s="90">
        <v>90</v>
      </c>
      <c r="H24" s="90" t="s">
        <v>69</v>
      </c>
      <c r="I24" s="82">
        <v>8.1</v>
      </c>
      <c r="J24" s="137">
        <v>1</v>
      </c>
      <c r="K24" s="138">
        <f t="shared" si="0"/>
        <v>8.0190000000000001</v>
      </c>
      <c r="L24" s="240">
        <v>0.8819999999999999</v>
      </c>
      <c r="M24" s="139">
        <v>0.79379999999999995</v>
      </c>
      <c r="N24" s="247">
        <v>0.79379999999999995</v>
      </c>
      <c r="O24" s="141">
        <f t="shared" si="1"/>
        <v>0.79400000000000004</v>
      </c>
      <c r="P24" s="142">
        <v>90</v>
      </c>
      <c r="Q24" s="143">
        <v>89.392827959048077</v>
      </c>
      <c r="R24" s="57">
        <v>2400.31</v>
      </c>
      <c r="S24" s="80">
        <v>140</v>
      </c>
      <c r="U24" s="142">
        <v>130</v>
      </c>
      <c r="V24" s="142">
        <v>1.1023000000000001</v>
      </c>
      <c r="W24" s="137">
        <v>5.6</v>
      </c>
      <c r="X24" s="137">
        <v>8</v>
      </c>
      <c r="Y24" s="79">
        <v>30</v>
      </c>
      <c r="Z24" s="143">
        <f t="shared" si="13"/>
        <v>30</v>
      </c>
      <c r="AA24" s="144">
        <f t="shared" si="3"/>
        <v>60</v>
      </c>
      <c r="AB24" s="145">
        <f t="shared" si="4"/>
        <v>1567.8713147098001</v>
      </c>
      <c r="AC24" s="145">
        <f>+(S24-T24)*V24-'data 1'!$F$4</f>
        <v>74.322000000000003</v>
      </c>
      <c r="AD24" s="145">
        <f t="shared" si="5"/>
        <v>-13.401867490750291</v>
      </c>
      <c r="AE24" s="145">
        <f>+(Y24*V24-'data 2'!$B$2)+V24*(Z24-IF(D24="UNTUCA",IF(+((W24-3)*2.5+(X24-3)*3.1)&gt;0,+((W24-3)*1.5+(X24-3)*3.1),0),IF(+((W24-3)*1.5+(X24-3)*3.1)&gt;0,+((W24-3)*1.5+(X24-3)*3.1),0)))</f>
        <v>-45.246619999999993</v>
      </c>
      <c r="AF24" s="145">
        <f t="shared" si="6"/>
        <v>196.8658190927448</v>
      </c>
      <c r="AG24" s="145">
        <f t="shared" si="14"/>
        <v>212.53933160199452</v>
      </c>
      <c r="AH24" s="145">
        <f t="shared" si="8"/>
        <v>216.77068219302259</v>
      </c>
      <c r="AI24" s="137">
        <f t="shared" si="9"/>
        <v>214.05128914813108</v>
      </c>
      <c r="AJ24" s="137">
        <f t="shared" si="10"/>
        <v>196.46821283195007</v>
      </c>
      <c r="AK24" s="88">
        <f t="shared" si="11"/>
        <v>20.302469361072525</v>
      </c>
      <c r="AL24" s="57"/>
      <c r="AM24" s="57"/>
      <c r="AP24" s="57">
        <f t="shared" si="12"/>
        <v>12572.760072657888</v>
      </c>
    </row>
    <row r="25" spans="1:42" ht="15.75" customHeight="1">
      <c r="A25" s="134" t="s">
        <v>429</v>
      </c>
      <c r="B25" s="136">
        <v>45495</v>
      </c>
      <c r="C25" s="136">
        <v>45492</v>
      </c>
      <c r="D25" s="79" t="s">
        <v>93</v>
      </c>
      <c r="E25" s="176"/>
      <c r="F25" s="6" t="s">
        <v>430</v>
      </c>
      <c r="G25" s="90">
        <v>100</v>
      </c>
      <c r="H25" s="90" t="s">
        <v>69</v>
      </c>
      <c r="I25" s="82">
        <v>9.51</v>
      </c>
      <c r="J25" s="137">
        <v>1.5</v>
      </c>
      <c r="K25" s="138">
        <f t="shared" si="0"/>
        <v>9.3673500000000001</v>
      </c>
      <c r="L25" s="240">
        <v>0.26</v>
      </c>
      <c r="M25" s="139">
        <v>0.24440000000000001</v>
      </c>
      <c r="N25" s="247">
        <v>0.24440000000000001</v>
      </c>
      <c r="O25" s="141">
        <f t="shared" si="1"/>
        <v>0.24399999999999999</v>
      </c>
      <c r="P25" s="142">
        <v>90</v>
      </c>
      <c r="Q25" s="143">
        <v>89.599443578151465</v>
      </c>
      <c r="R25" s="57">
        <v>2400.31</v>
      </c>
      <c r="S25" s="80">
        <v>110</v>
      </c>
      <c r="U25" s="142">
        <v>130</v>
      </c>
      <c r="V25" s="142">
        <v>1.1023000000000001</v>
      </c>
      <c r="W25" s="137">
        <v>5.5</v>
      </c>
      <c r="X25" s="137">
        <v>13.8</v>
      </c>
      <c r="Y25" s="79">
        <v>30</v>
      </c>
      <c r="Z25" s="143">
        <f t="shared" si="13"/>
        <v>37.230000000000004</v>
      </c>
      <c r="AA25" s="144">
        <f t="shared" si="3"/>
        <v>67.23</v>
      </c>
      <c r="AB25" s="145">
        <f t="shared" si="4"/>
        <v>354.2021427748</v>
      </c>
      <c r="AC25" s="145">
        <f>+(S25-T25)*V25-'data 1'!$F$4</f>
        <v>41.253</v>
      </c>
      <c r="AD25" s="145">
        <f t="shared" si="5"/>
        <v>-2.6062856710041884</v>
      </c>
      <c r="AE25" s="145">
        <f>+(Y25*V25-'data 2'!$B$2)+V25*(Z25-IF(D25="UNTUCA",IF(+((W25-3)*2.5+(X25-3)*3.1)&gt;0,+((W25-3)*1.5+(X25-3)*3.1),0),IF(+((W25-3)*1.5+(X25-3)*3.1)&gt;0,+((W25-3)*1.5+(X25-3)*3.1),0)))</f>
        <v>-56.930999999999997</v>
      </c>
      <c r="AF25" s="145">
        <f t="shared" si="6"/>
        <v>35.876516256676702</v>
      </c>
      <c r="AG25" s="145">
        <f t="shared" si="14"/>
        <v>17.592230585672517</v>
      </c>
      <c r="AH25" s="145">
        <f t="shared" si="8"/>
        <v>74.81772137678027</v>
      </c>
      <c r="AI25" s="137">
        <f t="shared" si="9"/>
        <v>63.244861635161961</v>
      </c>
      <c r="AJ25" s="137">
        <f t="shared" si="10"/>
        <v>70.52744525313679</v>
      </c>
      <c r="AK25" s="88">
        <f t="shared" si="11"/>
        <v>4.2902761236434799</v>
      </c>
      <c r="AL25" s="57"/>
      <c r="AM25" s="57"/>
      <c r="AP25" s="57">
        <f t="shared" si="12"/>
        <v>3317.9354421215226</v>
      </c>
    </row>
    <row r="26" spans="1:42" ht="15.75" customHeight="1">
      <c r="A26" s="134" t="s">
        <v>431</v>
      </c>
      <c r="B26" s="136"/>
      <c r="C26" s="136">
        <v>45494</v>
      </c>
      <c r="D26" s="79" t="s">
        <v>93</v>
      </c>
      <c r="E26" s="176"/>
      <c r="F26" s="6" t="s">
        <v>237</v>
      </c>
      <c r="G26" s="90">
        <v>89</v>
      </c>
      <c r="H26" s="90"/>
      <c r="I26" s="82">
        <v>7.76</v>
      </c>
      <c r="J26" s="137">
        <v>1</v>
      </c>
      <c r="K26" s="138">
        <f t="shared" si="0"/>
        <v>7.6823999999999995</v>
      </c>
      <c r="L26" s="240">
        <v>0.92</v>
      </c>
      <c r="M26" s="139">
        <v>0.88300000000000001</v>
      </c>
      <c r="N26" s="249">
        <v>0.88300000000000001</v>
      </c>
      <c r="O26" s="141">
        <f t="shared" si="1"/>
        <v>0.88300000000000001</v>
      </c>
      <c r="P26" s="142">
        <v>90</v>
      </c>
      <c r="Q26" s="142">
        <v>89.42</v>
      </c>
      <c r="R26" s="57">
        <v>2400.8200000000002</v>
      </c>
      <c r="S26" s="80">
        <v>160</v>
      </c>
      <c r="U26" s="142">
        <v>130</v>
      </c>
      <c r="V26" s="142">
        <v>1.1023000000000001</v>
      </c>
      <c r="W26" s="137">
        <v>5</v>
      </c>
      <c r="X26" s="137">
        <v>6.8</v>
      </c>
      <c r="Y26" s="79">
        <v>30</v>
      </c>
      <c r="Z26" s="143">
        <f t="shared" si="13"/>
        <v>30</v>
      </c>
      <c r="AA26" s="144">
        <f t="shared" si="3"/>
        <v>60</v>
      </c>
      <c r="AB26" s="145">
        <f t="shared" si="4"/>
        <v>1746.7273469042004</v>
      </c>
      <c r="AC26" s="145">
        <f>+(S26-T26)*V26-'data 1'!$F$4</f>
        <v>96.367999999999995</v>
      </c>
      <c r="AD26" s="145">
        <f t="shared" si="5"/>
        <v>-13.356674391695963</v>
      </c>
      <c r="AE26" s="145">
        <f>+(Y26*V26-'data 2'!$B$2)+V26*(Z26-IF(D26="UNTUCA",IF(+((W26-3)*2.5+(X26-3)*3.1)&gt;0,+((W26-3)*1.5+(X26-3)*3.1),0),IF(+((W26-3)*1.5+(X26-3)*3.1)&gt;0,+((W26-3)*1.5+(X26-3)*3.1),0)))</f>
        <v>-40.153993999999997</v>
      </c>
      <c r="AF26" s="145">
        <f t="shared" si="6"/>
        <v>82.816888103264489</v>
      </c>
      <c r="AG26" s="145">
        <f t="shared" si="14"/>
        <v>125.67421971156853</v>
      </c>
      <c r="AH26" s="145">
        <f t="shared" si="8"/>
        <v>216.68481521693619</v>
      </c>
      <c r="AI26" s="137">
        <f t="shared" si="9"/>
        <v>222.87884073521582</v>
      </c>
      <c r="AJ26" s="137">
        <f t="shared" si="10"/>
        <v>209.31926357893281</v>
      </c>
      <c r="AK26" s="88">
        <f t="shared" si="11"/>
        <v>7.3655516380033816</v>
      </c>
      <c r="AL26" s="57"/>
      <c r="AM26" s="57"/>
      <c r="AP26" s="57">
        <f t="shared" si="12"/>
        <v>13419.058169856828</v>
      </c>
    </row>
    <row r="27" spans="1:42" ht="15.75" customHeight="1">
      <c r="A27" s="134" t="s">
        <v>432</v>
      </c>
      <c r="B27" s="136"/>
      <c r="C27" s="136">
        <v>45494</v>
      </c>
      <c r="D27" s="79" t="s">
        <v>93</v>
      </c>
      <c r="E27" s="176"/>
      <c r="F27" s="6" t="s">
        <v>237</v>
      </c>
      <c r="G27" s="90">
        <v>90</v>
      </c>
      <c r="H27" s="90"/>
      <c r="I27" s="82">
        <v>8.65</v>
      </c>
      <c r="J27" s="137">
        <v>1.2</v>
      </c>
      <c r="K27" s="138">
        <f t="shared" si="0"/>
        <v>8.5462000000000007</v>
      </c>
      <c r="L27" s="240">
        <v>0.90800000000000003</v>
      </c>
      <c r="M27" s="139">
        <v>0.872</v>
      </c>
      <c r="N27" s="249">
        <v>0.872</v>
      </c>
      <c r="O27" s="141">
        <f t="shared" si="1"/>
        <v>0.872</v>
      </c>
      <c r="P27" s="142">
        <v>90</v>
      </c>
      <c r="Q27" s="142">
        <v>89.45</v>
      </c>
      <c r="R27" s="57">
        <v>2400.8200000000002</v>
      </c>
      <c r="S27" s="80">
        <v>160</v>
      </c>
      <c r="U27" s="142">
        <v>130</v>
      </c>
      <c r="V27" s="142">
        <v>1.1023000000000001</v>
      </c>
      <c r="W27" s="137">
        <v>5</v>
      </c>
      <c r="X27" s="137">
        <v>6.8</v>
      </c>
      <c r="Y27" s="79">
        <v>30</v>
      </c>
      <c r="Z27" s="143">
        <f t="shared" si="13"/>
        <v>30</v>
      </c>
      <c r="AA27" s="144">
        <f t="shared" si="3"/>
        <v>60</v>
      </c>
      <c r="AB27" s="145">
        <f t="shared" si="4"/>
        <v>1721.9464105328002</v>
      </c>
      <c r="AC27" s="145">
        <f>+(S27-T27)*V27-'data 1'!$F$4</f>
        <v>96.367999999999995</v>
      </c>
      <c r="AD27" s="145">
        <f t="shared" si="5"/>
        <v>-12.500605680683936</v>
      </c>
      <c r="AE27" s="145">
        <f>+(Y27*V27-'data 2'!$B$2)+V27*(Z27-IF(D27="UNTUCA",IF(+((W27-3)*2.5+(X27-3)*3.1)&gt;0,+((W27-3)*1.5+(X27-3)*3.1),0),IF(+((W27-3)*1.5+(X27-3)*3.1)&gt;0,+((W27-3)*1.5+(X27-3)*3.1),0)))</f>
        <v>-40.153993999999997</v>
      </c>
      <c r="AF27" s="145">
        <f t="shared" si="6"/>
        <v>80.605627578972076</v>
      </c>
      <c r="AG27" s="145">
        <f t="shared" si="14"/>
        <v>124.31902789828814</v>
      </c>
      <c r="AH27" s="145">
        <f t="shared" si="8"/>
        <v>237.98430409793366</v>
      </c>
      <c r="AI27" s="137">
        <f t="shared" si="9"/>
        <v>220.04552492656381</v>
      </c>
      <c r="AJ27" s="137">
        <f t="shared" si="10"/>
        <v>229.95407797536379</v>
      </c>
      <c r="AK27" s="88">
        <f t="shared" si="11"/>
        <v>8.0302261225698714</v>
      </c>
      <c r="AL27" s="57"/>
      <c r="AM27" s="57"/>
      <c r="AP27" s="57">
        <f t="shared" si="12"/>
        <v>14716.098413695418</v>
      </c>
    </row>
    <row r="28" spans="1:42" ht="15.75" customHeight="1">
      <c r="A28" s="134" t="s">
        <v>433</v>
      </c>
      <c r="B28" s="136"/>
      <c r="C28" s="136">
        <v>45494</v>
      </c>
      <c r="D28" s="79" t="s">
        <v>93</v>
      </c>
      <c r="E28" s="176"/>
      <c r="F28" s="6" t="s">
        <v>237</v>
      </c>
      <c r="G28" s="90">
        <v>90</v>
      </c>
      <c r="H28" s="90"/>
      <c r="I28" s="82">
        <v>8.4</v>
      </c>
      <c r="J28" s="137">
        <v>1</v>
      </c>
      <c r="K28" s="138">
        <f t="shared" si="0"/>
        <v>8.3160000000000007</v>
      </c>
      <c r="L28" s="240">
        <v>1.01</v>
      </c>
      <c r="M28" s="139">
        <v>0.96</v>
      </c>
      <c r="N28" s="159">
        <v>0.96</v>
      </c>
      <c r="O28" s="141">
        <f t="shared" si="1"/>
        <v>0.96</v>
      </c>
      <c r="P28" s="142">
        <v>90</v>
      </c>
      <c r="Q28" s="142">
        <v>89.36</v>
      </c>
      <c r="R28" s="57">
        <v>2400.8200000000002</v>
      </c>
      <c r="S28" s="80">
        <v>160</v>
      </c>
      <c r="U28" s="142">
        <v>130</v>
      </c>
      <c r="V28" s="142">
        <v>1.1023000000000001</v>
      </c>
      <c r="W28" s="137">
        <v>5</v>
      </c>
      <c r="X28" s="137">
        <v>6.8</v>
      </c>
      <c r="Y28" s="79">
        <v>30</v>
      </c>
      <c r="Z28" s="143">
        <f t="shared" si="13"/>
        <v>30</v>
      </c>
      <c r="AA28" s="144">
        <f t="shared" si="3"/>
        <v>60</v>
      </c>
      <c r="AB28" s="145">
        <f t="shared" si="4"/>
        <v>1920.193901504</v>
      </c>
      <c r="AC28" s="145">
        <f>+(S28-T28)*V28-'data 1'!$F$4</f>
        <v>96.367999999999995</v>
      </c>
      <c r="AD28" s="145">
        <f t="shared" si="5"/>
        <v>-16.180199263104015</v>
      </c>
      <c r="AE28" s="145">
        <f>+(Y28*V28-'data 2'!$B$2)+V28*(Z28-IF(D28="UNTUCA",IF(+((W28-3)*2.5+(X28-3)*3.1)&gt;0,+((W28-3)*1.5+(X28-3)*3.1),0),IF(+((W28-3)*1.5+(X28-3)*3.1)&gt;0,+((W28-3)*1.5+(X28-3)*3.1),0)))</f>
        <v>-40.153993999999997</v>
      </c>
      <c r="AF28" s="145">
        <f t="shared" si="6"/>
        <v>111.83961990648011</v>
      </c>
      <c r="AG28" s="145">
        <f t="shared" si="14"/>
        <v>151.87342664337609</v>
      </c>
      <c r="AH28" s="145">
        <f t="shared" si="8"/>
        <v>257.32861576131239</v>
      </c>
      <c r="AI28" s="137">
        <f t="shared" si="9"/>
        <v>244.51802607358374</v>
      </c>
      <c r="AJ28" s="137">
        <f t="shared" si="10"/>
        <v>246.34133598856323</v>
      </c>
      <c r="AK28" s="88">
        <f t="shared" si="11"/>
        <v>10.987279772749162</v>
      </c>
      <c r="AL28" s="57"/>
      <c r="AM28" s="57"/>
      <c r="AP28" s="57">
        <f t="shared" si="12"/>
        <v>15968.332484907265</v>
      </c>
    </row>
    <row r="29" spans="1:42" ht="15.75" customHeight="1">
      <c r="A29" s="134" t="s">
        <v>434</v>
      </c>
      <c r="B29" s="136">
        <v>45498</v>
      </c>
      <c r="C29" s="136">
        <v>45494</v>
      </c>
      <c r="D29" s="79" t="s">
        <v>106</v>
      </c>
      <c r="E29" s="176"/>
      <c r="F29" s="6" t="s">
        <v>435</v>
      </c>
      <c r="G29" s="90">
        <v>78</v>
      </c>
      <c r="H29" s="90"/>
      <c r="I29" s="82">
        <v>6.65</v>
      </c>
      <c r="J29" s="137">
        <v>24</v>
      </c>
      <c r="K29" s="138">
        <f t="shared" si="0"/>
        <v>5.0540000000000003</v>
      </c>
      <c r="L29" s="240">
        <v>1.135</v>
      </c>
      <c r="M29" s="139">
        <v>1.0900000000000001</v>
      </c>
      <c r="N29" s="248">
        <v>1.1719999999999999</v>
      </c>
      <c r="O29" s="141">
        <f t="shared" si="1"/>
        <v>1.131</v>
      </c>
      <c r="P29" s="142">
        <v>90</v>
      </c>
      <c r="Q29" s="142">
        <v>89.61</v>
      </c>
      <c r="R29" s="57">
        <v>2400.8200000000002</v>
      </c>
      <c r="S29" s="80">
        <v>190</v>
      </c>
      <c r="U29" s="142">
        <v>130</v>
      </c>
      <c r="V29" s="142">
        <v>1.1023000000000001</v>
      </c>
      <c r="W29" s="137">
        <v>5</v>
      </c>
      <c r="X29" s="137">
        <v>7</v>
      </c>
      <c r="Z29" s="143">
        <f t="shared" si="13"/>
        <v>30</v>
      </c>
      <c r="AA29" s="144">
        <f t="shared" si="3"/>
        <v>30</v>
      </c>
      <c r="AB29" s="145">
        <f t="shared" si="4"/>
        <v>2305.4248214594004</v>
      </c>
      <c r="AC29" s="145">
        <f>+(S29-T29)*V29-'data 1'!$F$4</f>
        <v>129.43700000000001</v>
      </c>
      <c r="AD29" s="145">
        <f t="shared" si="5"/>
        <v>-11.080082307879017</v>
      </c>
      <c r="AE29" s="145">
        <f>+(Y29*V29-'data 2'!$B$2)+V29*(Z29-IF(D29="UNTUCA",IF(+((W29-3)*2.5+(X29-3)*3.1)&gt;0,+((W29-3)*1.5+(X29-3)*3.1),0),IF(+((W29-3)*1.5+(X29-3)*3.1)&gt;0,+((W29-3)*1.5+(X29-3)*3.1),0)))</f>
        <v>-73.906419999999997</v>
      </c>
      <c r="AF29" s="145">
        <f t="shared" si="6"/>
        <v>8.9722008413784096</v>
      </c>
      <c r="AG29" s="145">
        <f t="shared" si="14"/>
        <v>53.4226985334994</v>
      </c>
      <c r="AH29" s="145">
        <f t="shared" si="8"/>
        <v>176.23681913399349</v>
      </c>
      <c r="AI29" s="137">
        <f t="shared" si="9"/>
        <v>275.54890286010874</v>
      </c>
      <c r="AJ29" s="137">
        <f t="shared" si="10"/>
        <v>176.38003369126415</v>
      </c>
      <c r="AK29" s="88">
        <f t="shared" si="11"/>
        <v>-0.14321455727065313</v>
      </c>
      <c r="AL29" s="57"/>
      <c r="AM29" s="57"/>
      <c r="AP29" s="57"/>
    </row>
    <row r="30" spans="1:42" ht="15.75" customHeight="1">
      <c r="A30" s="134" t="s">
        <v>436</v>
      </c>
      <c r="B30" s="136"/>
      <c r="C30" s="136">
        <v>45494</v>
      </c>
      <c r="D30" s="79" t="s">
        <v>93</v>
      </c>
      <c r="E30" s="176"/>
      <c r="F30" s="6" t="s">
        <v>237</v>
      </c>
      <c r="G30" s="90">
        <v>73</v>
      </c>
      <c r="H30" s="90"/>
      <c r="I30" s="82">
        <v>5.45</v>
      </c>
      <c r="J30" s="137">
        <v>19</v>
      </c>
      <c r="K30" s="138">
        <f t="shared" si="0"/>
        <v>4.4145000000000003</v>
      </c>
      <c r="L30" s="240">
        <v>1.232</v>
      </c>
      <c r="M30" s="139">
        <v>1.1819999999999999</v>
      </c>
      <c r="N30" s="249">
        <v>1.1819999999999999</v>
      </c>
      <c r="O30" s="141">
        <f t="shared" si="1"/>
        <v>1.1819999999999999</v>
      </c>
      <c r="P30" s="142">
        <v>90</v>
      </c>
      <c r="Q30" s="142">
        <v>89.04</v>
      </c>
      <c r="R30" s="57">
        <v>2400.8200000000002</v>
      </c>
      <c r="S30" s="80">
        <v>190</v>
      </c>
      <c r="U30" s="142">
        <v>130</v>
      </c>
      <c r="V30" s="142">
        <v>1.1023000000000001</v>
      </c>
      <c r="W30" s="137">
        <v>5</v>
      </c>
      <c r="X30" s="137">
        <v>6</v>
      </c>
      <c r="Y30" s="79">
        <v>30</v>
      </c>
      <c r="Z30" s="143">
        <f t="shared" si="13"/>
        <v>30</v>
      </c>
      <c r="AA30" s="144">
        <f t="shared" si="3"/>
        <v>60</v>
      </c>
      <c r="AB30" s="145">
        <f t="shared" si="4"/>
        <v>2387.2492537267999</v>
      </c>
      <c r="AC30" s="145">
        <f>+(S30-T30)*V30-'data 1'!$F$4</f>
        <v>129.43700000000001</v>
      </c>
      <c r="AD30" s="145">
        <f t="shared" si="5"/>
        <v>-29.604958651699011</v>
      </c>
      <c r="AE30" s="145">
        <f>+(Y30*V30-'data 2'!$B$2)+V30*(Z30-IF(D30="UNTUCA",IF(+((W30-3)*2.5+(X30-3)*3.1)&gt;0,+((W30-3)*1.5+(X30-3)*3.1),0),IF(+((W30-3)*1.5+(X30-3)*3.1)&gt;0,+((W30-3)*1.5+(X30-3)*3.1),0)))</f>
        <v>-37.420289999999994</v>
      </c>
      <c r="AF30" s="145">
        <f t="shared" si="6"/>
        <v>111.4391199247201</v>
      </c>
      <c r="AG30" s="145">
        <f t="shared" si="14"/>
        <v>173.85087127302111</v>
      </c>
      <c r="AH30" s="145">
        <f t="shared" si="8"/>
        <v>166.0299547673585</v>
      </c>
      <c r="AI30" s="137">
        <f t="shared" si="9"/>
        <v>297.19548440440292</v>
      </c>
      <c r="AJ30" s="137">
        <f t="shared" si="10"/>
        <v>161.00915709260605</v>
      </c>
      <c r="AK30" s="88">
        <f t="shared" si="11"/>
        <v>5.0207976747524583</v>
      </c>
      <c r="AL30" s="57"/>
      <c r="AM30" s="57"/>
      <c r="AP30" s="57">
        <f t="shared" ref="AP30:AP40" si="15">+AB30*K30</f>
        <v>10538.511830576959</v>
      </c>
    </row>
    <row r="31" spans="1:42" ht="15.75" customHeight="1">
      <c r="A31" s="134" t="s">
        <v>437</v>
      </c>
      <c r="B31" s="136"/>
      <c r="C31" s="136">
        <v>45494</v>
      </c>
      <c r="D31" s="79" t="s">
        <v>93</v>
      </c>
      <c r="E31" s="176"/>
      <c r="F31" s="6" t="s">
        <v>172</v>
      </c>
      <c r="G31" s="90">
        <v>17</v>
      </c>
      <c r="H31" s="90"/>
      <c r="I31" s="82">
        <v>1.45</v>
      </c>
      <c r="J31" s="137">
        <v>1.1000000000000001</v>
      </c>
      <c r="K31" s="138">
        <f t="shared" si="0"/>
        <v>1.43405</v>
      </c>
      <c r="L31" s="240">
        <v>0.27900000000000003</v>
      </c>
      <c r="M31" s="139">
        <v>0.27900000000000003</v>
      </c>
      <c r="N31" s="249">
        <v>0.27900000000000003</v>
      </c>
      <c r="O31" s="141">
        <f t="shared" si="1"/>
        <v>0.27900000000000003</v>
      </c>
      <c r="P31" s="142">
        <v>90</v>
      </c>
      <c r="Q31" s="142">
        <v>89.65</v>
      </c>
      <c r="R31" s="57">
        <v>2400.8200000000002</v>
      </c>
      <c r="S31" s="80">
        <v>110</v>
      </c>
      <c r="U31" s="142">
        <v>130</v>
      </c>
      <c r="V31" s="142">
        <v>1.1023000000000001</v>
      </c>
      <c r="W31" s="137">
        <v>5</v>
      </c>
      <c r="X31" s="137">
        <v>6.6</v>
      </c>
      <c r="Y31" s="79">
        <v>30</v>
      </c>
      <c r="Z31" s="143">
        <f t="shared" si="13"/>
        <v>30</v>
      </c>
      <c r="AA31" s="144">
        <f t="shared" si="3"/>
        <v>60</v>
      </c>
      <c r="AB31" s="145">
        <f t="shared" si="4"/>
        <v>441.14365887460013</v>
      </c>
      <c r="AC31" s="145">
        <f>+(S31-T31)*V31-'data 1'!$F$4</f>
        <v>41.253</v>
      </c>
      <c r="AD31" s="145">
        <f t="shared" si="5"/>
        <v>-2.4443014511789611</v>
      </c>
      <c r="AE31" s="145">
        <f>+(Y31*V31-'data 2'!$B$2)+V31*(Z31-IF(D31="UNTUCA",IF(+((W31-3)*2.5+(X31-3)*3.1)&gt;0,+((W31-3)*1.5+(X31-3)*3.1),0),IF(+((W31-3)*1.5+(X31-3)*3.1)&gt;0,+((W31-3)*1.5+(X31-3)*3.1),0)))</f>
        <v>-39.470567999999993</v>
      </c>
      <c r="AF31" s="145">
        <f t="shared" si="6"/>
        <v>0</v>
      </c>
      <c r="AG31" s="145">
        <f t="shared" si="14"/>
        <v>-0.66186945117895135</v>
      </c>
      <c r="AH31" s="145">
        <f t="shared" si="8"/>
        <v>12.297812302926168</v>
      </c>
      <c r="AI31" s="137">
        <f t="shared" si="9"/>
        <v>67.764282526808941</v>
      </c>
      <c r="AJ31" s="137">
        <f t="shared" si="10"/>
        <v>12.345823840082041</v>
      </c>
      <c r="AK31" s="88">
        <f t="shared" si="11"/>
        <v>-4.8011537155872475E-2</v>
      </c>
      <c r="AL31" s="57"/>
      <c r="AM31" s="57"/>
      <c r="AP31" s="57">
        <f t="shared" si="15"/>
        <v>632.62206400912032</v>
      </c>
    </row>
    <row r="32" spans="1:42" ht="15.75" customHeight="1">
      <c r="A32" s="134" t="s">
        <v>438</v>
      </c>
      <c r="B32" s="136"/>
      <c r="C32" s="136">
        <v>45494</v>
      </c>
      <c r="D32" s="79" t="s">
        <v>93</v>
      </c>
      <c r="E32" s="176"/>
      <c r="F32" s="6" t="s">
        <v>172</v>
      </c>
      <c r="G32" s="90">
        <v>17</v>
      </c>
      <c r="H32" s="90"/>
      <c r="I32" s="82">
        <v>1.49</v>
      </c>
      <c r="J32" s="137">
        <v>1.2</v>
      </c>
      <c r="K32" s="138">
        <f t="shared" si="0"/>
        <v>1.4721200000000001</v>
      </c>
      <c r="L32" s="240">
        <v>0.33600000000000002</v>
      </c>
      <c r="M32" s="80">
        <v>0.29899999999999999</v>
      </c>
      <c r="N32" s="249">
        <v>0.29899999999999999</v>
      </c>
      <c r="O32" s="141">
        <f t="shared" si="1"/>
        <v>0.29899999999999999</v>
      </c>
      <c r="P32" s="142">
        <v>90</v>
      </c>
      <c r="Q32" s="142">
        <v>89.03</v>
      </c>
      <c r="R32" s="57">
        <v>2400.8200000000002</v>
      </c>
      <c r="S32" s="80">
        <v>110</v>
      </c>
      <c r="U32" s="142">
        <v>130</v>
      </c>
      <c r="V32" s="142">
        <v>1.1023000000000001</v>
      </c>
      <c r="W32" s="137">
        <v>5</v>
      </c>
      <c r="X32" s="137">
        <v>6.6</v>
      </c>
      <c r="Y32" s="79">
        <v>30</v>
      </c>
      <c r="Z32" s="143">
        <f t="shared" si="13"/>
        <v>30</v>
      </c>
      <c r="AA32" s="144">
        <f t="shared" si="3"/>
        <v>60</v>
      </c>
      <c r="AB32" s="145">
        <f t="shared" si="4"/>
        <v>486.19990682260004</v>
      </c>
      <c r="AC32" s="145">
        <f>+(S32-T32)*V32-'data 1'!$F$4</f>
        <v>41.253</v>
      </c>
      <c r="AD32" s="145">
        <f t="shared" si="5"/>
        <v>-8.1581846284511919</v>
      </c>
      <c r="AE32" s="145">
        <f>+(Y32*V32-'data 2'!$B$2)+V32*(Z32-IF(D32="UNTUCA",IF(+((W32-3)*2.5+(X32-3)*3.1)&gt;0,+((W32-3)*1.5+(X32-3)*3.1),0),IF(+((W32-3)*1.5+(X32-3)*3.1)&gt;0,+((W32-3)*1.5+(X32-3)*3.1),0)))</f>
        <v>-39.470567999999993</v>
      </c>
      <c r="AF32" s="145">
        <f t="shared" si="6"/>
        <v>82.455687182214675</v>
      </c>
      <c r="AG32" s="145">
        <f t="shared" si="14"/>
        <v>76.079934553763479</v>
      </c>
      <c r="AH32" s="145">
        <f t="shared" si="8"/>
        <v>15.098295917921867</v>
      </c>
      <c r="AI32" s="137">
        <f t="shared" si="9"/>
        <v>81.044210905795126</v>
      </c>
      <c r="AJ32" s="137">
        <f t="shared" si="10"/>
        <v>13.582070488254274</v>
      </c>
      <c r="AK32" s="88">
        <f t="shared" si="11"/>
        <v>1.5162254296675926</v>
      </c>
      <c r="AL32" s="57"/>
      <c r="AM32" s="57"/>
      <c r="AP32" s="57">
        <f t="shared" si="15"/>
        <v>715.74460683168604</v>
      </c>
    </row>
    <row r="33" spans="1:46" ht="15.75" customHeight="1">
      <c r="A33" s="134" t="s">
        <v>439</v>
      </c>
      <c r="B33" s="135">
        <v>45497</v>
      </c>
      <c r="C33" s="135">
        <v>45495</v>
      </c>
      <c r="D33" s="142" t="s">
        <v>440</v>
      </c>
      <c r="E33" s="176"/>
      <c r="F33" s="142" t="s">
        <v>441</v>
      </c>
      <c r="G33" s="177">
        <v>150</v>
      </c>
      <c r="H33" s="177" t="s">
        <v>69</v>
      </c>
      <c r="I33" s="138">
        <v>11.62</v>
      </c>
      <c r="J33" s="143">
        <v>13.5</v>
      </c>
      <c r="K33" s="138">
        <f t="shared" si="0"/>
        <v>10.051299999999999</v>
      </c>
      <c r="L33" s="170">
        <v>0.21</v>
      </c>
      <c r="M33" s="132">
        <v>0.19700000000000001</v>
      </c>
      <c r="N33" s="178">
        <v>0.217</v>
      </c>
      <c r="O33" s="141">
        <f t="shared" si="1"/>
        <v>0.20699999999999999</v>
      </c>
      <c r="P33" s="142">
        <v>90</v>
      </c>
      <c r="Q33" s="142">
        <v>89.88</v>
      </c>
      <c r="R33" s="144">
        <v>2400.8200000000002</v>
      </c>
      <c r="S33" s="132">
        <v>110</v>
      </c>
      <c r="T33" s="142"/>
      <c r="U33" s="142">
        <v>110</v>
      </c>
      <c r="V33" s="142">
        <v>1.1023000000000001</v>
      </c>
      <c r="W33" s="143">
        <v>5</v>
      </c>
      <c r="X33" s="143">
        <v>10.5</v>
      </c>
      <c r="Y33" s="142"/>
      <c r="Z33" s="143">
        <f>IF(IF(D33="UNTUCA",IF(+((W33-3)*1.5+(X33-3)*3.1)&gt;0,+((W33-3)*1.5+(X33-3)*3.1),0),IF(+((W33-3)*1.5+(X33-3)*3.1)&gt;0,+((W33-3)*1.5+(X33-3)*3.1),0))&lt;30,30,IF(D33="UNTUCA",IF(+((W33-3)*1.5+(X33-3)*3.1)&gt;0,+((W33-3)*1.5+(X33-3)*3.1),0),IF(+((W33-3)*1.5+(X33-3)*3.1)&gt;0,+((W33-3)*1.5+(X33-3)*3.1),0)))+1</f>
        <v>31</v>
      </c>
      <c r="AA33" s="144">
        <f t="shared" si="3"/>
        <v>31</v>
      </c>
      <c r="AB33" s="145">
        <f t="shared" si="4"/>
        <v>315.0150360618</v>
      </c>
      <c r="AC33" s="145">
        <f>+(S33-T33)*V33-'data 1'!$F$4</f>
        <v>41.253</v>
      </c>
      <c r="AD33" s="145">
        <f t="shared" si="5"/>
        <v>-0.63634306327202417</v>
      </c>
      <c r="AE33" s="145">
        <f>+(Y33*V33-'data 2'!$B$2)+V33*(Z33-IF(D33="UNTUCA",IF(+((W33-3)*2.5+(X33-3)*3.1)&gt;0,+((W33-3)*1.5+(X33-3)*3.1),0),IF(+((W33-3)*1.5+(X33-3)*3.1)&gt;0,+((W33-3)*1.5+(X33-3)*3.1),0)))</f>
        <v>-84.764075000000005</v>
      </c>
      <c r="AF33" s="145">
        <f t="shared" si="6"/>
        <v>6.8088707770104069</v>
      </c>
      <c r="AG33" s="145">
        <f t="shared" si="14"/>
        <v>-37.338547286261623</v>
      </c>
      <c r="AH33" s="145">
        <f t="shared" si="8"/>
        <v>65.044961845747807</v>
      </c>
      <c r="AI33" s="143">
        <f t="shared" si="9"/>
        <v>46.975091487911953</v>
      </c>
      <c r="AJ33" s="143">
        <f t="shared" si="10"/>
        <v>64.201349904967586</v>
      </c>
      <c r="AK33" s="133">
        <f t="shared" si="11"/>
        <v>0.84361194078022095</v>
      </c>
      <c r="AL33" s="144"/>
      <c r="AM33" s="144"/>
      <c r="AN33" s="142"/>
      <c r="AO33" s="142"/>
      <c r="AP33" s="57">
        <f t="shared" si="15"/>
        <v>3166.31063196797</v>
      </c>
      <c r="AQ33" s="142"/>
      <c r="AR33" s="142"/>
      <c r="AS33" s="142"/>
      <c r="AT33" s="142"/>
    </row>
    <row r="34" spans="1:46" ht="15.75" customHeight="1">
      <c r="A34" s="134" t="s">
        <v>442</v>
      </c>
      <c r="B34" s="135">
        <v>45497</v>
      </c>
      <c r="C34" s="135">
        <v>45495</v>
      </c>
      <c r="D34" s="142" t="s">
        <v>440</v>
      </c>
      <c r="E34" s="176"/>
      <c r="F34" s="142" t="s">
        <v>441</v>
      </c>
      <c r="G34" s="177" t="s">
        <v>68</v>
      </c>
      <c r="H34" s="177" t="s">
        <v>69</v>
      </c>
      <c r="I34" s="138">
        <v>17.149999999999999</v>
      </c>
      <c r="J34" s="143">
        <v>15.5</v>
      </c>
      <c r="K34" s="138">
        <f t="shared" si="0"/>
        <v>14.49175</v>
      </c>
      <c r="L34" s="170">
        <v>0.28899999999999998</v>
      </c>
      <c r="M34" s="132">
        <v>0.26600000000000001</v>
      </c>
      <c r="N34" s="178">
        <v>0.32100000000000001</v>
      </c>
      <c r="O34" s="141">
        <f t="shared" si="1"/>
        <v>0.29399999999999998</v>
      </c>
      <c r="P34" s="142">
        <v>90</v>
      </c>
      <c r="Q34" s="142">
        <v>89.86</v>
      </c>
      <c r="R34" s="144">
        <v>2400.8200000000002</v>
      </c>
      <c r="S34" s="132">
        <v>110</v>
      </c>
      <c r="T34" s="142"/>
      <c r="U34" s="142">
        <v>110</v>
      </c>
      <c r="V34" s="142">
        <v>1.1023000000000001</v>
      </c>
      <c r="W34" s="143">
        <v>5</v>
      </c>
      <c r="X34" s="143">
        <v>9.5</v>
      </c>
      <c r="Y34" s="142"/>
      <c r="Z34" s="143">
        <f>IF(IF(D34="UNTUCA",IF(+((W34-3)*1.5+(X34-3)*3.1)&gt;0,+((W34-3)*1.5+(X34-3)*3.1),0),IF(+((W34-3)*1.5+(X34-3)*3.1)&gt;0,+((W34-3)*1.5+(X34-3)*3.1),0))&lt;30,30,IF(D34="UNTUCA",IF(+((W34-3)*1.5+(X34-3)*3.1)&gt;0,+((W34-3)*1.5+(X34-3)*3.1),0),IF(+((W34-3)*1.5+(X34-3)*3.1)&gt;0,+((W34-3)*1.5+(X34-3)*3.1),0)))+1</f>
        <v>31</v>
      </c>
      <c r="AA34" s="144">
        <f t="shared" si="3"/>
        <v>31</v>
      </c>
      <c r="AB34" s="145">
        <f t="shared" si="4"/>
        <v>512.73591643559996</v>
      </c>
      <c r="AC34" s="145">
        <f>+(S34-T34)*V34-'data 1'!$F$4</f>
        <v>41.253</v>
      </c>
      <c r="AD34" s="145">
        <f t="shared" si="5"/>
        <v>-1.0216841404756041</v>
      </c>
      <c r="AE34" s="145">
        <f>+(Y34*V34-'data 2'!$B$2)+V34*(Z34-IF(D34="UNTUCA",IF(+((W34-3)*2.5+(X34-3)*3.1)&gt;0,+((W34-3)*1.5+(X34-3)*3.1),0),IF(+((W34-3)*1.5+(X34-3)*3.1)&gt;0,+((W34-3)*1.5+(X34-3)*3.1),0)))</f>
        <v>-81.346945000000005</v>
      </c>
      <c r="AF34" s="145">
        <f t="shared" si="6"/>
        <v>-11.345592790798012</v>
      </c>
      <c r="AG34" s="145">
        <f t="shared" si="14"/>
        <v>-52.461221931273627</v>
      </c>
      <c r="AH34" s="145">
        <f t="shared" si="8"/>
        <v>129.0310286751982</v>
      </c>
      <c r="AI34" s="143">
        <f t="shared" si="9"/>
        <v>64.632288416247533</v>
      </c>
      <c r="AJ34" s="143">
        <f t="shared" si="10"/>
        <v>131.46790504359126</v>
      </c>
      <c r="AK34" s="133">
        <f t="shared" si="11"/>
        <v>-2.4368763683930581</v>
      </c>
      <c r="AL34" s="144"/>
      <c r="AM34" s="144"/>
      <c r="AN34" s="142"/>
      <c r="AO34" s="142"/>
      <c r="AP34" s="57">
        <f t="shared" si="15"/>
        <v>7430.4407170056056</v>
      </c>
      <c r="AQ34" s="142"/>
      <c r="AR34" s="142"/>
      <c r="AS34" s="142"/>
      <c r="AT34" s="142"/>
    </row>
    <row r="35" spans="1:46" ht="15.75" customHeight="1">
      <c r="A35" s="134" t="s">
        <v>443</v>
      </c>
      <c r="B35" s="135">
        <v>45497</v>
      </c>
      <c r="C35" s="135">
        <v>45495</v>
      </c>
      <c r="D35" s="142" t="s">
        <v>440</v>
      </c>
      <c r="E35" s="176"/>
      <c r="F35" s="142" t="s">
        <v>441</v>
      </c>
      <c r="G35" s="177">
        <v>200</v>
      </c>
      <c r="H35" s="177" t="s">
        <v>69</v>
      </c>
      <c r="I35" s="138">
        <v>15.13</v>
      </c>
      <c r="J35" s="143">
        <v>16.5</v>
      </c>
      <c r="K35" s="138">
        <f t="shared" si="0"/>
        <v>12.63355</v>
      </c>
      <c r="L35" s="170">
        <v>0.39100000000000001</v>
      </c>
      <c r="M35" s="132">
        <v>0.313</v>
      </c>
      <c r="N35" s="178">
        <v>0.36399999999999999</v>
      </c>
      <c r="O35" s="141">
        <f t="shared" si="1"/>
        <v>0.33900000000000002</v>
      </c>
      <c r="P35" s="142">
        <v>90</v>
      </c>
      <c r="Q35" s="142">
        <v>89.53</v>
      </c>
      <c r="R35" s="144">
        <v>2400.8200000000002</v>
      </c>
      <c r="S35" s="132">
        <v>120</v>
      </c>
      <c r="T35" s="142"/>
      <c r="U35" s="142">
        <v>110</v>
      </c>
      <c r="V35" s="142">
        <v>1.1023000000000001</v>
      </c>
      <c r="W35" s="143">
        <v>5</v>
      </c>
      <c r="X35" s="143">
        <v>9.5</v>
      </c>
      <c r="Y35" s="142"/>
      <c r="Z35" s="143">
        <f>IF(IF(D35="UNTUCA",IF(+((W35-3)*1.5+(X35-3)*3.1)&gt;0,+((W35-3)*1.5+(X35-3)*3.1),0),IF(+((W35-3)*1.5+(X35-3)*3.1)&gt;0,+((W35-3)*1.5+(X35-3)*3.1),0))&lt;30,30,IF(D35="UNTUCA",IF(+((W35-3)*1.5+(X35-3)*3.1)&gt;0,+((W35-3)*1.5+(X35-3)*3.1),0),IF(+((W35-3)*1.5+(X35-3)*3.1)&gt;0,+((W35-3)*1.5+(X35-3)*3.1),0)))+1</f>
        <v>31</v>
      </c>
      <c r="AA35" s="144">
        <f t="shared" si="3"/>
        <v>31</v>
      </c>
      <c r="AB35" s="145">
        <f t="shared" si="4"/>
        <v>603.98233731860023</v>
      </c>
      <c r="AC35" s="145">
        <f>+(S35-T35)*V35-'data 1'!$F$4</f>
        <v>52.27600000000001</v>
      </c>
      <c r="AD35" s="145">
        <f t="shared" si="5"/>
        <v>-4.6405065372021896</v>
      </c>
      <c r="AE35" s="145">
        <f>+(Y35*V35-'data 2'!$B$2)+V35*(Z35-IF(D35="UNTUCA",IF(+((W35-3)*2.5+(X35-3)*3.1)&gt;0,+((W35-3)*1.5+(X35-3)*3.1),0),IF(+((W35-3)*1.5+(X35-3)*3.1)&gt;0,+((W35-3)*1.5+(X35-3)*3.1),0)))</f>
        <v>-81.346945000000005</v>
      </c>
      <c r="AF35" s="145">
        <f t="shared" si="6"/>
        <v>117.56084570026159</v>
      </c>
      <c r="AG35" s="145">
        <f t="shared" si="14"/>
        <v>83.849394163059401</v>
      </c>
      <c r="AH35" s="145">
        <f t="shared" si="8"/>
        <v>151.62814247570671</v>
      </c>
      <c r="AI35" s="143">
        <f t="shared" si="9"/>
        <v>87.122557955416127</v>
      </c>
      <c r="AJ35" s="143">
        <f t="shared" si="10"/>
        <v>132.15289469713855</v>
      </c>
      <c r="AK35" s="133">
        <f t="shared" si="11"/>
        <v>19.475247778568161</v>
      </c>
      <c r="AL35" s="144"/>
      <c r="AM35" s="144"/>
      <c r="AN35" s="142"/>
      <c r="AO35" s="142"/>
      <c r="AP35" s="57">
        <f t="shared" si="15"/>
        <v>7630.4410576314021</v>
      </c>
      <c r="AQ35" s="142"/>
      <c r="AR35" s="142"/>
      <c r="AS35" s="142"/>
      <c r="AT35" s="142"/>
    </row>
    <row r="36" spans="1:46" ht="15.75" customHeight="1">
      <c r="A36" s="134" t="s">
        <v>444</v>
      </c>
      <c r="B36" s="135">
        <v>45497</v>
      </c>
      <c r="C36" s="135">
        <v>45495</v>
      </c>
      <c r="D36" s="142" t="s">
        <v>440</v>
      </c>
      <c r="E36" s="176"/>
      <c r="F36" s="142" t="s">
        <v>441</v>
      </c>
      <c r="G36" s="177" t="s">
        <v>68</v>
      </c>
      <c r="H36" s="177" t="s">
        <v>69</v>
      </c>
      <c r="I36" s="138">
        <v>13.32</v>
      </c>
      <c r="J36" s="143">
        <v>8</v>
      </c>
      <c r="K36" s="138">
        <f t="shared" si="0"/>
        <v>12.2544</v>
      </c>
      <c r="L36" s="170">
        <v>0.30299999999999999</v>
      </c>
      <c r="M36" s="132">
        <v>0.27900000000000003</v>
      </c>
      <c r="N36" s="178">
        <v>0.309</v>
      </c>
      <c r="O36" s="141">
        <f t="shared" si="1"/>
        <v>0.29399999999999998</v>
      </c>
      <c r="P36" s="142">
        <v>90</v>
      </c>
      <c r="Q36" s="142">
        <v>89.38</v>
      </c>
      <c r="R36" s="144">
        <v>2400.8200000000002</v>
      </c>
      <c r="S36" s="132">
        <v>110</v>
      </c>
      <c r="T36" s="142"/>
      <c r="U36" s="142">
        <v>110</v>
      </c>
      <c r="V36" s="142">
        <v>1.1023000000000001</v>
      </c>
      <c r="W36" s="143">
        <v>5</v>
      </c>
      <c r="X36" s="143">
        <v>9.5</v>
      </c>
      <c r="Y36" s="142"/>
      <c r="Z36" s="143">
        <f>IF(IF(D36="UNTUCA",IF(+((W36-3)*1.5+(X36-3)*3.1)&gt;0,+((W36-3)*1.5+(X36-3)*3.1),0),IF(+((W36-3)*1.5+(X36-3)*3.1)&gt;0,+((W36-3)*1.5+(X36-3)*3.1),0))&lt;30,30,IF(D36="UNTUCA",IF(+((W36-3)*1.5+(X36-3)*3.1)&gt;0,+((W36-3)*1.5+(X36-3)*3.1),0),IF(+((W36-3)*1.5+(X36-3)*3.1)&gt;0,+((W36-3)*1.5+(X36-3)*3.1),0)))+1</f>
        <v>31</v>
      </c>
      <c r="AA36" s="144">
        <f t="shared" si="3"/>
        <v>31</v>
      </c>
      <c r="AB36" s="145">
        <f t="shared" si="4"/>
        <v>512.73591643559996</v>
      </c>
      <c r="AC36" s="145">
        <f>+(S36-T36)*V36-'data 1'!$F$4</f>
        <v>41.253</v>
      </c>
      <c r="AD36" s="145">
        <f t="shared" si="5"/>
        <v>-4.7437860264396354</v>
      </c>
      <c r="AE36" s="145">
        <f>+(Y36*V36-'data 2'!$B$2)+V36*(Z36-IF(D36="UNTUCA",IF(+((W36-3)*2.5+(X36-3)*3.1)&gt;0,+((W36-3)*1.5+(X36-3)*3.1),0),IF(+((W36-3)*1.5+(X36-3)*3.1)&gt;0,+((W36-3)*1.5+(X36-3)*3.1),0)))</f>
        <v>-81.346945000000005</v>
      </c>
      <c r="AF36" s="145">
        <f t="shared" si="6"/>
        <v>20.312979641161217</v>
      </c>
      <c r="AG36" s="145">
        <f t="shared" si="14"/>
        <v>-24.524751385278424</v>
      </c>
      <c r="AH36" s="145">
        <f t="shared" si="8"/>
        <v>113.78476064662379</v>
      </c>
      <c r="AI36" s="143">
        <f t="shared" si="9"/>
        <v>67.401297189291526</v>
      </c>
      <c r="AJ36" s="143">
        <f t="shared" si="10"/>
        <v>111.17085897605084</v>
      </c>
      <c r="AK36" s="133">
        <f t="shared" si="11"/>
        <v>2.6139016705729574</v>
      </c>
      <c r="AL36" s="144"/>
      <c r="AM36" s="144"/>
      <c r="AN36" s="142"/>
      <c r="AO36" s="142"/>
      <c r="AP36" s="57">
        <f t="shared" si="15"/>
        <v>6283.2710143684162</v>
      </c>
      <c r="AQ36" s="142"/>
      <c r="AR36" s="142"/>
      <c r="AS36" s="142"/>
      <c r="AT36" s="142"/>
    </row>
    <row r="37" spans="1:46" ht="15.75" customHeight="1">
      <c r="A37" s="134" t="s">
        <v>445</v>
      </c>
      <c r="B37" s="135">
        <v>45498</v>
      </c>
      <c r="C37" s="135">
        <v>45496</v>
      </c>
      <c r="D37" s="142" t="s">
        <v>93</v>
      </c>
      <c r="E37" s="176"/>
      <c r="F37" s="142" t="s">
        <v>446</v>
      </c>
      <c r="G37" s="177">
        <v>11</v>
      </c>
      <c r="H37" s="177" t="s">
        <v>69</v>
      </c>
      <c r="I37" s="138">
        <v>0.95</v>
      </c>
      <c r="J37" s="143">
        <v>1</v>
      </c>
      <c r="K37" s="138">
        <f t="shared" si="0"/>
        <v>0.9405</v>
      </c>
      <c r="L37" s="170">
        <v>0.316</v>
      </c>
      <c r="M37" s="132">
        <v>0.29399999999999998</v>
      </c>
      <c r="N37" s="178">
        <v>0.20100000000000001</v>
      </c>
      <c r="O37" s="141">
        <f t="shared" si="1"/>
        <v>0.248</v>
      </c>
      <c r="P37" s="142">
        <v>90</v>
      </c>
      <c r="Q37" s="143">
        <v>89.5</v>
      </c>
      <c r="R37" s="144">
        <v>2388.31</v>
      </c>
      <c r="S37" s="132">
        <v>110</v>
      </c>
      <c r="T37" s="142"/>
      <c r="U37" s="142">
        <v>130</v>
      </c>
      <c r="V37" s="142">
        <v>1.1023000000000001</v>
      </c>
      <c r="W37" s="143">
        <v>5.5</v>
      </c>
      <c r="X37" s="143">
        <v>7.1</v>
      </c>
      <c r="Y37" s="142">
        <v>30</v>
      </c>
      <c r="Z37" s="143">
        <f t="shared" ref="Z37:Z59" si="16">IF(IF(D37="UNTUCA",IF(+((W37-3)*1.5+(X37-3)*3.1)&gt;0,+((W37-3)*1.5+(X37-3)*3.1),0),IF(+((W37-3)*1.5+(X37-3)*3.1)&gt;0,+((W37-3)*1.5+(X37-3)*3.1),0))&lt;30,30,IF(D37="UNTUCA",IF(+((W37-3)*1.5+(X37-3)*3.1)&gt;0,+((W37-3)*1.5+(X37-3)*3.1),0),IF(+((W37-3)*1.5+(X37-3)*3.1)&gt;0,+((W37-3)*1.5+(X37-3)*3.1),0)))</f>
        <v>30</v>
      </c>
      <c r="AA37" s="144">
        <f t="shared" si="3"/>
        <v>60</v>
      </c>
      <c r="AB37" s="145">
        <f t="shared" si="4"/>
        <v>368.22859722160007</v>
      </c>
      <c r="AC37" s="145">
        <f>+(S37-T37)*V37-'data 1'!$F$4</f>
        <v>41.253</v>
      </c>
      <c r="AD37" s="145">
        <f t="shared" si="5"/>
        <v>-3.9331494785400003</v>
      </c>
      <c r="AE37" s="145">
        <f>+(Y37*V37-'data 2'!$B$2)+V37*(Z37-IF(D37="UNTUCA",IF(+((W37-3)*2.5+(X37-3)*3.1)&gt;0,+((W37-3)*1.5+(X37-3)*3.1),0),IF(+((W37-3)*1.5+(X37-3)*3.1)&gt;0,+((W37-3)*1.5+(X37-3)*3.1),0)))</f>
        <v>-42.005857999999996</v>
      </c>
      <c r="AF37" s="145">
        <f t="shared" si="6"/>
        <v>151.50093497718001</v>
      </c>
      <c r="AG37" s="145">
        <f t="shared" si="14"/>
        <v>146.81492749864</v>
      </c>
      <c r="AH37" s="145">
        <f t="shared" si="8"/>
        <v>9.1196461381270915</v>
      </c>
      <c r="AI37" s="143">
        <f t="shared" si="9"/>
        <v>80.522549608939983</v>
      </c>
      <c r="AJ37" s="143">
        <f t="shared" si="10"/>
        <v>7.1971749453007803</v>
      </c>
      <c r="AK37" s="133">
        <f t="shared" si="11"/>
        <v>1.9224711928263112</v>
      </c>
      <c r="AL37" s="144"/>
      <c r="AM37" s="144"/>
      <c r="AN37" s="142"/>
      <c r="AO37" s="142"/>
      <c r="AP37" s="144">
        <f t="shared" si="15"/>
        <v>346.31899568691489</v>
      </c>
      <c r="AQ37" s="142"/>
      <c r="AR37" s="142"/>
      <c r="AS37" s="142"/>
      <c r="AT37" s="142"/>
    </row>
    <row r="38" spans="1:46" ht="15.75" customHeight="1">
      <c r="A38" s="134" t="s">
        <v>447</v>
      </c>
      <c r="B38" s="135">
        <v>45498</v>
      </c>
      <c r="C38" s="135">
        <v>45496</v>
      </c>
      <c r="D38" s="142" t="s">
        <v>93</v>
      </c>
      <c r="E38" s="176"/>
      <c r="F38" s="142" t="s">
        <v>446</v>
      </c>
      <c r="G38" s="177">
        <v>41</v>
      </c>
      <c r="H38" s="177" t="s">
        <v>69</v>
      </c>
      <c r="I38" s="138">
        <v>4.07</v>
      </c>
      <c r="J38" s="143">
        <v>3</v>
      </c>
      <c r="K38" s="138">
        <f t="shared" si="0"/>
        <v>3.9479000000000002</v>
      </c>
      <c r="L38" s="170">
        <v>0.29699999999999999</v>
      </c>
      <c r="M38" s="132">
        <v>0.27900000000000003</v>
      </c>
      <c r="N38" s="178">
        <v>0.374</v>
      </c>
      <c r="O38" s="141">
        <f t="shared" si="1"/>
        <v>0.32700000000000001</v>
      </c>
      <c r="P38" s="142">
        <v>90</v>
      </c>
      <c r="Q38" s="143">
        <v>89.04</v>
      </c>
      <c r="R38" s="144">
        <v>2388.31</v>
      </c>
      <c r="S38" s="132">
        <v>110</v>
      </c>
      <c r="T38" s="142"/>
      <c r="U38" s="142">
        <v>130</v>
      </c>
      <c r="V38" s="142">
        <v>1.1023000000000001</v>
      </c>
      <c r="W38" s="143">
        <v>5.5</v>
      </c>
      <c r="X38" s="143">
        <v>13.75</v>
      </c>
      <c r="Y38" s="142">
        <v>50</v>
      </c>
      <c r="Z38" s="143">
        <f t="shared" si="16"/>
        <v>37.075000000000003</v>
      </c>
      <c r="AA38" s="144">
        <f t="shared" si="3"/>
        <v>87.075000000000003</v>
      </c>
      <c r="AB38" s="145">
        <f t="shared" si="4"/>
        <v>515.37555125590006</v>
      </c>
      <c r="AC38" s="145">
        <f>+(S38-T38)*V38-'data 1'!$F$4</f>
        <v>41.253</v>
      </c>
      <c r="AD38" s="145">
        <f t="shared" si="5"/>
        <v>-7.0975922741855531</v>
      </c>
      <c r="AE38" s="145">
        <f>+(Y38*V38-'data 2'!$B$2)+V38*(Z38-IF(D38="UNTUCA",IF(+((W38-3)*2.5+(X38-3)*3.1)&gt;0,+((W38-3)*1.5+(X38-3)*3.1),0),IF(+((W38-3)*1.5+(X38-3)*3.1)&gt;0,+((W38-3)*1.5+(X38-3)*3.1),0)))</f>
        <v>-34.884999999999998</v>
      </c>
      <c r="AF38" s="145">
        <f t="shared" si="6"/>
        <v>-66.495119538456066</v>
      </c>
      <c r="AG38" s="145">
        <f t="shared" si="14"/>
        <v>-67.224711812641615</v>
      </c>
      <c r="AH38" s="145">
        <f t="shared" si="8"/>
        <v>35.794542290632073</v>
      </c>
      <c r="AI38" s="143">
        <f t="shared" si="9"/>
        <v>75.29202891246959</v>
      </c>
      <c r="AJ38" s="143">
        <f t="shared" si="10"/>
        <v>39.83505992892772</v>
      </c>
      <c r="AK38" s="133">
        <f t="shared" si="11"/>
        <v>-4.0405176382956469</v>
      </c>
      <c r="AL38" s="144" t="s">
        <v>448</v>
      </c>
      <c r="AM38" s="144"/>
      <c r="AN38" s="142"/>
      <c r="AO38" s="142"/>
      <c r="AP38" s="144">
        <f t="shared" si="15"/>
        <v>2034.6511388031679</v>
      </c>
      <c r="AQ38" s="142"/>
      <c r="AR38" s="142"/>
      <c r="AS38" s="142"/>
      <c r="AT38" s="142"/>
    </row>
    <row r="39" spans="1:46" ht="15.75" customHeight="1">
      <c r="A39" s="134" t="s">
        <v>449</v>
      </c>
      <c r="B39" s="135">
        <v>45498</v>
      </c>
      <c r="C39" s="135">
        <v>45496</v>
      </c>
      <c r="D39" s="142" t="s">
        <v>93</v>
      </c>
      <c r="E39" s="176"/>
      <c r="F39" s="142" t="s">
        <v>446</v>
      </c>
      <c r="G39" s="177">
        <v>50</v>
      </c>
      <c r="H39" s="177" t="s">
        <v>450</v>
      </c>
      <c r="I39" s="138">
        <v>3.98</v>
      </c>
      <c r="J39" s="143">
        <v>23.7</v>
      </c>
      <c r="K39" s="138">
        <f t="shared" si="0"/>
        <v>3.03674</v>
      </c>
      <c r="L39" s="170">
        <v>1.778</v>
      </c>
      <c r="M39" s="132">
        <v>1.7070000000000001</v>
      </c>
      <c r="N39" s="248">
        <v>1.81</v>
      </c>
      <c r="O39" s="141">
        <f t="shared" si="1"/>
        <v>1.7589999999999999</v>
      </c>
      <c r="P39" s="142">
        <v>90</v>
      </c>
      <c r="Q39" s="143">
        <v>89.58</v>
      </c>
      <c r="R39" s="144">
        <v>2388.31</v>
      </c>
      <c r="S39" s="132">
        <v>250</v>
      </c>
      <c r="T39" s="142"/>
      <c r="U39" s="142">
        <v>130</v>
      </c>
      <c r="V39" s="142">
        <v>1.1023000000000001</v>
      </c>
      <c r="W39" s="143">
        <v>5.5</v>
      </c>
      <c r="X39" s="143">
        <v>7.5</v>
      </c>
      <c r="Y39" s="142">
        <v>30</v>
      </c>
      <c r="Z39" s="143">
        <f t="shared" si="16"/>
        <v>30</v>
      </c>
      <c r="AA39" s="144">
        <f t="shared" si="3"/>
        <v>60</v>
      </c>
      <c r="AB39" s="145">
        <f t="shared" si="4"/>
        <v>3599.1534173903001</v>
      </c>
      <c r="AC39" s="145">
        <f>+(S39-T39)*V39-'data 1'!$F$4</f>
        <v>195.57499999999999</v>
      </c>
      <c r="AD39" s="145">
        <f t="shared" si="5"/>
        <v>-18.589358889838877</v>
      </c>
      <c r="AE39" s="145">
        <f>+(Y39*V39-'data 2'!$B$2)+V39*(Z39-IF(D39="UNTUCA",IF(+((W39-3)*2.5+(X39-3)*3.1)&gt;0,+((W39-3)*1.5+(X39-3)*3.1),0),IF(+((W39-3)*1.5+(X39-3)*3.1)&gt;0,+((W39-3)*1.5+(X39-3)*3.1),0)))</f>
        <v>-43.372709999999998</v>
      </c>
      <c r="AF39" s="145">
        <f t="shared" si="6"/>
        <v>42.368981490282884</v>
      </c>
      <c r="AG39" s="145">
        <f t="shared" si="14"/>
        <v>175.98191260044402</v>
      </c>
      <c r="AH39" s="145">
        <f t="shared" si="8"/>
        <v>165.82862283541195</v>
      </c>
      <c r="AI39" s="143">
        <f t="shared" si="9"/>
        <v>453.47172651427076</v>
      </c>
      <c r="AJ39" s="143">
        <f t="shared" si="10"/>
        <v>164.82573771384364</v>
      </c>
      <c r="AK39" s="133">
        <f t="shared" si="11"/>
        <v>1.0028851215683119</v>
      </c>
      <c r="AL39" s="144"/>
      <c r="AM39" s="144"/>
      <c r="AN39" s="142"/>
      <c r="AO39" s="142"/>
      <c r="AP39" s="144">
        <f t="shared" si="15"/>
        <v>10929.693148725821</v>
      </c>
      <c r="AQ39" s="142"/>
      <c r="AR39" s="142"/>
      <c r="AS39" s="142"/>
      <c r="AT39" s="142"/>
    </row>
    <row r="40" spans="1:46" ht="15.75" customHeight="1">
      <c r="A40" s="134" t="s">
        <v>451</v>
      </c>
      <c r="B40" s="135">
        <v>45498</v>
      </c>
      <c r="C40" s="135">
        <v>45496</v>
      </c>
      <c r="D40" s="142" t="s">
        <v>93</v>
      </c>
      <c r="E40" s="176"/>
      <c r="F40" s="142" t="s">
        <v>446</v>
      </c>
      <c r="G40" s="177">
        <v>50</v>
      </c>
      <c r="H40" s="177" t="s">
        <v>69</v>
      </c>
      <c r="I40" s="138">
        <v>5.0599999999999996</v>
      </c>
      <c r="J40" s="143">
        <v>3</v>
      </c>
      <c r="K40" s="138">
        <f t="shared" si="0"/>
        <v>4.9081999999999999</v>
      </c>
      <c r="L40" s="170">
        <v>0.22700000000000001</v>
      </c>
      <c r="M40" s="132">
        <v>0.218</v>
      </c>
      <c r="N40" s="249">
        <v>0.218</v>
      </c>
      <c r="O40" s="141">
        <f t="shared" si="1"/>
        <v>0.218</v>
      </c>
      <c r="P40" s="142">
        <v>90</v>
      </c>
      <c r="Q40" s="143">
        <v>89.82</v>
      </c>
      <c r="R40" s="144">
        <v>2388.31</v>
      </c>
      <c r="S40" s="132">
        <v>110</v>
      </c>
      <c r="T40" s="142"/>
      <c r="U40" s="142">
        <v>130</v>
      </c>
      <c r="V40" s="142">
        <v>1.1023000000000001</v>
      </c>
      <c r="W40" s="143">
        <v>5.5</v>
      </c>
      <c r="X40" s="143">
        <v>13</v>
      </c>
      <c r="Y40" s="142">
        <v>30</v>
      </c>
      <c r="Z40" s="143">
        <f t="shared" si="16"/>
        <v>34.75</v>
      </c>
      <c r="AA40" s="144">
        <f t="shared" si="3"/>
        <v>64.75</v>
      </c>
      <c r="AB40" s="145">
        <f t="shared" si="4"/>
        <v>295.78062417060005</v>
      </c>
      <c r="AC40" s="145">
        <f>+(S40-T40)*V40-'data 1'!$F$4</f>
        <v>41.253</v>
      </c>
      <c r="AD40" s="145">
        <f t="shared" si="5"/>
        <v>-1.0171423271718385</v>
      </c>
      <c r="AE40" s="145">
        <f>+(Y40*V40-'data 2'!$B$2)+V40*(Z40-IF(D40="UNTUCA",IF(+((W40-3)*2.5+(X40-3)*3.1)&gt;0,+((W40-3)*1.5+(X40-3)*3.1),0),IF(+((W40-3)*1.5+(X40-3)*3.1)&gt;0,+((W40-3)*1.5+(X40-3)*3.1),0)))</f>
        <v>-56.930999999999997</v>
      </c>
      <c r="AF40" s="145">
        <f t="shared" si="6"/>
        <v>20.123287186469419</v>
      </c>
      <c r="AG40" s="145">
        <f t="shared" si="14"/>
        <v>3.4281448592975821</v>
      </c>
      <c r="AH40" s="145">
        <f t="shared" si="8"/>
        <v>34.310751333689339</v>
      </c>
      <c r="AI40" s="143">
        <f t="shared" si="9"/>
        <v>58.050545828923788</v>
      </c>
      <c r="AJ40" s="143">
        <f t="shared" si="10"/>
        <v>33.016446067219363</v>
      </c>
      <c r="AK40" s="133">
        <f t="shared" si="11"/>
        <v>1.2943052664699763</v>
      </c>
      <c r="AL40" s="144"/>
      <c r="AM40" s="144"/>
      <c r="AN40" s="142"/>
      <c r="AO40" s="142"/>
      <c r="AP40" s="57">
        <f t="shared" si="15"/>
        <v>1451.7504595541391</v>
      </c>
      <c r="AQ40" s="142"/>
      <c r="AR40" s="142"/>
      <c r="AS40" s="142"/>
      <c r="AT40" s="142"/>
    </row>
    <row r="41" spans="1:46" ht="15.75" customHeight="1">
      <c r="A41" s="134" t="s">
        <v>452</v>
      </c>
      <c r="B41" s="136">
        <v>45498</v>
      </c>
      <c r="C41" s="136">
        <v>45496</v>
      </c>
      <c r="D41" s="79" t="s">
        <v>93</v>
      </c>
      <c r="E41" s="176"/>
      <c r="F41" s="6" t="s">
        <v>453</v>
      </c>
      <c r="G41" s="90">
        <v>60</v>
      </c>
      <c r="H41" s="90" t="s">
        <v>69</v>
      </c>
      <c r="I41" s="82">
        <v>5.62</v>
      </c>
      <c r="J41" s="137">
        <v>3</v>
      </c>
      <c r="K41" s="138">
        <f t="shared" si="0"/>
        <v>5.4514000000000005</v>
      </c>
      <c r="L41" s="240">
        <v>0.25800000000000001</v>
      </c>
      <c r="M41" s="80">
        <v>0.24299999999999999</v>
      </c>
      <c r="N41" s="249">
        <v>0.24299999999999999</v>
      </c>
      <c r="O41" s="141">
        <f t="shared" si="1"/>
        <v>0.24299999999999999</v>
      </c>
      <c r="P41" s="142">
        <v>90</v>
      </c>
      <c r="Q41" s="143">
        <v>89.5</v>
      </c>
      <c r="R41" s="57">
        <v>2388.31</v>
      </c>
      <c r="S41" s="80">
        <v>120</v>
      </c>
      <c r="U41" s="142">
        <v>130</v>
      </c>
      <c r="V41" s="142">
        <v>1.1023000000000001</v>
      </c>
      <c r="W41" s="137">
        <v>5.5</v>
      </c>
      <c r="X41" s="137">
        <v>13.5</v>
      </c>
      <c r="Y41" s="79">
        <v>30</v>
      </c>
      <c r="Z41" s="143">
        <f t="shared" si="16"/>
        <v>36.300000000000004</v>
      </c>
      <c r="AA41" s="144">
        <f t="shared" si="3"/>
        <v>66.300000000000011</v>
      </c>
      <c r="AB41" s="145">
        <f t="shared" si="4"/>
        <v>339.05909921309996</v>
      </c>
      <c r="AC41" s="145">
        <f>+(S41-T41)*V41-'data 1'!$F$4</f>
        <v>52.27600000000001</v>
      </c>
      <c r="AD41" s="145">
        <f t="shared" si="5"/>
        <v>-3.2112422957700004</v>
      </c>
      <c r="AE41" s="145">
        <f>+(Y41*V41-'data 2'!$B$2)+V41*(Z41-IF(D41="UNTUCA",IF(+((W41-3)*2.5+(X41-3)*3.1)&gt;0,+((W41-3)*1.5+(X41-3)*3.1),0),IF(+((W41-3)*1.5+(X41-3)*3.1)&gt;0,+((W41-3)*1.5+(X41-3)*3.1),0)))</f>
        <v>-56.930999999999997</v>
      </c>
      <c r="AF41" s="145">
        <f t="shared" si="6"/>
        <v>33.419323892025034</v>
      </c>
      <c r="AG41" s="145">
        <f t="shared" si="14"/>
        <v>25.553081596255048</v>
      </c>
      <c r="AH41" s="145">
        <f t="shared" si="8"/>
        <v>43.157855877245467</v>
      </c>
      <c r="AI41" s="137">
        <f t="shared" si="9"/>
        <v>65.74309430097</v>
      </c>
      <c r="AJ41" s="137">
        <f t="shared" si="10"/>
        <v>40.875765797728903</v>
      </c>
      <c r="AK41" s="88">
        <f t="shared" si="11"/>
        <v>2.2820900795165642</v>
      </c>
      <c r="AL41" s="57"/>
      <c r="AM41" s="57"/>
      <c r="AP41" s="57">
        <f>SUM(AP4:AP40)</f>
        <v>223516.10975944524</v>
      </c>
    </row>
    <row r="42" spans="1:46" ht="15.75" customHeight="1">
      <c r="A42" s="134" t="s">
        <v>454</v>
      </c>
      <c r="B42" s="136">
        <v>45498</v>
      </c>
      <c r="C42" s="136">
        <v>45496</v>
      </c>
      <c r="D42" s="79" t="s">
        <v>93</v>
      </c>
      <c r="E42" s="176"/>
      <c r="F42" s="6" t="s">
        <v>455</v>
      </c>
      <c r="G42" s="90">
        <v>69</v>
      </c>
      <c r="H42" s="90" t="s">
        <v>69</v>
      </c>
      <c r="I42" s="82">
        <v>5.8</v>
      </c>
      <c r="J42" s="137">
        <v>1</v>
      </c>
      <c r="K42" s="138">
        <f t="shared" si="0"/>
        <v>5.742</v>
      </c>
      <c r="L42" s="240">
        <v>0.94299999999999995</v>
      </c>
      <c r="M42" s="80">
        <v>0.89600000000000002</v>
      </c>
      <c r="N42" s="249">
        <v>0.89600000000000002</v>
      </c>
      <c r="O42" s="141">
        <f t="shared" si="1"/>
        <v>0.89600000000000002</v>
      </c>
      <c r="P42" s="142">
        <v>90</v>
      </c>
      <c r="Q42" s="143">
        <v>89.5</v>
      </c>
      <c r="R42" s="57">
        <v>2388.31</v>
      </c>
      <c r="S42" s="80">
        <v>160</v>
      </c>
      <c r="U42" s="142">
        <v>130</v>
      </c>
      <c r="V42" s="142">
        <v>1.1023000000000001</v>
      </c>
      <c r="W42" s="137">
        <v>5.5</v>
      </c>
      <c r="X42" s="137">
        <v>8.5</v>
      </c>
      <c r="Y42" s="79">
        <v>30</v>
      </c>
      <c r="Z42" s="143">
        <f t="shared" si="16"/>
        <v>30</v>
      </c>
      <c r="AA42" s="144">
        <f t="shared" si="3"/>
        <v>60</v>
      </c>
      <c r="AB42" s="145">
        <f t="shared" si="4"/>
        <v>1764.8938351232002</v>
      </c>
      <c r="AC42" s="145">
        <f>+(S42-T42)*V42-'data 1'!$F$4</f>
        <v>96.367999999999995</v>
      </c>
      <c r="AD42" s="145">
        <f t="shared" si="5"/>
        <v>-11.737215057795</v>
      </c>
      <c r="AE42" s="145">
        <f>+(Y42*V42-'data 2'!$B$2)+V42*(Z42-IF(D42="UNTUCA",IF(+((W42-3)*2.5+(X42-3)*3.1)&gt;0,+((W42-3)*1.5+(X42-3)*3.1),0),IF(+((W42-3)*1.5+(X42-3)*3.1)&gt;0,+((W42-3)*1.5+(X42-3)*3.1),0)))</f>
        <v>-46.789839999999998</v>
      </c>
      <c r="AF42" s="145">
        <f t="shared" si="6"/>
        <v>104.71388152834484</v>
      </c>
      <c r="AG42" s="145">
        <f t="shared" si="14"/>
        <v>142.55482647054984</v>
      </c>
      <c r="AH42" s="145">
        <f t="shared" si="8"/>
        <v>166.15254026606365</v>
      </c>
      <c r="AI42" s="137">
        <f t="shared" si="9"/>
        <v>240.29355785199496</v>
      </c>
      <c r="AJ42" s="137">
        <f t="shared" si="10"/>
        <v>158.75330541485187</v>
      </c>
      <c r="AK42" s="88">
        <f t="shared" si="11"/>
        <v>7.3992348512117871</v>
      </c>
      <c r="AL42" s="57"/>
      <c r="AM42" s="57"/>
      <c r="AP42" s="57">
        <f>+AP41-55000</f>
        <v>168516.10975944524</v>
      </c>
    </row>
    <row r="43" spans="1:46" ht="15.75" customHeight="1">
      <c r="A43" s="134" t="s">
        <v>456</v>
      </c>
      <c r="B43" s="136">
        <v>45498</v>
      </c>
      <c r="C43" s="136">
        <v>45496</v>
      </c>
      <c r="D43" s="79" t="s">
        <v>93</v>
      </c>
      <c r="E43" s="176"/>
      <c r="F43" s="6" t="s">
        <v>455</v>
      </c>
      <c r="G43" s="90">
        <v>11</v>
      </c>
      <c r="H43" s="90" t="s">
        <v>69</v>
      </c>
      <c r="I43" s="82">
        <v>0.82</v>
      </c>
      <c r="J43" s="137">
        <v>1.2</v>
      </c>
      <c r="K43" s="138">
        <f t="shared" si="0"/>
        <v>0.81015999999999999</v>
      </c>
      <c r="L43" s="240">
        <v>0.63600000000000001</v>
      </c>
      <c r="M43" s="80">
        <v>0.60399999999999998</v>
      </c>
      <c r="N43" s="249">
        <v>0.60399999999999998</v>
      </c>
      <c r="O43" s="141">
        <f t="shared" si="1"/>
        <v>0.60399999999999998</v>
      </c>
      <c r="P43" s="142">
        <v>90</v>
      </c>
      <c r="Q43" s="143">
        <v>89.88</v>
      </c>
      <c r="R43" s="57">
        <v>2388.31</v>
      </c>
      <c r="S43" s="80">
        <v>130</v>
      </c>
      <c r="U43" s="142">
        <v>130</v>
      </c>
      <c r="V43" s="142">
        <v>1.1023000000000001</v>
      </c>
      <c r="W43" s="137">
        <v>5.5</v>
      </c>
      <c r="X43" s="137">
        <v>8</v>
      </c>
      <c r="Y43" s="79">
        <v>30</v>
      </c>
      <c r="Z43" s="143">
        <f t="shared" si="16"/>
        <v>30</v>
      </c>
      <c r="AA43" s="144">
        <f t="shared" si="3"/>
        <v>60</v>
      </c>
      <c r="AB43" s="145">
        <f t="shared" si="4"/>
        <v>1143.7655674268001</v>
      </c>
      <c r="AC43" s="145">
        <f>+(S43-T43)*V43-'data 1'!$F$4</f>
        <v>63.299000000000007</v>
      </c>
      <c r="AD43" s="145">
        <f t="shared" si="5"/>
        <v>-1.8998605582416721</v>
      </c>
      <c r="AE43" s="145">
        <f>+(Y43*V43-'data 2'!$B$2)+V43*(Z43-IF(D43="UNTUCA",IF(+((W43-3)*2.5+(X43-3)*3.1)&gt;0,+((W43-3)*1.5+(X43-3)*3.1),0),IF(+((W43-3)*1.5+(X43-3)*3.1)&gt;0,+((W43-3)*1.5+(X43-3)*3.1),0)))</f>
        <v>-45.081274999999998</v>
      </c>
      <c r="AF43" s="145">
        <f t="shared" si="6"/>
        <v>71.597260786060872</v>
      </c>
      <c r="AG43" s="145">
        <f t="shared" si="14"/>
        <v>87.915125227819203</v>
      </c>
      <c r="AH43" s="145">
        <f t="shared" si="8"/>
        <v>15.878155310766658</v>
      </c>
      <c r="AI43" s="137">
        <f t="shared" si="9"/>
        <v>162.75246653806559</v>
      </c>
      <c r="AJ43" s="137">
        <f t="shared" si="10"/>
        <v>15.099386930534836</v>
      </c>
      <c r="AK43" s="88">
        <f t="shared" si="11"/>
        <v>0.77876838023182238</v>
      </c>
      <c r="AL43" s="57"/>
      <c r="AM43" s="57"/>
    </row>
    <row r="44" spans="1:46" ht="15.75" customHeight="1">
      <c r="A44" s="134" t="s">
        <v>457</v>
      </c>
      <c r="B44" s="136">
        <v>45498</v>
      </c>
      <c r="C44" s="136">
        <v>45496</v>
      </c>
      <c r="D44" s="79" t="s">
        <v>93</v>
      </c>
      <c r="E44" s="176"/>
      <c r="F44" s="6" t="s">
        <v>458</v>
      </c>
      <c r="G44" s="90">
        <v>22</v>
      </c>
      <c r="H44" s="90" t="s">
        <v>69</v>
      </c>
      <c r="I44" s="82">
        <v>1.86</v>
      </c>
      <c r="J44" s="137">
        <v>1.4</v>
      </c>
      <c r="K44" s="138">
        <f t="shared" si="0"/>
        <v>1.83396</v>
      </c>
      <c r="L44" s="240">
        <v>0.151</v>
      </c>
      <c r="M44" s="80">
        <v>0.14299999999999999</v>
      </c>
      <c r="N44" s="249">
        <v>0.14299999999999999</v>
      </c>
      <c r="O44" s="141">
        <f t="shared" si="1"/>
        <v>0.14299999999999999</v>
      </c>
      <c r="P44" s="142">
        <v>90</v>
      </c>
      <c r="Q44" s="143">
        <v>82.75</v>
      </c>
      <c r="R44" s="57">
        <v>2388.31</v>
      </c>
      <c r="S44" s="80">
        <v>110</v>
      </c>
      <c r="U44" s="142">
        <v>130</v>
      </c>
      <c r="V44" s="142">
        <v>1.1023000000000001</v>
      </c>
      <c r="W44" s="137">
        <v>5.6</v>
      </c>
      <c r="X44" s="137">
        <v>7.5</v>
      </c>
      <c r="Y44" s="79">
        <v>30</v>
      </c>
      <c r="Z44" s="143">
        <f t="shared" si="16"/>
        <v>30</v>
      </c>
      <c r="AA44" s="144">
        <f t="shared" si="3"/>
        <v>60</v>
      </c>
      <c r="AB44" s="145">
        <f t="shared" si="4"/>
        <v>132.9864290431</v>
      </c>
      <c r="AC44" s="145">
        <f>+(S44-T44)*V44-'data 1'!$F$4</f>
        <v>41.253</v>
      </c>
      <c r="AD44" s="145">
        <f t="shared" si="5"/>
        <v>-27.2519961495675</v>
      </c>
      <c r="AE44" s="145">
        <f>+(Y44*V44-'data 2'!$B$2)+V44*(Z44-IF(D44="UNTUCA",IF(+((W44-3)*2.5+(X44-3)*3.1)&gt;0,+((W44-3)*1.5+(X44-3)*3.1),0),IF(+((W44-3)*1.5+(X44-3)*3.1)&gt;0,+((W44-3)*1.5+(X44-3)*3.1),0)))</f>
        <v>-43.538055</v>
      </c>
      <c r="AF44" s="145">
        <f t="shared" si="6"/>
        <v>16.479398448060014</v>
      </c>
      <c r="AG44" s="145">
        <f t="shared" si="14"/>
        <v>-13.057652701507486</v>
      </c>
      <c r="AH44" s="145">
        <f t="shared" si="8"/>
        <v>7.8567670770845117</v>
      </c>
      <c r="AI44" s="137">
        <f t="shared" si="9"/>
        <v>35.575609504317498</v>
      </c>
      <c r="AJ44" s="137">
        <f t="shared" si="10"/>
        <v>8.0924024955145075</v>
      </c>
      <c r="AK44" s="88">
        <f t="shared" si="11"/>
        <v>-0.2356354184299958</v>
      </c>
      <c r="AL44" s="57"/>
      <c r="AM44" s="57"/>
    </row>
    <row r="45" spans="1:46" ht="15.75" customHeight="1">
      <c r="A45" s="134" t="s">
        <v>459</v>
      </c>
      <c r="B45" s="136">
        <v>45498</v>
      </c>
      <c r="C45" s="136">
        <v>45496</v>
      </c>
      <c r="D45" s="79" t="s">
        <v>93</v>
      </c>
      <c r="E45" s="176"/>
      <c r="F45" s="6" t="s">
        <v>460</v>
      </c>
      <c r="G45" s="90">
        <v>56</v>
      </c>
      <c r="H45" s="90" t="s">
        <v>69</v>
      </c>
      <c r="I45" s="82">
        <v>4.8600000000000003</v>
      </c>
      <c r="J45" s="137">
        <v>1.2</v>
      </c>
      <c r="K45" s="138">
        <f t="shared" si="0"/>
        <v>4.8016800000000002</v>
      </c>
      <c r="L45" s="240">
        <v>0.72399999999999998</v>
      </c>
      <c r="M45" s="80">
        <v>0.68799999999999994</v>
      </c>
      <c r="N45" s="249">
        <v>0.68799999999999994</v>
      </c>
      <c r="O45" s="141">
        <f t="shared" si="1"/>
        <v>0.68799999999999994</v>
      </c>
      <c r="P45" s="142">
        <v>90</v>
      </c>
      <c r="Q45" s="143">
        <v>89.28</v>
      </c>
      <c r="R45" s="57">
        <v>2388.31</v>
      </c>
      <c r="S45" s="80">
        <v>140</v>
      </c>
      <c r="U45" s="142">
        <v>130</v>
      </c>
      <c r="V45" s="142">
        <v>1.1023000000000001</v>
      </c>
      <c r="W45" s="137">
        <v>5.6</v>
      </c>
      <c r="X45" s="137">
        <v>7.8</v>
      </c>
      <c r="Y45" s="79">
        <v>30</v>
      </c>
      <c r="Z45" s="143">
        <f t="shared" si="16"/>
        <v>30</v>
      </c>
      <c r="AA45" s="144">
        <f t="shared" si="3"/>
        <v>60</v>
      </c>
      <c r="AB45" s="145">
        <f t="shared" si="4"/>
        <v>1320.9363019695998</v>
      </c>
      <c r="AC45" s="145">
        <f>+(S45-T45)*V45-'data 1'!$F$4</f>
        <v>74.322000000000003</v>
      </c>
      <c r="AD45" s="145">
        <f t="shared" si="5"/>
        <v>-12.976406077046379</v>
      </c>
      <c r="AE45" s="145">
        <f>+(Y45*V45-'data 2'!$B$2)+V45*(Z45-IF(D45="UNTUCA",IF(+((W45-3)*2.5+(X45-3)*3.1)&gt;0,+((W45-3)*1.5+(X45-3)*3.1),0),IF(+((W45-3)*1.5+(X45-3)*3.1)&gt;0,+((W45-3)*1.5+(X45-3)*3.1),0)))</f>
        <v>-44.563193999999996</v>
      </c>
      <c r="AF45" s="145">
        <f t="shared" si="6"/>
        <v>80.00922199991048</v>
      </c>
      <c r="AG45" s="145">
        <f t="shared" si="14"/>
        <v>96.79162192286411</v>
      </c>
      <c r="AH45" s="145">
        <f t="shared" si="8"/>
        <v>106.41308426470491</v>
      </c>
      <c r="AI45" s="137">
        <f t="shared" si="9"/>
        <v>184.03488218154237</v>
      </c>
      <c r="AJ45" s="137">
        <f t="shared" si="10"/>
        <v>101.93732452731932</v>
      </c>
      <c r="AK45" s="88">
        <f t="shared" si="11"/>
        <v>4.4757597373855873</v>
      </c>
      <c r="AL45" s="57"/>
      <c r="AM45" s="57"/>
    </row>
    <row r="46" spans="1:46" ht="15.75" customHeight="1">
      <c r="A46" s="134" t="s">
        <v>461</v>
      </c>
      <c r="B46" s="136">
        <v>45505</v>
      </c>
      <c r="C46" s="136">
        <v>45496</v>
      </c>
      <c r="D46" s="79" t="s">
        <v>93</v>
      </c>
      <c r="E46" s="176"/>
      <c r="F46" s="6" t="s">
        <v>462</v>
      </c>
      <c r="G46" s="90">
        <v>13</v>
      </c>
      <c r="H46" s="90" t="s">
        <v>450</v>
      </c>
      <c r="I46" s="82">
        <v>1.06</v>
      </c>
      <c r="J46" s="137">
        <v>24.4</v>
      </c>
      <c r="K46" s="138">
        <f t="shared" si="0"/>
        <v>0.80136000000000007</v>
      </c>
      <c r="L46" s="240">
        <v>0.78200000000000003</v>
      </c>
      <c r="M46" s="80">
        <v>0.73499999999999999</v>
      </c>
      <c r="N46" s="178">
        <v>0.77900000000000003</v>
      </c>
      <c r="O46" s="141">
        <f t="shared" si="1"/>
        <v>0.75700000000000001</v>
      </c>
      <c r="P46" s="142">
        <v>90</v>
      </c>
      <c r="Q46" s="143">
        <v>89.2</v>
      </c>
      <c r="R46" s="57">
        <v>2388.31</v>
      </c>
      <c r="S46" s="80">
        <v>150</v>
      </c>
      <c r="U46" s="142">
        <v>130</v>
      </c>
      <c r="V46" s="142">
        <v>1.1023000000000001</v>
      </c>
      <c r="W46" s="137">
        <v>5.8</v>
      </c>
      <c r="X46" s="137">
        <v>8</v>
      </c>
      <c r="Y46" s="79">
        <v>30</v>
      </c>
      <c r="Z46" s="143">
        <f t="shared" si="16"/>
        <v>30</v>
      </c>
      <c r="AA46" s="144">
        <f t="shared" si="3"/>
        <v>60</v>
      </c>
      <c r="AB46" s="145">
        <f t="shared" si="4"/>
        <v>1464.5010124869</v>
      </c>
      <c r="AC46" s="145">
        <f>+(S46-T46)*V46-'data 1'!$F$4</f>
        <v>85.344999999999999</v>
      </c>
      <c r="AD46" s="145">
        <f t="shared" si="5"/>
        <v>-15.573280466927946</v>
      </c>
      <c r="AE46" s="145">
        <f>+(Y46*V46-'data 2'!$B$2)+V46*(Z46-IF(D46="UNTUCA",IF(+((W46-3)*2.5+(X46-3)*3.1)&gt;0,+((W46-3)*1.5+(X46-3)*3.1),0),IF(+((W46-3)*1.5+(X46-3)*3.1)&gt;0,+((W46-3)*1.5+(X46-3)*3.1),0)))</f>
        <v>-45.577309999999997</v>
      </c>
      <c r="AF46" s="145">
        <f t="shared" si="6"/>
        <v>55.512173019900047</v>
      </c>
      <c r="AG46" s="145">
        <f t="shared" si="14"/>
        <v>79.706582552972108</v>
      </c>
      <c r="AH46" s="145">
        <f t="shared" si="8"/>
        <v>19.164978548301214</v>
      </c>
      <c r="AI46" s="137">
        <f t="shared" si="9"/>
        <v>198.599891607448</v>
      </c>
      <c r="AJ46" s="137">
        <f t="shared" si="10"/>
        <v>18.718675646206716</v>
      </c>
      <c r="AK46" s="88">
        <f t="shared" si="11"/>
        <v>0.44630290209449797</v>
      </c>
      <c r="AL46" s="57"/>
      <c r="AM46" s="57"/>
    </row>
    <row r="47" spans="1:46" ht="15.75" customHeight="1">
      <c r="A47" s="162" t="s">
        <v>463</v>
      </c>
      <c r="B47" s="194">
        <v>45502</v>
      </c>
      <c r="C47" s="194">
        <v>45498</v>
      </c>
      <c r="D47" s="163" t="s">
        <v>106</v>
      </c>
      <c r="E47" s="251"/>
      <c r="F47" s="163" t="s">
        <v>464</v>
      </c>
      <c r="G47" s="252">
        <v>153</v>
      </c>
      <c r="H47" s="252" t="s">
        <v>465</v>
      </c>
      <c r="I47" s="196">
        <v>11.9</v>
      </c>
      <c r="J47" s="195">
        <v>1</v>
      </c>
      <c r="K47" s="196">
        <f t="shared" si="0"/>
        <v>11.781000000000001</v>
      </c>
      <c r="L47" s="253">
        <v>0.247</v>
      </c>
      <c r="M47" s="197">
        <v>0.23</v>
      </c>
      <c r="N47" s="254">
        <v>0.35699999999999998</v>
      </c>
      <c r="O47" s="197">
        <f t="shared" si="1"/>
        <v>0.29399999999999998</v>
      </c>
      <c r="P47" s="163">
        <v>90</v>
      </c>
      <c r="Q47" s="163">
        <v>89.15</v>
      </c>
      <c r="R47" s="200">
        <v>2387.02</v>
      </c>
      <c r="S47" s="161">
        <v>110</v>
      </c>
      <c r="T47" s="163"/>
      <c r="U47" s="163">
        <v>130</v>
      </c>
      <c r="V47" s="163">
        <v>1.1023000000000001</v>
      </c>
      <c r="W47" s="195">
        <v>5.5</v>
      </c>
      <c r="X47" s="195">
        <v>6.8</v>
      </c>
      <c r="Y47" s="163">
        <v>60</v>
      </c>
      <c r="Z47" s="195">
        <f t="shared" si="16"/>
        <v>30</v>
      </c>
      <c r="AA47" s="200">
        <f t="shared" si="3"/>
        <v>90</v>
      </c>
      <c r="AB47" s="201">
        <f t="shared" si="4"/>
        <v>437.8418184315999</v>
      </c>
      <c r="AC47" s="201">
        <f>+(S47-T47)*V47-'data 1'!$F$4</f>
        <v>41.253</v>
      </c>
      <c r="AD47" s="201">
        <f t="shared" si="5"/>
        <v>-5.2233736500269652</v>
      </c>
      <c r="AE47" s="201">
        <f>+(Y47*V47-'data 2'!$B$2)+V47*(Z47-IF(D47="UNTUCA",IF(+((W47-3)*2.5+(X47-3)*3.1)&gt;0,+((W47-3)*1.5+(X47-3)*3.1),0),IF(+((W47-3)*1.5+(X47-3)*3.1)&gt;0,+((W47-3)*1.5+(X47-3)*3.1),0)))</f>
        <v>-7.9117189999999926</v>
      </c>
      <c r="AF47" s="201">
        <f t="shared" si="6"/>
        <v>-104.24480477397299</v>
      </c>
      <c r="AG47" s="201">
        <f t="shared" si="14"/>
        <v>-76.126897423999935</v>
      </c>
      <c r="AH47" s="201">
        <f t="shared" si="8"/>
        <v>88.942539645152735</v>
      </c>
      <c r="AI47" s="195">
        <f t="shared" si="9"/>
        <v>63.007077554316986</v>
      </c>
      <c r="AJ47" s="195">
        <f t="shared" si="10"/>
        <v>106.87621504087143</v>
      </c>
      <c r="AK47" s="202">
        <f t="shared" si="11"/>
        <v>-17.933675395718694</v>
      </c>
      <c r="AL47" s="200">
        <f>+AB47*K47</f>
        <v>5158.2144629426784</v>
      </c>
      <c r="AM47" s="200"/>
      <c r="AN47" s="163"/>
      <c r="AO47" s="163"/>
      <c r="AP47" s="163"/>
      <c r="AQ47" s="163"/>
      <c r="AR47" s="163"/>
      <c r="AS47" s="163"/>
      <c r="AT47" s="163"/>
    </row>
    <row r="48" spans="1:46" ht="15.75" customHeight="1">
      <c r="A48" s="134" t="s">
        <v>466</v>
      </c>
      <c r="B48" s="135">
        <v>45502</v>
      </c>
      <c r="C48" s="135">
        <v>45498</v>
      </c>
      <c r="D48" s="142" t="s">
        <v>106</v>
      </c>
      <c r="E48" s="176"/>
      <c r="F48" s="142" t="s">
        <v>354</v>
      </c>
      <c r="G48" s="177">
        <v>150</v>
      </c>
      <c r="H48" s="177" t="s">
        <v>450</v>
      </c>
      <c r="I48" s="138">
        <v>11.51</v>
      </c>
      <c r="J48" s="143">
        <v>9.1999999999999993</v>
      </c>
      <c r="K48" s="138">
        <f t="shared" si="0"/>
        <v>10.451079999999999</v>
      </c>
      <c r="L48" s="170">
        <v>0.247</v>
      </c>
      <c r="M48" s="132">
        <v>0.23499999999999999</v>
      </c>
      <c r="N48" s="248">
        <v>0.25019999999999998</v>
      </c>
      <c r="O48" s="141">
        <f t="shared" si="1"/>
        <v>0.24299999999999999</v>
      </c>
      <c r="P48" s="142">
        <v>90</v>
      </c>
      <c r="Q48" s="142">
        <v>89.23</v>
      </c>
      <c r="R48" s="144">
        <v>2387.02</v>
      </c>
      <c r="S48" s="132">
        <v>110</v>
      </c>
      <c r="T48" s="142"/>
      <c r="U48" s="142">
        <v>130</v>
      </c>
      <c r="V48" s="142">
        <v>1.1023000000000001</v>
      </c>
      <c r="W48" s="143">
        <v>5</v>
      </c>
      <c r="X48" s="143">
        <v>6</v>
      </c>
      <c r="Y48" s="142">
        <v>40</v>
      </c>
      <c r="Z48" s="143">
        <f t="shared" si="16"/>
        <v>30</v>
      </c>
      <c r="AA48" s="144">
        <f t="shared" si="3"/>
        <v>70</v>
      </c>
      <c r="AB48" s="145">
        <f t="shared" si="4"/>
        <v>345.69260503020001</v>
      </c>
      <c r="AC48" s="145">
        <f>+(S48-T48)*V48-'data 1'!$F$4</f>
        <v>41.253</v>
      </c>
      <c r="AD48" s="145">
        <f t="shared" si="5"/>
        <v>-4.7317620123773763</v>
      </c>
      <c r="AE48" s="145">
        <f>+(Y48*V48-'data 2'!$B$2)+V48*(Z48-IF(D48="UNTUCA",IF(+((W48-3)*2.5+(X48-3)*3.1)&gt;0,+((W48-3)*1.5+(X48-3)*3.1),0),IF(+((W48-3)*1.5+(X48-3)*3.1)&gt;0,+((W48-3)*1.5+(X48-3)*3.1),0)))</f>
        <v>-26.397290000000002</v>
      </c>
      <c r="AF48" s="145">
        <f t="shared" si="6"/>
        <v>8.8798596007032078</v>
      </c>
      <c r="AG48" s="145">
        <f t="shared" si="14"/>
        <v>19.003807588325834</v>
      </c>
      <c r="AH48" s="145">
        <f t="shared" si="8"/>
        <v>78.972900261753963</v>
      </c>
      <c r="AI48" s="143">
        <f t="shared" si="9"/>
        <v>63.063617837035387</v>
      </c>
      <c r="AJ48" s="143">
        <f t="shared" si="10"/>
        <v>78.364438201806621</v>
      </c>
      <c r="AK48" s="133">
        <f t="shared" si="11"/>
        <v>0.60846205994734248</v>
      </c>
      <c r="AL48" s="144"/>
      <c r="AM48" s="144"/>
      <c r="AN48" s="142"/>
      <c r="AO48" s="142"/>
      <c r="AP48" s="142"/>
      <c r="AQ48" s="142"/>
      <c r="AR48" s="142"/>
      <c r="AS48" s="142"/>
      <c r="AT48" s="142"/>
    </row>
    <row r="49" spans="1:46" ht="15.75" customHeight="1">
      <c r="A49" s="134" t="s">
        <v>467</v>
      </c>
      <c r="B49" s="135">
        <v>45502</v>
      </c>
      <c r="C49" s="135">
        <v>45498</v>
      </c>
      <c r="D49" s="142" t="s">
        <v>106</v>
      </c>
      <c r="E49" s="176"/>
      <c r="F49" s="142" t="s">
        <v>354</v>
      </c>
      <c r="G49" s="177">
        <v>150</v>
      </c>
      <c r="H49" s="177" t="s">
        <v>450</v>
      </c>
      <c r="I49" s="138">
        <v>11.95</v>
      </c>
      <c r="J49" s="143">
        <v>9.4499999999999993</v>
      </c>
      <c r="K49" s="138">
        <f t="shared" si="0"/>
        <v>10.820724999999999</v>
      </c>
      <c r="L49" s="170">
        <v>0.27300000000000002</v>
      </c>
      <c r="M49" s="132">
        <v>0.248</v>
      </c>
      <c r="N49" s="248">
        <v>0.29110000000000003</v>
      </c>
      <c r="O49" s="141">
        <f t="shared" si="1"/>
        <v>0.27</v>
      </c>
      <c r="P49" s="142">
        <v>90</v>
      </c>
      <c r="Q49" s="142">
        <v>89.78</v>
      </c>
      <c r="R49" s="144">
        <v>2387.02</v>
      </c>
      <c r="S49" s="132">
        <v>110</v>
      </c>
      <c r="T49" s="142"/>
      <c r="U49" s="142">
        <v>130</v>
      </c>
      <c r="V49" s="142">
        <v>1.1023000000000001</v>
      </c>
      <c r="W49" s="143">
        <v>5</v>
      </c>
      <c r="X49" s="143">
        <v>6</v>
      </c>
      <c r="Y49" s="142">
        <v>40</v>
      </c>
      <c r="Z49" s="143">
        <f t="shared" si="16"/>
        <v>30</v>
      </c>
      <c r="AA49" s="144">
        <f t="shared" si="3"/>
        <v>70</v>
      </c>
      <c r="AB49" s="145">
        <f t="shared" si="4"/>
        <v>406.14889447800005</v>
      </c>
      <c r="AC49" s="145">
        <f>+(S49-T49)*V49-'data 1'!$F$4</f>
        <v>41.253</v>
      </c>
      <c r="AD49" s="145">
        <f t="shared" si="5"/>
        <v>-1.4942406354875926</v>
      </c>
      <c r="AE49" s="145">
        <f>+(Y49*V49-'data 2'!$B$2)+V49*(Z49-IF(D49="UNTUCA",IF(+((W49-3)*2.5+(X49-3)*3.1)&gt;0,+((W49-3)*1.5+(X49-3)*3.1),0),IF(+((W49-3)*1.5+(X49-3)*3.1)&gt;0,+((W49-3)*1.5+(X49-3)*3.1),0)))</f>
        <v>-26.397290000000002</v>
      </c>
      <c r="AF49" s="145">
        <f t="shared" si="6"/>
        <v>6.7009452674364063</v>
      </c>
      <c r="AG49" s="145">
        <f t="shared" si="14"/>
        <v>20.062414631948812</v>
      </c>
      <c r="AH49" s="145">
        <f t="shared" si="8"/>
        <v>90.930101803704758</v>
      </c>
      <c r="AI49" s="143">
        <f t="shared" si="9"/>
        <v>70.131525152379595</v>
      </c>
      <c r="AJ49" s="143">
        <f t="shared" si="10"/>
        <v>90.151239612582728</v>
      </c>
      <c r="AK49" s="133">
        <f t="shared" si="11"/>
        <v>0.77886219112203037</v>
      </c>
      <c r="AL49" s="144"/>
      <c r="AM49" s="144"/>
      <c r="AN49" s="142"/>
      <c r="AO49" s="142"/>
      <c r="AP49" s="142"/>
      <c r="AQ49" s="142"/>
      <c r="AR49" s="142"/>
      <c r="AS49" s="142"/>
      <c r="AT49" s="142"/>
    </row>
    <row r="50" spans="1:46" ht="15.75" customHeight="1">
      <c r="A50" s="134" t="s">
        <v>468</v>
      </c>
      <c r="B50" s="135">
        <v>45503</v>
      </c>
      <c r="C50" s="135">
        <v>45501</v>
      </c>
      <c r="D50" s="142" t="s">
        <v>106</v>
      </c>
      <c r="E50" s="176"/>
      <c r="F50" s="142" t="s">
        <v>469</v>
      </c>
      <c r="G50" s="177">
        <v>52</v>
      </c>
      <c r="H50" s="177" t="s">
        <v>116</v>
      </c>
      <c r="I50" s="138">
        <v>5.0679999999999996</v>
      </c>
      <c r="J50" s="143">
        <v>5.15</v>
      </c>
      <c r="K50" s="138">
        <f t="shared" si="0"/>
        <v>4.8069979999999992</v>
      </c>
      <c r="L50" s="170">
        <v>0.19</v>
      </c>
      <c r="M50" s="141">
        <v>0.18049999999999999</v>
      </c>
      <c r="N50" s="247">
        <v>0.18049999999999999</v>
      </c>
      <c r="O50" s="141">
        <f t="shared" si="1"/>
        <v>0.18099999999999999</v>
      </c>
      <c r="P50" s="142">
        <v>90</v>
      </c>
      <c r="Q50" s="143">
        <v>90.281578947368416</v>
      </c>
      <c r="R50" s="144">
        <v>2379.1</v>
      </c>
      <c r="S50" s="132">
        <v>110</v>
      </c>
      <c r="T50" s="142"/>
      <c r="U50" s="142">
        <v>130</v>
      </c>
      <c r="V50" s="142">
        <v>1.1023000000000001</v>
      </c>
      <c r="W50" s="143">
        <v>5.5</v>
      </c>
      <c r="X50" s="143">
        <v>15</v>
      </c>
      <c r="Y50" s="142">
        <v>50</v>
      </c>
      <c r="Z50" s="143">
        <f t="shared" si="16"/>
        <v>40.950000000000003</v>
      </c>
      <c r="AA50" s="144">
        <f t="shared" si="3"/>
        <v>90.95</v>
      </c>
      <c r="AB50" s="145">
        <f t="shared" si="4"/>
        <v>182.35171429700006</v>
      </c>
      <c r="AC50" s="145">
        <f>+(S50-T50)*V50-'data 1'!$F$4</f>
        <v>41.253</v>
      </c>
      <c r="AD50" s="145">
        <f t="shared" si="5"/>
        <v>1.3263628675499777</v>
      </c>
      <c r="AE50" s="145">
        <f>+(Y50*V50-'data 2'!$B$2)+V50*(Z50-IF(D50="UNTUCA",IF(+((W50-3)*2.5+(X50-3)*3.1)&gt;0,+((W50-3)*1.5+(X50-3)*3.1),0),IF(+((W50-3)*1.5+(X50-3)*3.1)&gt;0,+((W50-3)*1.5+(X50-3)*3.1),0)))</f>
        <v>-34.884999999999998</v>
      </c>
      <c r="AF50" s="145">
        <f t="shared" si="6"/>
        <v>20.144209447778703</v>
      </c>
      <c r="AG50" s="145">
        <f t="shared" si="14"/>
        <v>27.83857231532868</v>
      </c>
      <c r="AH50" s="145">
        <f t="shared" si="8"/>
        <v>28.27064763393842</v>
      </c>
      <c r="AI50" s="143">
        <f t="shared" si="9"/>
        <v>50.579710658750002</v>
      </c>
      <c r="AJ50" s="143">
        <f t="shared" si="10"/>
        <v>26.847515081869982</v>
      </c>
      <c r="AK50" s="133">
        <f t="shared" si="11"/>
        <v>1.4231325520684379</v>
      </c>
      <c r="AL50" s="144"/>
      <c r="AM50" s="144"/>
      <c r="AN50" s="142"/>
      <c r="AO50" s="142"/>
      <c r="AP50" s="142"/>
      <c r="AQ50" s="142"/>
      <c r="AR50" s="142"/>
      <c r="AS50" s="142"/>
      <c r="AT50" s="142"/>
    </row>
    <row r="51" spans="1:46" ht="15.75" customHeight="1">
      <c r="A51" s="134" t="s">
        <v>470</v>
      </c>
      <c r="B51" s="135">
        <v>45503</v>
      </c>
      <c r="C51" s="135">
        <v>45501</v>
      </c>
      <c r="D51" s="142" t="s">
        <v>106</v>
      </c>
      <c r="E51" s="176"/>
      <c r="F51" s="142" t="s">
        <v>469</v>
      </c>
      <c r="G51" s="177">
        <v>52</v>
      </c>
      <c r="H51" s="177" t="s">
        <v>116</v>
      </c>
      <c r="I51" s="138">
        <v>5.1020000000000003</v>
      </c>
      <c r="J51" s="143">
        <v>5.5</v>
      </c>
      <c r="K51" s="138">
        <f t="shared" si="0"/>
        <v>4.8213900000000001</v>
      </c>
      <c r="L51" s="170">
        <v>0.19800000000000001</v>
      </c>
      <c r="M51" s="141">
        <v>0.18809999999999999</v>
      </c>
      <c r="N51" s="247">
        <v>0.18809999999999999</v>
      </c>
      <c r="O51" s="141">
        <f t="shared" si="1"/>
        <v>0.188</v>
      </c>
      <c r="P51" s="142">
        <v>90</v>
      </c>
      <c r="Q51" s="143">
        <v>90.545454545454561</v>
      </c>
      <c r="R51" s="144">
        <v>2379.1</v>
      </c>
      <c r="S51" s="132">
        <v>110</v>
      </c>
      <c r="T51" s="142"/>
      <c r="U51" s="142">
        <v>130</v>
      </c>
      <c r="V51" s="142">
        <v>1.1023000000000001</v>
      </c>
      <c r="W51" s="143">
        <v>5.5</v>
      </c>
      <c r="X51" s="143">
        <v>15.1</v>
      </c>
      <c r="Y51" s="142">
        <v>50</v>
      </c>
      <c r="Z51" s="143">
        <f t="shared" si="16"/>
        <v>41.26</v>
      </c>
      <c r="AA51" s="144">
        <f t="shared" si="3"/>
        <v>91.259999999999991</v>
      </c>
      <c r="AB51" s="145">
        <f t="shared" si="4"/>
        <v>197.62885375600004</v>
      </c>
      <c r="AC51" s="145">
        <f>+(S51-T51)*V51-'data 1'!$F$4</f>
        <v>41.253</v>
      </c>
      <c r="AD51" s="145">
        <f t="shared" si="5"/>
        <v>2.6775175644000764</v>
      </c>
      <c r="AE51" s="145">
        <f>+(Y51*V51-'data 2'!$B$2)+V51*(Z51-IF(D51="UNTUCA",IF(+((W51-3)*2.5+(X51-3)*3.1)&gt;0,+((W51-3)*1.5+(X51-3)*3.1),0),IF(+((W51-3)*1.5+(X51-3)*3.1)&gt;0,+((W51-3)*1.5+(X51-3)*3.1),0)))</f>
        <v>-34.884999999999998</v>
      </c>
      <c r="AF51" s="145">
        <f t="shared" si="6"/>
        <v>22.447874529818204</v>
      </c>
      <c r="AG51" s="145">
        <f t="shared" si="14"/>
        <v>31.493392094218283</v>
      </c>
      <c r="AH51" s="145">
        <f t="shared" si="8"/>
        <v>29.635562552765041</v>
      </c>
      <c r="AI51" s="143">
        <f t="shared" si="9"/>
        <v>52.863442020000008</v>
      </c>
      <c r="AJ51" s="143">
        <f t="shared" si="10"/>
        <v>27.969306023693903</v>
      </c>
      <c r="AK51" s="133">
        <f t="shared" si="11"/>
        <v>1.6662565290711377</v>
      </c>
      <c r="AL51" s="144"/>
      <c r="AM51" s="144"/>
      <c r="AN51" s="142"/>
      <c r="AO51" s="142"/>
      <c r="AP51" s="142"/>
      <c r="AQ51" s="142"/>
      <c r="AR51" s="142"/>
      <c r="AS51" s="142"/>
      <c r="AT51" s="142"/>
    </row>
    <row r="52" spans="1:46" ht="15.75" customHeight="1">
      <c r="A52" s="134" t="s">
        <v>471</v>
      </c>
      <c r="B52" s="135">
        <v>45503</v>
      </c>
      <c r="C52" s="135">
        <v>45501</v>
      </c>
      <c r="D52" s="142" t="s">
        <v>106</v>
      </c>
      <c r="E52" s="176"/>
      <c r="F52" s="142" t="s">
        <v>469</v>
      </c>
      <c r="G52" s="177">
        <v>51</v>
      </c>
      <c r="H52" s="177" t="s">
        <v>116</v>
      </c>
      <c r="I52" s="138">
        <v>4.88</v>
      </c>
      <c r="J52" s="143">
        <v>5.85</v>
      </c>
      <c r="K52" s="138">
        <f t="shared" si="0"/>
        <v>4.5945200000000002</v>
      </c>
      <c r="L52" s="170">
        <v>0.191</v>
      </c>
      <c r="M52" s="141">
        <v>0.18336</v>
      </c>
      <c r="N52" s="247">
        <v>0.18336</v>
      </c>
      <c r="O52" s="141">
        <f t="shared" si="1"/>
        <v>0.183</v>
      </c>
      <c r="P52" s="142">
        <v>90</v>
      </c>
      <c r="Q52" s="143">
        <v>90.251308900523554</v>
      </c>
      <c r="R52" s="144">
        <v>2379.1</v>
      </c>
      <c r="S52" s="132">
        <v>110</v>
      </c>
      <c r="T52" s="142"/>
      <c r="U52" s="142">
        <v>130</v>
      </c>
      <c r="V52" s="142">
        <v>1.1023000000000001</v>
      </c>
      <c r="W52" s="143">
        <v>5.5</v>
      </c>
      <c r="X52" s="143">
        <v>15.1</v>
      </c>
      <c r="Y52" s="142">
        <v>50</v>
      </c>
      <c r="Z52" s="143">
        <f t="shared" si="16"/>
        <v>41.26</v>
      </c>
      <c r="AA52" s="144">
        <f t="shared" si="3"/>
        <v>91.259999999999991</v>
      </c>
      <c r="AB52" s="145">
        <f t="shared" si="4"/>
        <v>186.47253057099999</v>
      </c>
      <c r="AC52" s="145">
        <f>+(S52-T52)*V52-'data 1'!$F$4</f>
        <v>41.253</v>
      </c>
      <c r="AD52" s="145">
        <f t="shared" si="5"/>
        <v>1.1900078063999717</v>
      </c>
      <c r="AE52" s="145">
        <f>+(Y52*V52-'data 2'!$B$2)+V52*(Z52-IF(D52="UNTUCA",IF(+((W52-3)*2.5+(X52-3)*3.1)&gt;0,+((W52-3)*1.5+(X52-3)*3.1),0),IF(+((W52-3)*1.5+(X52-3)*3.1)&gt;0,+((W52-3)*1.5+(X52-3)*3.1),0)))</f>
        <v>-34.884999999999998</v>
      </c>
      <c r="AF52" s="145">
        <f t="shared" si="6"/>
        <v>17.899960354906824</v>
      </c>
      <c r="AG52" s="145">
        <f t="shared" si="14"/>
        <v>25.457968161306795</v>
      </c>
      <c r="AH52" s="145">
        <f t="shared" si="8"/>
        <v>27.154142452218917</v>
      </c>
      <c r="AI52" s="143">
        <f t="shared" si="9"/>
        <v>50.828871795000005</v>
      </c>
      <c r="AJ52" s="143">
        <f t="shared" si="10"/>
        <v>25.944351211744141</v>
      </c>
      <c r="AK52" s="133">
        <f t="shared" si="11"/>
        <v>1.2097912404747753</v>
      </c>
      <c r="AL52" s="144"/>
      <c r="AM52" s="144"/>
      <c r="AN52" s="142"/>
      <c r="AO52" s="142"/>
      <c r="AP52" s="142"/>
      <c r="AQ52" s="142"/>
      <c r="AR52" s="142"/>
      <c r="AS52" s="142"/>
      <c r="AT52" s="142"/>
    </row>
    <row r="53" spans="1:46" ht="15.75" customHeight="1">
      <c r="A53" s="134" t="s">
        <v>472</v>
      </c>
      <c r="B53" s="135">
        <v>45503</v>
      </c>
      <c r="C53" s="135">
        <v>45501</v>
      </c>
      <c r="D53" s="142" t="s">
        <v>106</v>
      </c>
      <c r="E53" s="176"/>
      <c r="F53" s="142" t="s">
        <v>473</v>
      </c>
      <c r="G53" s="177">
        <v>54</v>
      </c>
      <c r="H53" s="177" t="s">
        <v>116</v>
      </c>
      <c r="I53" s="138">
        <v>5.15</v>
      </c>
      <c r="J53" s="143">
        <v>6.55</v>
      </c>
      <c r="K53" s="138">
        <f t="shared" si="0"/>
        <v>4.8126750000000005</v>
      </c>
      <c r="L53" s="170">
        <v>0.30599999999999999</v>
      </c>
      <c r="M53" s="141">
        <v>0.29375999999999997</v>
      </c>
      <c r="N53" s="248">
        <v>0.33900000000000002</v>
      </c>
      <c r="O53" s="141">
        <f t="shared" si="1"/>
        <v>0.316</v>
      </c>
      <c r="P53" s="142">
        <v>90</v>
      </c>
      <c r="Q53" s="143">
        <v>90.19281045751633</v>
      </c>
      <c r="R53" s="144">
        <v>2379.1</v>
      </c>
      <c r="S53" s="132">
        <v>130</v>
      </c>
      <c r="T53" s="142"/>
      <c r="U53" s="142">
        <v>130</v>
      </c>
      <c r="V53" s="142">
        <v>1.1023000000000001</v>
      </c>
      <c r="W53" s="143">
        <v>5.4</v>
      </c>
      <c r="X53" s="143">
        <v>15</v>
      </c>
      <c r="Y53" s="142">
        <v>50</v>
      </c>
      <c r="Z53" s="143">
        <f t="shared" si="16"/>
        <v>40.800000000000004</v>
      </c>
      <c r="AA53" s="144">
        <f t="shared" si="3"/>
        <v>90.800000000000011</v>
      </c>
      <c r="AB53" s="145">
        <f t="shared" si="4"/>
        <v>461.69178529200002</v>
      </c>
      <c r="AC53" s="145">
        <f>+(S53-T53)*V53-'data 1'!$F$4</f>
        <v>63.299000000000007</v>
      </c>
      <c r="AD53" s="145">
        <f t="shared" si="5"/>
        <v>1.4627179286999274</v>
      </c>
      <c r="AE53" s="145">
        <f>+(Y53*V53-'data 2'!$B$2)+V53*(Z53-IF(D53="UNTUCA",IF(+((W53-3)*2.5+(X53-3)*3.1)&gt;0,+((W53-3)*1.5+(X53-3)*3.1),0),IF(+((W53-3)*1.5+(X53-3)*3.1)&gt;0,+((W53-3)*1.5+(X53-3)*3.1),0)))</f>
        <v>-34.884999999999998</v>
      </c>
      <c r="AF53" s="145">
        <f t="shared" si="6"/>
        <v>-22.360447609500014</v>
      </c>
      <c r="AG53" s="145">
        <f t="shared" si="14"/>
        <v>7.5162703191999256</v>
      </c>
      <c r="AH53" s="145">
        <f t="shared" si="8"/>
        <v>45.539572617355979</v>
      </c>
      <c r="AI53" s="143">
        <f t="shared" si="9"/>
        <v>81.379860347499999</v>
      </c>
      <c r="AJ53" s="143">
        <f t="shared" si="10"/>
        <v>46.927259873097007</v>
      </c>
      <c r="AK53" s="133">
        <f t="shared" si="11"/>
        <v>-1.387687255741028</v>
      </c>
      <c r="AL53" s="144"/>
      <c r="AM53" s="144"/>
      <c r="AN53" s="142"/>
      <c r="AO53" s="142"/>
      <c r="AP53" s="142"/>
      <c r="AQ53" s="142"/>
      <c r="AR53" s="142"/>
      <c r="AS53" s="142"/>
      <c r="AT53" s="142"/>
    </row>
    <row r="54" spans="1:46" ht="15.75" customHeight="1">
      <c r="A54" s="134" t="s">
        <v>474</v>
      </c>
      <c r="B54" s="135">
        <v>45503</v>
      </c>
      <c r="C54" s="135">
        <v>45501</v>
      </c>
      <c r="D54" s="142" t="s">
        <v>106</v>
      </c>
      <c r="E54" s="176"/>
      <c r="F54" s="142" t="s">
        <v>473</v>
      </c>
      <c r="G54" s="177">
        <v>53</v>
      </c>
      <c r="H54" s="177" t="s">
        <v>116</v>
      </c>
      <c r="I54" s="138">
        <v>4.9800000000000004</v>
      </c>
      <c r="J54" s="143">
        <v>6.85</v>
      </c>
      <c r="K54" s="138">
        <f t="shared" si="0"/>
        <v>4.6388700000000007</v>
      </c>
      <c r="L54" s="170">
        <v>0.2</v>
      </c>
      <c r="M54" s="141">
        <v>0.19</v>
      </c>
      <c r="N54" s="247">
        <v>0.19</v>
      </c>
      <c r="O54" s="141">
        <f t="shared" si="1"/>
        <v>0.19</v>
      </c>
      <c r="P54" s="142">
        <v>90</v>
      </c>
      <c r="Q54" s="143">
        <v>90.394999999999996</v>
      </c>
      <c r="R54" s="144">
        <v>2379.1</v>
      </c>
      <c r="S54" s="132">
        <v>110</v>
      </c>
      <c r="T54" s="142"/>
      <c r="U54" s="142">
        <v>130</v>
      </c>
      <c r="V54" s="142">
        <v>1.1023000000000001</v>
      </c>
      <c r="W54" s="143">
        <v>5.4</v>
      </c>
      <c r="X54" s="143">
        <v>14.9</v>
      </c>
      <c r="Y54" s="142">
        <v>50</v>
      </c>
      <c r="Z54" s="143">
        <f t="shared" si="16"/>
        <v>40.49</v>
      </c>
      <c r="AA54" s="144">
        <f t="shared" si="3"/>
        <v>90.490000000000009</v>
      </c>
      <c r="AB54" s="145">
        <f t="shared" si="4"/>
        <v>202.94015402999997</v>
      </c>
      <c r="AC54" s="145">
        <f>+(S54-T54)*V54-'data 1'!$F$4</f>
        <v>41.253</v>
      </c>
      <c r="AD54" s="145">
        <f t="shared" si="5"/>
        <v>1.9585545146999803</v>
      </c>
      <c r="AE54" s="145">
        <f>+(Y54*V54-'data 2'!$B$2)+V54*(Z54-IF(D54="UNTUCA",IF(+((W54-3)*2.5+(X54-3)*3.1)&gt;0,+((W54-3)*1.5+(X54-3)*3.1),0),IF(+((W54-3)*1.5+(X54-3)*3.1)&gt;0,+((W54-3)*1.5+(X54-3)*3.1),0)))</f>
        <v>-34.884999999999998</v>
      </c>
      <c r="AF54" s="145">
        <f t="shared" si="6"/>
        <v>22.410574095735019</v>
      </c>
      <c r="AG54" s="145">
        <f t="shared" si="14"/>
        <v>30.737128610435004</v>
      </c>
      <c r="AH54" s="145">
        <f t="shared" si="8"/>
        <v>28.753828363300805</v>
      </c>
      <c r="AI54" s="143">
        <f t="shared" si="9"/>
        <v>53.308688547499997</v>
      </c>
      <c r="AJ54" s="143">
        <f t="shared" si="10"/>
        <v>27.196773328859102</v>
      </c>
      <c r="AK54" s="133">
        <f t="shared" si="11"/>
        <v>1.5570550344417029</v>
      </c>
      <c r="AL54" s="144"/>
      <c r="AM54" s="144"/>
      <c r="AN54" s="142"/>
      <c r="AO54" s="142"/>
      <c r="AP54" s="142"/>
      <c r="AQ54" s="142"/>
      <c r="AR54" s="142"/>
      <c r="AS54" s="142"/>
      <c r="AT54" s="142"/>
    </row>
    <row r="55" spans="1:46" ht="15.75" customHeight="1">
      <c r="A55" s="134" t="s">
        <v>475</v>
      </c>
      <c r="B55" s="135">
        <v>45503</v>
      </c>
      <c r="C55" s="135">
        <v>45501</v>
      </c>
      <c r="D55" s="142" t="s">
        <v>106</v>
      </c>
      <c r="E55" s="176"/>
      <c r="F55" s="142" t="s">
        <v>473</v>
      </c>
      <c r="G55" s="177">
        <v>53</v>
      </c>
      <c r="H55" s="177" t="s">
        <v>116</v>
      </c>
      <c r="I55" s="138">
        <v>4.9400000000000004</v>
      </c>
      <c r="J55" s="143">
        <v>7.75</v>
      </c>
      <c r="K55" s="138">
        <f t="shared" si="0"/>
        <v>4.55715</v>
      </c>
      <c r="L55" s="170">
        <v>0.19900000000000001</v>
      </c>
      <c r="M55" s="141">
        <v>0.18706</v>
      </c>
      <c r="N55" s="247">
        <v>0.18706</v>
      </c>
      <c r="O55" s="141">
        <f t="shared" si="1"/>
        <v>0.187</v>
      </c>
      <c r="P55" s="142">
        <v>90</v>
      </c>
      <c r="Q55" s="143">
        <v>90.175879396984925</v>
      </c>
      <c r="R55" s="144">
        <v>2379.1</v>
      </c>
      <c r="S55" s="132">
        <v>110</v>
      </c>
      <c r="T55" s="142"/>
      <c r="U55" s="142">
        <v>130</v>
      </c>
      <c r="V55" s="142">
        <v>1.1023000000000001</v>
      </c>
      <c r="W55" s="143">
        <v>5.4</v>
      </c>
      <c r="X55" s="143">
        <v>14.8</v>
      </c>
      <c r="Y55" s="142">
        <v>50</v>
      </c>
      <c r="Z55" s="143">
        <f t="shared" si="16"/>
        <v>40.180000000000007</v>
      </c>
      <c r="AA55" s="144">
        <f t="shared" si="3"/>
        <v>90.18</v>
      </c>
      <c r="AB55" s="145">
        <f t="shared" si="4"/>
        <v>196.58807311899994</v>
      </c>
      <c r="AC55" s="145">
        <f>+(S55-T55)*V55-'data 1'!$F$4</f>
        <v>41.253</v>
      </c>
      <c r="AD55" s="145">
        <f t="shared" si="5"/>
        <v>0.86771402550000221</v>
      </c>
      <c r="AE55" s="145">
        <f>+(Y55*V55-'data 2'!$B$2)+V55*(Z55-IF(D55="UNTUCA",IF(+((W55-3)*2.5+(X55-3)*3.1)&gt;0,+((W55-3)*1.5+(X55-3)*3.1),0),IF(+((W55-3)*1.5+(X55-3)*3.1)&gt;0,+((W55-3)*1.5+(X55-3)*3.1),0)))</f>
        <v>-34.884999999999998</v>
      </c>
      <c r="AF55" s="145">
        <f t="shared" si="6"/>
        <v>26.827500107849268</v>
      </c>
      <c r="AG55" s="145">
        <f t="shared" si="14"/>
        <v>34.06321413334927</v>
      </c>
      <c r="AH55" s="145">
        <f t="shared" si="8"/>
        <v>28.037924096486723</v>
      </c>
      <c r="AI55" s="143">
        <f t="shared" si="9"/>
        <v>52.913569112500006</v>
      </c>
      <c r="AJ55" s="143">
        <f t="shared" si="10"/>
        <v>26.295807330391277</v>
      </c>
      <c r="AK55" s="133">
        <f t="shared" si="11"/>
        <v>1.742116766095446</v>
      </c>
      <c r="AL55" s="144"/>
      <c r="AM55" s="144"/>
      <c r="AN55" s="142"/>
      <c r="AO55" s="142"/>
      <c r="AP55" s="142"/>
      <c r="AQ55" s="142"/>
      <c r="AR55" s="142"/>
      <c r="AS55" s="142"/>
      <c r="AT55" s="142"/>
    </row>
    <row r="56" spans="1:46" ht="15.75" customHeight="1">
      <c r="A56" s="134" t="s">
        <v>476</v>
      </c>
      <c r="B56" s="135">
        <v>45505</v>
      </c>
      <c r="C56" s="135">
        <v>45501</v>
      </c>
      <c r="D56" s="142" t="s">
        <v>106</v>
      </c>
      <c r="E56" s="176"/>
      <c r="F56" s="142" t="s">
        <v>477</v>
      </c>
      <c r="G56" s="177">
        <v>20</v>
      </c>
      <c r="H56" s="177" t="s">
        <v>450</v>
      </c>
      <c r="I56" s="138">
        <v>1.67</v>
      </c>
      <c r="J56" s="143">
        <v>24.8</v>
      </c>
      <c r="K56" s="138">
        <f t="shared" si="0"/>
        <v>1.2558400000000001</v>
      </c>
      <c r="L56" s="170">
        <v>1.306</v>
      </c>
      <c r="M56" s="141">
        <v>1.25376</v>
      </c>
      <c r="N56" s="248">
        <v>1.319</v>
      </c>
      <c r="O56" s="141">
        <f t="shared" si="1"/>
        <v>1.286</v>
      </c>
      <c r="P56" s="142">
        <v>90</v>
      </c>
      <c r="Q56" s="143">
        <v>89.487748851454839</v>
      </c>
      <c r="R56" s="144">
        <v>2379.1</v>
      </c>
      <c r="S56" s="132">
        <v>200</v>
      </c>
      <c r="T56" s="142"/>
      <c r="U56" s="142">
        <v>130</v>
      </c>
      <c r="V56" s="142">
        <v>1.1023000000000001</v>
      </c>
      <c r="W56" s="143">
        <v>5.5</v>
      </c>
      <c r="X56" s="143">
        <v>7.8</v>
      </c>
      <c r="Y56" s="142">
        <v>50</v>
      </c>
      <c r="Z56" s="143">
        <f t="shared" si="16"/>
        <v>30</v>
      </c>
      <c r="AA56" s="144">
        <f t="shared" si="3"/>
        <v>80</v>
      </c>
      <c r="AB56" s="145">
        <f t="shared" si="4"/>
        <v>2560.7623231820003</v>
      </c>
      <c r="AC56" s="145">
        <f>+(S56-T56)*V56-'data 1'!$F$4</f>
        <v>140.46</v>
      </c>
      <c r="AD56" s="145">
        <f t="shared" si="5"/>
        <v>-16.585733801699515</v>
      </c>
      <c r="AE56" s="145">
        <f>+(Y56*V56-'data 2'!$B$2)+V56*(Z56-IF(D56="UNTUCA",IF(+((W56-3)*2.5+(X56-3)*3.1)&gt;0,+((W56-3)*1.5+(X56-3)*3.1),0),IF(+((W56-3)*1.5+(X56-3)*3.1)&gt;0,+((W56-3)*1.5+(X56-3)*3.1),0)))</f>
        <v>-22.351848999999994</v>
      </c>
      <c r="AF56" s="145">
        <f t="shared" si="6"/>
        <v>44.371299879330827</v>
      </c>
      <c r="AG56" s="145">
        <f t="shared" si="14"/>
        <v>145.89371707763132</v>
      </c>
      <c r="AH56" s="145">
        <f t="shared" si="8"/>
        <v>50.32110174196302</v>
      </c>
      <c r="AI56" s="143">
        <f t="shared" si="9"/>
        <v>344.61196632750011</v>
      </c>
      <c r="AJ56" s="143">
        <f t="shared" si="10"/>
        <v>49.834127504811278</v>
      </c>
      <c r="AK56" s="133">
        <f t="shared" si="11"/>
        <v>0.48697423715174182</v>
      </c>
      <c r="AL56" s="144"/>
      <c r="AM56" s="144"/>
      <c r="AN56" s="142"/>
      <c r="AO56" s="142"/>
      <c r="AP56" s="142"/>
      <c r="AQ56" s="142"/>
      <c r="AR56" s="142"/>
      <c r="AS56" s="142"/>
      <c r="AT56" s="142"/>
    </row>
    <row r="57" spans="1:46" ht="15.75" customHeight="1">
      <c r="A57" s="134" t="s">
        <v>478</v>
      </c>
      <c r="B57" s="135">
        <v>45504</v>
      </c>
      <c r="C57" s="135">
        <v>45501</v>
      </c>
      <c r="D57" s="142" t="s">
        <v>72</v>
      </c>
      <c r="E57" s="176"/>
      <c r="F57" s="142" t="s">
        <v>479</v>
      </c>
      <c r="G57" s="177">
        <v>81</v>
      </c>
      <c r="H57" s="177" t="s">
        <v>69</v>
      </c>
      <c r="I57" s="138">
        <v>7.22</v>
      </c>
      <c r="J57" s="143">
        <v>8.6999999999999993</v>
      </c>
      <c r="K57" s="138">
        <f t="shared" si="0"/>
        <v>6.5918599999999996</v>
      </c>
      <c r="L57" s="170">
        <v>0.91299999999999992</v>
      </c>
      <c r="M57" s="141">
        <v>0.87647999999999993</v>
      </c>
      <c r="N57" s="248">
        <v>1.0349999999999999</v>
      </c>
      <c r="O57" s="141">
        <f t="shared" si="1"/>
        <v>0.95599999999999996</v>
      </c>
      <c r="P57" s="142">
        <v>90</v>
      </c>
      <c r="Q57" s="143">
        <v>89.638554216867476</v>
      </c>
      <c r="R57" s="144">
        <v>2379.1</v>
      </c>
      <c r="S57" s="132">
        <v>170</v>
      </c>
      <c r="T57" s="142"/>
      <c r="U57" s="142">
        <v>130</v>
      </c>
      <c r="V57" s="142">
        <v>1.1023000000000001</v>
      </c>
      <c r="W57" s="143">
        <v>5</v>
      </c>
      <c r="X57" s="143">
        <v>7.9</v>
      </c>
      <c r="Y57" s="142"/>
      <c r="Z57" s="143">
        <f t="shared" si="16"/>
        <v>30</v>
      </c>
      <c r="AA57" s="144">
        <f t="shared" si="3"/>
        <v>30</v>
      </c>
      <c r="AB57" s="145">
        <f t="shared" si="4"/>
        <v>1912.6289929719999</v>
      </c>
      <c r="AC57" s="145">
        <f>+(S57-T57)*V57-'data 1'!$F$4</f>
        <v>107.39100000000002</v>
      </c>
      <c r="AD57" s="145">
        <f t="shared" si="5"/>
        <v>-8.1813036689998597</v>
      </c>
      <c r="AE57" s="145">
        <f>+(Y57*V57-'data 2'!$B$2)+V57*(Z57-IF(D57="UNTUCA",IF(+((W57-3)*2.5+(X57-3)*3.1)&gt;0,+((W57-3)*1.5+(X57-3)*3.1),0),IF(+((W57-3)*1.5+(X57-3)*3.1)&gt;0,+((W57-3)*1.5+(X57-3)*3.1),0)))</f>
        <v>-76.981836999999999</v>
      </c>
      <c r="AF57" s="145">
        <f t="shared" si="6"/>
        <v>-95.559060598265148</v>
      </c>
      <c r="AG57" s="145">
        <f t="shared" si="14"/>
        <v>-73.331201267264987</v>
      </c>
      <c r="AH57" s="145">
        <f t="shared" si="8"/>
        <v>184.96206485352985</v>
      </c>
      <c r="AI57" s="143">
        <f t="shared" si="9"/>
        <v>241.31772060000003</v>
      </c>
      <c r="AJ57" s="143">
        <f t="shared" si="10"/>
        <v>194.45425293252327</v>
      </c>
      <c r="AK57" s="133">
        <f t="shared" si="11"/>
        <v>-9.4921880789934221</v>
      </c>
      <c r="AL57" s="144" t="s">
        <v>480</v>
      </c>
      <c r="AM57" s="144"/>
      <c r="AN57" s="142"/>
      <c r="AO57" s="142"/>
      <c r="AP57" s="142"/>
      <c r="AQ57" s="142"/>
      <c r="AR57" s="142"/>
      <c r="AS57" s="142"/>
      <c r="AT57" s="142"/>
    </row>
    <row r="58" spans="1:46" ht="15.75" customHeight="1">
      <c r="A58" s="134" t="s">
        <v>481</v>
      </c>
      <c r="B58" s="135">
        <v>45504</v>
      </c>
      <c r="C58" s="135">
        <v>45501</v>
      </c>
      <c r="D58" s="142" t="s">
        <v>72</v>
      </c>
      <c r="E58" s="176"/>
      <c r="F58" s="142" t="s">
        <v>479</v>
      </c>
      <c r="G58" s="177">
        <v>130</v>
      </c>
      <c r="H58" s="177" t="s">
        <v>69</v>
      </c>
      <c r="I58" s="138">
        <v>11.4</v>
      </c>
      <c r="J58" s="143">
        <v>7.6</v>
      </c>
      <c r="K58" s="138">
        <f t="shared" si="0"/>
        <v>10.5336</v>
      </c>
      <c r="L58" s="170">
        <v>0.55633333333333335</v>
      </c>
      <c r="M58" s="141">
        <v>0.52851666666666663</v>
      </c>
      <c r="N58" s="248">
        <v>0.60199999999999998</v>
      </c>
      <c r="O58" s="141">
        <f t="shared" si="1"/>
        <v>0.56499999999999995</v>
      </c>
      <c r="P58" s="142">
        <v>90</v>
      </c>
      <c r="Q58" s="143">
        <v>89.574595566207307</v>
      </c>
      <c r="R58" s="144">
        <v>2379.1</v>
      </c>
      <c r="S58" s="132">
        <v>130</v>
      </c>
      <c r="T58" s="142"/>
      <c r="U58" s="142">
        <v>130</v>
      </c>
      <c r="V58" s="142">
        <v>1.1023000000000001</v>
      </c>
      <c r="W58" s="143">
        <v>5</v>
      </c>
      <c r="X58" s="143">
        <v>14.6</v>
      </c>
      <c r="Y58" s="142"/>
      <c r="Z58" s="143">
        <f t="shared" si="16"/>
        <v>38.96</v>
      </c>
      <c r="AA58" s="144">
        <f t="shared" si="3"/>
        <v>38.96</v>
      </c>
      <c r="AB58" s="145">
        <f t="shared" si="4"/>
        <v>1074.4199119049999</v>
      </c>
      <c r="AC58" s="145">
        <f>+(S58-T58)*V58-'data 1'!$F$4</f>
        <v>63.299000000000007</v>
      </c>
      <c r="AD58" s="145">
        <f t="shared" si="5"/>
        <v>-5.8673996010000362</v>
      </c>
      <c r="AE58" s="145">
        <f>+(Y58*V58-'data 2'!$B$2)+V58*(Z58-IF(D58="UNTUCA",IF(+((W58-3)*2.5+(X58-3)*3.1)&gt;0,+((W58-3)*1.5+(X58-3)*3.1),0),IF(+((W58-3)*1.5+(X58-3)*3.1)&gt;0,+((W58-3)*1.5+(X58-3)*3.1),0)))</f>
        <v>-90</v>
      </c>
      <c r="AF58" s="145">
        <f t="shared" si="6"/>
        <v>-19.246223385080739</v>
      </c>
      <c r="AG58" s="145">
        <f t="shared" si="14"/>
        <v>-51.814622986080771</v>
      </c>
      <c r="AH58" s="145">
        <f t="shared" si="8"/>
        <v>179.97236750913419</v>
      </c>
      <c r="AI58" s="143">
        <f t="shared" si="9"/>
        <v>146.94118291666666</v>
      </c>
      <c r="AJ58" s="143">
        <f t="shared" si="10"/>
        <v>183.64404457202957</v>
      </c>
      <c r="AK58" s="133">
        <f t="shared" si="11"/>
        <v>-3.6716770628953839</v>
      </c>
      <c r="AL58" s="144" t="s">
        <v>480</v>
      </c>
      <c r="AM58" s="144"/>
      <c r="AN58" s="142"/>
      <c r="AO58" s="142"/>
      <c r="AP58" s="142"/>
      <c r="AQ58" s="142"/>
      <c r="AR58" s="142"/>
      <c r="AS58" s="142"/>
      <c r="AT58" s="142"/>
    </row>
    <row r="59" spans="1:46" ht="15.75" customHeight="1">
      <c r="A59" s="134" t="s">
        <v>482</v>
      </c>
      <c r="B59" s="136">
        <v>45504</v>
      </c>
      <c r="C59" s="136">
        <v>45501</v>
      </c>
      <c r="D59" s="142" t="s">
        <v>85</v>
      </c>
      <c r="E59" s="176"/>
      <c r="F59" s="6" t="s">
        <v>483</v>
      </c>
      <c r="G59" s="90">
        <v>38</v>
      </c>
      <c r="H59" s="90" t="s">
        <v>69</v>
      </c>
      <c r="I59" s="82">
        <v>2.6</v>
      </c>
      <c r="J59" s="137">
        <v>8.02</v>
      </c>
      <c r="K59" s="138">
        <f t="shared" si="0"/>
        <v>2.3914800000000001</v>
      </c>
      <c r="L59" s="240">
        <v>0.21966666666666665</v>
      </c>
      <c r="M59" s="139">
        <v>0.20429</v>
      </c>
      <c r="N59" s="247">
        <v>0.20429</v>
      </c>
      <c r="O59" s="141">
        <f t="shared" si="1"/>
        <v>0.20399999999999999</v>
      </c>
      <c r="P59" s="142">
        <v>90</v>
      </c>
      <c r="Q59" s="143">
        <v>89.969650986342941</v>
      </c>
      <c r="R59" s="57">
        <v>2379.1</v>
      </c>
      <c r="S59" s="80">
        <v>115</v>
      </c>
      <c r="U59" s="142">
        <v>130</v>
      </c>
      <c r="V59" s="142">
        <v>1.1023000000000001</v>
      </c>
      <c r="W59" s="137">
        <v>5</v>
      </c>
      <c r="X59" s="137">
        <v>8.6999999999999993</v>
      </c>
      <c r="Y59" s="79">
        <v>40</v>
      </c>
      <c r="Z59" s="143">
        <f t="shared" si="16"/>
        <v>30</v>
      </c>
      <c r="AA59" s="144">
        <f t="shared" si="3"/>
        <v>70</v>
      </c>
      <c r="AB59" s="145">
        <f t="shared" si="4"/>
        <v>251.25248594799993</v>
      </c>
      <c r="AC59" s="145">
        <f>+(S59-T59)*V59-'data 1'!$F$4</f>
        <v>46.764500000000012</v>
      </c>
      <c r="AD59" s="145">
        <f t="shared" si="5"/>
        <v>-0.16527886200001432</v>
      </c>
      <c r="AE59" s="145">
        <f>+(Y59*V59-'data 2'!$B$2)+V59*(Z59-IF(D59="UNTUCA",IF(+((W59-3)*2.5+(X59-3)*3.1)&gt;0,+((W59-3)*1.5+(X59-3)*3.1),0),IF(+((W59-3)*1.5+(X59-3)*3.1)&gt;0,+((W59-3)*1.5+(X59-3)*3.1),0)))</f>
        <v>-35.623541000000003</v>
      </c>
      <c r="AF59" s="145">
        <f t="shared" si="6"/>
        <v>34.944691594465844</v>
      </c>
      <c r="AG59" s="145">
        <f t="shared" si="14"/>
        <v>45.920371732465838</v>
      </c>
      <c r="AH59" s="145">
        <f t="shared" si="8"/>
        <v>16.204514289203438</v>
      </c>
      <c r="AI59" s="137">
        <f t="shared" si="9"/>
        <v>58.275202241666669</v>
      </c>
      <c r="AJ59" s="137">
        <f t="shared" si="10"/>
        <v>15.053881717816253</v>
      </c>
      <c r="AK59" s="88">
        <f t="shared" si="11"/>
        <v>1.1506325713871846</v>
      </c>
      <c r="AL59" s="57"/>
      <c r="AM59" s="57"/>
    </row>
    <row r="60" spans="1:46" ht="15.75" customHeight="1">
      <c r="A60" s="134" t="s">
        <v>484</v>
      </c>
      <c r="B60" s="136">
        <v>45504</v>
      </c>
      <c r="C60" s="136">
        <v>45502</v>
      </c>
      <c r="D60" s="79" t="s">
        <v>485</v>
      </c>
      <c r="E60" s="176"/>
      <c r="F60" s="6" t="s">
        <v>486</v>
      </c>
      <c r="G60" s="90" t="s">
        <v>68</v>
      </c>
      <c r="H60" s="90" t="s">
        <v>69</v>
      </c>
      <c r="I60" s="82">
        <v>8.07</v>
      </c>
      <c r="J60" s="137">
        <v>3.95</v>
      </c>
      <c r="K60" s="138">
        <f t="shared" si="0"/>
        <v>7.7512350000000003</v>
      </c>
      <c r="L60" s="240">
        <v>0.25333333333333335</v>
      </c>
      <c r="M60" s="139">
        <v>0.23560000000000003</v>
      </c>
      <c r="N60" s="248">
        <v>0.29899999999999999</v>
      </c>
      <c r="O60" s="141">
        <f t="shared" si="1"/>
        <v>0.26700000000000002</v>
      </c>
      <c r="P60" s="142">
        <v>90</v>
      </c>
      <c r="Q60" s="143">
        <v>90.28947368421052</v>
      </c>
      <c r="R60" s="57">
        <v>2383.79</v>
      </c>
      <c r="S60" s="80">
        <v>120</v>
      </c>
      <c r="U60" s="142">
        <v>130</v>
      </c>
      <c r="V60" s="142">
        <v>1.1023000000000001</v>
      </c>
      <c r="W60" s="137">
        <v>5.5</v>
      </c>
      <c r="X60" s="137">
        <v>7.5</v>
      </c>
      <c r="Y60" s="79">
        <v>60</v>
      </c>
      <c r="Z60" s="155">
        <f>-5+IF(IF(D60="UNTUCA",IF(+((W60-3)*1.5+(X60-3)*3.1)&gt;0,+((W60-3)*1.5+(X60-3)*3.1),0),IF(+((W60-3)*1.5+(X60-3)*3.1)&gt;0,+((W60-3)*1.5+(X60-3)*3.1),0))&lt;30,30,IF(D60="UNTUCA",IF(+((W60-3)*1.5+(X60-3)*3.1)&gt;0,+((W60-3)*1.5+(X60-3)*3.1),0),IF(+((W60-3)*1.5+(X60-3)*3.1)&gt;0,+((W60-3)*1.5+(X60-3)*3.1),0)))</f>
        <v>25</v>
      </c>
      <c r="AA60" s="144">
        <f t="shared" si="3"/>
        <v>85</v>
      </c>
      <c r="AB60" s="145">
        <f t="shared" si="4"/>
        <v>371.01845789510003</v>
      </c>
      <c r="AC60" s="145">
        <f>+(S60-T60)*V60-'data 1'!$F$4</f>
        <v>52.27600000000001</v>
      </c>
      <c r="AD60" s="145">
        <f t="shared" si="5"/>
        <v>1.8218586591332959</v>
      </c>
      <c r="AE60" s="145">
        <f>+(Y60*V60-'data 2'!$B$2)+V60*(Z60-IF(D60="UNTUCA",IF(+((W60-3)*2.5+(X60-3)*3.1)&gt;0,+((W60-3)*1.5+(X60-3)*3.1),0),IF(+((W60-3)*1.5+(X60-3)*3.1)&gt;0,+((W60-3)*1.5+(X60-3)*3.1),0)))</f>
        <v>-15.815209999999997</v>
      </c>
      <c r="AF60" s="145">
        <f t="shared" si="6"/>
        <v>-30.655822899395336</v>
      </c>
      <c r="AG60" s="145">
        <f t="shared" si="14"/>
        <v>7.6268257597379794</v>
      </c>
      <c r="AH60" s="145">
        <f t="shared" si="8"/>
        <v>60.786821103801074</v>
      </c>
      <c r="AI60" s="137">
        <f t="shared" si="9"/>
        <v>66.263008903533333</v>
      </c>
      <c r="AJ60" s="137">
        <f t="shared" si="10"/>
        <v>63.860710191970547</v>
      </c>
      <c r="AK60" s="88">
        <f t="shared" si="11"/>
        <v>-3.0738890881694729</v>
      </c>
      <c r="AL60" s="57"/>
      <c r="AM60" s="57"/>
    </row>
    <row r="61" spans="1:46" ht="15.75" customHeight="1">
      <c r="A61" s="134" t="s">
        <v>487</v>
      </c>
      <c r="B61" s="136">
        <v>45504</v>
      </c>
      <c r="C61" s="136">
        <v>45502</v>
      </c>
      <c r="D61" s="79" t="s">
        <v>485</v>
      </c>
      <c r="E61" s="176"/>
      <c r="F61" s="6" t="s">
        <v>486</v>
      </c>
      <c r="G61" s="90" t="s">
        <v>68</v>
      </c>
      <c r="H61" s="90" t="s">
        <v>69</v>
      </c>
      <c r="I61" s="82">
        <v>19.59</v>
      </c>
      <c r="J61" s="137">
        <v>5.8</v>
      </c>
      <c r="K61" s="138">
        <f t="shared" si="0"/>
        <v>18.453779999999998</v>
      </c>
      <c r="L61" s="240">
        <v>0.56966666666666665</v>
      </c>
      <c r="M61" s="139">
        <v>0.56396999999999997</v>
      </c>
      <c r="N61" s="248">
        <v>0.66500000000000004</v>
      </c>
      <c r="O61" s="141">
        <f t="shared" si="1"/>
        <v>0.61399999999999999</v>
      </c>
      <c r="P61" s="142">
        <v>90</v>
      </c>
      <c r="Q61" s="143">
        <v>90.281275599765948</v>
      </c>
      <c r="R61" s="57">
        <v>2383.79</v>
      </c>
      <c r="S61" s="80">
        <v>160</v>
      </c>
      <c r="U61" s="142">
        <v>130</v>
      </c>
      <c r="V61" s="142">
        <v>1.1023000000000001</v>
      </c>
      <c r="W61" s="137">
        <v>5.5</v>
      </c>
      <c r="X61" s="137">
        <v>7.6</v>
      </c>
      <c r="Y61" s="79">
        <v>60</v>
      </c>
      <c r="Z61" s="155">
        <f>-5+IF(IF(D61="UNTUCA",IF(+((W61-3)*1.5+(X61-3)*3.1)&gt;0,+((W61-3)*1.5+(X61-3)*3.1),0),IF(+((W61-3)*1.5+(X61-3)*3.1)&gt;0,+((W61-3)*1.5+(X61-3)*3.1),0))&lt;30,30,IF(D61="UNTUCA",IF(+((W61-3)*1.5+(X61-3)*3.1)&gt;0,+((W61-3)*1.5+(X61-3)*3.1),0),IF(+((W61-3)*1.5+(X61-3)*3.1)&gt;0,+((W61-3)*1.5+(X61-3)*3.1),0)))</f>
        <v>25</v>
      </c>
      <c r="AA61" s="144">
        <f t="shared" si="3"/>
        <v>85</v>
      </c>
      <c r="AB61" s="145">
        <f t="shared" si="4"/>
        <v>1102.7898114142001</v>
      </c>
      <c r="AC61" s="145">
        <f>+(S61-T61)*V61-'data 1'!$F$4</f>
        <v>96.367999999999995</v>
      </c>
      <c r="AD61" s="145">
        <f t="shared" si="5"/>
        <v>3.9807611702063754</v>
      </c>
      <c r="AE61" s="145">
        <f>+(Y61*V61-'data 2'!$B$2)+V61*(Z61-IF(D61="UNTUCA",IF(+((W61-3)*2.5+(X61-3)*3.1)&gt;0,+((W61-3)*1.5+(X61-3)*3.1),0),IF(+((W61-3)*1.5+(X61-3)*3.1)&gt;0,+((W61-3)*1.5+(X61-3)*3.1),0)))</f>
        <v>-16.156922999999992</v>
      </c>
      <c r="AF61" s="145">
        <f t="shared" si="6"/>
        <v>-99.435469333190269</v>
      </c>
      <c r="AG61" s="145">
        <f t="shared" si="14"/>
        <v>-15.243631162983888</v>
      </c>
      <c r="AH61" s="145">
        <f t="shared" si="8"/>
        <v>325.39651905155461</v>
      </c>
      <c r="AI61" s="137">
        <f t="shared" si="9"/>
        <v>148.99105257698031</v>
      </c>
      <c r="AJ61" s="137">
        <f t="shared" si="10"/>
        <v>349.62726158068318</v>
      </c>
      <c r="AK61" s="88">
        <f t="shared" si="11"/>
        <v>-24.230742529128577</v>
      </c>
      <c r="AL61" s="57" t="s">
        <v>488</v>
      </c>
      <c r="AM61" s="57"/>
    </row>
    <row r="62" spans="1:46" ht="15.75" customHeight="1">
      <c r="A62" s="134" t="s">
        <v>489</v>
      </c>
      <c r="B62" s="136">
        <v>45511</v>
      </c>
      <c r="C62" s="136">
        <v>45508</v>
      </c>
      <c r="D62" s="206" t="s">
        <v>420</v>
      </c>
      <c r="E62" s="176"/>
      <c r="F62" s="6" t="s">
        <v>490</v>
      </c>
      <c r="G62" s="90" t="s">
        <v>68</v>
      </c>
      <c r="H62" s="90" t="s">
        <v>450</v>
      </c>
      <c r="I62" s="82">
        <v>21.48</v>
      </c>
      <c r="J62" s="137">
        <v>1.2</v>
      </c>
      <c r="K62" s="138">
        <f t="shared" si="0"/>
        <v>21.222239999999999</v>
      </c>
      <c r="L62" s="240">
        <v>0.20100000000000001</v>
      </c>
      <c r="M62" s="80">
        <v>0.157</v>
      </c>
      <c r="N62" s="149">
        <v>0.21</v>
      </c>
      <c r="O62" s="141">
        <f t="shared" si="1"/>
        <v>0.184</v>
      </c>
      <c r="P62" s="142">
        <v>90</v>
      </c>
      <c r="Q62" s="142">
        <v>90.19</v>
      </c>
      <c r="R62" s="57">
        <v>2410.88</v>
      </c>
      <c r="S62" s="80">
        <v>110</v>
      </c>
      <c r="U62" s="142">
        <v>100</v>
      </c>
      <c r="V62" s="142">
        <v>1.1023000000000001</v>
      </c>
      <c r="W62" s="137">
        <v>5.5</v>
      </c>
      <c r="X62" s="137">
        <v>10.5</v>
      </c>
      <c r="Z62" s="143">
        <f>IF(IF(D62="UNTUCA",IF(+((W62-3)*1.5+(X62-3)*3.1)&gt;0,+((W62-3)*1.5+(X62-3)*3.1),0),IF(+((W62-3)*1.5+(X62-3)*3.1)&gt;0,+((W62-3)*1.5+(X62-3)*3.1),0))&lt;30,30,IF(D62="UNTUCA",IF(+((W62-3)*1.5+(X62-3)*3.1)&gt;0,+((W62-3)*1.5+(X62-3)*3.1),0),IF(+((W62-3)*1.5+(X62-3)*3.1)&gt;0,+((W62-3)*1.5+(X62-3)*3.1),0)))</f>
        <v>30</v>
      </c>
      <c r="AA62" s="144">
        <f t="shared" si="3"/>
        <v>30</v>
      </c>
      <c r="AB62" s="145">
        <f t="shared" si="4"/>
        <v>267.50806877440004</v>
      </c>
      <c r="AC62" s="145">
        <f>+(S62-T62)*V62-'data 1'!$F$4</f>
        <v>41.253</v>
      </c>
      <c r="AD62" s="145">
        <f t="shared" si="5"/>
        <v>0.97280738686558865</v>
      </c>
      <c r="AE62" s="145">
        <f>+(Y62*V62-'data 2'!$B$2)+V62*(Z62-IF(D62="UNTUCA",IF(+((W62-3)*2.5+(X62-3)*3.1)&gt;0,+((W62-3)*1.5+(X62-3)*3.1),0),IF(+((W62-3)*1.5+(X62-3)*3.1)&gt;0,+((W62-3)*1.5+(X62-3)*3.1),0)))</f>
        <v>-86.693100000000001</v>
      </c>
      <c r="AF62" s="145">
        <f t="shared" si="6"/>
        <v>39.055707508875237</v>
      </c>
      <c r="AG62" s="145">
        <f>+AC62+AD62+AE62+AF62+90</f>
        <v>84.588414895740826</v>
      </c>
      <c r="AH62" s="145">
        <f t="shared" si="8"/>
        <v>131.90301882755926</v>
      </c>
      <c r="AI62" s="137">
        <f t="shared" si="9"/>
        <v>41.108418333476365</v>
      </c>
      <c r="AJ62" s="137">
        <f t="shared" si="10"/>
        <v>120.49266869910244</v>
      </c>
      <c r="AK62" s="88">
        <f t="shared" si="11"/>
        <v>11.410350128456827</v>
      </c>
      <c r="AL62" s="57" t="s">
        <v>491</v>
      </c>
      <c r="AM62" s="57"/>
    </row>
    <row r="63" spans="1:46" ht="15.75" customHeight="1">
      <c r="B63" s="136"/>
      <c r="C63" s="136"/>
      <c r="AB63" s="83"/>
      <c r="AC63" s="83"/>
      <c r="AD63" s="83"/>
      <c r="AE63" s="83"/>
      <c r="AF63" s="83"/>
      <c r="AG63" s="83"/>
      <c r="AH63" s="83"/>
      <c r="AK63" s="88"/>
      <c r="AL63" s="57"/>
      <c r="AM63" s="57"/>
    </row>
    <row r="64" spans="1:46" ht="15.75" customHeight="1">
      <c r="B64" s="136"/>
      <c r="C64" s="136"/>
      <c r="AB64" s="83"/>
      <c r="AC64" s="83"/>
      <c r="AD64" s="83"/>
      <c r="AE64" s="83"/>
      <c r="AF64" s="83"/>
      <c r="AG64" s="83"/>
      <c r="AH64" s="83"/>
      <c r="AK64" s="88"/>
      <c r="AL64" s="57"/>
      <c r="AM64" s="57"/>
    </row>
    <row r="65" spans="2:39" ht="15.75" customHeight="1">
      <c r="B65" s="136"/>
      <c r="C65" s="136"/>
      <c r="AB65" s="83"/>
      <c r="AC65" s="83"/>
      <c r="AD65" s="83"/>
      <c r="AE65" s="83"/>
      <c r="AF65" s="83"/>
      <c r="AG65" s="83"/>
      <c r="AH65" s="83"/>
      <c r="AK65" s="88"/>
      <c r="AL65" s="57"/>
      <c r="AM65" s="57"/>
    </row>
    <row r="66" spans="2:39" ht="15.75" customHeight="1">
      <c r="B66" s="136"/>
      <c r="C66" s="136"/>
      <c r="AB66" s="83"/>
      <c r="AC66" s="83"/>
      <c r="AD66" s="83"/>
      <c r="AE66" s="83"/>
      <c r="AF66" s="83"/>
      <c r="AG66" s="83"/>
      <c r="AH66" s="83"/>
      <c r="AK66" s="88"/>
      <c r="AL66" s="57"/>
      <c r="AM66" s="57"/>
    </row>
    <row r="67" spans="2:39" ht="15.75" customHeight="1">
      <c r="B67" s="136"/>
      <c r="C67" s="136"/>
      <c r="AB67" s="83"/>
      <c r="AC67" s="83"/>
      <c r="AD67" s="83"/>
      <c r="AE67" s="83"/>
      <c r="AF67" s="83"/>
      <c r="AG67" s="83"/>
      <c r="AH67" s="83"/>
      <c r="AK67" s="88"/>
      <c r="AL67" s="57"/>
      <c r="AM67" s="57"/>
    </row>
    <row r="68" spans="2:39" ht="15.75" customHeight="1">
      <c r="B68" s="136"/>
      <c r="C68" s="136"/>
      <c r="AB68" s="83"/>
      <c r="AC68" s="83"/>
      <c r="AD68" s="83"/>
      <c r="AE68" s="83"/>
      <c r="AF68" s="83"/>
      <c r="AG68" s="83"/>
      <c r="AH68" s="83"/>
      <c r="AK68" s="88"/>
      <c r="AL68" s="57"/>
      <c r="AM68" s="57"/>
    </row>
    <row r="69" spans="2:39" ht="15.75" customHeight="1">
      <c r="B69" s="136"/>
      <c r="C69" s="136"/>
      <c r="AB69" s="83"/>
      <c r="AC69" s="83"/>
      <c r="AD69" s="83"/>
      <c r="AE69" s="83"/>
      <c r="AF69" s="83"/>
      <c r="AG69" s="83"/>
      <c r="AH69" s="83"/>
      <c r="AK69" s="88"/>
      <c r="AL69" s="57"/>
      <c r="AM69" s="57"/>
    </row>
    <row r="70" spans="2:39" ht="15.75" customHeight="1">
      <c r="B70" s="136"/>
      <c r="C70" s="136"/>
      <c r="AB70" s="83"/>
      <c r="AC70" s="83"/>
      <c r="AD70" s="83"/>
      <c r="AE70" s="83"/>
      <c r="AF70" s="83"/>
      <c r="AG70" s="83"/>
      <c r="AH70" s="83"/>
      <c r="AK70" s="88"/>
      <c r="AL70" s="57"/>
      <c r="AM70" s="57"/>
    </row>
    <row r="71" spans="2:39" ht="15.75" customHeight="1">
      <c r="B71" s="136"/>
      <c r="C71" s="136"/>
      <c r="AB71" s="83"/>
      <c r="AC71" s="83"/>
      <c r="AD71" s="83"/>
      <c r="AE71" s="83"/>
      <c r="AF71" s="83"/>
      <c r="AG71" s="83"/>
      <c r="AH71" s="83"/>
      <c r="AK71" s="88"/>
      <c r="AL71" s="57"/>
      <c r="AM71" s="57"/>
    </row>
    <row r="72" spans="2:39" ht="15.75" customHeight="1">
      <c r="B72" s="136"/>
      <c r="C72" s="136"/>
      <c r="AB72" s="83"/>
      <c r="AC72" s="83"/>
      <c r="AD72" s="83"/>
      <c r="AE72" s="83"/>
      <c r="AF72" s="83"/>
      <c r="AG72" s="83"/>
      <c r="AH72" s="83"/>
      <c r="AK72" s="88"/>
      <c r="AL72" s="57"/>
      <c r="AM72" s="57"/>
    </row>
    <row r="73" spans="2:39" ht="15.75" customHeight="1">
      <c r="B73" s="136"/>
      <c r="C73" s="136"/>
      <c r="AB73" s="83"/>
      <c r="AC73" s="83"/>
      <c r="AD73" s="83"/>
      <c r="AE73" s="83"/>
      <c r="AF73" s="83"/>
      <c r="AG73" s="83"/>
      <c r="AH73" s="83"/>
      <c r="AK73" s="88"/>
      <c r="AL73" s="57"/>
      <c r="AM73" s="57"/>
    </row>
    <row r="74" spans="2:39" ht="15.75" customHeight="1">
      <c r="B74" s="136"/>
      <c r="C74" s="136"/>
      <c r="AB74" s="83"/>
      <c r="AC74" s="83"/>
      <c r="AD74" s="83"/>
      <c r="AE74" s="83"/>
      <c r="AF74" s="83"/>
      <c r="AG74" s="83"/>
      <c r="AH74" s="83"/>
      <c r="AK74" s="88"/>
      <c r="AL74" s="57"/>
      <c r="AM74" s="57"/>
    </row>
    <row r="75" spans="2:39" ht="15.75" customHeight="1">
      <c r="B75" s="136"/>
      <c r="C75" s="136"/>
      <c r="AB75" s="83"/>
      <c r="AC75" s="83"/>
      <c r="AD75" s="83"/>
      <c r="AE75" s="83"/>
      <c r="AF75" s="83"/>
      <c r="AG75" s="83"/>
      <c r="AH75" s="83"/>
      <c r="AK75" s="88"/>
      <c r="AL75" s="57"/>
      <c r="AM75" s="57"/>
    </row>
    <row r="76" spans="2:39" ht="15.75" customHeight="1">
      <c r="B76" s="136"/>
      <c r="C76" s="136"/>
      <c r="AB76" s="83"/>
      <c r="AC76" s="83"/>
      <c r="AD76" s="83"/>
      <c r="AE76" s="83"/>
      <c r="AF76" s="83"/>
      <c r="AG76" s="83"/>
      <c r="AH76" s="83"/>
      <c r="AK76" s="88"/>
      <c r="AL76" s="57"/>
      <c r="AM76" s="57"/>
    </row>
    <row r="77" spans="2:39" ht="15.75" customHeight="1">
      <c r="B77" s="135"/>
      <c r="C77" s="136"/>
      <c r="AB77" s="83"/>
      <c r="AC77" s="83"/>
      <c r="AD77" s="83"/>
      <c r="AE77" s="83"/>
      <c r="AF77" s="83"/>
      <c r="AG77" s="83"/>
      <c r="AH77" s="83"/>
      <c r="AK77" s="88"/>
      <c r="AL77" s="57"/>
      <c r="AM77" s="57"/>
    </row>
    <row r="78" spans="2:39" ht="15.75" customHeight="1">
      <c r="B78" s="135"/>
      <c r="C78" s="136"/>
      <c r="AB78" s="83"/>
      <c r="AC78" s="83"/>
      <c r="AD78" s="83"/>
      <c r="AE78" s="83"/>
      <c r="AF78" s="83"/>
      <c r="AG78" s="83"/>
      <c r="AH78" s="83"/>
      <c r="AK78" s="88"/>
      <c r="AL78" s="57"/>
      <c r="AM78" s="57"/>
    </row>
    <row r="79" spans="2:39" ht="15.75" customHeight="1">
      <c r="B79" s="135"/>
      <c r="C79" s="136"/>
      <c r="AB79" s="83"/>
      <c r="AC79" s="83"/>
      <c r="AD79" s="83"/>
      <c r="AE79" s="83"/>
      <c r="AF79" s="83"/>
      <c r="AG79" s="83"/>
      <c r="AH79" s="83"/>
      <c r="AK79" s="88"/>
      <c r="AL79" s="57"/>
      <c r="AM79" s="57"/>
    </row>
    <row r="80" spans="2:39" ht="15.75" customHeight="1">
      <c r="B80" s="135"/>
      <c r="C80" s="136"/>
      <c r="AB80" s="83"/>
      <c r="AC80" s="83"/>
      <c r="AD80" s="83"/>
      <c r="AE80" s="83"/>
      <c r="AF80" s="83"/>
      <c r="AG80" s="83"/>
      <c r="AH80" s="83"/>
      <c r="AK80" s="88"/>
      <c r="AL80" s="57"/>
      <c r="AM80" s="57"/>
    </row>
    <row r="81" spans="2:39" ht="15.75" customHeight="1">
      <c r="B81" s="135"/>
      <c r="C81" s="136"/>
      <c r="AB81" s="83"/>
      <c r="AC81" s="83"/>
      <c r="AD81" s="83"/>
      <c r="AE81" s="83"/>
      <c r="AF81" s="83"/>
      <c r="AG81" s="83"/>
      <c r="AH81" s="83"/>
      <c r="AK81" s="88"/>
      <c r="AL81" s="57"/>
      <c r="AM81" s="57"/>
    </row>
    <row r="82" spans="2:39" ht="15.75" customHeight="1">
      <c r="B82" s="135"/>
      <c r="C82" s="136"/>
      <c r="AB82" s="83"/>
      <c r="AC82" s="83"/>
      <c r="AD82" s="83"/>
      <c r="AE82" s="83"/>
      <c r="AF82" s="83"/>
      <c r="AG82" s="83"/>
      <c r="AH82" s="83"/>
      <c r="AK82" s="88"/>
      <c r="AL82" s="57"/>
      <c r="AM82" s="57"/>
    </row>
    <row r="83" spans="2:39" ht="15.75" customHeight="1">
      <c r="B83" s="135"/>
      <c r="C83" s="136"/>
      <c r="AB83" s="83"/>
      <c r="AC83" s="83"/>
      <c r="AD83" s="83"/>
      <c r="AE83" s="83"/>
      <c r="AF83" s="83"/>
      <c r="AG83" s="83"/>
      <c r="AH83" s="83"/>
      <c r="AK83" s="88"/>
      <c r="AL83" s="57"/>
      <c r="AM83" s="57"/>
    </row>
    <row r="84" spans="2:39" ht="15.75" customHeight="1">
      <c r="B84" s="135"/>
      <c r="C84" s="136"/>
      <c r="AB84" s="83"/>
      <c r="AC84" s="83"/>
      <c r="AD84" s="83"/>
      <c r="AE84" s="83"/>
      <c r="AF84" s="83"/>
      <c r="AG84" s="83"/>
      <c r="AH84" s="83"/>
      <c r="AK84" s="88"/>
      <c r="AL84" s="57"/>
      <c r="AM84" s="57"/>
    </row>
    <row r="85" spans="2:39" ht="15.75" customHeight="1">
      <c r="B85" s="135"/>
      <c r="C85" s="136"/>
      <c r="AB85" s="83"/>
      <c r="AC85" s="83"/>
      <c r="AD85" s="83"/>
      <c r="AE85" s="83"/>
      <c r="AF85" s="83"/>
      <c r="AG85" s="83"/>
      <c r="AH85" s="83"/>
      <c r="AK85" s="88"/>
      <c r="AL85" s="57"/>
      <c r="AM85" s="57"/>
    </row>
    <row r="86" spans="2:39" ht="15.75" customHeight="1">
      <c r="B86" s="135"/>
      <c r="C86" s="136"/>
      <c r="AB86" s="83"/>
      <c r="AC86" s="83"/>
      <c r="AD86" s="83"/>
      <c r="AE86" s="83"/>
      <c r="AF86" s="83"/>
      <c r="AG86" s="83"/>
      <c r="AH86" s="83"/>
      <c r="AK86" s="88"/>
      <c r="AL86" s="57"/>
      <c r="AM86" s="57"/>
    </row>
    <row r="87" spans="2:39" ht="15.75" customHeight="1">
      <c r="B87" s="135"/>
      <c r="C87" s="136"/>
      <c r="AB87" s="83"/>
      <c r="AC87" s="83"/>
      <c r="AD87" s="83"/>
      <c r="AE87" s="83"/>
      <c r="AF87" s="83"/>
      <c r="AG87" s="83"/>
      <c r="AH87" s="83"/>
      <c r="AK87" s="88"/>
      <c r="AL87" s="57"/>
      <c r="AM87" s="57"/>
    </row>
    <row r="88" spans="2:39" ht="15.75" customHeight="1">
      <c r="B88" s="135"/>
      <c r="C88" s="136"/>
      <c r="AB88" s="83"/>
      <c r="AC88" s="83"/>
      <c r="AD88" s="83"/>
      <c r="AE88" s="83"/>
      <c r="AF88" s="83"/>
      <c r="AG88" s="83"/>
      <c r="AH88" s="83"/>
      <c r="AK88" s="88"/>
      <c r="AL88" s="57"/>
      <c r="AM88" s="57"/>
    </row>
    <row r="89" spans="2:39" ht="15.75" customHeight="1">
      <c r="B89" s="135"/>
      <c r="C89" s="136"/>
      <c r="AB89" s="83"/>
      <c r="AC89" s="83"/>
      <c r="AD89" s="83"/>
      <c r="AE89" s="83"/>
      <c r="AF89" s="83"/>
      <c r="AG89" s="83"/>
      <c r="AH89" s="83"/>
      <c r="AK89" s="88"/>
      <c r="AL89" s="57"/>
      <c r="AM89" s="57"/>
    </row>
    <row r="90" spans="2:39" ht="15.75" customHeight="1">
      <c r="B90" s="135"/>
      <c r="C90" s="136"/>
      <c r="AB90" s="83"/>
      <c r="AC90" s="83"/>
      <c r="AD90" s="83"/>
      <c r="AE90" s="83"/>
      <c r="AF90" s="83"/>
      <c r="AG90" s="83"/>
      <c r="AH90" s="83"/>
      <c r="AK90" s="88"/>
      <c r="AL90" s="57"/>
      <c r="AM90" s="57"/>
    </row>
    <row r="91" spans="2:39" ht="15.75" customHeight="1">
      <c r="B91" s="135"/>
      <c r="C91" s="136"/>
      <c r="AB91" s="83"/>
      <c r="AC91" s="83"/>
      <c r="AD91" s="83"/>
      <c r="AE91" s="83"/>
      <c r="AF91" s="83"/>
      <c r="AG91" s="83"/>
      <c r="AH91" s="83"/>
      <c r="AK91" s="88"/>
      <c r="AL91" s="57"/>
      <c r="AM91" s="57"/>
    </row>
    <row r="92" spans="2:39" ht="15.75" customHeight="1">
      <c r="B92" s="135"/>
      <c r="C92" s="136"/>
      <c r="AB92" s="83"/>
      <c r="AC92" s="83"/>
      <c r="AD92" s="83"/>
      <c r="AE92" s="83"/>
      <c r="AF92" s="83"/>
      <c r="AG92" s="83"/>
      <c r="AH92" s="83"/>
      <c r="AK92" s="88"/>
      <c r="AL92" s="57"/>
      <c r="AM92" s="57"/>
    </row>
    <row r="93" spans="2:39" ht="15.75" customHeight="1">
      <c r="B93" s="135"/>
      <c r="C93" s="136"/>
      <c r="AB93" s="83"/>
      <c r="AC93" s="83"/>
      <c r="AD93" s="83"/>
      <c r="AE93" s="83"/>
      <c r="AF93" s="83"/>
      <c r="AG93" s="83"/>
      <c r="AH93" s="83"/>
      <c r="AK93" s="88"/>
      <c r="AL93" s="57"/>
      <c r="AM93" s="57"/>
    </row>
    <row r="94" spans="2:39" ht="15.75" customHeight="1">
      <c r="B94" s="135"/>
      <c r="C94" s="136"/>
      <c r="AB94" s="83"/>
      <c r="AC94" s="83"/>
      <c r="AD94" s="83"/>
      <c r="AE94" s="83"/>
      <c r="AF94" s="83"/>
      <c r="AG94" s="83"/>
      <c r="AH94" s="83"/>
      <c r="AK94" s="88"/>
      <c r="AL94" s="57"/>
      <c r="AM94" s="57"/>
    </row>
    <row r="95" spans="2:39" ht="15.75" customHeight="1">
      <c r="B95" s="135"/>
      <c r="C95" s="136"/>
      <c r="AB95" s="83"/>
      <c r="AC95" s="83"/>
      <c r="AD95" s="83"/>
      <c r="AE95" s="83"/>
      <c r="AF95" s="83"/>
      <c r="AG95" s="83"/>
      <c r="AH95" s="83"/>
      <c r="AK95" s="88"/>
      <c r="AL95" s="57"/>
      <c r="AM95" s="57"/>
    </row>
    <row r="96" spans="2:39" ht="15.75" customHeight="1">
      <c r="B96" s="135"/>
      <c r="C96" s="136"/>
      <c r="AB96" s="83"/>
      <c r="AC96" s="83"/>
      <c r="AD96" s="83"/>
      <c r="AE96" s="83"/>
      <c r="AF96" s="83"/>
      <c r="AG96" s="83"/>
      <c r="AH96" s="83"/>
      <c r="AK96" s="88"/>
      <c r="AL96" s="57"/>
      <c r="AM96" s="57"/>
    </row>
    <row r="97" spans="2:39" ht="15.75" customHeight="1">
      <c r="B97" s="135"/>
      <c r="C97" s="136"/>
      <c r="AB97" s="83"/>
      <c r="AC97" s="83"/>
      <c r="AD97" s="83"/>
      <c r="AE97" s="83"/>
      <c r="AF97" s="83"/>
      <c r="AG97" s="83"/>
      <c r="AH97" s="83"/>
      <c r="AK97" s="88"/>
      <c r="AL97" s="57"/>
      <c r="AM97" s="57"/>
    </row>
    <row r="98" spans="2:39" ht="15.75" customHeight="1">
      <c r="B98" s="135"/>
      <c r="C98" s="136"/>
      <c r="AB98" s="83"/>
      <c r="AC98" s="83"/>
      <c r="AD98" s="83"/>
      <c r="AE98" s="83"/>
      <c r="AF98" s="83"/>
      <c r="AG98" s="83"/>
      <c r="AH98" s="83"/>
      <c r="AK98" s="88"/>
      <c r="AL98" s="57"/>
      <c r="AM98" s="57"/>
    </row>
    <row r="99" spans="2:39" ht="15.75" customHeight="1">
      <c r="B99" s="135"/>
      <c r="C99" s="136"/>
      <c r="AB99" s="83"/>
      <c r="AC99" s="83"/>
      <c r="AD99" s="83"/>
      <c r="AE99" s="83"/>
      <c r="AF99" s="83"/>
      <c r="AG99" s="83"/>
      <c r="AH99" s="83"/>
      <c r="AK99" s="88"/>
      <c r="AL99" s="57"/>
      <c r="AM99" s="57"/>
    </row>
    <row r="100" spans="2:39" ht="15.75" customHeight="1">
      <c r="B100" s="135"/>
      <c r="C100" s="136"/>
      <c r="AB100" s="83"/>
      <c r="AC100" s="83"/>
      <c r="AD100" s="83"/>
      <c r="AE100" s="83"/>
      <c r="AF100" s="83"/>
      <c r="AG100" s="83"/>
      <c r="AH100" s="83"/>
      <c r="AK100" s="88"/>
      <c r="AL100" s="57"/>
      <c r="AM100" s="57"/>
    </row>
    <row r="101" spans="2:39" ht="15.75" customHeight="1">
      <c r="B101" s="135"/>
      <c r="C101" s="136"/>
      <c r="AB101" s="83"/>
      <c r="AC101" s="83"/>
      <c r="AD101" s="83"/>
      <c r="AE101" s="83"/>
      <c r="AF101" s="83"/>
      <c r="AG101" s="83"/>
      <c r="AH101" s="83"/>
      <c r="AK101" s="88"/>
      <c r="AL101" s="57"/>
      <c r="AM101" s="57"/>
    </row>
    <row r="102" spans="2:39" ht="15.75" customHeight="1">
      <c r="B102" s="135"/>
      <c r="C102" s="136"/>
      <c r="AB102" s="83"/>
      <c r="AC102" s="83"/>
      <c r="AD102" s="83"/>
      <c r="AE102" s="83"/>
      <c r="AF102" s="83"/>
      <c r="AG102" s="83"/>
      <c r="AH102" s="83"/>
      <c r="AK102" s="88"/>
      <c r="AL102" s="57"/>
      <c r="AM102" s="57"/>
    </row>
    <row r="103" spans="2:39" ht="15.75" customHeight="1">
      <c r="B103" s="135"/>
      <c r="C103" s="136"/>
      <c r="AB103" s="83"/>
      <c r="AC103" s="83"/>
      <c r="AD103" s="83"/>
      <c r="AE103" s="83"/>
      <c r="AF103" s="83"/>
      <c r="AG103" s="83"/>
      <c r="AH103" s="83"/>
      <c r="AK103" s="88"/>
      <c r="AL103" s="57"/>
      <c r="AM103" s="57"/>
    </row>
    <row r="104" spans="2:39" ht="15.75" customHeight="1">
      <c r="B104" s="135"/>
      <c r="C104" s="136"/>
      <c r="AB104" s="83"/>
      <c r="AC104" s="83"/>
      <c r="AD104" s="83"/>
      <c r="AE104" s="83"/>
      <c r="AF104" s="83"/>
      <c r="AG104" s="83"/>
      <c r="AH104" s="83"/>
      <c r="AK104" s="88"/>
      <c r="AL104" s="57"/>
      <c r="AM104" s="57"/>
    </row>
    <row r="105" spans="2:39" ht="15.75" customHeight="1">
      <c r="B105" s="135"/>
      <c r="C105" s="136"/>
      <c r="AB105" s="83"/>
      <c r="AC105" s="83"/>
      <c r="AD105" s="83"/>
      <c r="AE105" s="83"/>
      <c r="AF105" s="83"/>
      <c r="AG105" s="83"/>
      <c r="AH105" s="83"/>
      <c r="AK105" s="88"/>
      <c r="AL105" s="57"/>
      <c r="AM105" s="57"/>
    </row>
    <row r="106" spans="2:39" ht="15.75" customHeight="1">
      <c r="B106" s="135"/>
      <c r="C106" s="136"/>
      <c r="AB106" s="83"/>
      <c r="AC106" s="83"/>
      <c r="AD106" s="83"/>
      <c r="AE106" s="83"/>
      <c r="AF106" s="83"/>
      <c r="AG106" s="83"/>
      <c r="AH106" s="83"/>
      <c r="AK106" s="88"/>
      <c r="AL106" s="57"/>
      <c r="AM106" s="57"/>
    </row>
    <row r="107" spans="2:39" ht="15.75" customHeight="1">
      <c r="B107" s="135"/>
      <c r="C107" s="136"/>
      <c r="AB107" s="83"/>
      <c r="AC107" s="83"/>
      <c r="AD107" s="83"/>
      <c r="AE107" s="83"/>
      <c r="AF107" s="83"/>
      <c r="AG107" s="83"/>
      <c r="AH107" s="83"/>
      <c r="AK107" s="88"/>
      <c r="AL107" s="57"/>
      <c r="AM107" s="57"/>
    </row>
    <row r="108" spans="2:39" ht="15.75" customHeight="1">
      <c r="B108" s="135"/>
      <c r="C108" s="136"/>
      <c r="AB108" s="83"/>
      <c r="AC108" s="83"/>
      <c r="AD108" s="83"/>
      <c r="AE108" s="83"/>
      <c r="AF108" s="83"/>
      <c r="AG108" s="83"/>
      <c r="AH108" s="83"/>
      <c r="AK108" s="88"/>
      <c r="AL108" s="57"/>
      <c r="AM108" s="57"/>
    </row>
    <row r="109" spans="2:39" ht="15.75" customHeight="1">
      <c r="B109" s="135"/>
      <c r="C109" s="136"/>
      <c r="AB109" s="83"/>
      <c r="AC109" s="83"/>
      <c r="AD109" s="83"/>
      <c r="AE109" s="83"/>
      <c r="AF109" s="83"/>
      <c r="AG109" s="83"/>
      <c r="AH109" s="83"/>
      <c r="AK109" s="88"/>
      <c r="AL109" s="57"/>
      <c r="AM109" s="57"/>
    </row>
    <row r="110" spans="2:39" ht="15.75" customHeight="1">
      <c r="B110" s="135"/>
      <c r="C110" s="136"/>
      <c r="AB110" s="83"/>
      <c r="AC110" s="83"/>
      <c r="AD110" s="83"/>
      <c r="AE110" s="83"/>
      <c r="AF110" s="83"/>
      <c r="AG110" s="83"/>
      <c r="AH110" s="83"/>
      <c r="AK110" s="88"/>
      <c r="AL110" s="57"/>
      <c r="AM110" s="57"/>
    </row>
    <row r="111" spans="2:39" ht="15.75" customHeight="1">
      <c r="B111" s="135"/>
      <c r="C111" s="136"/>
      <c r="AB111" s="83"/>
      <c r="AC111" s="83"/>
      <c r="AD111" s="83"/>
      <c r="AE111" s="83"/>
      <c r="AF111" s="83"/>
      <c r="AG111" s="83"/>
      <c r="AH111" s="83"/>
      <c r="AK111" s="88"/>
      <c r="AL111" s="57"/>
      <c r="AM111" s="57"/>
    </row>
    <row r="112" spans="2:39" ht="15.75" customHeight="1">
      <c r="B112" s="135"/>
      <c r="C112" s="136"/>
      <c r="AB112" s="83"/>
      <c r="AC112" s="83"/>
      <c r="AD112" s="83"/>
      <c r="AE112" s="83"/>
      <c r="AF112" s="83"/>
      <c r="AG112" s="83"/>
      <c r="AH112" s="83"/>
      <c r="AK112" s="88"/>
      <c r="AL112" s="57"/>
      <c r="AM112" s="57"/>
    </row>
    <row r="113" spans="2:39" ht="15.75" customHeight="1">
      <c r="B113" s="135"/>
      <c r="C113" s="136"/>
      <c r="AB113" s="83"/>
      <c r="AC113" s="83"/>
      <c r="AD113" s="83"/>
      <c r="AE113" s="83"/>
      <c r="AF113" s="83"/>
      <c r="AG113" s="83"/>
      <c r="AH113" s="83"/>
      <c r="AK113" s="88"/>
      <c r="AL113" s="57"/>
      <c r="AM113" s="57"/>
    </row>
    <row r="114" spans="2:39" ht="15.75" customHeight="1">
      <c r="B114" s="135"/>
      <c r="C114" s="136"/>
      <c r="AB114" s="83"/>
      <c r="AC114" s="83"/>
      <c r="AD114" s="83"/>
      <c r="AE114" s="83"/>
      <c r="AF114" s="83"/>
      <c r="AG114" s="83"/>
      <c r="AH114" s="83"/>
      <c r="AK114" s="88"/>
      <c r="AL114" s="57"/>
      <c r="AM114" s="57"/>
    </row>
    <row r="115" spans="2:39" ht="15.75" customHeight="1">
      <c r="B115" s="135"/>
      <c r="C115" s="136"/>
      <c r="AB115" s="83"/>
      <c r="AC115" s="83"/>
      <c r="AD115" s="83"/>
      <c r="AE115" s="83"/>
      <c r="AF115" s="83"/>
      <c r="AG115" s="83"/>
      <c r="AH115" s="83"/>
      <c r="AK115" s="88"/>
      <c r="AL115" s="57"/>
      <c r="AM115" s="57"/>
    </row>
    <row r="116" spans="2:39" ht="15.75" customHeight="1">
      <c r="B116" s="135"/>
      <c r="C116" s="136"/>
      <c r="AB116" s="83"/>
      <c r="AC116" s="83"/>
      <c r="AD116" s="83"/>
      <c r="AE116" s="83"/>
      <c r="AF116" s="83"/>
      <c r="AG116" s="83"/>
      <c r="AH116" s="83"/>
      <c r="AK116" s="88"/>
      <c r="AL116" s="57"/>
      <c r="AM116" s="57"/>
    </row>
    <row r="117" spans="2:39" ht="15.75" customHeight="1">
      <c r="B117" s="135"/>
      <c r="C117" s="136"/>
      <c r="AB117" s="83"/>
      <c r="AC117" s="83"/>
      <c r="AD117" s="83"/>
      <c r="AE117" s="83"/>
      <c r="AF117" s="83"/>
      <c r="AG117" s="83"/>
      <c r="AH117" s="83"/>
      <c r="AK117" s="88"/>
      <c r="AL117" s="57"/>
      <c r="AM117" s="57"/>
    </row>
    <row r="118" spans="2:39" ht="15.75" customHeight="1">
      <c r="B118" s="135"/>
      <c r="C118" s="136"/>
      <c r="AB118" s="83"/>
      <c r="AC118" s="83"/>
      <c r="AD118" s="83"/>
      <c r="AE118" s="83"/>
      <c r="AF118" s="83"/>
      <c r="AG118" s="83"/>
      <c r="AH118" s="83"/>
      <c r="AK118" s="88"/>
      <c r="AL118" s="57"/>
      <c r="AM118" s="57"/>
    </row>
    <row r="119" spans="2:39" ht="15.75" customHeight="1">
      <c r="B119" s="135"/>
      <c r="C119" s="136"/>
      <c r="AB119" s="83"/>
      <c r="AC119" s="83"/>
      <c r="AD119" s="83"/>
      <c r="AE119" s="83"/>
      <c r="AF119" s="83"/>
      <c r="AG119" s="83"/>
      <c r="AH119" s="83"/>
      <c r="AK119" s="88"/>
      <c r="AL119" s="57"/>
      <c r="AM119" s="57"/>
    </row>
    <row r="120" spans="2:39" ht="15.75" customHeight="1">
      <c r="B120" s="135"/>
      <c r="C120" s="136"/>
      <c r="AB120" s="83"/>
      <c r="AC120" s="83"/>
      <c r="AD120" s="83"/>
      <c r="AE120" s="83"/>
      <c r="AF120" s="83"/>
      <c r="AG120" s="83"/>
      <c r="AH120" s="83"/>
      <c r="AK120" s="88"/>
      <c r="AL120" s="57"/>
      <c r="AM120" s="57"/>
    </row>
    <row r="121" spans="2:39" ht="15.75" customHeight="1">
      <c r="B121" s="135"/>
      <c r="C121" s="136"/>
      <c r="AB121" s="83"/>
      <c r="AC121" s="83"/>
      <c r="AD121" s="83"/>
      <c r="AE121" s="83"/>
      <c r="AF121" s="83"/>
      <c r="AG121" s="83"/>
      <c r="AH121" s="83"/>
      <c r="AK121" s="88"/>
      <c r="AL121" s="57"/>
      <c r="AM121" s="57"/>
    </row>
    <row r="122" spans="2:39" ht="15.75" customHeight="1">
      <c r="B122" s="135"/>
      <c r="C122" s="136"/>
      <c r="AB122" s="83"/>
      <c r="AC122" s="83"/>
      <c r="AD122" s="83"/>
      <c r="AE122" s="83"/>
      <c r="AF122" s="83"/>
      <c r="AG122" s="83"/>
      <c r="AH122" s="83"/>
      <c r="AK122" s="88"/>
      <c r="AL122" s="57"/>
      <c r="AM122" s="57"/>
    </row>
    <row r="123" spans="2:39" ht="15.75" customHeight="1">
      <c r="B123" s="135"/>
      <c r="C123" s="136"/>
      <c r="AB123" s="83"/>
      <c r="AC123" s="83"/>
      <c r="AD123" s="83"/>
      <c r="AE123" s="83"/>
      <c r="AF123" s="83"/>
      <c r="AG123" s="83"/>
      <c r="AH123" s="83"/>
      <c r="AK123" s="88"/>
      <c r="AL123" s="57"/>
      <c r="AM123" s="57"/>
    </row>
    <row r="124" spans="2:39" ht="15.75" customHeight="1">
      <c r="B124" s="135"/>
      <c r="C124" s="136"/>
      <c r="AB124" s="83"/>
      <c r="AC124" s="83"/>
      <c r="AD124" s="83"/>
      <c r="AE124" s="83"/>
      <c r="AF124" s="83"/>
      <c r="AG124" s="83"/>
      <c r="AH124" s="83"/>
      <c r="AK124" s="88"/>
      <c r="AL124" s="57"/>
      <c r="AM124" s="57"/>
    </row>
    <row r="125" spans="2:39" ht="15.75" customHeight="1">
      <c r="B125" s="135"/>
      <c r="C125" s="136"/>
      <c r="AB125" s="83"/>
      <c r="AC125" s="83"/>
      <c r="AD125" s="83"/>
      <c r="AE125" s="83"/>
      <c r="AF125" s="83"/>
      <c r="AG125" s="83"/>
      <c r="AH125" s="83"/>
      <c r="AK125" s="88"/>
      <c r="AL125" s="57"/>
      <c r="AM125" s="57"/>
    </row>
    <row r="126" spans="2:39" ht="15.75" customHeight="1">
      <c r="B126" s="135"/>
      <c r="C126" s="136"/>
      <c r="AB126" s="83"/>
      <c r="AC126" s="83"/>
      <c r="AD126" s="83"/>
      <c r="AE126" s="83"/>
      <c r="AF126" s="83"/>
      <c r="AG126" s="83"/>
      <c r="AH126" s="83"/>
      <c r="AK126" s="88"/>
      <c r="AL126" s="57"/>
      <c r="AM126" s="57"/>
    </row>
    <row r="127" spans="2:39" ht="15.75" customHeight="1">
      <c r="B127" s="135"/>
      <c r="C127" s="136"/>
      <c r="AB127" s="83"/>
      <c r="AC127" s="83"/>
      <c r="AD127" s="83"/>
      <c r="AE127" s="83"/>
      <c r="AF127" s="83"/>
      <c r="AG127" s="83"/>
      <c r="AH127" s="83"/>
      <c r="AK127" s="88"/>
      <c r="AL127" s="57"/>
      <c r="AM127" s="57"/>
    </row>
    <row r="128" spans="2:39" ht="15.75" customHeight="1">
      <c r="B128" s="135"/>
      <c r="C128" s="136"/>
      <c r="AB128" s="83"/>
      <c r="AC128" s="83"/>
      <c r="AD128" s="83"/>
      <c r="AE128" s="83"/>
      <c r="AF128" s="83"/>
      <c r="AG128" s="83"/>
      <c r="AH128" s="83"/>
      <c r="AK128" s="88"/>
      <c r="AL128" s="57"/>
      <c r="AM128" s="57"/>
    </row>
    <row r="129" spans="2:39" ht="15.75" customHeight="1">
      <c r="B129" s="135"/>
      <c r="C129" s="136"/>
      <c r="AB129" s="83"/>
      <c r="AC129" s="83"/>
      <c r="AD129" s="83"/>
      <c r="AE129" s="83"/>
      <c r="AF129" s="83"/>
      <c r="AG129" s="83"/>
      <c r="AH129" s="83"/>
      <c r="AK129" s="88"/>
      <c r="AL129" s="57"/>
      <c r="AM129" s="57"/>
    </row>
    <row r="130" spans="2:39" ht="15.75" customHeight="1">
      <c r="B130" s="135"/>
      <c r="C130" s="136"/>
      <c r="AB130" s="83"/>
      <c r="AC130" s="83"/>
      <c r="AD130" s="83"/>
      <c r="AE130" s="83"/>
      <c r="AF130" s="83"/>
      <c r="AG130" s="83"/>
      <c r="AH130" s="83"/>
      <c r="AK130" s="88"/>
      <c r="AL130" s="57"/>
      <c r="AM130" s="57"/>
    </row>
    <row r="131" spans="2:39" ht="15.75" customHeight="1">
      <c r="B131" s="135"/>
      <c r="C131" s="136"/>
      <c r="AB131" s="83"/>
      <c r="AC131" s="83"/>
      <c r="AD131" s="83"/>
      <c r="AE131" s="83"/>
      <c r="AF131" s="83"/>
      <c r="AG131" s="83"/>
      <c r="AH131" s="83"/>
      <c r="AK131" s="88"/>
      <c r="AL131" s="57"/>
      <c r="AM131" s="57"/>
    </row>
    <row r="132" spans="2:39" ht="15.75" customHeight="1">
      <c r="B132" s="135"/>
      <c r="C132" s="136"/>
      <c r="AB132" s="83"/>
      <c r="AC132" s="83"/>
      <c r="AD132" s="83"/>
      <c r="AE132" s="83"/>
      <c r="AF132" s="83"/>
      <c r="AG132" s="83"/>
      <c r="AH132" s="83"/>
      <c r="AK132" s="88"/>
      <c r="AL132" s="57"/>
      <c r="AM132" s="57"/>
    </row>
    <row r="133" spans="2:39" ht="15.75" customHeight="1">
      <c r="B133" s="135"/>
      <c r="C133" s="136"/>
      <c r="AB133" s="83"/>
      <c r="AC133" s="83"/>
      <c r="AD133" s="83"/>
      <c r="AE133" s="83"/>
      <c r="AF133" s="83"/>
      <c r="AG133" s="83"/>
      <c r="AH133" s="83"/>
      <c r="AK133" s="88"/>
      <c r="AL133" s="57"/>
      <c r="AM133" s="57"/>
    </row>
    <row r="134" spans="2:39" ht="15.75" customHeight="1">
      <c r="B134" s="135"/>
      <c r="C134" s="136"/>
      <c r="AB134" s="83"/>
      <c r="AC134" s="83"/>
      <c r="AD134" s="83"/>
      <c r="AE134" s="83"/>
      <c r="AF134" s="83"/>
      <c r="AG134" s="83"/>
      <c r="AH134" s="83"/>
      <c r="AK134" s="88"/>
      <c r="AL134" s="57"/>
      <c r="AM134" s="57"/>
    </row>
    <row r="135" spans="2:39" ht="15.75" customHeight="1">
      <c r="B135" s="135"/>
      <c r="C135" s="136"/>
      <c r="AB135" s="83"/>
      <c r="AC135" s="83"/>
      <c r="AD135" s="83"/>
      <c r="AE135" s="83"/>
      <c r="AF135" s="83"/>
      <c r="AG135" s="83"/>
      <c r="AH135" s="83"/>
      <c r="AK135" s="88"/>
      <c r="AL135" s="57"/>
      <c r="AM135" s="57"/>
    </row>
    <row r="136" spans="2:39" ht="15.75" customHeight="1">
      <c r="B136" s="135"/>
      <c r="C136" s="136"/>
      <c r="AB136" s="83"/>
      <c r="AC136" s="83"/>
      <c r="AD136" s="83"/>
      <c r="AE136" s="83"/>
      <c r="AF136" s="83"/>
      <c r="AG136" s="83"/>
      <c r="AH136" s="83"/>
      <c r="AK136" s="88"/>
      <c r="AL136" s="57"/>
      <c r="AM136" s="57"/>
    </row>
    <row r="137" spans="2:39" ht="15.75" customHeight="1">
      <c r="B137" s="135"/>
      <c r="C137" s="136"/>
      <c r="AB137" s="83"/>
      <c r="AC137" s="83"/>
      <c r="AD137" s="83"/>
      <c r="AE137" s="83"/>
      <c r="AF137" s="83"/>
      <c r="AG137" s="83"/>
      <c r="AH137" s="83"/>
      <c r="AK137" s="88"/>
      <c r="AL137" s="57"/>
      <c r="AM137" s="57"/>
    </row>
    <row r="138" spans="2:39" ht="15.75" customHeight="1">
      <c r="B138" s="135"/>
      <c r="C138" s="136"/>
      <c r="AB138" s="83"/>
      <c r="AC138" s="83"/>
      <c r="AD138" s="83"/>
      <c r="AE138" s="83"/>
      <c r="AF138" s="83"/>
      <c r="AG138" s="83"/>
      <c r="AH138" s="83"/>
      <c r="AK138" s="88"/>
      <c r="AL138" s="57"/>
      <c r="AM138" s="57"/>
    </row>
    <row r="139" spans="2:39" ht="15.75" customHeight="1">
      <c r="B139" s="135"/>
      <c r="C139" s="136"/>
      <c r="AB139" s="83"/>
      <c r="AC139" s="83"/>
      <c r="AD139" s="83"/>
      <c r="AE139" s="83"/>
      <c r="AF139" s="83"/>
      <c r="AG139" s="83"/>
      <c r="AH139" s="83"/>
      <c r="AK139" s="88"/>
      <c r="AL139" s="57"/>
      <c r="AM139" s="57"/>
    </row>
    <row r="140" spans="2:39" ht="15.75" customHeight="1">
      <c r="B140" s="135"/>
      <c r="C140" s="136"/>
      <c r="AB140" s="83"/>
      <c r="AC140" s="83"/>
      <c r="AD140" s="83"/>
      <c r="AE140" s="83"/>
      <c r="AF140" s="83"/>
      <c r="AG140" s="83"/>
      <c r="AH140" s="83"/>
      <c r="AK140" s="88"/>
      <c r="AL140" s="57"/>
      <c r="AM140" s="57"/>
    </row>
    <row r="141" spans="2:39" ht="15.75" customHeight="1">
      <c r="B141" s="135"/>
      <c r="C141" s="136"/>
      <c r="AB141" s="83"/>
      <c r="AC141" s="83"/>
      <c r="AD141" s="83"/>
      <c r="AE141" s="83"/>
      <c r="AF141" s="83"/>
      <c r="AG141" s="83"/>
      <c r="AH141" s="83"/>
      <c r="AK141" s="88"/>
      <c r="AL141" s="57"/>
      <c r="AM141" s="57"/>
    </row>
    <row r="142" spans="2:39" ht="15.75" customHeight="1">
      <c r="B142" s="135"/>
      <c r="C142" s="136"/>
      <c r="AB142" s="83"/>
      <c r="AC142" s="83"/>
      <c r="AD142" s="83"/>
      <c r="AE142" s="83"/>
      <c r="AF142" s="83"/>
      <c r="AG142" s="83"/>
      <c r="AH142" s="83"/>
      <c r="AK142" s="88"/>
      <c r="AL142" s="57"/>
      <c r="AM142" s="57"/>
    </row>
    <row r="143" spans="2:39" ht="15.75" customHeight="1">
      <c r="B143" s="135"/>
      <c r="C143" s="136"/>
      <c r="AB143" s="83"/>
      <c r="AC143" s="83"/>
      <c r="AD143" s="83"/>
      <c r="AE143" s="83"/>
      <c r="AF143" s="83"/>
      <c r="AG143" s="83"/>
      <c r="AH143" s="83"/>
      <c r="AK143" s="88"/>
      <c r="AL143" s="57"/>
      <c r="AM143" s="57"/>
    </row>
    <row r="144" spans="2:39" ht="15.75" customHeight="1">
      <c r="B144" s="135"/>
      <c r="C144" s="136"/>
      <c r="AB144" s="83"/>
      <c r="AC144" s="83"/>
      <c r="AD144" s="83"/>
      <c r="AE144" s="83"/>
      <c r="AF144" s="83"/>
      <c r="AG144" s="83"/>
      <c r="AH144" s="83"/>
      <c r="AK144" s="88"/>
      <c r="AL144" s="57"/>
      <c r="AM144" s="57"/>
    </row>
    <row r="145" spans="2:39" ht="15.75" customHeight="1">
      <c r="B145" s="135"/>
      <c r="C145" s="136"/>
      <c r="AB145" s="83"/>
      <c r="AC145" s="83"/>
      <c r="AD145" s="83"/>
      <c r="AE145" s="83"/>
      <c r="AF145" s="83"/>
      <c r="AG145" s="83"/>
      <c r="AH145" s="83"/>
      <c r="AK145" s="88"/>
      <c r="AL145" s="57"/>
      <c r="AM145" s="57"/>
    </row>
    <row r="146" spans="2:39" ht="15.75" customHeight="1">
      <c r="B146" s="135"/>
      <c r="AB146" s="83"/>
      <c r="AC146" s="83"/>
      <c r="AD146" s="83"/>
      <c r="AE146" s="83"/>
      <c r="AF146" s="83"/>
      <c r="AG146" s="83"/>
      <c r="AH146" s="83"/>
      <c r="AK146" s="88"/>
      <c r="AL146" s="57"/>
      <c r="AM146" s="57"/>
    </row>
    <row r="147" spans="2:39" ht="15.75" customHeight="1">
      <c r="B147" s="135"/>
      <c r="AB147" s="83"/>
      <c r="AC147" s="83"/>
      <c r="AD147" s="83"/>
      <c r="AE147" s="83"/>
      <c r="AF147" s="83"/>
      <c r="AG147" s="83"/>
      <c r="AH147" s="83"/>
      <c r="AK147" s="88"/>
      <c r="AL147" s="57"/>
      <c r="AM147" s="57"/>
    </row>
    <row r="148" spans="2:39" ht="15.75" customHeight="1">
      <c r="B148" s="135"/>
      <c r="AB148" s="83"/>
      <c r="AC148" s="83"/>
      <c r="AD148" s="83"/>
      <c r="AE148" s="83"/>
      <c r="AF148" s="83"/>
      <c r="AG148" s="83"/>
      <c r="AH148" s="83"/>
      <c r="AK148" s="88"/>
      <c r="AL148" s="57"/>
      <c r="AM148" s="57"/>
    </row>
    <row r="149" spans="2:39" ht="15.75" customHeight="1">
      <c r="B149" s="135"/>
      <c r="AB149" s="83"/>
      <c r="AC149" s="83"/>
      <c r="AD149" s="83"/>
      <c r="AE149" s="83"/>
      <c r="AF149" s="83"/>
      <c r="AG149" s="83"/>
      <c r="AH149" s="83"/>
      <c r="AK149" s="88"/>
      <c r="AL149" s="57"/>
      <c r="AM149" s="57"/>
    </row>
    <row r="150" spans="2:39" ht="15.75" customHeight="1">
      <c r="B150" s="135"/>
      <c r="AB150" s="83"/>
      <c r="AC150" s="83"/>
      <c r="AD150" s="83"/>
      <c r="AE150" s="83"/>
      <c r="AF150" s="83"/>
      <c r="AG150" s="83"/>
      <c r="AH150" s="83"/>
      <c r="AK150" s="88"/>
      <c r="AL150" s="57"/>
      <c r="AM150" s="57"/>
    </row>
    <row r="151" spans="2:39" ht="15.75" customHeight="1">
      <c r="B151" s="135"/>
      <c r="AB151" s="83"/>
      <c r="AC151" s="83"/>
      <c r="AD151" s="83"/>
      <c r="AE151" s="83"/>
      <c r="AF151" s="83"/>
      <c r="AG151" s="83"/>
      <c r="AH151" s="83"/>
      <c r="AK151" s="88"/>
      <c r="AL151" s="57"/>
      <c r="AM151" s="57"/>
    </row>
    <row r="152" spans="2:39" ht="15.75" customHeight="1">
      <c r="B152" s="135"/>
      <c r="AB152" s="83"/>
      <c r="AC152" s="83"/>
      <c r="AD152" s="83"/>
      <c r="AE152" s="83"/>
      <c r="AF152" s="83"/>
      <c r="AG152" s="83"/>
      <c r="AH152" s="83"/>
      <c r="AK152" s="88"/>
      <c r="AL152" s="57"/>
      <c r="AM152" s="57"/>
    </row>
    <row r="153" spans="2:39" ht="15.75" customHeight="1">
      <c r="B153" s="135"/>
      <c r="AB153" s="83"/>
      <c r="AC153" s="83"/>
      <c r="AD153" s="83"/>
      <c r="AE153" s="83"/>
      <c r="AF153" s="83"/>
      <c r="AG153" s="83"/>
      <c r="AH153" s="83"/>
      <c r="AK153" s="88"/>
      <c r="AL153" s="57"/>
      <c r="AM153" s="57"/>
    </row>
    <row r="154" spans="2:39" ht="15.75" customHeight="1">
      <c r="B154" s="135"/>
      <c r="AB154" s="83"/>
      <c r="AC154" s="83"/>
      <c r="AD154" s="83"/>
      <c r="AE154" s="83"/>
      <c r="AF154" s="83"/>
      <c r="AG154" s="83"/>
      <c r="AH154" s="83"/>
      <c r="AK154" s="88"/>
      <c r="AL154" s="57"/>
      <c r="AM154" s="57"/>
    </row>
    <row r="155" spans="2:39" ht="15.75" customHeight="1">
      <c r="B155" s="135"/>
      <c r="AB155" s="83"/>
      <c r="AC155" s="83"/>
      <c r="AD155" s="83"/>
      <c r="AE155" s="83"/>
      <c r="AF155" s="83"/>
      <c r="AG155" s="83"/>
      <c r="AH155" s="83"/>
      <c r="AK155" s="88"/>
      <c r="AL155" s="57"/>
      <c r="AM155" s="57"/>
    </row>
    <row r="156" spans="2:39" ht="15.75" customHeight="1">
      <c r="B156" s="135"/>
      <c r="AB156" s="83"/>
      <c r="AC156" s="83"/>
      <c r="AD156" s="83"/>
      <c r="AE156" s="83"/>
      <c r="AF156" s="83"/>
      <c r="AG156" s="83"/>
      <c r="AH156" s="83"/>
      <c r="AK156" s="88"/>
      <c r="AL156" s="57"/>
      <c r="AM156" s="57"/>
    </row>
    <row r="157" spans="2:39" ht="15.75" customHeight="1">
      <c r="B157" s="135"/>
      <c r="AB157" s="83"/>
      <c r="AC157" s="83"/>
      <c r="AD157" s="83"/>
      <c r="AE157" s="83"/>
      <c r="AF157" s="83"/>
      <c r="AG157" s="83"/>
      <c r="AH157" s="83"/>
      <c r="AK157" s="88"/>
      <c r="AL157" s="57"/>
      <c r="AM157" s="57"/>
    </row>
    <row r="158" spans="2:39" ht="15.75" customHeight="1">
      <c r="B158" s="135"/>
      <c r="AB158" s="83"/>
      <c r="AC158" s="83"/>
      <c r="AD158" s="83"/>
      <c r="AE158" s="83"/>
      <c r="AF158" s="83"/>
      <c r="AG158" s="83"/>
      <c r="AH158" s="83"/>
      <c r="AK158" s="88"/>
      <c r="AL158" s="57"/>
      <c r="AM158" s="57"/>
    </row>
    <row r="159" spans="2:39" ht="15.75" customHeight="1">
      <c r="B159" s="135"/>
      <c r="AB159" s="83"/>
      <c r="AC159" s="83"/>
      <c r="AD159" s="83"/>
      <c r="AE159" s="83"/>
      <c r="AF159" s="83"/>
      <c r="AG159" s="83"/>
      <c r="AH159" s="83"/>
      <c r="AK159" s="88"/>
      <c r="AL159" s="57"/>
      <c r="AM159" s="57"/>
    </row>
    <row r="160" spans="2:39" ht="15.75" customHeight="1">
      <c r="B160" s="135"/>
      <c r="AB160" s="83"/>
      <c r="AC160" s="83"/>
      <c r="AD160" s="83"/>
      <c r="AE160" s="83"/>
      <c r="AF160" s="83"/>
      <c r="AG160" s="83"/>
      <c r="AH160" s="83"/>
      <c r="AK160" s="88"/>
      <c r="AL160" s="57"/>
      <c r="AM160" s="57"/>
    </row>
    <row r="161" spans="2:39" ht="15.75" customHeight="1">
      <c r="B161" s="135"/>
      <c r="AB161" s="83"/>
      <c r="AC161" s="83"/>
      <c r="AD161" s="83"/>
      <c r="AE161" s="83"/>
      <c r="AF161" s="83"/>
      <c r="AG161" s="83"/>
      <c r="AH161" s="83"/>
      <c r="AK161" s="88"/>
      <c r="AL161" s="57"/>
      <c r="AM161" s="57"/>
    </row>
    <row r="162" spans="2:39" ht="15.75" customHeight="1">
      <c r="B162" s="135"/>
      <c r="AB162" s="83"/>
      <c r="AC162" s="83"/>
      <c r="AD162" s="83"/>
      <c r="AE162" s="83"/>
      <c r="AF162" s="83"/>
      <c r="AG162" s="83"/>
      <c r="AH162" s="83"/>
      <c r="AK162" s="88"/>
      <c r="AL162" s="57"/>
      <c r="AM162" s="57"/>
    </row>
    <row r="163" spans="2:39" ht="15.75" customHeight="1">
      <c r="B163" s="135"/>
      <c r="AB163" s="83"/>
      <c r="AC163" s="83"/>
      <c r="AD163" s="83"/>
      <c r="AE163" s="83"/>
      <c r="AF163" s="83"/>
      <c r="AG163" s="83"/>
      <c r="AH163" s="83"/>
      <c r="AK163" s="88"/>
      <c r="AL163" s="57"/>
      <c r="AM163" s="57"/>
    </row>
    <row r="164" spans="2:39" ht="15.75" customHeight="1">
      <c r="B164" s="135"/>
      <c r="AB164" s="83"/>
      <c r="AC164" s="83"/>
      <c r="AD164" s="83"/>
      <c r="AE164" s="83"/>
      <c r="AF164" s="83"/>
      <c r="AG164" s="83"/>
      <c r="AH164" s="83"/>
      <c r="AK164" s="88"/>
      <c r="AL164" s="57"/>
      <c r="AM164" s="57"/>
    </row>
    <row r="165" spans="2:39" ht="15.75" customHeight="1">
      <c r="B165" s="135"/>
      <c r="AB165" s="83"/>
      <c r="AC165" s="83"/>
      <c r="AD165" s="83"/>
      <c r="AE165" s="83"/>
      <c r="AF165" s="83"/>
      <c r="AG165" s="83"/>
      <c r="AH165" s="83"/>
      <c r="AK165" s="88"/>
      <c r="AL165" s="57"/>
      <c r="AM165" s="57"/>
    </row>
    <row r="166" spans="2:39" ht="15.75" customHeight="1">
      <c r="B166" s="135"/>
      <c r="AB166" s="83"/>
      <c r="AC166" s="83"/>
      <c r="AD166" s="83"/>
      <c r="AE166" s="83"/>
      <c r="AF166" s="83"/>
      <c r="AG166" s="83"/>
      <c r="AH166" s="83"/>
      <c r="AK166" s="88"/>
      <c r="AL166" s="57"/>
      <c r="AM166" s="57"/>
    </row>
    <row r="167" spans="2:39" ht="15.75" customHeight="1">
      <c r="B167" s="135"/>
      <c r="AB167" s="83"/>
      <c r="AC167" s="83"/>
      <c r="AD167" s="83"/>
      <c r="AE167" s="83"/>
      <c r="AF167" s="83"/>
      <c r="AG167" s="83"/>
      <c r="AH167" s="83"/>
      <c r="AK167" s="88"/>
      <c r="AL167" s="57"/>
      <c r="AM167" s="57"/>
    </row>
    <row r="168" spans="2:39" ht="15.75" customHeight="1">
      <c r="AK168" s="88"/>
      <c r="AL168" s="57"/>
      <c r="AM168" s="57"/>
    </row>
    <row r="169" spans="2:39" ht="15.75" customHeight="1">
      <c r="AK169" s="88"/>
      <c r="AL169" s="57"/>
      <c r="AM169" s="57"/>
    </row>
    <row r="170" spans="2:39" ht="15.75" customHeight="1">
      <c r="AK170" s="88"/>
      <c r="AL170" s="57"/>
      <c r="AM170" s="57"/>
    </row>
    <row r="171" spans="2:39" ht="15.75" customHeight="1">
      <c r="AK171" s="88"/>
      <c r="AL171" s="57"/>
      <c r="AM171" s="57"/>
    </row>
    <row r="172" spans="2:39" ht="15.75" customHeight="1">
      <c r="AK172" s="88"/>
      <c r="AL172" s="57"/>
      <c r="AM172" s="57"/>
    </row>
    <row r="173" spans="2:39" ht="15.75" customHeight="1">
      <c r="AK173" s="88"/>
      <c r="AL173" s="57"/>
      <c r="AM173" s="57"/>
    </row>
    <row r="174" spans="2:39" ht="15.75" customHeight="1">
      <c r="AK174" s="88"/>
      <c r="AL174" s="57"/>
      <c r="AM174" s="57"/>
    </row>
    <row r="175" spans="2:39" ht="15.75" customHeight="1">
      <c r="AK175" s="88"/>
      <c r="AL175" s="57"/>
      <c r="AM175" s="57"/>
    </row>
    <row r="176" spans="2:39" ht="15.75" customHeight="1">
      <c r="AK176" s="88"/>
      <c r="AL176" s="57"/>
      <c r="AM176" s="57"/>
    </row>
    <row r="177" spans="37:39" ht="15.75" customHeight="1">
      <c r="AK177" s="88"/>
      <c r="AL177" s="57"/>
      <c r="AM177" s="57"/>
    </row>
    <row r="178" spans="37:39" ht="15.75" customHeight="1">
      <c r="AK178" s="88"/>
      <c r="AL178" s="57"/>
      <c r="AM178" s="57"/>
    </row>
    <row r="179" spans="37:39" ht="15.75" customHeight="1">
      <c r="AK179" s="88"/>
      <c r="AL179" s="57"/>
      <c r="AM179" s="57"/>
    </row>
    <row r="180" spans="37:39" ht="15.75" customHeight="1">
      <c r="AK180" s="88"/>
      <c r="AL180" s="57"/>
      <c r="AM180" s="57"/>
    </row>
    <row r="181" spans="37:39" ht="15.75" customHeight="1">
      <c r="AK181" s="88"/>
      <c r="AL181" s="57"/>
      <c r="AM181" s="57"/>
    </row>
    <row r="182" spans="37:39" ht="15.75" customHeight="1">
      <c r="AK182" s="88"/>
      <c r="AL182" s="57"/>
      <c r="AM182" s="57"/>
    </row>
    <row r="183" spans="37:39" ht="15.75" customHeight="1">
      <c r="AK183" s="88"/>
      <c r="AL183" s="57"/>
      <c r="AM183" s="57"/>
    </row>
    <row r="184" spans="37:39" ht="15.75" customHeight="1">
      <c r="AK184" s="88"/>
      <c r="AL184" s="57"/>
      <c r="AM184" s="57"/>
    </row>
    <row r="185" spans="37:39" ht="15.75" customHeight="1">
      <c r="AK185" s="88"/>
      <c r="AL185" s="57"/>
      <c r="AM185" s="57"/>
    </row>
    <row r="186" spans="37:39" ht="15.75" customHeight="1">
      <c r="AK186" s="88"/>
      <c r="AL186" s="57"/>
      <c r="AM186" s="57"/>
    </row>
    <row r="187" spans="37:39" ht="15.75" customHeight="1">
      <c r="AK187" s="88"/>
      <c r="AL187" s="57"/>
      <c r="AM187" s="57"/>
    </row>
    <row r="188" spans="37:39" ht="15.75" customHeight="1">
      <c r="AK188" s="88"/>
      <c r="AL188" s="57"/>
      <c r="AM188" s="57"/>
    </row>
    <row r="189" spans="37:39" ht="15.75" customHeight="1">
      <c r="AK189" s="88"/>
      <c r="AL189" s="57"/>
      <c r="AM189" s="57"/>
    </row>
    <row r="190" spans="37:39" ht="15.75" customHeight="1">
      <c r="AK190" s="88"/>
      <c r="AL190" s="57"/>
      <c r="AM190" s="57"/>
    </row>
    <row r="191" spans="37:39" ht="15.75" customHeight="1">
      <c r="AK191" s="88"/>
      <c r="AL191" s="57"/>
      <c r="AM191" s="57"/>
    </row>
    <row r="192" spans="37:39" ht="15.75" customHeight="1">
      <c r="AK192" s="88"/>
      <c r="AL192" s="57"/>
      <c r="AM192" s="57"/>
    </row>
    <row r="193" spans="37:39" ht="15.75" customHeight="1">
      <c r="AK193" s="88"/>
      <c r="AL193" s="57"/>
      <c r="AM193" s="57"/>
    </row>
    <row r="194" spans="37:39" ht="15.75" customHeight="1">
      <c r="AK194" s="88"/>
      <c r="AL194" s="57"/>
      <c r="AM194" s="57"/>
    </row>
    <row r="195" spans="37:39" ht="15.75" customHeight="1">
      <c r="AK195" s="88"/>
      <c r="AL195" s="57"/>
      <c r="AM195" s="57"/>
    </row>
    <row r="196" spans="37:39" ht="15.75" customHeight="1">
      <c r="AK196" s="88"/>
      <c r="AL196" s="57"/>
      <c r="AM196" s="57"/>
    </row>
    <row r="197" spans="37:39" ht="15.75" customHeight="1">
      <c r="AK197" s="88"/>
      <c r="AL197" s="57"/>
      <c r="AM197" s="57"/>
    </row>
    <row r="198" spans="37:39" ht="15.75" customHeight="1">
      <c r="AK198" s="88"/>
      <c r="AL198" s="57"/>
      <c r="AM198" s="57"/>
    </row>
    <row r="199" spans="37:39" ht="15.75" customHeight="1">
      <c r="AK199" s="88"/>
      <c r="AL199" s="57"/>
      <c r="AM199" s="57"/>
    </row>
    <row r="200" spans="37:39" ht="15.75" customHeight="1">
      <c r="AK200" s="88"/>
      <c r="AL200" s="57"/>
      <c r="AM200" s="57"/>
    </row>
    <row r="201" spans="37:39" ht="15.75" customHeight="1">
      <c r="AK201" s="88"/>
      <c r="AL201" s="57"/>
      <c r="AM201" s="57"/>
    </row>
    <row r="202" spans="37:39" ht="15.75" customHeight="1">
      <c r="AK202" s="88"/>
      <c r="AL202" s="57"/>
      <c r="AM202" s="57"/>
    </row>
    <row r="203" spans="37:39" ht="15.75" customHeight="1">
      <c r="AK203" s="88"/>
      <c r="AL203" s="57"/>
      <c r="AM203" s="57"/>
    </row>
    <row r="204" spans="37:39" ht="15.75" customHeight="1">
      <c r="AK204" s="88"/>
      <c r="AL204" s="57"/>
      <c r="AM204" s="57"/>
    </row>
    <row r="205" spans="37:39" ht="15.75" customHeight="1">
      <c r="AK205" s="88"/>
      <c r="AL205" s="57"/>
      <c r="AM205" s="57"/>
    </row>
    <row r="206" spans="37:39" ht="15.75" customHeight="1">
      <c r="AK206" s="88"/>
      <c r="AL206" s="57"/>
      <c r="AM206" s="57"/>
    </row>
    <row r="207" spans="37:39" ht="15.75" customHeight="1">
      <c r="AK207" s="88"/>
      <c r="AL207" s="57"/>
      <c r="AM207" s="57"/>
    </row>
    <row r="208" spans="37:39" ht="15.75" customHeight="1">
      <c r="AK208" s="88"/>
      <c r="AL208" s="57"/>
      <c r="AM208" s="57"/>
    </row>
    <row r="209" spans="37:39" ht="15.75" customHeight="1">
      <c r="AK209" s="88"/>
      <c r="AL209" s="57"/>
      <c r="AM209" s="57"/>
    </row>
    <row r="210" spans="37:39" ht="15.75" customHeight="1">
      <c r="AK210" s="88"/>
      <c r="AL210" s="57"/>
      <c r="AM210" s="57"/>
    </row>
    <row r="211" spans="37:39" ht="15.75" customHeight="1">
      <c r="AK211" s="88"/>
      <c r="AL211" s="57"/>
      <c r="AM211" s="57"/>
    </row>
    <row r="212" spans="37:39" ht="15.75" customHeight="1">
      <c r="AK212" s="88"/>
      <c r="AL212" s="57"/>
      <c r="AM212" s="57"/>
    </row>
    <row r="213" spans="37:39" ht="15.75" customHeight="1">
      <c r="AK213" s="88"/>
      <c r="AL213" s="57"/>
      <c r="AM213" s="57"/>
    </row>
    <row r="214" spans="37:39" ht="15.75" customHeight="1">
      <c r="AK214" s="88"/>
      <c r="AL214" s="57"/>
      <c r="AM214" s="57"/>
    </row>
    <row r="215" spans="37:39" ht="15.75" customHeight="1">
      <c r="AK215" s="88"/>
      <c r="AL215" s="57"/>
      <c r="AM215" s="57"/>
    </row>
    <row r="216" spans="37:39" ht="15.75" customHeight="1">
      <c r="AK216" s="88"/>
      <c r="AL216" s="57"/>
      <c r="AM216" s="57"/>
    </row>
    <row r="217" spans="37:39" ht="15.75" customHeight="1">
      <c r="AK217" s="88"/>
      <c r="AL217" s="57"/>
      <c r="AM217" s="57"/>
    </row>
    <row r="218" spans="37:39" ht="15.75" customHeight="1">
      <c r="AK218" s="88"/>
      <c r="AL218" s="57"/>
      <c r="AM218" s="57"/>
    </row>
    <row r="219" spans="37:39" ht="15.75" customHeight="1">
      <c r="AK219" s="88"/>
      <c r="AL219" s="57"/>
      <c r="AM219" s="57"/>
    </row>
    <row r="220" spans="37:39" ht="15.75" customHeight="1">
      <c r="AK220" s="88"/>
      <c r="AL220" s="57"/>
      <c r="AM220" s="57"/>
    </row>
    <row r="221" spans="37:39" ht="15.75" customHeight="1">
      <c r="AK221" s="88"/>
      <c r="AL221" s="57"/>
      <c r="AM221" s="57"/>
    </row>
    <row r="222" spans="37:39" ht="15.75" customHeight="1">
      <c r="AK222" s="88"/>
      <c r="AL222" s="57"/>
      <c r="AM222" s="57"/>
    </row>
    <row r="223" spans="37:39" ht="15.75" customHeight="1">
      <c r="AK223" s="88"/>
      <c r="AL223" s="57"/>
      <c r="AM223" s="57"/>
    </row>
    <row r="224" spans="37:39" ht="15.75" customHeight="1">
      <c r="AK224" s="88"/>
      <c r="AL224" s="57"/>
      <c r="AM224" s="57"/>
    </row>
    <row r="225" spans="37:39" ht="15.75" customHeight="1">
      <c r="AK225" s="88"/>
      <c r="AL225" s="57"/>
      <c r="AM225" s="57"/>
    </row>
    <row r="226" spans="37:39" ht="15.75" customHeight="1">
      <c r="AK226" s="88"/>
      <c r="AL226" s="57"/>
      <c r="AM226" s="57"/>
    </row>
    <row r="227" spans="37:39" ht="15.75" customHeight="1">
      <c r="AK227" s="88"/>
      <c r="AL227" s="57"/>
      <c r="AM227" s="57"/>
    </row>
    <row r="228" spans="37:39" ht="15.75" customHeight="1">
      <c r="AK228" s="88"/>
      <c r="AL228" s="57"/>
      <c r="AM228" s="57"/>
    </row>
    <row r="229" spans="37:39" ht="15.75" customHeight="1">
      <c r="AK229" s="88"/>
      <c r="AL229" s="57"/>
      <c r="AM229" s="57"/>
    </row>
    <row r="230" spans="37:39" ht="15.75" customHeight="1">
      <c r="AK230" s="88"/>
      <c r="AL230" s="57"/>
      <c r="AM230" s="57"/>
    </row>
    <row r="231" spans="37:39" ht="15.75" customHeight="1">
      <c r="AK231" s="88"/>
      <c r="AL231" s="57"/>
      <c r="AM231" s="57"/>
    </row>
    <row r="232" spans="37:39" ht="15.75" customHeight="1">
      <c r="AK232" s="88"/>
      <c r="AL232" s="57"/>
      <c r="AM232" s="57"/>
    </row>
    <row r="233" spans="37:39" ht="15.75" customHeight="1">
      <c r="AK233" s="88"/>
      <c r="AL233" s="57"/>
      <c r="AM233" s="57"/>
    </row>
    <row r="234" spans="37:39" ht="15.75" customHeight="1">
      <c r="AK234" s="88"/>
      <c r="AL234" s="57"/>
      <c r="AM234" s="57"/>
    </row>
    <row r="235" spans="37:39" ht="15.75" customHeight="1">
      <c r="AK235" s="88"/>
      <c r="AL235" s="57"/>
      <c r="AM235" s="57"/>
    </row>
    <row r="236" spans="37:39" ht="15.75" customHeight="1">
      <c r="AK236" s="88"/>
      <c r="AL236" s="57"/>
      <c r="AM236" s="57"/>
    </row>
    <row r="237" spans="37:39" ht="15.75" customHeight="1">
      <c r="AK237" s="88"/>
      <c r="AL237" s="57"/>
      <c r="AM237" s="57"/>
    </row>
    <row r="238" spans="37:39" ht="15.75" customHeight="1">
      <c r="AK238" s="88"/>
      <c r="AL238" s="57"/>
      <c r="AM238" s="57"/>
    </row>
    <row r="239" spans="37:39" ht="15.75" customHeight="1">
      <c r="AK239" s="88"/>
      <c r="AL239" s="57"/>
      <c r="AM239" s="57"/>
    </row>
    <row r="240" spans="37:39" ht="15.75" customHeight="1">
      <c r="AK240" s="88"/>
      <c r="AL240" s="57"/>
      <c r="AM240" s="57"/>
    </row>
    <row r="241" spans="37:39" ht="15.75" customHeight="1">
      <c r="AK241" s="88"/>
      <c r="AL241" s="57"/>
      <c r="AM241" s="57"/>
    </row>
    <row r="242" spans="37:39" ht="15.75" customHeight="1">
      <c r="AK242" s="88"/>
      <c r="AL242" s="57"/>
      <c r="AM242" s="57"/>
    </row>
    <row r="243" spans="37:39" ht="15.75" customHeight="1">
      <c r="AK243" s="88"/>
      <c r="AL243" s="57"/>
      <c r="AM243" s="57"/>
    </row>
    <row r="244" spans="37:39" ht="15.75" customHeight="1">
      <c r="AK244" s="88"/>
      <c r="AL244" s="57"/>
      <c r="AM244" s="57"/>
    </row>
    <row r="245" spans="37:39" ht="15.75" customHeight="1">
      <c r="AK245" s="88"/>
      <c r="AL245" s="57"/>
      <c r="AM245" s="57"/>
    </row>
    <row r="246" spans="37:39" ht="15.75" customHeight="1">
      <c r="AK246" s="88"/>
      <c r="AL246" s="57"/>
      <c r="AM246" s="57"/>
    </row>
    <row r="247" spans="37:39" ht="15.75" customHeight="1">
      <c r="AK247" s="88"/>
      <c r="AL247" s="57"/>
      <c r="AM247" s="57"/>
    </row>
    <row r="248" spans="37:39" ht="15.75" customHeight="1">
      <c r="AK248" s="88"/>
      <c r="AL248" s="57"/>
      <c r="AM248" s="57"/>
    </row>
    <row r="249" spans="37:39" ht="15.75" customHeight="1">
      <c r="AK249" s="88"/>
      <c r="AL249" s="57"/>
      <c r="AM249" s="57"/>
    </row>
    <row r="250" spans="37:39" ht="15.75" customHeight="1">
      <c r="AK250" s="88"/>
      <c r="AL250" s="57"/>
      <c r="AM250" s="57"/>
    </row>
    <row r="251" spans="37:39" ht="15.75" customHeight="1">
      <c r="AK251" s="88"/>
      <c r="AL251" s="57"/>
      <c r="AM251" s="57"/>
    </row>
    <row r="252" spans="37:39" ht="15.75" customHeight="1">
      <c r="AK252" s="88"/>
      <c r="AL252" s="57"/>
      <c r="AM252" s="57"/>
    </row>
    <row r="253" spans="37:39" ht="15.75" customHeight="1">
      <c r="AK253" s="88"/>
      <c r="AL253" s="57"/>
      <c r="AM253" s="57"/>
    </row>
    <row r="254" spans="37:39" ht="15.75" customHeight="1">
      <c r="AK254" s="88"/>
      <c r="AL254" s="57"/>
      <c r="AM254" s="57"/>
    </row>
    <row r="255" spans="37:39" ht="15.75" customHeight="1">
      <c r="AK255" s="88"/>
      <c r="AL255" s="57"/>
      <c r="AM255" s="57"/>
    </row>
    <row r="256" spans="37:39" ht="15.75" customHeight="1">
      <c r="AK256" s="88"/>
      <c r="AL256" s="57"/>
      <c r="AM256" s="57"/>
    </row>
    <row r="257" spans="37:39" ht="15.75" customHeight="1">
      <c r="AK257" s="88"/>
      <c r="AL257" s="57"/>
      <c r="AM257" s="57"/>
    </row>
    <row r="258" spans="37:39" ht="15.75" customHeight="1">
      <c r="AK258" s="88"/>
      <c r="AL258" s="57"/>
      <c r="AM258" s="57"/>
    </row>
    <row r="259" spans="37:39" ht="15.75" customHeight="1">
      <c r="AK259" s="88"/>
      <c r="AL259" s="57"/>
      <c r="AM259" s="57"/>
    </row>
    <row r="260" spans="37:39" ht="15.75" customHeight="1">
      <c r="AK260" s="88"/>
      <c r="AL260" s="57"/>
      <c r="AM260" s="57"/>
    </row>
    <row r="261" spans="37:39" ht="15.75" customHeight="1">
      <c r="AK261" s="88"/>
      <c r="AL261" s="57"/>
      <c r="AM261" s="57"/>
    </row>
    <row r="262" spans="37:39" ht="15.75" customHeight="1">
      <c r="AK262" s="88"/>
      <c r="AL262" s="57"/>
      <c r="AM262" s="57"/>
    </row>
    <row r="263" spans="37:39" ht="15.75" customHeight="1"/>
    <row r="264" spans="37:39" ht="15.75" customHeight="1"/>
    <row r="265" spans="37:39" ht="15.75" customHeight="1"/>
    <row r="266" spans="37:39" ht="15.75" customHeight="1"/>
    <row r="267" spans="37:39" ht="15.75" customHeight="1"/>
    <row r="268" spans="37:39" ht="15.75" customHeight="1"/>
    <row r="269" spans="37:39" ht="15.75" customHeight="1"/>
    <row r="270" spans="37:39" ht="15.75" customHeight="1"/>
    <row r="271" spans="37:39" ht="15.75" customHeight="1"/>
    <row r="272" spans="37:39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25">
    <tabColor rgb="FF00B050"/>
  </sheetPr>
  <dimension ref="A1:AT1000"/>
  <sheetViews>
    <sheetView showGridLines="0" workbookViewId="0">
      <pane xSplit="1" ySplit="3" topLeftCell="B9" activePane="bottomRight" state="frozen"/>
      <selection activeCell="AO3" sqref="AO3"/>
      <selection pane="topRight" activeCell="AO3" sqref="AO3"/>
      <selection pane="bottomLeft" activeCell="AO3" sqref="AO3"/>
      <selection pane="bottomRight" activeCell="D16" sqref="D16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23.6640625" customWidth="1"/>
    <col min="5" max="5" width="12.44140625" customWidth="1"/>
    <col min="6" max="6" width="25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customWidth="1"/>
    <col min="34" max="34" width="10.33203125" customWidth="1"/>
    <col min="36" max="36" width="17.5546875" customWidth="1"/>
    <col min="37" max="38" width="14.44140625" customWidth="1"/>
    <col min="39" max="39" width="17.6640625" customWidth="1"/>
    <col min="43" max="44" width="17.109375" customWidth="1"/>
  </cols>
  <sheetData>
    <row r="1" spans="1:46" ht="15" customHeight="1">
      <c r="AB1" s="83"/>
      <c r="AC1" s="83"/>
      <c r="AD1" s="83"/>
      <c r="AE1" s="83"/>
      <c r="AF1" s="83"/>
      <c r="AG1" s="168" t="s">
        <v>240</v>
      </c>
      <c r="AH1" s="83" t="s">
        <v>492</v>
      </c>
      <c r="AI1" s="80" t="s">
        <v>242</v>
      </c>
      <c r="AJ1" s="169" t="s">
        <v>37</v>
      </c>
      <c r="AK1" s="88"/>
      <c r="AL1" s="57"/>
      <c r="AM1" s="57"/>
    </row>
    <row r="2" spans="1:46" ht="15" customHeight="1">
      <c r="G2" s="90"/>
      <c r="H2" s="90"/>
      <c r="I2" s="81">
        <f>SUM(I4:I927)</f>
        <v>376.22</v>
      </c>
      <c r="J2" s="81"/>
      <c r="K2" s="81">
        <f>SUM(K4:K927)</f>
        <v>358.70790799999997</v>
      </c>
      <c r="Q2" s="137">
        <f>+SUMPRODUCT(Q4:Q927,AH4:AH927)/SUM(AH4:AH927)</f>
        <v>88.468445489894236</v>
      </c>
      <c r="R2" s="57">
        <f>+SUMPRODUCT(R4:R927,AH4:AH927)/SUM(AH4:AH927)</f>
        <v>2319.7057210303142</v>
      </c>
      <c r="AB2" s="83"/>
      <c r="AC2" s="83"/>
      <c r="AD2" s="83"/>
      <c r="AE2" s="83"/>
      <c r="AF2" s="83"/>
      <c r="AG2" s="168">
        <f>SUMPRODUCT($AG4:$AG927,$K4:$K927)/SUM($K4:$K927)</f>
        <v>80.828300714707254</v>
      </c>
      <c r="AH2" s="83">
        <f>SUM(AH4:AH927)</f>
        <v>4645.8383092544691</v>
      </c>
      <c r="AI2" s="171">
        <v>2405.56</v>
      </c>
      <c r="AJ2" s="169"/>
      <c r="AK2" s="88"/>
      <c r="AL2" s="57"/>
      <c r="AM2" s="57"/>
    </row>
    <row r="3" spans="1:46" ht="15" customHeight="1">
      <c r="A3" s="100" t="s">
        <v>11</v>
      </c>
      <c r="B3" s="100" t="s">
        <v>39</v>
      </c>
      <c r="C3" s="100" t="s">
        <v>40</v>
      </c>
      <c r="D3" s="100" t="s">
        <v>41</v>
      </c>
      <c r="E3" s="100" t="s">
        <v>340</v>
      </c>
      <c r="F3" s="100" t="s">
        <v>43</v>
      </c>
      <c r="G3" s="100" t="s">
        <v>16</v>
      </c>
      <c r="H3" s="101"/>
      <c r="I3" s="172" t="s">
        <v>13</v>
      </c>
      <c r="J3" s="172" t="s">
        <v>14</v>
      </c>
      <c r="K3" s="100" t="s">
        <v>15</v>
      </c>
      <c r="L3" s="112" t="s">
        <v>44</v>
      </c>
      <c r="M3" s="107" t="s">
        <v>45</v>
      </c>
      <c r="N3" s="107" t="s">
        <v>46</v>
      </c>
      <c r="O3" s="101" t="s">
        <v>47</v>
      </c>
      <c r="P3" s="112" t="s">
        <v>48</v>
      </c>
      <c r="Q3" s="112" t="s">
        <v>49</v>
      </c>
      <c r="R3" s="112" t="s">
        <v>50</v>
      </c>
      <c r="S3" s="112" t="s">
        <v>51</v>
      </c>
      <c r="T3" s="110" t="s">
        <v>52</v>
      </c>
      <c r="U3" s="110" t="s">
        <v>21</v>
      </c>
      <c r="V3" s="111" t="s">
        <v>22</v>
      </c>
      <c r="W3" s="112" t="s">
        <v>53</v>
      </c>
      <c r="X3" s="112" t="s">
        <v>54</v>
      </c>
      <c r="Y3" s="112" t="s">
        <v>55</v>
      </c>
      <c r="Z3" s="101" t="s">
        <v>56</v>
      </c>
      <c r="AA3" s="101" t="s">
        <v>57</v>
      </c>
      <c r="AB3" s="113" t="s">
        <v>58</v>
      </c>
      <c r="AC3" s="114" t="s">
        <v>59</v>
      </c>
      <c r="AD3" s="115" t="s">
        <v>60</v>
      </c>
      <c r="AE3" s="115" t="s">
        <v>61</v>
      </c>
      <c r="AF3" s="115" t="s">
        <v>62</v>
      </c>
      <c r="AG3" s="173" t="s">
        <v>63</v>
      </c>
      <c r="AH3" s="174" t="s">
        <v>64</v>
      </c>
      <c r="AI3" s="57">
        <f>SUMPRODUCT(K4:K927,AI4:AI927)/K2</f>
        <v>89.807573902782948</v>
      </c>
      <c r="AJ3" s="144">
        <f>SUM(AJ4:AJ46)</f>
        <v>4604.9024999772082</v>
      </c>
      <c r="AK3" s="88">
        <f>SUM(AK4:AK927)</f>
        <v>351096.29682898556</v>
      </c>
      <c r="AL3" s="57">
        <f>+AH2-AJ3</f>
        <v>40.935809277260887</v>
      </c>
      <c r="AM3" s="57"/>
    </row>
    <row r="4" spans="1:46" ht="15" customHeight="1">
      <c r="A4" s="119"/>
      <c r="B4" s="120"/>
      <c r="C4" s="120"/>
      <c r="D4" s="120"/>
      <c r="E4" s="120"/>
      <c r="F4" s="120"/>
      <c r="G4" s="120"/>
      <c r="H4" s="121"/>
      <c r="I4" s="120"/>
      <c r="J4" s="120"/>
      <c r="K4" s="120"/>
      <c r="L4" s="121"/>
      <c r="M4" s="124"/>
      <c r="N4" s="124"/>
      <c r="O4" s="121"/>
      <c r="P4" s="121"/>
      <c r="Q4" s="121"/>
      <c r="R4" s="121"/>
      <c r="S4" s="121"/>
      <c r="T4" s="125"/>
      <c r="U4" s="125"/>
      <c r="V4" s="125"/>
      <c r="W4" s="121"/>
      <c r="X4" s="121"/>
      <c r="Y4" s="121"/>
      <c r="Z4" s="121"/>
      <c r="AA4" s="121"/>
      <c r="AB4" s="126"/>
      <c r="AC4" s="127"/>
      <c r="AD4" s="128"/>
      <c r="AE4" s="128"/>
      <c r="AF4" s="128"/>
      <c r="AG4" s="129"/>
      <c r="AH4" s="175"/>
      <c r="AI4" s="144"/>
      <c r="AJ4" s="132"/>
      <c r="AK4" s="133"/>
      <c r="AL4" s="144"/>
      <c r="AM4" s="144"/>
      <c r="AN4" s="142"/>
      <c r="AO4" s="142"/>
      <c r="AP4" s="142"/>
      <c r="AQ4" s="142"/>
      <c r="AR4" s="142"/>
      <c r="AS4" s="142"/>
      <c r="AT4" s="142"/>
    </row>
    <row r="5" spans="1:46" ht="15.75" customHeight="1">
      <c r="A5" s="162" t="s">
        <v>493</v>
      </c>
      <c r="B5" s="194"/>
      <c r="C5" s="194">
        <v>45455</v>
      </c>
      <c r="D5" s="163" t="s">
        <v>93</v>
      </c>
      <c r="E5" s="251"/>
      <c r="F5" s="163" t="s">
        <v>185</v>
      </c>
      <c r="G5" s="252">
        <v>26</v>
      </c>
      <c r="H5" s="252" t="s">
        <v>69</v>
      </c>
      <c r="I5" s="196">
        <v>2.57</v>
      </c>
      <c r="J5" s="195">
        <v>1.5</v>
      </c>
      <c r="K5" s="196">
        <f t="shared" ref="K5:K44" si="0">+I5-(I5*(J5/100))</f>
        <v>2.53145</v>
      </c>
      <c r="L5" s="253">
        <v>6.3E-2</v>
      </c>
      <c r="M5" s="255">
        <v>6.3E-2</v>
      </c>
      <c r="N5" s="255">
        <v>6.3E-2</v>
      </c>
      <c r="O5" s="197">
        <f t="shared" ref="O5:O44" si="1">+ROUND((M5+N5)/2,3)</f>
        <v>6.3E-2</v>
      </c>
      <c r="P5" s="256">
        <v>85.56</v>
      </c>
      <c r="Q5" s="195">
        <v>85.56</v>
      </c>
      <c r="R5" s="200">
        <v>2316.9050000000002</v>
      </c>
      <c r="S5" s="161">
        <v>80</v>
      </c>
      <c r="T5" s="163"/>
      <c r="U5" s="163">
        <v>130</v>
      </c>
      <c r="V5" s="163">
        <v>1.1023000000000001</v>
      </c>
      <c r="W5" s="195">
        <v>7.5</v>
      </c>
      <c r="X5" s="195">
        <v>9.8000000000000007</v>
      </c>
      <c r="Y5" s="256">
        <v>30</v>
      </c>
      <c r="Z5" s="195">
        <f t="shared" ref="Z5:Z26" si="2">IF(D5="UNTUCA",IF(+((W5-3)*1.5+(X5-3)*3.1)&gt;0,+((W5-3)*1.5+(X5-3)*3.1),0),IF(+((W5-3)*1.5+(X5-3)*3.1)&gt;0,+((W5-3)*1.5+(X5-3)*3.1),0))</f>
        <v>27.830000000000002</v>
      </c>
      <c r="AA5" s="200">
        <f t="shared" ref="AA5:AA44" si="3">+Y5+Z5</f>
        <v>57.83</v>
      </c>
      <c r="AB5" s="201">
        <f t="shared" ref="AB5:AB44" si="4">+((O5*P5*(R5-U5)/100)-S5-AA5+T5)*V5</f>
        <v>-21.990551186081778</v>
      </c>
      <c r="AC5" s="201">
        <f>+(S5-T5)*V5-'data 1'!$F$4</f>
        <v>8.1839999999999975</v>
      </c>
      <c r="AD5" s="201">
        <f t="shared" ref="AD5:AD44" si="5">+(Q5-P5)*(R5-U5)*L5*V5/100</f>
        <v>0</v>
      </c>
      <c r="AE5" s="201">
        <f>+(Y5*V5-'data 1'!$I$21)+V5*(Z5-IF(D5="UNTUCA",IF(+((W5-3)*2.5+(X5-3)*3.1)&gt;0,+((W5-3)*1.5+(X5-3)*3.1),0),IF(+((W5-3)*1.5+(X5-3)*3.1)&gt;0,+((W5-3)*1.5+(X5-3)*3.1),0)))</f>
        <v>7.4879189189189219</v>
      </c>
      <c r="AF5" s="201">
        <f t="shared" ref="AF5:AF44" si="6">(L5-O5)*(R5-U5)*Q5*V5/100</f>
        <v>0</v>
      </c>
      <c r="AG5" s="201">
        <f t="shared" ref="AG5:AG44" si="7">+AC5+AD5+AE5+AF5</f>
        <v>15.671918918918919</v>
      </c>
      <c r="AH5" s="201">
        <f t="shared" ref="AH5:AH44" si="8">31.1035*L5*Q5*1.1023*K5/100</f>
        <v>4.6783181036050197</v>
      </c>
      <c r="AI5" s="195">
        <f t="shared" ref="AI5:AI44" si="9">+((+$AI$2-R5+U5)*L5*Q5*V5)/100</f>
        <v>12.991836475888185</v>
      </c>
      <c r="AJ5" s="200">
        <f t="shared" ref="AJ5:AJ44" si="10">31.1035*1.1023*K5*P5*O5/100</f>
        <v>4.6783181036050197</v>
      </c>
      <c r="AK5" s="202">
        <f t="shared" ref="AK5:AK44" si="11">+AH5-AJ5</f>
        <v>0</v>
      </c>
      <c r="AL5" s="200"/>
      <c r="AM5" s="200"/>
      <c r="AN5" s="163"/>
      <c r="AO5" s="163"/>
      <c r="AP5" s="163"/>
      <c r="AQ5" s="163"/>
      <c r="AR5" s="163"/>
      <c r="AS5" s="163"/>
      <c r="AT5" s="163"/>
    </row>
    <row r="6" spans="1:46" ht="15.75" customHeight="1">
      <c r="A6" s="134" t="s">
        <v>494</v>
      </c>
      <c r="B6" s="135">
        <v>45459</v>
      </c>
      <c r="C6" s="135">
        <v>45455</v>
      </c>
      <c r="D6" s="6" t="s">
        <v>93</v>
      </c>
      <c r="E6" s="176"/>
      <c r="F6" s="6" t="s">
        <v>103</v>
      </c>
      <c r="G6" s="90">
        <v>105</v>
      </c>
      <c r="H6" s="90" t="s">
        <v>108</v>
      </c>
      <c r="I6" s="82">
        <v>9.0299999999999994</v>
      </c>
      <c r="J6" s="137">
        <v>26.3</v>
      </c>
      <c r="K6" s="138">
        <f t="shared" si="0"/>
        <v>6.6551099999999996</v>
      </c>
      <c r="L6" s="240">
        <v>3.1030000000000002</v>
      </c>
      <c r="M6" s="139">
        <v>2.9009999999999998</v>
      </c>
      <c r="N6" s="159">
        <v>2.9009999999999998</v>
      </c>
      <c r="O6" s="141">
        <f t="shared" si="1"/>
        <v>2.9009999999999998</v>
      </c>
      <c r="P6" s="6">
        <v>90</v>
      </c>
      <c r="Q6" s="6">
        <v>86.33</v>
      </c>
      <c r="R6" s="57">
        <v>2316.9050000000002</v>
      </c>
      <c r="S6" s="80">
        <v>360</v>
      </c>
      <c r="U6" s="6">
        <v>130</v>
      </c>
      <c r="V6" s="6">
        <v>1.1023000000000001</v>
      </c>
      <c r="W6" s="137">
        <v>8.5</v>
      </c>
      <c r="X6" s="137">
        <v>13.5</v>
      </c>
      <c r="Y6" s="203">
        <v>30</v>
      </c>
      <c r="Z6" s="143">
        <f t="shared" si="2"/>
        <v>40.800000000000004</v>
      </c>
      <c r="AA6" s="144">
        <f t="shared" si="3"/>
        <v>70.800000000000011</v>
      </c>
      <c r="AB6" s="145">
        <f t="shared" si="4"/>
        <v>5819.0309685583507</v>
      </c>
      <c r="AC6" s="145">
        <f>+(S6-T6)*V6-'data 1'!$F$4</f>
        <v>316.82800000000003</v>
      </c>
      <c r="AD6" s="145">
        <f t="shared" si="5"/>
        <v>-274.52225950775835</v>
      </c>
      <c r="AE6" s="145">
        <f>+(Y6*V6-'data 1'!$I$21)+V6*(Z6-IF(D6="UNTUCA",IF(+((W6-3)*2.5+(X6-3)*3.1)&gt;0,+((W6-3)*1.5+(X6-3)*3.1),0),IF(+((W6-3)*1.5+(X6-3)*3.1)&gt;0,+((W6-3)*1.5+(X6-3)*3.1),0)))</f>
        <v>7.4879189189189219</v>
      </c>
      <c r="AF6" s="145">
        <f t="shared" si="6"/>
        <v>420.38076415348877</v>
      </c>
      <c r="AG6" s="145">
        <f t="shared" si="7"/>
        <v>470.17442356464937</v>
      </c>
      <c r="AH6" s="145">
        <f t="shared" si="8"/>
        <v>611.23445036800297</v>
      </c>
      <c r="AI6" s="143">
        <f t="shared" si="9"/>
        <v>645.6582976979887</v>
      </c>
      <c r="AJ6" s="144">
        <f t="shared" si="10"/>
        <v>595.73696106476552</v>
      </c>
      <c r="AK6" s="133">
        <f t="shared" si="11"/>
        <v>15.497489303237444</v>
      </c>
      <c r="AL6" s="57"/>
      <c r="AM6" s="57"/>
    </row>
    <row r="7" spans="1:46" ht="15.75" customHeight="1">
      <c r="A7" s="134" t="s">
        <v>495</v>
      </c>
      <c r="B7" s="135"/>
      <c r="C7" s="135">
        <v>45457</v>
      </c>
      <c r="D7" s="257" t="s">
        <v>93</v>
      </c>
      <c r="E7" s="176"/>
      <c r="F7" s="6" t="s">
        <v>99</v>
      </c>
      <c r="G7" s="90">
        <v>100</v>
      </c>
      <c r="H7" s="90" t="s">
        <v>69</v>
      </c>
      <c r="I7" s="82">
        <v>9.74</v>
      </c>
      <c r="J7" s="137">
        <v>1</v>
      </c>
      <c r="K7" s="138">
        <f t="shared" si="0"/>
        <v>9.6425999999999998</v>
      </c>
      <c r="L7" s="240">
        <v>0.71399999999999997</v>
      </c>
      <c r="M7" s="80">
        <v>0.67800000000000005</v>
      </c>
      <c r="N7" s="249">
        <v>0.67800000000000005</v>
      </c>
      <c r="O7" s="141">
        <f t="shared" si="1"/>
        <v>0.67800000000000005</v>
      </c>
      <c r="P7" s="163">
        <v>90</v>
      </c>
      <c r="Q7" s="143">
        <v>89.14</v>
      </c>
      <c r="R7" s="57">
        <v>2304.1350000000002</v>
      </c>
      <c r="S7" s="80">
        <v>160</v>
      </c>
      <c r="U7" s="6">
        <v>130</v>
      </c>
      <c r="V7" s="6">
        <v>1.1023000000000001</v>
      </c>
      <c r="W7" s="137">
        <v>7.9</v>
      </c>
      <c r="X7" s="137">
        <v>11.6</v>
      </c>
      <c r="Y7" s="203">
        <v>25</v>
      </c>
      <c r="Z7" s="143">
        <f t="shared" si="2"/>
        <v>34.01</v>
      </c>
      <c r="AA7" s="144">
        <f t="shared" si="3"/>
        <v>59.01</v>
      </c>
      <c r="AB7" s="145">
        <f t="shared" si="4"/>
        <v>1220.9594832071002</v>
      </c>
      <c r="AC7" s="145">
        <f>+(S7-T7)*V7-'data 1'!$F$4</f>
        <v>96.367999999999995</v>
      </c>
      <c r="AD7" s="145">
        <f t="shared" si="5"/>
        <v>-14.71576954407419</v>
      </c>
      <c r="AE7" s="145">
        <f>+(Y7*V7-'data 1'!$I$21)+V7*(Z7-IF(D7="UNTUCA",IF(+((W7-3)*2.5+(X7-3)*3.1)&gt;0,+((W7-3)*1.5+(X7-3)*3.1),0),IF(+((W7-3)*1.5+(X7-3)*3.1)&gt;0,+((W7-3)*1.5+(X7-3)*3.1),0)))</f>
        <v>1.9764189189189203</v>
      </c>
      <c r="AF7" s="145">
        <f t="shared" si="6"/>
        <v>76.906216366549046</v>
      </c>
      <c r="AG7" s="145">
        <f t="shared" si="7"/>
        <v>160.53486574139379</v>
      </c>
      <c r="AH7" s="145">
        <f t="shared" si="8"/>
        <v>210.41372375773136</v>
      </c>
      <c r="AI7" s="143">
        <f t="shared" si="9"/>
        <v>162.36070234773879</v>
      </c>
      <c r="AJ7" s="144">
        <f t="shared" si="10"/>
        <v>201.73229257122952</v>
      </c>
      <c r="AK7" s="133">
        <f t="shared" si="11"/>
        <v>8.6814311865018396</v>
      </c>
      <c r="AL7" s="57"/>
      <c r="AM7" s="57"/>
    </row>
    <row r="8" spans="1:46" ht="15.75" customHeight="1">
      <c r="A8" s="134" t="s">
        <v>496</v>
      </c>
      <c r="B8" s="135"/>
      <c r="C8" s="135">
        <v>45457</v>
      </c>
      <c r="D8" s="258" t="s">
        <v>93</v>
      </c>
      <c r="E8" s="176"/>
      <c r="F8" s="142" t="s">
        <v>103</v>
      </c>
      <c r="G8" s="177">
        <v>88</v>
      </c>
      <c r="H8" s="177" t="s">
        <v>69</v>
      </c>
      <c r="I8" s="138">
        <v>8.76</v>
      </c>
      <c r="J8" s="143">
        <v>1.2</v>
      </c>
      <c r="K8" s="138">
        <f t="shared" si="0"/>
        <v>8.6548800000000004</v>
      </c>
      <c r="L8" s="170">
        <v>0.19500000000000001</v>
      </c>
      <c r="M8" s="132">
        <v>0.185</v>
      </c>
      <c r="N8" s="249">
        <v>0.185</v>
      </c>
      <c r="O8" s="141">
        <f t="shared" si="1"/>
        <v>0.185</v>
      </c>
      <c r="P8" s="142">
        <v>90</v>
      </c>
      <c r="Q8" s="143">
        <v>88.44</v>
      </c>
      <c r="R8" s="144">
        <v>2304.1350000000002</v>
      </c>
      <c r="S8" s="132">
        <v>100</v>
      </c>
      <c r="T8" s="142"/>
      <c r="U8" s="142">
        <v>130</v>
      </c>
      <c r="V8" s="142">
        <v>1.1023000000000001</v>
      </c>
      <c r="W8" s="143">
        <v>7.8</v>
      </c>
      <c r="X8" s="143">
        <v>11.8</v>
      </c>
      <c r="Y8" s="203">
        <v>30</v>
      </c>
      <c r="Z8" s="143">
        <f t="shared" si="2"/>
        <v>34.480000000000004</v>
      </c>
      <c r="AA8" s="144">
        <f t="shared" si="3"/>
        <v>64.48</v>
      </c>
      <c r="AB8" s="145">
        <f t="shared" si="4"/>
        <v>217.71910624824997</v>
      </c>
      <c r="AC8" s="145">
        <f>+(S8-T8)*V8-'data 1'!$F$4</f>
        <v>30.230000000000004</v>
      </c>
      <c r="AD8" s="145">
        <f t="shared" si="5"/>
        <v>-7.2903020899410125</v>
      </c>
      <c r="AE8" s="145">
        <f>+(Y8*V8-'data 1'!$I$21)+V8*(Z8-IF(D8="UNTUCA",IF(+((W8-3)*2.5+(X8-3)*3.1)&gt;0,+((W8-3)*1.5+(X8-3)*3.1),0),IF(+((W8-3)*1.5+(X8-3)*3.1)&gt;0,+((W8-3)*1.5+(X8-3)*3.1),0)))</f>
        <v>7.4879189189189219</v>
      </c>
      <c r="AF8" s="145">
        <f t="shared" si="6"/>
        <v>21.195079448862021</v>
      </c>
      <c r="AG8" s="145">
        <f t="shared" si="7"/>
        <v>51.622696277839935</v>
      </c>
      <c r="AH8" s="145">
        <f t="shared" si="8"/>
        <v>51.174483175155054</v>
      </c>
      <c r="AI8" s="143">
        <f t="shared" si="9"/>
        <v>43.993997428094943</v>
      </c>
      <c r="AJ8" s="144">
        <f t="shared" si="10"/>
        <v>49.406530567809639</v>
      </c>
      <c r="AK8" s="133">
        <f t="shared" si="11"/>
        <v>1.7679526073454142</v>
      </c>
      <c r="AL8" s="144"/>
      <c r="AM8" s="144"/>
      <c r="AN8" s="142"/>
      <c r="AO8" s="142"/>
      <c r="AP8" s="142"/>
      <c r="AQ8" s="142"/>
      <c r="AR8" s="142"/>
      <c r="AS8" s="142"/>
      <c r="AT8" s="142"/>
    </row>
    <row r="9" spans="1:46" ht="15.75" customHeight="1">
      <c r="A9" s="134" t="s">
        <v>497</v>
      </c>
      <c r="B9" s="135"/>
      <c r="C9" s="135">
        <v>45457</v>
      </c>
      <c r="D9" s="257" t="s">
        <v>93</v>
      </c>
      <c r="E9" s="176"/>
      <c r="F9" s="6" t="s">
        <v>99</v>
      </c>
      <c r="G9" s="90">
        <v>61</v>
      </c>
      <c r="H9" s="90" t="s">
        <v>69</v>
      </c>
      <c r="I9" s="82">
        <v>5.78</v>
      </c>
      <c r="J9" s="137">
        <v>1.3</v>
      </c>
      <c r="K9" s="138">
        <f t="shared" si="0"/>
        <v>5.70486</v>
      </c>
      <c r="L9" s="240">
        <v>0.54500000000000004</v>
      </c>
      <c r="M9" s="80">
        <v>0.51800000000000002</v>
      </c>
      <c r="N9" s="249">
        <v>0.51800000000000002</v>
      </c>
      <c r="O9" s="141">
        <f t="shared" si="1"/>
        <v>0.51800000000000002</v>
      </c>
      <c r="P9" s="163">
        <v>90</v>
      </c>
      <c r="Q9" s="143">
        <v>89.09</v>
      </c>
      <c r="R9" s="57">
        <v>2304.1350000000002</v>
      </c>
      <c r="S9" s="80">
        <v>150</v>
      </c>
      <c r="U9" s="6">
        <v>130</v>
      </c>
      <c r="V9" s="6">
        <v>1.1023000000000001</v>
      </c>
      <c r="W9" s="137">
        <v>7.9</v>
      </c>
      <c r="X9" s="137">
        <v>11.5</v>
      </c>
      <c r="Y9" s="203">
        <v>25</v>
      </c>
      <c r="Z9" s="143">
        <f t="shared" si="2"/>
        <v>33.700000000000003</v>
      </c>
      <c r="AA9" s="144">
        <f t="shared" si="3"/>
        <v>58.7</v>
      </c>
      <c r="AB9" s="145">
        <f t="shared" si="4"/>
        <v>887.22113869510008</v>
      </c>
      <c r="AC9" s="145">
        <f>+(S9-T9)*V9-'data 1'!$F$4</f>
        <v>85.344999999999999</v>
      </c>
      <c r="AD9" s="145">
        <f t="shared" si="5"/>
        <v>-11.885684817574708</v>
      </c>
      <c r="AE9" s="145">
        <f>+(Y9*V9-'data 1'!$I$21)+V9*(Z9-IF(D9="UNTUCA",IF(+((W9-3)*2.5+(X9-3)*3.1)&gt;0,+((W9-3)*1.5+(X9-3)*3.1),0),IF(+((W9-3)*1.5+(X9-3)*3.1)&gt;0,+((W9-3)*1.5+(X9-3)*3.1),0)))</f>
        <v>1.9764189189189203</v>
      </c>
      <c r="AF9" s="145">
        <f t="shared" si="6"/>
        <v>57.647308863270212</v>
      </c>
      <c r="AG9" s="145">
        <f t="shared" si="7"/>
        <v>133.08304296461444</v>
      </c>
      <c r="AH9" s="145">
        <f t="shared" si="8"/>
        <v>94.968487552057411</v>
      </c>
      <c r="AI9" s="143">
        <f t="shared" si="9"/>
        <v>123.86127351723863</v>
      </c>
      <c r="AJ9" s="144">
        <f t="shared" si="10"/>
        <v>91.185614581624307</v>
      </c>
      <c r="AK9" s="133">
        <f t="shared" si="11"/>
        <v>3.7828729704331039</v>
      </c>
      <c r="AL9" s="57"/>
      <c r="AM9" s="57"/>
    </row>
    <row r="10" spans="1:46" ht="15.75" customHeight="1">
      <c r="A10" s="134" t="s">
        <v>498</v>
      </c>
      <c r="B10" s="135"/>
      <c r="C10" s="135">
        <v>45457</v>
      </c>
      <c r="D10" s="258" t="s">
        <v>93</v>
      </c>
      <c r="E10" s="176"/>
      <c r="F10" s="142" t="s">
        <v>103</v>
      </c>
      <c r="G10" s="177">
        <v>87</v>
      </c>
      <c r="H10" s="177" t="s">
        <v>69</v>
      </c>
      <c r="I10" s="138">
        <v>8.68</v>
      </c>
      <c r="J10" s="143">
        <v>1.2</v>
      </c>
      <c r="K10" s="138">
        <f t="shared" si="0"/>
        <v>8.5758399999999995</v>
      </c>
      <c r="L10" s="170">
        <v>9.6000000000000002E-2</v>
      </c>
      <c r="M10" s="132">
        <v>9.0999999999999998E-2</v>
      </c>
      <c r="N10" s="249">
        <v>9.0999999999999998E-2</v>
      </c>
      <c r="O10" s="141">
        <f t="shared" si="1"/>
        <v>9.0999999999999998E-2</v>
      </c>
      <c r="P10" s="142">
        <v>90</v>
      </c>
      <c r="Q10" s="143">
        <v>88.41</v>
      </c>
      <c r="R10" s="144">
        <v>2304.1350000000002</v>
      </c>
      <c r="S10" s="132">
        <v>95</v>
      </c>
      <c r="T10" s="142"/>
      <c r="U10" s="142">
        <v>130</v>
      </c>
      <c r="V10" s="142">
        <v>1.1023000000000001</v>
      </c>
      <c r="W10" s="143">
        <v>7.8</v>
      </c>
      <c r="X10" s="143">
        <v>11.7</v>
      </c>
      <c r="Y10" s="203">
        <v>30</v>
      </c>
      <c r="Z10" s="143">
        <f t="shared" si="2"/>
        <v>34.17</v>
      </c>
      <c r="AA10" s="144">
        <f t="shared" si="3"/>
        <v>64.17</v>
      </c>
      <c r="AB10" s="145">
        <f t="shared" si="4"/>
        <v>20.824272959949997</v>
      </c>
      <c r="AC10" s="145">
        <f>+(S10-T10)*V10-'data 1'!$F$4</f>
        <v>24.718500000000006</v>
      </c>
      <c r="AD10" s="145">
        <f t="shared" si="5"/>
        <v>-3.6580924096272089</v>
      </c>
      <c r="AE10" s="145">
        <f>+(Y10*V10-'data 1'!$I$21)+V10*(Z10-IF(D10="UNTUCA",IF(+((W10-3)*2.5+(X10-3)*3.1)&gt;0,+((W10-3)*1.5+(X10-3)*3.1),0),IF(+((W10-3)*1.5+(X10-3)*3.1)&gt;0,+((W10-3)*1.5+(X10-3)*3.1),0)))</f>
        <v>7.4879189189189219</v>
      </c>
      <c r="AF10" s="145">
        <f t="shared" si="6"/>
        <v>10.593944900915259</v>
      </c>
      <c r="AG10" s="145">
        <f t="shared" si="7"/>
        <v>39.14227141020698</v>
      </c>
      <c r="AH10" s="145">
        <f t="shared" si="8"/>
        <v>24.955045304965523</v>
      </c>
      <c r="AI10" s="143">
        <f t="shared" si="9"/>
        <v>21.651236475623975</v>
      </c>
      <c r="AJ10" s="144">
        <f t="shared" si="10"/>
        <v>24.080729584660912</v>
      </c>
      <c r="AK10" s="133">
        <f t="shared" si="11"/>
        <v>0.87431572030461169</v>
      </c>
      <c r="AL10" s="144"/>
      <c r="AM10" s="144"/>
      <c r="AN10" s="142"/>
      <c r="AO10" s="142"/>
      <c r="AP10" s="142"/>
      <c r="AQ10" s="142"/>
      <c r="AR10" s="142"/>
      <c r="AS10" s="142"/>
      <c r="AT10" s="142"/>
    </row>
    <row r="11" spans="1:46" ht="15.75" customHeight="1">
      <c r="A11" s="134" t="s">
        <v>499</v>
      </c>
      <c r="B11" s="136"/>
      <c r="C11" s="135">
        <v>45457</v>
      </c>
      <c r="D11" s="258" t="s">
        <v>93</v>
      </c>
      <c r="E11" s="176"/>
      <c r="F11" s="142" t="s">
        <v>103</v>
      </c>
      <c r="G11" s="177">
        <v>87</v>
      </c>
      <c r="H11" s="177" t="s">
        <v>69</v>
      </c>
      <c r="I11" s="138">
        <v>8.67</v>
      </c>
      <c r="J11" s="143">
        <v>1</v>
      </c>
      <c r="K11" s="138">
        <f t="shared" si="0"/>
        <v>8.5832999999999995</v>
      </c>
      <c r="L11" s="170">
        <v>0.121</v>
      </c>
      <c r="M11" s="132">
        <v>0.115</v>
      </c>
      <c r="N11" s="249">
        <v>0.115</v>
      </c>
      <c r="O11" s="141">
        <f t="shared" si="1"/>
        <v>0.115</v>
      </c>
      <c r="P11" s="142">
        <v>90</v>
      </c>
      <c r="Q11" s="143">
        <v>88.4</v>
      </c>
      <c r="R11" s="144">
        <v>2304.1350000000002</v>
      </c>
      <c r="S11" s="132">
        <v>95</v>
      </c>
      <c r="T11" s="142"/>
      <c r="U11" s="142">
        <v>130</v>
      </c>
      <c r="V11" s="142">
        <v>1.1023000000000001</v>
      </c>
      <c r="W11" s="143">
        <v>7.8</v>
      </c>
      <c r="X11" s="143">
        <v>11.7</v>
      </c>
      <c r="Y11" s="203">
        <v>30</v>
      </c>
      <c r="Z11" s="143">
        <f t="shared" si="2"/>
        <v>34.17</v>
      </c>
      <c r="AA11" s="144">
        <f t="shared" si="3"/>
        <v>64.17</v>
      </c>
      <c r="AB11" s="145">
        <f t="shared" si="4"/>
        <v>72.589731586750048</v>
      </c>
      <c r="AC11" s="145">
        <f>+(S11-T11)*V11-'data 1'!$F$4</f>
        <v>24.718500000000006</v>
      </c>
      <c r="AD11" s="145">
        <f t="shared" si="5"/>
        <v>-4.6397188843279844</v>
      </c>
      <c r="AE11" s="145">
        <f>+(Y11*V11-'data 1'!$I$21)+V11*(Z11-IF(D11="UNTUCA",IF(+((W11-3)*2.5+(X11-3)*3.1)&gt;0,+((W11-3)*1.5+(X11-3)*3.1),0),IF(+((W11-3)*1.5+(X11-3)*3.1)&gt;0,+((W11-3)*1.5+(X11-3)*3.1),0)))</f>
        <v>7.4879189189189219</v>
      </c>
      <c r="AF11" s="145">
        <f t="shared" si="6"/>
        <v>12.711295951691984</v>
      </c>
      <c r="AG11" s="145">
        <f t="shared" si="7"/>
        <v>40.277995986282932</v>
      </c>
      <c r="AH11" s="145">
        <f t="shared" si="8"/>
        <v>31.477555379938472</v>
      </c>
      <c r="AI11" s="143">
        <f t="shared" si="9"/>
        <v>27.28649260050997</v>
      </c>
      <c r="AJ11" s="144">
        <f t="shared" si="10"/>
        <v>30.458163324329981</v>
      </c>
      <c r="AK11" s="133">
        <f t="shared" si="11"/>
        <v>1.0193920556084919</v>
      </c>
      <c r="AL11" s="144"/>
      <c r="AM11" s="144"/>
      <c r="AN11" s="142"/>
      <c r="AO11" s="142"/>
      <c r="AP11" s="142"/>
      <c r="AQ11" s="142"/>
      <c r="AR11" s="142"/>
      <c r="AS11" s="142"/>
      <c r="AT11" s="142"/>
    </row>
    <row r="12" spans="1:46" ht="15.75" customHeight="1">
      <c r="A12" s="134" t="s">
        <v>500</v>
      </c>
      <c r="B12" s="136"/>
      <c r="C12" s="136">
        <v>45460</v>
      </c>
      <c r="D12" s="6" t="s">
        <v>93</v>
      </c>
      <c r="E12" s="176"/>
      <c r="F12" s="6" t="s">
        <v>501</v>
      </c>
      <c r="G12" s="90">
        <v>86</v>
      </c>
      <c r="H12" s="90" t="s">
        <v>69</v>
      </c>
      <c r="I12" s="82">
        <v>8.2200000000000006</v>
      </c>
      <c r="J12" s="137">
        <v>1.5</v>
      </c>
      <c r="K12" s="138">
        <f t="shared" si="0"/>
        <v>8.0967000000000002</v>
      </c>
      <c r="L12" s="240">
        <v>0.40500000000000003</v>
      </c>
      <c r="M12" s="80">
        <v>0.38500000000000001</v>
      </c>
      <c r="N12" s="249">
        <v>0.38500000000000001</v>
      </c>
      <c r="O12" s="141">
        <f t="shared" si="1"/>
        <v>0.38500000000000001</v>
      </c>
      <c r="P12" s="6">
        <v>90</v>
      </c>
      <c r="Q12" s="143">
        <v>88.38</v>
      </c>
      <c r="R12" s="57">
        <v>2310.02</v>
      </c>
      <c r="S12" s="80">
        <v>110</v>
      </c>
      <c r="U12" s="6">
        <v>130</v>
      </c>
      <c r="V12" s="6">
        <v>1.1023000000000001</v>
      </c>
      <c r="W12" s="137">
        <v>7.9</v>
      </c>
      <c r="X12" s="137">
        <v>11.9</v>
      </c>
      <c r="Y12" s="203">
        <v>25</v>
      </c>
      <c r="Z12" s="143">
        <f t="shared" si="2"/>
        <v>34.940000000000005</v>
      </c>
      <c r="AA12" s="144">
        <f t="shared" si="3"/>
        <v>59.940000000000005</v>
      </c>
      <c r="AB12" s="145">
        <f t="shared" si="4"/>
        <v>645.32712793899998</v>
      </c>
      <c r="AC12" s="145">
        <f>+(S12-T12)*V12-'data 1'!$F$4</f>
        <v>41.253</v>
      </c>
      <c r="AD12" s="145">
        <f t="shared" si="5"/>
        <v>-15.766319497806046</v>
      </c>
      <c r="AE12" s="145">
        <f>+(Y12*V12-'data 1'!$I$21)+V12*(Z12-IF(D12="UNTUCA",IF(+((W12-3)*2.5+(X12-3)*3.1)&gt;0,+((W12-3)*1.5+(X12-3)*3.1),0),IF(+((W12-3)*1.5+(X12-3)*3.1)&gt;0,+((W12-3)*1.5+(X12-3)*3.1),0)))</f>
        <v>1.9764189189189203</v>
      </c>
      <c r="AF12" s="145">
        <f t="shared" si="6"/>
        <v>42.476065149096037</v>
      </c>
      <c r="AG12" s="145">
        <f t="shared" si="7"/>
        <v>69.939164570208916</v>
      </c>
      <c r="AH12" s="145">
        <f t="shared" si="8"/>
        <v>99.363330001360865</v>
      </c>
      <c r="AI12" s="143">
        <f t="shared" si="9"/>
        <v>88.988196258738014</v>
      </c>
      <c r="AJ12" s="144">
        <f t="shared" si="10"/>
        <v>96.187880743566723</v>
      </c>
      <c r="AK12" s="133">
        <f t="shared" si="11"/>
        <v>3.175449257794142</v>
      </c>
      <c r="AL12" s="57"/>
      <c r="AM12" s="57"/>
    </row>
    <row r="13" spans="1:46" ht="15.75" customHeight="1">
      <c r="A13" s="134" t="s">
        <v>502</v>
      </c>
      <c r="B13" s="136"/>
      <c r="C13" s="136">
        <v>45460</v>
      </c>
      <c r="D13" s="6" t="s">
        <v>93</v>
      </c>
      <c r="E13" s="176"/>
      <c r="F13" s="6" t="s">
        <v>501</v>
      </c>
      <c r="G13" s="90">
        <v>87</v>
      </c>
      <c r="H13" s="90" t="s">
        <v>69</v>
      </c>
      <c r="I13" s="82">
        <v>8.52</v>
      </c>
      <c r="J13" s="137">
        <v>1.6</v>
      </c>
      <c r="K13" s="138">
        <f t="shared" si="0"/>
        <v>8.38368</v>
      </c>
      <c r="L13" s="240">
        <v>0.29899999999999999</v>
      </c>
      <c r="M13" s="80">
        <v>0.27800000000000002</v>
      </c>
      <c r="N13" s="249">
        <v>0.27800000000000002</v>
      </c>
      <c r="O13" s="141">
        <f t="shared" si="1"/>
        <v>0.27800000000000002</v>
      </c>
      <c r="P13" s="6">
        <v>90</v>
      </c>
      <c r="Q13" s="143">
        <v>88.2</v>
      </c>
      <c r="R13" s="57">
        <v>2310.02</v>
      </c>
      <c r="S13" s="80">
        <v>100</v>
      </c>
      <c r="U13" s="6">
        <v>130</v>
      </c>
      <c r="V13" s="6">
        <v>1.1023000000000001</v>
      </c>
      <c r="W13" s="137">
        <v>7.9</v>
      </c>
      <c r="X13" s="137">
        <v>11.8</v>
      </c>
      <c r="Y13" s="203">
        <v>25</v>
      </c>
      <c r="Z13" s="143">
        <f t="shared" si="2"/>
        <v>34.630000000000003</v>
      </c>
      <c r="AA13" s="144">
        <f t="shared" si="3"/>
        <v>59.63</v>
      </c>
      <c r="AB13" s="145">
        <f t="shared" si="4"/>
        <v>425.27946970920004</v>
      </c>
      <c r="AC13" s="145">
        <f>+(S13-T13)*V13-'data 1'!$F$4</f>
        <v>30.230000000000004</v>
      </c>
      <c r="AD13" s="145">
        <f t="shared" si="5"/>
        <v>-12.93313999957198</v>
      </c>
      <c r="AE13" s="145">
        <f>+(Y13*V13-'data 1'!$I$21)+V13*(Z13-IF(D13="UNTUCA",IF(+((W13-3)*2.5+(X13-3)*3.1)&gt;0,+((W13-3)*1.5+(X13-3)*3.1),0),IF(+((W13-3)*1.5+(X13-3)*3.1)&gt;0,+((W13-3)*1.5+(X13-3)*3.1),0)))</f>
        <v>1.9764189189189203</v>
      </c>
      <c r="AF13" s="145">
        <f t="shared" si="6"/>
        <v>44.509033644011922</v>
      </c>
      <c r="AG13" s="145">
        <f t="shared" si="7"/>
        <v>63.782312563358872</v>
      </c>
      <c r="AH13" s="145">
        <f t="shared" si="8"/>
        <v>75.80250119334579</v>
      </c>
      <c r="AI13" s="143">
        <f t="shared" si="9"/>
        <v>65.563655094756001</v>
      </c>
      <c r="AJ13" s="144">
        <f t="shared" si="10"/>
        <v>71.916918066173423</v>
      </c>
      <c r="AK13" s="133">
        <f t="shared" si="11"/>
        <v>3.8855831271723673</v>
      </c>
      <c r="AL13" s="57"/>
      <c r="AM13" s="57"/>
    </row>
    <row r="14" spans="1:46" ht="15.75" customHeight="1">
      <c r="A14" s="134" t="s">
        <v>503</v>
      </c>
      <c r="B14" s="136"/>
      <c r="C14" s="136">
        <v>45460</v>
      </c>
      <c r="D14" s="6" t="s">
        <v>93</v>
      </c>
      <c r="E14" s="176"/>
      <c r="F14" s="6" t="s">
        <v>501</v>
      </c>
      <c r="G14" s="90">
        <v>87</v>
      </c>
      <c r="H14" s="90" t="s">
        <v>69</v>
      </c>
      <c r="I14" s="82">
        <v>8.4600000000000009</v>
      </c>
      <c r="J14" s="137">
        <v>1.3</v>
      </c>
      <c r="K14" s="138">
        <f t="shared" si="0"/>
        <v>8.3500200000000007</v>
      </c>
      <c r="L14" s="240">
        <v>0.26700000000000002</v>
      </c>
      <c r="M14" s="80">
        <v>0.254</v>
      </c>
      <c r="N14" s="249">
        <v>0.254</v>
      </c>
      <c r="O14" s="141">
        <f t="shared" si="1"/>
        <v>0.254</v>
      </c>
      <c r="P14" s="6">
        <v>90</v>
      </c>
      <c r="Q14" s="143">
        <v>88.47</v>
      </c>
      <c r="R14" s="57">
        <v>2310.02</v>
      </c>
      <c r="S14" s="80">
        <v>100</v>
      </c>
      <c r="U14" s="6">
        <v>130</v>
      </c>
      <c r="V14" s="6">
        <v>1.1023000000000001</v>
      </c>
      <c r="W14" s="137">
        <v>7.9</v>
      </c>
      <c r="X14" s="137">
        <v>11.8</v>
      </c>
      <c r="Y14" s="203">
        <v>25</v>
      </c>
      <c r="Z14" s="143">
        <f t="shared" si="2"/>
        <v>34.630000000000003</v>
      </c>
      <c r="AA14" s="144">
        <f t="shared" si="3"/>
        <v>59.63</v>
      </c>
      <c r="AB14" s="145">
        <f t="shared" si="4"/>
        <v>373.37389111560003</v>
      </c>
      <c r="AC14" s="145">
        <f>+(S14-T14)*V14-'data 1'!$F$4</f>
        <v>30.230000000000004</v>
      </c>
      <c r="AD14" s="145">
        <f t="shared" si="5"/>
        <v>-9.8166425515146098</v>
      </c>
      <c r="AE14" s="145">
        <f>+(Y14*V14-'data 1'!$I$21)+V14*(Z14-IF(D14="UNTUCA",IF(+((W14-3)*2.5+(X14-3)*3.1)&gt;0,+((W14-3)*1.5+(X14-3)*3.1),0),IF(+((W14-3)*1.5+(X14-3)*3.1)&gt;0,+((W14-3)*1.5+(X14-3)*3.1),0)))</f>
        <v>1.9764189189189203</v>
      </c>
      <c r="AF14" s="145">
        <f t="shared" si="6"/>
        <v>27.637557868650624</v>
      </c>
      <c r="AG14" s="145">
        <f t="shared" si="7"/>
        <v>50.027334236054941</v>
      </c>
      <c r="AH14" s="145">
        <f t="shared" si="8"/>
        <v>67.624469880317946</v>
      </c>
      <c r="AI14" s="143">
        <f t="shared" si="9"/>
        <v>58.726033990255793</v>
      </c>
      <c r="AJ14" s="144">
        <f t="shared" si="10"/>
        <v>65.444448316514666</v>
      </c>
      <c r="AK14" s="133">
        <f t="shared" si="11"/>
        <v>2.1800215638032796</v>
      </c>
      <c r="AL14" s="57"/>
      <c r="AM14" s="57"/>
    </row>
    <row r="15" spans="1:46" ht="15.75" customHeight="1">
      <c r="A15" s="134" t="s">
        <v>504</v>
      </c>
      <c r="B15" s="136">
        <v>45462</v>
      </c>
      <c r="C15" s="136">
        <v>45462</v>
      </c>
      <c r="D15" s="6" t="s">
        <v>93</v>
      </c>
      <c r="E15" s="176"/>
      <c r="F15" s="6" t="s">
        <v>505</v>
      </c>
      <c r="G15" s="90">
        <v>35</v>
      </c>
      <c r="H15" s="90" t="s">
        <v>108</v>
      </c>
      <c r="I15" s="82">
        <v>2.96</v>
      </c>
      <c r="J15" s="137">
        <v>24</v>
      </c>
      <c r="K15" s="138">
        <f t="shared" si="0"/>
        <v>2.2496</v>
      </c>
      <c r="L15" s="240">
        <v>1.504</v>
      </c>
      <c r="M15" s="80">
        <v>1.431</v>
      </c>
      <c r="N15" s="249">
        <v>1.431</v>
      </c>
      <c r="O15" s="141">
        <f t="shared" si="1"/>
        <v>1.431</v>
      </c>
      <c r="P15" s="6">
        <v>90</v>
      </c>
      <c r="Q15" s="137">
        <v>85.13</v>
      </c>
      <c r="R15" s="57">
        <v>2310.02</v>
      </c>
      <c r="S15" s="80">
        <v>200</v>
      </c>
      <c r="U15" s="6">
        <v>130</v>
      </c>
      <c r="V15" s="6">
        <v>1.1023000000000001</v>
      </c>
      <c r="W15" s="137">
        <v>8</v>
      </c>
      <c r="X15" s="137">
        <v>13.1</v>
      </c>
      <c r="Y15" s="203">
        <v>25</v>
      </c>
      <c r="Z15" s="143">
        <f t="shared" si="2"/>
        <v>38.81</v>
      </c>
      <c r="AA15" s="144">
        <f t="shared" si="3"/>
        <v>63.81</v>
      </c>
      <c r="AB15" s="145">
        <f t="shared" si="4"/>
        <v>2804.0723606434003</v>
      </c>
      <c r="AC15" s="145">
        <f>+(S15-T15)*V15-'data 1'!$F$4</f>
        <v>140.46</v>
      </c>
      <c r="AD15" s="145">
        <f t="shared" si="5"/>
        <v>-176.00989458206098</v>
      </c>
      <c r="AE15" s="145">
        <f>+(Y15*V15-'data 1'!$I$21)+V15*(Z15-IF(D15="UNTUCA",IF(+((W15-3)*2.5+(X15-3)*3.1)&gt;0,+((W15-3)*1.5+(X15-3)*3.1),0),IF(+((W15-3)*1.5+(X15-3)*3.1)&gt;0,+((W15-3)*1.5+(X15-3)*3.1),0)))</f>
        <v>1.9764189189189203</v>
      </c>
      <c r="AF15" s="145">
        <f t="shared" si="6"/>
        <v>149.33643477506533</v>
      </c>
      <c r="AG15" s="145">
        <f t="shared" si="7"/>
        <v>115.76295911192328</v>
      </c>
      <c r="AH15" s="145">
        <f t="shared" si="8"/>
        <v>98.751759476180027</v>
      </c>
      <c r="AI15" s="143">
        <f t="shared" si="9"/>
        <v>318.31261700595832</v>
      </c>
      <c r="AJ15" s="144">
        <f t="shared" si="10"/>
        <v>99.333677896080914</v>
      </c>
      <c r="AK15" s="133">
        <f t="shared" si="11"/>
        <v>-0.58191841990088733</v>
      </c>
      <c r="AL15" s="57"/>
      <c r="AM15" s="57"/>
    </row>
    <row r="16" spans="1:46" ht="15.75" customHeight="1">
      <c r="A16" s="134" t="s">
        <v>506</v>
      </c>
      <c r="B16" s="136">
        <v>45462</v>
      </c>
      <c r="C16" s="136">
        <v>45462</v>
      </c>
      <c r="D16" s="6" t="s">
        <v>93</v>
      </c>
      <c r="E16" s="176"/>
      <c r="F16" s="6" t="s">
        <v>505</v>
      </c>
      <c r="G16" s="90">
        <v>34</v>
      </c>
      <c r="H16" s="90" t="s">
        <v>108</v>
      </c>
      <c r="I16" s="82">
        <v>2.79</v>
      </c>
      <c r="J16" s="137">
        <v>25</v>
      </c>
      <c r="K16" s="138">
        <f t="shared" si="0"/>
        <v>2.0925000000000002</v>
      </c>
      <c r="L16" s="240">
        <v>1.125</v>
      </c>
      <c r="M16" s="80">
        <v>1.077</v>
      </c>
      <c r="N16" s="249">
        <v>1.077</v>
      </c>
      <c r="O16" s="141">
        <f t="shared" si="1"/>
        <v>1.077</v>
      </c>
      <c r="P16" s="6">
        <v>90</v>
      </c>
      <c r="Q16" s="137">
        <v>85.31</v>
      </c>
      <c r="R16" s="57">
        <v>2310.02</v>
      </c>
      <c r="S16" s="80">
        <v>160</v>
      </c>
      <c r="U16" s="6">
        <v>130</v>
      </c>
      <c r="V16" s="6">
        <v>1.1023000000000001</v>
      </c>
      <c r="W16" s="137">
        <v>8</v>
      </c>
      <c r="X16" s="137">
        <v>13</v>
      </c>
      <c r="Y16" s="203">
        <v>25</v>
      </c>
      <c r="Z16" s="143">
        <f t="shared" si="2"/>
        <v>38.5</v>
      </c>
      <c r="AA16" s="144">
        <f t="shared" si="3"/>
        <v>63.5</v>
      </c>
      <c r="AB16" s="145">
        <f t="shared" si="4"/>
        <v>2082.8987893878002</v>
      </c>
      <c r="AC16" s="145">
        <f>+(S16-T16)*V16-'data 1'!$F$4</f>
        <v>96.367999999999995</v>
      </c>
      <c r="AD16" s="145">
        <f t="shared" si="5"/>
        <v>-126.79018937707497</v>
      </c>
      <c r="AE16" s="145">
        <f>+(Y16*V16-'data 1'!$I$21)+V16*(Z16-IF(D16="UNTUCA",IF(+((W16-3)*2.5+(X16-3)*3.1)&gt;0,+((W16-3)*1.5+(X16-3)*3.1),0),IF(+((W16-3)*1.5+(X16-3)*3.1)&gt;0,+((W16-3)*1.5+(X16-3)*3.1),0)))</f>
        <v>1.9764189189189203</v>
      </c>
      <c r="AF16" s="145">
        <f t="shared" si="6"/>
        <v>98.401442440444896</v>
      </c>
      <c r="AG16" s="145">
        <f t="shared" si="7"/>
        <v>69.955671982288848</v>
      </c>
      <c r="AH16" s="145">
        <f t="shared" si="8"/>
        <v>68.853655194035184</v>
      </c>
      <c r="AI16" s="143">
        <f t="shared" si="9"/>
        <v>238.60297147522499</v>
      </c>
      <c r="AJ16" s="144">
        <f t="shared" si="10"/>
        <v>69.539689737640032</v>
      </c>
      <c r="AK16" s="133">
        <f t="shared" si="11"/>
        <v>-0.68603454360484761</v>
      </c>
      <c r="AL16" s="57"/>
      <c r="AM16" s="57"/>
    </row>
    <row r="17" spans="1:46" ht="15.75" customHeight="1">
      <c r="A17" s="134" t="s">
        <v>507</v>
      </c>
      <c r="B17" s="136">
        <v>45463</v>
      </c>
      <c r="C17" s="136">
        <v>45463</v>
      </c>
      <c r="D17" s="6" t="s">
        <v>93</v>
      </c>
      <c r="E17" s="176"/>
      <c r="F17" s="6" t="s">
        <v>237</v>
      </c>
      <c r="G17" s="90">
        <v>90</v>
      </c>
      <c r="H17" s="90" t="s">
        <v>69</v>
      </c>
      <c r="I17" s="82">
        <v>8.48</v>
      </c>
      <c r="J17" s="137">
        <v>1</v>
      </c>
      <c r="K17" s="138">
        <f t="shared" si="0"/>
        <v>8.3952000000000009</v>
      </c>
      <c r="L17" s="240">
        <v>0.20200000000000001</v>
      </c>
      <c r="M17" s="249">
        <v>0.192</v>
      </c>
      <c r="N17" s="249">
        <v>0.192</v>
      </c>
      <c r="O17" s="141">
        <f t="shared" si="1"/>
        <v>0.192</v>
      </c>
      <c r="P17" s="6">
        <v>90</v>
      </c>
      <c r="Q17" s="143">
        <v>88.59</v>
      </c>
      <c r="R17" s="57">
        <v>2327.7649999999999</v>
      </c>
      <c r="S17" s="80">
        <v>100</v>
      </c>
      <c r="U17" s="6">
        <v>130</v>
      </c>
      <c r="V17" s="6">
        <v>1.1023000000000001</v>
      </c>
      <c r="W17" s="163">
        <v>8</v>
      </c>
      <c r="X17" s="163">
        <v>10</v>
      </c>
      <c r="Y17" s="203">
        <v>25</v>
      </c>
      <c r="Z17" s="143">
        <f t="shared" si="2"/>
        <v>29.2</v>
      </c>
      <c r="AA17" s="144">
        <f t="shared" si="3"/>
        <v>54.2</v>
      </c>
      <c r="AB17" s="145">
        <f t="shared" si="4"/>
        <v>248.64999092160005</v>
      </c>
      <c r="AC17" s="145">
        <f>+(S17-T17)*V17-'data 1'!$F$4</f>
        <v>30.230000000000004</v>
      </c>
      <c r="AD17" s="145">
        <f t="shared" si="5"/>
        <v>-6.9000389511278835</v>
      </c>
      <c r="AE17" s="145">
        <f>+(Y17*V17-'data 1'!$I$21)+V17*(Z17-IF(D17="UNTUCA",IF(+((W17-3)*2.5+(X17-3)*3.1)&gt;0,+((W17-3)*1.5+(X17-3)*3.1),0),IF(+((W17-3)*1.5+(X17-3)*3.1)&gt;0,+((W17-3)*1.5+(X17-3)*3.1),0)))</f>
        <v>1.9764189189189203</v>
      </c>
      <c r="AF17" s="145">
        <f t="shared" si="6"/>
        <v>21.46178114881052</v>
      </c>
      <c r="AG17" s="145">
        <f t="shared" si="7"/>
        <v>46.768161116601561</v>
      </c>
      <c r="AH17" s="145">
        <f t="shared" si="8"/>
        <v>51.508177930921157</v>
      </c>
      <c r="AI17" s="143">
        <f t="shared" si="9"/>
        <v>40.989344374446318</v>
      </c>
      <c r="AJ17" s="144">
        <f t="shared" si="10"/>
        <v>49.737488790071822</v>
      </c>
      <c r="AK17" s="133">
        <f t="shared" si="11"/>
        <v>1.7706891408493348</v>
      </c>
      <c r="AL17" s="57"/>
      <c r="AM17" s="57"/>
    </row>
    <row r="18" spans="1:46" ht="15.75" customHeight="1">
      <c r="A18" s="134" t="s">
        <v>508</v>
      </c>
      <c r="B18" s="136">
        <v>45463</v>
      </c>
      <c r="C18" s="136">
        <v>45463</v>
      </c>
      <c r="D18" s="6" t="s">
        <v>93</v>
      </c>
      <c r="E18" s="176"/>
      <c r="F18" s="6" t="s">
        <v>237</v>
      </c>
      <c r="G18" s="90">
        <v>88</v>
      </c>
      <c r="H18" s="90" t="s">
        <v>69</v>
      </c>
      <c r="I18" s="82">
        <v>8.7200000000000006</v>
      </c>
      <c r="J18" s="137">
        <v>1.2</v>
      </c>
      <c r="K18" s="138">
        <f t="shared" si="0"/>
        <v>8.6153600000000008</v>
      </c>
      <c r="L18" s="240">
        <v>0.193</v>
      </c>
      <c r="M18" s="249">
        <v>0.193</v>
      </c>
      <c r="N18" s="249">
        <v>0.193</v>
      </c>
      <c r="O18" s="141">
        <f t="shared" si="1"/>
        <v>0.193</v>
      </c>
      <c r="P18" s="6">
        <v>90</v>
      </c>
      <c r="Q18" s="143">
        <v>88.69</v>
      </c>
      <c r="R18" s="57">
        <v>2327.7649999999999</v>
      </c>
      <c r="S18" s="80">
        <v>100</v>
      </c>
      <c r="U18" s="6">
        <v>130</v>
      </c>
      <c r="V18" s="6">
        <v>1.1023000000000001</v>
      </c>
      <c r="W18" s="163">
        <v>8</v>
      </c>
      <c r="X18" s="163">
        <v>10</v>
      </c>
      <c r="Y18" s="79">
        <v>25</v>
      </c>
      <c r="Z18" s="143">
        <f t="shared" si="2"/>
        <v>29.2</v>
      </c>
      <c r="AA18" s="144">
        <f t="shared" si="3"/>
        <v>54.2</v>
      </c>
      <c r="AB18" s="145">
        <f t="shared" si="4"/>
        <v>250.83032764515002</v>
      </c>
      <c r="AC18" s="145">
        <f>+(S18-T18)*V18-'data 1'!$F$4</f>
        <v>30.230000000000004</v>
      </c>
      <c r="AD18" s="145">
        <f t="shared" si="5"/>
        <v>-6.1250503757238617</v>
      </c>
      <c r="AE18" s="145">
        <f>+(Y18*V18-'data 1'!$I$21)+V18*(Z18-IF(D18="UNTUCA",IF(+((W18-3)*2.5+(X18-3)*3.1)&gt;0,+((W18-3)*1.5+(X18-3)*3.1),0),IF(+((W18-3)*1.5+(X18-3)*3.1)&gt;0,+((W18-3)*1.5+(X18-3)*3.1),0)))</f>
        <v>1.9764189189189203</v>
      </c>
      <c r="AF18" s="145">
        <f t="shared" si="6"/>
        <v>0</v>
      </c>
      <c r="AG18" s="145">
        <f t="shared" si="7"/>
        <v>26.081368543195062</v>
      </c>
      <c r="AH18" s="145">
        <f t="shared" si="8"/>
        <v>50.560861206134319</v>
      </c>
      <c r="AI18" s="143">
        <f t="shared" si="9"/>
        <v>39.207293575473471</v>
      </c>
      <c r="AJ18" s="144">
        <f t="shared" si="10"/>
        <v>51.307672889300832</v>
      </c>
      <c r="AK18" s="133">
        <f t="shared" si="11"/>
        <v>-0.74681168316651281</v>
      </c>
      <c r="AL18" s="57"/>
      <c r="AM18" s="57"/>
    </row>
    <row r="19" spans="1:46" ht="15.75" customHeight="1">
      <c r="A19" s="134" t="s">
        <v>509</v>
      </c>
      <c r="B19" s="136">
        <v>45463</v>
      </c>
      <c r="C19" s="136">
        <v>45463</v>
      </c>
      <c r="D19" s="6" t="s">
        <v>93</v>
      </c>
      <c r="E19" s="176"/>
      <c r="F19" s="6" t="s">
        <v>237</v>
      </c>
      <c r="G19" s="90">
        <v>88</v>
      </c>
      <c r="H19" s="90" t="s">
        <v>69</v>
      </c>
      <c r="I19" s="82">
        <v>7.96</v>
      </c>
      <c r="J19" s="137">
        <v>1.3</v>
      </c>
      <c r="K19" s="138">
        <f t="shared" si="0"/>
        <v>7.8565199999999997</v>
      </c>
      <c r="L19" s="240">
        <v>0.20599999999999999</v>
      </c>
      <c r="M19" s="249">
        <v>0.20300000000000001</v>
      </c>
      <c r="N19" s="249">
        <v>0.20300000000000001</v>
      </c>
      <c r="O19" s="141">
        <f t="shared" si="1"/>
        <v>0.20300000000000001</v>
      </c>
      <c r="P19" s="6">
        <v>90</v>
      </c>
      <c r="Q19" s="143">
        <v>88.75</v>
      </c>
      <c r="R19" s="57">
        <v>2327.7649999999999</v>
      </c>
      <c r="S19" s="80">
        <v>100</v>
      </c>
      <c r="U19" s="6">
        <v>130</v>
      </c>
      <c r="V19" s="6">
        <v>1.1023000000000001</v>
      </c>
      <c r="W19" s="163">
        <v>8</v>
      </c>
      <c r="X19" s="163">
        <v>10</v>
      </c>
      <c r="Y19" s="79">
        <v>25</v>
      </c>
      <c r="Z19" s="143">
        <f t="shared" si="2"/>
        <v>29.2</v>
      </c>
      <c r="AA19" s="144">
        <f t="shared" si="3"/>
        <v>54.2</v>
      </c>
      <c r="AB19" s="145">
        <f t="shared" si="4"/>
        <v>272.63369488064995</v>
      </c>
      <c r="AC19" s="145">
        <f>+(S19-T19)*V19-'data 1'!$F$4</f>
        <v>30.230000000000004</v>
      </c>
      <c r="AD19" s="145">
        <f t="shared" si="5"/>
        <v>-6.2381856257124992</v>
      </c>
      <c r="AE19" s="145">
        <f>+(Y19*V19-'data 1'!$I$21)+V19*(Z19-IF(D19="UNTUCA",IF(+((W19-3)*2.5+(X19-3)*3.1)&gt;0,+((W19-3)*1.5+(X19-3)*3.1),0),IF(+((W19-3)*1.5+(X19-3)*3.1)&gt;0,+((W19-3)*1.5+(X19-3)*3.1),0)))</f>
        <v>1.9764189189189203</v>
      </c>
      <c r="AF19" s="145">
        <f t="shared" si="6"/>
        <v>6.4501628071686969</v>
      </c>
      <c r="AG19" s="145">
        <f t="shared" si="7"/>
        <v>32.418396100375119</v>
      </c>
      <c r="AH19" s="145">
        <f t="shared" si="8"/>
        <v>49.246443485371785</v>
      </c>
      <c r="AI19" s="143">
        <f t="shared" si="9"/>
        <v>41.876510240512509</v>
      </c>
      <c r="AJ19" s="144">
        <f t="shared" si="10"/>
        <v>49.212773005756475</v>
      </c>
      <c r="AK19" s="133">
        <f t="shared" si="11"/>
        <v>3.3670479615310001E-2</v>
      </c>
      <c r="AL19" s="57"/>
      <c r="AM19" s="57"/>
    </row>
    <row r="20" spans="1:46" ht="15.75" customHeight="1">
      <c r="A20" s="134" t="s">
        <v>510</v>
      </c>
      <c r="B20" s="136">
        <v>45464</v>
      </c>
      <c r="C20" s="136">
        <v>45464</v>
      </c>
      <c r="D20" s="142" t="s">
        <v>93</v>
      </c>
      <c r="E20" s="176"/>
      <c r="F20" s="142" t="s">
        <v>511</v>
      </c>
      <c r="G20" s="177">
        <v>83</v>
      </c>
      <c r="H20" s="177" t="s">
        <v>69</v>
      </c>
      <c r="I20" s="138">
        <v>8.31</v>
      </c>
      <c r="J20" s="143">
        <v>1.2</v>
      </c>
      <c r="K20" s="138">
        <f t="shared" si="0"/>
        <v>8.2102800000000009</v>
      </c>
      <c r="L20" s="170">
        <v>0.87115000000000009</v>
      </c>
      <c r="M20" s="141">
        <v>0.83630400000000005</v>
      </c>
      <c r="N20" s="248">
        <v>0.88200000000000001</v>
      </c>
      <c r="O20" s="141">
        <f t="shared" si="1"/>
        <v>0.85899999999999999</v>
      </c>
      <c r="P20" s="142">
        <v>90</v>
      </c>
      <c r="Q20" s="143">
        <v>88.075579114671839</v>
      </c>
      <c r="R20" s="144">
        <v>2311.875</v>
      </c>
      <c r="S20" s="132">
        <v>160</v>
      </c>
      <c r="T20" s="142"/>
      <c r="U20" s="142">
        <v>130</v>
      </c>
      <c r="V20" s="142">
        <v>1.1023000000000001</v>
      </c>
      <c r="W20" s="143">
        <v>8</v>
      </c>
      <c r="X20" s="143">
        <v>12.8</v>
      </c>
      <c r="Y20" s="142">
        <v>30</v>
      </c>
      <c r="Z20" s="143">
        <f t="shared" si="2"/>
        <v>37.880000000000003</v>
      </c>
      <c r="AA20" s="144">
        <f t="shared" si="3"/>
        <v>67.88</v>
      </c>
      <c r="AB20" s="145">
        <f t="shared" si="4"/>
        <v>1608.17585214375</v>
      </c>
      <c r="AC20" s="145">
        <f>+(S20-T20)*V20-'data 1'!$F$4</f>
        <v>96.367999999999995</v>
      </c>
      <c r="AD20" s="145">
        <f t="shared" si="5"/>
        <v>-40.320199853434588</v>
      </c>
      <c r="AE20" s="145">
        <f>+(Y20*V20-'data 1'!$I$21)+V20*(Z20-IF(D20="UNTUCA",IF(+((W20-3)*2.5+(X20-3)*3.1)&gt;0,+((W20-3)*1.5+(X20-3)*3.1),0),IF(+((W20-3)*1.5+(X20-3)*3.1)&gt;0,+((W20-3)*1.5+(X20-3)*3.1),0)))</f>
        <v>7.4879189189189219</v>
      </c>
      <c r="AF20" s="145">
        <f t="shared" si="6"/>
        <v>25.73720957349077</v>
      </c>
      <c r="AG20" s="145">
        <f t="shared" si="7"/>
        <v>89.272928638975102</v>
      </c>
      <c r="AH20" s="145">
        <f t="shared" si="8"/>
        <v>215.98096936589241</v>
      </c>
      <c r="AI20" s="143">
        <f t="shared" si="9"/>
        <v>189.18431102784692</v>
      </c>
      <c r="AJ20" s="143">
        <f t="shared" si="10"/>
        <v>217.62195673632598</v>
      </c>
      <c r="AK20" s="133">
        <f t="shared" si="11"/>
        <v>-1.640987370433578</v>
      </c>
      <c r="AL20" s="144"/>
      <c r="AM20" s="144"/>
      <c r="AN20" s="142"/>
      <c r="AO20" s="142"/>
      <c r="AP20" s="142"/>
      <c r="AQ20" s="142"/>
      <c r="AR20" s="142"/>
      <c r="AS20" s="142"/>
      <c r="AT20" s="142"/>
    </row>
    <row r="21" spans="1:46" ht="15.75" customHeight="1">
      <c r="A21" s="134" t="s">
        <v>512</v>
      </c>
      <c r="B21" s="136">
        <v>45464</v>
      </c>
      <c r="C21" s="136">
        <v>45464</v>
      </c>
      <c r="D21" s="142" t="s">
        <v>93</v>
      </c>
      <c r="E21" s="176"/>
      <c r="F21" s="142" t="s">
        <v>511</v>
      </c>
      <c r="G21" s="177">
        <v>82</v>
      </c>
      <c r="H21" s="177" t="s">
        <v>69</v>
      </c>
      <c r="I21" s="138">
        <v>8.15</v>
      </c>
      <c r="J21" s="143">
        <v>1.5</v>
      </c>
      <c r="K21" s="138">
        <f t="shared" si="0"/>
        <v>8.0277500000000011</v>
      </c>
      <c r="L21" s="170">
        <v>1.0604999999999998</v>
      </c>
      <c r="M21" s="141">
        <v>1.0180799999999997</v>
      </c>
      <c r="N21" s="247">
        <v>1.0180799999999997</v>
      </c>
      <c r="O21" s="141">
        <f t="shared" si="1"/>
        <v>1.018</v>
      </c>
      <c r="P21" s="142">
        <v>90</v>
      </c>
      <c r="Q21" s="143">
        <v>88.488776642331075</v>
      </c>
      <c r="R21" s="144">
        <v>2311.875</v>
      </c>
      <c r="S21" s="132">
        <v>180</v>
      </c>
      <c r="T21" s="142"/>
      <c r="U21" s="142">
        <v>130</v>
      </c>
      <c r="V21" s="142">
        <v>1.1023000000000001</v>
      </c>
      <c r="W21" s="143">
        <v>8</v>
      </c>
      <c r="X21" s="143">
        <v>12.8</v>
      </c>
      <c r="Y21" s="142">
        <v>30</v>
      </c>
      <c r="Z21" s="143">
        <f t="shared" si="2"/>
        <v>37.880000000000003</v>
      </c>
      <c r="AA21" s="144">
        <f t="shared" si="3"/>
        <v>67.88</v>
      </c>
      <c r="AB21" s="145">
        <f t="shared" si="4"/>
        <v>1930.2969164125</v>
      </c>
      <c r="AC21" s="145">
        <f>+(S21-T21)*V21-'data 1'!$F$4</f>
        <v>118.41400000000002</v>
      </c>
      <c r="AD21" s="145">
        <f t="shared" si="5"/>
        <v>-38.545084661377025</v>
      </c>
      <c r="AE21" s="145">
        <f>+(Y21*V21-'data 1'!$I$21)+V21*(Z21-IF(D21="UNTUCA",IF(+((W21-3)*2.5+(X21-3)*3.1)&gt;0,+((W21-3)*1.5+(X21-3)*3.1),0),IF(+((W21-3)*1.5+(X21-3)*3.1)&gt;0,+((W21-3)*1.5+(X21-3)*3.1),0)))</f>
        <v>7.4879189189189219</v>
      </c>
      <c r="AF21" s="145">
        <f t="shared" si="6"/>
        <v>90.449630000228666</v>
      </c>
      <c r="AG21" s="145">
        <f t="shared" si="7"/>
        <v>177.80646425777059</v>
      </c>
      <c r="AH21" s="145">
        <f t="shared" si="8"/>
        <v>258.28653873104508</v>
      </c>
      <c r="AI21" s="143">
        <f t="shared" si="9"/>
        <v>231.38517671097114</v>
      </c>
      <c r="AJ21" s="143">
        <f t="shared" si="10"/>
        <v>252.16987081402667</v>
      </c>
      <c r="AK21" s="133">
        <f t="shared" si="11"/>
        <v>6.1166679170184182</v>
      </c>
      <c r="AL21" s="144"/>
      <c r="AM21" s="144"/>
      <c r="AN21" s="142"/>
      <c r="AO21" s="142"/>
      <c r="AP21" s="142"/>
      <c r="AQ21" s="142"/>
      <c r="AR21" s="142"/>
      <c r="AS21" s="142"/>
      <c r="AT21" s="142"/>
    </row>
    <row r="22" spans="1:46" ht="15.75" customHeight="1">
      <c r="A22" s="134" t="s">
        <v>513</v>
      </c>
      <c r="B22" s="136">
        <v>45464</v>
      </c>
      <c r="C22" s="136">
        <v>45464</v>
      </c>
      <c r="D22" s="6" t="s">
        <v>93</v>
      </c>
      <c r="E22" s="176"/>
      <c r="F22" s="6" t="s">
        <v>514</v>
      </c>
      <c r="G22" s="90">
        <v>81</v>
      </c>
      <c r="H22" s="90" t="s">
        <v>69</v>
      </c>
      <c r="I22" s="82">
        <v>8.24</v>
      </c>
      <c r="J22" s="137">
        <v>1.3</v>
      </c>
      <c r="K22" s="138">
        <f t="shared" si="0"/>
        <v>8.1328800000000001</v>
      </c>
      <c r="L22" s="240">
        <v>0.71</v>
      </c>
      <c r="M22" s="139">
        <v>0.68159999999999998</v>
      </c>
      <c r="N22" s="247">
        <v>0.68159999999999998</v>
      </c>
      <c r="O22" s="141">
        <f t="shared" si="1"/>
        <v>0.68200000000000005</v>
      </c>
      <c r="P22" s="79">
        <v>90</v>
      </c>
      <c r="Q22" s="143">
        <v>88.225341089274437</v>
      </c>
      <c r="R22" s="57">
        <v>2311.875</v>
      </c>
      <c r="S22" s="80">
        <v>140</v>
      </c>
      <c r="U22" s="6">
        <v>130</v>
      </c>
      <c r="V22" s="6">
        <v>1.1023000000000001</v>
      </c>
      <c r="W22" s="137">
        <v>7.9</v>
      </c>
      <c r="X22" s="137">
        <v>12.7</v>
      </c>
      <c r="Y22" s="79">
        <v>30</v>
      </c>
      <c r="Z22" s="143">
        <f t="shared" si="2"/>
        <v>37.42</v>
      </c>
      <c r="AA22" s="144">
        <f t="shared" si="3"/>
        <v>67.42</v>
      </c>
      <c r="AB22" s="145">
        <f t="shared" si="4"/>
        <v>1247.5995367125001</v>
      </c>
      <c r="AC22" s="145">
        <f>+(S22-T22)*V22-'data 1'!$F$4</f>
        <v>74.322000000000003</v>
      </c>
      <c r="AD22" s="145">
        <f t="shared" si="5"/>
        <v>-30.304206473919233</v>
      </c>
      <c r="AE22" s="145">
        <f>+(Y22*V22-'data 1'!$I$21)+V22*(Z22-IF(D22="UNTUCA",IF(+((W22-3)*2.5+(X22-3)*3.1)&gt;0,+((W22-3)*1.5+(X22-3)*3.1),0),IF(+((W22-3)*1.5+(X22-3)*3.1)&gt;0,+((W22-3)*1.5+(X22-3)*3.1),0)))</f>
        <v>7.4879189189189219</v>
      </c>
      <c r="AF22" s="145">
        <f t="shared" si="6"/>
        <v>59.41294100842272</v>
      </c>
      <c r="AG22" s="145">
        <f t="shared" si="7"/>
        <v>110.91865345342241</v>
      </c>
      <c r="AH22" s="145">
        <f t="shared" si="8"/>
        <v>174.66469442937097</v>
      </c>
      <c r="AI22" s="137">
        <f t="shared" si="9"/>
        <v>154.45016055527344</v>
      </c>
      <c r="AJ22" s="137">
        <f t="shared" si="10"/>
        <v>171.15134552379476</v>
      </c>
      <c r="AK22" s="88">
        <f t="shared" si="11"/>
        <v>3.5133489055762084</v>
      </c>
      <c r="AL22" s="57"/>
      <c r="AM22" s="57"/>
    </row>
    <row r="23" spans="1:46" ht="15.75" customHeight="1">
      <c r="A23" s="134" t="s">
        <v>515</v>
      </c>
      <c r="B23" s="136">
        <v>45464</v>
      </c>
      <c r="C23" s="136">
        <v>45464</v>
      </c>
      <c r="D23" s="6" t="s">
        <v>93</v>
      </c>
      <c r="E23" s="176"/>
      <c r="F23" s="6" t="s">
        <v>514</v>
      </c>
      <c r="G23" s="90">
        <v>80</v>
      </c>
      <c r="H23" s="90" t="s">
        <v>69</v>
      </c>
      <c r="I23" s="82">
        <v>8.14</v>
      </c>
      <c r="J23" s="137">
        <v>1.2</v>
      </c>
      <c r="K23" s="138">
        <f t="shared" si="0"/>
        <v>8.0423200000000001</v>
      </c>
      <c r="L23" s="240">
        <v>0.91449999999999998</v>
      </c>
      <c r="M23" s="139">
        <v>0.87791999999999992</v>
      </c>
      <c r="N23" s="248">
        <v>1.0860000000000001</v>
      </c>
      <c r="O23" s="141">
        <f t="shared" si="1"/>
        <v>0.98199999999999998</v>
      </c>
      <c r="P23" s="79">
        <v>90</v>
      </c>
      <c r="Q23" s="143">
        <v>88.510509044045733</v>
      </c>
      <c r="R23" s="57">
        <v>2311.875</v>
      </c>
      <c r="S23" s="80">
        <v>170</v>
      </c>
      <c r="U23" s="6">
        <v>130</v>
      </c>
      <c r="V23" s="6">
        <v>1.1023000000000001</v>
      </c>
      <c r="W23" s="137">
        <v>7.9</v>
      </c>
      <c r="X23" s="137">
        <v>12.7</v>
      </c>
      <c r="Y23" s="79">
        <v>40</v>
      </c>
      <c r="Z23" s="143">
        <f t="shared" si="2"/>
        <v>37.42</v>
      </c>
      <c r="AA23" s="144">
        <f t="shared" si="3"/>
        <v>77.42</v>
      </c>
      <c r="AB23" s="145">
        <f t="shared" si="4"/>
        <v>1852.8793560874999</v>
      </c>
      <c r="AC23" s="145">
        <f>+(S23-T23)*V23-'data 1'!$F$4</f>
        <v>107.39100000000002</v>
      </c>
      <c r="AD23" s="145">
        <f t="shared" si="5"/>
        <v>-32.760555254211901</v>
      </c>
      <c r="AE23" s="145">
        <f>+(Y23*V23-'data 1'!$I$21)+V23*(Z23-IF(D23="UNTUCA",IF(+((W23-3)*2.5+(X23-3)*3.1)&gt;0,+((W23-3)*1.5+(X23-3)*3.1),0),IF(+((W23-3)*1.5+(X23-3)*3.1)&gt;0,+((W23-3)*1.5+(X23-3)*3.1),0)))</f>
        <v>18.510918918918918</v>
      </c>
      <c r="AF23" s="145">
        <f t="shared" si="6"/>
        <v>-143.69057572934847</v>
      </c>
      <c r="AG23" s="145">
        <f t="shared" si="7"/>
        <v>-50.549212064641438</v>
      </c>
      <c r="AH23" s="145">
        <f t="shared" si="8"/>
        <v>223.18703723097136</v>
      </c>
      <c r="AI23" s="137">
        <f t="shared" si="9"/>
        <v>199.5791724978755</v>
      </c>
      <c r="AJ23" s="137">
        <f t="shared" si="10"/>
        <v>243.69376401528751</v>
      </c>
      <c r="AK23" s="88">
        <f t="shared" si="11"/>
        <v>-20.506726784316157</v>
      </c>
      <c r="AL23" s="57" t="s">
        <v>516</v>
      </c>
      <c r="AM23" s="57"/>
    </row>
    <row r="24" spans="1:46" ht="15.75" customHeight="1">
      <c r="A24" s="134" t="s">
        <v>517</v>
      </c>
      <c r="B24" s="136">
        <v>45468</v>
      </c>
      <c r="C24" s="136">
        <v>45468</v>
      </c>
      <c r="D24" s="6" t="s">
        <v>93</v>
      </c>
      <c r="E24" s="176"/>
      <c r="F24" s="6" t="s">
        <v>518</v>
      </c>
      <c r="G24" s="90">
        <v>35</v>
      </c>
      <c r="H24" s="90" t="s">
        <v>69</v>
      </c>
      <c r="I24" s="82">
        <v>3.21</v>
      </c>
      <c r="J24" s="137">
        <v>1</v>
      </c>
      <c r="K24" s="138">
        <f t="shared" si="0"/>
        <v>3.1779000000000002</v>
      </c>
      <c r="L24" s="240">
        <v>0.32800000000000001</v>
      </c>
      <c r="M24" s="149">
        <v>0.315</v>
      </c>
      <c r="N24" s="149">
        <v>0.315</v>
      </c>
      <c r="O24" s="141">
        <f t="shared" si="1"/>
        <v>0.315</v>
      </c>
      <c r="P24" s="79">
        <v>90</v>
      </c>
      <c r="Q24" s="143">
        <v>88.27</v>
      </c>
      <c r="R24" s="57">
        <v>2315.59</v>
      </c>
      <c r="S24" s="80">
        <v>130</v>
      </c>
      <c r="U24" s="6">
        <v>130</v>
      </c>
      <c r="V24" s="6">
        <v>1.1023000000000001</v>
      </c>
      <c r="W24" s="143">
        <v>7.9</v>
      </c>
      <c r="X24" s="143">
        <v>12.1</v>
      </c>
      <c r="Y24" s="79">
        <v>25</v>
      </c>
      <c r="Z24" s="143">
        <f t="shared" si="2"/>
        <v>35.56</v>
      </c>
      <c r="AA24" s="144">
        <f t="shared" si="3"/>
        <v>60.56</v>
      </c>
      <c r="AB24" s="145">
        <f t="shared" si="4"/>
        <v>472.94706745950003</v>
      </c>
      <c r="AC24" s="145">
        <f>+(S24-T24)*V24-'data 1'!$F$4</f>
        <v>63.299000000000007</v>
      </c>
      <c r="AD24" s="145">
        <f t="shared" si="5"/>
        <v>-13.670627482960834</v>
      </c>
      <c r="AE24" s="145">
        <f>+(Y24*V24-'data 1'!$I$21)+V24*(Z24-IF(D24="UNTUCA",IF(+((W24-3)*2.5+(X24-3)*3.1)&gt;0,+((W24-3)*1.5+(X24-3)*3.1),0),IF(+((W24-3)*1.5+(X24-3)*3.1)&gt;0,+((W24-3)*1.5+(X24-3)*3.1),0)))</f>
        <v>1.9764189189189203</v>
      </c>
      <c r="AF24" s="145">
        <f t="shared" si="6"/>
        <v>27.645533876660725</v>
      </c>
      <c r="AG24" s="145">
        <f t="shared" si="7"/>
        <v>79.250325312618813</v>
      </c>
      <c r="AH24" s="145">
        <f t="shared" si="8"/>
        <v>31.545416552733418</v>
      </c>
      <c r="AI24" s="137">
        <f t="shared" si="9"/>
        <v>70.202120831533549</v>
      </c>
      <c r="AJ24" s="137">
        <f t="shared" si="10"/>
        <v>30.888894082940936</v>
      </c>
      <c r="AK24" s="88">
        <f t="shared" si="11"/>
        <v>0.65652246979248119</v>
      </c>
      <c r="AL24" s="57"/>
      <c r="AM24" s="57"/>
    </row>
    <row r="25" spans="1:46" ht="15.75" customHeight="1">
      <c r="A25" s="134" t="s">
        <v>519</v>
      </c>
      <c r="B25" s="136">
        <v>45468</v>
      </c>
      <c r="C25" s="136">
        <v>45468</v>
      </c>
      <c r="D25" s="6" t="s">
        <v>93</v>
      </c>
      <c r="E25" s="176"/>
      <c r="F25" s="6" t="s">
        <v>520</v>
      </c>
      <c r="G25" s="90">
        <v>116</v>
      </c>
      <c r="H25" s="90" t="s">
        <v>69</v>
      </c>
      <c r="I25" s="82">
        <v>10.27</v>
      </c>
      <c r="J25" s="137">
        <v>0.5</v>
      </c>
      <c r="K25" s="138">
        <f t="shared" si="0"/>
        <v>10.21865</v>
      </c>
      <c r="L25" s="240">
        <v>0.81699999999999995</v>
      </c>
      <c r="M25" s="178">
        <v>0.78200000000000003</v>
      </c>
      <c r="N25" s="178">
        <v>0.78200000000000003</v>
      </c>
      <c r="O25" s="141">
        <f t="shared" si="1"/>
        <v>0.78200000000000003</v>
      </c>
      <c r="P25" s="79">
        <v>90</v>
      </c>
      <c r="Q25" s="143">
        <v>88.21</v>
      </c>
      <c r="R25" s="57">
        <v>2315.59</v>
      </c>
      <c r="S25" s="80">
        <v>150</v>
      </c>
      <c r="U25" s="6">
        <v>130</v>
      </c>
      <c r="V25" s="6">
        <v>1.1023000000000001</v>
      </c>
      <c r="W25" s="143">
        <v>7.9</v>
      </c>
      <c r="X25" s="143">
        <v>11.4</v>
      </c>
      <c r="Y25" s="79">
        <v>25</v>
      </c>
      <c r="Z25" s="143">
        <f t="shared" si="2"/>
        <v>33.39</v>
      </c>
      <c r="AA25" s="144">
        <f t="shared" si="3"/>
        <v>58.39</v>
      </c>
      <c r="AB25" s="145">
        <f t="shared" si="4"/>
        <v>1465.8696711565999</v>
      </c>
      <c r="AC25" s="145">
        <f>+(S25-T25)*V25-'data 1'!$F$4</f>
        <v>85.344999999999999</v>
      </c>
      <c r="AD25" s="145">
        <f t="shared" si="5"/>
        <v>-35.232510485525225</v>
      </c>
      <c r="AE25" s="145">
        <f>+(Y25*V25-'data 1'!$I$21)+V25*(Z25-IF(D25="UNTUCA",IF(+((W25-3)*2.5+(X25-3)*3.1)&gt;0,+((W25-3)*1.5+(X25-3)*3.1),0),IF(+((W25-3)*1.5+(X25-3)*3.1)&gt;0,+((W25-3)*1.5+(X25-3)*3.1),0)))</f>
        <v>1.9764189189189203</v>
      </c>
      <c r="AF25" s="145">
        <f t="shared" si="6"/>
        <v>74.379690821089341</v>
      </c>
      <c r="AG25" s="145">
        <f t="shared" si="7"/>
        <v>126.46859925448304</v>
      </c>
      <c r="AH25" s="145">
        <f t="shared" si="8"/>
        <v>252.4890057821049</v>
      </c>
      <c r="AI25" s="137">
        <f t="shared" si="9"/>
        <v>174.74434927947652</v>
      </c>
      <c r="AJ25" s="137">
        <f t="shared" si="10"/>
        <v>246.57659786426188</v>
      </c>
      <c r="AK25" s="88">
        <f t="shared" si="11"/>
        <v>5.9124079178430122</v>
      </c>
      <c r="AL25" s="57"/>
      <c r="AM25" s="57"/>
    </row>
    <row r="26" spans="1:46" ht="15.75" customHeight="1">
      <c r="A26" s="134" t="s">
        <v>521</v>
      </c>
      <c r="B26" s="135">
        <v>45468</v>
      </c>
      <c r="C26" s="136">
        <v>45468</v>
      </c>
      <c r="D26" s="142" t="s">
        <v>93</v>
      </c>
      <c r="E26" s="176"/>
      <c r="F26" s="142" t="s">
        <v>522</v>
      </c>
      <c r="G26" s="177">
        <v>163</v>
      </c>
      <c r="H26" s="177" t="s">
        <v>69</v>
      </c>
      <c r="I26" s="138">
        <v>15.66</v>
      </c>
      <c r="J26" s="143">
        <v>1</v>
      </c>
      <c r="K26" s="138">
        <f t="shared" si="0"/>
        <v>15.503400000000001</v>
      </c>
      <c r="L26" s="170">
        <v>0.64300000000000002</v>
      </c>
      <c r="M26" s="141">
        <v>0.61727999999999994</v>
      </c>
      <c r="N26" s="248">
        <v>0.751</v>
      </c>
      <c r="O26" s="141">
        <f t="shared" si="1"/>
        <v>0.68400000000000005</v>
      </c>
      <c r="P26" s="142">
        <v>90</v>
      </c>
      <c r="Q26" s="143">
        <v>88.14</v>
      </c>
      <c r="R26" s="144">
        <v>2315.59</v>
      </c>
      <c r="S26" s="132">
        <v>140</v>
      </c>
      <c r="T26" s="142"/>
      <c r="U26" s="142">
        <v>130</v>
      </c>
      <c r="V26" s="142">
        <v>1.1023000000000001</v>
      </c>
      <c r="W26" s="143">
        <v>8</v>
      </c>
      <c r="X26" s="143">
        <v>11.8</v>
      </c>
      <c r="Y26" s="142">
        <v>50</v>
      </c>
      <c r="Z26" s="143">
        <f t="shared" si="2"/>
        <v>34.78</v>
      </c>
      <c r="AA26" s="144">
        <f t="shared" si="3"/>
        <v>84.78</v>
      </c>
      <c r="AB26" s="145">
        <f t="shared" si="4"/>
        <v>1235.3136635692001</v>
      </c>
      <c r="AC26" s="145">
        <f>+(S26-T26)*V26-'data 1'!$F$4</f>
        <v>74.322000000000003</v>
      </c>
      <c r="AD26" s="145">
        <f t="shared" si="5"/>
        <v>-28.813261414548595</v>
      </c>
      <c r="AE26" s="145">
        <f>+(Y26*V26-'data 1'!$I$21)+V26*(Z26-IF(D26="UNTUCA",IF(+((W26-3)*2.5+(X26-3)*3.1)&gt;0,+((W26-3)*1.5+(X26-3)*3.1),0),IF(+((W26-3)*1.5+(X26-3)*3.1)&gt;0,+((W26-3)*1.5+(X26-3)*3.1),0)))</f>
        <v>29.533918918918921</v>
      </c>
      <c r="AF26" s="145">
        <f t="shared" si="6"/>
        <v>-87.061351614751871</v>
      </c>
      <c r="AG26" s="145">
        <f t="shared" si="7"/>
        <v>-12.018694110381531</v>
      </c>
      <c r="AH26" s="145">
        <f t="shared" si="8"/>
        <v>301.2451341344003</v>
      </c>
      <c r="AI26" s="143">
        <f t="shared" si="9"/>
        <v>137.41915740952609</v>
      </c>
      <c r="AJ26" s="143">
        <f t="shared" si="10"/>
        <v>327.21607638409421</v>
      </c>
      <c r="AK26" s="133">
        <f t="shared" si="11"/>
        <v>-25.970942249693906</v>
      </c>
      <c r="AL26" s="57" t="s">
        <v>516</v>
      </c>
      <c r="AM26" s="144"/>
      <c r="AN26" s="142"/>
      <c r="AO26" s="142"/>
      <c r="AP26" s="142"/>
      <c r="AQ26" s="142"/>
      <c r="AR26" s="142"/>
      <c r="AS26" s="142"/>
      <c r="AT26" s="142"/>
    </row>
    <row r="27" spans="1:46" ht="15.75" customHeight="1">
      <c r="A27" s="134" t="s">
        <v>523</v>
      </c>
      <c r="B27" s="136">
        <v>45472</v>
      </c>
      <c r="C27" s="136">
        <v>45472</v>
      </c>
      <c r="D27" s="79" t="s">
        <v>85</v>
      </c>
      <c r="E27" s="176"/>
      <c r="F27" s="79" t="s">
        <v>524</v>
      </c>
      <c r="G27" s="90">
        <v>97</v>
      </c>
      <c r="H27" s="90" t="s">
        <v>69</v>
      </c>
      <c r="I27" s="82">
        <v>8.5500000000000007</v>
      </c>
      <c r="J27" s="137">
        <v>2.5</v>
      </c>
      <c r="K27" s="138">
        <f t="shared" si="0"/>
        <v>8.3362500000000015</v>
      </c>
      <c r="L27" s="240">
        <v>0.308</v>
      </c>
      <c r="M27" s="139">
        <v>0.28999999999999998</v>
      </c>
      <c r="N27" s="248">
        <v>0.31</v>
      </c>
      <c r="O27" s="141">
        <f t="shared" si="1"/>
        <v>0.3</v>
      </c>
      <c r="P27" s="142">
        <v>88</v>
      </c>
      <c r="Q27" s="142">
        <v>89.61</v>
      </c>
      <c r="R27" s="57">
        <v>2318.6</v>
      </c>
      <c r="S27" s="80">
        <v>130</v>
      </c>
      <c r="U27" s="142">
        <v>130</v>
      </c>
      <c r="V27" s="142">
        <v>1.1023000000000001</v>
      </c>
      <c r="W27" s="137">
        <v>6.5</v>
      </c>
      <c r="X27" s="137">
        <v>7.8</v>
      </c>
      <c r="Y27" s="142">
        <v>30</v>
      </c>
      <c r="Z27" s="245">
        <f t="shared" ref="Z27:Z44" si="12">IF(IF(D27="UNTUCA",IF(+((W27-3)*1.5+(X27-3)*3.1)&gt;0,+((W27-3)*1.5+(X27-3)*3.1),0),IF(+((W27-3)*1.5+(X27-3)*3.1)&gt;0,+((W27-3)*1.5+(X27-3)*3.1),0))&lt;30,30,IF(D27="UNTUCA",IF(+((W27-3)*1.5+(X27-3)*3.1)&gt;0,+((W27-3)*1.5+(X27-3)*3.1),0),IF(+((W27-3)*1.5+(X27-3)*3.1)&gt;0,+((W27-3)*1.5+(X27-3)*3.1),0)))</f>
        <v>30</v>
      </c>
      <c r="AA27" s="144">
        <f t="shared" si="3"/>
        <v>60</v>
      </c>
      <c r="AB27" s="145">
        <f t="shared" si="4"/>
        <v>427.46135792000001</v>
      </c>
      <c r="AC27" s="145">
        <f>+(S27-T27)*V27-'data 1'!$F$4</f>
        <v>63.299000000000007</v>
      </c>
      <c r="AD27" s="145">
        <f t="shared" si="5"/>
        <v>11.963074156263994</v>
      </c>
      <c r="AE27" s="145">
        <f>+(Y27*V27-'data 1'!$I$21)+V27*(Z27-IF(D27="UNTUCA",IF(+((W27-3)*2.5+(X27-3)*3.1)&gt;0,+((W27-3)*1.5+(X27-3)*3.1),0),IF(+((W27-3)*1.5+(X27-3)*3.1)&gt;0,+((W27-3)*1.5+(X27-3)*3.1),0)))</f>
        <v>18.367619918918926</v>
      </c>
      <c r="AF27" s="145">
        <f t="shared" si="6"/>
        <v>17.294685410064016</v>
      </c>
      <c r="AG27" s="145">
        <f t="shared" si="7"/>
        <v>110.92437948524694</v>
      </c>
      <c r="AH27" s="145">
        <f t="shared" si="8"/>
        <v>78.883649278500911</v>
      </c>
      <c r="AI27" s="137">
        <f t="shared" si="9"/>
        <v>66.00649522199042</v>
      </c>
      <c r="AJ27" s="137">
        <f t="shared" si="10"/>
        <v>75.454253458798519</v>
      </c>
      <c r="AK27" s="88">
        <f t="shared" si="11"/>
        <v>3.4293958197023926</v>
      </c>
      <c r="AL27" s="57"/>
      <c r="AM27" s="57"/>
    </row>
    <row r="28" spans="1:46" ht="15.75" customHeight="1">
      <c r="A28" s="134" t="s">
        <v>525</v>
      </c>
      <c r="B28" s="136">
        <v>45472</v>
      </c>
      <c r="C28" s="136">
        <v>45472</v>
      </c>
      <c r="D28" s="79" t="s">
        <v>85</v>
      </c>
      <c r="E28" s="176"/>
      <c r="F28" s="79" t="s">
        <v>524</v>
      </c>
      <c r="G28" s="90">
        <v>86</v>
      </c>
      <c r="H28" s="90" t="s">
        <v>69</v>
      </c>
      <c r="I28" s="82">
        <v>7.87</v>
      </c>
      <c r="J28" s="137">
        <v>3.55</v>
      </c>
      <c r="K28" s="138">
        <f t="shared" si="0"/>
        <v>7.5906149999999997</v>
      </c>
      <c r="L28" s="240">
        <v>0.24399999999999999</v>
      </c>
      <c r="M28" s="139">
        <v>0.23400000000000001</v>
      </c>
      <c r="N28" s="248">
        <v>0.255</v>
      </c>
      <c r="O28" s="141">
        <f t="shared" si="1"/>
        <v>0.245</v>
      </c>
      <c r="P28" s="142">
        <v>88</v>
      </c>
      <c r="Q28" s="142">
        <v>89.91</v>
      </c>
      <c r="R28" s="57">
        <v>2318.6</v>
      </c>
      <c r="S28" s="80">
        <v>125</v>
      </c>
      <c r="U28" s="142">
        <v>130</v>
      </c>
      <c r="V28" s="142">
        <v>1.1023000000000001</v>
      </c>
      <c r="W28" s="137">
        <v>6.5</v>
      </c>
      <c r="X28" s="137">
        <v>7.9</v>
      </c>
      <c r="Y28" s="142">
        <v>30</v>
      </c>
      <c r="Z28" s="245">
        <f t="shared" si="12"/>
        <v>30</v>
      </c>
      <c r="AA28" s="144">
        <f t="shared" si="3"/>
        <v>60</v>
      </c>
      <c r="AB28" s="145">
        <f t="shared" si="4"/>
        <v>316.20815896799991</v>
      </c>
      <c r="AC28" s="145">
        <f>+(S28-T28)*V28-'data 1'!$F$4</f>
        <v>57.787499999999994</v>
      </c>
      <c r="AD28" s="145">
        <f t="shared" si="5"/>
        <v>11.243186012311979</v>
      </c>
      <c r="AE28" s="145">
        <f>+(Y28*V28-'data 1'!$I$21)+V28*(Z28-IF(D28="UNTUCA",IF(+((W28-3)*2.5+(X28-3)*3.1)&gt;0,+((W28-3)*1.5+(X28-3)*3.1),0),IF(+((W28-3)*1.5+(X28-3)*3.1)&gt;0,+((W28-3)*1.5+(X28-3)*3.1),0)))</f>
        <v>18.02590691891892</v>
      </c>
      <c r="AF28" s="145">
        <f t="shared" si="6"/>
        <v>-2.1690731575980018</v>
      </c>
      <c r="AG28" s="145">
        <f t="shared" si="7"/>
        <v>84.887519773632889</v>
      </c>
      <c r="AH28" s="145">
        <f t="shared" si="8"/>
        <v>57.093130625661324</v>
      </c>
      <c r="AI28" s="137">
        <f t="shared" si="9"/>
        <v>52.465921317043211</v>
      </c>
      <c r="AJ28" s="137">
        <f t="shared" si="10"/>
        <v>56.109292183315304</v>
      </c>
      <c r="AK28" s="88">
        <f t="shared" si="11"/>
        <v>0.9838384423460198</v>
      </c>
      <c r="AL28" s="57"/>
      <c r="AM28" s="57"/>
    </row>
    <row r="29" spans="1:46" ht="15.75" customHeight="1">
      <c r="A29" s="134" t="s">
        <v>526</v>
      </c>
      <c r="B29" s="136">
        <v>45472</v>
      </c>
      <c r="C29" s="136">
        <v>45472</v>
      </c>
      <c r="D29" s="79" t="s">
        <v>85</v>
      </c>
      <c r="E29" s="176"/>
      <c r="F29" s="79" t="s">
        <v>524</v>
      </c>
      <c r="G29" s="90">
        <v>83</v>
      </c>
      <c r="H29" s="90" t="s">
        <v>69</v>
      </c>
      <c r="I29" s="82">
        <v>7.32</v>
      </c>
      <c r="J29" s="137">
        <v>3.45</v>
      </c>
      <c r="K29" s="138">
        <f t="shared" si="0"/>
        <v>7.0674600000000005</v>
      </c>
      <c r="L29" s="240">
        <v>0.26600000000000001</v>
      </c>
      <c r="M29" s="139">
        <v>0.25</v>
      </c>
      <c r="N29" s="248">
        <v>0.27900000000000003</v>
      </c>
      <c r="O29" s="141">
        <f t="shared" si="1"/>
        <v>0.26500000000000001</v>
      </c>
      <c r="P29" s="142">
        <v>88</v>
      </c>
      <c r="Q29" s="142">
        <v>89.53</v>
      </c>
      <c r="R29" s="57">
        <v>2318.6</v>
      </c>
      <c r="S29" s="80">
        <v>125</v>
      </c>
      <c r="U29" s="142">
        <v>130</v>
      </c>
      <c r="V29" s="142">
        <v>1.1023000000000001</v>
      </c>
      <c r="W29" s="137">
        <v>6.5</v>
      </c>
      <c r="X29" s="137">
        <v>7.9</v>
      </c>
      <c r="Y29" s="142">
        <v>30</v>
      </c>
      <c r="Z29" s="245">
        <f t="shared" si="12"/>
        <v>30</v>
      </c>
      <c r="AA29" s="144">
        <f t="shared" si="3"/>
        <v>60</v>
      </c>
      <c r="AB29" s="145">
        <f t="shared" si="4"/>
        <v>358.66804949600004</v>
      </c>
      <c r="AC29" s="145">
        <f>+(S29-T29)*V29-'data 1'!$F$4</f>
        <v>57.787499999999994</v>
      </c>
      <c r="AD29" s="145">
        <f t="shared" si="5"/>
        <v>9.8183671858440071</v>
      </c>
      <c r="AE29" s="145">
        <f>+(Y29*V29-'data 1'!$I$21)+V29*(Z29-IF(D29="UNTUCA",IF(+((W29-3)*2.5+(X29-3)*3.1)&gt;0,+((W29-3)*1.5+(X29-3)*3.1),0),IF(+((W29-3)*1.5+(X29-3)*3.1)&gt;0,+((W29-3)*1.5+(X29-3)*3.1),0)))</f>
        <v>18.02590691891892</v>
      </c>
      <c r="AF29" s="145">
        <f t="shared" si="6"/>
        <v>2.1599056812340023</v>
      </c>
      <c r="AG29" s="145">
        <f t="shared" si="7"/>
        <v>87.791679785996934</v>
      </c>
      <c r="AH29" s="145">
        <f t="shared" si="8"/>
        <v>57.706222982601474</v>
      </c>
      <c r="AI29" s="137">
        <f t="shared" si="9"/>
        <v>56.95471732419842</v>
      </c>
      <c r="AJ29" s="137">
        <f t="shared" si="10"/>
        <v>56.506833932015333</v>
      </c>
      <c r="AK29" s="88">
        <f t="shared" si="11"/>
        <v>1.1993890505861415</v>
      </c>
      <c r="AL29" s="57"/>
      <c r="AM29" s="57"/>
    </row>
    <row r="30" spans="1:46" ht="15.75" customHeight="1">
      <c r="A30" s="134" t="s">
        <v>527</v>
      </c>
      <c r="B30" s="136">
        <v>45473</v>
      </c>
      <c r="C30" s="136">
        <v>45473</v>
      </c>
      <c r="D30" s="79" t="s">
        <v>93</v>
      </c>
      <c r="E30" s="176"/>
      <c r="F30" s="79" t="s">
        <v>528</v>
      </c>
      <c r="G30" s="90">
        <v>82</v>
      </c>
      <c r="H30" s="90" t="s">
        <v>69</v>
      </c>
      <c r="I30" s="82">
        <v>8.0399999999999991</v>
      </c>
      <c r="J30" s="137">
        <v>2.2000000000000002</v>
      </c>
      <c r="K30" s="138">
        <f t="shared" si="0"/>
        <v>7.8631199999999994</v>
      </c>
      <c r="L30" s="240">
        <v>0.24399999999999999</v>
      </c>
      <c r="M30" s="139">
        <v>0.23200000000000001</v>
      </c>
      <c r="N30" s="247">
        <v>0.23200000000000001</v>
      </c>
      <c r="O30" s="141">
        <f t="shared" si="1"/>
        <v>0.23200000000000001</v>
      </c>
      <c r="P30" s="142">
        <v>90</v>
      </c>
      <c r="Q30" s="142">
        <v>89.71</v>
      </c>
      <c r="R30" s="57">
        <v>2318.6</v>
      </c>
      <c r="S30" s="80">
        <v>110</v>
      </c>
      <c r="U30" s="142">
        <v>130</v>
      </c>
      <c r="V30" s="142">
        <v>1.1023000000000001</v>
      </c>
      <c r="W30" s="137">
        <v>6.9</v>
      </c>
      <c r="X30" s="137">
        <v>9.6999999999999993</v>
      </c>
      <c r="Y30" s="142">
        <v>30</v>
      </c>
      <c r="Z30" s="245">
        <f t="shared" si="12"/>
        <v>30</v>
      </c>
      <c r="AA30" s="144">
        <f t="shared" si="3"/>
        <v>60</v>
      </c>
      <c r="AB30" s="145">
        <f t="shared" si="4"/>
        <v>316.33770126400003</v>
      </c>
      <c r="AC30" s="145">
        <f>+(S30-T30)*V30-'data 1'!$F$4</f>
        <v>41.253</v>
      </c>
      <c r="AD30" s="145">
        <f t="shared" si="5"/>
        <v>-1.7070805987280366</v>
      </c>
      <c r="AE30" s="145">
        <f>+(Y30*V30-'data 1'!$I$21)+V30*(Z30-IF(D30="UNTUCA",IF(+((W30-3)*2.5+(X30-3)*3.1)&gt;0,+((W30-3)*1.5+(X30-3)*3.1),0),IF(+((W30-3)*1.5+(X30-3)*3.1)&gt;0,+((W30-3)*1.5+(X30-3)*3.1),0)))</f>
        <v>11.213692918918921</v>
      </c>
      <c r="AF30" s="145">
        <f t="shared" si="6"/>
        <v>25.970978040455961</v>
      </c>
      <c r="AG30" s="145">
        <f t="shared" si="7"/>
        <v>76.730590360646858</v>
      </c>
      <c r="AH30" s="145">
        <f t="shared" si="8"/>
        <v>59.011228488969749</v>
      </c>
      <c r="AI30" s="137">
        <f t="shared" si="9"/>
        <v>52.349213673139204</v>
      </c>
      <c r="AJ30" s="137">
        <f t="shared" si="10"/>
        <v>56.290417156999908</v>
      </c>
      <c r="AK30" s="88">
        <f t="shared" si="11"/>
        <v>2.7208113319698413</v>
      </c>
      <c r="AL30" s="57"/>
      <c r="AM30" s="57"/>
    </row>
    <row r="31" spans="1:46" ht="15.75" customHeight="1">
      <c r="A31" s="134" t="s">
        <v>529</v>
      </c>
      <c r="B31" s="136">
        <v>45473</v>
      </c>
      <c r="C31" s="136">
        <v>45473</v>
      </c>
      <c r="D31" s="79" t="s">
        <v>93</v>
      </c>
      <c r="E31" s="176"/>
      <c r="F31" s="79" t="s">
        <v>528</v>
      </c>
      <c r="G31" s="90">
        <v>83</v>
      </c>
      <c r="H31" s="90" t="s">
        <v>69</v>
      </c>
      <c r="I31" s="82">
        <v>8.2200000000000006</v>
      </c>
      <c r="J31" s="137">
        <v>2.1</v>
      </c>
      <c r="K31" s="138">
        <f t="shared" si="0"/>
        <v>8.0473800000000004</v>
      </c>
      <c r="L31" s="240">
        <v>0.245</v>
      </c>
      <c r="M31" s="139">
        <v>0.245</v>
      </c>
      <c r="N31" s="247">
        <v>0.245</v>
      </c>
      <c r="O31" s="141">
        <f t="shared" si="1"/>
        <v>0.245</v>
      </c>
      <c r="P31" s="142">
        <v>90</v>
      </c>
      <c r="Q31" s="142">
        <v>89.87</v>
      </c>
      <c r="R31" s="57">
        <v>2318.6</v>
      </c>
      <c r="S31" s="80">
        <v>110</v>
      </c>
      <c r="U31" s="142">
        <v>130</v>
      </c>
      <c r="V31" s="142">
        <v>1.1023000000000001</v>
      </c>
      <c r="W31" s="137">
        <v>6.9</v>
      </c>
      <c r="X31" s="137">
        <v>9.6999999999999993</v>
      </c>
      <c r="Y31" s="142">
        <v>30</v>
      </c>
      <c r="Z31" s="245">
        <f t="shared" si="12"/>
        <v>30</v>
      </c>
      <c r="AA31" s="144">
        <f t="shared" si="3"/>
        <v>60</v>
      </c>
      <c r="AB31" s="145">
        <f t="shared" si="4"/>
        <v>344.56387849000004</v>
      </c>
      <c r="AC31" s="145">
        <f>+(S31-T31)*V31-'data 1'!$F$4</f>
        <v>41.253</v>
      </c>
      <c r="AD31" s="145">
        <f t="shared" si="5"/>
        <v>-0.76837926892997299</v>
      </c>
      <c r="AE31" s="145">
        <f>+(Y31*V31-'data 1'!$I$21)+V31*(Z31-IF(D31="UNTUCA",IF(+((W31-3)*2.5+(X31-3)*3.1)&gt;0,+((W31-3)*1.5+(X31-3)*3.1),0),IF(+((W31-3)*1.5+(X31-3)*3.1)&gt;0,+((W31-3)*1.5+(X31-3)*3.1),0)))</f>
        <v>11.213692918918921</v>
      </c>
      <c r="AF31" s="145">
        <f t="shared" si="6"/>
        <v>0</v>
      </c>
      <c r="AG31" s="145">
        <f t="shared" si="7"/>
        <v>51.698313649988947</v>
      </c>
      <c r="AH31" s="145">
        <f t="shared" si="8"/>
        <v>60.749737358492567</v>
      </c>
      <c r="AI31" s="137">
        <f t="shared" si="9"/>
        <v>52.657508393952021</v>
      </c>
      <c r="AJ31" s="137">
        <f t="shared" si="10"/>
        <v>60.837613911920897</v>
      </c>
      <c r="AK31" s="88">
        <f t="shared" si="11"/>
        <v>-8.787655342833034E-2</v>
      </c>
      <c r="AL31" s="57"/>
      <c r="AM31" s="57"/>
    </row>
    <row r="32" spans="1:46" ht="15.75" customHeight="1">
      <c r="A32" s="134" t="s">
        <v>530</v>
      </c>
      <c r="B32" s="136">
        <v>45473</v>
      </c>
      <c r="C32" s="136">
        <v>45473</v>
      </c>
      <c r="D32" s="79" t="s">
        <v>106</v>
      </c>
      <c r="E32" s="176"/>
      <c r="F32" s="79" t="s">
        <v>531</v>
      </c>
      <c r="G32" s="90">
        <v>111</v>
      </c>
      <c r="H32" s="90" t="s">
        <v>69</v>
      </c>
      <c r="I32" s="82">
        <v>9.9</v>
      </c>
      <c r="J32" s="137">
        <v>1.9</v>
      </c>
      <c r="K32" s="138">
        <f t="shared" si="0"/>
        <v>9.7119</v>
      </c>
      <c r="L32" s="240">
        <v>0.22500000000000001</v>
      </c>
      <c r="M32" s="80">
        <v>0.21199999999999999</v>
      </c>
      <c r="N32" s="247">
        <v>0.21199999999999999</v>
      </c>
      <c r="O32" s="141">
        <f t="shared" si="1"/>
        <v>0.21199999999999999</v>
      </c>
      <c r="P32" s="142">
        <v>88</v>
      </c>
      <c r="Q32" s="142">
        <v>89.75</v>
      </c>
      <c r="R32" s="144">
        <v>2318.6</v>
      </c>
      <c r="S32" s="80">
        <v>110</v>
      </c>
      <c r="U32" s="142">
        <v>130</v>
      </c>
      <c r="V32" s="142">
        <v>1.1023000000000001</v>
      </c>
      <c r="W32" s="137">
        <v>6.9</v>
      </c>
      <c r="X32" s="137">
        <v>9.8000000000000007</v>
      </c>
      <c r="Y32" s="142">
        <v>30</v>
      </c>
      <c r="Z32" s="143">
        <f t="shared" si="12"/>
        <v>30</v>
      </c>
      <c r="AA32" s="144">
        <f t="shared" si="3"/>
        <v>60</v>
      </c>
      <c r="AB32" s="145">
        <f t="shared" si="4"/>
        <v>262.68383959679994</v>
      </c>
      <c r="AC32" s="145">
        <f>+(S32-T32)*V32-'data 1'!$F$4</f>
        <v>41.253</v>
      </c>
      <c r="AD32" s="145">
        <f t="shared" si="5"/>
        <v>9.4991942587499985</v>
      </c>
      <c r="AE32" s="145">
        <f>+(Y32*V32-'data 1'!$I$21)+V32*(Z32-IF(D32="UNTUCA",IF(+((W32-3)*2.5+(X32-3)*3.1)&gt;0,+((W32-3)*1.5+(X32-3)*3.1),0),IF(+((W32-3)*1.5+(X32-3)*3.1)&gt;0,+((W32-3)*1.5+(X32-3)*3.1),0)))</f>
        <v>10.871979918918917</v>
      </c>
      <c r="AF32" s="145">
        <f t="shared" si="6"/>
        <v>28.147771178150023</v>
      </c>
      <c r="AG32" s="145">
        <f t="shared" si="7"/>
        <v>89.771945355818929</v>
      </c>
      <c r="AH32" s="145">
        <f t="shared" si="8"/>
        <v>67.240393544701917</v>
      </c>
      <c r="AI32" s="137">
        <f t="shared" si="9"/>
        <v>48.294364428000009</v>
      </c>
      <c r="AJ32" s="137">
        <f t="shared" si="10"/>
        <v>62.120051103433433</v>
      </c>
      <c r="AK32" s="88">
        <f t="shared" si="11"/>
        <v>5.1203424412684839</v>
      </c>
      <c r="AL32" s="57"/>
      <c r="AM32" s="57"/>
    </row>
    <row r="33" spans="1:46" ht="15.75" customHeight="1">
      <c r="A33" s="134" t="s">
        <v>532</v>
      </c>
      <c r="B33" s="136">
        <v>45481</v>
      </c>
      <c r="C33" s="259">
        <v>45474</v>
      </c>
      <c r="D33" s="260" t="s">
        <v>85</v>
      </c>
      <c r="E33" s="261"/>
      <c r="F33" s="260" t="s">
        <v>533</v>
      </c>
      <c r="G33" s="262"/>
      <c r="H33" s="262" t="s">
        <v>69</v>
      </c>
      <c r="I33" s="263">
        <v>1.99</v>
      </c>
      <c r="J33" s="264">
        <v>8.6999999999999993</v>
      </c>
      <c r="K33" s="263">
        <f t="shared" si="0"/>
        <v>1.81687</v>
      </c>
      <c r="L33" s="265">
        <v>7.2999999999999995E-2</v>
      </c>
      <c r="M33" s="266">
        <v>7.2999999999999995E-2</v>
      </c>
      <c r="N33" s="266">
        <v>7.2999999999999995E-2</v>
      </c>
      <c r="O33" s="141">
        <f t="shared" si="1"/>
        <v>7.2999999999999995E-2</v>
      </c>
      <c r="P33" s="267">
        <v>86.479452054794535</v>
      </c>
      <c r="Q33" s="264">
        <v>86.479452054794535</v>
      </c>
      <c r="R33" s="57">
        <v>2331.8150000000001</v>
      </c>
      <c r="S33" s="169">
        <v>80</v>
      </c>
      <c r="T33" s="260"/>
      <c r="U33" s="260">
        <v>130</v>
      </c>
      <c r="V33" s="142">
        <v>1.1023000000000001</v>
      </c>
      <c r="W33" s="264">
        <v>6.4</v>
      </c>
      <c r="X33" s="264">
        <v>7.4</v>
      </c>
      <c r="Y33" s="260">
        <v>30</v>
      </c>
      <c r="Z33" s="264">
        <f t="shared" si="12"/>
        <v>30</v>
      </c>
      <c r="AA33" s="268">
        <f t="shared" si="3"/>
        <v>60</v>
      </c>
      <c r="AB33" s="269">
        <f t="shared" si="4"/>
        <v>-1.101659618814969</v>
      </c>
      <c r="AC33" s="269">
        <f>+(S33-T33)*V33-'data 1'!$F$4</f>
        <v>8.1839999999999975</v>
      </c>
      <c r="AD33" s="269">
        <f t="shared" si="5"/>
        <v>0</v>
      </c>
      <c r="AE33" s="269">
        <f>+(Y33*V33-'data 1'!$I$21)+V33*(Z33-IF(D33="UNTUCA",IF(+((W33-3)*2.5+(X33-3)*3.1)&gt;0,+((W33-3)*1.5+(X33-3)*3.1),0),IF(+((W33-3)*1.5+(X33-3)*3.1)&gt;0,+((W33-3)*1.5+(X33-3)*3.1),0)))</f>
        <v>19.899816918918923</v>
      </c>
      <c r="AF33" s="269">
        <f t="shared" si="6"/>
        <v>0</v>
      </c>
      <c r="AG33" s="269">
        <f t="shared" si="7"/>
        <v>28.08381691891892</v>
      </c>
      <c r="AH33" s="269">
        <f t="shared" si="8"/>
        <v>3.9324998302316532</v>
      </c>
      <c r="AI33" s="264">
        <f t="shared" si="9"/>
        <v>14.178247605254997</v>
      </c>
      <c r="AJ33" s="264">
        <f t="shared" si="10"/>
        <v>3.9324998302316532</v>
      </c>
      <c r="AK33" s="270">
        <f t="shared" si="11"/>
        <v>0</v>
      </c>
      <c r="AL33" s="268"/>
      <c r="AM33" s="268"/>
      <c r="AN33" s="260"/>
      <c r="AO33" s="260"/>
      <c r="AP33" s="260"/>
      <c r="AQ33" s="260"/>
      <c r="AR33" s="260"/>
      <c r="AS33" s="260"/>
      <c r="AT33" s="260"/>
    </row>
    <row r="34" spans="1:46" ht="15.75" customHeight="1">
      <c r="A34" s="134" t="s">
        <v>534</v>
      </c>
      <c r="B34" s="136">
        <v>45481</v>
      </c>
      <c r="C34" s="136">
        <v>45474</v>
      </c>
      <c r="D34" s="79" t="s">
        <v>85</v>
      </c>
      <c r="E34" s="176"/>
      <c r="F34" s="79" t="s">
        <v>533</v>
      </c>
      <c r="G34" s="90"/>
      <c r="H34" s="90" t="s">
        <v>69</v>
      </c>
      <c r="I34" s="82">
        <v>1.77</v>
      </c>
      <c r="J34" s="137">
        <v>9.1</v>
      </c>
      <c r="K34" s="138">
        <f t="shared" si="0"/>
        <v>1.60893</v>
      </c>
      <c r="L34" s="240">
        <v>1.0680000000000001</v>
      </c>
      <c r="M34" s="139">
        <v>0.94672000000000001</v>
      </c>
      <c r="N34" s="271">
        <v>0.95</v>
      </c>
      <c r="O34" s="141">
        <f t="shared" si="1"/>
        <v>0.94799999999999995</v>
      </c>
      <c r="P34" s="142">
        <v>90</v>
      </c>
      <c r="Q34" s="143">
        <v>89.828571428571422</v>
      </c>
      <c r="R34" s="57">
        <v>2331.8150000000001</v>
      </c>
      <c r="S34" s="80">
        <v>180</v>
      </c>
      <c r="U34" s="142">
        <v>130</v>
      </c>
      <c r="V34" s="142">
        <v>1.1023000000000001</v>
      </c>
      <c r="W34" s="137">
        <v>6.5</v>
      </c>
      <c r="X34" s="137">
        <v>7.9</v>
      </c>
      <c r="Y34" s="142">
        <v>30</v>
      </c>
      <c r="Z34" s="143">
        <f t="shared" si="12"/>
        <v>30</v>
      </c>
      <c r="AA34" s="144">
        <f t="shared" si="3"/>
        <v>60</v>
      </c>
      <c r="AB34" s="145">
        <f t="shared" si="4"/>
        <v>1806.2161674834001</v>
      </c>
      <c r="AC34" s="145">
        <f>+(S34-T34)*V34-'data 1'!$F$4</f>
        <v>118.41400000000002</v>
      </c>
      <c r="AD34" s="145">
        <f t="shared" si="5"/>
        <v>-4.4436013720561691</v>
      </c>
      <c r="AE34" s="145">
        <f>+(Y34*V34-'data 1'!$I$21)+V34*(Z34-IF(D34="UNTUCA",IF(+((W34-3)*2.5+(X34-3)*3.1)&gt;0,+((W34-3)*1.5+(X34-3)*3.1),0),IF(+((W34-3)*1.5+(X34-3)*3.1)&gt;0,+((W34-3)*1.5+(X34-3)*3.1),0)))</f>
        <v>18.02590691891892</v>
      </c>
      <c r="AF34" s="145">
        <f t="shared" si="6"/>
        <v>261.62327179296022</v>
      </c>
      <c r="AG34" s="145">
        <f t="shared" si="7"/>
        <v>393.61957733982297</v>
      </c>
      <c r="AH34" s="145">
        <f t="shared" si="8"/>
        <v>52.921477979765108</v>
      </c>
      <c r="AI34" s="137">
        <f t="shared" si="9"/>
        <v>215.46290594439762</v>
      </c>
      <c r="AJ34" s="137">
        <f t="shared" si="10"/>
        <v>47.064891912058435</v>
      </c>
      <c r="AK34" s="88">
        <f t="shared" si="11"/>
        <v>5.8565860677066723</v>
      </c>
      <c r="AL34" s="57"/>
      <c r="AM34" s="57"/>
    </row>
    <row r="35" spans="1:46" ht="15.75" customHeight="1">
      <c r="A35" s="134" t="s">
        <v>535</v>
      </c>
      <c r="B35" s="136">
        <v>45481</v>
      </c>
      <c r="C35" s="136">
        <v>45474</v>
      </c>
      <c r="D35" s="79" t="s">
        <v>85</v>
      </c>
      <c r="E35" s="176"/>
      <c r="F35" s="79" t="s">
        <v>533</v>
      </c>
      <c r="G35" s="90"/>
      <c r="H35" s="90" t="s">
        <v>69</v>
      </c>
      <c r="I35" s="82">
        <v>5.42</v>
      </c>
      <c r="J35" s="137">
        <v>3.4</v>
      </c>
      <c r="K35" s="138">
        <f t="shared" si="0"/>
        <v>5.2357199999999997</v>
      </c>
      <c r="L35" s="240">
        <v>0.191</v>
      </c>
      <c r="M35" s="240">
        <v>0.191</v>
      </c>
      <c r="N35" s="240">
        <v>0.191</v>
      </c>
      <c r="O35" s="141">
        <f t="shared" si="1"/>
        <v>0.191</v>
      </c>
      <c r="P35" s="142">
        <v>90</v>
      </c>
      <c r="Q35" s="143">
        <v>89.905759162303681</v>
      </c>
      <c r="R35" s="57">
        <v>2331.8150000000001</v>
      </c>
      <c r="S35" s="80">
        <v>110</v>
      </c>
      <c r="U35" s="142">
        <v>130</v>
      </c>
      <c r="V35" s="142">
        <v>1.1023000000000001</v>
      </c>
      <c r="W35" s="137">
        <v>6.4</v>
      </c>
      <c r="X35" s="137">
        <v>7.7</v>
      </c>
      <c r="Y35" s="142">
        <v>30</v>
      </c>
      <c r="Z35" s="143">
        <f t="shared" si="12"/>
        <v>30</v>
      </c>
      <c r="AA35" s="144">
        <f t="shared" si="3"/>
        <v>60</v>
      </c>
      <c r="AB35" s="145">
        <f t="shared" si="4"/>
        <v>229.82072994655005</v>
      </c>
      <c r="AC35" s="145">
        <f>+(S35-T35)*V35-'data 1'!$F$4</f>
        <v>41.253</v>
      </c>
      <c r="AD35" s="145">
        <f t="shared" si="5"/>
        <v>-0.43687092140992378</v>
      </c>
      <c r="AE35" s="145">
        <f>+(Y35*V35-'data 1'!$I$21)+V35*(Z35-IF(D35="UNTUCA",IF(+((W35-3)*2.5+(X35-3)*3.1)&gt;0,+((W35-3)*1.5+(X35-3)*3.1),0),IF(+((W35-3)*1.5+(X35-3)*3.1)&gt;0,+((W35-3)*1.5+(X35-3)*3.1),0)))</f>
        <v>18.87467791891892</v>
      </c>
      <c r="AF35" s="145">
        <f t="shared" si="6"/>
        <v>0</v>
      </c>
      <c r="AG35" s="145">
        <f t="shared" si="7"/>
        <v>59.690806997508993</v>
      </c>
      <c r="AH35" s="145">
        <f t="shared" si="8"/>
        <v>30.825232576699197</v>
      </c>
      <c r="AI35" s="137">
        <f t="shared" si="9"/>
        <v>38.566270850219986</v>
      </c>
      <c r="AJ35" s="137">
        <f t="shared" si="10"/>
        <v>30.857544141245004</v>
      </c>
      <c r="AK35" s="88">
        <f t="shared" si="11"/>
        <v>-3.2311564545807414E-2</v>
      </c>
      <c r="AL35" s="57"/>
      <c r="AM35" s="57"/>
    </row>
    <row r="36" spans="1:46" ht="15.75" customHeight="1">
      <c r="A36" s="134" t="s">
        <v>536</v>
      </c>
      <c r="B36" s="136">
        <v>45481</v>
      </c>
      <c r="C36" s="136">
        <v>45474</v>
      </c>
      <c r="D36" s="79" t="s">
        <v>85</v>
      </c>
      <c r="E36" s="176"/>
      <c r="F36" s="79" t="s">
        <v>533</v>
      </c>
      <c r="G36" s="90"/>
      <c r="H36" s="90" t="s">
        <v>69</v>
      </c>
      <c r="I36" s="82">
        <v>20.7</v>
      </c>
      <c r="J36" s="137">
        <v>9.1999999999999993</v>
      </c>
      <c r="K36" s="138">
        <f t="shared" si="0"/>
        <v>18.7956</v>
      </c>
      <c r="L36" s="240">
        <v>0.48099999999999998</v>
      </c>
      <c r="M36" s="139">
        <v>0.39647999999999994</v>
      </c>
      <c r="N36" s="170">
        <v>0.47299999999999998</v>
      </c>
      <c r="O36" s="141">
        <f t="shared" si="1"/>
        <v>0.435</v>
      </c>
      <c r="P36" s="142">
        <v>90</v>
      </c>
      <c r="Q36" s="143">
        <v>89.469854469854468</v>
      </c>
      <c r="R36" s="57">
        <v>2331.8150000000001</v>
      </c>
      <c r="S36" s="80">
        <v>140</v>
      </c>
      <c r="U36" s="142">
        <v>130</v>
      </c>
      <c r="V36" s="142">
        <v>1.1023000000000001</v>
      </c>
      <c r="W36" s="137">
        <v>6.4</v>
      </c>
      <c r="X36" s="137">
        <v>7.8</v>
      </c>
      <c r="Y36" s="142">
        <v>30</v>
      </c>
      <c r="Z36" s="143">
        <f t="shared" si="12"/>
        <v>30</v>
      </c>
      <c r="AA36" s="144">
        <f t="shared" si="3"/>
        <v>60</v>
      </c>
      <c r="AB36" s="145">
        <f t="shared" si="4"/>
        <v>729.73425406675005</v>
      </c>
      <c r="AC36" s="145">
        <f>+(S36-T36)*V36-'data 1'!$F$4</f>
        <v>74.322000000000003</v>
      </c>
      <c r="AD36" s="145">
        <f t="shared" si="5"/>
        <v>-6.1890047199750207</v>
      </c>
      <c r="AE36" s="145">
        <f>+(Y36*V36-'data 1'!$I$21)+V36*(Z36-IF(D36="UNTUCA",IF(+((W36-3)*2.5+(X36-3)*3.1)&gt;0,+((W36-3)*1.5+(X36-3)*3.1),0),IF(+((W36-3)*1.5+(X36-3)*3.1)&gt;0,+((W36-3)*1.5+(X36-3)*3.1),0)))</f>
        <v>18.532964918918921</v>
      </c>
      <c r="AF36" s="145">
        <f t="shared" si="6"/>
        <v>99.888432055030023</v>
      </c>
      <c r="AG36" s="145">
        <f t="shared" si="7"/>
        <v>186.55439225397393</v>
      </c>
      <c r="AH36" s="145">
        <f t="shared" si="8"/>
        <v>277.32375409588082</v>
      </c>
      <c r="AI36" s="137">
        <f t="shared" si="9"/>
        <v>96.651494644724949</v>
      </c>
      <c r="AJ36" s="137">
        <f t="shared" si="10"/>
        <v>252.28825311615509</v>
      </c>
      <c r="AK36" s="88">
        <f t="shared" si="11"/>
        <v>25.035500979725725</v>
      </c>
      <c r="AL36" s="57"/>
      <c r="AM36" s="57"/>
    </row>
    <row r="37" spans="1:46" ht="15.75" customHeight="1">
      <c r="A37" s="134" t="s">
        <v>537</v>
      </c>
      <c r="B37" s="136">
        <v>45481</v>
      </c>
      <c r="C37" s="136">
        <v>45474</v>
      </c>
      <c r="D37" s="79" t="s">
        <v>129</v>
      </c>
      <c r="E37" s="176"/>
      <c r="F37" s="79" t="s">
        <v>538</v>
      </c>
      <c r="G37" s="90"/>
      <c r="H37" s="90" t="s">
        <v>69</v>
      </c>
      <c r="I37" s="82">
        <v>3.69</v>
      </c>
      <c r="J37" s="137">
        <v>0.75</v>
      </c>
      <c r="K37" s="138">
        <f t="shared" si="0"/>
        <v>3.6623250000000001</v>
      </c>
      <c r="L37" s="240">
        <v>0.245</v>
      </c>
      <c r="M37" s="139">
        <v>0.23274999999999998</v>
      </c>
      <c r="N37" s="170">
        <v>0.28999999999999998</v>
      </c>
      <c r="O37" s="141">
        <f t="shared" si="1"/>
        <v>0.26100000000000001</v>
      </c>
      <c r="P37" s="79">
        <v>90</v>
      </c>
      <c r="Q37" s="143">
        <v>90.428571428571416</v>
      </c>
      <c r="R37" s="57">
        <v>2331.8150000000001</v>
      </c>
      <c r="S37" s="80">
        <v>110</v>
      </c>
      <c r="U37" s="142">
        <v>100</v>
      </c>
      <c r="V37" s="142">
        <v>1.1023000000000001</v>
      </c>
      <c r="W37" s="137">
        <v>6.1</v>
      </c>
      <c r="X37" s="137">
        <v>10.85</v>
      </c>
      <c r="Y37" s="142"/>
      <c r="Z37" s="143">
        <f t="shared" si="12"/>
        <v>30</v>
      </c>
      <c r="AA37" s="144">
        <f t="shared" si="3"/>
        <v>30</v>
      </c>
      <c r="AB37" s="145">
        <f t="shared" si="4"/>
        <v>423.56246054005004</v>
      </c>
      <c r="AC37" s="145">
        <f>+(S37-T37)*V37-'data 1'!$F$4</f>
        <v>41.253</v>
      </c>
      <c r="AD37" s="145">
        <f t="shared" si="5"/>
        <v>2.583136158224927</v>
      </c>
      <c r="AE37" s="145">
        <f>+(Y37*V37-'data 1'!$I$21)+V37*(Z37-IF(D37="UNTUCA",IF(+((W37-3)*2.5+(X37-3)*3.1)&gt;0,+((W37-3)*1.5+(X37-3)*3.1),0),IF(+((W37-3)*1.5+(X37-3)*3.1)&gt;0,+((W37-3)*1.5+(X37-3)*3.1),0)))+25.58</f>
        <v>1.1177534189189196</v>
      </c>
      <c r="AF37" s="145">
        <f t="shared" si="6"/>
        <v>-35.594561919051458</v>
      </c>
      <c r="AG37" s="145">
        <f t="shared" si="7"/>
        <v>9.3593276580923828</v>
      </c>
      <c r="AH37" s="145">
        <f t="shared" si="8"/>
        <v>27.818755996222407</v>
      </c>
      <c r="AI37" s="137">
        <f t="shared" si="9"/>
        <v>42.431059595924971</v>
      </c>
      <c r="AJ37" s="137">
        <f t="shared" si="10"/>
        <v>29.495038517321806</v>
      </c>
      <c r="AK37" s="88">
        <f t="shared" si="11"/>
        <v>-1.6762825210993988</v>
      </c>
      <c r="AL37" s="57"/>
      <c r="AM37" s="57"/>
    </row>
    <row r="38" spans="1:46" ht="15.75" customHeight="1">
      <c r="A38" s="134" t="s">
        <v>539</v>
      </c>
      <c r="B38" s="259">
        <v>45481</v>
      </c>
      <c r="C38" s="259">
        <v>45474</v>
      </c>
      <c r="D38" s="260" t="s">
        <v>129</v>
      </c>
      <c r="E38" s="261"/>
      <c r="F38" s="260" t="s">
        <v>538</v>
      </c>
      <c r="G38" s="262"/>
      <c r="H38" s="262" t="s">
        <v>69</v>
      </c>
      <c r="I38" s="263">
        <v>1.78</v>
      </c>
      <c r="J38" s="264">
        <v>2.4500000000000002</v>
      </c>
      <c r="K38" s="263">
        <f t="shared" si="0"/>
        <v>1.7363900000000001</v>
      </c>
      <c r="L38" s="265">
        <v>5.4000000000000006E-2</v>
      </c>
      <c r="M38" s="272">
        <v>5.4000000000000006E-2</v>
      </c>
      <c r="N38" s="273">
        <v>5.4000000000000006E-2</v>
      </c>
      <c r="O38" s="274">
        <f t="shared" si="1"/>
        <v>5.3999999999999999E-2</v>
      </c>
      <c r="P38" s="267">
        <v>85.16</v>
      </c>
      <c r="Q38" s="264">
        <v>85.16</v>
      </c>
      <c r="R38" s="268">
        <v>2331.8150000000001</v>
      </c>
      <c r="S38" s="169">
        <v>80</v>
      </c>
      <c r="T38" s="260"/>
      <c r="U38" s="260">
        <v>130</v>
      </c>
      <c r="V38" s="260">
        <v>1.1023000000000001</v>
      </c>
      <c r="W38" s="264">
        <v>6</v>
      </c>
      <c r="X38" s="264">
        <v>6.65</v>
      </c>
      <c r="Y38" s="260">
        <v>30</v>
      </c>
      <c r="Z38" s="264">
        <f t="shared" si="12"/>
        <v>30</v>
      </c>
      <c r="AA38" s="268">
        <f t="shared" si="3"/>
        <v>60</v>
      </c>
      <c r="AB38" s="269">
        <f t="shared" si="4"/>
        <v>-42.710216998173202</v>
      </c>
      <c r="AC38" s="269">
        <f>+(S38-T38)*V38-'data 1'!$F$4</f>
        <v>8.1839999999999975</v>
      </c>
      <c r="AD38" s="269">
        <f t="shared" si="5"/>
        <v>0</v>
      </c>
      <c r="AE38" s="269">
        <f>+(Y38*V38-'data 1'!$I$21)+V38*(Z38-IF(D38="UNTUCA",IF(+((W38-3)*2.5+(X38-3)*3.1)&gt;0,+((W38-3)*1.5+(X38-3)*3.1),0),IF(+((W38-3)*1.5+(X38-3)*3.1)&gt;0,+((W38-3)*1.5+(X38-3)*3.1),0)))</f>
        <v>23.12404441891892</v>
      </c>
      <c r="AF38" s="269">
        <f t="shared" si="6"/>
        <v>1.4341894827325787E-14</v>
      </c>
      <c r="AG38" s="269">
        <f t="shared" si="7"/>
        <v>31.308044418918932</v>
      </c>
      <c r="AH38" s="269">
        <f t="shared" si="8"/>
        <v>2.7376993818350144</v>
      </c>
      <c r="AI38" s="264">
        <f t="shared" si="9"/>
        <v>10.327998822656395</v>
      </c>
      <c r="AJ38" s="264">
        <f t="shared" si="10"/>
        <v>2.7376993818350139</v>
      </c>
      <c r="AK38" s="270">
        <f t="shared" si="11"/>
        <v>0</v>
      </c>
      <c r="AL38" s="268"/>
      <c r="AM38" s="268"/>
      <c r="AN38" s="260"/>
      <c r="AO38" s="260"/>
      <c r="AP38" s="260"/>
      <c r="AQ38" s="260"/>
      <c r="AR38" s="260"/>
      <c r="AS38" s="260"/>
      <c r="AT38" s="260"/>
    </row>
    <row r="39" spans="1:46" ht="15.75" customHeight="1">
      <c r="A39" s="134" t="s">
        <v>540</v>
      </c>
      <c r="B39" s="135">
        <v>45479</v>
      </c>
      <c r="C39" s="135">
        <v>45477</v>
      </c>
      <c r="D39" s="142" t="s">
        <v>541</v>
      </c>
      <c r="E39" s="176"/>
      <c r="F39" s="142" t="s">
        <v>542</v>
      </c>
      <c r="G39" s="177"/>
      <c r="H39" s="177" t="s">
        <v>69</v>
      </c>
      <c r="I39" s="138">
        <v>15.31</v>
      </c>
      <c r="J39" s="143">
        <v>8.65</v>
      </c>
      <c r="K39" s="138">
        <f t="shared" si="0"/>
        <v>13.985685</v>
      </c>
      <c r="L39" s="170">
        <v>0.20300000000000001</v>
      </c>
      <c r="M39" s="141">
        <v>0.18</v>
      </c>
      <c r="N39" s="178">
        <v>0.22600000000000001</v>
      </c>
      <c r="O39" s="141">
        <f t="shared" si="1"/>
        <v>0.20300000000000001</v>
      </c>
      <c r="P39" s="142">
        <v>90</v>
      </c>
      <c r="Q39" s="143">
        <v>90.682666666666663</v>
      </c>
      <c r="R39" s="144">
        <v>2355.6</v>
      </c>
      <c r="S39" s="132">
        <v>110</v>
      </c>
      <c r="T39" s="142"/>
      <c r="U39" s="142">
        <v>130</v>
      </c>
      <c r="V39" s="142">
        <v>1.1023000000000001</v>
      </c>
      <c r="W39" s="143">
        <v>6</v>
      </c>
      <c r="X39" s="143">
        <v>7.1</v>
      </c>
      <c r="Y39" s="142">
        <v>33</v>
      </c>
      <c r="Z39" s="143">
        <f t="shared" si="12"/>
        <v>30</v>
      </c>
      <c r="AA39" s="144">
        <f t="shared" si="3"/>
        <v>63</v>
      </c>
      <c r="AB39" s="145">
        <f t="shared" si="4"/>
        <v>257.51615137600004</v>
      </c>
      <c r="AC39" s="145">
        <f>+(S39-T39)*V39-'data 1'!$F$4</f>
        <v>41.253</v>
      </c>
      <c r="AD39" s="145">
        <f t="shared" si="5"/>
        <v>3.3997865822890456</v>
      </c>
      <c r="AE39" s="145">
        <f>+(Y39*V39-'data 1'!$I$21)+V39*(Z39-IF(D39="UNTUCA",IF(+((W39-3)*2.5+(X39-3)*3.1)&gt;0,+((W39-3)*1.5+(X39-3)*3.1),0),IF(+((W39-3)*1.5+(X39-3)*3.1)&gt;0,+((W39-3)*1.5+(X39-3)*3.1),0)))</f>
        <v>24.893235918918919</v>
      </c>
      <c r="AF39" s="145">
        <f t="shared" si="6"/>
        <v>0</v>
      </c>
      <c r="AG39" s="145">
        <f t="shared" si="7"/>
        <v>69.546022501207972</v>
      </c>
      <c r="AH39" s="145">
        <f t="shared" si="8"/>
        <v>88.270001167373337</v>
      </c>
      <c r="AI39" s="143">
        <f t="shared" si="9"/>
        <v>36.517085855038516</v>
      </c>
      <c r="AJ39" s="143">
        <f t="shared" si="10"/>
        <v>87.605497247510755</v>
      </c>
      <c r="AK39" s="133">
        <f t="shared" si="11"/>
        <v>0.66450391986258239</v>
      </c>
      <c r="AL39" s="144"/>
      <c r="AM39" s="144"/>
      <c r="AN39" s="142"/>
      <c r="AO39" s="142"/>
      <c r="AP39" s="142"/>
      <c r="AQ39" s="142"/>
      <c r="AR39" s="142"/>
      <c r="AS39" s="142"/>
      <c r="AT39" s="142"/>
    </row>
    <row r="40" spans="1:46" ht="15.75" customHeight="1">
      <c r="A40" s="134" t="s">
        <v>543</v>
      </c>
      <c r="B40" s="135">
        <v>45479</v>
      </c>
      <c r="C40" s="135">
        <v>45477</v>
      </c>
      <c r="D40" s="142" t="s">
        <v>541</v>
      </c>
      <c r="E40" s="176"/>
      <c r="F40" s="142" t="s">
        <v>542</v>
      </c>
      <c r="G40" s="177"/>
      <c r="H40" s="177" t="s">
        <v>69</v>
      </c>
      <c r="I40" s="138">
        <v>32.19</v>
      </c>
      <c r="J40" s="143">
        <v>7.65</v>
      </c>
      <c r="K40" s="138">
        <f t="shared" si="0"/>
        <v>29.727464999999999</v>
      </c>
      <c r="L40" s="170">
        <v>0.14400000000000002</v>
      </c>
      <c r="M40" s="141">
        <v>0.13062499999999999</v>
      </c>
      <c r="N40" s="178">
        <v>0.189</v>
      </c>
      <c r="O40" s="141">
        <f t="shared" si="1"/>
        <v>0.16</v>
      </c>
      <c r="P40" s="142">
        <v>90</v>
      </c>
      <c r="Q40" s="143">
        <v>89.770909090909086</v>
      </c>
      <c r="R40" s="144">
        <v>2355.6</v>
      </c>
      <c r="S40" s="132">
        <v>110</v>
      </c>
      <c r="T40" s="142"/>
      <c r="U40" s="142">
        <v>130</v>
      </c>
      <c r="V40" s="142">
        <v>1.1023000000000001</v>
      </c>
      <c r="W40" s="143">
        <v>6</v>
      </c>
      <c r="X40" s="143">
        <v>7.5</v>
      </c>
      <c r="Y40" s="142">
        <v>34</v>
      </c>
      <c r="Z40" s="143">
        <f t="shared" si="12"/>
        <v>30</v>
      </c>
      <c r="AA40" s="144">
        <f t="shared" si="3"/>
        <v>64</v>
      </c>
      <c r="AB40" s="145">
        <f t="shared" si="4"/>
        <v>161.47195872</v>
      </c>
      <c r="AC40" s="145">
        <f>+(S40-T40)*V40-'data 1'!$F$4</f>
        <v>41.253</v>
      </c>
      <c r="AD40" s="145">
        <f t="shared" si="5"/>
        <v>-0.80931439997674426</v>
      </c>
      <c r="AE40" s="145">
        <f>+(Y40*V40-'data 1'!$I$21)+V40*(Z40-IF(D40="UNTUCA",IF(+((W40-3)*2.5+(X40-3)*3.1)&gt;0,+((W40-3)*1.5+(X40-3)*3.1),0),IF(+((W40-3)*1.5+(X40-3)*3.1)&gt;0,+((W40-3)*1.5+(X40-3)*3.1),0)))</f>
        <v>24.628683918918917</v>
      </c>
      <c r="AF40" s="145">
        <f t="shared" si="6"/>
        <v>-35.237292049780336</v>
      </c>
      <c r="AG40" s="145">
        <f t="shared" si="7"/>
        <v>29.835077469161831</v>
      </c>
      <c r="AH40" s="145">
        <f t="shared" si="8"/>
        <v>131.75437981071019</v>
      </c>
      <c r="AI40" s="143">
        <f t="shared" si="9"/>
        <v>25.643299647513604</v>
      </c>
      <c r="AJ40" s="143">
        <f t="shared" si="10"/>
        <v>146.76734495056223</v>
      </c>
      <c r="AK40" s="133">
        <f t="shared" si="11"/>
        <v>-15.012965139852042</v>
      </c>
      <c r="AL40" s="144"/>
      <c r="AM40" s="144"/>
      <c r="AN40" s="142"/>
      <c r="AO40" s="142"/>
      <c r="AP40" s="142"/>
      <c r="AQ40" s="142"/>
      <c r="AR40" s="142"/>
      <c r="AS40" s="142"/>
      <c r="AT40" s="142"/>
    </row>
    <row r="41" spans="1:46" ht="15.75" customHeight="1">
      <c r="A41" s="134" t="s">
        <v>544</v>
      </c>
      <c r="B41" s="135">
        <v>45479</v>
      </c>
      <c r="C41" s="135">
        <v>45477</v>
      </c>
      <c r="D41" s="142" t="s">
        <v>541</v>
      </c>
      <c r="E41" s="176"/>
      <c r="F41" s="142" t="s">
        <v>542</v>
      </c>
      <c r="G41" s="177"/>
      <c r="H41" s="177" t="s">
        <v>69</v>
      </c>
      <c r="I41" s="138">
        <v>1.22</v>
      </c>
      <c r="J41" s="143">
        <v>7.22</v>
      </c>
      <c r="K41" s="138">
        <f t="shared" si="0"/>
        <v>1.1319159999999999</v>
      </c>
      <c r="L41" s="170">
        <v>0.42699999999999999</v>
      </c>
      <c r="M41" s="141">
        <v>0.38429999999999997</v>
      </c>
      <c r="N41" s="178">
        <v>0.41699999999999998</v>
      </c>
      <c r="O41" s="141">
        <f t="shared" si="1"/>
        <v>0.40100000000000002</v>
      </c>
      <c r="P41" s="142">
        <v>90</v>
      </c>
      <c r="Q41" s="143">
        <v>89.733021077283368</v>
      </c>
      <c r="R41" s="144">
        <v>2355.6</v>
      </c>
      <c r="S41" s="132">
        <v>130</v>
      </c>
      <c r="T41" s="142"/>
      <c r="U41" s="142">
        <v>130</v>
      </c>
      <c r="V41" s="142">
        <v>1.1023000000000001</v>
      </c>
      <c r="W41" s="143">
        <v>6</v>
      </c>
      <c r="X41" s="143">
        <v>7.4</v>
      </c>
      <c r="Y41" s="142">
        <v>35</v>
      </c>
      <c r="Z41" s="143">
        <f t="shared" si="12"/>
        <v>30</v>
      </c>
      <c r="AA41" s="144">
        <f t="shared" si="3"/>
        <v>65</v>
      </c>
      <c r="AB41" s="145">
        <f t="shared" si="4"/>
        <v>670.43984779200014</v>
      </c>
      <c r="AC41" s="145">
        <f>+(S41-T41)*V41-'data 1'!$F$4</f>
        <v>63.299000000000007</v>
      </c>
      <c r="AD41" s="145">
        <f t="shared" si="5"/>
        <v>-2.7967379232000451</v>
      </c>
      <c r="AE41" s="145">
        <f>+(Y41*V41-'data 1'!$I$21)+V41*(Z41-IF(D41="UNTUCA",IF(+((W41-3)*2.5+(X41-3)*3.1)&gt;0,+((W41-3)*1.5+(X41-3)*3.1),0),IF(+((W41-3)*1.5+(X41-3)*3.1)&gt;0,+((W41-3)*1.5+(X41-3)*3.1),0)))</f>
        <v>26.072696918918922</v>
      </c>
      <c r="AF41" s="145">
        <f t="shared" si="6"/>
        <v>57.236432616348395</v>
      </c>
      <c r="AG41" s="145">
        <f t="shared" si="7"/>
        <v>143.81139161206727</v>
      </c>
      <c r="AH41" s="145">
        <f t="shared" si="8"/>
        <v>14.869741980589456</v>
      </c>
      <c r="AI41" s="143">
        <f t="shared" si="9"/>
        <v>76.007413949280021</v>
      </c>
      <c r="AJ41" s="143">
        <f t="shared" si="10"/>
        <v>14.005871909371372</v>
      </c>
      <c r="AK41" s="133">
        <f t="shared" si="11"/>
        <v>0.86387007121808423</v>
      </c>
      <c r="AL41" s="144"/>
      <c r="AM41" s="144"/>
      <c r="AN41" s="142"/>
      <c r="AO41" s="142"/>
      <c r="AP41" s="142"/>
      <c r="AQ41" s="142"/>
      <c r="AR41" s="142"/>
      <c r="AS41" s="142"/>
      <c r="AT41" s="142"/>
    </row>
    <row r="42" spans="1:46" ht="15.75" customHeight="1">
      <c r="A42" s="134" t="s">
        <v>545</v>
      </c>
      <c r="B42" s="135">
        <v>45479</v>
      </c>
      <c r="C42" s="135">
        <v>45477</v>
      </c>
      <c r="D42" s="142" t="s">
        <v>541</v>
      </c>
      <c r="E42" s="176"/>
      <c r="F42" s="142" t="s">
        <v>542</v>
      </c>
      <c r="G42" s="177"/>
      <c r="H42" s="177" t="s">
        <v>69</v>
      </c>
      <c r="I42" s="138">
        <v>13.41</v>
      </c>
      <c r="J42" s="143">
        <v>7.77</v>
      </c>
      <c r="K42" s="138">
        <f t="shared" si="0"/>
        <v>12.368043</v>
      </c>
      <c r="L42" s="170">
        <v>0.16300000000000001</v>
      </c>
      <c r="M42" s="141">
        <v>0.15215999999999999</v>
      </c>
      <c r="N42" s="178">
        <v>0.17199999999999999</v>
      </c>
      <c r="O42" s="141">
        <f t="shared" si="1"/>
        <v>0.16200000000000001</v>
      </c>
      <c r="P42" s="142">
        <v>90</v>
      </c>
      <c r="Q42" s="143">
        <v>89.274447949526817</v>
      </c>
      <c r="R42" s="144">
        <v>2355.6</v>
      </c>
      <c r="S42" s="132">
        <v>110</v>
      </c>
      <c r="T42" s="142"/>
      <c r="U42" s="142">
        <v>130</v>
      </c>
      <c r="V42" s="142">
        <v>1.1023000000000001</v>
      </c>
      <c r="W42" s="143">
        <v>6</v>
      </c>
      <c r="X42" s="143">
        <v>7.1</v>
      </c>
      <c r="Y42" s="142">
        <v>36</v>
      </c>
      <c r="Z42" s="143">
        <f t="shared" si="12"/>
        <v>30</v>
      </c>
      <c r="AA42" s="144">
        <f t="shared" si="3"/>
        <v>66</v>
      </c>
      <c r="AB42" s="145">
        <f t="shared" si="4"/>
        <v>163.68326070400002</v>
      </c>
      <c r="AC42" s="145">
        <f>+(S42-T42)*V42-'data 1'!$F$4</f>
        <v>41.253</v>
      </c>
      <c r="AD42" s="145">
        <f t="shared" si="5"/>
        <v>-2.9013698804794843</v>
      </c>
      <c r="AE42" s="145">
        <f>+(Y42*V42-'data 1'!$I$21)+V42*(Z42-IF(D42="UNTUCA",IF(+((W42-3)*2.5+(X42-3)*3.1)&gt;0,+((W42-3)*1.5+(X42-3)*3.1),0),IF(+((W42-3)*1.5+(X42-3)*3.1)&gt;0,+((W42-3)*1.5+(X42-3)*3.1),0)))</f>
        <v>28.200135918918917</v>
      </c>
      <c r="AF42" s="145">
        <f t="shared" si="6"/>
        <v>2.1901511767823361</v>
      </c>
      <c r="AG42" s="145">
        <f t="shared" si="7"/>
        <v>68.741917215221775</v>
      </c>
      <c r="AH42" s="145">
        <f t="shared" si="8"/>
        <v>61.705636075179562</v>
      </c>
      <c r="AI42" s="143">
        <f t="shared" si="9"/>
        <v>28.866263363192441</v>
      </c>
      <c r="AJ42" s="143">
        <f t="shared" si="10"/>
        <v>61.825491805681764</v>
      </c>
      <c r="AK42" s="133">
        <f t="shared" si="11"/>
        <v>-0.11985573050220211</v>
      </c>
      <c r="AL42" s="144"/>
      <c r="AM42" s="144"/>
      <c r="AN42" s="142"/>
      <c r="AO42" s="142"/>
      <c r="AP42" s="142"/>
      <c r="AQ42" s="142"/>
      <c r="AR42" s="142"/>
      <c r="AS42" s="142"/>
      <c r="AT42" s="142"/>
    </row>
    <row r="43" spans="1:46" ht="15.75" customHeight="1">
      <c r="A43" s="134" t="s">
        <v>546</v>
      </c>
      <c r="B43" s="136">
        <v>45481</v>
      </c>
      <c r="C43" s="136">
        <v>45477</v>
      </c>
      <c r="D43" s="79" t="s">
        <v>85</v>
      </c>
      <c r="E43" s="176"/>
      <c r="F43" s="163" t="s">
        <v>212</v>
      </c>
      <c r="G43" s="90"/>
      <c r="H43" s="90" t="s">
        <v>69</v>
      </c>
      <c r="I43" s="82">
        <v>52.75</v>
      </c>
      <c r="J43" s="137">
        <v>5.55</v>
      </c>
      <c r="K43" s="138">
        <f t="shared" si="0"/>
        <v>49.822375000000001</v>
      </c>
      <c r="L43" s="240">
        <v>0.32900000000000001</v>
      </c>
      <c r="M43" s="139">
        <v>0.30925999999999998</v>
      </c>
      <c r="N43" s="248">
        <v>0.34300000000000003</v>
      </c>
      <c r="O43" s="141">
        <f t="shared" si="1"/>
        <v>0.32600000000000001</v>
      </c>
      <c r="P43" s="163">
        <v>90</v>
      </c>
      <c r="Q43" s="143">
        <v>89.6</v>
      </c>
      <c r="R43" s="57">
        <v>2329.4850000000001</v>
      </c>
      <c r="S43" s="80">
        <v>120</v>
      </c>
      <c r="U43" s="142">
        <v>130</v>
      </c>
      <c r="V43" s="142">
        <v>1.1023000000000001</v>
      </c>
      <c r="W43" s="137">
        <v>6.3</v>
      </c>
      <c r="X43" s="137">
        <v>7.9</v>
      </c>
      <c r="Y43" s="142">
        <v>30</v>
      </c>
      <c r="Z43" s="143">
        <f t="shared" si="12"/>
        <v>30</v>
      </c>
      <c r="AA43" s="144">
        <f t="shared" si="3"/>
        <v>60</v>
      </c>
      <c r="AB43" s="145">
        <f t="shared" si="4"/>
        <v>512.93204536769997</v>
      </c>
      <c r="AC43" s="145">
        <f>+(S43-T43)*V43-'data 1'!$F$4</f>
        <v>52.27600000000001</v>
      </c>
      <c r="AD43" s="145">
        <f t="shared" si="5"/>
        <v>-3.1906318871980459</v>
      </c>
      <c r="AE43" s="145">
        <f>+(Y43*V43-'data 1'!$I$21)+V43*(Z43-IF(D43="UNTUCA",IF(+((W43-3)*2.5+(X43-3)*3.1)&gt;0,+((W43-3)*1.5+(X43-3)*3.1),0),IF(+((W43-3)*1.5+(X43-3)*3.1)&gt;0,+((W43-3)*1.5+(X43-3)*3.1),0)))</f>
        <v>18.356596918918921</v>
      </c>
      <c r="AF43" s="145">
        <f t="shared" si="6"/>
        <v>6.5170353440640056</v>
      </c>
      <c r="AG43" s="145">
        <f t="shared" si="7"/>
        <v>73.959000375784882</v>
      </c>
      <c r="AH43" s="145">
        <f t="shared" si="8"/>
        <v>503.54397406859084</v>
      </c>
      <c r="AI43" s="137">
        <f t="shared" si="9"/>
        <v>66.962093589439945</v>
      </c>
      <c r="AJ43" s="137">
        <f t="shared" si="10"/>
        <v>501.17985369533142</v>
      </c>
      <c r="AK43" s="88">
        <f t="shared" si="11"/>
        <v>2.3641203732594249</v>
      </c>
      <c r="AL43" s="57"/>
      <c r="AM43" s="57">
        <v>347</v>
      </c>
    </row>
    <row r="44" spans="1:46" ht="15.75" customHeight="1">
      <c r="A44" s="134" t="s">
        <v>547</v>
      </c>
      <c r="B44" s="136">
        <v>45481</v>
      </c>
      <c r="C44" s="136">
        <v>45477</v>
      </c>
      <c r="D44" s="79" t="s">
        <v>85</v>
      </c>
      <c r="E44" s="176"/>
      <c r="F44" s="163" t="s">
        <v>212</v>
      </c>
      <c r="G44" s="90"/>
      <c r="H44" s="90" t="s">
        <v>69</v>
      </c>
      <c r="I44" s="82">
        <v>4.7699999999999996</v>
      </c>
      <c r="J44" s="137">
        <v>5.68</v>
      </c>
      <c r="K44" s="138">
        <f t="shared" si="0"/>
        <v>4.4990639999999997</v>
      </c>
      <c r="L44" s="240">
        <v>0.154</v>
      </c>
      <c r="M44" s="139">
        <v>0.14784</v>
      </c>
      <c r="N44" s="247">
        <v>0.14784</v>
      </c>
      <c r="O44" s="141">
        <f t="shared" si="1"/>
        <v>0.14799999999999999</v>
      </c>
      <c r="P44" s="163">
        <v>90</v>
      </c>
      <c r="Q44" s="143">
        <v>90.25</v>
      </c>
      <c r="R44" s="57">
        <v>2329.4850000000001</v>
      </c>
      <c r="S44" s="80">
        <v>110</v>
      </c>
      <c r="U44" s="142">
        <v>130</v>
      </c>
      <c r="V44" s="142">
        <v>1.1023000000000001</v>
      </c>
      <c r="W44" s="137">
        <v>6.1</v>
      </c>
      <c r="X44" s="137">
        <v>6.9</v>
      </c>
      <c r="Y44" s="142">
        <v>30</v>
      </c>
      <c r="Z44" s="143">
        <f t="shared" si="12"/>
        <v>30</v>
      </c>
      <c r="AA44" s="144">
        <f t="shared" si="3"/>
        <v>60</v>
      </c>
      <c r="AB44" s="145">
        <f t="shared" si="4"/>
        <v>135.55137642459997</v>
      </c>
      <c r="AC44" s="145">
        <f>+(S44-T44)*V44-'data 1'!$F$4</f>
        <v>41.253</v>
      </c>
      <c r="AD44" s="145">
        <f t="shared" si="5"/>
        <v>0.93342954146750001</v>
      </c>
      <c r="AE44" s="145">
        <f>+(Y44*V44-'data 1'!$I$21)+V44*(Z44-IF(D44="UNTUCA",IF(+((W44-3)*2.5+(X44-3)*3.1)&gt;0,+((W44-3)*1.5+(X44-3)*3.1),0),IF(+((W44-3)*1.5+(X44-3)*3.1)&gt;0,+((W44-3)*1.5+(X44-3)*3.1),0)))</f>
        <v>22.104416918918922</v>
      </c>
      <c r="AF44" s="145">
        <f t="shared" si="6"/>
        <v>13.128625888432515</v>
      </c>
      <c r="AG44" s="145">
        <f t="shared" si="7"/>
        <v>77.419472348818928</v>
      </c>
      <c r="AH44" s="145">
        <f t="shared" si="8"/>
        <v>21.438735776821613</v>
      </c>
      <c r="AI44" s="137">
        <f t="shared" si="9"/>
        <v>31.57134233041247</v>
      </c>
      <c r="AJ44" s="137">
        <f t="shared" si="10"/>
        <v>20.546387059557787</v>
      </c>
      <c r="AK44" s="88">
        <f t="shared" si="11"/>
        <v>0.89234871726382536</v>
      </c>
      <c r="AL44" s="57"/>
      <c r="AM44" s="57">
        <v>166</v>
      </c>
    </row>
    <row r="45" spans="1:46" ht="15.75" customHeight="1">
      <c r="B45" s="136"/>
      <c r="C45" s="135"/>
      <c r="E45" s="176"/>
      <c r="G45" s="90"/>
      <c r="H45" s="90"/>
      <c r="I45" s="82"/>
      <c r="J45" s="137"/>
      <c r="K45" s="82"/>
      <c r="L45" s="240"/>
      <c r="M45" s="80"/>
      <c r="N45" s="271"/>
      <c r="O45" s="139"/>
      <c r="Q45" s="142"/>
      <c r="R45" s="57"/>
      <c r="S45" s="80"/>
      <c r="U45" s="142"/>
      <c r="V45" s="142"/>
      <c r="Z45" s="143"/>
      <c r="AA45" s="144"/>
      <c r="AB45" s="145"/>
      <c r="AC45" s="145"/>
      <c r="AD45" s="145"/>
      <c r="AE45" s="145"/>
      <c r="AF45" s="145"/>
      <c r="AG45" s="145"/>
      <c r="AH45" s="145"/>
      <c r="AK45" s="88"/>
      <c r="AL45" s="57"/>
      <c r="AM45" s="57">
        <v>80</v>
      </c>
    </row>
    <row r="46" spans="1:46" ht="15.75" customHeight="1">
      <c r="B46" s="136"/>
      <c r="C46" s="135"/>
      <c r="E46" s="176"/>
      <c r="G46" s="90"/>
      <c r="H46" s="90"/>
      <c r="I46" s="82"/>
      <c r="J46" s="137"/>
      <c r="K46" s="82"/>
      <c r="L46" s="240"/>
      <c r="M46" s="80"/>
      <c r="N46" s="271"/>
      <c r="O46" s="139"/>
      <c r="Q46" s="142"/>
      <c r="R46" s="57"/>
      <c r="S46" s="80"/>
      <c r="U46" s="142"/>
      <c r="V46" s="142"/>
      <c r="Z46" s="143"/>
      <c r="AA46" s="144"/>
      <c r="AB46" s="145"/>
      <c r="AC46" s="145"/>
      <c r="AD46" s="145"/>
      <c r="AE46" s="145"/>
      <c r="AF46" s="145"/>
      <c r="AG46" s="145"/>
      <c r="AH46" s="145"/>
      <c r="AK46" s="88"/>
      <c r="AL46" s="57"/>
      <c r="AM46" s="57">
        <f>SUM(AM43:AM45)</f>
        <v>593</v>
      </c>
    </row>
    <row r="47" spans="1:46" ht="15.75" customHeight="1">
      <c r="B47" s="136"/>
      <c r="C47" s="135"/>
      <c r="E47" s="176"/>
      <c r="G47" s="90"/>
      <c r="H47" s="90"/>
      <c r="I47" s="82"/>
      <c r="J47" s="137"/>
      <c r="K47" s="82"/>
      <c r="L47" s="240"/>
      <c r="M47" s="80"/>
      <c r="N47" s="271"/>
      <c r="O47" s="139"/>
      <c r="Q47" s="142"/>
      <c r="R47" s="57"/>
      <c r="S47" s="80"/>
      <c r="U47" s="142"/>
      <c r="V47" s="142"/>
      <c r="Z47" s="143"/>
      <c r="AA47" s="144"/>
      <c r="AB47" s="145"/>
      <c r="AC47" s="145"/>
      <c r="AD47" s="145"/>
      <c r="AE47" s="145"/>
      <c r="AF47" s="145"/>
      <c r="AG47" s="145"/>
      <c r="AH47" s="145"/>
      <c r="AI47" s="275">
        <v>4507.9799999999996</v>
      </c>
      <c r="AJ47" s="276">
        <f>+AI47/31.1034768</f>
        <v>144.93492251644355</v>
      </c>
      <c r="AK47" s="277"/>
      <c r="AL47" s="57"/>
      <c r="AM47" s="57"/>
    </row>
    <row r="48" spans="1:46" ht="15.75" customHeight="1">
      <c r="B48" s="136"/>
      <c r="C48" s="135"/>
      <c r="E48" s="176"/>
      <c r="G48" s="90"/>
      <c r="H48" s="90"/>
      <c r="I48" s="82"/>
      <c r="J48" s="137"/>
      <c r="K48" s="82"/>
      <c r="L48" s="240"/>
      <c r="M48" s="80"/>
      <c r="N48" s="271"/>
      <c r="O48" s="139"/>
      <c r="Q48" s="142"/>
      <c r="R48" s="57"/>
      <c r="S48" s="80"/>
      <c r="U48" s="142"/>
      <c r="V48" s="142"/>
      <c r="Z48" s="143"/>
      <c r="AA48" s="144"/>
      <c r="AB48" s="145"/>
      <c r="AC48" s="145"/>
      <c r="AD48" s="145"/>
      <c r="AE48" s="145"/>
      <c r="AF48" s="145"/>
      <c r="AG48" s="145"/>
      <c r="AH48" s="145"/>
      <c r="AI48" s="278"/>
      <c r="AJ48" s="6"/>
      <c r="AK48" s="279"/>
      <c r="AL48" s="57"/>
      <c r="AM48" s="57"/>
    </row>
    <row r="49" spans="2:39" ht="15.75" customHeight="1">
      <c r="B49" s="136"/>
      <c r="C49" s="135"/>
      <c r="E49" s="176"/>
      <c r="G49" s="90"/>
      <c r="H49" s="90"/>
      <c r="I49" s="82"/>
      <c r="J49" s="137"/>
      <c r="K49" s="82"/>
      <c r="L49" s="240"/>
      <c r="M49" s="80"/>
      <c r="N49" s="271"/>
      <c r="O49" s="139"/>
      <c r="Q49" s="142"/>
      <c r="R49" s="57"/>
      <c r="S49" s="80"/>
      <c r="U49" s="142"/>
      <c r="V49" s="142"/>
      <c r="Z49" s="143"/>
      <c r="AA49" s="144"/>
      <c r="AB49" s="145"/>
      <c r="AC49" s="145"/>
      <c r="AD49" s="145"/>
      <c r="AE49" s="145"/>
      <c r="AF49" s="145"/>
      <c r="AG49" s="145"/>
      <c r="AH49" s="145"/>
      <c r="AI49" s="280">
        <v>135</v>
      </c>
      <c r="AJ49" s="6">
        <v>2409</v>
      </c>
      <c r="AK49" s="62">
        <f>+AJ49*AI49</f>
        <v>325215</v>
      </c>
      <c r="AL49" s="57"/>
      <c r="AM49" s="57"/>
    </row>
    <row r="50" spans="2:39" ht="15.75" customHeight="1">
      <c r="B50" s="136"/>
      <c r="C50" s="135"/>
      <c r="E50" s="176"/>
      <c r="G50" s="90"/>
      <c r="H50" s="90"/>
      <c r="I50" s="82"/>
      <c r="J50" s="137"/>
      <c r="K50" s="82"/>
      <c r="L50" s="240"/>
      <c r="M50" s="80"/>
      <c r="N50" s="271"/>
      <c r="O50" s="139"/>
      <c r="Q50" s="142"/>
      <c r="R50" s="57"/>
      <c r="S50" s="80"/>
      <c r="U50" s="142"/>
      <c r="V50" s="142"/>
      <c r="Z50" s="143"/>
      <c r="AA50" s="144"/>
      <c r="AB50" s="145"/>
      <c r="AC50" s="145"/>
      <c r="AD50" s="145"/>
      <c r="AE50" s="145"/>
      <c r="AF50" s="145"/>
      <c r="AG50" s="145"/>
      <c r="AH50" s="145"/>
      <c r="AI50" s="280">
        <v>9.93</v>
      </c>
      <c r="AJ50" s="163">
        <v>2360</v>
      </c>
      <c r="AK50" s="62">
        <f>+AJ50*AI50</f>
        <v>23434.799999999999</v>
      </c>
      <c r="AL50" s="57"/>
      <c r="AM50" s="57"/>
    </row>
    <row r="51" spans="2:39" ht="15.75" customHeight="1">
      <c r="B51" s="136"/>
      <c r="C51" s="135"/>
      <c r="E51" s="176"/>
      <c r="G51" s="90"/>
      <c r="H51" s="90"/>
      <c r="I51" s="82"/>
      <c r="J51" s="137"/>
      <c r="K51" s="82"/>
      <c r="L51" s="240"/>
      <c r="M51" s="80"/>
      <c r="N51" s="271"/>
      <c r="O51" s="139"/>
      <c r="Q51" s="142"/>
      <c r="R51" s="57"/>
      <c r="S51" s="80"/>
      <c r="U51" s="142"/>
      <c r="V51" s="142"/>
      <c r="Z51" s="143"/>
      <c r="AA51" s="144"/>
      <c r="AB51" s="145"/>
      <c r="AC51" s="145"/>
      <c r="AD51" s="145"/>
      <c r="AE51" s="145"/>
      <c r="AF51" s="145"/>
      <c r="AG51" s="145"/>
      <c r="AH51" s="145"/>
      <c r="AI51" s="281"/>
      <c r="AJ51" s="71"/>
      <c r="AK51" s="282">
        <f>SUM(AK49:AK50)/AJ47</f>
        <v>2405.5610197083042</v>
      </c>
      <c r="AL51" s="57"/>
      <c r="AM51" s="57"/>
    </row>
    <row r="52" spans="2:39" ht="15.75" customHeight="1">
      <c r="B52" s="136"/>
      <c r="C52" s="135"/>
      <c r="E52" s="176"/>
      <c r="G52" s="90"/>
      <c r="H52" s="90"/>
      <c r="I52" s="82"/>
      <c r="J52" s="137"/>
      <c r="K52" s="82"/>
      <c r="L52" s="240"/>
      <c r="M52" s="80"/>
      <c r="N52" s="271"/>
      <c r="O52" s="139"/>
      <c r="Q52" s="142"/>
      <c r="R52" s="57"/>
      <c r="S52" s="80"/>
      <c r="U52" s="142"/>
      <c r="V52" s="142"/>
      <c r="Z52" s="143"/>
      <c r="AA52" s="144"/>
      <c r="AB52" s="145"/>
      <c r="AC52" s="145"/>
      <c r="AD52" s="145"/>
      <c r="AE52" s="145"/>
      <c r="AF52" s="145"/>
      <c r="AG52" s="145"/>
      <c r="AH52" s="145"/>
      <c r="AK52" s="88"/>
      <c r="AL52" s="57"/>
      <c r="AM52" s="57"/>
    </row>
    <row r="53" spans="2:39" ht="15.75" customHeight="1">
      <c r="B53" s="136"/>
      <c r="C53" s="135"/>
      <c r="E53" s="176"/>
      <c r="G53" s="90"/>
      <c r="H53" s="90"/>
      <c r="I53" s="82"/>
      <c r="J53" s="137"/>
      <c r="K53" s="82"/>
      <c r="L53" s="240"/>
      <c r="M53" s="80"/>
      <c r="N53" s="271"/>
      <c r="O53" s="139"/>
      <c r="Q53" s="142"/>
      <c r="R53" s="57"/>
      <c r="S53" s="80"/>
      <c r="U53" s="142"/>
      <c r="V53" s="142"/>
      <c r="Z53" s="143"/>
      <c r="AA53" s="144"/>
      <c r="AB53" s="145"/>
      <c r="AC53" s="145"/>
      <c r="AD53" s="145"/>
      <c r="AE53" s="145"/>
      <c r="AF53" s="145"/>
      <c r="AG53" s="145"/>
      <c r="AH53" s="145"/>
      <c r="AK53" s="88"/>
      <c r="AL53" s="57"/>
      <c r="AM53" s="57"/>
    </row>
    <row r="54" spans="2:39" ht="15.75" customHeight="1">
      <c r="B54" s="136"/>
      <c r="C54" s="135"/>
      <c r="E54" s="176"/>
      <c r="G54" s="90"/>
      <c r="H54" s="90"/>
      <c r="I54" s="82"/>
      <c r="J54" s="137"/>
      <c r="K54" s="82"/>
      <c r="L54" s="240"/>
      <c r="M54" s="80"/>
      <c r="N54" s="271"/>
      <c r="O54" s="139"/>
      <c r="Q54" s="142"/>
      <c r="R54" s="57"/>
      <c r="S54" s="80"/>
      <c r="U54" s="142"/>
      <c r="V54" s="142"/>
      <c r="Z54" s="143"/>
      <c r="AA54" s="144"/>
      <c r="AB54" s="145"/>
      <c r="AC54" s="145"/>
      <c r="AD54" s="145"/>
      <c r="AE54" s="145"/>
      <c r="AF54" s="145"/>
      <c r="AG54" s="145"/>
      <c r="AH54" s="145"/>
      <c r="AK54" s="88"/>
      <c r="AL54" s="57"/>
      <c r="AM54" s="57"/>
    </row>
    <row r="55" spans="2:39" ht="15.75" customHeight="1">
      <c r="B55" s="136"/>
      <c r="C55" s="135"/>
      <c r="E55" s="176"/>
      <c r="G55" s="90"/>
      <c r="H55" s="90"/>
      <c r="I55" s="82"/>
      <c r="J55" s="137"/>
      <c r="K55" s="82"/>
      <c r="L55" s="240"/>
      <c r="M55" s="80"/>
      <c r="N55" s="271"/>
      <c r="O55" s="139"/>
      <c r="Q55" s="142"/>
      <c r="R55" s="57"/>
      <c r="S55" s="80"/>
      <c r="U55" s="142"/>
      <c r="V55" s="142"/>
      <c r="Z55" s="143"/>
      <c r="AA55" s="144"/>
      <c r="AB55" s="145"/>
      <c r="AC55" s="145"/>
      <c r="AD55" s="145"/>
      <c r="AE55" s="145"/>
      <c r="AF55" s="145"/>
      <c r="AG55" s="145"/>
      <c r="AH55" s="145"/>
      <c r="AK55" s="88"/>
      <c r="AL55" s="57"/>
      <c r="AM55" s="57"/>
    </row>
    <row r="56" spans="2:39" ht="15.75" customHeight="1">
      <c r="B56" s="136"/>
      <c r="C56" s="135"/>
      <c r="E56" s="176"/>
      <c r="G56" s="90"/>
      <c r="H56" s="90"/>
      <c r="I56" s="82"/>
      <c r="J56" s="137"/>
      <c r="K56" s="82"/>
      <c r="L56" s="240"/>
      <c r="M56" s="80"/>
      <c r="N56" s="271"/>
      <c r="O56" s="139"/>
      <c r="Q56" s="142"/>
      <c r="R56" s="57"/>
      <c r="S56" s="80"/>
      <c r="U56" s="142"/>
      <c r="V56" s="142"/>
      <c r="Z56" s="143"/>
      <c r="AA56" s="144"/>
      <c r="AB56" s="145"/>
      <c r="AC56" s="145"/>
      <c r="AD56" s="145"/>
      <c r="AE56" s="145"/>
      <c r="AF56" s="145"/>
      <c r="AG56" s="145"/>
      <c r="AH56" s="145"/>
      <c r="AK56" s="88"/>
      <c r="AL56" s="57"/>
      <c r="AM56" s="57"/>
    </row>
    <row r="57" spans="2:39" ht="15.75" customHeight="1">
      <c r="B57" s="136"/>
      <c r="C57" s="135"/>
      <c r="E57" s="176"/>
      <c r="G57" s="90"/>
      <c r="H57" s="90"/>
      <c r="I57" s="82"/>
      <c r="J57" s="137"/>
      <c r="K57" s="82"/>
      <c r="L57" s="240"/>
      <c r="M57" s="80"/>
      <c r="N57" s="271"/>
      <c r="O57" s="139"/>
      <c r="Q57" s="142"/>
      <c r="R57" s="57"/>
      <c r="S57" s="80"/>
      <c r="U57" s="142"/>
      <c r="V57" s="142"/>
      <c r="Z57" s="143"/>
      <c r="AA57" s="144"/>
      <c r="AB57" s="145"/>
      <c r="AC57" s="145"/>
      <c r="AD57" s="145"/>
      <c r="AE57" s="145"/>
      <c r="AF57" s="145"/>
      <c r="AG57" s="145"/>
      <c r="AH57" s="145"/>
      <c r="AK57" s="88"/>
      <c r="AL57" s="57"/>
      <c r="AM57" s="57"/>
    </row>
    <row r="58" spans="2:39" ht="15.75" customHeight="1">
      <c r="B58" s="136"/>
      <c r="C58" s="135"/>
      <c r="E58" s="176"/>
      <c r="G58" s="90"/>
      <c r="H58" s="90"/>
      <c r="I58" s="82"/>
      <c r="J58" s="137"/>
      <c r="K58" s="82"/>
      <c r="L58" s="240"/>
      <c r="M58" s="80"/>
      <c r="N58" s="271"/>
      <c r="O58" s="139"/>
      <c r="Q58" s="142"/>
      <c r="R58" s="57"/>
      <c r="S58" s="80"/>
      <c r="U58" s="142"/>
      <c r="V58" s="142"/>
      <c r="Z58" s="143"/>
      <c r="AA58" s="144"/>
      <c r="AB58" s="145"/>
      <c r="AC58" s="145"/>
      <c r="AD58" s="145"/>
      <c r="AE58" s="145"/>
      <c r="AF58" s="145"/>
      <c r="AG58" s="145"/>
      <c r="AH58" s="145"/>
      <c r="AK58" s="88"/>
      <c r="AL58" s="57"/>
      <c r="AM58" s="57"/>
    </row>
    <row r="59" spans="2:39" ht="15.75" customHeight="1">
      <c r="B59" s="136"/>
      <c r="C59" s="135"/>
      <c r="E59" s="176"/>
      <c r="G59" s="90"/>
      <c r="H59" s="90"/>
      <c r="I59" s="82"/>
      <c r="J59" s="137"/>
      <c r="K59" s="82"/>
      <c r="L59" s="240"/>
      <c r="M59" s="80"/>
      <c r="N59" s="271"/>
      <c r="O59" s="139"/>
      <c r="Q59" s="142"/>
      <c r="R59" s="57"/>
      <c r="S59" s="80"/>
      <c r="U59" s="142"/>
      <c r="V59" s="142"/>
      <c r="Z59" s="143"/>
      <c r="AA59" s="144"/>
      <c r="AB59" s="145"/>
      <c r="AC59" s="145"/>
      <c r="AD59" s="145"/>
      <c r="AE59" s="145"/>
      <c r="AF59" s="145"/>
      <c r="AG59" s="145"/>
      <c r="AH59" s="145"/>
      <c r="AK59" s="88"/>
      <c r="AL59" s="57"/>
      <c r="AM59" s="57"/>
    </row>
    <row r="60" spans="2:39" ht="15.75" customHeight="1">
      <c r="B60" s="136"/>
      <c r="C60" s="135"/>
      <c r="E60" s="176"/>
      <c r="G60" s="90"/>
      <c r="H60" s="90"/>
      <c r="I60" s="82"/>
      <c r="J60" s="137"/>
      <c r="K60" s="82"/>
      <c r="L60" s="240"/>
      <c r="M60" s="80"/>
      <c r="N60" s="271"/>
      <c r="O60" s="139"/>
      <c r="Q60" s="142"/>
      <c r="R60" s="57"/>
      <c r="S60" s="80"/>
      <c r="U60" s="142"/>
      <c r="V60" s="142"/>
      <c r="Z60" s="143"/>
      <c r="AA60" s="144"/>
      <c r="AB60" s="145"/>
      <c r="AC60" s="145"/>
      <c r="AD60" s="145"/>
      <c r="AE60" s="145"/>
      <c r="AF60" s="145"/>
      <c r="AG60" s="145"/>
      <c r="AH60" s="145"/>
      <c r="AK60" s="88"/>
      <c r="AL60" s="57"/>
      <c r="AM60" s="57"/>
    </row>
    <row r="61" spans="2:39" ht="15.75" customHeight="1">
      <c r="B61" s="136"/>
      <c r="C61" s="135"/>
      <c r="E61" s="176"/>
      <c r="G61" s="90"/>
      <c r="H61" s="90"/>
      <c r="I61" s="82"/>
      <c r="J61" s="137"/>
      <c r="K61" s="82"/>
      <c r="L61" s="240"/>
      <c r="M61" s="80"/>
      <c r="N61" s="271"/>
      <c r="O61" s="139"/>
      <c r="Q61" s="142"/>
      <c r="R61" s="57"/>
      <c r="S61" s="80"/>
      <c r="U61" s="142"/>
      <c r="V61" s="142"/>
      <c r="Z61" s="143"/>
      <c r="AA61" s="144"/>
      <c r="AB61" s="145"/>
      <c r="AC61" s="145"/>
      <c r="AD61" s="145"/>
      <c r="AE61" s="145"/>
      <c r="AF61" s="145"/>
      <c r="AG61" s="145"/>
      <c r="AH61" s="145"/>
      <c r="AK61" s="88"/>
      <c r="AL61" s="57"/>
      <c r="AM61" s="57"/>
    </row>
    <row r="62" spans="2:39" ht="15.75" customHeight="1">
      <c r="B62" s="136"/>
      <c r="C62" s="135"/>
      <c r="E62" s="176"/>
      <c r="G62" s="90"/>
      <c r="H62" s="90"/>
      <c r="I62" s="82"/>
      <c r="J62" s="137"/>
      <c r="K62" s="82"/>
      <c r="L62" s="240"/>
      <c r="M62" s="80"/>
      <c r="N62" s="271"/>
      <c r="O62" s="139"/>
      <c r="Q62" s="142"/>
      <c r="R62" s="57"/>
      <c r="S62" s="80"/>
      <c r="U62" s="142"/>
      <c r="V62" s="142"/>
      <c r="Z62" s="143"/>
      <c r="AA62" s="144"/>
      <c r="AB62" s="145"/>
      <c r="AC62" s="145"/>
      <c r="AD62" s="145"/>
      <c r="AE62" s="145"/>
      <c r="AF62" s="145"/>
      <c r="AG62" s="145"/>
      <c r="AH62" s="145"/>
      <c r="AK62" s="88"/>
      <c r="AL62" s="57"/>
      <c r="AM62" s="57"/>
    </row>
    <row r="63" spans="2:39" ht="15.75" customHeight="1">
      <c r="B63" s="136"/>
      <c r="C63" s="135"/>
      <c r="E63" s="176"/>
      <c r="G63" s="90"/>
      <c r="H63" s="90"/>
      <c r="I63" s="82"/>
      <c r="J63" s="137"/>
      <c r="K63" s="82"/>
      <c r="L63" s="240"/>
      <c r="M63" s="80"/>
      <c r="N63" s="271"/>
      <c r="O63" s="139"/>
      <c r="Q63" s="142"/>
      <c r="R63" s="57"/>
      <c r="S63" s="80"/>
      <c r="U63" s="142"/>
      <c r="V63" s="142"/>
      <c r="Z63" s="143"/>
      <c r="AA63" s="144"/>
      <c r="AB63" s="145"/>
      <c r="AC63" s="145"/>
      <c r="AD63" s="145"/>
      <c r="AE63" s="145"/>
      <c r="AF63" s="145"/>
      <c r="AG63" s="145"/>
      <c r="AH63" s="145"/>
      <c r="AK63" s="88"/>
      <c r="AL63" s="57"/>
      <c r="AM63" s="57"/>
    </row>
    <row r="64" spans="2:39" ht="15.75" customHeight="1">
      <c r="B64" s="136"/>
      <c r="C64" s="135"/>
      <c r="E64" s="176"/>
      <c r="G64" s="90"/>
      <c r="H64" s="90"/>
      <c r="I64" s="82"/>
      <c r="J64" s="137"/>
      <c r="K64" s="82"/>
      <c r="L64" s="240"/>
      <c r="M64" s="80"/>
      <c r="N64" s="271"/>
      <c r="O64" s="139"/>
      <c r="Q64" s="142"/>
      <c r="R64" s="57"/>
      <c r="S64" s="80"/>
      <c r="U64" s="142"/>
      <c r="V64" s="142"/>
      <c r="Z64" s="143"/>
      <c r="AA64" s="144"/>
      <c r="AB64" s="145"/>
      <c r="AC64" s="145"/>
      <c r="AD64" s="145"/>
      <c r="AE64" s="145"/>
      <c r="AF64" s="145"/>
      <c r="AG64" s="145"/>
      <c r="AH64" s="145"/>
      <c r="AK64" s="88"/>
      <c r="AL64" s="57"/>
      <c r="AM64" s="57"/>
    </row>
    <row r="65" spans="2:39" ht="15.75" customHeight="1">
      <c r="B65" s="136"/>
      <c r="C65" s="135"/>
      <c r="E65" s="176"/>
      <c r="G65" s="90"/>
      <c r="H65" s="90"/>
      <c r="I65" s="82"/>
      <c r="J65" s="137"/>
      <c r="K65" s="82"/>
      <c r="L65" s="240"/>
      <c r="M65" s="80"/>
      <c r="N65" s="271"/>
      <c r="O65" s="139"/>
      <c r="Q65" s="142"/>
      <c r="R65" s="57"/>
      <c r="S65" s="80"/>
      <c r="U65" s="142"/>
      <c r="V65" s="142"/>
      <c r="Z65" s="143"/>
      <c r="AA65" s="144"/>
      <c r="AB65" s="145"/>
      <c r="AC65" s="145"/>
      <c r="AD65" s="145"/>
      <c r="AE65" s="145"/>
      <c r="AF65" s="145"/>
      <c r="AG65" s="145"/>
      <c r="AH65" s="145"/>
      <c r="AK65" s="88"/>
      <c r="AL65" s="57"/>
      <c r="AM65" s="57"/>
    </row>
    <row r="66" spans="2:39" ht="15.75" customHeight="1">
      <c r="B66" s="136"/>
      <c r="C66" s="135"/>
      <c r="E66" s="176"/>
      <c r="G66" s="90"/>
      <c r="H66" s="90"/>
      <c r="I66" s="82"/>
      <c r="J66" s="137"/>
      <c r="K66" s="82"/>
      <c r="L66" s="240"/>
      <c r="M66" s="80"/>
      <c r="N66" s="271"/>
      <c r="O66" s="139"/>
      <c r="Q66" s="142"/>
      <c r="R66" s="57"/>
      <c r="S66" s="80"/>
      <c r="U66" s="142"/>
      <c r="V66" s="142"/>
      <c r="Z66" s="143"/>
      <c r="AA66" s="144"/>
      <c r="AB66" s="145"/>
      <c r="AC66" s="145"/>
      <c r="AD66" s="145"/>
      <c r="AE66" s="145"/>
      <c r="AF66" s="145"/>
      <c r="AG66" s="145"/>
      <c r="AH66" s="145"/>
      <c r="AK66" s="88"/>
      <c r="AL66" s="57"/>
      <c r="AM66" s="57"/>
    </row>
    <row r="67" spans="2:39" ht="15.75" customHeight="1">
      <c r="B67" s="136"/>
      <c r="C67" s="135"/>
      <c r="E67" s="176"/>
      <c r="G67" s="90"/>
      <c r="H67" s="90"/>
      <c r="I67" s="82"/>
      <c r="J67" s="137"/>
      <c r="K67" s="82"/>
      <c r="L67" s="240"/>
      <c r="M67" s="80"/>
      <c r="N67" s="271"/>
      <c r="O67" s="139"/>
      <c r="Q67" s="142"/>
      <c r="R67" s="57"/>
      <c r="S67" s="80"/>
      <c r="U67" s="142"/>
      <c r="V67" s="142"/>
      <c r="Z67" s="143"/>
      <c r="AA67" s="144"/>
      <c r="AB67" s="145"/>
      <c r="AC67" s="145"/>
      <c r="AD67" s="145"/>
      <c r="AE67" s="145"/>
      <c r="AF67" s="145"/>
      <c r="AG67" s="145"/>
      <c r="AH67" s="145"/>
      <c r="AK67" s="88"/>
      <c r="AL67" s="57"/>
      <c r="AM67" s="57"/>
    </row>
    <row r="68" spans="2:39" ht="15.75" customHeight="1">
      <c r="B68" s="136"/>
      <c r="C68" s="135"/>
      <c r="E68" s="176"/>
      <c r="G68" s="90"/>
      <c r="H68" s="90"/>
      <c r="I68" s="82"/>
      <c r="J68" s="137"/>
      <c r="K68" s="82"/>
      <c r="L68" s="240"/>
      <c r="M68" s="80"/>
      <c r="N68" s="271"/>
      <c r="O68" s="139"/>
      <c r="Q68" s="142"/>
      <c r="R68" s="57"/>
      <c r="S68" s="80"/>
      <c r="U68" s="142"/>
      <c r="V68" s="142"/>
      <c r="Z68" s="143"/>
      <c r="AA68" s="144"/>
      <c r="AB68" s="145"/>
      <c r="AC68" s="145"/>
      <c r="AD68" s="145"/>
      <c r="AE68" s="145"/>
      <c r="AF68" s="145"/>
      <c r="AG68" s="145"/>
      <c r="AH68" s="145"/>
      <c r="AK68" s="88"/>
      <c r="AL68" s="57"/>
      <c r="AM68" s="57"/>
    </row>
    <row r="69" spans="2:39" ht="15.75" customHeight="1">
      <c r="B69" s="136"/>
      <c r="C69" s="135"/>
      <c r="E69" s="176"/>
      <c r="G69" s="90"/>
      <c r="H69" s="90"/>
      <c r="I69" s="82"/>
      <c r="J69" s="137"/>
      <c r="K69" s="82"/>
      <c r="L69" s="240"/>
      <c r="M69" s="80"/>
      <c r="N69" s="271"/>
      <c r="O69" s="139"/>
      <c r="Q69" s="142"/>
      <c r="R69" s="57"/>
      <c r="S69" s="80"/>
      <c r="U69" s="142"/>
      <c r="V69" s="142"/>
      <c r="Z69" s="143"/>
      <c r="AA69" s="144"/>
      <c r="AB69" s="145"/>
      <c r="AC69" s="145"/>
      <c r="AD69" s="145"/>
      <c r="AE69" s="145"/>
      <c r="AF69" s="145"/>
      <c r="AG69" s="145"/>
      <c r="AH69" s="145"/>
      <c r="AK69" s="88"/>
      <c r="AL69" s="57"/>
      <c r="AM69" s="57"/>
    </row>
    <row r="70" spans="2:39" ht="15.75" customHeight="1">
      <c r="B70" s="136"/>
      <c r="C70" s="135"/>
      <c r="E70" s="176"/>
      <c r="G70" s="90"/>
      <c r="H70" s="90"/>
      <c r="I70" s="82"/>
      <c r="J70" s="137"/>
      <c r="K70" s="82"/>
      <c r="L70" s="240"/>
      <c r="M70" s="80"/>
      <c r="N70" s="271"/>
      <c r="O70" s="139"/>
      <c r="Q70" s="142"/>
      <c r="R70" s="57"/>
      <c r="S70" s="80"/>
      <c r="U70" s="142"/>
      <c r="V70" s="142"/>
      <c r="Z70" s="143"/>
      <c r="AA70" s="144"/>
      <c r="AB70" s="145"/>
      <c r="AC70" s="145"/>
      <c r="AD70" s="145"/>
      <c r="AE70" s="145"/>
      <c r="AF70" s="145"/>
      <c r="AG70" s="145"/>
      <c r="AH70" s="145"/>
      <c r="AK70" s="88"/>
      <c r="AL70" s="57"/>
      <c r="AM70" s="57"/>
    </row>
    <row r="71" spans="2:39" ht="15.75" customHeight="1">
      <c r="B71" s="136"/>
      <c r="C71" s="135"/>
      <c r="E71" s="176"/>
      <c r="G71" s="90"/>
      <c r="H71" s="90"/>
      <c r="I71" s="82"/>
      <c r="J71" s="137"/>
      <c r="K71" s="82"/>
      <c r="L71" s="240"/>
      <c r="M71" s="80"/>
      <c r="N71" s="271"/>
      <c r="O71" s="139"/>
      <c r="Q71" s="142"/>
      <c r="R71" s="57"/>
      <c r="S71" s="80"/>
      <c r="U71" s="142"/>
      <c r="V71" s="142"/>
      <c r="Z71" s="143"/>
      <c r="AA71" s="144"/>
      <c r="AB71" s="145"/>
      <c r="AC71" s="145"/>
      <c r="AD71" s="145"/>
      <c r="AE71" s="145"/>
      <c r="AF71" s="145"/>
      <c r="AG71" s="145"/>
      <c r="AH71" s="145"/>
      <c r="AK71" s="88"/>
      <c r="AL71" s="57"/>
      <c r="AM71" s="57"/>
    </row>
    <row r="72" spans="2:39" ht="15.75" customHeight="1">
      <c r="B72" s="136"/>
      <c r="C72" s="135"/>
      <c r="E72" s="176"/>
      <c r="G72" s="90"/>
      <c r="H72" s="90"/>
      <c r="I72" s="82"/>
      <c r="J72" s="137"/>
      <c r="K72" s="82"/>
      <c r="L72" s="240"/>
      <c r="M72" s="80"/>
      <c r="N72" s="271"/>
      <c r="O72" s="139"/>
      <c r="Q72" s="142"/>
      <c r="R72" s="57"/>
      <c r="S72" s="80"/>
      <c r="U72" s="142"/>
      <c r="V72" s="142"/>
      <c r="Z72" s="143"/>
      <c r="AA72" s="144"/>
      <c r="AB72" s="145"/>
      <c r="AC72" s="145"/>
      <c r="AD72" s="145"/>
      <c r="AE72" s="145"/>
      <c r="AF72" s="145"/>
      <c r="AG72" s="145"/>
      <c r="AH72" s="145"/>
      <c r="AK72" s="88"/>
      <c r="AL72" s="57"/>
      <c r="AM72" s="57"/>
    </row>
    <row r="73" spans="2:39" ht="15.75" customHeight="1">
      <c r="B73" s="136"/>
      <c r="C73" s="135"/>
      <c r="E73" s="176"/>
      <c r="G73" s="90"/>
      <c r="H73" s="90"/>
      <c r="I73" s="82"/>
      <c r="J73" s="137"/>
      <c r="K73" s="82"/>
      <c r="L73" s="240"/>
      <c r="M73" s="80"/>
      <c r="N73" s="271"/>
      <c r="O73" s="139"/>
      <c r="Q73" s="142"/>
      <c r="R73" s="57"/>
      <c r="S73" s="80"/>
      <c r="U73" s="142"/>
      <c r="V73" s="142"/>
      <c r="Z73" s="143"/>
      <c r="AA73" s="144"/>
      <c r="AB73" s="145"/>
      <c r="AC73" s="145"/>
      <c r="AD73" s="145"/>
      <c r="AE73" s="145"/>
      <c r="AF73" s="145"/>
      <c r="AG73" s="145"/>
      <c r="AH73" s="145"/>
      <c r="AK73" s="88"/>
      <c r="AL73" s="57"/>
      <c r="AM73" s="57"/>
    </row>
    <row r="74" spans="2:39" ht="15.75" customHeight="1">
      <c r="B74" s="136"/>
      <c r="C74" s="135"/>
      <c r="E74" s="176"/>
      <c r="G74" s="90"/>
      <c r="H74" s="90"/>
      <c r="I74" s="82"/>
      <c r="J74" s="137"/>
      <c r="K74" s="82"/>
      <c r="L74" s="240"/>
      <c r="M74" s="80"/>
      <c r="N74" s="271"/>
      <c r="O74" s="139"/>
      <c r="Q74" s="142"/>
      <c r="R74" s="57"/>
      <c r="S74" s="80"/>
      <c r="U74" s="142"/>
      <c r="V74" s="142"/>
      <c r="Z74" s="143"/>
      <c r="AA74" s="144"/>
      <c r="AB74" s="145"/>
      <c r="AC74" s="145"/>
      <c r="AD74" s="145"/>
      <c r="AE74" s="145"/>
      <c r="AF74" s="145"/>
      <c r="AG74" s="145"/>
      <c r="AH74" s="145"/>
      <c r="AK74" s="88"/>
      <c r="AL74" s="57"/>
      <c r="AM74" s="57"/>
    </row>
    <row r="75" spans="2:39" ht="15.75" customHeight="1">
      <c r="B75" s="136"/>
      <c r="C75" s="135"/>
      <c r="E75" s="176"/>
      <c r="G75" s="90"/>
      <c r="H75" s="90"/>
      <c r="I75" s="82"/>
      <c r="J75" s="137"/>
      <c r="K75" s="82"/>
      <c r="L75" s="240"/>
      <c r="M75" s="80"/>
      <c r="N75" s="271"/>
      <c r="O75" s="139"/>
      <c r="Q75" s="142"/>
      <c r="R75" s="57"/>
      <c r="S75" s="80"/>
      <c r="U75" s="142"/>
      <c r="V75" s="142"/>
      <c r="Z75" s="143"/>
      <c r="AA75" s="144"/>
      <c r="AB75" s="145"/>
      <c r="AC75" s="145"/>
      <c r="AD75" s="145"/>
      <c r="AE75" s="145"/>
      <c r="AF75" s="145"/>
      <c r="AG75" s="145"/>
      <c r="AH75" s="145"/>
      <c r="AK75" s="88"/>
      <c r="AL75" s="57"/>
      <c r="AM75" s="57"/>
    </row>
    <row r="76" spans="2:39" ht="15.75" customHeight="1">
      <c r="B76" s="136"/>
      <c r="C76" s="135"/>
      <c r="E76" s="176"/>
      <c r="G76" s="90"/>
      <c r="H76" s="90"/>
      <c r="I76" s="82"/>
      <c r="J76" s="137"/>
      <c r="K76" s="82"/>
      <c r="L76" s="240"/>
      <c r="M76" s="80"/>
      <c r="N76" s="271"/>
      <c r="O76" s="139"/>
      <c r="Q76" s="142"/>
      <c r="R76" s="57"/>
      <c r="S76" s="80"/>
      <c r="U76" s="142"/>
      <c r="V76" s="142"/>
      <c r="Z76" s="143"/>
      <c r="AA76" s="144"/>
      <c r="AB76" s="145"/>
      <c r="AC76" s="145"/>
      <c r="AD76" s="145"/>
      <c r="AE76" s="145"/>
      <c r="AF76" s="145"/>
      <c r="AG76" s="145"/>
      <c r="AH76" s="145"/>
      <c r="AK76" s="88"/>
      <c r="AL76" s="57"/>
      <c r="AM76" s="57"/>
    </row>
    <row r="77" spans="2:39" ht="15.75" customHeight="1">
      <c r="B77" s="136"/>
      <c r="C77" s="135"/>
      <c r="E77" s="176"/>
      <c r="G77" s="90"/>
      <c r="H77" s="90"/>
      <c r="I77" s="82"/>
      <c r="J77" s="137"/>
      <c r="K77" s="82"/>
      <c r="L77" s="240"/>
      <c r="M77" s="80"/>
      <c r="N77" s="271"/>
      <c r="O77" s="139"/>
      <c r="Q77" s="142"/>
      <c r="R77" s="57"/>
      <c r="S77" s="80"/>
      <c r="U77" s="142"/>
      <c r="V77" s="142"/>
      <c r="Z77" s="143"/>
      <c r="AA77" s="144"/>
      <c r="AB77" s="145"/>
      <c r="AC77" s="145"/>
      <c r="AD77" s="145"/>
      <c r="AE77" s="145"/>
      <c r="AF77" s="145"/>
      <c r="AG77" s="145"/>
      <c r="AH77" s="145"/>
      <c r="AK77" s="88"/>
      <c r="AL77" s="57"/>
      <c r="AM77" s="57"/>
    </row>
    <row r="78" spans="2:39" ht="15.75" customHeight="1">
      <c r="B78" s="136"/>
      <c r="C78" s="135"/>
      <c r="E78" s="176"/>
      <c r="G78" s="90"/>
      <c r="H78" s="90"/>
      <c r="I78" s="82"/>
      <c r="J78" s="137"/>
      <c r="K78" s="82"/>
      <c r="L78" s="240"/>
      <c r="M78" s="80"/>
      <c r="N78" s="271"/>
      <c r="O78" s="139"/>
      <c r="Q78" s="142"/>
      <c r="R78" s="57"/>
      <c r="S78" s="80"/>
      <c r="U78" s="142"/>
      <c r="V78" s="142"/>
      <c r="Z78" s="143"/>
      <c r="AA78" s="144"/>
      <c r="AB78" s="145"/>
      <c r="AC78" s="145"/>
      <c r="AD78" s="145"/>
      <c r="AE78" s="145"/>
      <c r="AF78" s="145"/>
      <c r="AG78" s="145"/>
      <c r="AH78" s="145"/>
      <c r="AK78" s="88"/>
      <c r="AL78" s="57"/>
      <c r="AM78" s="57"/>
    </row>
    <row r="79" spans="2:39" ht="15.75" customHeight="1">
      <c r="B79" s="136"/>
      <c r="C79" s="135"/>
      <c r="E79" s="176"/>
      <c r="G79" s="90"/>
      <c r="H79" s="90"/>
      <c r="I79" s="82"/>
      <c r="J79" s="137"/>
      <c r="K79" s="82"/>
      <c r="L79" s="240"/>
      <c r="M79" s="80"/>
      <c r="N79" s="271"/>
      <c r="O79" s="139"/>
      <c r="Q79" s="142"/>
      <c r="R79" s="57"/>
      <c r="S79" s="80"/>
      <c r="U79" s="142"/>
      <c r="V79" s="142"/>
      <c r="Z79" s="143"/>
      <c r="AA79" s="144"/>
      <c r="AB79" s="145"/>
      <c r="AC79" s="145"/>
      <c r="AD79" s="145"/>
      <c r="AE79" s="145"/>
      <c r="AF79" s="145"/>
      <c r="AG79" s="145"/>
      <c r="AH79" s="145"/>
      <c r="AK79" s="88"/>
      <c r="AL79" s="57"/>
      <c r="AM79" s="57"/>
    </row>
    <row r="80" spans="2:39" ht="15.75" customHeight="1">
      <c r="B80" s="136"/>
      <c r="C80" s="135"/>
      <c r="E80" s="176"/>
      <c r="G80" s="90"/>
      <c r="H80" s="90"/>
      <c r="I80" s="82"/>
      <c r="J80" s="137"/>
      <c r="K80" s="82"/>
      <c r="L80" s="240"/>
      <c r="M80" s="80"/>
      <c r="N80" s="271"/>
      <c r="O80" s="139"/>
      <c r="Q80" s="142"/>
      <c r="R80" s="57"/>
      <c r="S80" s="80"/>
      <c r="U80" s="142"/>
      <c r="V80" s="142"/>
      <c r="Z80" s="143"/>
      <c r="AA80" s="144"/>
      <c r="AB80" s="145"/>
      <c r="AC80" s="145"/>
      <c r="AD80" s="145"/>
      <c r="AE80" s="145"/>
      <c r="AF80" s="145"/>
      <c r="AG80" s="145"/>
      <c r="AH80" s="145"/>
      <c r="AK80" s="88"/>
      <c r="AL80" s="57"/>
      <c r="AM80" s="57"/>
    </row>
    <row r="81" spans="2:39" ht="15.75" customHeight="1">
      <c r="B81" s="136"/>
      <c r="C81" s="135"/>
      <c r="E81" s="176"/>
      <c r="G81" s="90"/>
      <c r="H81" s="90"/>
      <c r="I81" s="82"/>
      <c r="J81" s="137"/>
      <c r="K81" s="82"/>
      <c r="L81" s="240"/>
      <c r="M81" s="80"/>
      <c r="N81" s="271"/>
      <c r="O81" s="139"/>
      <c r="Q81" s="142"/>
      <c r="R81" s="57"/>
      <c r="S81" s="80"/>
      <c r="U81" s="142"/>
      <c r="V81" s="142"/>
      <c r="Z81" s="143"/>
      <c r="AA81" s="144"/>
      <c r="AB81" s="145"/>
      <c r="AC81" s="145"/>
      <c r="AD81" s="145"/>
      <c r="AE81" s="145"/>
      <c r="AF81" s="145"/>
      <c r="AG81" s="145"/>
      <c r="AH81" s="145"/>
      <c r="AK81" s="88"/>
      <c r="AL81" s="57"/>
      <c r="AM81" s="57"/>
    </row>
    <row r="82" spans="2:39" ht="15.75" customHeight="1">
      <c r="B82" s="136"/>
      <c r="C82" s="135"/>
      <c r="E82" s="176"/>
      <c r="G82" s="90"/>
      <c r="H82" s="90"/>
      <c r="I82" s="82"/>
      <c r="J82" s="137"/>
      <c r="K82" s="82"/>
      <c r="L82" s="240"/>
      <c r="M82" s="80"/>
      <c r="N82" s="271"/>
      <c r="O82" s="139"/>
      <c r="Q82" s="142"/>
      <c r="R82" s="57"/>
      <c r="S82" s="80"/>
      <c r="U82" s="142"/>
      <c r="V82" s="142"/>
      <c r="Z82" s="143"/>
      <c r="AA82" s="144"/>
      <c r="AB82" s="145"/>
      <c r="AC82" s="145"/>
      <c r="AD82" s="145"/>
      <c r="AE82" s="145"/>
      <c r="AF82" s="145"/>
      <c r="AG82" s="145"/>
      <c r="AH82" s="145"/>
      <c r="AK82" s="88"/>
      <c r="AL82" s="57"/>
      <c r="AM82" s="57"/>
    </row>
    <row r="83" spans="2:39" ht="15.75" customHeight="1">
      <c r="B83" s="136"/>
      <c r="C83" s="135"/>
      <c r="E83" s="176"/>
      <c r="G83" s="90"/>
      <c r="H83" s="90"/>
      <c r="I83" s="82"/>
      <c r="J83" s="137"/>
      <c r="K83" s="82"/>
      <c r="L83" s="240"/>
      <c r="M83" s="80"/>
      <c r="N83" s="271"/>
      <c r="O83" s="139"/>
      <c r="Q83" s="142"/>
      <c r="R83" s="57"/>
      <c r="S83" s="80"/>
      <c r="U83" s="142"/>
      <c r="V83" s="142"/>
      <c r="Z83" s="143"/>
      <c r="AA83" s="144"/>
      <c r="AB83" s="145"/>
      <c r="AC83" s="145"/>
      <c r="AD83" s="145"/>
      <c r="AE83" s="145"/>
      <c r="AF83" s="145"/>
      <c r="AG83" s="145"/>
      <c r="AH83" s="145"/>
      <c r="AK83" s="88"/>
      <c r="AL83" s="57"/>
      <c r="AM83" s="57"/>
    </row>
    <row r="84" spans="2:39" ht="15.75" customHeight="1">
      <c r="B84" s="136"/>
      <c r="C84" s="135"/>
      <c r="E84" s="176"/>
      <c r="G84" s="90"/>
      <c r="H84" s="90"/>
      <c r="I84" s="82"/>
      <c r="J84" s="137"/>
      <c r="K84" s="82"/>
      <c r="L84" s="240"/>
      <c r="M84" s="80"/>
      <c r="N84" s="271"/>
      <c r="O84" s="139"/>
      <c r="Q84" s="142"/>
      <c r="R84" s="57"/>
      <c r="S84" s="80"/>
      <c r="U84" s="142"/>
      <c r="V84" s="142"/>
      <c r="Z84" s="143"/>
      <c r="AA84" s="144"/>
      <c r="AB84" s="145"/>
      <c r="AC84" s="145"/>
      <c r="AD84" s="145"/>
      <c r="AE84" s="145"/>
      <c r="AF84" s="145"/>
      <c r="AG84" s="145"/>
      <c r="AH84" s="145"/>
      <c r="AK84" s="88"/>
      <c r="AL84" s="57"/>
      <c r="AM84" s="57"/>
    </row>
    <row r="85" spans="2:39" ht="15.75" customHeight="1">
      <c r="B85" s="136"/>
      <c r="C85" s="135"/>
      <c r="E85" s="176"/>
      <c r="G85" s="90"/>
      <c r="H85" s="90"/>
      <c r="I85" s="82"/>
      <c r="J85" s="137"/>
      <c r="K85" s="82"/>
      <c r="L85" s="240"/>
      <c r="M85" s="80"/>
      <c r="N85" s="271"/>
      <c r="O85" s="139"/>
      <c r="Q85" s="142"/>
      <c r="R85" s="57"/>
      <c r="S85" s="80"/>
      <c r="U85" s="142"/>
      <c r="V85" s="142"/>
      <c r="Z85" s="143"/>
      <c r="AA85" s="144"/>
      <c r="AB85" s="145"/>
      <c r="AC85" s="145"/>
      <c r="AD85" s="145"/>
      <c r="AE85" s="145"/>
      <c r="AF85" s="145"/>
      <c r="AG85" s="145"/>
      <c r="AH85" s="145"/>
      <c r="AK85" s="88"/>
      <c r="AL85" s="57"/>
      <c r="AM85" s="57"/>
    </row>
    <row r="86" spans="2:39" ht="15.75" customHeight="1">
      <c r="B86" s="136"/>
      <c r="C86" s="135"/>
      <c r="E86" s="176"/>
      <c r="G86" s="90"/>
      <c r="H86" s="90"/>
      <c r="I86" s="82"/>
      <c r="J86" s="137"/>
      <c r="K86" s="82"/>
      <c r="L86" s="240"/>
      <c r="M86" s="80"/>
      <c r="N86" s="271"/>
      <c r="O86" s="139"/>
      <c r="Q86" s="142"/>
      <c r="R86" s="57"/>
      <c r="S86" s="80"/>
      <c r="U86" s="142"/>
      <c r="V86" s="142"/>
      <c r="Z86" s="143"/>
      <c r="AA86" s="144"/>
      <c r="AB86" s="145"/>
      <c r="AC86" s="145"/>
      <c r="AD86" s="145"/>
      <c r="AE86" s="145"/>
      <c r="AF86" s="145"/>
      <c r="AG86" s="145"/>
      <c r="AH86" s="145"/>
      <c r="AK86" s="88"/>
      <c r="AL86" s="57"/>
      <c r="AM86" s="57"/>
    </row>
    <row r="87" spans="2:39" ht="15.75" customHeight="1">
      <c r="B87" s="136"/>
      <c r="C87" s="135"/>
      <c r="E87" s="176"/>
      <c r="G87" s="90"/>
      <c r="H87" s="90"/>
      <c r="I87" s="82"/>
      <c r="J87" s="137"/>
      <c r="K87" s="82"/>
      <c r="L87" s="240"/>
      <c r="M87" s="80"/>
      <c r="N87" s="271"/>
      <c r="O87" s="139"/>
      <c r="Q87" s="142"/>
      <c r="R87" s="57"/>
      <c r="S87" s="80"/>
      <c r="U87" s="142"/>
      <c r="V87" s="142"/>
      <c r="Z87" s="143"/>
      <c r="AA87" s="144"/>
      <c r="AB87" s="145"/>
      <c r="AC87" s="145"/>
      <c r="AD87" s="145"/>
      <c r="AE87" s="145"/>
      <c r="AF87" s="145"/>
      <c r="AG87" s="145"/>
      <c r="AH87" s="145"/>
      <c r="AK87" s="88"/>
      <c r="AL87" s="57"/>
      <c r="AM87" s="57"/>
    </row>
    <row r="88" spans="2:39" ht="15.75" customHeight="1">
      <c r="B88" s="136"/>
      <c r="C88" s="135"/>
      <c r="E88" s="176"/>
      <c r="G88" s="90"/>
      <c r="H88" s="90"/>
      <c r="I88" s="82"/>
      <c r="J88" s="137"/>
      <c r="K88" s="82"/>
      <c r="L88" s="240"/>
      <c r="M88" s="80"/>
      <c r="N88" s="271"/>
      <c r="O88" s="139"/>
      <c r="Q88" s="142"/>
      <c r="R88" s="57"/>
      <c r="S88" s="80"/>
      <c r="U88" s="142"/>
      <c r="V88" s="142"/>
      <c r="Z88" s="143"/>
      <c r="AA88" s="144"/>
      <c r="AB88" s="145"/>
      <c r="AC88" s="145"/>
      <c r="AD88" s="145"/>
      <c r="AE88" s="145"/>
      <c r="AF88" s="145"/>
      <c r="AG88" s="145"/>
      <c r="AH88" s="145"/>
      <c r="AK88" s="88"/>
      <c r="AL88" s="57"/>
      <c r="AM88" s="57"/>
    </row>
    <row r="89" spans="2:39" ht="15.75" customHeight="1">
      <c r="B89" s="136"/>
      <c r="C89" s="135"/>
      <c r="E89" s="176"/>
      <c r="G89" s="90"/>
      <c r="H89" s="90"/>
      <c r="I89" s="82"/>
      <c r="J89" s="137"/>
      <c r="K89" s="82"/>
      <c r="L89" s="240"/>
      <c r="M89" s="80"/>
      <c r="N89" s="271"/>
      <c r="O89" s="139"/>
      <c r="Q89" s="142"/>
      <c r="R89" s="57"/>
      <c r="S89" s="80"/>
      <c r="U89" s="142"/>
      <c r="V89" s="142"/>
      <c r="Z89" s="143"/>
      <c r="AA89" s="144"/>
      <c r="AB89" s="145"/>
      <c r="AC89" s="145"/>
      <c r="AD89" s="145"/>
      <c r="AE89" s="145"/>
      <c r="AF89" s="145"/>
      <c r="AG89" s="145"/>
      <c r="AH89" s="145"/>
      <c r="AK89" s="88"/>
      <c r="AL89" s="57"/>
      <c r="AM89" s="57"/>
    </row>
    <row r="90" spans="2:39" ht="15.75" customHeight="1">
      <c r="B90" s="136"/>
      <c r="C90" s="135"/>
      <c r="E90" s="176"/>
      <c r="G90" s="90"/>
      <c r="H90" s="90"/>
      <c r="I90" s="82"/>
      <c r="J90" s="137"/>
      <c r="K90" s="82"/>
      <c r="L90" s="240"/>
      <c r="M90" s="80"/>
      <c r="N90" s="271"/>
      <c r="O90" s="139"/>
      <c r="Q90" s="142"/>
      <c r="R90" s="57"/>
      <c r="S90" s="80"/>
      <c r="U90" s="142"/>
      <c r="V90" s="142"/>
      <c r="Z90" s="143"/>
      <c r="AA90" s="144"/>
      <c r="AB90" s="145"/>
      <c r="AC90" s="145"/>
      <c r="AD90" s="145"/>
      <c r="AE90" s="145"/>
      <c r="AF90" s="145"/>
      <c r="AG90" s="145"/>
      <c r="AH90" s="145"/>
      <c r="AK90" s="88"/>
      <c r="AL90" s="57"/>
      <c r="AM90" s="57"/>
    </row>
    <row r="91" spans="2:39" ht="15.75" customHeight="1">
      <c r="B91" s="136"/>
      <c r="C91" s="135"/>
      <c r="E91" s="176"/>
      <c r="G91" s="90"/>
      <c r="H91" s="90"/>
      <c r="I91" s="82"/>
      <c r="J91" s="137"/>
      <c r="K91" s="82"/>
      <c r="L91" s="240"/>
      <c r="M91" s="80"/>
      <c r="N91" s="271"/>
      <c r="O91" s="139"/>
      <c r="Q91" s="142"/>
      <c r="R91" s="57"/>
      <c r="S91" s="80"/>
      <c r="U91" s="142"/>
      <c r="V91" s="142"/>
      <c r="Z91" s="143"/>
      <c r="AA91" s="144"/>
      <c r="AB91" s="145"/>
      <c r="AC91" s="145"/>
      <c r="AD91" s="145"/>
      <c r="AE91" s="145"/>
      <c r="AF91" s="145"/>
      <c r="AG91" s="145"/>
      <c r="AH91" s="145"/>
      <c r="AK91" s="88"/>
      <c r="AL91" s="57"/>
      <c r="AM91" s="57"/>
    </row>
    <row r="92" spans="2:39" ht="15.75" customHeight="1">
      <c r="B92" s="136"/>
      <c r="C92" s="135"/>
      <c r="E92" s="176"/>
      <c r="G92" s="90"/>
      <c r="H92" s="90"/>
      <c r="I92" s="82"/>
      <c r="J92" s="137"/>
      <c r="K92" s="82"/>
      <c r="L92" s="240"/>
      <c r="M92" s="80"/>
      <c r="N92" s="271"/>
      <c r="O92" s="139"/>
      <c r="Q92" s="142"/>
      <c r="R92" s="57"/>
      <c r="S92" s="80"/>
      <c r="U92" s="142"/>
      <c r="V92" s="142"/>
      <c r="Z92" s="143"/>
      <c r="AA92" s="144"/>
      <c r="AB92" s="145"/>
      <c r="AC92" s="145"/>
      <c r="AD92" s="145"/>
      <c r="AE92" s="145"/>
      <c r="AF92" s="145"/>
      <c r="AG92" s="145"/>
      <c r="AH92" s="145"/>
      <c r="AK92" s="88"/>
      <c r="AL92" s="57"/>
      <c r="AM92" s="57"/>
    </row>
    <row r="93" spans="2:39" ht="15.75" customHeight="1">
      <c r="B93" s="136"/>
      <c r="C93" s="135"/>
      <c r="E93" s="176"/>
      <c r="G93" s="90"/>
      <c r="H93" s="90"/>
      <c r="I93" s="82"/>
      <c r="J93" s="137"/>
      <c r="K93" s="82"/>
      <c r="L93" s="240"/>
      <c r="M93" s="80"/>
      <c r="N93" s="271"/>
      <c r="O93" s="139"/>
      <c r="Q93" s="142"/>
      <c r="R93" s="57"/>
      <c r="S93" s="80"/>
      <c r="U93" s="142"/>
      <c r="V93" s="142"/>
      <c r="Z93" s="143"/>
      <c r="AA93" s="144"/>
      <c r="AB93" s="145"/>
      <c r="AC93" s="145"/>
      <c r="AD93" s="145"/>
      <c r="AE93" s="145"/>
      <c r="AF93" s="145"/>
      <c r="AG93" s="145"/>
      <c r="AH93" s="145"/>
      <c r="AK93" s="88"/>
      <c r="AL93" s="57"/>
      <c r="AM93" s="57"/>
    </row>
    <row r="94" spans="2:39" ht="15.75" customHeight="1">
      <c r="B94" s="136"/>
      <c r="C94" s="135"/>
      <c r="E94" s="176"/>
      <c r="G94" s="90"/>
      <c r="H94" s="90"/>
      <c r="I94" s="82"/>
      <c r="J94" s="137"/>
      <c r="K94" s="82"/>
      <c r="L94" s="240"/>
      <c r="M94" s="80"/>
      <c r="N94" s="271"/>
      <c r="O94" s="139"/>
      <c r="Q94" s="142"/>
      <c r="R94" s="57"/>
      <c r="S94" s="80"/>
      <c r="U94" s="142"/>
      <c r="V94" s="142"/>
      <c r="Z94" s="143"/>
      <c r="AA94" s="144"/>
      <c r="AB94" s="145"/>
      <c r="AC94" s="145"/>
      <c r="AD94" s="145"/>
      <c r="AE94" s="145"/>
      <c r="AF94" s="145"/>
      <c r="AG94" s="145"/>
      <c r="AH94" s="145"/>
      <c r="AK94" s="88"/>
      <c r="AL94" s="57"/>
      <c r="AM94" s="57"/>
    </row>
    <row r="95" spans="2:39" ht="15.75" customHeight="1">
      <c r="B95" s="136"/>
      <c r="C95" s="135"/>
      <c r="E95" s="176"/>
      <c r="G95" s="90"/>
      <c r="H95" s="90"/>
      <c r="I95" s="82"/>
      <c r="J95" s="137"/>
      <c r="K95" s="82"/>
      <c r="L95" s="240"/>
      <c r="M95" s="80"/>
      <c r="N95" s="271"/>
      <c r="O95" s="139"/>
      <c r="Q95" s="142"/>
      <c r="R95" s="57"/>
      <c r="S95" s="80"/>
      <c r="U95" s="142"/>
      <c r="V95" s="142"/>
      <c r="Z95" s="143"/>
      <c r="AA95" s="144"/>
      <c r="AB95" s="145"/>
      <c r="AC95" s="145"/>
      <c r="AD95" s="145"/>
      <c r="AE95" s="145"/>
      <c r="AF95" s="145"/>
      <c r="AG95" s="145"/>
      <c r="AH95" s="145"/>
      <c r="AK95" s="88"/>
      <c r="AL95" s="57"/>
      <c r="AM95" s="57"/>
    </row>
    <row r="96" spans="2:39" ht="15.75" customHeight="1">
      <c r="B96" s="136"/>
      <c r="C96" s="135"/>
      <c r="E96" s="176"/>
      <c r="G96" s="90"/>
      <c r="H96" s="90"/>
      <c r="I96" s="82"/>
      <c r="J96" s="137"/>
      <c r="K96" s="82"/>
      <c r="L96" s="240"/>
      <c r="M96" s="80"/>
      <c r="N96" s="271"/>
      <c r="O96" s="139"/>
      <c r="Q96" s="142"/>
      <c r="R96" s="57"/>
      <c r="S96" s="80"/>
      <c r="U96" s="142"/>
      <c r="V96" s="142"/>
      <c r="Z96" s="143"/>
      <c r="AA96" s="144"/>
      <c r="AB96" s="145"/>
      <c r="AC96" s="145"/>
      <c r="AD96" s="145"/>
      <c r="AE96" s="145"/>
      <c r="AF96" s="145"/>
      <c r="AG96" s="145"/>
      <c r="AH96" s="145"/>
      <c r="AK96" s="88"/>
      <c r="AL96" s="57"/>
      <c r="AM96" s="57"/>
    </row>
    <row r="97" spans="2:39" ht="15.75" customHeight="1">
      <c r="B97" s="136"/>
      <c r="C97" s="135"/>
      <c r="E97" s="176"/>
      <c r="G97" s="90"/>
      <c r="H97" s="90"/>
      <c r="I97" s="82"/>
      <c r="J97" s="137"/>
      <c r="K97" s="82"/>
      <c r="L97" s="240"/>
      <c r="M97" s="80"/>
      <c r="N97" s="271"/>
      <c r="O97" s="139"/>
      <c r="Q97" s="142"/>
      <c r="R97" s="57"/>
      <c r="S97" s="80"/>
      <c r="U97" s="142"/>
      <c r="V97" s="142"/>
      <c r="Z97" s="143"/>
      <c r="AA97" s="144"/>
      <c r="AB97" s="145"/>
      <c r="AC97" s="145"/>
      <c r="AD97" s="145"/>
      <c r="AE97" s="145"/>
      <c r="AF97" s="145"/>
      <c r="AG97" s="145"/>
      <c r="AH97" s="145"/>
      <c r="AK97" s="88"/>
      <c r="AL97" s="57"/>
      <c r="AM97" s="57"/>
    </row>
    <row r="98" spans="2:39" ht="15.75" customHeight="1">
      <c r="B98" s="136"/>
      <c r="C98" s="135"/>
      <c r="E98" s="176"/>
      <c r="G98" s="90"/>
      <c r="H98" s="90"/>
      <c r="I98" s="82"/>
      <c r="J98" s="137"/>
      <c r="K98" s="82"/>
      <c r="L98" s="240"/>
      <c r="M98" s="80"/>
      <c r="N98" s="271"/>
      <c r="O98" s="139"/>
      <c r="Q98" s="142"/>
      <c r="R98" s="57"/>
      <c r="S98" s="80"/>
      <c r="U98" s="142"/>
      <c r="V98" s="142"/>
      <c r="Z98" s="143"/>
      <c r="AA98" s="144"/>
      <c r="AB98" s="145"/>
      <c r="AC98" s="145"/>
      <c r="AD98" s="145"/>
      <c r="AE98" s="145"/>
      <c r="AF98" s="145"/>
      <c r="AG98" s="145"/>
      <c r="AH98" s="145"/>
      <c r="AK98" s="88"/>
      <c r="AL98" s="57"/>
      <c r="AM98" s="57"/>
    </row>
    <row r="99" spans="2:39" ht="15.75" customHeight="1">
      <c r="B99" s="136"/>
      <c r="C99" s="135"/>
      <c r="E99" s="176"/>
      <c r="G99" s="90"/>
      <c r="H99" s="90"/>
      <c r="I99" s="82"/>
      <c r="J99" s="137"/>
      <c r="K99" s="82"/>
      <c r="L99" s="240"/>
      <c r="M99" s="80"/>
      <c r="N99" s="271"/>
      <c r="O99" s="139"/>
      <c r="Q99" s="142"/>
      <c r="R99" s="57"/>
      <c r="S99" s="80"/>
      <c r="U99" s="142"/>
      <c r="V99" s="142"/>
      <c r="Z99" s="143"/>
      <c r="AA99" s="144"/>
      <c r="AB99" s="145"/>
      <c r="AC99" s="145"/>
      <c r="AD99" s="145"/>
      <c r="AE99" s="145"/>
      <c r="AF99" s="145"/>
      <c r="AG99" s="145"/>
      <c r="AH99" s="145"/>
      <c r="AK99" s="88"/>
      <c r="AL99" s="57"/>
      <c r="AM99" s="57"/>
    </row>
    <row r="100" spans="2:39" ht="15.75" customHeight="1">
      <c r="B100" s="136"/>
      <c r="C100" s="135"/>
      <c r="E100" s="176"/>
      <c r="G100" s="90"/>
      <c r="H100" s="90"/>
      <c r="I100" s="82"/>
      <c r="J100" s="137"/>
      <c r="K100" s="82"/>
      <c r="L100" s="240"/>
      <c r="M100" s="80"/>
      <c r="N100" s="271"/>
      <c r="O100" s="139"/>
      <c r="Q100" s="142"/>
      <c r="R100" s="57"/>
      <c r="S100" s="80"/>
      <c r="U100" s="142"/>
      <c r="V100" s="142"/>
      <c r="Z100" s="143"/>
      <c r="AA100" s="144"/>
      <c r="AB100" s="145"/>
      <c r="AC100" s="145"/>
      <c r="AD100" s="145"/>
      <c r="AE100" s="145"/>
      <c r="AF100" s="145"/>
      <c r="AG100" s="145"/>
      <c r="AH100" s="145"/>
      <c r="AK100" s="88"/>
      <c r="AL100" s="57"/>
      <c r="AM100" s="57"/>
    </row>
    <row r="101" spans="2:39" ht="15.75" customHeight="1">
      <c r="B101" s="136"/>
      <c r="C101" s="135"/>
      <c r="E101" s="176"/>
      <c r="G101" s="90"/>
      <c r="H101" s="90"/>
      <c r="I101" s="82"/>
      <c r="J101" s="137"/>
      <c r="K101" s="82"/>
      <c r="L101" s="240"/>
      <c r="M101" s="80"/>
      <c r="N101" s="271"/>
      <c r="O101" s="139"/>
      <c r="Q101" s="142"/>
      <c r="R101" s="57"/>
      <c r="S101" s="80"/>
      <c r="U101" s="142"/>
      <c r="V101" s="142"/>
      <c r="Z101" s="143"/>
      <c r="AA101" s="144"/>
      <c r="AB101" s="145"/>
      <c r="AC101" s="145"/>
      <c r="AD101" s="145"/>
      <c r="AE101" s="145"/>
      <c r="AF101" s="145"/>
      <c r="AG101" s="145"/>
      <c r="AH101" s="145"/>
      <c r="AK101" s="88"/>
      <c r="AL101" s="57"/>
      <c r="AM101" s="57"/>
    </row>
    <row r="102" spans="2:39" ht="15.75" customHeight="1">
      <c r="B102" s="136"/>
      <c r="C102" s="135"/>
      <c r="E102" s="176"/>
      <c r="G102" s="90"/>
      <c r="H102" s="90"/>
      <c r="I102" s="82"/>
      <c r="J102" s="137"/>
      <c r="K102" s="82"/>
      <c r="L102" s="240"/>
      <c r="M102" s="80"/>
      <c r="N102" s="271"/>
      <c r="O102" s="139"/>
      <c r="Q102" s="142"/>
      <c r="R102" s="57"/>
      <c r="S102" s="80"/>
      <c r="U102" s="142"/>
      <c r="V102" s="142"/>
      <c r="Z102" s="143"/>
      <c r="AA102" s="144"/>
      <c r="AB102" s="145"/>
      <c r="AC102" s="145"/>
      <c r="AD102" s="145"/>
      <c r="AE102" s="145"/>
      <c r="AF102" s="145"/>
      <c r="AG102" s="145"/>
      <c r="AH102" s="145"/>
      <c r="AK102" s="88"/>
      <c r="AL102" s="57"/>
      <c r="AM102" s="57"/>
    </row>
    <row r="103" spans="2:39" ht="15.75" customHeight="1">
      <c r="B103" s="136"/>
      <c r="C103" s="135"/>
      <c r="E103" s="176"/>
      <c r="G103" s="90"/>
      <c r="H103" s="90"/>
      <c r="I103" s="82"/>
      <c r="J103" s="137"/>
      <c r="K103" s="82"/>
      <c r="L103" s="240"/>
      <c r="M103" s="80"/>
      <c r="N103" s="271"/>
      <c r="O103" s="139"/>
      <c r="Q103" s="142"/>
      <c r="R103" s="57"/>
      <c r="S103" s="80"/>
      <c r="U103" s="142"/>
      <c r="V103" s="142"/>
      <c r="Z103" s="143"/>
      <c r="AA103" s="144"/>
      <c r="AB103" s="145"/>
      <c r="AC103" s="145"/>
      <c r="AD103" s="145"/>
      <c r="AE103" s="145"/>
      <c r="AF103" s="145"/>
      <c r="AG103" s="145"/>
      <c r="AH103" s="145"/>
      <c r="AK103" s="88"/>
      <c r="AL103" s="57"/>
      <c r="AM103" s="57"/>
    </row>
    <row r="104" spans="2:39" ht="15.75" customHeight="1">
      <c r="B104" s="136"/>
      <c r="C104" s="135"/>
      <c r="E104" s="176"/>
      <c r="G104" s="90"/>
      <c r="H104" s="90"/>
      <c r="I104" s="82"/>
      <c r="J104" s="137"/>
      <c r="K104" s="82"/>
      <c r="L104" s="240"/>
      <c r="M104" s="80"/>
      <c r="N104" s="271"/>
      <c r="O104" s="139"/>
      <c r="Q104" s="142"/>
      <c r="R104" s="57"/>
      <c r="S104" s="80"/>
      <c r="U104" s="142"/>
      <c r="V104" s="142"/>
      <c r="Z104" s="143"/>
      <c r="AA104" s="144"/>
      <c r="AB104" s="145"/>
      <c r="AC104" s="145"/>
      <c r="AD104" s="145"/>
      <c r="AE104" s="145"/>
      <c r="AF104" s="145"/>
      <c r="AG104" s="145"/>
      <c r="AH104" s="145"/>
      <c r="AK104" s="88"/>
      <c r="AL104" s="57"/>
      <c r="AM104" s="57"/>
    </row>
    <row r="105" spans="2:39" ht="15.75" customHeight="1">
      <c r="B105" s="136"/>
      <c r="C105" s="135"/>
      <c r="E105" s="176"/>
      <c r="G105" s="90"/>
      <c r="H105" s="90"/>
      <c r="I105" s="82"/>
      <c r="J105" s="137"/>
      <c r="K105" s="82"/>
      <c r="L105" s="240"/>
      <c r="M105" s="80"/>
      <c r="N105" s="271"/>
      <c r="O105" s="139"/>
      <c r="Q105" s="142"/>
      <c r="R105" s="57"/>
      <c r="S105" s="80"/>
      <c r="U105" s="142"/>
      <c r="V105" s="142"/>
      <c r="Z105" s="143"/>
      <c r="AA105" s="144"/>
      <c r="AB105" s="145"/>
      <c r="AC105" s="145"/>
      <c r="AD105" s="145"/>
      <c r="AE105" s="145"/>
      <c r="AF105" s="145"/>
      <c r="AG105" s="145"/>
      <c r="AH105" s="145"/>
      <c r="AK105" s="88"/>
      <c r="AL105" s="57"/>
      <c r="AM105" s="57"/>
    </row>
    <row r="106" spans="2:39" ht="15.75" customHeight="1">
      <c r="B106" s="136"/>
      <c r="C106" s="135"/>
      <c r="E106" s="176"/>
      <c r="G106" s="90"/>
      <c r="H106" s="90"/>
      <c r="I106" s="82"/>
      <c r="J106" s="137"/>
      <c r="K106" s="82"/>
      <c r="L106" s="240"/>
      <c r="M106" s="80"/>
      <c r="N106" s="271"/>
      <c r="O106" s="139"/>
      <c r="Q106" s="142"/>
      <c r="R106" s="57"/>
      <c r="S106" s="80"/>
      <c r="U106" s="142"/>
      <c r="V106" s="142"/>
      <c r="Z106" s="143"/>
      <c r="AA106" s="144"/>
      <c r="AB106" s="145"/>
      <c r="AC106" s="145"/>
      <c r="AD106" s="145"/>
      <c r="AE106" s="145"/>
      <c r="AF106" s="145"/>
      <c r="AG106" s="145"/>
      <c r="AH106" s="145"/>
      <c r="AK106" s="88"/>
      <c r="AL106" s="57"/>
      <c r="AM106" s="57"/>
    </row>
    <row r="107" spans="2:39" ht="15.75" customHeight="1">
      <c r="B107" s="136"/>
      <c r="C107" s="135"/>
      <c r="E107" s="176"/>
      <c r="G107" s="90"/>
      <c r="H107" s="90"/>
      <c r="I107" s="82"/>
      <c r="J107" s="137"/>
      <c r="K107" s="82"/>
      <c r="L107" s="240"/>
      <c r="M107" s="80"/>
      <c r="N107" s="271"/>
      <c r="O107" s="139"/>
      <c r="Q107" s="142"/>
      <c r="R107" s="57"/>
      <c r="S107" s="80"/>
      <c r="U107" s="142"/>
      <c r="V107" s="142"/>
      <c r="Z107" s="143"/>
      <c r="AA107" s="144"/>
      <c r="AB107" s="145"/>
      <c r="AC107" s="145"/>
      <c r="AD107" s="145"/>
      <c r="AE107" s="145"/>
      <c r="AF107" s="145"/>
      <c r="AG107" s="145"/>
      <c r="AH107" s="145"/>
      <c r="AK107" s="88"/>
      <c r="AL107" s="57"/>
      <c r="AM107" s="57"/>
    </row>
    <row r="108" spans="2:39" ht="15.75" customHeight="1">
      <c r="B108" s="136"/>
      <c r="AB108" s="83"/>
      <c r="AC108" s="83"/>
      <c r="AD108" s="83"/>
      <c r="AE108" s="83"/>
      <c r="AF108" s="83"/>
      <c r="AG108" s="83"/>
      <c r="AH108" s="83"/>
      <c r="AK108" s="88"/>
      <c r="AL108" s="57"/>
      <c r="AM108" s="57"/>
    </row>
    <row r="109" spans="2:39" ht="15.75" customHeight="1">
      <c r="B109" s="136"/>
      <c r="AB109" s="83"/>
      <c r="AC109" s="83"/>
      <c r="AD109" s="83"/>
      <c r="AE109" s="83"/>
      <c r="AF109" s="83"/>
      <c r="AG109" s="83"/>
      <c r="AH109" s="83"/>
      <c r="AK109" s="88"/>
      <c r="AL109" s="57"/>
      <c r="AM109" s="57"/>
    </row>
    <row r="110" spans="2:39" ht="15.75" customHeight="1">
      <c r="B110" s="136"/>
      <c r="AB110" s="83"/>
      <c r="AC110" s="83"/>
      <c r="AD110" s="83"/>
      <c r="AE110" s="83"/>
      <c r="AF110" s="83"/>
      <c r="AG110" s="83"/>
      <c r="AH110" s="83"/>
      <c r="AK110" s="88"/>
      <c r="AL110" s="57"/>
      <c r="AM110" s="57"/>
    </row>
    <row r="111" spans="2:39" ht="15.75" customHeight="1">
      <c r="B111" s="136"/>
      <c r="AB111" s="83"/>
      <c r="AC111" s="83"/>
      <c r="AD111" s="83"/>
      <c r="AE111" s="83"/>
      <c r="AF111" s="83"/>
      <c r="AG111" s="83"/>
      <c r="AH111" s="83"/>
      <c r="AK111" s="88"/>
      <c r="AL111" s="57"/>
      <c r="AM111" s="57"/>
    </row>
    <row r="112" spans="2:39" ht="15.75" customHeight="1">
      <c r="B112" s="136"/>
      <c r="AB112" s="83"/>
      <c r="AC112" s="83"/>
      <c r="AD112" s="83"/>
      <c r="AE112" s="83"/>
      <c r="AF112" s="83"/>
      <c r="AG112" s="83"/>
      <c r="AH112" s="83"/>
      <c r="AK112" s="88"/>
      <c r="AL112" s="57"/>
      <c r="AM112" s="57"/>
    </row>
    <row r="113" spans="2:39" ht="15.75" customHeight="1">
      <c r="B113" s="136"/>
      <c r="AB113" s="83"/>
      <c r="AC113" s="83"/>
      <c r="AD113" s="83"/>
      <c r="AE113" s="83"/>
      <c r="AF113" s="83"/>
      <c r="AG113" s="83"/>
      <c r="AH113" s="83"/>
      <c r="AK113" s="88"/>
      <c r="AL113" s="57"/>
      <c r="AM113" s="57"/>
    </row>
    <row r="114" spans="2:39" ht="15.75" customHeight="1">
      <c r="B114" s="136"/>
      <c r="AB114" s="83"/>
      <c r="AC114" s="83"/>
      <c r="AD114" s="83"/>
      <c r="AE114" s="83"/>
      <c r="AF114" s="83"/>
      <c r="AG114" s="83"/>
      <c r="AH114" s="83"/>
      <c r="AK114" s="88"/>
      <c r="AL114" s="57"/>
      <c r="AM114" s="57"/>
    </row>
    <row r="115" spans="2:39" ht="15.75" customHeight="1">
      <c r="B115" s="136"/>
      <c r="AB115" s="83"/>
      <c r="AC115" s="83"/>
      <c r="AD115" s="83"/>
      <c r="AE115" s="83"/>
      <c r="AF115" s="83"/>
      <c r="AG115" s="83"/>
      <c r="AH115" s="83"/>
      <c r="AK115" s="88"/>
      <c r="AL115" s="57"/>
      <c r="AM115" s="57"/>
    </row>
    <row r="116" spans="2:39" ht="15.75" customHeight="1">
      <c r="B116" s="136"/>
      <c r="AB116" s="83"/>
      <c r="AC116" s="83"/>
      <c r="AD116" s="83"/>
      <c r="AE116" s="83"/>
      <c r="AF116" s="83"/>
      <c r="AG116" s="83"/>
      <c r="AH116" s="83"/>
      <c r="AK116" s="88"/>
      <c r="AL116" s="57"/>
      <c r="AM116" s="57"/>
    </row>
    <row r="117" spans="2:39" ht="15.75" customHeight="1">
      <c r="B117" s="136"/>
      <c r="AB117" s="83"/>
      <c r="AC117" s="83"/>
      <c r="AD117" s="83"/>
      <c r="AE117" s="83"/>
      <c r="AF117" s="83"/>
      <c r="AG117" s="83"/>
      <c r="AH117" s="83"/>
      <c r="AK117" s="88"/>
      <c r="AL117" s="57"/>
      <c r="AM117" s="57"/>
    </row>
    <row r="118" spans="2:39" ht="15.75" customHeight="1">
      <c r="B118" s="136"/>
      <c r="AB118" s="83"/>
      <c r="AC118" s="83"/>
      <c r="AD118" s="83"/>
      <c r="AE118" s="83"/>
      <c r="AF118" s="83"/>
      <c r="AG118" s="83"/>
      <c r="AH118" s="83"/>
      <c r="AK118" s="88"/>
      <c r="AL118" s="57"/>
      <c r="AM118" s="57"/>
    </row>
    <row r="119" spans="2:39" ht="15.75" customHeight="1">
      <c r="B119" s="136"/>
      <c r="AB119" s="83"/>
      <c r="AC119" s="83"/>
      <c r="AD119" s="83"/>
      <c r="AE119" s="83"/>
      <c r="AF119" s="83"/>
      <c r="AG119" s="83"/>
      <c r="AH119" s="83"/>
      <c r="AK119" s="88"/>
      <c r="AL119" s="57"/>
      <c r="AM119" s="57"/>
    </row>
    <row r="120" spans="2:39" ht="15.75" customHeight="1">
      <c r="B120" s="136"/>
      <c r="AB120" s="83"/>
      <c r="AC120" s="83"/>
      <c r="AD120" s="83"/>
      <c r="AE120" s="83"/>
      <c r="AF120" s="83"/>
      <c r="AG120" s="83"/>
      <c r="AH120" s="83"/>
      <c r="AK120" s="88"/>
      <c r="AL120" s="57"/>
      <c r="AM120" s="57"/>
    </row>
    <row r="121" spans="2:39" ht="15.75" customHeight="1">
      <c r="B121" s="136"/>
      <c r="AB121" s="83"/>
      <c r="AC121" s="83"/>
      <c r="AD121" s="83"/>
      <c r="AE121" s="83"/>
      <c r="AF121" s="83"/>
      <c r="AG121" s="83"/>
      <c r="AH121" s="83"/>
      <c r="AK121" s="88"/>
      <c r="AL121" s="57"/>
      <c r="AM121" s="57"/>
    </row>
    <row r="122" spans="2:39" ht="15.75" customHeight="1">
      <c r="B122" s="136"/>
      <c r="AB122" s="83"/>
      <c r="AC122" s="83"/>
      <c r="AD122" s="83"/>
      <c r="AE122" s="83"/>
      <c r="AF122" s="83"/>
      <c r="AG122" s="83"/>
      <c r="AH122" s="83"/>
      <c r="AK122" s="88"/>
      <c r="AL122" s="57"/>
      <c r="AM122" s="57"/>
    </row>
    <row r="123" spans="2:39" ht="15.75" customHeight="1">
      <c r="B123" s="136"/>
      <c r="AB123" s="83"/>
      <c r="AC123" s="83"/>
      <c r="AD123" s="83"/>
      <c r="AE123" s="83"/>
      <c r="AF123" s="83"/>
      <c r="AG123" s="83"/>
      <c r="AH123" s="83"/>
      <c r="AK123" s="88"/>
      <c r="AL123" s="57"/>
      <c r="AM123" s="57"/>
    </row>
    <row r="124" spans="2:39" ht="15.75" customHeight="1">
      <c r="B124" s="136"/>
      <c r="AB124" s="83"/>
      <c r="AC124" s="83"/>
      <c r="AD124" s="83"/>
      <c r="AE124" s="83"/>
      <c r="AF124" s="83"/>
      <c r="AG124" s="83"/>
      <c r="AH124" s="83"/>
      <c r="AK124" s="88"/>
      <c r="AL124" s="57"/>
      <c r="AM124" s="57"/>
    </row>
    <row r="125" spans="2:39" ht="15.75" customHeight="1">
      <c r="B125" s="136"/>
      <c r="AB125" s="83"/>
      <c r="AC125" s="83"/>
      <c r="AD125" s="83"/>
      <c r="AE125" s="83"/>
      <c r="AF125" s="83"/>
      <c r="AG125" s="83"/>
      <c r="AH125" s="83"/>
      <c r="AK125" s="88"/>
      <c r="AL125" s="57"/>
      <c r="AM125" s="57"/>
    </row>
    <row r="126" spans="2:39" ht="15.75" customHeight="1">
      <c r="B126" s="136"/>
      <c r="AB126" s="83"/>
      <c r="AC126" s="83"/>
      <c r="AD126" s="83"/>
      <c r="AE126" s="83"/>
      <c r="AF126" s="83"/>
      <c r="AG126" s="83"/>
      <c r="AH126" s="83"/>
      <c r="AK126" s="88"/>
      <c r="AL126" s="57"/>
      <c r="AM126" s="57"/>
    </row>
    <row r="127" spans="2:39" ht="15.75" customHeight="1">
      <c r="B127" s="136"/>
      <c r="AB127" s="83"/>
      <c r="AC127" s="83"/>
      <c r="AD127" s="83"/>
      <c r="AE127" s="83"/>
      <c r="AF127" s="83"/>
      <c r="AG127" s="83"/>
      <c r="AH127" s="83"/>
      <c r="AK127" s="88"/>
      <c r="AL127" s="57"/>
      <c r="AM127" s="57"/>
    </row>
    <row r="128" spans="2:39" ht="15.75" customHeight="1">
      <c r="B128" s="136"/>
      <c r="AB128" s="83"/>
      <c r="AC128" s="83"/>
      <c r="AD128" s="83"/>
      <c r="AE128" s="83"/>
      <c r="AF128" s="83"/>
      <c r="AG128" s="83"/>
      <c r="AH128" s="83"/>
      <c r="AK128" s="88"/>
      <c r="AL128" s="57"/>
      <c r="AM128" s="57"/>
    </row>
    <row r="129" spans="2:39" ht="15.75" customHeight="1">
      <c r="B129" s="136"/>
      <c r="AB129" s="83"/>
      <c r="AC129" s="83"/>
      <c r="AD129" s="83"/>
      <c r="AE129" s="83"/>
      <c r="AF129" s="83"/>
      <c r="AG129" s="83"/>
      <c r="AH129" s="83"/>
      <c r="AK129" s="88"/>
      <c r="AL129" s="57"/>
      <c r="AM129" s="57"/>
    </row>
    <row r="130" spans="2:39" ht="15.75" customHeight="1">
      <c r="B130" s="135"/>
      <c r="AB130" s="83"/>
      <c r="AC130" s="83"/>
      <c r="AD130" s="83"/>
      <c r="AE130" s="83"/>
      <c r="AF130" s="83"/>
      <c r="AG130" s="83"/>
      <c r="AH130" s="83"/>
      <c r="AK130" s="88"/>
      <c r="AL130" s="57"/>
      <c r="AM130" s="57"/>
    </row>
    <row r="131" spans="2:39" ht="15.75" customHeight="1">
      <c r="B131" s="135"/>
      <c r="AB131" s="83"/>
      <c r="AC131" s="83"/>
      <c r="AD131" s="83"/>
      <c r="AE131" s="83"/>
      <c r="AF131" s="83"/>
      <c r="AG131" s="83"/>
      <c r="AH131" s="83"/>
      <c r="AK131" s="88"/>
      <c r="AL131" s="57"/>
      <c r="AM131" s="57"/>
    </row>
    <row r="132" spans="2:39" ht="15.75" customHeight="1">
      <c r="B132" s="135"/>
      <c r="AB132" s="83"/>
      <c r="AC132" s="83"/>
      <c r="AD132" s="83"/>
      <c r="AE132" s="83"/>
      <c r="AF132" s="83"/>
      <c r="AG132" s="83"/>
      <c r="AH132" s="83"/>
      <c r="AK132" s="88"/>
      <c r="AL132" s="57"/>
      <c r="AM132" s="57"/>
    </row>
    <row r="133" spans="2:39" ht="15.75" customHeight="1">
      <c r="B133" s="135"/>
      <c r="AB133" s="83"/>
      <c r="AC133" s="83"/>
      <c r="AD133" s="83"/>
      <c r="AE133" s="83"/>
      <c r="AF133" s="83"/>
      <c r="AG133" s="83"/>
      <c r="AH133" s="83"/>
      <c r="AK133" s="88"/>
      <c r="AL133" s="57"/>
      <c r="AM133" s="57"/>
    </row>
    <row r="134" spans="2:39" ht="15.75" customHeight="1">
      <c r="B134" s="135"/>
      <c r="AB134" s="83"/>
      <c r="AC134" s="83"/>
      <c r="AD134" s="83"/>
      <c r="AE134" s="83"/>
      <c r="AF134" s="83"/>
      <c r="AG134" s="83"/>
      <c r="AH134" s="83"/>
      <c r="AK134" s="88"/>
      <c r="AL134" s="57"/>
      <c r="AM134" s="57"/>
    </row>
    <row r="135" spans="2:39" ht="15.75" customHeight="1">
      <c r="B135" s="135"/>
      <c r="AB135" s="83"/>
      <c r="AC135" s="83"/>
      <c r="AD135" s="83"/>
      <c r="AE135" s="83"/>
      <c r="AF135" s="83"/>
      <c r="AG135" s="83"/>
      <c r="AH135" s="83"/>
      <c r="AK135" s="88"/>
      <c r="AL135" s="57"/>
      <c r="AM135" s="57"/>
    </row>
    <row r="136" spans="2:39" ht="15.75" customHeight="1">
      <c r="B136" s="135"/>
      <c r="AB136" s="83"/>
      <c r="AC136" s="83"/>
      <c r="AD136" s="83"/>
      <c r="AE136" s="83"/>
      <c r="AF136" s="83"/>
      <c r="AG136" s="83"/>
      <c r="AH136" s="83"/>
      <c r="AK136" s="88"/>
      <c r="AL136" s="57"/>
      <c r="AM136" s="57"/>
    </row>
    <row r="137" spans="2:39" ht="15.75" customHeight="1">
      <c r="B137" s="135"/>
      <c r="AB137" s="83"/>
      <c r="AC137" s="83"/>
      <c r="AD137" s="83"/>
      <c r="AE137" s="83"/>
      <c r="AF137" s="83"/>
      <c r="AG137" s="83"/>
      <c r="AH137" s="83"/>
      <c r="AK137" s="88"/>
      <c r="AL137" s="57"/>
      <c r="AM137" s="57"/>
    </row>
    <row r="138" spans="2:39" ht="15.75" customHeight="1">
      <c r="B138" s="135"/>
      <c r="AB138" s="83"/>
      <c r="AC138" s="83"/>
      <c r="AD138" s="83"/>
      <c r="AE138" s="83"/>
      <c r="AF138" s="83"/>
      <c r="AG138" s="83"/>
      <c r="AH138" s="83"/>
      <c r="AK138" s="88"/>
      <c r="AL138" s="57"/>
      <c r="AM138" s="57"/>
    </row>
    <row r="139" spans="2:39" ht="15.75" customHeight="1">
      <c r="B139" s="135"/>
      <c r="AB139" s="83"/>
      <c r="AC139" s="83"/>
      <c r="AD139" s="83"/>
      <c r="AE139" s="83"/>
      <c r="AF139" s="83"/>
      <c r="AG139" s="83"/>
      <c r="AH139" s="83"/>
      <c r="AK139" s="88"/>
      <c r="AL139" s="57"/>
      <c r="AM139" s="57"/>
    </row>
    <row r="140" spans="2:39" ht="15.75" customHeight="1">
      <c r="B140" s="135"/>
      <c r="AB140" s="83"/>
      <c r="AC140" s="83"/>
      <c r="AD140" s="83"/>
      <c r="AE140" s="83"/>
      <c r="AF140" s="83"/>
      <c r="AG140" s="83"/>
      <c r="AH140" s="83"/>
      <c r="AK140" s="88"/>
      <c r="AL140" s="57"/>
      <c r="AM140" s="57"/>
    </row>
    <row r="141" spans="2:39" ht="15.75" customHeight="1">
      <c r="B141" s="135"/>
      <c r="AB141" s="83"/>
      <c r="AC141" s="83"/>
      <c r="AD141" s="83"/>
      <c r="AE141" s="83"/>
      <c r="AF141" s="83"/>
      <c r="AG141" s="83"/>
      <c r="AH141" s="83"/>
      <c r="AK141" s="88"/>
      <c r="AL141" s="57"/>
      <c r="AM141" s="57"/>
    </row>
    <row r="142" spans="2:39" ht="15.75" customHeight="1">
      <c r="B142" s="135"/>
      <c r="AB142" s="83"/>
      <c r="AC142" s="83"/>
      <c r="AD142" s="83"/>
      <c r="AE142" s="83"/>
      <c r="AF142" s="83"/>
      <c r="AG142" s="83"/>
      <c r="AH142" s="83"/>
      <c r="AK142" s="88"/>
      <c r="AL142" s="57"/>
      <c r="AM142" s="57"/>
    </row>
    <row r="143" spans="2:39" ht="15.75" customHeight="1">
      <c r="B143" s="135"/>
      <c r="AB143" s="83"/>
      <c r="AC143" s="83"/>
      <c r="AD143" s="83"/>
      <c r="AE143" s="83"/>
      <c r="AF143" s="83"/>
      <c r="AG143" s="83"/>
      <c r="AH143" s="83"/>
      <c r="AK143" s="88"/>
      <c r="AL143" s="57"/>
      <c r="AM143" s="57"/>
    </row>
    <row r="144" spans="2:39" ht="15.75" customHeight="1">
      <c r="B144" s="135"/>
      <c r="AB144" s="83"/>
      <c r="AC144" s="83"/>
      <c r="AD144" s="83"/>
      <c r="AE144" s="83"/>
      <c r="AF144" s="83"/>
      <c r="AG144" s="83"/>
      <c r="AH144" s="83"/>
      <c r="AK144" s="88"/>
      <c r="AL144" s="57"/>
      <c r="AM144" s="57"/>
    </row>
    <row r="145" spans="2:39" ht="15.75" customHeight="1">
      <c r="B145" s="135"/>
      <c r="AB145" s="83"/>
      <c r="AC145" s="83"/>
      <c r="AD145" s="83"/>
      <c r="AE145" s="83"/>
      <c r="AF145" s="83"/>
      <c r="AG145" s="83"/>
      <c r="AH145" s="83"/>
      <c r="AK145" s="88"/>
      <c r="AL145" s="57"/>
      <c r="AM145" s="57"/>
    </row>
    <row r="146" spans="2:39" ht="15.75" customHeight="1">
      <c r="B146" s="135"/>
      <c r="AB146" s="83"/>
      <c r="AC146" s="83"/>
      <c r="AD146" s="83"/>
      <c r="AE146" s="83"/>
      <c r="AF146" s="83"/>
      <c r="AG146" s="83"/>
      <c r="AH146" s="83"/>
      <c r="AK146" s="88"/>
      <c r="AL146" s="57"/>
      <c r="AM146" s="57"/>
    </row>
    <row r="147" spans="2:39" ht="15.75" customHeight="1">
      <c r="B147" s="135"/>
      <c r="AB147" s="83"/>
      <c r="AC147" s="83"/>
      <c r="AD147" s="83"/>
      <c r="AE147" s="83"/>
      <c r="AF147" s="83"/>
      <c r="AG147" s="83"/>
      <c r="AH147" s="83"/>
      <c r="AK147" s="88"/>
      <c r="AL147" s="57"/>
      <c r="AM147" s="57"/>
    </row>
    <row r="148" spans="2:39" ht="15.75" customHeight="1">
      <c r="B148" s="135"/>
      <c r="AB148" s="83"/>
      <c r="AC148" s="83"/>
      <c r="AD148" s="83"/>
      <c r="AE148" s="83"/>
      <c r="AF148" s="83"/>
      <c r="AG148" s="83"/>
      <c r="AH148" s="83"/>
      <c r="AK148" s="88"/>
      <c r="AL148" s="57"/>
      <c r="AM148" s="57"/>
    </row>
    <row r="149" spans="2:39" ht="15.75" customHeight="1">
      <c r="B149" s="135"/>
      <c r="AB149" s="83"/>
      <c r="AC149" s="83"/>
      <c r="AD149" s="83"/>
      <c r="AE149" s="83"/>
      <c r="AF149" s="83"/>
      <c r="AG149" s="83"/>
      <c r="AH149" s="83"/>
      <c r="AK149" s="88"/>
      <c r="AL149" s="57"/>
      <c r="AM149" s="57"/>
    </row>
    <row r="150" spans="2:39" ht="15.75" customHeight="1">
      <c r="B150" s="135"/>
      <c r="AB150" s="83"/>
      <c r="AC150" s="83"/>
      <c r="AD150" s="83"/>
      <c r="AE150" s="83"/>
      <c r="AF150" s="83"/>
      <c r="AG150" s="83"/>
      <c r="AH150" s="83"/>
      <c r="AK150" s="88"/>
      <c r="AL150" s="57"/>
      <c r="AM150" s="57"/>
    </row>
    <row r="151" spans="2:39" ht="15.75" customHeight="1">
      <c r="B151" s="135"/>
      <c r="AB151" s="83"/>
      <c r="AC151" s="83"/>
      <c r="AD151" s="83"/>
      <c r="AE151" s="83"/>
      <c r="AF151" s="83"/>
      <c r="AG151" s="83"/>
      <c r="AH151" s="83"/>
      <c r="AK151" s="88"/>
      <c r="AL151" s="57"/>
      <c r="AM151" s="57"/>
    </row>
    <row r="152" spans="2:39" ht="15.75" customHeight="1">
      <c r="B152" s="135"/>
      <c r="AB152" s="83"/>
      <c r="AC152" s="83"/>
      <c r="AD152" s="83"/>
      <c r="AE152" s="83"/>
      <c r="AF152" s="83"/>
      <c r="AG152" s="83"/>
      <c r="AH152" s="83"/>
      <c r="AK152" s="88"/>
      <c r="AL152" s="57"/>
      <c r="AM152" s="57"/>
    </row>
    <row r="153" spans="2:39" ht="15.75" customHeight="1">
      <c r="B153" s="135"/>
      <c r="AB153" s="83"/>
      <c r="AC153" s="83"/>
      <c r="AD153" s="83"/>
      <c r="AE153" s="83"/>
      <c r="AF153" s="83"/>
      <c r="AG153" s="83"/>
      <c r="AH153" s="83"/>
      <c r="AK153" s="88"/>
      <c r="AL153" s="57"/>
      <c r="AM153" s="57"/>
    </row>
    <row r="154" spans="2:39" ht="15.75" customHeight="1">
      <c r="B154" s="135"/>
      <c r="AB154" s="83"/>
      <c r="AC154" s="83"/>
      <c r="AD154" s="83"/>
      <c r="AE154" s="83"/>
      <c r="AF154" s="83"/>
      <c r="AG154" s="83"/>
      <c r="AH154" s="83"/>
      <c r="AK154" s="88"/>
      <c r="AL154" s="57"/>
      <c r="AM154" s="57"/>
    </row>
    <row r="155" spans="2:39" ht="15.75" customHeight="1">
      <c r="B155" s="135"/>
      <c r="AB155" s="83"/>
      <c r="AC155" s="83"/>
      <c r="AD155" s="83"/>
      <c r="AE155" s="83"/>
      <c r="AF155" s="83"/>
      <c r="AG155" s="83"/>
      <c r="AH155" s="83"/>
      <c r="AK155" s="88"/>
      <c r="AL155" s="57"/>
      <c r="AM155" s="57"/>
    </row>
    <row r="156" spans="2:39" ht="15.75" customHeight="1">
      <c r="B156" s="135"/>
      <c r="AB156" s="83"/>
      <c r="AC156" s="83"/>
      <c r="AD156" s="83"/>
      <c r="AE156" s="83"/>
      <c r="AF156" s="83"/>
      <c r="AG156" s="83"/>
      <c r="AH156" s="83"/>
      <c r="AK156" s="88"/>
      <c r="AL156" s="57"/>
      <c r="AM156" s="57"/>
    </row>
    <row r="157" spans="2:39" ht="15.75" customHeight="1">
      <c r="B157" s="135"/>
      <c r="AB157" s="83"/>
      <c r="AC157" s="83"/>
      <c r="AD157" s="83"/>
      <c r="AE157" s="83"/>
      <c r="AF157" s="83"/>
      <c r="AG157" s="83"/>
      <c r="AH157" s="83"/>
      <c r="AK157" s="88"/>
      <c r="AL157" s="57"/>
      <c r="AM157" s="57"/>
    </row>
    <row r="158" spans="2:39" ht="15.75" customHeight="1">
      <c r="B158" s="135"/>
      <c r="AB158" s="83"/>
      <c r="AC158" s="83"/>
      <c r="AD158" s="83"/>
      <c r="AE158" s="83"/>
      <c r="AF158" s="83"/>
      <c r="AG158" s="83"/>
      <c r="AH158" s="83"/>
      <c r="AK158" s="88"/>
      <c r="AL158" s="57"/>
      <c r="AM158" s="57"/>
    </row>
    <row r="159" spans="2:39" ht="15.75" customHeight="1">
      <c r="B159" s="135"/>
      <c r="AB159" s="83"/>
      <c r="AC159" s="83"/>
      <c r="AD159" s="83"/>
      <c r="AE159" s="83"/>
      <c r="AF159" s="83"/>
      <c r="AG159" s="83"/>
      <c r="AH159" s="83"/>
      <c r="AK159" s="88"/>
      <c r="AL159" s="57"/>
      <c r="AM159" s="57"/>
    </row>
    <row r="160" spans="2:39" ht="15.75" customHeight="1">
      <c r="B160" s="135"/>
      <c r="AB160" s="83"/>
      <c r="AC160" s="83"/>
      <c r="AD160" s="83"/>
      <c r="AE160" s="83"/>
      <c r="AF160" s="83"/>
      <c r="AG160" s="83"/>
      <c r="AH160" s="83"/>
      <c r="AK160" s="88"/>
      <c r="AL160" s="57"/>
      <c r="AM160" s="57"/>
    </row>
    <row r="161" spans="2:39" ht="15.75" customHeight="1">
      <c r="B161" s="135"/>
      <c r="AB161" s="83"/>
      <c r="AC161" s="83"/>
      <c r="AD161" s="83"/>
      <c r="AE161" s="83"/>
      <c r="AF161" s="83"/>
      <c r="AG161" s="83"/>
      <c r="AH161" s="83"/>
      <c r="AK161" s="88"/>
      <c r="AL161" s="57"/>
      <c r="AM161" s="57"/>
    </row>
    <row r="162" spans="2:39" ht="15.75" customHeight="1">
      <c r="B162" s="135"/>
      <c r="AB162" s="83"/>
      <c r="AC162" s="83"/>
      <c r="AD162" s="83"/>
      <c r="AE162" s="83"/>
      <c r="AF162" s="83"/>
      <c r="AG162" s="83"/>
      <c r="AH162" s="83"/>
      <c r="AK162" s="88"/>
      <c r="AL162" s="57"/>
      <c r="AM162" s="57"/>
    </row>
    <row r="163" spans="2:39" ht="15.75" customHeight="1">
      <c r="B163" s="135"/>
      <c r="AB163" s="83"/>
      <c r="AC163" s="83"/>
      <c r="AD163" s="83"/>
      <c r="AE163" s="83"/>
      <c r="AF163" s="83"/>
      <c r="AG163" s="83"/>
      <c r="AH163" s="83"/>
      <c r="AK163" s="88"/>
      <c r="AL163" s="57"/>
      <c r="AM163" s="57"/>
    </row>
    <row r="164" spans="2:39" ht="15.75" customHeight="1">
      <c r="B164" s="135"/>
      <c r="AB164" s="83"/>
      <c r="AC164" s="83"/>
      <c r="AD164" s="83"/>
      <c r="AE164" s="83"/>
      <c r="AF164" s="83"/>
      <c r="AG164" s="83"/>
      <c r="AH164" s="83"/>
      <c r="AK164" s="88"/>
      <c r="AL164" s="57"/>
      <c r="AM164" s="57"/>
    </row>
    <row r="165" spans="2:39" ht="15.75" customHeight="1">
      <c r="B165" s="135"/>
      <c r="AB165" s="83"/>
      <c r="AC165" s="83"/>
      <c r="AD165" s="83"/>
      <c r="AE165" s="83"/>
      <c r="AF165" s="83"/>
      <c r="AG165" s="83"/>
      <c r="AH165" s="83"/>
      <c r="AK165" s="88"/>
      <c r="AL165" s="57"/>
      <c r="AM165" s="57"/>
    </row>
    <row r="166" spans="2:39" ht="15.75" customHeight="1">
      <c r="B166" s="135"/>
      <c r="AB166" s="83"/>
      <c r="AC166" s="83"/>
      <c r="AD166" s="83"/>
      <c r="AE166" s="83"/>
      <c r="AF166" s="83"/>
      <c r="AG166" s="83"/>
      <c r="AH166" s="83"/>
      <c r="AK166" s="88"/>
      <c r="AL166" s="57"/>
      <c r="AM166" s="57"/>
    </row>
    <row r="167" spans="2:39" ht="15.75" customHeight="1">
      <c r="B167" s="135"/>
      <c r="AB167" s="83"/>
      <c r="AC167" s="83"/>
      <c r="AD167" s="83"/>
      <c r="AE167" s="83"/>
      <c r="AF167" s="83"/>
      <c r="AG167" s="83"/>
      <c r="AH167" s="83"/>
      <c r="AK167" s="88"/>
      <c r="AL167" s="57"/>
      <c r="AM167" s="57"/>
    </row>
    <row r="168" spans="2:39" ht="15.75" customHeight="1">
      <c r="B168" s="135"/>
      <c r="AB168" s="83"/>
      <c r="AC168" s="83"/>
      <c r="AD168" s="83"/>
      <c r="AE168" s="83"/>
      <c r="AF168" s="83"/>
      <c r="AG168" s="83"/>
      <c r="AH168" s="83"/>
      <c r="AK168" s="88"/>
      <c r="AL168" s="57"/>
      <c r="AM168" s="57"/>
    </row>
    <row r="169" spans="2:39" ht="15.75" customHeight="1">
      <c r="B169" s="135"/>
      <c r="AB169" s="83"/>
      <c r="AC169" s="83"/>
      <c r="AD169" s="83"/>
      <c r="AE169" s="83"/>
      <c r="AF169" s="83"/>
      <c r="AG169" s="83"/>
      <c r="AH169" s="83"/>
      <c r="AK169" s="88"/>
      <c r="AL169" s="57"/>
      <c r="AM169" s="57"/>
    </row>
    <row r="170" spans="2:39" ht="15.75" customHeight="1">
      <c r="B170" s="135"/>
      <c r="AB170" s="83"/>
      <c r="AC170" s="83"/>
      <c r="AD170" s="83"/>
      <c r="AE170" s="83"/>
      <c r="AF170" s="83"/>
      <c r="AG170" s="83"/>
      <c r="AH170" s="83"/>
      <c r="AK170" s="88"/>
      <c r="AL170" s="57"/>
      <c r="AM170" s="57"/>
    </row>
    <row r="171" spans="2:39" ht="15.75" customHeight="1">
      <c r="B171" s="135"/>
      <c r="AB171" s="83"/>
      <c r="AC171" s="83"/>
      <c r="AD171" s="83"/>
      <c r="AE171" s="83"/>
      <c r="AF171" s="83"/>
      <c r="AG171" s="83"/>
      <c r="AH171" s="83"/>
      <c r="AK171" s="88"/>
      <c r="AL171" s="57"/>
      <c r="AM171" s="57"/>
    </row>
    <row r="172" spans="2:39" ht="15.75" customHeight="1">
      <c r="B172" s="135"/>
      <c r="AB172" s="83"/>
      <c r="AC172" s="83"/>
      <c r="AD172" s="83"/>
      <c r="AE172" s="83"/>
      <c r="AF172" s="83"/>
      <c r="AG172" s="83"/>
      <c r="AH172" s="83"/>
      <c r="AK172" s="88"/>
      <c r="AL172" s="57"/>
      <c r="AM172" s="57"/>
    </row>
    <row r="173" spans="2:39" ht="15.75" customHeight="1">
      <c r="B173" s="135"/>
      <c r="AB173" s="83"/>
      <c r="AC173" s="83"/>
      <c r="AD173" s="83"/>
      <c r="AE173" s="83"/>
      <c r="AF173" s="83"/>
      <c r="AG173" s="83"/>
      <c r="AH173" s="83"/>
      <c r="AK173" s="88"/>
      <c r="AL173" s="57"/>
      <c r="AM173" s="57"/>
    </row>
    <row r="174" spans="2:39" ht="15.75" customHeight="1">
      <c r="B174" s="135"/>
      <c r="AB174" s="83"/>
      <c r="AC174" s="83"/>
      <c r="AD174" s="83"/>
      <c r="AE174" s="83"/>
      <c r="AF174" s="83"/>
      <c r="AG174" s="83"/>
      <c r="AH174" s="83"/>
      <c r="AK174" s="88"/>
      <c r="AL174" s="57"/>
      <c r="AM174" s="57"/>
    </row>
    <row r="175" spans="2:39" ht="15.75" customHeight="1">
      <c r="B175" s="135"/>
      <c r="AB175" s="83"/>
      <c r="AC175" s="83"/>
      <c r="AD175" s="83"/>
      <c r="AE175" s="83"/>
      <c r="AF175" s="83"/>
      <c r="AG175" s="83"/>
      <c r="AH175" s="83"/>
      <c r="AK175" s="88"/>
      <c r="AL175" s="57"/>
      <c r="AM175" s="57"/>
    </row>
    <row r="176" spans="2:39" ht="15.75" customHeight="1">
      <c r="B176" s="135"/>
      <c r="AB176" s="83"/>
      <c r="AC176" s="83"/>
      <c r="AD176" s="83"/>
      <c r="AE176" s="83"/>
      <c r="AF176" s="83"/>
      <c r="AG176" s="83"/>
      <c r="AH176" s="83"/>
      <c r="AK176" s="88"/>
      <c r="AL176" s="57"/>
      <c r="AM176" s="57"/>
    </row>
    <row r="177" spans="2:39" ht="15.75" customHeight="1">
      <c r="B177" s="135"/>
      <c r="AB177" s="83"/>
      <c r="AC177" s="83"/>
      <c r="AD177" s="83"/>
      <c r="AE177" s="83"/>
      <c r="AF177" s="83"/>
      <c r="AG177" s="83"/>
      <c r="AH177" s="83"/>
      <c r="AK177" s="88"/>
      <c r="AL177" s="57"/>
      <c r="AM177" s="57"/>
    </row>
    <row r="178" spans="2:39" ht="15.75" customHeight="1">
      <c r="B178" s="135"/>
      <c r="AB178" s="83"/>
      <c r="AC178" s="83"/>
      <c r="AD178" s="83"/>
      <c r="AE178" s="83"/>
      <c r="AF178" s="83"/>
      <c r="AG178" s="83"/>
      <c r="AH178" s="83"/>
      <c r="AK178" s="88"/>
      <c r="AL178" s="57"/>
      <c r="AM178" s="57"/>
    </row>
    <row r="179" spans="2:39" ht="15.75" customHeight="1">
      <c r="B179" s="135"/>
      <c r="AB179" s="83"/>
      <c r="AC179" s="83"/>
      <c r="AD179" s="83"/>
      <c r="AE179" s="83"/>
      <c r="AF179" s="83"/>
      <c r="AG179" s="83"/>
      <c r="AH179" s="83"/>
      <c r="AK179" s="88"/>
      <c r="AL179" s="57"/>
      <c r="AM179" s="57"/>
    </row>
    <row r="180" spans="2:39" ht="15.75" customHeight="1">
      <c r="B180" s="135"/>
      <c r="AB180" s="83"/>
      <c r="AC180" s="83"/>
      <c r="AD180" s="83"/>
      <c r="AE180" s="83"/>
      <c r="AF180" s="83"/>
      <c r="AG180" s="83"/>
      <c r="AH180" s="83"/>
      <c r="AK180" s="88"/>
      <c r="AL180" s="57"/>
      <c r="AM180" s="57"/>
    </row>
    <row r="181" spans="2:39" ht="15.75" customHeight="1">
      <c r="B181" s="135"/>
      <c r="AB181" s="83"/>
      <c r="AC181" s="83"/>
      <c r="AD181" s="83"/>
      <c r="AE181" s="83"/>
      <c r="AF181" s="83"/>
      <c r="AG181" s="83"/>
      <c r="AH181" s="83"/>
      <c r="AK181" s="88"/>
      <c r="AL181" s="57"/>
      <c r="AM181" s="57"/>
    </row>
    <row r="182" spans="2:39" ht="15.75" customHeight="1">
      <c r="B182" s="135"/>
      <c r="AB182" s="83"/>
      <c r="AC182" s="83"/>
      <c r="AD182" s="83"/>
      <c r="AE182" s="83"/>
      <c r="AF182" s="83"/>
      <c r="AG182" s="83"/>
      <c r="AH182" s="83"/>
      <c r="AK182" s="88"/>
      <c r="AL182" s="57"/>
      <c r="AM182" s="57"/>
    </row>
    <row r="183" spans="2:39" ht="15.75" customHeight="1">
      <c r="B183" s="135"/>
      <c r="AB183" s="83"/>
      <c r="AC183" s="83"/>
      <c r="AD183" s="83"/>
      <c r="AE183" s="83"/>
      <c r="AF183" s="83"/>
      <c r="AG183" s="83"/>
      <c r="AH183" s="83"/>
      <c r="AK183" s="88"/>
      <c r="AL183" s="57"/>
      <c r="AM183" s="57"/>
    </row>
    <row r="184" spans="2:39" ht="15.75" customHeight="1">
      <c r="B184" s="135"/>
      <c r="AB184" s="83"/>
      <c r="AC184" s="83"/>
      <c r="AD184" s="83"/>
      <c r="AE184" s="83"/>
      <c r="AF184" s="83"/>
      <c r="AG184" s="83"/>
      <c r="AH184" s="83"/>
      <c r="AK184" s="88"/>
      <c r="AL184" s="57"/>
      <c r="AM184" s="57"/>
    </row>
    <row r="185" spans="2:39" ht="15.75" customHeight="1">
      <c r="B185" s="135"/>
      <c r="AB185" s="83"/>
      <c r="AC185" s="83"/>
      <c r="AD185" s="83"/>
      <c r="AE185" s="83"/>
      <c r="AF185" s="83"/>
      <c r="AG185" s="83"/>
      <c r="AH185" s="83"/>
      <c r="AK185" s="88"/>
      <c r="AL185" s="57"/>
      <c r="AM185" s="57"/>
    </row>
    <row r="186" spans="2:39" ht="15.75" customHeight="1">
      <c r="B186" s="135"/>
      <c r="AB186" s="83"/>
      <c r="AC186" s="83"/>
      <c r="AD186" s="83"/>
      <c r="AE186" s="83"/>
      <c r="AF186" s="83"/>
      <c r="AG186" s="83"/>
      <c r="AH186" s="83"/>
      <c r="AK186" s="88"/>
      <c r="AL186" s="57"/>
      <c r="AM186" s="57"/>
    </row>
    <row r="187" spans="2:39" ht="15.75" customHeight="1">
      <c r="B187" s="135"/>
      <c r="AB187" s="83"/>
      <c r="AC187" s="83"/>
      <c r="AD187" s="83"/>
      <c r="AE187" s="83"/>
      <c r="AF187" s="83"/>
      <c r="AG187" s="83"/>
      <c r="AH187" s="83"/>
      <c r="AK187" s="88"/>
      <c r="AL187" s="57"/>
      <c r="AM187" s="57"/>
    </row>
    <row r="188" spans="2:39" ht="15.75" customHeight="1">
      <c r="B188" s="135"/>
      <c r="AB188" s="83"/>
      <c r="AC188" s="83"/>
      <c r="AD188" s="83"/>
      <c r="AE188" s="83"/>
      <c r="AF188" s="83"/>
      <c r="AG188" s="83"/>
      <c r="AH188" s="83"/>
      <c r="AK188" s="88"/>
      <c r="AL188" s="57"/>
      <c r="AM188" s="57"/>
    </row>
    <row r="189" spans="2:39" ht="15.75" customHeight="1">
      <c r="B189" s="135"/>
      <c r="AB189" s="83"/>
      <c r="AC189" s="83"/>
      <c r="AD189" s="83"/>
      <c r="AE189" s="83"/>
      <c r="AF189" s="83"/>
      <c r="AG189" s="83"/>
      <c r="AH189" s="83"/>
      <c r="AK189" s="88"/>
      <c r="AL189" s="57"/>
      <c r="AM189" s="57"/>
    </row>
    <row r="190" spans="2:39" ht="15.75" customHeight="1">
      <c r="B190" s="135"/>
      <c r="AB190" s="83"/>
      <c r="AC190" s="83"/>
      <c r="AD190" s="83"/>
      <c r="AE190" s="83"/>
      <c r="AF190" s="83"/>
      <c r="AG190" s="83"/>
      <c r="AH190" s="83"/>
      <c r="AK190" s="88"/>
      <c r="AL190" s="57"/>
      <c r="AM190" s="57"/>
    </row>
    <row r="191" spans="2:39" ht="15.75" customHeight="1">
      <c r="B191" s="135"/>
      <c r="AB191" s="83"/>
      <c r="AC191" s="83"/>
      <c r="AD191" s="83"/>
      <c r="AE191" s="83"/>
      <c r="AF191" s="83"/>
      <c r="AG191" s="83"/>
      <c r="AH191" s="83"/>
      <c r="AK191" s="88"/>
      <c r="AL191" s="57"/>
      <c r="AM191" s="57"/>
    </row>
    <row r="192" spans="2:39" ht="15.75" customHeight="1">
      <c r="B192" s="135"/>
      <c r="AB192" s="83"/>
      <c r="AC192" s="83"/>
      <c r="AD192" s="83"/>
      <c r="AE192" s="83"/>
      <c r="AF192" s="83"/>
      <c r="AG192" s="83"/>
      <c r="AH192" s="83"/>
      <c r="AK192" s="88"/>
      <c r="AL192" s="57"/>
      <c r="AM192" s="57"/>
    </row>
    <row r="193" spans="2:39" ht="15.75" customHeight="1">
      <c r="B193" s="135"/>
      <c r="AB193" s="83"/>
      <c r="AC193" s="83"/>
      <c r="AD193" s="83"/>
      <c r="AE193" s="83"/>
      <c r="AF193" s="83"/>
      <c r="AG193" s="83"/>
      <c r="AH193" s="83"/>
      <c r="AK193" s="88"/>
      <c r="AL193" s="57"/>
      <c r="AM193" s="57"/>
    </row>
    <row r="194" spans="2:39" ht="15.75" customHeight="1">
      <c r="B194" s="135"/>
      <c r="AB194" s="83"/>
      <c r="AC194" s="83"/>
      <c r="AD194" s="83"/>
      <c r="AE194" s="83"/>
      <c r="AF194" s="83"/>
      <c r="AG194" s="83"/>
      <c r="AH194" s="83"/>
      <c r="AK194" s="88"/>
      <c r="AL194" s="57"/>
      <c r="AM194" s="57"/>
    </row>
    <row r="195" spans="2:39" ht="15.75" customHeight="1">
      <c r="B195" s="135"/>
      <c r="AB195" s="83"/>
      <c r="AC195" s="83"/>
      <c r="AD195" s="83"/>
      <c r="AE195" s="83"/>
      <c r="AF195" s="83"/>
      <c r="AG195" s="83"/>
      <c r="AH195" s="83"/>
      <c r="AK195" s="88"/>
      <c r="AL195" s="57"/>
      <c r="AM195" s="57"/>
    </row>
    <row r="196" spans="2:39" ht="15.75" customHeight="1">
      <c r="B196" s="135"/>
      <c r="AB196" s="83"/>
      <c r="AC196" s="83"/>
      <c r="AD196" s="83"/>
      <c r="AE196" s="83"/>
      <c r="AF196" s="83"/>
      <c r="AG196" s="83"/>
      <c r="AH196" s="83"/>
      <c r="AK196" s="88"/>
      <c r="AL196" s="57"/>
      <c r="AM196" s="57"/>
    </row>
    <row r="197" spans="2:39" ht="15.75" customHeight="1">
      <c r="B197" s="135"/>
      <c r="AB197" s="83"/>
      <c r="AC197" s="83"/>
      <c r="AD197" s="83"/>
      <c r="AE197" s="83"/>
      <c r="AF197" s="83"/>
      <c r="AG197" s="83"/>
      <c r="AH197" s="83"/>
      <c r="AK197" s="88"/>
      <c r="AL197" s="57"/>
      <c r="AM197" s="57"/>
    </row>
    <row r="198" spans="2:39" ht="15.75" customHeight="1">
      <c r="B198" s="135"/>
      <c r="AB198" s="83"/>
      <c r="AC198" s="83"/>
      <c r="AD198" s="83"/>
      <c r="AE198" s="83"/>
      <c r="AF198" s="83"/>
      <c r="AG198" s="83"/>
      <c r="AH198" s="83"/>
      <c r="AK198" s="88"/>
      <c r="AL198" s="57"/>
      <c r="AM198" s="57"/>
    </row>
    <row r="199" spans="2:39" ht="15.75" customHeight="1">
      <c r="B199" s="135"/>
      <c r="AB199" s="83"/>
      <c r="AC199" s="83"/>
      <c r="AD199" s="83"/>
      <c r="AE199" s="83"/>
      <c r="AF199" s="83"/>
      <c r="AG199" s="83"/>
      <c r="AH199" s="83"/>
      <c r="AK199" s="88"/>
      <c r="AL199" s="57"/>
      <c r="AM199" s="57"/>
    </row>
    <row r="200" spans="2:39" ht="15.75" customHeight="1">
      <c r="B200" s="135"/>
      <c r="AB200" s="83"/>
      <c r="AC200" s="83"/>
      <c r="AD200" s="83"/>
      <c r="AE200" s="83"/>
      <c r="AF200" s="83"/>
      <c r="AG200" s="83"/>
      <c r="AH200" s="83"/>
      <c r="AK200" s="88"/>
      <c r="AL200" s="57"/>
      <c r="AM200" s="57"/>
    </row>
    <row r="201" spans="2:39" ht="15.75" customHeight="1">
      <c r="B201" s="135"/>
      <c r="AB201" s="83"/>
      <c r="AC201" s="83"/>
      <c r="AD201" s="83"/>
      <c r="AE201" s="83"/>
      <c r="AF201" s="83"/>
      <c r="AG201" s="83"/>
      <c r="AH201" s="83"/>
      <c r="AK201" s="88"/>
      <c r="AL201" s="57"/>
      <c r="AM201" s="57"/>
    </row>
    <row r="202" spans="2:39" ht="15.75" customHeight="1">
      <c r="B202" s="135"/>
      <c r="AB202" s="83"/>
      <c r="AC202" s="83"/>
      <c r="AD202" s="83"/>
      <c r="AE202" s="83"/>
      <c r="AF202" s="83"/>
      <c r="AG202" s="83"/>
      <c r="AH202" s="83"/>
      <c r="AK202" s="88"/>
      <c r="AL202" s="57"/>
      <c r="AM202" s="57"/>
    </row>
    <row r="203" spans="2:39" ht="15.75" customHeight="1">
      <c r="B203" s="135"/>
      <c r="AB203" s="83"/>
      <c r="AC203" s="83"/>
      <c r="AD203" s="83"/>
      <c r="AE203" s="83"/>
      <c r="AF203" s="83"/>
      <c r="AG203" s="83"/>
      <c r="AH203" s="83"/>
      <c r="AK203" s="88"/>
      <c r="AL203" s="57"/>
      <c r="AM203" s="57"/>
    </row>
    <row r="204" spans="2:39" ht="15.75" customHeight="1">
      <c r="B204" s="135"/>
      <c r="AB204" s="83"/>
      <c r="AC204" s="83"/>
      <c r="AD204" s="83"/>
      <c r="AE204" s="83"/>
      <c r="AF204" s="83"/>
      <c r="AG204" s="83"/>
      <c r="AH204" s="83"/>
      <c r="AK204" s="88"/>
      <c r="AL204" s="57"/>
      <c r="AM204" s="57"/>
    </row>
    <row r="205" spans="2:39" ht="15.75" customHeight="1">
      <c r="B205" s="135"/>
      <c r="AB205" s="83"/>
      <c r="AC205" s="83"/>
      <c r="AD205" s="83"/>
      <c r="AE205" s="83"/>
      <c r="AF205" s="83"/>
      <c r="AG205" s="83"/>
      <c r="AH205" s="83"/>
      <c r="AK205" s="88"/>
      <c r="AL205" s="57"/>
      <c r="AM205" s="57"/>
    </row>
    <row r="206" spans="2:39" ht="15.75" customHeight="1">
      <c r="B206" s="135"/>
      <c r="AB206" s="83"/>
      <c r="AC206" s="83"/>
      <c r="AD206" s="83"/>
      <c r="AE206" s="83"/>
      <c r="AF206" s="83"/>
      <c r="AG206" s="83"/>
      <c r="AH206" s="83"/>
      <c r="AK206" s="88"/>
      <c r="AL206" s="57"/>
      <c r="AM206" s="57"/>
    </row>
    <row r="207" spans="2:39" ht="15.75" customHeight="1">
      <c r="B207" s="135"/>
      <c r="AB207" s="83"/>
      <c r="AC207" s="83"/>
      <c r="AD207" s="83"/>
      <c r="AE207" s="83"/>
      <c r="AF207" s="83"/>
      <c r="AG207" s="83"/>
      <c r="AH207" s="83"/>
      <c r="AK207" s="88"/>
      <c r="AL207" s="57"/>
      <c r="AM207" s="57"/>
    </row>
    <row r="208" spans="2:39" ht="15.75" customHeight="1">
      <c r="B208" s="135"/>
      <c r="AB208" s="83"/>
      <c r="AC208" s="83"/>
      <c r="AD208" s="83"/>
      <c r="AE208" s="83"/>
      <c r="AF208" s="83"/>
      <c r="AG208" s="83"/>
      <c r="AH208" s="83"/>
      <c r="AK208" s="88"/>
      <c r="AL208" s="57"/>
      <c r="AM208" s="57"/>
    </row>
    <row r="209" spans="2:39" ht="15.75" customHeight="1">
      <c r="B209" s="135"/>
      <c r="AB209" s="83"/>
      <c r="AC209" s="83"/>
      <c r="AD209" s="83"/>
      <c r="AE209" s="83"/>
      <c r="AF209" s="83"/>
      <c r="AG209" s="83"/>
      <c r="AH209" s="83"/>
      <c r="AK209" s="88"/>
      <c r="AL209" s="57"/>
      <c r="AM209" s="57"/>
    </row>
    <row r="210" spans="2:39" ht="15.75" customHeight="1">
      <c r="B210" s="135"/>
      <c r="AB210" s="83"/>
      <c r="AC210" s="83"/>
      <c r="AD210" s="83"/>
      <c r="AE210" s="83"/>
      <c r="AF210" s="83"/>
      <c r="AG210" s="83"/>
      <c r="AH210" s="83"/>
      <c r="AK210" s="88"/>
      <c r="AL210" s="57"/>
      <c r="AM210" s="57"/>
    </row>
    <row r="211" spans="2:39" ht="15.75" customHeight="1">
      <c r="B211" s="135"/>
      <c r="AB211" s="83"/>
      <c r="AC211" s="83"/>
      <c r="AD211" s="83"/>
      <c r="AE211" s="83"/>
      <c r="AF211" s="83"/>
      <c r="AG211" s="83"/>
      <c r="AH211" s="83"/>
      <c r="AK211" s="88"/>
      <c r="AL211" s="57"/>
      <c r="AM211" s="57"/>
    </row>
    <row r="212" spans="2:39" ht="15.75" customHeight="1">
      <c r="B212" s="135"/>
      <c r="AB212" s="83"/>
      <c r="AC212" s="83"/>
      <c r="AD212" s="83"/>
      <c r="AE212" s="83"/>
      <c r="AF212" s="83"/>
      <c r="AG212" s="83"/>
      <c r="AH212" s="83"/>
      <c r="AK212" s="88"/>
      <c r="AL212" s="57"/>
      <c r="AM212" s="57"/>
    </row>
    <row r="213" spans="2:39" ht="15.75" customHeight="1">
      <c r="B213" s="135"/>
      <c r="AB213" s="83"/>
      <c r="AC213" s="83"/>
      <c r="AD213" s="83"/>
      <c r="AE213" s="83"/>
      <c r="AF213" s="83"/>
      <c r="AG213" s="83"/>
      <c r="AH213" s="83"/>
      <c r="AK213" s="88"/>
      <c r="AL213" s="57"/>
      <c r="AM213" s="57"/>
    </row>
    <row r="214" spans="2:39" ht="15.75" customHeight="1">
      <c r="B214" s="135"/>
      <c r="AB214" s="83"/>
      <c r="AC214" s="83"/>
      <c r="AD214" s="83"/>
      <c r="AE214" s="83"/>
      <c r="AF214" s="83"/>
      <c r="AG214" s="83"/>
      <c r="AH214" s="83"/>
      <c r="AK214" s="88"/>
      <c r="AL214" s="57"/>
      <c r="AM214" s="57"/>
    </row>
    <row r="215" spans="2:39" ht="15.75" customHeight="1">
      <c r="B215" s="135"/>
      <c r="AB215" s="83"/>
      <c r="AC215" s="83"/>
      <c r="AD215" s="83"/>
      <c r="AE215" s="83"/>
      <c r="AF215" s="83"/>
      <c r="AG215" s="83"/>
      <c r="AH215" s="83"/>
      <c r="AK215" s="88"/>
      <c r="AL215" s="57"/>
      <c r="AM215" s="57"/>
    </row>
    <row r="216" spans="2:39" ht="15.75" customHeight="1">
      <c r="B216" s="135"/>
      <c r="AB216" s="83"/>
      <c r="AC216" s="83"/>
      <c r="AD216" s="83"/>
      <c r="AE216" s="83"/>
      <c r="AF216" s="83"/>
      <c r="AG216" s="83"/>
      <c r="AH216" s="83"/>
      <c r="AK216" s="88"/>
      <c r="AL216" s="57"/>
      <c r="AM216" s="57"/>
    </row>
    <row r="217" spans="2:39" ht="15.75" customHeight="1">
      <c r="B217" s="135"/>
      <c r="AB217" s="83"/>
      <c r="AC217" s="83"/>
      <c r="AD217" s="83"/>
      <c r="AE217" s="83"/>
      <c r="AF217" s="83"/>
      <c r="AG217" s="83"/>
      <c r="AH217" s="83"/>
      <c r="AK217" s="88"/>
      <c r="AL217" s="57"/>
      <c r="AM217" s="57"/>
    </row>
    <row r="218" spans="2:39" ht="15.75" customHeight="1">
      <c r="B218" s="135"/>
      <c r="AB218" s="83"/>
      <c r="AC218" s="83"/>
      <c r="AD218" s="83"/>
      <c r="AE218" s="83"/>
      <c r="AF218" s="83"/>
      <c r="AG218" s="83"/>
      <c r="AH218" s="83"/>
      <c r="AK218" s="88"/>
      <c r="AL218" s="57"/>
      <c r="AM218" s="57"/>
    </row>
    <row r="219" spans="2:39" ht="15.75" customHeight="1">
      <c r="B219" s="135"/>
      <c r="AB219" s="83"/>
      <c r="AC219" s="83"/>
      <c r="AD219" s="83"/>
      <c r="AE219" s="83"/>
      <c r="AF219" s="83"/>
      <c r="AG219" s="83"/>
      <c r="AH219" s="83"/>
      <c r="AK219" s="88"/>
      <c r="AL219" s="57"/>
      <c r="AM219" s="57"/>
    </row>
    <row r="220" spans="2:39" ht="15.75" customHeight="1">
      <c r="B220" s="135"/>
      <c r="AB220" s="83"/>
      <c r="AC220" s="83"/>
      <c r="AD220" s="83"/>
      <c r="AE220" s="83"/>
      <c r="AF220" s="83"/>
      <c r="AG220" s="83"/>
      <c r="AH220" s="83"/>
      <c r="AK220" s="88"/>
      <c r="AL220" s="57"/>
      <c r="AM220" s="57"/>
    </row>
    <row r="221" spans="2:39" ht="15.75" customHeight="1">
      <c r="AK221" s="88"/>
      <c r="AL221" s="57"/>
      <c r="AM221" s="57"/>
    </row>
    <row r="222" spans="2:39" ht="15.75" customHeight="1">
      <c r="AK222" s="88"/>
      <c r="AL222" s="57"/>
      <c r="AM222" s="57"/>
    </row>
    <row r="223" spans="2:39" ht="15.75" customHeight="1">
      <c r="AK223" s="88"/>
      <c r="AL223" s="57"/>
      <c r="AM223" s="57"/>
    </row>
    <row r="224" spans="2:39" ht="15.75" customHeight="1">
      <c r="AK224" s="88"/>
      <c r="AL224" s="57"/>
      <c r="AM224" s="57"/>
    </row>
    <row r="225" spans="37:39" ht="15.75" customHeight="1">
      <c r="AK225" s="88"/>
      <c r="AL225" s="57"/>
      <c r="AM225" s="57"/>
    </row>
    <row r="226" spans="37:39" ht="15.75" customHeight="1">
      <c r="AK226" s="88"/>
      <c r="AL226" s="57"/>
      <c r="AM226" s="57"/>
    </row>
    <row r="227" spans="37:39" ht="15.75" customHeight="1">
      <c r="AK227" s="88"/>
      <c r="AL227" s="57"/>
      <c r="AM227" s="57"/>
    </row>
    <row r="228" spans="37:39" ht="15.75" customHeight="1">
      <c r="AK228" s="88"/>
      <c r="AL228" s="57"/>
      <c r="AM228" s="57"/>
    </row>
    <row r="229" spans="37:39" ht="15.75" customHeight="1">
      <c r="AK229" s="88"/>
      <c r="AL229" s="57"/>
      <c r="AM229" s="57"/>
    </row>
    <row r="230" spans="37:39" ht="15.75" customHeight="1">
      <c r="AK230" s="88"/>
      <c r="AL230" s="57"/>
      <c r="AM230" s="57"/>
    </row>
    <row r="231" spans="37:39" ht="15.75" customHeight="1">
      <c r="AK231" s="88"/>
      <c r="AL231" s="57"/>
      <c r="AM231" s="57"/>
    </row>
    <row r="232" spans="37:39" ht="15.75" customHeight="1">
      <c r="AK232" s="88"/>
      <c r="AL232" s="57"/>
      <c r="AM232" s="57"/>
    </row>
    <row r="233" spans="37:39" ht="15.75" customHeight="1">
      <c r="AK233" s="88"/>
      <c r="AL233" s="57"/>
      <c r="AM233" s="57"/>
    </row>
    <row r="234" spans="37:39" ht="15.75" customHeight="1">
      <c r="AK234" s="88"/>
      <c r="AL234" s="57"/>
      <c r="AM234" s="57"/>
    </row>
    <row r="235" spans="37:39" ht="15.75" customHeight="1">
      <c r="AK235" s="88"/>
      <c r="AL235" s="57"/>
      <c r="AM235" s="57"/>
    </row>
    <row r="236" spans="37:39" ht="15.75" customHeight="1">
      <c r="AK236" s="88"/>
      <c r="AL236" s="57"/>
      <c r="AM236" s="57"/>
    </row>
    <row r="237" spans="37:39" ht="15.75" customHeight="1">
      <c r="AK237" s="88"/>
      <c r="AL237" s="57"/>
      <c r="AM237" s="57"/>
    </row>
    <row r="238" spans="37:39" ht="15.75" customHeight="1">
      <c r="AK238" s="88"/>
      <c r="AL238" s="57"/>
      <c r="AM238" s="57"/>
    </row>
    <row r="239" spans="37:39" ht="15.75" customHeight="1">
      <c r="AK239" s="88"/>
      <c r="AL239" s="57"/>
      <c r="AM239" s="57"/>
    </row>
    <row r="240" spans="37:39" ht="15.75" customHeight="1">
      <c r="AK240" s="88"/>
      <c r="AL240" s="57"/>
      <c r="AM240" s="57"/>
    </row>
    <row r="241" spans="37:39" ht="15.75" customHeight="1">
      <c r="AK241" s="88"/>
      <c r="AL241" s="57"/>
      <c r="AM241" s="57"/>
    </row>
    <row r="242" spans="37:39" ht="15.75" customHeight="1">
      <c r="AK242" s="88"/>
      <c r="AL242" s="57"/>
      <c r="AM242" s="57"/>
    </row>
    <row r="243" spans="37:39" ht="15.75" customHeight="1">
      <c r="AK243" s="88"/>
      <c r="AL243" s="57"/>
      <c r="AM243" s="57"/>
    </row>
    <row r="244" spans="37:39" ht="15.75" customHeight="1">
      <c r="AK244" s="88"/>
      <c r="AL244" s="57"/>
      <c r="AM244" s="57"/>
    </row>
    <row r="245" spans="37:39" ht="15.75" customHeight="1">
      <c r="AK245" s="88"/>
      <c r="AL245" s="57"/>
      <c r="AM245" s="57"/>
    </row>
    <row r="246" spans="37:39" ht="15.75" customHeight="1">
      <c r="AK246" s="88"/>
      <c r="AL246" s="57"/>
      <c r="AM246" s="57"/>
    </row>
    <row r="247" spans="37:39" ht="15.75" customHeight="1">
      <c r="AK247" s="88"/>
      <c r="AL247" s="57"/>
      <c r="AM247" s="57"/>
    </row>
    <row r="248" spans="37:39" ht="15.75" customHeight="1">
      <c r="AK248" s="88"/>
      <c r="AL248" s="57"/>
      <c r="AM248" s="57"/>
    </row>
    <row r="249" spans="37:39" ht="15.75" customHeight="1">
      <c r="AK249" s="88"/>
      <c r="AL249" s="57"/>
      <c r="AM249" s="57"/>
    </row>
    <row r="250" spans="37:39" ht="15.75" customHeight="1">
      <c r="AK250" s="88"/>
      <c r="AL250" s="57"/>
      <c r="AM250" s="57"/>
    </row>
    <row r="251" spans="37:39" ht="15.75" customHeight="1">
      <c r="AK251" s="88"/>
      <c r="AL251" s="57"/>
      <c r="AM251" s="57"/>
    </row>
    <row r="252" spans="37:39" ht="15.75" customHeight="1"/>
    <row r="253" spans="37:39" ht="15.75" customHeight="1"/>
    <row r="254" spans="37:39" ht="15.75" customHeight="1"/>
    <row r="255" spans="37:39" ht="15.75" customHeight="1"/>
    <row r="256" spans="37:39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26">
    <tabColor rgb="FF00B050"/>
  </sheetPr>
  <dimension ref="A1:AX1000"/>
  <sheetViews>
    <sheetView showGridLines="0" workbookViewId="0">
      <pane xSplit="1" ySplit="3" topLeftCell="AR53" activePane="bottomRight" state="frozen"/>
      <selection activeCell="AO3" sqref="AO3"/>
      <selection pane="topRight" activeCell="AO3" sqref="AO3"/>
      <selection pane="bottomLeft" activeCell="AO3" sqref="AO3"/>
      <selection pane="bottomRight" activeCell="BD59" sqref="BD59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23.6640625" customWidth="1"/>
    <col min="5" max="5" width="12.44140625" customWidth="1"/>
    <col min="6" max="6" width="22.6640625" customWidth="1"/>
    <col min="7" max="7" width="10.33203125" customWidth="1"/>
    <col min="8" max="8" width="11.44140625" customWidth="1"/>
    <col min="9" max="11" width="10.6640625" customWidth="1"/>
    <col min="12" max="12" width="11.44140625" customWidth="1"/>
    <col min="13" max="13" width="13.6640625" customWidth="1"/>
    <col min="14" max="14" width="11.6640625" customWidth="1"/>
    <col min="15" max="15" width="13.109375" customWidth="1"/>
    <col min="16" max="16" width="10.109375" customWidth="1"/>
    <col min="17" max="17" width="12" customWidth="1"/>
    <col min="18" max="18" width="10.6640625" customWidth="1"/>
    <col min="19" max="19" width="11.6640625" customWidth="1"/>
    <col min="20" max="20" width="6.33203125" customWidth="1"/>
    <col min="21" max="21" width="7.5546875" customWidth="1"/>
    <col min="22" max="22" width="10.6640625" customWidth="1"/>
    <col min="23" max="24" width="11.44140625" customWidth="1"/>
    <col min="25" max="25" width="16.5546875" customWidth="1"/>
    <col min="26" max="26" width="17.664062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1" width="15.5546875" customWidth="1"/>
    <col min="32" max="32" width="12.44140625" customWidth="1"/>
    <col min="33" max="33" width="15.88671875" customWidth="1"/>
    <col min="34" max="34" width="10.33203125" customWidth="1"/>
    <col min="36" max="36" width="17.5546875" customWidth="1"/>
    <col min="37" max="38" width="14.44140625" customWidth="1"/>
    <col min="39" max="39" width="17.6640625" customWidth="1"/>
    <col min="43" max="44" width="17.109375" customWidth="1"/>
  </cols>
  <sheetData>
    <row r="1" spans="1:48" ht="15" customHeight="1">
      <c r="AB1" s="83"/>
      <c r="AC1" s="83"/>
      <c r="AD1" s="83"/>
      <c r="AE1" s="83"/>
      <c r="AF1" s="83"/>
      <c r="AG1" s="168" t="s">
        <v>240</v>
      </c>
      <c r="AH1" s="83" t="s">
        <v>492</v>
      </c>
      <c r="AI1" s="80" t="s">
        <v>242</v>
      </c>
      <c r="AJ1" s="169" t="s">
        <v>37</v>
      </c>
      <c r="AK1" s="88"/>
      <c r="AL1" s="57"/>
      <c r="AM1" s="57"/>
    </row>
    <row r="2" spans="1:48" ht="15" customHeight="1">
      <c r="G2" s="90"/>
      <c r="H2" s="90"/>
      <c r="I2" s="81">
        <f>SUM(I4:I974)</f>
        <v>562.45999999999992</v>
      </c>
      <c r="J2" s="81"/>
      <c r="K2" s="81">
        <f>SUM(K4:K974)</f>
        <v>529.82121300000006</v>
      </c>
      <c r="L2" s="81">
        <f>SUMPRODUCT(K4:K974,L4:L974)/K2</f>
        <v>0.47399149542168284</v>
      </c>
      <c r="Q2" s="137">
        <f>+SUMPRODUCT(Q4:Q974,AH4:AH974)/SUM(AH4:AH974)</f>
        <v>87.342163980017489</v>
      </c>
      <c r="R2" s="57">
        <f>+SUMPRODUCT(R4:R974,AH4:AH974)/SUM(AH4:AH974)</f>
        <v>2324.3739763292388</v>
      </c>
      <c r="AB2" s="83"/>
      <c r="AC2" s="83"/>
      <c r="AD2" s="83"/>
      <c r="AE2" s="83"/>
      <c r="AF2" s="83"/>
      <c r="AG2" s="168">
        <f>SUMPRODUCT($AG4:$AG974,$K4:$K974)/SUM($K4:$K974)</f>
        <v>67.755043590894644</v>
      </c>
      <c r="AH2" s="83">
        <f>SUM(AH4:AH974)</f>
        <v>7512.9672077212044</v>
      </c>
      <c r="AI2" s="171">
        <v>2362</v>
      </c>
      <c r="AJ2" s="169"/>
      <c r="AK2" s="88"/>
      <c r="AL2" s="57"/>
      <c r="AM2" s="57"/>
    </row>
    <row r="3" spans="1:48" ht="15" customHeight="1">
      <c r="A3" s="100" t="s">
        <v>11</v>
      </c>
      <c r="B3" s="100" t="s">
        <v>39</v>
      </c>
      <c r="C3" s="100" t="s">
        <v>40</v>
      </c>
      <c r="D3" s="100" t="s">
        <v>41</v>
      </c>
      <c r="E3" s="100" t="s">
        <v>340</v>
      </c>
      <c r="F3" s="100" t="s">
        <v>43</v>
      </c>
      <c r="G3" s="100" t="s">
        <v>16</v>
      </c>
      <c r="H3" s="101"/>
      <c r="I3" s="172" t="s">
        <v>13</v>
      </c>
      <c r="J3" s="172" t="s">
        <v>14</v>
      </c>
      <c r="K3" s="100" t="s">
        <v>15</v>
      </c>
      <c r="L3" s="112" t="s">
        <v>44</v>
      </c>
      <c r="M3" s="107" t="s">
        <v>45</v>
      </c>
      <c r="N3" s="107" t="s">
        <v>46</v>
      </c>
      <c r="O3" s="101" t="s">
        <v>47</v>
      </c>
      <c r="P3" s="112" t="s">
        <v>48</v>
      </c>
      <c r="Q3" s="112" t="s">
        <v>49</v>
      </c>
      <c r="R3" s="112" t="s">
        <v>50</v>
      </c>
      <c r="S3" s="112" t="s">
        <v>51</v>
      </c>
      <c r="T3" s="110" t="s">
        <v>52</v>
      </c>
      <c r="U3" s="110" t="s">
        <v>21</v>
      </c>
      <c r="V3" s="111" t="s">
        <v>22</v>
      </c>
      <c r="W3" s="112" t="s">
        <v>53</v>
      </c>
      <c r="X3" s="112" t="s">
        <v>54</v>
      </c>
      <c r="Y3" s="112" t="s">
        <v>55</v>
      </c>
      <c r="Z3" s="101" t="s">
        <v>56</v>
      </c>
      <c r="AA3" s="101" t="s">
        <v>57</v>
      </c>
      <c r="AB3" s="113" t="s">
        <v>58</v>
      </c>
      <c r="AC3" s="114" t="s">
        <v>59</v>
      </c>
      <c r="AD3" s="115" t="s">
        <v>60</v>
      </c>
      <c r="AE3" s="115" t="s">
        <v>61</v>
      </c>
      <c r="AF3" s="115" t="s">
        <v>62</v>
      </c>
      <c r="AG3" s="173" t="s">
        <v>63</v>
      </c>
      <c r="AH3" s="174" t="s">
        <v>64</v>
      </c>
      <c r="AI3" s="57">
        <f>SUMPRODUCT(K4:K974,AI4:AI974)/K2</f>
        <v>72.582794871908519</v>
      </c>
      <c r="AJ3" s="144">
        <f>SUM(AJ4:AJ76)</f>
        <v>7486.1893235003054</v>
      </c>
      <c r="AK3" s="88">
        <f>SUM(AK4:AK974)</f>
        <v>26.777884220897114</v>
      </c>
      <c r="AL3" s="57">
        <f>+AH2-AJ3</f>
        <v>26.777884220899068</v>
      </c>
      <c r="AM3" s="57"/>
    </row>
    <row r="4" spans="1:48" ht="15" customHeight="1">
      <c r="A4" s="119"/>
      <c r="B4" s="120"/>
      <c r="C4" s="120"/>
      <c r="D4" s="120"/>
      <c r="E4" s="120"/>
      <c r="F4" s="120"/>
      <c r="G4" s="120"/>
      <c r="H4" s="121"/>
      <c r="I4" s="120"/>
      <c r="J4" s="120"/>
      <c r="K4" s="120"/>
      <c r="L4" s="121"/>
      <c r="M4" s="124"/>
      <c r="N4" s="124"/>
      <c r="O4" s="121"/>
      <c r="P4" s="121"/>
      <c r="Q4" s="121"/>
      <c r="R4" s="121"/>
      <c r="S4" s="121"/>
      <c r="T4" s="125"/>
      <c r="U4" s="125"/>
      <c r="V4" s="125"/>
      <c r="W4" s="121"/>
      <c r="X4" s="121"/>
      <c r="Y4" s="121"/>
      <c r="Z4" s="121"/>
      <c r="AA4" s="121"/>
      <c r="AB4" s="126"/>
      <c r="AC4" s="127"/>
      <c r="AD4" s="128"/>
      <c r="AE4" s="128"/>
      <c r="AF4" s="128"/>
      <c r="AG4" s="129"/>
      <c r="AH4" s="175"/>
      <c r="AI4" s="144"/>
      <c r="AJ4" s="132"/>
      <c r="AK4" s="133"/>
      <c r="AL4" s="144"/>
      <c r="AM4" s="144"/>
      <c r="AN4" s="142"/>
      <c r="AO4" s="142"/>
      <c r="AP4" s="142"/>
      <c r="AQ4" s="142"/>
      <c r="AR4" s="142"/>
      <c r="AS4" s="142"/>
      <c r="AT4" s="142"/>
    </row>
    <row r="5" spans="1:48" ht="15" customHeight="1">
      <c r="A5" s="134" t="s">
        <v>548</v>
      </c>
      <c r="B5" s="135">
        <v>45427</v>
      </c>
      <c r="C5" s="135">
        <v>45425</v>
      </c>
      <c r="D5" s="6" t="s">
        <v>549</v>
      </c>
      <c r="E5" s="176"/>
      <c r="F5" s="6" t="s">
        <v>550</v>
      </c>
      <c r="G5" s="90">
        <v>108</v>
      </c>
      <c r="H5" s="90" t="s">
        <v>465</v>
      </c>
      <c r="I5" s="82">
        <v>10.36</v>
      </c>
      <c r="J5" s="137">
        <v>2.8</v>
      </c>
      <c r="K5" s="82">
        <f t="shared" ref="K5:K73" si="0">+I5-(I5*(J5/100))</f>
        <v>10.06992</v>
      </c>
      <c r="L5" s="240">
        <v>0.28100000000000003</v>
      </c>
      <c r="M5" s="80">
        <v>0.26700000000000002</v>
      </c>
      <c r="N5" s="249">
        <v>0.26700000000000002</v>
      </c>
      <c r="O5" s="139">
        <f>+ROUND((M5+N5)/2,3)</f>
        <v>0.26700000000000002</v>
      </c>
      <c r="P5" s="142">
        <v>88</v>
      </c>
      <c r="Q5" s="143">
        <v>87.59051119021683</v>
      </c>
      <c r="R5" s="57">
        <v>2336.14</v>
      </c>
      <c r="S5" s="80">
        <v>95</v>
      </c>
      <c r="U5" s="142">
        <v>120</v>
      </c>
      <c r="V5" s="142">
        <v>1.1023000000000001</v>
      </c>
      <c r="W5" s="137">
        <v>7.5</v>
      </c>
      <c r="X5" s="137">
        <v>10.8</v>
      </c>
      <c r="Y5" s="283">
        <v>30</v>
      </c>
      <c r="Z5" s="143">
        <f>IF(D5="UNTUCA",IF(+((W5-3)*1.5+(X5-3)*3.1)&gt;0,+((W5-3)*1.5+(X5-3)*3.1),0),IF(+((W5-3)*1.5+(X5-3)*3.1)&gt;0,+((W5-3)*1.5+(X5-3)*3.1),0))</f>
        <v>30.930000000000003</v>
      </c>
      <c r="AA5" s="144">
        <f t="shared" ref="AA5:AA73" si="1">+Y5+Z5</f>
        <v>60.930000000000007</v>
      </c>
      <c r="AB5" s="145">
        <f t="shared" ref="AB5:AB73" si="2">+((O5*P5*(R5-U5)/100)-S5-AA5+T5)*V5</f>
        <v>402.09066062511999</v>
      </c>
      <c r="AC5" s="145">
        <f>+(S5-T5)*V5-'data 1'!$F$4</f>
        <v>24.718500000000006</v>
      </c>
      <c r="AD5" s="145">
        <f t="shared" ref="AD5:AD73" si="3">+(Q5-P5)*(R5-U5)*L5*V5/100</f>
        <v>-2.8108997575749841</v>
      </c>
      <c r="AE5" s="145">
        <f>+(Y5*V5-'data 1'!$I$21)+V5*(Z5-IF(D5="UNTUCA",IF(+((W5-3)*2.5+(X5-3)*3.1)&gt;0,+((W5-3)*1.5+(X5-3)*3.1),0),IF(+((W5-3)*1.5+(X5-3)*3.1)&gt;0,+((W5-3)*1.5+(X5-3)*3.1),0)))</f>
        <v>7.4879189189189219</v>
      </c>
      <c r="AF5" s="145">
        <f t="shared" ref="AF5:AF73" si="4">(L5-O5)*(R5-U5)*Q5*V5/100</f>
        <v>29.95588099526049</v>
      </c>
      <c r="AG5" s="145">
        <f t="shared" ref="AG5:AG73" si="5">+AC5+AD5+AE5+AF5</f>
        <v>59.351400156604434</v>
      </c>
      <c r="AH5" s="145">
        <f t="shared" ref="AH5:AH73" si="6">31.1035*L5*Q5*1.1023*K5/100</f>
        <v>84.976427800439467</v>
      </c>
      <c r="AI5" s="137">
        <f t="shared" ref="AI5:AI15" si="7">+((+$AI$2-R5+U5)*L5*Q5*V5)/100</f>
        <v>39.573038492707511</v>
      </c>
      <c r="AJ5" s="144">
        <f t="shared" ref="AJ5:AJ73" si="8">31.1035*1.1023*K5*P5*O5/100</f>
        <v>81.120201941033855</v>
      </c>
      <c r="AK5" s="88">
        <f t="shared" ref="AK5:AK73" si="9">+AH5-AJ5</f>
        <v>3.8562258594056118</v>
      </c>
      <c r="AL5" s="57"/>
      <c r="AM5" s="57"/>
      <c r="AV5" s="57">
        <f t="shared" ref="AV5:AV27" si="10">+AB5*K5</f>
        <v>4049.0207852421081</v>
      </c>
    </row>
    <row r="6" spans="1:48" ht="15" customHeight="1">
      <c r="A6" s="134" t="s">
        <v>551</v>
      </c>
      <c r="B6" s="135">
        <v>45427</v>
      </c>
      <c r="C6" s="135">
        <v>45425</v>
      </c>
      <c r="D6" s="6" t="s">
        <v>549</v>
      </c>
      <c r="E6" s="176"/>
      <c r="F6" s="6" t="s">
        <v>550</v>
      </c>
      <c r="G6" s="90">
        <v>34</v>
      </c>
      <c r="H6" s="90" t="s">
        <v>465</v>
      </c>
      <c r="I6" s="82">
        <v>3.15</v>
      </c>
      <c r="J6" s="137">
        <v>2.2999999999999998</v>
      </c>
      <c r="K6" s="82">
        <f t="shared" si="0"/>
        <v>3.07755</v>
      </c>
      <c r="L6" s="240">
        <v>0.22700000000000001</v>
      </c>
      <c r="M6" s="80">
        <v>0.216</v>
      </c>
      <c r="N6" s="249">
        <v>0.216</v>
      </c>
      <c r="O6" s="139">
        <f>+ROUND((M6+N6)/2,3)</f>
        <v>0.216</v>
      </c>
      <c r="P6" s="142">
        <v>88</v>
      </c>
      <c r="Q6" s="143">
        <v>87.06608411353649</v>
      </c>
      <c r="R6" s="57">
        <v>2336.14</v>
      </c>
      <c r="S6" s="80">
        <v>95</v>
      </c>
      <c r="U6" s="142">
        <v>120</v>
      </c>
      <c r="V6" s="142">
        <v>1.1023000000000001</v>
      </c>
      <c r="W6" s="137">
        <v>7.5</v>
      </c>
      <c r="X6" s="137">
        <v>10.8</v>
      </c>
      <c r="Y6" s="283">
        <v>30</v>
      </c>
      <c r="Z6" s="143">
        <f>IF(D6="UNTUCA",IF(+((W6-3)*1.5+(X6-3)*3.1)&gt;0,+((W6-3)*1.5+(X6-3)*3.1),0),IF(+((W6-3)*1.5+(X6-3)*3.1)&gt;0,+((W6-3)*1.5+(X6-3)*3.1),0))</f>
        <v>30.930000000000003</v>
      </c>
      <c r="AA6" s="144">
        <f t="shared" si="1"/>
        <v>60.930000000000007</v>
      </c>
      <c r="AB6" s="145">
        <f t="shared" si="2"/>
        <v>292.45550226975996</v>
      </c>
      <c r="AC6" s="145">
        <f>+(S6-T6)*V6-'data 1'!$F$4</f>
        <v>24.718500000000006</v>
      </c>
      <c r="AD6" s="145">
        <f t="shared" si="3"/>
        <v>-5.1788176593992894</v>
      </c>
      <c r="AE6" s="145">
        <f>+(Y6*V6-'data 1'!$I$21)+V6*(Z6-IF(D6="UNTUCA",IF(+((W6-3)*2.5+(X6-3)*3.1)&gt;0,+((W6-3)*1.5+(X6-3)*3.1),0),IF(+((W6-3)*1.5+(X6-3)*3.1)&gt;0,+((W6-3)*1.5+(X6-3)*3.1),0)))</f>
        <v>7.4879189189189219</v>
      </c>
      <c r="AF6" s="145">
        <f t="shared" si="4"/>
        <v>23.395842939138905</v>
      </c>
      <c r="AG6" s="145">
        <f t="shared" si="5"/>
        <v>50.423444198658544</v>
      </c>
      <c r="AH6" s="145">
        <f t="shared" si="6"/>
        <v>20.853984962205676</v>
      </c>
      <c r="AI6" s="137">
        <f t="shared" si="7"/>
        <v>31.776853070504075</v>
      </c>
      <c r="AJ6" s="144">
        <f t="shared" si="8"/>
        <v>20.05629043840219</v>
      </c>
      <c r="AK6" s="88">
        <f t="shared" si="9"/>
        <v>0.79769452380348582</v>
      </c>
      <c r="AL6" s="57"/>
      <c r="AM6" s="57"/>
      <c r="AV6" s="57">
        <f t="shared" si="10"/>
        <v>900.04643101029978</v>
      </c>
    </row>
    <row r="7" spans="1:48" ht="15" customHeight="1">
      <c r="A7" s="134" t="s">
        <v>552</v>
      </c>
      <c r="B7" s="135">
        <v>45427</v>
      </c>
      <c r="C7" s="135">
        <v>45425</v>
      </c>
      <c r="D7" s="6" t="s">
        <v>549</v>
      </c>
      <c r="E7" s="176"/>
      <c r="F7" s="6" t="s">
        <v>553</v>
      </c>
      <c r="G7" s="90">
        <v>75</v>
      </c>
      <c r="H7" s="90" t="s">
        <v>465</v>
      </c>
      <c r="I7" s="82">
        <v>8.3800000000000008</v>
      </c>
      <c r="J7" s="137">
        <v>2.7</v>
      </c>
      <c r="K7" s="82">
        <f t="shared" si="0"/>
        <v>8.1537400000000009</v>
      </c>
      <c r="L7" s="240">
        <v>0.26500000000000001</v>
      </c>
      <c r="M7" s="80">
        <v>0.252</v>
      </c>
      <c r="N7" s="249">
        <v>0.252</v>
      </c>
      <c r="O7" s="139">
        <f>+ROUND((M7+N7)/2,3)</f>
        <v>0.252</v>
      </c>
      <c r="P7" s="142">
        <v>88</v>
      </c>
      <c r="Q7" s="143">
        <v>87.540936269505636</v>
      </c>
      <c r="R7" s="57">
        <v>2336.14</v>
      </c>
      <c r="S7" s="80">
        <v>95</v>
      </c>
      <c r="U7" s="142">
        <v>120</v>
      </c>
      <c r="V7" s="142">
        <v>1.1023000000000001</v>
      </c>
      <c r="W7" s="137">
        <v>7.9</v>
      </c>
      <c r="X7" s="137">
        <v>11.9</v>
      </c>
      <c r="Y7" s="283">
        <v>30</v>
      </c>
      <c r="Z7" s="143">
        <f>IF(D7="UNTUCA",IF(+((W7-3)*1.5+(X7-3)*3.1)&gt;0,+((W7-3)*1.5+(X7-3)*3.1),0),IF(+((W7-3)*1.5+(X7-3)*3.1)&gt;0,+((W7-3)*1.5+(X7-3)*3.1),0))</f>
        <v>34.940000000000005</v>
      </c>
      <c r="AA7" s="144">
        <f t="shared" si="1"/>
        <v>64.94</v>
      </c>
      <c r="AB7" s="145">
        <f t="shared" si="2"/>
        <v>365.42480281472001</v>
      </c>
      <c r="AC7" s="145">
        <f>+(S7-T7)*V7-'data 1'!$F$4</f>
        <v>24.718500000000006</v>
      </c>
      <c r="AD7" s="145">
        <f t="shared" si="3"/>
        <v>-2.9717745251353076</v>
      </c>
      <c r="AE7" s="145">
        <f>+(Y7*V7-'data 1'!$I$21)+V7*(Z7-IF(D7="UNTUCA",IF(+((W7-3)*2.5+(X7-3)*3.1)&gt;0,+((W7-3)*1.5+(X7-3)*3.1),0),IF(+((W7-3)*1.5+(X7-3)*3.1)&gt;0,+((W7-3)*1.5+(X7-3)*3.1),0)))</f>
        <v>7.4879189189189219</v>
      </c>
      <c r="AF7" s="145">
        <f t="shared" si="4"/>
        <v>27.800431670296025</v>
      </c>
      <c r="AG7" s="145">
        <f t="shared" si="5"/>
        <v>57.035076064079647</v>
      </c>
      <c r="AH7" s="145">
        <f t="shared" si="6"/>
        <v>64.851942547527528</v>
      </c>
      <c r="AI7" s="137">
        <f t="shared" si="7"/>
        <v>37.298646965124583</v>
      </c>
      <c r="AJ7" s="144">
        <f t="shared" si="8"/>
        <v>61.993926077265058</v>
      </c>
      <c r="AK7" s="88">
        <f t="shared" si="9"/>
        <v>2.85801647026247</v>
      </c>
      <c r="AL7" s="57"/>
      <c r="AM7" s="57"/>
      <c r="AV7" s="57">
        <f t="shared" si="10"/>
        <v>2979.5788317024953</v>
      </c>
    </row>
    <row r="8" spans="1:48" ht="15" customHeight="1">
      <c r="A8" s="134" t="s">
        <v>554</v>
      </c>
      <c r="B8" s="135">
        <v>45427</v>
      </c>
      <c r="C8" s="135">
        <v>45425</v>
      </c>
      <c r="D8" s="6" t="s">
        <v>549</v>
      </c>
      <c r="E8" s="176"/>
      <c r="F8" s="6" t="s">
        <v>553</v>
      </c>
      <c r="G8" s="90">
        <v>75</v>
      </c>
      <c r="H8" s="90" t="s">
        <v>465</v>
      </c>
      <c r="I8" s="82">
        <v>7.36</v>
      </c>
      <c r="J8" s="137">
        <v>2.8</v>
      </c>
      <c r="K8" s="82">
        <f t="shared" si="0"/>
        <v>7.1539200000000003</v>
      </c>
      <c r="L8" s="240">
        <v>0.30099999999999999</v>
      </c>
      <c r="M8" s="80">
        <v>0.27300000000000002</v>
      </c>
      <c r="N8" s="249">
        <v>0.27300000000000002</v>
      </c>
      <c r="O8" s="139">
        <f>+ROUND((M8+N8)/2,3)</f>
        <v>0.27300000000000002</v>
      </c>
      <c r="P8" s="142">
        <v>88</v>
      </c>
      <c r="Q8" s="143">
        <v>87.761346785545541</v>
      </c>
      <c r="R8" s="57">
        <v>2336.14</v>
      </c>
      <c r="S8" s="80">
        <v>95</v>
      </c>
      <c r="U8" s="142">
        <v>120</v>
      </c>
      <c r="V8" s="142">
        <v>1.1023000000000001</v>
      </c>
      <c r="W8" s="137">
        <v>8</v>
      </c>
      <c r="X8" s="137">
        <v>12</v>
      </c>
      <c r="Y8" s="283">
        <v>30</v>
      </c>
      <c r="Z8" s="143">
        <f>IF(D8="UNTUCA",IF(+((W8-3)*1.5+(X8-3)*3.1)&gt;0,+((W8-3)*1.5+(X8-3)*3.1),0),IF(+((W8-3)*1.5+(X8-3)*3.1)&gt;0,+((W8-3)*1.5+(X8-3)*3.1),0))</f>
        <v>35.400000000000006</v>
      </c>
      <c r="AA8" s="144">
        <f t="shared" si="1"/>
        <v>65.400000000000006</v>
      </c>
      <c r="AB8" s="145">
        <f t="shared" si="2"/>
        <v>410.06163354927997</v>
      </c>
      <c r="AC8" s="145">
        <f>+(S8-T8)*V8-'data 1'!$F$4</f>
        <v>24.718500000000006</v>
      </c>
      <c r="AD8" s="145">
        <f t="shared" si="3"/>
        <v>-1.7548127608239341</v>
      </c>
      <c r="AE8" s="145">
        <f>+(Y8*V8-'data 1'!$I$21)+V8*(Z8-IF(D8="UNTUCA",IF(+((W8-3)*2.5+(X8-3)*3.1)&gt;0,+((W8-3)*1.5+(X8-3)*3.1),0),IF(+((W8-3)*1.5+(X8-3)*3.1)&gt;0,+((W8-3)*1.5+(X8-3)*3.1),0)))</f>
        <v>7.4879189189189219</v>
      </c>
      <c r="AF8" s="145">
        <f t="shared" si="4"/>
        <v>60.028613249724224</v>
      </c>
      <c r="AG8" s="145">
        <f t="shared" si="5"/>
        <v>90.48021940781922</v>
      </c>
      <c r="AH8" s="145">
        <f t="shared" si="6"/>
        <v>64.792229374965189</v>
      </c>
      <c r="AI8" s="137">
        <f t="shared" si="7"/>
        <v>42.472301132826225</v>
      </c>
      <c r="AJ8" s="144">
        <f t="shared" si="8"/>
        <v>58.92484756846433</v>
      </c>
      <c r="AK8" s="88">
        <f t="shared" si="9"/>
        <v>5.8673818065008589</v>
      </c>
      <c r="AL8" s="57"/>
      <c r="AM8" s="57"/>
      <c r="AV8" s="57">
        <f t="shared" si="10"/>
        <v>2933.5481214808651</v>
      </c>
    </row>
    <row r="9" spans="1:48" ht="15" customHeight="1">
      <c r="A9" s="134" t="s">
        <v>555</v>
      </c>
      <c r="B9" s="135">
        <v>45427</v>
      </c>
      <c r="C9" s="135">
        <v>45425</v>
      </c>
      <c r="D9" s="6" t="s">
        <v>549</v>
      </c>
      <c r="E9" s="176"/>
      <c r="F9" s="6" t="s">
        <v>553</v>
      </c>
      <c r="G9" s="90">
        <v>92</v>
      </c>
      <c r="H9" s="90" t="s">
        <v>465</v>
      </c>
      <c r="I9" s="82">
        <v>10.26</v>
      </c>
      <c r="J9" s="137">
        <v>2.7</v>
      </c>
      <c r="K9" s="82">
        <f t="shared" si="0"/>
        <v>9.9829799999999995</v>
      </c>
      <c r="L9" s="240">
        <v>0.17199999999999999</v>
      </c>
      <c r="M9" s="80">
        <v>0.16300000000000001</v>
      </c>
      <c r="N9" s="249">
        <v>0.16300000000000001</v>
      </c>
      <c r="O9" s="139">
        <f>+ROUND((M9+N9)/2,3)</f>
        <v>0.16300000000000001</v>
      </c>
      <c r="P9" s="142">
        <v>88</v>
      </c>
      <c r="Q9" s="143">
        <v>87.170215769801331</v>
      </c>
      <c r="R9" s="57">
        <v>2336.14</v>
      </c>
      <c r="S9" s="80">
        <v>95</v>
      </c>
      <c r="U9" s="142">
        <v>120</v>
      </c>
      <c r="V9" s="142">
        <v>1.1023000000000001</v>
      </c>
      <c r="W9" s="137">
        <v>7.9</v>
      </c>
      <c r="X9" s="137">
        <v>11.9</v>
      </c>
      <c r="Y9" s="283">
        <v>30</v>
      </c>
      <c r="Z9" s="143">
        <f>IF(D9="UNTUCA",IF(+((W9-3)*1.5+(X9-3)*3.1)&gt;0,+((W9-3)*1.5+(X9-3)*3.1),0),IF(+((W9-3)*1.5+(X9-3)*3.1)&gt;0,+((W9-3)*1.5+(X9-3)*3.1),0))</f>
        <v>34.940000000000005</v>
      </c>
      <c r="AA9" s="144">
        <f t="shared" si="1"/>
        <v>64.94</v>
      </c>
      <c r="AB9" s="145">
        <f t="shared" si="2"/>
        <v>174.10070293968005</v>
      </c>
      <c r="AC9" s="145">
        <f>+(S9-T9)*V9-'data 1'!$F$4</f>
        <v>24.718500000000006</v>
      </c>
      <c r="AD9" s="145">
        <f t="shared" si="3"/>
        <v>-3.4865076609450072</v>
      </c>
      <c r="AE9" s="145">
        <f>+(Y9*V9-'data 1'!$I$21)+V9*(Z9-IF(D9="UNTUCA",IF(+((W9-3)*2.5+(X9-3)*3.1)&gt;0,+((W9-3)*1.5+(X9-3)*3.1),0),IF(+((W9-3)*1.5+(X9-3)*3.1)&gt;0,+((W9-3)*1.5+(X9-3)*3.1),0)))</f>
        <v>7.4879189189189219</v>
      </c>
      <c r="AF9" s="145">
        <f t="shared" si="4"/>
        <v>19.164947345841675</v>
      </c>
      <c r="AG9" s="145">
        <f t="shared" si="5"/>
        <v>47.884858603815594</v>
      </c>
      <c r="AH9" s="145">
        <f t="shared" si="6"/>
        <v>51.317541028867133</v>
      </c>
      <c r="AI9" s="137">
        <f t="shared" si="7"/>
        <v>24.106412541961831</v>
      </c>
      <c r="AJ9" s="144">
        <f t="shared" si="8"/>
        <v>49.095258027946599</v>
      </c>
      <c r="AK9" s="88">
        <f t="shared" si="9"/>
        <v>2.2222830009205339</v>
      </c>
      <c r="AL9" s="57"/>
      <c r="AM9" s="57"/>
      <c r="AV9" s="57">
        <f t="shared" si="10"/>
        <v>1738.0438354327671</v>
      </c>
    </row>
    <row r="10" spans="1:48" ht="15" customHeight="1">
      <c r="A10" s="134" t="s">
        <v>556</v>
      </c>
      <c r="B10" s="135">
        <v>45429</v>
      </c>
      <c r="C10" s="135">
        <v>45427</v>
      </c>
      <c r="D10" s="6" t="s">
        <v>557</v>
      </c>
      <c r="E10" s="176"/>
      <c r="F10" s="6" t="s">
        <v>557</v>
      </c>
      <c r="G10" s="90" t="s">
        <v>68</v>
      </c>
      <c r="H10" s="90" t="s">
        <v>465</v>
      </c>
      <c r="I10" s="82">
        <v>28.37</v>
      </c>
      <c r="J10" s="137">
        <v>6.45</v>
      </c>
      <c r="K10" s="82">
        <f t="shared" si="0"/>
        <v>26.540134999999999</v>
      </c>
      <c r="L10" s="240">
        <v>0.30399999999999999</v>
      </c>
      <c r="M10" s="80">
        <v>0.27400000000000002</v>
      </c>
      <c r="N10" s="178">
        <v>0.32200000000000001</v>
      </c>
      <c r="O10" s="139">
        <v>0.3</v>
      </c>
      <c r="P10" s="203">
        <v>90</v>
      </c>
      <c r="Q10" s="142">
        <v>86.16</v>
      </c>
      <c r="R10" s="57">
        <v>2357.5</v>
      </c>
      <c r="S10" s="80">
        <v>120</v>
      </c>
      <c r="U10" s="142">
        <v>100</v>
      </c>
      <c r="V10" s="142">
        <v>1.1023000000000001</v>
      </c>
      <c r="W10" s="137">
        <v>7.1</v>
      </c>
      <c r="X10" s="137">
        <v>11.6</v>
      </c>
      <c r="Y10" s="283"/>
      <c r="Z10" s="143">
        <v>26.5</v>
      </c>
      <c r="AA10" s="144">
        <f t="shared" si="1"/>
        <v>26.5</v>
      </c>
      <c r="AB10" s="145">
        <f t="shared" si="2"/>
        <v>510.39245749999998</v>
      </c>
      <c r="AC10" s="145">
        <f>+(S10-T10)*V10-'data 1'!$F$4</f>
        <v>52.27600000000001</v>
      </c>
      <c r="AD10" s="145">
        <f t="shared" si="3"/>
        <v>-29.049079449600026</v>
      </c>
      <c r="AE10" s="145">
        <f>+(Y10*V10-'data 1'!$I$21)+V10*(Z10-IF(D10="UNTUCA",IF(+((W10-3)*2.5+(X10-3)*3.1)&gt;0,+((W10-3)*1.5+(X10-3)*3.1),0),IF(+((W10-3)*1.5+(X10-3)*3.1)&gt;0,+((W10-3)*1.5+(X10-3)*3.1),0)))</f>
        <v>-32.536594081081084</v>
      </c>
      <c r="AF10" s="145">
        <f t="shared" si="4"/>
        <v>8.5761673704000074</v>
      </c>
      <c r="AG10" s="145">
        <f t="shared" si="5"/>
        <v>-0.73350616028109172</v>
      </c>
      <c r="AH10" s="145">
        <f t="shared" si="6"/>
        <v>238.33700127439457</v>
      </c>
      <c r="AI10" s="137">
        <f t="shared" si="7"/>
        <v>30.171393690240002</v>
      </c>
      <c r="AJ10" s="144">
        <f t="shared" si="8"/>
        <v>245.68348339108442</v>
      </c>
      <c r="AK10" s="88">
        <f t="shared" si="9"/>
        <v>-7.346482116689856</v>
      </c>
      <c r="AL10" s="57" t="s">
        <v>558</v>
      </c>
      <c r="AM10" s="57"/>
      <c r="AV10" s="57">
        <f t="shared" si="10"/>
        <v>13545.884725031761</v>
      </c>
    </row>
    <row r="11" spans="1:48" ht="15" customHeight="1">
      <c r="A11" s="134" t="s">
        <v>559</v>
      </c>
      <c r="B11" s="135">
        <v>45429</v>
      </c>
      <c r="C11" s="135">
        <v>45429</v>
      </c>
      <c r="D11" s="6" t="s">
        <v>557</v>
      </c>
      <c r="E11" s="176"/>
      <c r="F11" s="6" t="s">
        <v>557</v>
      </c>
      <c r="G11" s="90"/>
      <c r="H11" s="90" t="s">
        <v>465</v>
      </c>
      <c r="I11" s="82">
        <v>8.5299999999999994</v>
      </c>
      <c r="J11" s="137">
        <v>7.8</v>
      </c>
      <c r="K11" s="82">
        <f t="shared" si="0"/>
        <v>7.8646599999999998</v>
      </c>
      <c r="L11" s="240">
        <v>0.32599999999999996</v>
      </c>
      <c r="M11" s="139">
        <v>0.313</v>
      </c>
      <c r="N11" s="271">
        <v>0.36299999999999999</v>
      </c>
      <c r="O11" s="139">
        <f>+ROUND((M11+N11)/2,3)</f>
        <v>0.33800000000000002</v>
      </c>
      <c r="P11" s="142">
        <v>88</v>
      </c>
      <c r="Q11" s="284">
        <v>85.880506553242355</v>
      </c>
      <c r="R11" s="57">
        <v>2357.5</v>
      </c>
      <c r="S11" s="80">
        <v>130</v>
      </c>
      <c r="U11" s="142">
        <v>120</v>
      </c>
      <c r="V11" s="142">
        <v>1.1023000000000001</v>
      </c>
      <c r="W11" s="137">
        <v>7.8</v>
      </c>
      <c r="X11" s="137">
        <v>7.8646599999999998</v>
      </c>
      <c r="Y11" s="283">
        <v>30</v>
      </c>
      <c r="Z11" s="143">
        <f t="shared" ref="Z11:Z49" si="11">IF(D11="UNTUCA",IF(+((W11-3)*1.5+(X11-3)*3.1)&gt;0,+((W11-3)*1.5+(X11-3)*3.1),0),IF(+((W11-3)*1.5+(X11-3)*3.1)&gt;0,+((W11-3)*1.5+(X11-3)*3.1),0))</f>
        <v>22.280445999999998</v>
      </c>
      <c r="AA11" s="144">
        <f t="shared" si="1"/>
        <v>52.280445999999998</v>
      </c>
      <c r="AB11" s="145">
        <f t="shared" si="2"/>
        <v>532.6771649742002</v>
      </c>
      <c r="AC11" s="145">
        <f>+(S11-T11)*V11-'data 1'!$F$4</f>
        <v>63.299000000000007</v>
      </c>
      <c r="AD11" s="145">
        <f t="shared" si="3"/>
        <v>-17.041684846083371</v>
      </c>
      <c r="AE11" s="145">
        <f>+(Y11*V11-'data 1'!$I$21)+V11*(Z11-IF(D11="UNTUCA",IF(+((W11-3)*2.5+(X11-3)*3.1)&gt;0,+((W11-3)*1.5+(X11-3)*3.1),0),IF(+((W11-3)*1.5+(X11-3)*3.1)&gt;0,+((W11-3)*1.5+(X11-3)*3.1),0)))</f>
        <v>7.4879189189189219</v>
      </c>
      <c r="AF11" s="145">
        <f t="shared" si="4"/>
        <v>-25.417843117322228</v>
      </c>
      <c r="AG11" s="145">
        <f t="shared" si="5"/>
        <v>28.32739095551333</v>
      </c>
      <c r="AH11" s="145">
        <f t="shared" si="6"/>
        <v>75.492050014159204</v>
      </c>
      <c r="AI11" s="137">
        <f t="shared" si="7"/>
        <v>38.422122852988885</v>
      </c>
      <c r="AJ11" s="144">
        <f t="shared" si="8"/>
        <v>80.202590119241748</v>
      </c>
      <c r="AK11" s="88">
        <f t="shared" si="9"/>
        <v>-4.7105401050825435</v>
      </c>
      <c r="AL11" s="57" t="s">
        <v>560</v>
      </c>
      <c r="AM11" s="57"/>
      <c r="AV11" s="57">
        <f t="shared" si="10"/>
        <v>4189.3247922859928</v>
      </c>
    </row>
    <row r="12" spans="1:48" ht="15" customHeight="1">
      <c r="A12" s="134" t="s">
        <v>561</v>
      </c>
      <c r="B12" s="194">
        <v>45429</v>
      </c>
      <c r="C12" s="194">
        <v>45429</v>
      </c>
      <c r="D12" s="163" t="s">
        <v>557</v>
      </c>
      <c r="E12" s="251"/>
      <c r="F12" s="163" t="s">
        <v>557</v>
      </c>
      <c r="G12" s="252"/>
      <c r="H12" s="252" t="s">
        <v>465</v>
      </c>
      <c r="I12" s="196">
        <v>3.29</v>
      </c>
      <c r="J12" s="195">
        <v>11.15</v>
      </c>
      <c r="K12" s="196">
        <f t="shared" si="0"/>
        <v>2.923165</v>
      </c>
      <c r="L12" s="253">
        <v>0.26500000000000001</v>
      </c>
      <c r="M12" s="197">
        <v>0.23850000000000002</v>
      </c>
      <c r="N12" s="253">
        <v>0.27</v>
      </c>
      <c r="O12" s="197">
        <v>0.255</v>
      </c>
      <c r="P12" s="163">
        <v>88</v>
      </c>
      <c r="Q12" s="285">
        <v>85.147450202382359</v>
      </c>
      <c r="R12" s="200">
        <v>2357.5</v>
      </c>
      <c r="S12" s="161">
        <v>120</v>
      </c>
      <c r="T12" s="163"/>
      <c r="U12" s="163">
        <v>120</v>
      </c>
      <c r="V12" s="163">
        <v>1.1023000000000001</v>
      </c>
      <c r="W12" s="195">
        <v>11.15</v>
      </c>
      <c r="X12" s="195">
        <v>2.923165</v>
      </c>
      <c r="Y12" s="256">
        <v>30</v>
      </c>
      <c r="Z12" s="195">
        <f t="shared" si="11"/>
        <v>11.986811500000002</v>
      </c>
      <c r="AA12" s="200">
        <f t="shared" si="1"/>
        <v>41.986811500000002</v>
      </c>
      <c r="AB12" s="201">
        <f t="shared" si="2"/>
        <v>374.90125618355006</v>
      </c>
      <c r="AC12" s="201">
        <f>+(S12-T12)*V12-'data 1'!$F$4</f>
        <v>52.27600000000001</v>
      </c>
      <c r="AD12" s="201">
        <f t="shared" si="3"/>
        <v>-18.644123028023383</v>
      </c>
      <c r="AE12" s="201">
        <f>+(Y12*V12-'data 1'!$I$21)+V12*(Z12-IF(D12="UNTUCA",IF(+((W12-3)*2.5+(X12-3)*3.1)&gt;0,+((W12-3)*1.5+(X12-3)*3.1),0),IF(+((W12-3)*1.5+(X12-3)*3.1)&gt;0,+((W12-3)*1.5+(X12-3)*3.1),0)))</f>
        <v>7.4879189189189219</v>
      </c>
      <c r="AF12" s="201">
        <f t="shared" si="4"/>
        <v>21.000735187621782</v>
      </c>
      <c r="AG12" s="201">
        <f t="shared" si="5"/>
        <v>62.120531078517331</v>
      </c>
      <c r="AH12" s="201">
        <f t="shared" si="6"/>
        <v>22.614131880956208</v>
      </c>
      <c r="AI12" s="195">
        <f t="shared" si="7"/>
        <v>30.966111985591553</v>
      </c>
      <c r="AJ12" s="200">
        <f t="shared" si="8"/>
        <v>22.489782322999602</v>
      </c>
      <c r="AK12" s="202">
        <f t="shared" si="9"/>
        <v>0.12434955795660585</v>
      </c>
      <c r="AL12" s="57" t="s">
        <v>560</v>
      </c>
      <c r="AM12" s="57"/>
      <c r="AN12" s="163"/>
      <c r="AO12" s="163"/>
      <c r="AP12" s="163"/>
      <c r="AQ12" s="163"/>
      <c r="AR12" s="163"/>
      <c r="AS12" s="163"/>
      <c r="AT12" s="163"/>
      <c r="AV12" s="57">
        <f t="shared" si="10"/>
        <v>1095.898230531787</v>
      </c>
    </row>
    <row r="13" spans="1:48" ht="15" customHeight="1">
      <c r="A13" s="134" t="s">
        <v>562</v>
      </c>
      <c r="B13" s="194">
        <v>45429</v>
      </c>
      <c r="C13" s="194">
        <v>45429</v>
      </c>
      <c r="D13" s="163" t="s">
        <v>557</v>
      </c>
      <c r="E13" s="251"/>
      <c r="F13" s="163" t="s">
        <v>557</v>
      </c>
      <c r="G13" s="252"/>
      <c r="H13" s="252" t="s">
        <v>465</v>
      </c>
      <c r="I13" s="196">
        <v>8.18</v>
      </c>
      <c r="J13" s="195">
        <v>9.9499999999999993</v>
      </c>
      <c r="K13" s="196">
        <f t="shared" si="0"/>
        <v>7.3660899999999998</v>
      </c>
      <c r="L13" s="253">
        <v>0.33950000000000002</v>
      </c>
      <c r="M13" s="197">
        <v>0.27160000000000001</v>
      </c>
      <c r="N13" s="286">
        <v>0.38200000000000001</v>
      </c>
      <c r="O13" s="197">
        <v>0.32800000000000001</v>
      </c>
      <c r="P13" s="163">
        <v>88</v>
      </c>
      <c r="Q13" s="285">
        <v>85.542991838874798</v>
      </c>
      <c r="R13" s="200">
        <v>2357.5</v>
      </c>
      <c r="S13" s="161">
        <v>120</v>
      </c>
      <c r="T13" s="163"/>
      <c r="U13" s="163">
        <v>120</v>
      </c>
      <c r="V13" s="163">
        <v>1.1023000000000001</v>
      </c>
      <c r="W13" s="195">
        <v>9.9499999999999993</v>
      </c>
      <c r="X13" s="195">
        <v>7.3660899999999998</v>
      </c>
      <c r="Y13" s="256">
        <v>30</v>
      </c>
      <c r="Z13" s="195">
        <f t="shared" si="11"/>
        <v>23.959879000000001</v>
      </c>
      <c r="AA13" s="200">
        <f t="shared" si="1"/>
        <v>53.959879000000001</v>
      </c>
      <c r="AB13" s="201">
        <f t="shared" si="2"/>
        <v>520.14463897830001</v>
      </c>
      <c r="AC13" s="201">
        <f>+(S13-T13)*V13-'data 1'!$F$4</f>
        <v>52.27600000000001</v>
      </c>
      <c r="AD13" s="201">
        <f t="shared" si="3"/>
        <v>-20.573549651809131</v>
      </c>
      <c r="AE13" s="201">
        <f>+(Y13*V13-'data 1'!$I$21)+V13*(Z13-IF(D13="UNTUCA",IF(+((W13-3)*2.5+(X13-3)*3.1)&gt;0,+((W13-3)*1.5+(X13-3)*3.1),0),IF(+((W13-3)*1.5+(X13-3)*3.1)&gt;0,+((W13-3)*1.5+(X13-3)*3.1),0)))</f>
        <v>7.4879189189189219</v>
      </c>
      <c r="AF13" s="201">
        <f t="shared" si="4"/>
        <v>24.263035142795886</v>
      </c>
      <c r="AG13" s="201">
        <f t="shared" si="5"/>
        <v>63.453404409905687</v>
      </c>
      <c r="AH13" s="201">
        <f t="shared" si="6"/>
        <v>73.344964754953679</v>
      </c>
      <c r="AI13" s="195">
        <f t="shared" si="7"/>
        <v>39.855969051519452</v>
      </c>
      <c r="AJ13" s="200">
        <f t="shared" si="8"/>
        <v>72.895816692231847</v>
      </c>
      <c r="AK13" s="202">
        <f t="shared" si="9"/>
        <v>0.44914806272183228</v>
      </c>
      <c r="AL13" s="57" t="s">
        <v>560</v>
      </c>
      <c r="AM13" s="57"/>
      <c r="AN13" s="163"/>
      <c r="AO13" s="163"/>
      <c r="AP13" s="163"/>
      <c r="AQ13" s="163"/>
      <c r="AR13" s="163"/>
      <c r="AS13" s="163"/>
      <c r="AT13" s="163"/>
      <c r="AV13" s="57">
        <f t="shared" si="10"/>
        <v>3831.432223731666</v>
      </c>
    </row>
    <row r="14" spans="1:48" ht="15" customHeight="1">
      <c r="A14" s="134" t="s">
        <v>563</v>
      </c>
      <c r="B14" s="135">
        <v>45429</v>
      </c>
      <c r="C14" s="135">
        <v>45429</v>
      </c>
      <c r="D14" s="6" t="s">
        <v>557</v>
      </c>
      <c r="E14" s="176"/>
      <c r="F14" s="6" t="s">
        <v>557</v>
      </c>
      <c r="G14" s="90"/>
      <c r="H14" s="90" t="s">
        <v>465</v>
      </c>
      <c r="I14" s="82">
        <v>1.55</v>
      </c>
      <c r="J14" s="137">
        <v>12.3</v>
      </c>
      <c r="K14" s="82">
        <f t="shared" si="0"/>
        <v>1.3593500000000001</v>
      </c>
      <c r="L14" s="240">
        <v>0.11599999999999999</v>
      </c>
      <c r="M14" s="139">
        <v>0.11</v>
      </c>
      <c r="N14" s="247">
        <v>0.11</v>
      </c>
      <c r="O14" s="197">
        <f>+ROUND((M14+N14)/2,3)</f>
        <v>0.11</v>
      </c>
      <c r="P14" s="6">
        <v>85</v>
      </c>
      <c r="Q14" s="284">
        <v>81.126390698111308</v>
      </c>
      <c r="R14" s="57">
        <v>2357.5</v>
      </c>
      <c r="S14" s="80">
        <v>110</v>
      </c>
      <c r="U14" s="142">
        <v>120</v>
      </c>
      <c r="V14" s="142">
        <v>1.1023000000000001</v>
      </c>
      <c r="W14" s="137">
        <v>12.3</v>
      </c>
      <c r="X14" s="137">
        <v>1.3593500000000001</v>
      </c>
      <c r="Y14" s="283">
        <v>30</v>
      </c>
      <c r="Z14" s="143">
        <f t="shared" si="11"/>
        <v>8.8639850000000013</v>
      </c>
      <c r="AA14" s="144">
        <f t="shared" si="1"/>
        <v>38.863985</v>
      </c>
      <c r="AB14" s="145">
        <f t="shared" si="2"/>
        <v>66.515278709500024</v>
      </c>
      <c r="AC14" s="145">
        <f>+(S14-T14)*V14-'data 1'!$F$4</f>
        <v>41.253</v>
      </c>
      <c r="AD14" s="145">
        <f t="shared" si="3"/>
        <v>-11.082472329126331</v>
      </c>
      <c r="AE14" s="145">
        <f>+(Y14*V14-'data 1'!$I$21)+V14*(Z14-IF(D14="UNTUCA",IF(+((W14-3)*2.5+(X14-3)*3.1)&gt;0,+((W14-3)*1.5+(X14-3)*3.1),0),IF(+((W14-3)*1.5+(X14-3)*3.1)&gt;0,+((W14-3)*1.5+(X14-3)*3.1),0)))</f>
        <v>7.4879189189189219</v>
      </c>
      <c r="AF14" s="145">
        <f t="shared" si="4"/>
        <v>12.005389547631383</v>
      </c>
      <c r="AG14" s="145">
        <f t="shared" si="5"/>
        <v>49.663836137423971</v>
      </c>
      <c r="AH14" s="145">
        <f t="shared" si="6"/>
        <v>4.3859179695398236</v>
      </c>
      <c r="AI14" s="137">
        <f t="shared" si="7"/>
        <v>12.914848107775986</v>
      </c>
      <c r="AJ14" s="144">
        <f t="shared" si="8"/>
        <v>4.3576462499792612</v>
      </c>
      <c r="AK14" s="88">
        <f t="shared" si="9"/>
        <v>2.8271719560562403E-2</v>
      </c>
      <c r="AL14" s="57" t="s">
        <v>560</v>
      </c>
      <c r="AM14" s="57"/>
      <c r="AV14" s="57">
        <f t="shared" si="10"/>
        <v>90.417544113758865</v>
      </c>
    </row>
    <row r="15" spans="1:48" ht="15" customHeight="1">
      <c r="A15" s="134" t="s">
        <v>564</v>
      </c>
      <c r="B15" s="194">
        <v>45429</v>
      </c>
      <c r="C15" s="194">
        <v>45429</v>
      </c>
      <c r="D15" s="163" t="s">
        <v>565</v>
      </c>
      <c r="E15" s="251"/>
      <c r="F15" s="163" t="s">
        <v>557</v>
      </c>
      <c r="G15" s="252"/>
      <c r="H15" s="252" t="s">
        <v>465</v>
      </c>
      <c r="I15" s="196">
        <v>9.44</v>
      </c>
      <c r="J15" s="195">
        <v>6.65</v>
      </c>
      <c r="K15" s="196">
        <f t="shared" si="0"/>
        <v>8.8122399999999992</v>
      </c>
      <c r="L15" s="253">
        <v>0.2175</v>
      </c>
      <c r="M15" s="197">
        <v>0.19139999999999999</v>
      </c>
      <c r="N15" s="286">
        <v>0.27100000000000002</v>
      </c>
      <c r="O15" s="197">
        <v>0.23300000000000001</v>
      </c>
      <c r="P15" s="163">
        <v>88</v>
      </c>
      <c r="Q15" s="195">
        <v>85.603232264308545</v>
      </c>
      <c r="R15" s="200">
        <v>2357.5</v>
      </c>
      <c r="S15" s="161">
        <v>110</v>
      </c>
      <c r="T15" s="163"/>
      <c r="U15" s="163">
        <v>120</v>
      </c>
      <c r="V15" s="163">
        <v>1.1023000000000001</v>
      </c>
      <c r="W15" s="195">
        <v>6.65</v>
      </c>
      <c r="X15" s="195">
        <v>8.8122399999999992</v>
      </c>
      <c r="Y15" s="256">
        <v>30</v>
      </c>
      <c r="Z15" s="195">
        <f t="shared" si="11"/>
        <v>23.492943999999998</v>
      </c>
      <c r="AA15" s="200">
        <f t="shared" si="1"/>
        <v>53.492943999999994</v>
      </c>
      <c r="AB15" s="201">
        <f t="shared" si="2"/>
        <v>325.49161492880012</v>
      </c>
      <c r="AC15" s="201">
        <f>+(S15-T15)*V15-'data 1'!$F$4</f>
        <v>41.253</v>
      </c>
      <c r="AD15" s="201">
        <f t="shared" si="3"/>
        <v>-12.857249228061109</v>
      </c>
      <c r="AE15" s="201">
        <f>+(Y15*V15-'data 1'!$I$21)+V15*(Z15-IF(D15="UNTUCA",IF(+((W15-3)*2.5+(X15-3)*3.1)&gt;0,+((W15-3)*1.5+(X15-3)*3.1),0),IF(+((W15-3)*1.5+(X15-3)*3.1)&gt;0,+((W15-3)*1.5+(X15-3)*3.1),0)))</f>
        <v>7.4879189189189219</v>
      </c>
      <c r="AF15" s="201">
        <f t="shared" si="4"/>
        <v>-32.72538111190832</v>
      </c>
      <c r="AG15" s="201">
        <f t="shared" si="5"/>
        <v>3.1582885789494952</v>
      </c>
      <c r="AH15" s="201">
        <f t="shared" si="6"/>
        <v>56.252886272570251</v>
      </c>
      <c r="AI15" s="195">
        <f t="shared" si="7"/>
        <v>25.551628438539169</v>
      </c>
      <c r="AJ15" s="200">
        <f t="shared" si="8"/>
        <v>61.948954180614649</v>
      </c>
      <c r="AK15" s="202">
        <f t="shared" si="9"/>
        <v>-5.6960679080443981</v>
      </c>
      <c r="AL15" s="57" t="s">
        <v>560</v>
      </c>
      <c r="AM15" s="57"/>
      <c r="AN15" s="163"/>
      <c r="AO15" s="163"/>
      <c r="AP15" s="163"/>
      <c r="AQ15" s="163"/>
      <c r="AR15" s="163"/>
      <c r="AS15" s="163"/>
      <c r="AT15" s="163"/>
      <c r="AV15" s="57">
        <f t="shared" si="10"/>
        <v>2868.3102287401694</v>
      </c>
    </row>
    <row r="16" spans="1:48" ht="15" customHeight="1">
      <c r="A16" s="134" t="s">
        <v>566</v>
      </c>
      <c r="B16" s="135">
        <v>45446</v>
      </c>
      <c r="C16" s="135">
        <v>45438</v>
      </c>
      <c r="D16" s="6" t="s">
        <v>93</v>
      </c>
      <c r="E16" s="176"/>
      <c r="F16" s="142" t="s">
        <v>522</v>
      </c>
      <c r="G16" s="177">
        <v>135</v>
      </c>
      <c r="H16" s="177" t="s">
        <v>69</v>
      </c>
      <c r="I16" s="138">
        <v>13.03</v>
      </c>
      <c r="J16" s="143">
        <v>1.1000000000000001</v>
      </c>
      <c r="K16" s="82">
        <f t="shared" si="0"/>
        <v>12.886669999999999</v>
      </c>
      <c r="L16" s="170">
        <v>0.72099999999999997</v>
      </c>
      <c r="M16" s="132">
        <v>0.69199999999999995</v>
      </c>
      <c r="N16" s="132">
        <v>0.69199999999999995</v>
      </c>
      <c r="O16" s="139">
        <f t="shared" ref="O16:O73" si="12">+ROUND((M16+N16)/2,3)</f>
        <v>0.69199999999999995</v>
      </c>
      <c r="P16" s="143">
        <v>89.5</v>
      </c>
      <c r="Q16" s="142">
        <v>87.16</v>
      </c>
      <c r="R16" s="144">
        <v>2332.2800000000002</v>
      </c>
      <c r="S16" s="132">
        <v>140</v>
      </c>
      <c r="T16" s="142"/>
      <c r="U16" s="142">
        <v>120</v>
      </c>
      <c r="V16" s="142">
        <v>1.1023000000000001</v>
      </c>
      <c r="W16" s="143">
        <v>7.9</v>
      </c>
      <c r="X16" s="143">
        <v>11.7</v>
      </c>
      <c r="Y16" s="203">
        <v>30</v>
      </c>
      <c r="Z16" s="143">
        <f t="shared" si="11"/>
        <v>34.32</v>
      </c>
      <c r="AA16" s="144">
        <f t="shared" si="1"/>
        <v>64.319999999999993</v>
      </c>
      <c r="AB16" s="145">
        <f t="shared" si="2"/>
        <v>1285.0982617589602</v>
      </c>
      <c r="AC16" s="145">
        <f>+(S16-T16)*V16-'data 1'!$F$4</f>
        <v>74.322000000000003</v>
      </c>
      <c r="AD16" s="145">
        <f t="shared" si="3"/>
        <v>-41.142532671021662</v>
      </c>
      <c r="AE16" s="145">
        <f>+(Y16*V16-'data 1'!$I$21)+V16*(Z16-IF(D16="UNTUCA",IF(+((W16-3)*2.5+(X16-3)*3.1)&gt;0,+((W16-3)*1.5+(X16-3)*3.1),0),IF(+((W16-3)*1.5+(X16-3)*3.1)&gt;0,+((W16-3)*1.5+(X16-3)*3.1),0)))</f>
        <v>7.4879189189189219</v>
      </c>
      <c r="AF16" s="145">
        <f t="shared" si="4"/>
        <v>61.638934101841663</v>
      </c>
      <c r="AG16" s="145">
        <f t="shared" si="5"/>
        <v>102.30632034973893</v>
      </c>
      <c r="AH16" s="145">
        <f t="shared" si="6"/>
        <v>277.65293130921555</v>
      </c>
      <c r="AI16" s="137">
        <f>+((+$AI$2-R16+U17)*L16*Q16*V16)/100</f>
        <v>103.71274096840145</v>
      </c>
      <c r="AJ16" s="143">
        <f t="shared" si="8"/>
        <v>273.63957444795125</v>
      </c>
      <c r="AK16" s="133">
        <f t="shared" si="9"/>
        <v>4.0133568612642989</v>
      </c>
      <c r="AL16" s="144"/>
      <c r="AM16" s="144"/>
      <c r="AN16" s="142"/>
      <c r="AO16" s="142"/>
      <c r="AP16" s="142"/>
      <c r="AQ16" s="142"/>
      <c r="AR16" s="142"/>
      <c r="AS16" s="142"/>
      <c r="AT16" s="144">
        <f>+AB16*K16*1.18</f>
        <v>19541.551915896376</v>
      </c>
      <c r="AV16" s="57">
        <f t="shared" si="10"/>
        <v>16560.637216861338</v>
      </c>
    </row>
    <row r="17" spans="1:50" ht="15" customHeight="1">
      <c r="A17" s="134" t="s">
        <v>567</v>
      </c>
      <c r="B17" s="135">
        <v>45446</v>
      </c>
      <c r="C17" s="135">
        <v>45438</v>
      </c>
      <c r="D17" s="6" t="s">
        <v>93</v>
      </c>
      <c r="E17" s="176"/>
      <c r="F17" s="142" t="s">
        <v>522</v>
      </c>
      <c r="G17" s="177">
        <v>136</v>
      </c>
      <c r="H17" s="177" t="s">
        <v>69</v>
      </c>
      <c r="I17" s="138">
        <v>12.64</v>
      </c>
      <c r="J17" s="143">
        <v>1</v>
      </c>
      <c r="K17" s="82">
        <f t="shared" si="0"/>
        <v>12.5136</v>
      </c>
      <c r="L17" s="170">
        <v>0.92700000000000005</v>
      </c>
      <c r="M17" s="141">
        <v>0.89</v>
      </c>
      <c r="N17" s="178">
        <v>1.0640000000000001</v>
      </c>
      <c r="O17" s="139">
        <f t="shared" si="12"/>
        <v>0.97699999999999998</v>
      </c>
      <c r="P17" s="143">
        <v>87.5</v>
      </c>
      <c r="Q17" s="142">
        <v>87.09</v>
      </c>
      <c r="R17" s="144">
        <v>2332.2800000000002</v>
      </c>
      <c r="S17" s="132">
        <v>170</v>
      </c>
      <c r="T17" s="142"/>
      <c r="U17" s="142">
        <v>120</v>
      </c>
      <c r="V17" s="142">
        <v>1.1023000000000001</v>
      </c>
      <c r="W17" s="143">
        <v>7.9</v>
      </c>
      <c r="X17" s="143">
        <v>11.8</v>
      </c>
      <c r="Y17" s="203">
        <v>90</v>
      </c>
      <c r="Z17" s="143">
        <f t="shared" si="11"/>
        <v>34.630000000000003</v>
      </c>
      <c r="AA17" s="144">
        <f t="shared" si="1"/>
        <v>124.63</v>
      </c>
      <c r="AB17" s="145">
        <f t="shared" si="2"/>
        <v>1759.9243150895002</v>
      </c>
      <c r="AC17" s="145">
        <f>+(S17-T17)*V17-'data 1'!$F$4</f>
        <v>107.39100000000002</v>
      </c>
      <c r="AD17" s="145">
        <f t="shared" si="3"/>
        <v>-9.2683727445707245</v>
      </c>
      <c r="AE17" s="145">
        <f>+(Y17*V17-'data 1'!$I$21)+V17*(Z17-IF(D17="UNTUCA",IF(+((W17-3)*2.5+(X17-3)*3.1)&gt;0,+((W17-3)*1.5+(X17-3)*3.1),0),IF(+((W17-3)*1.5+(X17-3)*3.1)&gt;0,+((W17-3)*1.5+(X17-3)*3.1),0)))</f>
        <v>73.625918918918927</v>
      </c>
      <c r="AF17" s="145">
        <f t="shared" si="4"/>
        <v>-106.18867344497987</v>
      </c>
      <c r="AG17" s="145">
        <f t="shared" si="5"/>
        <v>65.559872729368365</v>
      </c>
      <c r="AH17" s="145">
        <f t="shared" si="6"/>
        <v>346.36927655212742</v>
      </c>
      <c r="AI17" s="137">
        <f>+((+$AI$2-R17+U18)*L17*Q17*V17)/100</f>
        <v>133.23786058225062</v>
      </c>
      <c r="AJ17" s="143">
        <f t="shared" si="8"/>
        <v>366.77012607263265</v>
      </c>
      <c r="AK17" s="133">
        <f t="shared" si="9"/>
        <v>-20.400849520505233</v>
      </c>
      <c r="AL17" s="144" t="s">
        <v>568</v>
      </c>
      <c r="AM17" s="144"/>
      <c r="AN17" s="142"/>
      <c r="AO17" s="142"/>
      <c r="AP17" s="142"/>
      <c r="AQ17" s="142"/>
      <c r="AR17" s="142"/>
      <c r="AS17" s="142"/>
      <c r="AT17" s="144">
        <f>+AB17*K17*1.18</f>
        <v>25987.126912978685</v>
      </c>
      <c r="AV17" s="57">
        <f t="shared" si="10"/>
        <v>22022.988909303971</v>
      </c>
    </row>
    <row r="18" spans="1:50" ht="15" customHeight="1">
      <c r="A18" s="134" t="s">
        <v>569</v>
      </c>
      <c r="B18" s="135">
        <v>45441</v>
      </c>
      <c r="C18" s="135">
        <v>45438</v>
      </c>
      <c r="D18" s="6" t="s">
        <v>106</v>
      </c>
      <c r="E18" s="176"/>
      <c r="F18" s="142" t="s">
        <v>570</v>
      </c>
      <c r="G18" s="177">
        <v>25</v>
      </c>
      <c r="H18" s="177" t="s">
        <v>571</v>
      </c>
      <c r="I18" s="138">
        <v>1.83</v>
      </c>
      <c r="J18" s="143">
        <v>28.9</v>
      </c>
      <c r="K18" s="82">
        <f t="shared" si="0"/>
        <v>1.3011300000000001</v>
      </c>
      <c r="L18" s="170">
        <v>1.8959999999999999</v>
      </c>
      <c r="M18" s="132">
        <v>1.8009999999999999</v>
      </c>
      <c r="N18" s="271">
        <v>2.0030000000000001</v>
      </c>
      <c r="O18" s="149">
        <f t="shared" si="12"/>
        <v>1.9019999999999999</v>
      </c>
      <c r="P18" s="143">
        <v>85</v>
      </c>
      <c r="Q18" s="284">
        <v>80.3</v>
      </c>
      <c r="R18" s="144">
        <v>2332.2800000000002</v>
      </c>
      <c r="S18" s="132">
        <v>280</v>
      </c>
      <c r="T18" s="143"/>
      <c r="U18" s="142">
        <v>120</v>
      </c>
      <c r="V18" s="142">
        <v>1.1023000000000001</v>
      </c>
      <c r="W18" s="143">
        <v>8</v>
      </c>
      <c r="X18" s="143">
        <v>13.1</v>
      </c>
      <c r="Y18" s="203">
        <v>30</v>
      </c>
      <c r="Z18" s="143">
        <f t="shared" si="11"/>
        <v>38.81</v>
      </c>
      <c r="AA18" s="144">
        <f t="shared" si="1"/>
        <v>68.81</v>
      </c>
      <c r="AB18" s="145">
        <f t="shared" si="2"/>
        <v>3557.9852846748004</v>
      </c>
      <c r="AC18" s="145">
        <f>+(S18-T18)*V18-'data 1'!$F$4</f>
        <v>228.64400000000001</v>
      </c>
      <c r="AD18" s="145">
        <f t="shared" si="3"/>
        <v>-217.30818849532818</v>
      </c>
      <c r="AE18" s="145">
        <f>+(Y18*V18-'data 1'!$I$21)+V18*(Z18-IF(D18="UNTUCA",IF(+((W18-3)*2.5+(X18-3)*3.1)&gt;0,+((W18-3)*1.5+(X18-3)*3.1),0),IF(+((W18-3)*1.5+(X18-3)*3.1)&gt;0,+((W18-3)*1.5+(X18-3)*3.1),0)))</f>
        <v>7.4879189189189219</v>
      </c>
      <c r="AF18" s="145">
        <f t="shared" si="4"/>
        <v>-11.749156703592012</v>
      </c>
      <c r="AG18" s="145">
        <f t="shared" si="5"/>
        <v>7.0745737199987335</v>
      </c>
      <c r="AH18" s="145">
        <f t="shared" si="6"/>
        <v>67.917804419734992</v>
      </c>
      <c r="AI18" s="137">
        <f>+((+$AI$2-R18+U19)*L18*Q18*V18)/100</f>
        <v>251.26587157372762</v>
      </c>
      <c r="AJ18" s="143">
        <f t="shared" si="8"/>
        <v>72.120577899717802</v>
      </c>
      <c r="AK18" s="133">
        <f t="shared" si="9"/>
        <v>-4.2027734799828096</v>
      </c>
      <c r="AL18" s="57"/>
      <c r="AM18" s="144"/>
      <c r="AN18" s="142"/>
      <c r="AO18" s="142"/>
      <c r="AP18" s="142"/>
      <c r="AQ18" s="142"/>
      <c r="AR18" s="142"/>
      <c r="AS18" s="142"/>
      <c r="AT18" s="142"/>
      <c r="AV18" s="57">
        <f t="shared" si="10"/>
        <v>4629.401393448923</v>
      </c>
    </row>
    <row r="19" spans="1:50" ht="15.75" customHeight="1">
      <c r="A19" s="134" t="s">
        <v>572</v>
      </c>
      <c r="B19" s="136">
        <v>45463</v>
      </c>
      <c r="C19" s="136">
        <v>45438</v>
      </c>
      <c r="D19" s="6" t="s">
        <v>106</v>
      </c>
      <c r="E19" s="176"/>
      <c r="F19" s="142" t="s">
        <v>573</v>
      </c>
      <c r="G19" s="90">
        <v>5</v>
      </c>
      <c r="H19" s="90" t="s">
        <v>571</v>
      </c>
      <c r="I19" s="82">
        <v>0.49</v>
      </c>
      <c r="J19" s="137">
        <v>26.5</v>
      </c>
      <c r="K19" s="82">
        <f t="shared" si="0"/>
        <v>0.36014999999999997</v>
      </c>
      <c r="L19" s="240">
        <v>1.6240000000000001</v>
      </c>
      <c r="M19" s="80">
        <v>1.605</v>
      </c>
      <c r="N19" s="248">
        <v>1.62</v>
      </c>
      <c r="O19" s="139">
        <f t="shared" si="12"/>
        <v>1.613</v>
      </c>
      <c r="P19" s="143">
        <v>87.5</v>
      </c>
      <c r="Q19" s="287">
        <v>80.569999999999993</v>
      </c>
      <c r="R19" s="57">
        <v>2332.2800000000002</v>
      </c>
      <c r="S19" s="80">
        <v>230</v>
      </c>
      <c r="U19" s="142">
        <v>120</v>
      </c>
      <c r="V19" s="142">
        <v>1.1023000000000001</v>
      </c>
      <c r="W19" s="137">
        <v>8</v>
      </c>
      <c r="X19" s="137">
        <v>13</v>
      </c>
      <c r="Y19" s="203">
        <v>30</v>
      </c>
      <c r="Z19" s="143">
        <f t="shared" si="11"/>
        <v>38.5</v>
      </c>
      <c r="AA19" s="144">
        <f t="shared" si="1"/>
        <v>68.5</v>
      </c>
      <c r="AB19" s="145">
        <f t="shared" si="2"/>
        <v>3112.7372238755006</v>
      </c>
      <c r="AC19" s="145">
        <f>+(S19-T19)*V19-'data 1'!$F$4</f>
        <v>173.52900000000002</v>
      </c>
      <c r="AD19" s="145">
        <f t="shared" si="3"/>
        <v>-274.44742480774113</v>
      </c>
      <c r="AE19" s="145">
        <f>+(Y19*V19-'data 1'!$I$21)+V19*(Z19-IF(D19="UNTUCA",IF(+((W19-3)*2.5+(X19-3)*3.1)&gt;0,+((W19-3)*1.5+(X19-3)*3.1),0),IF(+((W19-3)*1.5+(X19-3)*3.1)&gt;0,+((W19-3)*1.5+(X19-3)*3.1),0)))</f>
        <v>7.4879189189189219</v>
      </c>
      <c r="AF19" s="145">
        <f t="shared" si="4"/>
        <v>21.612546931699036</v>
      </c>
      <c r="AG19" s="145">
        <f t="shared" si="5"/>
        <v>-71.817958957123153</v>
      </c>
      <c r="AH19" s="145">
        <f t="shared" si="6"/>
        <v>16.156670830848245</v>
      </c>
      <c r="AI19" s="137">
        <f>+((+$AI$2-R19+U20)*L19*Q19*V19)/100</f>
        <v>215.94294225542052</v>
      </c>
      <c r="AJ19" s="144">
        <f t="shared" si="8"/>
        <v>17.427492672198611</v>
      </c>
      <c r="AK19" s="88">
        <f t="shared" si="9"/>
        <v>-1.2708218413503651</v>
      </c>
      <c r="AL19" s="57" t="s">
        <v>574</v>
      </c>
      <c r="AM19" s="57"/>
      <c r="AN19" s="57"/>
      <c r="AT19" s="144">
        <f>+AB19*K19*1.18</f>
        <v>1322.8417271909386</v>
      </c>
      <c r="AV19" s="57">
        <f t="shared" si="10"/>
        <v>1121.0523111787616</v>
      </c>
    </row>
    <row r="20" spans="1:50" ht="15.75" customHeight="1">
      <c r="A20" s="134" t="s">
        <v>575</v>
      </c>
      <c r="B20" s="136">
        <v>45418</v>
      </c>
      <c r="C20" s="136">
        <v>45438</v>
      </c>
      <c r="D20" s="6" t="s">
        <v>93</v>
      </c>
      <c r="E20" s="176"/>
      <c r="F20" s="142" t="s">
        <v>576</v>
      </c>
      <c r="G20" s="90">
        <v>114</v>
      </c>
      <c r="H20" s="90" t="s">
        <v>69</v>
      </c>
      <c r="I20" s="82">
        <v>10.97</v>
      </c>
      <c r="J20" s="137">
        <v>1</v>
      </c>
      <c r="K20" s="82">
        <f t="shared" si="0"/>
        <v>10.860300000000001</v>
      </c>
      <c r="L20" s="240">
        <v>0.36799999999999999</v>
      </c>
      <c r="M20" s="80">
        <v>0.34599999999999997</v>
      </c>
      <c r="N20" s="80">
        <v>0.379</v>
      </c>
      <c r="O20" s="139">
        <f t="shared" si="12"/>
        <v>0.36299999999999999</v>
      </c>
      <c r="P20" s="143">
        <v>87.5</v>
      </c>
      <c r="Q20" s="142">
        <v>88.02</v>
      </c>
      <c r="R20" s="57">
        <v>2332.2800000000002</v>
      </c>
      <c r="S20" s="80">
        <v>120</v>
      </c>
      <c r="U20" s="142">
        <v>120</v>
      </c>
      <c r="V20" s="142">
        <v>1.1023000000000001</v>
      </c>
      <c r="W20" s="137">
        <v>7.5</v>
      </c>
      <c r="X20" s="137">
        <v>11.9</v>
      </c>
      <c r="Y20" s="203">
        <v>30</v>
      </c>
      <c r="Z20" s="143">
        <f t="shared" si="11"/>
        <v>34.340000000000003</v>
      </c>
      <c r="AA20" s="144">
        <f t="shared" si="1"/>
        <v>64.34</v>
      </c>
      <c r="AB20" s="145">
        <f t="shared" si="2"/>
        <v>571.36115000049995</v>
      </c>
      <c r="AC20" s="145">
        <f>+(S20-T20)*V20-'data 1'!$F$4</f>
        <v>52.27600000000001</v>
      </c>
      <c r="AD20" s="145">
        <f t="shared" si="3"/>
        <v>4.6664977725183654</v>
      </c>
      <c r="AE20" s="145">
        <f>+(Y20*V20-'data 1'!$I$21)+V20*(Z20-IF(D20="UNTUCA",IF(+((W20-3)*2.5+(X20-3)*3.1)&gt;0,+((W20-3)*1.5+(X20-3)*3.1),0),IF(+((W20-3)*1.5+(X20-3)*3.1)&gt;0,+((W20-3)*1.5+(X20-3)*3.1),0)))</f>
        <v>7.4879189189189219</v>
      </c>
      <c r="AF20" s="145">
        <f t="shared" si="4"/>
        <v>10.732262069844012</v>
      </c>
      <c r="AG20" s="145">
        <f t="shared" si="5"/>
        <v>75.162678761281313</v>
      </c>
      <c r="AH20" s="145">
        <f t="shared" si="6"/>
        <v>120.60909934254433</v>
      </c>
      <c r="AI20" s="137">
        <f t="shared" ref="AI20:AI73" si="13">+((+$AI$2-R20+U20)*L20*Q20*V20)/100</f>
        <v>53.457520202841536</v>
      </c>
      <c r="AJ20" s="144">
        <f t="shared" si="8"/>
        <v>118.2675416489942</v>
      </c>
      <c r="AK20" s="88">
        <f t="shared" si="9"/>
        <v>2.3415576935501292</v>
      </c>
      <c r="AL20" s="57"/>
      <c r="AM20" s="57"/>
      <c r="AN20" s="57"/>
      <c r="AO20" s="57"/>
      <c r="AP20" s="57"/>
      <c r="AV20" s="57">
        <f t="shared" si="10"/>
        <v>6205.1534973504295</v>
      </c>
    </row>
    <row r="21" spans="1:50" ht="15.75" customHeight="1">
      <c r="A21" s="134" t="s">
        <v>577</v>
      </c>
      <c r="B21" s="136">
        <v>45450</v>
      </c>
      <c r="C21" s="136">
        <v>45438</v>
      </c>
      <c r="D21" s="6" t="s">
        <v>93</v>
      </c>
      <c r="E21" s="176"/>
      <c r="F21" s="150" t="s">
        <v>578</v>
      </c>
      <c r="G21" s="90">
        <v>20</v>
      </c>
      <c r="H21" s="90" t="s">
        <v>69</v>
      </c>
      <c r="I21" s="82">
        <v>1.91</v>
      </c>
      <c r="J21" s="137">
        <v>2.4</v>
      </c>
      <c r="K21" s="82">
        <f t="shared" si="0"/>
        <v>1.8641599999999998</v>
      </c>
      <c r="L21" s="240">
        <v>0.30399999999999999</v>
      </c>
      <c r="M21" s="149">
        <v>0.3</v>
      </c>
      <c r="N21" s="288">
        <v>0.3</v>
      </c>
      <c r="O21" s="139">
        <f t="shared" si="12"/>
        <v>0.3</v>
      </c>
      <c r="P21" s="143">
        <v>87.5</v>
      </c>
      <c r="Q21" s="142">
        <v>88.12</v>
      </c>
      <c r="R21" s="57">
        <v>2332.2800000000002</v>
      </c>
      <c r="S21" s="80">
        <v>120</v>
      </c>
      <c r="U21" s="142">
        <v>120</v>
      </c>
      <c r="V21" s="142">
        <v>1.1023000000000001</v>
      </c>
      <c r="W21" s="137">
        <v>7.6</v>
      </c>
      <c r="X21" s="137">
        <v>11.6</v>
      </c>
      <c r="Y21" s="203">
        <v>30</v>
      </c>
      <c r="Z21" s="143">
        <f t="shared" si="11"/>
        <v>33.56</v>
      </c>
      <c r="AA21" s="144">
        <f t="shared" si="1"/>
        <v>63.56</v>
      </c>
      <c r="AB21" s="145">
        <f t="shared" si="2"/>
        <v>437.79332605000008</v>
      </c>
      <c r="AC21" s="145">
        <f>+(S21-T21)*V21-'data 1'!$F$4</f>
        <v>52.27600000000001</v>
      </c>
      <c r="AD21" s="145">
        <f t="shared" si="3"/>
        <v>4.5962662006912343</v>
      </c>
      <c r="AE21" s="145">
        <f>+(Y21*V21-'data 1'!$I$21)+V21*(Z21-IF(D21="UNTUCA",IF(+((W21-3)*2.5+(X21-3)*3.1)&gt;0,+((W21-3)*1.5+(X21-3)*3.1),0),IF(+((W21-3)*1.5+(X21-3)*3.1)&gt;0,+((W21-3)*1.5+(X21-3)*3.1),0)))</f>
        <v>7.4879189189189219</v>
      </c>
      <c r="AF21" s="145">
        <f t="shared" si="4"/>
        <v>8.5955640408512082</v>
      </c>
      <c r="AG21" s="145">
        <f t="shared" si="5"/>
        <v>72.95574916046138</v>
      </c>
      <c r="AH21" s="145">
        <f t="shared" si="6"/>
        <v>17.121441499269846</v>
      </c>
      <c r="AI21" s="137">
        <f t="shared" si="13"/>
        <v>44.210731219788748</v>
      </c>
      <c r="AJ21" s="144">
        <f t="shared" si="8"/>
        <v>16.7772803591631</v>
      </c>
      <c r="AK21" s="88">
        <f t="shared" si="9"/>
        <v>0.34416114010674548</v>
      </c>
      <c r="AL21" s="57"/>
      <c r="AM21" s="57"/>
      <c r="AN21" s="57"/>
      <c r="AT21" s="144">
        <f>+AB21*K21*1.18</f>
        <v>963.01783189345429</v>
      </c>
      <c r="AV21" s="57">
        <f t="shared" si="10"/>
        <v>816.1168066893681</v>
      </c>
    </row>
    <row r="22" spans="1:50" ht="15.75" customHeight="1">
      <c r="A22" s="134" t="s">
        <v>579</v>
      </c>
      <c r="B22" s="136">
        <v>45449</v>
      </c>
      <c r="C22" s="136">
        <v>45438</v>
      </c>
      <c r="D22" s="6" t="s">
        <v>93</v>
      </c>
      <c r="E22" s="176"/>
      <c r="F22" s="6" t="s">
        <v>580</v>
      </c>
      <c r="G22" s="90">
        <v>7</v>
      </c>
      <c r="H22" s="90" t="s">
        <v>571</v>
      </c>
      <c r="I22" s="82">
        <v>0.67</v>
      </c>
      <c r="J22" s="137">
        <v>27.9</v>
      </c>
      <c r="K22" s="82">
        <f t="shared" si="0"/>
        <v>0.48307000000000005</v>
      </c>
      <c r="L22" s="240">
        <v>3.4249999999999998</v>
      </c>
      <c r="M22" s="80">
        <v>2.9319999999999999</v>
      </c>
      <c r="N22" s="247">
        <v>2.9319999999999999</v>
      </c>
      <c r="O22" s="139">
        <f t="shared" si="12"/>
        <v>2.9319999999999999</v>
      </c>
      <c r="P22" s="143">
        <v>89.5</v>
      </c>
      <c r="Q22" s="287">
        <v>80.58</v>
      </c>
      <c r="R22" s="57">
        <v>2332.2800000000002</v>
      </c>
      <c r="S22" s="80">
        <v>380</v>
      </c>
      <c r="U22" s="142">
        <v>140</v>
      </c>
      <c r="V22" s="142">
        <v>1.1023000000000001</v>
      </c>
      <c r="W22" s="137">
        <v>8</v>
      </c>
      <c r="X22" s="137">
        <v>13.5</v>
      </c>
      <c r="Y22" s="203">
        <v>30</v>
      </c>
      <c r="Z22" s="143">
        <f t="shared" si="11"/>
        <v>40.050000000000004</v>
      </c>
      <c r="AA22" s="144">
        <f t="shared" si="1"/>
        <v>70.050000000000011</v>
      </c>
      <c r="AB22" s="145">
        <f t="shared" si="2"/>
        <v>5845.2760422901601</v>
      </c>
      <c r="AC22" s="145">
        <f>+(S22-T22)*V22-'data 1'!$F$4</f>
        <v>338.87400000000002</v>
      </c>
      <c r="AD22" s="145">
        <f t="shared" si="3"/>
        <v>-738.28026504444017</v>
      </c>
      <c r="AE22" s="145">
        <f>+(Y22*V22-'data 1'!$I$21)+V22*(Z22-IF(D22="UNTUCA",IF(+((W22-3)*2.5+(X22-3)*3.1)&gt;0,+((W22-3)*1.5+(X22-3)*3.1),0),IF(+((W22-3)*1.5+(X22-3)*3.1)&gt;0,+((W22-3)*1.5+(X22-3)*3.1),0)))</f>
        <v>7.4879189189189219</v>
      </c>
      <c r="AF22" s="145">
        <f t="shared" si="4"/>
        <v>959.99730000129352</v>
      </c>
      <c r="AG22" s="145">
        <f t="shared" si="5"/>
        <v>568.0789538757723</v>
      </c>
      <c r="AH22" s="145">
        <f t="shared" si="6"/>
        <v>45.709553135940553</v>
      </c>
      <c r="AI22" s="137">
        <f t="shared" si="13"/>
        <v>516.32204644193928</v>
      </c>
      <c r="AJ22" s="144">
        <f t="shared" si="8"/>
        <v>43.46164278547937</v>
      </c>
      <c r="AK22" s="88">
        <f t="shared" si="9"/>
        <v>2.2479103504611828</v>
      </c>
      <c r="AL22" s="57" t="s">
        <v>574</v>
      </c>
      <c r="AM22" s="57"/>
      <c r="AN22" s="57"/>
      <c r="AV22" s="57">
        <f t="shared" si="10"/>
        <v>2823.6774977491082</v>
      </c>
    </row>
    <row r="23" spans="1:50" ht="15.75" customHeight="1">
      <c r="A23" s="134" t="s">
        <v>581</v>
      </c>
      <c r="B23" s="136">
        <v>45444</v>
      </c>
      <c r="C23" s="136">
        <v>45440</v>
      </c>
      <c r="D23" s="6" t="s">
        <v>93</v>
      </c>
      <c r="E23" s="176"/>
      <c r="F23" s="142" t="s">
        <v>582</v>
      </c>
      <c r="G23" s="90">
        <v>234</v>
      </c>
      <c r="H23" s="90" t="s">
        <v>69</v>
      </c>
      <c r="I23" s="82">
        <v>24.12</v>
      </c>
      <c r="J23" s="137">
        <v>1.4</v>
      </c>
      <c r="K23" s="82">
        <f t="shared" si="0"/>
        <v>23.782320000000002</v>
      </c>
      <c r="L23" s="240">
        <v>0.32300000000000001</v>
      </c>
      <c r="M23" s="80">
        <v>0.29399999999999998</v>
      </c>
      <c r="N23" s="170">
        <v>0.30599999999999999</v>
      </c>
      <c r="O23" s="139">
        <f t="shared" si="12"/>
        <v>0.3</v>
      </c>
      <c r="P23" s="143">
        <v>89.5</v>
      </c>
      <c r="Q23" s="143">
        <v>88.185508695775866</v>
      </c>
      <c r="R23" s="57">
        <v>2329.23</v>
      </c>
      <c r="S23" s="80">
        <v>120</v>
      </c>
      <c r="U23" s="142">
        <v>120</v>
      </c>
      <c r="V23" s="142">
        <v>1.1023000000000001</v>
      </c>
      <c r="W23" s="137">
        <v>7.9</v>
      </c>
      <c r="X23" s="137">
        <v>11.8</v>
      </c>
      <c r="Y23" s="203">
        <v>45</v>
      </c>
      <c r="Z23" s="143">
        <f t="shared" si="11"/>
        <v>34.630000000000003</v>
      </c>
      <c r="AA23" s="144">
        <f t="shared" si="1"/>
        <v>79.63</v>
      </c>
      <c r="AB23" s="145">
        <f t="shared" si="2"/>
        <v>433.80824148650009</v>
      </c>
      <c r="AC23" s="145">
        <f>+(S23-T23)*V23-'data 1'!$F$4</f>
        <v>52.27600000000001</v>
      </c>
      <c r="AD23" s="145">
        <f t="shared" si="3"/>
        <v>-10.33953432339537</v>
      </c>
      <c r="AE23" s="145">
        <f>+(Y23*V23-'data 1'!$I$21)+V23*(Z23-IF(D23="UNTUCA",IF(+((W23-3)*2.5+(X23-3)*3.1)&gt;0,+((W23-3)*1.5+(X23-3)*3.1),0),IF(+((W23-3)*1.5+(X23-3)*3.1)&gt;0,+((W23-3)*1.5+(X23-3)*3.1),0)))</f>
        <v>24.022418918918923</v>
      </c>
      <c r="AF23" s="145">
        <f t="shared" si="4"/>
        <v>49.393044933878073</v>
      </c>
      <c r="AG23" s="145">
        <f t="shared" si="5"/>
        <v>115.35192952940163</v>
      </c>
      <c r="AH23" s="145">
        <f t="shared" si="6"/>
        <v>232.25391021332547</v>
      </c>
      <c r="AI23" s="137">
        <f t="shared" si="13"/>
        <v>47.966456112865217</v>
      </c>
      <c r="AJ23" s="144">
        <f t="shared" si="8"/>
        <v>218.93115977601065</v>
      </c>
      <c r="AK23" s="88">
        <f t="shared" si="9"/>
        <v>13.322750437314824</v>
      </c>
      <c r="AL23" s="57" t="s">
        <v>583</v>
      </c>
      <c r="AM23" s="57"/>
      <c r="AN23" s="57"/>
      <c r="AV23" s="57">
        <f t="shared" si="10"/>
        <v>10316.966417669222</v>
      </c>
    </row>
    <row r="24" spans="1:50" ht="15.75" customHeight="1">
      <c r="A24" s="134" t="s">
        <v>584</v>
      </c>
      <c r="B24" s="136">
        <v>45444</v>
      </c>
      <c r="C24" s="136">
        <v>45440</v>
      </c>
      <c r="D24" s="6" t="s">
        <v>93</v>
      </c>
      <c r="E24" s="176"/>
      <c r="F24" s="142" t="s">
        <v>582</v>
      </c>
      <c r="G24" s="90">
        <v>32</v>
      </c>
      <c r="H24" s="90" t="s">
        <v>69</v>
      </c>
      <c r="I24" s="82">
        <v>3.12</v>
      </c>
      <c r="J24" s="137">
        <v>1</v>
      </c>
      <c r="K24" s="82">
        <f t="shared" si="0"/>
        <v>3.0888</v>
      </c>
      <c r="L24" s="240">
        <v>1.1359999999999999</v>
      </c>
      <c r="M24" s="80">
        <v>1.079</v>
      </c>
      <c r="N24" s="247">
        <v>1.079</v>
      </c>
      <c r="O24" s="139">
        <f t="shared" si="12"/>
        <v>1.079</v>
      </c>
      <c r="P24" s="143">
        <v>89.5</v>
      </c>
      <c r="Q24" s="143">
        <v>87.365199564750313</v>
      </c>
      <c r="R24" s="57">
        <v>2329.23</v>
      </c>
      <c r="S24" s="80">
        <v>180</v>
      </c>
      <c r="U24" s="142">
        <v>120</v>
      </c>
      <c r="V24" s="142">
        <v>1.1023000000000001</v>
      </c>
      <c r="W24" s="137">
        <v>7.9</v>
      </c>
      <c r="X24" s="137">
        <v>11.85</v>
      </c>
      <c r="Y24" s="203">
        <v>45</v>
      </c>
      <c r="Z24" s="143">
        <f t="shared" si="11"/>
        <v>34.784999999999997</v>
      </c>
      <c r="AA24" s="144">
        <f t="shared" si="1"/>
        <v>79.784999999999997</v>
      </c>
      <c r="AB24" s="145">
        <f t="shared" si="2"/>
        <v>2065.3568656164448</v>
      </c>
      <c r="AC24" s="145">
        <f>+(S24-T24)*V24-'data 1'!$F$4</f>
        <v>118.41400000000002</v>
      </c>
      <c r="AD24" s="145">
        <f t="shared" si="3"/>
        <v>-59.057676085166996</v>
      </c>
      <c r="AE24" s="145">
        <f>+(Y24*V24-'data 1'!$I$21)+V24*(Z24-IF(D24="UNTUCA",IF(+((W24-3)*2.5+(X24-3)*3.1)&gt;0,+((W24-3)*1.5+(X24-3)*3.1),0),IF(+((W24-3)*1.5+(X24-3)*3.1)&gt;0,+((W24-3)*1.5+(X24-3)*3.1),0)))</f>
        <v>24.022418918918923</v>
      </c>
      <c r="AF24" s="145">
        <f t="shared" si="4"/>
        <v>121.27019290999253</v>
      </c>
      <c r="AG24" s="145">
        <f t="shared" si="5"/>
        <v>204.64893574374446</v>
      </c>
      <c r="AH24" s="145">
        <f t="shared" si="6"/>
        <v>105.10313312831775</v>
      </c>
      <c r="AI24" s="137">
        <f t="shared" si="13"/>
        <v>167.13010680069823</v>
      </c>
      <c r="AJ24" s="144">
        <f t="shared" si="8"/>
        <v>102.26884187568983</v>
      </c>
      <c r="AK24" s="88">
        <f t="shared" si="9"/>
        <v>2.8342912526279207</v>
      </c>
      <c r="AL24" s="57" t="s">
        <v>583</v>
      </c>
      <c r="AM24" s="57"/>
      <c r="AN24" s="57"/>
      <c r="AV24" s="57">
        <f t="shared" si="10"/>
        <v>6379.4742865160742</v>
      </c>
    </row>
    <row r="25" spans="1:50" ht="15.75" customHeight="1">
      <c r="A25" s="134" t="s">
        <v>585</v>
      </c>
      <c r="B25" s="136">
        <v>45443</v>
      </c>
      <c r="C25" s="136">
        <v>45440</v>
      </c>
      <c r="D25" s="6" t="s">
        <v>93</v>
      </c>
      <c r="E25" s="176"/>
      <c r="F25" s="142" t="s">
        <v>586</v>
      </c>
      <c r="G25" s="90">
        <v>78</v>
      </c>
      <c r="H25" s="90" t="s">
        <v>571</v>
      </c>
      <c r="I25" s="82">
        <v>7.42</v>
      </c>
      <c r="J25" s="137">
        <v>21</v>
      </c>
      <c r="K25" s="82">
        <f t="shared" si="0"/>
        <v>5.8617999999999997</v>
      </c>
      <c r="L25" s="240">
        <v>0.85399999999999998</v>
      </c>
      <c r="M25" s="80">
        <v>0.80300000000000005</v>
      </c>
      <c r="N25" s="170">
        <v>0.83299999999999996</v>
      </c>
      <c r="O25" s="139">
        <f t="shared" si="12"/>
        <v>0.81799999999999995</v>
      </c>
      <c r="P25" s="143">
        <v>89</v>
      </c>
      <c r="Q25" s="284">
        <v>77.183392567263184</v>
      </c>
      <c r="R25" s="57">
        <v>2329.23</v>
      </c>
      <c r="S25" s="80">
        <v>160</v>
      </c>
      <c r="U25" s="142">
        <v>120</v>
      </c>
      <c r="V25" s="142">
        <v>1.1023000000000001</v>
      </c>
      <c r="W25" s="137">
        <v>8</v>
      </c>
      <c r="X25" s="137">
        <v>11.9</v>
      </c>
      <c r="Y25" s="203">
        <v>30</v>
      </c>
      <c r="Z25" s="143">
        <f t="shared" si="11"/>
        <v>35.090000000000003</v>
      </c>
      <c r="AA25" s="144">
        <f t="shared" si="1"/>
        <v>65.09</v>
      </c>
      <c r="AB25" s="145">
        <f t="shared" si="2"/>
        <v>1524.7825163965797</v>
      </c>
      <c r="AC25" s="145">
        <f>+(S25-T25)*V25-'data 1'!$F$4</f>
        <v>96.367999999999995</v>
      </c>
      <c r="AD25" s="145">
        <f t="shared" si="3"/>
        <v>-245.74880684791464</v>
      </c>
      <c r="AE25" s="145">
        <f>+(Y25*V25-'data 1'!$I$21)+V25*(Z25-IF(D25="UNTUCA",IF(+((W25-3)*2.5+(X25-3)*3.1)&gt;0,+((W25-3)*1.5+(X25-3)*3.1),0),IF(+((W25-3)*1.5+(X25-3)*3.1)&gt;0,+((W25-3)*1.5+(X25-3)*3.1),0)))</f>
        <v>7.4879189189189219</v>
      </c>
      <c r="AF25" s="145">
        <f t="shared" si="4"/>
        <v>67.665470216451723</v>
      </c>
      <c r="AG25" s="145">
        <f t="shared" si="5"/>
        <v>-74.227417712543996</v>
      </c>
      <c r="AH25" s="145">
        <f t="shared" si="6"/>
        <v>132.47130066525139</v>
      </c>
      <c r="AI25" s="137">
        <f t="shared" si="13"/>
        <v>110.99914170399856</v>
      </c>
      <c r="AJ25" s="144">
        <f t="shared" si="8"/>
        <v>146.31315530659813</v>
      </c>
      <c r="AK25" s="88">
        <f t="shared" si="9"/>
        <v>-13.841854641346742</v>
      </c>
      <c r="AL25" s="57" t="s">
        <v>587</v>
      </c>
      <c r="AM25" s="57"/>
      <c r="AN25" s="57"/>
      <c r="AV25" s="57">
        <f t="shared" si="10"/>
        <v>8937.9701546134711</v>
      </c>
    </row>
    <row r="26" spans="1:50" ht="15.75" customHeight="1">
      <c r="A26" s="134" t="s">
        <v>588</v>
      </c>
      <c r="B26" s="136">
        <v>45443</v>
      </c>
      <c r="C26" s="136">
        <v>45440</v>
      </c>
      <c r="D26" s="6" t="s">
        <v>93</v>
      </c>
      <c r="E26" s="176"/>
      <c r="F26" s="142" t="s">
        <v>586</v>
      </c>
      <c r="G26" s="90">
        <v>78</v>
      </c>
      <c r="H26" s="90" t="s">
        <v>571</v>
      </c>
      <c r="I26" s="82">
        <v>7.73</v>
      </c>
      <c r="J26" s="137">
        <v>16.3</v>
      </c>
      <c r="K26" s="82">
        <f t="shared" si="0"/>
        <v>6.4700100000000003</v>
      </c>
      <c r="L26" s="240">
        <v>1.1859999999999999</v>
      </c>
      <c r="M26" s="80">
        <v>1.151</v>
      </c>
      <c r="N26" s="170">
        <v>1.2070000000000001</v>
      </c>
      <c r="O26" s="139">
        <f t="shared" si="12"/>
        <v>1.179</v>
      </c>
      <c r="P26" s="143">
        <v>89</v>
      </c>
      <c r="Q26" s="284">
        <v>77.143063513092443</v>
      </c>
      <c r="R26" s="57">
        <v>2329.23</v>
      </c>
      <c r="S26" s="80">
        <v>190</v>
      </c>
      <c r="U26" s="142">
        <v>120</v>
      </c>
      <c r="V26" s="142">
        <v>1.1023000000000001</v>
      </c>
      <c r="W26" s="137">
        <v>8</v>
      </c>
      <c r="X26" s="137">
        <v>11.9</v>
      </c>
      <c r="Y26" s="203">
        <v>30</v>
      </c>
      <c r="Z26" s="143">
        <f t="shared" si="11"/>
        <v>35.090000000000003</v>
      </c>
      <c r="AA26" s="144">
        <f t="shared" si="1"/>
        <v>65.09</v>
      </c>
      <c r="AB26" s="145">
        <f t="shared" si="2"/>
        <v>2274.1299218319896</v>
      </c>
      <c r="AC26" s="145">
        <f>+(S26-T26)*V26-'data 1'!$F$4</f>
        <v>129.43700000000001</v>
      </c>
      <c r="AD26" s="145">
        <f t="shared" si="3"/>
        <v>-342.45059254619605</v>
      </c>
      <c r="AE26" s="145">
        <f>+(Y26*V26-'data 1'!$I$21)+V26*(Z26-IF(D26="UNTUCA",IF(+((W26-3)*2.5+(X26-3)*3.1)&gt;0,+((W26-3)*1.5+(X26-3)*3.1),0),IF(+((W26-3)*1.5+(X26-3)*3.1)&gt;0,+((W26-3)*1.5+(X26-3)*3.1),0)))</f>
        <v>7.4879189189189219</v>
      </c>
      <c r="AF26" s="145">
        <f t="shared" si="4"/>
        <v>13.150300015790062</v>
      </c>
      <c r="AG26" s="145">
        <f t="shared" si="5"/>
        <v>-192.37537361148705</v>
      </c>
      <c r="AH26" s="145">
        <f t="shared" si="6"/>
        <v>202.95305444309844</v>
      </c>
      <c r="AI26" s="137">
        <f t="shared" si="13"/>
        <v>154.07048748251401</v>
      </c>
      <c r="AJ26" s="144">
        <f t="shared" si="8"/>
        <v>232.76508321980876</v>
      </c>
      <c r="AK26" s="88">
        <f t="shared" si="9"/>
        <v>-29.812028776710321</v>
      </c>
      <c r="AL26" s="57" t="s">
        <v>587</v>
      </c>
      <c r="AM26" s="57"/>
      <c r="AN26" s="57"/>
      <c r="AV26" s="57">
        <f t="shared" si="10"/>
        <v>14713.643335552191</v>
      </c>
    </row>
    <row r="27" spans="1:50" ht="15.75" customHeight="1">
      <c r="A27" s="134" t="s">
        <v>589</v>
      </c>
      <c r="B27" s="136">
        <v>45445</v>
      </c>
      <c r="C27" s="135">
        <v>45442</v>
      </c>
      <c r="D27" s="6" t="s">
        <v>541</v>
      </c>
      <c r="E27" s="176"/>
      <c r="F27" s="6" t="s">
        <v>590</v>
      </c>
      <c r="G27" s="148">
        <v>14.5</v>
      </c>
      <c r="H27" s="90" t="s">
        <v>69</v>
      </c>
      <c r="I27" s="82">
        <v>1.1100000000000001</v>
      </c>
      <c r="J27" s="137">
        <v>7</v>
      </c>
      <c r="K27" s="82">
        <f t="shared" si="0"/>
        <v>1.0323</v>
      </c>
      <c r="L27" s="240">
        <v>0.16300000000000001</v>
      </c>
      <c r="M27" s="139">
        <v>0.15484999999999999</v>
      </c>
      <c r="N27" s="247">
        <v>0.15484999999999999</v>
      </c>
      <c r="O27" s="139">
        <f t="shared" si="12"/>
        <v>0.155</v>
      </c>
      <c r="P27" s="195">
        <v>87</v>
      </c>
      <c r="Q27" s="143">
        <v>88.324690813471719</v>
      </c>
      <c r="R27" s="57">
        <v>2343.34</v>
      </c>
      <c r="S27" s="80">
        <v>110</v>
      </c>
      <c r="U27" s="142">
        <v>120</v>
      </c>
      <c r="V27" s="142">
        <v>1.1023000000000001</v>
      </c>
      <c r="W27" s="137">
        <v>7.6</v>
      </c>
      <c r="X27" s="137">
        <v>10.199999999999999</v>
      </c>
      <c r="Y27" s="203">
        <v>30</v>
      </c>
      <c r="Z27" s="143">
        <f t="shared" si="11"/>
        <v>29.219999999999995</v>
      </c>
      <c r="AA27" s="144">
        <f t="shared" si="1"/>
        <v>59.22</v>
      </c>
      <c r="AB27" s="145">
        <f t="shared" si="2"/>
        <v>143.95751291770003</v>
      </c>
      <c r="AC27" s="145">
        <f>+(S27-T27)*V27-'data 1'!$F$4</f>
        <v>41.253</v>
      </c>
      <c r="AD27" s="145">
        <f t="shared" si="3"/>
        <v>5.2918535628275292</v>
      </c>
      <c r="AE27" s="145">
        <f>+(Y27*V27-'data 1'!$I$21)+V27*(Z27-IF(D27="UNTUCA",IF(+((W27-3)*2.5+(X27-3)*3.1)&gt;0,+((W27-3)*1.5+(X27-3)*3.1),0),IF(+((W27-3)*1.5+(X27-3)*3.1)&gt;0,+((W27-3)*1.5+(X27-3)*3.1),0)))</f>
        <v>7.4879189189189219</v>
      </c>
      <c r="AF27" s="145">
        <f t="shared" si="4"/>
        <v>17.317205140969222</v>
      </c>
      <c r="AG27" s="145">
        <f t="shared" si="5"/>
        <v>71.34997762271567</v>
      </c>
      <c r="AH27" s="145">
        <f t="shared" si="6"/>
        <v>5.0954756066586109</v>
      </c>
      <c r="AI27" s="137">
        <f t="shared" si="13"/>
        <v>22.004967603359493</v>
      </c>
      <c r="AJ27" s="144">
        <f t="shared" si="8"/>
        <v>4.772719900429423</v>
      </c>
      <c r="AK27" s="88">
        <f t="shared" si="9"/>
        <v>0.32275570622918792</v>
      </c>
      <c r="AL27" s="57" t="s">
        <v>591</v>
      </c>
      <c r="AM27" s="57"/>
      <c r="AT27" s="144">
        <f>+AB27*K27*1.18</f>
        <v>175.35666189023124</v>
      </c>
      <c r="AV27" s="57">
        <f t="shared" si="10"/>
        <v>148.60734058494174</v>
      </c>
    </row>
    <row r="28" spans="1:50" ht="15.75" customHeight="1">
      <c r="A28" s="289" t="s">
        <v>592</v>
      </c>
      <c r="B28" s="259">
        <v>45418</v>
      </c>
      <c r="C28" s="259">
        <v>45442</v>
      </c>
      <c r="D28" s="260" t="s">
        <v>72</v>
      </c>
      <c r="E28" s="261"/>
      <c r="F28" s="260" t="s">
        <v>593</v>
      </c>
      <c r="G28" s="262">
        <v>12</v>
      </c>
      <c r="H28" s="262" t="s">
        <v>69</v>
      </c>
      <c r="I28" s="263">
        <v>1.04</v>
      </c>
      <c r="J28" s="264">
        <v>10.9</v>
      </c>
      <c r="K28" s="263">
        <f t="shared" si="0"/>
        <v>0.92664000000000002</v>
      </c>
      <c r="L28" s="265">
        <v>0.06</v>
      </c>
      <c r="M28" s="265">
        <v>0.06</v>
      </c>
      <c r="N28" s="265">
        <v>0.06</v>
      </c>
      <c r="O28" s="274">
        <f t="shared" si="12"/>
        <v>0.06</v>
      </c>
      <c r="P28" s="264">
        <v>88</v>
      </c>
      <c r="Q28" s="264">
        <v>88.409880778766237</v>
      </c>
      <c r="R28" s="268">
        <v>2326.6999999999998</v>
      </c>
      <c r="S28" s="169">
        <v>100</v>
      </c>
      <c r="T28" s="260"/>
      <c r="U28" s="260">
        <v>120</v>
      </c>
      <c r="V28" s="260">
        <v>1.1023000000000001</v>
      </c>
      <c r="W28" s="264">
        <v>7.6</v>
      </c>
      <c r="X28" s="264">
        <v>10.6</v>
      </c>
      <c r="Y28" s="267">
        <v>30</v>
      </c>
      <c r="Z28" s="264">
        <f t="shared" si="11"/>
        <v>30.459999999999997</v>
      </c>
      <c r="AA28" s="268">
        <f t="shared" si="1"/>
        <v>60.459999999999994</v>
      </c>
      <c r="AB28" s="269">
        <f t="shared" si="2"/>
        <v>-48.441940352000003</v>
      </c>
      <c r="AC28" s="269">
        <f>+(S28-T28)*V28-'data 1'!$F$4</f>
        <v>30.230000000000004</v>
      </c>
      <c r="AD28" s="269">
        <f t="shared" si="3"/>
        <v>0.59820757137429459</v>
      </c>
      <c r="AE28" s="269">
        <f>+(Y28*V28-'data 1'!$I$21)+V28*(Z28-IF(D28="UNTUCA",IF(+((W28-3)*2.5+(X28-3)*3.1)&gt;0,+((W28-3)*1.5+(X28-3)*3.1),0),IF(+((W28-3)*1.5+(X28-3)*3.1)&gt;0,+((W28-3)*1.5+(X28-3)*3.1),0)))</f>
        <v>7.4879189189189219</v>
      </c>
      <c r="AF28" s="269">
        <f t="shared" si="4"/>
        <v>0</v>
      </c>
      <c r="AG28" s="269">
        <f t="shared" si="5"/>
        <v>38.316126490293222</v>
      </c>
      <c r="AH28" s="269">
        <f t="shared" si="6"/>
        <v>1.6852803922214363</v>
      </c>
      <c r="AI28" s="264">
        <f t="shared" si="13"/>
        <v>9.0807834352512131</v>
      </c>
      <c r="AJ28" s="268">
        <f t="shared" si="8"/>
        <v>1.6774671926840257</v>
      </c>
      <c r="AK28" s="270">
        <f t="shared" si="9"/>
        <v>7.8131995374106644E-3</v>
      </c>
      <c r="AL28" s="268" t="s">
        <v>591</v>
      </c>
      <c r="AM28" s="268"/>
      <c r="AN28" s="260"/>
      <c r="AO28" s="260"/>
      <c r="AP28" s="260"/>
      <c r="AQ28" s="260"/>
      <c r="AR28" s="260"/>
      <c r="AS28" s="260"/>
      <c r="AT28" s="260"/>
      <c r="AU28" s="260"/>
      <c r="AV28" s="57"/>
      <c r="AW28" s="260"/>
      <c r="AX28" s="260"/>
    </row>
    <row r="29" spans="1:50" ht="15.75" customHeight="1">
      <c r="A29" s="134" t="s">
        <v>594</v>
      </c>
      <c r="B29" s="135">
        <v>45418</v>
      </c>
      <c r="C29" s="135">
        <v>45442</v>
      </c>
      <c r="D29" s="142" t="s">
        <v>72</v>
      </c>
      <c r="E29" s="176"/>
      <c r="F29" s="142" t="s">
        <v>593</v>
      </c>
      <c r="G29" s="177">
        <v>139</v>
      </c>
      <c r="H29" s="177" t="s">
        <v>69</v>
      </c>
      <c r="I29" s="138">
        <v>12.06</v>
      </c>
      <c r="J29" s="143">
        <v>13</v>
      </c>
      <c r="K29" s="138">
        <f t="shared" si="0"/>
        <v>10.4922</v>
      </c>
      <c r="L29" s="170">
        <v>0.68500000000000005</v>
      </c>
      <c r="M29" s="141">
        <v>0.64390000000000003</v>
      </c>
      <c r="N29" s="170">
        <v>0.754</v>
      </c>
      <c r="O29" s="141">
        <f t="shared" si="12"/>
        <v>0.69899999999999995</v>
      </c>
      <c r="P29" s="143">
        <v>90</v>
      </c>
      <c r="Q29" s="143">
        <v>88.029294034866609</v>
      </c>
      <c r="R29" s="144">
        <v>2326.6999999999998</v>
      </c>
      <c r="S29" s="132">
        <v>140</v>
      </c>
      <c r="T29" s="142"/>
      <c r="U29" s="142">
        <v>120</v>
      </c>
      <c r="V29" s="142">
        <v>1.1023000000000001</v>
      </c>
      <c r="W29" s="143">
        <v>7.8</v>
      </c>
      <c r="X29" s="143">
        <v>11.2</v>
      </c>
      <c r="Y29" s="203">
        <v>45</v>
      </c>
      <c r="Z29" s="143">
        <f t="shared" si="11"/>
        <v>32.619999999999997</v>
      </c>
      <c r="AA29" s="144">
        <f t="shared" si="1"/>
        <v>77.62</v>
      </c>
      <c r="AB29" s="145">
        <f t="shared" si="2"/>
        <v>1290.3688814309996</v>
      </c>
      <c r="AC29" s="145">
        <f>+(S29-T29)*V29-'data 1'!$F$4</f>
        <v>74.322000000000003</v>
      </c>
      <c r="AD29" s="145">
        <f t="shared" si="3"/>
        <v>-32.836397553536102</v>
      </c>
      <c r="AE29" s="145">
        <f>+(Y29*V29-'data 1'!$I$21)+V29*(Z29-IF(D29="UNTUCA",IF(+((W29-3)*2.5+(X29-3)*3.1)&gt;0,+((W29-3)*1.5+(X29-3)*3.1),0),IF(+((W29-3)*1.5+(X29-3)*3.1)&gt;0,+((W29-3)*1.5+(X29-3)*3.1),0)))</f>
        <v>24.022418918918923</v>
      </c>
      <c r="AF29" s="145">
        <f t="shared" si="4"/>
        <v>-29.97770331089102</v>
      </c>
      <c r="AG29" s="145">
        <f t="shared" si="5"/>
        <v>35.530318054491815</v>
      </c>
      <c r="AH29" s="145">
        <f t="shared" si="6"/>
        <v>216.91691545451872</v>
      </c>
      <c r="AI29" s="143">
        <f t="shared" si="13"/>
        <v>103.2259892620613</v>
      </c>
      <c r="AJ29" s="144">
        <f t="shared" si="8"/>
        <v>226.30560732022388</v>
      </c>
      <c r="AK29" s="133">
        <f t="shared" si="9"/>
        <v>-9.3886918657051694</v>
      </c>
      <c r="AL29" s="144" t="s">
        <v>591</v>
      </c>
      <c r="AM29" s="144"/>
      <c r="AN29" s="142"/>
      <c r="AO29" s="142"/>
      <c r="AP29" s="142"/>
      <c r="AQ29" s="142"/>
      <c r="AR29" s="142"/>
      <c r="AS29" s="142"/>
      <c r="AT29" s="142"/>
      <c r="AV29" s="57">
        <f t="shared" ref="AV29:AV73" si="14">+AB29*K29</f>
        <v>13538.808377750334</v>
      </c>
    </row>
    <row r="30" spans="1:50" ht="15.75" customHeight="1">
      <c r="A30" s="134" t="s">
        <v>595</v>
      </c>
      <c r="B30" s="135">
        <v>45418</v>
      </c>
      <c r="C30" s="135">
        <v>45442</v>
      </c>
      <c r="D30" s="142" t="s">
        <v>72</v>
      </c>
      <c r="E30" s="176"/>
      <c r="F30" s="142" t="s">
        <v>593</v>
      </c>
      <c r="G30" s="177">
        <v>54</v>
      </c>
      <c r="H30" s="177" t="s">
        <v>69</v>
      </c>
      <c r="I30" s="138">
        <v>4.45</v>
      </c>
      <c r="J30" s="143">
        <v>9.9</v>
      </c>
      <c r="K30" s="138">
        <f t="shared" si="0"/>
        <v>4.0094500000000002</v>
      </c>
      <c r="L30" s="170">
        <v>0.33499999999999996</v>
      </c>
      <c r="M30" s="141">
        <v>0.31824999999999998</v>
      </c>
      <c r="N30" s="170">
        <v>0.39900000000000002</v>
      </c>
      <c r="O30" s="141">
        <f t="shared" si="12"/>
        <v>0.35899999999999999</v>
      </c>
      <c r="P30" s="143">
        <v>90</v>
      </c>
      <c r="Q30" s="143">
        <v>88.603097825732078</v>
      </c>
      <c r="R30" s="144">
        <v>2326.6999999999998</v>
      </c>
      <c r="S30" s="132">
        <v>110</v>
      </c>
      <c r="T30" s="142"/>
      <c r="U30" s="142">
        <v>120</v>
      </c>
      <c r="V30" s="142">
        <v>1.1023000000000001</v>
      </c>
      <c r="W30" s="143">
        <v>7.7</v>
      </c>
      <c r="X30" s="143">
        <v>11.2</v>
      </c>
      <c r="Y30" s="203">
        <v>45</v>
      </c>
      <c r="Z30" s="143">
        <f t="shared" si="11"/>
        <v>32.47</v>
      </c>
      <c r="AA30" s="144">
        <f t="shared" si="1"/>
        <v>77.47</v>
      </c>
      <c r="AB30" s="145">
        <f t="shared" si="2"/>
        <v>579.274930971</v>
      </c>
      <c r="AC30" s="145">
        <f>+(S30-T30)*V30-'data 1'!$F$4</f>
        <v>41.253</v>
      </c>
      <c r="AD30" s="145">
        <f t="shared" si="3"/>
        <v>-11.382925744757038</v>
      </c>
      <c r="AE30" s="145">
        <f>+(Y30*V30-'data 1'!$I$21)+V30*(Z30-IF(D30="UNTUCA",IF(+((W30-3)*2.5+(X30-3)*3.1)&gt;0,+((W30-3)*1.5+(X30-3)*3.1),0),IF(+((W30-3)*1.5+(X30-3)*3.1)&gt;0,+((W30-3)*1.5+(X30-3)*3.1),0)))</f>
        <v>24.022418918918923</v>
      </c>
      <c r="AF30" s="145">
        <f t="shared" si="4"/>
        <v>-51.725327668315956</v>
      </c>
      <c r="AG30" s="145">
        <f t="shared" si="5"/>
        <v>2.1671655058459294</v>
      </c>
      <c r="AH30" s="145">
        <f t="shared" si="6"/>
        <v>40.802576211894639</v>
      </c>
      <c r="AI30" s="143">
        <f t="shared" si="13"/>
        <v>50.81184639597538</v>
      </c>
      <c r="AJ30" s="144">
        <f t="shared" si="8"/>
        <v>44.415118919726126</v>
      </c>
      <c r="AK30" s="133">
        <f t="shared" si="9"/>
        <v>-3.6125427078314871</v>
      </c>
      <c r="AL30" s="144" t="s">
        <v>591</v>
      </c>
      <c r="AM30" s="144"/>
      <c r="AN30" s="142"/>
      <c r="AO30" s="142"/>
      <c r="AP30" s="142"/>
      <c r="AQ30" s="142"/>
      <c r="AR30" s="142"/>
      <c r="AS30" s="142"/>
      <c r="AT30" s="142"/>
      <c r="AV30" s="57">
        <f t="shared" si="14"/>
        <v>2322.5738719816759</v>
      </c>
    </row>
    <row r="31" spans="1:50" ht="15.75" customHeight="1">
      <c r="A31" s="134" t="s">
        <v>596</v>
      </c>
      <c r="B31" s="136">
        <v>45445</v>
      </c>
      <c r="C31" s="135">
        <v>45442</v>
      </c>
      <c r="D31" s="6" t="s">
        <v>541</v>
      </c>
      <c r="E31" s="176"/>
      <c r="F31" s="6" t="s">
        <v>590</v>
      </c>
      <c r="G31" s="90">
        <v>47</v>
      </c>
      <c r="H31" s="90" t="s">
        <v>69</v>
      </c>
      <c r="I31" s="82">
        <v>1.67</v>
      </c>
      <c r="J31" s="137">
        <v>12.9</v>
      </c>
      <c r="K31" s="82">
        <f t="shared" si="0"/>
        <v>1.4545699999999999</v>
      </c>
      <c r="L31" s="240">
        <v>0.30399999999999999</v>
      </c>
      <c r="M31" s="139">
        <v>0.2888</v>
      </c>
      <c r="N31" s="247">
        <v>0.2888</v>
      </c>
      <c r="O31" s="139">
        <f t="shared" si="12"/>
        <v>0.28899999999999998</v>
      </c>
      <c r="P31" s="195">
        <v>87</v>
      </c>
      <c r="Q31" s="143">
        <v>88.592095668659752</v>
      </c>
      <c r="R31" s="57">
        <v>2343.34</v>
      </c>
      <c r="S31" s="80">
        <v>110</v>
      </c>
      <c r="U31" s="142">
        <v>120</v>
      </c>
      <c r="V31" s="142">
        <v>1.1023000000000001</v>
      </c>
      <c r="W31" s="137">
        <v>7.8</v>
      </c>
      <c r="X31" s="137">
        <v>11.2</v>
      </c>
      <c r="Y31" s="203">
        <v>30</v>
      </c>
      <c r="Z31" s="143">
        <f t="shared" si="11"/>
        <v>32.619999999999997</v>
      </c>
      <c r="AA31" s="144">
        <f t="shared" si="1"/>
        <v>62.62</v>
      </c>
      <c r="AB31" s="145">
        <f t="shared" si="2"/>
        <v>425.92252088526004</v>
      </c>
      <c r="AC31" s="145">
        <f>+(S31-T31)*V31-'data 1'!$F$4</f>
        <v>41.253</v>
      </c>
      <c r="AD31" s="145">
        <f t="shared" si="3"/>
        <v>11.861740898083296</v>
      </c>
      <c r="AE31" s="145">
        <f>+(Y31*V31-'data 1'!$I$21)+V31*(Z31-IF(D31="UNTUCA",IF(+((W31-3)*2.5+(X31-3)*3.1)&gt;0,+((W31-3)*1.5+(X31-3)*3.1),0),IF(+((W31-3)*1.5+(X31-3)*3.1)&gt;0,+((W31-3)*1.5+(X31-3)*3.1),0)))</f>
        <v>7.4879189189189219</v>
      </c>
      <c r="AF31" s="145">
        <f t="shared" si="4"/>
        <v>32.56806251809757</v>
      </c>
      <c r="AG31" s="145">
        <f t="shared" si="5"/>
        <v>93.170722335099782</v>
      </c>
      <c r="AH31" s="145">
        <f t="shared" si="6"/>
        <v>13.431120769414225</v>
      </c>
      <c r="AI31" s="137">
        <f t="shared" si="13"/>
        <v>41.164188857690299</v>
      </c>
      <c r="AJ31" s="144">
        <f t="shared" si="8"/>
        <v>12.538939034533247</v>
      </c>
      <c r="AK31" s="88">
        <f t="shared" si="9"/>
        <v>0.89218173488097818</v>
      </c>
      <c r="AL31" s="57" t="s">
        <v>591</v>
      </c>
      <c r="AM31" s="57"/>
      <c r="AT31" s="142"/>
      <c r="AV31" s="57">
        <f t="shared" si="14"/>
        <v>619.53412120407268</v>
      </c>
    </row>
    <row r="32" spans="1:50" ht="15.75" customHeight="1">
      <c r="A32" s="134" t="s">
        <v>597</v>
      </c>
      <c r="B32" s="136">
        <v>45445</v>
      </c>
      <c r="C32" s="135">
        <v>45442</v>
      </c>
      <c r="D32" s="6" t="s">
        <v>541</v>
      </c>
      <c r="E32" s="176"/>
      <c r="F32" s="6" t="s">
        <v>590</v>
      </c>
      <c r="G32" s="90" t="s">
        <v>68</v>
      </c>
      <c r="H32" s="90" t="s">
        <v>69</v>
      </c>
      <c r="I32" s="82">
        <v>11.84</v>
      </c>
      <c r="J32" s="137">
        <v>9.6</v>
      </c>
      <c r="K32" s="82">
        <f t="shared" si="0"/>
        <v>10.70336</v>
      </c>
      <c r="L32" s="240">
        <v>0.24099999999999999</v>
      </c>
      <c r="M32" s="139">
        <v>0.22894999999999999</v>
      </c>
      <c r="N32" s="247">
        <v>0.22894999999999999</v>
      </c>
      <c r="O32" s="139">
        <f t="shared" si="12"/>
        <v>0.22900000000000001</v>
      </c>
      <c r="P32" s="195">
        <v>87</v>
      </c>
      <c r="Q32" s="143">
        <v>88.418430570692223</v>
      </c>
      <c r="R32" s="57">
        <v>2343.34</v>
      </c>
      <c r="S32" s="80">
        <v>110</v>
      </c>
      <c r="U32" s="142">
        <v>120</v>
      </c>
      <c r="V32" s="142">
        <v>1.1023000000000001</v>
      </c>
      <c r="W32" s="137">
        <v>7.6</v>
      </c>
      <c r="X32" s="137">
        <v>10.4</v>
      </c>
      <c r="Y32" s="203">
        <v>30</v>
      </c>
      <c r="Z32" s="143">
        <f t="shared" si="11"/>
        <v>29.84</v>
      </c>
      <c r="AA32" s="144">
        <f t="shared" si="1"/>
        <v>59.84</v>
      </c>
      <c r="AB32" s="145">
        <f t="shared" si="2"/>
        <v>301.05579788486011</v>
      </c>
      <c r="AC32" s="145">
        <f>+(S32-T32)*V32-'data 1'!$F$4</f>
        <v>41.253</v>
      </c>
      <c r="AD32" s="145">
        <f t="shared" si="3"/>
        <v>8.3778159307236013</v>
      </c>
      <c r="AE32" s="145">
        <f>+(Y32*V32-'data 1'!$I$21)+V32*(Z32-IF(D32="UNTUCA",IF(+((W32-3)*2.5+(X32-3)*3.1)&gt;0,+((W32-3)*1.5+(X32-3)*3.1),0),IF(+((W32-3)*1.5+(X32-3)*3.1)&gt;0,+((W32-3)*1.5+(X32-3)*3.1),0)))</f>
        <v>7.4879189189189219</v>
      </c>
      <c r="AF32" s="145">
        <f t="shared" si="4"/>
        <v>26.003376060530933</v>
      </c>
      <c r="AG32" s="145">
        <f t="shared" si="5"/>
        <v>83.122110910173461</v>
      </c>
      <c r="AH32" s="145">
        <f t="shared" si="6"/>
        <v>78.19681180401605</v>
      </c>
      <c r="AI32" s="137">
        <f t="shared" si="13"/>
        <v>32.56948172634138</v>
      </c>
      <c r="AJ32" s="144">
        <f t="shared" si="8"/>
        <v>73.111204192469685</v>
      </c>
      <c r="AK32" s="88">
        <f t="shared" si="9"/>
        <v>5.0856076115463651</v>
      </c>
      <c r="AL32" s="57" t="s">
        <v>591</v>
      </c>
      <c r="AM32" s="57"/>
      <c r="AT32" s="142"/>
      <c r="AV32" s="57">
        <f t="shared" si="14"/>
        <v>3222.3085848488963</v>
      </c>
    </row>
    <row r="33" spans="1:48" ht="15.75" customHeight="1">
      <c r="A33" s="134" t="s">
        <v>598</v>
      </c>
      <c r="B33" s="136">
        <v>45448</v>
      </c>
      <c r="C33" s="135">
        <v>45445</v>
      </c>
      <c r="D33" s="6" t="s">
        <v>93</v>
      </c>
      <c r="E33" s="176"/>
      <c r="F33" s="6" t="s">
        <v>237</v>
      </c>
      <c r="G33" s="90">
        <v>100</v>
      </c>
      <c r="H33" s="90" t="s">
        <v>69</v>
      </c>
      <c r="I33" s="82">
        <v>12.58</v>
      </c>
      <c r="J33" s="137">
        <v>1.9</v>
      </c>
      <c r="K33" s="82">
        <f t="shared" si="0"/>
        <v>12.34098</v>
      </c>
      <c r="L33" s="240">
        <v>0.53200000000000003</v>
      </c>
      <c r="M33" s="139">
        <v>0.50007999999999997</v>
      </c>
      <c r="N33" s="247">
        <v>0.50007999999999997</v>
      </c>
      <c r="O33" s="139">
        <f t="shared" si="12"/>
        <v>0.5</v>
      </c>
      <c r="P33" s="195">
        <v>88</v>
      </c>
      <c r="Q33" s="143">
        <v>88.516163576872771</v>
      </c>
      <c r="R33" s="200">
        <v>2327.1999999999998</v>
      </c>
      <c r="S33" s="80">
        <v>130</v>
      </c>
      <c r="U33" s="142">
        <v>120</v>
      </c>
      <c r="V33" s="142">
        <v>1.1023000000000001</v>
      </c>
      <c r="W33" s="137">
        <v>7.9</v>
      </c>
      <c r="X33" s="137">
        <v>12.8</v>
      </c>
      <c r="Y33" s="203">
        <v>30</v>
      </c>
      <c r="Z33" s="143">
        <f t="shared" si="11"/>
        <v>37.730000000000004</v>
      </c>
      <c r="AA33" s="144">
        <f t="shared" si="1"/>
        <v>67.73</v>
      </c>
      <c r="AB33" s="145">
        <f t="shared" si="2"/>
        <v>852.56070739999996</v>
      </c>
      <c r="AC33" s="145">
        <f>+(S33-T33)*V33-'data 1'!$F$4</f>
        <v>63.299000000000007</v>
      </c>
      <c r="AD33" s="145">
        <f t="shared" si="3"/>
        <v>6.6809847808609311</v>
      </c>
      <c r="AE33" s="145">
        <f>+(Y33*V33-'data 1'!$I$21)+V33*(Z33-IF(D33="UNTUCA",IF(+((W33-3)*2.5+(X33-3)*3.1)&gt;0,+((W33-3)*1.5+(X33-3)*3.1),0),IF(+((W33-3)*1.5+(X33-3)*3.1)&gt;0,+((W33-3)*1.5+(X33-3)*3.1),0)))</f>
        <v>7.4879189189189219</v>
      </c>
      <c r="AF33" s="145">
        <f t="shared" si="4"/>
        <v>68.915046875817254</v>
      </c>
      <c r="AG33" s="145">
        <f t="shared" si="5"/>
        <v>146.38295057559711</v>
      </c>
      <c r="AH33" s="145">
        <f t="shared" si="6"/>
        <v>199.24752377897562</v>
      </c>
      <c r="AI33" s="137">
        <f t="shared" si="13"/>
        <v>80.353533384949074</v>
      </c>
      <c r="AJ33" s="144">
        <f t="shared" si="8"/>
        <v>186.1707268156072</v>
      </c>
      <c r="AK33" s="88">
        <f t="shared" si="9"/>
        <v>13.076796963368423</v>
      </c>
      <c r="AL33" s="57"/>
      <c r="AM33" s="57"/>
      <c r="AT33" s="142"/>
      <c r="AV33" s="57">
        <f t="shared" si="14"/>
        <v>10521.434638809251</v>
      </c>
    </row>
    <row r="34" spans="1:48" ht="15.75" customHeight="1">
      <c r="A34" s="134" t="s">
        <v>599</v>
      </c>
      <c r="B34" s="136">
        <v>45448</v>
      </c>
      <c r="C34" s="135">
        <v>45445</v>
      </c>
      <c r="D34" s="6" t="s">
        <v>93</v>
      </c>
      <c r="E34" s="176"/>
      <c r="F34" s="6" t="s">
        <v>600</v>
      </c>
      <c r="G34" s="90">
        <v>30</v>
      </c>
      <c r="H34" s="90" t="s">
        <v>571</v>
      </c>
      <c r="I34" s="82">
        <v>2.4700000000000002</v>
      </c>
      <c r="J34" s="137">
        <v>32.6</v>
      </c>
      <c r="K34" s="82">
        <f t="shared" si="0"/>
        <v>1.6647800000000001</v>
      </c>
      <c r="L34" s="240">
        <v>0.59499999999999997</v>
      </c>
      <c r="M34" s="139">
        <v>0.57999999999999996</v>
      </c>
      <c r="N34" s="247">
        <v>0.57999999999999996</v>
      </c>
      <c r="O34" s="139">
        <f t="shared" si="12"/>
        <v>0.57999999999999996</v>
      </c>
      <c r="P34" s="195">
        <v>86.5</v>
      </c>
      <c r="Q34" s="143">
        <v>85.778865736173429</v>
      </c>
      <c r="R34" s="200">
        <v>2327.1999999999998</v>
      </c>
      <c r="S34" s="80">
        <v>130</v>
      </c>
      <c r="U34" s="142">
        <v>120</v>
      </c>
      <c r="V34" s="142">
        <v>1.1023000000000001</v>
      </c>
      <c r="W34" s="137">
        <v>8</v>
      </c>
      <c r="X34" s="137">
        <v>13.5</v>
      </c>
      <c r="Y34" s="203">
        <v>35</v>
      </c>
      <c r="Z34" s="143">
        <f t="shared" si="11"/>
        <v>40.050000000000004</v>
      </c>
      <c r="AA34" s="144">
        <f t="shared" si="1"/>
        <v>75.050000000000011</v>
      </c>
      <c r="AB34" s="145">
        <f t="shared" si="2"/>
        <v>994.60775915199974</v>
      </c>
      <c r="AC34" s="145">
        <f>+(S34-T34)*V34-'data 1'!$F$4</f>
        <v>63.299000000000007</v>
      </c>
      <c r="AD34" s="145">
        <f t="shared" si="3"/>
        <v>-10.43937723996966</v>
      </c>
      <c r="AE34" s="145">
        <f>+(Y34*V34-'data 1'!$I$21)+V34*(Z34-IF(D34="UNTUCA",IF(+((W34-3)*2.5+(X34-3)*3.1)&gt;0,+((W34-3)*1.5+(X34-3)*3.1),0),IF(+((W34-3)*1.5+(X34-3)*3.1)&gt;0,+((W34-3)*1.5+(X34-3)*3.1),0)))</f>
        <v>12.99941891891892</v>
      </c>
      <c r="AF34" s="145">
        <f t="shared" si="4"/>
        <v>31.304952788521796</v>
      </c>
      <c r="AG34" s="145">
        <f t="shared" si="5"/>
        <v>97.16399446747107</v>
      </c>
      <c r="AH34" s="145">
        <f t="shared" si="6"/>
        <v>29.1315225853104</v>
      </c>
      <c r="AI34" s="137">
        <f t="shared" si="13"/>
        <v>87.089947491228401</v>
      </c>
      <c r="AJ34" s="144">
        <f t="shared" si="8"/>
        <v>28.635846127079894</v>
      </c>
      <c r="AK34" s="88">
        <f t="shared" si="9"/>
        <v>0.49567645823050555</v>
      </c>
      <c r="AL34" s="57"/>
      <c r="AM34" s="57"/>
      <c r="AT34" s="142"/>
      <c r="AV34" s="57">
        <f t="shared" si="14"/>
        <v>1655.8031052810663</v>
      </c>
    </row>
    <row r="35" spans="1:48" ht="15.75" customHeight="1">
      <c r="A35" s="134" t="s">
        <v>601</v>
      </c>
      <c r="B35" s="136">
        <v>45448</v>
      </c>
      <c r="C35" s="135">
        <v>45445</v>
      </c>
      <c r="D35" s="6" t="s">
        <v>93</v>
      </c>
      <c r="E35" s="176"/>
      <c r="F35" s="6" t="s">
        <v>237</v>
      </c>
      <c r="G35" s="90">
        <v>100</v>
      </c>
      <c r="H35" s="90" t="s">
        <v>69</v>
      </c>
      <c r="I35" s="82">
        <v>10.17</v>
      </c>
      <c r="J35" s="137">
        <v>2.1</v>
      </c>
      <c r="K35" s="82">
        <f t="shared" si="0"/>
        <v>9.9564299999999992</v>
      </c>
      <c r="L35" s="240">
        <v>0.40900000000000003</v>
      </c>
      <c r="M35" s="139">
        <v>0.38855000000000001</v>
      </c>
      <c r="N35" s="247">
        <v>0.38855000000000001</v>
      </c>
      <c r="O35" s="139">
        <f t="shared" si="12"/>
        <v>0.38900000000000001</v>
      </c>
      <c r="P35" s="195">
        <v>88</v>
      </c>
      <c r="Q35" s="143">
        <v>88.700663537662336</v>
      </c>
      <c r="R35" s="200">
        <v>2327.1999999999998</v>
      </c>
      <c r="S35" s="80">
        <v>120</v>
      </c>
      <c r="U35" s="142">
        <v>120</v>
      </c>
      <c r="V35" s="142">
        <v>1.1023000000000001</v>
      </c>
      <c r="W35" s="137">
        <v>7.9</v>
      </c>
      <c r="X35" s="137">
        <v>12.9</v>
      </c>
      <c r="Y35" s="203">
        <v>30</v>
      </c>
      <c r="Z35" s="143">
        <f t="shared" si="11"/>
        <v>38.04</v>
      </c>
      <c r="AA35" s="144">
        <f t="shared" si="1"/>
        <v>68.039999999999992</v>
      </c>
      <c r="AB35" s="145">
        <f t="shared" si="2"/>
        <v>625.5868904191999</v>
      </c>
      <c r="AC35" s="145">
        <f>+(S35-T35)*V35-'data 1'!$F$4</f>
        <v>52.27600000000001</v>
      </c>
      <c r="AD35" s="145">
        <f t="shared" si="3"/>
        <v>6.9722719853160724</v>
      </c>
      <c r="AE35" s="145">
        <f>+(Y35*V35-'data 1'!$I$21)+V35*(Z35-IF(D35="UNTUCA",IF(+((W35-3)*2.5+(X35-3)*3.1)&gt;0,+((W35-3)*1.5+(X35-3)*3.1),0),IF(+((W35-3)*1.5+(X35-3)*3.1)&gt;0,+((W35-3)*1.5+(X35-3)*3.1),0)))</f>
        <v>7.4879189189189219</v>
      </c>
      <c r="AF35" s="145">
        <f t="shared" si="4"/>
        <v>43.161681851370012</v>
      </c>
      <c r="AG35" s="145">
        <f t="shared" si="5"/>
        <v>109.89787275560502</v>
      </c>
      <c r="AH35" s="145">
        <f t="shared" si="6"/>
        <v>123.84055528194781</v>
      </c>
      <c r="AI35" s="137">
        <f t="shared" si="13"/>
        <v>61.904317583185964</v>
      </c>
      <c r="AJ35" s="144">
        <f t="shared" si="8"/>
        <v>116.85437784195587</v>
      </c>
      <c r="AK35" s="88">
        <f t="shared" si="9"/>
        <v>6.9861774399919483</v>
      </c>
      <c r="AL35" s="57"/>
      <c r="AM35" s="57"/>
      <c r="AT35" s="142"/>
      <c r="AV35" s="57">
        <f t="shared" si="14"/>
        <v>6228.6120833764344</v>
      </c>
    </row>
    <row r="36" spans="1:48" ht="15.75" customHeight="1">
      <c r="A36" s="134" t="s">
        <v>602</v>
      </c>
      <c r="B36" s="136">
        <v>45448</v>
      </c>
      <c r="C36" s="135">
        <v>45445</v>
      </c>
      <c r="D36" s="6" t="s">
        <v>106</v>
      </c>
      <c r="E36" s="176"/>
      <c r="F36" s="6" t="s">
        <v>603</v>
      </c>
      <c r="G36" s="90">
        <v>63</v>
      </c>
      <c r="H36" s="90" t="s">
        <v>571</v>
      </c>
      <c r="I36" s="82">
        <v>5.69</v>
      </c>
      <c r="J36" s="137">
        <v>25</v>
      </c>
      <c r="K36" s="82">
        <f t="shared" si="0"/>
        <v>4.2675000000000001</v>
      </c>
      <c r="L36" s="240">
        <v>1.46</v>
      </c>
      <c r="M36" s="139">
        <v>1.387</v>
      </c>
      <c r="N36" s="247">
        <v>1.518</v>
      </c>
      <c r="O36" s="139">
        <f t="shared" si="12"/>
        <v>1.4530000000000001</v>
      </c>
      <c r="P36" s="195">
        <v>88</v>
      </c>
      <c r="Q36" s="143">
        <v>85.76644032395653</v>
      </c>
      <c r="R36" s="200">
        <v>2327.1999999999998</v>
      </c>
      <c r="S36" s="80">
        <v>190</v>
      </c>
      <c r="U36" s="142">
        <v>120</v>
      </c>
      <c r="V36" s="142">
        <v>1.1023000000000001</v>
      </c>
      <c r="W36" s="137">
        <v>8</v>
      </c>
      <c r="X36" s="137">
        <v>13.6</v>
      </c>
      <c r="Y36" s="203">
        <v>30</v>
      </c>
      <c r="Z36" s="143">
        <f t="shared" si="11"/>
        <v>40.36</v>
      </c>
      <c r="AA36" s="144">
        <f t="shared" si="1"/>
        <v>70.36</v>
      </c>
      <c r="AB36" s="145">
        <f t="shared" si="2"/>
        <v>2823.9318934783992</v>
      </c>
      <c r="AC36" s="145">
        <f>+(S36-T36)*V36-'data 1'!$F$4</f>
        <v>129.43700000000001</v>
      </c>
      <c r="AD36" s="145">
        <f t="shared" si="3"/>
        <v>-79.339947922179746</v>
      </c>
      <c r="AE36" s="145">
        <f>+(Y36*V36-'data 1'!$I$21)+V36*(Z36-IF(D36="UNTUCA",IF(+((W36-3)*2.5+(X36-3)*3.1)&gt;0,+((W36-3)*1.5+(X36-3)*3.1),0),IF(+((W36-3)*1.5+(X36-3)*3.1)&gt;0,+((W36-3)*1.5+(X36-3)*3.1),0)))</f>
        <v>7.4879189189189219</v>
      </c>
      <c r="AF36" s="145">
        <f t="shared" si="4"/>
        <v>14.606861799013986</v>
      </c>
      <c r="AG36" s="145">
        <f t="shared" si="5"/>
        <v>72.191832795753172</v>
      </c>
      <c r="AH36" s="145">
        <f t="shared" si="6"/>
        <v>183.21154631952624</v>
      </c>
      <c r="AI36" s="137">
        <f t="shared" si="13"/>
        <v>213.66874782993364</v>
      </c>
      <c r="AJ36" s="144">
        <f t="shared" si="8"/>
        <v>187.08151814915544</v>
      </c>
      <c r="AK36" s="88">
        <f t="shared" si="9"/>
        <v>-3.8699718296292076</v>
      </c>
      <c r="AL36" s="57"/>
      <c r="AM36" s="57"/>
      <c r="AT36" s="142"/>
      <c r="AV36" s="57">
        <f t="shared" si="14"/>
        <v>12051.129355419069</v>
      </c>
    </row>
    <row r="37" spans="1:48" ht="15.75" customHeight="1">
      <c r="A37" s="134" t="s">
        <v>604</v>
      </c>
      <c r="B37" s="135">
        <v>45445</v>
      </c>
      <c r="C37" s="135">
        <v>45445</v>
      </c>
      <c r="D37" s="142" t="s">
        <v>85</v>
      </c>
      <c r="E37" s="176"/>
      <c r="F37" s="142" t="s">
        <v>483</v>
      </c>
      <c r="G37" s="177">
        <v>45</v>
      </c>
      <c r="H37" s="177" t="s">
        <v>69</v>
      </c>
      <c r="I37" s="138">
        <v>3.25</v>
      </c>
      <c r="J37" s="143">
        <v>12</v>
      </c>
      <c r="K37" s="138">
        <f t="shared" si="0"/>
        <v>2.86</v>
      </c>
      <c r="L37" s="170">
        <v>0.27</v>
      </c>
      <c r="M37" s="141">
        <v>0.24570000000000003</v>
      </c>
      <c r="N37" s="247">
        <v>0.24570000000000003</v>
      </c>
      <c r="O37" s="141">
        <f t="shared" si="12"/>
        <v>0.246</v>
      </c>
      <c r="P37" s="142">
        <v>88</v>
      </c>
      <c r="Q37" s="143">
        <v>88.533726281334566</v>
      </c>
      <c r="R37" s="144">
        <v>2327.1999999999998</v>
      </c>
      <c r="S37" s="132">
        <v>115</v>
      </c>
      <c r="T37" s="142"/>
      <c r="U37" s="142">
        <v>120</v>
      </c>
      <c r="V37" s="142">
        <v>1.1023000000000001</v>
      </c>
      <c r="W37" s="143">
        <v>7.5</v>
      </c>
      <c r="X37" s="143">
        <v>11.4</v>
      </c>
      <c r="Y37" s="203">
        <v>30</v>
      </c>
      <c r="Z37" s="143">
        <f t="shared" si="11"/>
        <v>32.790000000000006</v>
      </c>
      <c r="AA37" s="144">
        <f t="shared" si="1"/>
        <v>62.790000000000006</v>
      </c>
      <c r="AB37" s="145">
        <f t="shared" si="2"/>
        <v>330.71717830879993</v>
      </c>
      <c r="AC37" s="145">
        <f>+(S37-T37)*V37-'data 1'!$F$4</f>
        <v>46.764500000000012</v>
      </c>
      <c r="AD37" s="145">
        <f t="shared" si="3"/>
        <v>3.5060963574651964</v>
      </c>
      <c r="AE37" s="145">
        <f>+(Y37*V37-'data 1'!$I$21)+V37*(Z37-IF(D37="UNTUCA",IF(+((W37-3)*2.5+(X37-3)*3.1)&gt;0,+((W37-3)*1.5+(X37-3)*3.1),0),IF(+((W37-3)*1.5+(X37-3)*3.1)&gt;0,+((W37-3)*1.5+(X37-3)*3.1),0)))</f>
        <v>7.4879189189189219</v>
      </c>
      <c r="AF37" s="145">
        <f t="shared" si="4"/>
        <v>51.696540356752514</v>
      </c>
      <c r="AG37" s="145">
        <f t="shared" si="5"/>
        <v>109.45505563313665</v>
      </c>
      <c r="AH37" s="145">
        <f t="shared" si="6"/>
        <v>23.439460429767397</v>
      </c>
      <c r="AI37" s="143">
        <f t="shared" si="13"/>
        <v>40.789020039545363</v>
      </c>
      <c r="AJ37" s="144">
        <f t="shared" si="8"/>
        <v>21.227208302483042</v>
      </c>
      <c r="AK37" s="133">
        <f t="shared" si="9"/>
        <v>2.2122521272843549</v>
      </c>
      <c r="AL37" s="144"/>
      <c r="AM37" s="144"/>
      <c r="AN37" s="142"/>
      <c r="AO37" s="142"/>
      <c r="AP37" s="142"/>
      <c r="AQ37" s="142"/>
      <c r="AR37" s="142"/>
      <c r="AS37" s="142"/>
      <c r="AT37" s="142"/>
      <c r="AV37" s="57">
        <f t="shared" si="14"/>
        <v>945.85112996316775</v>
      </c>
    </row>
    <row r="38" spans="1:48" ht="15.75" customHeight="1">
      <c r="A38" s="134" t="s">
        <v>605</v>
      </c>
      <c r="B38" s="135">
        <v>45445</v>
      </c>
      <c r="C38" s="135">
        <v>45445</v>
      </c>
      <c r="D38" s="142" t="s">
        <v>85</v>
      </c>
      <c r="E38" s="176"/>
      <c r="F38" s="142" t="s">
        <v>483</v>
      </c>
      <c r="G38" s="177">
        <v>41</v>
      </c>
      <c r="H38" s="177" t="s">
        <v>69</v>
      </c>
      <c r="I38" s="138">
        <v>3.07</v>
      </c>
      <c r="J38" s="143">
        <v>19.5</v>
      </c>
      <c r="K38" s="138">
        <f t="shared" si="0"/>
        <v>2.4713499999999997</v>
      </c>
      <c r="L38" s="170">
        <v>0.47599999999999998</v>
      </c>
      <c r="M38" s="141">
        <v>0.44743999999999995</v>
      </c>
      <c r="N38" s="247">
        <v>0.44743999999999995</v>
      </c>
      <c r="O38" s="141">
        <f t="shared" si="12"/>
        <v>0.44700000000000001</v>
      </c>
      <c r="P38" s="142">
        <v>88</v>
      </c>
      <c r="Q38" s="143">
        <v>88.025896832409501</v>
      </c>
      <c r="R38" s="144">
        <v>2327.1999999999998</v>
      </c>
      <c r="S38" s="132">
        <v>135</v>
      </c>
      <c r="T38" s="142"/>
      <c r="U38" s="142">
        <v>120</v>
      </c>
      <c r="V38" s="142">
        <v>1.1023000000000001</v>
      </c>
      <c r="W38" s="143">
        <v>7.5</v>
      </c>
      <c r="X38" s="143">
        <v>11.3</v>
      </c>
      <c r="Y38" s="203">
        <v>30</v>
      </c>
      <c r="Z38" s="143">
        <f t="shared" si="11"/>
        <v>32.480000000000004</v>
      </c>
      <c r="AA38" s="144">
        <f t="shared" si="1"/>
        <v>62.480000000000004</v>
      </c>
      <c r="AB38" s="145">
        <f t="shared" si="2"/>
        <v>739.36132284159987</v>
      </c>
      <c r="AC38" s="145">
        <f>+(S38-T38)*V38-'data 1'!$F$4</f>
        <v>68.810500000000019</v>
      </c>
      <c r="AD38" s="145">
        <f t="shared" si="3"/>
        <v>0.29991286383592891</v>
      </c>
      <c r="AE38" s="145">
        <f>+(Y38*V38-'data 1'!$I$21)+V38*(Z38-IF(D38="UNTUCA",IF(+((W38-3)*2.5+(X38-3)*3.1)&gt;0,+((W38-3)*1.5+(X38-3)*3.1),0),IF(+((W38-3)*1.5+(X38-3)*3.1)&gt;0,+((W38-3)*1.5+(X38-3)*3.1),0)))</f>
        <v>7.4879189189189219</v>
      </c>
      <c r="AF38" s="145">
        <f t="shared" si="4"/>
        <v>62.108344213408415</v>
      </c>
      <c r="AG38" s="145">
        <f t="shared" si="5"/>
        <v>138.70667599616328</v>
      </c>
      <c r="AH38" s="145">
        <f t="shared" si="6"/>
        <v>35.502647164023145</v>
      </c>
      <c r="AI38" s="143">
        <f t="shared" si="13"/>
        <v>71.49705855595117</v>
      </c>
      <c r="AJ38" s="144">
        <f t="shared" si="8"/>
        <v>33.329862376398076</v>
      </c>
      <c r="AK38" s="133">
        <f t="shared" si="9"/>
        <v>2.1727847876250692</v>
      </c>
      <c r="AL38" s="144"/>
      <c r="AM38" s="144"/>
      <c r="AN38" s="142"/>
      <c r="AO38" s="142"/>
      <c r="AP38" s="142"/>
      <c r="AQ38" s="142"/>
      <c r="AR38" s="142"/>
      <c r="AS38" s="142"/>
      <c r="AT38" s="142"/>
      <c r="AV38" s="57">
        <f t="shared" si="14"/>
        <v>1827.2206052045876</v>
      </c>
    </row>
    <row r="39" spans="1:48" ht="15.75" customHeight="1">
      <c r="A39" s="134" t="s">
        <v>606</v>
      </c>
      <c r="B39" s="135">
        <v>45445</v>
      </c>
      <c r="C39" s="135">
        <v>45445</v>
      </c>
      <c r="D39" s="142" t="s">
        <v>85</v>
      </c>
      <c r="E39" s="176"/>
      <c r="F39" s="142" t="s">
        <v>607</v>
      </c>
      <c r="G39" s="177">
        <v>52</v>
      </c>
      <c r="H39" s="177" t="s">
        <v>69</v>
      </c>
      <c r="I39" s="138">
        <v>4.09</v>
      </c>
      <c r="J39" s="143">
        <v>9.3000000000000007</v>
      </c>
      <c r="K39" s="138">
        <f t="shared" si="0"/>
        <v>3.7096299999999998</v>
      </c>
      <c r="L39" s="170">
        <v>0.44700000000000001</v>
      </c>
      <c r="M39" s="141">
        <v>0.42464999999999997</v>
      </c>
      <c r="N39" s="247">
        <v>0.42464999999999997</v>
      </c>
      <c r="O39" s="141">
        <f t="shared" si="12"/>
        <v>0.42499999999999999</v>
      </c>
      <c r="P39" s="142">
        <v>88</v>
      </c>
      <c r="Q39" s="143">
        <v>88.555497264507707</v>
      </c>
      <c r="R39" s="144">
        <v>2327.1999999999998</v>
      </c>
      <c r="S39" s="132">
        <v>130</v>
      </c>
      <c r="T39" s="142"/>
      <c r="U39" s="142">
        <v>120</v>
      </c>
      <c r="V39" s="142">
        <v>1.1023000000000001</v>
      </c>
      <c r="W39" s="143">
        <v>7.5</v>
      </c>
      <c r="X39" s="143">
        <v>11.4</v>
      </c>
      <c r="Y39" s="203">
        <v>30</v>
      </c>
      <c r="Z39" s="143">
        <f t="shared" si="11"/>
        <v>32.790000000000006</v>
      </c>
      <c r="AA39" s="144">
        <f t="shared" si="1"/>
        <v>62.790000000000006</v>
      </c>
      <c r="AB39" s="145">
        <f t="shared" si="2"/>
        <v>697.42829643999994</v>
      </c>
      <c r="AC39" s="145">
        <f>+(S39-T39)*V39-'data 1'!$F$4</f>
        <v>63.299000000000007</v>
      </c>
      <c r="AD39" s="145">
        <f t="shared" si="3"/>
        <v>6.0413075133558776</v>
      </c>
      <c r="AE39" s="145">
        <f>+(Y39*V39-'data 1'!$I$21)+V39*(Z39-IF(D39="UNTUCA",IF(+((W39-3)*2.5+(X39-3)*3.1)&gt;0,+((W39-3)*1.5+(X39-3)*3.1),0),IF(+((W39-3)*1.5+(X39-3)*3.1)&gt;0,+((W39-3)*1.5+(X39-3)*3.1),0)))</f>
        <v>7.4879189189189219</v>
      </c>
      <c r="AF39" s="145">
        <f t="shared" si="4"/>
        <v>47.400148447000113</v>
      </c>
      <c r="AG39" s="145">
        <f t="shared" si="5"/>
        <v>124.22837487927492</v>
      </c>
      <c r="AH39" s="145">
        <f t="shared" si="6"/>
        <v>50.345738249773241</v>
      </c>
      <c r="AI39" s="143">
        <f t="shared" si="13"/>
        <v>67.545094399305611</v>
      </c>
      <c r="AJ39" s="144">
        <f t="shared" si="8"/>
        <v>47.567602922898629</v>
      </c>
      <c r="AK39" s="133">
        <f t="shared" si="9"/>
        <v>2.7781353268746116</v>
      </c>
      <c r="AL39" s="144"/>
      <c r="AM39" s="144"/>
      <c r="AN39" s="142"/>
      <c r="AO39" s="142"/>
      <c r="AP39" s="142"/>
      <c r="AQ39" s="142"/>
      <c r="AR39" s="142"/>
      <c r="AS39" s="142"/>
      <c r="AT39" s="142"/>
      <c r="AV39" s="57">
        <f t="shared" si="14"/>
        <v>2587.2009313227168</v>
      </c>
    </row>
    <row r="40" spans="1:48" ht="15.75" customHeight="1">
      <c r="A40" s="134" t="s">
        <v>608</v>
      </c>
      <c r="B40" s="135">
        <v>45445</v>
      </c>
      <c r="C40" s="135">
        <v>45445</v>
      </c>
      <c r="D40" s="142" t="s">
        <v>85</v>
      </c>
      <c r="E40" s="176"/>
      <c r="F40" s="142" t="s">
        <v>607</v>
      </c>
      <c r="G40" s="177" t="s">
        <v>68</v>
      </c>
      <c r="H40" s="177" t="s">
        <v>69</v>
      </c>
      <c r="I40" s="138">
        <v>16.03</v>
      </c>
      <c r="J40" s="143">
        <v>14</v>
      </c>
      <c r="K40" s="138">
        <f t="shared" si="0"/>
        <v>13.785800000000002</v>
      </c>
      <c r="L40" s="170">
        <v>0.18099999999999999</v>
      </c>
      <c r="M40" s="141">
        <v>0.17194999999999999</v>
      </c>
      <c r="N40" s="247">
        <v>0.17194999999999999</v>
      </c>
      <c r="O40" s="141">
        <f t="shared" si="12"/>
        <v>0.17199999999999999</v>
      </c>
      <c r="P40" s="142">
        <v>88</v>
      </c>
      <c r="Q40" s="143">
        <v>88.137734113705648</v>
      </c>
      <c r="R40" s="144">
        <v>2327.1999999999998</v>
      </c>
      <c r="S40" s="132">
        <v>110</v>
      </c>
      <c r="T40" s="142"/>
      <c r="U40" s="142">
        <v>120</v>
      </c>
      <c r="V40" s="142">
        <v>1.1023000000000001</v>
      </c>
      <c r="W40" s="143">
        <v>7.5</v>
      </c>
      <c r="X40" s="142">
        <v>11.55</v>
      </c>
      <c r="Y40" s="203">
        <v>30</v>
      </c>
      <c r="Z40" s="143">
        <f t="shared" si="11"/>
        <v>33.255000000000003</v>
      </c>
      <c r="AA40" s="144">
        <f t="shared" si="1"/>
        <v>63.255000000000003</v>
      </c>
      <c r="AB40" s="145">
        <f t="shared" si="2"/>
        <v>177.27937282160002</v>
      </c>
      <c r="AC40" s="145">
        <f>+(S40-T40)*V40-'data 1'!$F$4</f>
        <v>41.253</v>
      </c>
      <c r="AD40" s="145">
        <f t="shared" si="3"/>
        <v>0.60654299096128594</v>
      </c>
      <c r="AE40" s="145">
        <f>+(Y40*V40-'data 1'!$I$21)+V40*(Z40-IF(D40="UNTUCA",IF(+((W40-3)*2.5+(X40-3)*3.1)&gt;0,+((W40-3)*1.5+(X40-3)*3.1),0),IF(+((W40-3)*1.5+(X40-3)*3.1)&gt;0,+((W40-3)*1.5+(X40-3)*3.1),0)))</f>
        <v>7.4879189189189219</v>
      </c>
      <c r="AF40" s="145">
        <f t="shared" si="4"/>
        <v>19.299492351435664</v>
      </c>
      <c r="AG40" s="145">
        <f t="shared" si="5"/>
        <v>68.646954261315869</v>
      </c>
      <c r="AH40" s="145">
        <f t="shared" si="6"/>
        <v>75.401762757690051</v>
      </c>
      <c r="AI40" s="143">
        <f t="shared" si="13"/>
        <v>27.221447801961538</v>
      </c>
      <c r="AJ40" s="144">
        <f t="shared" si="8"/>
        <v>71.540531430461883</v>
      </c>
      <c r="AK40" s="133">
        <f t="shared" si="9"/>
        <v>3.8612313272281682</v>
      </c>
      <c r="AL40" s="144"/>
      <c r="AM40" s="144"/>
      <c r="AN40" s="142"/>
      <c r="AO40" s="142"/>
      <c r="AP40" s="142"/>
      <c r="AQ40" s="142"/>
      <c r="AR40" s="142"/>
      <c r="AS40" s="142"/>
      <c r="AT40" s="142"/>
      <c r="AV40" s="57">
        <f t="shared" si="14"/>
        <v>2443.9379778440139</v>
      </c>
    </row>
    <row r="41" spans="1:48" ht="15.75" customHeight="1">
      <c r="A41" s="134" t="s">
        <v>609</v>
      </c>
      <c r="B41" s="135">
        <v>45449</v>
      </c>
      <c r="C41" s="135">
        <v>45448</v>
      </c>
      <c r="D41" s="142" t="s">
        <v>85</v>
      </c>
      <c r="E41" s="176"/>
      <c r="F41" s="142" t="s">
        <v>321</v>
      </c>
      <c r="G41" s="177"/>
      <c r="H41" s="177" t="s">
        <v>69</v>
      </c>
      <c r="I41" s="138">
        <v>13.59</v>
      </c>
      <c r="J41" s="143">
        <v>8.25</v>
      </c>
      <c r="K41" s="138">
        <f t="shared" si="0"/>
        <v>12.468824999999999</v>
      </c>
      <c r="L41" s="170">
        <v>0.26900000000000002</v>
      </c>
      <c r="M41" s="141">
        <v>0.25555</v>
      </c>
      <c r="N41" s="170">
        <v>0.26100000000000001</v>
      </c>
      <c r="O41" s="141">
        <f t="shared" si="12"/>
        <v>0.25800000000000001</v>
      </c>
      <c r="P41" s="143">
        <v>90</v>
      </c>
      <c r="Q41" s="143">
        <v>88.126119294151977</v>
      </c>
      <c r="R41" s="144">
        <v>2323.89</v>
      </c>
      <c r="S41" s="132">
        <v>110</v>
      </c>
      <c r="T41" s="142"/>
      <c r="U41" s="142">
        <v>120</v>
      </c>
      <c r="V41" s="142">
        <v>1.1023000000000001</v>
      </c>
      <c r="W41" s="143">
        <v>7.8</v>
      </c>
      <c r="X41" s="143">
        <v>11.3</v>
      </c>
      <c r="Y41" s="203">
        <v>30</v>
      </c>
      <c r="Z41" s="143">
        <f t="shared" si="11"/>
        <v>32.930000000000007</v>
      </c>
      <c r="AA41" s="144">
        <f t="shared" si="1"/>
        <v>62.930000000000007</v>
      </c>
      <c r="AB41" s="145">
        <f t="shared" si="2"/>
        <v>373.47385429339994</v>
      </c>
      <c r="AC41" s="145">
        <f>+(S41-T41)*V41-'data 1'!$F$4</f>
        <v>41.253</v>
      </c>
      <c r="AD41" s="145">
        <f t="shared" si="3"/>
        <v>-12.24570918086523</v>
      </c>
      <c r="AE41" s="145">
        <f>+(Y41*V41-'data 1'!$I$21)+V41*(Z41-IF(D41="UNTUCA",IF(+((W41-3)*2.5+(X41-3)*3.1)&gt;0,+((W41-3)*1.5+(X41-3)*3.1),0),IF(+((W41-3)*1.5+(X41-3)*3.1)&gt;0,+((W41-3)*1.5+(X41-3)*3.1),0)))</f>
        <v>7.4879189189189219</v>
      </c>
      <c r="AF41" s="145">
        <f t="shared" si="4"/>
        <v>23.549790768275788</v>
      </c>
      <c r="AG41" s="145">
        <f t="shared" si="5"/>
        <v>60.045000506329473</v>
      </c>
      <c r="AH41" s="145">
        <f t="shared" si="6"/>
        <v>101.3424793122698</v>
      </c>
      <c r="AI41" s="143">
        <f t="shared" si="13"/>
        <v>41.315791026614143</v>
      </c>
      <c r="AJ41" s="144">
        <f t="shared" si="8"/>
        <v>99.265152548120071</v>
      </c>
      <c r="AK41" s="133">
        <f t="shared" si="9"/>
        <v>2.0773267641497313</v>
      </c>
      <c r="AL41" s="144"/>
      <c r="AM41" s="144"/>
      <c r="AN41" s="142"/>
      <c r="AO41" s="142"/>
      <c r="AP41" s="142"/>
      <c r="AQ41" s="142"/>
      <c r="AR41" s="142"/>
      <c r="AS41" s="142"/>
      <c r="AT41" s="142"/>
      <c r="AV41" s="57">
        <f t="shared" si="14"/>
        <v>4656.7801312599022</v>
      </c>
    </row>
    <row r="42" spans="1:48" ht="15.75" customHeight="1">
      <c r="A42" s="134" t="s">
        <v>610</v>
      </c>
      <c r="B42" s="135">
        <v>45449</v>
      </c>
      <c r="C42" s="135">
        <v>45448</v>
      </c>
      <c r="D42" s="142" t="s">
        <v>85</v>
      </c>
      <c r="E42" s="176"/>
      <c r="F42" s="142" t="s">
        <v>321</v>
      </c>
      <c r="G42" s="177"/>
      <c r="H42" s="177" t="s">
        <v>69</v>
      </c>
      <c r="I42" s="138">
        <v>8.6999999999999993</v>
      </c>
      <c r="J42" s="143">
        <v>14.25</v>
      </c>
      <c r="K42" s="138">
        <f t="shared" si="0"/>
        <v>7.4602499999999994</v>
      </c>
      <c r="L42" s="170">
        <v>1.7170000000000001</v>
      </c>
      <c r="M42" s="141">
        <v>1.6998300000000002</v>
      </c>
      <c r="N42" s="170">
        <v>1.7829999999999999</v>
      </c>
      <c r="O42" s="141">
        <f t="shared" si="12"/>
        <v>1.7410000000000001</v>
      </c>
      <c r="P42" s="143">
        <v>90</v>
      </c>
      <c r="Q42" s="143">
        <v>87.198381488231277</v>
      </c>
      <c r="R42" s="144">
        <v>2323.89</v>
      </c>
      <c r="S42" s="132">
        <v>240</v>
      </c>
      <c r="T42" s="142"/>
      <c r="U42" s="142">
        <v>120</v>
      </c>
      <c r="V42" s="142">
        <v>1.1023000000000001</v>
      </c>
      <c r="W42" s="143">
        <v>7.9</v>
      </c>
      <c r="X42" s="143">
        <v>12.6</v>
      </c>
      <c r="Y42" s="203">
        <v>30</v>
      </c>
      <c r="Z42" s="143">
        <f t="shared" si="11"/>
        <v>37.11</v>
      </c>
      <c r="AA42" s="144">
        <f t="shared" si="1"/>
        <v>67.11</v>
      </c>
      <c r="AB42" s="145">
        <f t="shared" si="2"/>
        <v>3468.0179451542999</v>
      </c>
      <c r="AC42" s="145">
        <f>+(S42-T42)*V42-'data 1'!$F$4</f>
        <v>184.55200000000002</v>
      </c>
      <c r="AD42" s="145">
        <f t="shared" si="3"/>
        <v>-116.86084310789646</v>
      </c>
      <c r="AE42" s="145">
        <f>+(Y42*V42-'data 1'!$I$21)+V42*(Z42-IF(D42="UNTUCA",IF(+((W42-3)*2.5+(X42-3)*3.1)&gt;0,+((W42-3)*1.5+(X42-3)*3.1),0),IF(+((W42-3)*1.5+(X42-3)*3.1)&gt;0,+((W42-3)*1.5+(X42-3)*3.1),0)))</f>
        <v>7.4879189189189219</v>
      </c>
      <c r="AF42" s="145">
        <f t="shared" si="4"/>
        <v>-50.840450172037833</v>
      </c>
      <c r="AG42" s="145">
        <f t="shared" si="5"/>
        <v>24.338625638984652</v>
      </c>
      <c r="AH42" s="145">
        <f t="shared" si="6"/>
        <v>382.9492027567992</v>
      </c>
      <c r="AI42" s="143">
        <f t="shared" si="13"/>
        <v>260.93832195941889</v>
      </c>
      <c r="AJ42" s="144">
        <f t="shared" si="8"/>
        <v>400.77786847879958</v>
      </c>
      <c r="AK42" s="133">
        <f t="shared" si="9"/>
        <v>-17.82866572200038</v>
      </c>
      <c r="AL42" s="144" t="s">
        <v>611</v>
      </c>
      <c r="AM42" s="144"/>
      <c r="AN42" s="142"/>
      <c r="AO42" s="142"/>
      <c r="AP42" s="142"/>
      <c r="AQ42" s="142"/>
      <c r="AR42" s="142"/>
      <c r="AS42" s="142"/>
      <c r="AT42" s="142"/>
      <c r="AV42" s="57">
        <f t="shared" si="14"/>
        <v>25872.280875337365</v>
      </c>
    </row>
    <row r="43" spans="1:48" ht="15.75" customHeight="1">
      <c r="A43" s="134" t="s">
        <v>612</v>
      </c>
      <c r="B43" s="135">
        <v>45449</v>
      </c>
      <c r="C43" s="135">
        <v>45448</v>
      </c>
      <c r="D43" s="142" t="s">
        <v>85</v>
      </c>
      <c r="E43" s="176"/>
      <c r="F43" s="142" t="s">
        <v>321</v>
      </c>
      <c r="G43" s="177"/>
      <c r="H43" s="177" t="s">
        <v>69</v>
      </c>
      <c r="I43" s="138">
        <v>24.89</v>
      </c>
      <c r="J43" s="143">
        <v>7.73</v>
      </c>
      <c r="K43" s="138">
        <f t="shared" si="0"/>
        <v>22.966003000000001</v>
      </c>
      <c r="L43" s="170">
        <v>0.20699999999999999</v>
      </c>
      <c r="M43" s="141">
        <v>0.20079</v>
      </c>
      <c r="N43" s="157">
        <v>0.20079</v>
      </c>
      <c r="O43" s="141">
        <f t="shared" si="12"/>
        <v>0.20100000000000001</v>
      </c>
      <c r="P43" s="143">
        <v>90</v>
      </c>
      <c r="Q43" s="143">
        <v>88.078153500178601</v>
      </c>
      <c r="R43" s="144">
        <v>2323.89</v>
      </c>
      <c r="S43" s="132">
        <v>110</v>
      </c>
      <c r="T43" s="142"/>
      <c r="U43" s="142">
        <v>120</v>
      </c>
      <c r="V43" s="142">
        <v>1.1023000000000001</v>
      </c>
      <c r="W43" s="143">
        <v>7.8</v>
      </c>
      <c r="X43" s="143">
        <v>11.2</v>
      </c>
      <c r="Y43" s="203">
        <v>30</v>
      </c>
      <c r="Z43" s="143">
        <f t="shared" si="11"/>
        <v>32.619999999999997</v>
      </c>
      <c r="AA43" s="144">
        <f t="shared" si="1"/>
        <v>62.62</v>
      </c>
      <c r="AB43" s="145">
        <f t="shared" si="2"/>
        <v>249.19001761229998</v>
      </c>
      <c r="AC43" s="145">
        <f>+(S43-T43)*V43-'data 1'!$F$4</f>
        <v>41.253</v>
      </c>
      <c r="AD43" s="145">
        <f t="shared" si="3"/>
        <v>-9.6644860669958188</v>
      </c>
      <c r="AE43" s="145">
        <f>+(Y43*V43-'data 1'!$I$21)+V43*(Z43-IF(D43="UNTUCA",IF(+((W43-3)*2.5+(X43-3)*3.1)&gt;0,+((W43-3)*1.5+(X43-3)*3.1),0),IF(+((W43-3)*1.5+(X43-3)*3.1)&gt;0,+((W43-3)*1.5+(X43-3)*3.1),0)))</f>
        <v>7.4879189189189219</v>
      </c>
      <c r="AF43" s="145">
        <f t="shared" si="4"/>
        <v>12.838348882872538</v>
      </c>
      <c r="AG43" s="145">
        <f t="shared" si="5"/>
        <v>51.914781734795639</v>
      </c>
      <c r="AH43" s="145">
        <f t="shared" si="6"/>
        <v>143.55986237353451</v>
      </c>
      <c r="AI43" s="143">
        <f t="shared" si="13"/>
        <v>31.775887768694908</v>
      </c>
      <c r="AJ43" s="144">
        <f t="shared" si="8"/>
        <v>142.4403569585748</v>
      </c>
      <c r="AK43" s="133">
        <f t="shared" si="9"/>
        <v>1.1195054149597183</v>
      </c>
      <c r="AL43" s="144"/>
      <c r="AM43" s="144"/>
      <c r="AN43" s="142"/>
      <c r="AO43" s="142"/>
      <c r="AP43" s="142"/>
      <c r="AQ43" s="142"/>
      <c r="AR43" s="142"/>
      <c r="AS43" s="142"/>
      <c r="AT43" s="142"/>
      <c r="AV43" s="57">
        <f t="shared" si="14"/>
        <v>5722.8986920541347</v>
      </c>
    </row>
    <row r="44" spans="1:48" ht="15.75" customHeight="1">
      <c r="A44" s="134" t="s">
        <v>613</v>
      </c>
      <c r="B44" s="135">
        <v>45454</v>
      </c>
      <c r="C44" s="135">
        <v>45450</v>
      </c>
      <c r="D44" s="6" t="s">
        <v>93</v>
      </c>
      <c r="E44" s="176"/>
      <c r="F44" s="142" t="s">
        <v>446</v>
      </c>
      <c r="G44" s="90">
        <v>33</v>
      </c>
      <c r="H44" s="90" t="s">
        <v>69</v>
      </c>
      <c r="I44" s="82">
        <v>2.91</v>
      </c>
      <c r="J44" s="137">
        <v>1</v>
      </c>
      <c r="K44" s="138">
        <f t="shared" si="0"/>
        <v>2.8809</v>
      </c>
      <c r="L44" s="240">
        <v>1.1579999999999999</v>
      </c>
      <c r="M44" s="139">
        <v>1.107</v>
      </c>
      <c r="N44" s="248">
        <v>1.1579999999999999</v>
      </c>
      <c r="O44" s="141">
        <f t="shared" si="12"/>
        <v>1.133</v>
      </c>
      <c r="P44" s="6">
        <v>90</v>
      </c>
      <c r="Q44" s="143">
        <v>88.49</v>
      </c>
      <c r="R44" s="57">
        <v>2306</v>
      </c>
      <c r="S44" s="80">
        <v>190</v>
      </c>
      <c r="U44" s="142">
        <v>130</v>
      </c>
      <c r="V44" s="142">
        <v>1.1023000000000001</v>
      </c>
      <c r="W44" s="137">
        <v>7.8</v>
      </c>
      <c r="X44" s="137">
        <v>12.1</v>
      </c>
      <c r="Y44" s="203">
        <v>40</v>
      </c>
      <c r="Z44" s="143">
        <f t="shared" si="11"/>
        <v>35.409999999999997</v>
      </c>
      <c r="AA44" s="144">
        <f t="shared" si="1"/>
        <v>75.41</v>
      </c>
      <c r="AB44" s="145">
        <f t="shared" si="2"/>
        <v>2153.2958715600003</v>
      </c>
      <c r="AC44" s="145">
        <f>+(S44-T44)*V44-'data 1'!$F$4</f>
        <v>129.43700000000001</v>
      </c>
      <c r="AD44" s="145">
        <f t="shared" si="3"/>
        <v>-41.941523811840142</v>
      </c>
      <c r="AE44" s="145">
        <f>+(Y44*V44-'data 1'!$I$21)+V44*(Z44-IF(D44="UNTUCA",IF(+((W44-3)*2.5+(X44-3)*3.1)&gt;0,+((W44-3)*1.5+(X44-3)*3.1),0),IF(+((W44-3)*1.5+(X44-3)*3.1)&gt;0,+((W44-3)*1.5+(X44-3)*3.1),0)))</f>
        <v>18.510918918918918</v>
      </c>
      <c r="AF44" s="145">
        <f t="shared" si="4"/>
        <v>53.063134687999806</v>
      </c>
      <c r="AG44" s="145">
        <f t="shared" si="5"/>
        <v>159.06952979507861</v>
      </c>
      <c r="AH44" s="145">
        <f t="shared" si="6"/>
        <v>101.21386453514307</v>
      </c>
      <c r="AI44" s="143">
        <f t="shared" si="13"/>
        <v>210.09489805475997</v>
      </c>
      <c r="AJ44" s="144">
        <f t="shared" si="8"/>
        <v>100.71859808957994</v>
      </c>
      <c r="AK44" s="133">
        <f t="shared" si="9"/>
        <v>0.49526644556313215</v>
      </c>
      <c r="AL44" s="57"/>
      <c r="AM44" s="57"/>
      <c r="AV44" s="57">
        <f t="shared" si="14"/>
        <v>6203.4300763772044</v>
      </c>
    </row>
    <row r="45" spans="1:48" ht="15.75" customHeight="1">
      <c r="A45" s="134" t="s">
        <v>614</v>
      </c>
      <c r="B45" s="135">
        <v>45454</v>
      </c>
      <c r="C45" s="135">
        <v>45450</v>
      </c>
      <c r="D45" s="6" t="s">
        <v>93</v>
      </c>
      <c r="E45" s="176"/>
      <c r="F45" s="142" t="s">
        <v>446</v>
      </c>
      <c r="G45" s="90">
        <v>80</v>
      </c>
      <c r="H45" s="90" t="s">
        <v>69</v>
      </c>
      <c r="I45" s="82">
        <v>8.5500000000000007</v>
      </c>
      <c r="J45" s="137">
        <v>4</v>
      </c>
      <c r="K45" s="138">
        <f t="shared" si="0"/>
        <v>8.2080000000000002</v>
      </c>
      <c r="L45" s="240">
        <v>0.38100000000000001</v>
      </c>
      <c r="M45" s="139">
        <v>0.36599999999999999</v>
      </c>
      <c r="N45" s="248">
        <v>0.42099999999999999</v>
      </c>
      <c r="O45" s="141">
        <f t="shared" si="12"/>
        <v>0.39400000000000002</v>
      </c>
      <c r="P45" s="6">
        <v>90</v>
      </c>
      <c r="Q45" s="143">
        <v>88.5</v>
      </c>
      <c r="R45" s="57">
        <v>2306</v>
      </c>
      <c r="S45" s="80">
        <v>110</v>
      </c>
      <c r="U45" s="142">
        <v>130</v>
      </c>
      <c r="V45" s="142">
        <v>1.1023000000000001</v>
      </c>
      <c r="W45" s="137">
        <v>7.85</v>
      </c>
      <c r="X45" s="137">
        <v>11.8</v>
      </c>
      <c r="Y45" s="203">
        <v>40</v>
      </c>
      <c r="Z45" s="143">
        <f t="shared" si="11"/>
        <v>34.555000000000007</v>
      </c>
      <c r="AA45" s="144">
        <f t="shared" si="1"/>
        <v>74.555000000000007</v>
      </c>
      <c r="AB45" s="145">
        <f t="shared" si="2"/>
        <v>647.11028558000021</v>
      </c>
      <c r="AC45" s="145">
        <f>+(S45-T45)*V45-'data 1'!$F$4</f>
        <v>41.253</v>
      </c>
      <c r="AD45" s="145">
        <f t="shared" si="3"/>
        <v>-13.708026432000002</v>
      </c>
      <c r="AE45" s="145">
        <f>+(Y45*V45-'data 1'!$I$21)+V45*(Z45-IF(D45="UNTUCA",IF(+((W45-3)*2.5+(X45-3)*3.1)&gt;0,+((W45-3)*1.5+(X45-3)*3.1),0),IF(+((W45-3)*1.5+(X45-3)*3.1)&gt;0,+((W45-3)*1.5+(X45-3)*3.1),0)))</f>
        <v>18.510918918918918</v>
      </c>
      <c r="AF45" s="145">
        <f t="shared" si="4"/>
        <v>-27.595948224000026</v>
      </c>
      <c r="AG45" s="145">
        <f t="shared" si="5"/>
        <v>18.459944262918889</v>
      </c>
      <c r="AH45" s="145">
        <f t="shared" si="6"/>
        <v>94.888736419598985</v>
      </c>
      <c r="AI45" s="143">
        <f t="shared" si="13"/>
        <v>69.132298743000007</v>
      </c>
      <c r="AJ45" s="144">
        <f t="shared" si="8"/>
        <v>99.789569329566234</v>
      </c>
      <c r="AK45" s="133">
        <f t="shared" si="9"/>
        <v>-4.9008329099672494</v>
      </c>
      <c r="AL45" s="57"/>
      <c r="AM45" s="57"/>
      <c r="AV45" s="57">
        <f t="shared" si="14"/>
        <v>5311.4812240406418</v>
      </c>
    </row>
    <row r="46" spans="1:48" ht="15.75" customHeight="1">
      <c r="A46" s="134" t="s">
        <v>615</v>
      </c>
      <c r="B46" s="135">
        <v>45454</v>
      </c>
      <c r="C46" s="135">
        <v>45450</v>
      </c>
      <c r="D46" s="6" t="s">
        <v>93</v>
      </c>
      <c r="E46" s="176"/>
      <c r="F46" s="142" t="s">
        <v>446</v>
      </c>
      <c r="G46" s="90">
        <v>78</v>
      </c>
      <c r="H46" s="90" t="s">
        <v>69</v>
      </c>
      <c r="I46" s="82">
        <v>8.4600000000000009</v>
      </c>
      <c r="J46" s="137">
        <v>4.0999999999999996</v>
      </c>
      <c r="K46" s="138">
        <f t="shared" si="0"/>
        <v>8.1131400000000014</v>
      </c>
      <c r="L46" s="240">
        <v>0.432</v>
      </c>
      <c r="M46" s="139">
        <v>0.41</v>
      </c>
      <c r="N46" s="248">
        <v>0.47699999999999998</v>
      </c>
      <c r="O46" s="141">
        <f t="shared" si="12"/>
        <v>0.44400000000000001</v>
      </c>
      <c r="P46" s="6">
        <v>90</v>
      </c>
      <c r="Q46" s="143">
        <v>88.46</v>
      </c>
      <c r="R46" s="57">
        <v>2306</v>
      </c>
      <c r="S46" s="80">
        <v>120</v>
      </c>
      <c r="U46" s="142">
        <v>130</v>
      </c>
      <c r="V46" s="142">
        <v>1.1023000000000001</v>
      </c>
      <c r="W46" s="137">
        <v>7.8</v>
      </c>
      <c r="X46" s="137">
        <v>11.9</v>
      </c>
      <c r="Y46" s="203">
        <v>40</v>
      </c>
      <c r="Z46" s="143">
        <f t="shared" si="11"/>
        <v>34.790000000000006</v>
      </c>
      <c r="AA46" s="144">
        <f t="shared" si="1"/>
        <v>74.790000000000006</v>
      </c>
      <c r="AB46" s="145">
        <f t="shared" si="2"/>
        <v>743.76546108000014</v>
      </c>
      <c r="AC46" s="145">
        <f>+(S46-T46)*V46-'data 1'!$F$4</f>
        <v>52.27600000000001</v>
      </c>
      <c r="AD46" s="145">
        <f t="shared" si="3"/>
        <v>-15.957438013440065</v>
      </c>
      <c r="AE46" s="145">
        <f>+(Y46*V46-'data 1'!$I$21)+V46*(Z46-IF(D46="UNTUCA",IF(+((W46-3)*2.5+(X46-3)*3.1)&gt;0,+((W46-3)*1.5+(X46-3)*3.1),0),IF(+((W46-3)*1.5+(X46-3)*3.1)&gt;0,+((W46-3)*1.5+(X46-3)*3.1),0)))</f>
        <v>18.510918918918918</v>
      </c>
      <c r="AF46" s="145">
        <f t="shared" si="4"/>
        <v>-25.461669672960024</v>
      </c>
      <c r="AG46" s="145">
        <f t="shared" si="5"/>
        <v>29.367811232518836</v>
      </c>
      <c r="AH46" s="145">
        <f t="shared" si="6"/>
        <v>106.29888799287086</v>
      </c>
      <c r="AI46" s="143">
        <f t="shared" si="13"/>
        <v>78.350799692159995</v>
      </c>
      <c r="AJ46" s="144">
        <f t="shared" si="8"/>
        <v>111.15359642030926</v>
      </c>
      <c r="AK46" s="133">
        <f t="shared" si="9"/>
        <v>-4.8547084274383963</v>
      </c>
      <c r="AL46" s="57"/>
      <c r="AM46" s="57"/>
      <c r="AV46" s="57">
        <f t="shared" si="14"/>
        <v>6034.2733129065937</v>
      </c>
    </row>
    <row r="47" spans="1:48" ht="15.75" customHeight="1">
      <c r="A47" s="134" t="s">
        <v>616</v>
      </c>
      <c r="B47" s="135">
        <v>45459</v>
      </c>
      <c r="C47" s="135">
        <v>45450</v>
      </c>
      <c r="D47" s="142" t="s">
        <v>93</v>
      </c>
      <c r="E47" s="176"/>
      <c r="F47" s="142" t="s">
        <v>103</v>
      </c>
      <c r="G47" s="177">
        <v>88</v>
      </c>
      <c r="H47" s="177" t="s">
        <v>69</v>
      </c>
      <c r="I47" s="138">
        <v>8.66</v>
      </c>
      <c r="J47" s="143">
        <v>1.5</v>
      </c>
      <c r="K47" s="138">
        <f t="shared" si="0"/>
        <v>8.5301000000000009</v>
      </c>
      <c r="L47" s="170">
        <v>0.25600000000000001</v>
      </c>
      <c r="M47" s="141">
        <v>0.24299999999999999</v>
      </c>
      <c r="N47" s="247">
        <v>0.24299999999999999</v>
      </c>
      <c r="O47" s="141">
        <f t="shared" si="12"/>
        <v>0.24299999999999999</v>
      </c>
      <c r="P47" s="142">
        <v>90</v>
      </c>
      <c r="Q47" s="143">
        <v>88.22</v>
      </c>
      <c r="R47" s="144">
        <v>2310</v>
      </c>
      <c r="S47" s="132">
        <v>110</v>
      </c>
      <c r="T47" s="142"/>
      <c r="U47" s="142">
        <v>130</v>
      </c>
      <c r="V47" s="142">
        <v>1.1023000000000001</v>
      </c>
      <c r="W47" s="143">
        <v>7.9</v>
      </c>
      <c r="X47" s="143">
        <v>11.8</v>
      </c>
      <c r="Y47" s="203"/>
      <c r="Z47" s="143">
        <f t="shared" si="11"/>
        <v>34.630000000000003</v>
      </c>
      <c r="AA47" s="144">
        <f t="shared" si="1"/>
        <v>34.630000000000003</v>
      </c>
      <c r="AB47" s="145">
        <f t="shared" si="2"/>
        <v>366.11351279999997</v>
      </c>
      <c r="AC47" s="145">
        <f>+(S47-T47)*V47-'data 1'!$F$4</f>
        <v>41.253</v>
      </c>
      <c r="AD47" s="145">
        <f t="shared" si="3"/>
        <v>-10.950054195200007</v>
      </c>
      <c r="AE47" s="145">
        <f>+(Y47*V47-'data 1'!$I$21)+V47*(Z47-IF(D47="UNTUCA",IF(+((W47-3)*2.5+(X47-3)*3.1)&gt;0,+((W47-3)*1.5+(X47-3)*3.1),0),IF(+((W47-3)*1.5+(X47-3)*3.1)&gt;0,+((W47-3)*1.5+(X47-3)*3.1),0)))</f>
        <v>-25.581081081081081</v>
      </c>
      <c r="AF47" s="145">
        <f t="shared" si="4"/>
        <v>27.559206360400026</v>
      </c>
      <c r="AG47" s="145">
        <f t="shared" si="5"/>
        <v>32.281071084118935</v>
      </c>
      <c r="AH47" s="145">
        <f t="shared" si="6"/>
        <v>66.049602843545642</v>
      </c>
      <c r="AI47" s="143">
        <f t="shared" si="13"/>
        <v>45.30834660352</v>
      </c>
      <c r="AJ47" s="144">
        <f t="shared" si="8"/>
        <v>63.960518367980214</v>
      </c>
      <c r="AK47" s="133">
        <f t="shared" si="9"/>
        <v>2.0890844755654285</v>
      </c>
      <c r="AL47" s="144"/>
      <c r="AM47" s="144"/>
      <c r="AN47" s="142"/>
      <c r="AO47" s="142"/>
      <c r="AP47" s="142"/>
      <c r="AQ47" s="142"/>
      <c r="AR47" s="142"/>
      <c r="AS47" s="142"/>
      <c r="AT47" s="142"/>
      <c r="AV47" s="57">
        <f t="shared" si="14"/>
        <v>3122.98487553528</v>
      </c>
    </row>
    <row r="48" spans="1:48" ht="15.75" customHeight="1">
      <c r="A48" s="134" t="s">
        <v>617</v>
      </c>
      <c r="B48" s="135">
        <v>45459</v>
      </c>
      <c r="C48" s="135">
        <v>45450</v>
      </c>
      <c r="D48" s="142" t="s">
        <v>93</v>
      </c>
      <c r="E48" s="176"/>
      <c r="F48" s="142" t="s">
        <v>103</v>
      </c>
      <c r="G48" s="177">
        <v>88</v>
      </c>
      <c r="H48" s="177" t="s">
        <v>69</v>
      </c>
      <c r="I48" s="138">
        <v>8.31</v>
      </c>
      <c r="J48" s="143">
        <v>1.5</v>
      </c>
      <c r="K48" s="138">
        <f t="shared" si="0"/>
        <v>8.1853499999999997</v>
      </c>
      <c r="L48" s="170">
        <v>0.33900000000000002</v>
      </c>
      <c r="M48" s="141">
        <v>0.32200000000000001</v>
      </c>
      <c r="N48" s="247">
        <v>0.32200000000000001</v>
      </c>
      <c r="O48" s="141">
        <f t="shared" si="12"/>
        <v>0.32200000000000001</v>
      </c>
      <c r="P48" s="142">
        <v>90</v>
      </c>
      <c r="Q48" s="143">
        <v>88.48</v>
      </c>
      <c r="R48" s="144">
        <v>2310</v>
      </c>
      <c r="S48" s="132">
        <v>120</v>
      </c>
      <c r="T48" s="142"/>
      <c r="U48" s="142">
        <v>130</v>
      </c>
      <c r="V48" s="142">
        <v>1.1023000000000001</v>
      </c>
      <c r="W48" s="143">
        <v>7.9</v>
      </c>
      <c r="X48" s="143">
        <v>11.8</v>
      </c>
      <c r="Y48" s="203"/>
      <c r="Z48" s="143">
        <f t="shared" si="11"/>
        <v>34.630000000000003</v>
      </c>
      <c r="AA48" s="144">
        <f t="shared" si="1"/>
        <v>34.630000000000003</v>
      </c>
      <c r="AB48" s="145">
        <f t="shared" si="2"/>
        <v>525.94480820000001</v>
      </c>
      <c r="AC48" s="145">
        <f>+(S48-T48)*V48-'data 1'!$F$4</f>
        <v>52.27600000000001</v>
      </c>
      <c r="AD48" s="145">
        <f t="shared" si="3"/>
        <v>-12.382250539199969</v>
      </c>
      <c r="AE48" s="145">
        <f>+(Y48*V48-'data 1'!$I$21)+V48*(Z48-IF(D48="UNTUCA",IF(+((W48-3)*2.5+(X48-3)*3.1)&gt;0,+((W48-3)*1.5+(X48-3)*3.1),0),IF(+((W48-3)*1.5+(X48-3)*3.1)&gt;0,+((W48-3)*1.5+(X48-3)*3.1),0)))</f>
        <v>-25.581081081081081</v>
      </c>
      <c r="AF48" s="145">
        <f t="shared" si="4"/>
        <v>36.145175382400033</v>
      </c>
      <c r="AG48" s="145">
        <f t="shared" si="5"/>
        <v>50.457843762118991</v>
      </c>
      <c r="AH48" s="145">
        <f t="shared" si="6"/>
        <v>84.176552641343491</v>
      </c>
      <c r="AI48" s="143">
        <f t="shared" si="13"/>
        <v>60.174987337920008</v>
      </c>
      <c r="AJ48" s="144">
        <f t="shared" si="8"/>
        <v>81.328863731554563</v>
      </c>
      <c r="AK48" s="133">
        <f t="shared" si="9"/>
        <v>2.8476889097889284</v>
      </c>
      <c r="AL48" s="144"/>
      <c r="AM48" s="144"/>
      <c r="AN48" s="142"/>
      <c r="AO48" s="142"/>
      <c r="AP48" s="142"/>
      <c r="AQ48" s="142"/>
      <c r="AR48" s="142"/>
      <c r="AS48" s="142"/>
      <c r="AT48" s="142"/>
      <c r="AV48" s="57">
        <f t="shared" si="14"/>
        <v>4305.0423357998698</v>
      </c>
    </row>
    <row r="49" spans="1:50" ht="15.75" customHeight="1">
      <c r="A49" s="134" t="s">
        <v>618</v>
      </c>
      <c r="B49" s="135">
        <v>45459</v>
      </c>
      <c r="C49" s="135">
        <v>45450</v>
      </c>
      <c r="D49" s="142" t="s">
        <v>93</v>
      </c>
      <c r="E49" s="176"/>
      <c r="F49" s="142" t="s">
        <v>103</v>
      </c>
      <c r="G49" s="177">
        <v>88</v>
      </c>
      <c r="H49" s="177" t="s">
        <v>69</v>
      </c>
      <c r="I49" s="138">
        <v>8.3000000000000007</v>
      </c>
      <c r="J49" s="143">
        <v>2</v>
      </c>
      <c r="K49" s="138">
        <f t="shared" si="0"/>
        <v>8.1340000000000003</v>
      </c>
      <c r="L49" s="170">
        <v>0.27</v>
      </c>
      <c r="M49" s="141">
        <v>0.25700000000000001</v>
      </c>
      <c r="N49" s="249">
        <v>0.25700000000000001</v>
      </c>
      <c r="O49" s="141">
        <f t="shared" si="12"/>
        <v>0.25700000000000001</v>
      </c>
      <c r="P49" s="142">
        <v>90</v>
      </c>
      <c r="Q49" s="143">
        <v>88.4</v>
      </c>
      <c r="R49" s="144">
        <v>2310</v>
      </c>
      <c r="S49" s="132">
        <v>110</v>
      </c>
      <c r="T49" s="142"/>
      <c r="U49" s="142">
        <v>130</v>
      </c>
      <c r="V49" s="142">
        <v>1.1023000000000001</v>
      </c>
      <c r="W49" s="143">
        <v>7.9</v>
      </c>
      <c r="X49" s="143">
        <v>11.8</v>
      </c>
      <c r="Y49" s="203"/>
      <c r="Z49" s="143">
        <f t="shared" si="11"/>
        <v>34.630000000000003</v>
      </c>
      <c r="AA49" s="144">
        <f t="shared" si="1"/>
        <v>34.630000000000003</v>
      </c>
      <c r="AB49" s="145">
        <f t="shared" si="2"/>
        <v>396.39148920000008</v>
      </c>
      <c r="AC49" s="145">
        <f>+(S49-T49)*V49-'data 1'!$F$4</f>
        <v>41.253</v>
      </c>
      <c r="AD49" s="145">
        <f t="shared" si="3"/>
        <v>-10.381020479999963</v>
      </c>
      <c r="AE49" s="145">
        <f>+(Y49*V49-'data 1'!$I$21)+V49*(Z49-IF(D49="UNTUCA",IF(+((W49-3)*2.5+(X49-3)*3.1)&gt;0,+((W49-3)*1.5+(X49-3)*3.1),0),IF(+((W49-3)*1.5+(X49-3)*3.1)&gt;0,+((W49-3)*1.5+(X49-3)*3.1),0)))</f>
        <v>-25.581081081081081</v>
      </c>
      <c r="AF49" s="145">
        <f t="shared" si="4"/>
        <v>27.615436888000026</v>
      </c>
      <c r="AG49" s="145">
        <f t="shared" si="5"/>
        <v>32.906335326918985</v>
      </c>
      <c r="AH49" s="145">
        <f t="shared" si="6"/>
        <v>66.562445038441723</v>
      </c>
      <c r="AI49" s="143">
        <f t="shared" si="13"/>
        <v>47.883647448000012</v>
      </c>
      <c r="AJ49" s="144">
        <f t="shared" si="8"/>
        <v>64.504330222019306</v>
      </c>
      <c r="AK49" s="133">
        <f t="shared" si="9"/>
        <v>2.0581148164224174</v>
      </c>
      <c r="AL49" s="144"/>
      <c r="AM49" s="144"/>
      <c r="AN49" s="142"/>
      <c r="AO49" s="142"/>
      <c r="AP49" s="142"/>
      <c r="AQ49" s="142"/>
      <c r="AR49" s="142"/>
      <c r="AS49" s="142"/>
      <c r="AT49" s="142"/>
      <c r="AV49" s="57">
        <f t="shared" si="14"/>
        <v>3224.2483731528009</v>
      </c>
    </row>
    <row r="50" spans="1:50" ht="15.75" customHeight="1">
      <c r="A50" s="134" t="s">
        <v>619</v>
      </c>
      <c r="B50" s="135">
        <v>45456</v>
      </c>
      <c r="C50" s="135">
        <v>45454</v>
      </c>
      <c r="D50" s="6" t="s">
        <v>129</v>
      </c>
      <c r="E50" s="176"/>
      <c r="F50" s="6" t="s">
        <v>620</v>
      </c>
      <c r="G50" s="90" t="s">
        <v>68</v>
      </c>
      <c r="H50" s="90" t="s">
        <v>69</v>
      </c>
      <c r="I50" s="82">
        <v>26.95</v>
      </c>
      <c r="J50" s="137">
        <v>1.5</v>
      </c>
      <c r="K50" s="138">
        <f t="shared" si="0"/>
        <v>26.545749999999998</v>
      </c>
      <c r="L50" s="240">
        <v>0.46100000000000002</v>
      </c>
      <c r="M50" s="139">
        <v>0.41951000000000005</v>
      </c>
      <c r="N50" s="159">
        <v>0.41951000000000005</v>
      </c>
      <c r="O50" s="141">
        <f t="shared" si="12"/>
        <v>0.42</v>
      </c>
      <c r="P50" s="6">
        <v>90</v>
      </c>
      <c r="Q50" s="143">
        <v>89.117209103100009</v>
      </c>
      <c r="R50" s="57">
        <v>2316.9050000000002</v>
      </c>
      <c r="S50" s="80">
        <v>120</v>
      </c>
      <c r="U50" s="142">
        <v>100</v>
      </c>
      <c r="V50" s="142">
        <v>1.1023000000000001</v>
      </c>
      <c r="W50" s="137">
        <v>7.4</v>
      </c>
      <c r="X50" s="137">
        <v>11.75</v>
      </c>
      <c r="Y50" s="203"/>
      <c r="Z50" s="143">
        <v>30</v>
      </c>
      <c r="AA50" s="167">
        <f t="shared" si="1"/>
        <v>30</v>
      </c>
      <c r="AB50" s="145">
        <f t="shared" si="2"/>
        <v>758.371476207</v>
      </c>
      <c r="AC50" s="145">
        <f>+(S50-T50)*V50-'data 1'!$F$4</f>
        <v>52.27600000000001</v>
      </c>
      <c r="AD50" s="145">
        <f t="shared" si="3"/>
        <v>-9.945020023599664</v>
      </c>
      <c r="AE50" s="145">
        <f>+(Y50*V50-'data 1'!$I$21)+V50*(Z50-IF(D50="UNTUCA",IF(+((W50-3)*2.5+(X50-3)*3.1)&gt;0,+((W50-3)*1.5+(X50-3)*3.1),0),IF(+((W50-3)*1.5+(X50-3)*3.1)&gt;0,+((W50-3)*1.5+(X50-3)*3.1),0)))+25.58</f>
        <v>-4.1071485810810842</v>
      </c>
      <c r="AF50" s="145">
        <f t="shared" si="4"/>
        <v>89.287841503884607</v>
      </c>
      <c r="AG50" s="145">
        <f t="shared" si="5"/>
        <v>127.51167289920386</v>
      </c>
      <c r="AH50" s="145">
        <f t="shared" si="6"/>
        <v>373.90956229393322</v>
      </c>
      <c r="AI50" s="143">
        <f t="shared" si="13"/>
        <v>65.707471720168613</v>
      </c>
      <c r="AJ50" s="144">
        <f t="shared" si="8"/>
        <v>344.02964645509269</v>
      </c>
      <c r="AK50" s="133">
        <f t="shared" si="9"/>
        <v>29.879915838840532</v>
      </c>
      <c r="AL50" s="57"/>
      <c r="AM50" s="57"/>
      <c r="AV50" s="57">
        <f t="shared" si="14"/>
        <v>20131.539614521967</v>
      </c>
    </row>
    <row r="51" spans="1:50" ht="15.75" customHeight="1">
      <c r="A51" s="134" t="s">
        <v>621</v>
      </c>
      <c r="B51" s="135">
        <v>45456</v>
      </c>
      <c r="C51" s="135">
        <v>45454</v>
      </c>
      <c r="D51" s="142" t="s">
        <v>93</v>
      </c>
      <c r="E51" s="176"/>
      <c r="F51" s="142" t="s">
        <v>455</v>
      </c>
      <c r="G51" s="177">
        <v>44</v>
      </c>
      <c r="H51" s="177" t="s">
        <v>69</v>
      </c>
      <c r="I51" s="138">
        <v>3.69</v>
      </c>
      <c r="J51" s="143">
        <v>1</v>
      </c>
      <c r="K51" s="138">
        <f t="shared" si="0"/>
        <v>3.6530999999999998</v>
      </c>
      <c r="L51" s="170">
        <v>1.1015000000000001</v>
      </c>
      <c r="M51" s="141">
        <v>1.0464250000000002</v>
      </c>
      <c r="N51" s="247">
        <v>1.0464250000000002</v>
      </c>
      <c r="O51" s="141">
        <f t="shared" si="12"/>
        <v>1.046</v>
      </c>
      <c r="P51" s="142">
        <v>88</v>
      </c>
      <c r="Q51" s="143">
        <v>88.475186401456753</v>
      </c>
      <c r="R51" s="144">
        <v>2316.9050000000002</v>
      </c>
      <c r="S51" s="132">
        <v>180</v>
      </c>
      <c r="T51" s="142"/>
      <c r="U51" s="142">
        <v>130</v>
      </c>
      <c r="V51" s="142">
        <v>1.1023000000000001</v>
      </c>
      <c r="W51" s="143">
        <v>7.8</v>
      </c>
      <c r="X51" s="143">
        <v>11.9</v>
      </c>
      <c r="Y51" s="203">
        <v>30</v>
      </c>
      <c r="Z51" s="143">
        <f t="shared" ref="Z51:Z73" si="15">IF(D51="UNTUCA",IF(+((W51-3)*1.5+(X51-3)*3.1)&gt;0,+((W51-3)*1.5+(X51-3)*3.1),0),IF(+((W51-3)*1.5+(X51-3)*3.1)&gt;0,+((W51-3)*1.5+(X51-3)*3.1),0))</f>
        <v>34.790000000000006</v>
      </c>
      <c r="AA51" s="144">
        <f t="shared" si="1"/>
        <v>64.790000000000006</v>
      </c>
      <c r="AB51" s="145">
        <f t="shared" si="2"/>
        <v>1949.1004341631206</v>
      </c>
      <c r="AC51" s="145">
        <f>+(S51-T51)*V51-'data 1'!$F$4</f>
        <v>118.41400000000002</v>
      </c>
      <c r="AD51" s="145">
        <f t="shared" si="3"/>
        <v>12.617642849252704</v>
      </c>
      <c r="AE51" s="145">
        <f>+(Y51*V51-'data 1'!$I$21)+V51*(Z51-IF(D51="UNTUCA",IF(+((W51-3)*2.5+(X51-3)*3.1)&gt;0,+((W51-3)*1.5+(X51-3)*3.1),0),IF(+((W51-3)*1.5+(X51-3)*3.1)&gt;0,+((W51-3)*1.5+(X51-3)*3.1),0)))</f>
        <v>7.4879189189189219</v>
      </c>
      <c r="AF51" s="145">
        <f t="shared" si="4"/>
        <v>118.37069413462412</v>
      </c>
      <c r="AG51" s="145">
        <f t="shared" si="5"/>
        <v>256.89025590279573</v>
      </c>
      <c r="AH51" s="145">
        <f t="shared" si="6"/>
        <v>122.06091404282817</v>
      </c>
      <c r="AI51" s="143">
        <f t="shared" si="13"/>
        <v>188.09599121426015</v>
      </c>
      <c r="AJ51" s="144">
        <f t="shared" si="8"/>
        <v>115.28823401513962</v>
      </c>
      <c r="AK51" s="133">
        <f t="shared" si="9"/>
        <v>6.7726800276885513</v>
      </c>
      <c r="AL51" s="144"/>
      <c r="AM51" s="144"/>
      <c r="AN51" s="142"/>
      <c r="AO51" s="142"/>
      <c r="AP51" s="142"/>
      <c r="AQ51" s="142"/>
      <c r="AR51" s="142"/>
      <c r="AS51" s="142"/>
      <c r="AT51" s="142"/>
      <c r="AV51" s="57">
        <f t="shared" si="14"/>
        <v>7120.2587960412957</v>
      </c>
    </row>
    <row r="52" spans="1:50" ht="15.75" customHeight="1">
      <c r="A52" s="134" t="s">
        <v>622</v>
      </c>
      <c r="B52" s="135">
        <v>45456</v>
      </c>
      <c r="C52" s="135">
        <v>45454</v>
      </c>
      <c r="D52" s="142" t="s">
        <v>93</v>
      </c>
      <c r="E52" s="176"/>
      <c r="F52" s="142" t="s">
        <v>455</v>
      </c>
      <c r="G52" s="177">
        <v>50</v>
      </c>
      <c r="H52" s="177" t="s">
        <v>69</v>
      </c>
      <c r="I52" s="138">
        <v>4.1900000000000004</v>
      </c>
      <c r="J52" s="143">
        <v>1.3</v>
      </c>
      <c r="K52" s="138">
        <f t="shared" si="0"/>
        <v>4.1355300000000002</v>
      </c>
      <c r="L52" s="170">
        <v>1.0209999999999999</v>
      </c>
      <c r="M52" s="141">
        <v>0.96994999999999987</v>
      </c>
      <c r="N52" s="247">
        <v>0.96994999999999987</v>
      </c>
      <c r="O52" s="141">
        <f t="shared" si="12"/>
        <v>0.97</v>
      </c>
      <c r="P52" s="142">
        <v>88</v>
      </c>
      <c r="Q52" s="143">
        <v>88.488228747991201</v>
      </c>
      <c r="R52" s="144">
        <v>2316.9050000000002</v>
      </c>
      <c r="S52" s="132">
        <v>170</v>
      </c>
      <c r="T52" s="142"/>
      <c r="U52" s="142">
        <v>130</v>
      </c>
      <c r="V52" s="142">
        <v>1.1023000000000001</v>
      </c>
      <c r="W52" s="143">
        <v>7.8</v>
      </c>
      <c r="X52" s="143">
        <v>11.8</v>
      </c>
      <c r="Y52" s="203">
        <v>30</v>
      </c>
      <c r="Z52" s="143">
        <f t="shared" si="15"/>
        <v>34.480000000000004</v>
      </c>
      <c r="AA52" s="144">
        <f t="shared" si="1"/>
        <v>64.48</v>
      </c>
      <c r="AB52" s="145">
        <f t="shared" si="2"/>
        <v>1799.2425216484005</v>
      </c>
      <c r="AC52" s="145">
        <f>+(S52-T52)*V52-'data 1'!$F$4</f>
        <v>107.39100000000002</v>
      </c>
      <c r="AD52" s="145">
        <f t="shared" si="3"/>
        <v>12.016522807351526</v>
      </c>
      <c r="AE52" s="145">
        <f>+(Y52*V52-'data 1'!$I$21)+V52*(Z52-IF(D52="UNTUCA",IF(+((W52-3)*2.5+(X52-3)*3.1)&gt;0,+((W52-3)*1.5+(X52-3)*3.1),0),IF(+((W52-3)*1.5+(X52-3)*3.1)&gt;0,+((W52-3)*1.5+(X52-3)*3.1),0)))</f>
        <v>7.4879189189189219</v>
      </c>
      <c r="AF52" s="145">
        <f t="shared" si="4"/>
        <v>108.78910479378152</v>
      </c>
      <c r="AG52" s="145">
        <f t="shared" si="5"/>
        <v>235.68454652005198</v>
      </c>
      <c r="AH52" s="145">
        <f t="shared" si="6"/>
        <v>128.10069588982054</v>
      </c>
      <c r="AI52" s="143">
        <f t="shared" si="13"/>
        <v>174.3752310555497</v>
      </c>
      <c r="AJ52" s="144">
        <f t="shared" si="8"/>
        <v>121.03045091908672</v>
      </c>
      <c r="AK52" s="133">
        <f t="shared" si="9"/>
        <v>7.0702449707338246</v>
      </c>
      <c r="AL52" s="144"/>
      <c r="AM52" s="144"/>
      <c r="AN52" s="142"/>
      <c r="AO52" s="142"/>
      <c r="AP52" s="142"/>
      <c r="AQ52" s="142"/>
      <c r="AR52" s="142"/>
      <c r="AS52" s="142"/>
      <c r="AT52" s="142"/>
      <c r="AV52" s="57">
        <f t="shared" si="14"/>
        <v>7440.82142555261</v>
      </c>
    </row>
    <row r="53" spans="1:50" ht="15.75" customHeight="1">
      <c r="A53" s="134" t="s">
        <v>623</v>
      </c>
      <c r="B53" s="135">
        <v>45456</v>
      </c>
      <c r="C53" s="135">
        <v>45454</v>
      </c>
      <c r="D53" s="142" t="s">
        <v>93</v>
      </c>
      <c r="E53" s="176"/>
      <c r="F53" s="142" t="s">
        <v>455</v>
      </c>
      <c r="G53" s="177">
        <v>43</v>
      </c>
      <c r="H53" s="177" t="s">
        <v>69</v>
      </c>
      <c r="I53" s="138">
        <v>3.49</v>
      </c>
      <c r="J53" s="143">
        <v>1.2</v>
      </c>
      <c r="K53" s="138">
        <f t="shared" si="0"/>
        <v>3.4481200000000003</v>
      </c>
      <c r="L53" s="170">
        <v>1.3120000000000001</v>
      </c>
      <c r="M53" s="141">
        <v>1.2464</v>
      </c>
      <c r="N53" s="170">
        <v>1.4339999999999999</v>
      </c>
      <c r="O53" s="141">
        <f t="shared" si="12"/>
        <v>1.34</v>
      </c>
      <c r="P53" s="142">
        <v>88</v>
      </c>
      <c r="Q53" s="143">
        <v>88.083304803352107</v>
      </c>
      <c r="R53" s="144">
        <v>2316.9050000000002</v>
      </c>
      <c r="S53" s="132">
        <v>210</v>
      </c>
      <c r="T53" s="142"/>
      <c r="U53" s="142">
        <v>130</v>
      </c>
      <c r="V53" s="142">
        <v>1.1023000000000001</v>
      </c>
      <c r="W53" s="143">
        <v>7.9</v>
      </c>
      <c r="X53" s="143">
        <v>12.1</v>
      </c>
      <c r="Y53" s="203">
        <v>30</v>
      </c>
      <c r="Z53" s="143">
        <f t="shared" si="15"/>
        <v>35.56</v>
      </c>
      <c r="AA53" s="144">
        <f t="shared" si="1"/>
        <v>65.56</v>
      </c>
      <c r="AB53" s="145">
        <f t="shared" si="2"/>
        <v>2538.8596618648003</v>
      </c>
      <c r="AC53" s="145">
        <f>+(S53-T53)*V53-'data 1'!$F$4</f>
        <v>151.483</v>
      </c>
      <c r="AD53" s="145">
        <f t="shared" si="3"/>
        <v>2.6347147545022849</v>
      </c>
      <c r="AE53" s="145">
        <f>+(Y53*V53-'data 1'!$I$21)+V53*(Z53-IF(D53="UNTUCA",IF(+((W53-3)*2.5+(X53-3)*3.1)&gt;0,+((W53-3)*1.5+(X53-3)*3.1),0),IF(+((W53-3)*1.5+(X53-3)*3.1)&gt;0,+((W53-3)*1.5+(X53-3)*3.1),0)))</f>
        <v>7.4879189189189219</v>
      </c>
      <c r="AF53" s="145">
        <f t="shared" si="4"/>
        <v>-59.454038068701266</v>
      </c>
      <c r="AG53" s="145">
        <f t="shared" si="5"/>
        <v>102.15159560471994</v>
      </c>
      <c r="AH53" s="145">
        <f t="shared" si="6"/>
        <v>136.62144564231698</v>
      </c>
      <c r="AI53" s="143">
        <f t="shared" si="13"/>
        <v>223.04936317174051</v>
      </c>
      <c r="AJ53" s="144">
        <f t="shared" si="8"/>
        <v>139.40517994090553</v>
      </c>
      <c r="AK53" s="133">
        <f t="shared" si="9"/>
        <v>-2.7837342985885414</v>
      </c>
      <c r="AL53" s="144"/>
      <c r="AM53" s="144"/>
      <c r="AN53" s="142"/>
      <c r="AO53" s="142"/>
      <c r="AP53" s="142"/>
      <c r="AQ53" s="142"/>
      <c r="AR53" s="142"/>
      <c r="AS53" s="142"/>
      <c r="AT53" s="142"/>
      <c r="AV53" s="57">
        <f t="shared" si="14"/>
        <v>8754.2927772692565</v>
      </c>
    </row>
    <row r="54" spans="1:50" ht="15.75" customHeight="1">
      <c r="A54" s="134" t="s">
        <v>624</v>
      </c>
      <c r="B54" s="135">
        <v>45456</v>
      </c>
      <c r="C54" s="135">
        <v>45454</v>
      </c>
      <c r="D54" s="142" t="s">
        <v>93</v>
      </c>
      <c r="E54" s="176"/>
      <c r="F54" s="142" t="s">
        <v>455</v>
      </c>
      <c r="G54" s="177">
        <v>34</v>
      </c>
      <c r="H54" s="177" t="s">
        <v>69</v>
      </c>
      <c r="I54" s="138">
        <v>2.62</v>
      </c>
      <c r="J54" s="143">
        <v>1</v>
      </c>
      <c r="K54" s="138">
        <f t="shared" si="0"/>
        <v>2.5937999999999999</v>
      </c>
      <c r="L54" s="170">
        <v>1.5830000000000002</v>
      </c>
      <c r="M54" s="141">
        <v>1.5038500000000001</v>
      </c>
      <c r="N54" s="170">
        <v>1.6279999999999999</v>
      </c>
      <c r="O54" s="141">
        <f t="shared" si="12"/>
        <v>1.5660000000000001</v>
      </c>
      <c r="P54" s="142">
        <v>88</v>
      </c>
      <c r="Q54" s="143">
        <v>88.395905858061866</v>
      </c>
      <c r="R54" s="144">
        <v>2316.9050000000002</v>
      </c>
      <c r="S54" s="132">
        <v>230</v>
      </c>
      <c r="T54" s="142"/>
      <c r="U54" s="142">
        <v>130</v>
      </c>
      <c r="V54" s="142">
        <v>1.1023000000000001</v>
      </c>
      <c r="W54" s="143">
        <v>7.9</v>
      </c>
      <c r="X54" s="143">
        <v>12.2</v>
      </c>
      <c r="Y54" s="203">
        <v>30</v>
      </c>
      <c r="Z54" s="143">
        <f t="shared" si="15"/>
        <v>35.869999999999997</v>
      </c>
      <c r="AA54" s="144">
        <f t="shared" si="1"/>
        <v>65.87</v>
      </c>
      <c r="AB54" s="145">
        <f t="shared" si="2"/>
        <v>2995.8971247375207</v>
      </c>
      <c r="AC54" s="145">
        <f>+(S54-T54)*V54-'data 1'!$F$4</f>
        <v>173.52900000000002</v>
      </c>
      <c r="AD54" s="145">
        <f t="shared" si="3"/>
        <v>15.10784664133369</v>
      </c>
      <c r="AE54" s="145">
        <f>+(Y54*V54-'data 1'!$I$21)+V54*(Z54-IF(D54="UNTUCA",IF(+((W54-3)*2.5+(X54-3)*3.1)&gt;0,+((W54-3)*1.5+(X54-3)*3.1),0),IF(+((W54-3)*1.5+(X54-3)*3.1)&gt;0,+((W54-3)*1.5+(X54-3)*3.1),0)))</f>
        <v>7.4879189189189219</v>
      </c>
      <c r="AF54" s="145">
        <f t="shared" si="4"/>
        <v>36.225200427962108</v>
      </c>
      <c r="AG54" s="145">
        <f t="shared" si="5"/>
        <v>232.34996598821473</v>
      </c>
      <c r="AH54" s="145">
        <f t="shared" si="6"/>
        <v>124.43960410499579</v>
      </c>
      <c r="AI54" s="143">
        <f t="shared" si="13"/>
        <v>270.07638851744088</v>
      </c>
      <c r="AJ54" s="144">
        <f t="shared" si="8"/>
        <v>122.55188201935795</v>
      </c>
      <c r="AK54" s="133">
        <f t="shared" si="9"/>
        <v>1.8877220856378472</v>
      </c>
      <c r="AL54" s="144"/>
      <c r="AM54" s="144"/>
      <c r="AN54" s="142"/>
      <c r="AO54" s="142"/>
      <c r="AP54" s="142"/>
      <c r="AQ54" s="142"/>
      <c r="AR54" s="142"/>
      <c r="AS54" s="142"/>
      <c r="AT54" s="142"/>
      <c r="AV54" s="57">
        <f t="shared" si="14"/>
        <v>7770.757962144181</v>
      </c>
    </row>
    <row r="55" spans="1:50" ht="15.75" customHeight="1">
      <c r="A55" s="134" t="s">
        <v>625</v>
      </c>
      <c r="B55" s="135">
        <v>45459</v>
      </c>
      <c r="C55" s="135">
        <v>45454</v>
      </c>
      <c r="D55" s="6" t="s">
        <v>93</v>
      </c>
      <c r="E55" s="176"/>
      <c r="F55" s="6" t="s">
        <v>113</v>
      </c>
      <c r="G55" s="90">
        <v>51</v>
      </c>
      <c r="H55" s="90" t="s">
        <v>69</v>
      </c>
      <c r="I55" s="82">
        <v>4.68</v>
      </c>
      <c r="J55" s="137">
        <v>1.2</v>
      </c>
      <c r="K55" s="138">
        <f t="shared" si="0"/>
        <v>4.6238399999999995</v>
      </c>
      <c r="L55" s="240">
        <v>0.35</v>
      </c>
      <c r="M55" s="139">
        <v>0.32899999999999996</v>
      </c>
      <c r="N55" s="249">
        <v>0.36299999999999999</v>
      </c>
      <c r="O55" s="141">
        <f t="shared" si="12"/>
        <v>0.34599999999999997</v>
      </c>
      <c r="P55" s="163">
        <v>90</v>
      </c>
      <c r="Q55" s="143">
        <v>88.724188420592114</v>
      </c>
      <c r="R55" s="57">
        <v>2316.9050000000002</v>
      </c>
      <c r="S55" s="80">
        <v>110</v>
      </c>
      <c r="U55" s="142">
        <v>130</v>
      </c>
      <c r="V55" s="142">
        <v>1.1023000000000001</v>
      </c>
      <c r="W55" s="137">
        <v>7.9</v>
      </c>
      <c r="X55" s="137">
        <v>11.6</v>
      </c>
      <c r="Y55" s="203"/>
      <c r="Z55" s="143">
        <f t="shared" si="15"/>
        <v>34.01</v>
      </c>
      <c r="AA55" s="144">
        <f t="shared" si="1"/>
        <v>34.01</v>
      </c>
      <c r="AB55" s="145">
        <f t="shared" si="2"/>
        <v>591.92652079909999</v>
      </c>
      <c r="AC55" s="145">
        <f>+(S55-T55)*V55-'data 1'!$F$4</f>
        <v>41.253</v>
      </c>
      <c r="AD55" s="145">
        <f t="shared" si="3"/>
        <v>-10.764263213662886</v>
      </c>
      <c r="AE55" s="145">
        <f>+(Y55*V55-'data 1'!$I$21)+V55*(Z55-IF(D55="UNTUCA",IF(+((W55-3)*2.5+(X55-3)*3.1)&gt;0,+((W55-3)*1.5+(X55-3)*3.1),0),IF(+((W55-3)*1.5+(X55-3)*3.1)&gt;0,+((W55-3)*1.5+(X55-3)*3.1),0)))</f>
        <v>-25.581081081081081</v>
      </c>
      <c r="AF55" s="145">
        <f t="shared" si="4"/>
        <v>8.5552312223867197</v>
      </c>
      <c r="AG55" s="145">
        <f t="shared" si="5"/>
        <v>13.462886927642753</v>
      </c>
      <c r="AH55" s="145">
        <f t="shared" si="6"/>
        <v>49.229105736746121</v>
      </c>
      <c r="AI55" s="143">
        <f t="shared" si="13"/>
        <v>59.935430872549297</v>
      </c>
      <c r="AJ55" s="144">
        <f t="shared" si="8"/>
        <v>49.366288299298276</v>
      </c>
      <c r="AK55" s="133">
        <f t="shared" si="9"/>
        <v>-0.13718256255215522</v>
      </c>
      <c r="AL55" s="57"/>
      <c r="AM55" s="57"/>
      <c r="AV55" s="57">
        <f t="shared" si="14"/>
        <v>2736.9735239317101</v>
      </c>
    </row>
    <row r="56" spans="1:50" ht="15.75" customHeight="1">
      <c r="A56" s="134" t="s">
        <v>626</v>
      </c>
      <c r="B56" s="135">
        <v>45459</v>
      </c>
      <c r="C56" s="135">
        <v>45454</v>
      </c>
      <c r="D56" s="6" t="s">
        <v>93</v>
      </c>
      <c r="E56" s="176"/>
      <c r="F56" s="6" t="s">
        <v>113</v>
      </c>
      <c r="G56" s="90">
        <v>51</v>
      </c>
      <c r="H56" s="90" t="s">
        <v>69</v>
      </c>
      <c r="I56" s="82">
        <v>4.6100000000000003</v>
      </c>
      <c r="J56" s="137">
        <v>1.3</v>
      </c>
      <c r="K56" s="138">
        <f t="shared" si="0"/>
        <v>4.5500700000000007</v>
      </c>
      <c r="L56" s="240">
        <v>0.23</v>
      </c>
      <c r="M56" s="139">
        <v>0.2185</v>
      </c>
      <c r="N56" s="249">
        <v>0.219</v>
      </c>
      <c r="O56" s="141">
        <f t="shared" si="12"/>
        <v>0.219</v>
      </c>
      <c r="P56" s="163">
        <v>90</v>
      </c>
      <c r="Q56" s="143">
        <v>88.12</v>
      </c>
      <c r="R56" s="57">
        <v>2316.9050000000002</v>
      </c>
      <c r="S56" s="80">
        <v>95</v>
      </c>
      <c r="U56" s="142">
        <v>130</v>
      </c>
      <c r="V56" s="142">
        <v>1.1023000000000001</v>
      </c>
      <c r="W56" s="137">
        <v>7.9</v>
      </c>
      <c r="X56" s="137">
        <v>11.6</v>
      </c>
      <c r="Y56" s="203"/>
      <c r="Z56" s="143">
        <f t="shared" si="15"/>
        <v>34.01</v>
      </c>
      <c r="AA56" s="144">
        <f t="shared" si="1"/>
        <v>34.01</v>
      </c>
      <c r="AB56" s="145">
        <f t="shared" si="2"/>
        <v>332.92653969365017</v>
      </c>
      <c r="AC56" s="145">
        <f>+(S56-T56)*V56-'data 1'!$F$4</f>
        <v>24.718500000000006</v>
      </c>
      <c r="AD56" s="145">
        <f t="shared" si="3"/>
        <v>-10.423544149605975</v>
      </c>
      <c r="AE56" s="145">
        <f>+(Y56*V56-'data 1'!$I$21)+V56*(Z56-IF(D56="UNTUCA",IF(+((W56-3)*2.5+(X56-3)*3.1)&gt;0,+((W56-3)*1.5+(X56-3)*3.1),0),IF(+((W56-3)*1.5+(X56-3)*3.1)&gt;0,+((W56-3)*1.5+(X56-3)*3.1),0)))</f>
        <v>-25.581081081081081</v>
      </c>
      <c r="AF56" s="145">
        <f t="shared" si="4"/>
        <v>23.366673947955825</v>
      </c>
      <c r="AG56" s="145">
        <f t="shared" si="5"/>
        <v>12.080548717268774</v>
      </c>
      <c r="AH56" s="145">
        <f t="shared" si="6"/>
        <v>31.61764157109079</v>
      </c>
      <c r="AI56" s="143">
        <f t="shared" si="13"/>
        <v>39.117931016705967</v>
      </c>
      <c r="AJ56" s="144">
        <f t="shared" si="8"/>
        <v>30.747780465679185</v>
      </c>
      <c r="AK56" s="133">
        <f t="shared" si="9"/>
        <v>0.869861105411605</v>
      </c>
      <c r="AL56" s="57"/>
      <c r="AM56" s="57"/>
      <c r="AV56" s="57">
        <f t="shared" si="14"/>
        <v>1514.8390604638871</v>
      </c>
    </row>
    <row r="57" spans="1:50" ht="15.75" customHeight="1">
      <c r="A57" s="134" t="s">
        <v>627</v>
      </c>
      <c r="B57" s="135">
        <v>45459</v>
      </c>
      <c r="C57" s="135">
        <v>45454</v>
      </c>
      <c r="D57" s="142" t="s">
        <v>93</v>
      </c>
      <c r="E57" s="176"/>
      <c r="F57" s="142" t="s">
        <v>628</v>
      </c>
      <c r="G57" s="177">
        <v>76</v>
      </c>
      <c r="H57" s="177" t="s">
        <v>69</v>
      </c>
      <c r="I57" s="138">
        <v>6.81</v>
      </c>
      <c r="J57" s="143">
        <v>1.2</v>
      </c>
      <c r="K57" s="138">
        <f t="shared" si="0"/>
        <v>6.7282799999999998</v>
      </c>
      <c r="L57" s="170">
        <v>0.94</v>
      </c>
      <c r="M57" s="141">
        <v>0.90200000000000002</v>
      </c>
      <c r="N57" s="178">
        <v>0.96199999999999997</v>
      </c>
      <c r="O57" s="141">
        <f t="shared" si="12"/>
        <v>0.93200000000000005</v>
      </c>
      <c r="P57" s="142">
        <v>90</v>
      </c>
      <c r="Q57" s="143">
        <v>88.2</v>
      </c>
      <c r="R57" s="144">
        <v>2316.9050000000002</v>
      </c>
      <c r="S57" s="132">
        <v>170</v>
      </c>
      <c r="T57" s="142"/>
      <c r="U57" s="142">
        <v>130</v>
      </c>
      <c r="V57" s="142">
        <v>1.1023000000000001</v>
      </c>
      <c r="W57" s="143">
        <v>8</v>
      </c>
      <c r="X57" s="143">
        <v>13</v>
      </c>
      <c r="Y57" s="203">
        <v>30</v>
      </c>
      <c r="Z57" s="143">
        <f t="shared" si="15"/>
        <v>38.5</v>
      </c>
      <c r="AA57" s="144">
        <f t="shared" si="1"/>
        <v>68.5</v>
      </c>
      <c r="AB57" s="145">
        <f t="shared" si="2"/>
        <v>1759.1340200022005</v>
      </c>
      <c r="AC57" s="145">
        <f>+(S57-T57)*V57-'data 1'!$F$4</f>
        <v>107.39100000000002</v>
      </c>
      <c r="AD57" s="145">
        <f t="shared" si="3"/>
        <v>-40.787781454979942</v>
      </c>
      <c r="AE57" s="145">
        <f>+(Y57*V57-'data 1'!$I$21)+V57*(Z57-IF(D57="UNTUCA",IF(+((W57-3)*2.5+(X57-3)*3.1)&gt;0,+((W57-3)*1.5+(X57-3)*3.1),0),IF(+((W57-3)*1.5+(X57-3)*3.1)&gt;0,+((W57-3)*1.5+(X57-3)*3.1),0)))</f>
        <v>7.4879189189189219</v>
      </c>
      <c r="AF57" s="145">
        <f t="shared" si="4"/>
        <v>17.009372691863781</v>
      </c>
      <c r="AG57" s="145">
        <f t="shared" si="5"/>
        <v>91.100510155802766</v>
      </c>
      <c r="AH57" s="145">
        <f t="shared" si="6"/>
        <v>191.25357613306252</v>
      </c>
      <c r="AI57" s="143">
        <f t="shared" si="13"/>
        <v>160.01842471397984</v>
      </c>
      <c r="AJ57" s="144">
        <f t="shared" si="8"/>
        <v>193.49580216675452</v>
      </c>
      <c r="AK57" s="133">
        <f t="shared" si="9"/>
        <v>-2.2422260336919919</v>
      </c>
      <c r="AL57" s="144"/>
      <c r="AM57" s="144"/>
      <c r="AN57" s="142"/>
      <c r="AO57" s="142"/>
      <c r="AP57" s="142"/>
      <c r="AQ57" s="142"/>
      <c r="AR57" s="142"/>
      <c r="AS57" s="142"/>
      <c r="AT57" s="142"/>
      <c r="AV57" s="57">
        <f t="shared" si="14"/>
        <v>11835.946244100405</v>
      </c>
    </row>
    <row r="58" spans="1:50" ht="15.75" customHeight="1">
      <c r="A58" s="134" t="s">
        <v>629</v>
      </c>
      <c r="B58" s="135">
        <v>45459</v>
      </c>
      <c r="C58" s="135">
        <v>45454</v>
      </c>
      <c r="D58" s="6" t="s">
        <v>93</v>
      </c>
      <c r="E58" s="176"/>
      <c r="F58" s="6" t="s">
        <v>628</v>
      </c>
      <c r="G58" s="90">
        <v>77</v>
      </c>
      <c r="H58" s="90" t="s">
        <v>69</v>
      </c>
      <c r="I58" s="82">
        <v>6.83</v>
      </c>
      <c r="J58" s="137">
        <v>1</v>
      </c>
      <c r="K58" s="138">
        <f t="shared" si="0"/>
        <v>6.7617000000000003</v>
      </c>
      <c r="L58" s="240">
        <v>0.93899999999999995</v>
      </c>
      <c r="M58" s="139">
        <v>0.89205000000000001</v>
      </c>
      <c r="N58" s="166">
        <v>0.97299999999999998</v>
      </c>
      <c r="O58" s="141">
        <f t="shared" si="12"/>
        <v>0.93300000000000005</v>
      </c>
      <c r="P58" s="163">
        <v>90</v>
      </c>
      <c r="Q58" s="143">
        <v>88.53</v>
      </c>
      <c r="R58" s="57">
        <v>2316.9050000000002</v>
      </c>
      <c r="S58" s="80">
        <v>170</v>
      </c>
      <c r="U58" s="142">
        <v>130</v>
      </c>
      <c r="V58" s="142">
        <v>1.1023000000000001</v>
      </c>
      <c r="W58" s="137">
        <v>8</v>
      </c>
      <c r="X58" s="137">
        <v>13.1</v>
      </c>
      <c r="Y58" s="203">
        <v>30</v>
      </c>
      <c r="Z58" s="143">
        <f t="shared" si="15"/>
        <v>38.81</v>
      </c>
      <c r="AA58" s="144">
        <f t="shared" si="1"/>
        <v>68.81</v>
      </c>
      <c r="AB58" s="145">
        <f t="shared" si="2"/>
        <v>1760.9618698455504</v>
      </c>
      <c r="AC58" s="145">
        <f>+(S58-T58)*V58-'data 1'!$F$4</f>
        <v>107.39100000000002</v>
      </c>
      <c r="AD58" s="145">
        <f t="shared" si="3"/>
        <v>-33.274585328458926</v>
      </c>
      <c r="AE58" s="145">
        <f>+(Y58*V58-'data 1'!$I$21)+V58*(Z58-IF(D58="UNTUCA",IF(+((W58-3)*2.5+(X58-3)*3.1)&gt;0,+((W58-3)*1.5+(X58-3)*3.1),0),IF(+((W58-3)*1.5+(X58-3)*3.1)&gt;0,+((W58-3)*1.5+(X58-3)*3.1),0)))</f>
        <v>7.4879189189189219</v>
      </c>
      <c r="AF58" s="145">
        <f t="shared" si="4"/>
        <v>12.804759901451476</v>
      </c>
      <c r="AG58" s="145">
        <f t="shared" si="5"/>
        <v>94.409093491911491</v>
      </c>
      <c r="AH58" s="145">
        <f t="shared" si="6"/>
        <v>192.71744268359188</v>
      </c>
      <c r="AI58" s="143">
        <f t="shared" si="13"/>
        <v>160.44626381522875</v>
      </c>
      <c r="AJ58" s="144">
        <f t="shared" si="8"/>
        <v>194.6655587847421</v>
      </c>
      <c r="AK58" s="133">
        <f t="shared" si="9"/>
        <v>-1.9481161011502195</v>
      </c>
      <c r="AL58" s="57"/>
      <c r="AM58" s="57"/>
      <c r="AV58" s="57">
        <f t="shared" si="14"/>
        <v>11907.095875334659</v>
      </c>
    </row>
    <row r="59" spans="1:50" ht="15.75" customHeight="1">
      <c r="A59" s="134" t="s">
        <v>630</v>
      </c>
      <c r="B59" s="135">
        <v>45406</v>
      </c>
      <c r="C59" s="135">
        <v>45454</v>
      </c>
      <c r="D59" s="6" t="s">
        <v>93</v>
      </c>
      <c r="E59" s="176"/>
      <c r="F59" s="6" t="s">
        <v>522</v>
      </c>
      <c r="G59" s="90">
        <v>136</v>
      </c>
      <c r="H59" s="90" t="s">
        <v>69</v>
      </c>
      <c r="I59" s="82">
        <v>12.21</v>
      </c>
      <c r="J59" s="137">
        <v>1.3</v>
      </c>
      <c r="K59" s="138">
        <f t="shared" si="0"/>
        <v>12.051270000000001</v>
      </c>
      <c r="L59" s="240">
        <v>0.76</v>
      </c>
      <c r="M59" s="139">
        <v>0.72199999999999998</v>
      </c>
      <c r="N59" s="178">
        <v>0.76300000000000001</v>
      </c>
      <c r="O59" s="141">
        <f t="shared" si="12"/>
        <v>0.74299999999999999</v>
      </c>
      <c r="P59" s="163">
        <v>90</v>
      </c>
      <c r="Q59" s="143">
        <v>88.14</v>
      </c>
      <c r="R59" s="57">
        <v>2316.9050000000002</v>
      </c>
      <c r="S59" s="80">
        <v>130</v>
      </c>
      <c r="U59" s="142">
        <v>130</v>
      </c>
      <c r="V59" s="142">
        <v>1.1023000000000001</v>
      </c>
      <c r="W59" s="137">
        <v>8</v>
      </c>
      <c r="X59" s="137">
        <v>11.6</v>
      </c>
      <c r="Y59" s="203">
        <v>30</v>
      </c>
      <c r="Z59" s="143">
        <f t="shared" si="15"/>
        <v>34.159999999999997</v>
      </c>
      <c r="AA59" s="144">
        <f t="shared" si="1"/>
        <v>64.16</v>
      </c>
      <c r="AB59" s="145">
        <f t="shared" si="2"/>
        <v>1397.96262460905</v>
      </c>
      <c r="AC59" s="145">
        <f>+(S59-T59)*V59-'data 1'!$F$4</f>
        <v>63.299000000000007</v>
      </c>
      <c r="AD59" s="145">
        <f t="shared" si="3"/>
        <v>-34.076600392883996</v>
      </c>
      <c r="AE59" s="145">
        <f>+(Y59*V59-'data 1'!$I$21)+V59*(Z59-IF(D59="UNTUCA",IF(+((W59-3)*2.5+(X59-3)*3.1)&gt;0,+((W59-3)*1.5+(X59-3)*3.1),0),IF(+((W59-3)*1.5+(X59-3)*3.1)&gt;0,+((W59-3)*1.5+(X59-3)*3.1),0)))</f>
        <v>7.4879189189189219</v>
      </c>
      <c r="AF59" s="145">
        <f t="shared" si="4"/>
        <v>36.12032859131974</v>
      </c>
      <c r="AG59" s="145">
        <f t="shared" si="5"/>
        <v>72.830647117354673</v>
      </c>
      <c r="AH59" s="145">
        <f t="shared" si="6"/>
        <v>276.77606104265823</v>
      </c>
      <c r="AI59" s="143">
        <f t="shared" si="13"/>
        <v>129.28858741328384</v>
      </c>
      <c r="AJ59" s="144">
        <f t="shared" si="8"/>
        <v>276.29511664938786</v>
      </c>
      <c r="AK59" s="133">
        <f t="shared" si="9"/>
        <v>0.48094439327036298</v>
      </c>
      <c r="AL59" s="57"/>
      <c r="AM59" s="57"/>
      <c r="AV59" s="57">
        <f t="shared" si="14"/>
        <v>16847.225039072306</v>
      </c>
    </row>
    <row r="60" spans="1:50" ht="15.75" customHeight="1">
      <c r="A60" s="134" t="s">
        <v>631</v>
      </c>
      <c r="B60" s="135">
        <v>45406</v>
      </c>
      <c r="C60" s="135">
        <v>45454</v>
      </c>
      <c r="D60" s="6" t="s">
        <v>93</v>
      </c>
      <c r="E60" s="176"/>
      <c r="F60" s="6" t="s">
        <v>522</v>
      </c>
      <c r="G60" s="90">
        <v>136</v>
      </c>
      <c r="H60" s="90" t="s">
        <v>69</v>
      </c>
      <c r="I60" s="82">
        <v>12.45</v>
      </c>
      <c r="J60" s="137">
        <v>1.2</v>
      </c>
      <c r="K60" s="138">
        <f t="shared" si="0"/>
        <v>12.300599999999999</v>
      </c>
      <c r="L60" s="240">
        <v>0.60000000000000009</v>
      </c>
      <c r="M60" s="139">
        <v>0.57000000000000006</v>
      </c>
      <c r="N60" s="247">
        <v>0.56999999999999995</v>
      </c>
      <c r="O60" s="141">
        <f t="shared" si="12"/>
        <v>0.56999999999999995</v>
      </c>
      <c r="P60" s="163">
        <v>90</v>
      </c>
      <c r="Q60" s="143">
        <v>88.72</v>
      </c>
      <c r="R60" s="57">
        <v>2316.9050000000002</v>
      </c>
      <c r="S60" s="80">
        <v>150</v>
      </c>
      <c r="U60" s="142">
        <v>130</v>
      </c>
      <c r="V60" s="142">
        <v>1.1023000000000001</v>
      </c>
      <c r="W60" s="137">
        <v>8</v>
      </c>
      <c r="X60" s="137">
        <v>11.6</v>
      </c>
      <c r="Y60" s="203">
        <v>30</v>
      </c>
      <c r="Z60" s="143">
        <f t="shared" si="15"/>
        <v>34.159999999999997</v>
      </c>
      <c r="AA60" s="144">
        <f t="shared" si="1"/>
        <v>64.16</v>
      </c>
      <c r="AB60" s="145">
        <f t="shared" si="2"/>
        <v>1000.5822527095</v>
      </c>
      <c r="AC60" s="145">
        <f>+(S60-T60)*V60-'data 1'!$F$4</f>
        <v>85.344999999999999</v>
      </c>
      <c r="AD60" s="145">
        <f t="shared" si="3"/>
        <v>-18.513602929920022</v>
      </c>
      <c r="AE60" s="145">
        <f>+(Y60*V60-'data 1'!$I$21)+V60*(Z60-IF(D60="UNTUCA",IF(+((W60-3)*2.5+(X60-3)*3.1)&gt;0,+((W60-3)*1.5+(X60-3)*3.1),0),IF(+((W60-3)*1.5+(X60-3)*3.1)&gt;0,+((W60-3)*1.5+(X60-3)*3.1),0)))</f>
        <v>7.4879189189189219</v>
      </c>
      <c r="AF60" s="145">
        <f t="shared" si="4"/>
        <v>64.161205154004307</v>
      </c>
      <c r="AG60" s="145">
        <f t="shared" si="5"/>
        <v>138.48052114300322</v>
      </c>
      <c r="AH60" s="145">
        <f t="shared" si="6"/>
        <v>224.49576301000488</v>
      </c>
      <c r="AI60" s="143">
        <f t="shared" si="13"/>
        <v>102.74160255191988</v>
      </c>
      <c r="AJ60" s="144">
        <f t="shared" si="8"/>
        <v>216.34792309913678</v>
      </c>
      <c r="AK60" s="133">
        <f t="shared" si="9"/>
        <v>8.1478399108681003</v>
      </c>
      <c r="AL60" s="57"/>
      <c r="AM60" s="57"/>
      <c r="AV60" s="57">
        <f t="shared" si="14"/>
        <v>12307.762057678476</v>
      </c>
    </row>
    <row r="61" spans="1:50" ht="15.75" customHeight="1">
      <c r="A61" s="134">
        <v>0</v>
      </c>
      <c r="B61" s="135">
        <v>45456</v>
      </c>
      <c r="C61" s="135">
        <v>45454</v>
      </c>
      <c r="D61" s="6" t="s">
        <v>93</v>
      </c>
      <c r="E61" s="176"/>
      <c r="F61" s="6" t="s">
        <v>193</v>
      </c>
      <c r="G61" s="90">
        <v>51</v>
      </c>
      <c r="H61" s="90" t="s">
        <v>69</v>
      </c>
      <c r="I61" s="82">
        <v>4.42</v>
      </c>
      <c r="J61" s="137">
        <v>1.5</v>
      </c>
      <c r="K61" s="138">
        <f t="shared" si="0"/>
        <v>4.3536999999999999</v>
      </c>
      <c r="L61" s="240">
        <v>0.41600000000000004</v>
      </c>
      <c r="M61" s="139">
        <v>0.39104</v>
      </c>
      <c r="N61" s="247">
        <v>0.39104</v>
      </c>
      <c r="O61" s="141">
        <f t="shared" si="12"/>
        <v>0.39100000000000001</v>
      </c>
      <c r="P61" s="6">
        <v>88</v>
      </c>
      <c r="Q61" s="143">
        <v>87.88</v>
      </c>
      <c r="R61" s="57">
        <v>2316.9050000000002</v>
      </c>
      <c r="S61" s="80">
        <v>120</v>
      </c>
      <c r="U61" s="142">
        <v>130</v>
      </c>
      <c r="V61" s="142">
        <v>1.1023000000000001</v>
      </c>
      <c r="W61" s="137">
        <v>7.9</v>
      </c>
      <c r="X61" s="137">
        <v>11.9</v>
      </c>
      <c r="Y61" s="203">
        <v>30</v>
      </c>
      <c r="Z61" s="143">
        <f t="shared" si="15"/>
        <v>34.940000000000005</v>
      </c>
      <c r="AA61" s="144">
        <f t="shared" si="1"/>
        <v>64.94</v>
      </c>
      <c r="AB61" s="145">
        <f t="shared" si="2"/>
        <v>625.58861926652014</v>
      </c>
      <c r="AC61" s="145">
        <f>+(S61-T61)*V61-'data 1'!$F$4</f>
        <v>52.27600000000001</v>
      </c>
      <c r="AD61" s="145">
        <f t="shared" si="3"/>
        <v>-1.2033841904448459</v>
      </c>
      <c r="AE61" s="145">
        <f>+(Y61*V61-'data 1'!$I$21)+V61*(Z61-IF(D61="UNTUCA",IF(+((W61-3)*2.5+(X61-3)*3.1)&gt;0,+((W61-3)*1.5+(X61-3)*3.1),0),IF(+((W61-3)*1.5+(X61-3)*3.1)&gt;0,+((W61-3)*1.5+(X61-3)*3.1),0)))</f>
        <v>7.4879189189189219</v>
      </c>
      <c r="AF61" s="145">
        <f t="shared" si="4"/>
        <v>52.961439631555059</v>
      </c>
      <c r="AG61" s="145">
        <f t="shared" si="5"/>
        <v>111.52197436002915</v>
      </c>
      <c r="AH61" s="145">
        <f t="shared" si="6"/>
        <v>54.569622318077087</v>
      </c>
      <c r="AI61" s="143">
        <f t="shared" si="13"/>
        <v>70.55973334500473</v>
      </c>
      <c r="AJ61" s="144">
        <f t="shared" si="8"/>
        <v>51.360234583446299</v>
      </c>
      <c r="AK61" s="133">
        <f t="shared" si="9"/>
        <v>3.2093877346307877</v>
      </c>
      <c r="AL61" s="57"/>
      <c r="AM61" s="57"/>
      <c r="AV61" s="57">
        <f t="shared" si="14"/>
        <v>2723.6251717006485</v>
      </c>
    </row>
    <row r="62" spans="1:50" ht="15.75" customHeight="1">
      <c r="A62" s="134" t="s">
        <v>632</v>
      </c>
      <c r="B62" s="135">
        <v>45456</v>
      </c>
      <c r="C62" s="135">
        <v>45454</v>
      </c>
      <c r="D62" s="6" t="s">
        <v>93</v>
      </c>
      <c r="E62" s="176"/>
      <c r="F62" s="6" t="s">
        <v>193</v>
      </c>
      <c r="G62" s="90">
        <v>11</v>
      </c>
      <c r="H62" s="90" t="s">
        <v>69</v>
      </c>
      <c r="I62" s="82">
        <v>1.1000000000000001</v>
      </c>
      <c r="J62" s="137">
        <v>1.3</v>
      </c>
      <c r="K62" s="138">
        <f t="shared" si="0"/>
        <v>1.0857000000000001</v>
      </c>
      <c r="L62" s="240">
        <v>0.3</v>
      </c>
      <c r="M62" s="139">
        <v>0.28499999999999998</v>
      </c>
      <c r="N62" s="247">
        <v>0.28499999999999998</v>
      </c>
      <c r="O62" s="141">
        <f t="shared" si="12"/>
        <v>0.28499999999999998</v>
      </c>
      <c r="P62" s="6">
        <v>88</v>
      </c>
      <c r="Q62" s="143">
        <v>87.79</v>
      </c>
      <c r="R62" s="57">
        <v>2316.9050000000002</v>
      </c>
      <c r="S62" s="80">
        <v>110</v>
      </c>
      <c r="U62" s="142">
        <v>130</v>
      </c>
      <c r="V62" s="142">
        <v>1.1023000000000001</v>
      </c>
      <c r="W62" s="137">
        <v>7.9</v>
      </c>
      <c r="X62" s="137">
        <v>11.9</v>
      </c>
      <c r="Y62" s="203">
        <v>30</v>
      </c>
      <c r="Z62" s="143">
        <f t="shared" si="15"/>
        <v>34.940000000000005</v>
      </c>
      <c r="AA62" s="144">
        <f t="shared" si="1"/>
        <v>64.94</v>
      </c>
      <c r="AB62" s="145">
        <f t="shared" si="2"/>
        <v>411.74848368020002</v>
      </c>
      <c r="AC62" s="145">
        <f>+(S62-T62)*V62-'data 1'!$F$4</f>
        <v>41.253</v>
      </c>
      <c r="AD62" s="145">
        <f t="shared" si="3"/>
        <v>-1.518693990344955</v>
      </c>
      <c r="AE62" s="145">
        <f>+(Y62*V62-'data 1'!$I$21)+V62*(Z62-IF(D62="UNTUCA",IF(+((W62-3)*2.5+(X62-3)*3.1)&gt;0,+((W62-3)*1.5+(X62-3)*3.1),0),IF(+((W62-3)*1.5+(X62-3)*3.1)&gt;0,+((W62-3)*1.5+(X62-3)*3.1),0)))</f>
        <v>7.4879189189189219</v>
      </c>
      <c r="AF62" s="145">
        <f t="shared" si="4"/>
        <v>31.744320336282787</v>
      </c>
      <c r="AG62" s="145">
        <f t="shared" si="5"/>
        <v>78.966545264856748</v>
      </c>
      <c r="AH62" s="145">
        <f t="shared" si="6"/>
        <v>9.8035915958959325</v>
      </c>
      <c r="AI62" s="143">
        <f t="shared" si="13"/>
        <v>50.832311136344941</v>
      </c>
      <c r="AJ62" s="144">
        <f t="shared" si="8"/>
        <v>9.3356903681159586</v>
      </c>
      <c r="AK62" s="133">
        <f t="shared" si="9"/>
        <v>0.46790122777997389</v>
      </c>
      <c r="AL62" s="57"/>
      <c r="AM62" s="57"/>
      <c r="AV62" s="57">
        <f t="shared" si="14"/>
        <v>447.03532873159321</v>
      </c>
    </row>
    <row r="63" spans="1:50" ht="15.75" customHeight="1">
      <c r="A63" s="134" t="s">
        <v>633</v>
      </c>
      <c r="B63" s="135">
        <v>45459</v>
      </c>
      <c r="C63" s="135">
        <v>45455</v>
      </c>
      <c r="D63" s="142" t="s">
        <v>93</v>
      </c>
      <c r="E63" s="176"/>
      <c r="F63" s="142" t="s">
        <v>103</v>
      </c>
      <c r="G63" s="177">
        <v>100</v>
      </c>
      <c r="H63" s="177" t="s">
        <v>69</v>
      </c>
      <c r="I63" s="138">
        <v>8.7100000000000009</v>
      </c>
      <c r="J63" s="143">
        <v>1.6</v>
      </c>
      <c r="K63" s="138">
        <f t="shared" si="0"/>
        <v>8.5706400000000009</v>
      </c>
      <c r="L63" s="170">
        <v>0.47100000000000003</v>
      </c>
      <c r="M63" s="141">
        <v>0.48</v>
      </c>
      <c r="N63" s="157">
        <v>0.45100000000000001</v>
      </c>
      <c r="O63" s="141">
        <f t="shared" si="12"/>
        <v>0.46600000000000003</v>
      </c>
      <c r="P63" s="142">
        <v>90</v>
      </c>
      <c r="Q63" s="143">
        <v>88.21</v>
      </c>
      <c r="R63" s="144">
        <v>2316.9050000000002</v>
      </c>
      <c r="S63" s="132">
        <v>130</v>
      </c>
      <c r="T63" s="142"/>
      <c r="U63" s="142">
        <v>130</v>
      </c>
      <c r="V63" s="142">
        <v>1.1023000000000001</v>
      </c>
      <c r="W63" s="143">
        <v>8</v>
      </c>
      <c r="X63" s="143">
        <v>11.9</v>
      </c>
      <c r="Y63" s="203">
        <v>30</v>
      </c>
      <c r="Z63" s="143">
        <f t="shared" si="15"/>
        <v>35.090000000000003</v>
      </c>
      <c r="AA63" s="144">
        <f t="shared" si="1"/>
        <v>65.09</v>
      </c>
      <c r="AB63" s="145">
        <f t="shared" si="2"/>
        <v>795.96857800110024</v>
      </c>
      <c r="AC63" s="145">
        <f>+(S63-T63)*V63-'data 1'!$F$4</f>
        <v>63.299000000000007</v>
      </c>
      <c r="AD63" s="145">
        <f t="shared" si="3"/>
        <v>-20.323741528888423</v>
      </c>
      <c r="AE63" s="145">
        <f>+(Y63*V63-'data 1'!$I$21)+V63*(Z63-IF(D63="UNTUCA",IF(+((W63-3)*2.5+(X63-3)*3.1)&gt;0,+((W63-3)*1.5+(X63-3)*3.1),0),IF(+((W63-3)*1.5+(X63-3)*3.1)&gt;0,+((W63-3)*1.5+(X63-3)*3.1),0)))</f>
        <v>7.4879189189189219</v>
      </c>
      <c r="AF63" s="145">
        <f t="shared" si="4"/>
        <v>10.632063245105762</v>
      </c>
      <c r="AG63" s="145">
        <f t="shared" si="5"/>
        <v>61.095240635136271</v>
      </c>
      <c r="AH63" s="145">
        <f t="shared" si="6"/>
        <v>122.08464703291851</v>
      </c>
      <c r="AI63" s="143">
        <f t="shared" si="13"/>
        <v>80.188535363698264</v>
      </c>
      <c r="AJ63" s="144">
        <f t="shared" si="8"/>
        <v>123.23973302853575</v>
      </c>
      <c r="AK63" s="133">
        <f t="shared" si="9"/>
        <v>-1.1550859956172417</v>
      </c>
      <c r="AL63" s="144"/>
      <c r="AM63" s="144"/>
      <c r="AN63" s="142"/>
      <c r="AO63" s="142"/>
      <c r="AP63" s="142"/>
      <c r="AQ63" s="142"/>
      <c r="AR63" s="142"/>
      <c r="AS63" s="142"/>
      <c r="AT63" s="142"/>
      <c r="AU63" s="142"/>
      <c r="AV63" s="57">
        <f t="shared" si="14"/>
        <v>6821.9601333593509</v>
      </c>
      <c r="AW63" s="142"/>
      <c r="AX63" s="142"/>
    </row>
    <row r="64" spans="1:50" ht="15.75" customHeight="1">
      <c r="A64" s="134" t="s">
        <v>634</v>
      </c>
      <c r="B64" s="135">
        <v>45459</v>
      </c>
      <c r="C64" s="135">
        <v>45455</v>
      </c>
      <c r="D64" s="6" t="s">
        <v>93</v>
      </c>
      <c r="E64" s="176"/>
      <c r="F64" s="6" t="s">
        <v>103</v>
      </c>
      <c r="G64" s="90">
        <v>86</v>
      </c>
      <c r="H64" s="90" t="s">
        <v>69</v>
      </c>
      <c r="I64" s="82">
        <v>8.08</v>
      </c>
      <c r="J64" s="137">
        <v>1.3</v>
      </c>
      <c r="K64" s="138">
        <f t="shared" si="0"/>
        <v>7.9749600000000003</v>
      </c>
      <c r="L64" s="240">
        <v>0.21</v>
      </c>
      <c r="M64" s="139">
        <v>0.19949999999999998</v>
      </c>
      <c r="N64" s="159">
        <v>0.19949999999999998</v>
      </c>
      <c r="O64" s="141">
        <f t="shared" si="12"/>
        <v>0.2</v>
      </c>
      <c r="P64" s="6">
        <v>90</v>
      </c>
      <c r="Q64" s="142">
        <v>88.67</v>
      </c>
      <c r="R64" s="57">
        <v>2316.9050000000002</v>
      </c>
      <c r="S64" s="80">
        <v>110</v>
      </c>
      <c r="U64" s="142">
        <v>130</v>
      </c>
      <c r="V64" s="142">
        <v>1.1023000000000001</v>
      </c>
      <c r="W64" s="137">
        <v>8</v>
      </c>
      <c r="X64" s="137">
        <v>11.9</v>
      </c>
      <c r="Y64" s="203">
        <v>25</v>
      </c>
      <c r="Z64" s="143">
        <f t="shared" si="15"/>
        <v>35.090000000000003</v>
      </c>
      <c r="AA64" s="144">
        <f t="shared" si="1"/>
        <v>60.09</v>
      </c>
      <c r="AB64" s="145">
        <f t="shared" si="2"/>
        <v>246.42236167000002</v>
      </c>
      <c r="AC64" s="145">
        <f>+(S64-T64)*V64-'data 1'!$F$4</f>
        <v>41.253</v>
      </c>
      <c r="AD64" s="145">
        <f t="shared" si="3"/>
        <v>-6.7328766905294914</v>
      </c>
      <c r="AE64" s="145">
        <f>+(Y64*V64-'data 1'!$I$21)+V64*(Z64-IF(D64="UNTUCA",IF(+((W64-3)*2.5+(X64-3)*3.1)&gt;0,+((W64-3)*1.5+(X64-3)*3.1),0),IF(+((W64-3)*1.5+(X64-3)*3.1)&gt;0,+((W64-3)*1.5+(X64-3)*3.1),0)))</f>
        <v>1.9764189189189203</v>
      </c>
      <c r="AF64" s="145">
        <f t="shared" si="4"/>
        <v>21.375015257760467</v>
      </c>
      <c r="AG64" s="145">
        <f t="shared" si="5"/>
        <v>57.871557486149896</v>
      </c>
      <c r="AH64" s="145">
        <f t="shared" si="6"/>
        <v>50.913574172525038</v>
      </c>
      <c r="AI64" s="143">
        <f t="shared" si="13"/>
        <v>35.939295135229465</v>
      </c>
      <c r="AJ64" s="144">
        <f t="shared" si="8"/>
        <v>49.216427690981043</v>
      </c>
      <c r="AK64" s="133">
        <f t="shared" si="9"/>
        <v>1.6971464815439958</v>
      </c>
      <c r="AL64" s="57"/>
      <c r="AM64" s="57"/>
      <c r="AV64" s="57">
        <f t="shared" si="14"/>
        <v>1965.2084774237833</v>
      </c>
    </row>
    <row r="65" spans="1:50" ht="15.75" customHeight="1">
      <c r="A65" s="134" t="s">
        <v>635</v>
      </c>
      <c r="B65" s="135">
        <v>45459</v>
      </c>
      <c r="C65" s="135">
        <v>45455</v>
      </c>
      <c r="D65" s="6" t="s">
        <v>93</v>
      </c>
      <c r="E65" s="176"/>
      <c r="F65" s="6" t="s">
        <v>103</v>
      </c>
      <c r="G65" s="90">
        <v>88</v>
      </c>
      <c r="H65" s="90" t="s">
        <v>69</v>
      </c>
      <c r="I65" s="82">
        <v>8.4</v>
      </c>
      <c r="J65" s="137">
        <v>1.5</v>
      </c>
      <c r="K65" s="138">
        <f t="shared" si="0"/>
        <v>8.2740000000000009</v>
      </c>
      <c r="L65" s="240">
        <v>0.14700000000000002</v>
      </c>
      <c r="M65" s="139">
        <v>0.13965000000000002</v>
      </c>
      <c r="N65" s="159">
        <v>0.13965000000000002</v>
      </c>
      <c r="O65" s="141">
        <f t="shared" si="12"/>
        <v>0.14000000000000001</v>
      </c>
      <c r="P65" s="6">
        <v>90</v>
      </c>
      <c r="Q65" s="6">
        <v>88.55</v>
      </c>
      <c r="R65" s="57">
        <v>2316.9050000000002</v>
      </c>
      <c r="S65" s="80">
        <v>100</v>
      </c>
      <c r="U65" s="6">
        <v>130</v>
      </c>
      <c r="V65" s="6">
        <v>1.1023000000000001</v>
      </c>
      <c r="W65" s="137">
        <v>7.8</v>
      </c>
      <c r="X65" s="137">
        <v>11.7</v>
      </c>
      <c r="Y65" s="203">
        <v>25</v>
      </c>
      <c r="Z65" s="143">
        <f t="shared" si="15"/>
        <v>34.17</v>
      </c>
      <c r="AA65" s="144">
        <f t="shared" si="1"/>
        <v>59.17</v>
      </c>
      <c r="AB65" s="145">
        <f t="shared" si="2"/>
        <v>128.28570706900007</v>
      </c>
      <c r="AC65" s="145">
        <f>+(S65-T65)*V65-'data 1'!$F$4</f>
        <v>30.230000000000004</v>
      </c>
      <c r="AD65" s="145">
        <f t="shared" si="3"/>
        <v>-5.1382480006672617</v>
      </c>
      <c r="AE65" s="145">
        <f>+(Y65*V65-'data 1'!$I$21)+V65*(Z65-IF(D65="UNTUCA",IF(+((W65-3)*2.5+(X65-3)*3.1)&gt;0,+((W65-3)*1.5+(X65-3)*3.1),0),IF(+((W65-3)*1.5+(X65-3)*3.1)&gt;0,+((W65-3)*1.5+(X65-3)*3.1),0)))</f>
        <v>1.9764189189189203</v>
      </c>
      <c r="AF65" s="145">
        <f t="shared" si="4"/>
        <v>14.942261427227766</v>
      </c>
      <c r="AG65" s="145">
        <f t="shared" si="5"/>
        <v>42.01043234547943</v>
      </c>
      <c r="AH65" s="145">
        <f t="shared" si="6"/>
        <v>36.925848719513283</v>
      </c>
      <c r="AI65" s="143">
        <f t="shared" si="13"/>
        <v>25.123460121317226</v>
      </c>
      <c r="AJ65" s="144">
        <f t="shared" si="8"/>
        <v>35.743339891438211</v>
      </c>
      <c r="AK65" s="133">
        <f t="shared" si="9"/>
        <v>1.182508828075072</v>
      </c>
      <c r="AL65" s="57"/>
      <c r="AM65" s="57"/>
      <c r="AV65" s="57">
        <f t="shared" si="14"/>
        <v>1061.4359402889067</v>
      </c>
    </row>
    <row r="66" spans="1:50" ht="15.75" customHeight="1">
      <c r="A66" s="134" t="s">
        <v>636</v>
      </c>
      <c r="B66" s="135">
        <v>45459</v>
      </c>
      <c r="C66" s="135">
        <v>45455</v>
      </c>
      <c r="D66" s="6" t="s">
        <v>93</v>
      </c>
      <c r="E66" s="176"/>
      <c r="F66" s="6" t="s">
        <v>103</v>
      </c>
      <c r="G66" s="90">
        <v>88</v>
      </c>
      <c r="H66" s="90" t="s">
        <v>69</v>
      </c>
      <c r="I66" s="82">
        <v>8.64</v>
      </c>
      <c r="J66" s="137">
        <v>1.3</v>
      </c>
      <c r="K66" s="138">
        <f t="shared" si="0"/>
        <v>8.5276800000000001</v>
      </c>
      <c r="L66" s="240">
        <v>0.188</v>
      </c>
      <c r="M66" s="139">
        <v>0.17859999999999998</v>
      </c>
      <c r="N66" s="159">
        <v>0.17859999999999998</v>
      </c>
      <c r="O66" s="141">
        <f t="shared" si="12"/>
        <v>0.17899999999999999</v>
      </c>
      <c r="P66" s="6">
        <v>90</v>
      </c>
      <c r="Q66" s="6">
        <v>88.67</v>
      </c>
      <c r="R66" s="57">
        <v>2316.9050000000002</v>
      </c>
      <c r="S66" s="80">
        <v>100</v>
      </c>
      <c r="U66" s="6">
        <v>130</v>
      </c>
      <c r="V66" s="6">
        <v>1.1023000000000001</v>
      </c>
      <c r="W66" s="137">
        <v>7.8</v>
      </c>
      <c r="X66" s="137">
        <v>11.8</v>
      </c>
      <c r="Y66" s="203">
        <v>25</v>
      </c>
      <c r="Z66" s="143">
        <f t="shared" si="15"/>
        <v>34.480000000000004</v>
      </c>
      <c r="AA66" s="144">
        <f t="shared" si="1"/>
        <v>59.480000000000004</v>
      </c>
      <c r="AB66" s="145">
        <f t="shared" si="2"/>
        <v>212.55694495965002</v>
      </c>
      <c r="AC66" s="145">
        <f>+(S66-T66)*V66-'data 1'!$F$4</f>
        <v>30.230000000000004</v>
      </c>
      <c r="AD66" s="145">
        <f t="shared" si="3"/>
        <v>-6.0275277039025932</v>
      </c>
      <c r="AE66" s="145">
        <f>+(Y66*V66-'data 1'!$I$21)+V66*(Z66-IF(D66="UNTUCA",IF(+((W66-3)*2.5+(X66-3)*3.1)&gt;0,+((W66-3)*1.5+(X66-3)*3.1),0),IF(+((W66-3)*1.5+(X66-3)*3.1)&gt;0,+((W66-3)*1.5+(X66-3)*3.1),0)))</f>
        <v>1.9764189189189203</v>
      </c>
      <c r="AF66" s="145">
        <f t="shared" si="4"/>
        <v>19.237513731984471</v>
      </c>
      <c r="AG66" s="145">
        <f t="shared" si="5"/>
        <v>45.4164049470008</v>
      </c>
      <c r="AH66" s="145">
        <f t="shared" si="6"/>
        <v>48.738765205042355</v>
      </c>
      <c r="AI66" s="143">
        <f t="shared" si="13"/>
        <v>32.17422612106256</v>
      </c>
      <c r="AJ66" s="144">
        <f t="shared" si="8"/>
        <v>47.101583174358687</v>
      </c>
      <c r="AK66" s="133">
        <f t="shared" si="9"/>
        <v>1.6371820306836682</v>
      </c>
      <c r="AL66" s="57"/>
      <c r="AM66" s="57"/>
      <c r="AV66" s="57">
        <f t="shared" si="14"/>
        <v>1812.6176083935084</v>
      </c>
    </row>
    <row r="67" spans="1:50" ht="15.75" customHeight="1">
      <c r="A67" s="134" t="s">
        <v>637</v>
      </c>
      <c r="B67" s="135">
        <v>45457</v>
      </c>
      <c r="C67" s="135">
        <v>45456</v>
      </c>
      <c r="D67" s="258" t="s">
        <v>93</v>
      </c>
      <c r="E67" s="176"/>
      <c r="F67" s="142" t="s">
        <v>582</v>
      </c>
      <c r="G67" s="177">
        <v>161</v>
      </c>
      <c r="H67" s="177" t="s">
        <v>69</v>
      </c>
      <c r="I67" s="138">
        <v>15.98</v>
      </c>
      <c r="J67" s="143">
        <v>1</v>
      </c>
      <c r="K67" s="138">
        <f t="shared" si="0"/>
        <v>15.8202</v>
      </c>
      <c r="L67" s="170">
        <v>0.2</v>
      </c>
      <c r="M67" s="141">
        <v>0.191</v>
      </c>
      <c r="N67" s="157">
        <v>0.19500000000000001</v>
      </c>
      <c r="O67" s="141">
        <f t="shared" si="12"/>
        <v>0.193</v>
      </c>
      <c r="P67" s="142">
        <v>90</v>
      </c>
      <c r="Q67" s="142">
        <v>88.23</v>
      </c>
      <c r="R67" s="144">
        <v>2304.1350000000002</v>
      </c>
      <c r="S67" s="132">
        <v>100</v>
      </c>
      <c r="T67" s="142"/>
      <c r="U67" s="142">
        <v>130</v>
      </c>
      <c r="V67" s="142">
        <v>1.1023000000000001</v>
      </c>
      <c r="W67" s="143">
        <v>7.8</v>
      </c>
      <c r="X67" s="143">
        <v>11.9</v>
      </c>
      <c r="Y67" s="203">
        <v>30</v>
      </c>
      <c r="Z67" s="143">
        <f t="shared" si="15"/>
        <v>34.790000000000006</v>
      </c>
      <c r="AA67" s="144">
        <f t="shared" si="1"/>
        <v>64.790000000000006</v>
      </c>
      <c r="AB67" s="145">
        <f t="shared" si="2"/>
        <v>234.63254612385003</v>
      </c>
      <c r="AC67" s="145">
        <f>+(S67-T67)*V67-'data 1'!$F$4</f>
        <v>30.230000000000004</v>
      </c>
      <c r="AD67" s="145">
        <f t="shared" si="3"/>
        <v>-8.4837834971699824</v>
      </c>
      <c r="AE67" s="145">
        <f>+(Y67*V67-'data 1'!$I$21)+V67*(Z67-IF(D67="UNTUCA",IF(+((W67-3)*2.5+(X67-3)*3.1)&gt;0,+((W67-3)*1.5+(X67-3)*3.1),0),IF(+((W67-3)*1.5+(X67-3)*3.1)&gt;0,+((W67-3)*1.5+(X67-3)*3.1),0)))</f>
        <v>7.4879189189189219</v>
      </c>
      <c r="AF67" s="145">
        <f t="shared" si="4"/>
        <v>14.801326343749068</v>
      </c>
      <c r="AG67" s="145">
        <f t="shared" si="5"/>
        <v>44.035461765498013</v>
      </c>
      <c r="AH67" s="145">
        <f t="shared" si="6"/>
        <v>95.712203281208531</v>
      </c>
      <c r="AI67" s="143">
        <f t="shared" si="13"/>
        <v>36.54197020316996</v>
      </c>
      <c r="AJ67" s="144">
        <f t="shared" si="8"/>
        <v>94.215174600169561</v>
      </c>
      <c r="AK67" s="133">
        <f t="shared" si="9"/>
        <v>1.4970286810389695</v>
      </c>
      <c r="AL67" s="144"/>
      <c r="AM67" s="144"/>
      <c r="AN67" s="142"/>
      <c r="AO67" s="142"/>
      <c r="AP67" s="142"/>
      <c r="AQ67" s="142"/>
      <c r="AR67" s="142"/>
      <c r="AS67" s="142"/>
      <c r="AT67" s="142"/>
      <c r="AV67" s="57">
        <f t="shared" si="14"/>
        <v>3711.9338061885323</v>
      </c>
    </row>
    <row r="68" spans="1:50" ht="15.75" customHeight="1">
      <c r="A68" s="134" t="s">
        <v>638</v>
      </c>
      <c r="B68" s="135">
        <v>45457</v>
      </c>
      <c r="C68" s="135">
        <v>45456</v>
      </c>
      <c r="D68" s="258" t="s">
        <v>93</v>
      </c>
      <c r="E68" s="176"/>
      <c r="F68" s="142" t="s">
        <v>582</v>
      </c>
      <c r="G68" s="177">
        <v>8</v>
      </c>
      <c r="H68" s="177" t="s">
        <v>108</v>
      </c>
      <c r="I68" s="138">
        <v>0.62</v>
      </c>
      <c r="J68" s="143">
        <v>25</v>
      </c>
      <c r="K68" s="138">
        <f t="shared" si="0"/>
        <v>0.46499999999999997</v>
      </c>
      <c r="L68" s="170">
        <v>5.008</v>
      </c>
      <c r="M68" s="132">
        <v>4.8079999999999998</v>
      </c>
      <c r="N68" s="178">
        <v>4.8920000000000003</v>
      </c>
      <c r="O68" s="141">
        <f t="shared" si="12"/>
        <v>4.8499999999999996</v>
      </c>
      <c r="P68" s="142">
        <v>90</v>
      </c>
      <c r="Q68" s="142">
        <v>85.47</v>
      </c>
      <c r="R68" s="144">
        <v>2304.1350000000002</v>
      </c>
      <c r="S68" s="132">
        <v>470</v>
      </c>
      <c r="T68" s="142"/>
      <c r="U68" s="142">
        <v>130</v>
      </c>
      <c r="V68" s="142">
        <v>1.1023000000000001</v>
      </c>
      <c r="W68" s="143">
        <v>8.5</v>
      </c>
      <c r="X68" s="143">
        <v>13.5</v>
      </c>
      <c r="Y68" s="203">
        <v>30</v>
      </c>
      <c r="Z68" s="143">
        <f t="shared" si="15"/>
        <v>40.800000000000004</v>
      </c>
      <c r="AA68" s="144">
        <f t="shared" si="1"/>
        <v>70.800000000000011</v>
      </c>
      <c r="AB68" s="145">
        <f t="shared" si="2"/>
        <v>9864.8125908325019</v>
      </c>
      <c r="AC68" s="145">
        <f>+(S68-T68)*V68-'data 1'!$F$4</f>
        <v>438.08100000000002</v>
      </c>
      <c r="AD68" s="145">
        <f t="shared" si="3"/>
        <v>-543.6868602396554</v>
      </c>
      <c r="AE68" s="145">
        <f>+(Y68*V68-'data 1'!$I$21)+V68*(Z68-IF(D68="UNTUCA",IF(+((W68-3)*2.5+(X68-3)*3.1)&gt;0,+((W68-3)*1.5+(X68-3)*3.1),0),IF(+((W68-3)*1.5+(X68-3)*3.1)&gt;0,+((W68-3)*1.5+(X68-3)*3.1),0)))</f>
        <v>7.4879189189189219</v>
      </c>
      <c r="AF68" s="145">
        <f t="shared" si="4"/>
        <v>323.63620940534815</v>
      </c>
      <c r="AG68" s="145">
        <f t="shared" si="5"/>
        <v>225.51826808461169</v>
      </c>
      <c r="AH68" s="145">
        <f t="shared" si="6"/>
        <v>68.240161554467647</v>
      </c>
      <c r="AI68" s="143">
        <f t="shared" si="13"/>
        <v>886.38767447981434</v>
      </c>
      <c r="AJ68" s="144">
        <f t="shared" si="8"/>
        <v>69.589909259786239</v>
      </c>
      <c r="AK68" s="133">
        <f t="shared" si="9"/>
        <v>-1.3497477053185918</v>
      </c>
      <c r="AL68" s="144"/>
      <c r="AM68" s="144"/>
      <c r="AN68" s="142"/>
      <c r="AO68" s="142"/>
      <c r="AP68" s="142"/>
      <c r="AQ68" s="142"/>
      <c r="AR68" s="142"/>
      <c r="AS68" s="142"/>
      <c r="AT68" s="142"/>
      <c r="AV68" s="57">
        <f t="shared" si="14"/>
        <v>4587.1378547371132</v>
      </c>
    </row>
    <row r="69" spans="1:50" ht="15.75" customHeight="1">
      <c r="A69" s="134" t="s">
        <v>639</v>
      </c>
      <c r="B69" s="135">
        <v>45457</v>
      </c>
      <c r="C69" s="135">
        <v>45456</v>
      </c>
      <c r="D69" s="258" t="s">
        <v>93</v>
      </c>
      <c r="E69" s="176"/>
      <c r="F69" s="142" t="s">
        <v>582</v>
      </c>
      <c r="G69" s="177">
        <v>7</v>
      </c>
      <c r="H69" s="177" t="s">
        <v>69</v>
      </c>
      <c r="I69" s="138">
        <v>0.72</v>
      </c>
      <c r="J69" s="143">
        <v>1.2</v>
      </c>
      <c r="K69" s="138">
        <f t="shared" si="0"/>
        <v>0.71135999999999999</v>
      </c>
      <c r="L69" s="170">
        <v>2.1030000000000002</v>
      </c>
      <c r="M69" s="132">
        <v>1.998</v>
      </c>
      <c r="N69" s="249">
        <v>1.998</v>
      </c>
      <c r="O69" s="141">
        <f t="shared" si="12"/>
        <v>1.998</v>
      </c>
      <c r="P69" s="142">
        <v>90</v>
      </c>
      <c r="Q69" s="142">
        <v>88.15</v>
      </c>
      <c r="R69" s="144">
        <v>2304.1350000000002</v>
      </c>
      <c r="S69" s="132">
        <v>240</v>
      </c>
      <c r="T69" s="142"/>
      <c r="U69" s="142">
        <v>130</v>
      </c>
      <c r="V69" s="142">
        <v>1.1023000000000001</v>
      </c>
      <c r="W69" s="143">
        <v>8.1</v>
      </c>
      <c r="X69" s="143">
        <v>12</v>
      </c>
      <c r="Y69" s="203">
        <v>30</v>
      </c>
      <c r="Z69" s="143">
        <f t="shared" si="15"/>
        <v>35.550000000000004</v>
      </c>
      <c r="AA69" s="144">
        <f t="shared" si="1"/>
        <v>65.550000000000011</v>
      </c>
      <c r="AB69" s="145">
        <f t="shared" si="2"/>
        <v>3972.6666656811003</v>
      </c>
      <c r="AC69" s="145">
        <f>+(S69-T69)*V69-'data 1'!$F$4</f>
        <v>184.55200000000002</v>
      </c>
      <c r="AD69" s="145">
        <f t="shared" si="3"/>
        <v>-93.238937528007497</v>
      </c>
      <c r="AE69" s="145">
        <f>+(Y69*V69-'data 1'!$I$21)+V69*(Z69-IF(D69="UNTUCA",IF(+((W69-3)*2.5+(X69-3)*3.1)&gt;0,+((W69-3)*1.5+(X69-3)*3.1),0),IF(+((W69-3)*1.5+(X69-3)*3.1)&gt;0,+((W69-3)*1.5+(X69-3)*3.1),0)))</f>
        <v>7.4879189189189219</v>
      </c>
      <c r="AF69" s="145">
        <f t="shared" si="4"/>
        <v>221.81858503935425</v>
      </c>
      <c r="AG69" s="145">
        <f t="shared" si="5"/>
        <v>320.61956643026571</v>
      </c>
      <c r="AH69" s="145">
        <f t="shared" si="6"/>
        <v>45.212664262958114</v>
      </c>
      <c r="AI69" s="143">
        <f t="shared" si="13"/>
        <v>383.89041925535741</v>
      </c>
      <c r="AJ69" s="144">
        <f t="shared" si="8"/>
        <v>43.856755901288558</v>
      </c>
      <c r="AK69" s="133">
        <f t="shared" si="9"/>
        <v>1.355908361669556</v>
      </c>
      <c r="AL69" s="144"/>
      <c r="AM69" s="144"/>
      <c r="AN69" s="142"/>
      <c r="AO69" s="142"/>
      <c r="AP69" s="142"/>
      <c r="AQ69" s="142"/>
      <c r="AR69" s="142"/>
      <c r="AS69" s="142"/>
      <c r="AT69" s="142"/>
      <c r="AV69" s="57">
        <f t="shared" si="14"/>
        <v>2825.9961592989075</v>
      </c>
    </row>
    <row r="70" spans="1:50" ht="15.75" customHeight="1">
      <c r="A70" s="134" t="s">
        <v>640</v>
      </c>
      <c r="B70" s="135">
        <v>45457</v>
      </c>
      <c r="C70" s="135">
        <v>45456</v>
      </c>
      <c r="D70" s="258" t="s">
        <v>93</v>
      </c>
      <c r="E70" s="176"/>
      <c r="F70" s="142" t="s">
        <v>582</v>
      </c>
      <c r="G70" s="290">
        <v>71</v>
      </c>
      <c r="H70" s="177" t="s">
        <v>69</v>
      </c>
      <c r="I70" s="138">
        <v>6.73</v>
      </c>
      <c r="J70" s="143">
        <v>1.3</v>
      </c>
      <c r="K70" s="138">
        <f t="shared" si="0"/>
        <v>6.6425100000000006</v>
      </c>
      <c r="L70" s="170">
        <v>0.96</v>
      </c>
      <c r="M70" s="132">
        <v>0.91200000000000003</v>
      </c>
      <c r="N70" s="248">
        <v>0.92</v>
      </c>
      <c r="O70" s="141">
        <f t="shared" si="12"/>
        <v>0.91600000000000004</v>
      </c>
      <c r="P70" s="142">
        <v>90</v>
      </c>
      <c r="Q70" s="142">
        <v>88.09</v>
      </c>
      <c r="R70" s="144">
        <v>2304.1350000000002</v>
      </c>
      <c r="S70" s="132">
        <v>170</v>
      </c>
      <c r="T70" s="142"/>
      <c r="U70" s="142">
        <v>130</v>
      </c>
      <c r="V70" s="142">
        <v>1.1023000000000001</v>
      </c>
      <c r="W70" s="143">
        <v>7.9</v>
      </c>
      <c r="X70" s="143">
        <v>11.9</v>
      </c>
      <c r="Y70" s="203">
        <v>30</v>
      </c>
      <c r="Z70" s="143">
        <f t="shared" si="15"/>
        <v>34.940000000000005</v>
      </c>
      <c r="AA70" s="144">
        <f t="shared" si="1"/>
        <v>64.94</v>
      </c>
      <c r="AB70" s="145">
        <f t="shared" si="2"/>
        <v>1716.7406422562001</v>
      </c>
      <c r="AC70" s="145">
        <f>+(S70-T70)*V70-'data 1'!$F$4</f>
        <v>107.39100000000002</v>
      </c>
      <c r="AD70" s="145">
        <f t="shared" si="3"/>
        <v>-43.943122656527919</v>
      </c>
      <c r="AE70" s="145">
        <f>+(Y70*V70-'data 1'!$I$21)+V70*(Z70-IF(D70="UNTUCA",IF(+((W70-3)*2.5+(X70-3)*3.1)&gt;0,+((W70-3)*1.5+(X70-3)*3.1),0),IF(+((W70-3)*1.5+(X70-3)*3.1)&gt;0,+((W70-3)*1.5+(X70-3)*3.1),0)))</f>
        <v>7.4879189189189219</v>
      </c>
      <c r="AF70" s="145">
        <f t="shared" si="4"/>
        <v>92.889281027375674</v>
      </c>
      <c r="AG70" s="145">
        <f t="shared" si="5"/>
        <v>163.82507728976668</v>
      </c>
      <c r="AH70" s="145">
        <f t="shared" si="6"/>
        <v>192.59239291062076</v>
      </c>
      <c r="AI70" s="143">
        <f t="shared" si="13"/>
        <v>175.1231366309278</v>
      </c>
      <c r="AJ70" s="144">
        <f t="shared" si="8"/>
        <v>187.74970758541895</v>
      </c>
      <c r="AK70" s="133">
        <f t="shared" si="9"/>
        <v>4.8426853252018134</v>
      </c>
      <c r="AL70" s="144"/>
      <c r="AM70" s="144"/>
      <c r="AN70" s="142"/>
      <c r="AO70" s="142"/>
      <c r="AP70" s="142"/>
      <c r="AQ70" s="142"/>
      <c r="AR70" s="142"/>
      <c r="AS70" s="142"/>
      <c r="AT70" s="142"/>
      <c r="AV70" s="57">
        <f t="shared" si="14"/>
        <v>11403.466883593233</v>
      </c>
    </row>
    <row r="71" spans="1:50" ht="15.75" customHeight="1">
      <c r="A71" s="134" t="s">
        <v>641</v>
      </c>
      <c r="B71" s="135">
        <v>45457</v>
      </c>
      <c r="C71" s="135">
        <v>45456</v>
      </c>
      <c r="D71" s="258" t="s">
        <v>93</v>
      </c>
      <c r="E71" s="176"/>
      <c r="F71" s="142" t="s">
        <v>582</v>
      </c>
      <c r="G71" s="290">
        <v>149</v>
      </c>
      <c r="H71" s="177" t="s">
        <v>69</v>
      </c>
      <c r="I71" s="138">
        <v>14.51</v>
      </c>
      <c r="J71" s="143">
        <v>1.2</v>
      </c>
      <c r="K71" s="138">
        <f t="shared" si="0"/>
        <v>14.33588</v>
      </c>
      <c r="L71" s="170">
        <v>0.29299999999999998</v>
      </c>
      <c r="M71" s="132">
        <v>0.27800000000000002</v>
      </c>
      <c r="N71" s="178">
        <v>0.29499999999999998</v>
      </c>
      <c r="O71" s="141">
        <f t="shared" si="12"/>
        <v>0.28699999999999998</v>
      </c>
      <c r="P71" s="142">
        <v>90</v>
      </c>
      <c r="Q71" s="142">
        <v>88.75</v>
      </c>
      <c r="R71" s="144">
        <v>2304.1350000000002</v>
      </c>
      <c r="S71" s="132">
        <v>120</v>
      </c>
      <c r="T71" s="142"/>
      <c r="U71" s="142">
        <v>130</v>
      </c>
      <c r="V71" s="142">
        <v>1.1023000000000001</v>
      </c>
      <c r="W71" s="143">
        <v>7.9</v>
      </c>
      <c r="X71" s="143">
        <v>11.8</v>
      </c>
      <c r="Y71" s="203">
        <v>30</v>
      </c>
      <c r="Z71" s="143">
        <f t="shared" si="15"/>
        <v>34.630000000000003</v>
      </c>
      <c r="AA71" s="144">
        <f t="shared" si="1"/>
        <v>64.63</v>
      </c>
      <c r="AB71" s="145">
        <f t="shared" si="2"/>
        <v>415.5109604121501</v>
      </c>
      <c r="AC71" s="145">
        <f>+(S71-T71)*V71-'data 1'!$F$4</f>
        <v>52.27600000000001</v>
      </c>
      <c r="AD71" s="145">
        <f t="shared" si="3"/>
        <v>-8.7773607509562499</v>
      </c>
      <c r="AE71" s="145">
        <f>+(Y71*V71-'data 1'!$I$21)+V71*(Z71-IF(D71="UNTUCA",IF(+((W71-3)*2.5+(X71-3)*3.1)&gt;0,+((W71-3)*1.5+(X71-3)*3.1),0),IF(+((W71-3)*1.5+(X71-3)*3.1)&gt;0,+((W71-3)*1.5+(X71-3)*3.1),0)))</f>
        <v>7.4879189189189219</v>
      </c>
      <c r="AF71" s="145">
        <f t="shared" si="4"/>
        <v>12.761623480912512</v>
      </c>
      <c r="AG71" s="145">
        <f t="shared" si="5"/>
        <v>63.748181648875196</v>
      </c>
      <c r="AH71" s="145">
        <f t="shared" si="6"/>
        <v>127.81134596827229</v>
      </c>
      <c r="AI71" s="143">
        <f t="shared" si="13"/>
        <v>53.849498904606186</v>
      </c>
      <c r="AJ71" s="144">
        <f t="shared" si="8"/>
        <v>126.95734524291582</v>
      </c>
      <c r="AK71" s="133">
        <f t="shared" si="9"/>
        <v>0.85400072535647098</v>
      </c>
      <c r="AL71" s="144"/>
      <c r="AM71" s="144"/>
      <c r="AN71" s="142"/>
      <c r="AO71" s="142"/>
      <c r="AP71" s="142"/>
      <c r="AQ71" s="142"/>
      <c r="AR71" s="142"/>
      <c r="AS71" s="142"/>
      <c r="AT71" s="142"/>
      <c r="AV71" s="57">
        <f t="shared" si="14"/>
        <v>5956.715267153334</v>
      </c>
    </row>
    <row r="72" spans="1:50" ht="15.75" customHeight="1">
      <c r="A72" s="134" t="s">
        <v>642</v>
      </c>
      <c r="B72" s="136"/>
      <c r="C72" s="135">
        <v>45459</v>
      </c>
      <c r="D72" s="258" t="s">
        <v>643</v>
      </c>
      <c r="E72" s="176"/>
      <c r="F72" s="142" t="s">
        <v>644</v>
      </c>
      <c r="G72" s="290">
        <v>150</v>
      </c>
      <c r="H72" s="177" t="s">
        <v>69</v>
      </c>
      <c r="I72" s="138">
        <v>15.7</v>
      </c>
      <c r="J72" s="143">
        <v>16.149999999999999</v>
      </c>
      <c r="K72" s="138">
        <f t="shared" si="0"/>
        <v>13.16445</v>
      </c>
      <c r="L72" s="170">
        <v>0.41299999999999998</v>
      </c>
      <c r="M72" s="141">
        <v>0.39647999999999994</v>
      </c>
      <c r="N72" s="170">
        <v>0.4</v>
      </c>
      <c r="O72" s="141">
        <f t="shared" si="12"/>
        <v>0.39800000000000002</v>
      </c>
      <c r="P72" s="142">
        <v>90</v>
      </c>
      <c r="Q72" s="143">
        <v>90.071484893223428</v>
      </c>
      <c r="R72" s="144">
        <v>2332.65</v>
      </c>
      <c r="S72" s="132">
        <v>130</v>
      </c>
      <c r="T72" s="142"/>
      <c r="U72" s="142">
        <v>100</v>
      </c>
      <c r="V72" s="142">
        <v>1.1023000000000001</v>
      </c>
      <c r="W72" s="143">
        <v>7.5</v>
      </c>
      <c r="X72" s="143">
        <v>10.6</v>
      </c>
      <c r="Y72" s="203"/>
      <c r="Z72" s="143">
        <f t="shared" si="15"/>
        <v>30.31</v>
      </c>
      <c r="AA72" s="144">
        <f t="shared" si="1"/>
        <v>30.31</v>
      </c>
      <c r="AB72" s="145">
        <f t="shared" si="2"/>
        <v>704.83843102900005</v>
      </c>
      <c r="AC72" s="145">
        <f>+(S72-T72)*V72-'data 1'!$F$4</f>
        <v>63.299000000000007</v>
      </c>
      <c r="AD72" s="145">
        <f t="shared" si="3"/>
        <v>0.72658224045794062</v>
      </c>
      <c r="AE72" s="145">
        <f>+(Y72*V72-'data 1'!$I$21)+V72*(Z72-IF(D72="UNTUCA",IF(+((W72-3)*2.5+(X72-3)*3.1)&gt;0,+((W72-3)*1.5+(X72-3)*3.1),0),IF(+((W72-3)*1.5+(X72-3)*3.1)&gt;0,+((W72-3)*1.5+(X72-3)*3.1),0)))</f>
        <v>-25.581081081081081</v>
      </c>
      <c r="AF72" s="145">
        <f t="shared" si="4"/>
        <v>33.2505654679887</v>
      </c>
      <c r="AG72" s="145">
        <f t="shared" si="5"/>
        <v>71.695066627365577</v>
      </c>
      <c r="AH72" s="145">
        <f t="shared" si="6"/>
        <v>167.89940718420746</v>
      </c>
      <c r="AI72" s="143">
        <f t="shared" si="13"/>
        <v>53.040012113450693</v>
      </c>
      <c r="AJ72" s="144">
        <f t="shared" si="8"/>
        <v>161.67295271924945</v>
      </c>
      <c r="AK72" s="133">
        <f t="shared" si="9"/>
        <v>6.2264544649580102</v>
      </c>
      <c r="AL72" s="57"/>
      <c r="AM72" s="57"/>
      <c r="AV72" s="57">
        <f t="shared" si="14"/>
        <v>9278.8102833597204</v>
      </c>
    </row>
    <row r="73" spans="1:50" ht="15.75" customHeight="1">
      <c r="A73" s="134" t="s">
        <v>645</v>
      </c>
      <c r="B73" s="136"/>
      <c r="C73" s="135">
        <v>45459</v>
      </c>
      <c r="D73" s="258" t="s">
        <v>643</v>
      </c>
      <c r="E73" s="176"/>
      <c r="F73" s="142" t="s">
        <v>644</v>
      </c>
      <c r="G73" s="290">
        <v>151</v>
      </c>
      <c r="H73" s="177" t="s">
        <v>69</v>
      </c>
      <c r="I73" s="138">
        <v>15.63</v>
      </c>
      <c r="J73" s="143">
        <v>16.149999999999999</v>
      </c>
      <c r="K73" s="138">
        <f t="shared" si="0"/>
        <v>13.105755000000002</v>
      </c>
      <c r="L73" s="170">
        <v>0.23799999999999999</v>
      </c>
      <c r="M73" s="141">
        <v>0.22847999999999999</v>
      </c>
      <c r="N73" s="170">
        <v>0.248</v>
      </c>
      <c r="O73" s="141">
        <f t="shared" si="12"/>
        <v>0.23799999999999999</v>
      </c>
      <c r="P73" s="142">
        <v>90</v>
      </c>
      <c r="Q73" s="143">
        <v>90.154848814252261</v>
      </c>
      <c r="R73" s="144">
        <v>2332.65</v>
      </c>
      <c r="S73" s="132">
        <v>110</v>
      </c>
      <c r="T73" s="142"/>
      <c r="U73" s="142">
        <v>100</v>
      </c>
      <c r="V73" s="142">
        <v>1.1023000000000001</v>
      </c>
      <c r="W73" s="143">
        <v>7.5</v>
      </c>
      <c r="X73" s="143">
        <v>10.6</v>
      </c>
      <c r="Y73" s="203"/>
      <c r="Z73" s="143">
        <f t="shared" si="15"/>
        <v>30.31</v>
      </c>
      <c r="AA73" s="144">
        <f t="shared" si="1"/>
        <v>30.31</v>
      </c>
      <c r="AB73" s="145">
        <f t="shared" si="2"/>
        <v>372.49321734899996</v>
      </c>
      <c r="AC73" s="145">
        <f>+(S73-T73)*V73-'data 1'!$F$4</f>
        <v>41.253</v>
      </c>
      <c r="AD73" s="145">
        <f t="shared" si="3"/>
        <v>0.90699583988227384</v>
      </c>
      <c r="AE73" s="145">
        <f>+(Y73*V73-'data 1'!$I$21)+V73*(Z73-IF(D73="UNTUCA",IF(+((W73-3)*2.5+(X73-3)*3.1)&gt;0,+((W73-3)*1.5+(X73-3)*3.1),0),IF(+((W73-3)*1.5+(X73-3)*3.1)&gt;0,+((W73-3)*1.5+(X73-3)*3.1),0)))</f>
        <v>-25.581081081081081</v>
      </c>
      <c r="AF73" s="145">
        <f t="shared" si="4"/>
        <v>0</v>
      </c>
      <c r="AG73" s="145">
        <f t="shared" si="5"/>
        <v>16.57891475880119</v>
      </c>
      <c r="AH73" s="145">
        <f t="shared" si="6"/>
        <v>96.413347224910837</v>
      </c>
      <c r="AI73" s="143">
        <f t="shared" si="13"/>
        <v>30.593719952761013</v>
      </c>
      <c r="AJ73" s="144">
        <f t="shared" si="8"/>
        <v>96.247748893903406</v>
      </c>
      <c r="AK73" s="133">
        <f t="shared" si="9"/>
        <v>0.16559833100743049</v>
      </c>
      <c r="AL73" s="57"/>
      <c r="AM73" s="57"/>
      <c r="AV73" s="57">
        <f t="shared" si="14"/>
        <v>4881.8048457377436</v>
      </c>
    </row>
    <row r="74" spans="1:50" ht="15.75" customHeight="1">
      <c r="B74" s="136"/>
      <c r="C74" s="135"/>
      <c r="E74" s="176"/>
      <c r="G74" s="90"/>
      <c r="H74" s="90"/>
      <c r="I74" s="82"/>
      <c r="J74" s="137"/>
      <c r="K74" s="82"/>
      <c r="L74" s="240"/>
      <c r="M74" s="80"/>
      <c r="N74" s="271"/>
      <c r="O74" s="139"/>
      <c r="Q74" s="142"/>
      <c r="R74" s="57"/>
      <c r="S74" s="80"/>
      <c r="U74" s="142"/>
      <c r="V74" s="142"/>
      <c r="Z74" s="143"/>
      <c r="AA74" s="144"/>
      <c r="AB74" s="145"/>
      <c r="AC74" s="145"/>
      <c r="AD74" s="145"/>
      <c r="AE74" s="145"/>
      <c r="AF74" s="145"/>
      <c r="AG74" s="145"/>
      <c r="AH74" s="145"/>
      <c r="AK74" s="88"/>
      <c r="AL74" s="57"/>
      <c r="AM74" s="57"/>
      <c r="AV74" s="57">
        <f>SUM(AV5:AV73)</f>
        <v>421160.28973236762</v>
      </c>
      <c r="AW74" s="57">
        <f>+AV74*3.7</f>
        <v>1558293.0720097602</v>
      </c>
      <c r="AX74" s="57">
        <f>+AW74*1.18</f>
        <v>1838785.8249715168</v>
      </c>
    </row>
    <row r="75" spans="1:50" ht="15.75" customHeight="1">
      <c r="B75" s="136"/>
      <c r="C75" s="135"/>
      <c r="E75" s="176"/>
      <c r="G75" s="90"/>
      <c r="H75" s="90"/>
      <c r="I75" s="82"/>
      <c r="J75" s="137"/>
      <c r="K75" s="82"/>
      <c r="L75" s="240"/>
      <c r="M75" s="80"/>
      <c r="N75" s="271"/>
      <c r="O75" s="139"/>
      <c r="Q75" s="142"/>
      <c r="R75" s="57"/>
      <c r="S75" s="80"/>
      <c r="U75" s="142"/>
      <c r="V75" s="142"/>
      <c r="Z75" s="143"/>
      <c r="AA75" s="144"/>
      <c r="AB75" s="145"/>
      <c r="AC75" s="145"/>
      <c r="AD75" s="145"/>
      <c r="AE75" s="145"/>
      <c r="AF75" s="145"/>
      <c r="AG75" s="145"/>
      <c r="AH75" s="145"/>
      <c r="AK75" s="88"/>
      <c r="AL75" s="57"/>
      <c r="AM75" s="57"/>
      <c r="AV75" s="57">
        <v>513252.63</v>
      </c>
    </row>
    <row r="76" spans="1:50" ht="15.75" customHeight="1">
      <c r="B76" s="136"/>
      <c r="C76" s="135"/>
      <c r="E76" s="176"/>
      <c r="G76" s="90"/>
      <c r="H76" s="90"/>
      <c r="I76" s="82"/>
      <c r="J76" s="137"/>
      <c r="K76" s="82"/>
      <c r="L76" s="240"/>
      <c r="M76" s="80"/>
      <c r="N76" s="271"/>
      <c r="O76" s="139"/>
      <c r="Q76" s="142"/>
      <c r="R76" s="57"/>
      <c r="S76" s="80"/>
      <c r="U76" s="142"/>
      <c r="V76" s="142"/>
      <c r="Z76" s="143"/>
      <c r="AA76" s="144"/>
      <c r="AB76" s="145"/>
      <c r="AC76" s="145"/>
      <c r="AD76" s="145"/>
      <c r="AE76" s="145"/>
      <c r="AF76" s="145"/>
      <c r="AG76" s="145"/>
      <c r="AH76" s="145"/>
      <c r="AK76" s="88"/>
      <c r="AL76" s="57"/>
      <c r="AM76" s="57"/>
      <c r="AV76" s="57">
        <f>+AV75-AV74</f>
        <v>92092.340267632389</v>
      </c>
    </row>
    <row r="77" spans="1:50" ht="15.75" customHeight="1">
      <c r="B77" s="136"/>
      <c r="C77" s="135"/>
      <c r="E77" s="176"/>
      <c r="G77" s="90"/>
      <c r="H77" s="90"/>
      <c r="I77" s="82"/>
      <c r="J77" s="137"/>
      <c r="K77" s="82"/>
      <c r="L77" s="240"/>
      <c r="M77" s="80"/>
      <c r="N77" s="271"/>
      <c r="O77" s="139"/>
      <c r="Q77" s="142"/>
      <c r="R77" s="57"/>
      <c r="S77" s="80"/>
      <c r="U77" s="142"/>
      <c r="V77" s="142"/>
      <c r="Z77" s="143"/>
      <c r="AA77" s="144"/>
      <c r="AB77" s="145"/>
      <c r="AC77" s="145"/>
      <c r="AD77" s="145"/>
      <c r="AE77" s="145"/>
      <c r="AF77" s="145"/>
      <c r="AG77" s="145"/>
      <c r="AH77" s="145"/>
      <c r="AK77" s="88"/>
      <c r="AL77" s="57"/>
      <c r="AM77" s="57"/>
      <c r="AV77" s="57">
        <f>+AV76/AV75</f>
        <v>0.17942887164091567</v>
      </c>
    </row>
    <row r="78" spans="1:50" ht="15.75" customHeight="1">
      <c r="B78" s="136"/>
      <c r="C78" s="135"/>
      <c r="E78" s="176"/>
      <c r="G78" s="90"/>
      <c r="H78" s="90"/>
      <c r="I78" s="82"/>
      <c r="J78" s="137"/>
      <c r="K78" s="82"/>
      <c r="L78" s="240"/>
      <c r="M78" s="80"/>
      <c r="N78" s="271"/>
      <c r="O78" s="139"/>
      <c r="Q78" s="142"/>
      <c r="R78" s="57"/>
      <c r="S78" s="80"/>
      <c r="U78" s="142"/>
      <c r="V78" s="142"/>
      <c r="Z78" s="143"/>
      <c r="AA78" s="144"/>
      <c r="AB78" s="145"/>
      <c r="AC78" s="145"/>
      <c r="AD78" s="145"/>
      <c r="AE78" s="145"/>
      <c r="AF78" s="145"/>
      <c r="AG78" s="145"/>
      <c r="AH78" s="145"/>
      <c r="AK78" s="88"/>
      <c r="AL78" s="57"/>
      <c r="AM78" s="57"/>
      <c r="AV78" s="57"/>
    </row>
    <row r="79" spans="1:50" ht="15.75" customHeight="1">
      <c r="B79" s="136"/>
      <c r="C79" s="135"/>
      <c r="E79" s="176"/>
      <c r="G79" s="90"/>
      <c r="H79" s="90"/>
      <c r="I79" s="82"/>
      <c r="J79" s="137"/>
      <c r="K79" s="82"/>
      <c r="L79" s="240"/>
      <c r="M79" s="80"/>
      <c r="N79" s="271"/>
      <c r="O79" s="139"/>
      <c r="Q79" s="142"/>
      <c r="R79" s="57"/>
      <c r="S79" s="80"/>
      <c r="U79" s="142"/>
      <c r="V79" s="142"/>
      <c r="Z79" s="143"/>
      <c r="AA79" s="144"/>
      <c r="AB79" s="145"/>
      <c r="AC79" s="145"/>
      <c r="AD79" s="145"/>
      <c r="AE79" s="145"/>
      <c r="AF79" s="145"/>
      <c r="AG79" s="145"/>
      <c r="AH79" s="145"/>
      <c r="AK79" s="88"/>
      <c r="AL79" s="57"/>
      <c r="AM79" s="57"/>
    </row>
    <row r="80" spans="1:50" ht="15.75" customHeight="1">
      <c r="B80" s="136"/>
      <c r="C80" s="135"/>
      <c r="E80" s="176"/>
      <c r="G80" s="90"/>
      <c r="H80" s="90"/>
      <c r="I80" s="82"/>
      <c r="J80" s="137"/>
      <c r="K80" s="82"/>
      <c r="L80" s="240"/>
      <c r="M80" s="80"/>
      <c r="N80" s="271"/>
      <c r="O80" s="139"/>
      <c r="Q80" s="142"/>
      <c r="R80" s="57"/>
      <c r="S80" s="80"/>
      <c r="U80" s="142"/>
      <c r="V80" s="142"/>
      <c r="Z80" s="143"/>
      <c r="AA80" s="144"/>
      <c r="AB80" s="145"/>
      <c r="AC80" s="145"/>
      <c r="AD80" s="145"/>
      <c r="AE80" s="145"/>
      <c r="AF80" s="145"/>
      <c r="AG80" s="145"/>
      <c r="AH80" s="145"/>
      <c r="AK80" s="88"/>
      <c r="AL80" s="57"/>
      <c r="AM80" s="57"/>
    </row>
    <row r="81" spans="2:39" ht="15.75" customHeight="1">
      <c r="B81" s="136"/>
      <c r="C81" s="135"/>
      <c r="E81" s="176"/>
      <c r="G81" s="90"/>
      <c r="H81" s="90"/>
      <c r="I81" s="82"/>
      <c r="J81" s="137"/>
      <c r="K81" s="82"/>
      <c r="L81" s="240"/>
      <c r="M81" s="80"/>
      <c r="N81" s="271"/>
      <c r="O81" s="139"/>
      <c r="Q81" s="142"/>
      <c r="R81" s="57"/>
      <c r="S81" s="80"/>
      <c r="U81" s="142"/>
      <c r="V81" s="142"/>
      <c r="Z81" s="143"/>
      <c r="AA81" s="144"/>
      <c r="AB81" s="145"/>
      <c r="AC81" s="145"/>
      <c r="AD81" s="145"/>
      <c r="AE81" s="145"/>
      <c r="AF81" s="145"/>
      <c r="AG81" s="145"/>
      <c r="AH81" s="145"/>
      <c r="AK81" s="88"/>
      <c r="AL81" s="57"/>
      <c r="AM81" s="57"/>
    </row>
    <row r="82" spans="2:39" ht="15.75" customHeight="1">
      <c r="B82" s="136"/>
      <c r="C82" s="135"/>
      <c r="E82" s="176"/>
      <c r="G82" s="90"/>
      <c r="H82" s="90"/>
      <c r="I82" s="82"/>
      <c r="J82" s="137"/>
      <c r="K82" s="82"/>
      <c r="L82" s="240"/>
      <c r="M82" s="80"/>
      <c r="N82" s="271"/>
      <c r="O82" s="139"/>
      <c r="Q82" s="142"/>
      <c r="R82" s="57"/>
      <c r="S82" s="80"/>
      <c r="U82" s="142"/>
      <c r="V82" s="142"/>
      <c r="Z82" s="143"/>
      <c r="AA82" s="144"/>
      <c r="AB82" s="145"/>
      <c r="AC82" s="145"/>
      <c r="AD82" s="145"/>
      <c r="AE82" s="145"/>
      <c r="AF82" s="145"/>
      <c r="AG82" s="145"/>
      <c r="AH82" s="145"/>
      <c r="AK82" s="88"/>
      <c r="AL82" s="57"/>
      <c r="AM82" s="57"/>
    </row>
    <row r="83" spans="2:39" ht="15.75" customHeight="1">
      <c r="B83" s="136"/>
      <c r="C83" s="135"/>
      <c r="E83" s="176"/>
      <c r="G83" s="90"/>
      <c r="H83" s="90"/>
      <c r="I83" s="82"/>
      <c r="J83" s="137"/>
      <c r="K83" s="82"/>
      <c r="L83" s="240"/>
      <c r="M83" s="80"/>
      <c r="N83" s="271"/>
      <c r="O83" s="139"/>
      <c r="Q83" s="142"/>
      <c r="R83" s="57"/>
      <c r="S83" s="80"/>
      <c r="U83" s="142"/>
      <c r="V83" s="142"/>
      <c r="Z83" s="143"/>
      <c r="AA83" s="144"/>
      <c r="AB83" s="145"/>
      <c r="AC83" s="145"/>
      <c r="AD83" s="145"/>
      <c r="AE83" s="145"/>
      <c r="AF83" s="145"/>
      <c r="AG83" s="145"/>
      <c r="AH83" s="145"/>
      <c r="AK83" s="88"/>
      <c r="AL83" s="57"/>
      <c r="AM83" s="57"/>
    </row>
    <row r="84" spans="2:39" ht="15.75" customHeight="1">
      <c r="B84" s="136"/>
      <c r="C84" s="135"/>
      <c r="E84" s="176"/>
      <c r="G84" s="90"/>
      <c r="H84" s="90"/>
      <c r="I84" s="82"/>
      <c r="J84" s="137"/>
      <c r="K84" s="82"/>
      <c r="L84" s="240"/>
      <c r="M84" s="80"/>
      <c r="N84" s="271"/>
      <c r="O84" s="139"/>
      <c r="Q84" s="142"/>
      <c r="R84" s="57"/>
      <c r="S84" s="80"/>
      <c r="U84" s="142"/>
      <c r="V84" s="142"/>
      <c r="Z84" s="143"/>
      <c r="AA84" s="144"/>
      <c r="AB84" s="145"/>
      <c r="AC84" s="145"/>
      <c r="AD84" s="145"/>
      <c r="AE84" s="145"/>
      <c r="AF84" s="145"/>
      <c r="AG84" s="145"/>
      <c r="AH84" s="145"/>
      <c r="AK84" s="88"/>
      <c r="AL84" s="57"/>
      <c r="AM84" s="57"/>
    </row>
    <row r="85" spans="2:39" ht="15.75" customHeight="1">
      <c r="B85" s="136"/>
      <c r="C85" s="135"/>
      <c r="E85" s="176"/>
      <c r="G85" s="90"/>
      <c r="H85" s="90"/>
      <c r="I85" s="82"/>
      <c r="J85" s="137"/>
      <c r="K85" s="82"/>
      <c r="L85" s="240"/>
      <c r="M85" s="80"/>
      <c r="N85" s="271"/>
      <c r="O85" s="139"/>
      <c r="Q85" s="142"/>
      <c r="R85" s="57"/>
      <c r="S85" s="80"/>
      <c r="U85" s="142"/>
      <c r="V85" s="142"/>
      <c r="Z85" s="143"/>
      <c r="AA85" s="144"/>
      <c r="AB85" s="145"/>
      <c r="AC85" s="145"/>
      <c r="AD85" s="145"/>
      <c r="AE85" s="145"/>
      <c r="AF85" s="145"/>
      <c r="AG85" s="145"/>
      <c r="AH85" s="145"/>
      <c r="AK85" s="88"/>
      <c r="AL85" s="57"/>
      <c r="AM85" s="57"/>
    </row>
    <row r="86" spans="2:39" ht="15.75" customHeight="1">
      <c r="B86" s="136"/>
      <c r="C86" s="135"/>
      <c r="E86" s="176"/>
      <c r="G86" s="90"/>
      <c r="H86" s="90"/>
      <c r="I86" s="82"/>
      <c r="J86" s="137"/>
      <c r="K86" s="82"/>
      <c r="L86" s="240"/>
      <c r="M86" s="80"/>
      <c r="N86" s="271"/>
      <c r="O86" s="139"/>
      <c r="Q86" s="142"/>
      <c r="R86" s="57"/>
      <c r="S86" s="80"/>
      <c r="U86" s="142"/>
      <c r="V86" s="142"/>
      <c r="Z86" s="143"/>
      <c r="AA86" s="144"/>
      <c r="AB86" s="145"/>
      <c r="AC86" s="145"/>
      <c r="AD86" s="145"/>
      <c r="AE86" s="145"/>
      <c r="AF86" s="145"/>
      <c r="AG86" s="145"/>
      <c r="AH86" s="145"/>
      <c r="AK86" s="88"/>
      <c r="AL86" s="57"/>
      <c r="AM86" s="57"/>
    </row>
    <row r="87" spans="2:39" ht="15.75" customHeight="1">
      <c r="B87" s="136"/>
      <c r="C87" s="135"/>
      <c r="E87" s="176"/>
      <c r="G87" s="90"/>
      <c r="H87" s="90"/>
      <c r="I87" s="82"/>
      <c r="J87" s="137"/>
      <c r="K87" s="82"/>
      <c r="L87" s="240"/>
      <c r="M87" s="80"/>
      <c r="N87" s="271"/>
      <c r="O87" s="139"/>
      <c r="Q87" s="142"/>
      <c r="R87" s="57"/>
      <c r="S87" s="80"/>
      <c r="U87" s="142"/>
      <c r="V87" s="142"/>
      <c r="Z87" s="143"/>
      <c r="AA87" s="144"/>
      <c r="AB87" s="145"/>
      <c r="AC87" s="145"/>
      <c r="AD87" s="145"/>
      <c r="AE87" s="145"/>
      <c r="AF87" s="145"/>
      <c r="AG87" s="145"/>
      <c r="AH87" s="145"/>
      <c r="AK87" s="88"/>
      <c r="AL87" s="57"/>
      <c r="AM87" s="57"/>
    </row>
    <row r="88" spans="2:39" ht="15.75" customHeight="1">
      <c r="B88" s="136"/>
      <c r="C88" s="135"/>
      <c r="E88" s="176"/>
      <c r="G88" s="90"/>
      <c r="H88" s="90"/>
      <c r="I88" s="82"/>
      <c r="J88" s="137"/>
      <c r="K88" s="82"/>
      <c r="L88" s="240"/>
      <c r="M88" s="80"/>
      <c r="N88" s="271"/>
      <c r="O88" s="139"/>
      <c r="Q88" s="142"/>
      <c r="R88" s="57"/>
      <c r="S88" s="80"/>
      <c r="U88" s="142"/>
      <c r="V88" s="142"/>
      <c r="Z88" s="143"/>
      <c r="AA88" s="144"/>
      <c r="AB88" s="145"/>
      <c r="AC88" s="145"/>
      <c r="AD88" s="145"/>
      <c r="AE88" s="145"/>
      <c r="AF88" s="145"/>
      <c r="AG88" s="145"/>
      <c r="AH88" s="145"/>
      <c r="AK88" s="88"/>
      <c r="AL88" s="57"/>
      <c r="AM88" s="57"/>
    </row>
    <row r="89" spans="2:39" ht="15.75" customHeight="1">
      <c r="B89" s="136"/>
      <c r="C89" s="135"/>
      <c r="E89" s="176"/>
      <c r="G89" s="90"/>
      <c r="H89" s="90"/>
      <c r="I89" s="82"/>
      <c r="J89" s="137"/>
      <c r="K89" s="82"/>
      <c r="L89" s="240"/>
      <c r="M89" s="80"/>
      <c r="N89" s="271"/>
      <c r="O89" s="139"/>
      <c r="Q89" s="142"/>
      <c r="R89" s="57"/>
      <c r="S89" s="80"/>
      <c r="U89" s="142"/>
      <c r="V89" s="142"/>
      <c r="Z89" s="143"/>
      <c r="AA89" s="144"/>
      <c r="AB89" s="145"/>
      <c r="AC89" s="145"/>
      <c r="AD89" s="145"/>
      <c r="AE89" s="145"/>
      <c r="AF89" s="145"/>
      <c r="AG89" s="145"/>
      <c r="AH89" s="145"/>
      <c r="AK89" s="88"/>
      <c r="AL89" s="57"/>
      <c r="AM89" s="57"/>
    </row>
    <row r="90" spans="2:39" ht="15.75" customHeight="1">
      <c r="B90" s="136"/>
      <c r="C90" s="135"/>
      <c r="E90" s="176"/>
      <c r="G90" s="90"/>
      <c r="H90" s="90"/>
      <c r="I90" s="82"/>
      <c r="J90" s="137"/>
      <c r="K90" s="82"/>
      <c r="L90" s="240"/>
      <c r="M90" s="80"/>
      <c r="N90" s="271"/>
      <c r="O90" s="139"/>
      <c r="Q90" s="142"/>
      <c r="R90" s="57"/>
      <c r="S90" s="80"/>
      <c r="U90" s="142"/>
      <c r="V90" s="142"/>
      <c r="Z90" s="143"/>
      <c r="AA90" s="144"/>
      <c r="AB90" s="145"/>
      <c r="AC90" s="145"/>
      <c r="AD90" s="145"/>
      <c r="AE90" s="145"/>
      <c r="AF90" s="145"/>
      <c r="AG90" s="145"/>
      <c r="AH90" s="145"/>
      <c r="AK90" s="88"/>
      <c r="AL90" s="57"/>
      <c r="AM90" s="57"/>
    </row>
    <row r="91" spans="2:39" ht="15.75" customHeight="1">
      <c r="B91" s="136"/>
      <c r="C91" s="135"/>
      <c r="E91" s="176"/>
      <c r="G91" s="90"/>
      <c r="H91" s="90"/>
      <c r="I91" s="82"/>
      <c r="J91" s="137"/>
      <c r="K91" s="82"/>
      <c r="L91" s="240"/>
      <c r="M91" s="80"/>
      <c r="N91" s="271"/>
      <c r="O91" s="139"/>
      <c r="Q91" s="142"/>
      <c r="R91" s="57"/>
      <c r="S91" s="80"/>
      <c r="U91" s="142"/>
      <c r="V91" s="142"/>
      <c r="Z91" s="143"/>
      <c r="AA91" s="144"/>
      <c r="AB91" s="145"/>
      <c r="AC91" s="145"/>
      <c r="AD91" s="145"/>
      <c r="AE91" s="145"/>
      <c r="AF91" s="145"/>
      <c r="AG91" s="145"/>
      <c r="AH91" s="145"/>
      <c r="AK91" s="88"/>
      <c r="AL91" s="57"/>
      <c r="AM91" s="57"/>
    </row>
    <row r="92" spans="2:39" ht="15.75" customHeight="1">
      <c r="B92" s="136"/>
      <c r="C92" s="135"/>
      <c r="E92" s="176"/>
      <c r="G92" s="90"/>
      <c r="H92" s="90"/>
      <c r="I92" s="82"/>
      <c r="J92" s="137"/>
      <c r="K92" s="82"/>
      <c r="L92" s="240"/>
      <c r="M92" s="80"/>
      <c r="N92" s="271"/>
      <c r="O92" s="139"/>
      <c r="Q92" s="142"/>
      <c r="R92" s="57"/>
      <c r="S92" s="80"/>
      <c r="U92" s="142"/>
      <c r="V92" s="142"/>
      <c r="Z92" s="143"/>
      <c r="AA92" s="144"/>
      <c r="AB92" s="145"/>
      <c r="AC92" s="145"/>
      <c r="AD92" s="145"/>
      <c r="AE92" s="145"/>
      <c r="AF92" s="145"/>
      <c r="AG92" s="145"/>
      <c r="AH92" s="145"/>
      <c r="AK92" s="88"/>
      <c r="AL92" s="57"/>
      <c r="AM92" s="57"/>
    </row>
    <row r="93" spans="2:39" ht="15.75" customHeight="1">
      <c r="B93" s="136"/>
      <c r="C93" s="135"/>
      <c r="E93" s="176"/>
      <c r="G93" s="90"/>
      <c r="H93" s="90"/>
      <c r="I93" s="82"/>
      <c r="J93" s="137"/>
      <c r="K93" s="82"/>
      <c r="L93" s="240"/>
      <c r="M93" s="80"/>
      <c r="N93" s="271"/>
      <c r="O93" s="139"/>
      <c r="Q93" s="142"/>
      <c r="R93" s="57"/>
      <c r="S93" s="80"/>
      <c r="U93" s="142"/>
      <c r="V93" s="142"/>
      <c r="Z93" s="143"/>
      <c r="AA93" s="144"/>
      <c r="AB93" s="145"/>
      <c r="AC93" s="145"/>
      <c r="AD93" s="145"/>
      <c r="AE93" s="145"/>
      <c r="AF93" s="145"/>
      <c r="AG93" s="145"/>
      <c r="AH93" s="145"/>
      <c r="AK93" s="88"/>
      <c r="AL93" s="57"/>
      <c r="AM93" s="57"/>
    </row>
    <row r="94" spans="2:39" ht="15.75" customHeight="1">
      <c r="B94" s="136"/>
      <c r="C94" s="135"/>
      <c r="E94" s="176"/>
      <c r="G94" s="90"/>
      <c r="H94" s="90"/>
      <c r="I94" s="82"/>
      <c r="J94" s="137"/>
      <c r="K94" s="82"/>
      <c r="L94" s="240"/>
      <c r="M94" s="80"/>
      <c r="N94" s="271"/>
      <c r="O94" s="139"/>
      <c r="Q94" s="142"/>
      <c r="R94" s="57"/>
      <c r="S94" s="80"/>
      <c r="U94" s="142"/>
      <c r="V94" s="142"/>
      <c r="Z94" s="143"/>
      <c r="AA94" s="144"/>
      <c r="AB94" s="145"/>
      <c r="AC94" s="145"/>
      <c r="AD94" s="145"/>
      <c r="AE94" s="145"/>
      <c r="AF94" s="145"/>
      <c r="AG94" s="145"/>
      <c r="AH94" s="145"/>
      <c r="AK94" s="88"/>
      <c r="AL94" s="57"/>
      <c r="AM94" s="57"/>
    </row>
    <row r="95" spans="2:39" ht="15.75" customHeight="1">
      <c r="B95" s="136"/>
      <c r="C95" s="135"/>
      <c r="E95" s="176"/>
      <c r="G95" s="90"/>
      <c r="H95" s="90"/>
      <c r="I95" s="82"/>
      <c r="J95" s="137"/>
      <c r="K95" s="82"/>
      <c r="L95" s="240"/>
      <c r="M95" s="80"/>
      <c r="N95" s="271"/>
      <c r="O95" s="139"/>
      <c r="Q95" s="142"/>
      <c r="R95" s="57"/>
      <c r="S95" s="80"/>
      <c r="U95" s="142"/>
      <c r="V95" s="142"/>
      <c r="Z95" s="143"/>
      <c r="AA95" s="144"/>
      <c r="AB95" s="145"/>
      <c r="AC95" s="145"/>
      <c r="AD95" s="145"/>
      <c r="AE95" s="145"/>
      <c r="AF95" s="145"/>
      <c r="AG95" s="145"/>
      <c r="AH95" s="145"/>
      <c r="AK95" s="88"/>
      <c r="AL95" s="57"/>
      <c r="AM95" s="57"/>
    </row>
    <row r="96" spans="2:39" ht="15.75" customHeight="1">
      <c r="B96" s="136"/>
      <c r="C96" s="135"/>
      <c r="E96" s="176"/>
      <c r="G96" s="90"/>
      <c r="H96" s="90"/>
      <c r="I96" s="82"/>
      <c r="J96" s="137"/>
      <c r="K96" s="82"/>
      <c r="L96" s="240"/>
      <c r="M96" s="80"/>
      <c r="N96" s="271"/>
      <c r="O96" s="139"/>
      <c r="Q96" s="142"/>
      <c r="R96" s="57"/>
      <c r="S96" s="80"/>
      <c r="U96" s="142"/>
      <c r="V96" s="142"/>
      <c r="Z96" s="143"/>
      <c r="AA96" s="144"/>
      <c r="AB96" s="145"/>
      <c r="AC96" s="145"/>
      <c r="AD96" s="145"/>
      <c r="AE96" s="145"/>
      <c r="AF96" s="145"/>
      <c r="AG96" s="145"/>
      <c r="AH96" s="145"/>
      <c r="AK96" s="88"/>
      <c r="AL96" s="57"/>
      <c r="AM96" s="57"/>
    </row>
    <row r="97" spans="2:39" ht="15.75" customHeight="1">
      <c r="B97" s="136"/>
      <c r="C97" s="135"/>
      <c r="E97" s="176"/>
      <c r="G97" s="90"/>
      <c r="H97" s="90"/>
      <c r="I97" s="82"/>
      <c r="J97" s="137"/>
      <c r="K97" s="82"/>
      <c r="L97" s="240"/>
      <c r="M97" s="80"/>
      <c r="N97" s="271"/>
      <c r="O97" s="139"/>
      <c r="Q97" s="142"/>
      <c r="R97" s="57"/>
      <c r="S97" s="80"/>
      <c r="U97" s="142"/>
      <c r="V97" s="142"/>
      <c r="Z97" s="143"/>
      <c r="AA97" s="144"/>
      <c r="AB97" s="145"/>
      <c r="AC97" s="145"/>
      <c r="AD97" s="145"/>
      <c r="AE97" s="145"/>
      <c r="AF97" s="145"/>
      <c r="AG97" s="145"/>
      <c r="AH97" s="145"/>
      <c r="AK97" s="88"/>
      <c r="AL97" s="57"/>
      <c r="AM97" s="57"/>
    </row>
    <row r="98" spans="2:39" ht="15.75" customHeight="1">
      <c r="B98" s="136"/>
      <c r="C98" s="135"/>
      <c r="E98" s="176"/>
      <c r="G98" s="90"/>
      <c r="H98" s="90"/>
      <c r="I98" s="82"/>
      <c r="J98" s="137"/>
      <c r="K98" s="82"/>
      <c r="L98" s="240"/>
      <c r="M98" s="80"/>
      <c r="N98" s="271"/>
      <c r="O98" s="139"/>
      <c r="Q98" s="142"/>
      <c r="R98" s="57"/>
      <c r="S98" s="80"/>
      <c r="U98" s="142"/>
      <c r="V98" s="142"/>
      <c r="Z98" s="143"/>
      <c r="AA98" s="144"/>
      <c r="AB98" s="145"/>
      <c r="AC98" s="145"/>
      <c r="AD98" s="145"/>
      <c r="AE98" s="145"/>
      <c r="AF98" s="145"/>
      <c r="AG98" s="145"/>
      <c r="AH98" s="145"/>
      <c r="AK98" s="88"/>
      <c r="AL98" s="57"/>
      <c r="AM98" s="57"/>
    </row>
    <row r="99" spans="2:39" ht="15.75" customHeight="1">
      <c r="B99" s="136"/>
      <c r="C99" s="135"/>
      <c r="E99" s="176"/>
      <c r="G99" s="90"/>
      <c r="H99" s="90"/>
      <c r="I99" s="82"/>
      <c r="J99" s="137"/>
      <c r="K99" s="82"/>
      <c r="L99" s="240"/>
      <c r="M99" s="80"/>
      <c r="N99" s="271"/>
      <c r="O99" s="139"/>
      <c r="Q99" s="142"/>
      <c r="R99" s="57"/>
      <c r="S99" s="80"/>
      <c r="U99" s="142"/>
      <c r="V99" s="142"/>
      <c r="Z99" s="143"/>
      <c r="AA99" s="144"/>
      <c r="AB99" s="145"/>
      <c r="AC99" s="145"/>
      <c r="AD99" s="145"/>
      <c r="AE99" s="145"/>
      <c r="AF99" s="145"/>
      <c r="AG99" s="145"/>
      <c r="AH99" s="145"/>
      <c r="AK99" s="88"/>
      <c r="AL99" s="57"/>
      <c r="AM99" s="57"/>
    </row>
    <row r="100" spans="2:39" ht="15.75" customHeight="1">
      <c r="B100" s="136"/>
      <c r="C100" s="135"/>
      <c r="E100" s="176"/>
      <c r="G100" s="90"/>
      <c r="H100" s="90"/>
      <c r="I100" s="82"/>
      <c r="J100" s="137"/>
      <c r="K100" s="82"/>
      <c r="L100" s="240"/>
      <c r="M100" s="80"/>
      <c r="N100" s="271"/>
      <c r="O100" s="139"/>
      <c r="Q100" s="142"/>
      <c r="R100" s="57"/>
      <c r="S100" s="80"/>
      <c r="U100" s="142"/>
      <c r="V100" s="142"/>
      <c r="Z100" s="143"/>
      <c r="AA100" s="144"/>
      <c r="AB100" s="145"/>
      <c r="AC100" s="145"/>
      <c r="AD100" s="145"/>
      <c r="AE100" s="145"/>
      <c r="AF100" s="145"/>
      <c r="AG100" s="145"/>
      <c r="AH100" s="145"/>
      <c r="AK100" s="88"/>
      <c r="AL100" s="57"/>
      <c r="AM100" s="57"/>
    </row>
    <row r="101" spans="2:39" ht="15.75" customHeight="1">
      <c r="B101" s="136"/>
      <c r="C101" s="135"/>
      <c r="E101" s="176"/>
      <c r="G101" s="90"/>
      <c r="H101" s="90"/>
      <c r="I101" s="82"/>
      <c r="J101" s="137"/>
      <c r="K101" s="82"/>
      <c r="L101" s="240"/>
      <c r="M101" s="80"/>
      <c r="N101" s="271"/>
      <c r="O101" s="139"/>
      <c r="Q101" s="142"/>
      <c r="R101" s="57"/>
      <c r="S101" s="80"/>
      <c r="U101" s="142"/>
      <c r="V101" s="142"/>
      <c r="Z101" s="143"/>
      <c r="AA101" s="144"/>
      <c r="AB101" s="145"/>
      <c r="AC101" s="145"/>
      <c r="AD101" s="145"/>
      <c r="AE101" s="145"/>
      <c r="AF101" s="145"/>
      <c r="AG101" s="145"/>
      <c r="AH101" s="145"/>
      <c r="AK101" s="88"/>
      <c r="AL101" s="57"/>
      <c r="AM101" s="57"/>
    </row>
    <row r="102" spans="2:39" ht="15.75" customHeight="1">
      <c r="B102" s="136"/>
      <c r="C102" s="135"/>
      <c r="E102" s="176"/>
      <c r="G102" s="90"/>
      <c r="H102" s="90"/>
      <c r="I102" s="82"/>
      <c r="J102" s="137"/>
      <c r="K102" s="82"/>
      <c r="L102" s="240"/>
      <c r="M102" s="80"/>
      <c r="N102" s="271"/>
      <c r="O102" s="139"/>
      <c r="Q102" s="142"/>
      <c r="R102" s="57"/>
      <c r="S102" s="80"/>
      <c r="U102" s="142"/>
      <c r="V102" s="142"/>
      <c r="Z102" s="143"/>
      <c r="AA102" s="144"/>
      <c r="AB102" s="145"/>
      <c r="AC102" s="145"/>
      <c r="AD102" s="145"/>
      <c r="AE102" s="145"/>
      <c r="AF102" s="145"/>
      <c r="AG102" s="145"/>
      <c r="AH102" s="145"/>
      <c r="AK102" s="88"/>
      <c r="AL102" s="57"/>
      <c r="AM102" s="57"/>
    </row>
    <row r="103" spans="2:39" ht="15.75" customHeight="1">
      <c r="B103" s="136"/>
      <c r="C103" s="135"/>
      <c r="E103" s="176"/>
      <c r="G103" s="90"/>
      <c r="H103" s="90"/>
      <c r="I103" s="82"/>
      <c r="J103" s="137"/>
      <c r="K103" s="82"/>
      <c r="L103" s="240"/>
      <c r="M103" s="80"/>
      <c r="N103" s="271"/>
      <c r="O103" s="139"/>
      <c r="Q103" s="142"/>
      <c r="R103" s="57"/>
      <c r="S103" s="80"/>
      <c r="U103" s="142"/>
      <c r="V103" s="142"/>
      <c r="Z103" s="143"/>
      <c r="AA103" s="144"/>
      <c r="AB103" s="145"/>
      <c r="AC103" s="145"/>
      <c r="AD103" s="145"/>
      <c r="AE103" s="145"/>
      <c r="AF103" s="145"/>
      <c r="AG103" s="145"/>
      <c r="AH103" s="145"/>
      <c r="AK103" s="88"/>
      <c r="AL103" s="57"/>
      <c r="AM103" s="57"/>
    </row>
    <row r="104" spans="2:39" ht="15.75" customHeight="1">
      <c r="B104" s="136"/>
      <c r="C104" s="135"/>
      <c r="E104" s="176"/>
      <c r="G104" s="90"/>
      <c r="H104" s="90"/>
      <c r="I104" s="82"/>
      <c r="J104" s="137"/>
      <c r="K104" s="82"/>
      <c r="L104" s="240"/>
      <c r="M104" s="80"/>
      <c r="N104" s="271"/>
      <c r="O104" s="139"/>
      <c r="Q104" s="142"/>
      <c r="R104" s="57"/>
      <c r="S104" s="80"/>
      <c r="U104" s="142"/>
      <c r="V104" s="142"/>
      <c r="Z104" s="143"/>
      <c r="AA104" s="144"/>
      <c r="AB104" s="145"/>
      <c r="AC104" s="145"/>
      <c r="AD104" s="145"/>
      <c r="AE104" s="145"/>
      <c r="AF104" s="145"/>
      <c r="AG104" s="145"/>
      <c r="AH104" s="145"/>
      <c r="AK104" s="88"/>
      <c r="AL104" s="57"/>
      <c r="AM104" s="57"/>
    </row>
    <row r="105" spans="2:39" ht="15.75" customHeight="1">
      <c r="B105" s="136"/>
      <c r="C105" s="135"/>
      <c r="E105" s="176"/>
      <c r="G105" s="90"/>
      <c r="H105" s="90"/>
      <c r="I105" s="82"/>
      <c r="J105" s="137"/>
      <c r="K105" s="82"/>
      <c r="L105" s="240"/>
      <c r="M105" s="80"/>
      <c r="N105" s="271"/>
      <c r="O105" s="139"/>
      <c r="Q105" s="142"/>
      <c r="R105" s="57"/>
      <c r="S105" s="80"/>
      <c r="U105" s="142"/>
      <c r="V105" s="142"/>
      <c r="Z105" s="143"/>
      <c r="AA105" s="144"/>
      <c r="AB105" s="145"/>
      <c r="AC105" s="145"/>
      <c r="AD105" s="145"/>
      <c r="AE105" s="145"/>
      <c r="AF105" s="145"/>
      <c r="AG105" s="145"/>
      <c r="AH105" s="145"/>
      <c r="AK105" s="88"/>
      <c r="AL105" s="57"/>
      <c r="AM105" s="57"/>
    </row>
    <row r="106" spans="2:39" ht="15.75" customHeight="1">
      <c r="B106" s="136"/>
      <c r="C106" s="135"/>
      <c r="E106" s="176"/>
      <c r="G106" s="90"/>
      <c r="H106" s="90"/>
      <c r="I106" s="82"/>
      <c r="J106" s="137"/>
      <c r="K106" s="82"/>
      <c r="L106" s="240"/>
      <c r="M106" s="80"/>
      <c r="N106" s="271"/>
      <c r="O106" s="139"/>
      <c r="Q106" s="142"/>
      <c r="R106" s="57"/>
      <c r="S106" s="80"/>
      <c r="U106" s="142"/>
      <c r="V106" s="142"/>
      <c r="Z106" s="143"/>
      <c r="AA106" s="144"/>
      <c r="AB106" s="145"/>
      <c r="AC106" s="145"/>
      <c r="AD106" s="145"/>
      <c r="AE106" s="145"/>
      <c r="AF106" s="145"/>
      <c r="AG106" s="145"/>
      <c r="AH106" s="145"/>
      <c r="AK106" s="88"/>
      <c r="AL106" s="57"/>
      <c r="AM106" s="57"/>
    </row>
    <row r="107" spans="2:39" ht="15.75" customHeight="1">
      <c r="B107" s="136"/>
      <c r="C107" s="135"/>
      <c r="E107" s="176"/>
      <c r="G107" s="90"/>
      <c r="H107" s="90"/>
      <c r="I107" s="82"/>
      <c r="J107" s="137"/>
      <c r="K107" s="82"/>
      <c r="L107" s="240"/>
      <c r="M107" s="80"/>
      <c r="N107" s="271"/>
      <c r="O107" s="139"/>
      <c r="Q107" s="142"/>
      <c r="R107" s="57"/>
      <c r="S107" s="80"/>
      <c r="U107" s="142"/>
      <c r="V107" s="142"/>
      <c r="Z107" s="143"/>
      <c r="AA107" s="144"/>
      <c r="AB107" s="145"/>
      <c r="AC107" s="145"/>
      <c r="AD107" s="145"/>
      <c r="AE107" s="145"/>
      <c r="AF107" s="145"/>
      <c r="AG107" s="145"/>
      <c r="AH107" s="145"/>
      <c r="AK107" s="88"/>
      <c r="AL107" s="57"/>
      <c r="AM107" s="57"/>
    </row>
    <row r="108" spans="2:39" ht="15.75" customHeight="1">
      <c r="B108" s="136"/>
      <c r="C108" s="135"/>
      <c r="E108" s="176"/>
      <c r="G108" s="90"/>
      <c r="H108" s="90"/>
      <c r="I108" s="82"/>
      <c r="J108" s="137"/>
      <c r="K108" s="82"/>
      <c r="L108" s="240"/>
      <c r="M108" s="80"/>
      <c r="N108" s="271"/>
      <c r="O108" s="139"/>
      <c r="Q108" s="142"/>
      <c r="R108" s="57"/>
      <c r="S108" s="80"/>
      <c r="U108" s="142"/>
      <c r="V108" s="142"/>
      <c r="Z108" s="143"/>
      <c r="AA108" s="144"/>
      <c r="AB108" s="145"/>
      <c r="AC108" s="145"/>
      <c r="AD108" s="145"/>
      <c r="AE108" s="145"/>
      <c r="AF108" s="145"/>
      <c r="AG108" s="145"/>
      <c r="AH108" s="145"/>
      <c r="AK108" s="88"/>
      <c r="AL108" s="57"/>
      <c r="AM108" s="57"/>
    </row>
    <row r="109" spans="2:39" ht="15.75" customHeight="1">
      <c r="B109" s="136"/>
      <c r="C109" s="135"/>
      <c r="E109" s="176"/>
      <c r="G109" s="90"/>
      <c r="H109" s="90"/>
      <c r="I109" s="82"/>
      <c r="J109" s="137"/>
      <c r="K109" s="82"/>
      <c r="L109" s="240"/>
      <c r="M109" s="80"/>
      <c r="N109" s="271"/>
      <c r="O109" s="139"/>
      <c r="Q109" s="142"/>
      <c r="R109" s="57"/>
      <c r="S109" s="80"/>
      <c r="U109" s="142"/>
      <c r="V109" s="142"/>
      <c r="Z109" s="143"/>
      <c r="AA109" s="144"/>
      <c r="AB109" s="145"/>
      <c r="AC109" s="145"/>
      <c r="AD109" s="145"/>
      <c r="AE109" s="145"/>
      <c r="AF109" s="145"/>
      <c r="AG109" s="145"/>
      <c r="AH109" s="145"/>
      <c r="AK109" s="88"/>
      <c r="AL109" s="57"/>
      <c r="AM109" s="57"/>
    </row>
    <row r="110" spans="2:39" ht="15.75" customHeight="1">
      <c r="B110" s="136"/>
      <c r="C110" s="135"/>
      <c r="E110" s="176"/>
      <c r="G110" s="90"/>
      <c r="H110" s="90"/>
      <c r="I110" s="82"/>
      <c r="J110" s="137"/>
      <c r="K110" s="82"/>
      <c r="L110" s="240"/>
      <c r="M110" s="80"/>
      <c r="N110" s="271"/>
      <c r="O110" s="139"/>
      <c r="Q110" s="142"/>
      <c r="R110" s="57"/>
      <c r="S110" s="80"/>
      <c r="U110" s="142"/>
      <c r="V110" s="142"/>
      <c r="Z110" s="143"/>
      <c r="AA110" s="144"/>
      <c r="AB110" s="145"/>
      <c r="AC110" s="145"/>
      <c r="AD110" s="145"/>
      <c r="AE110" s="145"/>
      <c r="AF110" s="145"/>
      <c r="AG110" s="145"/>
      <c r="AH110" s="145"/>
      <c r="AK110" s="88"/>
      <c r="AL110" s="57"/>
      <c r="AM110" s="57"/>
    </row>
    <row r="111" spans="2:39" ht="15.75" customHeight="1">
      <c r="B111" s="136"/>
      <c r="C111" s="135"/>
      <c r="E111" s="176"/>
      <c r="G111" s="90"/>
      <c r="H111" s="90"/>
      <c r="I111" s="82"/>
      <c r="J111" s="137"/>
      <c r="K111" s="82"/>
      <c r="L111" s="240"/>
      <c r="M111" s="80"/>
      <c r="N111" s="271"/>
      <c r="O111" s="139"/>
      <c r="Q111" s="142"/>
      <c r="R111" s="57"/>
      <c r="S111" s="80"/>
      <c r="U111" s="142"/>
      <c r="V111" s="142"/>
      <c r="Z111" s="143"/>
      <c r="AA111" s="144"/>
      <c r="AB111" s="145"/>
      <c r="AC111" s="145"/>
      <c r="AD111" s="145"/>
      <c r="AE111" s="145"/>
      <c r="AF111" s="145"/>
      <c r="AG111" s="145"/>
      <c r="AH111" s="145"/>
      <c r="AK111" s="88"/>
      <c r="AL111" s="57"/>
      <c r="AM111" s="57"/>
    </row>
    <row r="112" spans="2:39" ht="15.75" customHeight="1">
      <c r="B112" s="136"/>
      <c r="C112" s="135"/>
      <c r="E112" s="176"/>
      <c r="G112" s="90"/>
      <c r="H112" s="90"/>
      <c r="I112" s="82"/>
      <c r="J112" s="137"/>
      <c r="K112" s="82"/>
      <c r="L112" s="240"/>
      <c r="M112" s="80"/>
      <c r="N112" s="271"/>
      <c r="O112" s="139"/>
      <c r="Q112" s="142"/>
      <c r="R112" s="57"/>
      <c r="S112" s="80"/>
      <c r="U112" s="142"/>
      <c r="V112" s="142"/>
      <c r="Z112" s="143"/>
      <c r="AA112" s="144"/>
      <c r="AB112" s="145"/>
      <c r="AC112" s="145"/>
      <c r="AD112" s="145"/>
      <c r="AE112" s="145"/>
      <c r="AF112" s="145"/>
      <c r="AG112" s="145"/>
      <c r="AH112" s="145"/>
      <c r="AK112" s="88"/>
      <c r="AL112" s="57"/>
      <c r="AM112" s="57"/>
    </row>
    <row r="113" spans="2:39" ht="15.75" customHeight="1">
      <c r="B113" s="136"/>
      <c r="C113" s="135"/>
      <c r="E113" s="176"/>
      <c r="G113" s="90"/>
      <c r="H113" s="90"/>
      <c r="I113" s="82"/>
      <c r="J113" s="137"/>
      <c r="K113" s="82"/>
      <c r="L113" s="240"/>
      <c r="M113" s="80"/>
      <c r="N113" s="271"/>
      <c r="O113" s="139"/>
      <c r="Q113" s="142"/>
      <c r="R113" s="57"/>
      <c r="S113" s="80"/>
      <c r="U113" s="142"/>
      <c r="V113" s="142"/>
      <c r="Z113" s="143"/>
      <c r="AA113" s="144"/>
      <c r="AB113" s="145"/>
      <c r="AC113" s="145"/>
      <c r="AD113" s="145"/>
      <c r="AE113" s="145"/>
      <c r="AF113" s="145"/>
      <c r="AG113" s="145"/>
      <c r="AH113" s="145"/>
      <c r="AK113" s="88"/>
      <c r="AL113" s="57"/>
      <c r="AM113" s="57"/>
    </row>
    <row r="114" spans="2:39" ht="15.75" customHeight="1">
      <c r="B114" s="136"/>
      <c r="C114" s="135"/>
      <c r="E114" s="176"/>
      <c r="G114" s="90"/>
      <c r="H114" s="90"/>
      <c r="I114" s="82"/>
      <c r="J114" s="137"/>
      <c r="K114" s="82"/>
      <c r="L114" s="240"/>
      <c r="M114" s="80"/>
      <c r="N114" s="271"/>
      <c r="O114" s="139"/>
      <c r="Q114" s="142"/>
      <c r="R114" s="57"/>
      <c r="S114" s="80"/>
      <c r="U114" s="142"/>
      <c r="V114" s="142"/>
      <c r="Z114" s="143"/>
      <c r="AA114" s="144"/>
      <c r="AB114" s="145"/>
      <c r="AC114" s="145"/>
      <c r="AD114" s="145"/>
      <c r="AE114" s="145"/>
      <c r="AF114" s="145"/>
      <c r="AG114" s="145"/>
      <c r="AH114" s="145"/>
      <c r="AK114" s="88"/>
      <c r="AL114" s="57"/>
      <c r="AM114" s="57"/>
    </row>
    <row r="115" spans="2:39" ht="15.75" customHeight="1">
      <c r="B115" s="136"/>
      <c r="C115" s="135"/>
      <c r="E115" s="176"/>
      <c r="G115" s="90"/>
      <c r="H115" s="90"/>
      <c r="I115" s="82"/>
      <c r="J115" s="137"/>
      <c r="K115" s="82"/>
      <c r="L115" s="240"/>
      <c r="M115" s="80"/>
      <c r="N115" s="271"/>
      <c r="O115" s="139"/>
      <c r="Q115" s="142"/>
      <c r="R115" s="57"/>
      <c r="S115" s="80"/>
      <c r="U115" s="142"/>
      <c r="V115" s="142"/>
      <c r="Z115" s="143"/>
      <c r="AA115" s="144"/>
      <c r="AB115" s="145"/>
      <c r="AC115" s="145"/>
      <c r="AD115" s="145"/>
      <c r="AE115" s="145"/>
      <c r="AF115" s="145"/>
      <c r="AG115" s="145"/>
      <c r="AH115" s="145"/>
      <c r="AK115" s="88"/>
      <c r="AL115" s="57"/>
      <c r="AM115" s="57"/>
    </row>
    <row r="116" spans="2:39" ht="15.75" customHeight="1">
      <c r="B116" s="136"/>
      <c r="C116" s="135"/>
      <c r="E116" s="176"/>
      <c r="G116" s="90"/>
      <c r="H116" s="90"/>
      <c r="I116" s="82"/>
      <c r="J116" s="137"/>
      <c r="K116" s="82"/>
      <c r="L116" s="240"/>
      <c r="M116" s="80"/>
      <c r="N116" s="271"/>
      <c r="O116" s="139"/>
      <c r="Q116" s="142"/>
      <c r="R116" s="57"/>
      <c r="S116" s="80"/>
      <c r="U116" s="142"/>
      <c r="V116" s="142"/>
      <c r="Z116" s="143"/>
      <c r="AA116" s="144"/>
      <c r="AB116" s="145"/>
      <c r="AC116" s="145"/>
      <c r="AD116" s="145"/>
      <c r="AE116" s="145"/>
      <c r="AF116" s="145"/>
      <c r="AG116" s="145"/>
      <c r="AH116" s="145"/>
      <c r="AK116" s="88"/>
      <c r="AL116" s="57"/>
      <c r="AM116" s="57"/>
    </row>
    <row r="117" spans="2:39" ht="15.75" customHeight="1">
      <c r="B117" s="136"/>
      <c r="C117" s="135"/>
      <c r="E117" s="176"/>
      <c r="G117" s="90"/>
      <c r="H117" s="90"/>
      <c r="I117" s="82"/>
      <c r="J117" s="137"/>
      <c r="K117" s="82"/>
      <c r="L117" s="240"/>
      <c r="M117" s="80"/>
      <c r="N117" s="271"/>
      <c r="O117" s="139"/>
      <c r="Q117" s="142"/>
      <c r="R117" s="57"/>
      <c r="S117" s="80"/>
      <c r="U117" s="142"/>
      <c r="V117" s="142"/>
      <c r="Z117" s="143"/>
      <c r="AA117" s="144"/>
      <c r="AB117" s="145"/>
      <c r="AC117" s="145"/>
      <c r="AD117" s="145"/>
      <c r="AE117" s="145"/>
      <c r="AF117" s="145"/>
      <c r="AG117" s="145"/>
      <c r="AH117" s="145"/>
      <c r="AK117" s="88"/>
      <c r="AL117" s="57"/>
      <c r="AM117" s="57"/>
    </row>
    <row r="118" spans="2:39" ht="15.75" customHeight="1">
      <c r="B118" s="136"/>
      <c r="C118" s="135"/>
      <c r="E118" s="176"/>
      <c r="G118" s="90"/>
      <c r="H118" s="90"/>
      <c r="I118" s="82"/>
      <c r="J118" s="137"/>
      <c r="K118" s="82"/>
      <c r="L118" s="240"/>
      <c r="M118" s="80"/>
      <c r="N118" s="271"/>
      <c r="O118" s="139"/>
      <c r="Q118" s="142"/>
      <c r="R118" s="57"/>
      <c r="S118" s="80"/>
      <c r="U118" s="142"/>
      <c r="V118" s="142"/>
      <c r="Z118" s="143"/>
      <c r="AA118" s="144"/>
      <c r="AB118" s="145"/>
      <c r="AC118" s="145"/>
      <c r="AD118" s="145"/>
      <c r="AE118" s="145"/>
      <c r="AF118" s="145"/>
      <c r="AG118" s="145"/>
      <c r="AH118" s="145"/>
      <c r="AK118" s="88"/>
      <c r="AL118" s="57"/>
      <c r="AM118" s="57"/>
    </row>
    <row r="119" spans="2:39" ht="15.75" customHeight="1">
      <c r="B119" s="136"/>
      <c r="C119" s="135"/>
      <c r="E119" s="176"/>
      <c r="G119" s="90"/>
      <c r="H119" s="90"/>
      <c r="I119" s="82"/>
      <c r="J119" s="137"/>
      <c r="K119" s="82"/>
      <c r="L119" s="240"/>
      <c r="M119" s="80"/>
      <c r="N119" s="271"/>
      <c r="O119" s="139"/>
      <c r="Q119" s="142"/>
      <c r="R119" s="57"/>
      <c r="S119" s="80"/>
      <c r="U119" s="142"/>
      <c r="V119" s="142"/>
      <c r="Z119" s="143"/>
      <c r="AA119" s="144"/>
      <c r="AB119" s="145"/>
      <c r="AC119" s="145"/>
      <c r="AD119" s="145"/>
      <c r="AE119" s="145"/>
      <c r="AF119" s="145"/>
      <c r="AG119" s="145"/>
      <c r="AH119" s="145"/>
      <c r="AK119" s="88"/>
      <c r="AL119" s="57"/>
      <c r="AM119" s="57"/>
    </row>
    <row r="120" spans="2:39" ht="15.75" customHeight="1">
      <c r="B120" s="136"/>
      <c r="C120" s="135"/>
      <c r="E120" s="176"/>
      <c r="G120" s="90"/>
      <c r="H120" s="90"/>
      <c r="I120" s="82"/>
      <c r="J120" s="137"/>
      <c r="K120" s="82"/>
      <c r="L120" s="240"/>
      <c r="M120" s="80"/>
      <c r="N120" s="271"/>
      <c r="O120" s="139"/>
      <c r="Q120" s="142"/>
      <c r="R120" s="57"/>
      <c r="S120" s="80"/>
      <c r="U120" s="142"/>
      <c r="V120" s="142"/>
      <c r="Z120" s="143"/>
      <c r="AA120" s="144"/>
      <c r="AB120" s="145"/>
      <c r="AC120" s="145"/>
      <c r="AD120" s="145"/>
      <c r="AE120" s="145"/>
      <c r="AF120" s="145"/>
      <c r="AG120" s="145"/>
      <c r="AH120" s="145"/>
      <c r="AK120" s="88"/>
      <c r="AL120" s="57"/>
      <c r="AM120" s="57"/>
    </row>
    <row r="121" spans="2:39" ht="15.75" customHeight="1">
      <c r="B121" s="136"/>
      <c r="C121" s="135"/>
      <c r="E121" s="176"/>
      <c r="G121" s="90"/>
      <c r="H121" s="90"/>
      <c r="I121" s="82"/>
      <c r="J121" s="137"/>
      <c r="K121" s="82"/>
      <c r="L121" s="240"/>
      <c r="M121" s="80"/>
      <c r="N121" s="271"/>
      <c r="O121" s="139"/>
      <c r="Q121" s="142"/>
      <c r="R121" s="57"/>
      <c r="S121" s="80"/>
      <c r="U121" s="142"/>
      <c r="V121" s="142"/>
      <c r="Z121" s="143"/>
      <c r="AA121" s="144"/>
      <c r="AB121" s="145"/>
      <c r="AC121" s="145"/>
      <c r="AD121" s="145"/>
      <c r="AE121" s="145"/>
      <c r="AF121" s="145"/>
      <c r="AG121" s="145"/>
      <c r="AH121" s="145"/>
      <c r="AK121" s="88"/>
      <c r="AL121" s="57"/>
      <c r="AM121" s="57"/>
    </row>
    <row r="122" spans="2:39" ht="15.75" customHeight="1">
      <c r="B122" s="136"/>
      <c r="C122" s="135"/>
      <c r="E122" s="176"/>
      <c r="G122" s="90"/>
      <c r="H122" s="90"/>
      <c r="I122" s="82"/>
      <c r="J122" s="137"/>
      <c r="K122" s="82"/>
      <c r="L122" s="240"/>
      <c r="M122" s="80"/>
      <c r="N122" s="271"/>
      <c r="O122" s="139"/>
      <c r="Q122" s="142"/>
      <c r="R122" s="57"/>
      <c r="S122" s="80"/>
      <c r="U122" s="142"/>
      <c r="V122" s="142"/>
      <c r="Z122" s="143"/>
      <c r="AA122" s="144"/>
      <c r="AB122" s="145"/>
      <c r="AC122" s="145"/>
      <c r="AD122" s="145"/>
      <c r="AE122" s="145"/>
      <c r="AF122" s="145"/>
      <c r="AG122" s="145"/>
      <c r="AH122" s="145"/>
      <c r="AK122" s="88"/>
      <c r="AL122" s="57"/>
      <c r="AM122" s="57"/>
    </row>
    <row r="123" spans="2:39" ht="15.75" customHeight="1">
      <c r="B123" s="136"/>
      <c r="C123" s="135"/>
      <c r="E123" s="176"/>
      <c r="G123" s="90"/>
      <c r="H123" s="90"/>
      <c r="I123" s="82"/>
      <c r="J123" s="137"/>
      <c r="K123" s="82"/>
      <c r="L123" s="240"/>
      <c r="M123" s="80"/>
      <c r="N123" s="271"/>
      <c r="O123" s="139"/>
      <c r="Q123" s="142"/>
      <c r="R123" s="57"/>
      <c r="S123" s="80"/>
      <c r="U123" s="142"/>
      <c r="V123" s="142"/>
      <c r="Z123" s="143"/>
      <c r="AA123" s="144"/>
      <c r="AB123" s="145"/>
      <c r="AC123" s="145"/>
      <c r="AD123" s="145"/>
      <c r="AE123" s="145"/>
      <c r="AF123" s="145"/>
      <c r="AG123" s="145"/>
      <c r="AH123" s="145"/>
      <c r="AK123" s="88"/>
      <c r="AL123" s="57"/>
      <c r="AM123" s="57"/>
    </row>
    <row r="124" spans="2:39" ht="15.75" customHeight="1">
      <c r="B124" s="136"/>
      <c r="C124" s="135"/>
      <c r="E124" s="176"/>
      <c r="G124" s="90"/>
      <c r="H124" s="90"/>
      <c r="I124" s="82"/>
      <c r="J124" s="137"/>
      <c r="K124" s="82"/>
      <c r="L124" s="240"/>
      <c r="M124" s="80"/>
      <c r="N124" s="271"/>
      <c r="O124" s="139"/>
      <c r="Q124" s="142"/>
      <c r="R124" s="57"/>
      <c r="S124" s="80"/>
      <c r="U124" s="142"/>
      <c r="V124" s="142"/>
      <c r="Z124" s="143"/>
      <c r="AA124" s="144"/>
      <c r="AB124" s="145"/>
      <c r="AC124" s="145"/>
      <c r="AD124" s="145"/>
      <c r="AE124" s="145"/>
      <c r="AF124" s="145"/>
      <c r="AG124" s="145"/>
      <c r="AH124" s="145"/>
      <c r="AK124" s="88"/>
      <c r="AL124" s="57"/>
      <c r="AM124" s="57"/>
    </row>
    <row r="125" spans="2:39" ht="15.75" customHeight="1">
      <c r="B125" s="136"/>
      <c r="C125" s="135"/>
      <c r="E125" s="176"/>
      <c r="G125" s="90"/>
      <c r="H125" s="90"/>
      <c r="I125" s="82"/>
      <c r="J125" s="137"/>
      <c r="K125" s="82"/>
      <c r="L125" s="240"/>
      <c r="M125" s="80"/>
      <c r="N125" s="271"/>
      <c r="O125" s="139"/>
      <c r="Q125" s="142"/>
      <c r="R125" s="57"/>
      <c r="S125" s="80"/>
      <c r="U125" s="142"/>
      <c r="V125" s="142"/>
      <c r="Z125" s="143"/>
      <c r="AA125" s="144"/>
      <c r="AB125" s="145"/>
      <c r="AC125" s="145"/>
      <c r="AD125" s="145"/>
      <c r="AE125" s="145"/>
      <c r="AF125" s="145"/>
      <c r="AG125" s="145"/>
      <c r="AH125" s="145"/>
      <c r="AK125" s="88"/>
      <c r="AL125" s="57"/>
      <c r="AM125" s="57"/>
    </row>
    <row r="126" spans="2:39" ht="15.75" customHeight="1">
      <c r="B126" s="136"/>
      <c r="C126" s="135"/>
      <c r="E126" s="176"/>
      <c r="G126" s="90"/>
      <c r="H126" s="90"/>
      <c r="I126" s="82"/>
      <c r="J126" s="137"/>
      <c r="K126" s="82"/>
      <c r="L126" s="240"/>
      <c r="M126" s="80"/>
      <c r="N126" s="271"/>
      <c r="O126" s="139"/>
      <c r="Q126" s="142"/>
      <c r="R126" s="57"/>
      <c r="S126" s="80"/>
      <c r="U126" s="142"/>
      <c r="V126" s="142"/>
      <c r="Z126" s="143"/>
      <c r="AA126" s="144"/>
      <c r="AB126" s="145"/>
      <c r="AC126" s="145"/>
      <c r="AD126" s="145"/>
      <c r="AE126" s="145"/>
      <c r="AF126" s="145"/>
      <c r="AG126" s="145"/>
      <c r="AH126" s="145"/>
      <c r="AK126" s="88"/>
      <c r="AL126" s="57"/>
      <c r="AM126" s="57"/>
    </row>
    <row r="127" spans="2:39" ht="15.75" customHeight="1">
      <c r="B127" s="136"/>
      <c r="C127" s="135"/>
      <c r="E127" s="176"/>
      <c r="G127" s="90"/>
      <c r="H127" s="90"/>
      <c r="I127" s="82"/>
      <c r="J127" s="137"/>
      <c r="K127" s="82"/>
      <c r="L127" s="240"/>
      <c r="M127" s="80"/>
      <c r="N127" s="271"/>
      <c r="O127" s="139"/>
      <c r="Q127" s="142"/>
      <c r="R127" s="57"/>
      <c r="S127" s="80"/>
      <c r="U127" s="142"/>
      <c r="V127" s="142"/>
      <c r="Z127" s="143"/>
      <c r="AA127" s="144"/>
      <c r="AB127" s="145"/>
      <c r="AC127" s="145"/>
      <c r="AD127" s="145"/>
      <c r="AE127" s="145"/>
      <c r="AF127" s="145"/>
      <c r="AG127" s="145"/>
      <c r="AH127" s="145"/>
      <c r="AK127" s="88"/>
      <c r="AL127" s="57"/>
      <c r="AM127" s="57"/>
    </row>
    <row r="128" spans="2:39" ht="15.75" customHeight="1">
      <c r="B128" s="136"/>
      <c r="C128" s="135"/>
      <c r="E128" s="176"/>
      <c r="G128" s="90"/>
      <c r="H128" s="90"/>
      <c r="I128" s="82"/>
      <c r="J128" s="137"/>
      <c r="K128" s="82"/>
      <c r="L128" s="240"/>
      <c r="M128" s="80"/>
      <c r="N128" s="271"/>
      <c r="O128" s="139"/>
      <c r="Q128" s="142"/>
      <c r="R128" s="57"/>
      <c r="S128" s="80"/>
      <c r="U128" s="142"/>
      <c r="V128" s="142"/>
      <c r="Z128" s="143"/>
      <c r="AA128" s="144"/>
      <c r="AB128" s="145"/>
      <c r="AC128" s="145"/>
      <c r="AD128" s="145"/>
      <c r="AE128" s="145"/>
      <c r="AF128" s="145"/>
      <c r="AG128" s="145"/>
      <c r="AH128" s="145"/>
      <c r="AK128" s="88"/>
      <c r="AL128" s="57"/>
      <c r="AM128" s="57"/>
    </row>
    <row r="129" spans="2:39" ht="15.75" customHeight="1">
      <c r="B129" s="136"/>
      <c r="C129" s="135"/>
      <c r="E129" s="176"/>
      <c r="G129" s="90"/>
      <c r="H129" s="90"/>
      <c r="I129" s="82"/>
      <c r="J129" s="137"/>
      <c r="K129" s="82"/>
      <c r="L129" s="240"/>
      <c r="M129" s="80"/>
      <c r="N129" s="271"/>
      <c r="O129" s="139"/>
      <c r="Q129" s="142"/>
      <c r="R129" s="57"/>
      <c r="S129" s="80"/>
      <c r="U129" s="142"/>
      <c r="V129" s="142"/>
      <c r="Z129" s="143"/>
      <c r="AA129" s="144"/>
      <c r="AB129" s="145"/>
      <c r="AC129" s="145"/>
      <c r="AD129" s="145"/>
      <c r="AE129" s="145"/>
      <c r="AF129" s="145"/>
      <c r="AG129" s="145"/>
      <c r="AH129" s="145"/>
      <c r="AK129" s="88"/>
      <c r="AL129" s="57"/>
      <c r="AM129" s="57"/>
    </row>
    <row r="130" spans="2:39" ht="15.75" customHeight="1">
      <c r="B130" s="136"/>
      <c r="C130" s="135"/>
      <c r="E130" s="176"/>
      <c r="G130" s="90"/>
      <c r="H130" s="90"/>
      <c r="I130" s="82"/>
      <c r="J130" s="137"/>
      <c r="K130" s="82"/>
      <c r="L130" s="240"/>
      <c r="M130" s="80"/>
      <c r="N130" s="271"/>
      <c r="O130" s="139"/>
      <c r="Q130" s="142"/>
      <c r="R130" s="57"/>
      <c r="S130" s="80"/>
      <c r="U130" s="142"/>
      <c r="V130" s="142"/>
      <c r="Z130" s="143"/>
      <c r="AA130" s="144"/>
      <c r="AB130" s="145"/>
      <c r="AC130" s="145"/>
      <c r="AD130" s="145"/>
      <c r="AE130" s="145"/>
      <c r="AF130" s="145"/>
      <c r="AG130" s="145"/>
      <c r="AH130" s="145"/>
      <c r="AK130" s="88"/>
      <c r="AL130" s="57"/>
      <c r="AM130" s="57"/>
    </row>
    <row r="131" spans="2:39" ht="15.75" customHeight="1">
      <c r="B131" s="136"/>
      <c r="C131" s="135"/>
      <c r="E131" s="176"/>
      <c r="G131" s="90"/>
      <c r="H131" s="90"/>
      <c r="I131" s="82"/>
      <c r="J131" s="137"/>
      <c r="K131" s="82"/>
      <c r="L131" s="240"/>
      <c r="M131" s="80"/>
      <c r="N131" s="271"/>
      <c r="O131" s="139"/>
      <c r="Q131" s="142"/>
      <c r="R131" s="57"/>
      <c r="S131" s="80"/>
      <c r="U131" s="142"/>
      <c r="V131" s="142"/>
      <c r="Z131" s="143"/>
      <c r="AA131" s="144"/>
      <c r="AB131" s="145"/>
      <c r="AC131" s="145"/>
      <c r="AD131" s="145"/>
      <c r="AE131" s="145"/>
      <c r="AF131" s="145"/>
      <c r="AG131" s="145"/>
      <c r="AH131" s="145"/>
      <c r="AK131" s="88"/>
      <c r="AL131" s="57"/>
      <c r="AM131" s="57"/>
    </row>
    <row r="132" spans="2:39" ht="15.75" customHeight="1">
      <c r="B132" s="136"/>
      <c r="C132" s="135"/>
      <c r="E132" s="176"/>
      <c r="G132" s="90"/>
      <c r="H132" s="90"/>
      <c r="I132" s="82"/>
      <c r="J132" s="137"/>
      <c r="K132" s="82"/>
      <c r="L132" s="240"/>
      <c r="M132" s="80"/>
      <c r="N132" s="271"/>
      <c r="O132" s="139"/>
      <c r="Q132" s="142"/>
      <c r="R132" s="57"/>
      <c r="S132" s="80"/>
      <c r="U132" s="142"/>
      <c r="V132" s="142"/>
      <c r="Z132" s="143"/>
      <c r="AA132" s="144"/>
      <c r="AB132" s="145"/>
      <c r="AC132" s="145"/>
      <c r="AD132" s="145"/>
      <c r="AE132" s="145"/>
      <c r="AF132" s="145"/>
      <c r="AG132" s="145"/>
      <c r="AH132" s="145"/>
      <c r="AK132" s="88"/>
      <c r="AL132" s="57"/>
      <c r="AM132" s="57"/>
    </row>
    <row r="133" spans="2:39" ht="15.75" customHeight="1">
      <c r="B133" s="136"/>
      <c r="C133" s="135"/>
      <c r="E133" s="176"/>
      <c r="G133" s="90"/>
      <c r="H133" s="90"/>
      <c r="I133" s="82"/>
      <c r="J133" s="137"/>
      <c r="K133" s="82"/>
      <c r="L133" s="240"/>
      <c r="M133" s="80"/>
      <c r="N133" s="271"/>
      <c r="O133" s="139"/>
      <c r="Q133" s="142"/>
      <c r="R133" s="57"/>
      <c r="S133" s="80"/>
      <c r="U133" s="142"/>
      <c r="V133" s="142"/>
      <c r="Z133" s="143"/>
      <c r="AA133" s="144"/>
      <c r="AB133" s="145"/>
      <c r="AC133" s="145"/>
      <c r="AD133" s="145"/>
      <c r="AE133" s="145"/>
      <c r="AF133" s="145"/>
      <c r="AG133" s="145"/>
      <c r="AH133" s="145"/>
      <c r="AK133" s="88"/>
      <c r="AL133" s="57"/>
      <c r="AM133" s="57"/>
    </row>
    <row r="134" spans="2:39" ht="15.75" customHeight="1">
      <c r="B134" s="136"/>
      <c r="C134" s="135"/>
      <c r="E134" s="176"/>
      <c r="G134" s="90"/>
      <c r="H134" s="90"/>
      <c r="I134" s="82"/>
      <c r="J134" s="137"/>
      <c r="K134" s="82"/>
      <c r="L134" s="240"/>
      <c r="M134" s="80"/>
      <c r="N134" s="271"/>
      <c r="O134" s="139"/>
      <c r="Q134" s="142"/>
      <c r="R134" s="57"/>
      <c r="S134" s="80"/>
      <c r="U134" s="142"/>
      <c r="V134" s="142"/>
      <c r="Z134" s="143"/>
      <c r="AA134" s="144"/>
      <c r="AB134" s="145"/>
      <c r="AC134" s="145"/>
      <c r="AD134" s="145"/>
      <c r="AE134" s="145"/>
      <c r="AF134" s="145"/>
      <c r="AG134" s="145"/>
      <c r="AH134" s="145"/>
      <c r="AK134" s="88"/>
      <c r="AL134" s="57"/>
      <c r="AM134" s="57"/>
    </row>
    <row r="135" spans="2:39" ht="15.75" customHeight="1">
      <c r="B135" s="136"/>
      <c r="C135" s="135"/>
      <c r="E135" s="176"/>
      <c r="G135" s="90"/>
      <c r="H135" s="90"/>
      <c r="I135" s="82"/>
      <c r="J135" s="137"/>
      <c r="K135" s="82"/>
      <c r="L135" s="240"/>
      <c r="M135" s="80"/>
      <c r="N135" s="271"/>
      <c r="O135" s="139"/>
      <c r="Q135" s="142"/>
      <c r="R135" s="57"/>
      <c r="S135" s="80"/>
      <c r="U135" s="142"/>
      <c r="V135" s="142"/>
      <c r="Z135" s="143"/>
      <c r="AA135" s="144"/>
      <c r="AB135" s="145"/>
      <c r="AC135" s="145"/>
      <c r="AD135" s="145"/>
      <c r="AE135" s="145"/>
      <c r="AF135" s="145"/>
      <c r="AG135" s="145"/>
      <c r="AH135" s="145"/>
      <c r="AK135" s="88"/>
      <c r="AL135" s="57"/>
      <c r="AM135" s="57"/>
    </row>
    <row r="136" spans="2:39" ht="15.75" customHeight="1">
      <c r="B136" s="136"/>
      <c r="C136" s="135"/>
      <c r="E136" s="176"/>
      <c r="G136" s="90"/>
      <c r="H136" s="90"/>
      <c r="I136" s="82"/>
      <c r="J136" s="137"/>
      <c r="K136" s="82"/>
      <c r="L136" s="240"/>
      <c r="M136" s="80"/>
      <c r="N136" s="271"/>
      <c r="O136" s="139"/>
      <c r="Q136" s="142"/>
      <c r="R136" s="57"/>
      <c r="S136" s="80"/>
      <c r="U136" s="142"/>
      <c r="V136" s="142"/>
      <c r="Z136" s="143"/>
      <c r="AA136" s="144"/>
      <c r="AB136" s="145"/>
      <c r="AC136" s="145"/>
      <c r="AD136" s="145"/>
      <c r="AE136" s="145"/>
      <c r="AF136" s="145"/>
      <c r="AG136" s="145"/>
      <c r="AH136" s="145"/>
      <c r="AK136" s="88"/>
      <c r="AL136" s="57"/>
      <c r="AM136" s="57"/>
    </row>
    <row r="137" spans="2:39" ht="15.75" customHeight="1">
      <c r="B137" s="136"/>
      <c r="C137" s="135"/>
      <c r="E137" s="176"/>
      <c r="G137" s="90"/>
      <c r="H137" s="90"/>
      <c r="I137" s="82"/>
      <c r="J137" s="137"/>
      <c r="K137" s="82"/>
      <c r="L137" s="240"/>
      <c r="M137" s="80"/>
      <c r="N137" s="271"/>
      <c r="O137" s="139"/>
      <c r="Q137" s="142"/>
      <c r="R137" s="57"/>
      <c r="S137" s="80"/>
      <c r="U137" s="142"/>
      <c r="V137" s="142"/>
      <c r="Z137" s="143"/>
      <c r="AA137" s="144"/>
      <c r="AB137" s="145"/>
      <c r="AC137" s="145"/>
      <c r="AD137" s="145"/>
      <c r="AE137" s="145"/>
      <c r="AF137" s="145"/>
      <c r="AG137" s="145"/>
      <c r="AH137" s="145"/>
      <c r="AK137" s="88"/>
      <c r="AL137" s="57"/>
      <c r="AM137" s="57"/>
    </row>
    <row r="138" spans="2:39" ht="15.75" customHeight="1">
      <c r="B138" s="136"/>
      <c r="C138" s="135"/>
      <c r="E138" s="176"/>
      <c r="G138" s="90"/>
      <c r="H138" s="90"/>
      <c r="I138" s="82"/>
      <c r="J138" s="137"/>
      <c r="K138" s="82"/>
      <c r="L138" s="240"/>
      <c r="M138" s="80"/>
      <c r="N138" s="271"/>
      <c r="O138" s="139"/>
      <c r="Q138" s="142"/>
      <c r="R138" s="57"/>
      <c r="S138" s="80"/>
      <c r="U138" s="142"/>
      <c r="V138" s="142"/>
      <c r="Z138" s="143"/>
      <c r="AA138" s="144"/>
      <c r="AB138" s="145"/>
      <c r="AC138" s="145"/>
      <c r="AD138" s="145"/>
      <c r="AE138" s="145"/>
      <c r="AF138" s="145"/>
      <c r="AG138" s="145"/>
      <c r="AH138" s="145"/>
      <c r="AK138" s="88"/>
      <c r="AL138" s="57"/>
      <c r="AM138" s="57"/>
    </row>
    <row r="139" spans="2:39" ht="15.75" customHeight="1">
      <c r="B139" s="136"/>
      <c r="C139" s="135"/>
      <c r="E139" s="176"/>
      <c r="G139" s="90"/>
      <c r="H139" s="90"/>
      <c r="I139" s="82"/>
      <c r="J139" s="137"/>
      <c r="K139" s="82"/>
      <c r="L139" s="240"/>
      <c r="M139" s="80"/>
      <c r="N139" s="271"/>
      <c r="O139" s="139"/>
      <c r="Q139" s="142"/>
      <c r="R139" s="57"/>
      <c r="S139" s="80"/>
      <c r="U139" s="142"/>
      <c r="V139" s="142"/>
      <c r="Z139" s="143"/>
      <c r="AA139" s="144"/>
      <c r="AB139" s="145"/>
      <c r="AC139" s="145"/>
      <c r="AD139" s="145"/>
      <c r="AE139" s="145"/>
      <c r="AF139" s="145"/>
      <c r="AG139" s="145"/>
      <c r="AH139" s="145"/>
      <c r="AK139" s="88"/>
      <c r="AL139" s="57"/>
      <c r="AM139" s="57"/>
    </row>
    <row r="140" spans="2:39" ht="15.75" customHeight="1">
      <c r="B140" s="136"/>
      <c r="C140" s="135"/>
      <c r="E140" s="176"/>
      <c r="G140" s="90"/>
      <c r="H140" s="90"/>
      <c r="I140" s="82"/>
      <c r="J140" s="137"/>
      <c r="K140" s="82"/>
      <c r="L140" s="240"/>
      <c r="M140" s="80"/>
      <c r="N140" s="271"/>
      <c r="O140" s="139"/>
      <c r="Q140" s="142"/>
      <c r="R140" s="57"/>
      <c r="S140" s="80"/>
      <c r="U140" s="142"/>
      <c r="V140" s="142"/>
      <c r="Z140" s="143"/>
      <c r="AA140" s="144"/>
      <c r="AB140" s="145"/>
      <c r="AC140" s="145"/>
      <c r="AD140" s="145"/>
      <c r="AE140" s="145"/>
      <c r="AF140" s="145"/>
      <c r="AG140" s="145"/>
      <c r="AH140" s="145"/>
      <c r="AK140" s="88"/>
      <c r="AL140" s="57"/>
      <c r="AM140" s="57"/>
    </row>
    <row r="141" spans="2:39" ht="15.75" customHeight="1">
      <c r="B141" s="136"/>
      <c r="C141" s="135"/>
      <c r="E141" s="176"/>
      <c r="G141" s="90"/>
      <c r="H141" s="90"/>
      <c r="I141" s="82"/>
      <c r="J141" s="137"/>
      <c r="K141" s="82"/>
      <c r="L141" s="240"/>
      <c r="M141" s="80"/>
      <c r="N141" s="271"/>
      <c r="O141" s="139"/>
      <c r="Q141" s="142"/>
      <c r="R141" s="57"/>
      <c r="S141" s="80"/>
      <c r="U141" s="142"/>
      <c r="V141" s="142"/>
      <c r="Z141" s="143"/>
      <c r="AA141" s="144"/>
      <c r="AB141" s="145"/>
      <c r="AC141" s="145"/>
      <c r="AD141" s="145"/>
      <c r="AE141" s="145"/>
      <c r="AF141" s="145"/>
      <c r="AG141" s="145"/>
      <c r="AH141" s="145"/>
      <c r="AK141" s="88"/>
      <c r="AL141" s="57"/>
      <c r="AM141" s="57"/>
    </row>
    <row r="142" spans="2:39" ht="15.75" customHeight="1">
      <c r="B142" s="136"/>
      <c r="C142" s="135"/>
      <c r="E142" s="176"/>
      <c r="G142" s="90"/>
      <c r="H142" s="90"/>
      <c r="I142" s="82"/>
      <c r="J142" s="137"/>
      <c r="K142" s="82"/>
      <c r="L142" s="240"/>
      <c r="M142" s="80"/>
      <c r="N142" s="271"/>
      <c r="O142" s="139"/>
      <c r="Q142" s="142"/>
      <c r="R142" s="57"/>
      <c r="S142" s="80"/>
      <c r="U142" s="142"/>
      <c r="V142" s="142"/>
      <c r="Z142" s="143"/>
      <c r="AA142" s="144"/>
      <c r="AB142" s="145"/>
      <c r="AC142" s="145"/>
      <c r="AD142" s="145"/>
      <c r="AE142" s="145"/>
      <c r="AF142" s="145"/>
      <c r="AG142" s="145"/>
      <c r="AH142" s="145"/>
      <c r="AK142" s="88"/>
      <c r="AL142" s="57"/>
      <c r="AM142" s="57"/>
    </row>
    <row r="143" spans="2:39" ht="15.75" customHeight="1">
      <c r="B143" s="136"/>
      <c r="C143" s="135"/>
      <c r="E143" s="176"/>
      <c r="G143" s="90"/>
      <c r="H143" s="90"/>
      <c r="I143" s="82"/>
      <c r="J143" s="137"/>
      <c r="K143" s="82"/>
      <c r="L143" s="240"/>
      <c r="M143" s="80"/>
      <c r="N143" s="271"/>
      <c r="O143" s="139"/>
      <c r="Q143" s="142"/>
      <c r="R143" s="57"/>
      <c r="S143" s="80"/>
      <c r="U143" s="142"/>
      <c r="V143" s="142"/>
      <c r="Z143" s="143"/>
      <c r="AA143" s="144"/>
      <c r="AB143" s="145"/>
      <c r="AC143" s="145"/>
      <c r="AD143" s="145"/>
      <c r="AE143" s="145"/>
      <c r="AF143" s="145"/>
      <c r="AG143" s="145"/>
      <c r="AH143" s="145"/>
      <c r="AK143" s="88"/>
      <c r="AL143" s="57"/>
      <c r="AM143" s="57"/>
    </row>
    <row r="144" spans="2:39" ht="15.75" customHeight="1">
      <c r="B144" s="136"/>
      <c r="C144" s="135"/>
      <c r="E144" s="176"/>
      <c r="G144" s="90"/>
      <c r="H144" s="90"/>
      <c r="I144" s="82"/>
      <c r="J144" s="137"/>
      <c r="K144" s="82"/>
      <c r="L144" s="240"/>
      <c r="M144" s="80"/>
      <c r="N144" s="271"/>
      <c r="O144" s="139"/>
      <c r="Q144" s="142"/>
      <c r="R144" s="57"/>
      <c r="S144" s="80"/>
      <c r="U144" s="142"/>
      <c r="V144" s="142"/>
      <c r="Z144" s="143"/>
      <c r="AA144" s="144"/>
      <c r="AB144" s="145"/>
      <c r="AC144" s="145"/>
      <c r="AD144" s="145"/>
      <c r="AE144" s="145"/>
      <c r="AF144" s="145"/>
      <c r="AG144" s="145"/>
      <c r="AH144" s="145"/>
      <c r="AK144" s="88"/>
      <c r="AL144" s="57"/>
      <c r="AM144" s="57"/>
    </row>
    <row r="145" spans="2:39" ht="15.75" customHeight="1">
      <c r="B145" s="136"/>
      <c r="C145" s="135"/>
      <c r="E145" s="176"/>
      <c r="G145" s="90"/>
      <c r="H145" s="90"/>
      <c r="I145" s="82"/>
      <c r="J145" s="137"/>
      <c r="K145" s="82"/>
      <c r="L145" s="240"/>
      <c r="M145" s="80"/>
      <c r="N145" s="271"/>
      <c r="O145" s="139"/>
      <c r="Q145" s="142"/>
      <c r="R145" s="57"/>
      <c r="S145" s="80"/>
      <c r="U145" s="142"/>
      <c r="V145" s="142"/>
      <c r="Z145" s="143"/>
      <c r="AA145" s="144"/>
      <c r="AB145" s="145"/>
      <c r="AC145" s="145"/>
      <c r="AD145" s="145"/>
      <c r="AE145" s="145"/>
      <c r="AF145" s="145"/>
      <c r="AG145" s="145"/>
      <c r="AH145" s="145"/>
      <c r="AK145" s="88"/>
      <c r="AL145" s="57"/>
      <c r="AM145" s="57"/>
    </row>
    <row r="146" spans="2:39" ht="15.75" customHeight="1">
      <c r="B146" s="136"/>
      <c r="C146" s="135"/>
      <c r="E146" s="176"/>
      <c r="G146" s="90"/>
      <c r="H146" s="90"/>
      <c r="I146" s="82"/>
      <c r="J146" s="137"/>
      <c r="K146" s="82"/>
      <c r="L146" s="240"/>
      <c r="M146" s="80"/>
      <c r="N146" s="271"/>
      <c r="O146" s="139"/>
      <c r="Q146" s="142"/>
      <c r="R146" s="57"/>
      <c r="S146" s="80"/>
      <c r="U146" s="142"/>
      <c r="V146" s="142"/>
      <c r="Z146" s="143"/>
      <c r="AA146" s="144"/>
      <c r="AB146" s="145"/>
      <c r="AC146" s="145"/>
      <c r="AD146" s="145"/>
      <c r="AE146" s="145"/>
      <c r="AF146" s="145"/>
      <c r="AG146" s="145"/>
      <c r="AH146" s="145"/>
      <c r="AK146" s="88"/>
      <c r="AL146" s="57"/>
      <c r="AM146" s="57"/>
    </row>
    <row r="147" spans="2:39" ht="15.75" customHeight="1">
      <c r="B147" s="136"/>
      <c r="C147" s="135"/>
      <c r="E147" s="176"/>
      <c r="G147" s="90"/>
      <c r="H147" s="90"/>
      <c r="I147" s="82"/>
      <c r="J147" s="137"/>
      <c r="K147" s="82"/>
      <c r="L147" s="240"/>
      <c r="M147" s="80"/>
      <c r="N147" s="271"/>
      <c r="O147" s="139"/>
      <c r="Q147" s="142"/>
      <c r="R147" s="57"/>
      <c r="S147" s="80"/>
      <c r="U147" s="142"/>
      <c r="V147" s="142"/>
      <c r="Z147" s="143"/>
      <c r="AA147" s="144"/>
      <c r="AB147" s="145"/>
      <c r="AC147" s="145"/>
      <c r="AD147" s="145"/>
      <c r="AE147" s="145"/>
      <c r="AF147" s="145"/>
      <c r="AG147" s="145"/>
      <c r="AH147" s="145"/>
      <c r="AK147" s="88"/>
      <c r="AL147" s="57"/>
      <c r="AM147" s="57"/>
    </row>
    <row r="148" spans="2:39" ht="15.75" customHeight="1">
      <c r="B148" s="136"/>
      <c r="C148" s="135"/>
      <c r="E148" s="176"/>
      <c r="G148" s="90"/>
      <c r="H148" s="90"/>
      <c r="I148" s="82"/>
      <c r="J148" s="137"/>
      <c r="K148" s="82"/>
      <c r="L148" s="240"/>
      <c r="M148" s="80"/>
      <c r="N148" s="271"/>
      <c r="O148" s="139"/>
      <c r="Q148" s="142"/>
      <c r="R148" s="57"/>
      <c r="S148" s="80"/>
      <c r="U148" s="142"/>
      <c r="V148" s="142"/>
      <c r="Z148" s="143"/>
      <c r="AA148" s="144"/>
      <c r="AB148" s="145"/>
      <c r="AC148" s="145"/>
      <c r="AD148" s="145"/>
      <c r="AE148" s="145"/>
      <c r="AF148" s="145"/>
      <c r="AG148" s="145"/>
      <c r="AH148" s="145"/>
      <c r="AK148" s="88"/>
      <c r="AL148" s="57"/>
      <c r="AM148" s="57"/>
    </row>
    <row r="149" spans="2:39" ht="15.75" customHeight="1">
      <c r="B149" s="136"/>
      <c r="C149" s="135"/>
      <c r="E149" s="176"/>
      <c r="G149" s="90"/>
      <c r="H149" s="90"/>
      <c r="I149" s="82"/>
      <c r="J149" s="137"/>
      <c r="K149" s="82"/>
      <c r="L149" s="240"/>
      <c r="M149" s="80"/>
      <c r="N149" s="271"/>
      <c r="O149" s="139"/>
      <c r="Q149" s="142"/>
      <c r="R149" s="57"/>
      <c r="S149" s="80"/>
      <c r="U149" s="142"/>
      <c r="V149" s="142"/>
      <c r="Z149" s="143"/>
      <c r="AA149" s="144"/>
      <c r="AB149" s="145"/>
      <c r="AC149" s="145"/>
      <c r="AD149" s="145"/>
      <c r="AE149" s="145"/>
      <c r="AF149" s="145"/>
      <c r="AG149" s="145"/>
      <c r="AH149" s="145"/>
      <c r="AK149" s="88"/>
      <c r="AL149" s="57"/>
      <c r="AM149" s="57"/>
    </row>
    <row r="150" spans="2:39" ht="15.75" customHeight="1">
      <c r="B150" s="136"/>
      <c r="C150" s="135"/>
      <c r="E150" s="176"/>
      <c r="G150" s="90"/>
      <c r="H150" s="90"/>
      <c r="I150" s="82"/>
      <c r="J150" s="137"/>
      <c r="K150" s="82"/>
      <c r="L150" s="240"/>
      <c r="M150" s="80"/>
      <c r="N150" s="271"/>
      <c r="O150" s="139"/>
      <c r="Q150" s="142"/>
      <c r="R150" s="57"/>
      <c r="S150" s="80"/>
      <c r="U150" s="142"/>
      <c r="V150" s="142"/>
      <c r="Z150" s="143"/>
      <c r="AA150" s="144"/>
      <c r="AB150" s="145"/>
      <c r="AC150" s="145"/>
      <c r="AD150" s="145"/>
      <c r="AE150" s="145"/>
      <c r="AF150" s="145"/>
      <c r="AG150" s="145"/>
      <c r="AH150" s="145"/>
      <c r="AK150" s="88"/>
      <c r="AL150" s="57"/>
      <c r="AM150" s="57"/>
    </row>
    <row r="151" spans="2:39" ht="15.75" customHeight="1">
      <c r="B151" s="136"/>
      <c r="C151" s="135"/>
      <c r="E151" s="176"/>
      <c r="G151" s="90"/>
      <c r="H151" s="90"/>
      <c r="I151" s="82"/>
      <c r="J151" s="137"/>
      <c r="K151" s="82"/>
      <c r="L151" s="240"/>
      <c r="M151" s="80"/>
      <c r="N151" s="271"/>
      <c r="O151" s="139"/>
      <c r="Q151" s="142"/>
      <c r="R151" s="57"/>
      <c r="S151" s="80"/>
      <c r="U151" s="142"/>
      <c r="V151" s="142"/>
      <c r="Z151" s="143"/>
      <c r="AA151" s="144"/>
      <c r="AB151" s="145"/>
      <c r="AC151" s="145"/>
      <c r="AD151" s="145"/>
      <c r="AE151" s="145"/>
      <c r="AF151" s="145"/>
      <c r="AG151" s="145"/>
      <c r="AH151" s="145"/>
      <c r="AK151" s="88"/>
      <c r="AL151" s="57"/>
      <c r="AM151" s="57"/>
    </row>
    <row r="152" spans="2:39" ht="15.75" customHeight="1">
      <c r="B152" s="136"/>
      <c r="C152" s="135"/>
      <c r="E152" s="176"/>
      <c r="G152" s="90"/>
      <c r="H152" s="90"/>
      <c r="I152" s="82"/>
      <c r="J152" s="137"/>
      <c r="K152" s="82"/>
      <c r="L152" s="240"/>
      <c r="M152" s="80"/>
      <c r="N152" s="271"/>
      <c r="O152" s="139"/>
      <c r="Q152" s="142"/>
      <c r="R152" s="57"/>
      <c r="S152" s="80"/>
      <c r="U152" s="142"/>
      <c r="V152" s="142"/>
      <c r="Z152" s="143"/>
      <c r="AA152" s="144"/>
      <c r="AB152" s="145"/>
      <c r="AC152" s="145"/>
      <c r="AD152" s="145"/>
      <c r="AE152" s="145"/>
      <c r="AF152" s="145"/>
      <c r="AG152" s="145"/>
      <c r="AH152" s="145"/>
      <c r="AK152" s="88"/>
      <c r="AL152" s="57"/>
      <c r="AM152" s="57"/>
    </row>
    <row r="153" spans="2:39" ht="15.75" customHeight="1">
      <c r="B153" s="136"/>
      <c r="C153" s="135"/>
      <c r="E153" s="176"/>
      <c r="G153" s="90"/>
      <c r="H153" s="90"/>
      <c r="I153" s="82"/>
      <c r="J153" s="137"/>
      <c r="K153" s="82"/>
      <c r="L153" s="240"/>
      <c r="M153" s="80"/>
      <c r="N153" s="271"/>
      <c r="O153" s="139"/>
      <c r="Q153" s="142"/>
      <c r="R153" s="57"/>
      <c r="S153" s="80"/>
      <c r="U153" s="142"/>
      <c r="V153" s="142"/>
      <c r="Z153" s="143"/>
      <c r="AA153" s="144"/>
      <c r="AB153" s="145"/>
      <c r="AC153" s="145"/>
      <c r="AD153" s="145"/>
      <c r="AE153" s="145"/>
      <c r="AF153" s="145"/>
      <c r="AG153" s="145"/>
      <c r="AH153" s="145"/>
      <c r="AK153" s="88"/>
      <c r="AL153" s="57"/>
      <c r="AM153" s="57"/>
    </row>
    <row r="154" spans="2:39" ht="15.75" customHeight="1">
      <c r="B154" s="136"/>
      <c r="C154" s="135"/>
      <c r="E154" s="176"/>
      <c r="G154" s="90"/>
      <c r="H154" s="90"/>
      <c r="I154" s="82"/>
      <c r="J154" s="137"/>
      <c r="K154" s="82"/>
      <c r="L154" s="240"/>
      <c r="M154" s="80"/>
      <c r="N154" s="271"/>
      <c r="O154" s="139"/>
      <c r="Q154" s="142"/>
      <c r="R154" s="57"/>
      <c r="S154" s="80"/>
      <c r="U154" s="142"/>
      <c r="V154" s="142"/>
      <c r="Z154" s="143"/>
      <c r="AA154" s="144"/>
      <c r="AB154" s="145"/>
      <c r="AC154" s="145"/>
      <c r="AD154" s="145"/>
      <c r="AE154" s="145"/>
      <c r="AF154" s="145"/>
      <c r="AG154" s="145"/>
      <c r="AH154" s="145"/>
      <c r="AK154" s="88"/>
      <c r="AL154" s="57"/>
      <c r="AM154" s="57"/>
    </row>
    <row r="155" spans="2:39" ht="15.75" customHeight="1">
      <c r="B155" s="136"/>
      <c r="AB155" s="83"/>
      <c r="AC155" s="83"/>
      <c r="AD155" s="83"/>
      <c r="AE155" s="83"/>
      <c r="AF155" s="83"/>
      <c r="AG155" s="83"/>
      <c r="AH155" s="83"/>
      <c r="AK155" s="88"/>
      <c r="AL155" s="57"/>
      <c r="AM155" s="57"/>
    </row>
    <row r="156" spans="2:39" ht="15.75" customHeight="1">
      <c r="B156" s="136"/>
      <c r="AB156" s="83"/>
      <c r="AC156" s="83"/>
      <c r="AD156" s="83"/>
      <c r="AE156" s="83"/>
      <c r="AF156" s="83"/>
      <c r="AG156" s="83"/>
      <c r="AH156" s="83"/>
      <c r="AK156" s="88"/>
      <c r="AL156" s="57"/>
      <c r="AM156" s="57"/>
    </row>
    <row r="157" spans="2:39" ht="15.75" customHeight="1">
      <c r="B157" s="136"/>
      <c r="AB157" s="83"/>
      <c r="AC157" s="83"/>
      <c r="AD157" s="83"/>
      <c r="AE157" s="83"/>
      <c r="AF157" s="83"/>
      <c r="AG157" s="83"/>
      <c r="AH157" s="83"/>
      <c r="AK157" s="88"/>
      <c r="AL157" s="57"/>
      <c r="AM157" s="57"/>
    </row>
    <row r="158" spans="2:39" ht="15.75" customHeight="1">
      <c r="B158" s="136"/>
      <c r="AB158" s="83"/>
      <c r="AC158" s="83"/>
      <c r="AD158" s="83"/>
      <c r="AE158" s="83"/>
      <c r="AF158" s="83"/>
      <c r="AG158" s="83"/>
      <c r="AH158" s="83"/>
      <c r="AK158" s="88"/>
      <c r="AL158" s="57"/>
      <c r="AM158" s="57"/>
    </row>
    <row r="159" spans="2:39" ht="15.75" customHeight="1">
      <c r="B159" s="136"/>
      <c r="AB159" s="83"/>
      <c r="AC159" s="83"/>
      <c r="AD159" s="83"/>
      <c r="AE159" s="83"/>
      <c r="AF159" s="83"/>
      <c r="AG159" s="83"/>
      <c r="AH159" s="83"/>
      <c r="AK159" s="88"/>
      <c r="AL159" s="57"/>
      <c r="AM159" s="57"/>
    </row>
    <row r="160" spans="2:39" ht="15.75" customHeight="1">
      <c r="B160" s="136"/>
      <c r="AB160" s="83"/>
      <c r="AC160" s="83"/>
      <c r="AD160" s="83"/>
      <c r="AE160" s="83"/>
      <c r="AF160" s="83"/>
      <c r="AG160" s="83"/>
      <c r="AH160" s="83"/>
      <c r="AK160" s="88"/>
      <c r="AL160" s="57"/>
      <c r="AM160" s="57"/>
    </row>
    <row r="161" spans="2:39" ht="15.75" customHeight="1">
      <c r="B161" s="136"/>
      <c r="AB161" s="83"/>
      <c r="AC161" s="83"/>
      <c r="AD161" s="83"/>
      <c r="AE161" s="83"/>
      <c r="AF161" s="83"/>
      <c r="AG161" s="83"/>
      <c r="AH161" s="83"/>
      <c r="AK161" s="88"/>
      <c r="AL161" s="57"/>
      <c r="AM161" s="57"/>
    </row>
    <row r="162" spans="2:39" ht="15.75" customHeight="1">
      <c r="B162" s="136"/>
      <c r="AB162" s="83"/>
      <c r="AC162" s="83"/>
      <c r="AD162" s="83"/>
      <c r="AE162" s="83"/>
      <c r="AF162" s="83"/>
      <c r="AG162" s="83"/>
      <c r="AH162" s="83"/>
      <c r="AK162" s="88"/>
      <c r="AL162" s="57"/>
      <c r="AM162" s="57"/>
    </row>
    <row r="163" spans="2:39" ht="15.75" customHeight="1">
      <c r="B163" s="136"/>
      <c r="AB163" s="83"/>
      <c r="AC163" s="83"/>
      <c r="AD163" s="83"/>
      <c r="AE163" s="83"/>
      <c r="AF163" s="83"/>
      <c r="AG163" s="83"/>
      <c r="AH163" s="83"/>
      <c r="AK163" s="88"/>
      <c r="AL163" s="57"/>
      <c r="AM163" s="57"/>
    </row>
    <row r="164" spans="2:39" ht="15.75" customHeight="1">
      <c r="B164" s="136"/>
      <c r="AB164" s="83"/>
      <c r="AC164" s="83"/>
      <c r="AD164" s="83"/>
      <c r="AE164" s="83"/>
      <c r="AF164" s="83"/>
      <c r="AG164" s="83"/>
      <c r="AH164" s="83"/>
      <c r="AK164" s="88"/>
      <c r="AL164" s="57"/>
      <c r="AM164" s="57"/>
    </row>
    <row r="165" spans="2:39" ht="15.75" customHeight="1">
      <c r="B165" s="136"/>
      <c r="AB165" s="83"/>
      <c r="AC165" s="83"/>
      <c r="AD165" s="83"/>
      <c r="AE165" s="83"/>
      <c r="AF165" s="83"/>
      <c r="AG165" s="83"/>
      <c r="AH165" s="83"/>
      <c r="AK165" s="88"/>
      <c r="AL165" s="57"/>
      <c r="AM165" s="57"/>
    </row>
    <row r="166" spans="2:39" ht="15.75" customHeight="1">
      <c r="B166" s="136"/>
      <c r="AB166" s="83"/>
      <c r="AC166" s="83"/>
      <c r="AD166" s="83"/>
      <c r="AE166" s="83"/>
      <c r="AF166" s="83"/>
      <c r="AG166" s="83"/>
      <c r="AH166" s="83"/>
      <c r="AK166" s="88"/>
      <c r="AL166" s="57"/>
      <c r="AM166" s="57"/>
    </row>
    <row r="167" spans="2:39" ht="15.75" customHeight="1">
      <c r="B167" s="136"/>
      <c r="AB167" s="83"/>
      <c r="AC167" s="83"/>
      <c r="AD167" s="83"/>
      <c r="AE167" s="83"/>
      <c r="AF167" s="83"/>
      <c r="AG167" s="83"/>
      <c r="AH167" s="83"/>
      <c r="AK167" s="88"/>
      <c r="AL167" s="57"/>
      <c r="AM167" s="57"/>
    </row>
    <row r="168" spans="2:39" ht="15.75" customHeight="1">
      <c r="B168" s="136"/>
      <c r="AB168" s="83"/>
      <c r="AC168" s="83"/>
      <c r="AD168" s="83"/>
      <c r="AE168" s="83"/>
      <c r="AF168" s="83"/>
      <c r="AG168" s="83"/>
      <c r="AH168" s="83"/>
      <c r="AK168" s="88"/>
      <c r="AL168" s="57"/>
      <c r="AM168" s="57"/>
    </row>
    <row r="169" spans="2:39" ht="15.75" customHeight="1">
      <c r="B169" s="136"/>
      <c r="AB169" s="83"/>
      <c r="AC169" s="83"/>
      <c r="AD169" s="83"/>
      <c r="AE169" s="83"/>
      <c r="AF169" s="83"/>
      <c r="AG169" s="83"/>
      <c r="AH169" s="83"/>
      <c r="AK169" s="88"/>
      <c r="AL169" s="57"/>
      <c r="AM169" s="57"/>
    </row>
    <row r="170" spans="2:39" ht="15.75" customHeight="1">
      <c r="B170" s="136"/>
      <c r="AB170" s="83"/>
      <c r="AC170" s="83"/>
      <c r="AD170" s="83"/>
      <c r="AE170" s="83"/>
      <c r="AF170" s="83"/>
      <c r="AG170" s="83"/>
      <c r="AH170" s="83"/>
      <c r="AK170" s="88"/>
      <c r="AL170" s="57"/>
      <c r="AM170" s="57"/>
    </row>
    <row r="171" spans="2:39" ht="15.75" customHeight="1">
      <c r="B171" s="136"/>
      <c r="AB171" s="83"/>
      <c r="AC171" s="83"/>
      <c r="AD171" s="83"/>
      <c r="AE171" s="83"/>
      <c r="AF171" s="83"/>
      <c r="AG171" s="83"/>
      <c r="AH171" s="83"/>
      <c r="AK171" s="88"/>
      <c r="AL171" s="57"/>
      <c r="AM171" s="57"/>
    </row>
    <row r="172" spans="2:39" ht="15.75" customHeight="1">
      <c r="B172" s="136"/>
      <c r="AB172" s="83"/>
      <c r="AC172" s="83"/>
      <c r="AD172" s="83"/>
      <c r="AE172" s="83"/>
      <c r="AF172" s="83"/>
      <c r="AG172" s="83"/>
      <c r="AH172" s="83"/>
      <c r="AK172" s="88"/>
      <c r="AL172" s="57"/>
      <c r="AM172" s="57"/>
    </row>
    <row r="173" spans="2:39" ht="15.75" customHeight="1">
      <c r="B173" s="136"/>
      <c r="AB173" s="83"/>
      <c r="AC173" s="83"/>
      <c r="AD173" s="83"/>
      <c r="AE173" s="83"/>
      <c r="AF173" s="83"/>
      <c r="AG173" s="83"/>
      <c r="AH173" s="83"/>
      <c r="AK173" s="88"/>
      <c r="AL173" s="57"/>
      <c r="AM173" s="57"/>
    </row>
    <row r="174" spans="2:39" ht="15.75" customHeight="1">
      <c r="B174" s="136"/>
      <c r="AB174" s="83"/>
      <c r="AC174" s="83"/>
      <c r="AD174" s="83"/>
      <c r="AE174" s="83"/>
      <c r="AF174" s="83"/>
      <c r="AG174" s="83"/>
      <c r="AH174" s="83"/>
      <c r="AK174" s="88"/>
      <c r="AL174" s="57"/>
      <c r="AM174" s="57"/>
    </row>
    <row r="175" spans="2:39" ht="15.75" customHeight="1">
      <c r="B175" s="136"/>
      <c r="AB175" s="83"/>
      <c r="AC175" s="83"/>
      <c r="AD175" s="83"/>
      <c r="AE175" s="83"/>
      <c r="AF175" s="83"/>
      <c r="AG175" s="83"/>
      <c r="AH175" s="83"/>
      <c r="AK175" s="88"/>
      <c r="AL175" s="57"/>
      <c r="AM175" s="57"/>
    </row>
    <row r="176" spans="2:39" ht="15.75" customHeight="1">
      <c r="B176" s="136"/>
      <c r="AB176" s="83"/>
      <c r="AC176" s="83"/>
      <c r="AD176" s="83"/>
      <c r="AE176" s="83"/>
      <c r="AF176" s="83"/>
      <c r="AG176" s="83"/>
      <c r="AH176" s="83"/>
      <c r="AK176" s="88"/>
      <c r="AL176" s="57"/>
      <c r="AM176" s="57"/>
    </row>
    <row r="177" spans="2:39" ht="15.75" customHeight="1">
      <c r="B177" s="135"/>
      <c r="AB177" s="83"/>
      <c r="AC177" s="83"/>
      <c r="AD177" s="83"/>
      <c r="AE177" s="83"/>
      <c r="AF177" s="83"/>
      <c r="AG177" s="83"/>
      <c r="AH177" s="83"/>
      <c r="AK177" s="88"/>
      <c r="AL177" s="57"/>
      <c r="AM177" s="57"/>
    </row>
    <row r="178" spans="2:39" ht="15.75" customHeight="1">
      <c r="B178" s="135"/>
      <c r="AB178" s="83"/>
      <c r="AC178" s="83"/>
      <c r="AD178" s="83"/>
      <c r="AE178" s="83"/>
      <c r="AF178" s="83"/>
      <c r="AG178" s="83"/>
      <c r="AH178" s="83"/>
      <c r="AK178" s="88"/>
      <c r="AL178" s="57"/>
      <c r="AM178" s="57"/>
    </row>
    <row r="179" spans="2:39" ht="15.75" customHeight="1">
      <c r="B179" s="135"/>
      <c r="AB179" s="83"/>
      <c r="AC179" s="83"/>
      <c r="AD179" s="83"/>
      <c r="AE179" s="83"/>
      <c r="AF179" s="83"/>
      <c r="AG179" s="83"/>
      <c r="AH179" s="83"/>
      <c r="AK179" s="88"/>
      <c r="AL179" s="57"/>
      <c r="AM179" s="57"/>
    </row>
    <row r="180" spans="2:39" ht="15.75" customHeight="1">
      <c r="B180" s="135"/>
      <c r="AB180" s="83"/>
      <c r="AC180" s="83"/>
      <c r="AD180" s="83"/>
      <c r="AE180" s="83"/>
      <c r="AF180" s="83"/>
      <c r="AG180" s="83"/>
      <c r="AH180" s="83"/>
      <c r="AK180" s="88"/>
      <c r="AL180" s="57"/>
      <c r="AM180" s="57"/>
    </row>
    <row r="181" spans="2:39" ht="15.75" customHeight="1">
      <c r="B181" s="135"/>
      <c r="AB181" s="83"/>
      <c r="AC181" s="83"/>
      <c r="AD181" s="83"/>
      <c r="AE181" s="83"/>
      <c r="AF181" s="83"/>
      <c r="AG181" s="83"/>
      <c r="AH181" s="83"/>
      <c r="AK181" s="88"/>
      <c r="AL181" s="57"/>
      <c r="AM181" s="57"/>
    </row>
    <row r="182" spans="2:39" ht="15.75" customHeight="1">
      <c r="B182" s="135"/>
      <c r="AB182" s="83"/>
      <c r="AC182" s="83"/>
      <c r="AD182" s="83"/>
      <c r="AE182" s="83"/>
      <c r="AF182" s="83"/>
      <c r="AG182" s="83"/>
      <c r="AH182" s="83"/>
      <c r="AK182" s="88"/>
      <c r="AL182" s="57"/>
      <c r="AM182" s="57"/>
    </row>
    <row r="183" spans="2:39" ht="15.75" customHeight="1">
      <c r="B183" s="135"/>
      <c r="AB183" s="83"/>
      <c r="AC183" s="83"/>
      <c r="AD183" s="83"/>
      <c r="AE183" s="83"/>
      <c r="AF183" s="83"/>
      <c r="AG183" s="83"/>
      <c r="AH183" s="83"/>
      <c r="AK183" s="88"/>
      <c r="AL183" s="57"/>
      <c r="AM183" s="57"/>
    </row>
    <row r="184" spans="2:39" ht="15.75" customHeight="1">
      <c r="B184" s="135"/>
      <c r="AB184" s="83"/>
      <c r="AC184" s="83"/>
      <c r="AD184" s="83"/>
      <c r="AE184" s="83"/>
      <c r="AF184" s="83"/>
      <c r="AG184" s="83"/>
      <c r="AH184" s="83"/>
      <c r="AK184" s="88"/>
      <c r="AL184" s="57"/>
      <c r="AM184" s="57"/>
    </row>
    <row r="185" spans="2:39" ht="15.75" customHeight="1">
      <c r="B185" s="135"/>
      <c r="AB185" s="83"/>
      <c r="AC185" s="83"/>
      <c r="AD185" s="83"/>
      <c r="AE185" s="83"/>
      <c r="AF185" s="83"/>
      <c r="AG185" s="83"/>
      <c r="AH185" s="83"/>
      <c r="AK185" s="88"/>
      <c r="AL185" s="57"/>
      <c r="AM185" s="57"/>
    </row>
    <row r="186" spans="2:39" ht="15.75" customHeight="1">
      <c r="B186" s="135"/>
      <c r="AB186" s="83"/>
      <c r="AC186" s="83"/>
      <c r="AD186" s="83"/>
      <c r="AE186" s="83"/>
      <c r="AF186" s="83"/>
      <c r="AG186" s="83"/>
      <c r="AH186" s="83"/>
      <c r="AK186" s="88"/>
      <c r="AL186" s="57"/>
      <c r="AM186" s="57"/>
    </row>
    <row r="187" spans="2:39" ht="15.75" customHeight="1">
      <c r="B187" s="135"/>
      <c r="AB187" s="83"/>
      <c r="AC187" s="83"/>
      <c r="AD187" s="83"/>
      <c r="AE187" s="83"/>
      <c r="AF187" s="83"/>
      <c r="AG187" s="83"/>
      <c r="AH187" s="83"/>
      <c r="AK187" s="88"/>
      <c r="AL187" s="57"/>
      <c r="AM187" s="57"/>
    </row>
    <row r="188" spans="2:39" ht="15.75" customHeight="1">
      <c r="B188" s="135"/>
      <c r="AB188" s="83"/>
      <c r="AC188" s="83"/>
      <c r="AD188" s="83"/>
      <c r="AE188" s="83"/>
      <c r="AF188" s="83"/>
      <c r="AG188" s="83"/>
      <c r="AH188" s="83"/>
      <c r="AK188" s="88"/>
      <c r="AL188" s="57"/>
      <c r="AM188" s="57"/>
    </row>
    <row r="189" spans="2:39" ht="15.75" customHeight="1">
      <c r="B189" s="135"/>
      <c r="AB189" s="83"/>
      <c r="AC189" s="83"/>
      <c r="AD189" s="83"/>
      <c r="AE189" s="83"/>
      <c r="AF189" s="83"/>
      <c r="AG189" s="83"/>
      <c r="AH189" s="83"/>
      <c r="AK189" s="88"/>
      <c r="AL189" s="57"/>
      <c r="AM189" s="57"/>
    </row>
    <row r="190" spans="2:39" ht="15.75" customHeight="1">
      <c r="B190" s="135"/>
      <c r="AB190" s="83"/>
      <c r="AC190" s="83"/>
      <c r="AD190" s="83"/>
      <c r="AE190" s="83"/>
      <c r="AF190" s="83"/>
      <c r="AG190" s="83"/>
      <c r="AH190" s="83"/>
      <c r="AK190" s="88"/>
      <c r="AL190" s="57"/>
      <c r="AM190" s="57"/>
    </row>
    <row r="191" spans="2:39" ht="15.75" customHeight="1">
      <c r="B191" s="135"/>
      <c r="AB191" s="83"/>
      <c r="AC191" s="83"/>
      <c r="AD191" s="83"/>
      <c r="AE191" s="83"/>
      <c r="AF191" s="83"/>
      <c r="AG191" s="83"/>
      <c r="AH191" s="83"/>
      <c r="AK191" s="88"/>
      <c r="AL191" s="57"/>
      <c r="AM191" s="57"/>
    </row>
    <row r="192" spans="2:39" ht="15.75" customHeight="1">
      <c r="B192" s="135"/>
      <c r="AB192" s="83"/>
      <c r="AC192" s="83"/>
      <c r="AD192" s="83"/>
      <c r="AE192" s="83"/>
      <c r="AF192" s="83"/>
      <c r="AG192" s="83"/>
      <c r="AH192" s="83"/>
      <c r="AK192" s="88"/>
      <c r="AL192" s="57"/>
      <c r="AM192" s="57"/>
    </row>
    <row r="193" spans="2:39" ht="15.75" customHeight="1">
      <c r="B193" s="135"/>
      <c r="AB193" s="83"/>
      <c r="AC193" s="83"/>
      <c r="AD193" s="83"/>
      <c r="AE193" s="83"/>
      <c r="AF193" s="83"/>
      <c r="AG193" s="83"/>
      <c r="AH193" s="83"/>
      <c r="AK193" s="88"/>
      <c r="AL193" s="57"/>
      <c r="AM193" s="57"/>
    </row>
    <row r="194" spans="2:39" ht="15.75" customHeight="1">
      <c r="B194" s="135"/>
      <c r="AB194" s="83"/>
      <c r="AC194" s="83"/>
      <c r="AD194" s="83"/>
      <c r="AE194" s="83"/>
      <c r="AF194" s="83"/>
      <c r="AG194" s="83"/>
      <c r="AH194" s="83"/>
      <c r="AK194" s="88"/>
      <c r="AL194" s="57"/>
      <c r="AM194" s="57"/>
    </row>
    <row r="195" spans="2:39" ht="15.75" customHeight="1">
      <c r="B195" s="135"/>
      <c r="AB195" s="83"/>
      <c r="AC195" s="83"/>
      <c r="AD195" s="83"/>
      <c r="AE195" s="83"/>
      <c r="AF195" s="83"/>
      <c r="AG195" s="83"/>
      <c r="AH195" s="83"/>
      <c r="AK195" s="88"/>
      <c r="AL195" s="57"/>
      <c r="AM195" s="57"/>
    </row>
    <row r="196" spans="2:39" ht="15.75" customHeight="1">
      <c r="B196" s="135"/>
      <c r="AB196" s="83"/>
      <c r="AC196" s="83"/>
      <c r="AD196" s="83"/>
      <c r="AE196" s="83"/>
      <c r="AF196" s="83"/>
      <c r="AG196" s="83"/>
      <c r="AH196" s="83"/>
      <c r="AK196" s="88"/>
      <c r="AL196" s="57"/>
      <c r="AM196" s="57"/>
    </row>
    <row r="197" spans="2:39" ht="15.75" customHeight="1">
      <c r="B197" s="135"/>
      <c r="AB197" s="83"/>
      <c r="AC197" s="83"/>
      <c r="AD197" s="83"/>
      <c r="AE197" s="83"/>
      <c r="AF197" s="83"/>
      <c r="AG197" s="83"/>
      <c r="AH197" s="83"/>
      <c r="AK197" s="88"/>
      <c r="AL197" s="57"/>
      <c r="AM197" s="57"/>
    </row>
    <row r="198" spans="2:39" ht="15.75" customHeight="1">
      <c r="B198" s="135"/>
      <c r="AB198" s="83"/>
      <c r="AC198" s="83"/>
      <c r="AD198" s="83"/>
      <c r="AE198" s="83"/>
      <c r="AF198" s="83"/>
      <c r="AG198" s="83"/>
      <c r="AH198" s="83"/>
      <c r="AK198" s="88"/>
      <c r="AL198" s="57"/>
      <c r="AM198" s="57"/>
    </row>
    <row r="199" spans="2:39" ht="15.75" customHeight="1">
      <c r="B199" s="135"/>
      <c r="AB199" s="83"/>
      <c r="AC199" s="83"/>
      <c r="AD199" s="83"/>
      <c r="AE199" s="83"/>
      <c r="AF199" s="83"/>
      <c r="AG199" s="83"/>
      <c r="AH199" s="83"/>
      <c r="AK199" s="88"/>
      <c r="AL199" s="57"/>
      <c r="AM199" s="57"/>
    </row>
    <row r="200" spans="2:39" ht="15.75" customHeight="1">
      <c r="B200" s="135"/>
      <c r="AB200" s="83"/>
      <c r="AC200" s="83"/>
      <c r="AD200" s="83"/>
      <c r="AE200" s="83"/>
      <c r="AF200" s="83"/>
      <c r="AG200" s="83"/>
      <c r="AH200" s="83"/>
      <c r="AK200" s="88"/>
      <c r="AL200" s="57"/>
      <c r="AM200" s="57"/>
    </row>
    <row r="201" spans="2:39" ht="15.75" customHeight="1">
      <c r="B201" s="135"/>
      <c r="AB201" s="83"/>
      <c r="AC201" s="83"/>
      <c r="AD201" s="83"/>
      <c r="AE201" s="83"/>
      <c r="AF201" s="83"/>
      <c r="AG201" s="83"/>
      <c r="AH201" s="83"/>
      <c r="AK201" s="88"/>
      <c r="AL201" s="57"/>
      <c r="AM201" s="57"/>
    </row>
    <row r="202" spans="2:39" ht="15.75" customHeight="1">
      <c r="B202" s="135"/>
      <c r="AB202" s="83"/>
      <c r="AC202" s="83"/>
      <c r="AD202" s="83"/>
      <c r="AE202" s="83"/>
      <c r="AF202" s="83"/>
      <c r="AG202" s="83"/>
      <c r="AH202" s="83"/>
      <c r="AK202" s="88"/>
      <c r="AL202" s="57"/>
      <c r="AM202" s="57"/>
    </row>
    <row r="203" spans="2:39" ht="15.75" customHeight="1">
      <c r="B203" s="135"/>
      <c r="AB203" s="83"/>
      <c r="AC203" s="83"/>
      <c r="AD203" s="83"/>
      <c r="AE203" s="83"/>
      <c r="AF203" s="83"/>
      <c r="AG203" s="83"/>
      <c r="AH203" s="83"/>
      <c r="AK203" s="88"/>
      <c r="AL203" s="57"/>
      <c r="AM203" s="57"/>
    </row>
    <row r="204" spans="2:39" ht="15.75" customHeight="1">
      <c r="B204" s="135"/>
      <c r="AB204" s="83"/>
      <c r="AC204" s="83"/>
      <c r="AD204" s="83"/>
      <c r="AE204" s="83"/>
      <c r="AF204" s="83"/>
      <c r="AG204" s="83"/>
      <c r="AH204" s="83"/>
      <c r="AK204" s="88"/>
      <c r="AL204" s="57"/>
      <c r="AM204" s="57"/>
    </row>
    <row r="205" spans="2:39" ht="15.75" customHeight="1">
      <c r="B205" s="135"/>
      <c r="AB205" s="83"/>
      <c r="AC205" s="83"/>
      <c r="AD205" s="83"/>
      <c r="AE205" s="83"/>
      <c r="AF205" s="83"/>
      <c r="AG205" s="83"/>
      <c r="AH205" s="83"/>
      <c r="AK205" s="88"/>
      <c r="AL205" s="57"/>
      <c r="AM205" s="57"/>
    </row>
    <row r="206" spans="2:39" ht="15.75" customHeight="1">
      <c r="B206" s="135"/>
      <c r="AB206" s="83"/>
      <c r="AC206" s="83"/>
      <c r="AD206" s="83"/>
      <c r="AE206" s="83"/>
      <c r="AF206" s="83"/>
      <c r="AG206" s="83"/>
      <c r="AH206" s="83"/>
      <c r="AK206" s="88"/>
      <c r="AL206" s="57"/>
      <c r="AM206" s="57"/>
    </row>
    <row r="207" spans="2:39" ht="15.75" customHeight="1">
      <c r="B207" s="135"/>
      <c r="AB207" s="83"/>
      <c r="AC207" s="83"/>
      <c r="AD207" s="83"/>
      <c r="AE207" s="83"/>
      <c r="AF207" s="83"/>
      <c r="AG207" s="83"/>
      <c r="AH207" s="83"/>
      <c r="AK207" s="88"/>
      <c r="AL207" s="57"/>
      <c r="AM207" s="57"/>
    </row>
    <row r="208" spans="2:39" ht="15.75" customHeight="1">
      <c r="B208" s="135"/>
      <c r="AB208" s="83"/>
      <c r="AC208" s="83"/>
      <c r="AD208" s="83"/>
      <c r="AE208" s="83"/>
      <c r="AF208" s="83"/>
      <c r="AG208" s="83"/>
      <c r="AH208" s="83"/>
      <c r="AK208" s="88"/>
      <c r="AL208" s="57"/>
      <c r="AM208" s="57"/>
    </row>
    <row r="209" spans="2:39" ht="15.75" customHeight="1">
      <c r="B209" s="135"/>
      <c r="AB209" s="83"/>
      <c r="AC209" s="83"/>
      <c r="AD209" s="83"/>
      <c r="AE209" s="83"/>
      <c r="AF209" s="83"/>
      <c r="AG209" s="83"/>
      <c r="AH209" s="83"/>
      <c r="AK209" s="88"/>
      <c r="AL209" s="57"/>
      <c r="AM209" s="57"/>
    </row>
    <row r="210" spans="2:39" ht="15.75" customHeight="1">
      <c r="B210" s="135"/>
      <c r="AB210" s="83"/>
      <c r="AC210" s="83"/>
      <c r="AD210" s="83"/>
      <c r="AE210" s="83"/>
      <c r="AF210" s="83"/>
      <c r="AG210" s="83"/>
      <c r="AH210" s="83"/>
      <c r="AK210" s="88"/>
      <c r="AL210" s="57"/>
      <c r="AM210" s="57"/>
    </row>
    <row r="211" spans="2:39" ht="15.75" customHeight="1">
      <c r="B211" s="135"/>
      <c r="AB211" s="83"/>
      <c r="AC211" s="83"/>
      <c r="AD211" s="83"/>
      <c r="AE211" s="83"/>
      <c r="AF211" s="83"/>
      <c r="AG211" s="83"/>
      <c r="AH211" s="83"/>
      <c r="AK211" s="88"/>
      <c r="AL211" s="57"/>
      <c r="AM211" s="57"/>
    </row>
    <row r="212" spans="2:39" ht="15.75" customHeight="1">
      <c r="B212" s="135"/>
      <c r="AB212" s="83"/>
      <c r="AC212" s="83"/>
      <c r="AD212" s="83"/>
      <c r="AE212" s="83"/>
      <c r="AF212" s="83"/>
      <c r="AG212" s="83"/>
      <c r="AH212" s="83"/>
      <c r="AK212" s="88"/>
      <c r="AL212" s="57"/>
      <c r="AM212" s="57"/>
    </row>
    <row r="213" spans="2:39" ht="15.75" customHeight="1">
      <c r="B213" s="135"/>
      <c r="AB213" s="83"/>
      <c r="AC213" s="83"/>
      <c r="AD213" s="83"/>
      <c r="AE213" s="83"/>
      <c r="AF213" s="83"/>
      <c r="AG213" s="83"/>
      <c r="AH213" s="83"/>
      <c r="AK213" s="88"/>
      <c r="AL213" s="57"/>
      <c r="AM213" s="57"/>
    </row>
    <row r="214" spans="2:39" ht="15.75" customHeight="1">
      <c r="B214" s="135"/>
      <c r="AB214" s="83"/>
      <c r="AC214" s="83"/>
      <c r="AD214" s="83"/>
      <c r="AE214" s="83"/>
      <c r="AF214" s="83"/>
      <c r="AG214" s="83"/>
      <c r="AH214" s="83"/>
      <c r="AK214" s="88"/>
      <c r="AL214" s="57"/>
      <c r="AM214" s="57"/>
    </row>
    <row r="215" spans="2:39" ht="15.75" customHeight="1">
      <c r="B215" s="135"/>
      <c r="AB215" s="83"/>
      <c r="AC215" s="83"/>
      <c r="AD215" s="83"/>
      <c r="AE215" s="83"/>
      <c r="AF215" s="83"/>
      <c r="AG215" s="83"/>
      <c r="AH215" s="83"/>
      <c r="AK215" s="88"/>
      <c r="AL215" s="57"/>
      <c r="AM215" s="57"/>
    </row>
    <row r="216" spans="2:39" ht="15.75" customHeight="1">
      <c r="B216" s="135"/>
      <c r="AB216" s="83"/>
      <c r="AC216" s="83"/>
      <c r="AD216" s="83"/>
      <c r="AE216" s="83"/>
      <c r="AF216" s="83"/>
      <c r="AG216" s="83"/>
      <c r="AH216" s="83"/>
      <c r="AK216" s="88"/>
      <c r="AL216" s="57"/>
      <c r="AM216" s="57"/>
    </row>
    <row r="217" spans="2:39" ht="15.75" customHeight="1">
      <c r="B217" s="135"/>
      <c r="AB217" s="83"/>
      <c r="AC217" s="83"/>
      <c r="AD217" s="83"/>
      <c r="AE217" s="83"/>
      <c r="AF217" s="83"/>
      <c r="AG217" s="83"/>
      <c r="AH217" s="83"/>
      <c r="AK217" s="88"/>
      <c r="AL217" s="57"/>
      <c r="AM217" s="57"/>
    </row>
    <row r="218" spans="2:39" ht="15.75" customHeight="1">
      <c r="B218" s="135"/>
      <c r="AB218" s="83"/>
      <c r="AC218" s="83"/>
      <c r="AD218" s="83"/>
      <c r="AE218" s="83"/>
      <c r="AF218" s="83"/>
      <c r="AG218" s="83"/>
      <c r="AH218" s="83"/>
      <c r="AK218" s="88"/>
      <c r="AL218" s="57"/>
      <c r="AM218" s="57"/>
    </row>
    <row r="219" spans="2:39" ht="15.75" customHeight="1">
      <c r="B219" s="135"/>
      <c r="AB219" s="83"/>
      <c r="AC219" s="83"/>
      <c r="AD219" s="83"/>
      <c r="AE219" s="83"/>
      <c r="AF219" s="83"/>
      <c r="AG219" s="83"/>
      <c r="AH219" s="83"/>
      <c r="AK219" s="88"/>
      <c r="AL219" s="57"/>
      <c r="AM219" s="57"/>
    </row>
    <row r="220" spans="2:39" ht="15.75" customHeight="1">
      <c r="B220" s="135"/>
      <c r="AB220" s="83"/>
      <c r="AC220" s="83"/>
      <c r="AD220" s="83"/>
      <c r="AE220" s="83"/>
      <c r="AF220" s="83"/>
      <c r="AG220" s="83"/>
      <c r="AH220" s="83"/>
      <c r="AK220" s="88"/>
      <c r="AL220" s="57"/>
      <c r="AM220" s="57"/>
    </row>
    <row r="221" spans="2:39" ht="15.75" customHeight="1">
      <c r="B221" s="135"/>
      <c r="AB221" s="83"/>
      <c r="AC221" s="83"/>
      <c r="AD221" s="83"/>
      <c r="AE221" s="83"/>
      <c r="AF221" s="83"/>
      <c r="AG221" s="83"/>
      <c r="AH221" s="83"/>
      <c r="AK221" s="88"/>
      <c r="AL221" s="57"/>
      <c r="AM221" s="57"/>
    </row>
    <row r="222" spans="2:39" ht="15.75" customHeight="1">
      <c r="B222" s="135"/>
      <c r="AB222" s="83"/>
      <c r="AC222" s="83"/>
      <c r="AD222" s="83"/>
      <c r="AE222" s="83"/>
      <c r="AF222" s="83"/>
      <c r="AG222" s="83"/>
      <c r="AH222" s="83"/>
      <c r="AK222" s="88"/>
      <c r="AL222" s="57"/>
      <c r="AM222" s="57"/>
    </row>
    <row r="223" spans="2:39" ht="15.75" customHeight="1">
      <c r="B223" s="135"/>
      <c r="AB223" s="83"/>
      <c r="AC223" s="83"/>
      <c r="AD223" s="83"/>
      <c r="AE223" s="83"/>
      <c r="AF223" s="83"/>
      <c r="AG223" s="83"/>
      <c r="AH223" s="83"/>
      <c r="AK223" s="88"/>
      <c r="AL223" s="57"/>
      <c r="AM223" s="57"/>
    </row>
    <row r="224" spans="2:39" ht="15.75" customHeight="1">
      <c r="B224" s="135"/>
      <c r="AB224" s="83"/>
      <c r="AC224" s="83"/>
      <c r="AD224" s="83"/>
      <c r="AE224" s="83"/>
      <c r="AF224" s="83"/>
      <c r="AG224" s="83"/>
      <c r="AH224" s="83"/>
      <c r="AK224" s="88"/>
      <c r="AL224" s="57"/>
      <c r="AM224" s="57"/>
    </row>
    <row r="225" spans="2:39" ht="15.75" customHeight="1">
      <c r="B225" s="135"/>
      <c r="AB225" s="83"/>
      <c r="AC225" s="83"/>
      <c r="AD225" s="83"/>
      <c r="AE225" s="83"/>
      <c r="AF225" s="83"/>
      <c r="AG225" s="83"/>
      <c r="AH225" s="83"/>
      <c r="AK225" s="88"/>
      <c r="AL225" s="57"/>
      <c r="AM225" s="57"/>
    </row>
    <row r="226" spans="2:39" ht="15.75" customHeight="1">
      <c r="B226" s="135"/>
      <c r="AB226" s="83"/>
      <c r="AC226" s="83"/>
      <c r="AD226" s="83"/>
      <c r="AE226" s="83"/>
      <c r="AF226" s="83"/>
      <c r="AG226" s="83"/>
      <c r="AH226" s="83"/>
      <c r="AK226" s="88"/>
      <c r="AL226" s="57"/>
      <c r="AM226" s="57"/>
    </row>
    <row r="227" spans="2:39" ht="15.75" customHeight="1">
      <c r="B227" s="135"/>
      <c r="AB227" s="83"/>
      <c r="AC227" s="83"/>
      <c r="AD227" s="83"/>
      <c r="AE227" s="83"/>
      <c r="AF227" s="83"/>
      <c r="AG227" s="83"/>
      <c r="AH227" s="83"/>
      <c r="AK227" s="88"/>
      <c r="AL227" s="57"/>
      <c r="AM227" s="57"/>
    </row>
    <row r="228" spans="2:39" ht="15.75" customHeight="1">
      <c r="B228" s="135"/>
      <c r="AB228" s="83"/>
      <c r="AC228" s="83"/>
      <c r="AD228" s="83"/>
      <c r="AE228" s="83"/>
      <c r="AF228" s="83"/>
      <c r="AG228" s="83"/>
      <c r="AH228" s="83"/>
      <c r="AK228" s="88"/>
      <c r="AL228" s="57"/>
      <c r="AM228" s="57"/>
    </row>
    <row r="229" spans="2:39" ht="15.75" customHeight="1">
      <c r="B229" s="135"/>
      <c r="AB229" s="83"/>
      <c r="AC229" s="83"/>
      <c r="AD229" s="83"/>
      <c r="AE229" s="83"/>
      <c r="AF229" s="83"/>
      <c r="AG229" s="83"/>
      <c r="AH229" s="83"/>
      <c r="AK229" s="88"/>
      <c r="AL229" s="57"/>
      <c r="AM229" s="57"/>
    </row>
    <row r="230" spans="2:39" ht="15.75" customHeight="1">
      <c r="B230" s="135"/>
      <c r="AB230" s="83"/>
      <c r="AC230" s="83"/>
      <c r="AD230" s="83"/>
      <c r="AE230" s="83"/>
      <c r="AF230" s="83"/>
      <c r="AG230" s="83"/>
      <c r="AH230" s="83"/>
      <c r="AK230" s="88"/>
      <c r="AL230" s="57"/>
      <c r="AM230" s="57"/>
    </row>
    <row r="231" spans="2:39" ht="15.75" customHeight="1">
      <c r="B231" s="135"/>
      <c r="AB231" s="83"/>
      <c r="AC231" s="83"/>
      <c r="AD231" s="83"/>
      <c r="AE231" s="83"/>
      <c r="AF231" s="83"/>
      <c r="AG231" s="83"/>
      <c r="AH231" s="83"/>
      <c r="AK231" s="88"/>
      <c r="AL231" s="57"/>
      <c r="AM231" s="57"/>
    </row>
    <row r="232" spans="2:39" ht="15.75" customHeight="1">
      <c r="B232" s="135"/>
      <c r="AB232" s="83"/>
      <c r="AC232" s="83"/>
      <c r="AD232" s="83"/>
      <c r="AE232" s="83"/>
      <c r="AF232" s="83"/>
      <c r="AG232" s="83"/>
      <c r="AH232" s="83"/>
      <c r="AK232" s="88"/>
      <c r="AL232" s="57"/>
      <c r="AM232" s="57"/>
    </row>
    <row r="233" spans="2:39" ht="15.75" customHeight="1">
      <c r="B233" s="135"/>
      <c r="AB233" s="83"/>
      <c r="AC233" s="83"/>
      <c r="AD233" s="83"/>
      <c r="AE233" s="83"/>
      <c r="AF233" s="83"/>
      <c r="AG233" s="83"/>
      <c r="AH233" s="83"/>
      <c r="AK233" s="88"/>
      <c r="AL233" s="57"/>
      <c r="AM233" s="57"/>
    </row>
    <row r="234" spans="2:39" ht="15.75" customHeight="1">
      <c r="B234" s="135"/>
      <c r="AB234" s="83"/>
      <c r="AC234" s="83"/>
      <c r="AD234" s="83"/>
      <c r="AE234" s="83"/>
      <c r="AF234" s="83"/>
      <c r="AG234" s="83"/>
      <c r="AH234" s="83"/>
      <c r="AK234" s="88"/>
      <c r="AL234" s="57"/>
      <c r="AM234" s="57"/>
    </row>
    <row r="235" spans="2:39" ht="15.75" customHeight="1">
      <c r="B235" s="135"/>
      <c r="AB235" s="83"/>
      <c r="AC235" s="83"/>
      <c r="AD235" s="83"/>
      <c r="AE235" s="83"/>
      <c r="AF235" s="83"/>
      <c r="AG235" s="83"/>
      <c r="AH235" s="83"/>
      <c r="AK235" s="88"/>
      <c r="AL235" s="57"/>
      <c r="AM235" s="57"/>
    </row>
    <row r="236" spans="2:39" ht="15.75" customHeight="1">
      <c r="B236" s="135"/>
      <c r="AB236" s="83"/>
      <c r="AC236" s="83"/>
      <c r="AD236" s="83"/>
      <c r="AE236" s="83"/>
      <c r="AF236" s="83"/>
      <c r="AG236" s="83"/>
      <c r="AH236" s="83"/>
      <c r="AK236" s="88"/>
      <c r="AL236" s="57"/>
      <c r="AM236" s="57"/>
    </row>
    <row r="237" spans="2:39" ht="15.75" customHeight="1">
      <c r="B237" s="135"/>
      <c r="AB237" s="83"/>
      <c r="AC237" s="83"/>
      <c r="AD237" s="83"/>
      <c r="AE237" s="83"/>
      <c r="AF237" s="83"/>
      <c r="AG237" s="83"/>
      <c r="AH237" s="83"/>
      <c r="AK237" s="88"/>
      <c r="AL237" s="57"/>
      <c r="AM237" s="57"/>
    </row>
    <row r="238" spans="2:39" ht="15.75" customHeight="1">
      <c r="B238" s="135"/>
      <c r="AB238" s="83"/>
      <c r="AC238" s="83"/>
      <c r="AD238" s="83"/>
      <c r="AE238" s="83"/>
      <c r="AF238" s="83"/>
      <c r="AG238" s="83"/>
      <c r="AH238" s="83"/>
      <c r="AK238" s="88"/>
      <c r="AL238" s="57"/>
      <c r="AM238" s="57"/>
    </row>
    <row r="239" spans="2:39" ht="15.75" customHeight="1">
      <c r="B239" s="135"/>
      <c r="AB239" s="83"/>
      <c r="AC239" s="83"/>
      <c r="AD239" s="83"/>
      <c r="AE239" s="83"/>
      <c r="AF239" s="83"/>
      <c r="AG239" s="83"/>
      <c r="AH239" s="83"/>
      <c r="AK239" s="88"/>
      <c r="AL239" s="57"/>
      <c r="AM239" s="57"/>
    </row>
    <row r="240" spans="2:39" ht="15.75" customHeight="1">
      <c r="B240" s="135"/>
      <c r="AB240" s="83"/>
      <c r="AC240" s="83"/>
      <c r="AD240" s="83"/>
      <c r="AE240" s="83"/>
      <c r="AF240" s="83"/>
      <c r="AG240" s="83"/>
      <c r="AH240" s="83"/>
      <c r="AK240" s="88"/>
      <c r="AL240" s="57"/>
      <c r="AM240" s="57"/>
    </row>
    <row r="241" spans="2:39" ht="15.75" customHeight="1">
      <c r="B241" s="135"/>
      <c r="AB241" s="83"/>
      <c r="AC241" s="83"/>
      <c r="AD241" s="83"/>
      <c r="AE241" s="83"/>
      <c r="AF241" s="83"/>
      <c r="AG241" s="83"/>
      <c r="AH241" s="83"/>
      <c r="AK241" s="88"/>
      <c r="AL241" s="57"/>
      <c r="AM241" s="57"/>
    </row>
    <row r="242" spans="2:39" ht="15.75" customHeight="1">
      <c r="B242" s="135"/>
      <c r="AB242" s="83"/>
      <c r="AC242" s="83"/>
      <c r="AD242" s="83"/>
      <c r="AE242" s="83"/>
      <c r="AF242" s="83"/>
      <c r="AG242" s="83"/>
      <c r="AH242" s="83"/>
      <c r="AK242" s="88"/>
      <c r="AL242" s="57"/>
      <c r="AM242" s="57"/>
    </row>
    <row r="243" spans="2:39" ht="15.75" customHeight="1">
      <c r="B243" s="135"/>
      <c r="AB243" s="83"/>
      <c r="AC243" s="83"/>
      <c r="AD243" s="83"/>
      <c r="AE243" s="83"/>
      <c r="AF243" s="83"/>
      <c r="AG243" s="83"/>
      <c r="AH243" s="83"/>
      <c r="AK243" s="88"/>
      <c r="AL243" s="57"/>
      <c r="AM243" s="57"/>
    </row>
    <row r="244" spans="2:39" ht="15.75" customHeight="1">
      <c r="B244" s="135"/>
      <c r="AB244" s="83"/>
      <c r="AC244" s="83"/>
      <c r="AD244" s="83"/>
      <c r="AE244" s="83"/>
      <c r="AF244" s="83"/>
      <c r="AG244" s="83"/>
      <c r="AH244" s="83"/>
      <c r="AK244" s="88"/>
      <c r="AL244" s="57"/>
      <c r="AM244" s="57"/>
    </row>
    <row r="245" spans="2:39" ht="15.75" customHeight="1">
      <c r="B245" s="135"/>
      <c r="AB245" s="83"/>
      <c r="AC245" s="83"/>
      <c r="AD245" s="83"/>
      <c r="AE245" s="83"/>
      <c r="AF245" s="83"/>
      <c r="AG245" s="83"/>
      <c r="AH245" s="83"/>
      <c r="AK245" s="88"/>
      <c r="AL245" s="57"/>
      <c r="AM245" s="57"/>
    </row>
    <row r="246" spans="2:39" ht="15.75" customHeight="1">
      <c r="B246" s="135"/>
      <c r="AB246" s="83"/>
      <c r="AC246" s="83"/>
      <c r="AD246" s="83"/>
      <c r="AE246" s="83"/>
      <c r="AF246" s="83"/>
      <c r="AG246" s="83"/>
      <c r="AH246" s="83"/>
      <c r="AK246" s="88"/>
      <c r="AL246" s="57"/>
      <c r="AM246" s="57"/>
    </row>
    <row r="247" spans="2:39" ht="15.75" customHeight="1">
      <c r="B247" s="135"/>
      <c r="AB247" s="83"/>
      <c r="AC247" s="83"/>
      <c r="AD247" s="83"/>
      <c r="AE247" s="83"/>
      <c r="AF247" s="83"/>
      <c r="AG247" s="83"/>
      <c r="AH247" s="83"/>
      <c r="AK247" s="88"/>
      <c r="AL247" s="57"/>
      <c r="AM247" s="57"/>
    </row>
    <row r="248" spans="2:39" ht="15.75" customHeight="1">
      <c r="B248" s="135"/>
      <c r="AB248" s="83"/>
      <c r="AC248" s="83"/>
      <c r="AD248" s="83"/>
      <c r="AE248" s="83"/>
      <c r="AF248" s="83"/>
      <c r="AG248" s="83"/>
      <c r="AH248" s="83"/>
      <c r="AK248" s="88"/>
      <c r="AL248" s="57"/>
      <c r="AM248" s="57"/>
    </row>
    <row r="249" spans="2:39" ht="15.75" customHeight="1">
      <c r="B249" s="135"/>
      <c r="AB249" s="83"/>
      <c r="AC249" s="83"/>
      <c r="AD249" s="83"/>
      <c r="AE249" s="83"/>
      <c r="AF249" s="83"/>
      <c r="AG249" s="83"/>
      <c r="AH249" s="83"/>
      <c r="AK249" s="88"/>
      <c r="AL249" s="57"/>
      <c r="AM249" s="57"/>
    </row>
    <row r="250" spans="2:39" ht="15.75" customHeight="1">
      <c r="B250" s="135"/>
      <c r="AB250" s="83"/>
      <c r="AC250" s="83"/>
      <c r="AD250" s="83"/>
      <c r="AE250" s="83"/>
      <c r="AF250" s="83"/>
      <c r="AG250" s="83"/>
      <c r="AH250" s="83"/>
      <c r="AK250" s="88"/>
      <c r="AL250" s="57"/>
      <c r="AM250" s="57"/>
    </row>
    <row r="251" spans="2:39" ht="15.75" customHeight="1">
      <c r="B251" s="135"/>
      <c r="AB251" s="83"/>
      <c r="AC251" s="83"/>
      <c r="AD251" s="83"/>
      <c r="AE251" s="83"/>
      <c r="AF251" s="83"/>
      <c r="AG251" s="83"/>
      <c r="AH251" s="83"/>
      <c r="AK251" s="88"/>
      <c r="AL251" s="57"/>
      <c r="AM251" s="57"/>
    </row>
    <row r="252" spans="2:39" ht="15.75" customHeight="1">
      <c r="B252" s="135"/>
      <c r="AB252" s="83"/>
      <c r="AC252" s="83"/>
      <c r="AD252" s="83"/>
      <c r="AE252" s="83"/>
      <c r="AF252" s="83"/>
      <c r="AG252" s="83"/>
      <c r="AH252" s="83"/>
      <c r="AK252" s="88"/>
      <c r="AL252" s="57"/>
      <c r="AM252" s="57"/>
    </row>
    <row r="253" spans="2:39" ht="15.75" customHeight="1">
      <c r="B253" s="135"/>
      <c r="AB253" s="83"/>
      <c r="AC253" s="83"/>
      <c r="AD253" s="83"/>
      <c r="AE253" s="83"/>
      <c r="AF253" s="83"/>
      <c r="AG253" s="83"/>
      <c r="AH253" s="83"/>
      <c r="AK253" s="88"/>
      <c r="AL253" s="57"/>
      <c r="AM253" s="57"/>
    </row>
    <row r="254" spans="2:39" ht="15.75" customHeight="1">
      <c r="B254" s="135"/>
      <c r="AB254" s="83"/>
      <c r="AC254" s="83"/>
      <c r="AD254" s="83"/>
      <c r="AE254" s="83"/>
      <c r="AF254" s="83"/>
      <c r="AG254" s="83"/>
      <c r="AH254" s="83"/>
      <c r="AK254" s="88"/>
      <c r="AL254" s="57"/>
      <c r="AM254" s="57"/>
    </row>
    <row r="255" spans="2:39" ht="15.75" customHeight="1">
      <c r="B255" s="135"/>
      <c r="AB255" s="83"/>
      <c r="AC255" s="83"/>
      <c r="AD255" s="83"/>
      <c r="AE255" s="83"/>
      <c r="AF255" s="83"/>
      <c r="AG255" s="83"/>
      <c r="AH255" s="83"/>
      <c r="AK255" s="88"/>
      <c r="AL255" s="57"/>
      <c r="AM255" s="57"/>
    </row>
    <row r="256" spans="2:39" ht="15.75" customHeight="1">
      <c r="B256" s="135"/>
      <c r="AB256" s="83"/>
      <c r="AC256" s="83"/>
      <c r="AD256" s="83"/>
      <c r="AE256" s="83"/>
      <c r="AF256" s="83"/>
      <c r="AG256" s="83"/>
      <c r="AH256" s="83"/>
      <c r="AK256" s="88"/>
      <c r="AL256" s="57"/>
      <c r="AM256" s="57"/>
    </row>
    <row r="257" spans="2:39" ht="15.75" customHeight="1">
      <c r="B257" s="135"/>
      <c r="AB257" s="83"/>
      <c r="AC257" s="83"/>
      <c r="AD257" s="83"/>
      <c r="AE257" s="83"/>
      <c r="AF257" s="83"/>
      <c r="AG257" s="83"/>
      <c r="AH257" s="83"/>
      <c r="AK257" s="88"/>
      <c r="AL257" s="57"/>
      <c r="AM257" s="57"/>
    </row>
    <row r="258" spans="2:39" ht="15.75" customHeight="1">
      <c r="B258" s="135"/>
      <c r="AB258" s="83"/>
      <c r="AC258" s="83"/>
      <c r="AD258" s="83"/>
      <c r="AE258" s="83"/>
      <c r="AF258" s="83"/>
      <c r="AG258" s="83"/>
      <c r="AH258" s="83"/>
      <c r="AK258" s="88"/>
      <c r="AL258" s="57"/>
      <c r="AM258" s="57"/>
    </row>
    <row r="259" spans="2:39" ht="15.75" customHeight="1">
      <c r="B259" s="135"/>
      <c r="AB259" s="83"/>
      <c r="AC259" s="83"/>
      <c r="AD259" s="83"/>
      <c r="AE259" s="83"/>
      <c r="AF259" s="83"/>
      <c r="AG259" s="83"/>
      <c r="AH259" s="83"/>
      <c r="AK259" s="88"/>
      <c r="AL259" s="57"/>
      <c r="AM259" s="57"/>
    </row>
    <row r="260" spans="2:39" ht="15.75" customHeight="1">
      <c r="B260" s="135"/>
      <c r="AB260" s="83"/>
      <c r="AC260" s="83"/>
      <c r="AD260" s="83"/>
      <c r="AE260" s="83"/>
      <c r="AF260" s="83"/>
      <c r="AG260" s="83"/>
      <c r="AH260" s="83"/>
      <c r="AK260" s="88"/>
      <c r="AL260" s="57"/>
      <c r="AM260" s="57"/>
    </row>
    <row r="261" spans="2:39" ht="15.75" customHeight="1">
      <c r="B261" s="135"/>
      <c r="AB261" s="83"/>
      <c r="AC261" s="83"/>
      <c r="AD261" s="83"/>
      <c r="AE261" s="83"/>
      <c r="AF261" s="83"/>
      <c r="AG261" s="83"/>
      <c r="AH261" s="83"/>
      <c r="AK261" s="88"/>
      <c r="AL261" s="57"/>
      <c r="AM261" s="57"/>
    </row>
    <row r="262" spans="2:39" ht="15.75" customHeight="1">
      <c r="B262" s="135"/>
      <c r="AB262" s="83"/>
      <c r="AC262" s="83"/>
      <c r="AD262" s="83"/>
      <c r="AE262" s="83"/>
      <c r="AF262" s="83"/>
      <c r="AG262" s="83"/>
      <c r="AH262" s="83"/>
      <c r="AK262" s="88"/>
      <c r="AL262" s="57"/>
      <c r="AM262" s="57"/>
    </row>
    <row r="263" spans="2:39" ht="15.75" customHeight="1">
      <c r="B263" s="135"/>
      <c r="AB263" s="83"/>
      <c r="AC263" s="83"/>
      <c r="AD263" s="83"/>
      <c r="AE263" s="83"/>
      <c r="AF263" s="83"/>
      <c r="AG263" s="83"/>
      <c r="AH263" s="83"/>
      <c r="AK263" s="88"/>
      <c r="AL263" s="57"/>
      <c r="AM263" s="57"/>
    </row>
    <row r="264" spans="2:39" ht="15.75" customHeight="1">
      <c r="B264" s="135"/>
      <c r="AB264" s="83"/>
      <c r="AC264" s="83"/>
      <c r="AD264" s="83"/>
      <c r="AE264" s="83"/>
      <c r="AF264" s="83"/>
      <c r="AG264" s="83"/>
      <c r="AH264" s="83"/>
      <c r="AK264" s="88"/>
      <c r="AL264" s="57"/>
      <c r="AM264" s="57"/>
    </row>
    <row r="265" spans="2:39" ht="15.75" customHeight="1">
      <c r="B265" s="135"/>
      <c r="AB265" s="83"/>
      <c r="AC265" s="83"/>
      <c r="AD265" s="83"/>
      <c r="AE265" s="83"/>
      <c r="AF265" s="83"/>
      <c r="AG265" s="83"/>
      <c r="AH265" s="83"/>
      <c r="AK265" s="88"/>
      <c r="AL265" s="57"/>
      <c r="AM265" s="57"/>
    </row>
    <row r="266" spans="2:39" ht="15.75" customHeight="1">
      <c r="B266" s="135"/>
      <c r="AB266" s="83"/>
      <c r="AC266" s="83"/>
      <c r="AD266" s="83"/>
      <c r="AE266" s="83"/>
      <c r="AF266" s="83"/>
      <c r="AG266" s="83"/>
      <c r="AH266" s="83"/>
      <c r="AK266" s="88"/>
      <c r="AL266" s="57"/>
      <c r="AM266" s="57"/>
    </row>
    <row r="267" spans="2:39" ht="15.75" customHeight="1">
      <c r="B267" s="135"/>
      <c r="AB267" s="83"/>
      <c r="AC267" s="83"/>
      <c r="AD267" s="83"/>
      <c r="AE267" s="83"/>
      <c r="AF267" s="83"/>
      <c r="AG267" s="83"/>
      <c r="AH267" s="83"/>
      <c r="AK267" s="88"/>
      <c r="AL267" s="57"/>
      <c r="AM267" s="57"/>
    </row>
    <row r="268" spans="2:39" ht="15.75" customHeight="1">
      <c r="AK268" s="88"/>
      <c r="AL268" s="57"/>
      <c r="AM268" s="57"/>
    </row>
    <row r="269" spans="2:39" ht="15.75" customHeight="1">
      <c r="AK269" s="88"/>
      <c r="AL269" s="57"/>
      <c r="AM269" s="57"/>
    </row>
    <row r="270" spans="2:39" ht="15.75" customHeight="1">
      <c r="AK270" s="88"/>
      <c r="AL270" s="57"/>
      <c r="AM270" s="57"/>
    </row>
    <row r="271" spans="2:39" ht="15.75" customHeight="1">
      <c r="AK271" s="88"/>
      <c r="AL271" s="57"/>
      <c r="AM271" s="57"/>
    </row>
    <row r="272" spans="2:39" ht="15.75" customHeight="1">
      <c r="AK272" s="88"/>
      <c r="AL272" s="57"/>
      <c r="AM272" s="57"/>
    </row>
    <row r="273" spans="37:39" ht="15.75" customHeight="1">
      <c r="AK273" s="88"/>
      <c r="AL273" s="57"/>
      <c r="AM273" s="57"/>
    </row>
    <row r="274" spans="37:39" ht="15.75" customHeight="1">
      <c r="AK274" s="88"/>
      <c r="AL274" s="57"/>
      <c r="AM274" s="57"/>
    </row>
    <row r="275" spans="37:39" ht="15.75" customHeight="1">
      <c r="AK275" s="88"/>
      <c r="AL275" s="57"/>
      <c r="AM275" s="57"/>
    </row>
    <row r="276" spans="37:39" ht="15.75" customHeight="1">
      <c r="AK276" s="88"/>
      <c r="AL276" s="57"/>
      <c r="AM276" s="57"/>
    </row>
    <row r="277" spans="37:39" ht="15.75" customHeight="1">
      <c r="AK277" s="88"/>
      <c r="AL277" s="57"/>
      <c r="AM277" s="57"/>
    </row>
    <row r="278" spans="37:39" ht="15.75" customHeight="1"/>
    <row r="279" spans="37:39" ht="15.75" customHeight="1"/>
    <row r="280" spans="37:39" ht="15.75" customHeight="1"/>
    <row r="281" spans="37:39" ht="15.75" customHeight="1"/>
    <row r="282" spans="37:39" ht="15.75" customHeight="1"/>
    <row r="283" spans="37:39" ht="15.75" customHeight="1"/>
    <row r="284" spans="37:39" ht="15.75" customHeight="1"/>
    <row r="285" spans="37:39" ht="15.75" customHeight="1"/>
    <row r="286" spans="37:39" ht="15.75" customHeight="1"/>
    <row r="287" spans="37:39" ht="15.75" customHeight="1"/>
    <row r="288" spans="37:39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Hoja27">
    <tabColor rgb="FF00B050"/>
  </sheetPr>
  <dimension ref="A1:AR1000"/>
  <sheetViews>
    <sheetView showGridLines="0" workbookViewId="0">
      <pane xSplit="1" ySplit="3" topLeftCell="R4" activePane="bottomRight" state="frozen"/>
      <selection activeCell="AO3" sqref="AO3"/>
      <selection pane="topRight" activeCell="AO3" sqref="AO3"/>
      <selection pane="bottomLeft" activeCell="AO3" sqref="AO3"/>
      <selection pane="bottomRight" activeCell="AO3" sqref="AO3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23.6640625" customWidth="1"/>
    <col min="5" max="5" width="12.44140625" customWidth="1"/>
    <col min="6" max="6" width="32.88671875" customWidth="1"/>
    <col min="7" max="7" width="10.33203125" customWidth="1"/>
    <col min="8" max="8" width="11.44140625" customWidth="1"/>
    <col min="9" max="11" width="10.6640625" customWidth="1"/>
    <col min="12" max="12" width="15.33203125" customWidth="1"/>
    <col min="13" max="13" width="18.33203125" customWidth="1"/>
    <col min="14" max="14" width="15.33203125" customWidth="1"/>
    <col min="15" max="15" width="17.44140625" customWidth="1"/>
    <col min="16" max="16" width="11.109375" customWidth="1"/>
    <col min="17" max="17" width="12.6640625" customWidth="1"/>
    <col min="18" max="18" width="10.6640625" customWidth="1"/>
    <col min="19" max="19" width="11.6640625" customWidth="1"/>
    <col min="20" max="22" width="10.6640625" customWidth="1"/>
    <col min="23" max="24" width="11.44140625" customWidth="1"/>
    <col min="25" max="25" width="19.44140625" customWidth="1"/>
    <col min="26" max="26" width="18.10937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2" width="15.5546875" customWidth="1"/>
    <col min="33" max="33" width="15.88671875" customWidth="1"/>
    <col min="34" max="34" width="10.33203125" customWidth="1"/>
    <col min="36" max="36" width="17.5546875" customWidth="1"/>
    <col min="37" max="37" width="14.44140625" customWidth="1"/>
    <col min="43" max="44" width="17.109375" customWidth="1"/>
  </cols>
  <sheetData>
    <row r="1" spans="1:44" ht="15.75" customHeight="1">
      <c r="AB1" s="83"/>
      <c r="AC1" s="83"/>
      <c r="AD1" s="83"/>
      <c r="AE1" s="83"/>
      <c r="AF1" s="83"/>
      <c r="AG1" s="168" t="s">
        <v>240</v>
      </c>
      <c r="AH1" s="83" t="s">
        <v>64</v>
      </c>
      <c r="AI1" s="80" t="s">
        <v>242</v>
      </c>
      <c r="AJ1" s="169" t="s">
        <v>37</v>
      </c>
      <c r="AK1" s="88"/>
    </row>
    <row r="2" spans="1:44" ht="15.75" customHeight="1">
      <c r="G2" s="90"/>
      <c r="H2" s="90"/>
      <c r="I2" s="81">
        <f>SUM(I4:I69)</f>
        <v>419.18000000000012</v>
      </c>
      <c r="J2" s="81"/>
      <c r="K2" s="81">
        <f>SUM(K4:K69)</f>
        <v>387.67773200000016</v>
      </c>
      <c r="L2" s="81">
        <f>SUMPRODUCT(K4:K69,L4:L69)/K2</f>
        <v>0.6142432945723072</v>
      </c>
      <c r="O2" s="137"/>
      <c r="Q2" s="57">
        <f>+SUMPRODUCT(Q4:Q69,AH4:AH69)/SUM(AH4:AH69)</f>
        <v>86.174825719600364</v>
      </c>
      <c r="R2" s="57">
        <f>+SUMPRODUCT(R4:R69,AH4:AH69)/SUM(AH4:AH69)</f>
        <v>2316.2929951633209</v>
      </c>
      <c r="AB2" s="83"/>
      <c r="AC2" s="83"/>
      <c r="AD2" s="83"/>
      <c r="AE2" s="83"/>
      <c r="AF2" s="83"/>
      <c r="AG2" s="168">
        <f>SUMPRODUCT($AG4:$AG1015,$K4:$K1015)/SUM($K4:$K1015)</f>
        <v>71.624345401803197</v>
      </c>
      <c r="AH2" s="83">
        <f>SUM(AH4:AH69)</f>
        <v>7027.6398728199811</v>
      </c>
      <c r="AI2" s="171">
        <v>2361.5</v>
      </c>
      <c r="AJ2" s="169" t="s">
        <v>646</v>
      </c>
      <c r="AK2" s="88"/>
    </row>
    <row r="3" spans="1:44" ht="15.75" customHeight="1">
      <c r="A3" s="100" t="s">
        <v>11</v>
      </c>
      <c r="B3" s="100" t="s">
        <v>39</v>
      </c>
      <c r="C3" s="100" t="s">
        <v>40</v>
      </c>
      <c r="D3" s="100" t="s">
        <v>41</v>
      </c>
      <c r="E3" s="100" t="s">
        <v>340</v>
      </c>
      <c r="F3" s="100" t="s">
        <v>43</v>
      </c>
      <c r="G3" s="100" t="s">
        <v>16</v>
      </c>
      <c r="H3" s="101"/>
      <c r="I3" s="172" t="s">
        <v>13</v>
      </c>
      <c r="J3" s="172" t="s">
        <v>14</v>
      </c>
      <c r="K3" s="100" t="s">
        <v>15</v>
      </c>
      <c r="L3" s="112" t="s">
        <v>647</v>
      </c>
      <c r="M3" s="107" t="s">
        <v>648</v>
      </c>
      <c r="N3" s="107" t="s">
        <v>649</v>
      </c>
      <c r="O3" s="101" t="s">
        <v>650</v>
      </c>
      <c r="P3" s="112" t="s">
        <v>48</v>
      </c>
      <c r="Q3" s="112" t="s">
        <v>49</v>
      </c>
      <c r="R3" s="112" t="s">
        <v>50</v>
      </c>
      <c r="S3" s="112" t="s">
        <v>51</v>
      </c>
      <c r="T3" s="110" t="s">
        <v>52</v>
      </c>
      <c r="U3" s="110" t="s">
        <v>21</v>
      </c>
      <c r="V3" s="111" t="s">
        <v>22</v>
      </c>
      <c r="W3" s="112" t="s">
        <v>53</v>
      </c>
      <c r="X3" s="112" t="s">
        <v>54</v>
      </c>
      <c r="Y3" s="112" t="s">
        <v>651</v>
      </c>
      <c r="Z3" s="101" t="s">
        <v>56</v>
      </c>
      <c r="AA3" s="101" t="s">
        <v>57</v>
      </c>
      <c r="AB3" s="113" t="s">
        <v>58</v>
      </c>
      <c r="AC3" s="114" t="s">
        <v>59</v>
      </c>
      <c r="AD3" s="115" t="s">
        <v>60</v>
      </c>
      <c r="AE3" s="115" t="s">
        <v>61</v>
      </c>
      <c r="AF3" s="115" t="s">
        <v>62</v>
      </c>
      <c r="AG3" s="173" t="s">
        <v>63</v>
      </c>
      <c r="AH3" s="173" t="s">
        <v>64</v>
      </c>
      <c r="AI3" s="57">
        <f>SUMPRODUCT(K4:K69,AI4:AI69)/K2</f>
        <v>96.895144385193262</v>
      </c>
      <c r="AJ3" s="291">
        <f>SUM(AJ4:AJ69)</f>
        <v>7058.0667789173012</v>
      </c>
      <c r="AK3" s="88">
        <f>SUM(AK4:AK69)</f>
        <v>-30.426906097320582</v>
      </c>
    </row>
    <row r="4" spans="1:44" ht="15.75" customHeight="1">
      <c r="A4" s="292" t="s">
        <v>652</v>
      </c>
      <c r="B4" s="293">
        <v>45394</v>
      </c>
      <c r="C4" s="293">
        <v>45390</v>
      </c>
      <c r="D4" s="294" t="s">
        <v>653</v>
      </c>
      <c r="E4" s="295"/>
      <c r="F4" s="294"/>
      <c r="G4" s="296" t="s">
        <v>68</v>
      </c>
      <c r="H4" s="297" t="s">
        <v>465</v>
      </c>
      <c r="I4" s="298">
        <v>20.16</v>
      </c>
      <c r="J4" s="299">
        <v>14.18</v>
      </c>
      <c r="K4" s="298">
        <f t="shared" ref="K4:K69" si="0">+I4-(I4*(J4/100))</f>
        <v>17.301311999999999</v>
      </c>
      <c r="L4" s="300">
        <v>0.183</v>
      </c>
      <c r="M4" s="301">
        <f>+L4-0.015</f>
        <v>0.16799999999999998</v>
      </c>
      <c r="N4" s="302">
        <v>0.20699999999999999</v>
      </c>
      <c r="O4" s="301">
        <f>+ROUND((M4+N4)/2,3)</f>
        <v>0.188</v>
      </c>
      <c r="P4" s="303">
        <v>88</v>
      </c>
      <c r="Q4" s="304">
        <v>88.99</v>
      </c>
      <c r="R4" s="305">
        <v>2302.9749999999999</v>
      </c>
      <c r="S4" s="306">
        <v>100</v>
      </c>
      <c r="T4" s="303"/>
      <c r="U4" s="294">
        <v>120</v>
      </c>
      <c r="V4" s="294">
        <v>1.1023000000000001</v>
      </c>
      <c r="W4" s="299">
        <v>6.8</v>
      </c>
      <c r="X4" s="299">
        <v>13.02</v>
      </c>
      <c r="Y4" s="299">
        <v>14</v>
      </c>
      <c r="Z4" s="304">
        <f>IF(D4="UNTUCA",IF(+((W4-3)*2.5+(X4-3)*3.1)&gt;0,+((W4-3)*1.5+(X4-3)*3.1),0),IF(+((W4-3)*1.5+(X4-3)*3.1)&gt;0,+((W4-3)*1.5+(X4-3)*3.1),0))</f>
        <v>36.762</v>
      </c>
      <c r="AA4" s="307">
        <f t="shared" ref="AA4:AA69" si="1">+Y4+Z4</f>
        <v>50.762</v>
      </c>
      <c r="AB4" s="308">
        <f t="shared" ref="AB4:AB69" si="2">+((O4*P4*(R4-U4)/100)-S4-AA4+T4)*V4</f>
        <v>231.91221798319995</v>
      </c>
      <c r="AC4" s="308">
        <f>+(S4-T4)*V4-'data 1'!$F$4</f>
        <v>30.230000000000004</v>
      </c>
      <c r="AD4" s="308">
        <f t="shared" ref="AD4:AD69" si="3">+(Q4-P4)*(R4-U4)*L4*V4/100</f>
        <v>4.3594816486072272</v>
      </c>
      <c r="AE4" s="308">
        <f>+(Y4*V4-'data 1'!$I$21)+V4*(Z4-IF(D4="UNTUCA",IF(+((W4-3)*2.5+(X4-3)*3.1)&gt;0,+((W4-3)*1.5+(X4-3)*3.1),0),IF(+((W4-3)*1.5+(X4-3)*3.1)&gt;0,+((W4-3)*1.5+(X4-3)*3.1),0)))</f>
        <v>-10.148881081081079</v>
      </c>
      <c r="AF4" s="308">
        <f t="shared" ref="AF4:AF69" si="4">(L4-O4)*(R4-U4)*Q4*V4/100</f>
        <v>-10.706802227453759</v>
      </c>
      <c r="AG4" s="308">
        <f t="shared" ref="AG4:AG69" si="5">+AC4+AD4+AE4+AF4</f>
        <v>13.733798340072395</v>
      </c>
      <c r="AH4" s="309">
        <f t="shared" ref="AH4:AH69" si="6">31.1035*L4*Q4*1.1023*K4/100</f>
        <v>96.60072897852038</v>
      </c>
      <c r="AI4" s="57">
        <f t="shared" ref="AI4:AI69" si="7">+((+$AI$2-R4+U4)*L4*Q4*V4)/100</f>
        <v>32.047277846157769</v>
      </c>
      <c r="AJ4" s="144">
        <f t="shared" ref="AJ4:AJ69" si="8">31.1035*1.1023*K4*P4*O4/100</f>
        <v>98.136062455635468</v>
      </c>
      <c r="AK4" s="88">
        <f t="shared" ref="AK4:AK69" si="9">+AH4-AJ4</f>
        <v>-1.5353334771150884</v>
      </c>
      <c r="AM4" s="57"/>
      <c r="AO4" s="137"/>
      <c r="AP4" s="57">
        <f t="shared" ref="AP4:AP69" si="10">+AB4*K4</f>
        <v>4012.385639939353</v>
      </c>
      <c r="AQ4" s="57"/>
      <c r="AR4" s="57"/>
    </row>
    <row r="5" spans="1:44" ht="15.75" customHeight="1">
      <c r="A5" s="310" t="s">
        <v>654</v>
      </c>
      <c r="B5" s="311">
        <v>45394</v>
      </c>
      <c r="C5" s="311">
        <v>45390</v>
      </c>
      <c r="D5" s="312" t="s">
        <v>653</v>
      </c>
      <c r="E5" s="313"/>
      <c r="F5" s="312"/>
      <c r="G5" s="314" t="s">
        <v>68</v>
      </c>
      <c r="H5" s="315" t="s">
        <v>465</v>
      </c>
      <c r="I5" s="316">
        <v>12.56</v>
      </c>
      <c r="J5" s="317">
        <v>15.25</v>
      </c>
      <c r="K5" s="316">
        <f t="shared" si="0"/>
        <v>10.644600000000001</v>
      </c>
      <c r="L5" s="318">
        <v>0.18099999999999999</v>
      </c>
      <c r="M5" s="319">
        <f>+L5-0.015</f>
        <v>0.16599999999999998</v>
      </c>
      <c r="N5" s="320">
        <v>0.19700000000000001</v>
      </c>
      <c r="O5" s="319">
        <f>+ROUND((M5+N5)/2,3)</f>
        <v>0.182</v>
      </c>
      <c r="P5" s="321">
        <v>88</v>
      </c>
      <c r="Q5" s="322">
        <v>88.81</v>
      </c>
      <c r="R5" s="323">
        <v>2302.9749999999999</v>
      </c>
      <c r="S5" s="324">
        <v>100</v>
      </c>
      <c r="T5" s="321"/>
      <c r="U5" s="312">
        <v>120</v>
      </c>
      <c r="V5" s="312">
        <v>1.1023000000000001</v>
      </c>
      <c r="W5" s="317">
        <v>6.8</v>
      </c>
      <c r="X5" s="317">
        <v>13.1</v>
      </c>
      <c r="Y5" s="317">
        <v>14</v>
      </c>
      <c r="Z5" s="322">
        <f>IF(D5="UNTUCA",IF(+((W5-3)*2.5+(X5-3)*3.1)&gt;0,+((W5-3)*1.5+(X5-3)*3.1),0),IF(+((W5-3)*1.5+(X5-3)*3.1)&gt;0,+((W5-3)*1.5+(X5-3)*3.1),0))</f>
        <v>37.01</v>
      </c>
      <c r="AA5" s="325">
        <f t="shared" si="1"/>
        <v>51.01</v>
      </c>
      <c r="AB5" s="326">
        <f t="shared" si="2"/>
        <v>218.93361873479995</v>
      </c>
      <c r="AC5" s="326">
        <f>+(S5-T5)*V5-'data 1'!$F$4</f>
        <v>30.230000000000004</v>
      </c>
      <c r="AD5" s="326">
        <f t="shared" si="3"/>
        <v>3.5278666694392604</v>
      </c>
      <c r="AE5" s="326">
        <f>+(Y5*V5-'data 1'!$I$21)+V5*(Z5-IF(D5="UNTUCA",IF(+((W5-3)*2.5+(X5-3)*3.1)&gt;0,+((W5-3)*1.5+(X5-3)*3.1),0),IF(+((W5-3)*1.5+(X5-3)*3.1)&gt;0,+((W5-3)*1.5+(X5-3)*3.1),0)))</f>
        <v>-10.148881081081079</v>
      </c>
      <c r="AF5" s="326">
        <f t="shared" si="4"/>
        <v>-2.1370291174742517</v>
      </c>
      <c r="AG5" s="326">
        <f t="shared" si="5"/>
        <v>21.471956470883935</v>
      </c>
      <c r="AH5" s="327">
        <f t="shared" si="6"/>
        <v>58.664971021610192</v>
      </c>
      <c r="AI5" s="57">
        <f t="shared" si="7"/>
        <v>31.632920807005771</v>
      </c>
      <c r="AJ5" s="144">
        <f t="shared" si="8"/>
        <v>58.451071340586722</v>
      </c>
      <c r="AK5" s="88">
        <f t="shared" si="9"/>
        <v>0.21389968102347012</v>
      </c>
      <c r="AM5" s="57"/>
      <c r="AO5" s="137"/>
      <c r="AP5" s="57">
        <f t="shared" si="10"/>
        <v>2330.4607979844518</v>
      </c>
      <c r="AQ5" s="57"/>
      <c r="AR5" s="57"/>
    </row>
    <row r="6" spans="1:44" ht="15.75" customHeight="1">
      <c r="A6" s="292" t="s">
        <v>655</v>
      </c>
      <c r="B6" s="293">
        <v>45398</v>
      </c>
      <c r="C6" s="293">
        <v>45396</v>
      </c>
      <c r="D6" s="303" t="s">
        <v>549</v>
      </c>
      <c r="E6" s="295">
        <v>20169040231</v>
      </c>
      <c r="F6" s="294" t="s">
        <v>656</v>
      </c>
      <c r="G6" s="297">
        <v>13</v>
      </c>
      <c r="H6" s="297" t="s">
        <v>465</v>
      </c>
      <c r="I6" s="298">
        <v>1.28</v>
      </c>
      <c r="J6" s="299">
        <v>3</v>
      </c>
      <c r="K6" s="298">
        <f t="shared" si="0"/>
        <v>1.2416</v>
      </c>
      <c r="L6" s="300">
        <v>0.38200000000000001</v>
      </c>
      <c r="M6" s="306">
        <v>0.34799999999999998</v>
      </c>
      <c r="N6" s="328">
        <v>0.34799999999999998</v>
      </c>
      <c r="O6" s="301">
        <f>+ROUND((M6+N6)/2,3)</f>
        <v>0.34799999999999998</v>
      </c>
      <c r="P6" s="329">
        <v>90</v>
      </c>
      <c r="Q6" s="294">
        <v>87.41</v>
      </c>
      <c r="R6" s="305">
        <v>2333.88</v>
      </c>
      <c r="S6" s="306">
        <v>110</v>
      </c>
      <c r="T6" s="303"/>
      <c r="U6" s="294">
        <v>120</v>
      </c>
      <c r="V6" s="294">
        <v>1.1023000000000001</v>
      </c>
      <c r="W6" s="294">
        <v>8.8000000000000007</v>
      </c>
      <c r="X6" s="294">
        <v>10.35</v>
      </c>
      <c r="Y6" s="303">
        <v>26.83</v>
      </c>
      <c r="Z6" s="304">
        <f t="shared" ref="Z6:Z44" si="11">IF(D6="UNTUCA",IF(+((W6-3)*1.5+(X6-3)*3.1)&gt;0,+((W6-3)*1.5+(X6-3)*3.1),0),IF(+((W6-3)*1.5+(X6-3)*3.1)&gt;0,+((W6-3)*1.5+(X6-3)*3.1),0))</f>
        <v>31.484999999999999</v>
      </c>
      <c r="AA6" s="307">
        <f t="shared" si="1"/>
        <v>58.314999999999998</v>
      </c>
      <c r="AB6" s="308">
        <f t="shared" si="2"/>
        <v>578.78710369679982</v>
      </c>
      <c r="AC6" s="308">
        <f>+(S6-T6)*V6-'data 1'!$F$4</f>
        <v>41.253</v>
      </c>
      <c r="AD6" s="308">
        <f t="shared" si="3"/>
        <v>-24.144433016071233</v>
      </c>
      <c r="AE6" s="308">
        <f>+(Y6*V6-'data 1'!$I$21)+V6*(Z6-IF(D6="UNTUCA",IF(+((W6-3)*2.5+(X6-3)*3.1)&gt;0,+((W6-3)*1.5+(X6-3)*3.1),0),IF(+((W6-3)*1.5+(X6-3)*3.1)&gt;0,+((W6-3)*1.5+(X6-3)*3.1),0)))</f>
        <v>3.9936279189189179</v>
      </c>
      <c r="AF6" s="308">
        <f t="shared" si="4"/>
        <v>72.526032725325663</v>
      </c>
      <c r="AG6" s="308">
        <f t="shared" si="5"/>
        <v>93.628227628173349</v>
      </c>
      <c r="AH6" s="309">
        <f t="shared" si="6"/>
        <v>14.213965478556013</v>
      </c>
      <c r="AI6" s="137">
        <f t="shared" si="7"/>
        <v>54.33372640486116</v>
      </c>
      <c r="AJ6" s="144">
        <f t="shared" si="8"/>
        <v>13.332528679862014</v>
      </c>
      <c r="AK6" s="88">
        <f t="shared" si="9"/>
        <v>0.88143679869399882</v>
      </c>
      <c r="AM6" s="57"/>
      <c r="AO6" s="137"/>
      <c r="AP6" s="57">
        <f t="shared" si="10"/>
        <v>718.62206794994665</v>
      </c>
      <c r="AQ6" s="57"/>
      <c r="AR6" s="57"/>
    </row>
    <row r="7" spans="1:44" ht="15.75" customHeight="1">
      <c r="A7" s="330" t="s">
        <v>657</v>
      </c>
      <c r="B7" s="135">
        <v>45398</v>
      </c>
      <c r="C7" s="135">
        <v>45396</v>
      </c>
      <c r="D7" s="6" t="s">
        <v>549</v>
      </c>
      <c r="E7" s="176">
        <v>20169040231</v>
      </c>
      <c r="F7" s="142" t="s">
        <v>658</v>
      </c>
      <c r="G7" s="90">
        <v>41</v>
      </c>
      <c r="H7" s="90" t="s">
        <v>465</v>
      </c>
      <c r="I7" s="82">
        <v>4.12</v>
      </c>
      <c r="J7" s="137">
        <v>3.4</v>
      </c>
      <c r="K7" s="82">
        <f t="shared" si="0"/>
        <v>3.9799199999999999</v>
      </c>
      <c r="L7" s="240">
        <v>0.26700000000000002</v>
      </c>
      <c r="M7" s="80">
        <v>0.24299999999999999</v>
      </c>
      <c r="N7" s="253"/>
      <c r="O7" s="139">
        <v>0.26300000000000001</v>
      </c>
      <c r="P7" s="163">
        <v>87</v>
      </c>
      <c r="Q7" s="142">
        <v>86.28</v>
      </c>
      <c r="R7" s="57">
        <v>2333.88</v>
      </c>
      <c r="S7" s="80">
        <v>110</v>
      </c>
      <c r="T7" s="6"/>
      <c r="U7" s="142">
        <v>120</v>
      </c>
      <c r="V7" s="142">
        <v>1.1023000000000001</v>
      </c>
      <c r="W7" s="142">
        <v>8.8000000000000007</v>
      </c>
      <c r="X7" s="142">
        <v>10.28</v>
      </c>
      <c r="Y7" s="6">
        <v>27.83</v>
      </c>
      <c r="Z7" s="143">
        <f t="shared" si="11"/>
        <v>31.268000000000001</v>
      </c>
      <c r="AA7" s="144">
        <f t="shared" si="1"/>
        <v>59.097999999999999</v>
      </c>
      <c r="AB7" s="145">
        <f t="shared" si="2"/>
        <v>371.98202881044</v>
      </c>
      <c r="AC7" s="145">
        <f>+(S7-T7)*V7-'data 1'!$F$4</f>
        <v>41.253</v>
      </c>
      <c r="AD7" s="145">
        <f t="shared" si="3"/>
        <v>-4.691347917897593</v>
      </c>
      <c r="AE7" s="145">
        <f>+(Y7*V7-'data 1'!$I$21)+V7*(Z7-IF(D7="UNTUCA",IF(+((W7-3)*2.5+(X7-3)*3.1)&gt;0,+((W7-3)*1.5+(X7-3)*3.1),0),IF(+((W7-3)*1.5+(X7-3)*3.1)&gt;0,+((W7-3)*1.5+(X7-3)*3.1),0)))</f>
        <v>5.0959279189189175</v>
      </c>
      <c r="AF7" s="145">
        <f t="shared" si="4"/>
        <v>8.4221701697088083</v>
      </c>
      <c r="AG7" s="145">
        <f t="shared" si="5"/>
        <v>50.079750170730129</v>
      </c>
      <c r="AH7" s="331">
        <f t="shared" si="6"/>
        <v>31.434373529980967</v>
      </c>
      <c r="AI7" s="137">
        <f t="shared" si="7"/>
        <v>37.485767412957578</v>
      </c>
      <c r="AJ7" s="144">
        <f t="shared" si="8"/>
        <v>31.221834178916414</v>
      </c>
      <c r="AK7" s="88">
        <f t="shared" si="9"/>
        <v>0.21253935106455302</v>
      </c>
      <c r="AM7" s="57"/>
      <c r="AO7" s="137"/>
      <c r="AP7" s="57">
        <f t="shared" si="10"/>
        <v>1480.4587161032464</v>
      </c>
      <c r="AQ7" s="57"/>
      <c r="AR7" s="57"/>
    </row>
    <row r="8" spans="1:44" ht="15.75" customHeight="1">
      <c r="A8" s="330" t="s">
        <v>659</v>
      </c>
      <c r="B8" s="135">
        <v>45398</v>
      </c>
      <c r="C8" s="135">
        <v>45396</v>
      </c>
      <c r="D8" s="142" t="s">
        <v>549</v>
      </c>
      <c r="E8" s="176">
        <v>20169040231</v>
      </c>
      <c r="F8" s="142" t="s">
        <v>660</v>
      </c>
      <c r="G8" s="177">
        <v>50</v>
      </c>
      <c r="H8" s="177" t="s">
        <v>450</v>
      </c>
      <c r="I8" s="138">
        <v>4.4000000000000004</v>
      </c>
      <c r="J8" s="143">
        <v>28</v>
      </c>
      <c r="K8" s="138">
        <f t="shared" si="0"/>
        <v>3.1680000000000001</v>
      </c>
      <c r="L8" s="332">
        <v>2.9870000000000001</v>
      </c>
      <c r="M8" s="132">
        <v>2.5960000000000001</v>
      </c>
      <c r="N8" s="132">
        <v>2.9540000000000002</v>
      </c>
      <c r="O8" s="141">
        <f>+ROUND((M8+N8)/2,3)</f>
        <v>2.7749999999999999</v>
      </c>
      <c r="P8" s="142">
        <v>88</v>
      </c>
      <c r="Q8" s="142">
        <v>80.59</v>
      </c>
      <c r="R8" s="144">
        <v>2333.88</v>
      </c>
      <c r="S8" s="132">
        <v>320</v>
      </c>
      <c r="T8" s="142"/>
      <c r="U8" s="142">
        <v>130</v>
      </c>
      <c r="V8" s="142">
        <v>1.1023000000000001</v>
      </c>
      <c r="W8" s="142">
        <v>7.9</v>
      </c>
      <c r="X8" s="142">
        <v>13.2</v>
      </c>
      <c r="Y8" s="142">
        <v>100</v>
      </c>
      <c r="Z8" s="143">
        <f t="shared" si="11"/>
        <v>38.97</v>
      </c>
      <c r="AA8" s="144">
        <f t="shared" si="1"/>
        <v>138.97</v>
      </c>
      <c r="AB8" s="145">
        <f t="shared" si="2"/>
        <v>5426.5181374080003</v>
      </c>
      <c r="AC8" s="145">
        <f>+(S8-T8)*V8-'data 1'!$F$4</f>
        <v>272.73599999999999</v>
      </c>
      <c r="AD8" s="145">
        <f t="shared" si="3"/>
        <v>-537.70141794631058</v>
      </c>
      <c r="AE8" s="145">
        <f>+(Y8*V8-'data 1'!$I$21)+V8*(Z8-IF(D8="UNTUCA",IF(+((W8-3)*2.5+(X8-3)*3.1)&gt;0,+((W8-3)*1.5+(X8-3)*3.1),0),IF(+((W8-3)*1.5+(X8-3)*3.1)&gt;0,+((W8-3)*1.5+(X8-3)*3.1),0)))</f>
        <v>84.648918918918923</v>
      </c>
      <c r="AF8" s="145">
        <f t="shared" si="4"/>
        <v>415.05415693493967</v>
      </c>
      <c r="AG8" s="145">
        <f t="shared" si="5"/>
        <v>234.737657907548</v>
      </c>
      <c r="AH8" s="331">
        <f t="shared" si="6"/>
        <v>261.46322916437299</v>
      </c>
      <c r="AI8" s="143">
        <f t="shared" si="7"/>
        <v>418.24187123465555</v>
      </c>
      <c r="AJ8" s="144">
        <f t="shared" si="8"/>
        <v>265.24053901414084</v>
      </c>
      <c r="AK8" s="88">
        <f t="shared" si="9"/>
        <v>-3.7773098497678461</v>
      </c>
      <c r="AM8" s="57"/>
      <c r="AO8" s="137"/>
      <c r="AP8" s="57">
        <f t="shared" si="10"/>
        <v>17191.209459308546</v>
      </c>
      <c r="AQ8" s="57"/>
      <c r="AR8" s="57"/>
    </row>
    <row r="9" spans="1:44" ht="15.75" customHeight="1">
      <c r="A9" s="330" t="s">
        <v>661</v>
      </c>
      <c r="B9" s="135">
        <v>45398</v>
      </c>
      <c r="C9" s="135">
        <v>45396</v>
      </c>
      <c r="D9" s="142" t="s">
        <v>549</v>
      </c>
      <c r="E9" s="176">
        <v>20169040231</v>
      </c>
      <c r="F9" s="142" t="s">
        <v>660</v>
      </c>
      <c r="G9" s="177">
        <v>55</v>
      </c>
      <c r="H9" s="177" t="s">
        <v>450</v>
      </c>
      <c r="I9" s="138">
        <v>4.9400000000000004</v>
      </c>
      <c r="J9" s="143">
        <v>27</v>
      </c>
      <c r="K9" s="138">
        <f t="shared" si="0"/>
        <v>3.6062000000000003</v>
      </c>
      <c r="L9" s="332">
        <v>3.1970000000000001</v>
      </c>
      <c r="M9" s="132">
        <v>2.843</v>
      </c>
      <c r="N9" s="132">
        <v>3.1840000000000002</v>
      </c>
      <c r="O9" s="141">
        <f>+ROUND((M9+N9)/2,3)</f>
        <v>3.0139999999999998</v>
      </c>
      <c r="P9" s="142">
        <v>88</v>
      </c>
      <c r="Q9" s="142">
        <v>80.08</v>
      </c>
      <c r="R9" s="144">
        <v>2333.88</v>
      </c>
      <c r="S9" s="132">
        <v>320</v>
      </c>
      <c r="T9" s="142"/>
      <c r="U9" s="142">
        <v>130</v>
      </c>
      <c r="V9" s="142">
        <v>1.1023000000000001</v>
      </c>
      <c r="W9" s="142">
        <v>7.9</v>
      </c>
      <c r="X9" s="142">
        <v>13.1</v>
      </c>
      <c r="Y9" s="142">
        <v>100</v>
      </c>
      <c r="Z9" s="143">
        <f t="shared" si="11"/>
        <v>38.659999999999997</v>
      </c>
      <c r="AA9" s="144">
        <f t="shared" si="1"/>
        <v>138.66</v>
      </c>
      <c r="AB9" s="145">
        <f t="shared" si="2"/>
        <v>5937.7979922636796</v>
      </c>
      <c r="AC9" s="145">
        <f>+(S9-T9)*V9-'data 1'!$F$4</f>
        <v>272.73599999999999</v>
      </c>
      <c r="AD9" s="145">
        <f t="shared" si="3"/>
        <v>-615.11393956541781</v>
      </c>
      <c r="AE9" s="145">
        <f>+(Y9*V9-'data 1'!$I$21)+V9*(Z9-IF(D9="UNTUCA",IF(+((W9-3)*2.5+(X9-3)*3.1)&gt;0,+((W9-3)*1.5+(X9-3)*3.1),0),IF(+((W9-3)*1.5+(X9-3)*3.1)&gt;0,+((W9-3)*1.5+(X9-3)*3.1),0)))</f>
        <v>84.648918918918923</v>
      </c>
      <c r="AF9" s="145">
        <f t="shared" si="4"/>
        <v>356.01058059927419</v>
      </c>
      <c r="AG9" s="145">
        <f t="shared" si="5"/>
        <v>98.281559952775297</v>
      </c>
      <c r="AH9" s="331">
        <f t="shared" si="6"/>
        <v>316.53779960663201</v>
      </c>
      <c r="AI9" s="143">
        <f t="shared" si="7"/>
        <v>444.81336869729734</v>
      </c>
      <c r="AJ9" s="144">
        <f t="shared" si="8"/>
        <v>327.93275564467677</v>
      </c>
      <c r="AK9" s="88">
        <f t="shared" si="9"/>
        <v>-11.394956038044768</v>
      </c>
      <c r="AM9" s="57"/>
      <c r="AO9" s="137"/>
      <c r="AP9" s="57">
        <f t="shared" si="10"/>
        <v>21412.887119701281</v>
      </c>
      <c r="AQ9" s="57"/>
      <c r="AR9" s="57"/>
    </row>
    <row r="10" spans="1:44" ht="15.75" customHeight="1">
      <c r="A10" s="330" t="s">
        <v>662</v>
      </c>
      <c r="B10" s="135">
        <v>45398</v>
      </c>
      <c r="C10" s="135">
        <v>45396</v>
      </c>
      <c r="D10" s="142" t="s">
        <v>549</v>
      </c>
      <c r="E10" s="176">
        <v>20169040231</v>
      </c>
      <c r="F10" s="142" t="s">
        <v>660</v>
      </c>
      <c r="G10" s="177">
        <v>27</v>
      </c>
      <c r="H10" s="177" t="s">
        <v>450</v>
      </c>
      <c r="I10" s="138">
        <v>2.61</v>
      </c>
      <c r="J10" s="143">
        <v>25</v>
      </c>
      <c r="K10" s="138">
        <f t="shared" si="0"/>
        <v>1.9575</v>
      </c>
      <c r="L10" s="332">
        <v>1.3029999999999999</v>
      </c>
      <c r="M10" s="141">
        <v>1.1200000000000001</v>
      </c>
      <c r="N10" s="141">
        <v>1.3260000000000001</v>
      </c>
      <c r="O10" s="141">
        <f>+ROUND((M10+N10)/2,3)</f>
        <v>1.2230000000000001</v>
      </c>
      <c r="P10" s="142">
        <v>88</v>
      </c>
      <c r="Q10" s="142">
        <v>80.069999999999993</v>
      </c>
      <c r="R10" s="144">
        <v>2333.88</v>
      </c>
      <c r="S10" s="132">
        <v>180</v>
      </c>
      <c r="T10" s="142"/>
      <c r="U10" s="142">
        <v>130</v>
      </c>
      <c r="V10" s="142">
        <v>1.1023000000000001</v>
      </c>
      <c r="W10" s="142">
        <v>7.9</v>
      </c>
      <c r="X10" s="142">
        <v>13.15</v>
      </c>
      <c r="Y10" s="142">
        <v>100</v>
      </c>
      <c r="Z10" s="143">
        <f t="shared" si="11"/>
        <v>38.815000000000005</v>
      </c>
      <c r="AA10" s="144">
        <f t="shared" si="1"/>
        <v>138.815</v>
      </c>
      <c r="AB10" s="145">
        <f t="shared" si="2"/>
        <v>2263.1197965857605</v>
      </c>
      <c r="AC10" s="145">
        <f>+(S10-T10)*V10-'data 1'!$F$4</f>
        <v>118.41400000000002</v>
      </c>
      <c r="AD10" s="145">
        <f t="shared" si="3"/>
        <v>-251.01828274937984</v>
      </c>
      <c r="AE10" s="145">
        <f>+(Y10*V10-'data 1'!$I$21)+V10*(Z10-IF(D10="UNTUCA",IF(+((W10-3)*2.5+(X10-3)*3.1)&gt;0,+((W10-3)*1.5+(X10-3)*3.1),0),IF(+((W10-3)*1.5+(X10-3)*3.1)&gt;0,+((W10-3)*1.5+(X10-3)*3.1),0)))</f>
        <v>84.648918918918923</v>
      </c>
      <c r="AF10" s="145">
        <f t="shared" si="4"/>
        <v>155.61360600374371</v>
      </c>
      <c r="AG10" s="145">
        <f t="shared" si="5"/>
        <v>107.65824217328282</v>
      </c>
      <c r="AH10" s="331">
        <f t="shared" si="6"/>
        <v>70.020480102775977</v>
      </c>
      <c r="AI10" s="143">
        <f t="shared" si="7"/>
        <v>181.26976628456447</v>
      </c>
      <c r="AJ10" s="144">
        <f t="shared" si="8"/>
        <v>72.230391563379399</v>
      </c>
      <c r="AK10" s="88">
        <f t="shared" si="9"/>
        <v>-2.209911460603422</v>
      </c>
      <c r="AM10" s="57"/>
      <c r="AO10" s="137"/>
      <c r="AP10" s="57">
        <f t="shared" si="10"/>
        <v>4430.0570018166263</v>
      </c>
      <c r="AQ10" s="57"/>
      <c r="AR10" s="57"/>
    </row>
    <row r="11" spans="1:44" ht="15.75" customHeight="1">
      <c r="A11" s="330" t="s">
        <v>663</v>
      </c>
      <c r="B11" s="135">
        <v>45398</v>
      </c>
      <c r="C11" s="135">
        <v>45396</v>
      </c>
      <c r="D11" s="142" t="s">
        <v>549</v>
      </c>
      <c r="E11" s="176">
        <v>20169040231</v>
      </c>
      <c r="F11" s="142" t="s">
        <v>664</v>
      </c>
      <c r="G11" s="177">
        <v>98</v>
      </c>
      <c r="H11" s="177" t="s">
        <v>450</v>
      </c>
      <c r="I11" s="138">
        <v>8.6300000000000008</v>
      </c>
      <c r="J11" s="143">
        <v>25</v>
      </c>
      <c r="K11" s="138">
        <f t="shared" si="0"/>
        <v>6.4725000000000001</v>
      </c>
      <c r="L11" s="333">
        <v>0.79200000000000004</v>
      </c>
      <c r="M11" s="132">
        <v>0.74099999999999999</v>
      </c>
      <c r="N11" s="170">
        <v>0.88</v>
      </c>
      <c r="O11" s="141">
        <f>+ROUND((M11+N11)/2,3)</f>
        <v>0.81100000000000005</v>
      </c>
      <c r="P11" s="142">
        <v>88</v>
      </c>
      <c r="Q11" s="142">
        <v>80.13</v>
      </c>
      <c r="R11" s="144">
        <v>2333.88</v>
      </c>
      <c r="S11" s="132">
        <v>140</v>
      </c>
      <c r="T11" s="142"/>
      <c r="U11" s="142">
        <v>120</v>
      </c>
      <c r="V11" s="142">
        <v>1.1023000000000001</v>
      </c>
      <c r="W11" s="142">
        <v>7.8</v>
      </c>
      <c r="X11" s="142">
        <v>12.8</v>
      </c>
      <c r="Y11" s="142">
        <v>100</v>
      </c>
      <c r="Z11" s="143">
        <f t="shared" si="11"/>
        <v>37.58</v>
      </c>
      <c r="AA11" s="144">
        <f t="shared" si="1"/>
        <v>137.57999999999998</v>
      </c>
      <c r="AB11" s="145">
        <f t="shared" si="2"/>
        <v>1435.6596365603205</v>
      </c>
      <c r="AC11" s="145">
        <f>+(S11-T11)*V11-'data 1'!$F$4</f>
        <v>74.322000000000003</v>
      </c>
      <c r="AD11" s="145">
        <f t="shared" si="3"/>
        <v>-152.10861020688972</v>
      </c>
      <c r="AE11" s="145">
        <f>+(Y11*V11-'data 1'!$I$21)+V11*(Z11-IF(D11="UNTUCA",IF(+((W11-3)*2.5+(X11-3)*3.1)&gt;0,+((W11-3)*1.5+(X11-3)*3.1),0),IF(+((W11-3)*1.5+(X11-3)*3.1)&gt;0,+((W11-3)*1.5+(X11-3)*3.1),0)))</f>
        <v>84.648918918918923</v>
      </c>
      <c r="AF11" s="145">
        <f t="shared" si="4"/>
        <v>-37.153747734922838</v>
      </c>
      <c r="AG11" s="145">
        <f t="shared" si="5"/>
        <v>-30.291439022893634</v>
      </c>
      <c r="AH11" s="331">
        <f t="shared" si="6"/>
        <v>140.83203431824538</v>
      </c>
      <c r="AI11" s="143">
        <f t="shared" si="7"/>
        <v>103.26789695676953</v>
      </c>
      <c r="AJ11" s="144">
        <f t="shared" si="8"/>
        <v>158.37428044995912</v>
      </c>
      <c r="AK11" s="88">
        <f t="shared" si="9"/>
        <v>-17.542246131713739</v>
      </c>
      <c r="AM11" s="57"/>
      <c r="AO11" s="137"/>
      <c r="AP11" s="57">
        <f t="shared" si="10"/>
        <v>9292.3069976366751</v>
      </c>
      <c r="AQ11" s="57"/>
      <c r="AR11" s="57"/>
    </row>
    <row r="12" spans="1:44" ht="15.75" customHeight="1">
      <c r="A12" s="330" t="s">
        <v>665</v>
      </c>
      <c r="B12" s="293">
        <v>45401</v>
      </c>
      <c r="C12" s="293">
        <v>45401</v>
      </c>
      <c r="D12" s="294" t="s">
        <v>549</v>
      </c>
      <c r="E12" s="295">
        <v>20169040231</v>
      </c>
      <c r="F12" s="294" t="s">
        <v>666</v>
      </c>
      <c r="G12" s="297">
        <v>75</v>
      </c>
      <c r="H12" s="297" t="s">
        <v>465</v>
      </c>
      <c r="I12" s="298">
        <v>6.69</v>
      </c>
      <c r="J12" s="299">
        <v>1.1000000000000001</v>
      </c>
      <c r="K12" s="298">
        <f t="shared" si="0"/>
        <v>6.6164100000000001</v>
      </c>
      <c r="L12" s="300">
        <v>0.375</v>
      </c>
      <c r="M12" s="301">
        <v>0.60299999999999998</v>
      </c>
      <c r="N12" s="139">
        <v>0.65900000000000003</v>
      </c>
      <c r="O12" s="301">
        <v>0.63500000000000001</v>
      </c>
      <c r="P12" s="294">
        <v>88</v>
      </c>
      <c r="Q12" s="294">
        <v>88.62</v>
      </c>
      <c r="R12" s="305">
        <v>2327</v>
      </c>
      <c r="S12" s="334">
        <v>140</v>
      </c>
      <c r="T12" s="303"/>
      <c r="U12" s="294">
        <v>120</v>
      </c>
      <c r="V12" s="294">
        <v>1.1023000000000001</v>
      </c>
      <c r="W12" s="299">
        <v>7.9</v>
      </c>
      <c r="X12" s="299">
        <v>11.6</v>
      </c>
      <c r="Y12" s="303">
        <v>46</v>
      </c>
      <c r="Z12" s="304">
        <f t="shared" si="11"/>
        <v>34.01</v>
      </c>
      <c r="AA12" s="307">
        <f t="shared" si="1"/>
        <v>80.009999999999991</v>
      </c>
      <c r="AB12" s="308">
        <f t="shared" si="2"/>
        <v>1116.9182616800001</v>
      </c>
      <c r="AC12" s="308">
        <f>+(S12-T12)*V12-'data 1'!$F$4</f>
        <v>74.322000000000003</v>
      </c>
      <c r="AD12" s="308">
        <f t="shared" si="3"/>
        <v>5.6562044325000418</v>
      </c>
      <c r="AE12" s="308">
        <f>+(Y12*V12-'data 1'!$I$21)+V12*(Z12-IF(D12="UNTUCA",IF(+((W12-3)*2.5+(X12-3)*3.1)&gt;0,+((W12-3)*1.5+(X12-3)*3.1),0),IF(+((W12-3)*1.5+(X12-3)*3.1)&gt;0,+((W12-3)*1.5+(X12-3)*3.1),0)))</f>
        <v>25.124718918918923</v>
      </c>
      <c r="AF12" s="308">
        <f t="shared" si="4"/>
        <v>-560.54080675320006</v>
      </c>
      <c r="AG12" s="308">
        <f t="shared" si="5"/>
        <v>-455.43788340178105</v>
      </c>
      <c r="AH12" s="309">
        <f t="shared" si="6"/>
        <v>75.386658213416055</v>
      </c>
      <c r="AI12" s="143">
        <f t="shared" si="7"/>
        <v>56.596725438750006</v>
      </c>
      <c r="AJ12" s="144">
        <f t="shared" si="8"/>
        <v>126.7616478136068</v>
      </c>
      <c r="AK12" s="88">
        <f t="shared" si="9"/>
        <v>-51.374989600190744</v>
      </c>
      <c r="AM12" s="57"/>
      <c r="AO12" s="137"/>
      <c r="AP12" s="57">
        <f t="shared" si="10"/>
        <v>7389.9891557621695</v>
      </c>
      <c r="AQ12" s="57"/>
      <c r="AR12" s="57"/>
    </row>
    <row r="13" spans="1:44" ht="15.75" customHeight="1">
      <c r="A13" s="330" t="s">
        <v>667</v>
      </c>
      <c r="B13" s="135">
        <v>45401</v>
      </c>
      <c r="C13" s="135">
        <v>45401</v>
      </c>
      <c r="D13" s="142" t="s">
        <v>549</v>
      </c>
      <c r="E13" s="176">
        <v>20169040231</v>
      </c>
      <c r="F13" s="142" t="s">
        <v>666</v>
      </c>
      <c r="G13" s="90">
        <v>76</v>
      </c>
      <c r="H13" s="90" t="s">
        <v>465</v>
      </c>
      <c r="I13" s="82">
        <v>6.73</v>
      </c>
      <c r="J13" s="137">
        <v>1.5</v>
      </c>
      <c r="K13" s="82">
        <f t="shared" si="0"/>
        <v>6.6290500000000003</v>
      </c>
      <c r="L13" s="240">
        <v>0.34200000000000003</v>
      </c>
      <c r="M13" s="139">
        <v>0.33400000000000002</v>
      </c>
      <c r="N13" s="139">
        <v>0.373</v>
      </c>
      <c r="O13" s="139">
        <v>0.35499999999999998</v>
      </c>
      <c r="P13" s="142">
        <v>88</v>
      </c>
      <c r="Q13" s="142">
        <v>88.66</v>
      </c>
      <c r="R13" s="57">
        <v>2327</v>
      </c>
      <c r="S13" s="161">
        <v>110</v>
      </c>
      <c r="T13" s="6"/>
      <c r="U13" s="142">
        <v>120</v>
      </c>
      <c r="V13" s="142">
        <v>1.1023000000000001</v>
      </c>
      <c r="W13" s="137">
        <v>7.8</v>
      </c>
      <c r="X13" s="137">
        <v>11.8</v>
      </c>
      <c r="Y13" s="6">
        <v>26.83</v>
      </c>
      <c r="Z13" s="143">
        <f t="shared" si="11"/>
        <v>34.480000000000004</v>
      </c>
      <c r="AA13" s="144">
        <f t="shared" si="1"/>
        <v>61.31</v>
      </c>
      <c r="AB13" s="145">
        <f t="shared" si="2"/>
        <v>571.16424064</v>
      </c>
      <c r="AC13" s="145">
        <f>+(S13-T13)*V13-'data 1'!$F$4</f>
        <v>41.253</v>
      </c>
      <c r="AD13" s="145">
        <f t="shared" si="3"/>
        <v>5.4912622129199722</v>
      </c>
      <c r="AE13" s="145">
        <f>+(Y13*V13-'data 1'!$I$21)+V13*(Z13-IF(D13="UNTUCA",IF(+((W13-3)*2.5+(X13-3)*3.1)&gt;0,+((W13-3)*1.5+(X13-3)*3.1),0),IF(+((W13-3)*1.5+(X13-3)*3.1)&gt;0,+((W13-3)*1.5+(X13-3)*3.1),0)))</f>
        <v>3.9936279189189179</v>
      </c>
      <c r="AF13" s="145">
        <f t="shared" si="4"/>
        <v>-28.039690773379906</v>
      </c>
      <c r="AG13" s="145">
        <f t="shared" si="5"/>
        <v>22.698199358458982</v>
      </c>
      <c r="AH13" s="331">
        <f t="shared" si="6"/>
        <v>68.915069269433332</v>
      </c>
      <c r="AI13" s="143">
        <f t="shared" si="7"/>
        <v>51.639511372020003</v>
      </c>
      <c r="AJ13" s="144">
        <f t="shared" si="8"/>
        <v>71.00213193635112</v>
      </c>
      <c r="AK13" s="88">
        <f t="shared" si="9"/>
        <v>-2.0870626669177881</v>
      </c>
      <c r="AM13" s="57"/>
      <c r="AO13" s="137"/>
      <c r="AP13" s="57">
        <f t="shared" si="10"/>
        <v>3786.2763094145921</v>
      </c>
      <c r="AQ13" s="57"/>
      <c r="AR13" s="57"/>
    </row>
    <row r="14" spans="1:44" ht="15.75" customHeight="1">
      <c r="A14" s="330" t="s">
        <v>668</v>
      </c>
      <c r="B14" s="135">
        <v>45401</v>
      </c>
      <c r="C14" s="135">
        <v>45401</v>
      </c>
      <c r="D14" s="142" t="s">
        <v>549</v>
      </c>
      <c r="E14" s="176">
        <v>20169040231</v>
      </c>
      <c r="F14" s="142" t="s">
        <v>666</v>
      </c>
      <c r="G14" s="90">
        <v>76</v>
      </c>
      <c r="H14" s="90" t="s">
        <v>465</v>
      </c>
      <c r="I14" s="82">
        <v>6.9</v>
      </c>
      <c r="J14" s="137">
        <v>1</v>
      </c>
      <c r="K14" s="82">
        <f t="shared" si="0"/>
        <v>6.8310000000000004</v>
      </c>
      <c r="L14" s="240">
        <v>0.38300000000000001</v>
      </c>
      <c r="M14" s="139">
        <v>0.36599999999999999</v>
      </c>
      <c r="N14" s="197">
        <v>0.36599999999999999</v>
      </c>
      <c r="O14" s="139">
        <v>0.36799999999999999</v>
      </c>
      <c r="P14" s="142">
        <v>88</v>
      </c>
      <c r="Q14" s="142">
        <v>88.31</v>
      </c>
      <c r="R14" s="57">
        <v>2327</v>
      </c>
      <c r="S14" s="161">
        <v>110</v>
      </c>
      <c r="T14" s="6"/>
      <c r="U14" s="142">
        <v>120</v>
      </c>
      <c r="V14" s="142">
        <v>1.1023000000000001</v>
      </c>
      <c r="W14" s="137">
        <v>7.9</v>
      </c>
      <c r="X14" s="137">
        <v>11.7</v>
      </c>
      <c r="Y14" s="6">
        <v>26.83</v>
      </c>
      <c r="Z14" s="143">
        <f t="shared" si="11"/>
        <v>34.32</v>
      </c>
      <c r="AA14" s="144">
        <f t="shared" si="1"/>
        <v>61.15</v>
      </c>
      <c r="AB14" s="145">
        <f t="shared" si="2"/>
        <v>599.171567224</v>
      </c>
      <c r="AC14" s="145">
        <f>+(S14-T14)*V14-'data 1'!$F$4</f>
        <v>41.253</v>
      </c>
      <c r="AD14" s="145">
        <f t="shared" si="3"/>
        <v>2.8884350635300216</v>
      </c>
      <c r="AE14" s="145">
        <f>+(Y14*V14-'data 1'!$I$21)+V14*(Z14-IF(D14="UNTUCA",IF(+((W14-3)*2.5+(X14-3)*3.1)&gt;0,+((W14-3)*1.5+(X14-3)*3.1),0),IF(+((W14-3)*1.5+(X14-3)*3.1)&gt;0,+((W14-3)*1.5+(X14-3)*3.1),0)))</f>
        <v>3.9936279189189179</v>
      </c>
      <c r="AF14" s="145">
        <f t="shared" si="4"/>
        <v>32.225768608650036</v>
      </c>
      <c r="AG14" s="145">
        <f t="shared" si="5"/>
        <v>80.360831591098986</v>
      </c>
      <c r="AH14" s="331">
        <f t="shared" si="6"/>
        <v>79.214012642423327</v>
      </c>
      <c r="AI14" s="143">
        <f t="shared" si="7"/>
        <v>57.601918706055002</v>
      </c>
      <c r="AJ14" s="144">
        <f t="shared" si="8"/>
        <v>75.844456831611069</v>
      </c>
      <c r="AK14" s="88">
        <f t="shared" si="9"/>
        <v>3.3695558108122583</v>
      </c>
      <c r="AM14" s="57"/>
      <c r="AO14" s="137"/>
      <c r="AP14" s="57">
        <f t="shared" si="10"/>
        <v>4092.9409757071444</v>
      </c>
      <c r="AQ14" s="57"/>
      <c r="AR14" s="57"/>
    </row>
    <row r="15" spans="1:44" ht="15.75" customHeight="1">
      <c r="A15" s="330" t="s">
        <v>669</v>
      </c>
      <c r="B15" s="135">
        <v>45401</v>
      </c>
      <c r="C15" s="135">
        <v>45401</v>
      </c>
      <c r="D15" s="142" t="s">
        <v>549</v>
      </c>
      <c r="E15" s="176">
        <v>20169040231</v>
      </c>
      <c r="F15" s="142" t="s">
        <v>670</v>
      </c>
      <c r="G15" s="90">
        <v>10</v>
      </c>
      <c r="H15" s="90" t="s">
        <v>465</v>
      </c>
      <c r="I15" s="82">
        <v>0.79</v>
      </c>
      <c r="J15" s="137">
        <v>1</v>
      </c>
      <c r="K15" s="82">
        <f t="shared" si="0"/>
        <v>0.78210000000000002</v>
      </c>
      <c r="L15" s="240">
        <v>0.52800000000000002</v>
      </c>
      <c r="M15" s="139">
        <v>0.504</v>
      </c>
      <c r="N15" s="139">
        <v>0.504</v>
      </c>
      <c r="O15" s="139">
        <f t="shared" ref="O15:O48" si="12">+ROUND((M15+N15)/2,3)</f>
        <v>0.504</v>
      </c>
      <c r="P15" s="142">
        <v>90</v>
      </c>
      <c r="Q15" s="142">
        <v>88.28</v>
      </c>
      <c r="R15" s="57">
        <v>2327</v>
      </c>
      <c r="S15" s="335">
        <v>143.19999999999999</v>
      </c>
      <c r="T15" s="6"/>
      <c r="U15" s="142">
        <v>120</v>
      </c>
      <c r="V15" s="142">
        <v>1.1023000000000001</v>
      </c>
      <c r="W15" s="137">
        <v>7.85</v>
      </c>
      <c r="X15" s="137">
        <v>12.3</v>
      </c>
      <c r="Y15" s="6">
        <v>26.83</v>
      </c>
      <c r="Z15" s="143">
        <f t="shared" si="11"/>
        <v>36.105000000000004</v>
      </c>
      <c r="AA15" s="144">
        <f t="shared" si="1"/>
        <v>62.935000000000002</v>
      </c>
      <c r="AB15" s="145">
        <f t="shared" si="2"/>
        <v>876.28462846000025</v>
      </c>
      <c r="AC15" s="145">
        <f>+(S15-T15)*V15-'data 1'!$F$4</f>
        <v>77.84935999999999</v>
      </c>
      <c r="AD15" s="145">
        <f t="shared" si="3"/>
        <v>-22.093499429759991</v>
      </c>
      <c r="AE15" s="145">
        <f>+(Y15*V15-'data 1'!$I$21)+V15*(Z15-IF(D15="UNTUCA",IF(+((W15-3)*2.5+(X15-3)*3.1)&gt;0,+((W15-3)*1.5+(X15-3)*3.1),0),IF(+((W15-3)*1.5+(X15-3)*3.1)&gt;0,+((W15-3)*1.5+(X15-3)*3.1),0)))</f>
        <v>3.9936279189189179</v>
      </c>
      <c r="AF15" s="145">
        <f t="shared" si="4"/>
        <v>51.543713785920048</v>
      </c>
      <c r="AG15" s="145">
        <f t="shared" si="5"/>
        <v>111.29320227507897</v>
      </c>
      <c r="AH15" s="331">
        <f t="shared" si="6"/>
        <v>12.498779378035811</v>
      </c>
      <c r="AI15" s="143">
        <f t="shared" si="7"/>
        <v>79.382457253440009</v>
      </c>
      <c r="AJ15" s="144">
        <f t="shared" si="8"/>
        <v>12.163103464435308</v>
      </c>
      <c r="AK15" s="88">
        <f t="shared" si="9"/>
        <v>0.33567591360050386</v>
      </c>
      <c r="AM15" s="57"/>
      <c r="AO15" s="137"/>
      <c r="AP15" s="57">
        <f t="shared" si="10"/>
        <v>685.34220791856626</v>
      </c>
      <c r="AQ15" s="57"/>
      <c r="AR15" s="57"/>
    </row>
    <row r="16" spans="1:44" ht="15.75" customHeight="1">
      <c r="A16" s="330" t="s">
        <v>671</v>
      </c>
      <c r="B16" s="135">
        <v>45401</v>
      </c>
      <c r="C16" s="135">
        <v>45401</v>
      </c>
      <c r="D16" s="142" t="s">
        <v>549</v>
      </c>
      <c r="E16" s="176">
        <v>20169040231</v>
      </c>
      <c r="F16" s="142" t="s">
        <v>672</v>
      </c>
      <c r="G16" s="90">
        <v>35</v>
      </c>
      <c r="H16" s="90" t="s">
        <v>465</v>
      </c>
      <c r="I16" s="82">
        <v>3.11</v>
      </c>
      <c r="J16" s="137">
        <v>1.2</v>
      </c>
      <c r="K16" s="82">
        <f t="shared" si="0"/>
        <v>3.0726800000000001</v>
      </c>
      <c r="L16" s="240">
        <v>0.40600000000000003</v>
      </c>
      <c r="M16" s="139">
        <v>0.378</v>
      </c>
      <c r="N16" s="271">
        <v>0.378</v>
      </c>
      <c r="O16" s="139">
        <f t="shared" si="12"/>
        <v>0.378</v>
      </c>
      <c r="P16" s="142">
        <v>90</v>
      </c>
      <c r="Q16" s="142">
        <v>88.09</v>
      </c>
      <c r="R16" s="57">
        <v>2327</v>
      </c>
      <c r="S16" s="80">
        <v>110</v>
      </c>
      <c r="T16" s="6"/>
      <c r="U16" s="142">
        <v>120</v>
      </c>
      <c r="V16" s="142">
        <v>1.1023000000000001</v>
      </c>
      <c r="W16" s="137">
        <v>7.9</v>
      </c>
      <c r="X16" s="137">
        <v>12.4</v>
      </c>
      <c r="Y16" s="6">
        <v>26.83</v>
      </c>
      <c r="Z16" s="143">
        <f t="shared" si="11"/>
        <v>36.49</v>
      </c>
      <c r="AA16" s="144">
        <f t="shared" si="1"/>
        <v>63.32</v>
      </c>
      <c r="AB16" s="145">
        <f t="shared" si="2"/>
        <v>636.57979322000017</v>
      </c>
      <c r="AC16" s="145">
        <f>+(S16-T16)*V16-'data 1'!$F$4</f>
        <v>41.253</v>
      </c>
      <c r="AD16" s="145">
        <f t="shared" si="3"/>
        <v>-18.865205545059972</v>
      </c>
      <c r="AE16" s="145">
        <f>+(Y16*V16-'data 1'!$I$21)+V16*(Z16-IF(D16="UNTUCA",IF(+((W16-3)*2.5+(X16-3)*3.1)&gt;0,+((W16-3)*1.5+(X16-3)*3.1),0),IF(+((W16-3)*1.5+(X16-3)*3.1)&gt;0,+((W16-3)*1.5+(X16-3)*3.1),0)))</f>
        <v>3.9936279189189179</v>
      </c>
      <c r="AF16" s="145">
        <f t="shared" si="4"/>
        <v>60.004909061720063</v>
      </c>
      <c r="AG16" s="145">
        <f t="shared" si="5"/>
        <v>86.38633143557901</v>
      </c>
      <c r="AH16" s="331">
        <f t="shared" si="6"/>
        <v>37.677236952869677</v>
      </c>
      <c r="AI16" s="143">
        <f t="shared" si="7"/>
        <v>60.90892502289001</v>
      </c>
      <c r="AJ16" s="144">
        <f t="shared" si="8"/>
        <v>35.839398497411857</v>
      </c>
      <c r="AK16" s="88">
        <f t="shared" si="9"/>
        <v>1.8378384554578204</v>
      </c>
      <c r="AM16" s="57"/>
      <c r="AO16" s="137"/>
      <c r="AP16" s="57">
        <f t="shared" si="10"/>
        <v>1956.0059990312302</v>
      </c>
      <c r="AQ16" s="57"/>
      <c r="AR16" s="57"/>
    </row>
    <row r="17" spans="1:44" ht="15.75" customHeight="1">
      <c r="A17" s="330" t="s">
        <v>673</v>
      </c>
      <c r="B17" s="135">
        <v>45401</v>
      </c>
      <c r="C17" s="135">
        <v>45401</v>
      </c>
      <c r="D17" s="142" t="s">
        <v>549</v>
      </c>
      <c r="E17" s="176">
        <v>20169040231</v>
      </c>
      <c r="F17" s="142" t="s">
        <v>435</v>
      </c>
      <c r="G17" s="90">
        <v>57</v>
      </c>
      <c r="H17" s="177" t="s">
        <v>450</v>
      </c>
      <c r="I17" s="82">
        <v>4.96</v>
      </c>
      <c r="J17" s="137">
        <v>23.3</v>
      </c>
      <c r="K17" s="82">
        <f t="shared" si="0"/>
        <v>3.8043199999999997</v>
      </c>
      <c r="L17" s="240">
        <v>0.70699999999999996</v>
      </c>
      <c r="M17" s="139">
        <v>0.67900000000000005</v>
      </c>
      <c r="N17" s="336">
        <v>0.81599999999999995</v>
      </c>
      <c r="O17" s="139">
        <f t="shared" si="12"/>
        <v>0.748</v>
      </c>
      <c r="P17" s="142">
        <v>88</v>
      </c>
      <c r="Q17" s="142">
        <v>85.13</v>
      </c>
      <c r="R17" s="57">
        <v>2327</v>
      </c>
      <c r="S17" s="335">
        <v>140</v>
      </c>
      <c r="T17" s="6"/>
      <c r="U17" s="142">
        <v>120</v>
      </c>
      <c r="V17" s="142">
        <v>1.1023000000000001</v>
      </c>
      <c r="W17" s="137">
        <v>7.8</v>
      </c>
      <c r="X17" s="137">
        <v>13.2</v>
      </c>
      <c r="Y17" s="6"/>
      <c r="Z17" s="143">
        <f t="shared" si="11"/>
        <v>38.819999999999993</v>
      </c>
      <c r="AA17" s="144">
        <f t="shared" si="1"/>
        <v>38.819999999999993</v>
      </c>
      <c r="AB17" s="145">
        <f t="shared" si="2"/>
        <v>1404.2372540640001</v>
      </c>
      <c r="AC17" s="145">
        <f>+(S17-T17)*V17-'data 1'!$F$4</f>
        <v>74.322000000000003</v>
      </c>
      <c r="AD17" s="145">
        <f t="shared" si="3"/>
        <v>-49.363216567490078</v>
      </c>
      <c r="AE17" s="145">
        <f>+(Y17*V17-'data 1'!$I$21)+V17*(Z17-IF(D17="UNTUCA",IF(+((W17-3)*2.5+(X17-3)*3.1)&gt;0,+((W17-3)*1.5+(X17-3)*3.1),0),IF(+((W17-3)*1.5+(X17-3)*3.1)&gt;0,+((W17-3)*1.5+(X17-3)*3.1),0)))</f>
        <v>-25.581081081081081</v>
      </c>
      <c r="AF17" s="145">
        <f t="shared" si="4"/>
        <v>-84.911914051130083</v>
      </c>
      <c r="AG17" s="145">
        <f t="shared" si="5"/>
        <v>-85.534211699701245</v>
      </c>
      <c r="AH17" s="331">
        <f t="shared" si="6"/>
        <v>78.503344029058994</v>
      </c>
      <c r="AI17" s="143">
        <f t="shared" si="7"/>
        <v>102.50152772968501</v>
      </c>
      <c r="AJ17" s="144">
        <f t="shared" si="8"/>
        <v>85.85594637386734</v>
      </c>
      <c r="AK17" s="88">
        <f t="shared" si="9"/>
        <v>-7.3526023448083464</v>
      </c>
      <c r="AM17" s="57"/>
      <c r="AO17" s="137"/>
      <c r="AP17" s="57">
        <f t="shared" si="10"/>
        <v>5342.1678703807565</v>
      </c>
      <c r="AQ17" s="57"/>
      <c r="AR17" s="57"/>
    </row>
    <row r="18" spans="1:44" ht="15.75" customHeight="1">
      <c r="A18" s="310" t="s">
        <v>674</v>
      </c>
      <c r="B18" s="311">
        <v>45401</v>
      </c>
      <c r="C18" s="311">
        <v>45401</v>
      </c>
      <c r="D18" s="312" t="s">
        <v>549</v>
      </c>
      <c r="E18" s="313">
        <v>20169040231</v>
      </c>
      <c r="F18" s="312" t="s">
        <v>675</v>
      </c>
      <c r="G18" s="315">
        <v>74</v>
      </c>
      <c r="H18" s="314" t="s">
        <v>450</v>
      </c>
      <c r="I18" s="316">
        <v>6.64</v>
      </c>
      <c r="J18" s="317">
        <v>23.2</v>
      </c>
      <c r="K18" s="316">
        <f t="shared" si="0"/>
        <v>5.0995200000000001</v>
      </c>
      <c r="L18" s="318">
        <v>0.873</v>
      </c>
      <c r="M18" s="319">
        <v>0.79400000000000004</v>
      </c>
      <c r="N18" s="337">
        <v>0.79400000000000004</v>
      </c>
      <c r="O18" s="319">
        <f t="shared" si="12"/>
        <v>0.79400000000000004</v>
      </c>
      <c r="P18" s="312">
        <v>90</v>
      </c>
      <c r="Q18" s="312">
        <v>85.16</v>
      </c>
      <c r="R18" s="323">
        <v>2327</v>
      </c>
      <c r="S18" s="324">
        <v>130</v>
      </c>
      <c r="T18" s="321"/>
      <c r="U18" s="312">
        <v>120</v>
      </c>
      <c r="V18" s="312">
        <v>1.1023000000000001</v>
      </c>
      <c r="W18" s="317">
        <v>7.8</v>
      </c>
      <c r="X18" s="317">
        <v>13.15</v>
      </c>
      <c r="Y18" s="321">
        <v>26.83</v>
      </c>
      <c r="Z18" s="322">
        <f t="shared" si="11"/>
        <v>38.665000000000006</v>
      </c>
      <c r="AA18" s="325">
        <f t="shared" si="1"/>
        <v>65.495000000000005</v>
      </c>
      <c r="AB18" s="326">
        <f t="shared" si="2"/>
        <v>1522.9676625600005</v>
      </c>
      <c r="AC18" s="326">
        <f>+(S18-T18)*V18-'data 1'!$F$4</f>
        <v>63.299000000000007</v>
      </c>
      <c r="AD18" s="326">
        <f t="shared" si="3"/>
        <v>-102.79257510852008</v>
      </c>
      <c r="AE18" s="326">
        <f>+(Y18*V18-'data 1'!$I$21)+V18*(Z18-IF(D18="UNTUCA",IF(+((W18-3)*2.5+(X18-3)*3.1)&gt;0,+((W18-3)*1.5+(X18-3)*3.1),0),IF(+((W18-3)*1.5+(X18-3)*3.1)&gt;0,+((W18-3)*1.5+(X18-3)*3.1),0)))</f>
        <v>3.9936279189189179</v>
      </c>
      <c r="AF18" s="326">
        <f t="shared" si="4"/>
        <v>163.66841801403993</v>
      </c>
      <c r="AG18" s="326">
        <f t="shared" si="5"/>
        <v>128.16847082443877</v>
      </c>
      <c r="AH18" s="327">
        <f t="shared" si="6"/>
        <v>129.98351147213117</v>
      </c>
      <c r="AI18" s="143">
        <f t="shared" si="7"/>
        <v>126.61296748037999</v>
      </c>
      <c r="AJ18" s="144">
        <f t="shared" si="8"/>
        <v>124.93996517031876</v>
      </c>
      <c r="AK18" s="88">
        <f t="shared" si="9"/>
        <v>5.0435463018124125</v>
      </c>
      <c r="AM18" s="57"/>
      <c r="AO18" s="137"/>
      <c r="AP18" s="57">
        <f t="shared" si="10"/>
        <v>7766.4040545779735</v>
      </c>
      <c r="AQ18" s="57"/>
      <c r="AR18" s="57"/>
    </row>
    <row r="19" spans="1:44" ht="15.75" customHeight="1">
      <c r="A19" s="330" t="s">
        <v>676</v>
      </c>
      <c r="B19" s="135">
        <v>45405</v>
      </c>
      <c r="C19" s="135">
        <v>45405</v>
      </c>
      <c r="D19" s="142" t="s">
        <v>549</v>
      </c>
      <c r="E19" s="176"/>
      <c r="F19" s="142" t="s">
        <v>677</v>
      </c>
      <c r="G19" s="177">
        <v>63</v>
      </c>
      <c r="H19" s="177" t="s">
        <v>465</v>
      </c>
      <c r="I19" s="138">
        <v>5.83</v>
      </c>
      <c r="J19" s="143">
        <v>1.25</v>
      </c>
      <c r="K19" s="138">
        <f t="shared" si="0"/>
        <v>5.7571250000000003</v>
      </c>
      <c r="L19" s="170">
        <v>0.316</v>
      </c>
      <c r="M19" s="141">
        <v>0.3</v>
      </c>
      <c r="N19" s="271">
        <v>0.33800000000000002</v>
      </c>
      <c r="O19" s="141">
        <f t="shared" si="12"/>
        <v>0.31900000000000001</v>
      </c>
      <c r="P19" s="142">
        <v>89</v>
      </c>
      <c r="Q19" s="143">
        <v>87.51</v>
      </c>
      <c r="R19" s="144">
        <v>2322.13</v>
      </c>
      <c r="S19" s="132">
        <v>110</v>
      </c>
      <c r="T19" s="142"/>
      <c r="U19" s="142">
        <v>120</v>
      </c>
      <c r="V19" s="142">
        <v>1.1023000000000001</v>
      </c>
      <c r="W19" s="143">
        <v>7.9</v>
      </c>
      <c r="X19" s="143">
        <v>9.6</v>
      </c>
      <c r="Y19" s="142">
        <v>26.83</v>
      </c>
      <c r="Z19" s="143">
        <f t="shared" si="11"/>
        <v>27.810000000000002</v>
      </c>
      <c r="AA19" s="144">
        <f t="shared" si="1"/>
        <v>54.64</v>
      </c>
      <c r="AB19" s="145">
        <f t="shared" si="2"/>
        <v>507.68270460509018</v>
      </c>
      <c r="AC19" s="145">
        <f>+(S19-T19)*V19-'data 1'!$F$4</f>
        <v>41.253</v>
      </c>
      <c r="AD19" s="145">
        <f t="shared" si="3"/>
        <v>-11.429207351651563</v>
      </c>
      <c r="AE19" s="145">
        <f>+(Y19*V19-'data 1'!$I$21)+V19*(Z19-IF(D19="UNTUCA",IF(+((W19-3)*2.5+(X19-3)*3.1)&gt;0,+((W19-3)*1.5+(X19-3)*3.1),0),IF(+((W19-3)*1.5+(X19-3)*3.1)&gt;0,+((W19-3)*1.5+(X19-3)*3.1),0)))</f>
        <v>3.9936279189189179</v>
      </c>
      <c r="AF19" s="145">
        <f t="shared" si="4"/>
        <v>-6.3726739572447073</v>
      </c>
      <c r="AG19" s="145">
        <f t="shared" si="5"/>
        <v>27.444746610022648</v>
      </c>
      <c r="AH19" s="145">
        <f t="shared" si="6"/>
        <v>54.583263057652822</v>
      </c>
      <c r="AI19" s="143">
        <f t="shared" si="7"/>
        <v>48.579288135711579</v>
      </c>
      <c r="AJ19" s="144">
        <f t="shared" si="8"/>
        <v>56.039650494548226</v>
      </c>
      <c r="AK19" s="88">
        <f t="shared" si="9"/>
        <v>-1.4563874368954046</v>
      </c>
      <c r="AL19" s="142"/>
      <c r="AM19" s="57"/>
      <c r="AO19" s="137"/>
      <c r="AP19" s="57">
        <f t="shared" si="10"/>
        <v>2922.79279074958</v>
      </c>
      <c r="AQ19" s="57"/>
      <c r="AR19" s="57"/>
    </row>
    <row r="20" spans="1:44" ht="15.75" customHeight="1">
      <c r="A20" s="330" t="s">
        <v>678</v>
      </c>
      <c r="B20" s="135">
        <v>45405</v>
      </c>
      <c r="C20" s="135">
        <v>45405</v>
      </c>
      <c r="D20" s="6" t="s">
        <v>679</v>
      </c>
      <c r="E20" s="176">
        <v>20606534923</v>
      </c>
      <c r="F20" s="142" t="s">
        <v>680</v>
      </c>
      <c r="G20" s="90">
        <v>15</v>
      </c>
      <c r="H20" s="90" t="s">
        <v>465</v>
      </c>
      <c r="I20" s="82">
        <v>1.39</v>
      </c>
      <c r="J20" s="137">
        <v>26.3</v>
      </c>
      <c r="K20" s="82">
        <f t="shared" si="0"/>
        <v>1.02443</v>
      </c>
      <c r="L20" s="240">
        <v>1.54</v>
      </c>
      <c r="M20" s="139">
        <v>1.4630000000000001</v>
      </c>
      <c r="N20" s="197">
        <v>1.4630000000000001</v>
      </c>
      <c r="O20" s="139">
        <f t="shared" si="12"/>
        <v>1.4630000000000001</v>
      </c>
      <c r="P20" s="142">
        <v>88</v>
      </c>
      <c r="Q20" s="143">
        <v>85.69</v>
      </c>
      <c r="R20" s="57">
        <v>2322.13</v>
      </c>
      <c r="S20" s="147">
        <v>220</v>
      </c>
      <c r="U20" s="142">
        <v>120</v>
      </c>
      <c r="V20" s="142">
        <v>1.1023000000000001</v>
      </c>
      <c r="W20" s="137">
        <v>8.1999999999999993</v>
      </c>
      <c r="X20" s="137">
        <v>13.5</v>
      </c>
      <c r="Y20" s="6">
        <v>26.83</v>
      </c>
      <c r="Z20" s="143">
        <f t="shared" si="11"/>
        <v>40.35</v>
      </c>
      <c r="AA20" s="144">
        <f t="shared" si="1"/>
        <v>67.180000000000007</v>
      </c>
      <c r="AB20" s="145">
        <f t="shared" si="2"/>
        <v>2808.5835114885599</v>
      </c>
      <c r="AC20" s="145">
        <f>+(S20-T20)*V20-'data 1'!$F$4</f>
        <v>162.506</v>
      </c>
      <c r="AD20" s="145">
        <f t="shared" si="3"/>
        <v>-86.352608599026098</v>
      </c>
      <c r="AE20" s="145">
        <f>+(Y20*V20-'data 1'!$I$21)+V20*(Z20-IF(D20="UNTUCA",IF(+((W20-3)*2.5+(X20-3)*3.1)&gt;0,+((W20-3)*1.5+(X20-3)*3.1),0),IF(+((W20-3)*1.5+(X20-3)*3.1)&gt;0,+((W20-3)*1.5+(X20-3)*3.1),0)))</f>
        <v>3.9936279189189179</v>
      </c>
      <c r="AF20" s="145">
        <f t="shared" si="4"/>
        <v>160.16352880628864</v>
      </c>
      <c r="AG20" s="145">
        <f t="shared" si="5"/>
        <v>240.31054812618146</v>
      </c>
      <c r="AH20" s="145">
        <f t="shared" si="6"/>
        <v>46.349197711131239</v>
      </c>
      <c r="AI20" s="137">
        <f t="shared" si="7"/>
        <v>231.82338541192584</v>
      </c>
      <c r="AJ20" s="144">
        <f t="shared" si="8"/>
        <v>45.218729474274376</v>
      </c>
      <c r="AK20" s="88">
        <f t="shared" si="9"/>
        <v>1.1304682368568635</v>
      </c>
      <c r="AM20" s="57"/>
      <c r="AO20" s="137"/>
      <c r="AP20" s="57">
        <f t="shared" si="10"/>
        <v>2877.1972066742251</v>
      </c>
      <c r="AQ20" s="57"/>
      <c r="AR20" s="57"/>
    </row>
    <row r="21" spans="1:44" ht="15.75" customHeight="1">
      <c r="A21" s="330" t="s">
        <v>681</v>
      </c>
      <c r="B21" s="135">
        <v>45405</v>
      </c>
      <c r="C21" s="135">
        <v>45405</v>
      </c>
      <c r="D21" s="142" t="s">
        <v>549</v>
      </c>
      <c r="E21" s="176"/>
      <c r="F21" s="142" t="s">
        <v>677</v>
      </c>
      <c r="G21" s="177">
        <v>62</v>
      </c>
      <c r="H21" s="177" t="s">
        <v>465</v>
      </c>
      <c r="I21" s="138">
        <v>5.64</v>
      </c>
      <c r="J21" s="143">
        <v>2</v>
      </c>
      <c r="K21" s="138">
        <f t="shared" si="0"/>
        <v>5.5271999999999997</v>
      </c>
      <c r="L21" s="170">
        <v>0.26300000000000001</v>
      </c>
      <c r="M21" s="141">
        <v>0.25</v>
      </c>
      <c r="N21" s="271">
        <v>0.28599999999999998</v>
      </c>
      <c r="O21" s="141">
        <f t="shared" si="12"/>
        <v>0.26800000000000002</v>
      </c>
      <c r="P21" s="142">
        <v>89</v>
      </c>
      <c r="Q21" s="143">
        <v>87.47</v>
      </c>
      <c r="R21" s="144">
        <v>2322.13</v>
      </c>
      <c r="S21" s="132">
        <v>110</v>
      </c>
      <c r="T21" s="142"/>
      <c r="U21" s="142">
        <v>120</v>
      </c>
      <c r="V21" s="142">
        <v>1.1023000000000001</v>
      </c>
      <c r="W21" s="143">
        <v>7.9</v>
      </c>
      <c r="X21" s="143">
        <v>9.8000000000000007</v>
      </c>
      <c r="Y21" s="142">
        <v>26.83</v>
      </c>
      <c r="Z21" s="143">
        <f t="shared" si="11"/>
        <v>28.430000000000003</v>
      </c>
      <c r="AA21" s="144">
        <f t="shared" si="1"/>
        <v>55.260000000000005</v>
      </c>
      <c r="AB21" s="145">
        <f t="shared" si="2"/>
        <v>396.81923406947999</v>
      </c>
      <c r="AC21" s="145">
        <f>+(S21-T21)*V21-'data 1'!$F$4</f>
        <v>41.253</v>
      </c>
      <c r="AD21" s="145">
        <f t="shared" si="3"/>
        <v>-9.7676466447861081</v>
      </c>
      <c r="AE21" s="145">
        <f>+(Y21*V21-'data 1'!$I$21)+V21*(Z21-IF(D21="UNTUCA",IF(+((W21-3)*2.5+(X21-3)*3.1)&gt;0,+((W21-3)*1.5+(X21-3)*3.1),0),IF(+((W21-3)*1.5+(X21-3)*3.1)&gt;0,+((W21-3)*1.5+(X21-3)*3.1),0)))</f>
        <v>3.9936279189189179</v>
      </c>
      <c r="AF21" s="145">
        <f t="shared" si="4"/>
        <v>-10.616268446276511</v>
      </c>
      <c r="AG21" s="145">
        <f t="shared" si="5"/>
        <v>24.862712827856296</v>
      </c>
      <c r="AH21" s="145">
        <f t="shared" si="6"/>
        <v>43.594241322164663</v>
      </c>
      <c r="AI21" s="143">
        <f t="shared" si="7"/>
        <v>40.413015280701075</v>
      </c>
      <c r="AJ21" s="144">
        <f t="shared" si="8"/>
        <v>45.200063987882061</v>
      </c>
      <c r="AK21" s="88">
        <f t="shared" si="9"/>
        <v>-1.6058226657173975</v>
      </c>
      <c r="AL21" s="142"/>
      <c r="AM21" s="57"/>
      <c r="AO21" s="137"/>
      <c r="AP21" s="57">
        <f t="shared" si="10"/>
        <v>2193.2992705488296</v>
      </c>
      <c r="AQ21" s="57"/>
      <c r="AR21" s="57"/>
    </row>
    <row r="22" spans="1:44" ht="15.75" customHeight="1">
      <c r="A22" s="330" t="s">
        <v>682</v>
      </c>
      <c r="B22" s="135">
        <v>45405</v>
      </c>
      <c r="C22" s="135">
        <v>45405</v>
      </c>
      <c r="D22" s="142" t="s">
        <v>549</v>
      </c>
      <c r="E22" s="176"/>
      <c r="F22" s="142" t="s">
        <v>677</v>
      </c>
      <c r="G22" s="177">
        <v>62</v>
      </c>
      <c r="H22" s="177" t="s">
        <v>465</v>
      </c>
      <c r="I22" s="138">
        <v>5.51</v>
      </c>
      <c r="J22" s="143">
        <v>0.65</v>
      </c>
      <c r="K22" s="138">
        <f t="shared" si="0"/>
        <v>5.4741849999999994</v>
      </c>
      <c r="L22" s="170">
        <v>0.23699999999999999</v>
      </c>
      <c r="M22" s="141">
        <v>0.22500000000000001</v>
      </c>
      <c r="N22" s="271">
        <v>0.246</v>
      </c>
      <c r="O22" s="141">
        <f t="shared" si="12"/>
        <v>0.23599999999999999</v>
      </c>
      <c r="P22" s="142">
        <v>89</v>
      </c>
      <c r="Q22" s="143">
        <v>87.76</v>
      </c>
      <c r="R22" s="144">
        <v>2322.13</v>
      </c>
      <c r="S22" s="132">
        <v>110</v>
      </c>
      <c r="T22" s="142"/>
      <c r="U22" s="142">
        <v>120</v>
      </c>
      <c r="V22" s="142">
        <v>1.1023000000000001</v>
      </c>
      <c r="W22" s="143">
        <v>7.9</v>
      </c>
      <c r="X22" s="143">
        <v>9.8000000000000007</v>
      </c>
      <c r="Y22" s="142">
        <v>26.83</v>
      </c>
      <c r="Z22" s="143">
        <f t="shared" si="11"/>
        <v>28.430000000000003</v>
      </c>
      <c r="AA22" s="144">
        <f t="shared" si="1"/>
        <v>55.260000000000005</v>
      </c>
      <c r="AB22" s="145">
        <f t="shared" si="2"/>
        <v>327.68665710595997</v>
      </c>
      <c r="AC22" s="145">
        <f>+(S22-T22)*V22-'data 1'!$F$4</f>
        <v>41.253</v>
      </c>
      <c r="AD22" s="145">
        <f t="shared" si="3"/>
        <v>-7.1336663335811705</v>
      </c>
      <c r="AE22" s="145">
        <f>+(Y22*V22-'data 1'!$I$21)+V22*(Z22-IF(D22="UNTUCA",IF(+((W22-3)*2.5+(X22-3)*3.1)&gt;0,+((W22-3)*1.5+(X22-3)*3.1),0),IF(+((W22-3)*1.5+(X22-3)*3.1)&gt;0,+((W22-3)*1.5+(X22-3)*3.1),0)))</f>
        <v>3.9936279189189179</v>
      </c>
      <c r="AF22" s="145">
        <f t="shared" si="4"/>
        <v>2.1302931721624021</v>
      </c>
      <c r="AG22" s="145">
        <f t="shared" si="5"/>
        <v>40.243254757500154</v>
      </c>
      <c r="AH22" s="145">
        <f t="shared" si="6"/>
        <v>39.036736228256316</v>
      </c>
      <c r="AI22" s="143">
        <f t="shared" si="7"/>
        <v>36.538552680751174</v>
      </c>
      <c r="AJ22" s="144">
        <f t="shared" si="8"/>
        <v>39.421264348602037</v>
      </c>
      <c r="AK22" s="88">
        <f t="shared" si="9"/>
        <v>-0.38452812034572048</v>
      </c>
      <c r="AL22" s="142"/>
      <c r="AM22" s="57"/>
      <c r="AO22" s="137"/>
      <c r="AP22" s="57">
        <f t="shared" si="10"/>
        <v>1793.8173830295893</v>
      </c>
      <c r="AQ22" s="57"/>
      <c r="AR22" s="57"/>
    </row>
    <row r="23" spans="1:44" ht="15.75" customHeight="1">
      <c r="A23" s="330" t="s">
        <v>683</v>
      </c>
      <c r="B23" s="135">
        <v>45405</v>
      </c>
      <c r="C23" s="135">
        <v>45405</v>
      </c>
      <c r="D23" s="6" t="s">
        <v>679</v>
      </c>
      <c r="E23" s="176">
        <v>20606534923</v>
      </c>
      <c r="F23" s="6" t="s">
        <v>684</v>
      </c>
      <c r="G23" s="90">
        <v>14</v>
      </c>
      <c r="H23" s="90" t="s">
        <v>465</v>
      </c>
      <c r="I23" s="82">
        <v>1.26</v>
      </c>
      <c r="J23" s="137">
        <v>1.25</v>
      </c>
      <c r="K23" s="82">
        <f t="shared" si="0"/>
        <v>1.2442500000000001</v>
      </c>
      <c r="L23" s="240">
        <v>0.33900000000000002</v>
      </c>
      <c r="M23" s="139">
        <v>0.32200000000000001</v>
      </c>
      <c r="N23" s="197">
        <v>0.32200000000000001</v>
      </c>
      <c r="O23" s="139">
        <f t="shared" si="12"/>
        <v>0.32200000000000001</v>
      </c>
      <c r="P23" s="142">
        <v>88</v>
      </c>
      <c r="Q23" s="143">
        <v>88.15</v>
      </c>
      <c r="R23" s="57">
        <v>2322.13</v>
      </c>
      <c r="S23" s="80">
        <v>130</v>
      </c>
      <c r="U23" s="142">
        <v>120</v>
      </c>
      <c r="V23" s="142">
        <v>1.1023000000000001</v>
      </c>
      <c r="W23" s="137">
        <v>7.8</v>
      </c>
      <c r="X23" s="137">
        <v>12.8</v>
      </c>
      <c r="Y23" s="6">
        <v>26.83</v>
      </c>
      <c r="Z23" s="143">
        <f t="shared" si="11"/>
        <v>37.58</v>
      </c>
      <c r="AA23" s="144">
        <f t="shared" si="1"/>
        <v>64.41</v>
      </c>
      <c r="AB23" s="145">
        <f t="shared" si="2"/>
        <v>473.53215926064007</v>
      </c>
      <c r="AC23" s="145">
        <f>+(S23-T23)*V23-'data 1'!$F$4</f>
        <v>63.299000000000007</v>
      </c>
      <c r="AD23" s="145">
        <f t="shared" si="3"/>
        <v>1.234336916641547</v>
      </c>
      <c r="AE23" s="145">
        <f>+(Y23*V23-'data 1'!$I$21)+V23*(Z23-IF(D23="UNTUCA",IF(+((W23-3)*2.5+(X23-3)*3.1)&gt;0,+((W23-3)*1.5+(X23-3)*3.1),0),IF(+((W23-3)*1.5+(X23-3)*3.1)&gt;0,+((W23-3)*1.5+(X23-3)*3.1),0)))</f>
        <v>3.9936279189189179</v>
      </c>
      <c r="AF23" s="145">
        <f t="shared" si="4"/>
        <v>36.375921070464543</v>
      </c>
      <c r="AG23" s="145">
        <f t="shared" si="5"/>
        <v>104.90288590602502</v>
      </c>
      <c r="AH23" s="145">
        <f t="shared" si="6"/>
        <v>12.747902509897616</v>
      </c>
      <c r="AI23" s="137">
        <f t="shared" si="7"/>
        <v>52.496263735003474</v>
      </c>
      <c r="AJ23" s="144">
        <f t="shared" si="8"/>
        <v>12.088022578852376</v>
      </c>
      <c r="AK23" s="88">
        <f t="shared" si="9"/>
        <v>0.65987993104523923</v>
      </c>
      <c r="AM23" s="57"/>
      <c r="AO23" s="137"/>
      <c r="AP23" s="57">
        <f t="shared" si="10"/>
        <v>589.19238916005145</v>
      </c>
      <c r="AQ23" s="57"/>
      <c r="AR23" s="57"/>
    </row>
    <row r="24" spans="1:44" ht="15.75" customHeight="1">
      <c r="A24" s="330" t="s">
        <v>685</v>
      </c>
      <c r="B24" s="135">
        <v>45405</v>
      </c>
      <c r="C24" s="135">
        <v>45405</v>
      </c>
      <c r="D24" s="6" t="s">
        <v>549</v>
      </c>
      <c r="E24" s="176"/>
      <c r="F24" s="6" t="s">
        <v>553</v>
      </c>
      <c r="G24" s="90">
        <v>100</v>
      </c>
      <c r="H24" s="90" t="s">
        <v>465</v>
      </c>
      <c r="I24" s="82">
        <v>9.3800000000000008</v>
      </c>
      <c r="J24" s="137">
        <v>2</v>
      </c>
      <c r="K24" s="82">
        <f t="shared" si="0"/>
        <v>9.192400000000001</v>
      </c>
      <c r="L24" s="240">
        <v>0.504</v>
      </c>
      <c r="M24" s="139">
        <v>0.47899999999999998</v>
      </c>
      <c r="N24" s="197">
        <v>0.47899999999999998</v>
      </c>
      <c r="O24" s="139">
        <f t="shared" si="12"/>
        <v>0.47899999999999998</v>
      </c>
      <c r="P24" s="142">
        <v>88</v>
      </c>
      <c r="Q24" s="143">
        <v>87.78</v>
      </c>
      <c r="R24" s="57">
        <v>2322.13</v>
      </c>
      <c r="S24" s="147">
        <v>120</v>
      </c>
      <c r="U24" s="142">
        <v>120</v>
      </c>
      <c r="V24" s="142">
        <v>1.1023000000000001</v>
      </c>
      <c r="W24" s="137">
        <v>7.9</v>
      </c>
      <c r="X24" s="137">
        <v>11.9</v>
      </c>
      <c r="Y24" s="6">
        <v>26.83</v>
      </c>
      <c r="Z24" s="143">
        <f t="shared" si="11"/>
        <v>34.940000000000005</v>
      </c>
      <c r="AA24" s="144">
        <f t="shared" si="1"/>
        <v>61.77</v>
      </c>
      <c r="AB24" s="145">
        <f t="shared" si="2"/>
        <v>822.83590658648018</v>
      </c>
      <c r="AC24" s="145">
        <f>+(S24-T24)*V24-'data 1'!$F$4</f>
        <v>52.27600000000001</v>
      </c>
      <c r="AD24" s="145">
        <f t="shared" si="3"/>
        <v>-2.6915098784111864</v>
      </c>
      <c r="AE24" s="145">
        <f>+(Y24*V24-'data 1'!$I$21)+V24*(Z24-IF(D24="UNTUCA",IF(+((W24-3)*2.5+(X24-3)*3.1)&gt;0,+((W24-3)*1.5+(X24-3)*3.1),0),IF(+((W24-3)*1.5+(X24-3)*3.1)&gt;0,+((W24-3)*1.5+(X24-3)*3.1),0)))</f>
        <v>3.9936279189189179</v>
      </c>
      <c r="AF24" s="145">
        <f t="shared" si="4"/>
        <v>53.269466343555052</v>
      </c>
      <c r="AG24" s="145">
        <f t="shared" si="5"/>
        <v>106.8475843840628</v>
      </c>
      <c r="AH24" s="145">
        <f t="shared" si="6"/>
        <v>139.43252633943922</v>
      </c>
      <c r="AI24" s="137">
        <f t="shared" si="7"/>
        <v>77.719946506171141</v>
      </c>
      <c r="AJ24" s="144">
        <f t="shared" si="8"/>
        <v>132.84835126823288</v>
      </c>
      <c r="AK24" s="88">
        <f t="shared" si="9"/>
        <v>6.5841750712063458</v>
      </c>
      <c r="AM24" s="57"/>
      <c r="AO24" s="137"/>
      <c r="AP24" s="57">
        <f t="shared" si="10"/>
        <v>7563.8367877055616</v>
      </c>
      <c r="AQ24" s="57"/>
      <c r="AR24" s="57"/>
    </row>
    <row r="25" spans="1:44" ht="15.75" customHeight="1">
      <c r="A25" s="330" t="s">
        <v>686</v>
      </c>
      <c r="B25" s="135">
        <v>45405</v>
      </c>
      <c r="C25" s="135">
        <v>45405</v>
      </c>
      <c r="D25" s="6" t="s">
        <v>549</v>
      </c>
      <c r="E25" s="176"/>
      <c r="F25" s="6" t="s">
        <v>553</v>
      </c>
      <c r="G25" s="90">
        <v>100</v>
      </c>
      <c r="H25" s="90" t="s">
        <v>465</v>
      </c>
      <c r="I25" s="82">
        <v>9.52</v>
      </c>
      <c r="J25" s="137">
        <v>1</v>
      </c>
      <c r="K25" s="82">
        <f t="shared" si="0"/>
        <v>9.4247999999999994</v>
      </c>
      <c r="L25" s="240">
        <v>1.07</v>
      </c>
      <c r="M25" s="139">
        <v>1.0169999999999999</v>
      </c>
      <c r="N25" s="197">
        <v>1.0169999999999999</v>
      </c>
      <c r="O25" s="139">
        <f t="shared" si="12"/>
        <v>1.0169999999999999</v>
      </c>
      <c r="P25" s="142">
        <v>88</v>
      </c>
      <c r="Q25" s="143">
        <v>87.66</v>
      </c>
      <c r="R25" s="57">
        <v>2322.13</v>
      </c>
      <c r="S25" s="147">
        <v>180</v>
      </c>
      <c r="U25" s="142">
        <v>120</v>
      </c>
      <c r="V25" s="142">
        <v>1.1023000000000001</v>
      </c>
      <c r="W25" s="137">
        <v>7.9</v>
      </c>
      <c r="X25" s="137">
        <v>12.8</v>
      </c>
      <c r="Y25" s="6">
        <v>26.83</v>
      </c>
      <c r="Z25" s="143">
        <f t="shared" si="11"/>
        <v>37.730000000000004</v>
      </c>
      <c r="AA25" s="144">
        <f t="shared" si="1"/>
        <v>64.56</v>
      </c>
      <c r="AB25" s="145">
        <f t="shared" si="2"/>
        <v>1902.8544852890402</v>
      </c>
      <c r="AC25" s="145">
        <f>+(S25-T25)*V25-'data 1'!$F$4</f>
        <v>118.41400000000002</v>
      </c>
      <c r="AD25" s="145">
        <f t="shared" si="3"/>
        <v>-8.8309099365620902</v>
      </c>
      <c r="AE25" s="145">
        <f>+(Y25*V25-'data 1'!$I$21)+V25*(Z25-IF(D25="UNTUCA",IF(+((W25-3)*2.5+(X25-3)*3.1)&gt;0,+((W25-3)*1.5+(X25-3)*3.1),0),IF(+((W25-3)*1.5+(X25-3)*3.1)&gt;0,+((W25-3)*1.5+(X25-3)*3.1),0)))</f>
        <v>3.9936279189189179</v>
      </c>
      <c r="AF25" s="145">
        <f t="shared" si="4"/>
        <v>112.77688550596055</v>
      </c>
      <c r="AG25" s="145">
        <f t="shared" si="5"/>
        <v>226.35360348831739</v>
      </c>
      <c r="AH25" s="145">
        <f t="shared" si="6"/>
        <v>303.08640487427317</v>
      </c>
      <c r="AI25" s="137">
        <f t="shared" si="7"/>
        <v>164.77511524306192</v>
      </c>
      <c r="AJ25" s="144">
        <f t="shared" si="8"/>
        <v>289.19104282079599</v>
      </c>
      <c r="AK25" s="88">
        <f t="shared" si="9"/>
        <v>13.895362053477186</v>
      </c>
      <c r="AM25" s="57"/>
      <c r="AO25" s="137"/>
      <c r="AP25" s="57">
        <f t="shared" si="10"/>
        <v>17934.022952952146</v>
      </c>
      <c r="AQ25" s="57"/>
      <c r="AR25" s="57"/>
    </row>
    <row r="26" spans="1:44" ht="15.75" customHeight="1">
      <c r="A26" s="330" t="s">
        <v>687</v>
      </c>
      <c r="B26" s="135">
        <v>45405</v>
      </c>
      <c r="C26" s="135">
        <v>45405</v>
      </c>
      <c r="D26" s="6" t="s">
        <v>549</v>
      </c>
      <c r="E26" s="176"/>
      <c r="F26" s="6" t="s">
        <v>553</v>
      </c>
      <c r="G26" s="90">
        <v>15</v>
      </c>
      <c r="H26" s="90" t="s">
        <v>465</v>
      </c>
      <c r="I26" s="82">
        <v>1.5</v>
      </c>
      <c r="J26" s="137">
        <v>1.5</v>
      </c>
      <c r="K26" s="82">
        <f t="shared" si="0"/>
        <v>1.4775</v>
      </c>
      <c r="L26" s="240">
        <v>0.69699999999999995</v>
      </c>
      <c r="M26" s="139">
        <v>0.66200000000000003</v>
      </c>
      <c r="N26" s="197">
        <v>0.66200000000000003</v>
      </c>
      <c r="O26" s="139">
        <f t="shared" si="12"/>
        <v>0.66200000000000003</v>
      </c>
      <c r="P26" s="142">
        <v>88</v>
      </c>
      <c r="Q26" s="143">
        <v>87.56</v>
      </c>
      <c r="R26" s="57">
        <v>2322.13</v>
      </c>
      <c r="S26" s="147">
        <v>140</v>
      </c>
      <c r="U26" s="142">
        <v>120</v>
      </c>
      <c r="V26" s="142">
        <v>1.1023000000000001</v>
      </c>
      <c r="W26" s="137">
        <v>7.9</v>
      </c>
      <c r="X26" s="137">
        <v>11.9</v>
      </c>
      <c r="Y26" s="6">
        <v>26.83</v>
      </c>
      <c r="Z26" s="143">
        <f t="shared" si="11"/>
        <v>34.940000000000005</v>
      </c>
      <c r="AA26" s="144">
        <f t="shared" si="1"/>
        <v>61.77</v>
      </c>
      <c r="AB26" s="145">
        <f t="shared" si="2"/>
        <v>1191.6996746414402</v>
      </c>
      <c r="AC26" s="145">
        <f>+(S26-T26)*V26-'data 1'!$F$4</f>
        <v>74.322000000000003</v>
      </c>
      <c r="AD26" s="145">
        <f t="shared" si="3"/>
        <v>-7.4443745446531615</v>
      </c>
      <c r="AE26" s="145">
        <f>+(Y26*V26-'data 1'!$I$21)+V26*(Z26-IF(D26="UNTUCA",IF(+((W26-3)*2.5+(X26-3)*3.1)&gt;0,+((W26-3)*1.5+(X26-3)*3.1),0),IF(+((W26-3)*1.5+(X26-3)*3.1)&gt;0,+((W26-3)*1.5+(X26-3)*3.1),0)))</f>
        <v>3.9936279189189179</v>
      </c>
      <c r="AF26" s="145">
        <f t="shared" si="4"/>
        <v>74.390342472753844</v>
      </c>
      <c r="AG26" s="145">
        <f t="shared" si="5"/>
        <v>145.26159584701961</v>
      </c>
      <c r="AH26" s="145">
        <f t="shared" si="6"/>
        <v>30.915415647723176</v>
      </c>
      <c r="AI26" s="137">
        <f t="shared" si="7"/>
        <v>107.21237359515312</v>
      </c>
      <c r="AJ26" s="144">
        <f t="shared" si="8"/>
        <v>29.510544341207819</v>
      </c>
      <c r="AK26" s="88">
        <f t="shared" si="9"/>
        <v>1.4048713065153571</v>
      </c>
      <c r="AM26" s="57"/>
      <c r="AO26" s="137"/>
      <c r="AP26" s="57">
        <f t="shared" si="10"/>
        <v>1760.736269282728</v>
      </c>
      <c r="AQ26" s="57"/>
      <c r="AR26" s="57"/>
    </row>
    <row r="27" spans="1:44" ht="15.75" customHeight="1">
      <c r="A27" s="330" t="s">
        <v>688</v>
      </c>
      <c r="B27" s="135">
        <v>45405</v>
      </c>
      <c r="C27" s="135">
        <v>45405</v>
      </c>
      <c r="D27" s="6" t="s">
        <v>679</v>
      </c>
      <c r="E27" s="176">
        <v>20606534923</v>
      </c>
      <c r="F27" s="6" t="s">
        <v>281</v>
      </c>
      <c r="G27" s="90">
        <v>64</v>
      </c>
      <c r="H27" s="90" t="s">
        <v>465</v>
      </c>
      <c r="I27" s="82">
        <v>7.65</v>
      </c>
      <c r="J27" s="137">
        <v>1</v>
      </c>
      <c r="K27" s="82">
        <f t="shared" si="0"/>
        <v>7.5735000000000001</v>
      </c>
      <c r="L27" s="240">
        <v>0.95199999999999996</v>
      </c>
      <c r="M27" s="139">
        <v>0.93</v>
      </c>
      <c r="N27" s="170">
        <v>0.93</v>
      </c>
      <c r="O27" s="139">
        <f t="shared" si="12"/>
        <v>0.93</v>
      </c>
      <c r="P27" s="142">
        <v>88</v>
      </c>
      <c r="Q27" s="143">
        <v>85.16</v>
      </c>
      <c r="R27" s="57">
        <v>2322.13</v>
      </c>
      <c r="S27" s="80">
        <v>170</v>
      </c>
      <c r="U27" s="142">
        <v>120</v>
      </c>
      <c r="V27" s="142">
        <v>1.1023000000000001</v>
      </c>
      <c r="W27" s="137">
        <v>7.7</v>
      </c>
      <c r="X27" s="137">
        <v>9.8000000000000007</v>
      </c>
      <c r="Y27" s="6">
        <v>26.83</v>
      </c>
      <c r="Z27" s="143">
        <f t="shared" si="11"/>
        <v>28.130000000000003</v>
      </c>
      <c r="AA27" s="144">
        <f t="shared" si="1"/>
        <v>54.96</v>
      </c>
      <c r="AB27" s="145">
        <f t="shared" si="2"/>
        <v>1738.6172165416006</v>
      </c>
      <c r="AC27" s="145">
        <f>+(S27-T27)*V27-'data 1'!$F$4</f>
        <v>107.39100000000002</v>
      </c>
      <c r="AD27" s="145">
        <f t="shared" si="3"/>
        <v>-65.629341883683281</v>
      </c>
      <c r="AE27" s="145">
        <f>+(Y27*V27-'data 1'!$I$21)+V27*(Z27-IF(D27="UNTUCA",IF(+((W27-3)*2.5+(X27-3)*3.1)&gt;0,+((W27-3)*1.5+(X27-3)*3.1),0),IF(+((W27-3)*1.5+(X27-3)*3.1)&gt;0,+((W27-3)*1.5+(X27-3)*3.1),0)))</f>
        <v>3.9936279189189179</v>
      </c>
      <c r="AF27" s="145">
        <f t="shared" si="4"/>
        <v>45.477972469344621</v>
      </c>
      <c r="AG27" s="145">
        <f t="shared" si="5"/>
        <v>91.233258504580277</v>
      </c>
      <c r="AH27" s="145">
        <f t="shared" si="6"/>
        <v>210.51269937274887</v>
      </c>
      <c r="AI27" s="137">
        <f t="shared" si="7"/>
        <v>142.42262342208309</v>
      </c>
      <c r="AJ27" s="144">
        <f t="shared" si="8"/>
        <v>212.50606022703883</v>
      </c>
      <c r="AK27" s="88">
        <f t="shared" si="9"/>
        <v>-1.9933608542899606</v>
      </c>
      <c r="AM27" s="57"/>
      <c r="AO27" s="137"/>
      <c r="AP27" s="57">
        <f t="shared" si="10"/>
        <v>13167.417489477812</v>
      </c>
      <c r="AQ27" s="57"/>
      <c r="AR27" s="57"/>
    </row>
    <row r="28" spans="1:44" ht="15.75" customHeight="1">
      <c r="A28" s="330" t="s">
        <v>689</v>
      </c>
      <c r="B28" s="135">
        <v>45405</v>
      </c>
      <c r="C28" s="135">
        <v>45405</v>
      </c>
      <c r="D28" s="6" t="s">
        <v>679</v>
      </c>
      <c r="E28" s="176">
        <v>20606534923</v>
      </c>
      <c r="F28" s="6" t="s">
        <v>281</v>
      </c>
      <c r="G28" s="90">
        <v>63</v>
      </c>
      <c r="H28" s="90" t="s">
        <v>465</v>
      </c>
      <c r="I28" s="82">
        <v>7.3</v>
      </c>
      <c r="J28" s="137">
        <v>1.2</v>
      </c>
      <c r="K28" s="82">
        <f t="shared" si="0"/>
        <v>7.2123999999999997</v>
      </c>
      <c r="L28" s="240">
        <v>0.82199999999999995</v>
      </c>
      <c r="M28" s="139">
        <v>0.80100000000000005</v>
      </c>
      <c r="N28" s="271">
        <v>0.80100000000000005</v>
      </c>
      <c r="O28" s="139">
        <f t="shared" si="12"/>
        <v>0.80100000000000005</v>
      </c>
      <c r="P28" s="142">
        <v>88</v>
      </c>
      <c r="Q28" s="143">
        <v>85.37</v>
      </c>
      <c r="R28" s="57">
        <v>2322.13</v>
      </c>
      <c r="S28" s="80">
        <v>160</v>
      </c>
      <c r="U28" s="142">
        <v>120</v>
      </c>
      <c r="V28" s="142">
        <v>1.1023000000000001</v>
      </c>
      <c r="W28" s="137">
        <v>7.7</v>
      </c>
      <c r="X28" s="137">
        <v>9.85</v>
      </c>
      <c r="Y28" s="6">
        <v>26.83</v>
      </c>
      <c r="Z28" s="143">
        <f t="shared" si="11"/>
        <v>28.285</v>
      </c>
      <c r="AA28" s="144">
        <f t="shared" si="1"/>
        <v>55.114999999999995</v>
      </c>
      <c r="AB28" s="145">
        <f t="shared" si="2"/>
        <v>1473.9100153471202</v>
      </c>
      <c r="AC28" s="145">
        <f>+(S28-T28)*V28-'data 1'!$F$4</f>
        <v>96.367999999999995</v>
      </c>
      <c r="AD28" s="145">
        <f t="shared" si="3"/>
        <v>-52.477160405321314</v>
      </c>
      <c r="AE28" s="145">
        <f>+(Y28*V28-'data 1'!$I$21)+V28*(Z28-IF(D28="UNTUCA",IF(+((W28-3)*2.5+(X28-3)*3.1)&gt;0,+((W28-3)*1.5+(X28-3)*3.1),0),IF(+((W28-3)*1.5+(X28-3)*3.1)&gt;0,+((W28-3)*1.5+(X28-3)*3.1),0)))</f>
        <v>3.9936279189189179</v>
      </c>
      <c r="AF28" s="145">
        <f t="shared" si="4"/>
        <v>43.517840590902118</v>
      </c>
      <c r="AG28" s="145">
        <f t="shared" si="5"/>
        <v>91.402308104499724</v>
      </c>
      <c r="AH28" s="145">
        <f t="shared" si="6"/>
        <v>173.52656621520285</v>
      </c>
      <c r="AI28" s="137">
        <f t="shared" si="7"/>
        <v>123.27740362171133</v>
      </c>
      <c r="AJ28" s="144">
        <f t="shared" si="8"/>
        <v>174.30267901220049</v>
      </c>
      <c r="AK28" s="88">
        <f t="shared" si="9"/>
        <v>-0.77611279699763713</v>
      </c>
      <c r="AM28" s="57"/>
      <c r="AO28" s="137"/>
      <c r="AP28" s="57">
        <f t="shared" si="10"/>
        <v>10630.428594689569</v>
      </c>
      <c r="AQ28" s="57"/>
      <c r="AR28" s="57"/>
    </row>
    <row r="29" spans="1:44" ht="15.75" customHeight="1">
      <c r="A29" s="330" t="s">
        <v>690</v>
      </c>
      <c r="B29" s="135">
        <v>45405</v>
      </c>
      <c r="C29" s="135">
        <v>45405</v>
      </c>
      <c r="D29" s="142" t="s">
        <v>557</v>
      </c>
      <c r="E29" s="176"/>
      <c r="F29" s="142" t="s">
        <v>691</v>
      </c>
      <c r="G29" s="177"/>
      <c r="H29" s="177" t="s">
        <v>68</v>
      </c>
      <c r="I29" s="138">
        <v>11.54</v>
      </c>
      <c r="J29" s="143">
        <v>13.4</v>
      </c>
      <c r="K29" s="138">
        <f t="shared" si="0"/>
        <v>9.9936399999999992</v>
      </c>
      <c r="L29" s="170">
        <v>0.23599999999999999</v>
      </c>
      <c r="M29" s="141">
        <v>0.215</v>
      </c>
      <c r="N29" s="141">
        <f>0.215+0.01</f>
        <v>0.22500000000000001</v>
      </c>
      <c r="O29" s="141">
        <f t="shared" si="12"/>
        <v>0.22</v>
      </c>
      <c r="P29" s="142">
        <v>90</v>
      </c>
      <c r="Q29" s="143">
        <v>88.6</v>
      </c>
      <c r="R29" s="144">
        <v>2322.13</v>
      </c>
      <c r="S29" s="132">
        <v>130</v>
      </c>
      <c r="T29" s="142"/>
      <c r="U29" s="142">
        <v>120</v>
      </c>
      <c r="V29" s="142">
        <v>1.1023000000000001</v>
      </c>
      <c r="W29" s="143">
        <v>6.8</v>
      </c>
      <c r="X29" s="143">
        <v>10.8</v>
      </c>
      <c r="Y29" s="142">
        <v>15</v>
      </c>
      <c r="Z29" s="143">
        <f t="shared" si="11"/>
        <v>29.880000000000003</v>
      </c>
      <c r="AA29" s="144">
        <f t="shared" si="1"/>
        <v>44.88</v>
      </c>
      <c r="AB29" s="145">
        <f t="shared" si="2"/>
        <v>287.85654000200009</v>
      </c>
      <c r="AC29" s="145">
        <f>+(S29-T29)*V29-'data 1'!$F$4</f>
        <v>63.299000000000007</v>
      </c>
      <c r="AD29" s="145">
        <f t="shared" si="3"/>
        <v>-8.0201556982960334</v>
      </c>
      <c r="AE29" s="145">
        <f>+(Y29*V29-'data 1'!$I$21)+V29*(Z29-IF(D29="UNTUCA",IF(+((W29-3)*2.5+(X29-3)*3.1)&gt;0,+((W29-3)*1.5+(X29-3)*3.1),0),IF(+((W29-3)*1.5+(X29-3)*3.1)&gt;0,+((W29-3)*1.5+(X29-3)*3.1),0)))</f>
        <v>-9.0465810810810794</v>
      </c>
      <c r="AF29" s="145">
        <f t="shared" si="4"/>
        <v>34.41093437622397</v>
      </c>
      <c r="AG29" s="145">
        <f t="shared" si="5"/>
        <v>80.643197596846861</v>
      </c>
      <c r="AH29" s="145">
        <f t="shared" si="6"/>
        <v>71.643780554529883</v>
      </c>
      <c r="AI29" s="143">
        <f t="shared" si="7"/>
        <v>36.732636819895973</v>
      </c>
      <c r="AJ29" s="144">
        <f t="shared" si="8"/>
        <v>67.841893435536392</v>
      </c>
      <c r="AK29" s="88">
        <f t="shared" si="9"/>
        <v>3.8018871189934913</v>
      </c>
      <c r="AL29" s="142"/>
      <c r="AM29" s="57"/>
      <c r="AO29" s="137"/>
      <c r="AP29" s="57">
        <f t="shared" si="10"/>
        <v>2876.7346324255877</v>
      </c>
      <c r="AQ29" s="57"/>
      <c r="AR29" s="57"/>
    </row>
    <row r="30" spans="1:44" ht="15.75" customHeight="1">
      <c r="A30" s="330" t="s">
        <v>692</v>
      </c>
      <c r="B30" s="135">
        <v>45405</v>
      </c>
      <c r="C30" s="135">
        <v>45405</v>
      </c>
      <c r="D30" s="6" t="s">
        <v>679</v>
      </c>
      <c r="E30" s="176">
        <v>20606534923</v>
      </c>
      <c r="F30" s="6" t="s">
        <v>281</v>
      </c>
      <c r="G30" s="90">
        <v>20</v>
      </c>
      <c r="H30" s="90" t="s">
        <v>465</v>
      </c>
      <c r="I30" s="82">
        <v>2.23</v>
      </c>
      <c r="J30" s="137">
        <v>1.5</v>
      </c>
      <c r="K30" s="82">
        <f t="shared" si="0"/>
        <v>2.1965499999999998</v>
      </c>
      <c r="L30" s="240">
        <v>1.5</v>
      </c>
      <c r="M30" s="139">
        <v>1.4590000000000001</v>
      </c>
      <c r="N30" s="271">
        <v>1.4590000000000001</v>
      </c>
      <c r="O30" s="139">
        <f t="shared" si="12"/>
        <v>1.4590000000000001</v>
      </c>
      <c r="P30" s="6">
        <v>88</v>
      </c>
      <c r="Q30" s="143">
        <v>85.67</v>
      </c>
      <c r="R30" s="57">
        <v>2322.13</v>
      </c>
      <c r="S30" s="80">
        <v>220</v>
      </c>
      <c r="U30" s="142">
        <v>120</v>
      </c>
      <c r="V30" s="142">
        <v>1.1023000000000001</v>
      </c>
      <c r="W30" s="137">
        <v>7.9</v>
      </c>
      <c r="X30" s="137">
        <v>9.9</v>
      </c>
      <c r="Y30" s="6">
        <v>26.83</v>
      </c>
      <c r="Z30" s="143">
        <f t="shared" si="11"/>
        <v>28.740000000000002</v>
      </c>
      <c r="AA30" s="144">
        <f t="shared" si="1"/>
        <v>55.57</v>
      </c>
      <c r="AB30" s="145">
        <f t="shared" si="2"/>
        <v>2812.83673868408</v>
      </c>
      <c r="AC30" s="145">
        <f>+(S30-T30)*V30-'data 1'!$F$4</f>
        <v>162.506</v>
      </c>
      <c r="AD30" s="145">
        <f t="shared" si="3"/>
        <v>-84.837906070049954</v>
      </c>
      <c r="AE30" s="145">
        <f>+(Y30*V30-'data 1'!$I$21)+V30*(Z30-IF(D30="UNTUCA",IF(+((W30-3)*2.5+(X30-3)*3.1)&gt;0,+((W30-3)*1.5+(X30-3)*3.1),0),IF(+((W30-3)*1.5+(X30-3)*3.1)&gt;0,+((W30-3)*1.5+(X30-3)*3.1),0)))</f>
        <v>3.9936279189189179</v>
      </c>
      <c r="AF30" s="145">
        <f t="shared" si="4"/>
        <v>85.261974230005166</v>
      </c>
      <c r="AG30" s="145">
        <f t="shared" si="5"/>
        <v>166.92369607887412</v>
      </c>
      <c r="AH30" s="145">
        <f t="shared" si="6"/>
        <v>96.776561799233406</v>
      </c>
      <c r="AI30" s="137">
        <f t="shared" si="7"/>
        <v>225.74929671254986</v>
      </c>
      <c r="AJ30" s="144">
        <f t="shared" si="8"/>
        <v>96.691461986126413</v>
      </c>
      <c r="AK30" s="88">
        <f t="shared" si="9"/>
        <v>8.5099813106992883E-2</v>
      </c>
      <c r="AM30" s="57"/>
      <c r="AO30" s="137"/>
      <c r="AP30" s="57">
        <f t="shared" si="10"/>
        <v>6178.5365383565158</v>
      </c>
      <c r="AQ30" s="57"/>
      <c r="AR30" s="57"/>
    </row>
    <row r="31" spans="1:44" ht="15.75" customHeight="1">
      <c r="A31" s="330" t="s">
        <v>693</v>
      </c>
      <c r="B31" s="135">
        <v>45405</v>
      </c>
      <c r="C31" s="135">
        <v>45405</v>
      </c>
      <c r="D31" s="6" t="s">
        <v>549</v>
      </c>
      <c r="E31" s="176"/>
      <c r="F31" s="6" t="s">
        <v>694</v>
      </c>
      <c r="G31" s="90">
        <v>95</v>
      </c>
      <c r="H31" s="90" t="s">
        <v>465</v>
      </c>
      <c r="I31" s="82">
        <v>9.23</v>
      </c>
      <c r="J31" s="137">
        <v>1.2</v>
      </c>
      <c r="K31" s="82">
        <f t="shared" si="0"/>
        <v>9.1192399999999996</v>
      </c>
      <c r="L31" s="240">
        <v>0.40600000000000003</v>
      </c>
      <c r="M31" s="139">
        <v>0.38600000000000001</v>
      </c>
      <c r="N31" s="271">
        <v>0.40300000000000002</v>
      </c>
      <c r="O31" s="139">
        <f t="shared" si="12"/>
        <v>0.39500000000000002</v>
      </c>
      <c r="P31" s="6">
        <v>90</v>
      </c>
      <c r="Q31" s="143">
        <v>88.35</v>
      </c>
      <c r="R31" s="57">
        <v>2322.13</v>
      </c>
      <c r="S31" s="80">
        <v>120</v>
      </c>
      <c r="U31" s="142">
        <v>120</v>
      </c>
      <c r="V31" s="142">
        <v>1.1023000000000001</v>
      </c>
      <c r="W31" s="137">
        <v>7.9</v>
      </c>
      <c r="X31" s="137">
        <v>11.9</v>
      </c>
      <c r="Y31" s="6">
        <v>26.83</v>
      </c>
      <c r="Z31" s="143">
        <f t="shared" si="11"/>
        <v>34.940000000000005</v>
      </c>
      <c r="AA31" s="144">
        <f t="shared" si="1"/>
        <v>61.77</v>
      </c>
      <c r="AB31" s="145">
        <f t="shared" si="2"/>
        <v>662.57843709450015</v>
      </c>
      <c r="AC31" s="145">
        <f>+(S31-T31)*V31-'data 1'!$F$4</f>
        <v>52.27600000000001</v>
      </c>
      <c r="AD31" s="145">
        <f t="shared" si="3"/>
        <v>-16.261205515401059</v>
      </c>
      <c r="AE31" s="145">
        <f>+(Y31*V31-'data 1'!$I$21)+V31*(Z31-IF(D31="UNTUCA",IF(+((W31-3)*2.5+(X31-3)*3.1)&gt;0,+((W31-3)*1.5+(X31-3)*3.1),0),IF(+((W31-3)*1.5+(X31-3)*3.1)&gt;0,+((W31-3)*1.5+(X31-3)*3.1),0)))</f>
        <v>3.9936279189189179</v>
      </c>
      <c r="AF31" s="145">
        <f t="shared" si="4"/>
        <v>23.590763666431521</v>
      </c>
      <c r="AG31" s="145">
        <f t="shared" si="5"/>
        <v>63.59918606994939</v>
      </c>
      <c r="AH31" s="145">
        <f t="shared" si="6"/>
        <v>112.15026453351423</v>
      </c>
      <c r="AI31" s="137">
        <f t="shared" si="7"/>
        <v>63.014278417250964</v>
      </c>
      <c r="AJ31" s="144">
        <f t="shared" si="8"/>
        <v>111.14945049404464</v>
      </c>
      <c r="AK31" s="88">
        <f t="shared" si="9"/>
        <v>1.0008140394695886</v>
      </c>
      <c r="AM31" s="57"/>
      <c r="AO31" s="137"/>
      <c r="AP31" s="57">
        <f t="shared" si="10"/>
        <v>6042.2117866896497</v>
      </c>
      <c r="AQ31" s="57"/>
      <c r="AR31" s="57"/>
    </row>
    <row r="32" spans="1:44" ht="15.75" customHeight="1">
      <c r="A32" s="330" t="s">
        <v>695</v>
      </c>
      <c r="B32" s="135">
        <v>45405</v>
      </c>
      <c r="C32" s="135">
        <v>45405</v>
      </c>
      <c r="D32" s="142" t="s">
        <v>557</v>
      </c>
      <c r="E32" s="176"/>
      <c r="F32" s="142" t="s">
        <v>691</v>
      </c>
      <c r="G32" s="177">
        <v>39</v>
      </c>
      <c r="H32" s="177" t="s">
        <v>465</v>
      </c>
      <c r="I32" s="138">
        <v>3.91</v>
      </c>
      <c r="J32" s="143">
        <v>10.7</v>
      </c>
      <c r="K32" s="138">
        <f t="shared" si="0"/>
        <v>3.4916300000000002</v>
      </c>
      <c r="L32" s="170">
        <v>0.23799999999999999</v>
      </c>
      <c r="M32" s="141">
        <v>0.217</v>
      </c>
      <c r="N32" s="141">
        <f>0.217+0.01</f>
        <v>0.22700000000000001</v>
      </c>
      <c r="O32" s="141">
        <f t="shared" si="12"/>
        <v>0.222</v>
      </c>
      <c r="P32" s="142">
        <v>90</v>
      </c>
      <c r="Q32" s="143">
        <v>88.45</v>
      </c>
      <c r="R32" s="144">
        <v>2322.13</v>
      </c>
      <c r="S32" s="132">
        <v>130</v>
      </c>
      <c r="T32" s="142"/>
      <c r="U32" s="142">
        <v>120</v>
      </c>
      <c r="V32" s="142">
        <v>1.1023000000000001</v>
      </c>
      <c r="W32" s="143">
        <v>6.8</v>
      </c>
      <c r="X32" s="143">
        <v>10.9</v>
      </c>
      <c r="Y32" s="142">
        <v>15</v>
      </c>
      <c r="Z32" s="143">
        <f t="shared" si="11"/>
        <v>30.19</v>
      </c>
      <c r="AA32" s="144">
        <f t="shared" si="1"/>
        <v>45.19</v>
      </c>
      <c r="AB32" s="145">
        <f t="shared" si="2"/>
        <v>291.88416122020004</v>
      </c>
      <c r="AC32" s="145">
        <f>+(S32-T32)*V32-'data 1'!$F$4</f>
        <v>63.299000000000007</v>
      </c>
      <c r="AD32" s="145">
        <f t="shared" si="3"/>
        <v>-8.9547077394109849</v>
      </c>
      <c r="AE32" s="145">
        <f>+(Y32*V32-'data 1'!$I$21)+V32*(Z32-IF(D32="UNTUCA",IF(+((W32-3)*2.5+(X32-3)*3.1)&gt;0,+((W32-3)*1.5+(X32-3)*3.1),0),IF(+((W32-3)*1.5+(X32-3)*3.1)&gt;0,+((W32-3)*1.5+(X32-3)*3.1),0)))</f>
        <v>-9.0465810810810794</v>
      </c>
      <c r="AF32" s="145">
        <f t="shared" si="4"/>
        <v>34.352676586647974</v>
      </c>
      <c r="AG32" s="145">
        <f t="shared" si="5"/>
        <v>79.650387766155916</v>
      </c>
      <c r="AH32" s="145">
        <f t="shared" si="6"/>
        <v>25.200669565697275</v>
      </c>
      <c r="AI32" s="143">
        <f t="shared" si="7"/>
        <v>36.981214894560971</v>
      </c>
      <c r="AJ32" s="144">
        <f t="shared" si="8"/>
        <v>23.9184355175089</v>
      </c>
      <c r="AK32" s="88">
        <f t="shared" si="9"/>
        <v>1.2822340481883749</v>
      </c>
      <c r="AL32" s="142"/>
      <c r="AM32" s="57"/>
      <c r="AO32" s="137"/>
      <c r="AP32" s="57">
        <f t="shared" si="10"/>
        <v>1019.1514938412871</v>
      </c>
      <c r="AQ32" s="57"/>
      <c r="AR32" s="57"/>
    </row>
    <row r="33" spans="1:44" ht="15.75" customHeight="1">
      <c r="A33" s="330" t="s">
        <v>696</v>
      </c>
      <c r="B33" s="135">
        <v>45405</v>
      </c>
      <c r="C33" s="135">
        <v>45405</v>
      </c>
      <c r="D33" s="6" t="s">
        <v>549</v>
      </c>
      <c r="E33" s="176"/>
      <c r="F33" s="6" t="s">
        <v>694</v>
      </c>
      <c r="G33" s="90">
        <v>95</v>
      </c>
      <c r="H33" s="90" t="s">
        <v>465</v>
      </c>
      <c r="I33" s="82">
        <v>8.93</v>
      </c>
      <c r="J33" s="137">
        <v>1.5</v>
      </c>
      <c r="K33" s="82">
        <f t="shared" si="0"/>
        <v>8.7960499999999993</v>
      </c>
      <c r="L33" s="240">
        <v>0.77300000000000002</v>
      </c>
      <c r="M33" s="139">
        <v>0.73399999999999999</v>
      </c>
      <c r="N33" s="197">
        <v>0.73399999999999999</v>
      </c>
      <c r="O33" s="139">
        <f t="shared" si="12"/>
        <v>0.73399999999999999</v>
      </c>
      <c r="P33" s="6">
        <v>90</v>
      </c>
      <c r="Q33" s="143">
        <v>88.12</v>
      </c>
      <c r="R33" s="57">
        <v>2322.13</v>
      </c>
      <c r="S33" s="80">
        <v>150</v>
      </c>
      <c r="U33" s="142">
        <v>120</v>
      </c>
      <c r="V33" s="142">
        <v>1.1023000000000001</v>
      </c>
      <c r="W33" s="137">
        <v>7.9</v>
      </c>
      <c r="X33" s="137">
        <v>11.95</v>
      </c>
      <c r="Y33" s="6">
        <v>26.83</v>
      </c>
      <c r="Z33" s="143">
        <f t="shared" si="11"/>
        <v>35.094999999999999</v>
      </c>
      <c r="AA33" s="144">
        <f t="shared" si="1"/>
        <v>61.924999999999997</v>
      </c>
      <c r="AB33" s="145">
        <f t="shared" si="2"/>
        <v>1369.9407305794002</v>
      </c>
      <c r="AC33" s="145">
        <f>+(S33-T33)*V33-'data 1'!$F$4</f>
        <v>85.344999999999999</v>
      </c>
      <c r="AD33" s="145">
        <f t="shared" si="3"/>
        <v>-35.276062551427515</v>
      </c>
      <c r="AE33" s="145">
        <f>+(Y33*V33-'data 1'!$I$21)+V33*(Z33-IF(D33="UNTUCA",IF(+((W33-3)*2.5+(X33-3)*3.1)&gt;0,+((W33-3)*1.5+(X33-3)*3.1),0),IF(+((W33-3)*1.5+(X33-3)*3.1)&gt;0,+((W33-3)*1.5+(X33-3)*3.1),0)))</f>
        <v>3.9936279189189179</v>
      </c>
      <c r="AF33" s="145">
        <f t="shared" si="4"/>
        <v>83.422241783353272</v>
      </c>
      <c r="AG33" s="145">
        <f t="shared" si="5"/>
        <v>137.48480715084469</v>
      </c>
      <c r="AH33" s="145">
        <f t="shared" si="6"/>
        <v>205.42379166196949</v>
      </c>
      <c r="AI33" s="137">
        <f t="shared" si="7"/>
        <v>119.66313111814753</v>
      </c>
      <c r="AJ33" s="144">
        <f t="shared" si="8"/>
        <v>199.22109738028797</v>
      </c>
      <c r="AK33" s="88">
        <f t="shared" si="9"/>
        <v>6.2026942816815165</v>
      </c>
      <c r="AM33" s="57"/>
      <c r="AO33" s="137"/>
      <c r="AP33" s="57">
        <f t="shared" si="10"/>
        <v>12050.067163212932</v>
      </c>
      <c r="AQ33" s="57"/>
      <c r="AR33" s="57"/>
    </row>
    <row r="34" spans="1:44" ht="15.75" customHeight="1">
      <c r="A34" s="330" t="s">
        <v>697</v>
      </c>
      <c r="B34" s="135">
        <v>45405</v>
      </c>
      <c r="C34" s="135">
        <v>45405</v>
      </c>
      <c r="D34" s="142" t="s">
        <v>557</v>
      </c>
      <c r="E34" s="176"/>
      <c r="F34" s="142" t="s">
        <v>691</v>
      </c>
      <c r="G34" s="177">
        <v>192</v>
      </c>
      <c r="H34" s="177" t="s">
        <v>465</v>
      </c>
      <c r="I34" s="138">
        <v>19.75</v>
      </c>
      <c r="J34" s="143">
        <v>13.4</v>
      </c>
      <c r="K34" s="138">
        <f t="shared" si="0"/>
        <v>17.1035</v>
      </c>
      <c r="L34" s="170">
        <v>0.47799999999999998</v>
      </c>
      <c r="M34" s="141">
        <v>0.45400000000000001</v>
      </c>
      <c r="N34" s="141">
        <f>0.454+0.01</f>
        <v>0.46400000000000002</v>
      </c>
      <c r="O34" s="141">
        <f t="shared" si="12"/>
        <v>0.45900000000000002</v>
      </c>
      <c r="P34" s="142">
        <v>90</v>
      </c>
      <c r="Q34" s="143">
        <v>86.68</v>
      </c>
      <c r="R34" s="144">
        <v>2322.13</v>
      </c>
      <c r="S34" s="132">
        <v>130</v>
      </c>
      <c r="T34" s="142"/>
      <c r="U34" s="142">
        <v>120</v>
      </c>
      <c r="V34" s="142">
        <v>1.1023000000000001</v>
      </c>
      <c r="W34" s="143">
        <v>6.8</v>
      </c>
      <c r="X34" s="143">
        <v>11.5</v>
      </c>
      <c r="Y34" s="142">
        <v>15</v>
      </c>
      <c r="Z34" s="143">
        <f t="shared" si="11"/>
        <v>32.049999999999997</v>
      </c>
      <c r="AA34" s="144">
        <f t="shared" si="1"/>
        <v>47.05</v>
      </c>
      <c r="AB34" s="145">
        <f t="shared" si="2"/>
        <v>807.59998807690022</v>
      </c>
      <c r="AC34" s="145">
        <f>+(S34-T34)*V34-'data 1'!$F$4</f>
        <v>63.299000000000007</v>
      </c>
      <c r="AD34" s="145">
        <f t="shared" si="3"/>
        <v>-38.521992393970322</v>
      </c>
      <c r="AE34" s="145">
        <f>+(Y34*V34-'data 1'!$I$21)+V34*(Z34-IF(D34="UNTUCA",IF(+((W34-3)*2.5+(X34-3)*3.1)&gt;0,+((W34-3)*1.5+(X34-3)*3.1),0),IF(+((W34-3)*1.5+(X34-3)*3.1)&gt;0,+((W34-3)*1.5+(X34-3)*3.1),0)))</f>
        <v>-9.0465810810810794</v>
      </c>
      <c r="AF34" s="145">
        <f t="shared" si="4"/>
        <v>39.977466170210725</v>
      </c>
      <c r="AG34" s="145">
        <f t="shared" si="5"/>
        <v>55.70789269515933</v>
      </c>
      <c r="AH34" s="145">
        <f t="shared" si="6"/>
        <v>242.96340229289765</v>
      </c>
      <c r="AI34" s="143">
        <f t="shared" si="7"/>
        <v>72.786892655250355</v>
      </c>
      <c r="AJ34" s="144">
        <f t="shared" si="8"/>
        <v>242.24189556739265</v>
      </c>
      <c r="AK34" s="88">
        <f t="shared" si="9"/>
        <v>0.72150672550500872</v>
      </c>
      <c r="AL34" s="142"/>
      <c r="AM34" s="57"/>
      <c r="AO34" s="137"/>
      <c r="AP34" s="57">
        <f t="shared" si="10"/>
        <v>13812.786396073263</v>
      </c>
      <c r="AQ34" s="57"/>
      <c r="AR34" s="57"/>
    </row>
    <row r="35" spans="1:44" ht="15.75" customHeight="1">
      <c r="A35" s="330" t="s">
        <v>698</v>
      </c>
      <c r="B35" s="135">
        <v>45405</v>
      </c>
      <c r="C35" s="135">
        <v>45405</v>
      </c>
      <c r="D35" s="6" t="s">
        <v>549</v>
      </c>
      <c r="E35" s="176"/>
      <c r="F35" s="6" t="s">
        <v>699</v>
      </c>
      <c r="G35" s="90">
        <v>42</v>
      </c>
      <c r="H35" s="90" t="s">
        <v>465</v>
      </c>
      <c r="I35" s="82">
        <v>4</v>
      </c>
      <c r="J35" s="137">
        <v>1</v>
      </c>
      <c r="K35" s="82">
        <f t="shared" si="0"/>
        <v>3.96</v>
      </c>
      <c r="L35" s="240">
        <v>0.29399999999999998</v>
      </c>
      <c r="M35" s="139">
        <v>0.27900000000000003</v>
      </c>
      <c r="N35" s="197">
        <v>0.27900000000000003</v>
      </c>
      <c r="O35" s="139">
        <f t="shared" si="12"/>
        <v>0.27900000000000003</v>
      </c>
      <c r="P35" s="6">
        <v>88</v>
      </c>
      <c r="Q35" s="142">
        <v>88.28</v>
      </c>
      <c r="R35" s="57">
        <v>2322.13</v>
      </c>
      <c r="S35" s="80">
        <v>95</v>
      </c>
      <c r="U35" s="142">
        <v>120</v>
      </c>
      <c r="V35" s="142">
        <v>1.1023000000000001</v>
      </c>
      <c r="W35" s="137">
        <v>7.9</v>
      </c>
      <c r="X35" s="6">
        <v>9.5</v>
      </c>
      <c r="Y35" s="6">
        <v>26.83</v>
      </c>
      <c r="Z35" s="143">
        <f t="shared" si="11"/>
        <v>27.500000000000004</v>
      </c>
      <c r="AA35" s="144">
        <f t="shared" si="1"/>
        <v>54.33</v>
      </c>
      <c r="AB35" s="145">
        <f t="shared" si="2"/>
        <v>431.37072836248007</v>
      </c>
      <c r="AC35" s="145">
        <f>+(S35-T35)*V35-'data 1'!$F$4</f>
        <v>24.718500000000006</v>
      </c>
      <c r="AD35" s="145">
        <f t="shared" si="3"/>
        <v>1.9982421824568082</v>
      </c>
      <c r="AE35" s="145">
        <f>+(Y35*V35-'data 1'!$I$21)+V35*(Z35-IF(D35="UNTUCA",IF(+((W35-3)*2.5+(X35-3)*3.1)&gt;0,+((W35-3)*1.5+(X35-3)*3.1),0),IF(+((W35-3)*1.5+(X35-3)*3.1)&gt;0,+((W35-3)*1.5+(X35-3)*3.1),0)))</f>
        <v>3.9936279189189179</v>
      </c>
      <c r="AF35" s="145">
        <f t="shared" si="4"/>
        <v>32.143735398557915</v>
      </c>
      <c r="AG35" s="145">
        <f t="shared" si="5"/>
        <v>62.854105499933645</v>
      </c>
      <c r="AH35" s="145">
        <f t="shared" si="6"/>
        <v>35.238215737845486</v>
      </c>
      <c r="AI35" s="137">
        <f t="shared" si="7"/>
        <v>45.59487558190316</v>
      </c>
      <c r="AJ35" s="144">
        <f t="shared" si="8"/>
        <v>33.334283957182564</v>
      </c>
      <c r="AK35" s="88">
        <f t="shared" si="9"/>
        <v>1.9039317806629228</v>
      </c>
      <c r="AM35" s="57"/>
      <c r="AO35" s="137"/>
      <c r="AP35" s="57">
        <f t="shared" si="10"/>
        <v>1708.228084315421</v>
      </c>
      <c r="AQ35" s="57"/>
      <c r="AR35" s="57"/>
    </row>
    <row r="36" spans="1:44" ht="15.75" customHeight="1">
      <c r="A36" s="330" t="s">
        <v>700</v>
      </c>
      <c r="B36" s="135">
        <v>45405</v>
      </c>
      <c r="C36" s="135">
        <v>45405</v>
      </c>
      <c r="D36" s="6" t="s">
        <v>549</v>
      </c>
      <c r="E36" s="176"/>
      <c r="F36" s="6" t="s">
        <v>699</v>
      </c>
      <c r="G36" s="90">
        <v>48</v>
      </c>
      <c r="H36" s="90" t="s">
        <v>465</v>
      </c>
      <c r="I36" s="82">
        <v>4.57</v>
      </c>
      <c r="J36" s="137">
        <v>1.2</v>
      </c>
      <c r="K36" s="82">
        <f t="shared" si="0"/>
        <v>4.5151599999999998</v>
      </c>
      <c r="L36" s="240">
        <v>0.30199999999999999</v>
      </c>
      <c r="M36" s="139">
        <v>0.28699999999999998</v>
      </c>
      <c r="N36" s="197">
        <v>0.28699999999999998</v>
      </c>
      <c r="O36" s="139">
        <f t="shared" si="12"/>
        <v>0.28699999999999998</v>
      </c>
      <c r="P36" s="142">
        <v>88</v>
      </c>
      <c r="Q36" s="142">
        <v>88.11</v>
      </c>
      <c r="R36" s="57">
        <v>2322.13</v>
      </c>
      <c r="S36" s="80">
        <v>95</v>
      </c>
      <c r="U36" s="142">
        <v>120</v>
      </c>
      <c r="V36" s="142">
        <v>1.1023000000000001</v>
      </c>
      <c r="W36" s="137">
        <v>7.9</v>
      </c>
      <c r="X36" s="6">
        <v>9.5</v>
      </c>
      <c r="Y36" s="6">
        <v>26.83</v>
      </c>
      <c r="Z36" s="143">
        <f t="shared" si="11"/>
        <v>27.500000000000004</v>
      </c>
      <c r="AA36" s="144">
        <f t="shared" si="1"/>
        <v>54.33</v>
      </c>
      <c r="AB36" s="145">
        <f t="shared" si="2"/>
        <v>448.45967997143993</v>
      </c>
      <c r="AC36" s="145">
        <f>+(S36-T36)*V36-'data 1'!$F$4</f>
        <v>24.718500000000006</v>
      </c>
      <c r="AD36" s="145">
        <f t="shared" si="3"/>
        <v>0.80638490404779584</v>
      </c>
      <c r="AE36" s="145">
        <f>+(Y36*V36-'data 1'!$I$21)+V36*(Z36-IF(D36="UNTUCA",IF(+((W36-3)*2.5+(X36-3)*3.1)&gt;0,+((W36-3)*1.5+(X36-3)*3.1),0),IF(+((W36-3)*1.5+(X36-3)*3.1)&gt;0,+((W36-3)*1.5+(X36-3)*3.1),0)))</f>
        <v>3.9936279189189179</v>
      </c>
      <c r="AF36" s="145">
        <f t="shared" si="4"/>
        <v>32.08183649713353</v>
      </c>
      <c r="AG36" s="145">
        <f t="shared" si="5"/>
        <v>61.60034932010025</v>
      </c>
      <c r="AH36" s="145">
        <f t="shared" si="6"/>
        <v>41.192140310256576</v>
      </c>
      <c r="AI36" s="137">
        <f t="shared" si="7"/>
        <v>46.745361667402165</v>
      </c>
      <c r="AJ36" s="144">
        <f t="shared" si="8"/>
        <v>39.097301449491567</v>
      </c>
      <c r="AK36" s="88">
        <f t="shared" si="9"/>
        <v>2.0948388607650088</v>
      </c>
      <c r="AM36" s="57"/>
      <c r="AO36" s="137"/>
      <c r="AP36" s="57">
        <f t="shared" si="10"/>
        <v>2024.8672086198467</v>
      </c>
      <c r="AQ36" s="57"/>
      <c r="AR36" s="57"/>
    </row>
    <row r="37" spans="1:44" ht="15.75" customHeight="1">
      <c r="A37" s="330" t="s">
        <v>701</v>
      </c>
      <c r="B37" s="135">
        <v>45406</v>
      </c>
      <c r="C37" s="135">
        <v>45406</v>
      </c>
      <c r="D37" s="6" t="s">
        <v>557</v>
      </c>
      <c r="E37" s="176"/>
      <c r="F37" s="6" t="s">
        <v>702</v>
      </c>
      <c r="G37" s="90" t="s">
        <v>703</v>
      </c>
      <c r="H37" s="90" t="s">
        <v>465</v>
      </c>
      <c r="I37" s="82">
        <v>36.61</v>
      </c>
      <c r="J37" s="137">
        <v>9</v>
      </c>
      <c r="K37" s="82">
        <f t="shared" si="0"/>
        <v>33.315100000000001</v>
      </c>
      <c r="L37" s="240">
        <v>0.29099999999999998</v>
      </c>
      <c r="M37" s="139">
        <v>0.26800000000000002</v>
      </c>
      <c r="N37" s="271">
        <v>0.28399999999999997</v>
      </c>
      <c r="O37" s="139">
        <f t="shared" si="12"/>
        <v>0.27600000000000002</v>
      </c>
      <c r="P37" s="6">
        <v>90</v>
      </c>
      <c r="Q37" s="142">
        <v>86.42</v>
      </c>
      <c r="R37" s="57">
        <v>2315.9499999999998</v>
      </c>
      <c r="S37" s="80">
        <v>120</v>
      </c>
      <c r="U37" s="142">
        <v>120</v>
      </c>
      <c r="V37" s="142">
        <v>1.1023000000000001</v>
      </c>
      <c r="W37" s="137">
        <v>6.8</v>
      </c>
      <c r="X37" s="6">
        <v>11.6</v>
      </c>
      <c r="Y37" s="6">
        <v>26.83</v>
      </c>
      <c r="Z37" s="143">
        <f t="shared" si="11"/>
        <v>32.36</v>
      </c>
      <c r="AA37" s="144">
        <f t="shared" si="1"/>
        <v>59.19</v>
      </c>
      <c r="AB37" s="145">
        <f t="shared" si="2"/>
        <v>403.75483115399999</v>
      </c>
      <c r="AC37" s="145">
        <f>+(S37-T37)*V37-'data 1'!$F$4</f>
        <v>52.27600000000001</v>
      </c>
      <c r="AD37" s="145">
        <f t="shared" si="3"/>
        <v>-25.217281727192987</v>
      </c>
      <c r="AE37" s="145">
        <f>+(Y37*V37-'data 1'!$I$21)+V37*(Z37-IF(D37="UNTUCA",IF(+((W37-3)*2.5+(X37-3)*3.1)&gt;0,+((W37-3)*1.5+(X37-3)*3.1),0),IF(+((W37-3)*1.5+(X37-3)*3.1)&gt;0,+((W37-3)*1.5+(X37-3)*3.1),0)))</f>
        <v>3.9936279189189179</v>
      </c>
      <c r="AF37" s="145">
        <f t="shared" si="4"/>
        <v>31.378181864654906</v>
      </c>
      <c r="AG37" s="145">
        <f t="shared" si="5"/>
        <v>62.430528056380851</v>
      </c>
      <c r="AH37" s="145">
        <f t="shared" si="6"/>
        <v>287.24828301713626</v>
      </c>
      <c r="AI37" s="137">
        <f t="shared" si="7"/>
        <v>45.891921650883049</v>
      </c>
      <c r="AJ37" s="144">
        <f t="shared" si="8"/>
        <v>283.72772904585946</v>
      </c>
      <c r="AK37" s="88">
        <f t="shared" si="9"/>
        <v>3.5205539712767973</v>
      </c>
      <c r="AM37" s="57"/>
      <c r="AO37" s="137"/>
      <c r="AP37" s="57">
        <f t="shared" si="10"/>
        <v>13451.132575378626</v>
      </c>
      <c r="AQ37" s="57"/>
      <c r="AR37" s="57"/>
    </row>
    <row r="38" spans="1:44" ht="15.75" customHeight="1">
      <c r="A38" s="330" t="s">
        <v>704</v>
      </c>
      <c r="B38" s="135">
        <v>45406</v>
      </c>
      <c r="C38" s="135">
        <v>45406</v>
      </c>
      <c r="D38" s="142" t="s">
        <v>549</v>
      </c>
      <c r="E38" s="176"/>
      <c r="F38" s="142" t="s">
        <v>550</v>
      </c>
      <c r="G38" s="177">
        <v>53</v>
      </c>
      <c r="H38" s="177" t="s">
        <v>465</v>
      </c>
      <c r="I38" s="138">
        <v>5.0199999999999996</v>
      </c>
      <c r="J38" s="143">
        <v>1.3</v>
      </c>
      <c r="K38" s="138">
        <f t="shared" si="0"/>
        <v>4.9547399999999993</v>
      </c>
      <c r="L38" s="170">
        <v>0.20100000000000001</v>
      </c>
      <c r="M38" s="141">
        <v>0.191</v>
      </c>
      <c r="N38" s="141">
        <v>0.191</v>
      </c>
      <c r="O38" s="141">
        <f t="shared" si="12"/>
        <v>0.191</v>
      </c>
      <c r="P38" s="142">
        <v>88</v>
      </c>
      <c r="Q38" s="142">
        <v>87.57</v>
      </c>
      <c r="R38" s="144">
        <v>2315.9499999999998</v>
      </c>
      <c r="S38" s="132">
        <v>95</v>
      </c>
      <c r="T38" s="142"/>
      <c r="U38" s="142">
        <v>120</v>
      </c>
      <c r="V38" s="142">
        <v>1.1023000000000001</v>
      </c>
      <c r="W38" s="143">
        <v>6.9</v>
      </c>
      <c r="X38" s="142">
        <v>10.5</v>
      </c>
      <c r="Y38" s="142">
        <v>26.83</v>
      </c>
      <c r="Z38" s="143">
        <f t="shared" si="11"/>
        <v>29.1</v>
      </c>
      <c r="AA38" s="144">
        <f t="shared" si="1"/>
        <v>55.93</v>
      </c>
      <c r="AB38" s="145">
        <f t="shared" si="2"/>
        <v>240.48358373479996</v>
      </c>
      <c r="AC38" s="145">
        <f>+(S38-T38)*V38-'data 1'!$F$4</f>
        <v>24.718500000000006</v>
      </c>
      <c r="AD38" s="145">
        <f t="shared" si="3"/>
        <v>-2.0921208505455331</v>
      </c>
      <c r="AE38" s="145">
        <f>+(Y38*V38-'data 1'!$I$21)+V38*(Z38-IF(D38="UNTUCA",IF(+((W38-3)*2.5+(X38-3)*3.1)&gt;0,+((W38-3)*1.5+(X38-3)*3.1),0),IF(+((W38-3)*1.5+(X38-3)*3.1)&gt;0,+((W38-3)*1.5+(X38-3)*3.1),0)))</f>
        <v>3.9936279189189179</v>
      </c>
      <c r="AF38" s="145">
        <f t="shared" si="4"/>
        <v>21.197156413545017</v>
      </c>
      <c r="AG38" s="145">
        <f t="shared" si="5"/>
        <v>47.817163481918406</v>
      </c>
      <c r="AH38" s="145">
        <f t="shared" si="6"/>
        <v>29.90069935166914</v>
      </c>
      <c r="AI38" s="143">
        <f t="shared" si="7"/>
        <v>32.120359666510538</v>
      </c>
      <c r="AJ38" s="144">
        <f t="shared" si="8"/>
        <v>28.552620857278924</v>
      </c>
      <c r="AK38" s="88">
        <f t="shared" si="9"/>
        <v>1.3480784943902151</v>
      </c>
      <c r="AL38" s="142"/>
      <c r="AM38" s="57"/>
      <c r="AO38" s="137"/>
      <c r="AP38" s="57">
        <f t="shared" si="10"/>
        <v>1191.5336316741625</v>
      </c>
      <c r="AQ38" s="57"/>
      <c r="AR38" s="57"/>
    </row>
    <row r="39" spans="1:44" ht="15.75" customHeight="1">
      <c r="A39" s="330" t="s">
        <v>705</v>
      </c>
      <c r="B39" s="135">
        <v>45406</v>
      </c>
      <c r="C39" s="135">
        <v>45406</v>
      </c>
      <c r="D39" s="142" t="s">
        <v>549</v>
      </c>
      <c r="E39" s="176"/>
      <c r="F39" s="142" t="s">
        <v>550</v>
      </c>
      <c r="G39" s="177">
        <v>53</v>
      </c>
      <c r="H39" s="177" t="s">
        <v>465</v>
      </c>
      <c r="I39" s="138">
        <v>4.8</v>
      </c>
      <c r="J39" s="143">
        <v>0.9</v>
      </c>
      <c r="K39" s="138">
        <f t="shared" si="0"/>
        <v>4.7568000000000001</v>
      </c>
      <c r="L39" s="170">
        <v>0.218</v>
      </c>
      <c r="M39" s="141">
        <v>0.20699999999999999</v>
      </c>
      <c r="N39" s="141">
        <v>0.20699999999999999</v>
      </c>
      <c r="O39" s="141">
        <f t="shared" si="12"/>
        <v>0.20699999999999999</v>
      </c>
      <c r="P39" s="142">
        <v>88</v>
      </c>
      <c r="Q39" s="142">
        <v>87.31</v>
      </c>
      <c r="R39" s="144">
        <v>2315.9499999999998</v>
      </c>
      <c r="S39" s="132">
        <v>95</v>
      </c>
      <c r="T39" s="142"/>
      <c r="U39" s="142">
        <v>120</v>
      </c>
      <c r="V39" s="142">
        <v>1.1023000000000001</v>
      </c>
      <c r="W39" s="143">
        <v>6.9</v>
      </c>
      <c r="X39" s="142">
        <v>10.199999999999999</v>
      </c>
      <c r="Y39" s="142">
        <v>26.83</v>
      </c>
      <c r="Z39" s="143">
        <f t="shared" si="11"/>
        <v>28.169999999999998</v>
      </c>
      <c r="AA39" s="144">
        <f t="shared" si="1"/>
        <v>55</v>
      </c>
      <c r="AB39" s="145">
        <f t="shared" si="2"/>
        <v>275.59070997959986</v>
      </c>
      <c r="AC39" s="145">
        <f>+(S39-T39)*V39-'data 1'!$F$4</f>
        <v>24.718500000000006</v>
      </c>
      <c r="AD39" s="145">
        <f t="shared" si="3"/>
        <v>-3.6410600293769875</v>
      </c>
      <c r="AE39" s="145">
        <f>+(Y39*V39-'data 1'!$I$21)+V39*(Z39-IF(D39="UNTUCA",IF(+((W39-3)*2.5+(X39-3)*3.1)&gt;0,+((W39-3)*1.5+(X39-3)*3.1),0),IF(+((W39-3)*1.5+(X39-3)*3.1)&gt;0,+((W39-3)*1.5+(X39-3)*3.1),0)))</f>
        <v>3.9936279189189179</v>
      </c>
      <c r="AF39" s="145">
        <f t="shared" si="4"/>
        <v>23.247643018308523</v>
      </c>
      <c r="AG39" s="145">
        <f t="shared" si="5"/>
        <v>48.318710907850459</v>
      </c>
      <c r="AH39" s="145">
        <f t="shared" si="6"/>
        <v>31.041624633321245</v>
      </c>
      <c r="AI39" s="143">
        <f t="shared" si="7"/>
        <v>34.733574069887048</v>
      </c>
      <c r="AJ39" s="144">
        <f t="shared" si="8"/>
        <v>29.708243762895876</v>
      </c>
      <c r="AK39" s="88">
        <f t="shared" si="9"/>
        <v>1.3333808704253691</v>
      </c>
      <c r="AL39" s="142"/>
      <c r="AM39" s="57"/>
      <c r="AO39" s="137"/>
      <c r="AP39" s="57">
        <f t="shared" si="10"/>
        <v>1310.9298892309607</v>
      </c>
      <c r="AQ39" s="57"/>
      <c r="AR39" s="57"/>
    </row>
    <row r="40" spans="1:44" ht="15.75" customHeight="1">
      <c r="A40" s="330" t="s">
        <v>706</v>
      </c>
      <c r="B40" s="135">
        <v>45406</v>
      </c>
      <c r="C40" s="135">
        <v>45406</v>
      </c>
      <c r="D40" s="142" t="s">
        <v>549</v>
      </c>
      <c r="E40" s="176"/>
      <c r="F40" s="142" t="s">
        <v>550</v>
      </c>
      <c r="G40" s="177">
        <v>53</v>
      </c>
      <c r="H40" s="177" t="s">
        <v>465</v>
      </c>
      <c r="I40" s="138">
        <v>4.9800000000000004</v>
      </c>
      <c r="J40" s="143">
        <v>1</v>
      </c>
      <c r="K40" s="138">
        <f t="shared" si="0"/>
        <v>4.9302000000000001</v>
      </c>
      <c r="L40" s="170">
        <v>0.216</v>
      </c>
      <c r="M40" s="141">
        <v>0.20499999999999999</v>
      </c>
      <c r="N40" s="141">
        <v>0.20499999999999999</v>
      </c>
      <c r="O40" s="141">
        <f t="shared" si="12"/>
        <v>0.20499999999999999</v>
      </c>
      <c r="P40" s="142">
        <v>88</v>
      </c>
      <c r="Q40" s="142">
        <v>87.61</v>
      </c>
      <c r="R40" s="144">
        <v>2315.9499999999998</v>
      </c>
      <c r="S40" s="132">
        <v>95</v>
      </c>
      <c r="T40" s="142"/>
      <c r="U40" s="142">
        <v>120</v>
      </c>
      <c r="V40" s="142">
        <v>1.1023000000000001</v>
      </c>
      <c r="W40" s="143">
        <v>6.9</v>
      </c>
      <c r="X40" s="142">
        <v>10.4</v>
      </c>
      <c r="Y40" s="142">
        <v>26.83</v>
      </c>
      <c r="Z40" s="143">
        <f t="shared" si="11"/>
        <v>28.790000000000003</v>
      </c>
      <c r="AA40" s="144">
        <f t="shared" si="1"/>
        <v>55.620000000000005</v>
      </c>
      <c r="AB40" s="145">
        <f t="shared" si="2"/>
        <v>270.64703557399997</v>
      </c>
      <c r="AC40" s="145">
        <f>+(S40-T40)*V40-'data 1'!$F$4</f>
        <v>24.718500000000006</v>
      </c>
      <c r="AD40" s="145">
        <f t="shared" si="3"/>
        <v>-2.0391098050440029</v>
      </c>
      <c r="AE40" s="145">
        <f>+(Y40*V40-'data 1'!$I$21)+V40*(Z40-IF(D40="UNTUCA",IF(+((W40-3)*2.5+(X40-3)*3.1)&gt;0,+((W40-3)*1.5+(X40-3)*3.1),0),IF(+((W40-3)*1.5+(X40-3)*3.1)&gt;0,+((W40-3)*1.5+(X40-3)*3.1),0)))</f>
        <v>3.9936279189189179</v>
      </c>
      <c r="AF40" s="145">
        <f t="shared" si="4"/>
        <v>23.327522675913521</v>
      </c>
      <c r="AG40" s="145">
        <f t="shared" si="5"/>
        <v>50.000540789788445</v>
      </c>
      <c r="AH40" s="145">
        <f t="shared" si="6"/>
        <v>31.987554446687781</v>
      </c>
      <c r="AI40" s="143">
        <f t="shared" si="7"/>
        <v>34.533168202764038</v>
      </c>
      <c r="AJ40" s="144">
        <f t="shared" si="8"/>
        <v>30.493701157605447</v>
      </c>
      <c r="AK40" s="88">
        <f t="shared" si="9"/>
        <v>1.4938532890823346</v>
      </c>
      <c r="AL40" s="142"/>
      <c r="AM40" s="57"/>
      <c r="AO40" s="137"/>
      <c r="AP40" s="57">
        <f t="shared" si="10"/>
        <v>1334.3440147869346</v>
      </c>
      <c r="AQ40" s="57"/>
      <c r="AR40" s="57"/>
    </row>
    <row r="41" spans="1:44" ht="15.75" customHeight="1">
      <c r="A41" s="330" t="s">
        <v>707</v>
      </c>
      <c r="B41" s="135">
        <v>45406</v>
      </c>
      <c r="C41" s="135">
        <v>45406</v>
      </c>
      <c r="D41" s="142" t="s">
        <v>549</v>
      </c>
      <c r="E41" s="176"/>
      <c r="F41" s="6" t="s">
        <v>708</v>
      </c>
      <c r="G41" s="90">
        <v>52</v>
      </c>
      <c r="H41" s="90" t="s">
        <v>465</v>
      </c>
      <c r="I41" s="82">
        <v>3.91</v>
      </c>
      <c r="J41" s="137">
        <v>18.399999999999999</v>
      </c>
      <c r="K41" s="82">
        <f t="shared" si="0"/>
        <v>3.1905600000000001</v>
      </c>
      <c r="L41" s="240">
        <v>2.0259999999999998</v>
      </c>
      <c r="M41" s="139">
        <v>1.925</v>
      </c>
      <c r="N41" s="271">
        <v>2.0990000000000002</v>
      </c>
      <c r="O41" s="139">
        <f t="shared" si="12"/>
        <v>2.012</v>
      </c>
      <c r="P41" s="163">
        <v>88</v>
      </c>
      <c r="Q41" s="142">
        <v>80.66</v>
      </c>
      <c r="R41" s="57">
        <v>2315.9499999999998</v>
      </c>
      <c r="S41" s="80">
        <v>270</v>
      </c>
      <c r="U41" s="142">
        <v>120</v>
      </c>
      <c r="V41" s="142">
        <v>1.1023000000000001</v>
      </c>
      <c r="W41" s="137">
        <v>8</v>
      </c>
      <c r="X41" s="6">
        <v>13.5</v>
      </c>
      <c r="Y41" s="6">
        <v>55</v>
      </c>
      <c r="Z41" s="143">
        <f t="shared" si="11"/>
        <v>40.050000000000004</v>
      </c>
      <c r="AA41" s="144">
        <f t="shared" si="1"/>
        <v>95.050000000000011</v>
      </c>
      <c r="AB41" s="145">
        <f t="shared" si="2"/>
        <v>3883.4152810335995</v>
      </c>
      <c r="AC41" s="145">
        <f>+(S41-T41)*V41-'data 1'!$F$4</f>
        <v>217.62100000000004</v>
      </c>
      <c r="AD41" s="145">
        <f t="shared" si="3"/>
        <v>-359.96291136325419</v>
      </c>
      <c r="AE41" s="145">
        <f>+(Y41*V41-'data 1'!$I$21)+V41*(Z41-IF(D41="UNTUCA",IF(+((W41-3)*2.5+(X41-3)*3.1)&gt;0,+((W41-3)*1.5+(X41-3)*3.1),0),IF(+((W41-3)*1.5+(X41-3)*3.1)&gt;0,+((W41-3)*1.5+(X41-3)*3.1),0)))</f>
        <v>35.045418918918919</v>
      </c>
      <c r="AF41" s="145">
        <f t="shared" si="4"/>
        <v>27.334334713293586</v>
      </c>
      <c r="AG41" s="145">
        <f t="shared" si="5"/>
        <v>-79.962157731041643</v>
      </c>
      <c r="AH41" s="145">
        <f t="shared" si="6"/>
        <v>178.76135754983304</v>
      </c>
      <c r="AI41" s="137">
        <f t="shared" si="7"/>
        <v>298.2130545672743</v>
      </c>
      <c r="AJ41" s="144">
        <f t="shared" si="8"/>
        <v>193.68082839246034</v>
      </c>
      <c r="AK41" s="88">
        <f t="shared" si="9"/>
        <v>-14.919470842627305</v>
      </c>
      <c r="AM41" s="57"/>
      <c r="AO41" s="137"/>
      <c r="AP41" s="57">
        <f t="shared" si="10"/>
        <v>12390.269459054562</v>
      </c>
      <c r="AQ41" s="57"/>
      <c r="AR41" s="57"/>
    </row>
    <row r="42" spans="1:44" ht="15.75" customHeight="1">
      <c r="A42" s="330" t="s">
        <v>709</v>
      </c>
      <c r="B42" s="135">
        <v>45406</v>
      </c>
      <c r="C42" s="135">
        <v>45406</v>
      </c>
      <c r="D42" s="142" t="s">
        <v>549</v>
      </c>
      <c r="E42" s="176"/>
      <c r="F42" s="6" t="s">
        <v>708</v>
      </c>
      <c r="G42" s="90">
        <v>20</v>
      </c>
      <c r="H42" s="90" t="s">
        <v>465</v>
      </c>
      <c r="I42" s="82">
        <v>1.62</v>
      </c>
      <c r="J42" s="137">
        <v>19.5</v>
      </c>
      <c r="K42" s="82">
        <f t="shared" si="0"/>
        <v>1.3041</v>
      </c>
      <c r="L42" s="240">
        <v>1.722</v>
      </c>
      <c r="M42" s="139">
        <v>1.6359999999999999</v>
      </c>
      <c r="N42" s="271">
        <v>1.6779999999999999</v>
      </c>
      <c r="O42" s="139">
        <f t="shared" si="12"/>
        <v>1.657</v>
      </c>
      <c r="P42" s="163">
        <v>88</v>
      </c>
      <c r="Q42" s="142">
        <v>80.790000000000006</v>
      </c>
      <c r="R42" s="57">
        <v>2315.9499999999998</v>
      </c>
      <c r="S42" s="80">
        <v>240</v>
      </c>
      <c r="U42" s="142">
        <v>120</v>
      </c>
      <c r="V42" s="142">
        <v>1.1023000000000001</v>
      </c>
      <c r="W42" s="137">
        <v>8</v>
      </c>
      <c r="X42" s="6">
        <v>13.6</v>
      </c>
      <c r="Y42" s="6">
        <v>55</v>
      </c>
      <c r="Z42" s="143">
        <f t="shared" si="11"/>
        <v>40.36</v>
      </c>
      <c r="AA42" s="144">
        <f t="shared" si="1"/>
        <v>95.36</v>
      </c>
      <c r="AB42" s="145">
        <f t="shared" si="2"/>
        <v>3159.9484760395994</v>
      </c>
      <c r="AC42" s="145">
        <f>+(S42-T42)*V42-'data 1'!$F$4</f>
        <v>184.55200000000002</v>
      </c>
      <c r="AD42" s="145">
        <f t="shared" si="3"/>
        <v>-300.5319619859967</v>
      </c>
      <c r="AE42" s="145">
        <f>+(Y42*V42-'data 1'!$I$21)+V42*(Z42-IF(D42="UNTUCA",IF(+((W42-3)*2.5+(X42-3)*3.1)&gt;0,+((W42-3)*1.5+(X42-3)*3.1),0),IF(+((W42-3)*1.5+(X42-3)*3.1)&gt;0,+((W42-3)*1.5+(X42-3)*3.1),0)))</f>
        <v>35.045418918918919</v>
      </c>
      <c r="AF42" s="145">
        <f t="shared" si="4"/>
        <v>127.1139515042474</v>
      </c>
      <c r="AG42" s="145">
        <f t="shared" si="5"/>
        <v>46.179408437169641</v>
      </c>
      <c r="AH42" s="145">
        <f t="shared" si="6"/>
        <v>62.202912426297473</v>
      </c>
      <c r="AI42" s="137">
        <f t="shared" si="7"/>
        <v>253.87488971390732</v>
      </c>
      <c r="AJ42" s="144">
        <f t="shared" si="8"/>
        <v>65.196629554584263</v>
      </c>
      <c r="AK42" s="88">
        <f t="shared" si="9"/>
        <v>-2.9937171282867894</v>
      </c>
      <c r="AM42" s="57"/>
      <c r="AO42" s="137"/>
      <c r="AP42" s="57">
        <f t="shared" si="10"/>
        <v>4120.8888076032417</v>
      </c>
      <c r="AQ42" s="57"/>
      <c r="AR42" s="57"/>
    </row>
    <row r="43" spans="1:44" ht="15.75" customHeight="1">
      <c r="A43" s="330" t="s">
        <v>710</v>
      </c>
      <c r="B43" s="135">
        <v>45406</v>
      </c>
      <c r="C43" s="135">
        <v>45406</v>
      </c>
      <c r="D43" s="142" t="s">
        <v>549</v>
      </c>
      <c r="E43" s="176"/>
      <c r="F43" s="6" t="s">
        <v>99</v>
      </c>
      <c r="G43" s="90">
        <v>109</v>
      </c>
      <c r="H43" s="90" t="s">
        <v>465</v>
      </c>
      <c r="I43" s="82">
        <v>10.17</v>
      </c>
      <c r="J43" s="137">
        <v>2.95</v>
      </c>
      <c r="K43" s="82">
        <f t="shared" si="0"/>
        <v>9.8699849999999998</v>
      </c>
      <c r="L43" s="240">
        <v>2.0720000000000001</v>
      </c>
      <c r="M43" s="139">
        <v>1.9730000000000001</v>
      </c>
      <c r="N43" s="139">
        <v>1.9730000000000001</v>
      </c>
      <c r="O43" s="139">
        <f t="shared" si="12"/>
        <v>1.9730000000000001</v>
      </c>
      <c r="P43" s="163">
        <v>90</v>
      </c>
      <c r="Q43" s="142">
        <v>86.69</v>
      </c>
      <c r="R43" s="57">
        <v>2315.9499999999998</v>
      </c>
      <c r="S43" s="80">
        <v>270</v>
      </c>
      <c r="U43" s="142">
        <v>120</v>
      </c>
      <c r="V43" s="142">
        <v>1.1023000000000001</v>
      </c>
      <c r="W43" s="137">
        <v>7.9</v>
      </c>
      <c r="X43" s="6">
        <v>11.5</v>
      </c>
      <c r="Y43" s="6">
        <v>26.83</v>
      </c>
      <c r="Z43" s="143">
        <f t="shared" si="11"/>
        <v>33.700000000000003</v>
      </c>
      <c r="AA43" s="144">
        <f t="shared" si="1"/>
        <v>60.53</v>
      </c>
      <c r="AB43" s="145">
        <f t="shared" si="2"/>
        <v>3933.9085388545004</v>
      </c>
      <c r="AC43" s="145">
        <f>+(S43-T43)*V43-'data 1'!$F$4</f>
        <v>217.62100000000004</v>
      </c>
      <c r="AD43" s="145">
        <f t="shared" si="3"/>
        <v>-166.01219798349211</v>
      </c>
      <c r="AE43" s="145">
        <f>+(Y43*V43-'data 1'!$I$21)+V43*(Z43-IF(D43="UNTUCA",IF(+((W43-3)*2.5+(X43-3)*3.1)&gt;0,+((W43-3)*1.5+(X43-3)*3.1),0),IF(+((W43-3)*1.5+(X43-3)*3.1)&gt;0,+((W43-3)*1.5+(X43-3)*3.1),0)))</f>
        <v>3.9936279189189179</v>
      </c>
      <c r="AF43" s="145">
        <f t="shared" si="4"/>
        <v>207.74302553332342</v>
      </c>
      <c r="AG43" s="145">
        <f t="shared" si="5"/>
        <v>263.34545546875029</v>
      </c>
      <c r="AH43" s="145">
        <f t="shared" si="6"/>
        <v>607.83305763815156</v>
      </c>
      <c r="AI43" s="137">
        <f t="shared" si="7"/>
        <v>327.78399685385239</v>
      </c>
      <c r="AJ43" s="144">
        <f t="shared" si="8"/>
        <v>600.89024913254661</v>
      </c>
      <c r="AK43" s="88">
        <f t="shared" si="9"/>
        <v>6.942808505604944</v>
      </c>
      <c r="AM43" s="57"/>
      <c r="AO43" s="137"/>
      <c r="AP43" s="57">
        <f t="shared" si="10"/>
        <v>38827.618269865838</v>
      </c>
      <c r="AQ43" s="57"/>
      <c r="AR43" s="57"/>
    </row>
    <row r="44" spans="1:44" ht="15.75" customHeight="1">
      <c r="A44" s="330" t="s">
        <v>711</v>
      </c>
      <c r="B44" s="135">
        <v>45406</v>
      </c>
      <c r="C44" s="135">
        <v>45406</v>
      </c>
      <c r="D44" s="142" t="s">
        <v>549</v>
      </c>
      <c r="E44" s="176"/>
      <c r="F44" s="6" t="s">
        <v>99</v>
      </c>
      <c r="G44" s="90">
        <v>55</v>
      </c>
      <c r="H44" s="90" t="s">
        <v>465</v>
      </c>
      <c r="I44" s="82">
        <v>5.4</v>
      </c>
      <c r="J44" s="137">
        <v>2.4</v>
      </c>
      <c r="K44" s="82">
        <f t="shared" si="0"/>
        <v>5.2704000000000004</v>
      </c>
      <c r="L44" s="240">
        <v>0.36499999999999999</v>
      </c>
      <c r="M44" s="139">
        <v>0.34699999999999998</v>
      </c>
      <c r="N44" s="139">
        <v>0.34699999999999998</v>
      </c>
      <c r="O44" s="139">
        <f t="shared" si="12"/>
        <v>0.34699999999999998</v>
      </c>
      <c r="P44" s="163">
        <v>90</v>
      </c>
      <c r="Q44" s="142">
        <v>87.72</v>
      </c>
      <c r="R44" s="57">
        <v>2315.9499999999998</v>
      </c>
      <c r="S44" s="80">
        <v>110</v>
      </c>
      <c r="U44" s="142">
        <v>120</v>
      </c>
      <c r="V44" s="142">
        <v>1.1023000000000001</v>
      </c>
      <c r="W44" s="137">
        <v>7.9</v>
      </c>
      <c r="X44" s="6">
        <v>10.5</v>
      </c>
      <c r="Y44" s="6">
        <v>26.83</v>
      </c>
      <c r="Z44" s="143">
        <f t="shared" si="11"/>
        <v>30.6</v>
      </c>
      <c r="AA44" s="144">
        <f t="shared" si="1"/>
        <v>57.43</v>
      </c>
      <c r="AB44" s="145">
        <f t="shared" si="2"/>
        <v>571.39394342549997</v>
      </c>
      <c r="AC44" s="145">
        <f>+(S44-T44)*V44-'data 1'!$F$4</f>
        <v>41.253</v>
      </c>
      <c r="AD44" s="145">
        <f t="shared" si="3"/>
        <v>-20.144197290570009</v>
      </c>
      <c r="AE44" s="145">
        <f>+(Y44*V44-'data 1'!$I$21)+V44*(Z44-IF(D44="UNTUCA",IF(+((W44-3)*2.5+(X44-3)*3.1)&gt;0,+((W44-3)*1.5+(X44-3)*3.1),0),IF(+((W44-3)*1.5+(X44-3)*3.1)&gt;0,+((W44-3)*1.5+(X44-3)*3.1),0)))</f>
        <v>3.9936279189189179</v>
      </c>
      <c r="AF44" s="145">
        <f t="shared" si="4"/>
        <v>38.220237627876031</v>
      </c>
      <c r="AG44" s="145">
        <f t="shared" si="5"/>
        <v>63.322668256224944</v>
      </c>
      <c r="AH44" s="145">
        <f t="shared" si="6"/>
        <v>57.855431129424225</v>
      </c>
      <c r="AI44" s="137">
        <f t="shared" si="7"/>
        <v>58.427927266170066</v>
      </c>
      <c r="AJ44" s="144">
        <f t="shared" si="8"/>
        <v>56.43189457651426</v>
      </c>
      <c r="AK44" s="88">
        <f t="shared" si="9"/>
        <v>1.4235365529099653</v>
      </c>
      <c r="AM44" s="57"/>
      <c r="AO44" s="137"/>
      <c r="AP44" s="57">
        <f t="shared" si="10"/>
        <v>3011.4746394297554</v>
      </c>
      <c r="AQ44" s="57"/>
      <c r="AR44" s="57"/>
    </row>
    <row r="45" spans="1:44" ht="15.75" customHeight="1">
      <c r="A45" s="330" t="s">
        <v>712</v>
      </c>
      <c r="B45" s="135">
        <v>45406</v>
      </c>
      <c r="C45" s="135">
        <v>45406</v>
      </c>
      <c r="D45" s="142" t="s">
        <v>549</v>
      </c>
      <c r="E45" s="176"/>
      <c r="F45" s="142" t="s">
        <v>193</v>
      </c>
      <c r="G45" s="177">
        <v>35</v>
      </c>
      <c r="H45" s="177" t="s">
        <v>465</v>
      </c>
      <c r="I45" s="138">
        <v>3.12</v>
      </c>
      <c r="J45" s="143">
        <v>28</v>
      </c>
      <c r="K45" s="138">
        <f t="shared" si="0"/>
        <v>2.2464</v>
      </c>
      <c r="L45" s="170">
        <v>2.2509999999999999</v>
      </c>
      <c r="M45" s="141">
        <v>2.1480000000000001</v>
      </c>
      <c r="N45" s="248">
        <v>2.3948</v>
      </c>
      <c r="O45" s="141">
        <f t="shared" si="12"/>
        <v>2.2709999999999999</v>
      </c>
      <c r="P45" s="142">
        <v>90</v>
      </c>
      <c r="Q45" s="142">
        <v>87.38</v>
      </c>
      <c r="R45" s="144">
        <v>2315.9499999999998</v>
      </c>
      <c r="S45" s="132">
        <v>300</v>
      </c>
      <c r="T45" s="142"/>
      <c r="U45" s="142">
        <v>120</v>
      </c>
      <c r="V45" s="142">
        <v>1.1023000000000001</v>
      </c>
      <c r="W45" s="143">
        <v>8.1</v>
      </c>
      <c r="X45" s="142">
        <v>12.3</v>
      </c>
      <c r="Y45" s="142">
        <v>49</v>
      </c>
      <c r="Z45" s="143">
        <v>30</v>
      </c>
      <c r="AA45" s="144">
        <f t="shared" si="1"/>
        <v>79</v>
      </c>
      <c r="AB45" s="145">
        <f t="shared" si="2"/>
        <v>4529.6838205714994</v>
      </c>
      <c r="AC45" s="145">
        <f>+(S45-T45)*V45-'data 1'!$F$4</f>
        <v>250.69</v>
      </c>
      <c r="AD45" s="145">
        <f t="shared" si="3"/>
        <v>-142.75753523769723</v>
      </c>
      <c r="AE45" s="145">
        <f>+(Y45*V45-'data 1'!$I$21)+V45*(Z45-IF(D45="UNTUCA",IF(+((W45-3)*2.5+(X45-3)*3.1)&gt;0,+((W45-3)*1.5+(X45-3)*3.1),0),IF(+((W45-3)*1.5+(X45-3)*3.1)&gt;0,+((W45-3)*1.5+(X45-3)*3.1),0)))</f>
        <v>21.288714918918917</v>
      </c>
      <c r="AF45" s="145">
        <f t="shared" si="4"/>
        <v>-42.30233019106003</v>
      </c>
      <c r="AG45" s="145">
        <f t="shared" si="5"/>
        <v>86.918849490161648</v>
      </c>
      <c r="AH45" s="145">
        <f t="shared" si="6"/>
        <v>151.48990564781431</v>
      </c>
      <c r="AI45" s="143">
        <f t="shared" si="7"/>
        <v>358.93559433970739</v>
      </c>
      <c r="AJ45" s="144">
        <f t="shared" si="8"/>
        <v>157.41851217295132</v>
      </c>
      <c r="AK45" s="133">
        <f t="shared" si="9"/>
        <v>-5.9286065251370133</v>
      </c>
      <c r="AL45" s="142"/>
      <c r="AM45" s="144"/>
      <c r="AN45" s="142"/>
      <c r="AO45" s="143"/>
      <c r="AP45" s="57">
        <f t="shared" si="10"/>
        <v>10175.481734531815</v>
      </c>
      <c r="AQ45" s="144"/>
      <c r="AR45" s="144"/>
    </row>
    <row r="46" spans="1:44" ht="15.75" customHeight="1">
      <c r="A46" s="330" t="s">
        <v>713</v>
      </c>
      <c r="B46" s="135">
        <v>45407</v>
      </c>
      <c r="C46" s="135">
        <v>45407</v>
      </c>
      <c r="D46" s="6" t="s">
        <v>557</v>
      </c>
      <c r="E46" s="176"/>
      <c r="F46" s="6" t="s">
        <v>714</v>
      </c>
      <c r="G46" s="90">
        <v>47</v>
      </c>
      <c r="H46" s="90" t="s">
        <v>465</v>
      </c>
      <c r="I46" s="82">
        <v>4.46</v>
      </c>
      <c r="J46" s="137">
        <v>11.3</v>
      </c>
      <c r="K46" s="82">
        <f t="shared" si="0"/>
        <v>3.9560200000000001</v>
      </c>
      <c r="L46" s="240">
        <v>0.40400000000000003</v>
      </c>
      <c r="M46" s="139">
        <v>0.36799999999999999</v>
      </c>
      <c r="N46" s="253">
        <v>0.375</v>
      </c>
      <c r="O46" s="139">
        <f t="shared" si="12"/>
        <v>0.372</v>
      </c>
      <c r="P46" s="163">
        <v>90</v>
      </c>
      <c r="Q46" s="142">
        <v>87.64</v>
      </c>
      <c r="R46" s="57">
        <v>2322.4899999999998</v>
      </c>
      <c r="S46" s="80">
        <v>130</v>
      </c>
      <c r="T46" s="6">
        <v>-5</v>
      </c>
      <c r="U46" s="142">
        <v>120</v>
      </c>
      <c r="V46" s="142">
        <v>1.1023000000000001</v>
      </c>
      <c r="W46" s="137">
        <v>7.3</v>
      </c>
      <c r="X46" s="6">
        <v>8.1999999999999993</v>
      </c>
      <c r="Y46" s="6">
        <v>26.83</v>
      </c>
      <c r="Z46" s="143">
        <f t="shared" ref="Z46:Z55" si="13">IF(D46="UNTUCA",IF(+((W46-3)*1.5+(X46-3)*3.1)&gt;0,+((W46-3)*1.5+(X46-3)*3.1),0),IF(+((W46-3)*1.5+(X46-3)*3.1)&gt;0,+((W46-3)*1.5+(X46-3)*3.1),0))</f>
        <v>22.569999999999997</v>
      </c>
      <c r="AA46" s="144">
        <f t="shared" si="1"/>
        <v>49.399999999999991</v>
      </c>
      <c r="AB46" s="145">
        <f t="shared" si="2"/>
        <v>609.56490259959992</v>
      </c>
      <c r="AC46" s="145">
        <f>+(S46-T46)*V46-'data 1'!$F$4</f>
        <v>68.810500000000019</v>
      </c>
      <c r="AD46" s="145">
        <f t="shared" si="3"/>
        <v>-23.147661389108794</v>
      </c>
      <c r="AE46" s="145">
        <f>+(Y46*V46-'data 1'!$I$21)+V46*(Z46-IF(D46="UNTUCA",IF(+((W46-3)*2.5+(X46-3)*3.1)&gt;0,+((W46-3)*1.5+(X46-3)*3.1),0),IF(+((W46-3)*1.5+(X46-3)*3.1)&gt;0,+((W46-3)*1.5+(X46-3)*3.1),0)))</f>
        <v>3.9936279189189179</v>
      </c>
      <c r="AF46" s="145">
        <f t="shared" si="4"/>
        <v>68.087298007769661</v>
      </c>
      <c r="AG46" s="145">
        <f t="shared" si="5"/>
        <v>117.74376453757981</v>
      </c>
      <c r="AH46" s="145">
        <f t="shared" si="6"/>
        <v>48.023220584543282</v>
      </c>
      <c r="AI46" s="137">
        <f t="shared" si="7"/>
        <v>62.059458095028894</v>
      </c>
      <c r="AJ46" s="144">
        <f t="shared" si="8"/>
        <v>45.410156343076231</v>
      </c>
      <c r="AK46" s="88">
        <f t="shared" si="9"/>
        <v>2.6130642414670504</v>
      </c>
      <c r="AM46" s="57"/>
      <c r="AO46" s="137"/>
      <c r="AP46" s="57">
        <f t="shared" si="10"/>
        <v>2411.4509459820692</v>
      </c>
      <c r="AQ46" s="57"/>
      <c r="AR46" s="57"/>
    </row>
    <row r="47" spans="1:44" ht="15.75" customHeight="1">
      <c r="A47" s="330" t="s">
        <v>715</v>
      </c>
      <c r="B47" s="135">
        <v>45407</v>
      </c>
      <c r="C47" s="135">
        <v>45407</v>
      </c>
      <c r="D47" s="6" t="s">
        <v>557</v>
      </c>
      <c r="E47" s="176"/>
      <c r="F47" s="6" t="s">
        <v>714</v>
      </c>
      <c r="G47" s="90">
        <v>34</v>
      </c>
      <c r="H47" s="90" t="s">
        <v>465</v>
      </c>
      <c r="I47" s="82">
        <v>3.16</v>
      </c>
      <c r="J47" s="137">
        <v>11.3</v>
      </c>
      <c r="K47" s="82">
        <f t="shared" si="0"/>
        <v>2.8029200000000003</v>
      </c>
      <c r="L47" s="240">
        <v>0.56799999999999995</v>
      </c>
      <c r="M47" s="139">
        <v>0.54100000000000004</v>
      </c>
      <c r="N47" s="253">
        <v>0.55000000000000004</v>
      </c>
      <c r="O47" s="139">
        <f t="shared" si="12"/>
        <v>0.54600000000000004</v>
      </c>
      <c r="P47" s="163">
        <v>90</v>
      </c>
      <c r="Q47" s="142">
        <v>87.24</v>
      </c>
      <c r="R47" s="57">
        <v>2322.4899999999998</v>
      </c>
      <c r="S47" s="80">
        <v>150</v>
      </c>
      <c r="T47" s="6">
        <v>-5</v>
      </c>
      <c r="U47" s="142">
        <v>120</v>
      </c>
      <c r="V47" s="142">
        <v>1.1023000000000001</v>
      </c>
      <c r="W47" s="137">
        <v>7.3</v>
      </c>
      <c r="X47" s="6">
        <v>8.3000000000000007</v>
      </c>
      <c r="Y47" s="6">
        <v>26.83</v>
      </c>
      <c r="Z47" s="143">
        <f t="shared" si="13"/>
        <v>22.880000000000003</v>
      </c>
      <c r="AA47" s="144">
        <f t="shared" si="1"/>
        <v>49.71</v>
      </c>
      <c r="AB47" s="145">
        <f t="shared" si="2"/>
        <v>967.37140984780001</v>
      </c>
      <c r="AC47" s="145">
        <f>+(S47-T47)*V47-'data 1'!$F$4</f>
        <v>90.856500000000011</v>
      </c>
      <c r="AD47" s="145">
        <f t="shared" si="3"/>
        <v>-38.060209144233674</v>
      </c>
      <c r="AE47" s="145">
        <f>+(Y47*V47-'data 1'!$I$21)+V47*(Z47-IF(D47="UNTUCA",IF(+((W47-3)*2.5+(X47-3)*3.1)&gt;0,+((W47-3)*1.5+(X47-3)*3.1),0),IF(+((W47-3)*1.5+(X47-3)*3.1)&gt;0,+((W47-3)*1.5+(X47-3)*3.1),0)))</f>
        <v>3.9936279189189179</v>
      </c>
      <c r="AF47" s="145">
        <f t="shared" si="4"/>
        <v>46.596370564365401</v>
      </c>
      <c r="AG47" s="145">
        <f t="shared" si="5"/>
        <v>103.38628933905065</v>
      </c>
      <c r="AH47" s="145">
        <f t="shared" si="6"/>
        <v>47.619383038561082</v>
      </c>
      <c r="AI47" s="137">
        <f t="shared" si="7"/>
        <v>86.853682666473702</v>
      </c>
      <c r="AJ47" s="144">
        <f t="shared" si="8"/>
        <v>47.223146817644299</v>
      </c>
      <c r="AK47" s="88">
        <f t="shared" si="9"/>
        <v>0.39623622091678357</v>
      </c>
      <c r="AM47" s="57"/>
      <c r="AO47" s="137"/>
      <c r="AP47" s="57">
        <f t="shared" si="10"/>
        <v>2711.4646720905957</v>
      </c>
      <c r="AQ47" s="57"/>
      <c r="AR47" s="57"/>
    </row>
    <row r="48" spans="1:44" ht="15.75" customHeight="1">
      <c r="A48" s="330" t="s">
        <v>716</v>
      </c>
      <c r="B48" s="135">
        <v>45407</v>
      </c>
      <c r="C48" s="135">
        <v>45407</v>
      </c>
      <c r="D48" s="6" t="s">
        <v>557</v>
      </c>
      <c r="E48" s="176"/>
      <c r="F48" s="6" t="s">
        <v>714</v>
      </c>
      <c r="G48" s="90">
        <v>270</v>
      </c>
      <c r="H48" s="90" t="s">
        <v>465</v>
      </c>
      <c r="I48" s="82">
        <v>21.88</v>
      </c>
      <c r="J48" s="137">
        <v>9.8000000000000007</v>
      </c>
      <c r="K48" s="82">
        <f t="shared" si="0"/>
        <v>19.735759999999999</v>
      </c>
      <c r="L48" s="240">
        <v>0.27300000000000002</v>
      </c>
      <c r="M48" s="139">
        <v>0.248</v>
      </c>
      <c r="N48" s="253">
        <v>0.255</v>
      </c>
      <c r="O48" s="139">
        <f t="shared" si="12"/>
        <v>0.252</v>
      </c>
      <c r="P48" s="163">
        <v>90</v>
      </c>
      <c r="Q48" s="142">
        <v>87.87</v>
      </c>
      <c r="R48" s="57">
        <v>2322.4899999999998</v>
      </c>
      <c r="S48" s="80">
        <v>120</v>
      </c>
      <c r="T48" s="6">
        <v>-5</v>
      </c>
      <c r="U48" s="142">
        <v>120</v>
      </c>
      <c r="V48" s="142">
        <v>1.1023000000000001</v>
      </c>
      <c r="W48" s="137">
        <v>7.3</v>
      </c>
      <c r="X48" s="6">
        <v>8.1999999999999993</v>
      </c>
      <c r="Y48" s="6">
        <v>26.83</v>
      </c>
      <c r="Z48" s="143">
        <f t="shared" si="13"/>
        <v>22.569999999999997</v>
      </c>
      <c r="AA48" s="144">
        <f t="shared" si="1"/>
        <v>49.399999999999991</v>
      </c>
      <c r="AB48" s="145">
        <f t="shared" si="2"/>
        <v>358.38499208359997</v>
      </c>
      <c r="AC48" s="145">
        <f>+(S48-T48)*V48-'data 1'!$F$4</f>
        <v>57.787499999999994</v>
      </c>
      <c r="AD48" s="145">
        <f t="shared" si="3"/>
        <v>-14.117441707032269</v>
      </c>
      <c r="AE48" s="145">
        <f>+(Y48*V48-'data 1'!$I$21)+V48*(Z48-IF(D48="UNTUCA",IF(+((W48-3)*2.5+(X48-3)*3.1)&gt;0,+((W48-3)*1.5+(X48-3)*3.1),0),IF(+((W48-3)*1.5+(X48-3)*3.1)&gt;0,+((W48-3)*1.5+(X48-3)*3.1),0)))</f>
        <v>3.9936279189189179</v>
      </c>
      <c r="AF48" s="145">
        <f t="shared" si="4"/>
        <v>44.799552285912938</v>
      </c>
      <c r="AG48" s="145">
        <f t="shared" si="5"/>
        <v>92.46323849779958</v>
      </c>
      <c r="AH48" s="145">
        <f t="shared" si="6"/>
        <v>162.31781873776225</v>
      </c>
      <c r="AI48" s="137">
        <f t="shared" si="7"/>
        <v>42.046274224527359</v>
      </c>
      <c r="AJ48" s="144">
        <f t="shared" si="8"/>
        <v>153.46380950598629</v>
      </c>
      <c r="AK48" s="88">
        <f t="shared" si="9"/>
        <v>8.8540092317759616</v>
      </c>
      <c r="AM48" s="57"/>
      <c r="AO48" s="137"/>
      <c r="AP48" s="57">
        <f t="shared" si="10"/>
        <v>7073.0001913638289</v>
      </c>
      <c r="AQ48" s="57"/>
      <c r="AR48" s="57"/>
    </row>
    <row r="49" spans="1:44" ht="15.75" customHeight="1">
      <c r="A49" s="330" t="s">
        <v>717</v>
      </c>
      <c r="B49" s="135">
        <v>45416</v>
      </c>
      <c r="C49" s="135">
        <v>45412</v>
      </c>
      <c r="D49" s="142" t="s">
        <v>549</v>
      </c>
      <c r="E49" s="176"/>
      <c r="F49" s="142" t="s">
        <v>718</v>
      </c>
      <c r="G49" s="177">
        <v>57</v>
      </c>
      <c r="H49" s="177"/>
      <c r="I49" s="138">
        <v>5.43</v>
      </c>
      <c r="J49" s="143">
        <v>1.2</v>
      </c>
      <c r="K49" s="138">
        <f t="shared" si="0"/>
        <v>5.3648400000000001</v>
      </c>
      <c r="L49" s="170">
        <v>0.437</v>
      </c>
      <c r="M49" s="141">
        <v>0.41952</v>
      </c>
      <c r="N49" s="248">
        <v>0.41799999999999998</v>
      </c>
      <c r="O49" s="141">
        <v>0.42</v>
      </c>
      <c r="P49" s="203">
        <v>90</v>
      </c>
      <c r="Q49" s="142">
        <v>88.12</v>
      </c>
      <c r="R49" s="144">
        <v>2286.21</v>
      </c>
      <c r="S49" s="132">
        <v>130</v>
      </c>
      <c r="T49" s="142"/>
      <c r="U49" s="142">
        <v>120</v>
      </c>
      <c r="V49" s="142">
        <v>1.1023000000000001</v>
      </c>
      <c r="W49" s="143">
        <v>7.9</v>
      </c>
      <c r="X49" s="143">
        <v>11.95</v>
      </c>
      <c r="Y49" s="142">
        <v>27.83</v>
      </c>
      <c r="Z49" s="143">
        <f t="shared" si="13"/>
        <v>35.094999999999999</v>
      </c>
      <c r="AA49" s="144">
        <f t="shared" si="1"/>
        <v>62.924999999999997</v>
      </c>
      <c r="AB49" s="145">
        <f t="shared" si="2"/>
        <v>689.93219347399997</v>
      </c>
      <c r="AC49" s="145">
        <f>+(S49-T49)*V49-'data 1'!$F$4</f>
        <v>63.299000000000007</v>
      </c>
      <c r="AD49" s="145">
        <f t="shared" si="3"/>
        <v>-19.617318807814755</v>
      </c>
      <c r="AE49" s="145">
        <f>+(Y49*V49-'data 1'!$I$21)+V49*(Z49-IF(D49="UNTUCA",IF(+((W49-3)*2.5+(X49-3)*3.1)&gt;0,+((W49-3)*1.5+(X49-3)*3.1),0),IF(+((W49-3)*1.5+(X49-3)*3.1)&gt;0,+((W49-3)*1.5+(X49-3)*3.1),0)))</f>
        <v>5.0959279189189175</v>
      </c>
      <c r="AF49" s="145">
        <f t="shared" si="4"/>
        <v>35.770398104653239</v>
      </c>
      <c r="AG49" s="145">
        <f t="shared" si="5"/>
        <v>84.548007215757409</v>
      </c>
      <c r="AH49" s="145">
        <f t="shared" si="6"/>
        <v>70.830738338503863</v>
      </c>
      <c r="AI49" s="143">
        <f t="shared" si="7"/>
        <v>82.896412928294794</v>
      </c>
      <c r="AJ49" s="144">
        <f t="shared" si="8"/>
        <v>69.527664823489232</v>
      </c>
      <c r="AK49" s="88">
        <f t="shared" si="9"/>
        <v>1.3030735150146313</v>
      </c>
      <c r="AL49" s="142"/>
      <c r="AM49" s="57"/>
      <c r="AO49" s="137"/>
      <c r="AP49" s="57">
        <f t="shared" si="10"/>
        <v>3701.3758288370541</v>
      </c>
      <c r="AQ49" s="57"/>
      <c r="AR49" s="57"/>
    </row>
    <row r="50" spans="1:44" ht="15.75" customHeight="1">
      <c r="A50" s="330" t="s">
        <v>719</v>
      </c>
      <c r="B50" s="135">
        <v>45416</v>
      </c>
      <c r="C50" s="135">
        <v>45412</v>
      </c>
      <c r="D50" s="142" t="s">
        <v>549</v>
      </c>
      <c r="E50" s="176"/>
      <c r="F50" s="142" t="s">
        <v>718</v>
      </c>
      <c r="G50" s="177">
        <v>108</v>
      </c>
      <c r="H50" s="177"/>
      <c r="I50" s="138">
        <v>10.130000000000001</v>
      </c>
      <c r="J50" s="143">
        <v>1.1000000000000001</v>
      </c>
      <c r="K50" s="138">
        <f t="shared" si="0"/>
        <v>10.01857</v>
      </c>
      <c r="L50" s="170">
        <v>0.49000000000000005</v>
      </c>
      <c r="M50" s="141">
        <v>0.45955000000000001</v>
      </c>
      <c r="N50" s="248">
        <v>0.49</v>
      </c>
      <c r="O50" s="141">
        <v>0.47499999999999998</v>
      </c>
      <c r="P50" s="203">
        <v>90</v>
      </c>
      <c r="Q50" s="142">
        <v>88.37</v>
      </c>
      <c r="R50" s="144">
        <v>2286.21</v>
      </c>
      <c r="S50" s="132">
        <v>130</v>
      </c>
      <c r="T50" s="142"/>
      <c r="U50" s="142">
        <v>120</v>
      </c>
      <c r="V50" s="142">
        <v>1.1023000000000001</v>
      </c>
      <c r="W50" s="143">
        <v>7.9</v>
      </c>
      <c r="X50" s="143">
        <v>11.9</v>
      </c>
      <c r="Y50" s="142">
        <v>27.83</v>
      </c>
      <c r="Z50" s="143">
        <f t="shared" si="13"/>
        <v>34.940000000000005</v>
      </c>
      <c r="AA50" s="144">
        <f t="shared" si="1"/>
        <v>62.77</v>
      </c>
      <c r="AB50" s="145">
        <f t="shared" si="2"/>
        <v>808.29980748250011</v>
      </c>
      <c r="AC50" s="145">
        <f>+(S50-T50)*V50-'data 1'!$F$4</f>
        <v>63.299000000000007</v>
      </c>
      <c r="AD50" s="145">
        <f t="shared" si="3"/>
        <v>-19.071464691320951</v>
      </c>
      <c r="AE50" s="145">
        <f>+(Y50*V50-'data 1'!$I$21)+V50*(Z50-IF(D50="UNTUCA",IF(+((W50-3)*2.5+(X50-3)*3.1)&gt;0,+((W50-3)*1.5+(X50-3)*3.1),0),IF(+((W50-3)*1.5+(X50-3)*3.1)&gt;0,+((W50-3)*1.5+(X50-3)*3.1),0)))</f>
        <v>5.0959279189189175</v>
      </c>
      <c r="AF50" s="145">
        <f t="shared" si="4"/>
        <v>31.651658972806651</v>
      </c>
      <c r="AG50" s="145">
        <f t="shared" si="5"/>
        <v>80.975122200404627</v>
      </c>
      <c r="AH50" s="145">
        <f t="shared" si="6"/>
        <v>148.73587792486839</v>
      </c>
      <c r="AI50" s="143">
        <f t="shared" si="7"/>
        <v>93.213914797171</v>
      </c>
      <c r="AJ50" s="144">
        <f t="shared" si="8"/>
        <v>146.84221446672782</v>
      </c>
      <c r="AK50" s="88">
        <f t="shared" si="9"/>
        <v>1.8936634581405656</v>
      </c>
      <c r="AL50" s="142"/>
      <c r="AM50" s="57"/>
      <c r="AO50" s="137"/>
      <c r="AP50" s="57">
        <f t="shared" si="10"/>
        <v>8098.0082022499519</v>
      </c>
      <c r="AQ50" s="57"/>
      <c r="AR50" s="57"/>
    </row>
    <row r="51" spans="1:44" ht="15.75" customHeight="1">
      <c r="A51" s="330" t="s">
        <v>720</v>
      </c>
      <c r="B51" s="135">
        <v>45418</v>
      </c>
      <c r="C51" s="135">
        <v>45412</v>
      </c>
      <c r="D51" s="142" t="s">
        <v>106</v>
      </c>
      <c r="E51" s="176"/>
      <c r="F51" s="142" t="s">
        <v>721</v>
      </c>
      <c r="G51" s="177">
        <v>16</v>
      </c>
      <c r="H51" s="177"/>
      <c r="I51" s="138">
        <v>1.45</v>
      </c>
      <c r="J51" s="143">
        <v>1.5</v>
      </c>
      <c r="K51" s="138">
        <f t="shared" si="0"/>
        <v>1.42825</v>
      </c>
      <c r="L51" s="170">
        <v>0.14299999999999999</v>
      </c>
      <c r="M51" s="247">
        <v>0.14299999999999999</v>
      </c>
      <c r="N51" s="247">
        <v>0.14299999999999999</v>
      </c>
      <c r="O51" s="247">
        <v>0.14299999999999999</v>
      </c>
      <c r="P51" s="203">
        <v>85</v>
      </c>
      <c r="Q51" s="142">
        <v>88.66</v>
      </c>
      <c r="R51" s="144">
        <v>2286.21</v>
      </c>
      <c r="S51" s="132">
        <v>95</v>
      </c>
      <c r="T51" s="142"/>
      <c r="U51" s="142">
        <v>120</v>
      </c>
      <c r="V51" s="142">
        <v>1.1023000000000001</v>
      </c>
      <c r="W51" s="143">
        <v>7.8</v>
      </c>
      <c r="X51" s="143">
        <v>12.8</v>
      </c>
      <c r="Y51" s="142">
        <v>27.83</v>
      </c>
      <c r="Z51" s="143">
        <f t="shared" si="13"/>
        <v>37.58</v>
      </c>
      <c r="AA51" s="144">
        <f t="shared" si="1"/>
        <v>65.41</v>
      </c>
      <c r="AB51" s="145">
        <f t="shared" si="2"/>
        <v>113.41876154865</v>
      </c>
      <c r="AC51" s="145">
        <f>+(S51-T51)*V51-'data 1'!$F$4</f>
        <v>24.718500000000006</v>
      </c>
      <c r="AD51" s="145">
        <f t="shared" si="3"/>
        <v>12.497337160565388</v>
      </c>
      <c r="AE51" s="145">
        <f>+(Y51*V51-'data 1'!$I$21)+V51*(Z51-IF(D51="UNTUCA",IF(+((W51-3)*2.5+(X51-3)*3.1)&gt;0,+((W51-3)*1.5+(X51-3)*3.1),0),IF(+((W51-3)*1.5+(X51-3)*3.1)&gt;0,+((W51-3)*1.5+(X51-3)*3.1),0)))</f>
        <v>5.0959279189189175</v>
      </c>
      <c r="AF51" s="145">
        <f t="shared" si="4"/>
        <v>0</v>
      </c>
      <c r="AG51" s="145">
        <f t="shared" si="5"/>
        <v>42.31176507948431</v>
      </c>
      <c r="AH51" s="145">
        <f t="shared" si="6"/>
        <v>6.2083624918610898</v>
      </c>
      <c r="AI51" s="143">
        <f t="shared" si="7"/>
        <v>27.292516231294595</v>
      </c>
      <c r="AJ51" s="144">
        <f t="shared" si="8"/>
        <v>5.9520732213872396</v>
      </c>
      <c r="AK51" s="133">
        <f t="shared" si="9"/>
        <v>0.25628927047385019</v>
      </c>
      <c r="AL51" s="142"/>
      <c r="AM51" s="144"/>
      <c r="AN51" s="142"/>
      <c r="AO51" s="143"/>
      <c r="AP51" s="57">
        <f t="shared" si="10"/>
        <v>161.99034618185937</v>
      </c>
      <c r="AQ51" s="144"/>
      <c r="AR51" s="144"/>
    </row>
    <row r="52" spans="1:44" ht="15.75" customHeight="1">
      <c r="A52" s="330" t="s">
        <v>722</v>
      </c>
      <c r="B52" s="135"/>
      <c r="C52" s="135">
        <v>45412</v>
      </c>
      <c r="D52" s="142" t="s">
        <v>549</v>
      </c>
      <c r="E52" s="176"/>
      <c r="F52" s="142" t="s">
        <v>723</v>
      </c>
      <c r="G52" s="177">
        <v>50</v>
      </c>
      <c r="H52" s="177"/>
      <c r="I52" s="138">
        <v>4.76</v>
      </c>
      <c r="J52" s="143">
        <v>1.3</v>
      </c>
      <c r="K52" s="138">
        <f t="shared" si="0"/>
        <v>4.6981199999999994</v>
      </c>
      <c r="L52" s="170">
        <v>0.34600000000000003</v>
      </c>
      <c r="M52" s="141">
        <v>0.32869999999999999</v>
      </c>
      <c r="N52" s="247">
        <v>0.32900000000000001</v>
      </c>
      <c r="O52" s="141">
        <f t="shared" ref="O52:O60" si="14">+ROUND((M52+N52)/2,3)</f>
        <v>0.32900000000000001</v>
      </c>
      <c r="P52" s="203">
        <v>90</v>
      </c>
      <c r="Q52" s="142">
        <v>88.54</v>
      </c>
      <c r="R52" s="144">
        <v>2286.21</v>
      </c>
      <c r="S52" s="132">
        <v>110</v>
      </c>
      <c r="T52" s="142"/>
      <c r="U52" s="142">
        <v>120</v>
      </c>
      <c r="V52" s="142">
        <v>1.1023000000000001</v>
      </c>
      <c r="W52" s="143">
        <v>7.9</v>
      </c>
      <c r="X52" s="143">
        <v>11.5</v>
      </c>
      <c r="Y52" s="142">
        <v>27.83</v>
      </c>
      <c r="Z52" s="143">
        <f t="shared" si="13"/>
        <v>33.700000000000003</v>
      </c>
      <c r="AA52" s="144">
        <f t="shared" si="1"/>
        <v>61.53</v>
      </c>
      <c r="AB52" s="145">
        <f t="shared" si="2"/>
        <v>517.95399409630011</v>
      </c>
      <c r="AC52" s="145">
        <f>+(S52-T52)*V52-'data 1'!$F$4</f>
        <v>41.253</v>
      </c>
      <c r="AD52" s="145">
        <f t="shared" si="3"/>
        <v>-12.062277580402752</v>
      </c>
      <c r="AE52" s="145">
        <f>+(Y52*V52-'data 1'!$I$21)+V52*(Z52-IF(D52="UNTUCA",IF(+((W52-3)*2.5+(X52-3)*3.1)&gt;0,+((W52-3)*1.5+(X52-3)*3.1),0),IF(+((W52-3)*1.5+(X52-3)*3.1)&gt;0,+((W52-3)*1.5+(X52-3)*3.1),0)))</f>
        <v>5.0959279189189175</v>
      </c>
      <c r="AF52" s="145">
        <f t="shared" si="4"/>
        <v>35.940887973059439</v>
      </c>
      <c r="AG52" s="145">
        <f t="shared" si="5"/>
        <v>70.227538311575614</v>
      </c>
      <c r="AH52" s="145">
        <f t="shared" si="6"/>
        <v>49.345640576041824</v>
      </c>
      <c r="AI52" s="143">
        <f t="shared" si="7"/>
        <v>65.947058531382794</v>
      </c>
      <c r="AJ52" s="144">
        <f t="shared" si="8"/>
        <v>47.694860409148475</v>
      </c>
      <c r="AK52" s="88">
        <f t="shared" si="9"/>
        <v>1.6507801668933482</v>
      </c>
      <c r="AL52" s="142"/>
      <c r="AM52" s="57"/>
      <c r="AO52" s="137"/>
      <c r="AP52" s="57">
        <f t="shared" si="10"/>
        <v>2433.4100187437093</v>
      </c>
      <c r="AQ52" s="57"/>
      <c r="AR52" s="57"/>
    </row>
    <row r="53" spans="1:44" ht="15.75" customHeight="1">
      <c r="A53" s="330" t="s">
        <v>724</v>
      </c>
      <c r="B53" s="135"/>
      <c r="C53" s="135">
        <v>45412</v>
      </c>
      <c r="D53" s="142" t="s">
        <v>549</v>
      </c>
      <c r="E53" s="176"/>
      <c r="F53" s="142" t="s">
        <v>113</v>
      </c>
      <c r="G53" s="177">
        <v>20</v>
      </c>
      <c r="H53" s="177"/>
      <c r="I53" s="138">
        <v>1.81</v>
      </c>
      <c r="J53" s="143">
        <v>1.6</v>
      </c>
      <c r="K53" s="138">
        <f t="shared" si="0"/>
        <v>1.78104</v>
      </c>
      <c r="L53" s="170">
        <v>0.20300000000000001</v>
      </c>
      <c r="M53" s="141">
        <v>0.19284999999999999</v>
      </c>
      <c r="N53" s="247">
        <v>0.193</v>
      </c>
      <c r="O53" s="141">
        <f t="shared" si="14"/>
        <v>0.193</v>
      </c>
      <c r="P53" s="203">
        <v>88</v>
      </c>
      <c r="Q53" s="142">
        <v>88.29</v>
      </c>
      <c r="R53" s="144">
        <v>2286.21</v>
      </c>
      <c r="S53" s="132">
        <v>95</v>
      </c>
      <c r="T53" s="142"/>
      <c r="U53" s="142">
        <v>120</v>
      </c>
      <c r="V53" s="142">
        <v>1.1023000000000001</v>
      </c>
      <c r="W53" s="143">
        <v>7.8</v>
      </c>
      <c r="X53" s="143">
        <v>11.5</v>
      </c>
      <c r="Y53" s="142">
        <v>27.83</v>
      </c>
      <c r="Z53" s="143">
        <f t="shared" si="13"/>
        <v>33.549999999999997</v>
      </c>
      <c r="AA53" s="144">
        <f t="shared" si="1"/>
        <v>61.379999999999995</v>
      </c>
      <c r="AB53" s="145">
        <f t="shared" si="2"/>
        <v>233.16853398472006</v>
      </c>
      <c r="AC53" s="145">
        <f>+(S53-T53)*V53-'data 1'!$F$4</f>
        <v>24.718500000000006</v>
      </c>
      <c r="AD53" s="145">
        <f t="shared" si="3"/>
        <v>1.4057056797021306</v>
      </c>
      <c r="AE53" s="145">
        <f>+(Y53*V53-'data 1'!$I$21)+V53*(Z53-IF(D53="UNTUCA",IF(+((W53-3)*2.5+(X53-3)*3.1)&gt;0,+((W53-3)*1.5+(X53-3)*3.1),0),IF(+((W53-3)*1.5+(X53-3)*3.1)&gt;0,+((W53-3)*1.5+(X53-3)*3.1),0)))</f>
        <v>5.0959279189189175</v>
      </c>
      <c r="AF53" s="145">
        <f t="shared" si="4"/>
        <v>21.082003475607021</v>
      </c>
      <c r="AG53" s="145">
        <f t="shared" si="5"/>
        <v>52.302137074228071</v>
      </c>
      <c r="AH53" s="145">
        <f t="shared" si="6"/>
        <v>10.944358164521088</v>
      </c>
      <c r="AI53" s="143">
        <f t="shared" si="7"/>
        <v>38.5822337227929</v>
      </c>
      <c r="AJ53" s="144">
        <f t="shared" si="8"/>
        <v>10.371049896932027</v>
      </c>
      <c r="AK53" s="88">
        <f t="shared" si="9"/>
        <v>0.57330826758906106</v>
      </c>
      <c r="AL53" s="142"/>
      <c r="AM53" s="57"/>
      <c r="AO53" s="137"/>
      <c r="AP53" s="57">
        <f t="shared" si="10"/>
        <v>415.28248576814582</v>
      </c>
      <c r="AQ53" s="57"/>
      <c r="AR53" s="57"/>
    </row>
    <row r="54" spans="1:44" ht="15.75" customHeight="1">
      <c r="A54" s="330" t="s">
        <v>725</v>
      </c>
      <c r="B54" s="135"/>
      <c r="C54" s="135">
        <v>45412</v>
      </c>
      <c r="D54" s="6" t="s">
        <v>549</v>
      </c>
      <c r="E54" s="176"/>
      <c r="F54" s="6" t="s">
        <v>726</v>
      </c>
      <c r="G54" s="90">
        <v>28</v>
      </c>
      <c r="H54" s="90"/>
      <c r="I54" s="82">
        <v>2.5</v>
      </c>
      <c r="J54" s="137">
        <v>1.5</v>
      </c>
      <c r="K54" s="82">
        <f t="shared" si="0"/>
        <v>2.4624999999999999</v>
      </c>
      <c r="L54" s="240">
        <v>0.23899999999999999</v>
      </c>
      <c r="M54" s="139">
        <v>0.23179999999999998</v>
      </c>
      <c r="N54" s="247">
        <v>0.23799999999999999</v>
      </c>
      <c r="O54" s="139">
        <f t="shared" si="14"/>
        <v>0.23499999999999999</v>
      </c>
      <c r="P54" s="283">
        <v>88</v>
      </c>
      <c r="Q54" s="143">
        <v>88.4</v>
      </c>
      <c r="R54" s="57">
        <v>2286.21</v>
      </c>
      <c r="S54" s="80">
        <v>95</v>
      </c>
      <c r="U54" s="142">
        <v>120</v>
      </c>
      <c r="V54" s="142">
        <v>1.1023000000000001</v>
      </c>
      <c r="W54" s="137">
        <v>7.9</v>
      </c>
      <c r="X54" s="137">
        <v>11.6</v>
      </c>
      <c r="Y54" s="6">
        <v>27.83</v>
      </c>
      <c r="Z54" s="143">
        <f t="shared" si="13"/>
        <v>34.01</v>
      </c>
      <c r="AA54" s="144">
        <f t="shared" si="1"/>
        <v>61.839999999999996</v>
      </c>
      <c r="AB54" s="145">
        <f t="shared" si="2"/>
        <v>320.91505492440007</v>
      </c>
      <c r="AC54" s="145">
        <f>+(S54-T54)*V54-'data 1'!$F$4</f>
        <v>24.718500000000006</v>
      </c>
      <c r="AD54" s="145">
        <f t="shared" si="3"/>
        <v>2.2827494985480321</v>
      </c>
      <c r="AE54" s="145">
        <f>+(Y54*V54-'data 1'!$I$21)+V54*(Z54-IF(D54="UNTUCA",IF(+((W54-3)*2.5+(X54-3)*3.1)&gt;0,+((W54-3)*1.5+(X54-3)*3.1),0),IF(+((W54-3)*1.5+(X54-3)*3.1)&gt;0,+((W54-3)*1.5+(X54-3)*3.1),0)))</f>
        <v>5.0959279189189175</v>
      </c>
      <c r="AF54" s="145">
        <f t="shared" si="4"/>
        <v>8.4433077686880083</v>
      </c>
      <c r="AG54" s="145">
        <f t="shared" si="5"/>
        <v>40.54048518615496</v>
      </c>
      <c r="AH54" s="145">
        <f t="shared" si="6"/>
        <v>17.837561127417562</v>
      </c>
      <c r="AI54" s="137">
        <f t="shared" si="7"/>
        <v>45.480997251091992</v>
      </c>
      <c r="AJ54" s="144">
        <f t="shared" si="8"/>
        <v>17.459662437522248</v>
      </c>
      <c r="AK54" s="88">
        <f t="shared" si="9"/>
        <v>0.37789868989531428</v>
      </c>
      <c r="AM54" s="57"/>
      <c r="AO54" s="137"/>
      <c r="AP54" s="57">
        <f t="shared" si="10"/>
        <v>790.25332275133519</v>
      </c>
      <c r="AQ54" s="57"/>
      <c r="AR54" s="57"/>
    </row>
    <row r="55" spans="1:44" ht="15.75" customHeight="1">
      <c r="A55" s="330" t="s">
        <v>727</v>
      </c>
      <c r="B55" s="135">
        <v>45418</v>
      </c>
      <c r="C55" s="135">
        <v>45412</v>
      </c>
      <c r="D55" s="6" t="s">
        <v>549</v>
      </c>
      <c r="E55" s="176"/>
      <c r="F55" s="6" t="s">
        <v>728</v>
      </c>
      <c r="G55" s="90">
        <v>11</v>
      </c>
      <c r="H55" s="90"/>
      <c r="I55" s="82">
        <v>0.86</v>
      </c>
      <c r="J55" s="137">
        <v>9.1</v>
      </c>
      <c r="K55" s="82">
        <f t="shared" si="0"/>
        <v>0.78173999999999999</v>
      </c>
      <c r="L55" s="240">
        <v>0.97499999999999998</v>
      </c>
      <c r="M55" s="139">
        <v>0.93400000000000005</v>
      </c>
      <c r="N55" s="159">
        <v>0.93400000000000005</v>
      </c>
      <c r="O55" s="139">
        <f t="shared" si="14"/>
        <v>0.93400000000000005</v>
      </c>
      <c r="P55" s="283">
        <v>87.5</v>
      </c>
      <c r="Q55" s="142">
        <v>82.76</v>
      </c>
      <c r="R55" s="57">
        <v>2286.21</v>
      </c>
      <c r="S55" s="80">
        <v>170</v>
      </c>
      <c r="U55" s="142">
        <v>120</v>
      </c>
      <c r="V55" s="142">
        <v>1.1023000000000001</v>
      </c>
      <c r="W55" s="137">
        <v>7.8</v>
      </c>
      <c r="X55" s="137">
        <v>12.9</v>
      </c>
      <c r="Y55" s="6">
        <v>49</v>
      </c>
      <c r="Z55" s="143">
        <f t="shared" si="13"/>
        <v>37.89</v>
      </c>
      <c r="AA55" s="144">
        <f t="shared" si="1"/>
        <v>86.89</v>
      </c>
      <c r="AB55" s="145">
        <f t="shared" si="2"/>
        <v>1668.2705585317503</v>
      </c>
      <c r="AC55" s="145">
        <f>+(S55-T55)*V55-'data 1'!$F$4</f>
        <v>107.39100000000002</v>
      </c>
      <c r="AD55" s="145">
        <f t="shared" si="3"/>
        <v>-110.3527908738449</v>
      </c>
      <c r="AE55" s="145">
        <f>+(Y55*V55-'data 1'!$I$21)+V55*(Z55-IF(D55="UNTUCA",IF(+((W55-3)*2.5+(X55-3)*3.1)&gt;0,+((W55-3)*1.5+(X55-3)*3.1),0),IF(+((W55-3)*1.5+(X55-3)*3.1)&gt;0,+((W55-3)*1.5+(X55-3)*3.1),0)))</f>
        <v>28.431618918918922</v>
      </c>
      <c r="AF55" s="145">
        <f t="shared" si="4"/>
        <v>81.022325193442668</v>
      </c>
      <c r="AG55" s="145">
        <f t="shared" si="5"/>
        <v>106.49215323851672</v>
      </c>
      <c r="AH55" s="145">
        <f t="shared" si="6"/>
        <v>21.627011014812172</v>
      </c>
      <c r="AI55" s="137">
        <f t="shared" si="7"/>
        <v>173.70203663396998</v>
      </c>
      <c r="AJ55" s="144">
        <f t="shared" si="8"/>
        <v>21.904146375500673</v>
      </c>
      <c r="AK55" s="88">
        <f t="shared" si="9"/>
        <v>-0.27713536068850075</v>
      </c>
      <c r="AM55" s="57"/>
      <c r="AO55" s="137"/>
      <c r="AP55" s="57">
        <f t="shared" si="10"/>
        <v>1304.1538264266105</v>
      </c>
      <c r="AQ55" s="57"/>
      <c r="AR55" s="57"/>
    </row>
    <row r="56" spans="1:44" ht="15.75" customHeight="1">
      <c r="A56" s="330" t="s">
        <v>729</v>
      </c>
      <c r="B56" s="135">
        <v>45418</v>
      </c>
      <c r="C56" s="135">
        <v>45412</v>
      </c>
      <c r="D56" s="6" t="s">
        <v>549</v>
      </c>
      <c r="E56" s="176"/>
      <c r="F56" s="6" t="s">
        <v>730</v>
      </c>
      <c r="G56" s="90">
        <v>20</v>
      </c>
      <c r="H56" s="90"/>
      <c r="I56" s="82">
        <v>1.74</v>
      </c>
      <c r="J56" s="137">
        <v>24</v>
      </c>
      <c r="K56" s="82">
        <f t="shared" si="0"/>
        <v>1.3224</v>
      </c>
      <c r="L56" s="240">
        <v>1.1759999999999999</v>
      </c>
      <c r="M56" s="139">
        <v>1.1172</v>
      </c>
      <c r="N56" s="159">
        <v>1.1172</v>
      </c>
      <c r="O56" s="139">
        <f t="shared" si="14"/>
        <v>1.117</v>
      </c>
      <c r="P56" s="283">
        <v>88</v>
      </c>
      <c r="Q56" s="142">
        <v>82.44</v>
      </c>
      <c r="R56" s="57">
        <v>2286.21</v>
      </c>
      <c r="S56" s="80">
        <v>190</v>
      </c>
      <c r="U56" s="142">
        <v>140</v>
      </c>
      <c r="V56" s="142">
        <v>1.1023000000000001</v>
      </c>
      <c r="W56" s="137">
        <v>7.8</v>
      </c>
      <c r="X56" s="137">
        <v>12.9</v>
      </c>
      <c r="Y56" s="6">
        <v>27.83</v>
      </c>
      <c r="Z56" s="143">
        <f>IF(D56="UNTUCA",IF(+((W56-3)*1.5+(X56-3)*3.1)&gt;0,+((W56-3)*1.5+(X56-3)*3.1),0),IF(+((W56-3)*1.5+(X56-3)*3.1)&gt;0,+((W56-3)*1.5+(X56-3)*3.1),0))+5</f>
        <v>42.89</v>
      </c>
      <c r="AA56" s="144">
        <f t="shared" si="1"/>
        <v>70.72</v>
      </c>
      <c r="AB56" s="145">
        <f t="shared" si="2"/>
        <v>2038.0629524976798</v>
      </c>
      <c r="AC56" s="145">
        <f>+(S56-T56)*V56-'data 1'!$F$4</f>
        <v>129.43700000000001</v>
      </c>
      <c r="AD56" s="145">
        <f t="shared" si="3"/>
        <v>-154.68711325932486</v>
      </c>
      <c r="AE56" s="145">
        <f>+(Y56*V56-'data 1'!$I$21)+V56*(Z56-IF(D56="UNTUCA",IF(+((W56-3)*2.5+(X56-3)*3.1)&gt;0,+((W56-3)*1.5+(X56-3)*3.1),0),IF(+((W56-3)*1.5+(X56-3)*3.1)&gt;0,+((W56-3)*1.5+(X56-3)*3.1),0)))</f>
        <v>10.607427918918917</v>
      </c>
      <c r="AF56" s="145">
        <f t="shared" si="4"/>
        <v>115.06997433820669</v>
      </c>
      <c r="AG56" s="145">
        <f t="shared" si="5"/>
        <v>100.42728899780076</v>
      </c>
      <c r="AH56" s="145">
        <f t="shared" si="6"/>
        <v>43.955903845637657</v>
      </c>
      <c r="AI56" s="137">
        <f t="shared" si="7"/>
        <v>230.07475594716473</v>
      </c>
      <c r="AJ56" s="144">
        <f t="shared" si="8"/>
        <v>44.566420645759273</v>
      </c>
      <c r="AK56" s="88">
        <f t="shared" si="9"/>
        <v>-0.61051680012161569</v>
      </c>
      <c r="AM56" s="57"/>
      <c r="AO56" s="137"/>
      <c r="AP56" s="57">
        <f t="shared" si="10"/>
        <v>2695.1344483829316</v>
      </c>
      <c r="AQ56" s="57"/>
      <c r="AR56" s="57"/>
    </row>
    <row r="57" spans="1:44" ht="15.75" customHeight="1">
      <c r="A57" s="162" t="s">
        <v>731</v>
      </c>
      <c r="B57" s="194">
        <v>45418</v>
      </c>
      <c r="C57" s="194">
        <v>45413</v>
      </c>
      <c r="D57" s="163" t="s">
        <v>549</v>
      </c>
      <c r="E57" s="251"/>
      <c r="F57" s="163" t="s">
        <v>522</v>
      </c>
      <c r="G57" s="252">
        <v>100</v>
      </c>
      <c r="H57" s="252"/>
      <c r="I57" s="196">
        <v>9.16</v>
      </c>
      <c r="J57" s="195">
        <v>1.2</v>
      </c>
      <c r="K57" s="196">
        <f t="shared" si="0"/>
        <v>9.0500799999999995</v>
      </c>
      <c r="L57" s="253">
        <v>1.097</v>
      </c>
      <c r="M57" s="197">
        <v>1.0364499999999999</v>
      </c>
      <c r="N57" s="198">
        <v>1.1435999999999999</v>
      </c>
      <c r="O57" s="197">
        <f t="shared" si="14"/>
        <v>1.0900000000000001</v>
      </c>
      <c r="P57" s="256">
        <v>88</v>
      </c>
      <c r="Q57" s="163">
        <v>88.45</v>
      </c>
      <c r="R57" s="200">
        <v>2305.56</v>
      </c>
      <c r="S57" s="161">
        <v>180</v>
      </c>
      <c r="T57" s="163"/>
      <c r="U57" s="163">
        <v>120</v>
      </c>
      <c r="V57" s="163">
        <v>1.1023000000000001</v>
      </c>
      <c r="W57" s="195">
        <v>8</v>
      </c>
      <c r="X57" s="195">
        <v>11.4</v>
      </c>
      <c r="Y57" s="163">
        <v>27.83</v>
      </c>
      <c r="Z57" s="195">
        <f>IF(D57="UNTUCA",IF(+((W57-3)*1.5+(X57-3)*3.1)&gt;0,+((W57-3)*1.5+(X57-3)*3.1),0),IF(+((W57-3)*1.5+(X57-3)*3.1)&gt;0,+((W57-3)*1.5+(X57-3)*3.1),0))</f>
        <v>33.540000000000006</v>
      </c>
      <c r="AA57" s="200">
        <f t="shared" si="1"/>
        <v>61.370000000000005</v>
      </c>
      <c r="AB57" s="201">
        <f t="shared" si="2"/>
        <v>2044.7876112495999</v>
      </c>
      <c r="AC57" s="201">
        <f>+(S57-T57)*V57-'data 1'!$F$4</f>
        <v>118.41400000000002</v>
      </c>
      <c r="AD57" s="201">
        <f t="shared" si="3"/>
        <v>11.892733372962075</v>
      </c>
      <c r="AE57" s="201">
        <f>+(Y57*V57-'data 1'!$I$21)+V57*(Z57-IF(D57="UNTUCA",IF(+((W57-3)*2.5+(X57-3)*3.1)&gt;0,+((W57-3)*1.5+(X57-3)*3.1),0),IF(+((W57-3)*1.5+(X57-3)*3.1)&gt;0,+((W57-3)*1.5+(X57-3)*3.1),0)))</f>
        <v>5.0959279189189175</v>
      </c>
      <c r="AF57" s="201">
        <f t="shared" si="4"/>
        <v>14.916207571901777</v>
      </c>
      <c r="AG57" s="201">
        <f t="shared" si="5"/>
        <v>150.3188688637828</v>
      </c>
      <c r="AH57" s="201">
        <f t="shared" si="6"/>
        <v>301.06893919517637</v>
      </c>
      <c r="AI57" s="195">
        <f t="shared" si="7"/>
        <v>188.17800495328308</v>
      </c>
      <c r="AJ57" s="200">
        <f t="shared" si="8"/>
        <v>297.62585609245542</v>
      </c>
      <c r="AK57" s="202">
        <f t="shared" si="9"/>
        <v>3.4430831027209479</v>
      </c>
      <c r="AL57" s="163" t="s">
        <v>732</v>
      </c>
      <c r="AM57" s="200"/>
      <c r="AN57" s="163"/>
      <c r="AO57" s="195"/>
      <c r="AP57" s="57">
        <f t="shared" si="10"/>
        <v>18505.491464817776</v>
      </c>
      <c r="AQ57" s="200"/>
      <c r="AR57" s="200"/>
    </row>
    <row r="58" spans="1:44" ht="15.75" customHeight="1">
      <c r="A58" s="330" t="s">
        <v>733</v>
      </c>
      <c r="B58" s="135"/>
      <c r="C58" s="135">
        <v>45413</v>
      </c>
      <c r="D58" s="6" t="s">
        <v>549</v>
      </c>
      <c r="E58" s="176"/>
      <c r="F58" s="6" t="s">
        <v>734</v>
      </c>
      <c r="G58" s="90">
        <v>16</v>
      </c>
      <c r="H58" s="90"/>
      <c r="I58" s="82">
        <v>1.57</v>
      </c>
      <c r="J58" s="137">
        <v>1.1000000000000001</v>
      </c>
      <c r="K58" s="82">
        <f t="shared" si="0"/>
        <v>1.5527300000000002</v>
      </c>
      <c r="L58" s="240">
        <v>0.54400000000000004</v>
      </c>
      <c r="M58" s="139">
        <v>0.51680000000000004</v>
      </c>
      <c r="N58" s="159">
        <v>0.51680000000000004</v>
      </c>
      <c r="O58" s="139">
        <f t="shared" si="14"/>
        <v>0.51700000000000002</v>
      </c>
      <c r="P58" s="283">
        <v>90</v>
      </c>
      <c r="Q58" s="142">
        <v>88.32</v>
      </c>
      <c r="R58" s="57">
        <v>2305.56</v>
      </c>
      <c r="S58" s="80">
        <v>130</v>
      </c>
      <c r="U58" s="142">
        <v>120</v>
      </c>
      <c r="V58" s="142">
        <v>1.1023000000000001</v>
      </c>
      <c r="W58" s="137">
        <v>7.9</v>
      </c>
      <c r="X58" s="137">
        <v>11.8</v>
      </c>
      <c r="Y58" s="6">
        <v>27.83</v>
      </c>
      <c r="Z58" s="143">
        <f>IF(D58="UNTUCA",IF(+((W58-3)*1.5+(X58-3)*3.1)&gt;0,+((W58-3)*1.5+(X58-3)*3.1),0),IF(+((W58-3)*1.5+(X58-3)*3.1)&gt;0,+((W58-3)*1.5+(X58-3)*3.1),0))</f>
        <v>34.630000000000003</v>
      </c>
      <c r="AA58" s="144">
        <f t="shared" si="1"/>
        <v>62.46</v>
      </c>
      <c r="AB58" s="145">
        <f t="shared" si="2"/>
        <v>908.82548125639994</v>
      </c>
      <c r="AC58" s="145">
        <f>+(S58-T58)*V58-'data 1'!$F$4</f>
        <v>63.299000000000007</v>
      </c>
      <c r="AD58" s="145">
        <f t="shared" si="3"/>
        <v>-22.017637768089696</v>
      </c>
      <c r="AE58" s="145">
        <f>+(Y58*V58-'data 1'!$I$21)+V58*(Z58-IF(D58="UNTUCA",IF(+((W58-3)*2.5+(X58-3)*3.1)&gt;0,+((W58-3)*1.5+(X58-3)*3.1),0),IF(+((W58-3)*1.5+(X58-3)*3.1)&gt;0,+((W58-3)*1.5+(X58-3)*3.1),0)))</f>
        <v>5.0959279189189175</v>
      </c>
      <c r="AF58" s="145">
        <f t="shared" si="4"/>
        <v>57.449382579763252</v>
      </c>
      <c r="AG58" s="145">
        <f t="shared" si="5"/>
        <v>103.82667273059248</v>
      </c>
      <c r="AH58" s="145">
        <f t="shared" si="6"/>
        <v>25.577787407731158</v>
      </c>
      <c r="AI58" s="137">
        <f t="shared" si="7"/>
        <v>93.179924695449643</v>
      </c>
      <c r="AJ58" s="144">
        <f t="shared" si="8"/>
        <v>24.770687808073639</v>
      </c>
      <c r="AK58" s="88">
        <f t="shared" si="9"/>
        <v>0.80709959965751921</v>
      </c>
      <c r="AM58" s="57"/>
      <c r="AO58" s="137"/>
      <c r="AP58" s="57">
        <f t="shared" si="10"/>
        <v>1411.16058951125</v>
      </c>
      <c r="AQ58" s="57"/>
      <c r="AR58" s="57"/>
    </row>
    <row r="59" spans="1:44" ht="15.75" customHeight="1">
      <c r="A59" s="330" t="s">
        <v>735</v>
      </c>
      <c r="B59" s="135">
        <v>45417</v>
      </c>
      <c r="C59" s="135">
        <v>45413</v>
      </c>
      <c r="D59" s="6" t="s">
        <v>549</v>
      </c>
      <c r="E59" s="176"/>
      <c r="F59" s="6" t="s">
        <v>734</v>
      </c>
      <c r="G59" s="90">
        <v>16</v>
      </c>
      <c r="H59" s="90"/>
      <c r="I59" s="82">
        <v>1.68</v>
      </c>
      <c r="J59" s="137">
        <v>1</v>
      </c>
      <c r="K59" s="82">
        <f t="shared" si="0"/>
        <v>1.6632</v>
      </c>
      <c r="L59" s="240">
        <v>0.55400000000000005</v>
      </c>
      <c r="M59" s="139">
        <v>0.52629999999999999</v>
      </c>
      <c r="N59" s="159">
        <v>0.52629999999999999</v>
      </c>
      <c r="O59" s="139">
        <f t="shared" si="14"/>
        <v>0.52600000000000002</v>
      </c>
      <c r="P59" s="283">
        <v>90</v>
      </c>
      <c r="Q59" s="142">
        <v>88.71</v>
      </c>
      <c r="R59" s="57">
        <v>2305.56</v>
      </c>
      <c r="S59" s="80">
        <v>130</v>
      </c>
      <c r="U59" s="142">
        <v>120</v>
      </c>
      <c r="V59" s="142">
        <v>1.1023000000000001</v>
      </c>
      <c r="W59" s="137">
        <v>7.9</v>
      </c>
      <c r="X59" s="137">
        <v>11.7</v>
      </c>
      <c r="Y59" s="6">
        <v>27.83</v>
      </c>
      <c r="Z59" s="143">
        <f>IF(D59="UNTUCA",IF(+((W59-3)*1.5+(X59-3)*3.1)&gt;0,+((W59-3)*1.5+(X59-3)*3.1),0),IF(+((W59-3)*1.5+(X59-3)*3.1)&gt;0,+((W59-3)*1.5+(X59-3)*3.1),0))</f>
        <v>34.32</v>
      </c>
      <c r="AA59" s="144">
        <f t="shared" si="1"/>
        <v>62.15</v>
      </c>
      <c r="AB59" s="145">
        <f t="shared" si="2"/>
        <v>928.68125083920006</v>
      </c>
      <c r="AC59" s="145">
        <f>+(S59-T59)*V59-'data 1'!$F$4</f>
        <v>63.299000000000007</v>
      </c>
      <c r="AD59" s="145">
        <f t="shared" si="3"/>
        <v>-17.217179848720885</v>
      </c>
      <c r="AE59" s="145">
        <f>+(Y59*V59-'data 1'!$I$21)+V59*(Z59-IF(D59="UNTUCA",IF(+((W59-3)*2.5+(X59-3)*3.1)&gt;0,+((W59-3)*1.5+(X59-3)*3.1),0),IF(+((W59-3)*1.5+(X59-3)*3.1)&gt;0,+((W59-3)*1.5+(X59-3)*3.1),0)))</f>
        <v>5.0959279189189175</v>
      </c>
      <c r="AF59" s="145">
        <f t="shared" si="4"/>
        <v>59.840215882574448</v>
      </c>
      <c r="AG59" s="145">
        <f t="shared" si="5"/>
        <v>111.01796395277248</v>
      </c>
      <c r="AH59" s="145">
        <f t="shared" si="6"/>
        <v>28.024372021324481</v>
      </c>
      <c r="AI59" s="137">
        <f t="shared" si="7"/>
        <v>95.311814831350844</v>
      </c>
      <c r="AJ59" s="144">
        <f t="shared" si="8"/>
        <v>26.994904735413385</v>
      </c>
      <c r="AK59" s="88">
        <f t="shared" si="9"/>
        <v>1.029467285911096</v>
      </c>
      <c r="AM59" s="57"/>
      <c r="AO59" s="137"/>
      <c r="AP59" s="57">
        <f t="shared" si="10"/>
        <v>1544.5826563957576</v>
      </c>
      <c r="AQ59" s="57"/>
      <c r="AR59" s="57"/>
    </row>
    <row r="60" spans="1:44" ht="15.75" customHeight="1">
      <c r="A60" s="330" t="s">
        <v>736</v>
      </c>
      <c r="B60" s="135">
        <v>45417</v>
      </c>
      <c r="C60" s="135">
        <v>45413</v>
      </c>
      <c r="D60" s="6" t="s">
        <v>549</v>
      </c>
      <c r="E60" s="176"/>
      <c r="F60" s="6" t="s">
        <v>107</v>
      </c>
      <c r="G60" s="90">
        <v>21</v>
      </c>
      <c r="H60" s="90"/>
      <c r="I60" s="82">
        <v>1.65</v>
      </c>
      <c r="J60" s="137">
        <v>1.3</v>
      </c>
      <c r="K60" s="82">
        <f t="shared" si="0"/>
        <v>1.6285499999999999</v>
      </c>
      <c r="L60" s="240">
        <v>1.022</v>
      </c>
      <c r="M60" s="139">
        <v>0.97089999999999999</v>
      </c>
      <c r="N60" s="159">
        <v>0.97089999999999999</v>
      </c>
      <c r="O60" s="139">
        <f t="shared" si="14"/>
        <v>0.97099999999999997</v>
      </c>
      <c r="P60" s="283">
        <v>90</v>
      </c>
      <c r="Q60" s="142">
        <v>88.66</v>
      </c>
      <c r="R60" s="57">
        <v>2305.56</v>
      </c>
      <c r="S60" s="80">
        <v>170</v>
      </c>
      <c r="U60" s="142">
        <v>120</v>
      </c>
      <c r="V60" s="142">
        <v>1.1023000000000001</v>
      </c>
      <c r="W60" s="137">
        <v>7.9</v>
      </c>
      <c r="X60" s="137">
        <v>11.85</v>
      </c>
      <c r="Y60" s="6">
        <v>27.83</v>
      </c>
      <c r="Z60" s="143">
        <f>IF(D60="UNTUCA",IF(+((W60-3)*1.5+(X60-3)*3.1)&gt;0,+((W60-3)*1.5+(X60-3)*3.1),0),IF(+((W60-3)*1.5+(X60-3)*3.1)&gt;0,+((W60-3)*1.5+(X60-3)*3.1),0))</f>
        <v>34.784999999999997</v>
      </c>
      <c r="AA60" s="144">
        <f t="shared" si="1"/>
        <v>62.614999999999995</v>
      </c>
      <c r="AB60" s="145">
        <f t="shared" si="2"/>
        <v>1848.9383679332002</v>
      </c>
      <c r="AC60" s="145">
        <f>+(S60-T60)*V60-'data 1'!$F$4</f>
        <v>107.39100000000002</v>
      </c>
      <c r="AD60" s="145">
        <f t="shared" si="3"/>
        <v>-32.992728653102489</v>
      </c>
      <c r="AE60" s="145">
        <f>+(Y60*V60-'data 1'!$I$21)+V60*(Z60-IF(D60="UNTUCA",IF(+((W60-3)*2.5+(X60-3)*3.1)&gt;0,+((W60-3)*1.5+(X60-3)*3.1),0),IF(+((W60-3)*1.5+(X60-3)*3.1)&gt;0,+((W60-3)*1.5+(X60-3)*3.1),0)))</f>
        <v>5.0959279189189175</v>
      </c>
      <c r="AF60" s="145">
        <f t="shared" si="4"/>
        <v>108.93324578788089</v>
      </c>
      <c r="AG60" s="145">
        <f t="shared" si="5"/>
        <v>188.42744505369734</v>
      </c>
      <c r="AH60" s="145">
        <f t="shared" si="6"/>
        <v>50.592808541505882</v>
      </c>
      <c r="AI60" s="137">
        <f t="shared" si="7"/>
        <v>175.72883011924245</v>
      </c>
      <c r="AJ60" s="144">
        <f t="shared" si="8"/>
        <v>48.794616104644348</v>
      </c>
      <c r="AK60" s="88">
        <f t="shared" si="9"/>
        <v>1.7981924368615338</v>
      </c>
      <c r="AM60" s="57"/>
      <c r="AO60" s="137"/>
      <c r="AP60" s="57">
        <f t="shared" si="10"/>
        <v>3011.0885790976131</v>
      </c>
      <c r="AQ60" s="57"/>
      <c r="AR60" s="57"/>
    </row>
    <row r="61" spans="1:44" ht="15.75" customHeight="1">
      <c r="A61" s="330" t="s">
        <v>737</v>
      </c>
      <c r="B61" s="135"/>
      <c r="C61" s="135">
        <v>45413</v>
      </c>
      <c r="D61" s="142" t="s">
        <v>549</v>
      </c>
      <c r="E61" s="176"/>
      <c r="F61" s="142" t="s">
        <v>193</v>
      </c>
      <c r="G61" s="177">
        <v>100</v>
      </c>
      <c r="H61" s="177"/>
      <c r="I61" s="138">
        <v>8.43</v>
      </c>
      <c r="J61" s="143">
        <v>1.1000000000000001</v>
      </c>
      <c r="K61" s="138">
        <f t="shared" si="0"/>
        <v>8.3372700000000002</v>
      </c>
      <c r="L61" s="332">
        <v>0.4965</v>
      </c>
      <c r="M61" s="141">
        <v>0.47199999999999998</v>
      </c>
      <c r="N61" s="153">
        <v>0.47370000000000001</v>
      </c>
      <c r="O61" s="141">
        <v>0.47399999999999998</v>
      </c>
      <c r="P61" s="203">
        <v>89.5</v>
      </c>
      <c r="Q61" s="142">
        <v>87.89</v>
      </c>
      <c r="R61" s="144">
        <v>2305.56</v>
      </c>
      <c r="S61" s="132">
        <v>120</v>
      </c>
      <c r="T61" s="142"/>
      <c r="U61" s="142">
        <v>120</v>
      </c>
      <c r="V61" s="142">
        <v>1.1023000000000001</v>
      </c>
      <c r="W61" s="143">
        <v>8.3000000000000007</v>
      </c>
      <c r="X61" s="143">
        <v>12</v>
      </c>
      <c r="Y61" s="142">
        <v>27.83</v>
      </c>
      <c r="Z61" s="143">
        <v>30</v>
      </c>
      <c r="AA61" s="144">
        <f t="shared" si="1"/>
        <v>57.83</v>
      </c>
      <c r="AB61" s="145">
        <f t="shared" si="2"/>
        <v>826.00863595323995</v>
      </c>
      <c r="AC61" s="145">
        <f>+(S61-T61)*V61-'data 1'!$F$4</f>
        <v>52.27600000000001</v>
      </c>
      <c r="AD61" s="145">
        <f t="shared" si="3"/>
        <v>-19.257844247296195</v>
      </c>
      <c r="AE61" s="145">
        <f>+(Y61*V61-'data 1'!$I$21)+V61*(Z61-IF(D61="UNTUCA",IF(+((W61-3)*2.5+(X61-3)*3.1)&gt;0,+((W61-3)*1.5+(X61-3)*3.1),0),IF(+((W61-3)*1.5+(X61-3)*3.1)&gt;0,+((W61-3)*1.5+(X61-3)*3.1),0)))</f>
        <v>-1.3525270810810843</v>
      </c>
      <c r="AF61" s="145">
        <f t="shared" si="4"/>
        <v>47.641400918397046</v>
      </c>
      <c r="AG61" s="145">
        <f t="shared" si="5"/>
        <v>79.307029590019781</v>
      </c>
      <c r="AH61" s="145">
        <f t="shared" si="6"/>
        <v>124.73595395918643</v>
      </c>
      <c r="AI61" s="143">
        <f t="shared" si="7"/>
        <v>84.629760600788728</v>
      </c>
      <c r="AJ61" s="144">
        <f t="shared" si="8"/>
        <v>121.26467648807473</v>
      </c>
      <c r="AK61" s="133">
        <f t="shared" si="9"/>
        <v>3.4712774711117049</v>
      </c>
      <c r="AL61" s="142"/>
      <c r="AM61" s="144"/>
      <c r="AN61" s="142"/>
      <c r="AO61" s="143"/>
      <c r="AP61" s="57">
        <f t="shared" si="10"/>
        <v>6886.6570202738685</v>
      </c>
      <c r="AQ61" s="144"/>
      <c r="AR61" s="144"/>
    </row>
    <row r="62" spans="1:44" ht="15.75" customHeight="1">
      <c r="A62" s="330" t="s">
        <v>738</v>
      </c>
      <c r="B62" s="135"/>
      <c r="C62" s="135">
        <v>45413</v>
      </c>
      <c r="D62" s="142" t="s">
        <v>549</v>
      </c>
      <c r="E62" s="176"/>
      <c r="F62" s="142" t="s">
        <v>193</v>
      </c>
      <c r="G62" s="177">
        <v>90</v>
      </c>
      <c r="H62" s="177"/>
      <c r="I62" s="138">
        <v>7.67</v>
      </c>
      <c r="J62" s="143">
        <v>1.2</v>
      </c>
      <c r="K62" s="138">
        <f t="shared" si="0"/>
        <v>7.57796</v>
      </c>
      <c r="L62" s="332">
        <v>0.34899999999999998</v>
      </c>
      <c r="M62" s="141">
        <v>0.33200000000000002</v>
      </c>
      <c r="N62" s="153">
        <v>0.3735</v>
      </c>
      <c r="O62" s="141">
        <f t="shared" ref="O62:O69" si="15">+ROUND((M62+N62)/2,3)</f>
        <v>0.35299999999999998</v>
      </c>
      <c r="P62" s="203">
        <v>90</v>
      </c>
      <c r="Q62" s="142">
        <v>87.55</v>
      </c>
      <c r="R62" s="144">
        <v>2305.56</v>
      </c>
      <c r="S62" s="132">
        <v>110</v>
      </c>
      <c r="T62" s="142"/>
      <c r="U62" s="142">
        <v>120</v>
      </c>
      <c r="V62" s="142">
        <v>1.1023000000000001</v>
      </c>
      <c r="W62" s="143">
        <v>8.1</v>
      </c>
      <c r="X62" s="143">
        <v>12.1</v>
      </c>
      <c r="Y62" s="142">
        <v>27.83</v>
      </c>
      <c r="Z62" s="143">
        <v>30</v>
      </c>
      <c r="AA62" s="144">
        <f t="shared" si="1"/>
        <v>57.83</v>
      </c>
      <c r="AB62" s="145">
        <f t="shared" si="2"/>
        <v>580.38565474760003</v>
      </c>
      <c r="AC62" s="145">
        <f>+(S62-T62)*V62-'data 1'!$F$4</f>
        <v>41.253</v>
      </c>
      <c r="AD62" s="145">
        <f t="shared" si="3"/>
        <v>-20.599375408794021</v>
      </c>
      <c r="AE62" s="145">
        <f>+(Y62*V62-'data 1'!$I$21)+V62*(Z62-IF(D62="UNTUCA",IF(+((W62-3)*2.5+(X62-3)*3.1)&gt;0,+((W62-3)*1.5+(X62-3)*3.1),0),IF(+((W62-3)*1.5+(X62-3)*3.1)&gt;0,+((W62-3)*1.5+(X62-3)*3.1),0)))</f>
        <v>-1.3635500810810823</v>
      </c>
      <c r="AF62" s="145">
        <f t="shared" si="4"/>
        <v>-8.4368180435760074</v>
      </c>
      <c r="AG62" s="145">
        <f t="shared" si="5"/>
        <v>10.853256466548888</v>
      </c>
      <c r="AH62" s="145">
        <f t="shared" si="6"/>
        <v>79.385823672275734</v>
      </c>
      <c r="AI62" s="143">
        <f t="shared" si="7"/>
        <v>59.257861204769014</v>
      </c>
      <c r="AJ62" s="144">
        <f t="shared" si="8"/>
        <v>82.542685164538</v>
      </c>
      <c r="AK62" s="133">
        <f t="shared" si="9"/>
        <v>-3.1568614922622658</v>
      </c>
      <c r="AL62" s="142"/>
      <c r="AM62" s="144"/>
      <c r="AN62" s="142"/>
      <c r="AO62" s="143"/>
      <c r="AP62" s="57">
        <f t="shared" si="10"/>
        <v>4398.1392762511232</v>
      </c>
      <c r="AQ62" s="144"/>
      <c r="AR62" s="144"/>
    </row>
    <row r="63" spans="1:44" ht="15.75" customHeight="1">
      <c r="A63" s="134" t="s">
        <v>739</v>
      </c>
      <c r="B63" s="135">
        <v>45418</v>
      </c>
      <c r="C63" s="135">
        <v>45413</v>
      </c>
      <c r="D63" s="6" t="s">
        <v>106</v>
      </c>
      <c r="E63" s="176"/>
      <c r="F63" s="6" t="s">
        <v>740</v>
      </c>
      <c r="G63" s="90">
        <v>47</v>
      </c>
      <c r="H63" s="90"/>
      <c r="I63" s="82">
        <v>4.2</v>
      </c>
      <c r="J63" s="137">
        <v>1.1000000000000001</v>
      </c>
      <c r="K63" s="82">
        <f t="shared" si="0"/>
        <v>4.1538000000000004</v>
      </c>
      <c r="L63" s="139">
        <v>0.245</v>
      </c>
      <c r="M63" s="139">
        <v>0.245</v>
      </c>
      <c r="N63" s="139">
        <v>0.245</v>
      </c>
      <c r="O63" s="139">
        <f t="shared" si="15"/>
        <v>0.245</v>
      </c>
      <c r="P63" s="283">
        <v>87.5</v>
      </c>
      <c r="Q63" s="142">
        <v>88.77</v>
      </c>
      <c r="R63" s="57">
        <v>2305.56</v>
      </c>
      <c r="S63" s="80">
        <v>110</v>
      </c>
      <c r="U63" s="142">
        <v>120</v>
      </c>
      <c r="V63" s="142">
        <v>1.1023000000000001</v>
      </c>
      <c r="W63" s="137">
        <v>7.8</v>
      </c>
      <c r="X63" s="137">
        <v>11.4</v>
      </c>
      <c r="Y63" s="6">
        <v>27.83</v>
      </c>
      <c r="Z63" s="143">
        <f>IF(D63="UNTUCA",IF(+((W63-3)*1.5+(X63-3)*3.1)&gt;0,+((W63-3)*1.5+(X63-3)*3.1),0),IF(+((W63-3)*1.5+(X63-3)*3.1)&gt;0,+((W63-3)*1.5+(X63-3)*3.1),0))</f>
        <v>33.24</v>
      </c>
      <c r="AA63" s="144">
        <f t="shared" si="1"/>
        <v>61.07</v>
      </c>
      <c r="AB63" s="145">
        <f t="shared" si="2"/>
        <v>327.88952417749999</v>
      </c>
      <c r="AC63" s="145">
        <f>+(S63-T63)*V63-'data 1'!$F$4</f>
        <v>41.253</v>
      </c>
      <c r="AD63" s="145">
        <f t="shared" si="3"/>
        <v>7.4960477848619771</v>
      </c>
      <c r="AE63" s="145">
        <f>+(Y63*V63-'data 1'!$I$21)+V63*(Z63-IF(D63="UNTUCA",IF(+((W63-3)*2.5+(X63-3)*3.1)&gt;0,+((W63-3)*1.5+(X63-3)*3.1),0),IF(+((W63-3)*1.5+(X63-3)*3.1)&gt;0,+((W63-3)*1.5+(X63-3)*3.1),0)))</f>
        <v>5.0959279189189175</v>
      </c>
      <c r="AF63" s="145">
        <f t="shared" si="4"/>
        <v>0</v>
      </c>
      <c r="AG63" s="145">
        <f t="shared" si="5"/>
        <v>53.844975703780896</v>
      </c>
      <c r="AH63" s="145">
        <f t="shared" si="6"/>
        <v>30.973262664148674</v>
      </c>
      <c r="AI63" s="137">
        <f t="shared" si="7"/>
        <v>42.179040813063018</v>
      </c>
      <c r="AJ63" s="144">
        <f t="shared" si="8"/>
        <v>30.530139496598043</v>
      </c>
      <c r="AK63" s="88">
        <f t="shared" si="9"/>
        <v>0.44312316755063108</v>
      </c>
      <c r="AM63" s="57"/>
      <c r="AO63" s="137"/>
      <c r="AP63" s="57">
        <f t="shared" si="10"/>
        <v>1361.9875055284997</v>
      </c>
      <c r="AQ63" s="57"/>
      <c r="AR63" s="57"/>
    </row>
    <row r="64" spans="1:44" ht="15.75" customHeight="1">
      <c r="A64" s="134" t="s">
        <v>741</v>
      </c>
      <c r="B64" s="135">
        <v>45418</v>
      </c>
      <c r="C64" s="135">
        <v>45413</v>
      </c>
      <c r="D64" s="6" t="s">
        <v>106</v>
      </c>
      <c r="E64" s="176"/>
      <c r="F64" s="6" t="s">
        <v>740</v>
      </c>
      <c r="G64" s="90">
        <v>46</v>
      </c>
      <c r="H64" s="90"/>
      <c r="I64" s="82">
        <v>4.16</v>
      </c>
      <c r="J64" s="137">
        <v>1</v>
      </c>
      <c r="K64" s="82">
        <f t="shared" si="0"/>
        <v>4.1184000000000003</v>
      </c>
      <c r="L64" s="139">
        <v>0.25900000000000001</v>
      </c>
      <c r="M64" s="139">
        <v>0.25900000000000001</v>
      </c>
      <c r="N64" s="139">
        <v>0.25900000000000001</v>
      </c>
      <c r="O64" s="139">
        <f t="shared" si="15"/>
        <v>0.25900000000000001</v>
      </c>
      <c r="P64" s="283">
        <v>87.5</v>
      </c>
      <c r="Q64" s="142">
        <v>88.43</v>
      </c>
      <c r="R64" s="57">
        <v>2305.56</v>
      </c>
      <c r="S64" s="80">
        <v>110</v>
      </c>
      <c r="U64" s="142">
        <v>120</v>
      </c>
      <c r="V64" s="142">
        <v>1.1023000000000001</v>
      </c>
      <c r="W64" s="137">
        <v>7.85</v>
      </c>
      <c r="X64" s="137">
        <v>11.4</v>
      </c>
      <c r="Y64" s="6">
        <v>27.83</v>
      </c>
      <c r="Z64" s="143">
        <f>IF(D64="UNTUCA",IF(+((W64-3)*1.5+(X64-3)*3.1)&gt;0,+((W64-3)*1.5+(X64-3)*3.1),0),IF(+((W64-3)*1.5+(X64-3)*3.1)&gt;0,+((W64-3)*1.5+(X64-3)*3.1),0))</f>
        <v>33.315000000000005</v>
      </c>
      <c r="AA64" s="144">
        <f t="shared" si="1"/>
        <v>61.145000000000003</v>
      </c>
      <c r="AB64" s="145">
        <f t="shared" si="2"/>
        <v>357.31885083050003</v>
      </c>
      <c r="AC64" s="145">
        <f>+(S64-T64)*V64-'data 1'!$F$4</f>
        <v>41.253</v>
      </c>
      <c r="AD64" s="145">
        <f t="shared" si="3"/>
        <v>5.8029022334556428</v>
      </c>
      <c r="AE64" s="145">
        <f>+(Y64*V64-'data 1'!$I$21)+V64*(Z64-IF(D64="UNTUCA",IF(+((W64-3)*2.5+(X64-3)*3.1)&gt;0,+((W64-3)*1.5+(X64-3)*3.1),0),IF(+((W64-3)*1.5+(X64-3)*3.1)&gt;0,+((W64-3)*1.5+(X64-3)*3.1),0)))</f>
        <v>5.0959279189189175</v>
      </c>
      <c r="AF64" s="145">
        <f t="shared" si="4"/>
        <v>0</v>
      </c>
      <c r="AG64" s="145">
        <f t="shared" si="5"/>
        <v>52.151830152374558</v>
      </c>
      <c r="AH64" s="145">
        <f t="shared" si="6"/>
        <v>32.339774222982776</v>
      </c>
      <c r="AI64" s="137">
        <f t="shared" si="7"/>
        <v>44.418489330909424</v>
      </c>
      <c r="AJ64" s="144">
        <f t="shared" si="8"/>
        <v>31.999663513637824</v>
      </c>
      <c r="AK64" s="88">
        <f t="shared" si="9"/>
        <v>0.3401107093449518</v>
      </c>
      <c r="AM64" s="57"/>
      <c r="AO64" s="137"/>
      <c r="AP64" s="57">
        <f t="shared" si="10"/>
        <v>1471.5819552603314</v>
      </c>
      <c r="AQ64" s="57"/>
      <c r="AR64" s="57"/>
    </row>
    <row r="65" spans="1:44" ht="15.75" customHeight="1">
      <c r="A65" s="330" t="s">
        <v>742</v>
      </c>
      <c r="B65" s="135">
        <v>45418</v>
      </c>
      <c r="C65" s="135">
        <v>45413</v>
      </c>
      <c r="D65" s="142" t="s">
        <v>549</v>
      </c>
      <c r="E65" s="176"/>
      <c r="F65" s="142" t="s">
        <v>193</v>
      </c>
      <c r="G65" s="177">
        <v>60</v>
      </c>
      <c r="H65" s="177"/>
      <c r="I65" s="138">
        <v>5.22</v>
      </c>
      <c r="J65" s="143">
        <v>1.5</v>
      </c>
      <c r="K65" s="138">
        <f t="shared" si="0"/>
        <v>5.1417000000000002</v>
      </c>
      <c r="L65" s="170">
        <v>0.41799999999999998</v>
      </c>
      <c r="M65" s="141">
        <v>0.40100000000000002</v>
      </c>
      <c r="N65" s="153">
        <v>0.44490000000000002</v>
      </c>
      <c r="O65" s="141">
        <f t="shared" si="15"/>
        <v>0.42299999999999999</v>
      </c>
      <c r="P65" s="203">
        <v>89.5</v>
      </c>
      <c r="Q65" s="142">
        <v>87.79</v>
      </c>
      <c r="R65" s="144">
        <v>2305.56</v>
      </c>
      <c r="S65" s="132">
        <v>120</v>
      </c>
      <c r="T65" s="142"/>
      <c r="U65" s="142">
        <v>120</v>
      </c>
      <c r="V65" s="142">
        <v>1.1023000000000001</v>
      </c>
      <c r="W65" s="143">
        <v>8.1999999999999993</v>
      </c>
      <c r="X65" s="143">
        <v>12.15</v>
      </c>
      <c r="Y65" s="142">
        <v>27.83</v>
      </c>
      <c r="Z65" s="143">
        <v>30</v>
      </c>
      <c r="AA65" s="144">
        <f t="shared" si="1"/>
        <v>57.83</v>
      </c>
      <c r="AB65" s="145">
        <f t="shared" si="2"/>
        <v>716.04331339497992</v>
      </c>
      <c r="AC65" s="145">
        <f>+(S65-T65)*V65-'data 1'!$F$4</f>
        <v>52.27600000000001</v>
      </c>
      <c r="AD65" s="145">
        <f t="shared" si="3"/>
        <v>-17.22007082006634</v>
      </c>
      <c r="AE65" s="145">
        <f>+(Y65*V65-'data 1'!$I$21)+V65*(Z65-IF(D65="UNTUCA",IF(+((W65-3)*2.5+(X65-3)*3.1)&gt;0,+((W65-3)*1.5+(X65-3)*3.1),0),IF(+((W65-3)*1.5+(X65-3)*3.1)&gt;0,+((W65-3)*1.5+(X65-3)*3.1),0)))</f>
        <v>-1.6997515810810819</v>
      </c>
      <c r="AF65" s="145">
        <f t="shared" si="4"/>
        <v>-10.574932267926011</v>
      </c>
      <c r="AG65" s="145">
        <f t="shared" si="5"/>
        <v>22.781245330926581</v>
      </c>
      <c r="AH65" s="145">
        <f t="shared" si="6"/>
        <v>64.689997383569349</v>
      </c>
      <c r="AI65" s="143">
        <f t="shared" si="7"/>
        <v>71.168158072576432</v>
      </c>
      <c r="AJ65" s="144">
        <f t="shared" si="8"/>
        <v>66.738924770612897</v>
      </c>
      <c r="AK65" s="133">
        <f t="shared" si="9"/>
        <v>-2.0489273870435483</v>
      </c>
      <c r="AL65" s="142"/>
      <c r="AM65" s="144"/>
      <c r="AN65" s="142"/>
      <c r="AO65" s="143"/>
      <c r="AP65" s="57">
        <f t="shared" si="10"/>
        <v>3681.6799044829681</v>
      </c>
      <c r="AQ65" s="144"/>
      <c r="AR65" s="144"/>
    </row>
    <row r="66" spans="1:44" ht="15.75" customHeight="1">
      <c r="A66" s="134" t="s">
        <v>743</v>
      </c>
      <c r="B66" s="135">
        <v>45416</v>
      </c>
      <c r="C66" s="135">
        <v>45414</v>
      </c>
      <c r="D66" s="6" t="s">
        <v>549</v>
      </c>
      <c r="E66" s="176"/>
      <c r="F66" s="6" t="s">
        <v>183</v>
      </c>
      <c r="G66" s="90">
        <v>81</v>
      </c>
      <c r="H66" s="90"/>
      <c r="I66" s="82">
        <v>6.73</v>
      </c>
      <c r="J66" s="137">
        <v>1</v>
      </c>
      <c r="K66" s="82">
        <f t="shared" si="0"/>
        <v>6.6627000000000001</v>
      </c>
      <c r="L66" s="240">
        <v>1.1179999999999999</v>
      </c>
      <c r="M66" s="139">
        <v>1.0578249999999998</v>
      </c>
      <c r="N66" s="247">
        <v>1.0578249999999998</v>
      </c>
      <c r="O66" s="139">
        <f t="shared" si="15"/>
        <v>1.0580000000000001</v>
      </c>
      <c r="P66" s="283">
        <v>89.5</v>
      </c>
      <c r="Q66" s="142">
        <v>87.73</v>
      </c>
      <c r="R66" s="57">
        <v>2303.8000000000002</v>
      </c>
      <c r="S66" s="80">
        <v>180</v>
      </c>
      <c r="U66" s="142">
        <v>120</v>
      </c>
      <c r="V66" s="142">
        <v>1.1023000000000001</v>
      </c>
      <c r="W66" s="137">
        <v>7.8</v>
      </c>
      <c r="X66" s="137">
        <v>12.5</v>
      </c>
      <c r="Y66" s="6">
        <v>30</v>
      </c>
      <c r="Z66" s="143">
        <f>IF(D66="UNTUCA",IF(+((W66-3)*1.5+(X66-3)*3.1)&gt;0,+((W66-3)*1.5+(X66-3)*3.1),0),IF(+((W66-3)*1.5+(X66-3)*3.1)&gt;0,+((W66-3)*1.5+(X66-3)*3.1),0))-6</f>
        <v>30.65</v>
      </c>
      <c r="AA66" s="144">
        <f t="shared" si="1"/>
        <v>60.65</v>
      </c>
      <c r="AB66" s="145">
        <f t="shared" si="2"/>
        <v>2014.1358515334002</v>
      </c>
      <c r="AC66" s="145">
        <f>+(S66-T66)*V66-'data 1'!$F$4</f>
        <v>118.41400000000002</v>
      </c>
      <c r="AD66" s="145">
        <f t="shared" si="3"/>
        <v>-47.635172140763899</v>
      </c>
      <c r="AE66" s="145">
        <f>+(Y66*V66-'data 1'!$I$21)+V66*(Z66-IF(D66="UNTUCA",IF(+((W66-3)*2.5+(X66-3)*3.1)&gt;0,+((W66-3)*1.5+(X66-3)*3.1),0),IF(+((W66-3)*1.5+(X66-3)*3.1)&gt;0,+((W66-3)*1.5+(X66-3)*3.1),0)))</f>
        <v>0.87411891891892157</v>
      </c>
      <c r="AF66" s="145">
        <f t="shared" si="4"/>
        <v>126.71033782811968</v>
      </c>
      <c r="AG66" s="145">
        <f t="shared" si="5"/>
        <v>198.3632846062747</v>
      </c>
      <c r="AH66" s="145">
        <f t="shared" si="6"/>
        <v>224.05222493714501</v>
      </c>
      <c r="AI66" s="137">
        <f t="shared" si="7"/>
        <v>192.12203057239381</v>
      </c>
      <c r="AJ66" s="144">
        <f t="shared" si="8"/>
        <v>216.3057334548696</v>
      </c>
      <c r="AK66" s="88">
        <f t="shared" si="9"/>
        <v>7.7464914822754167</v>
      </c>
      <c r="AM66" s="57"/>
      <c r="AO66" s="137"/>
      <c r="AP66" s="57">
        <f t="shared" si="10"/>
        <v>13419.582938011587</v>
      </c>
      <c r="AQ66" s="57"/>
      <c r="AR66" s="57"/>
    </row>
    <row r="67" spans="1:44" ht="15.75" customHeight="1">
      <c r="A67" s="134" t="s">
        <v>744</v>
      </c>
      <c r="B67" s="135">
        <v>45416</v>
      </c>
      <c r="C67" s="135">
        <v>45414</v>
      </c>
      <c r="D67" s="6" t="s">
        <v>549</v>
      </c>
      <c r="E67" s="176"/>
      <c r="F67" s="6" t="s">
        <v>183</v>
      </c>
      <c r="G67" s="90">
        <v>80</v>
      </c>
      <c r="H67" s="90"/>
      <c r="I67" s="82">
        <v>6.57</v>
      </c>
      <c r="J67" s="137">
        <v>1</v>
      </c>
      <c r="K67" s="82">
        <f t="shared" si="0"/>
        <v>6.5043000000000006</v>
      </c>
      <c r="L67" s="240">
        <v>0.86</v>
      </c>
      <c r="M67" s="139">
        <v>0.81937499999999996</v>
      </c>
      <c r="N67" s="170">
        <v>0.85599999999999998</v>
      </c>
      <c r="O67" s="139">
        <f t="shared" si="15"/>
        <v>0.83799999999999997</v>
      </c>
      <c r="P67" s="283">
        <v>89.5</v>
      </c>
      <c r="Q67" s="142">
        <v>87.55</v>
      </c>
      <c r="R67" s="57">
        <v>2303.8000000000002</v>
      </c>
      <c r="S67" s="80">
        <v>160</v>
      </c>
      <c r="U67" s="142">
        <v>120</v>
      </c>
      <c r="V67" s="142">
        <v>1.1023000000000001</v>
      </c>
      <c r="W67" s="137">
        <v>7.8</v>
      </c>
      <c r="X67" s="137">
        <v>12.5</v>
      </c>
      <c r="Y67" s="6">
        <v>30</v>
      </c>
      <c r="Z67" s="143">
        <f>IF(D67="UNTUCA",IF(+((W67-3)*1.5+(X67-3)*3.1)&gt;0,+((W67-3)*1.5+(X67-3)*3.1),0),IF(+((W67-3)*1.5+(X67-3)*3.1)&gt;0,+((W67-3)*1.5+(X67-3)*3.1),0))-6</f>
        <v>30.65</v>
      </c>
      <c r="AA67" s="144">
        <f t="shared" si="1"/>
        <v>60.65</v>
      </c>
      <c r="AB67" s="145">
        <f t="shared" si="2"/>
        <v>1562.2036320274001</v>
      </c>
      <c r="AC67" s="145">
        <f>+(S67-T67)*V67-'data 1'!$F$4</f>
        <v>96.367999999999995</v>
      </c>
      <c r="AD67" s="145">
        <f t="shared" si="3"/>
        <v>-40.36878994980006</v>
      </c>
      <c r="AE67" s="145">
        <f>+(Y67*V67-'data 1'!$I$21)+V67*(Z67-IF(D67="UNTUCA",IF(+((W67-3)*2.5+(X67-3)*3.1)&gt;0,+((W67-3)*1.5+(X67-3)*3.1),0),IF(+((W67-3)*1.5+(X67-3)*3.1)&gt;0,+((W67-3)*1.5+(X67-3)*3.1),0)))</f>
        <v>0.87411891891892157</v>
      </c>
      <c r="AF67" s="145">
        <f t="shared" si="4"/>
        <v>46.365131975140045</v>
      </c>
      <c r="AG67" s="145">
        <f t="shared" si="5"/>
        <v>103.2384609442589</v>
      </c>
      <c r="AH67" s="145">
        <f t="shared" si="6"/>
        <v>167.90523429722754</v>
      </c>
      <c r="AI67" s="137">
        <f t="shared" si="7"/>
        <v>147.48295712029986</v>
      </c>
      <c r="AJ67" s="144">
        <f t="shared" si="8"/>
        <v>167.2540671447062</v>
      </c>
      <c r="AK67" s="88">
        <f t="shared" si="9"/>
        <v>0.65116715252133872</v>
      </c>
      <c r="AM67" s="57"/>
      <c r="AO67" s="137"/>
      <c r="AP67" s="57">
        <f t="shared" si="10"/>
        <v>10161.041083795819</v>
      </c>
      <c r="AQ67" s="57"/>
      <c r="AR67" s="57"/>
    </row>
    <row r="68" spans="1:44" ht="15.75" customHeight="1">
      <c r="A68" s="134" t="s">
        <v>745</v>
      </c>
      <c r="B68" s="135">
        <v>45416</v>
      </c>
      <c r="C68" s="135">
        <v>45414</v>
      </c>
      <c r="D68" s="6" t="s">
        <v>549</v>
      </c>
      <c r="E68" s="176"/>
      <c r="F68" s="6" t="s">
        <v>183</v>
      </c>
      <c r="G68" s="90">
        <v>75</v>
      </c>
      <c r="H68" s="90"/>
      <c r="I68" s="82">
        <v>5.87</v>
      </c>
      <c r="J68" s="137">
        <v>30.25</v>
      </c>
      <c r="K68" s="82">
        <f t="shared" si="0"/>
        <v>4.0943250000000004</v>
      </c>
      <c r="L68" s="240">
        <v>1.504</v>
      </c>
      <c r="M68" s="139">
        <v>1.4259499999999998</v>
      </c>
      <c r="N68" s="170">
        <v>1.54</v>
      </c>
      <c r="O68" s="139">
        <f t="shared" si="15"/>
        <v>1.4830000000000001</v>
      </c>
      <c r="P68" s="283">
        <v>89.5</v>
      </c>
      <c r="Q68" s="142">
        <v>80.61</v>
      </c>
      <c r="R68" s="57">
        <v>2303.8000000000002</v>
      </c>
      <c r="S68" s="80">
        <v>220</v>
      </c>
      <c r="U68" s="142">
        <v>120</v>
      </c>
      <c r="V68" s="142">
        <v>1.1023000000000001</v>
      </c>
      <c r="W68" s="137">
        <v>7.9</v>
      </c>
      <c r="X68" s="137">
        <v>13.2</v>
      </c>
      <c r="Y68" s="6">
        <v>30</v>
      </c>
      <c r="Z68" s="143">
        <f>IF(D68="UNTUCA",IF(+((W68-3)*1.5+(X68-3)*3.1)&gt;0,+((W68-3)*1.5+(X68-3)*3.1),0),IF(+((W68-3)*1.5+(X68-3)*3.1)&gt;0,+((W68-3)*1.5+(X68-3)*3.1),0))-6</f>
        <v>32.97</v>
      </c>
      <c r="AA68" s="144">
        <f t="shared" si="1"/>
        <v>62.97</v>
      </c>
      <c r="AB68" s="145">
        <f t="shared" si="2"/>
        <v>2883.1262577609004</v>
      </c>
      <c r="AC68" s="145">
        <f>+(S68-T68)*V68-'data 1'!$F$4</f>
        <v>162.506</v>
      </c>
      <c r="AD68" s="145">
        <f t="shared" si="3"/>
        <v>-321.85648667334408</v>
      </c>
      <c r="AE68" s="145">
        <f>+(Y68*V68-'data 1'!$I$21)+V68*(Z68-IF(D68="UNTUCA",IF(+((W68-3)*2.5+(X68-3)*3.1)&gt;0,+((W68-3)*1.5+(X68-3)*3.1),0),IF(+((W68-3)*1.5+(X68-3)*3.1)&gt;0,+((W68-3)*1.5+(X68-3)*3.1),0)))</f>
        <v>0.87411891891892157</v>
      </c>
      <c r="AF68" s="145">
        <f t="shared" si="4"/>
        <v>40.749368702993827</v>
      </c>
      <c r="AG68" s="145">
        <f t="shared" si="5"/>
        <v>-117.72699905143133</v>
      </c>
      <c r="AH68" s="145">
        <f t="shared" si="6"/>
        <v>170.18768856573593</v>
      </c>
      <c r="AI68" s="137">
        <f t="shared" si="7"/>
        <v>237.4783335090238</v>
      </c>
      <c r="AJ68" s="144">
        <f t="shared" si="8"/>
        <v>186.31832395831913</v>
      </c>
      <c r="AK68" s="88">
        <f t="shared" si="9"/>
        <v>-16.130635392583201</v>
      </c>
      <c r="AM68" s="57"/>
      <c r="AO68" s="137"/>
      <c r="AP68" s="57">
        <f t="shared" si="10"/>
        <v>11804.4559153069</v>
      </c>
      <c r="AQ68" s="57"/>
      <c r="AR68" s="57"/>
    </row>
    <row r="69" spans="1:44" ht="15.75" customHeight="1">
      <c r="A69" s="134" t="s">
        <v>746</v>
      </c>
      <c r="B69" s="135">
        <v>45416</v>
      </c>
      <c r="C69" s="135">
        <v>45414</v>
      </c>
      <c r="D69" s="6" t="s">
        <v>549</v>
      </c>
      <c r="E69" s="176"/>
      <c r="F69" s="6" t="s">
        <v>183</v>
      </c>
      <c r="G69" s="90">
        <v>101</v>
      </c>
      <c r="H69" s="90"/>
      <c r="I69" s="82">
        <v>8.8000000000000007</v>
      </c>
      <c r="J69" s="137">
        <v>1</v>
      </c>
      <c r="K69" s="82">
        <f t="shared" si="0"/>
        <v>8.7120000000000015</v>
      </c>
      <c r="L69" s="240">
        <v>1.157</v>
      </c>
      <c r="M69" s="139">
        <v>1.0967750000000001</v>
      </c>
      <c r="N69" s="247">
        <v>1.0967750000000001</v>
      </c>
      <c r="O69" s="139">
        <f t="shared" si="15"/>
        <v>1.097</v>
      </c>
      <c r="P69" s="283">
        <v>89.5</v>
      </c>
      <c r="Q69" s="142">
        <v>88.55</v>
      </c>
      <c r="R69" s="57">
        <v>2303.8000000000002</v>
      </c>
      <c r="S69" s="80">
        <v>190</v>
      </c>
      <c r="U69" s="142">
        <v>120</v>
      </c>
      <c r="V69" s="142">
        <v>1.1023000000000001</v>
      </c>
      <c r="W69" s="137">
        <v>7.8</v>
      </c>
      <c r="X69" s="137">
        <v>12.4</v>
      </c>
      <c r="Y69" s="6">
        <v>30</v>
      </c>
      <c r="Z69" s="143">
        <f>IF(D69="UNTUCA",IF(+((W69-3)*1.5+(X69-3)*3.1)&gt;0,+((W69-3)*1.5+(X69-3)*3.1),0),IF(+((W69-3)*1.5+(X69-3)*3.1)&gt;0,+((W69-3)*1.5+(X69-3)*3.1),0))-6</f>
        <v>30.340000000000003</v>
      </c>
      <c r="AA69" s="144">
        <f t="shared" si="1"/>
        <v>60.34</v>
      </c>
      <c r="AB69" s="145">
        <f t="shared" si="2"/>
        <v>2087.4779761731006</v>
      </c>
      <c r="AC69" s="145">
        <f>+(S69-T69)*V69-'data 1'!$F$4</f>
        <v>129.43700000000001</v>
      </c>
      <c r="AD69" s="145">
        <f t="shared" si="3"/>
        <v>-26.458768916710088</v>
      </c>
      <c r="AE69" s="145">
        <f>+(Y69*V69-'data 1'!$I$21)+V69*(Z69-IF(D69="UNTUCA",IF(+((W69-3)*2.5+(X69-3)*3.1)&gt;0,+((W69-3)*1.5+(X69-3)*3.1),0),IF(+((W69-3)*1.5+(X69-3)*3.1)&gt;0,+((W69-3)*1.5+(X69-3)*3.1),0)))</f>
        <v>0.87411891891892157</v>
      </c>
      <c r="AF69" s="145">
        <f t="shared" si="4"/>
        <v>127.89468157620014</v>
      </c>
      <c r="AG69" s="145">
        <f t="shared" si="5"/>
        <v>231.74703157840901</v>
      </c>
      <c r="AH69" s="145">
        <f t="shared" si="6"/>
        <v>306.01933037461055</v>
      </c>
      <c r="AI69" s="137">
        <f t="shared" si="7"/>
        <v>200.68234154468482</v>
      </c>
      <c r="AJ69" s="144">
        <f t="shared" si="8"/>
        <v>293.26254483352329</v>
      </c>
      <c r="AK69" s="88">
        <f t="shared" si="9"/>
        <v>12.756785541087254</v>
      </c>
      <c r="AM69" s="57"/>
      <c r="AO69" s="137"/>
      <c r="AP69" s="57">
        <f t="shared" si="10"/>
        <v>18186.108128420055</v>
      </c>
      <c r="AQ69" s="57"/>
      <c r="AR69" s="57"/>
    </row>
    <row r="70" spans="1:44" ht="15.75" customHeight="1">
      <c r="C70" s="135"/>
      <c r="E70" s="176"/>
      <c r="G70" s="90"/>
      <c r="H70" s="90"/>
      <c r="I70" s="82"/>
      <c r="J70" s="137"/>
      <c r="K70" s="82"/>
      <c r="L70" s="240"/>
      <c r="M70" s="80"/>
      <c r="N70" s="271"/>
      <c r="O70" s="139"/>
      <c r="Q70" s="142"/>
      <c r="R70" s="57"/>
      <c r="S70" s="80"/>
      <c r="U70" s="142"/>
      <c r="V70" s="142"/>
      <c r="Z70" s="143"/>
      <c r="AA70" s="144"/>
      <c r="AB70" s="145"/>
      <c r="AC70" s="145"/>
      <c r="AD70" s="145"/>
      <c r="AE70" s="145"/>
      <c r="AF70" s="145"/>
      <c r="AG70" s="145"/>
      <c r="AH70" s="145"/>
      <c r="AK70" s="88"/>
      <c r="AP70" s="57">
        <f>SUM(AP4:AP69)</f>
        <v>412485.59313852468</v>
      </c>
      <c r="AQ70" s="57">
        <f>AP70*1.18</f>
        <v>486732.9999034591</v>
      </c>
    </row>
    <row r="71" spans="1:44" ht="15.75" customHeight="1">
      <c r="C71" s="135"/>
      <c r="E71" s="176"/>
      <c r="G71" s="90"/>
      <c r="H71" s="90"/>
      <c r="I71" s="82"/>
      <c r="J71" s="137"/>
      <c r="K71" s="82"/>
      <c r="L71" s="240"/>
      <c r="M71" s="80"/>
      <c r="N71" s="271"/>
      <c r="O71" s="139"/>
      <c r="Q71" s="142"/>
      <c r="R71" s="57"/>
      <c r="S71" s="80"/>
      <c r="U71" s="142"/>
      <c r="V71" s="142"/>
      <c r="Z71" s="143"/>
      <c r="AA71" s="144"/>
      <c r="AB71" s="145"/>
      <c r="AC71" s="145"/>
      <c r="AD71" s="145"/>
      <c r="AE71" s="145"/>
      <c r="AF71" s="145"/>
      <c r="AG71" s="145"/>
      <c r="AH71" s="145"/>
      <c r="AK71" s="88"/>
      <c r="AP71" s="57">
        <f>503828</f>
        <v>503828</v>
      </c>
    </row>
    <row r="72" spans="1:44" ht="15.75" customHeight="1">
      <c r="C72" s="135"/>
      <c r="E72" s="176"/>
      <c r="G72" s="90"/>
      <c r="H72" s="90"/>
      <c r="I72" s="82"/>
      <c r="J72" s="137"/>
      <c r="K72" s="82"/>
      <c r="L72" s="240"/>
      <c r="M72" s="80"/>
      <c r="N72" s="271"/>
      <c r="O72" s="139"/>
      <c r="Q72" s="142"/>
      <c r="R72" s="57"/>
      <c r="S72" s="80"/>
      <c r="U72" s="142"/>
      <c r="V72" s="142"/>
      <c r="Z72" s="143"/>
      <c r="AA72" s="144"/>
      <c r="AB72" s="145"/>
      <c r="AC72" s="145"/>
      <c r="AD72" s="145"/>
      <c r="AE72" s="145"/>
      <c r="AF72" s="145"/>
      <c r="AG72" s="145"/>
      <c r="AH72" s="145"/>
      <c r="AK72" s="88"/>
      <c r="AP72" s="57">
        <f>+AP71-AP70</f>
        <v>91342.40686147532</v>
      </c>
    </row>
    <row r="73" spans="1:44" ht="15.75" customHeight="1">
      <c r="C73" s="135"/>
      <c r="E73" s="176"/>
      <c r="G73" s="90"/>
      <c r="H73" s="90"/>
      <c r="I73" s="82"/>
      <c r="J73" s="137"/>
      <c r="K73" s="82"/>
      <c r="L73" s="240"/>
      <c r="M73" s="80"/>
      <c r="N73" s="271"/>
      <c r="O73" s="139"/>
      <c r="Q73" s="142"/>
      <c r="R73" s="57"/>
      <c r="S73" s="80"/>
      <c r="U73" s="142"/>
      <c r="V73" s="142"/>
      <c r="Z73" s="143"/>
      <c r="AA73" s="144"/>
      <c r="AB73" s="145"/>
      <c r="AC73" s="145"/>
      <c r="AD73" s="145"/>
      <c r="AE73" s="145"/>
      <c r="AF73" s="145"/>
      <c r="AG73" s="145"/>
      <c r="AH73" s="145"/>
      <c r="AK73" s="88"/>
    </row>
    <row r="74" spans="1:44" ht="15.75" customHeight="1">
      <c r="C74" s="135"/>
      <c r="E74" s="176"/>
      <c r="G74" s="90"/>
      <c r="H74" s="90"/>
      <c r="I74" s="82"/>
      <c r="J74" s="137"/>
      <c r="K74" s="82"/>
      <c r="L74" s="240"/>
      <c r="M74" s="80"/>
      <c r="N74" s="271"/>
      <c r="O74" s="139"/>
      <c r="Q74" s="142"/>
      <c r="R74" s="57"/>
      <c r="S74" s="80"/>
      <c r="U74" s="142"/>
      <c r="V74" s="142"/>
      <c r="Z74" s="143"/>
      <c r="AA74" s="144"/>
      <c r="AB74" s="145"/>
      <c r="AC74" s="145"/>
      <c r="AD74" s="145"/>
      <c r="AE74" s="145"/>
      <c r="AF74" s="145"/>
      <c r="AG74" s="145"/>
      <c r="AH74" s="145"/>
      <c r="AK74" s="88"/>
      <c r="AP74" s="57">
        <f>+AP72/AP71</f>
        <v>0.18129680538095405</v>
      </c>
    </row>
    <row r="75" spans="1:44" ht="15.75" customHeight="1">
      <c r="C75" s="135"/>
      <c r="E75" s="176"/>
      <c r="G75" s="90"/>
      <c r="H75" s="90"/>
      <c r="I75" s="82"/>
      <c r="J75" s="137"/>
      <c r="K75" s="82"/>
      <c r="L75" s="240"/>
      <c r="M75" s="80"/>
      <c r="N75" s="271"/>
      <c r="O75" s="139"/>
      <c r="Q75" s="142"/>
      <c r="R75" s="57"/>
      <c r="S75" s="80"/>
      <c r="U75" s="142"/>
      <c r="V75" s="142"/>
      <c r="Z75" s="143"/>
      <c r="AA75" s="144"/>
      <c r="AB75" s="145"/>
      <c r="AC75" s="145"/>
      <c r="AD75" s="145"/>
      <c r="AE75" s="145"/>
      <c r="AF75" s="145"/>
      <c r="AG75" s="145"/>
      <c r="AH75" s="145"/>
      <c r="AK75" s="88"/>
    </row>
    <row r="76" spans="1:44" ht="15.75" customHeight="1">
      <c r="C76" s="135"/>
      <c r="E76" s="176"/>
      <c r="G76" s="90"/>
      <c r="H76" s="90"/>
      <c r="I76" s="82"/>
      <c r="J76" s="137"/>
      <c r="K76" s="82"/>
      <c r="L76" s="240"/>
      <c r="M76" s="80"/>
      <c r="N76" s="271"/>
      <c r="O76" s="139"/>
      <c r="Q76" s="142"/>
      <c r="R76" s="57"/>
      <c r="S76" s="80"/>
      <c r="U76" s="142"/>
      <c r="V76" s="142"/>
      <c r="Z76" s="143"/>
      <c r="AA76" s="144"/>
      <c r="AB76" s="145"/>
      <c r="AC76" s="145"/>
      <c r="AD76" s="145"/>
      <c r="AE76" s="145"/>
      <c r="AF76" s="145"/>
      <c r="AG76" s="145"/>
      <c r="AH76" s="145"/>
      <c r="AK76" s="88"/>
    </row>
    <row r="77" spans="1:44" ht="15.75" customHeight="1">
      <c r="C77" s="135"/>
      <c r="E77" s="176"/>
      <c r="G77" s="90"/>
      <c r="H77" s="90"/>
      <c r="I77" s="82"/>
      <c r="J77" s="137"/>
      <c r="K77" s="82"/>
      <c r="L77" s="240"/>
      <c r="M77" s="80"/>
      <c r="N77" s="271"/>
      <c r="O77" s="139"/>
      <c r="Q77" s="142"/>
      <c r="R77" s="57"/>
      <c r="S77" s="80"/>
      <c r="U77" s="142"/>
      <c r="V77" s="142"/>
      <c r="Z77" s="143"/>
      <c r="AA77" s="144"/>
      <c r="AB77" s="145"/>
      <c r="AC77" s="145"/>
      <c r="AD77" s="145"/>
      <c r="AE77" s="145"/>
      <c r="AF77" s="145"/>
      <c r="AG77" s="145"/>
      <c r="AH77" s="145"/>
      <c r="AK77" s="88"/>
    </row>
    <row r="78" spans="1:44" ht="15.75" customHeight="1">
      <c r="C78" s="135"/>
      <c r="E78" s="176"/>
      <c r="G78" s="90"/>
      <c r="H78" s="90"/>
      <c r="I78" s="82"/>
      <c r="J78" s="137"/>
      <c r="K78" s="82"/>
      <c r="L78" s="240"/>
      <c r="M78" s="80"/>
      <c r="N78" s="271"/>
      <c r="O78" s="139"/>
      <c r="Q78" s="142"/>
      <c r="R78" s="57"/>
      <c r="S78" s="80"/>
      <c r="U78" s="142"/>
      <c r="V78" s="142"/>
      <c r="Z78" s="143"/>
      <c r="AA78" s="144"/>
      <c r="AB78" s="145"/>
      <c r="AC78" s="145"/>
      <c r="AD78" s="145"/>
      <c r="AE78" s="145"/>
      <c r="AF78" s="145"/>
      <c r="AG78" s="145"/>
      <c r="AH78" s="145"/>
      <c r="AK78" s="88"/>
    </row>
    <row r="79" spans="1:44" ht="15.75" customHeight="1">
      <c r="C79" s="135"/>
      <c r="E79" s="176"/>
      <c r="G79" s="90"/>
      <c r="H79" s="90"/>
      <c r="I79" s="82"/>
      <c r="J79" s="137"/>
      <c r="K79" s="82"/>
      <c r="L79" s="240"/>
      <c r="M79" s="80"/>
      <c r="N79" s="271"/>
      <c r="O79" s="139"/>
      <c r="Q79" s="142"/>
      <c r="R79" s="57"/>
      <c r="S79" s="80"/>
      <c r="U79" s="142"/>
      <c r="V79" s="142"/>
      <c r="Z79" s="143"/>
      <c r="AA79" s="144"/>
      <c r="AB79" s="145"/>
      <c r="AC79" s="145"/>
      <c r="AD79" s="145"/>
      <c r="AE79" s="145"/>
      <c r="AF79" s="145"/>
      <c r="AG79" s="145"/>
      <c r="AH79" s="145"/>
      <c r="AK79" s="88"/>
    </row>
    <row r="80" spans="1:44" ht="15.75" customHeight="1">
      <c r="C80" s="135"/>
      <c r="E80" s="176"/>
      <c r="G80" s="90"/>
      <c r="H80" s="90"/>
      <c r="I80" s="82"/>
      <c r="J80" s="137"/>
      <c r="K80" s="82"/>
      <c r="L80" s="240"/>
      <c r="M80" s="80"/>
      <c r="N80" s="271"/>
      <c r="O80" s="139"/>
      <c r="Q80" s="142"/>
      <c r="R80" s="57"/>
      <c r="S80" s="80"/>
      <c r="U80" s="142"/>
      <c r="V80" s="142"/>
      <c r="Z80" s="143"/>
      <c r="AA80" s="144"/>
      <c r="AB80" s="145"/>
      <c r="AC80" s="145"/>
      <c r="AD80" s="145"/>
      <c r="AE80" s="145"/>
      <c r="AF80" s="145"/>
      <c r="AG80" s="145"/>
      <c r="AH80" s="145"/>
      <c r="AK80" s="88"/>
    </row>
    <row r="81" spans="3:37" ht="15.75" customHeight="1">
      <c r="C81" s="135"/>
      <c r="E81" s="176"/>
      <c r="G81" s="90"/>
      <c r="H81" s="90"/>
      <c r="I81" s="82"/>
      <c r="J81" s="137"/>
      <c r="K81" s="82"/>
      <c r="L81" s="240"/>
      <c r="M81" s="80"/>
      <c r="N81" s="271"/>
      <c r="O81" s="139"/>
      <c r="Q81" s="142"/>
      <c r="R81" s="57"/>
      <c r="S81" s="80"/>
      <c r="U81" s="142"/>
      <c r="V81" s="142"/>
      <c r="Z81" s="143"/>
      <c r="AA81" s="144"/>
      <c r="AB81" s="145"/>
      <c r="AC81" s="145"/>
      <c r="AD81" s="145"/>
      <c r="AE81" s="145"/>
      <c r="AF81" s="145"/>
      <c r="AG81" s="145"/>
      <c r="AH81" s="145"/>
      <c r="AK81" s="88"/>
    </row>
    <row r="82" spans="3:37" ht="15.75" customHeight="1">
      <c r="C82" s="135"/>
      <c r="E82" s="176"/>
      <c r="G82" s="90"/>
      <c r="H82" s="90"/>
      <c r="I82" s="82"/>
      <c r="J82" s="137"/>
      <c r="K82" s="82"/>
      <c r="L82" s="240"/>
      <c r="M82" s="80"/>
      <c r="N82" s="271"/>
      <c r="O82" s="139"/>
      <c r="Q82" s="142"/>
      <c r="R82" s="57"/>
      <c r="S82" s="80"/>
      <c r="U82" s="142"/>
      <c r="V82" s="142"/>
      <c r="Z82" s="143"/>
      <c r="AA82" s="144"/>
      <c r="AB82" s="145"/>
      <c r="AC82" s="145"/>
      <c r="AD82" s="145"/>
      <c r="AE82" s="145"/>
      <c r="AF82" s="145"/>
      <c r="AG82" s="145"/>
      <c r="AH82" s="145"/>
      <c r="AK82" s="88"/>
    </row>
    <row r="83" spans="3:37" ht="15.75" customHeight="1">
      <c r="C83" s="135"/>
      <c r="E83" s="176"/>
      <c r="G83" s="90"/>
      <c r="H83" s="90"/>
      <c r="I83" s="82"/>
      <c r="J83" s="137"/>
      <c r="K83" s="82"/>
      <c r="L83" s="240"/>
      <c r="M83" s="80"/>
      <c r="N83" s="271"/>
      <c r="O83" s="139"/>
      <c r="Q83" s="142"/>
      <c r="R83" s="57"/>
      <c r="S83" s="80"/>
      <c r="U83" s="142"/>
      <c r="V83" s="142"/>
      <c r="Z83" s="143"/>
      <c r="AA83" s="144"/>
      <c r="AB83" s="145"/>
      <c r="AC83" s="145"/>
      <c r="AD83" s="145"/>
      <c r="AE83" s="145"/>
      <c r="AF83" s="145"/>
      <c r="AG83" s="145"/>
      <c r="AH83" s="145"/>
      <c r="AK83" s="88"/>
    </row>
    <row r="84" spans="3:37" ht="15.75" customHeight="1">
      <c r="C84" s="135"/>
      <c r="E84" s="176"/>
      <c r="G84" s="90"/>
      <c r="H84" s="90"/>
      <c r="I84" s="82"/>
      <c r="J84" s="137"/>
      <c r="K84" s="82"/>
      <c r="L84" s="240"/>
      <c r="M84" s="80"/>
      <c r="N84" s="271"/>
      <c r="O84" s="139"/>
      <c r="Q84" s="142"/>
      <c r="R84" s="57"/>
      <c r="S84" s="80"/>
      <c r="U84" s="142"/>
      <c r="V84" s="142"/>
      <c r="Z84" s="143"/>
      <c r="AA84" s="144"/>
      <c r="AB84" s="145"/>
      <c r="AC84" s="145"/>
      <c r="AD84" s="145"/>
      <c r="AE84" s="145"/>
      <c r="AF84" s="145"/>
      <c r="AG84" s="145"/>
      <c r="AH84" s="145"/>
      <c r="AK84" s="88"/>
    </row>
    <row r="85" spans="3:37" ht="15.75" customHeight="1">
      <c r="C85" s="135"/>
      <c r="E85" s="176"/>
      <c r="G85" s="90"/>
      <c r="H85" s="90"/>
      <c r="I85" s="82"/>
      <c r="J85" s="137"/>
      <c r="K85" s="82"/>
      <c r="L85" s="240"/>
      <c r="M85" s="80"/>
      <c r="N85" s="271"/>
      <c r="O85" s="139"/>
      <c r="Q85" s="142"/>
      <c r="R85" s="57"/>
      <c r="S85" s="80"/>
      <c r="U85" s="142"/>
      <c r="V85" s="142"/>
      <c r="Z85" s="143"/>
      <c r="AA85" s="144"/>
      <c r="AB85" s="145"/>
      <c r="AC85" s="145"/>
      <c r="AD85" s="145"/>
      <c r="AE85" s="145"/>
      <c r="AF85" s="145"/>
      <c r="AG85" s="145"/>
      <c r="AH85" s="145"/>
      <c r="AK85" s="88"/>
    </row>
    <row r="86" spans="3:37" ht="15.75" customHeight="1">
      <c r="C86" s="135"/>
      <c r="E86" s="176"/>
      <c r="G86" s="90"/>
      <c r="H86" s="90"/>
      <c r="I86" s="82"/>
      <c r="J86" s="137"/>
      <c r="K86" s="82"/>
      <c r="L86" s="240"/>
      <c r="M86" s="80"/>
      <c r="N86" s="271"/>
      <c r="O86" s="139"/>
      <c r="Q86" s="142"/>
      <c r="R86" s="57"/>
      <c r="S86" s="80"/>
      <c r="U86" s="142"/>
      <c r="V86" s="142"/>
      <c r="Z86" s="143"/>
      <c r="AA86" s="144"/>
      <c r="AB86" s="145"/>
      <c r="AC86" s="145"/>
      <c r="AD86" s="145"/>
      <c r="AE86" s="145"/>
      <c r="AF86" s="145"/>
      <c r="AG86" s="145"/>
      <c r="AH86" s="145"/>
      <c r="AK86" s="88"/>
    </row>
    <row r="87" spans="3:37" ht="15.75" customHeight="1">
      <c r="C87" s="135"/>
      <c r="E87" s="176"/>
      <c r="G87" s="90"/>
      <c r="H87" s="90"/>
      <c r="I87" s="82"/>
      <c r="J87" s="137"/>
      <c r="K87" s="82"/>
      <c r="L87" s="240"/>
      <c r="M87" s="80"/>
      <c r="N87" s="271"/>
      <c r="O87" s="139"/>
      <c r="Q87" s="142"/>
      <c r="R87" s="57"/>
      <c r="S87" s="80"/>
      <c r="U87" s="142"/>
      <c r="V87" s="142"/>
      <c r="Z87" s="143"/>
      <c r="AA87" s="144"/>
      <c r="AB87" s="145"/>
      <c r="AC87" s="145"/>
      <c r="AD87" s="145"/>
      <c r="AE87" s="145"/>
      <c r="AF87" s="145"/>
      <c r="AG87" s="145"/>
      <c r="AH87" s="145"/>
      <c r="AK87" s="88"/>
    </row>
    <row r="88" spans="3:37" ht="15.75" customHeight="1">
      <c r="C88" s="135"/>
      <c r="E88" s="176"/>
      <c r="G88" s="90"/>
      <c r="H88" s="90"/>
      <c r="I88" s="82"/>
      <c r="J88" s="137"/>
      <c r="K88" s="82"/>
      <c r="L88" s="240"/>
      <c r="M88" s="80"/>
      <c r="N88" s="271"/>
      <c r="O88" s="139"/>
      <c r="Q88" s="142"/>
      <c r="R88" s="57"/>
      <c r="S88" s="80"/>
      <c r="U88" s="142"/>
      <c r="V88" s="142"/>
      <c r="Z88" s="143"/>
      <c r="AA88" s="144"/>
      <c r="AB88" s="145"/>
      <c r="AC88" s="145"/>
      <c r="AD88" s="145"/>
      <c r="AE88" s="145"/>
      <c r="AF88" s="145"/>
      <c r="AG88" s="145"/>
      <c r="AH88" s="145"/>
      <c r="AK88" s="88"/>
    </row>
    <row r="89" spans="3:37" ht="15.75" customHeight="1">
      <c r="C89" s="135"/>
      <c r="E89" s="176"/>
      <c r="G89" s="90"/>
      <c r="H89" s="90"/>
      <c r="I89" s="82"/>
      <c r="J89" s="137"/>
      <c r="K89" s="82"/>
      <c r="L89" s="240"/>
      <c r="M89" s="80"/>
      <c r="N89" s="271"/>
      <c r="O89" s="139"/>
      <c r="Q89" s="142"/>
      <c r="R89" s="57"/>
      <c r="S89" s="80"/>
      <c r="U89" s="142"/>
      <c r="V89" s="142"/>
      <c r="Z89" s="143"/>
      <c r="AA89" s="144"/>
      <c r="AB89" s="145"/>
      <c r="AC89" s="145"/>
      <c r="AD89" s="145"/>
      <c r="AE89" s="145"/>
      <c r="AF89" s="145"/>
      <c r="AG89" s="145"/>
      <c r="AH89" s="145"/>
      <c r="AK89" s="88"/>
    </row>
    <row r="90" spans="3:37" ht="15.75" customHeight="1">
      <c r="C90" s="135"/>
      <c r="E90" s="176"/>
      <c r="G90" s="90"/>
      <c r="H90" s="90"/>
      <c r="I90" s="82"/>
      <c r="J90" s="137"/>
      <c r="K90" s="82"/>
      <c r="L90" s="240"/>
      <c r="M90" s="80"/>
      <c r="N90" s="271"/>
      <c r="O90" s="139"/>
      <c r="Q90" s="142"/>
      <c r="R90" s="57"/>
      <c r="S90" s="80"/>
      <c r="U90" s="142"/>
      <c r="V90" s="142"/>
      <c r="Z90" s="143"/>
      <c r="AA90" s="144"/>
      <c r="AB90" s="145"/>
      <c r="AC90" s="145"/>
      <c r="AD90" s="145"/>
      <c r="AE90" s="145"/>
      <c r="AF90" s="145"/>
      <c r="AG90" s="145"/>
      <c r="AH90" s="145"/>
      <c r="AK90" s="88"/>
    </row>
    <row r="91" spans="3:37" ht="15.75" customHeight="1">
      <c r="C91" s="135"/>
      <c r="E91" s="176"/>
      <c r="G91" s="90"/>
      <c r="H91" s="90"/>
      <c r="I91" s="82"/>
      <c r="J91" s="137"/>
      <c r="K91" s="82"/>
      <c r="L91" s="240"/>
      <c r="M91" s="80"/>
      <c r="N91" s="271"/>
      <c r="O91" s="139"/>
      <c r="Q91" s="142"/>
      <c r="R91" s="57"/>
      <c r="S91" s="80"/>
      <c r="U91" s="142"/>
      <c r="V91" s="142"/>
      <c r="Z91" s="143"/>
      <c r="AA91" s="144"/>
      <c r="AB91" s="145"/>
      <c r="AC91" s="145"/>
      <c r="AD91" s="145"/>
      <c r="AE91" s="145"/>
      <c r="AF91" s="145"/>
      <c r="AG91" s="145"/>
      <c r="AH91" s="145"/>
      <c r="AK91" s="88"/>
    </row>
    <row r="92" spans="3:37" ht="15.75" customHeight="1">
      <c r="C92" s="135"/>
      <c r="E92" s="176"/>
      <c r="G92" s="90"/>
      <c r="H92" s="90"/>
      <c r="I92" s="82"/>
      <c r="J92" s="137"/>
      <c r="K92" s="82"/>
      <c r="L92" s="240"/>
      <c r="M92" s="80"/>
      <c r="N92" s="271"/>
      <c r="O92" s="139"/>
      <c r="Q92" s="142"/>
      <c r="R92" s="57"/>
      <c r="S92" s="80"/>
      <c r="U92" s="142"/>
      <c r="V92" s="142"/>
      <c r="Z92" s="143"/>
      <c r="AA92" s="144"/>
      <c r="AB92" s="145"/>
      <c r="AC92" s="145"/>
      <c r="AD92" s="145"/>
      <c r="AE92" s="145"/>
      <c r="AF92" s="145"/>
      <c r="AG92" s="145"/>
      <c r="AH92" s="145"/>
      <c r="AK92" s="88"/>
    </row>
    <row r="93" spans="3:37" ht="15.75" customHeight="1">
      <c r="C93" s="135"/>
      <c r="E93" s="176"/>
      <c r="G93" s="90"/>
      <c r="H93" s="90"/>
      <c r="I93" s="82"/>
      <c r="J93" s="137"/>
      <c r="K93" s="82"/>
      <c r="L93" s="240"/>
      <c r="M93" s="80"/>
      <c r="N93" s="271"/>
      <c r="O93" s="139"/>
      <c r="Q93" s="142"/>
      <c r="R93" s="57"/>
      <c r="S93" s="80"/>
      <c r="U93" s="142"/>
      <c r="V93" s="142"/>
      <c r="Z93" s="143"/>
      <c r="AA93" s="144"/>
      <c r="AB93" s="145"/>
      <c r="AC93" s="145"/>
      <c r="AD93" s="145"/>
      <c r="AE93" s="145"/>
      <c r="AF93" s="145"/>
      <c r="AG93" s="145"/>
      <c r="AH93" s="145"/>
      <c r="AK93" s="88"/>
    </row>
    <row r="94" spans="3:37" ht="15.75" customHeight="1">
      <c r="C94" s="135"/>
      <c r="E94" s="176"/>
      <c r="G94" s="90"/>
      <c r="H94" s="90"/>
      <c r="I94" s="82"/>
      <c r="J94" s="137"/>
      <c r="K94" s="82"/>
      <c r="L94" s="240"/>
      <c r="M94" s="80"/>
      <c r="N94" s="271"/>
      <c r="O94" s="139"/>
      <c r="Q94" s="142"/>
      <c r="R94" s="57"/>
      <c r="S94" s="80"/>
      <c r="U94" s="142"/>
      <c r="V94" s="142"/>
      <c r="Z94" s="143"/>
      <c r="AA94" s="144"/>
      <c r="AB94" s="145"/>
      <c r="AC94" s="145"/>
      <c r="AD94" s="145"/>
      <c r="AE94" s="145"/>
      <c r="AF94" s="145"/>
      <c r="AG94" s="145"/>
      <c r="AH94" s="145"/>
      <c r="AK94" s="88"/>
    </row>
    <row r="95" spans="3:37" ht="15.75" customHeight="1">
      <c r="C95" s="135"/>
      <c r="E95" s="176"/>
      <c r="G95" s="90"/>
      <c r="H95" s="90"/>
      <c r="I95" s="82"/>
      <c r="J95" s="137"/>
      <c r="K95" s="82"/>
      <c r="L95" s="240"/>
      <c r="M95" s="80"/>
      <c r="N95" s="271"/>
      <c r="O95" s="139"/>
      <c r="Q95" s="142"/>
      <c r="R95" s="57"/>
      <c r="S95" s="80"/>
      <c r="U95" s="142"/>
      <c r="V95" s="142"/>
      <c r="Z95" s="143"/>
      <c r="AA95" s="144"/>
      <c r="AB95" s="145"/>
      <c r="AC95" s="145"/>
      <c r="AD95" s="145"/>
      <c r="AE95" s="145"/>
      <c r="AF95" s="145"/>
      <c r="AG95" s="145"/>
      <c r="AH95" s="145"/>
      <c r="AK95" s="88"/>
    </row>
    <row r="96" spans="3:37" ht="15.75" customHeight="1">
      <c r="C96" s="135"/>
      <c r="E96" s="176"/>
      <c r="G96" s="90"/>
      <c r="H96" s="90"/>
      <c r="I96" s="82"/>
      <c r="J96" s="137"/>
      <c r="K96" s="82"/>
      <c r="L96" s="240"/>
      <c r="M96" s="80"/>
      <c r="N96" s="271"/>
      <c r="O96" s="139"/>
      <c r="Q96" s="142"/>
      <c r="R96" s="57"/>
      <c r="S96" s="80"/>
      <c r="U96" s="142"/>
      <c r="V96" s="142"/>
      <c r="Z96" s="143"/>
      <c r="AA96" s="144"/>
      <c r="AB96" s="145"/>
      <c r="AC96" s="145"/>
      <c r="AD96" s="145"/>
      <c r="AE96" s="145"/>
      <c r="AF96" s="145"/>
      <c r="AG96" s="145"/>
      <c r="AH96" s="145"/>
      <c r="AK96" s="88"/>
    </row>
    <row r="97" spans="3:37" ht="15.75" customHeight="1">
      <c r="C97" s="135"/>
      <c r="E97" s="176"/>
      <c r="G97" s="90"/>
      <c r="H97" s="90"/>
      <c r="I97" s="82"/>
      <c r="J97" s="137"/>
      <c r="K97" s="82"/>
      <c r="L97" s="240"/>
      <c r="M97" s="80"/>
      <c r="N97" s="271"/>
      <c r="O97" s="139"/>
      <c r="Q97" s="142"/>
      <c r="R97" s="57"/>
      <c r="S97" s="80"/>
      <c r="U97" s="142"/>
      <c r="V97" s="142"/>
      <c r="Z97" s="143"/>
      <c r="AA97" s="144"/>
      <c r="AB97" s="145"/>
      <c r="AC97" s="145"/>
      <c r="AD97" s="145"/>
      <c r="AE97" s="145"/>
      <c r="AF97" s="145"/>
      <c r="AG97" s="145"/>
      <c r="AH97" s="145"/>
      <c r="AK97" s="88"/>
    </row>
    <row r="98" spans="3:37" ht="15.75" customHeight="1">
      <c r="C98" s="135"/>
      <c r="E98" s="176"/>
      <c r="G98" s="90"/>
      <c r="H98" s="90"/>
      <c r="I98" s="82"/>
      <c r="J98" s="137"/>
      <c r="K98" s="82"/>
      <c r="L98" s="240"/>
      <c r="M98" s="80"/>
      <c r="N98" s="271"/>
      <c r="O98" s="139"/>
      <c r="Q98" s="142"/>
      <c r="R98" s="57"/>
      <c r="S98" s="80"/>
      <c r="U98" s="142"/>
      <c r="V98" s="142"/>
      <c r="Z98" s="143"/>
      <c r="AA98" s="144"/>
      <c r="AB98" s="145"/>
      <c r="AC98" s="145"/>
      <c r="AD98" s="145"/>
      <c r="AE98" s="145"/>
      <c r="AF98" s="145"/>
      <c r="AG98" s="145"/>
      <c r="AH98" s="145"/>
      <c r="AK98" s="88"/>
    </row>
    <row r="99" spans="3:37" ht="15.75" customHeight="1">
      <c r="C99" s="135"/>
      <c r="E99" s="176"/>
      <c r="G99" s="90"/>
      <c r="H99" s="90"/>
      <c r="I99" s="82"/>
      <c r="J99" s="137"/>
      <c r="K99" s="82"/>
      <c r="L99" s="240"/>
      <c r="M99" s="80"/>
      <c r="N99" s="271"/>
      <c r="O99" s="139"/>
      <c r="Q99" s="142"/>
      <c r="R99" s="57"/>
      <c r="S99" s="80"/>
      <c r="U99" s="142"/>
      <c r="V99" s="142"/>
      <c r="Z99" s="143"/>
      <c r="AA99" s="144"/>
      <c r="AB99" s="145"/>
      <c r="AC99" s="145"/>
      <c r="AD99" s="145"/>
      <c r="AE99" s="145"/>
      <c r="AF99" s="145"/>
      <c r="AG99" s="145"/>
      <c r="AH99" s="145"/>
      <c r="AK99" s="88"/>
    </row>
    <row r="100" spans="3:37" ht="15.75" customHeight="1">
      <c r="C100" s="135"/>
      <c r="E100" s="176"/>
      <c r="G100" s="90"/>
      <c r="H100" s="90"/>
      <c r="I100" s="82"/>
      <c r="J100" s="137"/>
      <c r="K100" s="82"/>
      <c r="L100" s="240"/>
      <c r="M100" s="80"/>
      <c r="N100" s="271"/>
      <c r="O100" s="139"/>
      <c r="Q100" s="142"/>
      <c r="R100" s="57"/>
      <c r="S100" s="80"/>
      <c r="U100" s="142"/>
      <c r="V100" s="142"/>
      <c r="Z100" s="143"/>
      <c r="AA100" s="144"/>
      <c r="AB100" s="145"/>
      <c r="AC100" s="145"/>
      <c r="AD100" s="145"/>
      <c r="AE100" s="145"/>
      <c r="AF100" s="145"/>
      <c r="AG100" s="145"/>
      <c r="AH100" s="145"/>
      <c r="AK100" s="88"/>
    </row>
    <row r="101" spans="3:37" ht="15.75" customHeight="1">
      <c r="C101" s="135"/>
      <c r="E101" s="176"/>
      <c r="G101" s="90"/>
      <c r="H101" s="90"/>
      <c r="I101" s="82"/>
      <c r="J101" s="137"/>
      <c r="K101" s="82"/>
      <c r="L101" s="240"/>
      <c r="M101" s="80"/>
      <c r="N101" s="271"/>
      <c r="O101" s="139"/>
      <c r="Q101" s="142"/>
      <c r="R101" s="57"/>
      <c r="S101" s="80"/>
      <c r="U101" s="142"/>
      <c r="V101" s="142"/>
      <c r="Z101" s="143"/>
      <c r="AA101" s="144"/>
      <c r="AB101" s="145"/>
      <c r="AC101" s="145"/>
      <c r="AD101" s="145"/>
      <c r="AE101" s="145"/>
      <c r="AF101" s="145"/>
      <c r="AG101" s="145"/>
      <c r="AH101" s="145"/>
      <c r="AK101" s="88"/>
    </row>
    <row r="102" spans="3:37" ht="15.75" customHeight="1">
      <c r="C102" s="135"/>
      <c r="E102" s="176"/>
      <c r="G102" s="90"/>
      <c r="H102" s="90"/>
      <c r="I102" s="82"/>
      <c r="J102" s="137"/>
      <c r="K102" s="82"/>
      <c r="L102" s="240"/>
      <c r="M102" s="80"/>
      <c r="N102" s="271"/>
      <c r="O102" s="139"/>
      <c r="Q102" s="142"/>
      <c r="R102" s="57"/>
      <c r="S102" s="80"/>
      <c r="U102" s="142"/>
      <c r="V102" s="142"/>
      <c r="Z102" s="143"/>
      <c r="AA102" s="144"/>
      <c r="AB102" s="145"/>
      <c r="AC102" s="145"/>
      <c r="AD102" s="145"/>
      <c r="AE102" s="145"/>
      <c r="AF102" s="145"/>
      <c r="AG102" s="145"/>
      <c r="AH102" s="145"/>
      <c r="AK102" s="88"/>
    </row>
    <row r="103" spans="3:37" ht="15.75" customHeight="1">
      <c r="C103" s="135"/>
      <c r="E103" s="176"/>
      <c r="G103" s="90"/>
      <c r="H103" s="90"/>
      <c r="I103" s="82"/>
      <c r="J103" s="137"/>
      <c r="K103" s="82"/>
      <c r="L103" s="240"/>
      <c r="M103" s="80"/>
      <c r="N103" s="271"/>
      <c r="O103" s="139"/>
      <c r="Q103" s="142"/>
      <c r="R103" s="57"/>
      <c r="S103" s="80"/>
      <c r="U103" s="142"/>
      <c r="V103" s="142"/>
      <c r="Z103" s="143"/>
      <c r="AA103" s="144"/>
      <c r="AB103" s="145"/>
      <c r="AC103" s="145"/>
      <c r="AD103" s="145"/>
      <c r="AE103" s="145"/>
      <c r="AF103" s="145"/>
      <c r="AG103" s="145"/>
      <c r="AH103" s="145"/>
      <c r="AK103" s="88"/>
    </row>
    <row r="104" spans="3:37" ht="15.75" customHeight="1">
      <c r="C104" s="135"/>
      <c r="E104" s="176"/>
      <c r="G104" s="90"/>
      <c r="H104" s="90"/>
      <c r="I104" s="82"/>
      <c r="J104" s="137"/>
      <c r="K104" s="82"/>
      <c r="L104" s="240"/>
      <c r="M104" s="80"/>
      <c r="N104" s="271"/>
      <c r="O104" s="139"/>
      <c r="Q104" s="142"/>
      <c r="R104" s="57"/>
      <c r="S104" s="80"/>
      <c r="U104" s="142"/>
      <c r="V104" s="142"/>
      <c r="Z104" s="143"/>
      <c r="AA104" s="144"/>
      <c r="AB104" s="145"/>
      <c r="AC104" s="145"/>
      <c r="AD104" s="145"/>
      <c r="AE104" s="145"/>
      <c r="AF104" s="145"/>
      <c r="AG104" s="145"/>
      <c r="AH104" s="145"/>
      <c r="AK104" s="88"/>
    </row>
    <row r="105" spans="3:37" ht="15.75" customHeight="1">
      <c r="C105" s="135"/>
      <c r="E105" s="176"/>
      <c r="G105" s="90"/>
      <c r="H105" s="90"/>
      <c r="I105" s="82"/>
      <c r="J105" s="137"/>
      <c r="K105" s="82"/>
      <c r="L105" s="240"/>
      <c r="M105" s="80"/>
      <c r="N105" s="271"/>
      <c r="O105" s="139"/>
      <c r="Q105" s="142"/>
      <c r="R105" s="57"/>
      <c r="S105" s="80"/>
      <c r="U105" s="142"/>
      <c r="V105" s="142"/>
      <c r="Z105" s="143"/>
      <c r="AA105" s="144"/>
      <c r="AB105" s="145"/>
      <c r="AC105" s="145"/>
      <c r="AD105" s="145"/>
      <c r="AE105" s="145"/>
      <c r="AF105" s="145"/>
      <c r="AG105" s="145"/>
      <c r="AH105" s="145"/>
      <c r="AK105" s="88"/>
    </row>
    <row r="106" spans="3:37" ht="15.75" customHeight="1">
      <c r="C106" s="135"/>
      <c r="E106" s="176"/>
      <c r="G106" s="90"/>
      <c r="H106" s="90"/>
      <c r="I106" s="82"/>
      <c r="J106" s="137"/>
      <c r="K106" s="82"/>
      <c r="L106" s="240"/>
      <c r="M106" s="80"/>
      <c r="N106" s="271"/>
      <c r="O106" s="139"/>
      <c r="Q106" s="142"/>
      <c r="R106" s="57"/>
      <c r="S106" s="80"/>
      <c r="U106" s="142"/>
      <c r="V106" s="142"/>
      <c r="Z106" s="143"/>
      <c r="AA106" s="144"/>
      <c r="AB106" s="145"/>
      <c r="AC106" s="145"/>
      <c r="AD106" s="145"/>
      <c r="AE106" s="145"/>
      <c r="AF106" s="145"/>
      <c r="AG106" s="145"/>
      <c r="AH106" s="145"/>
      <c r="AK106" s="88"/>
    </row>
    <row r="107" spans="3:37" ht="15.75" customHeight="1">
      <c r="C107" s="135"/>
      <c r="E107" s="176"/>
      <c r="G107" s="90"/>
      <c r="H107" s="90"/>
      <c r="I107" s="82"/>
      <c r="J107" s="137"/>
      <c r="K107" s="82"/>
      <c r="L107" s="240"/>
      <c r="M107" s="80"/>
      <c r="N107" s="271"/>
      <c r="O107" s="139"/>
      <c r="Q107" s="142"/>
      <c r="R107" s="57"/>
      <c r="S107" s="80"/>
      <c r="U107" s="142"/>
      <c r="V107" s="142"/>
      <c r="Z107" s="143"/>
      <c r="AA107" s="144"/>
      <c r="AB107" s="145"/>
      <c r="AC107" s="145"/>
      <c r="AD107" s="145"/>
      <c r="AE107" s="145"/>
      <c r="AF107" s="145"/>
      <c r="AG107" s="145"/>
      <c r="AH107" s="145"/>
      <c r="AK107" s="88"/>
    </row>
    <row r="108" spans="3:37" ht="15.75" customHeight="1">
      <c r="C108" s="135"/>
      <c r="E108" s="176"/>
      <c r="G108" s="90"/>
      <c r="H108" s="90"/>
      <c r="I108" s="82"/>
      <c r="J108" s="137"/>
      <c r="K108" s="82"/>
      <c r="L108" s="240"/>
      <c r="M108" s="80"/>
      <c r="N108" s="271"/>
      <c r="O108" s="139"/>
      <c r="Q108" s="142"/>
      <c r="R108" s="57"/>
      <c r="S108" s="80"/>
      <c r="U108" s="142"/>
      <c r="V108" s="142"/>
      <c r="Z108" s="143"/>
      <c r="AA108" s="144"/>
      <c r="AB108" s="145"/>
      <c r="AC108" s="145"/>
      <c r="AD108" s="145"/>
      <c r="AE108" s="145"/>
      <c r="AF108" s="145"/>
      <c r="AG108" s="145"/>
      <c r="AH108" s="145"/>
      <c r="AK108" s="88"/>
    </row>
    <row r="109" spans="3:37" ht="15.75" customHeight="1">
      <c r="C109" s="135"/>
      <c r="E109" s="176"/>
      <c r="G109" s="90"/>
      <c r="H109" s="90"/>
      <c r="I109" s="82"/>
      <c r="J109" s="137"/>
      <c r="K109" s="82"/>
      <c r="L109" s="240"/>
      <c r="M109" s="80"/>
      <c r="N109" s="271"/>
      <c r="O109" s="139"/>
      <c r="Q109" s="142"/>
      <c r="R109" s="57"/>
      <c r="S109" s="80"/>
      <c r="U109" s="142"/>
      <c r="V109" s="142"/>
      <c r="Z109" s="143"/>
      <c r="AA109" s="144"/>
      <c r="AB109" s="145"/>
      <c r="AC109" s="145"/>
      <c r="AD109" s="145"/>
      <c r="AE109" s="145"/>
      <c r="AF109" s="145"/>
      <c r="AG109" s="145"/>
      <c r="AH109" s="145"/>
      <c r="AK109" s="88"/>
    </row>
    <row r="110" spans="3:37" ht="15.75" customHeight="1">
      <c r="C110" s="135"/>
      <c r="E110" s="176"/>
      <c r="G110" s="90"/>
      <c r="H110" s="90"/>
      <c r="I110" s="82"/>
      <c r="J110" s="137"/>
      <c r="K110" s="82"/>
      <c r="L110" s="240"/>
      <c r="M110" s="80"/>
      <c r="N110" s="271"/>
      <c r="O110" s="139"/>
      <c r="Q110" s="142"/>
      <c r="R110" s="57"/>
      <c r="S110" s="80"/>
      <c r="U110" s="142"/>
      <c r="V110" s="142"/>
      <c r="Z110" s="143"/>
      <c r="AA110" s="144"/>
      <c r="AB110" s="145"/>
      <c r="AC110" s="145"/>
      <c r="AD110" s="145"/>
      <c r="AE110" s="145"/>
      <c r="AF110" s="145"/>
      <c r="AG110" s="145"/>
      <c r="AH110" s="145"/>
      <c r="AK110" s="88"/>
    </row>
    <row r="111" spans="3:37" ht="15.75" customHeight="1">
      <c r="C111" s="135"/>
      <c r="E111" s="176"/>
      <c r="G111" s="90"/>
      <c r="H111" s="90"/>
      <c r="I111" s="82"/>
      <c r="J111" s="137"/>
      <c r="K111" s="82"/>
      <c r="L111" s="240"/>
      <c r="M111" s="80"/>
      <c r="N111" s="271"/>
      <c r="O111" s="139"/>
      <c r="Q111" s="142"/>
      <c r="R111" s="57"/>
      <c r="S111" s="80"/>
      <c r="U111" s="142"/>
      <c r="V111" s="142"/>
      <c r="Z111" s="143"/>
      <c r="AA111" s="144"/>
      <c r="AB111" s="145"/>
      <c r="AC111" s="145"/>
      <c r="AD111" s="145"/>
      <c r="AE111" s="145"/>
      <c r="AF111" s="145"/>
      <c r="AG111" s="145"/>
      <c r="AH111" s="145"/>
      <c r="AK111" s="88"/>
    </row>
    <row r="112" spans="3:37" ht="15.75" customHeight="1">
      <c r="C112" s="135"/>
      <c r="E112" s="176"/>
      <c r="G112" s="90"/>
      <c r="H112" s="90"/>
      <c r="I112" s="82"/>
      <c r="J112" s="137"/>
      <c r="K112" s="82"/>
      <c r="L112" s="240"/>
      <c r="M112" s="80"/>
      <c r="N112" s="271"/>
      <c r="O112" s="139"/>
      <c r="Q112" s="142"/>
      <c r="R112" s="57"/>
      <c r="S112" s="80"/>
      <c r="U112" s="142"/>
      <c r="V112" s="142"/>
      <c r="Z112" s="143"/>
      <c r="AA112" s="144"/>
      <c r="AB112" s="145"/>
      <c r="AC112" s="145"/>
      <c r="AD112" s="145"/>
      <c r="AE112" s="145"/>
      <c r="AF112" s="145"/>
      <c r="AG112" s="145"/>
      <c r="AH112" s="145"/>
      <c r="AK112" s="88"/>
    </row>
    <row r="113" spans="3:37" ht="15.75" customHeight="1">
      <c r="C113" s="135"/>
      <c r="E113" s="176"/>
      <c r="G113" s="90"/>
      <c r="H113" s="90"/>
      <c r="I113" s="82"/>
      <c r="J113" s="137"/>
      <c r="K113" s="82"/>
      <c r="L113" s="240"/>
      <c r="M113" s="80"/>
      <c r="N113" s="271"/>
      <c r="O113" s="139"/>
      <c r="Q113" s="142"/>
      <c r="R113" s="57"/>
      <c r="S113" s="80"/>
      <c r="U113" s="142"/>
      <c r="V113" s="142"/>
      <c r="Z113" s="143"/>
      <c r="AA113" s="144"/>
      <c r="AB113" s="145"/>
      <c r="AC113" s="145"/>
      <c r="AD113" s="145"/>
      <c r="AE113" s="145"/>
      <c r="AF113" s="145"/>
      <c r="AG113" s="145"/>
      <c r="AH113" s="145"/>
      <c r="AK113" s="88"/>
    </row>
    <row r="114" spans="3:37" ht="15.75" customHeight="1">
      <c r="C114" s="135"/>
      <c r="E114" s="176"/>
      <c r="G114" s="90"/>
      <c r="H114" s="90"/>
      <c r="I114" s="82"/>
      <c r="J114" s="137"/>
      <c r="K114" s="82"/>
      <c r="L114" s="240"/>
      <c r="M114" s="80"/>
      <c r="N114" s="271"/>
      <c r="O114" s="139"/>
      <c r="Q114" s="142"/>
      <c r="R114" s="57"/>
      <c r="S114" s="80"/>
      <c r="U114" s="142"/>
      <c r="V114" s="142"/>
      <c r="Z114" s="143"/>
      <c r="AA114" s="144"/>
      <c r="AB114" s="145"/>
      <c r="AC114" s="145"/>
      <c r="AD114" s="145"/>
      <c r="AE114" s="145"/>
      <c r="AF114" s="145"/>
      <c r="AG114" s="145"/>
      <c r="AH114" s="145"/>
      <c r="AK114" s="88"/>
    </row>
    <row r="115" spans="3:37" ht="15.75" customHeight="1">
      <c r="C115" s="135"/>
      <c r="E115" s="176"/>
      <c r="G115" s="90"/>
      <c r="H115" s="90"/>
      <c r="I115" s="82"/>
      <c r="J115" s="137"/>
      <c r="K115" s="82"/>
      <c r="L115" s="240"/>
      <c r="M115" s="80"/>
      <c r="N115" s="271"/>
      <c r="O115" s="139"/>
      <c r="Q115" s="142"/>
      <c r="R115" s="57"/>
      <c r="S115" s="80"/>
      <c r="U115" s="142"/>
      <c r="V115" s="142"/>
      <c r="Z115" s="143"/>
      <c r="AA115" s="144"/>
      <c r="AB115" s="145"/>
      <c r="AC115" s="145"/>
      <c r="AD115" s="145"/>
      <c r="AE115" s="145"/>
      <c r="AF115" s="145"/>
      <c r="AG115" s="145"/>
      <c r="AH115" s="145"/>
      <c r="AK115" s="88"/>
    </row>
    <row r="116" spans="3:37" ht="15.75" customHeight="1">
      <c r="C116" s="135"/>
      <c r="E116" s="176"/>
      <c r="G116" s="90"/>
      <c r="H116" s="90"/>
      <c r="I116" s="82"/>
      <c r="J116" s="137"/>
      <c r="K116" s="82"/>
      <c r="L116" s="240"/>
      <c r="M116" s="80"/>
      <c r="N116" s="271"/>
      <c r="O116" s="139"/>
      <c r="Q116" s="142"/>
      <c r="R116" s="57"/>
      <c r="S116" s="80"/>
      <c r="U116" s="142"/>
      <c r="V116" s="142"/>
      <c r="Z116" s="143"/>
      <c r="AA116" s="144"/>
      <c r="AB116" s="145"/>
      <c r="AC116" s="145"/>
      <c r="AD116" s="145"/>
      <c r="AE116" s="145"/>
      <c r="AF116" s="145"/>
      <c r="AG116" s="145"/>
      <c r="AH116" s="145"/>
      <c r="AK116" s="88"/>
    </row>
    <row r="117" spans="3:37" ht="15.75" customHeight="1">
      <c r="C117" s="135"/>
      <c r="E117" s="176"/>
      <c r="G117" s="90"/>
      <c r="H117" s="90"/>
      <c r="I117" s="82"/>
      <c r="J117" s="137"/>
      <c r="K117" s="82"/>
      <c r="L117" s="240"/>
      <c r="M117" s="80"/>
      <c r="N117" s="271"/>
      <c r="O117" s="139"/>
      <c r="Q117" s="142"/>
      <c r="R117" s="57"/>
      <c r="S117" s="80"/>
      <c r="U117" s="142"/>
      <c r="V117" s="142"/>
      <c r="Z117" s="143"/>
      <c r="AA117" s="144"/>
      <c r="AB117" s="145"/>
      <c r="AC117" s="145"/>
      <c r="AD117" s="145"/>
      <c r="AE117" s="145"/>
      <c r="AF117" s="145"/>
      <c r="AG117" s="145"/>
      <c r="AH117" s="145"/>
      <c r="AK117" s="88"/>
    </row>
    <row r="118" spans="3:37" ht="15.75" customHeight="1">
      <c r="C118" s="135"/>
      <c r="E118" s="176"/>
      <c r="G118" s="90"/>
      <c r="H118" s="90"/>
      <c r="I118" s="82"/>
      <c r="J118" s="137"/>
      <c r="K118" s="82"/>
      <c r="L118" s="240"/>
      <c r="M118" s="80"/>
      <c r="N118" s="271"/>
      <c r="O118" s="139"/>
      <c r="Q118" s="142"/>
      <c r="R118" s="57"/>
      <c r="S118" s="80"/>
      <c r="U118" s="142"/>
      <c r="V118" s="142"/>
      <c r="Z118" s="143"/>
      <c r="AA118" s="144"/>
      <c r="AB118" s="145"/>
      <c r="AC118" s="145"/>
      <c r="AD118" s="145"/>
      <c r="AE118" s="145"/>
      <c r="AF118" s="145"/>
      <c r="AG118" s="145"/>
      <c r="AH118" s="145"/>
      <c r="AK118" s="88"/>
    </row>
    <row r="119" spans="3:37" ht="15.75" customHeight="1">
      <c r="C119" s="135"/>
      <c r="E119" s="176"/>
      <c r="G119" s="90"/>
      <c r="H119" s="90"/>
      <c r="I119" s="82"/>
      <c r="J119" s="137"/>
      <c r="K119" s="82"/>
      <c r="L119" s="240"/>
      <c r="M119" s="80"/>
      <c r="N119" s="271"/>
      <c r="O119" s="139"/>
      <c r="Q119" s="142"/>
      <c r="R119" s="57"/>
      <c r="S119" s="80"/>
      <c r="U119" s="142"/>
      <c r="V119" s="142"/>
      <c r="Z119" s="143"/>
      <c r="AA119" s="144"/>
      <c r="AB119" s="145"/>
      <c r="AC119" s="145"/>
      <c r="AD119" s="145"/>
      <c r="AE119" s="145"/>
      <c r="AF119" s="145"/>
      <c r="AG119" s="145"/>
      <c r="AH119" s="145"/>
      <c r="AK119" s="88"/>
    </row>
    <row r="120" spans="3:37" ht="15.75" customHeight="1">
      <c r="C120" s="135"/>
      <c r="E120" s="176"/>
      <c r="G120" s="90"/>
      <c r="H120" s="90"/>
      <c r="I120" s="82"/>
      <c r="J120" s="137"/>
      <c r="K120" s="82"/>
      <c r="L120" s="240"/>
      <c r="M120" s="80"/>
      <c r="N120" s="271"/>
      <c r="O120" s="139"/>
      <c r="Q120" s="142"/>
      <c r="R120" s="57"/>
      <c r="S120" s="80"/>
      <c r="U120" s="142"/>
      <c r="V120" s="142"/>
      <c r="Z120" s="143"/>
      <c r="AA120" s="144"/>
      <c r="AB120" s="145"/>
      <c r="AC120" s="145"/>
      <c r="AD120" s="145"/>
      <c r="AE120" s="145"/>
      <c r="AF120" s="145"/>
      <c r="AG120" s="145"/>
      <c r="AH120" s="145"/>
      <c r="AK120" s="88"/>
    </row>
    <row r="121" spans="3:37" ht="15.75" customHeight="1">
      <c r="C121" s="135"/>
      <c r="E121" s="176"/>
      <c r="G121" s="90"/>
      <c r="H121" s="90"/>
      <c r="I121" s="82"/>
      <c r="J121" s="137"/>
      <c r="K121" s="82"/>
      <c r="L121" s="240"/>
      <c r="M121" s="80"/>
      <c r="N121" s="271"/>
      <c r="O121" s="139"/>
      <c r="Q121" s="142"/>
      <c r="R121" s="57"/>
      <c r="S121" s="80"/>
      <c r="U121" s="142"/>
      <c r="V121" s="142"/>
      <c r="Z121" s="143"/>
      <c r="AA121" s="144"/>
      <c r="AB121" s="145"/>
      <c r="AC121" s="145"/>
      <c r="AD121" s="145"/>
      <c r="AE121" s="145"/>
      <c r="AF121" s="145"/>
      <c r="AG121" s="145"/>
      <c r="AH121" s="145"/>
      <c r="AK121" s="88"/>
    </row>
    <row r="122" spans="3:37" ht="15.75" customHeight="1">
      <c r="C122" s="135"/>
      <c r="E122" s="176"/>
      <c r="G122" s="90"/>
      <c r="H122" s="90"/>
      <c r="I122" s="82"/>
      <c r="J122" s="137"/>
      <c r="K122" s="82"/>
      <c r="L122" s="240"/>
      <c r="M122" s="80"/>
      <c r="N122" s="271"/>
      <c r="O122" s="139"/>
      <c r="Q122" s="142"/>
      <c r="R122" s="57"/>
      <c r="S122" s="80"/>
      <c r="U122" s="142"/>
      <c r="V122" s="142"/>
      <c r="Z122" s="143"/>
      <c r="AA122" s="144"/>
      <c r="AB122" s="145"/>
      <c r="AC122" s="145"/>
      <c r="AD122" s="145"/>
      <c r="AE122" s="145"/>
      <c r="AF122" s="145"/>
      <c r="AG122" s="145"/>
      <c r="AH122" s="145"/>
      <c r="AK122" s="88"/>
    </row>
    <row r="123" spans="3:37" ht="15.75" customHeight="1">
      <c r="C123" s="135"/>
      <c r="E123" s="176"/>
      <c r="G123" s="90"/>
      <c r="H123" s="90"/>
      <c r="I123" s="82"/>
      <c r="J123" s="137"/>
      <c r="K123" s="82"/>
      <c r="L123" s="240"/>
      <c r="M123" s="80"/>
      <c r="N123" s="271"/>
      <c r="O123" s="139"/>
      <c r="Q123" s="142"/>
      <c r="R123" s="57"/>
      <c r="S123" s="80"/>
      <c r="U123" s="142"/>
      <c r="V123" s="142"/>
      <c r="Z123" s="143"/>
      <c r="AA123" s="144"/>
      <c r="AB123" s="145"/>
      <c r="AC123" s="145"/>
      <c r="AD123" s="145"/>
      <c r="AE123" s="145"/>
      <c r="AF123" s="145"/>
      <c r="AG123" s="145"/>
      <c r="AH123" s="145"/>
      <c r="AK123" s="88"/>
    </row>
    <row r="124" spans="3:37" ht="15.75" customHeight="1">
      <c r="C124" s="135"/>
      <c r="E124" s="176"/>
      <c r="G124" s="90"/>
      <c r="H124" s="90"/>
      <c r="I124" s="82"/>
      <c r="J124" s="137"/>
      <c r="K124" s="82"/>
      <c r="L124" s="240"/>
      <c r="M124" s="80"/>
      <c r="N124" s="271"/>
      <c r="O124" s="139"/>
      <c r="Q124" s="142"/>
      <c r="R124" s="57"/>
      <c r="S124" s="80"/>
      <c r="U124" s="142"/>
      <c r="V124" s="142"/>
      <c r="Z124" s="143"/>
      <c r="AA124" s="144"/>
      <c r="AB124" s="145"/>
      <c r="AC124" s="145"/>
      <c r="AD124" s="145"/>
      <c r="AE124" s="145"/>
      <c r="AF124" s="145"/>
      <c r="AG124" s="145"/>
      <c r="AH124" s="145"/>
      <c r="AK124" s="88"/>
    </row>
    <row r="125" spans="3:37" ht="15.75" customHeight="1">
      <c r="C125" s="135"/>
      <c r="E125" s="176"/>
      <c r="G125" s="90"/>
      <c r="H125" s="90"/>
      <c r="I125" s="82"/>
      <c r="J125" s="137"/>
      <c r="K125" s="82"/>
      <c r="L125" s="240"/>
      <c r="M125" s="80"/>
      <c r="N125" s="271"/>
      <c r="O125" s="139"/>
      <c r="Q125" s="142"/>
      <c r="R125" s="57"/>
      <c r="S125" s="80"/>
      <c r="U125" s="142"/>
      <c r="V125" s="142"/>
      <c r="Z125" s="143"/>
      <c r="AA125" s="144"/>
      <c r="AB125" s="145"/>
      <c r="AC125" s="145"/>
      <c r="AD125" s="145"/>
      <c r="AE125" s="145"/>
      <c r="AF125" s="145"/>
      <c r="AG125" s="145"/>
      <c r="AH125" s="145"/>
      <c r="AK125" s="88"/>
    </row>
    <row r="126" spans="3:37" ht="15.75" customHeight="1">
      <c r="C126" s="135"/>
      <c r="E126" s="176"/>
      <c r="G126" s="90"/>
      <c r="H126" s="90"/>
      <c r="I126" s="82"/>
      <c r="J126" s="137"/>
      <c r="K126" s="82"/>
      <c r="L126" s="240"/>
      <c r="M126" s="80"/>
      <c r="N126" s="271"/>
      <c r="O126" s="139"/>
      <c r="Q126" s="142"/>
      <c r="R126" s="57"/>
      <c r="S126" s="80"/>
      <c r="U126" s="142"/>
      <c r="V126" s="142"/>
      <c r="Z126" s="143"/>
      <c r="AA126" s="144"/>
      <c r="AB126" s="145"/>
      <c r="AC126" s="145"/>
      <c r="AD126" s="145"/>
      <c r="AE126" s="145"/>
      <c r="AF126" s="145"/>
      <c r="AG126" s="145"/>
      <c r="AH126" s="145"/>
      <c r="AK126" s="88"/>
    </row>
    <row r="127" spans="3:37" ht="15.75" customHeight="1">
      <c r="C127" s="135"/>
      <c r="E127" s="176"/>
      <c r="G127" s="90"/>
      <c r="H127" s="90"/>
      <c r="I127" s="82"/>
      <c r="J127" s="137"/>
      <c r="K127" s="82"/>
      <c r="L127" s="240"/>
      <c r="M127" s="80"/>
      <c r="N127" s="271"/>
      <c r="O127" s="139"/>
      <c r="Q127" s="142"/>
      <c r="R127" s="57"/>
      <c r="S127" s="80"/>
      <c r="U127" s="142"/>
      <c r="V127" s="142"/>
      <c r="Z127" s="143"/>
      <c r="AA127" s="144"/>
      <c r="AB127" s="145"/>
      <c r="AC127" s="145"/>
      <c r="AD127" s="145"/>
      <c r="AE127" s="145"/>
      <c r="AF127" s="145"/>
      <c r="AG127" s="145"/>
      <c r="AH127" s="145"/>
      <c r="AK127" s="88"/>
    </row>
    <row r="128" spans="3:37" ht="15.75" customHeight="1">
      <c r="C128" s="135"/>
      <c r="E128" s="176"/>
      <c r="G128" s="90"/>
      <c r="H128" s="90"/>
      <c r="I128" s="82"/>
      <c r="J128" s="137"/>
      <c r="K128" s="82"/>
      <c r="L128" s="240"/>
      <c r="M128" s="80"/>
      <c r="N128" s="271"/>
      <c r="O128" s="139"/>
      <c r="Q128" s="142"/>
      <c r="R128" s="57"/>
      <c r="S128" s="80"/>
      <c r="U128" s="142"/>
      <c r="V128" s="142"/>
      <c r="Z128" s="143"/>
      <c r="AA128" s="144"/>
      <c r="AB128" s="145"/>
      <c r="AC128" s="145"/>
      <c r="AD128" s="145"/>
      <c r="AE128" s="145"/>
      <c r="AF128" s="145"/>
      <c r="AG128" s="145"/>
      <c r="AH128" s="145"/>
      <c r="AK128" s="88"/>
    </row>
    <row r="129" spans="3:37" ht="15.75" customHeight="1">
      <c r="C129" s="135"/>
      <c r="E129" s="176"/>
      <c r="G129" s="90"/>
      <c r="H129" s="90"/>
      <c r="I129" s="82"/>
      <c r="J129" s="137"/>
      <c r="K129" s="82"/>
      <c r="L129" s="240"/>
      <c r="M129" s="80"/>
      <c r="N129" s="271"/>
      <c r="O129" s="139"/>
      <c r="Q129" s="142"/>
      <c r="R129" s="57"/>
      <c r="S129" s="80"/>
      <c r="U129" s="142"/>
      <c r="V129" s="142"/>
      <c r="Z129" s="143"/>
      <c r="AA129" s="144"/>
      <c r="AB129" s="145"/>
      <c r="AC129" s="145"/>
      <c r="AD129" s="145"/>
      <c r="AE129" s="145"/>
      <c r="AF129" s="145"/>
      <c r="AG129" s="145"/>
      <c r="AH129" s="145"/>
      <c r="AK129" s="88"/>
    </row>
    <row r="130" spans="3:37" ht="15.75" customHeight="1">
      <c r="C130" s="135"/>
      <c r="E130" s="176"/>
      <c r="G130" s="90"/>
      <c r="H130" s="90"/>
      <c r="I130" s="82"/>
      <c r="J130" s="137"/>
      <c r="K130" s="82"/>
      <c r="L130" s="240"/>
      <c r="M130" s="80"/>
      <c r="N130" s="271"/>
      <c r="O130" s="139"/>
      <c r="Q130" s="142"/>
      <c r="R130" s="57"/>
      <c r="S130" s="80"/>
      <c r="U130" s="142"/>
      <c r="V130" s="142"/>
      <c r="Z130" s="143"/>
      <c r="AA130" s="144"/>
      <c r="AB130" s="145"/>
      <c r="AC130" s="145"/>
      <c r="AD130" s="145"/>
      <c r="AE130" s="145"/>
      <c r="AF130" s="145"/>
      <c r="AG130" s="145"/>
      <c r="AH130" s="145"/>
      <c r="AK130" s="88"/>
    </row>
    <row r="131" spans="3:37" ht="15.75" customHeight="1">
      <c r="C131" s="135"/>
      <c r="E131" s="176"/>
      <c r="G131" s="90"/>
      <c r="H131" s="90"/>
      <c r="I131" s="82"/>
      <c r="J131" s="137"/>
      <c r="K131" s="82"/>
      <c r="L131" s="240"/>
      <c r="M131" s="80"/>
      <c r="N131" s="271"/>
      <c r="O131" s="139"/>
      <c r="Q131" s="142"/>
      <c r="R131" s="57"/>
      <c r="S131" s="80"/>
      <c r="U131" s="142"/>
      <c r="V131" s="142"/>
      <c r="Z131" s="143"/>
      <c r="AA131" s="144"/>
      <c r="AB131" s="145"/>
      <c r="AC131" s="145"/>
      <c r="AD131" s="145"/>
      <c r="AE131" s="145"/>
      <c r="AF131" s="145"/>
      <c r="AG131" s="145"/>
      <c r="AH131" s="145"/>
      <c r="AK131" s="88"/>
    </row>
    <row r="132" spans="3:37" ht="15.75" customHeight="1">
      <c r="C132" s="135"/>
      <c r="E132" s="176"/>
      <c r="G132" s="90"/>
      <c r="H132" s="90"/>
      <c r="I132" s="82"/>
      <c r="J132" s="137"/>
      <c r="K132" s="82"/>
      <c r="L132" s="240"/>
      <c r="M132" s="80"/>
      <c r="N132" s="271"/>
      <c r="O132" s="139"/>
      <c r="Q132" s="142"/>
      <c r="R132" s="57"/>
      <c r="S132" s="80"/>
      <c r="U132" s="142"/>
      <c r="V132" s="142"/>
      <c r="Z132" s="143"/>
      <c r="AA132" s="144"/>
      <c r="AB132" s="145"/>
      <c r="AC132" s="145"/>
      <c r="AD132" s="145"/>
      <c r="AE132" s="145"/>
      <c r="AF132" s="145"/>
      <c r="AG132" s="145"/>
      <c r="AH132" s="145"/>
      <c r="AK132" s="88"/>
    </row>
    <row r="133" spans="3:37" ht="15.75" customHeight="1">
      <c r="C133" s="135"/>
      <c r="E133" s="176"/>
      <c r="G133" s="90"/>
      <c r="H133" s="90"/>
      <c r="I133" s="82"/>
      <c r="J133" s="137"/>
      <c r="K133" s="82"/>
      <c r="L133" s="240"/>
      <c r="M133" s="80"/>
      <c r="N133" s="271"/>
      <c r="O133" s="139"/>
      <c r="Q133" s="142"/>
      <c r="R133" s="57"/>
      <c r="S133" s="80"/>
      <c r="U133" s="142"/>
      <c r="V133" s="142"/>
      <c r="Z133" s="143"/>
      <c r="AA133" s="144"/>
      <c r="AB133" s="145"/>
      <c r="AC133" s="145"/>
      <c r="AD133" s="145"/>
      <c r="AE133" s="145"/>
      <c r="AF133" s="145"/>
      <c r="AG133" s="145"/>
      <c r="AH133" s="145"/>
      <c r="AK133" s="88"/>
    </row>
    <row r="134" spans="3:37" ht="15.75" customHeight="1">
      <c r="C134" s="135"/>
      <c r="E134" s="176"/>
      <c r="G134" s="90"/>
      <c r="H134" s="90"/>
      <c r="I134" s="82"/>
      <c r="J134" s="137"/>
      <c r="K134" s="82"/>
      <c r="L134" s="240"/>
      <c r="M134" s="80"/>
      <c r="N134" s="271"/>
      <c r="O134" s="139"/>
      <c r="Q134" s="142"/>
      <c r="R134" s="57"/>
      <c r="S134" s="80"/>
      <c r="U134" s="142"/>
      <c r="V134" s="142"/>
      <c r="Z134" s="143"/>
      <c r="AA134" s="144"/>
      <c r="AB134" s="145"/>
      <c r="AC134" s="145"/>
      <c r="AD134" s="145"/>
      <c r="AE134" s="145"/>
      <c r="AF134" s="145"/>
      <c r="AG134" s="145"/>
      <c r="AH134" s="145"/>
      <c r="AK134" s="88"/>
    </row>
    <row r="135" spans="3:37" ht="15.75" customHeight="1">
      <c r="C135" s="135"/>
      <c r="E135" s="176"/>
      <c r="G135" s="90"/>
      <c r="H135" s="90"/>
      <c r="I135" s="82"/>
      <c r="J135" s="137"/>
      <c r="K135" s="82"/>
      <c r="L135" s="240"/>
      <c r="M135" s="80"/>
      <c r="N135" s="271"/>
      <c r="O135" s="139"/>
      <c r="Q135" s="142"/>
      <c r="R135" s="57"/>
      <c r="S135" s="80"/>
      <c r="U135" s="142"/>
      <c r="V135" s="142"/>
      <c r="Z135" s="143"/>
      <c r="AA135" s="144"/>
      <c r="AB135" s="145"/>
      <c r="AC135" s="145"/>
      <c r="AD135" s="145"/>
      <c r="AE135" s="145"/>
      <c r="AF135" s="145"/>
      <c r="AG135" s="145"/>
      <c r="AH135" s="145"/>
      <c r="AK135" s="88"/>
    </row>
    <row r="136" spans="3:37" ht="15.75" customHeight="1">
      <c r="C136" s="135"/>
      <c r="E136" s="176"/>
      <c r="G136" s="90"/>
      <c r="H136" s="90"/>
      <c r="I136" s="82"/>
      <c r="J136" s="137"/>
      <c r="K136" s="82"/>
      <c r="L136" s="240"/>
      <c r="M136" s="80"/>
      <c r="N136" s="271"/>
      <c r="O136" s="139"/>
      <c r="Q136" s="142"/>
      <c r="R136" s="57"/>
      <c r="S136" s="80"/>
      <c r="U136" s="142"/>
      <c r="V136" s="142"/>
      <c r="Z136" s="143"/>
      <c r="AA136" s="144"/>
      <c r="AB136" s="145"/>
      <c r="AC136" s="145"/>
      <c r="AD136" s="145"/>
      <c r="AE136" s="145"/>
      <c r="AF136" s="145"/>
      <c r="AG136" s="145"/>
      <c r="AH136" s="145"/>
      <c r="AK136" s="88"/>
    </row>
    <row r="137" spans="3:37" ht="15.75" customHeight="1">
      <c r="C137" s="135"/>
      <c r="E137" s="176"/>
      <c r="G137" s="90"/>
      <c r="H137" s="90"/>
      <c r="I137" s="82"/>
      <c r="J137" s="137"/>
      <c r="K137" s="82"/>
      <c r="L137" s="240"/>
      <c r="M137" s="80"/>
      <c r="N137" s="271"/>
      <c r="O137" s="139"/>
      <c r="Q137" s="142"/>
      <c r="R137" s="57"/>
      <c r="S137" s="80"/>
      <c r="U137" s="142"/>
      <c r="V137" s="142"/>
      <c r="Z137" s="143"/>
      <c r="AA137" s="144"/>
      <c r="AB137" s="145"/>
      <c r="AC137" s="145"/>
      <c r="AD137" s="145"/>
      <c r="AE137" s="145"/>
      <c r="AF137" s="145"/>
      <c r="AG137" s="145"/>
      <c r="AH137" s="145"/>
      <c r="AK137" s="88"/>
    </row>
    <row r="138" spans="3:37" ht="15.75" customHeight="1">
      <c r="C138" s="135"/>
      <c r="E138" s="176"/>
      <c r="G138" s="90"/>
      <c r="H138" s="90"/>
      <c r="I138" s="82"/>
      <c r="J138" s="137"/>
      <c r="K138" s="82"/>
      <c r="L138" s="240"/>
      <c r="M138" s="80"/>
      <c r="N138" s="271"/>
      <c r="O138" s="139"/>
      <c r="Q138" s="142"/>
      <c r="R138" s="57"/>
      <c r="S138" s="80"/>
      <c r="U138" s="142"/>
      <c r="V138" s="142"/>
      <c r="Z138" s="143"/>
      <c r="AA138" s="144"/>
      <c r="AB138" s="145"/>
      <c r="AC138" s="145"/>
      <c r="AD138" s="145"/>
      <c r="AE138" s="145"/>
      <c r="AF138" s="145"/>
      <c r="AG138" s="145"/>
      <c r="AH138" s="145"/>
      <c r="AK138" s="88"/>
    </row>
    <row r="139" spans="3:37" ht="15.75" customHeight="1">
      <c r="C139" s="135"/>
      <c r="E139" s="176"/>
      <c r="G139" s="90"/>
      <c r="H139" s="90"/>
      <c r="I139" s="82"/>
      <c r="J139" s="137"/>
      <c r="K139" s="82"/>
      <c r="L139" s="240"/>
      <c r="M139" s="80"/>
      <c r="N139" s="271"/>
      <c r="O139" s="139"/>
      <c r="Q139" s="142"/>
      <c r="R139" s="57"/>
      <c r="S139" s="80"/>
      <c r="U139" s="142"/>
      <c r="V139" s="142"/>
      <c r="Z139" s="143"/>
      <c r="AA139" s="144"/>
      <c r="AB139" s="145"/>
      <c r="AC139" s="145"/>
      <c r="AD139" s="145"/>
      <c r="AE139" s="145"/>
      <c r="AF139" s="145"/>
      <c r="AG139" s="145"/>
      <c r="AH139" s="145"/>
      <c r="AK139" s="88"/>
    </row>
    <row r="140" spans="3:37" ht="15.75" customHeight="1">
      <c r="C140" s="135"/>
      <c r="E140" s="176"/>
      <c r="G140" s="90"/>
      <c r="H140" s="90"/>
      <c r="I140" s="82"/>
      <c r="J140" s="137"/>
      <c r="K140" s="82"/>
      <c r="L140" s="240"/>
      <c r="M140" s="80"/>
      <c r="N140" s="271"/>
      <c r="O140" s="139"/>
      <c r="Q140" s="142"/>
      <c r="R140" s="57"/>
      <c r="S140" s="80"/>
      <c r="U140" s="142"/>
      <c r="V140" s="142"/>
      <c r="Z140" s="143"/>
      <c r="AA140" s="144"/>
      <c r="AB140" s="145"/>
      <c r="AC140" s="145"/>
      <c r="AD140" s="145"/>
      <c r="AE140" s="145"/>
      <c r="AF140" s="145"/>
      <c r="AG140" s="145"/>
      <c r="AH140" s="145"/>
      <c r="AK140" s="88"/>
    </row>
    <row r="141" spans="3:37" ht="15.75" customHeight="1">
      <c r="C141" s="135"/>
      <c r="E141" s="176"/>
      <c r="G141" s="90"/>
      <c r="H141" s="90"/>
      <c r="I141" s="82"/>
      <c r="J141" s="137"/>
      <c r="K141" s="82"/>
      <c r="L141" s="240"/>
      <c r="M141" s="80"/>
      <c r="N141" s="271"/>
      <c r="O141" s="139"/>
      <c r="Q141" s="142"/>
      <c r="R141" s="57"/>
      <c r="S141" s="80"/>
      <c r="U141" s="142"/>
      <c r="V141" s="142"/>
      <c r="Z141" s="143"/>
      <c r="AA141" s="144"/>
      <c r="AB141" s="145"/>
      <c r="AC141" s="145"/>
      <c r="AD141" s="145"/>
      <c r="AE141" s="145"/>
      <c r="AF141" s="145"/>
      <c r="AG141" s="145"/>
      <c r="AH141" s="145"/>
      <c r="AK141" s="88"/>
    </row>
    <row r="142" spans="3:37" ht="15.75" customHeight="1">
      <c r="C142" s="135"/>
      <c r="E142" s="176"/>
      <c r="G142" s="90"/>
      <c r="H142" s="90"/>
      <c r="I142" s="82"/>
      <c r="J142" s="137"/>
      <c r="K142" s="82"/>
      <c r="L142" s="240"/>
      <c r="M142" s="80"/>
      <c r="N142" s="271"/>
      <c r="O142" s="139"/>
      <c r="Q142" s="142"/>
      <c r="R142" s="57"/>
      <c r="S142" s="80"/>
      <c r="U142" s="142"/>
      <c r="V142" s="142"/>
      <c r="Z142" s="143"/>
      <c r="AA142" s="144"/>
      <c r="AB142" s="145"/>
      <c r="AC142" s="145"/>
      <c r="AD142" s="145"/>
      <c r="AE142" s="145"/>
      <c r="AF142" s="145"/>
      <c r="AG142" s="145"/>
      <c r="AH142" s="145"/>
      <c r="AK142" s="88"/>
    </row>
    <row r="143" spans="3:37" ht="15.75" customHeight="1">
      <c r="C143" s="135"/>
      <c r="E143" s="176"/>
      <c r="G143" s="90"/>
      <c r="H143" s="90"/>
      <c r="I143" s="82"/>
      <c r="J143" s="137"/>
      <c r="K143" s="82"/>
      <c r="L143" s="240"/>
      <c r="M143" s="80"/>
      <c r="N143" s="271"/>
      <c r="O143" s="139"/>
      <c r="Q143" s="142"/>
      <c r="R143" s="57"/>
      <c r="S143" s="80"/>
      <c r="U143" s="142"/>
      <c r="V143" s="142"/>
      <c r="Z143" s="143"/>
      <c r="AA143" s="144"/>
      <c r="AB143" s="145"/>
      <c r="AC143" s="145"/>
      <c r="AD143" s="145"/>
      <c r="AE143" s="145"/>
      <c r="AF143" s="145"/>
      <c r="AG143" s="145"/>
      <c r="AH143" s="145"/>
      <c r="AK143" s="88"/>
    </row>
    <row r="144" spans="3:37" ht="15.75" customHeight="1">
      <c r="C144" s="135"/>
      <c r="E144" s="176"/>
      <c r="G144" s="90"/>
      <c r="H144" s="90"/>
      <c r="I144" s="82"/>
      <c r="J144" s="137"/>
      <c r="K144" s="82"/>
      <c r="L144" s="240"/>
      <c r="M144" s="80"/>
      <c r="N144" s="271"/>
      <c r="O144" s="139"/>
      <c r="Q144" s="142"/>
      <c r="R144" s="57"/>
      <c r="S144" s="80"/>
      <c r="U144" s="142"/>
      <c r="V144" s="142"/>
      <c r="Z144" s="143"/>
      <c r="AA144" s="144"/>
      <c r="AB144" s="145"/>
      <c r="AC144" s="145"/>
      <c r="AD144" s="145"/>
      <c r="AE144" s="145"/>
      <c r="AF144" s="145"/>
      <c r="AG144" s="145"/>
      <c r="AH144" s="145"/>
      <c r="AK144" s="88"/>
    </row>
    <row r="145" spans="3:37" ht="15.75" customHeight="1">
      <c r="C145" s="135"/>
      <c r="E145" s="176"/>
      <c r="G145" s="90"/>
      <c r="H145" s="90"/>
      <c r="I145" s="82"/>
      <c r="J145" s="137"/>
      <c r="K145" s="82"/>
      <c r="L145" s="240"/>
      <c r="M145" s="80"/>
      <c r="N145" s="271"/>
      <c r="O145" s="139"/>
      <c r="Q145" s="142"/>
      <c r="R145" s="57"/>
      <c r="S145" s="80"/>
      <c r="U145" s="142"/>
      <c r="V145" s="142"/>
      <c r="Z145" s="143"/>
      <c r="AA145" s="144"/>
      <c r="AB145" s="145"/>
      <c r="AC145" s="145"/>
      <c r="AD145" s="145"/>
      <c r="AE145" s="145"/>
      <c r="AF145" s="145"/>
      <c r="AG145" s="145"/>
      <c r="AH145" s="145"/>
      <c r="AK145" s="88"/>
    </row>
    <row r="146" spans="3:37" ht="15.75" customHeight="1">
      <c r="C146" s="135"/>
      <c r="E146" s="176"/>
      <c r="G146" s="90"/>
      <c r="H146" s="90"/>
      <c r="I146" s="82"/>
      <c r="J146" s="137"/>
      <c r="K146" s="82"/>
      <c r="L146" s="240"/>
      <c r="M146" s="80"/>
      <c r="N146" s="271"/>
      <c r="O146" s="139"/>
      <c r="Q146" s="142"/>
      <c r="R146" s="57"/>
      <c r="S146" s="80"/>
      <c r="U146" s="142"/>
      <c r="V146" s="142"/>
      <c r="Z146" s="143"/>
      <c r="AA146" s="144"/>
      <c r="AB146" s="145"/>
      <c r="AC146" s="145"/>
      <c r="AD146" s="145"/>
      <c r="AE146" s="145"/>
      <c r="AF146" s="145"/>
      <c r="AG146" s="145"/>
      <c r="AH146" s="145"/>
      <c r="AK146" s="88"/>
    </row>
    <row r="147" spans="3:37" ht="15.75" customHeight="1">
      <c r="C147" s="135"/>
      <c r="E147" s="176"/>
      <c r="G147" s="90"/>
      <c r="H147" s="90"/>
      <c r="I147" s="82"/>
      <c r="J147" s="137"/>
      <c r="K147" s="82"/>
      <c r="L147" s="240"/>
      <c r="M147" s="80"/>
      <c r="N147" s="271"/>
      <c r="O147" s="139"/>
      <c r="Q147" s="142"/>
      <c r="R147" s="57"/>
      <c r="S147" s="80"/>
      <c r="U147" s="142"/>
      <c r="V147" s="142"/>
      <c r="Z147" s="143"/>
      <c r="AA147" s="144"/>
      <c r="AB147" s="145"/>
      <c r="AC147" s="145"/>
      <c r="AD147" s="145"/>
      <c r="AE147" s="145"/>
      <c r="AF147" s="145"/>
      <c r="AG147" s="145"/>
      <c r="AH147" s="145"/>
      <c r="AK147" s="88"/>
    </row>
    <row r="148" spans="3:37" ht="15.75" customHeight="1">
      <c r="C148" s="135"/>
      <c r="E148" s="176"/>
      <c r="G148" s="90"/>
      <c r="H148" s="90"/>
      <c r="I148" s="82"/>
      <c r="J148" s="137"/>
      <c r="K148" s="82"/>
      <c r="L148" s="240"/>
      <c r="M148" s="80"/>
      <c r="N148" s="271"/>
      <c r="O148" s="139"/>
      <c r="Q148" s="142"/>
      <c r="R148" s="57"/>
      <c r="S148" s="80"/>
      <c r="U148" s="142"/>
      <c r="V148" s="142"/>
      <c r="Z148" s="143"/>
      <c r="AA148" s="144"/>
      <c r="AB148" s="145"/>
      <c r="AC148" s="145"/>
      <c r="AD148" s="145"/>
      <c r="AE148" s="145"/>
      <c r="AF148" s="145"/>
      <c r="AG148" s="145"/>
      <c r="AH148" s="145"/>
      <c r="AK148" s="88"/>
    </row>
    <row r="149" spans="3:37" ht="15.75" customHeight="1">
      <c r="C149" s="135"/>
      <c r="E149" s="176"/>
      <c r="G149" s="90"/>
      <c r="H149" s="90"/>
      <c r="I149" s="82"/>
      <c r="J149" s="137"/>
      <c r="K149" s="82"/>
      <c r="L149" s="240"/>
      <c r="M149" s="80"/>
      <c r="N149" s="271"/>
      <c r="O149" s="139"/>
      <c r="Q149" s="142"/>
      <c r="R149" s="57"/>
      <c r="S149" s="80"/>
      <c r="U149" s="142"/>
      <c r="V149" s="142"/>
      <c r="Z149" s="143"/>
      <c r="AA149" s="144"/>
      <c r="AB149" s="145"/>
      <c r="AC149" s="145"/>
      <c r="AD149" s="145"/>
      <c r="AE149" s="145"/>
      <c r="AF149" s="145"/>
      <c r="AG149" s="145"/>
      <c r="AH149" s="145"/>
      <c r="AK149" s="88"/>
    </row>
    <row r="150" spans="3:37" ht="15.75" customHeight="1">
      <c r="C150" s="135"/>
      <c r="E150" s="176"/>
      <c r="G150" s="90"/>
      <c r="H150" s="90"/>
      <c r="I150" s="82"/>
      <c r="J150" s="137"/>
      <c r="K150" s="82"/>
      <c r="L150" s="240"/>
      <c r="M150" s="80"/>
      <c r="N150" s="271"/>
      <c r="O150" s="139"/>
      <c r="Q150" s="142"/>
      <c r="R150" s="57"/>
      <c r="S150" s="80"/>
      <c r="U150" s="142"/>
      <c r="V150" s="142"/>
      <c r="Z150" s="143"/>
      <c r="AA150" s="144"/>
      <c r="AB150" s="145"/>
      <c r="AC150" s="145"/>
      <c r="AD150" s="145"/>
      <c r="AE150" s="145"/>
      <c r="AF150" s="145"/>
      <c r="AG150" s="145"/>
      <c r="AH150" s="145"/>
      <c r="AK150" s="88"/>
    </row>
    <row r="151" spans="3:37" ht="15.75" customHeight="1">
      <c r="C151" s="135"/>
      <c r="E151" s="176"/>
      <c r="G151" s="90"/>
      <c r="H151" s="90"/>
      <c r="I151" s="82"/>
      <c r="J151" s="137"/>
      <c r="K151" s="82"/>
      <c r="L151" s="240"/>
      <c r="M151" s="80"/>
      <c r="N151" s="271"/>
      <c r="O151" s="139"/>
      <c r="Q151" s="142"/>
      <c r="R151" s="57"/>
      <c r="S151" s="80"/>
      <c r="U151" s="142"/>
      <c r="V151" s="142"/>
      <c r="Z151" s="143"/>
      <c r="AA151" s="144"/>
      <c r="AB151" s="145"/>
      <c r="AC151" s="145"/>
      <c r="AD151" s="145"/>
      <c r="AE151" s="145"/>
      <c r="AF151" s="145"/>
      <c r="AG151" s="145"/>
      <c r="AH151" s="145"/>
      <c r="AK151" s="88"/>
    </row>
    <row r="152" spans="3:37" ht="15.75" customHeight="1">
      <c r="C152" s="135"/>
      <c r="E152" s="176"/>
      <c r="G152" s="90"/>
      <c r="H152" s="90"/>
      <c r="I152" s="82"/>
      <c r="J152" s="137"/>
      <c r="K152" s="82"/>
      <c r="L152" s="240"/>
      <c r="M152" s="80"/>
      <c r="N152" s="271"/>
      <c r="O152" s="139"/>
      <c r="Q152" s="142"/>
      <c r="R152" s="57"/>
      <c r="S152" s="80"/>
      <c r="U152" s="142"/>
      <c r="V152" s="142"/>
      <c r="Z152" s="143"/>
      <c r="AA152" s="144"/>
      <c r="AB152" s="145"/>
      <c r="AC152" s="145"/>
      <c r="AD152" s="145"/>
      <c r="AE152" s="145"/>
      <c r="AF152" s="145"/>
      <c r="AG152" s="145"/>
      <c r="AH152" s="145"/>
      <c r="AK152" s="88"/>
    </row>
    <row r="153" spans="3:37" ht="15.75" customHeight="1">
      <c r="C153" s="135"/>
      <c r="E153" s="176"/>
      <c r="G153" s="90"/>
      <c r="H153" s="90"/>
      <c r="I153" s="82"/>
      <c r="J153" s="137"/>
      <c r="K153" s="82"/>
      <c r="L153" s="240"/>
      <c r="M153" s="80"/>
      <c r="N153" s="271"/>
      <c r="O153" s="139"/>
      <c r="Q153" s="142"/>
      <c r="R153" s="57"/>
      <c r="S153" s="80"/>
      <c r="U153" s="142"/>
      <c r="V153" s="142"/>
      <c r="Z153" s="143"/>
      <c r="AA153" s="144"/>
      <c r="AB153" s="145"/>
      <c r="AC153" s="145"/>
      <c r="AD153" s="145"/>
      <c r="AE153" s="145"/>
      <c r="AF153" s="145"/>
      <c r="AG153" s="145"/>
      <c r="AH153" s="145"/>
      <c r="AK153" s="88"/>
    </row>
    <row r="154" spans="3:37" ht="15.75" customHeight="1">
      <c r="C154" s="135"/>
      <c r="E154" s="176"/>
      <c r="G154" s="90"/>
      <c r="H154" s="90"/>
      <c r="I154" s="82"/>
      <c r="J154" s="137"/>
      <c r="K154" s="82"/>
      <c r="L154" s="240"/>
      <c r="M154" s="80"/>
      <c r="N154" s="271"/>
      <c r="O154" s="139"/>
      <c r="Q154" s="142"/>
      <c r="R154" s="57"/>
      <c r="S154" s="80"/>
      <c r="U154" s="142"/>
      <c r="V154" s="142"/>
      <c r="Z154" s="143"/>
      <c r="AA154" s="144"/>
      <c r="AB154" s="145"/>
      <c r="AC154" s="145"/>
      <c r="AD154" s="145"/>
      <c r="AE154" s="145"/>
      <c r="AF154" s="145"/>
      <c r="AG154" s="145"/>
      <c r="AH154" s="145"/>
      <c r="AK154" s="88"/>
    </row>
    <row r="155" spans="3:37" ht="15.75" customHeight="1">
      <c r="C155" s="135"/>
      <c r="E155" s="176"/>
      <c r="G155" s="90"/>
      <c r="H155" s="90"/>
      <c r="I155" s="82"/>
      <c r="J155" s="137"/>
      <c r="K155" s="82"/>
      <c r="L155" s="240"/>
      <c r="M155" s="80"/>
      <c r="N155" s="271"/>
      <c r="O155" s="139"/>
      <c r="Q155" s="142"/>
      <c r="R155" s="57"/>
      <c r="S155" s="80"/>
      <c r="U155" s="142"/>
      <c r="V155" s="142"/>
      <c r="Z155" s="143"/>
      <c r="AA155" s="144"/>
      <c r="AB155" s="145"/>
      <c r="AC155" s="145"/>
      <c r="AD155" s="145"/>
      <c r="AE155" s="145"/>
      <c r="AF155" s="145"/>
      <c r="AG155" s="145"/>
      <c r="AH155" s="145"/>
      <c r="AK155" s="88"/>
    </row>
    <row r="156" spans="3:37" ht="15.75" customHeight="1">
      <c r="C156" s="135"/>
      <c r="E156" s="176"/>
      <c r="G156" s="90"/>
      <c r="H156" s="90"/>
      <c r="I156" s="82"/>
      <c r="J156" s="137"/>
      <c r="K156" s="82"/>
      <c r="L156" s="240"/>
      <c r="M156" s="80"/>
      <c r="N156" s="271"/>
      <c r="O156" s="139"/>
      <c r="Q156" s="142"/>
      <c r="R156" s="57"/>
      <c r="S156" s="80"/>
      <c r="U156" s="142"/>
      <c r="V156" s="142"/>
      <c r="Z156" s="143"/>
      <c r="AA156" s="144"/>
      <c r="AB156" s="145"/>
      <c r="AC156" s="145"/>
      <c r="AD156" s="145"/>
      <c r="AE156" s="145"/>
      <c r="AF156" s="145"/>
      <c r="AG156" s="145"/>
      <c r="AH156" s="145"/>
      <c r="AK156" s="88"/>
    </row>
    <row r="157" spans="3:37" ht="15.75" customHeight="1">
      <c r="C157" s="135"/>
      <c r="E157" s="176"/>
      <c r="G157" s="90"/>
      <c r="H157" s="90"/>
      <c r="I157" s="82"/>
      <c r="J157" s="137"/>
      <c r="K157" s="82"/>
      <c r="L157" s="240"/>
      <c r="M157" s="80"/>
      <c r="N157" s="271"/>
      <c r="O157" s="139"/>
      <c r="Q157" s="142"/>
      <c r="R157" s="57"/>
      <c r="S157" s="80"/>
      <c r="U157" s="142"/>
      <c r="V157" s="142"/>
      <c r="Z157" s="143"/>
      <c r="AA157" s="144"/>
      <c r="AB157" s="145"/>
      <c r="AC157" s="145"/>
      <c r="AD157" s="145"/>
      <c r="AE157" s="145"/>
      <c r="AF157" s="145"/>
      <c r="AG157" s="145"/>
      <c r="AH157" s="145"/>
      <c r="AK157" s="88"/>
    </row>
    <row r="158" spans="3:37" ht="15.75" customHeight="1">
      <c r="C158" s="135"/>
      <c r="E158" s="176"/>
      <c r="G158" s="90"/>
      <c r="H158" s="90"/>
      <c r="I158" s="82"/>
      <c r="J158" s="137"/>
      <c r="K158" s="82"/>
      <c r="L158" s="240"/>
      <c r="M158" s="80"/>
      <c r="N158" s="271"/>
      <c r="O158" s="139"/>
      <c r="Q158" s="142"/>
      <c r="R158" s="57"/>
      <c r="S158" s="80"/>
      <c r="U158" s="142"/>
      <c r="V158" s="142"/>
      <c r="Z158" s="143"/>
      <c r="AA158" s="144"/>
      <c r="AB158" s="145"/>
      <c r="AC158" s="145"/>
      <c r="AD158" s="145"/>
      <c r="AE158" s="145"/>
      <c r="AF158" s="145"/>
      <c r="AG158" s="145"/>
      <c r="AH158" s="145"/>
      <c r="AK158" s="88"/>
    </row>
    <row r="159" spans="3:37" ht="15.75" customHeight="1">
      <c r="C159" s="135"/>
      <c r="E159" s="176"/>
      <c r="G159" s="90"/>
      <c r="H159" s="90"/>
      <c r="I159" s="82"/>
      <c r="J159" s="137"/>
      <c r="K159" s="82"/>
      <c r="L159" s="240"/>
      <c r="M159" s="80"/>
      <c r="N159" s="271"/>
      <c r="O159" s="139"/>
      <c r="Q159" s="142"/>
      <c r="R159" s="57"/>
      <c r="S159" s="80"/>
      <c r="U159" s="142"/>
      <c r="V159" s="142"/>
      <c r="Z159" s="143"/>
      <c r="AA159" s="144"/>
      <c r="AB159" s="145"/>
      <c r="AC159" s="145"/>
      <c r="AD159" s="145"/>
      <c r="AE159" s="145"/>
      <c r="AF159" s="145"/>
      <c r="AG159" s="145"/>
      <c r="AH159" s="145"/>
      <c r="AK159" s="88"/>
    </row>
    <row r="160" spans="3:37" ht="15.75" customHeight="1">
      <c r="C160" s="135"/>
      <c r="E160" s="176"/>
      <c r="G160" s="90"/>
      <c r="H160" s="90"/>
      <c r="I160" s="82"/>
      <c r="J160" s="137"/>
      <c r="K160" s="82"/>
      <c r="L160" s="240"/>
      <c r="M160" s="80"/>
      <c r="N160" s="271"/>
      <c r="O160" s="139"/>
      <c r="Q160" s="142"/>
      <c r="R160" s="57"/>
      <c r="S160" s="80"/>
      <c r="U160" s="142"/>
      <c r="V160" s="142"/>
      <c r="Z160" s="143"/>
      <c r="AA160" s="144"/>
      <c r="AB160" s="145"/>
      <c r="AC160" s="145"/>
      <c r="AD160" s="145"/>
      <c r="AE160" s="145"/>
      <c r="AF160" s="145"/>
      <c r="AG160" s="145"/>
      <c r="AH160" s="145"/>
      <c r="AK160" s="88"/>
    </row>
    <row r="161" spans="3:37" ht="15.75" customHeight="1">
      <c r="C161" s="135"/>
      <c r="E161" s="176"/>
      <c r="G161" s="90"/>
      <c r="H161" s="90"/>
      <c r="I161" s="82"/>
      <c r="J161" s="137"/>
      <c r="K161" s="82"/>
      <c r="L161" s="240"/>
      <c r="M161" s="80"/>
      <c r="N161" s="271"/>
      <c r="O161" s="139"/>
      <c r="Q161" s="142"/>
      <c r="R161" s="57"/>
      <c r="S161" s="80"/>
      <c r="U161" s="142"/>
      <c r="V161" s="142"/>
      <c r="Z161" s="143"/>
      <c r="AA161" s="144"/>
      <c r="AB161" s="145"/>
      <c r="AC161" s="145"/>
      <c r="AD161" s="145"/>
      <c r="AE161" s="145"/>
      <c r="AF161" s="145"/>
      <c r="AG161" s="145"/>
      <c r="AH161" s="145"/>
      <c r="AK161" s="88"/>
    </row>
    <row r="162" spans="3:37" ht="15.75" customHeight="1">
      <c r="C162" s="135"/>
      <c r="E162" s="176"/>
      <c r="G162" s="90"/>
      <c r="H162" s="90"/>
      <c r="I162" s="82"/>
      <c r="J162" s="137"/>
      <c r="K162" s="82"/>
      <c r="L162" s="240"/>
      <c r="M162" s="80"/>
      <c r="N162" s="271"/>
      <c r="O162" s="139"/>
      <c r="Q162" s="142"/>
      <c r="R162" s="57"/>
      <c r="S162" s="80"/>
      <c r="U162" s="142"/>
      <c r="V162" s="142"/>
      <c r="Z162" s="143"/>
      <c r="AA162" s="144"/>
      <c r="AB162" s="145"/>
      <c r="AC162" s="145"/>
      <c r="AD162" s="145"/>
      <c r="AE162" s="145"/>
      <c r="AF162" s="145"/>
      <c r="AG162" s="145"/>
      <c r="AH162" s="145"/>
      <c r="AK162" s="88"/>
    </row>
    <row r="163" spans="3:37" ht="15.75" customHeight="1">
      <c r="C163" s="135"/>
      <c r="E163" s="176"/>
      <c r="G163" s="90"/>
      <c r="H163" s="90"/>
      <c r="I163" s="82"/>
      <c r="J163" s="137"/>
      <c r="K163" s="82"/>
      <c r="L163" s="240"/>
      <c r="M163" s="80"/>
      <c r="N163" s="271"/>
      <c r="O163" s="139"/>
      <c r="Q163" s="142"/>
      <c r="R163" s="57"/>
      <c r="S163" s="80"/>
      <c r="U163" s="142"/>
      <c r="V163" s="142"/>
      <c r="Z163" s="143"/>
      <c r="AA163" s="144"/>
      <c r="AB163" s="145"/>
      <c r="AC163" s="145"/>
      <c r="AD163" s="145"/>
      <c r="AE163" s="145"/>
      <c r="AF163" s="145"/>
      <c r="AG163" s="145"/>
      <c r="AH163" s="145"/>
      <c r="AK163" s="88"/>
    </row>
    <row r="164" spans="3:37" ht="15.75" customHeight="1">
      <c r="C164" s="135"/>
      <c r="E164" s="176"/>
      <c r="G164" s="90"/>
      <c r="H164" s="90"/>
      <c r="I164" s="82"/>
      <c r="J164" s="137"/>
      <c r="K164" s="82"/>
      <c r="L164" s="240"/>
      <c r="M164" s="80"/>
      <c r="N164" s="271"/>
      <c r="O164" s="139"/>
      <c r="Q164" s="142"/>
      <c r="R164" s="57"/>
      <c r="S164" s="80"/>
      <c r="U164" s="142"/>
      <c r="V164" s="142"/>
      <c r="Z164" s="143"/>
      <c r="AA164" s="144"/>
      <c r="AB164" s="145"/>
      <c r="AC164" s="145"/>
      <c r="AD164" s="145"/>
      <c r="AE164" s="145"/>
      <c r="AF164" s="145"/>
      <c r="AG164" s="145"/>
      <c r="AH164" s="145"/>
      <c r="AK164" s="88"/>
    </row>
    <row r="165" spans="3:37" ht="15.75" customHeight="1">
      <c r="C165" s="135"/>
      <c r="E165" s="176"/>
      <c r="G165" s="90"/>
      <c r="H165" s="90"/>
      <c r="I165" s="82"/>
      <c r="J165" s="137"/>
      <c r="K165" s="82"/>
      <c r="L165" s="240"/>
      <c r="M165" s="80"/>
      <c r="N165" s="271"/>
      <c r="O165" s="139"/>
      <c r="Q165" s="142"/>
      <c r="R165" s="57"/>
      <c r="S165" s="80"/>
      <c r="U165" s="142"/>
      <c r="V165" s="142"/>
      <c r="Z165" s="143"/>
      <c r="AA165" s="144"/>
      <c r="AB165" s="145"/>
      <c r="AC165" s="145"/>
      <c r="AD165" s="145"/>
      <c r="AE165" s="145"/>
      <c r="AF165" s="145"/>
      <c r="AG165" s="145"/>
      <c r="AH165" s="145"/>
      <c r="AK165" s="88"/>
    </row>
    <row r="166" spans="3:37" ht="15.75" customHeight="1">
      <c r="C166" s="135"/>
      <c r="E166" s="176"/>
      <c r="G166" s="90"/>
      <c r="H166" s="90"/>
      <c r="I166" s="82"/>
      <c r="J166" s="137"/>
      <c r="K166" s="82"/>
      <c r="L166" s="240"/>
      <c r="M166" s="80"/>
      <c r="N166" s="271"/>
      <c r="O166" s="139"/>
      <c r="Q166" s="142"/>
      <c r="R166" s="57"/>
      <c r="S166" s="80"/>
      <c r="U166" s="142"/>
      <c r="V166" s="142"/>
      <c r="Z166" s="143"/>
      <c r="AA166" s="144"/>
      <c r="AB166" s="145"/>
      <c r="AC166" s="145"/>
      <c r="AD166" s="145"/>
      <c r="AE166" s="145"/>
      <c r="AF166" s="145"/>
      <c r="AG166" s="145"/>
      <c r="AH166" s="145"/>
      <c r="AK166" s="88"/>
    </row>
    <row r="167" spans="3:37" ht="15.75" customHeight="1">
      <c r="C167" s="135"/>
      <c r="E167" s="176"/>
      <c r="G167" s="90"/>
      <c r="H167" s="90"/>
      <c r="I167" s="82"/>
      <c r="J167" s="137"/>
      <c r="K167" s="82"/>
      <c r="L167" s="240"/>
      <c r="M167" s="80"/>
      <c r="N167" s="271"/>
      <c r="O167" s="139"/>
      <c r="Q167" s="142"/>
      <c r="R167" s="57"/>
      <c r="S167" s="80"/>
      <c r="U167" s="142"/>
      <c r="V167" s="142"/>
      <c r="Z167" s="143"/>
      <c r="AA167" s="144"/>
      <c r="AB167" s="145"/>
      <c r="AC167" s="145"/>
      <c r="AD167" s="145"/>
      <c r="AE167" s="145"/>
      <c r="AF167" s="145"/>
      <c r="AG167" s="145"/>
      <c r="AH167" s="145"/>
      <c r="AK167" s="88"/>
    </row>
    <row r="168" spans="3:37" ht="15.75" customHeight="1">
      <c r="C168" s="135"/>
      <c r="E168" s="176"/>
      <c r="G168" s="90"/>
      <c r="H168" s="90"/>
      <c r="I168" s="82"/>
      <c r="J168" s="137"/>
      <c r="K168" s="82"/>
      <c r="L168" s="240"/>
      <c r="M168" s="80"/>
      <c r="N168" s="271"/>
      <c r="O168" s="139"/>
      <c r="Q168" s="142"/>
      <c r="R168" s="57"/>
      <c r="S168" s="80"/>
      <c r="U168" s="142"/>
      <c r="V168" s="142"/>
      <c r="Z168" s="143"/>
      <c r="AA168" s="144"/>
      <c r="AB168" s="145"/>
      <c r="AC168" s="145"/>
      <c r="AD168" s="145"/>
      <c r="AE168" s="145"/>
      <c r="AF168" s="145"/>
      <c r="AG168" s="145"/>
      <c r="AH168" s="145"/>
      <c r="AK168" s="88"/>
    </row>
    <row r="169" spans="3:37" ht="15.75" customHeight="1">
      <c r="C169" s="135"/>
      <c r="E169" s="176"/>
      <c r="G169" s="90"/>
      <c r="H169" s="90"/>
      <c r="I169" s="82"/>
      <c r="J169" s="137"/>
      <c r="K169" s="82"/>
      <c r="L169" s="240"/>
      <c r="M169" s="80"/>
      <c r="N169" s="271"/>
      <c r="O169" s="139"/>
      <c r="Q169" s="142"/>
      <c r="R169" s="57"/>
      <c r="S169" s="80"/>
      <c r="U169" s="142"/>
      <c r="V169" s="142"/>
      <c r="Z169" s="143"/>
      <c r="AA169" s="144"/>
      <c r="AB169" s="145"/>
      <c r="AC169" s="145"/>
      <c r="AD169" s="145"/>
      <c r="AE169" s="145"/>
      <c r="AF169" s="145"/>
      <c r="AG169" s="145"/>
      <c r="AH169" s="145"/>
      <c r="AK169" s="88"/>
    </row>
    <row r="170" spans="3:37" ht="15.75" customHeight="1">
      <c r="C170" s="135"/>
      <c r="E170" s="176"/>
      <c r="G170" s="90"/>
      <c r="H170" s="90"/>
      <c r="I170" s="82"/>
      <c r="J170" s="137"/>
      <c r="K170" s="82"/>
      <c r="L170" s="240"/>
      <c r="M170" s="80"/>
      <c r="N170" s="271"/>
      <c r="O170" s="139"/>
      <c r="Q170" s="142"/>
      <c r="R170" s="57"/>
      <c r="S170" s="80"/>
      <c r="U170" s="142"/>
      <c r="V170" s="142"/>
      <c r="Z170" s="143"/>
      <c r="AA170" s="144"/>
      <c r="AB170" s="145"/>
      <c r="AC170" s="145"/>
      <c r="AD170" s="145"/>
      <c r="AE170" s="145"/>
      <c r="AF170" s="145"/>
      <c r="AG170" s="145"/>
      <c r="AH170" s="145"/>
      <c r="AK170" s="88"/>
    </row>
    <row r="171" spans="3:37" ht="15.75" customHeight="1">
      <c r="C171" s="135"/>
      <c r="E171" s="176"/>
      <c r="G171" s="90"/>
      <c r="H171" s="90"/>
      <c r="I171" s="82"/>
      <c r="J171" s="137"/>
      <c r="K171" s="82"/>
      <c r="L171" s="240"/>
      <c r="M171" s="80"/>
      <c r="N171" s="271"/>
      <c r="O171" s="139"/>
      <c r="Q171" s="142"/>
      <c r="R171" s="57"/>
      <c r="S171" s="80"/>
      <c r="U171" s="142"/>
      <c r="V171" s="142"/>
      <c r="Z171" s="143"/>
      <c r="AA171" s="144"/>
      <c r="AB171" s="145"/>
      <c r="AC171" s="145"/>
      <c r="AD171" s="145"/>
      <c r="AE171" s="145"/>
      <c r="AF171" s="145"/>
      <c r="AG171" s="145"/>
      <c r="AH171" s="145"/>
      <c r="AK171" s="88"/>
    </row>
    <row r="172" spans="3:37" ht="15.75" customHeight="1">
      <c r="C172" s="135"/>
      <c r="E172" s="176"/>
      <c r="G172" s="90"/>
      <c r="H172" s="90"/>
      <c r="I172" s="82"/>
      <c r="J172" s="137"/>
      <c r="K172" s="82"/>
      <c r="L172" s="240"/>
      <c r="M172" s="80"/>
      <c r="N172" s="271"/>
      <c r="O172" s="139"/>
      <c r="Q172" s="142"/>
      <c r="R172" s="57"/>
      <c r="S172" s="80"/>
      <c r="U172" s="142"/>
      <c r="V172" s="142"/>
      <c r="Z172" s="143"/>
      <c r="AA172" s="144"/>
      <c r="AB172" s="145"/>
      <c r="AC172" s="145"/>
      <c r="AD172" s="145"/>
      <c r="AE172" s="145"/>
      <c r="AF172" s="145"/>
      <c r="AG172" s="145"/>
      <c r="AH172" s="145"/>
      <c r="AK172" s="88"/>
    </row>
    <row r="173" spans="3:37" ht="15.75" customHeight="1">
      <c r="C173" s="135"/>
      <c r="E173" s="176"/>
      <c r="G173" s="90"/>
      <c r="H173" s="90"/>
      <c r="I173" s="82"/>
      <c r="J173" s="137"/>
      <c r="K173" s="82"/>
      <c r="L173" s="240"/>
      <c r="M173" s="80"/>
      <c r="N173" s="271"/>
      <c r="O173" s="139"/>
      <c r="Q173" s="142"/>
      <c r="R173" s="57"/>
      <c r="S173" s="80"/>
      <c r="U173" s="142"/>
      <c r="V173" s="142"/>
      <c r="Z173" s="143"/>
      <c r="AA173" s="144"/>
      <c r="AB173" s="145"/>
      <c r="AC173" s="145"/>
      <c r="AD173" s="145"/>
      <c r="AE173" s="145"/>
      <c r="AF173" s="145"/>
      <c r="AG173" s="145"/>
      <c r="AH173" s="145"/>
      <c r="AK173" s="88"/>
    </row>
    <row r="174" spans="3:37" ht="15.75" customHeight="1">
      <c r="C174" s="135"/>
      <c r="E174" s="176"/>
      <c r="G174" s="90"/>
      <c r="H174" s="90"/>
      <c r="I174" s="82"/>
      <c r="J174" s="137"/>
      <c r="K174" s="82"/>
      <c r="L174" s="240"/>
      <c r="M174" s="80"/>
      <c r="N174" s="271"/>
      <c r="O174" s="139"/>
      <c r="Q174" s="142"/>
      <c r="R174" s="57"/>
      <c r="S174" s="80"/>
      <c r="U174" s="142"/>
      <c r="V174" s="142"/>
      <c r="Z174" s="143"/>
      <c r="AA174" s="144"/>
      <c r="AB174" s="145"/>
      <c r="AC174" s="145"/>
      <c r="AD174" s="145"/>
      <c r="AE174" s="145"/>
      <c r="AF174" s="145"/>
      <c r="AG174" s="145"/>
      <c r="AH174" s="145"/>
      <c r="AK174" s="88"/>
    </row>
    <row r="175" spans="3:37" ht="15.75" customHeight="1">
      <c r="C175" s="135"/>
      <c r="E175" s="176"/>
      <c r="G175" s="90"/>
      <c r="H175" s="90"/>
      <c r="I175" s="82"/>
      <c r="J175" s="137"/>
      <c r="K175" s="82"/>
      <c r="L175" s="240"/>
      <c r="M175" s="80"/>
      <c r="N175" s="271"/>
      <c r="O175" s="139"/>
      <c r="Q175" s="142"/>
      <c r="R175" s="57"/>
      <c r="S175" s="80"/>
      <c r="U175" s="142"/>
      <c r="V175" s="142"/>
      <c r="Z175" s="143"/>
      <c r="AA175" s="144"/>
      <c r="AB175" s="145"/>
      <c r="AC175" s="145"/>
      <c r="AD175" s="145"/>
      <c r="AE175" s="145"/>
      <c r="AF175" s="145"/>
      <c r="AG175" s="145"/>
      <c r="AH175" s="145"/>
      <c r="AK175" s="88"/>
    </row>
    <row r="176" spans="3:37" ht="15.75" customHeight="1">
      <c r="C176" s="135"/>
      <c r="E176" s="176"/>
      <c r="G176" s="90"/>
      <c r="H176" s="90"/>
      <c r="I176" s="82"/>
      <c r="J176" s="137"/>
      <c r="K176" s="82"/>
      <c r="L176" s="240"/>
      <c r="M176" s="80"/>
      <c r="N176" s="271"/>
      <c r="O176" s="139"/>
      <c r="Q176" s="142"/>
      <c r="R176" s="57"/>
      <c r="S176" s="80"/>
      <c r="U176" s="142"/>
      <c r="V176" s="142"/>
      <c r="Z176" s="143"/>
      <c r="AA176" s="144"/>
      <c r="AB176" s="145"/>
      <c r="AC176" s="145"/>
      <c r="AD176" s="145"/>
      <c r="AE176" s="145"/>
      <c r="AF176" s="145"/>
      <c r="AG176" s="145"/>
      <c r="AH176" s="145"/>
      <c r="AK176" s="88"/>
    </row>
    <row r="177" spans="3:37" ht="15.75" customHeight="1">
      <c r="C177" s="135"/>
      <c r="E177" s="176"/>
      <c r="G177" s="90"/>
      <c r="H177" s="90"/>
      <c r="I177" s="82"/>
      <c r="J177" s="137"/>
      <c r="K177" s="82"/>
      <c r="L177" s="240"/>
      <c r="M177" s="80"/>
      <c r="N177" s="271"/>
      <c r="O177" s="139"/>
      <c r="Q177" s="142"/>
      <c r="R177" s="57"/>
      <c r="S177" s="80"/>
      <c r="U177" s="142"/>
      <c r="V177" s="142"/>
      <c r="Z177" s="143"/>
      <c r="AA177" s="144"/>
      <c r="AB177" s="145"/>
      <c r="AC177" s="145"/>
      <c r="AD177" s="145"/>
      <c r="AE177" s="145"/>
      <c r="AF177" s="145"/>
      <c r="AG177" s="145"/>
      <c r="AH177" s="145"/>
      <c r="AK177" s="88"/>
    </row>
    <row r="178" spans="3:37" ht="15.75" customHeight="1">
      <c r="C178" s="135"/>
      <c r="E178" s="176"/>
      <c r="G178" s="90"/>
      <c r="H178" s="90"/>
      <c r="I178" s="82"/>
      <c r="J178" s="137"/>
      <c r="K178" s="82"/>
      <c r="L178" s="240"/>
      <c r="M178" s="80"/>
      <c r="N178" s="271"/>
      <c r="O178" s="139"/>
      <c r="Q178" s="142"/>
      <c r="R178" s="57"/>
      <c r="S178" s="80"/>
      <c r="U178" s="142"/>
      <c r="V178" s="142"/>
      <c r="Z178" s="143"/>
      <c r="AA178" s="144"/>
      <c r="AB178" s="145"/>
      <c r="AC178" s="145"/>
      <c r="AD178" s="145"/>
      <c r="AE178" s="145"/>
      <c r="AF178" s="145"/>
      <c r="AG178" s="145"/>
      <c r="AH178" s="145"/>
      <c r="AK178" s="88"/>
    </row>
    <row r="179" spans="3:37" ht="15.75" customHeight="1">
      <c r="C179" s="135"/>
      <c r="E179" s="176"/>
      <c r="G179" s="90"/>
      <c r="H179" s="90"/>
      <c r="I179" s="82"/>
      <c r="J179" s="137"/>
      <c r="K179" s="82"/>
      <c r="L179" s="240"/>
      <c r="M179" s="80"/>
      <c r="N179" s="271"/>
      <c r="O179" s="139"/>
      <c r="Q179" s="142"/>
      <c r="R179" s="57"/>
      <c r="S179" s="80"/>
      <c r="U179" s="142"/>
      <c r="V179" s="142"/>
      <c r="Z179" s="143"/>
      <c r="AA179" s="144"/>
      <c r="AB179" s="145"/>
      <c r="AC179" s="145"/>
      <c r="AD179" s="145"/>
      <c r="AE179" s="145"/>
      <c r="AF179" s="145"/>
      <c r="AG179" s="145"/>
      <c r="AH179" s="145"/>
      <c r="AK179" s="88"/>
    </row>
    <row r="180" spans="3:37" ht="15.75" customHeight="1">
      <c r="C180" s="135"/>
      <c r="E180" s="176"/>
      <c r="G180" s="90"/>
      <c r="H180" s="90"/>
      <c r="I180" s="82"/>
      <c r="J180" s="137"/>
      <c r="K180" s="82"/>
      <c r="L180" s="240"/>
      <c r="M180" s="80"/>
      <c r="N180" s="271"/>
      <c r="O180" s="139"/>
      <c r="Q180" s="142"/>
      <c r="R180" s="57"/>
      <c r="S180" s="80"/>
      <c r="U180" s="142"/>
      <c r="V180" s="142"/>
      <c r="Z180" s="143"/>
      <c r="AA180" s="144"/>
      <c r="AB180" s="145"/>
      <c r="AC180" s="145"/>
      <c r="AD180" s="145"/>
      <c r="AE180" s="145"/>
      <c r="AF180" s="145"/>
      <c r="AG180" s="145"/>
      <c r="AH180" s="145"/>
      <c r="AK180" s="88"/>
    </row>
    <row r="181" spans="3:37" ht="15.75" customHeight="1">
      <c r="C181" s="135"/>
      <c r="E181" s="176"/>
      <c r="G181" s="90"/>
      <c r="H181" s="90"/>
      <c r="I181" s="82"/>
      <c r="J181" s="137"/>
      <c r="K181" s="82"/>
      <c r="L181" s="240"/>
      <c r="M181" s="80"/>
      <c r="N181" s="271"/>
      <c r="O181" s="139"/>
      <c r="Q181" s="142"/>
      <c r="R181" s="57"/>
      <c r="S181" s="80"/>
      <c r="U181" s="142"/>
      <c r="V181" s="142"/>
      <c r="Z181" s="143"/>
      <c r="AA181" s="144"/>
      <c r="AB181" s="145"/>
      <c r="AC181" s="145"/>
      <c r="AD181" s="145"/>
      <c r="AE181" s="145"/>
      <c r="AF181" s="145"/>
      <c r="AG181" s="145"/>
      <c r="AH181" s="145"/>
      <c r="AK181" s="88"/>
    </row>
    <row r="182" spans="3:37" ht="15.75" customHeight="1">
      <c r="C182" s="135"/>
      <c r="E182" s="176"/>
      <c r="G182" s="90"/>
      <c r="H182" s="90"/>
      <c r="I182" s="82"/>
      <c r="J182" s="137"/>
      <c r="K182" s="82"/>
      <c r="L182" s="240"/>
      <c r="M182" s="80"/>
      <c r="N182" s="271"/>
      <c r="O182" s="139"/>
      <c r="Q182" s="142"/>
      <c r="R182" s="57"/>
      <c r="S182" s="80"/>
      <c r="U182" s="142"/>
      <c r="V182" s="142"/>
      <c r="Z182" s="143"/>
      <c r="AA182" s="144"/>
      <c r="AB182" s="145"/>
      <c r="AC182" s="145"/>
      <c r="AD182" s="145"/>
      <c r="AE182" s="145"/>
      <c r="AF182" s="145"/>
      <c r="AG182" s="145"/>
      <c r="AH182" s="145"/>
      <c r="AK182" s="88"/>
    </row>
    <row r="183" spans="3:37" ht="15.75" customHeight="1">
      <c r="C183" s="135"/>
      <c r="E183" s="176"/>
      <c r="G183" s="90"/>
      <c r="H183" s="90"/>
      <c r="I183" s="82"/>
      <c r="J183" s="137"/>
      <c r="K183" s="82"/>
      <c r="L183" s="240"/>
      <c r="M183" s="80"/>
      <c r="N183" s="271"/>
      <c r="O183" s="139"/>
      <c r="Q183" s="142"/>
      <c r="R183" s="57"/>
      <c r="S183" s="80"/>
      <c r="U183" s="142"/>
      <c r="V183" s="142"/>
      <c r="Z183" s="143"/>
      <c r="AA183" s="144"/>
      <c r="AB183" s="145"/>
      <c r="AC183" s="145"/>
      <c r="AD183" s="145"/>
      <c r="AE183" s="145"/>
      <c r="AF183" s="145"/>
      <c r="AG183" s="145"/>
      <c r="AH183" s="145"/>
      <c r="AK183" s="88"/>
    </row>
    <row r="184" spans="3:37" ht="15.75" customHeight="1">
      <c r="C184" s="135"/>
      <c r="E184" s="176"/>
      <c r="G184" s="90"/>
      <c r="H184" s="90"/>
      <c r="I184" s="82"/>
      <c r="J184" s="137"/>
      <c r="K184" s="82"/>
      <c r="L184" s="240"/>
      <c r="M184" s="80"/>
      <c r="N184" s="271"/>
      <c r="O184" s="139"/>
      <c r="Q184" s="142"/>
      <c r="R184" s="57"/>
      <c r="S184" s="80"/>
      <c r="U184" s="142"/>
      <c r="V184" s="142"/>
      <c r="Z184" s="143"/>
      <c r="AA184" s="144"/>
      <c r="AB184" s="145"/>
      <c r="AC184" s="145"/>
      <c r="AD184" s="145"/>
      <c r="AE184" s="145"/>
      <c r="AF184" s="145"/>
      <c r="AG184" s="145"/>
      <c r="AH184" s="145"/>
      <c r="AK184" s="88"/>
    </row>
    <row r="185" spans="3:37" ht="15.75" customHeight="1">
      <c r="C185" s="135"/>
      <c r="E185" s="176"/>
      <c r="G185" s="90"/>
      <c r="H185" s="90"/>
      <c r="I185" s="82"/>
      <c r="J185" s="137"/>
      <c r="K185" s="82"/>
      <c r="L185" s="240"/>
      <c r="M185" s="80"/>
      <c r="N185" s="271"/>
      <c r="O185" s="139"/>
      <c r="Q185" s="142"/>
      <c r="R185" s="57"/>
      <c r="S185" s="80"/>
      <c r="U185" s="142"/>
      <c r="V185" s="142"/>
      <c r="Z185" s="143"/>
      <c r="AA185" s="144"/>
      <c r="AB185" s="145"/>
      <c r="AC185" s="145"/>
      <c r="AD185" s="145"/>
      <c r="AE185" s="145"/>
      <c r="AF185" s="145"/>
      <c r="AG185" s="145"/>
      <c r="AH185" s="145"/>
      <c r="AK185" s="88"/>
    </row>
    <row r="186" spans="3:37" ht="15.75" customHeight="1">
      <c r="C186" s="135"/>
      <c r="E186" s="176"/>
      <c r="G186" s="90"/>
      <c r="H186" s="90"/>
      <c r="I186" s="82"/>
      <c r="J186" s="137"/>
      <c r="K186" s="82"/>
      <c r="L186" s="240"/>
      <c r="M186" s="80"/>
      <c r="N186" s="271"/>
      <c r="O186" s="139"/>
      <c r="Q186" s="142"/>
      <c r="R186" s="57"/>
      <c r="S186" s="80"/>
      <c r="U186" s="142"/>
      <c r="V186" s="142"/>
      <c r="Z186" s="143"/>
      <c r="AA186" s="144"/>
      <c r="AB186" s="145"/>
      <c r="AC186" s="145"/>
      <c r="AD186" s="145"/>
      <c r="AE186" s="145"/>
      <c r="AF186" s="145"/>
      <c r="AG186" s="145"/>
      <c r="AH186" s="145"/>
      <c r="AK186" s="88"/>
    </row>
    <row r="187" spans="3:37" ht="15.75" customHeight="1">
      <c r="C187" s="135"/>
      <c r="E187" s="176"/>
      <c r="G187" s="90"/>
      <c r="H187" s="90"/>
      <c r="I187" s="82"/>
      <c r="J187" s="137"/>
      <c r="K187" s="82"/>
      <c r="L187" s="240"/>
      <c r="M187" s="80"/>
      <c r="N187" s="271"/>
      <c r="O187" s="139"/>
      <c r="Q187" s="142"/>
      <c r="R187" s="57"/>
      <c r="S187" s="80"/>
      <c r="U187" s="142"/>
      <c r="V187" s="142"/>
      <c r="Z187" s="143"/>
      <c r="AA187" s="144"/>
      <c r="AB187" s="145"/>
      <c r="AC187" s="145"/>
      <c r="AD187" s="145"/>
      <c r="AE187" s="145"/>
      <c r="AF187" s="145"/>
      <c r="AG187" s="145"/>
      <c r="AH187" s="145"/>
      <c r="AK187" s="88"/>
    </row>
    <row r="188" spans="3:37" ht="15.75" customHeight="1">
      <c r="C188" s="135"/>
      <c r="E188" s="176"/>
      <c r="G188" s="90"/>
      <c r="H188" s="90"/>
      <c r="I188" s="82"/>
      <c r="J188" s="137"/>
      <c r="K188" s="82"/>
      <c r="L188" s="240"/>
      <c r="M188" s="80"/>
      <c r="N188" s="271"/>
      <c r="O188" s="139"/>
      <c r="Q188" s="142"/>
      <c r="R188" s="57"/>
      <c r="S188" s="80"/>
      <c r="U188" s="142"/>
      <c r="V188" s="142"/>
      <c r="Z188" s="143"/>
      <c r="AA188" s="144"/>
      <c r="AB188" s="145"/>
      <c r="AC188" s="145"/>
      <c r="AD188" s="145"/>
      <c r="AE188" s="145"/>
      <c r="AF188" s="145"/>
      <c r="AG188" s="145"/>
      <c r="AH188" s="145"/>
      <c r="AK188" s="88"/>
    </row>
    <row r="189" spans="3:37" ht="15.75" customHeight="1">
      <c r="C189" s="135"/>
      <c r="E189" s="176"/>
      <c r="G189" s="90"/>
      <c r="H189" s="90"/>
      <c r="I189" s="82"/>
      <c r="J189" s="137"/>
      <c r="K189" s="82"/>
      <c r="L189" s="240"/>
      <c r="M189" s="80"/>
      <c r="N189" s="271"/>
      <c r="O189" s="139"/>
      <c r="Q189" s="142"/>
      <c r="R189" s="57"/>
      <c r="S189" s="80"/>
      <c r="U189" s="142"/>
      <c r="V189" s="142"/>
      <c r="Z189" s="143"/>
      <c r="AA189" s="144"/>
      <c r="AB189" s="145"/>
      <c r="AC189" s="145"/>
      <c r="AD189" s="145"/>
      <c r="AE189" s="145"/>
      <c r="AF189" s="145"/>
      <c r="AG189" s="145"/>
      <c r="AH189" s="145"/>
      <c r="AK189" s="88"/>
    </row>
    <row r="190" spans="3:37" ht="15.75" customHeight="1">
      <c r="C190" s="135"/>
      <c r="E190" s="176"/>
      <c r="G190" s="90"/>
      <c r="H190" s="90"/>
      <c r="I190" s="82"/>
      <c r="J190" s="137"/>
      <c r="K190" s="82"/>
      <c r="L190" s="240"/>
      <c r="M190" s="80"/>
      <c r="N190" s="271"/>
      <c r="O190" s="139"/>
      <c r="Q190" s="142"/>
      <c r="R190" s="57"/>
      <c r="S190" s="80"/>
      <c r="U190" s="142"/>
      <c r="V190" s="142"/>
      <c r="Z190" s="143"/>
      <c r="AA190" s="144"/>
      <c r="AB190" s="145"/>
      <c r="AC190" s="145"/>
      <c r="AD190" s="145"/>
      <c r="AE190" s="145"/>
      <c r="AF190" s="145"/>
      <c r="AG190" s="145"/>
      <c r="AH190" s="145"/>
      <c r="AK190" s="88"/>
    </row>
    <row r="191" spans="3:37" ht="15.75" customHeight="1">
      <c r="C191" s="135"/>
      <c r="E191" s="176"/>
      <c r="G191" s="90"/>
      <c r="H191" s="90"/>
      <c r="I191" s="82"/>
      <c r="J191" s="137"/>
      <c r="K191" s="82"/>
      <c r="L191" s="240"/>
      <c r="M191" s="80"/>
      <c r="N191" s="271"/>
      <c r="O191" s="139"/>
      <c r="Q191" s="142"/>
      <c r="R191" s="57"/>
      <c r="S191" s="80"/>
      <c r="U191" s="142"/>
      <c r="V191" s="142"/>
      <c r="Z191" s="143"/>
      <c r="AA191" s="144"/>
      <c r="AB191" s="145"/>
      <c r="AC191" s="145"/>
      <c r="AD191" s="145"/>
      <c r="AE191" s="145"/>
      <c r="AF191" s="145"/>
      <c r="AG191" s="145"/>
      <c r="AH191" s="145"/>
      <c r="AK191" s="88"/>
    </row>
    <row r="192" spans="3:37" ht="15.75" customHeight="1">
      <c r="C192" s="135"/>
      <c r="E192" s="176"/>
      <c r="G192" s="90"/>
      <c r="H192" s="90"/>
      <c r="I192" s="82"/>
      <c r="J192" s="137"/>
      <c r="K192" s="82"/>
      <c r="L192" s="240"/>
      <c r="M192" s="80"/>
      <c r="N192" s="271"/>
      <c r="O192" s="139"/>
      <c r="Q192" s="142"/>
      <c r="R192" s="57"/>
      <c r="S192" s="80"/>
      <c r="U192" s="142"/>
      <c r="V192" s="142"/>
      <c r="Z192" s="143"/>
      <c r="AA192" s="144"/>
      <c r="AB192" s="145"/>
      <c r="AC192" s="145"/>
      <c r="AD192" s="145"/>
      <c r="AE192" s="145"/>
      <c r="AF192" s="145"/>
      <c r="AG192" s="145"/>
      <c r="AH192" s="145"/>
      <c r="AK192" s="88"/>
    </row>
    <row r="193" spans="3:37" ht="15.75" customHeight="1">
      <c r="C193" s="135"/>
      <c r="E193" s="176"/>
      <c r="G193" s="90"/>
      <c r="H193" s="90"/>
      <c r="I193" s="82"/>
      <c r="J193" s="137"/>
      <c r="K193" s="82"/>
      <c r="L193" s="240"/>
      <c r="M193" s="80"/>
      <c r="N193" s="271"/>
      <c r="O193" s="139"/>
      <c r="Q193" s="142"/>
      <c r="R193" s="57"/>
      <c r="S193" s="80"/>
      <c r="U193" s="142"/>
      <c r="V193" s="142"/>
      <c r="Z193" s="143"/>
      <c r="AA193" s="144"/>
      <c r="AB193" s="145"/>
      <c r="AC193" s="145"/>
      <c r="AD193" s="145"/>
      <c r="AE193" s="145"/>
      <c r="AF193" s="145"/>
      <c r="AG193" s="145"/>
      <c r="AH193" s="145"/>
      <c r="AK193" s="88"/>
    </row>
    <row r="194" spans="3:37" ht="15.75" customHeight="1">
      <c r="C194" s="135"/>
      <c r="E194" s="176"/>
      <c r="G194" s="90"/>
      <c r="H194" s="90"/>
      <c r="I194" s="82"/>
      <c r="J194" s="137"/>
      <c r="K194" s="82"/>
      <c r="L194" s="240"/>
      <c r="M194" s="80"/>
      <c r="N194" s="271"/>
      <c r="O194" s="139"/>
      <c r="Q194" s="142"/>
      <c r="R194" s="57"/>
      <c r="S194" s="80"/>
      <c r="U194" s="142"/>
      <c r="V194" s="142"/>
      <c r="Z194" s="143"/>
      <c r="AA194" s="144"/>
      <c r="AB194" s="145"/>
      <c r="AC194" s="145"/>
      <c r="AD194" s="145"/>
      <c r="AE194" s="145"/>
      <c r="AF194" s="145"/>
      <c r="AG194" s="145"/>
      <c r="AH194" s="145"/>
      <c r="AK194" s="88"/>
    </row>
    <row r="195" spans="3:37" ht="15.75" customHeight="1">
      <c r="C195" s="135"/>
      <c r="E195" s="176"/>
      <c r="G195" s="90"/>
      <c r="H195" s="90"/>
      <c r="I195" s="82"/>
      <c r="J195" s="137"/>
      <c r="K195" s="82"/>
      <c r="L195" s="240"/>
      <c r="M195" s="80"/>
      <c r="N195" s="271"/>
      <c r="O195" s="139"/>
      <c r="Q195" s="142"/>
      <c r="R195" s="57"/>
      <c r="S195" s="80"/>
      <c r="U195" s="142"/>
      <c r="V195" s="142"/>
      <c r="Z195" s="143"/>
      <c r="AA195" s="144"/>
      <c r="AB195" s="145"/>
      <c r="AC195" s="145"/>
      <c r="AD195" s="145"/>
      <c r="AE195" s="145"/>
      <c r="AF195" s="145"/>
      <c r="AG195" s="145"/>
      <c r="AH195" s="145"/>
      <c r="AK195" s="88"/>
    </row>
    <row r="196" spans="3:37" ht="15.75" customHeight="1">
      <c r="C196" s="135"/>
      <c r="E196" s="176"/>
      <c r="G196" s="90"/>
      <c r="H196" s="90"/>
      <c r="I196" s="82"/>
      <c r="J196" s="137"/>
      <c r="K196" s="82"/>
      <c r="L196" s="240"/>
      <c r="M196" s="80"/>
      <c r="N196" s="271"/>
      <c r="O196" s="139"/>
      <c r="Q196" s="142"/>
      <c r="R196" s="57"/>
      <c r="S196" s="80"/>
      <c r="U196" s="142"/>
      <c r="V196" s="142"/>
      <c r="Z196" s="143"/>
      <c r="AA196" s="144"/>
      <c r="AB196" s="145"/>
      <c r="AC196" s="145"/>
      <c r="AD196" s="145"/>
      <c r="AE196" s="145"/>
      <c r="AF196" s="145"/>
      <c r="AG196" s="145"/>
      <c r="AH196" s="145"/>
      <c r="AK196" s="88"/>
    </row>
    <row r="197" spans="3:37" ht="15.75" customHeight="1">
      <c r="C197" s="135"/>
      <c r="E197" s="176"/>
      <c r="G197" s="90"/>
      <c r="H197" s="90"/>
      <c r="I197" s="82"/>
      <c r="J197" s="137"/>
      <c r="K197" s="82"/>
      <c r="L197" s="240"/>
      <c r="M197" s="80"/>
      <c r="N197" s="271"/>
      <c r="O197" s="139"/>
      <c r="Q197" s="142"/>
      <c r="R197" s="57"/>
      <c r="S197" s="80"/>
      <c r="U197" s="142"/>
      <c r="V197" s="142"/>
      <c r="Z197" s="143"/>
      <c r="AA197" s="144"/>
      <c r="AB197" s="145"/>
      <c r="AC197" s="145"/>
      <c r="AD197" s="145"/>
      <c r="AE197" s="145"/>
      <c r="AF197" s="145"/>
      <c r="AG197" s="145"/>
      <c r="AH197" s="145"/>
      <c r="AK197" s="88"/>
    </row>
    <row r="198" spans="3:37" ht="15.75" customHeight="1">
      <c r="C198" s="135"/>
      <c r="E198" s="176"/>
      <c r="G198" s="90"/>
      <c r="H198" s="90"/>
      <c r="I198" s="82"/>
      <c r="J198" s="137"/>
      <c r="K198" s="82"/>
      <c r="L198" s="240"/>
      <c r="M198" s="80"/>
      <c r="N198" s="271"/>
      <c r="O198" s="139"/>
      <c r="Q198" s="142"/>
      <c r="R198" s="57"/>
      <c r="S198" s="80"/>
      <c r="U198" s="142"/>
      <c r="V198" s="142"/>
      <c r="Z198" s="143"/>
      <c r="AA198" s="144"/>
      <c r="AB198" s="145"/>
      <c r="AC198" s="145"/>
      <c r="AD198" s="145"/>
      <c r="AE198" s="145"/>
      <c r="AF198" s="145"/>
      <c r="AG198" s="145"/>
      <c r="AH198" s="145"/>
      <c r="AK198" s="88"/>
    </row>
    <row r="199" spans="3:37" ht="15.75" customHeight="1">
      <c r="C199" s="135"/>
      <c r="E199" s="176"/>
      <c r="G199" s="90"/>
      <c r="H199" s="90"/>
      <c r="I199" s="82"/>
      <c r="J199" s="137"/>
      <c r="K199" s="82"/>
      <c r="L199" s="240"/>
      <c r="M199" s="80"/>
      <c r="N199" s="271"/>
      <c r="O199" s="139"/>
      <c r="Q199" s="142"/>
      <c r="R199" s="57"/>
      <c r="S199" s="80"/>
      <c r="U199" s="142"/>
      <c r="V199" s="142"/>
      <c r="Z199" s="143"/>
      <c r="AA199" s="144"/>
      <c r="AB199" s="145"/>
      <c r="AC199" s="145"/>
      <c r="AD199" s="145"/>
      <c r="AE199" s="145"/>
      <c r="AF199" s="145"/>
      <c r="AG199" s="145"/>
      <c r="AH199" s="145"/>
      <c r="AK199" s="88"/>
    </row>
    <row r="200" spans="3:37" ht="15.75" customHeight="1">
      <c r="C200" s="135"/>
      <c r="E200" s="176"/>
      <c r="G200" s="90"/>
      <c r="H200" s="90"/>
      <c r="I200" s="82"/>
      <c r="J200" s="137"/>
      <c r="K200" s="82"/>
      <c r="L200" s="240"/>
      <c r="M200" s="80"/>
      <c r="N200" s="271"/>
      <c r="O200" s="139"/>
      <c r="Q200" s="142"/>
      <c r="R200" s="57"/>
      <c r="S200" s="80"/>
      <c r="U200" s="142"/>
      <c r="V200" s="142"/>
      <c r="Z200" s="143"/>
      <c r="AA200" s="144"/>
      <c r="AB200" s="145"/>
      <c r="AC200" s="145"/>
      <c r="AD200" s="145"/>
      <c r="AE200" s="145"/>
      <c r="AF200" s="145"/>
      <c r="AG200" s="145"/>
      <c r="AH200" s="145"/>
      <c r="AK200" s="88"/>
    </row>
    <row r="201" spans="3:37" ht="15.75" customHeight="1">
      <c r="C201" s="135"/>
      <c r="E201" s="176"/>
      <c r="G201" s="90"/>
      <c r="H201" s="90"/>
      <c r="I201" s="82"/>
      <c r="J201" s="137"/>
      <c r="K201" s="82"/>
      <c r="L201" s="240"/>
      <c r="M201" s="80"/>
      <c r="N201" s="271"/>
      <c r="O201" s="139"/>
      <c r="Q201" s="142"/>
      <c r="R201" s="57"/>
      <c r="S201" s="80"/>
      <c r="U201" s="142"/>
      <c r="V201" s="142"/>
      <c r="Z201" s="143"/>
      <c r="AA201" s="144"/>
      <c r="AB201" s="145"/>
      <c r="AC201" s="145"/>
      <c r="AD201" s="145"/>
      <c r="AE201" s="145"/>
      <c r="AF201" s="145"/>
      <c r="AG201" s="145"/>
      <c r="AH201" s="145"/>
      <c r="AK201" s="88"/>
    </row>
    <row r="202" spans="3:37" ht="15.75" customHeight="1">
      <c r="C202" s="135"/>
      <c r="E202" s="176"/>
      <c r="G202" s="90"/>
      <c r="H202" s="90"/>
      <c r="I202" s="82"/>
      <c r="J202" s="137"/>
      <c r="K202" s="82"/>
      <c r="L202" s="240"/>
      <c r="M202" s="80"/>
      <c r="N202" s="271"/>
      <c r="O202" s="139"/>
      <c r="Q202" s="142"/>
      <c r="R202" s="57"/>
      <c r="S202" s="80"/>
      <c r="U202" s="142"/>
      <c r="V202" s="142"/>
      <c r="Z202" s="143"/>
      <c r="AA202" s="144"/>
      <c r="AB202" s="145"/>
      <c r="AC202" s="145"/>
      <c r="AD202" s="145"/>
      <c r="AE202" s="145"/>
      <c r="AF202" s="145"/>
      <c r="AG202" s="145"/>
      <c r="AH202" s="145"/>
      <c r="AK202" s="88"/>
    </row>
    <row r="203" spans="3:37" ht="15.75" customHeight="1">
      <c r="C203" s="135"/>
      <c r="E203" s="176"/>
      <c r="G203" s="90"/>
      <c r="H203" s="90"/>
      <c r="I203" s="82"/>
      <c r="J203" s="137"/>
      <c r="K203" s="82"/>
      <c r="L203" s="240"/>
      <c r="M203" s="80"/>
      <c r="N203" s="271"/>
      <c r="O203" s="139"/>
      <c r="Q203" s="142"/>
      <c r="R203" s="57"/>
      <c r="S203" s="80"/>
      <c r="U203" s="142"/>
      <c r="V203" s="142"/>
      <c r="Z203" s="143"/>
      <c r="AA203" s="144"/>
      <c r="AB203" s="145"/>
      <c r="AC203" s="145"/>
      <c r="AD203" s="145"/>
      <c r="AE203" s="145"/>
      <c r="AF203" s="145"/>
      <c r="AG203" s="145"/>
      <c r="AH203" s="145"/>
      <c r="AK203" s="88"/>
    </row>
    <row r="204" spans="3:37" ht="15.75" customHeight="1">
      <c r="C204" s="135"/>
      <c r="E204" s="176"/>
      <c r="G204" s="90"/>
      <c r="H204" s="90"/>
      <c r="I204" s="82"/>
      <c r="J204" s="137"/>
      <c r="K204" s="82"/>
      <c r="L204" s="240"/>
      <c r="M204" s="80"/>
      <c r="N204" s="271"/>
      <c r="O204" s="139"/>
      <c r="Q204" s="142"/>
      <c r="R204" s="57"/>
      <c r="S204" s="80"/>
      <c r="U204" s="142"/>
      <c r="V204" s="142"/>
      <c r="Z204" s="143"/>
      <c r="AA204" s="144"/>
      <c r="AB204" s="145"/>
      <c r="AC204" s="145"/>
      <c r="AD204" s="145"/>
      <c r="AE204" s="145"/>
      <c r="AF204" s="145"/>
      <c r="AG204" s="145"/>
      <c r="AH204" s="145"/>
      <c r="AK204" s="88"/>
    </row>
    <row r="205" spans="3:37" ht="15.75" customHeight="1">
      <c r="C205" s="135"/>
      <c r="E205" s="176"/>
      <c r="G205" s="90"/>
      <c r="H205" s="90"/>
      <c r="I205" s="82"/>
      <c r="J205" s="137"/>
      <c r="K205" s="82"/>
      <c r="L205" s="240"/>
      <c r="M205" s="80"/>
      <c r="N205" s="271"/>
      <c r="O205" s="139"/>
      <c r="Q205" s="142"/>
      <c r="R205" s="57"/>
      <c r="S205" s="80"/>
      <c r="U205" s="142"/>
      <c r="V205" s="142"/>
      <c r="Z205" s="143"/>
      <c r="AA205" s="144"/>
      <c r="AB205" s="145"/>
      <c r="AC205" s="145"/>
      <c r="AD205" s="145"/>
      <c r="AE205" s="145"/>
      <c r="AF205" s="145"/>
      <c r="AG205" s="145"/>
      <c r="AH205" s="145"/>
      <c r="AK205" s="88"/>
    </row>
    <row r="206" spans="3:37" ht="15.75" customHeight="1">
      <c r="C206" s="135"/>
      <c r="E206" s="176"/>
      <c r="G206" s="90"/>
      <c r="H206" s="90"/>
      <c r="I206" s="82"/>
      <c r="J206" s="137"/>
      <c r="K206" s="82"/>
      <c r="L206" s="240"/>
      <c r="M206" s="80"/>
      <c r="N206" s="271"/>
      <c r="O206" s="139"/>
      <c r="Q206" s="142"/>
      <c r="R206" s="57"/>
      <c r="S206" s="80"/>
      <c r="U206" s="142"/>
      <c r="V206" s="142"/>
      <c r="Z206" s="143"/>
      <c r="AA206" s="144"/>
      <c r="AB206" s="145"/>
      <c r="AC206" s="145"/>
      <c r="AD206" s="145"/>
      <c r="AE206" s="145"/>
      <c r="AF206" s="145"/>
      <c r="AG206" s="145"/>
      <c r="AH206" s="145"/>
      <c r="AK206" s="88"/>
    </row>
    <row r="207" spans="3:37" ht="15.75" customHeight="1">
      <c r="C207" s="135"/>
      <c r="E207" s="176"/>
      <c r="G207" s="90"/>
      <c r="H207" s="90"/>
      <c r="I207" s="82"/>
      <c r="J207" s="137"/>
      <c r="K207" s="82"/>
      <c r="L207" s="240"/>
      <c r="M207" s="80"/>
      <c r="N207" s="271"/>
      <c r="O207" s="139"/>
      <c r="Q207" s="142"/>
      <c r="R207" s="57"/>
      <c r="S207" s="80"/>
      <c r="U207" s="142"/>
      <c r="V207" s="142"/>
      <c r="Z207" s="143"/>
      <c r="AA207" s="144"/>
      <c r="AB207" s="145"/>
      <c r="AC207" s="145"/>
      <c r="AD207" s="145"/>
      <c r="AE207" s="145"/>
      <c r="AF207" s="145"/>
      <c r="AG207" s="145"/>
      <c r="AH207" s="145"/>
      <c r="AK207" s="88"/>
    </row>
    <row r="208" spans="3:37" ht="15.75" customHeight="1">
      <c r="C208" s="135"/>
      <c r="E208" s="176"/>
      <c r="G208" s="90"/>
      <c r="H208" s="90"/>
      <c r="I208" s="82"/>
      <c r="J208" s="137"/>
      <c r="K208" s="82"/>
      <c r="L208" s="240"/>
      <c r="M208" s="80"/>
      <c r="N208" s="271"/>
      <c r="O208" s="139"/>
      <c r="Q208" s="142"/>
      <c r="R208" s="57"/>
      <c r="S208" s="80"/>
      <c r="U208" s="142"/>
      <c r="V208" s="142"/>
      <c r="Z208" s="143"/>
      <c r="AA208" s="144"/>
      <c r="AB208" s="145"/>
      <c r="AC208" s="145"/>
      <c r="AD208" s="145"/>
      <c r="AE208" s="145"/>
      <c r="AF208" s="145"/>
      <c r="AG208" s="145"/>
      <c r="AH208" s="145"/>
      <c r="AK208" s="88"/>
    </row>
    <row r="209" spans="3:37" ht="15.75" customHeight="1">
      <c r="C209" s="135"/>
      <c r="E209" s="176"/>
      <c r="G209" s="90"/>
      <c r="H209" s="90"/>
      <c r="I209" s="82"/>
      <c r="J209" s="137"/>
      <c r="K209" s="82"/>
      <c r="L209" s="240"/>
      <c r="M209" s="80"/>
      <c r="N209" s="271"/>
      <c r="O209" s="139"/>
      <c r="Q209" s="142"/>
      <c r="R209" s="57"/>
      <c r="S209" s="80"/>
      <c r="U209" s="142"/>
      <c r="V209" s="142"/>
      <c r="Z209" s="143"/>
      <c r="AA209" s="144"/>
      <c r="AB209" s="145"/>
      <c r="AC209" s="145"/>
      <c r="AD209" s="145"/>
      <c r="AE209" s="145"/>
      <c r="AF209" s="145"/>
      <c r="AG209" s="145"/>
      <c r="AH209" s="145"/>
      <c r="AK209" s="88"/>
    </row>
    <row r="210" spans="3:37" ht="15.75" customHeight="1">
      <c r="C210" s="135"/>
      <c r="E210" s="176"/>
      <c r="G210" s="90"/>
      <c r="H210" s="90"/>
      <c r="I210" s="82"/>
      <c r="J210" s="137"/>
      <c r="K210" s="82"/>
      <c r="L210" s="240"/>
      <c r="M210" s="80"/>
      <c r="N210" s="271"/>
      <c r="O210" s="139"/>
      <c r="Q210" s="142"/>
      <c r="R210" s="57"/>
      <c r="S210" s="80"/>
      <c r="U210" s="142"/>
      <c r="V210" s="142"/>
      <c r="Z210" s="143"/>
      <c r="AA210" s="144"/>
      <c r="AB210" s="145"/>
      <c r="AC210" s="145"/>
      <c r="AD210" s="145"/>
      <c r="AE210" s="145"/>
      <c r="AF210" s="145"/>
      <c r="AG210" s="145"/>
      <c r="AH210" s="145"/>
      <c r="AK210" s="88"/>
    </row>
    <row r="211" spans="3:37" ht="15.75" customHeight="1">
      <c r="C211" s="135"/>
      <c r="E211" s="176"/>
      <c r="G211" s="90"/>
      <c r="H211" s="90"/>
      <c r="I211" s="82"/>
      <c r="J211" s="137"/>
      <c r="K211" s="82"/>
      <c r="L211" s="240"/>
      <c r="M211" s="80"/>
      <c r="N211" s="271"/>
      <c r="O211" s="139"/>
      <c r="Q211" s="142"/>
      <c r="R211" s="57"/>
      <c r="S211" s="80"/>
      <c r="U211" s="142"/>
      <c r="V211" s="142"/>
      <c r="Z211" s="143"/>
      <c r="AA211" s="144"/>
      <c r="AB211" s="145"/>
      <c r="AC211" s="145"/>
      <c r="AD211" s="145"/>
      <c r="AE211" s="145"/>
      <c r="AF211" s="145"/>
      <c r="AG211" s="145"/>
      <c r="AH211" s="145"/>
      <c r="AK211" s="88"/>
    </row>
    <row r="212" spans="3:37" ht="15.75" customHeight="1">
      <c r="C212" s="135"/>
      <c r="E212" s="176"/>
      <c r="G212" s="90"/>
      <c r="H212" s="90"/>
      <c r="I212" s="82"/>
      <c r="J212" s="137"/>
      <c r="K212" s="82"/>
      <c r="L212" s="240"/>
      <c r="M212" s="80"/>
      <c r="N212" s="271"/>
      <c r="O212" s="139"/>
      <c r="Q212" s="142"/>
      <c r="R212" s="57"/>
      <c r="S212" s="80"/>
      <c r="U212" s="142"/>
      <c r="V212" s="142"/>
      <c r="Z212" s="143"/>
      <c r="AA212" s="144"/>
      <c r="AB212" s="145"/>
      <c r="AC212" s="145"/>
      <c r="AD212" s="145"/>
      <c r="AE212" s="145"/>
      <c r="AF212" s="145"/>
      <c r="AG212" s="145"/>
      <c r="AH212" s="145"/>
      <c r="AK212" s="88"/>
    </row>
    <row r="213" spans="3:37" ht="15.75" customHeight="1">
      <c r="C213" s="135"/>
      <c r="E213" s="176"/>
      <c r="G213" s="90"/>
      <c r="H213" s="90"/>
      <c r="I213" s="82"/>
      <c r="J213" s="137"/>
      <c r="K213" s="82"/>
      <c r="L213" s="240"/>
      <c r="M213" s="80"/>
      <c r="N213" s="271"/>
      <c r="O213" s="139"/>
      <c r="Q213" s="142"/>
      <c r="R213" s="57"/>
      <c r="S213" s="80"/>
      <c r="U213" s="142"/>
      <c r="V213" s="142"/>
      <c r="Z213" s="143"/>
      <c r="AA213" s="144"/>
      <c r="AB213" s="145"/>
      <c r="AC213" s="145"/>
      <c r="AD213" s="145"/>
      <c r="AE213" s="145"/>
      <c r="AF213" s="145"/>
      <c r="AG213" s="145"/>
      <c r="AH213" s="145"/>
      <c r="AK213" s="88"/>
    </row>
    <row r="214" spans="3:37" ht="15.75" customHeight="1">
      <c r="C214" s="135"/>
      <c r="E214" s="176"/>
      <c r="G214" s="90"/>
      <c r="H214" s="90"/>
      <c r="I214" s="82"/>
      <c r="J214" s="137"/>
      <c r="K214" s="82"/>
      <c r="L214" s="240"/>
      <c r="M214" s="80"/>
      <c r="N214" s="271"/>
      <c r="O214" s="139"/>
      <c r="Q214" s="142"/>
      <c r="R214" s="57"/>
      <c r="S214" s="80"/>
      <c r="U214" s="142"/>
      <c r="V214" s="142"/>
      <c r="Z214" s="143"/>
      <c r="AA214" s="144"/>
      <c r="AB214" s="145"/>
      <c r="AC214" s="145"/>
      <c r="AD214" s="145"/>
      <c r="AE214" s="145"/>
      <c r="AF214" s="145"/>
      <c r="AG214" s="145"/>
      <c r="AH214" s="145"/>
      <c r="AK214" s="88"/>
    </row>
    <row r="215" spans="3:37" ht="15.75" customHeight="1">
      <c r="C215" s="135"/>
      <c r="E215" s="176"/>
      <c r="G215" s="90"/>
      <c r="H215" s="90"/>
      <c r="I215" s="82"/>
      <c r="J215" s="137"/>
      <c r="K215" s="82"/>
      <c r="L215" s="240"/>
      <c r="M215" s="80"/>
      <c r="N215" s="271"/>
      <c r="O215" s="139"/>
      <c r="Q215" s="142"/>
      <c r="R215" s="57"/>
      <c r="S215" s="80"/>
      <c r="U215" s="142"/>
      <c r="V215" s="142"/>
      <c r="Z215" s="143"/>
      <c r="AA215" s="144"/>
      <c r="AB215" s="145"/>
      <c r="AC215" s="145"/>
      <c r="AD215" s="145"/>
      <c r="AE215" s="145"/>
      <c r="AF215" s="145"/>
      <c r="AG215" s="145"/>
      <c r="AH215" s="145"/>
      <c r="AK215" s="88"/>
    </row>
    <row r="216" spans="3:37" ht="15.75" customHeight="1">
      <c r="C216" s="135"/>
      <c r="E216" s="176"/>
      <c r="G216" s="90"/>
      <c r="H216" s="90"/>
      <c r="I216" s="82"/>
      <c r="J216" s="137"/>
      <c r="K216" s="82"/>
      <c r="L216" s="240"/>
      <c r="M216" s="80"/>
      <c r="N216" s="271"/>
      <c r="O216" s="139"/>
      <c r="Q216" s="142"/>
      <c r="R216" s="57"/>
      <c r="S216" s="80"/>
      <c r="U216" s="142"/>
      <c r="V216" s="142"/>
      <c r="Z216" s="143"/>
      <c r="AA216" s="144"/>
      <c r="AB216" s="145"/>
      <c r="AC216" s="145"/>
      <c r="AD216" s="145"/>
      <c r="AE216" s="145"/>
      <c r="AF216" s="145"/>
      <c r="AG216" s="145"/>
      <c r="AH216" s="145"/>
      <c r="AK216" s="88"/>
    </row>
    <row r="217" spans="3:37" ht="15.75" customHeight="1">
      <c r="C217" s="135"/>
      <c r="E217" s="176"/>
      <c r="G217" s="90"/>
      <c r="H217" s="90"/>
      <c r="I217" s="82"/>
      <c r="J217" s="137"/>
      <c r="K217" s="82"/>
      <c r="L217" s="240"/>
      <c r="M217" s="80"/>
      <c r="N217" s="271"/>
      <c r="O217" s="139"/>
      <c r="Q217" s="142"/>
      <c r="R217" s="57"/>
      <c r="S217" s="80"/>
      <c r="U217" s="142"/>
      <c r="V217" s="142"/>
      <c r="Z217" s="143"/>
      <c r="AA217" s="144"/>
      <c r="AB217" s="145"/>
      <c r="AC217" s="145"/>
      <c r="AD217" s="145"/>
      <c r="AE217" s="145"/>
      <c r="AF217" s="145"/>
      <c r="AG217" s="145"/>
      <c r="AH217" s="145"/>
      <c r="AK217" s="88"/>
    </row>
    <row r="218" spans="3:37" ht="15.75" customHeight="1">
      <c r="C218" s="135"/>
      <c r="E218" s="176"/>
      <c r="G218" s="90"/>
      <c r="H218" s="90"/>
      <c r="I218" s="82"/>
      <c r="J218" s="137"/>
      <c r="K218" s="82"/>
      <c r="L218" s="240"/>
      <c r="M218" s="80"/>
      <c r="N218" s="271"/>
      <c r="O218" s="139"/>
      <c r="Q218" s="142"/>
      <c r="R218" s="57"/>
      <c r="S218" s="80"/>
      <c r="U218" s="142"/>
      <c r="V218" s="142"/>
      <c r="Z218" s="143"/>
      <c r="AA218" s="144"/>
      <c r="AB218" s="145"/>
      <c r="AC218" s="145"/>
      <c r="AD218" s="145"/>
      <c r="AE218" s="145"/>
      <c r="AF218" s="145"/>
      <c r="AG218" s="145"/>
      <c r="AH218" s="145"/>
      <c r="AK218" s="88"/>
    </row>
    <row r="219" spans="3:37" ht="15.75" customHeight="1">
      <c r="C219" s="135"/>
      <c r="E219" s="176"/>
      <c r="G219" s="90"/>
      <c r="H219" s="90"/>
      <c r="I219" s="82"/>
      <c r="J219" s="137"/>
      <c r="K219" s="82"/>
      <c r="L219" s="240"/>
      <c r="M219" s="80"/>
      <c r="N219" s="271"/>
      <c r="O219" s="139"/>
      <c r="Q219" s="142"/>
      <c r="R219" s="57"/>
      <c r="S219" s="80"/>
      <c r="U219" s="142"/>
      <c r="V219" s="142"/>
      <c r="Z219" s="143"/>
      <c r="AA219" s="144"/>
      <c r="AB219" s="145"/>
      <c r="AC219" s="145"/>
      <c r="AD219" s="145"/>
      <c r="AE219" s="145"/>
      <c r="AF219" s="145"/>
      <c r="AG219" s="145"/>
      <c r="AH219" s="145"/>
      <c r="AK219" s="88"/>
    </row>
    <row r="220" spans="3:37" ht="15.75" customHeight="1">
      <c r="C220" s="135"/>
      <c r="E220" s="176"/>
      <c r="G220" s="90"/>
      <c r="H220" s="90"/>
      <c r="I220" s="82"/>
      <c r="J220" s="137"/>
      <c r="K220" s="82"/>
      <c r="L220" s="240"/>
      <c r="M220" s="80"/>
      <c r="N220" s="271"/>
      <c r="O220" s="139"/>
      <c r="Q220" s="142"/>
      <c r="R220" s="57"/>
      <c r="S220" s="80"/>
      <c r="U220" s="142"/>
      <c r="V220" s="142"/>
      <c r="Z220" s="143"/>
      <c r="AA220" s="144"/>
      <c r="AB220" s="145"/>
      <c r="AC220" s="145"/>
      <c r="AD220" s="145"/>
      <c r="AE220" s="145"/>
      <c r="AF220" s="145"/>
      <c r="AG220" s="145"/>
      <c r="AH220" s="145"/>
      <c r="AK220" s="88"/>
    </row>
    <row r="221" spans="3:37" ht="15.75" customHeight="1">
      <c r="C221" s="135"/>
      <c r="E221" s="176"/>
      <c r="G221" s="90"/>
      <c r="H221" s="90"/>
      <c r="I221" s="82"/>
      <c r="J221" s="137"/>
      <c r="K221" s="82"/>
      <c r="L221" s="240"/>
      <c r="M221" s="80"/>
      <c r="N221" s="271"/>
      <c r="O221" s="139"/>
      <c r="Q221" s="142"/>
      <c r="R221" s="57"/>
      <c r="S221" s="80"/>
      <c r="U221" s="142"/>
      <c r="V221" s="142"/>
      <c r="Z221" s="143"/>
      <c r="AA221" s="144"/>
      <c r="AB221" s="145"/>
      <c r="AC221" s="145"/>
      <c r="AD221" s="145"/>
      <c r="AE221" s="145"/>
      <c r="AF221" s="145"/>
      <c r="AG221" s="145"/>
      <c r="AH221" s="145"/>
      <c r="AK221" s="88"/>
    </row>
    <row r="222" spans="3:37" ht="15.75" customHeight="1">
      <c r="C222" s="135"/>
      <c r="E222" s="176"/>
      <c r="G222" s="90"/>
      <c r="H222" s="90"/>
      <c r="I222" s="82"/>
      <c r="J222" s="137"/>
      <c r="K222" s="82"/>
      <c r="L222" s="240"/>
      <c r="M222" s="80"/>
      <c r="N222" s="271"/>
      <c r="O222" s="139"/>
      <c r="Q222" s="142"/>
      <c r="R222" s="57"/>
      <c r="S222" s="80"/>
      <c r="U222" s="142"/>
      <c r="V222" s="142"/>
      <c r="Z222" s="143"/>
      <c r="AA222" s="144"/>
      <c r="AB222" s="145"/>
      <c r="AC222" s="145"/>
      <c r="AD222" s="145"/>
      <c r="AE222" s="145"/>
      <c r="AF222" s="145"/>
      <c r="AG222" s="145"/>
      <c r="AH222" s="145"/>
      <c r="AK222" s="88"/>
    </row>
    <row r="223" spans="3:37" ht="15.75" customHeight="1">
      <c r="C223" s="135"/>
      <c r="E223" s="176"/>
      <c r="G223" s="90"/>
      <c r="H223" s="90"/>
      <c r="I223" s="82"/>
      <c r="J223" s="137"/>
      <c r="K223" s="82"/>
      <c r="L223" s="240"/>
      <c r="M223" s="80"/>
      <c r="N223" s="271"/>
      <c r="O223" s="139"/>
      <c r="Q223" s="142"/>
      <c r="R223" s="57"/>
      <c r="S223" s="80"/>
      <c r="U223" s="142"/>
      <c r="V223" s="142"/>
      <c r="Z223" s="143"/>
      <c r="AA223" s="144"/>
      <c r="AB223" s="145"/>
      <c r="AC223" s="145"/>
      <c r="AD223" s="145"/>
      <c r="AE223" s="145"/>
      <c r="AF223" s="145"/>
      <c r="AG223" s="145"/>
      <c r="AH223" s="145"/>
      <c r="AK223" s="88"/>
    </row>
    <row r="224" spans="3:37" ht="15.75" customHeight="1">
      <c r="C224" s="135"/>
      <c r="E224" s="176"/>
      <c r="G224" s="90"/>
      <c r="H224" s="90"/>
      <c r="I224" s="82"/>
      <c r="J224" s="137"/>
      <c r="K224" s="82"/>
      <c r="L224" s="240"/>
      <c r="M224" s="80"/>
      <c r="N224" s="271"/>
      <c r="O224" s="139"/>
      <c r="Q224" s="142"/>
      <c r="R224" s="57"/>
      <c r="S224" s="80"/>
      <c r="U224" s="142"/>
      <c r="V224" s="142"/>
      <c r="Z224" s="143"/>
      <c r="AA224" s="144"/>
      <c r="AB224" s="145"/>
      <c r="AC224" s="145"/>
      <c r="AD224" s="145"/>
      <c r="AE224" s="145"/>
      <c r="AF224" s="145"/>
      <c r="AG224" s="145"/>
      <c r="AH224" s="145"/>
      <c r="AK224" s="88"/>
    </row>
    <row r="225" spans="3:37" ht="15.75" customHeight="1">
      <c r="C225" s="135"/>
      <c r="E225" s="176"/>
      <c r="G225" s="90"/>
      <c r="H225" s="90"/>
      <c r="I225" s="82"/>
      <c r="J225" s="137"/>
      <c r="K225" s="82"/>
      <c r="L225" s="240"/>
      <c r="M225" s="80"/>
      <c r="N225" s="271"/>
      <c r="O225" s="139"/>
      <c r="Q225" s="142"/>
      <c r="R225" s="57"/>
      <c r="S225" s="80"/>
      <c r="U225" s="142"/>
      <c r="V225" s="142"/>
      <c r="Z225" s="143"/>
      <c r="AA225" s="144"/>
      <c r="AB225" s="145"/>
      <c r="AC225" s="145"/>
      <c r="AD225" s="145"/>
      <c r="AE225" s="145"/>
      <c r="AF225" s="145"/>
      <c r="AG225" s="145"/>
      <c r="AH225" s="145"/>
      <c r="AK225" s="88"/>
    </row>
    <row r="226" spans="3:37" ht="15.75" customHeight="1">
      <c r="C226" s="135"/>
      <c r="E226" s="176"/>
      <c r="G226" s="90"/>
      <c r="H226" s="90"/>
      <c r="I226" s="82"/>
      <c r="J226" s="137"/>
      <c r="K226" s="82"/>
      <c r="L226" s="240"/>
      <c r="M226" s="80"/>
      <c r="N226" s="271"/>
      <c r="O226" s="139"/>
      <c r="Q226" s="142"/>
      <c r="R226" s="57"/>
      <c r="S226" s="80"/>
      <c r="U226" s="142"/>
      <c r="V226" s="142"/>
      <c r="Z226" s="143"/>
      <c r="AA226" s="144"/>
      <c r="AB226" s="145"/>
      <c r="AC226" s="145"/>
      <c r="AD226" s="145"/>
      <c r="AE226" s="145"/>
      <c r="AF226" s="145"/>
      <c r="AG226" s="145"/>
      <c r="AH226" s="145"/>
      <c r="AK226" s="88"/>
    </row>
    <row r="227" spans="3:37" ht="15.75" customHeight="1">
      <c r="C227" s="135"/>
      <c r="E227" s="176"/>
      <c r="G227" s="90"/>
      <c r="H227" s="90"/>
      <c r="I227" s="82"/>
      <c r="J227" s="137"/>
      <c r="K227" s="82"/>
      <c r="L227" s="240"/>
      <c r="M227" s="80"/>
      <c r="N227" s="271"/>
      <c r="O227" s="139"/>
      <c r="Q227" s="142"/>
      <c r="R227" s="57"/>
      <c r="S227" s="80"/>
      <c r="U227" s="142"/>
      <c r="V227" s="142"/>
      <c r="Z227" s="143"/>
      <c r="AA227" s="144"/>
      <c r="AB227" s="145"/>
      <c r="AC227" s="145"/>
      <c r="AD227" s="145"/>
      <c r="AE227" s="145"/>
      <c r="AF227" s="145"/>
      <c r="AG227" s="145"/>
      <c r="AH227" s="145"/>
      <c r="AK227" s="88"/>
    </row>
    <row r="228" spans="3:37" ht="15.75" customHeight="1">
      <c r="C228" s="135"/>
      <c r="E228" s="176"/>
      <c r="G228" s="90"/>
      <c r="H228" s="90"/>
      <c r="I228" s="82"/>
      <c r="J228" s="137"/>
      <c r="K228" s="82"/>
      <c r="L228" s="240"/>
      <c r="M228" s="80"/>
      <c r="N228" s="271"/>
      <c r="O228" s="139"/>
      <c r="Q228" s="142"/>
      <c r="R228" s="57"/>
      <c r="S228" s="80"/>
      <c r="U228" s="142"/>
      <c r="V228" s="142"/>
      <c r="Z228" s="143"/>
      <c r="AA228" s="144"/>
      <c r="AB228" s="145"/>
      <c r="AC228" s="145"/>
      <c r="AD228" s="145"/>
      <c r="AE228" s="145"/>
      <c r="AF228" s="145"/>
      <c r="AG228" s="145"/>
      <c r="AH228" s="145"/>
      <c r="AK228" s="88"/>
    </row>
    <row r="229" spans="3:37" ht="15.75" customHeight="1">
      <c r="C229" s="135"/>
      <c r="E229" s="176"/>
      <c r="G229" s="90"/>
      <c r="H229" s="90"/>
      <c r="I229" s="82"/>
      <c r="J229" s="137"/>
      <c r="K229" s="82"/>
      <c r="L229" s="240"/>
      <c r="M229" s="80"/>
      <c r="N229" s="271"/>
      <c r="O229" s="139"/>
      <c r="Q229" s="142"/>
      <c r="R229" s="57"/>
      <c r="S229" s="80"/>
      <c r="U229" s="142"/>
      <c r="V229" s="142"/>
      <c r="Z229" s="143"/>
      <c r="AA229" s="144"/>
      <c r="AB229" s="145"/>
      <c r="AC229" s="145"/>
      <c r="AD229" s="145"/>
      <c r="AE229" s="145"/>
      <c r="AF229" s="145"/>
      <c r="AG229" s="145"/>
      <c r="AH229" s="145"/>
      <c r="AK229" s="88"/>
    </row>
    <row r="230" spans="3:37" ht="15.75" customHeight="1">
      <c r="C230" s="135"/>
      <c r="E230" s="176"/>
      <c r="G230" s="90"/>
      <c r="H230" s="90"/>
      <c r="I230" s="82"/>
      <c r="J230" s="137"/>
      <c r="K230" s="82"/>
      <c r="L230" s="240"/>
      <c r="M230" s="80"/>
      <c r="N230" s="271"/>
      <c r="O230" s="139"/>
      <c r="Q230" s="142"/>
      <c r="R230" s="57"/>
      <c r="S230" s="80"/>
      <c r="U230" s="142"/>
      <c r="V230" s="142"/>
      <c r="Z230" s="143"/>
      <c r="AA230" s="144"/>
      <c r="AB230" s="145"/>
      <c r="AC230" s="145"/>
      <c r="AD230" s="145"/>
      <c r="AE230" s="145"/>
      <c r="AF230" s="145"/>
      <c r="AG230" s="145"/>
      <c r="AH230" s="145"/>
      <c r="AK230" s="88"/>
    </row>
    <row r="231" spans="3:37" ht="15.75" customHeight="1">
      <c r="C231" s="135"/>
      <c r="E231" s="176"/>
      <c r="G231" s="90"/>
      <c r="H231" s="90"/>
      <c r="I231" s="82"/>
      <c r="J231" s="137"/>
      <c r="K231" s="82"/>
      <c r="L231" s="240"/>
      <c r="M231" s="80"/>
      <c r="N231" s="271"/>
      <c r="O231" s="139"/>
      <c r="Q231" s="142"/>
      <c r="R231" s="57"/>
      <c r="S231" s="80"/>
      <c r="U231" s="142"/>
      <c r="V231" s="142"/>
      <c r="Z231" s="143"/>
      <c r="AA231" s="144"/>
      <c r="AB231" s="145"/>
      <c r="AC231" s="145"/>
      <c r="AD231" s="145"/>
      <c r="AE231" s="145"/>
      <c r="AF231" s="145"/>
      <c r="AG231" s="145"/>
      <c r="AH231" s="145"/>
      <c r="AK231" s="88"/>
    </row>
    <row r="232" spans="3:37" ht="15.75" customHeight="1">
      <c r="C232" s="135"/>
      <c r="E232" s="176"/>
      <c r="G232" s="90"/>
      <c r="H232" s="90"/>
      <c r="I232" s="82"/>
      <c r="J232" s="137"/>
      <c r="K232" s="82"/>
      <c r="L232" s="240"/>
      <c r="M232" s="80"/>
      <c r="N232" s="271"/>
      <c r="O232" s="139"/>
      <c r="Q232" s="142"/>
      <c r="R232" s="57"/>
      <c r="S232" s="80"/>
      <c r="U232" s="142"/>
      <c r="V232" s="142"/>
      <c r="Z232" s="143"/>
      <c r="AA232" s="144"/>
      <c r="AB232" s="145"/>
      <c r="AC232" s="145"/>
      <c r="AD232" s="145"/>
      <c r="AE232" s="145"/>
      <c r="AF232" s="145"/>
      <c r="AG232" s="145"/>
      <c r="AH232" s="145"/>
      <c r="AK232" s="88"/>
    </row>
    <row r="233" spans="3:37" ht="15.75" customHeight="1">
      <c r="C233" s="135"/>
      <c r="E233" s="176"/>
      <c r="G233" s="90"/>
      <c r="H233" s="90"/>
      <c r="I233" s="82"/>
      <c r="J233" s="137"/>
      <c r="K233" s="82"/>
      <c r="L233" s="240"/>
      <c r="M233" s="80"/>
      <c r="N233" s="271"/>
      <c r="O233" s="139"/>
      <c r="Q233" s="142"/>
      <c r="R233" s="57"/>
      <c r="S233" s="80"/>
      <c r="U233" s="142"/>
      <c r="V233" s="142"/>
      <c r="Z233" s="143"/>
      <c r="AA233" s="144"/>
      <c r="AB233" s="145"/>
      <c r="AC233" s="145"/>
      <c r="AD233" s="145"/>
      <c r="AE233" s="145"/>
      <c r="AF233" s="145"/>
      <c r="AG233" s="145"/>
      <c r="AH233" s="145"/>
      <c r="AK233" s="88"/>
    </row>
    <row r="234" spans="3:37" ht="15.75" customHeight="1">
      <c r="C234" s="135"/>
      <c r="E234" s="176"/>
      <c r="G234" s="90"/>
      <c r="H234" s="90"/>
      <c r="I234" s="82"/>
      <c r="J234" s="137"/>
      <c r="K234" s="82"/>
      <c r="L234" s="240"/>
      <c r="M234" s="80"/>
      <c r="N234" s="271"/>
      <c r="O234" s="139"/>
      <c r="Q234" s="142"/>
      <c r="R234" s="57"/>
      <c r="S234" s="80"/>
      <c r="U234" s="142"/>
      <c r="V234" s="142"/>
      <c r="Z234" s="143"/>
      <c r="AA234" s="144"/>
      <c r="AB234" s="145"/>
      <c r="AC234" s="145"/>
      <c r="AD234" s="145"/>
      <c r="AE234" s="145"/>
      <c r="AF234" s="145"/>
      <c r="AG234" s="145"/>
      <c r="AH234" s="145"/>
      <c r="AK234" s="88"/>
    </row>
    <row r="235" spans="3:37" ht="15.75" customHeight="1">
      <c r="C235" s="135"/>
      <c r="E235" s="176"/>
      <c r="G235" s="90"/>
      <c r="H235" s="90"/>
      <c r="I235" s="82"/>
      <c r="J235" s="137"/>
      <c r="K235" s="82"/>
      <c r="L235" s="240"/>
      <c r="M235" s="80"/>
      <c r="N235" s="271"/>
      <c r="O235" s="139"/>
      <c r="Q235" s="142"/>
      <c r="R235" s="57"/>
      <c r="S235" s="80"/>
      <c r="U235" s="142"/>
      <c r="V235" s="142"/>
      <c r="Z235" s="143"/>
      <c r="AA235" s="144"/>
      <c r="AB235" s="145"/>
      <c r="AC235" s="145"/>
      <c r="AD235" s="145"/>
      <c r="AE235" s="145"/>
      <c r="AF235" s="145"/>
      <c r="AG235" s="145"/>
      <c r="AH235" s="145"/>
      <c r="AK235" s="88"/>
    </row>
    <row r="236" spans="3:37" ht="15.75" customHeight="1">
      <c r="C236" s="135"/>
      <c r="E236" s="176"/>
      <c r="G236" s="90"/>
      <c r="H236" s="90"/>
      <c r="I236" s="82"/>
      <c r="J236" s="137"/>
      <c r="K236" s="82"/>
      <c r="L236" s="240"/>
      <c r="M236" s="80"/>
      <c r="N236" s="271"/>
      <c r="O236" s="139"/>
      <c r="Q236" s="142"/>
      <c r="R236" s="57"/>
      <c r="S236" s="80"/>
      <c r="U236" s="142"/>
      <c r="V236" s="142"/>
      <c r="Z236" s="143"/>
      <c r="AA236" s="144"/>
      <c r="AB236" s="145"/>
      <c r="AC236" s="145"/>
      <c r="AD236" s="145"/>
      <c r="AE236" s="145"/>
      <c r="AF236" s="145"/>
      <c r="AG236" s="145"/>
      <c r="AH236" s="145"/>
      <c r="AK236" s="88"/>
    </row>
    <row r="237" spans="3:37" ht="15.75" customHeight="1">
      <c r="C237" s="135"/>
      <c r="E237" s="176"/>
      <c r="G237" s="90"/>
      <c r="H237" s="90"/>
      <c r="I237" s="82"/>
      <c r="J237" s="137"/>
      <c r="K237" s="82"/>
      <c r="L237" s="240"/>
      <c r="M237" s="80"/>
      <c r="N237" s="271"/>
      <c r="O237" s="139"/>
      <c r="Q237" s="142"/>
      <c r="R237" s="57"/>
      <c r="S237" s="80"/>
      <c r="U237" s="142"/>
      <c r="V237" s="142"/>
      <c r="Z237" s="143"/>
      <c r="AA237" s="144"/>
      <c r="AB237" s="145"/>
      <c r="AC237" s="145"/>
      <c r="AD237" s="145"/>
      <c r="AE237" s="145"/>
      <c r="AF237" s="145"/>
      <c r="AG237" s="145"/>
      <c r="AH237" s="145"/>
      <c r="AK237" s="88"/>
    </row>
    <row r="238" spans="3:37" ht="15.75" customHeight="1">
      <c r="C238" s="135"/>
      <c r="E238" s="176"/>
      <c r="G238" s="90"/>
      <c r="H238" s="90"/>
      <c r="I238" s="82"/>
      <c r="J238" s="137"/>
      <c r="K238" s="82"/>
      <c r="L238" s="240"/>
      <c r="M238" s="80"/>
      <c r="N238" s="271"/>
      <c r="O238" s="139"/>
      <c r="Q238" s="142"/>
      <c r="R238" s="57"/>
      <c r="S238" s="80"/>
      <c r="U238" s="142"/>
      <c r="V238" s="142"/>
      <c r="Z238" s="143"/>
      <c r="AA238" s="144"/>
      <c r="AB238" s="145"/>
      <c r="AC238" s="145"/>
      <c r="AD238" s="145"/>
      <c r="AE238" s="145"/>
      <c r="AF238" s="145"/>
      <c r="AG238" s="145"/>
      <c r="AH238" s="145"/>
      <c r="AK238" s="88"/>
    </row>
    <row r="239" spans="3:37" ht="15.75" customHeight="1">
      <c r="AB239" s="83"/>
      <c r="AC239" s="83"/>
      <c r="AD239" s="83"/>
      <c r="AE239" s="83"/>
      <c r="AF239" s="83"/>
      <c r="AG239" s="83"/>
      <c r="AH239" s="83"/>
      <c r="AK239" s="88"/>
    </row>
    <row r="240" spans="3:37" ht="15.75" customHeight="1">
      <c r="AB240" s="83"/>
      <c r="AC240" s="83"/>
      <c r="AD240" s="83"/>
      <c r="AE240" s="83"/>
      <c r="AF240" s="83"/>
      <c r="AG240" s="83"/>
      <c r="AH240" s="83"/>
      <c r="AK240" s="88"/>
    </row>
    <row r="241" spans="28:37" ht="15.75" customHeight="1">
      <c r="AB241" s="83"/>
      <c r="AC241" s="83"/>
      <c r="AD241" s="83"/>
      <c r="AE241" s="83"/>
      <c r="AF241" s="83"/>
      <c r="AG241" s="83"/>
      <c r="AH241" s="83"/>
      <c r="AK241" s="88"/>
    </row>
    <row r="242" spans="28:37" ht="15.75" customHeight="1">
      <c r="AB242" s="83"/>
      <c r="AC242" s="83"/>
      <c r="AD242" s="83"/>
      <c r="AE242" s="83"/>
      <c r="AF242" s="83"/>
      <c r="AG242" s="83"/>
      <c r="AH242" s="83"/>
      <c r="AK242" s="88"/>
    </row>
    <row r="243" spans="28:37" ht="15.75" customHeight="1">
      <c r="AB243" s="83"/>
      <c r="AC243" s="83"/>
      <c r="AD243" s="83"/>
      <c r="AE243" s="83"/>
      <c r="AF243" s="83"/>
      <c r="AG243" s="83"/>
      <c r="AH243" s="83"/>
      <c r="AK243" s="88"/>
    </row>
    <row r="244" spans="28:37" ht="15.75" customHeight="1">
      <c r="AB244" s="83"/>
      <c r="AC244" s="83"/>
      <c r="AD244" s="83"/>
      <c r="AE244" s="83"/>
      <c r="AF244" s="83"/>
      <c r="AG244" s="83"/>
      <c r="AH244" s="83"/>
      <c r="AK244" s="88"/>
    </row>
    <row r="245" spans="28:37" ht="15.75" customHeight="1">
      <c r="AB245" s="83"/>
      <c r="AC245" s="83"/>
      <c r="AD245" s="83"/>
      <c r="AE245" s="83"/>
      <c r="AF245" s="83"/>
      <c r="AG245" s="83"/>
      <c r="AH245" s="83"/>
      <c r="AK245" s="88"/>
    </row>
    <row r="246" spans="28:37" ht="15.75" customHeight="1">
      <c r="AB246" s="83"/>
      <c r="AC246" s="83"/>
      <c r="AD246" s="83"/>
      <c r="AE246" s="83"/>
      <c r="AF246" s="83"/>
      <c r="AG246" s="83"/>
      <c r="AH246" s="83"/>
      <c r="AK246" s="88"/>
    </row>
    <row r="247" spans="28:37" ht="15.75" customHeight="1">
      <c r="AB247" s="83"/>
      <c r="AC247" s="83"/>
      <c r="AD247" s="83"/>
      <c r="AE247" s="83"/>
      <c r="AF247" s="83"/>
      <c r="AG247" s="83"/>
      <c r="AH247" s="83"/>
      <c r="AK247" s="88"/>
    </row>
    <row r="248" spans="28:37" ht="15.75" customHeight="1">
      <c r="AB248" s="83"/>
      <c r="AC248" s="83"/>
      <c r="AD248" s="83"/>
      <c r="AE248" s="83"/>
      <c r="AF248" s="83"/>
      <c r="AG248" s="83"/>
      <c r="AH248" s="83"/>
      <c r="AK248" s="88"/>
    </row>
    <row r="249" spans="28:37" ht="15.75" customHeight="1">
      <c r="AB249" s="83"/>
      <c r="AC249" s="83"/>
      <c r="AD249" s="83"/>
      <c r="AE249" s="83"/>
      <c r="AF249" s="83"/>
      <c r="AG249" s="83"/>
      <c r="AH249" s="83"/>
      <c r="AK249" s="88"/>
    </row>
    <row r="250" spans="28:37" ht="15.75" customHeight="1">
      <c r="AB250" s="83"/>
      <c r="AC250" s="83"/>
      <c r="AD250" s="83"/>
      <c r="AE250" s="83"/>
      <c r="AF250" s="83"/>
      <c r="AG250" s="83"/>
      <c r="AH250" s="83"/>
      <c r="AK250" s="88"/>
    </row>
    <row r="251" spans="28:37" ht="15.75" customHeight="1">
      <c r="AB251" s="83"/>
      <c r="AC251" s="83"/>
      <c r="AD251" s="83"/>
      <c r="AE251" s="83"/>
      <c r="AF251" s="83"/>
      <c r="AG251" s="83"/>
      <c r="AH251" s="83"/>
      <c r="AK251" s="88"/>
    </row>
    <row r="252" spans="28:37" ht="15.75" customHeight="1">
      <c r="AB252" s="83"/>
      <c r="AC252" s="83"/>
      <c r="AD252" s="83"/>
      <c r="AE252" s="83"/>
      <c r="AF252" s="83"/>
      <c r="AG252" s="83"/>
      <c r="AH252" s="83"/>
      <c r="AK252" s="88"/>
    </row>
    <row r="253" spans="28:37" ht="15.75" customHeight="1">
      <c r="AB253" s="83"/>
      <c r="AC253" s="83"/>
      <c r="AD253" s="83"/>
      <c r="AE253" s="83"/>
      <c r="AF253" s="83"/>
      <c r="AG253" s="83"/>
      <c r="AH253" s="83"/>
      <c r="AK253" s="88"/>
    </row>
    <row r="254" spans="28:37" ht="15.75" customHeight="1">
      <c r="AB254" s="83"/>
      <c r="AC254" s="83"/>
      <c r="AD254" s="83"/>
      <c r="AE254" s="83"/>
      <c r="AF254" s="83"/>
      <c r="AG254" s="83"/>
      <c r="AH254" s="83"/>
      <c r="AK254" s="88"/>
    </row>
    <row r="255" spans="28:37" ht="15.75" customHeight="1">
      <c r="AB255" s="83"/>
      <c r="AC255" s="83"/>
      <c r="AD255" s="83"/>
      <c r="AE255" s="83"/>
      <c r="AF255" s="83"/>
      <c r="AG255" s="83"/>
      <c r="AH255" s="83"/>
      <c r="AK255" s="88"/>
    </row>
    <row r="256" spans="28:37" ht="15.75" customHeight="1">
      <c r="AB256" s="83"/>
      <c r="AC256" s="83"/>
      <c r="AD256" s="83"/>
      <c r="AE256" s="83"/>
      <c r="AF256" s="83"/>
      <c r="AG256" s="83"/>
      <c r="AH256" s="83"/>
      <c r="AK256" s="88"/>
    </row>
    <row r="257" spans="28:37" ht="15.75" customHeight="1">
      <c r="AB257" s="83"/>
      <c r="AC257" s="83"/>
      <c r="AD257" s="83"/>
      <c r="AE257" s="83"/>
      <c r="AF257" s="83"/>
      <c r="AG257" s="83"/>
      <c r="AH257" s="83"/>
      <c r="AK257" s="88"/>
    </row>
    <row r="258" spans="28:37" ht="15.75" customHeight="1">
      <c r="AB258" s="83"/>
      <c r="AC258" s="83"/>
      <c r="AD258" s="83"/>
      <c r="AE258" s="83"/>
      <c r="AF258" s="83"/>
      <c r="AG258" s="83"/>
      <c r="AH258" s="83"/>
      <c r="AK258" s="88"/>
    </row>
    <row r="259" spans="28:37" ht="15.75" customHeight="1">
      <c r="AB259" s="83"/>
      <c r="AC259" s="83"/>
      <c r="AD259" s="83"/>
      <c r="AE259" s="83"/>
      <c r="AF259" s="83"/>
      <c r="AG259" s="83"/>
      <c r="AH259" s="83"/>
      <c r="AK259" s="88"/>
    </row>
    <row r="260" spans="28:37" ht="15.75" customHeight="1">
      <c r="AB260" s="83"/>
      <c r="AC260" s="83"/>
      <c r="AD260" s="83"/>
      <c r="AE260" s="83"/>
      <c r="AF260" s="83"/>
      <c r="AG260" s="83"/>
      <c r="AH260" s="83"/>
      <c r="AK260" s="88"/>
    </row>
    <row r="261" spans="28:37" ht="15.75" customHeight="1">
      <c r="AB261" s="83"/>
      <c r="AC261" s="83"/>
      <c r="AD261" s="83"/>
      <c r="AE261" s="83"/>
      <c r="AF261" s="83"/>
      <c r="AG261" s="83"/>
      <c r="AH261" s="83"/>
      <c r="AK261" s="88"/>
    </row>
    <row r="262" spans="28:37" ht="15.75" customHeight="1">
      <c r="AB262" s="83"/>
      <c r="AC262" s="83"/>
      <c r="AD262" s="83"/>
      <c r="AE262" s="83"/>
      <c r="AF262" s="83"/>
      <c r="AG262" s="83"/>
      <c r="AH262" s="83"/>
      <c r="AK262" s="88"/>
    </row>
    <row r="263" spans="28:37" ht="15.75" customHeight="1">
      <c r="AB263" s="83"/>
      <c r="AC263" s="83"/>
      <c r="AD263" s="83"/>
      <c r="AE263" s="83"/>
      <c r="AF263" s="83"/>
      <c r="AG263" s="83"/>
      <c r="AH263" s="83"/>
      <c r="AK263" s="88"/>
    </row>
    <row r="264" spans="28:37" ht="15.75" customHeight="1">
      <c r="AB264" s="83"/>
      <c r="AC264" s="83"/>
      <c r="AD264" s="83"/>
      <c r="AE264" s="83"/>
      <c r="AF264" s="83"/>
      <c r="AG264" s="83"/>
      <c r="AH264" s="83"/>
      <c r="AK264" s="88"/>
    </row>
    <row r="265" spans="28:37" ht="15.75" customHeight="1">
      <c r="AB265" s="83"/>
      <c r="AC265" s="83"/>
      <c r="AD265" s="83"/>
      <c r="AE265" s="83"/>
      <c r="AF265" s="83"/>
      <c r="AG265" s="83"/>
      <c r="AH265" s="83"/>
      <c r="AK265" s="88"/>
    </row>
    <row r="266" spans="28:37" ht="15.75" customHeight="1">
      <c r="AB266" s="83"/>
      <c r="AC266" s="83"/>
      <c r="AD266" s="83"/>
      <c r="AE266" s="83"/>
      <c r="AF266" s="83"/>
      <c r="AG266" s="83"/>
      <c r="AH266" s="83"/>
      <c r="AK266" s="88"/>
    </row>
    <row r="267" spans="28:37" ht="15.75" customHeight="1">
      <c r="AB267" s="83"/>
      <c r="AC267" s="83"/>
      <c r="AD267" s="83"/>
      <c r="AE267" s="83"/>
      <c r="AF267" s="83"/>
      <c r="AG267" s="83"/>
      <c r="AH267" s="83"/>
      <c r="AK267" s="88"/>
    </row>
    <row r="268" spans="28:37" ht="15.75" customHeight="1">
      <c r="AB268" s="83"/>
      <c r="AC268" s="83"/>
      <c r="AD268" s="83"/>
      <c r="AE268" s="83"/>
      <c r="AF268" s="83"/>
      <c r="AG268" s="83"/>
      <c r="AH268" s="83"/>
      <c r="AK268" s="88"/>
    </row>
    <row r="269" spans="28:37" ht="15.75" customHeight="1">
      <c r="AB269" s="83"/>
      <c r="AC269" s="83"/>
      <c r="AD269" s="83"/>
      <c r="AE269" s="83"/>
      <c r="AF269" s="83"/>
      <c r="AG269" s="83"/>
      <c r="AH269" s="83"/>
      <c r="AK269" s="88"/>
    </row>
    <row r="270" spans="28:37" ht="15.75" customHeight="1">
      <c r="AK270" s="88"/>
    </row>
    <row r="271" spans="28:37" ht="15.75" customHeight="1">
      <c r="AK271" s="88"/>
    </row>
    <row r="272" spans="28:37" ht="15.75" customHeight="1">
      <c r="AK272" s="88"/>
    </row>
    <row r="273" spans="37:37" ht="15.75" customHeight="1">
      <c r="AK273" s="88"/>
    </row>
    <row r="274" spans="37:37" ht="15.75" customHeight="1">
      <c r="AK274" s="88"/>
    </row>
    <row r="275" spans="37:37" ht="15.75" customHeight="1"/>
    <row r="276" spans="37:37" ht="15.75" customHeight="1"/>
    <row r="277" spans="37:37" ht="15.75" customHeight="1"/>
    <row r="278" spans="37:37" ht="15.75" customHeight="1"/>
    <row r="279" spans="37:37" ht="15.75" customHeight="1"/>
    <row r="280" spans="37:37" ht="15.75" customHeight="1"/>
    <row r="281" spans="37:37" ht="15.75" customHeight="1"/>
    <row r="282" spans="37:37" ht="15.75" customHeight="1"/>
    <row r="283" spans="37:37" ht="15.75" customHeight="1"/>
    <row r="284" spans="37:37" ht="15.75" customHeight="1"/>
    <row r="285" spans="37:37" ht="15.75" customHeight="1"/>
    <row r="286" spans="37:37" ht="15.75" customHeight="1"/>
    <row r="287" spans="37:37" ht="15.75" customHeight="1"/>
    <row r="288" spans="37:37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Hoja28">
    <tabColor rgb="FF00B050"/>
  </sheetPr>
  <dimension ref="A1:AL1000"/>
  <sheetViews>
    <sheetView showGridLines="0" workbookViewId="0">
      <pane xSplit="1" ySplit="3" topLeftCell="Z4" activePane="bottomRight" state="frozen"/>
      <selection activeCell="AO3" sqref="AO3"/>
      <selection pane="topRight" activeCell="AO3" sqref="AO3"/>
      <selection pane="bottomLeft" activeCell="AO3" sqref="AO3"/>
      <selection pane="bottomRight" activeCell="AO3" sqref="AO3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23.6640625" customWidth="1"/>
    <col min="5" max="5" width="12.44140625" customWidth="1"/>
    <col min="6" max="6" width="32.88671875" customWidth="1"/>
    <col min="7" max="7" width="10.33203125" customWidth="1"/>
    <col min="8" max="8" width="11.44140625" customWidth="1"/>
    <col min="9" max="11" width="10.6640625" customWidth="1"/>
    <col min="12" max="12" width="15.33203125" customWidth="1"/>
    <col min="13" max="13" width="18.33203125" customWidth="1"/>
    <col min="14" max="14" width="15.33203125" customWidth="1"/>
    <col min="15" max="15" width="17.44140625" customWidth="1"/>
    <col min="16" max="16" width="11.109375" customWidth="1"/>
    <col min="17" max="17" width="12.6640625" customWidth="1"/>
    <col min="18" max="18" width="10.6640625" customWidth="1"/>
    <col min="19" max="19" width="11.6640625" customWidth="1"/>
    <col min="20" max="22" width="10.6640625" customWidth="1"/>
    <col min="23" max="24" width="11.44140625" customWidth="1"/>
    <col min="25" max="25" width="19.44140625" customWidth="1"/>
    <col min="26" max="26" width="18.10937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2" width="15.5546875" customWidth="1"/>
    <col min="33" max="33" width="15.88671875" customWidth="1"/>
    <col min="34" max="34" width="10.33203125" customWidth="1"/>
  </cols>
  <sheetData>
    <row r="1" spans="1:38" ht="15.75" customHeight="1">
      <c r="AB1" s="83"/>
      <c r="AC1" s="83"/>
      <c r="AD1" s="83"/>
      <c r="AE1" s="83"/>
      <c r="AF1" s="83"/>
      <c r="AG1" s="168" t="s">
        <v>240</v>
      </c>
      <c r="AH1" s="83" t="s">
        <v>64</v>
      </c>
      <c r="AI1" s="80" t="s">
        <v>242</v>
      </c>
      <c r="AJ1" s="169" t="s">
        <v>37</v>
      </c>
    </row>
    <row r="2" spans="1:38" ht="15.75" customHeight="1">
      <c r="G2" s="90"/>
      <c r="H2" s="90"/>
      <c r="I2" s="81">
        <f>SUM(I4:I50)</f>
        <v>306.89</v>
      </c>
      <c r="J2" s="81"/>
      <c r="K2" s="81">
        <f>SUM(K4:K50)</f>
        <v>278.88074</v>
      </c>
      <c r="Q2" s="137">
        <f>+SUMPRODUCT(Q4:Q863,AH4:AH863)/SUM(AH4:AH863)</f>
        <v>88.567113602929766</v>
      </c>
      <c r="R2" s="57">
        <f>+SUMPRODUCT(R4:R863,AH4:AH863)/SUM(AH4:AH863)</f>
        <v>2174.8254392465301</v>
      </c>
      <c r="AB2" s="83"/>
      <c r="AC2" s="83"/>
      <c r="AD2" s="83"/>
      <c r="AE2" s="83"/>
      <c r="AF2" s="83"/>
      <c r="AG2" s="168">
        <f>SUMPRODUCT($AG4:$AG1021,$K4:$K1021)/SUM($K4:$K1021)</f>
        <v>109.56616481289898</v>
      </c>
      <c r="AH2" s="83">
        <f>SUM(AH4:AH1032)</f>
        <v>5725.0020148064195</v>
      </c>
      <c r="AI2" s="200">
        <v>2298.5</v>
      </c>
      <c r="AJ2" s="169" t="s">
        <v>646</v>
      </c>
    </row>
    <row r="3" spans="1:38" ht="15.75" customHeight="1">
      <c r="A3" s="100" t="s">
        <v>11</v>
      </c>
      <c r="B3" s="100" t="s">
        <v>39</v>
      </c>
      <c r="C3" s="100" t="s">
        <v>40</v>
      </c>
      <c r="D3" s="100" t="s">
        <v>41</v>
      </c>
      <c r="E3" s="100" t="s">
        <v>340</v>
      </c>
      <c r="F3" s="100" t="s">
        <v>43</v>
      </c>
      <c r="G3" s="100" t="s">
        <v>16</v>
      </c>
      <c r="H3" s="101"/>
      <c r="I3" s="172" t="s">
        <v>13</v>
      </c>
      <c r="J3" s="172" t="s">
        <v>14</v>
      </c>
      <c r="K3" s="100" t="s">
        <v>15</v>
      </c>
      <c r="L3" s="112" t="s">
        <v>647</v>
      </c>
      <c r="M3" s="107" t="s">
        <v>648</v>
      </c>
      <c r="N3" s="107" t="s">
        <v>649</v>
      </c>
      <c r="O3" s="101" t="s">
        <v>650</v>
      </c>
      <c r="P3" s="112" t="s">
        <v>48</v>
      </c>
      <c r="Q3" s="112" t="s">
        <v>49</v>
      </c>
      <c r="R3" s="112" t="s">
        <v>50</v>
      </c>
      <c r="S3" s="112" t="s">
        <v>51</v>
      </c>
      <c r="T3" s="110" t="s">
        <v>52</v>
      </c>
      <c r="U3" s="110" t="s">
        <v>21</v>
      </c>
      <c r="V3" s="111" t="s">
        <v>22</v>
      </c>
      <c r="W3" s="112" t="s">
        <v>53</v>
      </c>
      <c r="X3" s="112" t="s">
        <v>54</v>
      </c>
      <c r="Y3" s="112" t="s">
        <v>651</v>
      </c>
      <c r="Z3" s="101" t="s">
        <v>56</v>
      </c>
      <c r="AA3" s="101" t="s">
        <v>57</v>
      </c>
      <c r="AB3" s="113" t="s">
        <v>58</v>
      </c>
      <c r="AC3" s="114" t="s">
        <v>59</v>
      </c>
      <c r="AD3" s="115" t="s">
        <v>60</v>
      </c>
      <c r="AE3" s="115" t="s">
        <v>61</v>
      </c>
      <c r="AF3" s="115" t="s">
        <v>62</v>
      </c>
      <c r="AG3" s="173" t="s">
        <v>63</v>
      </c>
      <c r="AH3" s="173" t="s">
        <v>64</v>
      </c>
      <c r="AI3" s="57">
        <f>SUMPRODUCT(K4:K1032,AI4:AI1032)/K2</f>
        <v>154.63530128119746</v>
      </c>
      <c r="AJ3" s="291">
        <f>SUM(AJ4:AJ950)</f>
        <v>5688.2016990462671</v>
      </c>
    </row>
    <row r="4" spans="1:38" ht="15.75" customHeight="1">
      <c r="A4" s="338" t="s">
        <v>747</v>
      </c>
      <c r="B4" s="339">
        <v>45341</v>
      </c>
      <c r="C4" s="340">
        <v>45323</v>
      </c>
      <c r="D4" s="6" t="s">
        <v>557</v>
      </c>
      <c r="E4" s="176">
        <v>10460498487</v>
      </c>
      <c r="F4" s="6" t="s">
        <v>214</v>
      </c>
      <c r="G4" s="6"/>
      <c r="H4" s="90"/>
      <c r="I4" s="341">
        <v>8.57</v>
      </c>
      <c r="J4" s="137">
        <v>18.5</v>
      </c>
      <c r="K4" s="341">
        <f t="shared" ref="K4:K48" si="0">+I4-(I4*(J4/100))</f>
        <v>6.9845500000000005</v>
      </c>
      <c r="L4" s="80">
        <v>6.6000000000000003E-2</v>
      </c>
      <c r="M4" s="80">
        <v>6.6000000000000003E-2</v>
      </c>
      <c r="N4" s="132">
        <v>6.6000000000000003E-2</v>
      </c>
      <c r="O4" s="153">
        <f t="shared" ref="O4:O10" si="1">+(M4+N4)/2</f>
        <v>6.6000000000000003E-2</v>
      </c>
      <c r="P4" s="6">
        <v>88</v>
      </c>
      <c r="Q4" s="57">
        <v>91.05</v>
      </c>
      <c r="R4" s="57">
        <v>2030.07</v>
      </c>
      <c r="S4" s="342">
        <v>120</v>
      </c>
      <c r="U4" s="6">
        <v>100</v>
      </c>
      <c r="V4" s="343">
        <v>1.1023000000000001</v>
      </c>
      <c r="W4" s="57">
        <v>5</v>
      </c>
      <c r="X4" s="57">
        <v>6.1</v>
      </c>
      <c r="Y4" s="344">
        <v>25</v>
      </c>
      <c r="Z4" s="344">
        <f>IF(+((W4-3)*2+(X4-3)*3.1)&gt;0,+((W4-3)*2+(X4-3)*3.1),0)</f>
        <v>13.61</v>
      </c>
      <c r="AA4" s="344">
        <f t="shared" ref="AA4:AA48" si="2">+Y4+Z4</f>
        <v>38.61</v>
      </c>
      <c r="AB4" s="345"/>
      <c r="AC4" s="345">
        <f>+(S4*V4)-'data 1'!$F$4-T4*V4</f>
        <v>52.27600000000001</v>
      </c>
      <c r="AD4" s="345">
        <f t="shared" ref="AD4:AD48" si="3">+(Q4-P4)*(R4-U4)*L4*V4/100</f>
        <v>4.2826900320929964</v>
      </c>
      <c r="AE4" s="345">
        <f>+(AA4*V4)-Z4-'data 1'!$I$21</f>
        <v>3.3687219189189221</v>
      </c>
      <c r="AF4" s="345">
        <f t="shared" ref="AF4:AF48" si="4">(L4-O4)*(R4-U4)*Q4*V4/100</f>
        <v>0</v>
      </c>
      <c r="AG4" s="345">
        <f t="shared" ref="AG4:AG48" si="5">+AC4+AD4+AE4+AF4</f>
        <v>59.927411951011926</v>
      </c>
      <c r="AH4" s="345">
        <f t="shared" ref="AH4:AH48" si="6">31.1035*L4*Q4*1.1023*K4/100</f>
        <v>14.390350950938384</v>
      </c>
      <c r="AI4" s="57">
        <f t="shared" ref="AI4:AI48" si="7">+((+$AI$2-R4+U4)*L4*Q4*V4)/100</f>
        <v>24.404992536177005</v>
      </c>
      <c r="AJ4" s="268">
        <f t="shared" ref="AJ4:AJ48" si="8">1.1023*31.1035*K4*P4*O4/100</f>
        <v>13.908301852636766</v>
      </c>
      <c r="AK4" s="57"/>
      <c r="AL4" s="57">
        <f t="shared" ref="AL4:AL48" si="9">+K4*AB4</f>
        <v>0</v>
      </c>
    </row>
    <row r="5" spans="1:38" ht="15.75" customHeight="1">
      <c r="A5" s="338" t="s">
        <v>748</v>
      </c>
      <c r="B5" s="339">
        <v>45341</v>
      </c>
      <c r="C5" s="340">
        <v>45323</v>
      </c>
      <c r="D5" s="6" t="s">
        <v>557</v>
      </c>
      <c r="E5" s="176">
        <v>10460498487</v>
      </c>
      <c r="F5" s="6" t="s">
        <v>214</v>
      </c>
      <c r="G5" s="6"/>
      <c r="H5" s="90"/>
      <c r="I5" s="341">
        <v>10.35</v>
      </c>
      <c r="J5" s="137">
        <v>18.850000000000001</v>
      </c>
      <c r="K5" s="341">
        <f t="shared" si="0"/>
        <v>8.399025</v>
      </c>
      <c r="L5" s="80">
        <v>8.1000000000000003E-2</v>
      </c>
      <c r="M5" s="80">
        <v>8.1000000000000003E-2</v>
      </c>
      <c r="N5" s="132">
        <v>8.1000000000000003E-2</v>
      </c>
      <c r="O5" s="153">
        <f t="shared" si="1"/>
        <v>8.1000000000000003E-2</v>
      </c>
      <c r="P5" s="6">
        <v>88</v>
      </c>
      <c r="Q5" s="57">
        <v>90.89</v>
      </c>
      <c r="R5" s="57">
        <v>2030.07</v>
      </c>
      <c r="S5" s="80">
        <v>120</v>
      </c>
      <c r="U5" s="6">
        <v>100</v>
      </c>
      <c r="V5" s="343">
        <v>1.1023000000000001</v>
      </c>
      <c r="W5" s="57">
        <v>5</v>
      </c>
      <c r="X5" s="57">
        <v>6.1</v>
      </c>
      <c r="Y5" s="344">
        <v>25</v>
      </c>
      <c r="Z5" s="344">
        <f>IF(+((W5-3)*2+(X5-3)*3.1)&gt;0,+((W5-3)*2+(X5-3)*3.1),0)</f>
        <v>13.61</v>
      </c>
      <c r="AA5" s="344">
        <f t="shared" si="2"/>
        <v>38.61</v>
      </c>
      <c r="AB5" s="345"/>
      <c r="AC5" s="345">
        <f>+(S5*V5)-'data 1'!$F$4-T5*V5</f>
        <v>52.27600000000001</v>
      </c>
      <c r="AD5" s="345">
        <f t="shared" si="3"/>
        <v>4.9803025812849011</v>
      </c>
      <c r="AE5" s="345">
        <f>+(AA5*V5)-Z5-'data 1'!$I$21</f>
        <v>3.3687219189189221</v>
      </c>
      <c r="AF5" s="345">
        <f t="shared" si="4"/>
        <v>0</v>
      </c>
      <c r="AG5" s="345">
        <f t="shared" si="5"/>
        <v>60.625024500203835</v>
      </c>
      <c r="AH5" s="345">
        <f t="shared" si="6"/>
        <v>21.200156432661096</v>
      </c>
      <c r="AI5" s="57">
        <f t="shared" si="7"/>
        <v>29.898948546530111</v>
      </c>
      <c r="AJ5" s="268">
        <f t="shared" si="8"/>
        <v>20.526061899814906</v>
      </c>
      <c r="AK5" s="57"/>
      <c r="AL5" s="57">
        <f t="shared" si="9"/>
        <v>0</v>
      </c>
    </row>
    <row r="6" spans="1:38" ht="15.75" customHeight="1">
      <c r="A6" s="338" t="s">
        <v>749</v>
      </c>
      <c r="B6" s="346">
        <v>45371</v>
      </c>
      <c r="C6" s="135">
        <v>45366</v>
      </c>
      <c r="D6" s="142" t="s">
        <v>549</v>
      </c>
      <c r="E6" s="176">
        <v>20169040231</v>
      </c>
      <c r="F6" s="142" t="s">
        <v>750</v>
      </c>
      <c r="G6" s="177"/>
      <c r="H6" s="177"/>
      <c r="I6" s="138">
        <v>6.53</v>
      </c>
      <c r="J6" s="143">
        <v>1.1499999999999999</v>
      </c>
      <c r="K6" s="347">
        <f t="shared" si="0"/>
        <v>6.4549050000000001</v>
      </c>
      <c r="L6" s="170">
        <v>2.355</v>
      </c>
      <c r="M6" s="271">
        <v>2.2610000000000001</v>
      </c>
      <c r="N6" s="271">
        <v>2.2610000000000001</v>
      </c>
      <c r="O6" s="153">
        <f t="shared" si="1"/>
        <v>2.2610000000000001</v>
      </c>
      <c r="P6" s="142">
        <v>87</v>
      </c>
      <c r="Q6" s="144">
        <v>87.146145941027001</v>
      </c>
      <c r="R6" s="144">
        <v>2156.0100000000002</v>
      </c>
      <c r="S6" s="132">
        <v>290</v>
      </c>
      <c r="T6" s="142"/>
      <c r="U6" s="142">
        <v>110</v>
      </c>
      <c r="V6" s="142">
        <v>1.1023000000000001</v>
      </c>
      <c r="W6" s="143">
        <v>8.1</v>
      </c>
      <c r="X6" s="143">
        <v>9.5</v>
      </c>
      <c r="Y6" s="348">
        <v>25.93</v>
      </c>
      <c r="Z6" s="143">
        <f t="shared" ref="Z6:Z28" si="10">IF(D6="UNTUCA",IF(+((W6-2)*2.5+(X6-2)*4)&gt;0,+((W6-2)*2.5+(X6-2)*4),0),IF(+((W6-3)*1.5+(X6-3)*3.1)&gt;0,+((W6-3)*1.5+(X6-3)*3.1),0))</f>
        <v>45.25</v>
      </c>
      <c r="AA6" s="144">
        <f t="shared" si="2"/>
        <v>71.180000000000007</v>
      </c>
      <c r="AB6" s="145">
        <f t="shared" ref="AB6:AB48" si="11">+((O6*P6*(R6-U6)/100)-S6-AA6+T6)*V6</f>
        <v>4038.2373490186114</v>
      </c>
      <c r="AC6" s="145">
        <f>+(S6*V6)-'data 1'!$F$4-T6*V6</f>
        <v>239.66700000000003</v>
      </c>
      <c r="AD6" s="145">
        <f t="shared" si="3"/>
        <v>7.7622071561375572</v>
      </c>
      <c r="AE6" s="145">
        <f>+(AA6*V6)-Z6-'data 1'!$I$21+((W6-2)*2.5+(X6-2)*4)-((W6-3)*1.5+(X6-3)*3.1)</f>
        <v>25.080632918918933</v>
      </c>
      <c r="AF6" s="145">
        <f t="shared" si="4"/>
        <v>184.74963886038643</v>
      </c>
      <c r="AG6" s="145">
        <f t="shared" si="5"/>
        <v>457.25947893544293</v>
      </c>
      <c r="AH6" s="145">
        <f t="shared" si="6"/>
        <v>454.19047346635779</v>
      </c>
      <c r="AI6" s="57">
        <f t="shared" si="7"/>
        <v>571.1932759414766</v>
      </c>
      <c r="AJ6" s="268">
        <f t="shared" si="8"/>
        <v>435.33014267558394</v>
      </c>
      <c r="AK6" s="57"/>
      <c r="AL6" s="57">
        <f t="shared" si="9"/>
        <v>26066.438455366981</v>
      </c>
    </row>
    <row r="7" spans="1:38" ht="15.75" customHeight="1">
      <c r="A7" s="338" t="s">
        <v>751</v>
      </c>
      <c r="B7" s="346">
        <v>45371</v>
      </c>
      <c r="C7" s="346">
        <v>45366</v>
      </c>
      <c r="D7" s="349" t="s">
        <v>549</v>
      </c>
      <c r="E7" s="350">
        <v>20169040231</v>
      </c>
      <c r="F7" s="260" t="s">
        <v>193</v>
      </c>
      <c r="G7" s="351">
        <v>37</v>
      </c>
      <c r="H7" s="351"/>
      <c r="I7" s="352">
        <v>3.62</v>
      </c>
      <c r="J7" s="353">
        <v>11</v>
      </c>
      <c r="K7" s="354">
        <f t="shared" si="0"/>
        <v>3.2218</v>
      </c>
      <c r="L7" s="355">
        <v>1.601</v>
      </c>
      <c r="M7" s="356">
        <v>1.5369999999999999</v>
      </c>
      <c r="N7" s="357">
        <v>1.5369999999999999</v>
      </c>
      <c r="O7" s="358">
        <f t="shared" si="1"/>
        <v>1.5369999999999999</v>
      </c>
      <c r="P7" s="349">
        <v>86</v>
      </c>
      <c r="Q7" s="359">
        <v>87.078130310309021</v>
      </c>
      <c r="R7" s="359">
        <v>2156.0100000000002</v>
      </c>
      <c r="S7" s="360">
        <v>230</v>
      </c>
      <c r="T7" s="349"/>
      <c r="U7" s="349">
        <v>110</v>
      </c>
      <c r="V7" s="349">
        <v>1.1023000000000001</v>
      </c>
      <c r="W7" s="359">
        <v>7.9</v>
      </c>
      <c r="X7" s="359">
        <v>9.6</v>
      </c>
      <c r="Y7" s="361">
        <v>25.93</v>
      </c>
      <c r="Z7" s="143">
        <f t="shared" si="10"/>
        <v>45.15</v>
      </c>
      <c r="AA7" s="359">
        <f t="shared" si="2"/>
        <v>71.08</v>
      </c>
      <c r="AB7" s="362">
        <f t="shared" si="11"/>
        <v>2649.2423989778604</v>
      </c>
      <c r="AC7" s="362">
        <f>+(S7*V7)-'data 1'!$F$4-T7*V7</f>
        <v>173.52900000000002</v>
      </c>
      <c r="AD7" s="362">
        <f t="shared" si="3"/>
        <v>38.928722073880593</v>
      </c>
      <c r="AE7" s="145">
        <f>+(AA7*V7)-Z7-'data 1'!$I$21+((W7-2)*2.5+(X7-2)*4)-((W7-3)*1.5+(X7-3)*3.1)</f>
        <v>24.960402918918916</v>
      </c>
      <c r="AF7" s="362">
        <f t="shared" si="4"/>
        <v>125.68881421070488</v>
      </c>
      <c r="AG7" s="362">
        <f t="shared" si="5"/>
        <v>363.10693920350445</v>
      </c>
      <c r="AH7" s="362">
        <f t="shared" si="6"/>
        <v>153.99551549609845</v>
      </c>
      <c r="AI7" s="57">
        <f t="shared" si="7"/>
        <v>388.01133890472613</v>
      </c>
      <c r="AJ7" s="268">
        <f t="shared" si="8"/>
        <v>146.00911385678626</v>
      </c>
      <c r="AK7" s="57"/>
      <c r="AL7" s="57">
        <f t="shared" si="9"/>
        <v>8535.3291610268698</v>
      </c>
    </row>
    <row r="8" spans="1:38" ht="15.75" customHeight="1">
      <c r="A8" s="338" t="s">
        <v>752</v>
      </c>
      <c r="B8" s="346">
        <v>45371</v>
      </c>
      <c r="C8" s="346">
        <v>45366</v>
      </c>
      <c r="D8" s="349" t="s">
        <v>549</v>
      </c>
      <c r="E8" s="350">
        <v>20169040231</v>
      </c>
      <c r="F8" s="349" t="s">
        <v>753</v>
      </c>
      <c r="G8" s="351"/>
      <c r="H8" s="351"/>
      <c r="I8" s="352">
        <v>10.97</v>
      </c>
      <c r="J8" s="353">
        <v>0.45</v>
      </c>
      <c r="K8" s="354">
        <f t="shared" si="0"/>
        <v>10.920635000000001</v>
      </c>
      <c r="L8" s="355">
        <v>0.79100000000000004</v>
      </c>
      <c r="M8" s="356">
        <v>0.75900000000000001</v>
      </c>
      <c r="N8" s="356">
        <v>0.79700000000000004</v>
      </c>
      <c r="O8" s="358">
        <f t="shared" si="1"/>
        <v>0.77800000000000002</v>
      </c>
      <c r="P8" s="349">
        <v>90</v>
      </c>
      <c r="Q8" s="359">
        <v>87.887722587140914</v>
      </c>
      <c r="R8" s="359">
        <v>2156.0100000000002</v>
      </c>
      <c r="S8" s="360">
        <v>150</v>
      </c>
      <c r="T8" s="349"/>
      <c r="U8" s="349">
        <v>110</v>
      </c>
      <c r="V8" s="349">
        <v>1.1023000000000001</v>
      </c>
      <c r="W8" s="363">
        <v>7.1</v>
      </c>
      <c r="X8" s="363">
        <v>8.6999999999999993</v>
      </c>
      <c r="Y8" s="361">
        <v>25.93</v>
      </c>
      <c r="Z8" s="143">
        <f t="shared" si="10"/>
        <v>39.549999999999997</v>
      </c>
      <c r="AA8" s="359">
        <f t="shared" si="2"/>
        <v>65.47999999999999</v>
      </c>
      <c r="AB8" s="362">
        <f t="shared" si="11"/>
        <v>1341.6492354646002</v>
      </c>
      <c r="AC8" s="362">
        <f>+(S8*V8)-'data 1'!$F$4-T8*V8</f>
        <v>85.344999999999999</v>
      </c>
      <c r="AD8" s="362">
        <f t="shared" si="3"/>
        <v>-37.682091341946354</v>
      </c>
      <c r="AE8" s="145">
        <f>+(AA8*V8)-Z8-'data 1'!$I$21+((W8-2)*2.5+(X8-2)*4)-((W8-3)*1.5+(X8-3)*3.1)</f>
        <v>22.777522918918915</v>
      </c>
      <c r="AF8" s="362">
        <f t="shared" si="4"/>
        <v>25.767905707171703</v>
      </c>
      <c r="AG8" s="362">
        <f t="shared" si="5"/>
        <v>96.208337284144264</v>
      </c>
      <c r="AH8" s="362">
        <f t="shared" si="6"/>
        <v>260.29250055225316</v>
      </c>
      <c r="AI8" s="57">
        <f t="shared" si="7"/>
        <v>193.48561583069878</v>
      </c>
      <c r="AJ8" s="268">
        <f t="shared" si="8"/>
        <v>262.16762975093371</v>
      </c>
      <c r="AK8" s="57"/>
      <c r="AL8" s="57">
        <f t="shared" si="9"/>
        <v>14651.661598537956</v>
      </c>
    </row>
    <row r="9" spans="1:38" ht="15.75" customHeight="1">
      <c r="A9" s="338" t="s">
        <v>754</v>
      </c>
      <c r="B9" s="346">
        <v>45371</v>
      </c>
      <c r="C9" s="346">
        <v>45366</v>
      </c>
      <c r="D9" s="349" t="s">
        <v>549</v>
      </c>
      <c r="E9" s="350">
        <v>20169040231</v>
      </c>
      <c r="F9" s="349" t="s">
        <v>753</v>
      </c>
      <c r="G9" s="351"/>
      <c r="H9" s="351"/>
      <c r="I9" s="352">
        <v>11.27</v>
      </c>
      <c r="J9" s="353">
        <v>0.9</v>
      </c>
      <c r="K9" s="354">
        <f t="shared" si="0"/>
        <v>11.168569999999999</v>
      </c>
      <c r="L9" s="355">
        <v>0.74299999999999999</v>
      </c>
      <c r="M9" s="356">
        <v>0.71299999999999997</v>
      </c>
      <c r="N9" s="356">
        <v>0.71299999999999997</v>
      </c>
      <c r="O9" s="358">
        <f t="shared" si="1"/>
        <v>0.71299999999999997</v>
      </c>
      <c r="P9" s="349">
        <v>90</v>
      </c>
      <c r="Q9" s="359">
        <v>87.834909458774348</v>
      </c>
      <c r="R9" s="359">
        <v>2156.0100000000002</v>
      </c>
      <c r="S9" s="360">
        <v>150</v>
      </c>
      <c r="T9" s="349"/>
      <c r="U9" s="349">
        <v>110</v>
      </c>
      <c r="V9" s="349">
        <v>1.1023000000000001</v>
      </c>
      <c r="W9" s="363">
        <v>7.1</v>
      </c>
      <c r="X9" s="363">
        <v>8.6999999999999993</v>
      </c>
      <c r="Y9" s="361">
        <v>25.93</v>
      </c>
      <c r="Z9" s="143">
        <f t="shared" si="10"/>
        <v>39.549999999999997</v>
      </c>
      <c r="AA9" s="359">
        <f t="shared" si="2"/>
        <v>65.47999999999999</v>
      </c>
      <c r="AB9" s="362">
        <f t="shared" si="11"/>
        <v>1209.7132013191001</v>
      </c>
      <c r="AC9" s="362">
        <f>+(S9*V9)-'data 1'!$F$4-T9*V9</f>
        <v>85.344999999999999</v>
      </c>
      <c r="AD9" s="362">
        <f t="shared" si="3"/>
        <v>-36.28043084861681</v>
      </c>
      <c r="AE9" s="145">
        <f>+(AA9*V9)-Z9-'data 1'!$I$21+((W9-2)*2.5+(X9-2)*4)-((W9-3)*1.5+(X9-3)*3.1)</f>
        <v>22.777522918918915</v>
      </c>
      <c r="AF9" s="362">
        <f t="shared" si="4"/>
        <v>59.42866468471675</v>
      </c>
      <c r="AG9" s="362">
        <f t="shared" si="5"/>
        <v>131.27075675501885</v>
      </c>
      <c r="AH9" s="362">
        <f t="shared" si="6"/>
        <v>249.8979028464293</v>
      </c>
      <c r="AI9" s="57">
        <f t="shared" si="7"/>
        <v>181.6351770007538</v>
      </c>
      <c r="AJ9" s="268">
        <f t="shared" si="8"/>
        <v>245.71896599059971</v>
      </c>
      <c r="AK9" s="57"/>
      <c r="AL9" s="57">
        <f t="shared" si="9"/>
        <v>13510.766568856461</v>
      </c>
    </row>
    <row r="10" spans="1:38" ht="15.75" customHeight="1">
      <c r="A10" s="292" t="s">
        <v>755</v>
      </c>
      <c r="B10" s="364"/>
      <c r="C10" s="364">
        <v>45368</v>
      </c>
      <c r="D10" s="365" t="s">
        <v>549</v>
      </c>
      <c r="E10" s="366">
        <v>20169040231</v>
      </c>
      <c r="F10" s="365" t="s">
        <v>750</v>
      </c>
      <c r="G10" s="367">
        <v>70</v>
      </c>
      <c r="H10" s="367"/>
      <c r="I10" s="368">
        <v>6.2</v>
      </c>
      <c r="J10" s="369">
        <v>1</v>
      </c>
      <c r="K10" s="370">
        <f t="shared" si="0"/>
        <v>6.1379999999999999</v>
      </c>
      <c r="L10" s="371">
        <v>1.609</v>
      </c>
      <c r="M10" s="371">
        <v>1.54464</v>
      </c>
      <c r="N10" s="371">
        <v>1.54464</v>
      </c>
      <c r="O10" s="372">
        <f t="shared" si="1"/>
        <v>1.54464</v>
      </c>
      <c r="P10" s="365">
        <v>90</v>
      </c>
      <c r="Q10" s="373">
        <v>91.74</v>
      </c>
      <c r="R10" s="373">
        <v>2157.5749999999998</v>
      </c>
      <c r="S10" s="374">
        <v>230</v>
      </c>
      <c r="T10" s="365"/>
      <c r="U10" s="365">
        <v>110</v>
      </c>
      <c r="V10" s="365">
        <v>1.1023000000000001</v>
      </c>
      <c r="W10" s="369">
        <v>7.1</v>
      </c>
      <c r="X10" s="369">
        <v>9.15</v>
      </c>
      <c r="Y10" s="375">
        <v>26.63</v>
      </c>
      <c r="Z10" s="369">
        <f t="shared" si="10"/>
        <v>41.35</v>
      </c>
      <c r="AA10" s="373">
        <f t="shared" si="2"/>
        <v>67.98</v>
      </c>
      <c r="AB10" s="376">
        <f t="shared" si="11"/>
        <v>2809.2221576533593</v>
      </c>
      <c r="AC10" s="376">
        <f>+(S10*V10)-'data 1'!$F$4-T10*V10</f>
        <v>173.52900000000002</v>
      </c>
      <c r="AD10" s="376">
        <f t="shared" si="3"/>
        <v>63.189499887463306</v>
      </c>
      <c r="AE10" s="376">
        <f>+(AA10*V10)-Z10-'data 1'!$I$21+((W10-2)*2.5+(X10-2)*4)-((W10-3)*1.5+(X10-3)*3.1)</f>
        <v>24.138272918918933</v>
      </c>
      <c r="AF10" s="376">
        <f t="shared" si="4"/>
        <v>133.26447631438847</v>
      </c>
      <c r="AG10" s="376">
        <f t="shared" si="5"/>
        <v>394.1212491207707</v>
      </c>
      <c r="AH10" s="377">
        <f t="shared" si="6"/>
        <v>310.63524755449316</v>
      </c>
      <c r="AI10" s="57">
        <f t="shared" si="7"/>
        <v>408.28038923101673</v>
      </c>
      <c r="AJ10" s="268">
        <f t="shared" si="8"/>
        <v>292.55379756603679</v>
      </c>
      <c r="AK10" s="57"/>
      <c r="AL10" s="57">
        <f t="shared" si="9"/>
        <v>17243.00560367632</v>
      </c>
    </row>
    <row r="11" spans="1:38" ht="15.75" customHeight="1">
      <c r="A11" s="330" t="s">
        <v>756</v>
      </c>
      <c r="B11" s="378"/>
      <c r="C11" s="378">
        <v>45368</v>
      </c>
      <c r="D11" s="379" t="s">
        <v>549</v>
      </c>
      <c r="E11" s="380">
        <v>20169040231</v>
      </c>
      <c r="F11" s="379" t="s">
        <v>757</v>
      </c>
      <c r="G11" s="381">
        <v>45</v>
      </c>
      <c r="H11" s="381"/>
      <c r="I11" s="382">
        <v>3.64</v>
      </c>
      <c r="J11" s="383">
        <v>35.299999999999997</v>
      </c>
      <c r="K11" s="384">
        <f t="shared" si="0"/>
        <v>2.3550800000000001</v>
      </c>
      <c r="L11" s="385">
        <v>1.1120000000000001</v>
      </c>
      <c r="M11" s="385">
        <v>1.06752</v>
      </c>
      <c r="N11" s="385">
        <v>1.06752</v>
      </c>
      <c r="O11" s="385">
        <v>1.0680000000000001</v>
      </c>
      <c r="P11" s="379">
        <v>90</v>
      </c>
      <c r="Q11" s="386">
        <v>86.61</v>
      </c>
      <c r="R11" s="386">
        <v>2157.5749999999998</v>
      </c>
      <c r="S11" s="387">
        <v>180</v>
      </c>
      <c r="T11" s="379"/>
      <c r="U11" s="379">
        <v>110</v>
      </c>
      <c r="V11" s="379">
        <v>1.1023000000000001</v>
      </c>
      <c r="W11" s="383">
        <v>7.5</v>
      </c>
      <c r="X11" s="383">
        <v>12.05</v>
      </c>
      <c r="Y11" s="379">
        <v>26.38</v>
      </c>
      <c r="Z11" s="383">
        <f t="shared" si="10"/>
        <v>53.95</v>
      </c>
      <c r="AA11" s="386">
        <f t="shared" si="2"/>
        <v>80.33</v>
      </c>
      <c r="AB11" s="388">
        <f t="shared" si="11"/>
        <v>1882.5069369070002</v>
      </c>
      <c r="AC11" s="388">
        <f>+(S11*V11)-'data 1'!$F$4-T11*V11</f>
        <v>118.41400000000002</v>
      </c>
      <c r="AD11" s="388">
        <f t="shared" si="3"/>
        <v>-85.083257944098023</v>
      </c>
      <c r="AE11" s="388">
        <f>+(AA11*V11)-Z11-'data 1'!$I$21+((W11-2)*2.5+(X11-2)*4)-((W11-3)*1.5+(X11-3)*3.1)</f>
        <v>28.161677918918912</v>
      </c>
      <c r="AF11" s="388">
        <f t="shared" si="4"/>
        <v>86.012256399399064</v>
      </c>
      <c r="AG11" s="388">
        <f t="shared" si="5"/>
        <v>147.50467637421997</v>
      </c>
      <c r="AH11" s="389">
        <f t="shared" si="6"/>
        <v>77.76560578293892</v>
      </c>
      <c r="AI11" s="57">
        <f t="shared" si="7"/>
        <v>266.3891708480582</v>
      </c>
      <c r="AJ11" s="268">
        <f t="shared" si="8"/>
        <v>77.611932219268795</v>
      </c>
      <c r="AK11" s="57"/>
      <c r="AL11" s="57">
        <f t="shared" si="9"/>
        <v>4433.4544369709383</v>
      </c>
    </row>
    <row r="12" spans="1:38" ht="15.75" customHeight="1">
      <c r="A12" s="330" t="s">
        <v>758</v>
      </c>
      <c r="B12" s="378"/>
      <c r="C12" s="378">
        <v>45368</v>
      </c>
      <c r="D12" s="379" t="s">
        <v>549</v>
      </c>
      <c r="E12" s="380">
        <v>20169040231</v>
      </c>
      <c r="F12" s="379" t="s">
        <v>757</v>
      </c>
      <c r="G12" s="381">
        <v>50</v>
      </c>
      <c r="H12" s="381"/>
      <c r="I12" s="382">
        <v>4.0599999999999996</v>
      </c>
      <c r="J12" s="383">
        <v>41</v>
      </c>
      <c r="K12" s="384">
        <f t="shared" si="0"/>
        <v>2.3954</v>
      </c>
      <c r="L12" s="385">
        <v>1.1200000000000001</v>
      </c>
      <c r="M12" s="385">
        <v>1.0752000000000002</v>
      </c>
      <c r="N12" s="385">
        <v>1.0752000000000002</v>
      </c>
      <c r="O12" s="385">
        <v>1.083</v>
      </c>
      <c r="P12" s="379">
        <v>90</v>
      </c>
      <c r="Q12" s="386">
        <v>86.14</v>
      </c>
      <c r="R12" s="386">
        <v>2157.5749999999998</v>
      </c>
      <c r="S12" s="387">
        <v>180</v>
      </c>
      <c r="T12" s="379"/>
      <c r="U12" s="379">
        <v>110</v>
      </c>
      <c r="V12" s="379">
        <v>1.1023000000000001</v>
      </c>
      <c r="W12" s="383">
        <v>7.5</v>
      </c>
      <c r="X12" s="383">
        <v>12</v>
      </c>
      <c r="Y12" s="379">
        <v>26.38</v>
      </c>
      <c r="Z12" s="383">
        <f t="shared" si="10"/>
        <v>53.75</v>
      </c>
      <c r="AA12" s="386">
        <f t="shared" si="2"/>
        <v>80.13</v>
      </c>
      <c r="AB12" s="388">
        <f t="shared" si="11"/>
        <v>1913.19746286075</v>
      </c>
      <c r="AC12" s="388">
        <f>+(S12*V12)-'data 1'!$F$4-T12*V12</f>
        <v>118.41400000000002</v>
      </c>
      <c r="AD12" s="388">
        <f t="shared" si="3"/>
        <v>-97.576436393519984</v>
      </c>
      <c r="AE12" s="388">
        <f>+(AA12*V12)-Z12-'data 1'!$I$21+((W12-2)*2.5+(X12-2)*4)-((W12-3)*1.5+(X12-3)*3.1)</f>
        <v>28.09621791891891</v>
      </c>
      <c r="AF12" s="388">
        <f t="shared" si="4"/>
        <v>71.935988745535781</v>
      </c>
      <c r="AG12" s="388">
        <f t="shared" si="5"/>
        <v>120.86977027093472</v>
      </c>
      <c r="AH12" s="389">
        <f t="shared" si="6"/>
        <v>79.233712371545948</v>
      </c>
      <c r="AI12" s="57">
        <f t="shared" si="7"/>
        <v>266.84964558392022</v>
      </c>
      <c r="AJ12" s="268">
        <f t="shared" si="8"/>
        <v>80.049399906035262</v>
      </c>
      <c r="AK12" s="57"/>
      <c r="AL12" s="57">
        <f t="shared" si="9"/>
        <v>4582.8732025366407</v>
      </c>
    </row>
    <row r="13" spans="1:38" ht="15.75" customHeight="1">
      <c r="A13" s="330" t="s">
        <v>759</v>
      </c>
      <c r="B13" s="378"/>
      <c r="C13" s="378">
        <v>45368</v>
      </c>
      <c r="D13" s="379" t="s">
        <v>549</v>
      </c>
      <c r="E13" s="380">
        <v>20169040231</v>
      </c>
      <c r="F13" s="379" t="s">
        <v>757</v>
      </c>
      <c r="G13" s="381">
        <v>50</v>
      </c>
      <c r="H13" s="381"/>
      <c r="I13" s="382">
        <v>4.4800000000000004</v>
      </c>
      <c r="J13" s="383">
        <v>36.1</v>
      </c>
      <c r="K13" s="384">
        <f t="shared" si="0"/>
        <v>2.8627200000000004</v>
      </c>
      <c r="L13" s="385">
        <v>0.97599999999999998</v>
      </c>
      <c r="M13" s="385">
        <v>0.9369599999999999</v>
      </c>
      <c r="N13" s="385">
        <v>0.9369599999999999</v>
      </c>
      <c r="O13" s="385">
        <v>0.94199999999999995</v>
      </c>
      <c r="P13" s="379">
        <v>90</v>
      </c>
      <c r="Q13" s="386">
        <v>85.48</v>
      </c>
      <c r="R13" s="386">
        <v>2157.5749999999998</v>
      </c>
      <c r="S13" s="387">
        <v>170</v>
      </c>
      <c r="T13" s="379"/>
      <c r="U13" s="379">
        <v>110</v>
      </c>
      <c r="V13" s="379">
        <v>1.1023000000000001</v>
      </c>
      <c r="W13" s="383">
        <v>7.5</v>
      </c>
      <c r="X13" s="383">
        <v>12.1</v>
      </c>
      <c r="Y13" s="379">
        <v>26.38</v>
      </c>
      <c r="Z13" s="383">
        <f t="shared" si="10"/>
        <v>54.15</v>
      </c>
      <c r="AA13" s="386">
        <f t="shared" si="2"/>
        <v>80.53</v>
      </c>
      <c r="AB13" s="388">
        <f t="shared" si="11"/>
        <v>1637.3609228954999</v>
      </c>
      <c r="AC13" s="388">
        <f>+(S13*V13)-'data 1'!$F$4-T13*V13</f>
        <v>107.39100000000002</v>
      </c>
      <c r="AD13" s="388">
        <f t="shared" si="3"/>
        <v>-99.569855819471925</v>
      </c>
      <c r="AE13" s="388">
        <f>+(AA13*V13)-Z13-'data 1'!$I$21+((W13-2)*2.5+(X13-2)*4)-((W13-3)*1.5+(X13-3)*3.1)</f>
        <v>28.22713791891892</v>
      </c>
      <c r="AF13" s="388">
        <f t="shared" si="4"/>
        <v>65.596860802002055</v>
      </c>
      <c r="AG13" s="388">
        <f t="shared" si="5"/>
        <v>101.64514290144908</v>
      </c>
      <c r="AH13" s="389">
        <f t="shared" si="6"/>
        <v>81.884607677404844</v>
      </c>
      <c r="AI13" s="57">
        <f t="shared" si="7"/>
        <v>230.75869348491219</v>
      </c>
      <c r="AJ13" s="268">
        <f t="shared" si="8"/>
        <v>83.21111734134891</v>
      </c>
      <c r="AK13" s="57"/>
      <c r="AL13" s="57">
        <f t="shared" si="9"/>
        <v>4687.3058611914057</v>
      </c>
    </row>
    <row r="14" spans="1:38" ht="15.75" customHeight="1">
      <c r="A14" s="330" t="s">
        <v>760</v>
      </c>
      <c r="B14" s="390"/>
      <c r="C14" s="390">
        <v>45368</v>
      </c>
      <c r="D14" s="391" t="s">
        <v>549</v>
      </c>
      <c r="E14" s="380">
        <v>20169040231</v>
      </c>
      <c r="F14" s="391" t="s">
        <v>761</v>
      </c>
      <c r="G14" s="392">
        <v>25</v>
      </c>
      <c r="H14" s="392"/>
      <c r="I14" s="393">
        <v>2.34</v>
      </c>
      <c r="J14" s="394">
        <v>35.299999999999997</v>
      </c>
      <c r="K14" s="395">
        <f t="shared" si="0"/>
        <v>1.5139800000000001</v>
      </c>
      <c r="L14" s="396">
        <v>1.8280000000000001</v>
      </c>
      <c r="M14" s="396">
        <v>1.75488</v>
      </c>
      <c r="N14" s="396">
        <v>1.75488</v>
      </c>
      <c r="O14" s="385">
        <f t="shared" ref="O14:O19" si="12">+(M14+N14)/2</f>
        <v>1.75488</v>
      </c>
      <c r="P14" s="391">
        <v>90</v>
      </c>
      <c r="Q14" s="397">
        <v>85.08</v>
      </c>
      <c r="R14" s="397">
        <v>2157.5749999999998</v>
      </c>
      <c r="S14" s="398">
        <v>250</v>
      </c>
      <c r="T14" s="391"/>
      <c r="U14" s="391">
        <v>110</v>
      </c>
      <c r="V14" s="391">
        <v>1.1023000000000001</v>
      </c>
      <c r="W14" s="394">
        <v>7.5</v>
      </c>
      <c r="X14" s="394">
        <v>12.05</v>
      </c>
      <c r="Y14" s="391">
        <v>26.38</v>
      </c>
      <c r="Z14" s="394">
        <f t="shared" si="10"/>
        <v>53.95</v>
      </c>
      <c r="AA14" s="397">
        <f t="shared" si="2"/>
        <v>80.33</v>
      </c>
      <c r="AB14" s="399">
        <f t="shared" si="11"/>
        <v>3200.63119706112</v>
      </c>
      <c r="AC14" s="399">
        <f>+(S14*V14)-'data 1'!$F$4-T14*V14</f>
        <v>195.57499999999999</v>
      </c>
      <c r="AD14" s="399">
        <f t="shared" si="3"/>
        <v>-202.99293360903607</v>
      </c>
      <c r="AE14" s="399">
        <f>+(AA14*V14)-Z14-'data 1'!$I$21+((W14-2)*2.5+(X14-2)*4)-((W14-3)*1.5+(X14-3)*3.1)</f>
        <v>28.161677918918912</v>
      </c>
      <c r="AF14" s="399">
        <f t="shared" si="4"/>
        <v>140.41169749151871</v>
      </c>
      <c r="AG14" s="399">
        <f t="shared" si="5"/>
        <v>161.15544180140154</v>
      </c>
      <c r="AH14" s="400">
        <f t="shared" si="6"/>
        <v>80.729614748513455</v>
      </c>
      <c r="AI14" s="57">
        <f t="shared" si="7"/>
        <v>430.17722419275634</v>
      </c>
      <c r="AJ14" s="268">
        <f t="shared" si="8"/>
        <v>81.98211934968927</v>
      </c>
      <c r="AK14" s="57"/>
      <c r="AL14" s="57">
        <f t="shared" si="9"/>
        <v>4845.6916197265946</v>
      </c>
    </row>
    <row r="15" spans="1:38" ht="15.75" customHeight="1">
      <c r="A15" s="330" t="s">
        <v>762</v>
      </c>
      <c r="B15" s="390"/>
      <c r="C15" s="390">
        <v>45368</v>
      </c>
      <c r="D15" s="391" t="s">
        <v>549</v>
      </c>
      <c r="E15" s="380">
        <v>20169040231</v>
      </c>
      <c r="F15" s="391" t="s">
        <v>763</v>
      </c>
      <c r="G15" s="392">
        <v>18</v>
      </c>
      <c r="H15" s="392"/>
      <c r="I15" s="393">
        <v>1.6</v>
      </c>
      <c r="J15" s="394">
        <v>0.9</v>
      </c>
      <c r="K15" s="395">
        <f t="shared" si="0"/>
        <v>1.5856000000000001</v>
      </c>
      <c r="L15" s="396">
        <v>0.17100000000000001</v>
      </c>
      <c r="M15" s="396">
        <v>0.16416</v>
      </c>
      <c r="N15" s="396">
        <v>0.16416</v>
      </c>
      <c r="O15" s="385">
        <f t="shared" si="12"/>
        <v>0.16416</v>
      </c>
      <c r="P15" s="391">
        <v>90</v>
      </c>
      <c r="Q15" s="397">
        <v>91.1</v>
      </c>
      <c r="R15" s="397">
        <v>2157.5749999999998</v>
      </c>
      <c r="S15" s="398">
        <v>95</v>
      </c>
      <c r="T15" s="391"/>
      <c r="U15" s="391">
        <v>110</v>
      </c>
      <c r="V15" s="391">
        <v>1.1023000000000001</v>
      </c>
      <c r="W15" s="394">
        <v>6.9</v>
      </c>
      <c r="X15" s="394">
        <v>7.5</v>
      </c>
      <c r="Y15" s="391">
        <v>26.38</v>
      </c>
      <c r="Z15" s="394">
        <f t="shared" si="10"/>
        <v>34.25</v>
      </c>
      <c r="AA15" s="397">
        <f t="shared" si="2"/>
        <v>60.629999999999995</v>
      </c>
      <c r="AB15" s="399">
        <f t="shared" si="11"/>
        <v>161.91345279783999</v>
      </c>
      <c r="AC15" s="399">
        <f>+(S15*V15)-'data 1'!$F$4-T15*V15</f>
        <v>24.718500000000006</v>
      </c>
      <c r="AD15" s="399">
        <f t="shared" si="3"/>
        <v>4.2454958562224787</v>
      </c>
      <c r="AE15" s="399">
        <f>+(AA15*V15)-Z15-'data 1'!$I$21+((W15-2)*2.5+(X15-2)*4)-((W15-3)*1.5+(X15-3)*3.1)</f>
        <v>21.451367918918915</v>
      </c>
      <c r="AF15" s="399">
        <f t="shared" si="4"/>
        <v>14.064169909158926</v>
      </c>
      <c r="AG15" s="399">
        <f t="shared" si="5"/>
        <v>64.479533684300321</v>
      </c>
      <c r="AH15" s="400">
        <f t="shared" si="6"/>
        <v>8.4687086839915171</v>
      </c>
      <c r="AI15" s="57">
        <f t="shared" si="7"/>
        <v>43.088187666577532</v>
      </c>
      <c r="AJ15" s="268">
        <f t="shared" si="8"/>
        <v>8.0317939659370694</v>
      </c>
      <c r="AK15" s="57"/>
      <c r="AL15" s="57">
        <f t="shared" si="9"/>
        <v>256.72997075625511</v>
      </c>
    </row>
    <row r="16" spans="1:38" ht="15.75" customHeight="1">
      <c r="A16" s="330" t="s">
        <v>764</v>
      </c>
      <c r="B16" s="343"/>
      <c r="C16" s="339">
        <v>45370</v>
      </c>
      <c r="D16" s="343" t="s">
        <v>549</v>
      </c>
      <c r="E16" s="401">
        <v>20169040231</v>
      </c>
      <c r="F16" s="343" t="s">
        <v>765</v>
      </c>
      <c r="G16" s="402">
        <v>30</v>
      </c>
      <c r="H16" s="402"/>
      <c r="I16" s="403">
        <v>2.31</v>
      </c>
      <c r="J16" s="404">
        <v>22.7</v>
      </c>
      <c r="K16" s="403">
        <f t="shared" si="0"/>
        <v>1.7856300000000001</v>
      </c>
      <c r="L16" s="405">
        <v>2.0979999999999999</v>
      </c>
      <c r="M16" s="342">
        <v>2.0139999999999998</v>
      </c>
      <c r="N16" s="403">
        <v>2.0339999999999998</v>
      </c>
      <c r="O16" s="406">
        <f t="shared" si="12"/>
        <v>2.024</v>
      </c>
      <c r="P16" s="343">
        <v>90</v>
      </c>
      <c r="Q16" s="343">
        <v>85.59</v>
      </c>
      <c r="R16" s="407">
        <v>2152.5450000000001</v>
      </c>
      <c r="S16" s="342">
        <v>280</v>
      </c>
      <c r="T16" s="343"/>
      <c r="U16" s="343">
        <v>110</v>
      </c>
      <c r="V16" s="343">
        <v>1.1023000000000001</v>
      </c>
      <c r="W16" s="404">
        <v>7.8</v>
      </c>
      <c r="X16" s="404">
        <v>11.34</v>
      </c>
      <c r="Y16" s="343">
        <v>26.71</v>
      </c>
      <c r="Z16" s="404">
        <f t="shared" si="10"/>
        <v>51.86</v>
      </c>
      <c r="AA16" s="407">
        <f t="shared" si="2"/>
        <v>78.569999999999993</v>
      </c>
      <c r="AB16" s="408">
        <f t="shared" si="11"/>
        <v>3706.0758681356001</v>
      </c>
      <c r="AC16" s="408">
        <f>+(S16*V16)-'data 1'!$F$4-T16*V16</f>
        <v>228.64400000000001</v>
      </c>
      <c r="AD16" s="408">
        <f t="shared" si="3"/>
        <v>-208.31258784105611</v>
      </c>
      <c r="AE16" s="408">
        <f>+(AA16*V16)-Z16-'data 1'!$I$21+((W16-2)*2.5+(X16-2)*4)-((W16-3)*1.5+(X16-3)*3.1)</f>
        <v>27.972629918918912</v>
      </c>
      <c r="AF16" s="408">
        <f t="shared" si="4"/>
        <v>142.6021872796878</v>
      </c>
      <c r="AG16" s="408">
        <f t="shared" si="5"/>
        <v>190.90622935755061</v>
      </c>
      <c r="AH16" s="409">
        <f t="shared" si="6"/>
        <v>109.93324644142398</v>
      </c>
      <c r="AI16" s="57">
        <f t="shared" si="7"/>
        <v>506.63120452056609</v>
      </c>
      <c r="AJ16" s="268">
        <f t="shared" si="8"/>
        <v>111.5202054119151</v>
      </c>
      <c r="AK16" s="57"/>
      <c r="AL16" s="57">
        <f t="shared" si="9"/>
        <v>6617.6802524189716</v>
      </c>
    </row>
    <row r="17" spans="1:38" ht="15.75" customHeight="1">
      <c r="A17" s="330" t="s">
        <v>766</v>
      </c>
      <c r="B17" s="6"/>
      <c r="C17" s="135">
        <v>45372</v>
      </c>
      <c r="D17" s="6" t="s">
        <v>557</v>
      </c>
      <c r="E17" s="176">
        <v>10460498487</v>
      </c>
      <c r="F17" s="142" t="s">
        <v>212</v>
      </c>
      <c r="G17" s="90" t="s">
        <v>68</v>
      </c>
      <c r="H17" s="90"/>
      <c r="I17" s="82">
        <v>17.329999999999998</v>
      </c>
      <c r="J17" s="137">
        <v>9</v>
      </c>
      <c r="K17" s="82">
        <f t="shared" si="0"/>
        <v>15.770299999999999</v>
      </c>
      <c r="L17" s="240">
        <v>0.44600000000000001</v>
      </c>
      <c r="M17" s="80">
        <v>0.42099999999999999</v>
      </c>
      <c r="N17" s="271">
        <f>+M17+0.02</f>
        <v>0.441</v>
      </c>
      <c r="O17" s="139">
        <f t="shared" si="12"/>
        <v>0.43099999999999999</v>
      </c>
      <c r="P17" s="6">
        <v>90</v>
      </c>
      <c r="Q17" s="142">
        <v>91.15</v>
      </c>
      <c r="R17" s="57">
        <v>2166.4450000000002</v>
      </c>
      <c r="S17" s="80">
        <v>130</v>
      </c>
      <c r="T17" s="6"/>
      <c r="U17" s="142">
        <v>100</v>
      </c>
      <c r="V17" s="142">
        <v>1.1023000000000001</v>
      </c>
      <c r="W17" s="137">
        <v>5.7</v>
      </c>
      <c r="X17" s="137">
        <v>6.8</v>
      </c>
      <c r="Y17" s="6">
        <v>25</v>
      </c>
      <c r="Z17" s="143">
        <f t="shared" si="10"/>
        <v>15.83</v>
      </c>
      <c r="AA17" s="144">
        <f t="shared" si="2"/>
        <v>40.83</v>
      </c>
      <c r="AB17" s="145">
        <f t="shared" si="11"/>
        <v>695.26912828565014</v>
      </c>
      <c r="AC17" s="145">
        <f>+(S17*V17)-'data 1'!$F$4-T17*V17</f>
        <v>63.299000000000007</v>
      </c>
      <c r="AD17" s="145">
        <f t="shared" si="3"/>
        <v>11.683053277231558</v>
      </c>
      <c r="AE17" s="145">
        <f>+(AA17*V17)-Z17-'data 1'!$I$21+((W17-2)*2.5+(X17-2)*4)-((W17-3)*1.5+(X17-3)*3.1)</f>
        <v>16.215827918918919</v>
      </c>
      <c r="AF17" s="145">
        <f t="shared" si="4"/>
        <v>31.143799168053782</v>
      </c>
      <c r="AG17" s="145">
        <f t="shared" si="5"/>
        <v>122.34168036420425</v>
      </c>
      <c r="AH17" s="331">
        <f t="shared" si="6"/>
        <v>219.80651265933776</v>
      </c>
      <c r="AI17" s="57">
        <f t="shared" si="7"/>
        <v>103.98777110481844</v>
      </c>
      <c r="AJ17" s="268">
        <f t="shared" si="8"/>
        <v>209.73398271847054</v>
      </c>
      <c r="AK17" s="57"/>
      <c r="AL17" s="57">
        <f t="shared" si="9"/>
        <v>10964.602733803187</v>
      </c>
    </row>
    <row r="18" spans="1:38" ht="15.75" customHeight="1">
      <c r="A18" s="330" t="s">
        <v>767</v>
      </c>
      <c r="B18" s="6"/>
      <c r="C18" s="135">
        <v>45372</v>
      </c>
      <c r="D18" s="6" t="s">
        <v>557</v>
      </c>
      <c r="E18" s="176">
        <v>10460498487</v>
      </c>
      <c r="F18" s="142" t="s">
        <v>159</v>
      </c>
      <c r="G18" s="90">
        <v>50</v>
      </c>
      <c r="H18" s="90"/>
      <c r="I18" s="82">
        <v>4.25</v>
      </c>
      <c r="J18" s="137">
        <v>9.5</v>
      </c>
      <c r="K18" s="82">
        <f t="shared" si="0"/>
        <v>3.8462499999999999</v>
      </c>
      <c r="L18" s="240">
        <v>0.3</v>
      </c>
      <c r="M18" s="80">
        <v>0.27500000000000002</v>
      </c>
      <c r="N18" s="80">
        <v>0.27500000000000002</v>
      </c>
      <c r="O18" s="139">
        <f t="shared" si="12"/>
        <v>0.27500000000000002</v>
      </c>
      <c r="P18" s="6">
        <v>90</v>
      </c>
      <c r="Q18" s="142">
        <v>90.89</v>
      </c>
      <c r="R18" s="57">
        <v>2166.4450000000002</v>
      </c>
      <c r="S18" s="80">
        <v>120</v>
      </c>
      <c r="T18" s="6"/>
      <c r="U18" s="142">
        <v>100</v>
      </c>
      <c r="V18" s="142">
        <v>1.1023000000000001</v>
      </c>
      <c r="W18" s="137">
        <v>5.5</v>
      </c>
      <c r="X18" s="137">
        <v>6.4</v>
      </c>
      <c r="Y18" s="6">
        <v>25</v>
      </c>
      <c r="Z18" s="143">
        <f t="shared" si="10"/>
        <v>14.290000000000001</v>
      </c>
      <c r="AA18" s="144">
        <f t="shared" si="2"/>
        <v>39.29</v>
      </c>
      <c r="AB18" s="145">
        <f t="shared" si="11"/>
        <v>388.1806080662501</v>
      </c>
      <c r="AC18" s="145">
        <f>+(S18*V18)-'data 1'!$F$4-T18*V18</f>
        <v>52.27600000000001</v>
      </c>
      <c r="AD18" s="145">
        <f t="shared" si="3"/>
        <v>6.0818390037450056</v>
      </c>
      <c r="AE18" s="145">
        <f>+(AA18*V18)-Z18-'data 1'!$I$21+((W18-2)*2.5+(X18-2)*4)-((W18-3)*1.5+(X18-3)*3.1)</f>
        <v>15.498285918918922</v>
      </c>
      <c r="AF18" s="145">
        <f t="shared" si="4"/>
        <v>51.758272195728686</v>
      </c>
      <c r="AG18" s="145">
        <f t="shared" si="5"/>
        <v>125.61439711839262</v>
      </c>
      <c r="AH18" s="331">
        <f t="shared" si="6"/>
        <v>35.957040286586505</v>
      </c>
      <c r="AI18" s="57">
        <f t="shared" si="7"/>
        <v>69.747411739754938</v>
      </c>
      <c r="AJ18" s="268">
        <f t="shared" si="8"/>
        <v>32.637868012359846</v>
      </c>
      <c r="AK18" s="57"/>
      <c r="AL18" s="57">
        <f t="shared" si="9"/>
        <v>1493.0396637748145</v>
      </c>
    </row>
    <row r="19" spans="1:38" ht="15.75" customHeight="1">
      <c r="A19" s="310" t="s">
        <v>768</v>
      </c>
      <c r="B19" s="321"/>
      <c r="C19" s="311">
        <v>45372</v>
      </c>
      <c r="D19" s="321" t="s">
        <v>557</v>
      </c>
      <c r="E19" s="313">
        <v>10460498487</v>
      </c>
      <c r="F19" s="312" t="s">
        <v>212</v>
      </c>
      <c r="G19" s="315" t="s">
        <v>68</v>
      </c>
      <c r="H19" s="315"/>
      <c r="I19" s="316">
        <v>20.190000000000001</v>
      </c>
      <c r="J19" s="317">
        <v>9</v>
      </c>
      <c r="K19" s="316">
        <f t="shared" si="0"/>
        <v>18.372900000000001</v>
      </c>
      <c r="L19" s="318">
        <v>0.44600000000000001</v>
      </c>
      <c r="M19" s="324">
        <v>0.42099999999999999</v>
      </c>
      <c r="N19" s="410">
        <f>+M19+0.02</f>
        <v>0.441</v>
      </c>
      <c r="O19" s="319">
        <f t="shared" si="12"/>
        <v>0.43099999999999999</v>
      </c>
      <c r="P19" s="321">
        <v>90</v>
      </c>
      <c r="Q19" s="312">
        <v>91.82</v>
      </c>
      <c r="R19" s="323">
        <v>2166.4450000000002</v>
      </c>
      <c r="S19" s="324">
        <v>130</v>
      </c>
      <c r="T19" s="321"/>
      <c r="U19" s="312">
        <v>100</v>
      </c>
      <c r="V19" s="312">
        <v>1.1023000000000001</v>
      </c>
      <c r="W19" s="317">
        <v>5.7</v>
      </c>
      <c r="X19" s="317">
        <v>6.8</v>
      </c>
      <c r="Y19" s="321">
        <v>25</v>
      </c>
      <c r="Z19" s="322">
        <f t="shared" si="10"/>
        <v>15.83</v>
      </c>
      <c r="AA19" s="325">
        <f t="shared" si="2"/>
        <v>40.83</v>
      </c>
      <c r="AB19" s="326">
        <f t="shared" si="11"/>
        <v>695.26912828565014</v>
      </c>
      <c r="AC19" s="326">
        <f>+(S19*V19)-'data 1'!$F$4-T19*V19</f>
        <v>63.299000000000007</v>
      </c>
      <c r="AD19" s="326">
        <f t="shared" si="3"/>
        <v>18.489701708314133</v>
      </c>
      <c r="AE19" s="326">
        <f>+(AA19*V19)-Z19-'data 1'!$I$21+((W19-2)*2.5+(X19-2)*4)-((W19-3)*1.5+(X19-3)*3.1)</f>
        <v>16.215827918918919</v>
      </c>
      <c r="AF19" s="326">
        <f t="shared" si="4"/>
        <v>31.372722321565533</v>
      </c>
      <c r="AG19" s="326">
        <f t="shared" si="5"/>
        <v>129.37725194879857</v>
      </c>
      <c r="AH19" s="327">
        <f t="shared" si="6"/>
        <v>257.96389615802951</v>
      </c>
      <c r="AI19" s="57">
        <f t="shared" si="7"/>
        <v>104.75213541244571</v>
      </c>
      <c r="AJ19" s="268">
        <f t="shared" si="8"/>
        <v>244.34674616768152</v>
      </c>
      <c r="AK19" s="57"/>
      <c r="AL19" s="57">
        <f t="shared" si="9"/>
        <v>12774.110167079423</v>
      </c>
    </row>
    <row r="20" spans="1:38" ht="15.75" customHeight="1">
      <c r="A20" s="330" t="s">
        <v>769</v>
      </c>
      <c r="B20" s="6"/>
      <c r="C20" s="135">
        <v>45375</v>
      </c>
      <c r="D20" s="6" t="s">
        <v>549</v>
      </c>
      <c r="E20" s="176">
        <v>20169040231</v>
      </c>
      <c r="F20" s="142" t="s">
        <v>770</v>
      </c>
      <c r="G20" s="90">
        <v>110</v>
      </c>
      <c r="H20" s="90"/>
      <c r="I20" s="82">
        <v>9.6999999999999993</v>
      </c>
      <c r="J20" s="137">
        <v>0.45</v>
      </c>
      <c r="K20" s="82">
        <f t="shared" si="0"/>
        <v>9.6563499999999998</v>
      </c>
      <c r="L20" s="80">
        <v>0.72699999999999998</v>
      </c>
      <c r="M20" s="80">
        <v>0.69799999999999995</v>
      </c>
      <c r="N20" s="271">
        <v>0.73099999999999998</v>
      </c>
      <c r="O20" s="139">
        <v>0.72</v>
      </c>
      <c r="P20" s="6">
        <v>90</v>
      </c>
      <c r="Q20" s="143">
        <v>88.7</v>
      </c>
      <c r="R20" s="57">
        <v>2171.8049999999998</v>
      </c>
      <c r="S20" s="80">
        <v>140</v>
      </c>
      <c r="T20" s="6"/>
      <c r="U20" s="142">
        <v>110</v>
      </c>
      <c r="V20" s="142">
        <v>1.1023000000000001</v>
      </c>
      <c r="W20" s="137">
        <v>7.1</v>
      </c>
      <c r="X20" s="137">
        <v>10.7</v>
      </c>
      <c r="Y20" s="6">
        <v>26.88</v>
      </c>
      <c r="Z20" s="143">
        <f t="shared" si="10"/>
        <v>47.55</v>
      </c>
      <c r="AA20" s="144">
        <f t="shared" si="2"/>
        <v>74.429999999999993</v>
      </c>
      <c r="AB20" s="145">
        <f t="shared" si="11"/>
        <v>1236.3613291719996</v>
      </c>
      <c r="AC20" s="145">
        <f>+(S20*V20)-'data 1'!$F$4-T20*V20</f>
        <v>74.322000000000003</v>
      </c>
      <c r="AD20" s="145">
        <f t="shared" si="3"/>
        <v>-21.47954903432645</v>
      </c>
      <c r="AE20" s="145">
        <f>+(AA20*V20)-Z20-'data 1'!$I$21+((W20-2)*2.5+(X20-2)*4)-((W20-3)*1.5+(X20-3)*3.1)</f>
        <v>26.443107918918926</v>
      </c>
      <c r="AF20" s="145">
        <f t="shared" si="4"/>
        <v>14.111365988163511</v>
      </c>
      <c r="AG20" s="145">
        <f t="shared" si="5"/>
        <v>93.396924872755989</v>
      </c>
      <c r="AH20" s="331">
        <f t="shared" si="6"/>
        <v>213.4912591205769</v>
      </c>
      <c r="AI20" s="57">
        <f t="shared" si="7"/>
        <v>168.24684228882663</v>
      </c>
      <c r="AJ20" s="268">
        <f t="shared" si="8"/>
        <v>214.53446606900812</v>
      </c>
      <c r="AK20" s="57"/>
      <c r="AL20" s="57">
        <f t="shared" si="9"/>
        <v>11938.737720950037</v>
      </c>
    </row>
    <row r="21" spans="1:38" ht="15.75" customHeight="1">
      <c r="A21" s="330" t="s">
        <v>771</v>
      </c>
      <c r="B21" s="6"/>
      <c r="C21" s="135">
        <v>45375</v>
      </c>
      <c r="D21" s="6" t="s">
        <v>549</v>
      </c>
      <c r="E21" s="176">
        <v>20169040231</v>
      </c>
      <c r="F21" s="142" t="s">
        <v>770</v>
      </c>
      <c r="G21" s="90">
        <v>27</v>
      </c>
      <c r="H21" s="90"/>
      <c r="I21" s="82">
        <v>2.54</v>
      </c>
      <c r="J21" s="137">
        <v>2.1</v>
      </c>
      <c r="K21" s="82">
        <f t="shared" si="0"/>
        <v>2.4866600000000001</v>
      </c>
      <c r="L21" s="80">
        <v>0.30599999999999999</v>
      </c>
      <c r="M21" s="80">
        <v>0.29399999999999998</v>
      </c>
      <c r="N21" s="411">
        <v>0.29399999999999998</v>
      </c>
      <c r="O21" s="139">
        <f>+(M21+N21)/2</f>
        <v>0.29399999999999998</v>
      </c>
      <c r="P21" s="6">
        <v>90</v>
      </c>
      <c r="Q21" s="143">
        <v>88.77</v>
      </c>
      <c r="R21" s="57">
        <v>2171.8049999999998</v>
      </c>
      <c r="S21" s="80">
        <v>110</v>
      </c>
      <c r="T21" s="6"/>
      <c r="U21" s="142">
        <v>110</v>
      </c>
      <c r="V21" s="142">
        <v>1.1023000000000001</v>
      </c>
      <c r="W21" s="137">
        <v>7</v>
      </c>
      <c r="X21" s="137">
        <v>9.1</v>
      </c>
      <c r="Y21" s="6">
        <v>26.88</v>
      </c>
      <c r="Z21" s="143">
        <f t="shared" si="10"/>
        <v>40.9</v>
      </c>
      <c r="AA21" s="144">
        <f t="shared" si="2"/>
        <v>67.78</v>
      </c>
      <c r="AB21" s="145">
        <f t="shared" si="11"/>
        <v>405.39684258689999</v>
      </c>
      <c r="AC21" s="145">
        <f>+(S21*V21)-'data 1'!$F$4-T21*V21</f>
        <v>41.253</v>
      </c>
      <c r="AD21" s="145">
        <f t="shared" si="3"/>
        <v>-8.5540923347157261</v>
      </c>
      <c r="AE21" s="145">
        <f>+(AA21*V21)-Z21-'data 1'!$I$21+((W21-2)*2.5+(X21-2)*4)-((W21-3)*1.5+(X21-3)*3.1)</f>
        <v>24.22281291891893</v>
      </c>
      <c r="AF21" s="145">
        <f t="shared" si="4"/>
        <v>24.210004034838622</v>
      </c>
      <c r="AG21" s="145">
        <f t="shared" si="5"/>
        <v>81.131724619041819</v>
      </c>
      <c r="AH21" s="331">
        <f t="shared" si="6"/>
        <v>23.158643858879323</v>
      </c>
      <c r="AI21" s="57">
        <f t="shared" si="7"/>
        <v>70.872301734725752</v>
      </c>
      <c r="AJ21" s="268">
        <f t="shared" si="8"/>
        <v>22.55876486661008</v>
      </c>
      <c r="AK21" s="57"/>
      <c r="AL21" s="57">
        <f t="shared" si="9"/>
        <v>1008.0841125871408</v>
      </c>
    </row>
    <row r="22" spans="1:38" ht="15.75" customHeight="1">
      <c r="A22" s="330" t="s">
        <v>772</v>
      </c>
      <c r="B22" s="6"/>
      <c r="C22" s="135">
        <v>45375</v>
      </c>
      <c r="D22" s="6" t="s">
        <v>549</v>
      </c>
      <c r="E22" s="176">
        <v>20169040231</v>
      </c>
      <c r="F22" s="142" t="s">
        <v>773</v>
      </c>
      <c r="G22" s="177">
        <v>44</v>
      </c>
      <c r="H22" s="90"/>
      <c r="I22" s="82">
        <v>3.21</v>
      </c>
      <c r="J22" s="137">
        <v>5.4</v>
      </c>
      <c r="K22" s="82">
        <f t="shared" si="0"/>
        <v>3.0366599999999999</v>
      </c>
      <c r="L22" s="80">
        <v>1.9610000000000001</v>
      </c>
      <c r="M22" s="271">
        <v>1.762</v>
      </c>
      <c r="N22" s="271">
        <v>1.8779999999999999</v>
      </c>
      <c r="O22" s="139">
        <v>1.84</v>
      </c>
      <c r="P22" s="6">
        <v>90</v>
      </c>
      <c r="Q22" s="143">
        <v>86.85</v>
      </c>
      <c r="R22" s="57">
        <v>2171.8049999999998</v>
      </c>
      <c r="S22" s="80">
        <v>270</v>
      </c>
      <c r="T22" s="6">
        <v>45</v>
      </c>
      <c r="U22" s="142">
        <v>110</v>
      </c>
      <c r="V22" s="142">
        <v>1.1023000000000001</v>
      </c>
      <c r="W22" s="137">
        <v>7.5</v>
      </c>
      <c r="X22" s="137">
        <v>12.07</v>
      </c>
      <c r="Y22" s="6">
        <v>26.88</v>
      </c>
      <c r="Z22" s="143">
        <f t="shared" si="10"/>
        <v>54.03</v>
      </c>
      <c r="AA22" s="144">
        <f t="shared" si="2"/>
        <v>80.91</v>
      </c>
      <c r="AB22" s="145">
        <f t="shared" si="11"/>
        <v>3426.4323978839998</v>
      </c>
      <c r="AC22" s="145">
        <f>+(S22*V22)-'data 1'!$F$4-T22*V22</f>
        <v>168.01750000000004</v>
      </c>
      <c r="AD22" s="145">
        <f t="shared" si="3"/>
        <v>-140.38979612463251</v>
      </c>
      <c r="AE22" s="145">
        <f>+(AA22*V22)-Z22-'data 1'!$I$21+((W22-2)*2.5+(X22-2)*4)-((W22-3)*1.5+(X22-3)*3.1)</f>
        <v>28.739011918918919</v>
      </c>
      <c r="AF22" s="145">
        <f t="shared" si="4"/>
        <v>238.83753980465772</v>
      </c>
      <c r="AG22" s="145">
        <f t="shared" si="5"/>
        <v>295.2042555989442</v>
      </c>
      <c r="AH22" s="331">
        <f t="shared" si="6"/>
        <v>177.317930737522</v>
      </c>
      <c r="AI22" s="57">
        <f t="shared" si="7"/>
        <v>444.36138093895761</v>
      </c>
      <c r="AJ22" s="268">
        <f t="shared" si="8"/>
        <v>172.41123808411194</v>
      </c>
      <c r="AK22" s="57"/>
      <c r="AL22" s="57">
        <f t="shared" si="9"/>
        <v>10404.910205358427</v>
      </c>
    </row>
    <row r="23" spans="1:38" ht="15.75" customHeight="1">
      <c r="A23" s="330" t="s">
        <v>774</v>
      </c>
      <c r="B23" s="6"/>
      <c r="C23" s="135">
        <v>45375</v>
      </c>
      <c r="D23" s="6" t="s">
        <v>549</v>
      </c>
      <c r="E23" s="176">
        <v>20169040231</v>
      </c>
      <c r="F23" s="6" t="s">
        <v>775</v>
      </c>
      <c r="G23" s="177">
        <v>50</v>
      </c>
      <c r="H23" s="90" t="s">
        <v>450</v>
      </c>
      <c r="I23" s="82">
        <v>5.0999999999999996</v>
      </c>
      <c r="J23" s="137">
        <v>26</v>
      </c>
      <c r="K23" s="82">
        <f t="shared" si="0"/>
        <v>3.774</v>
      </c>
      <c r="L23" s="80">
        <v>3.569</v>
      </c>
      <c r="M23" s="80">
        <v>3.4159999999999999</v>
      </c>
      <c r="N23" s="271">
        <v>3.3580000000000001</v>
      </c>
      <c r="O23" s="139">
        <f>+(M23+N23)/2</f>
        <v>3.387</v>
      </c>
      <c r="P23" s="6">
        <v>90</v>
      </c>
      <c r="Q23" s="143">
        <v>86.31</v>
      </c>
      <c r="R23" s="57">
        <v>2171.8049999999998</v>
      </c>
      <c r="S23" s="80">
        <v>400</v>
      </c>
      <c r="T23" s="6"/>
      <c r="U23" s="142">
        <v>110</v>
      </c>
      <c r="V23" s="142">
        <v>1.1023000000000001</v>
      </c>
      <c r="W23" s="137">
        <v>7.9</v>
      </c>
      <c r="X23" s="137">
        <v>12.06</v>
      </c>
      <c r="Y23" s="6">
        <v>26.88</v>
      </c>
      <c r="Z23" s="143">
        <f t="shared" si="10"/>
        <v>54.99</v>
      </c>
      <c r="AA23" s="144">
        <f t="shared" si="2"/>
        <v>81.87</v>
      </c>
      <c r="AB23" s="145">
        <f t="shared" si="11"/>
        <v>6396.7903990674486</v>
      </c>
      <c r="AC23" s="145">
        <f>+(S23*V23)-'data 1'!$F$4-T23*V23</f>
        <v>360.92</v>
      </c>
      <c r="AD23" s="145">
        <f t="shared" si="3"/>
        <v>-299.30936806470896</v>
      </c>
      <c r="AE23" s="145">
        <f>+(AA23*V23)-Z23-'data 1'!$I$21+((W23-2)*2.5+(X23-2)*4)-((W23-3)*1.5+(X23-3)*3.1)</f>
        <v>29.228219918918931</v>
      </c>
      <c r="AF23" s="145">
        <f t="shared" si="4"/>
        <v>357.0096049537562</v>
      </c>
      <c r="AG23" s="145">
        <f t="shared" si="5"/>
        <v>447.84845680796616</v>
      </c>
      <c r="AH23" s="331">
        <f t="shared" si="6"/>
        <v>398.58286971686886</v>
      </c>
      <c r="AI23" s="57">
        <f t="shared" si="7"/>
        <v>803.70478848410482</v>
      </c>
      <c r="AJ23" s="268">
        <f t="shared" si="8"/>
        <v>394.42884803448379</v>
      </c>
      <c r="AK23" s="57"/>
      <c r="AL23" s="57">
        <f t="shared" si="9"/>
        <v>24141.486966080553</v>
      </c>
    </row>
    <row r="24" spans="1:38" ht="15.75" customHeight="1">
      <c r="A24" s="330" t="s">
        <v>776</v>
      </c>
      <c r="B24" s="6"/>
      <c r="C24" s="135">
        <v>45375</v>
      </c>
      <c r="D24" s="6" t="s">
        <v>549</v>
      </c>
      <c r="E24" s="176">
        <v>20169040231</v>
      </c>
      <c r="F24" s="6" t="s">
        <v>775</v>
      </c>
      <c r="G24" s="177">
        <v>53</v>
      </c>
      <c r="H24" s="90" t="s">
        <v>450</v>
      </c>
      <c r="I24" s="82">
        <v>4.9400000000000004</v>
      </c>
      <c r="J24" s="137">
        <v>28</v>
      </c>
      <c r="K24" s="82">
        <f t="shared" si="0"/>
        <v>3.5568</v>
      </c>
      <c r="L24" s="80">
        <v>4.2969999999999997</v>
      </c>
      <c r="M24" s="80">
        <v>4.931</v>
      </c>
      <c r="N24" s="271">
        <v>5.1239999999999997</v>
      </c>
      <c r="O24" s="139">
        <f>+(M24+N24)/2</f>
        <v>5.0274999999999999</v>
      </c>
      <c r="P24" s="6">
        <v>90</v>
      </c>
      <c r="Q24" s="143">
        <v>86.18</v>
      </c>
      <c r="R24" s="57">
        <v>2171.8049999999998</v>
      </c>
      <c r="S24" s="80">
        <v>570</v>
      </c>
      <c r="T24" s="6"/>
      <c r="U24" s="142">
        <v>120</v>
      </c>
      <c r="V24" s="142">
        <v>1.1023000000000001</v>
      </c>
      <c r="W24" s="137">
        <v>8.3000000000000007</v>
      </c>
      <c r="X24" s="137">
        <v>12.99</v>
      </c>
      <c r="Y24" s="6">
        <v>26.88</v>
      </c>
      <c r="Z24" s="143">
        <f t="shared" si="10"/>
        <v>59.71</v>
      </c>
      <c r="AA24" s="144">
        <f t="shared" si="2"/>
        <v>86.59</v>
      </c>
      <c r="AB24" s="145">
        <f t="shared" si="11"/>
        <v>9509.8889648746244</v>
      </c>
      <c r="AC24" s="145">
        <f>+(S24*V24)-'data 1'!$F$4-T24*V24</f>
        <v>548.31100000000004</v>
      </c>
      <c r="AD24" s="145">
        <f t="shared" si="3"/>
        <v>-371.24841470232735</v>
      </c>
      <c r="AE24" s="145">
        <f>+(AA24*V24)-Z24-'data 1'!$I$21+((W24-2)*2.5+(X24-2)*4)-((W24-3)*1.5+(X24-3)*3.1)</f>
        <v>30.948075918918924</v>
      </c>
      <c r="AF24" s="145">
        <f t="shared" si="4"/>
        <v>-1423.8446286581029</v>
      </c>
      <c r="AG24" s="145">
        <f t="shared" si="5"/>
        <v>-1215.8339674415113</v>
      </c>
      <c r="AH24" s="331">
        <f t="shared" si="6"/>
        <v>451.58588409780293</v>
      </c>
      <c r="AI24" s="57">
        <f t="shared" si="7"/>
        <v>1007.0058608170089</v>
      </c>
      <c r="AJ24" s="268">
        <f t="shared" si="8"/>
        <v>551.77637711143188</v>
      </c>
      <c r="AK24" s="57"/>
      <c r="AL24" s="57">
        <f t="shared" si="9"/>
        <v>33824.773070266063</v>
      </c>
    </row>
    <row r="25" spans="1:38" ht="15.75" customHeight="1">
      <c r="A25" s="330" t="s">
        <v>777</v>
      </c>
      <c r="B25" s="135">
        <v>45386</v>
      </c>
      <c r="C25" s="135">
        <v>45375</v>
      </c>
      <c r="D25" s="142" t="s">
        <v>549</v>
      </c>
      <c r="E25" s="176">
        <v>20169040231</v>
      </c>
      <c r="F25" s="142" t="s">
        <v>778</v>
      </c>
      <c r="G25" s="177">
        <v>40</v>
      </c>
      <c r="H25" s="90"/>
      <c r="I25" s="82">
        <v>3.5</v>
      </c>
      <c r="J25" s="137">
        <v>29</v>
      </c>
      <c r="K25" s="82">
        <f t="shared" si="0"/>
        <v>2.4850000000000003</v>
      </c>
      <c r="L25" s="80">
        <v>0.91700000000000004</v>
      </c>
      <c r="M25" s="139">
        <v>0.84899999999999998</v>
      </c>
      <c r="N25" s="412">
        <v>0.91700000000000004</v>
      </c>
      <c r="O25" s="139">
        <v>0.9</v>
      </c>
      <c r="P25" s="6">
        <v>90</v>
      </c>
      <c r="Q25" s="143">
        <v>86.06</v>
      </c>
      <c r="R25" s="57">
        <v>2171.8049999999998</v>
      </c>
      <c r="S25" s="80">
        <v>170</v>
      </c>
      <c r="T25" s="6"/>
      <c r="U25" s="142">
        <v>110</v>
      </c>
      <c r="V25" s="142">
        <v>1.1023000000000001</v>
      </c>
      <c r="W25" s="137">
        <v>7.5</v>
      </c>
      <c r="X25" s="137">
        <v>11.1</v>
      </c>
      <c r="Y25" s="6">
        <v>26.88</v>
      </c>
      <c r="Z25" s="143">
        <f t="shared" si="10"/>
        <v>50.15</v>
      </c>
      <c r="AA25" s="144">
        <f t="shared" si="2"/>
        <v>77.03</v>
      </c>
      <c r="AB25" s="145">
        <f t="shared" si="11"/>
        <v>1568.6082287149998</v>
      </c>
      <c r="AC25" s="145">
        <f>+(S25*V25)-'data 1'!$F$4-T25*V25</f>
        <v>107.39100000000002</v>
      </c>
      <c r="AD25" s="145">
        <f t="shared" si="3"/>
        <v>-82.113195503164647</v>
      </c>
      <c r="AE25" s="145">
        <f>+(AA25*V25)-Z25-'data 1'!$I$21+((W25-2)*2.5+(X25-2)*4)-((W25-3)*1.5+(X25-3)*3.1)</f>
        <v>27.46908791891893</v>
      </c>
      <c r="AF25" s="145">
        <f t="shared" si="4"/>
        <v>33.25046008697533</v>
      </c>
      <c r="AG25" s="145">
        <f t="shared" si="5"/>
        <v>85.997352502729626</v>
      </c>
      <c r="AH25" s="331">
        <f t="shared" si="6"/>
        <v>67.236661263072861</v>
      </c>
      <c r="AI25" s="57">
        <f t="shared" si="7"/>
        <v>205.90152761102487</v>
      </c>
      <c r="AJ25" s="268">
        <f t="shared" si="8"/>
        <v>69.011343336442508</v>
      </c>
      <c r="AK25" s="57"/>
      <c r="AL25" s="57">
        <f t="shared" si="9"/>
        <v>3897.991448356775</v>
      </c>
    </row>
    <row r="26" spans="1:38" ht="15.75" customHeight="1">
      <c r="A26" s="330" t="s">
        <v>779</v>
      </c>
      <c r="B26" s="135">
        <v>45387</v>
      </c>
      <c r="C26" s="135">
        <v>45375</v>
      </c>
      <c r="D26" s="142" t="s">
        <v>549</v>
      </c>
      <c r="E26" s="176">
        <v>20169040231</v>
      </c>
      <c r="F26" s="142" t="s">
        <v>778</v>
      </c>
      <c r="G26" s="177">
        <v>40</v>
      </c>
      <c r="H26" s="90"/>
      <c r="I26" s="82">
        <v>3.44</v>
      </c>
      <c r="J26" s="137">
        <v>33</v>
      </c>
      <c r="K26" s="82">
        <f t="shared" si="0"/>
        <v>2.3048000000000002</v>
      </c>
      <c r="L26" s="80">
        <v>0.63100000000000001</v>
      </c>
      <c r="M26" s="80">
        <v>0.60599999999999998</v>
      </c>
      <c r="N26" s="412">
        <v>0.62</v>
      </c>
      <c r="O26" s="139">
        <v>0.62</v>
      </c>
      <c r="P26" s="6">
        <v>90</v>
      </c>
      <c r="Q26" s="143">
        <v>86.77</v>
      </c>
      <c r="R26" s="57">
        <v>2171.8049999999998</v>
      </c>
      <c r="S26" s="80">
        <v>140</v>
      </c>
      <c r="T26" s="6"/>
      <c r="U26" s="142">
        <v>110</v>
      </c>
      <c r="V26" s="142">
        <v>1.1023000000000001</v>
      </c>
      <c r="W26" s="137">
        <v>7</v>
      </c>
      <c r="X26" s="137">
        <v>10.5</v>
      </c>
      <c r="Y26" s="6">
        <v>26.88</v>
      </c>
      <c r="Z26" s="143">
        <f t="shared" si="10"/>
        <v>46.5</v>
      </c>
      <c r="AA26" s="144">
        <f t="shared" si="2"/>
        <v>73.38</v>
      </c>
      <c r="AB26" s="145">
        <f t="shared" si="11"/>
        <v>1032.9732555369999</v>
      </c>
      <c r="AC26" s="145">
        <f>+(S26*V26)-'data 1'!$F$4-T26*V26</f>
        <v>74.322000000000003</v>
      </c>
      <c r="AD26" s="145">
        <f t="shared" si="3"/>
        <v>-46.321144083516998</v>
      </c>
      <c r="AE26" s="145">
        <f>+(AA26*V26)-Z26-'data 1'!$I$21+((W26-2)*2.5+(X26-2)*4)-((W26-3)*1.5+(X26-3)*3.1)</f>
        <v>26.055692918918922</v>
      </c>
      <c r="AF26" s="145">
        <f t="shared" si="4"/>
        <v>21.692503615272066</v>
      </c>
      <c r="AG26" s="145">
        <f t="shared" si="5"/>
        <v>75.749052450673986</v>
      </c>
      <c r="AH26" s="331">
        <f t="shared" si="6"/>
        <v>43.265454593754363</v>
      </c>
      <c r="AI26" s="57">
        <f t="shared" si="7"/>
        <v>142.85250092515207</v>
      </c>
      <c r="AJ26" s="268">
        <f t="shared" si="8"/>
        <v>44.093697006723126</v>
      </c>
      <c r="AK26" s="57"/>
      <c r="AL26" s="57">
        <f t="shared" si="9"/>
        <v>2380.7967593616777</v>
      </c>
    </row>
    <row r="27" spans="1:38" ht="15.75" customHeight="1">
      <c r="A27" s="330" t="s">
        <v>780</v>
      </c>
      <c r="B27" s="6"/>
      <c r="C27" s="135">
        <v>45375</v>
      </c>
      <c r="D27" s="142" t="s">
        <v>549</v>
      </c>
      <c r="E27" s="176">
        <v>20169040231</v>
      </c>
      <c r="F27" s="142" t="s">
        <v>781</v>
      </c>
      <c r="G27" s="177">
        <v>60</v>
      </c>
      <c r="H27" s="90"/>
      <c r="I27" s="82">
        <v>5.2</v>
      </c>
      <c r="J27" s="137">
        <v>1.6</v>
      </c>
      <c r="K27" s="82">
        <f t="shared" si="0"/>
        <v>5.1168000000000005</v>
      </c>
      <c r="L27" s="80">
        <v>0.182</v>
      </c>
      <c r="M27" s="80">
        <v>0.17499999999999999</v>
      </c>
      <c r="N27" s="411">
        <v>0.17499999999999999</v>
      </c>
      <c r="O27" s="139">
        <f t="shared" ref="O27:O39" si="13">+(M27+N27)/2</f>
        <v>0.17499999999999999</v>
      </c>
      <c r="P27" s="6">
        <v>90</v>
      </c>
      <c r="Q27" s="143">
        <v>89.39</v>
      </c>
      <c r="R27" s="57">
        <v>2171.8049999999998</v>
      </c>
      <c r="S27" s="80">
        <v>95</v>
      </c>
      <c r="T27" s="6"/>
      <c r="U27" s="142">
        <v>110</v>
      </c>
      <c r="V27" s="142">
        <v>1.1023000000000001</v>
      </c>
      <c r="W27" s="137">
        <v>6.9</v>
      </c>
      <c r="X27" s="137">
        <v>9.15</v>
      </c>
      <c r="Y27" s="6">
        <v>24.37</v>
      </c>
      <c r="Z27" s="143">
        <f t="shared" si="10"/>
        <v>40.85</v>
      </c>
      <c r="AA27" s="144">
        <f t="shared" si="2"/>
        <v>65.22</v>
      </c>
      <c r="AB27" s="145">
        <f t="shared" si="11"/>
        <v>181.34409911124993</v>
      </c>
      <c r="AC27" s="145">
        <f>+(S27*V27)-'data 1'!$F$4-T27*V27</f>
        <v>24.718500000000006</v>
      </c>
      <c r="AD27" s="145">
        <f t="shared" si="3"/>
        <v>-2.5231822386952976</v>
      </c>
      <c r="AE27" s="145">
        <f>+(AA27*V27)-Z27-'data 1'!$I$21+((W27-2)*2.5+(X27-2)*4)-((W27-3)*1.5+(X27-3)*3.1)</f>
        <v>21.395924918918926</v>
      </c>
      <c r="AF27" s="145">
        <f t="shared" si="4"/>
        <v>14.22113873373096</v>
      </c>
      <c r="AG27" s="145">
        <f t="shared" si="5"/>
        <v>57.81238141395459</v>
      </c>
      <c r="AH27" s="331">
        <f t="shared" si="6"/>
        <v>28.540911349498398</v>
      </c>
      <c r="AI27" s="57">
        <f t="shared" si="7"/>
        <v>42.447216515185339</v>
      </c>
      <c r="AJ27" s="268">
        <f t="shared" si="8"/>
        <v>27.630457087942801</v>
      </c>
      <c r="AK27" s="57"/>
      <c r="AL27" s="57">
        <f t="shared" si="9"/>
        <v>927.90148633244371</v>
      </c>
    </row>
    <row r="28" spans="1:38" ht="15.75" customHeight="1">
      <c r="A28" s="330" t="s">
        <v>782</v>
      </c>
      <c r="B28" s="321"/>
      <c r="C28" s="311">
        <v>45375</v>
      </c>
      <c r="D28" s="312" t="s">
        <v>549</v>
      </c>
      <c r="E28" s="313">
        <v>20169040231</v>
      </c>
      <c r="F28" s="312" t="s">
        <v>781</v>
      </c>
      <c r="G28" s="314">
        <v>56</v>
      </c>
      <c r="H28" s="315"/>
      <c r="I28" s="316">
        <v>4.95</v>
      </c>
      <c r="J28" s="317">
        <v>1.7</v>
      </c>
      <c r="K28" s="316">
        <f t="shared" si="0"/>
        <v>4.86585</v>
      </c>
      <c r="L28" s="324">
        <v>0.17299999999999999</v>
      </c>
      <c r="M28" s="324">
        <v>0.16600000000000001</v>
      </c>
      <c r="N28" s="413">
        <v>0.16600000000000001</v>
      </c>
      <c r="O28" s="319">
        <f t="shared" si="13"/>
        <v>0.16600000000000001</v>
      </c>
      <c r="P28" s="321">
        <v>90</v>
      </c>
      <c r="Q28" s="322">
        <v>89.43</v>
      </c>
      <c r="R28" s="323">
        <v>2171.8049999999998</v>
      </c>
      <c r="S28" s="324">
        <v>95</v>
      </c>
      <c r="T28" s="321"/>
      <c r="U28" s="312">
        <v>110</v>
      </c>
      <c r="V28" s="312">
        <v>1.1023000000000001</v>
      </c>
      <c r="W28" s="317">
        <v>6.9</v>
      </c>
      <c r="X28" s="317">
        <v>9.15</v>
      </c>
      <c r="Y28" s="6">
        <v>24.37</v>
      </c>
      <c r="Z28" s="322">
        <f t="shared" si="10"/>
        <v>40.85</v>
      </c>
      <c r="AA28" s="325">
        <f t="shared" si="2"/>
        <v>65.22</v>
      </c>
      <c r="AB28" s="326">
        <f t="shared" si="11"/>
        <v>162.93500513409998</v>
      </c>
      <c r="AC28" s="326">
        <f>+(S28*V28)-'data 1'!$F$4-T28*V28</f>
        <v>24.718500000000006</v>
      </c>
      <c r="AD28" s="326">
        <f t="shared" si="3"/>
        <v>-2.2411367371441231</v>
      </c>
      <c r="AE28" s="326">
        <f>+(AA28*V28)-Z28-'data 1'!$I$21+((W28-2)*2.5+(X28-2)*4)-((W28-3)*1.5+(X28-3)*3.1)</f>
        <v>21.395924918918926</v>
      </c>
      <c r="AF28" s="326">
        <f t="shared" si="4"/>
        <v>14.227502371155108</v>
      </c>
      <c r="AG28" s="326">
        <f t="shared" si="5"/>
        <v>58.100790552929922</v>
      </c>
      <c r="AH28" s="327">
        <f t="shared" si="6"/>
        <v>25.810541730067072</v>
      </c>
      <c r="AI28" s="57">
        <f t="shared" si="7"/>
        <v>40.366233231639178</v>
      </c>
      <c r="AJ28" s="268">
        <f t="shared" si="8"/>
        <v>24.924036783198019</v>
      </c>
      <c r="AK28" s="57"/>
      <c r="AL28" s="57">
        <f t="shared" si="9"/>
        <v>792.8172947317604</v>
      </c>
    </row>
    <row r="29" spans="1:38" ht="15.75" customHeight="1">
      <c r="A29" s="292" t="s">
        <v>783</v>
      </c>
      <c r="B29" s="303"/>
      <c r="C29" s="293">
        <v>45378</v>
      </c>
      <c r="D29" s="303" t="s">
        <v>549</v>
      </c>
      <c r="E29" s="295">
        <v>20169040231</v>
      </c>
      <c r="F29" s="294" t="s">
        <v>784</v>
      </c>
      <c r="G29" s="297">
        <v>22</v>
      </c>
      <c r="H29" s="297" t="s">
        <v>465</v>
      </c>
      <c r="I29" s="298">
        <v>1.87</v>
      </c>
      <c r="J29" s="299">
        <v>2</v>
      </c>
      <c r="K29" s="298">
        <f t="shared" si="0"/>
        <v>1.8326</v>
      </c>
      <c r="L29" s="300">
        <v>0.26600000000000001</v>
      </c>
      <c r="M29" s="306">
        <v>0.255</v>
      </c>
      <c r="N29" s="414">
        <v>0.255</v>
      </c>
      <c r="O29" s="301">
        <f t="shared" si="13"/>
        <v>0.255</v>
      </c>
      <c r="P29" s="303">
        <v>90</v>
      </c>
      <c r="Q29" s="294">
        <v>89.27</v>
      </c>
      <c r="R29" s="305">
        <v>2173.48</v>
      </c>
      <c r="S29" s="306">
        <v>95</v>
      </c>
      <c r="T29" s="303"/>
      <c r="U29" s="294">
        <v>110</v>
      </c>
      <c r="V29" s="294">
        <v>1.1023000000000001</v>
      </c>
      <c r="W29" s="303">
        <v>6.8</v>
      </c>
      <c r="X29" s="303">
        <v>5.5</v>
      </c>
      <c r="Y29" s="303">
        <v>26.39</v>
      </c>
      <c r="Z29" s="304">
        <f>IF(D29="UNTUCA",IF(+((W29-2)*2.5+(X29-2)*4)&gt;0,+((W29-2)*2.5+(X29-2)*4),0),IF(+((W29-3)*1.5+(X29-3)*3.1)&gt;0,+((W29-3)*1.5+(X29-3)*3.1),0))+3</f>
        <v>29</v>
      </c>
      <c r="AA29" s="307">
        <f t="shared" si="2"/>
        <v>55.39</v>
      </c>
      <c r="AB29" s="308">
        <f t="shared" si="11"/>
        <v>356.23983691800004</v>
      </c>
      <c r="AC29" s="308">
        <f>+(S29*V29)-'data 1'!$F$4-T29*V29</f>
        <v>24.718500000000006</v>
      </c>
      <c r="AD29" s="308">
        <f t="shared" si="3"/>
        <v>-4.4167678009672242</v>
      </c>
      <c r="AE29" s="308">
        <f>+(AA29*V29)-Z29-'data 1'!$I$21+((W29-2)*2.5+(X29-2)*4)-((W29-3)*1.5+(X29-3)*3.1)</f>
        <v>19.025315918918924</v>
      </c>
      <c r="AF29" s="308">
        <f t="shared" si="4"/>
        <v>22.335634347078823</v>
      </c>
      <c r="AG29" s="308">
        <f t="shared" si="5"/>
        <v>61.662682465030528</v>
      </c>
      <c r="AH29" s="309">
        <f t="shared" si="6"/>
        <v>14.919831655742655</v>
      </c>
      <c r="AI29" s="57">
        <f t="shared" si="7"/>
        <v>61.516525860577197</v>
      </c>
      <c r="AJ29" s="268">
        <f t="shared" si="8"/>
        <v>14.419806791228687</v>
      </c>
      <c r="AK29" s="57"/>
      <c r="AL29" s="57">
        <f t="shared" si="9"/>
        <v>652.84512513592688</v>
      </c>
    </row>
    <row r="30" spans="1:38" ht="15.75" customHeight="1">
      <c r="A30" s="330" t="s">
        <v>785</v>
      </c>
      <c r="B30" s="6"/>
      <c r="C30" s="135">
        <v>45378</v>
      </c>
      <c r="D30" s="6" t="s">
        <v>549</v>
      </c>
      <c r="E30" s="176">
        <v>20169040231</v>
      </c>
      <c r="F30" s="142" t="s">
        <v>784</v>
      </c>
      <c r="G30" s="90">
        <v>32</v>
      </c>
      <c r="H30" s="90" t="s">
        <v>450</v>
      </c>
      <c r="I30" s="82">
        <v>2.86</v>
      </c>
      <c r="J30" s="137">
        <v>27.5</v>
      </c>
      <c r="K30" s="82">
        <f t="shared" si="0"/>
        <v>2.0735000000000001</v>
      </c>
      <c r="L30" s="240">
        <v>0.442</v>
      </c>
      <c r="M30" s="80">
        <v>0.42399999999999999</v>
      </c>
      <c r="N30" s="415">
        <v>0.42399999999999999</v>
      </c>
      <c r="O30" s="139">
        <f t="shared" si="13"/>
        <v>0.42399999999999999</v>
      </c>
      <c r="P30" s="6">
        <v>90</v>
      </c>
      <c r="Q30" s="142">
        <v>89.58</v>
      </c>
      <c r="R30" s="57">
        <v>2173.48</v>
      </c>
      <c r="S30" s="80">
        <v>120</v>
      </c>
      <c r="T30" s="6"/>
      <c r="U30" s="142">
        <v>110</v>
      </c>
      <c r="V30" s="142">
        <v>1.1023000000000001</v>
      </c>
      <c r="W30" s="6">
        <v>6.9</v>
      </c>
      <c r="X30" s="137">
        <v>4</v>
      </c>
      <c r="Y30" s="6">
        <v>26.39</v>
      </c>
      <c r="Z30" s="143">
        <f>IF(D30="UNTUCA",IF(+((W30-2)*2.5+(X30-2)*4)&gt;0,+((W30-2)*2.5+(X30-2)*4),0),IF(+((W30-3)*1.5+(X30-3)*3.1)&gt;0,+((W30-3)*1.5+(X30-3)*3.1),0))+6</f>
        <v>26.25</v>
      </c>
      <c r="AA30" s="144">
        <f t="shared" si="2"/>
        <v>52.64</v>
      </c>
      <c r="AB30" s="145">
        <f t="shared" si="11"/>
        <v>677.67636792639985</v>
      </c>
      <c r="AC30" s="145">
        <f>+(S30*V30)-'data 1'!$F$4-T30*V30</f>
        <v>52.27600000000001</v>
      </c>
      <c r="AD30" s="145">
        <f t="shared" si="3"/>
        <v>-4.2225191810256169</v>
      </c>
      <c r="AE30" s="145">
        <f>+(AA30*V30)-Z30-'data 1'!$I$21+((W30-2)*2.5+(X30-2)*4)-((W30-3)*1.5+(X30-3)*3.1)</f>
        <v>17.493990918918918</v>
      </c>
      <c r="AF30" s="145">
        <f t="shared" si="4"/>
        <v>36.676141070097636</v>
      </c>
      <c r="AG30" s="145">
        <f t="shared" si="5"/>
        <v>102.22361280799095</v>
      </c>
      <c r="AH30" s="331">
        <f t="shared" si="6"/>
        <v>28.14792832176364</v>
      </c>
      <c r="AI30" s="57">
        <f t="shared" si="7"/>
        <v>102.57415708840558</v>
      </c>
      <c r="AJ30" s="268">
        <f t="shared" si="8"/>
        <v>27.128231009631183</v>
      </c>
      <c r="AK30" s="57"/>
      <c r="AL30" s="57">
        <f t="shared" si="9"/>
        <v>1405.1619488953902</v>
      </c>
    </row>
    <row r="31" spans="1:38" ht="15.75" customHeight="1">
      <c r="A31" s="330" t="s">
        <v>786</v>
      </c>
      <c r="B31" s="6"/>
      <c r="C31" s="135">
        <v>45378</v>
      </c>
      <c r="D31" s="6" t="s">
        <v>549</v>
      </c>
      <c r="E31" s="176">
        <v>20169040231</v>
      </c>
      <c r="F31" s="142" t="s">
        <v>750</v>
      </c>
      <c r="G31" s="90">
        <v>113</v>
      </c>
      <c r="H31" s="90" t="s">
        <v>465</v>
      </c>
      <c r="I31" s="82">
        <v>9.4700000000000006</v>
      </c>
      <c r="J31" s="137">
        <v>3.3</v>
      </c>
      <c r="K31" s="82">
        <f t="shared" si="0"/>
        <v>9.157490000000001</v>
      </c>
      <c r="L31" s="240">
        <v>0.2</v>
      </c>
      <c r="M31" s="80">
        <v>0.192</v>
      </c>
      <c r="N31" s="415">
        <v>0.192</v>
      </c>
      <c r="O31" s="139">
        <f t="shared" si="13"/>
        <v>0.192</v>
      </c>
      <c r="P31" s="6">
        <v>90</v>
      </c>
      <c r="Q31" s="142">
        <v>89.51</v>
      </c>
      <c r="R31" s="57">
        <v>2173.48</v>
      </c>
      <c r="S31" s="80">
        <v>95</v>
      </c>
      <c r="T31" s="6"/>
      <c r="U31" s="142">
        <v>110</v>
      </c>
      <c r="V31" s="142">
        <v>1.1023000000000001</v>
      </c>
      <c r="W31" s="137">
        <v>6.9</v>
      </c>
      <c r="X31" s="137">
        <v>4</v>
      </c>
      <c r="Y31" s="6">
        <v>26.39</v>
      </c>
      <c r="Z31" s="143">
        <f>IF(D31="UNTUCA",IF(+((W31-2)*2.5+(X31-2)*4)&gt;0,+((W31-2)*2.5+(X31-2)*4),0),IF(+((W31-3)*1.5+(X31-3)*3.1)&gt;0,+((W31-3)*1.5+(X31-3)*3.1),0))+7.9</f>
        <v>28.15</v>
      </c>
      <c r="AA31" s="144">
        <f t="shared" si="2"/>
        <v>54.54</v>
      </c>
      <c r="AB31" s="145">
        <f t="shared" si="11"/>
        <v>228.20844589120009</v>
      </c>
      <c r="AC31" s="145">
        <f>+(S31*V31)-'data 1'!$F$4-T31*V31</f>
        <v>24.718500000000006</v>
      </c>
      <c r="AD31" s="145">
        <f t="shared" si="3"/>
        <v>-2.2290825239199772</v>
      </c>
      <c r="AE31" s="145">
        <f>+(AA31*V31)-Z31-'data 1'!$I$21+((W31-2)*2.5+(X31-2)*4)-((W31-3)*1.5+(X31-3)*3.1)</f>
        <v>17.688360918918917</v>
      </c>
      <c r="AF31" s="145">
        <f t="shared" si="4"/>
        <v>16.287769527843217</v>
      </c>
      <c r="AG31" s="145">
        <f t="shared" si="5"/>
        <v>56.465547922842163</v>
      </c>
      <c r="AH31" s="331">
        <f t="shared" si="6"/>
        <v>56.206568942269314</v>
      </c>
      <c r="AI31" s="57">
        <f t="shared" si="7"/>
        <v>46.377376984920005</v>
      </c>
      <c r="AJ31" s="268">
        <f t="shared" si="8"/>
        <v>54.253687371378255</v>
      </c>
      <c r="AK31" s="57"/>
      <c r="AL31" s="57">
        <f t="shared" si="9"/>
        <v>2089.8165611642062</v>
      </c>
    </row>
    <row r="32" spans="1:38" ht="15.75" customHeight="1">
      <c r="A32" s="330" t="s">
        <v>787</v>
      </c>
      <c r="B32" s="6"/>
      <c r="C32" s="135">
        <v>45378</v>
      </c>
      <c r="D32" s="6" t="s">
        <v>549</v>
      </c>
      <c r="E32" s="176">
        <v>20169040231</v>
      </c>
      <c r="F32" s="142" t="s">
        <v>750</v>
      </c>
      <c r="G32" s="90">
        <v>112</v>
      </c>
      <c r="H32" s="90" t="s">
        <v>465</v>
      </c>
      <c r="I32" s="82">
        <v>9.66</v>
      </c>
      <c r="J32" s="137">
        <v>3</v>
      </c>
      <c r="K32" s="82">
        <f t="shared" si="0"/>
        <v>9.3702000000000005</v>
      </c>
      <c r="L32" s="240">
        <v>0.27700000000000002</v>
      </c>
      <c r="M32" s="80">
        <v>0.26600000000000001</v>
      </c>
      <c r="N32" s="415">
        <v>0.26600000000000001</v>
      </c>
      <c r="O32" s="139">
        <f t="shared" si="13"/>
        <v>0.26600000000000001</v>
      </c>
      <c r="P32" s="6">
        <v>90</v>
      </c>
      <c r="Q32" s="142">
        <v>89.43</v>
      </c>
      <c r="R32" s="57">
        <v>2173.48</v>
      </c>
      <c r="S32" s="80">
        <v>95</v>
      </c>
      <c r="T32" s="6"/>
      <c r="U32" s="142">
        <v>110</v>
      </c>
      <c r="V32" s="142">
        <v>1.1023000000000001</v>
      </c>
      <c r="W32" s="137">
        <v>6.8</v>
      </c>
      <c r="X32" s="137">
        <v>4</v>
      </c>
      <c r="Y32" s="6">
        <v>26.39</v>
      </c>
      <c r="Z32" s="143">
        <f>IF(D32="UNTUCA",IF(+((W32-2)*2.5+(X32-2)*4)&gt;0,+((W32-2)*2.5+(X32-2)*4),0),IF(+((W32-3)*1.5+(X32-3)*3.1)&gt;0,+((W32-3)*1.5+(X32-3)*3.1),0))+7.9</f>
        <v>27.9</v>
      </c>
      <c r="AA32" s="144">
        <f t="shared" si="2"/>
        <v>54.29</v>
      </c>
      <c r="AB32" s="145">
        <f t="shared" si="11"/>
        <v>379.9706495576001</v>
      </c>
      <c r="AC32" s="145">
        <f>+(S32*V32)-'data 1'!$F$4-T32*V32</f>
        <v>24.718500000000006</v>
      </c>
      <c r="AD32" s="145">
        <f t="shared" si="3"/>
        <v>-3.5913248949155574</v>
      </c>
      <c r="AE32" s="145">
        <f>+(AA32*V32)-Z32-'data 1'!$I$21+((W32-2)*2.5+(X32-2)*4)-((W32-3)*1.5+(X32-3)*3.1)</f>
        <v>17.562785918918927</v>
      </c>
      <c r="AF32" s="145">
        <f t="shared" si="4"/>
        <v>22.375666849549226</v>
      </c>
      <c r="AG32" s="145">
        <f t="shared" si="5"/>
        <v>61.0656278735526</v>
      </c>
      <c r="AH32" s="331">
        <f t="shared" si="6"/>
        <v>79.583114213283011</v>
      </c>
      <c r="AI32" s="57">
        <f t="shared" si="7"/>
        <v>64.175258863920604</v>
      </c>
      <c r="AJ32" s="268">
        <f t="shared" si="8"/>
        <v>76.909869779602744</v>
      </c>
      <c r="AK32" s="57"/>
      <c r="AL32" s="57">
        <f t="shared" si="9"/>
        <v>3560.4009804846246</v>
      </c>
    </row>
    <row r="33" spans="1:38" ht="15.75" customHeight="1">
      <c r="A33" s="330" t="s">
        <v>788</v>
      </c>
      <c r="B33" s="6"/>
      <c r="C33" s="135">
        <v>45378</v>
      </c>
      <c r="D33" s="6" t="s">
        <v>549</v>
      </c>
      <c r="E33" s="176">
        <v>20169040231</v>
      </c>
      <c r="F33" s="142" t="s">
        <v>750</v>
      </c>
      <c r="G33" s="90">
        <v>113</v>
      </c>
      <c r="H33" s="90" t="s">
        <v>465</v>
      </c>
      <c r="I33" s="82">
        <v>9.9600000000000009</v>
      </c>
      <c r="J33" s="137">
        <v>3.2</v>
      </c>
      <c r="K33" s="82">
        <f t="shared" si="0"/>
        <v>9.6412800000000001</v>
      </c>
      <c r="L33" s="240">
        <v>0.27600000000000002</v>
      </c>
      <c r="M33" s="80">
        <v>0.26500000000000001</v>
      </c>
      <c r="N33" s="415">
        <v>0.26500000000000001</v>
      </c>
      <c r="O33" s="139">
        <f t="shared" si="13"/>
        <v>0.26500000000000001</v>
      </c>
      <c r="P33" s="6">
        <v>90</v>
      </c>
      <c r="Q33" s="142">
        <v>89.12</v>
      </c>
      <c r="R33" s="57">
        <v>2173.48</v>
      </c>
      <c r="S33" s="80">
        <v>95</v>
      </c>
      <c r="T33" s="6"/>
      <c r="U33" s="142">
        <v>110</v>
      </c>
      <c r="V33" s="142">
        <v>1.1023000000000001</v>
      </c>
      <c r="W33" s="137">
        <v>6.8</v>
      </c>
      <c r="X33" s="137">
        <v>4</v>
      </c>
      <c r="Y33" s="6">
        <v>26.39</v>
      </c>
      <c r="Z33" s="143">
        <f>IF(D33="UNTUCA",IF(+((W33-2)*2.5+(X33-2)*4)&gt;0,+((W33-2)*2.5+(X33-2)*4),0),IF(+((W33-3)*1.5+(X33-3)*3.1)&gt;0,+((W33-3)*1.5+(X33-3)*3.1),0))+7.9</f>
        <v>27.9</v>
      </c>
      <c r="AA33" s="144">
        <f t="shared" si="2"/>
        <v>54.29</v>
      </c>
      <c r="AB33" s="145">
        <f t="shared" si="11"/>
        <v>377.92353295400011</v>
      </c>
      <c r="AC33" s="145">
        <f>+(S33*V33)-'data 1'!$F$4-T33*V33</f>
        <v>24.718500000000006</v>
      </c>
      <c r="AD33" s="145">
        <f t="shared" si="3"/>
        <v>-5.524485340915172</v>
      </c>
      <c r="AE33" s="145">
        <f>+(AA33*V33)-Z33-'data 1'!$I$21+((W33-2)*2.5+(X33-2)*4)-((W33-3)*1.5+(X33-3)*3.1)</f>
        <v>17.562785918918927</v>
      </c>
      <c r="AF33" s="145">
        <f t="shared" si="4"/>
        <v>22.298103876012824</v>
      </c>
      <c r="AG33" s="145">
        <f t="shared" si="5"/>
        <v>59.054904454016587</v>
      </c>
      <c r="AH33" s="331">
        <f t="shared" si="6"/>
        <v>81.307016435529562</v>
      </c>
      <c r="AI33" s="57">
        <f t="shared" si="7"/>
        <v>63.721925314675211</v>
      </c>
      <c r="AJ33" s="268">
        <f t="shared" si="8"/>
        <v>78.837373724540896</v>
      </c>
      <c r="AK33" s="57"/>
      <c r="AL33" s="57">
        <f t="shared" si="9"/>
        <v>3643.666599798742</v>
      </c>
    </row>
    <row r="34" spans="1:38" ht="15.75" customHeight="1">
      <c r="A34" s="330" t="s">
        <v>789</v>
      </c>
      <c r="B34" s="6"/>
      <c r="C34" s="135">
        <v>45378</v>
      </c>
      <c r="D34" s="6" t="s">
        <v>549</v>
      </c>
      <c r="E34" s="176">
        <v>20169040231</v>
      </c>
      <c r="F34" s="142" t="s">
        <v>750</v>
      </c>
      <c r="G34" s="90">
        <v>112</v>
      </c>
      <c r="H34" s="90" t="s">
        <v>465</v>
      </c>
      <c r="I34" s="82">
        <v>10.44</v>
      </c>
      <c r="J34" s="137">
        <v>3.75</v>
      </c>
      <c r="K34" s="82">
        <f t="shared" si="0"/>
        <v>10.048499999999999</v>
      </c>
      <c r="L34" s="240">
        <v>0.30499999999999999</v>
      </c>
      <c r="M34" s="80">
        <v>0.29299999999999998</v>
      </c>
      <c r="N34" s="415">
        <v>0.29299999999999998</v>
      </c>
      <c r="O34" s="139">
        <f t="shared" si="13"/>
        <v>0.29299999999999998</v>
      </c>
      <c r="P34" s="6">
        <v>90</v>
      </c>
      <c r="Q34" s="142">
        <v>89.48</v>
      </c>
      <c r="R34" s="57">
        <v>2173.48</v>
      </c>
      <c r="S34" s="80">
        <v>95</v>
      </c>
      <c r="T34" s="6"/>
      <c r="U34" s="142">
        <v>110</v>
      </c>
      <c r="V34" s="142">
        <v>1.1023000000000001</v>
      </c>
      <c r="W34" s="137">
        <v>6.9</v>
      </c>
      <c r="X34" s="137">
        <v>5</v>
      </c>
      <c r="Y34" s="6">
        <v>26.39</v>
      </c>
      <c r="Z34" s="143">
        <f>IF(D34="UNTUCA",IF(+((W34-2)*2.5+(X34-2)*4)&gt;0,+((W34-2)*2.5+(X34-2)*4),0),IF(+((W34-3)*1.5+(X34-3)*3.1)&gt;0,+((W34-3)*1.5+(X34-3)*3.1),0))+7.9</f>
        <v>32.15</v>
      </c>
      <c r="AA34" s="144">
        <f t="shared" si="2"/>
        <v>58.54</v>
      </c>
      <c r="AB34" s="145">
        <f t="shared" si="11"/>
        <v>430.55802285480002</v>
      </c>
      <c r="AC34" s="145">
        <f>+(S34*V34)-'data 1'!$F$4-T34*V34</f>
        <v>24.718500000000006</v>
      </c>
      <c r="AD34" s="145">
        <f t="shared" si="3"/>
        <v>-3.6074743703439731</v>
      </c>
      <c r="AE34" s="145">
        <f>+(AA34*V34)-Z34-'data 1'!$I$21+((W34-2)*2.5+(X34-2)*4)-((W34-3)*1.5+(X34-3)*3.1)</f>
        <v>18.997560918918925</v>
      </c>
      <c r="AF34" s="145">
        <f t="shared" si="4"/>
        <v>24.423465825350426</v>
      </c>
      <c r="AG34" s="145">
        <f t="shared" si="5"/>
        <v>64.532052373925382</v>
      </c>
      <c r="AH34" s="331">
        <f t="shared" si="6"/>
        <v>94.023436618899467</v>
      </c>
      <c r="AI34" s="57">
        <f t="shared" si="7"/>
        <v>70.701795679043983</v>
      </c>
      <c r="AJ34" s="268">
        <f t="shared" si="8"/>
        <v>90.849059544046071</v>
      </c>
      <c r="AK34" s="57"/>
      <c r="AL34" s="57">
        <f t="shared" si="9"/>
        <v>4326.4622926564571</v>
      </c>
    </row>
    <row r="35" spans="1:38" ht="15.75" customHeight="1">
      <c r="A35" s="292" t="s">
        <v>790</v>
      </c>
      <c r="B35" s="303"/>
      <c r="C35" s="293">
        <v>45379</v>
      </c>
      <c r="D35" s="303" t="s">
        <v>549</v>
      </c>
      <c r="E35" s="295">
        <v>20169040231</v>
      </c>
      <c r="F35" s="294" t="s">
        <v>791</v>
      </c>
      <c r="G35" s="297">
        <v>100</v>
      </c>
      <c r="H35" s="297" t="s">
        <v>465</v>
      </c>
      <c r="I35" s="298">
        <v>9.0399999999999991</v>
      </c>
      <c r="J35" s="299">
        <v>1.4</v>
      </c>
      <c r="K35" s="298">
        <f t="shared" si="0"/>
        <v>8.9134399999999996</v>
      </c>
      <c r="L35" s="300">
        <v>0.77400000000000002</v>
      </c>
      <c r="M35" s="306">
        <v>0.74299999999999999</v>
      </c>
      <c r="N35" s="414">
        <v>0.74299999999999999</v>
      </c>
      <c r="O35" s="301">
        <f t="shared" si="13"/>
        <v>0.74299999999999999</v>
      </c>
      <c r="P35" s="303">
        <v>90</v>
      </c>
      <c r="Q35" s="294">
        <v>90.94</v>
      </c>
      <c r="R35" s="305">
        <v>2194.86</v>
      </c>
      <c r="S35" s="306">
        <v>150</v>
      </c>
      <c r="T35" s="303"/>
      <c r="U35" s="294">
        <v>120</v>
      </c>
      <c r="V35" s="294">
        <v>1.1023000000000001</v>
      </c>
      <c r="W35" s="299">
        <v>6.9</v>
      </c>
      <c r="X35" s="299">
        <v>9.9499999999999993</v>
      </c>
      <c r="Y35" s="303">
        <v>26.83</v>
      </c>
      <c r="Z35" s="304">
        <f t="shared" ref="Z35:Z48" si="14">IF(D35="UNTUCA",IF(+((W35-2)*2.5+(X35-2)*4)&gt;0,+((W35-2)*2.5+(X35-2)*4),0),IF(+((W35-3)*1.5+(X35-3)*3.1)&gt;0,+((W35-3)*1.5+(X35-3)*3.1),0))</f>
        <v>44.05</v>
      </c>
      <c r="AA35" s="307">
        <f t="shared" si="2"/>
        <v>70.88</v>
      </c>
      <c r="AB35" s="308">
        <f t="shared" si="11"/>
        <v>1285.9199016286004</v>
      </c>
      <c r="AC35" s="308">
        <f>+(S35*V35)-'data 1'!$F$4-T35*V35</f>
        <v>85.344999999999999</v>
      </c>
      <c r="AD35" s="308">
        <f t="shared" si="3"/>
        <v>16.640157015856762</v>
      </c>
      <c r="AE35" s="308">
        <f>+(AA35*V35)-Z35-'data 1'!$I$21+((W35-2)*2.5+(X35-2)*4)-((W35-3)*1.5+(X35-3)*3.1)</f>
        <v>25.154942918918916</v>
      </c>
      <c r="AF35" s="308">
        <f t="shared" si="4"/>
        <v>64.47706340326927</v>
      </c>
      <c r="AG35" s="308">
        <f t="shared" si="5"/>
        <v>191.61716333804495</v>
      </c>
      <c r="AH35" s="309">
        <f t="shared" si="6"/>
        <v>215.10491074610792</v>
      </c>
      <c r="AI35" s="57">
        <f t="shared" si="7"/>
        <v>173.51826700252309</v>
      </c>
      <c r="AJ35" s="268">
        <f t="shared" si="8"/>
        <v>204.3552210304241</v>
      </c>
      <c r="AK35" s="57"/>
      <c r="AL35" s="57">
        <f t="shared" si="9"/>
        <v>11461.969887972431</v>
      </c>
    </row>
    <row r="36" spans="1:38" ht="15.75" customHeight="1">
      <c r="A36" s="330" t="s">
        <v>792</v>
      </c>
      <c r="B36" s="6"/>
      <c r="C36" s="135">
        <v>45379</v>
      </c>
      <c r="D36" s="142" t="s">
        <v>549</v>
      </c>
      <c r="E36" s="176">
        <v>20169040231</v>
      </c>
      <c r="F36" s="142" t="s">
        <v>699</v>
      </c>
      <c r="G36" s="177">
        <v>37</v>
      </c>
      <c r="H36" s="90" t="s">
        <v>465</v>
      </c>
      <c r="I36" s="82">
        <v>3.22</v>
      </c>
      <c r="J36" s="137">
        <v>1.35</v>
      </c>
      <c r="K36" s="82">
        <f t="shared" si="0"/>
        <v>3.1765300000000001</v>
      </c>
      <c r="L36" s="240">
        <v>0.38500000000000001</v>
      </c>
      <c r="M36" s="139">
        <v>0.37</v>
      </c>
      <c r="N36" s="415">
        <v>0.37</v>
      </c>
      <c r="O36" s="139">
        <f t="shared" si="13"/>
        <v>0.37</v>
      </c>
      <c r="P36" s="6">
        <v>90</v>
      </c>
      <c r="Q36" s="142">
        <v>91.95</v>
      </c>
      <c r="R36" s="57">
        <v>2194.86</v>
      </c>
      <c r="S36" s="80">
        <v>110</v>
      </c>
      <c r="T36" s="6"/>
      <c r="U36" s="142">
        <v>120</v>
      </c>
      <c r="V36" s="142">
        <v>1.1023000000000001</v>
      </c>
      <c r="W36" s="137">
        <v>6.7</v>
      </c>
      <c r="X36" s="137">
        <v>8.5</v>
      </c>
      <c r="Y36" s="6">
        <v>26.83</v>
      </c>
      <c r="Z36" s="143">
        <f t="shared" si="14"/>
        <v>37.75</v>
      </c>
      <c r="AA36" s="144">
        <f t="shared" si="2"/>
        <v>64.58</v>
      </c>
      <c r="AB36" s="145">
        <f t="shared" si="11"/>
        <v>569.170819274</v>
      </c>
      <c r="AC36" s="145">
        <f>+(S36*V36)-'data 1'!$F$4-T36*V36</f>
        <v>41.253</v>
      </c>
      <c r="AD36" s="145">
        <f t="shared" si="3"/>
        <v>17.170539721335029</v>
      </c>
      <c r="AE36" s="145">
        <f>+(AA36*V36)-Z36-'data 1'!$I$21+((W36-2)*2.5+(X36-2)*4)-((W36-3)*1.5+(X36-3)*3.1)</f>
        <v>23.005452918918927</v>
      </c>
      <c r="AF36" s="145">
        <f t="shared" si="4"/>
        <v>31.545077470065035</v>
      </c>
      <c r="AG36" s="145">
        <f t="shared" si="5"/>
        <v>112.974070110319</v>
      </c>
      <c r="AH36" s="331">
        <f t="shared" si="6"/>
        <v>38.554448364900921</v>
      </c>
      <c r="AI36" s="57">
        <f t="shared" si="7"/>
        <v>87.269352575789966</v>
      </c>
      <c r="AJ36" s="268">
        <f t="shared" si="8"/>
        <v>36.266551712921348</v>
      </c>
      <c r="AK36" s="57"/>
      <c r="AL36" s="57">
        <f t="shared" si="9"/>
        <v>1807.9881825484392</v>
      </c>
    </row>
    <row r="37" spans="1:38" ht="15.75" customHeight="1">
      <c r="A37" s="330" t="s">
        <v>793</v>
      </c>
      <c r="B37" s="6"/>
      <c r="C37" s="135">
        <v>45379</v>
      </c>
      <c r="D37" s="142" t="s">
        <v>549</v>
      </c>
      <c r="E37" s="176">
        <v>20169040231</v>
      </c>
      <c r="F37" s="142" t="s">
        <v>699</v>
      </c>
      <c r="G37" s="177">
        <v>67</v>
      </c>
      <c r="H37" s="90" t="s">
        <v>465</v>
      </c>
      <c r="I37" s="82">
        <v>6.12</v>
      </c>
      <c r="J37" s="137">
        <v>3</v>
      </c>
      <c r="K37" s="82">
        <f t="shared" si="0"/>
        <v>5.9363999999999999</v>
      </c>
      <c r="L37" s="240">
        <v>0.36699999999999999</v>
      </c>
      <c r="M37" s="80">
        <v>0.35199999999999998</v>
      </c>
      <c r="N37" s="415">
        <v>0.35199999999999998</v>
      </c>
      <c r="O37" s="139">
        <f t="shared" si="13"/>
        <v>0.35199999999999998</v>
      </c>
      <c r="P37" s="6">
        <v>90</v>
      </c>
      <c r="Q37" s="142">
        <v>92.75</v>
      </c>
      <c r="R37" s="57">
        <v>2194.86</v>
      </c>
      <c r="S37" s="80">
        <v>110</v>
      </c>
      <c r="T37" s="6"/>
      <c r="U37" s="142">
        <v>120</v>
      </c>
      <c r="V37" s="142">
        <v>1.1023000000000001</v>
      </c>
      <c r="W37" s="137">
        <v>6.7</v>
      </c>
      <c r="X37" s="137">
        <v>8.98</v>
      </c>
      <c r="Y37" s="6">
        <v>26.83</v>
      </c>
      <c r="Z37" s="143">
        <f t="shared" si="14"/>
        <v>39.67</v>
      </c>
      <c r="AA37" s="144">
        <f t="shared" si="2"/>
        <v>66.5</v>
      </c>
      <c r="AB37" s="145">
        <f t="shared" si="11"/>
        <v>530.00308879040017</v>
      </c>
      <c r="AC37" s="145">
        <f>+(S37*V37)-'data 1'!$F$4-T37*V37</f>
        <v>41.253</v>
      </c>
      <c r="AD37" s="145">
        <f t="shared" si="3"/>
        <v>23.082740211465001</v>
      </c>
      <c r="AE37" s="145">
        <f>+(AA37*V37)-Z37-'data 1'!$I$21+((W37-2)*2.5+(X37-2)*4)-((W37-3)*1.5+(X37-3)*3.1)</f>
        <v>23.633868918918928</v>
      </c>
      <c r="AF37" s="145">
        <f t="shared" si="4"/>
        <v>31.819531651425031</v>
      </c>
      <c r="AG37" s="145">
        <f t="shared" si="5"/>
        <v>119.78914078180895</v>
      </c>
      <c r="AH37" s="331">
        <f t="shared" si="6"/>
        <v>69.280690613522651</v>
      </c>
      <c r="AI37" s="57">
        <f t="shared" si="7"/>
        <v>83.913004941009945</v>
      </c>
      <c r="AJ37" s="268">
        <f t="shared" si="8"/>
        <v>64.478867150022324</v>
      </c>
      <c r="AK37" s="57"/>
      <c r="AL37" s="57">
        <f t="shared" si="9"/>
        <v>3146.3103362953316</v>
      </c>
    </row>
    <row r="38" spans="1:38" ht="15.75" customHeight="1">
      <c r="A38" s="330" t="s">
        <v>794</v>
      </c>
      <c r="B38" s="6"/>
      <c r="C38" s="135">
        <v>45379</v>
      </c>
      <c r="D38" s="142" t="s">
        <v>549</v>
      </c>
      <c r="E38" s="176">
        <v>20169040231</v>
      </c>
      <c r="F38" s="142" t="s">
        <v>699</v>
      </c>
      <c r="G38" s="177">
        <v>50</v>
      </c>
      <c r="H38" s="90" t="s">
        <v>465</v>
      </c>
      <c r="I38" s="82">
        <v>4.93</v>
      </c>
      <c r="J38" s="137">
        <v>4</v>
      </c>
      <c r="K38" s="82">
        <f t="shared" si="0"/>
        <v>4.7328000000000001</v>
      </c>
      <c r="L38" s="240">
        <v>0.19400000000000001</v>
      </c>
      <c r="M38" s="80">
        <v>0.186</v>
      </c>
      <c r="N38" s="415">
        <v>0.186</v>
      </c>
      <c r="O38" s="139">
        <f t="shared" si="13"/>
        <v>0.186</v>
      </c>
      <c r="P38" s="6">
        <v>85</v>
      </c>
      <c r="Q38" s="143">
        <v>91.4</v>
      </c>
      <c r="R38" s="57">
        <v>2194.86</v>
      </c>
      <c r="S38" s="80">
        <v>95</v>
      </c>
      <c r="T38" s="6"/>
      <c r="U38" s="142">
        <v>120</v>
      </c>
      <c r="V38" s="142">
        <v>1.1023000000000001</v>
      </c>
      <c r="W38" s="137">
        <v>6.7</v>
      </c>
      <c r="X38" s="137">
        <v>8.4499999999999993</v>
      </c>
      <c r="Y38" s="6">
        <v>26.83</v>
      </c>
      <c r="Z38" s="143">
        <f t="shared" si="14"/>
        <v>37.549999999999997</v>
      </c>
      <c r="AA38" s="144">
        <f t="shared" si="2"/>
        <v>64.38</v>
      </c>
      <c r="AB38" s="145">
        <f t="shared" si="11"/>
        <v>185.90880994180003</v>
      </c>
      <c r="AC38" s="145">
        <f>+(S38*V38)-'data 1'!$F$4-T38*V38</f>
        <v>24.718500000000006</v>
      </c>
      <c r="AD38" s="145">
        <f t="shared" si="3"/>
        <v>28.396859298048028</v>
      </c>
      <c r="AE38" s="145">
        <f>+(AA38*V38)-Z38-'data 1'!$I$21+((W38-2)*2.5+(X38-2)*4)-((W38-3)*1.5+(X38-3)*3.1)</f>
        <v>22.939992918918911</v>
      </c>
      <c r="AF38" s="145">
        <f t="shared" si="4"/>
        <v>16.723408117536017</v>
      </c>
      <c r="AG38" s="145">
        <f t="shared" si="5"/>
        <v>92.778760334502977</v>
      </c>
      <c r="AH38" s="331">
        <f t="shared" si="6"/>
        <v>28.772337587180004</v>
      </c>
      <c r="AI38" s="57">
        <f t="shared" si="7"/>
        <v>43.711651649551975</v>
      </c>
      <c r="AJ38" s="268">
        <f t="shared" si="8"/>
        <v>25.654236349416625</v>
      </c>
      <c r="AK38" s="57"/>
      <c r="AL38" s="57">
        <f t="shared" si="9"/>
        <v>879.86921569255117</v>
      </c>
    </row>
    <row r="39" spans="1:38" ht="15.75" customHeight="1">
      <c r="A39" s="330" t="s">
        <v>795</v>
      </c>
      <c r="B39" s="6"/>
      <c r="C39" s="135">
        <v>45379</v>
      </c>
      <c r="D39" s="142" t="s">
        <v>549</v>
      </c>
      <c r="E39" s="176">
        <v>20169040231</v>
      </c>
      <c r="F39" s="142" t="s">
        <v>796</v>
      </c>
      <c r="G39" s="177">
        <v>15</v>
      </c>
      <c r="H39" s="90" t="s">
        <v>465</v>
      </c>
      <c r="I39" s="82">
        <v>1.34</v>
      </c>
      <c r="J39" s="137">
        <v>2.1</v>
      </c>
      <c r="K39" s="82">
        <f t="shared" si="0"/>
        <v>1.31186</v>
      </c>
      <c r="L39" s="240">
        <v>0.32600000000000001</v>
      </c>
      <c r="M39" s="80">
        <v>0.313</v>
      </c>
      <c r="N39" s="415">
        <v>0.313</v>
      </c>
      <c r="O39" s="139">
        <f t="shared" si="13"/>
        <v>0.313</v>
      </c>
      <c r="P39" s="6">
        <v>90</v>
      </c>
      <c r="Q39" s="142">
        <v>91.37</v>
      </c>
      <c r="R39" s="57">
        <v>2194.86</v>
      </c>
      <c r="S39" s="80">
        <v>110</v>
      </c>
      <c r="T39" s="6"/>
      <c r="U39" s="142">
        <v>110</v>
      </c>
      <c r="V39" s="142">
        <v>1.1023000000000001</v>
      </c>
      <c r="W39" s="137">
        <v>6.8</v>
      </c>
      <c r="X39" s="137">
        <v>9.1</v>
      </c>
      <c r="Y39" s="6">
        <v>26.83</v>
      </c>
      <c r="Z39" s="143">
        <f t="shared" si="14"/>
        <v>40.4</v>
      </c>
      <c r="AA39" s="144">
        <f t="shared" si="2"/>
        <v>67.22999999999999</v>
      </c>
      <c r="AB39" s="145">
        <f t="shared" si="11"/>
        <v>452.02574084260016</v>
      </c>
      <c r="AC39" s="145">
        <f>+(S39*V39)-'data 1'!$F$4-T39*V39</f>
        <v>41.253</v>
      </c>
      <c r="AD39" s="145">
        <f t="shared" si="3"/>
        <v>10.263958129183637</v>
      </c>
      <c r="AE39" s="145">
        <f>+(AA39*V39)-Z39-'data 1'!$I$21+((W39-2)*2.5+(X39-2)*4)-((W39-3)*1.5+(X39-3)*3.1)</f>
        <v>23.916547918918909</v>
      </c>
      <c r="AF39" s="145">
        <f t="shared" si="4"/>
        <v>27.297550726401834</v>
      </c>
      <c r="AG39" s="145">
        <f t="shared" si="5"/>
        <v>102.73105677450438</v>
      </c>
      <c r="AH39" s="331">
        <f t="shared" si="6"/>
        <v>13.397315485064775</v>
      </c>
      <c r="AI39" s="57">
        <f t="shared" si="7"/>
        <v>70.146111575226371</v>
      </c>
      <c r="AJ39" s="268">
        <f t="shared" si="8"/>
        <v>12.670198136420805</v>
      </c>
      <c r="AK39" s="57"/>
      <c r="AL39" s="57">
        <f t="shared" si="9"/>
        <v>592.99448838177341</v>
      </c>
    </row>
    <row r="40" spans="1:38" ht="15.75" customHeight="1">
      <c r="A40" s="330" t="s">
        <v>797</v>
      </c>
      <c r="B40" s="6"/>
      <c r="C40" s="135">
        <v>45379</v>
      </c>
      <c r="D40" s="142" t="s">
        <v>549</v>
      </c>
      <c r="E40" s="176">
        <v>20169040231</v>
      </c>
      <c r="F40" s="142" t="s">
        <v>99</v>
      </c>
      <c r="G40" s="177">
        <v>85</v>
      </c>
      <c r="H40" s="90" t="s">
        <v>465</v>
      </c>
      <c r="I40" s="82">
        <v>8.49</v>
      </c>
      <c r="J40" s="137">
        <v>4.2</v>
      </c>
      <c r="K40" s="82">
        <f t="shared" si="0"/>
        <v>8.133420000000001</v>
      </c>
      <c r="L40" s="240">
        <v>0.33300000000000002</v>
      </c>
      <c r="M40" s="139">
        <v>0.32</v>
      </c>
      <c r="N40" s="416">
        <v>0.32</v>
      </c>
      <c r="O40" s="139">
        <v>0.33</v>
      </c>
      <c r="P40" s="6">
        <v>90</v>
      </c>
      <c r="Q40" s="142">
        <v>90.84</v>
      </c>
      <c r="R40" s="57">
        <v>2194.86</v>
      </c>
      <c r="S40" s="80">
        <v>110</v>
      </c>
      <c r="T40" s="6"/>
      <c r="U40" s="142">
        <v>110</v>
      </c>
      <c r="V40" s="142">
        <v>1.1023000000000001</v>
      </c>
      <c r="W40" s="137">
        <v>6.8</v>
      </c>
      <c r="X40" s="137">
        <v>8.7799999999999994</v>
      </c>
      <c r="Y40" s="6">
        <v>26.83</v>
      </c>
      <c r="Z40" s="143">
        <f t="shared" si="14"/>
        <v>39.119999999999997</v>
      </c>
      <c r="AA40" s="144">
        <f t="shared" si="2"/>
        <v>65.949999999999989</v>
      </c>
      <c r="AB40" s="145">
        <f t="shared" si="11"/>
        <v>488.59824486600024</v>
      </c>
      <c r="AC40" s="145">
        <f>+(S40*V40)-'data 1'!$F$4-T40*V40</f>
        <v>41.253</v>
      </c>
      <c r="AD40" s="145">
        <f t="shared" si="3"/>
        <v>6.4283605031016267</v>
      </c>
      <c r="AE40" s="145">
        <f>+(AA40*V40)-Z40-'data 1'!$I$21+((W40-2)*2.5+(X40-2)*4)-((W40-3)*1.5+(X40-3)*3.1)</f>
        <v>23.497603918918909</v>
      </c>
      <c r="AF40" s="145">
        <f t="shared" si="4"/>
        <v>6.2628943382856059</v>
      </c>
      <c r="AG40" s="145">
        <f t="shared" si="5"/>
        <v>77.441858760306147</v>
      </c>
      <c r="AH40" s="331">
        <f t="shared" si="6"/>
        <v>84.353601113382936</v>
      </c>
      <c r="AI40" s="57">
        <f t="shared" si="7"/>
        <v>71.236690642958379</v>
      </c>
      <c r="AJ40" s="268">
        <f t="shared" si="8"/>
        <v>82.820665879468436</v>
      </c>
      <c r="AK40" s="57"/>
      <c r="AL40" s="57">
        <f t="shared" si="9"/>
        <v>3973.9747367580244</v>
      </c>
    </row>
    <row r="41" spans="1:38" ht="15.75" customHeight="1">
      <c r="A41" s="310" t="s">
        <v>798</v>
      </c>
      <c r="B41" s="321"/>
      <c r="C41" s="311">
        <v>45379</v>
      </c>
      <c r="D41" s="312" t="s">
        <v>549</v>
      </c>
      <c r="E41" s="313">
        <v>20169040231</v>
      </c>
      <c r="F41" s="312" t="s">
        <v>99</v>
      </c>
      <c r="G41" s="314">
        <v>75</v>
      </c>
      <c r="H41" s="315" t="s">
        <v>465</v>
      </c>
      <c r="I41" s="316">
        <v>7.15</v>
      </c>
      <c r="J41" s="317">
        <v>4.05</v>
      </c>
      <c r="K41" s="316">
        <f t="shared" si="0"/>
        <v>6.8604250000000002</v>
      </c>
      <c r="L41" s="318">
        <v>0.755</v>
      </c>
      <c r="M41" s="324">
        <v>0.72499999999999998</v>
      </c>
      <c r="N41" s="417">
        <v>0.72499999999999998</v>
      </c>
      <c r="O41" s="319">
        <v>0.74</v>
      </c>
      <c r="P41" s="321">
        <v>90</v>
      </c>
      <c r="Q41" s="312">
        <v>91.82</v>
      </c>
      <c r="R41" s="323">
        <v>2194.86</v>
      </c>
      <c r="S41" s="324">
        <v>150</v>
      </c>
      <c r="T41" s="321"/>
      <c r="U41" s="312">
        <v>110</v>
      </c>
      <c r="V41" s="312">
        <v>1.1023000000000001</v>
      </c>
      <c r="W41" s="317">
        <v>6.8</v>
      </c>
      <c r="X41" s="317">
        <v>9.5299999999999994</v>
      </c>
      <c r="Y41" s="321">
        <v>26.83</v>
      </c>
      <c r="Z41" s="322">
        <f t="shared" si="14"/>
        <v>42.12</v>
      </c>
      <c r="AA41" s="325">
        <f t="shared" si="2"/>
        <v>68.949999999999989</v>
      </c>
      <c r="AB41" s="326">
        <f t="shared" si="11"/>
        <v>1289.213439548</v>
      </c>
      <c r="AC41" s="326">
        <f>+(S41*V41)-'data 1'!$F$4-T41*V41</f>
        <v>85.344999999999999</v>
      </c>
      <c r="AD41" s="326">
        <f t="shared" si="3"/>
        <v>31.57875792689789</v>
      </c>
      <c r="AE41" s="326">
        <f>+(AA41*V41)-Z41-'data 1'!$I$21+((W41-2)*2.5+(X41-2)*4)-((W41-3)*1.5+(X41-3)*3.1)</f>
        <v>24.479503918918908</v>
      </c>
      <c r="AF41" s="326">
        <f t="shared" si="4"/>
        <v>31.652298444594031</v>
      </c>
      <c r="AG41" s="326">
        <f t="shared" si="5"/>
        <v>173.05556029041085</v>
      </c>
      <c r="AH41" s="327">
        <f t="shared" si="6"/>
        <v>163.05883315818284</v>
      </c>
      <c r="AI41" s="57">
        <f t="shared" si="7"/>
        <v>163.2550471806519</v>
      </c>
      <c r="AJ41" s="268">
        <f t="shared" si="8"/>
        <v>156.65141398640554</v>
      </c>
      <c r="AK41" s="57"/>
      <c r="AL41" s="57">
        <f t="shared" si="9"/>
        <v>8844.5521110110876</v>
      </c>
    </row>
    <row r="42" spans="1:38" ht="15.75" customHeight="1">
      <c r="A42" s="292" t="s">
        <v>799</v>
      </c>
      <c r="B42" s="303"/>
      <c r="C42" s="293">
        <v>45381</v>
      </c>
      <c r="D42" s="294" t="s">
        <v>549</v>
      </c>
      <c r="E42" s="295">
        <v>20169040231</v>
      </c>
      <c r="F42" s="294" t="s">
        <v>800</v>
      </c>
      <c r="G42" s="296">
        <v>121</v>
      </c>
      <c r="H42" s="297" t="s">
        <v>465</v>
      </c>
      <c r="I42" s="298">
        <v>10.88</v>
      </c>
      <c r="J42" s="299">
        <v>1</v>
      </c>
      <c r="K42" s="298">
        <f t="shared" si="0"/>
        <v>10.7712</v>
      </c>
      <c r="L42" s="300">
        <v>0.504</v>
      </c>
      <c r="M42" s="300">
        <v>0.504</v>
      </c>
      <c r="N42" s="300">
        <v>0.504</v>
      </c>
      <c r="O42" s="301">
        <f>+(M42+N42)/2</f>
        <v>0.504</v>
      </c>
      <c r="P42" s="303">
        <v>90</v>
      </c>
      <c r="Q42" s="303">
        <v>88.39</v>
      </c>
      <c r="R42" s="305">
        <v>2203.7730000000001</v>
      </c>
      <c r="S42" s="306">
        <v>140</v>
      </c>
      <c r="T42" s="303"/>
      <c r="U42" s="294">
        <v>120</v>
      </c>
      <c r="V42" s="294">
        <v>1.1023000000000001</v>
      </c>
      <c r="W42" s="299">
        <v>7.1</v>
      </c>
      <c r="X42" s="299">
        <v>9.6</v>
      </c>
      <c r="Y42" s="303">
        <v>28</v>
      </c>
      <c r="Z42" s="304">
        <f t="shared" si="14"/>
        <v>43.15</v>
      </c>
      <c r="AA42" s="307">
        <f t="shared" si="2"/>
        <v>71.150000000000006</v>
      </c>
      <c r="AB42" s="308">
        <f t="shared" si="11"/>
        <v>809.14268977544009</v>
      </c>
      <c r="AC42" s="308">
        <f>+(S42*V42)-'data 1'!$F$4-T42*V42</f>
        <v>74.322000000000003</v>
      </c>
      <c r="AD42" s="308">
        <f t="shared" si="3"/>
        <v>-18.638314099871756</v>
      </c>
      <c r="AE42" s="308">
        <f>+(AA42*V42)-Z42-'data 1'!$I$21+((W42-2)*2.5+(X42-2)*4)-((W42-3)*1.5+(X42-3)*3.1)</f>
        <v>26.237563918918937</v>
      </c>
      <c r="AF42" s="308">
        <f t="shared" si="4"/>
        <v>0</v>
      </c>
      <c r="AG42" s="308">
        <f t="shared" si="5"/>
        <v>81.921249819047176</v>
      </c>
      <c r="AH42" s="309">
        <f t="shared" si="6"/>
        <v>164.51550297621989</v>
      </c>
      <c r="AI42" s="57">
        <f t="shared" si="7"/>
        <v>105.44357798311169</v>
      </c>
      <c r="AJ42" s="268">
        <f t="shared" si="8"/>
        <v>167.51210847222296</v>
      </c>
      <c r="AK42" s="57"/>
      <c r="AL42" s="57">
        <f t="shared" si="9"/>
        <v>8715.4377401092206</v>
      </c>
    </row>
    <row r="43" spans="1:38" ht="15.75" customHeight="1">
      <c r="A43" s="330" t="s">
        <v>801</v>
      </c>
      <c r="B43" s="6"/>
      <c r="C43" s="135">
        <v>45381</v>
      </c>
      <c r="D43" s="142" t="s">
        <v>549</v>
      </c>
      <c r="E43" s="176">
        <v>20169040231</v>
      </c>
      <c r="F43" s="142" t="s">
        <v>800</v>
      </c>
      <c r="G43" s="177">
        <v>31</v>
      </c>
      <c r="H43" s="90" t="s">
        <v>465</v>
      </c>
      <c r="I43" s="82">
        <v>2.63</v>
      </c>
      <c r="J43" s="137">
        <v>1</v>
      </c>
      <c r="K43" s="82">
        <f t="shared" si="0"/>
        <v>2.6036999999999999</v>
      </c>
      <c r="L43" s="240">
        <v>0.38500000000000001</v>
      </c>
      <c r="M43" s="240">
        <v>0.38500000000000001</v>
      </c>
      <c r="N43" s="240">
        <v>0.38500000000000001</v>
      </c>
      <c r="O43" s="139">
        <f>+(M43+N43)/2</f>
        <v>0.38500000000000001</v>
      </c>
      <c r="P43" s="6">
        <v>90</v>
      </c>
      <c r="Q43" s="6">
        <v>88.46</v>
      </c>
      <c r="R43" s="57">
        <v>2203.7730000000001</v>
      </c>
      <c r="S43" s="80">
        <v>120</v>
      </c>
      <c r="T43" s="6"/>
      <c r="U43" s="142">
        <v>120</v>
      </c>
      <c r="V43" s="142">
        <v>1.1023000000000001</v>
      </c>
      <c r="W43" s="137">
        <v>7.1</v>
      </c>
      <c r="X43" s="137">
        <v>9.6999999999999993</v>
      </c>
      <c r="Y43" s="6">
        <v>28</v>
      </c>
      <c r="Z43" s="143">
        <f t="shared" si="14"/>
        <v>43.55</v>
      </c>
      <c r="AA43" s="144">
        <f t="shared" si="2"/>
        <v>71.55</v>
      </c>
      <c r="AB43" s="145">
        <f t="shared" si="11"/>
        <v>584.74517684235013</v>
      </c>
      <c r="AC43" s="145">
        <f>+(S43*V43)-'data 1'!$F$4-T43*V43</f>
        <v>52.27600000000001</v>
      </c>
      <c r="AD43" s="145">
        <f t="shared" si="3"/>
        <v>-13.618574915969159</v>
      </c>
      <c r="AE43" s="145">
        <f>+(AA43*V43)-Z43-'data 1'!$I$21+((W43-2)*2.5+(X43-2)*4)-((W43-3)*1.5+(X43-3)*3.1)</f>
        <v>26.368483918918916</v>
      </c>
      <c r="AF43" s="145">
        <f t="shared" si="4"/>
        <v>0</v>
      </c>
      <c r="AG43" s="145">
        <f t="shared" si="5"/>
        <v>65.02590900294976</v>
      </c>
      <c r="AH43" s="331">
        <f t="shared" si="6"/>
        <v>30.402386576205267</v>
      </c>
      <c r="AI43" s="57">
        <f t="shared" si="7"/>
        <v>80.610966543669051</v>
      </c>
      <c r="AJ43" s="268">
        <f t="shared" si="8"/>
        <v>30.931661675994505</v>
      </c>
      <c r="AK43" s="57"/>
      <c r="AL43" s="57">
        <f t="shared" si="9"/>
        <v>1522.501016944427</v>
      </c>
    </row>
    <row r="44" spans="1:38" ht="15.75" customHeight="1">
      <c r="A44" s="330" t="s">
        <v>802</v>
      </c>
      <c r="B44" s="135">
        <v>45383</v>
      </c>
      <c r="C44" s="135">
        <v>45381</v>
      </c>
      <c r="D44" s="6" t="s">
        <v>549</v>
      </c>
      <c r="E44" s="176">
        <v>20169040231</v>
      </c>
      <c r="F44" s="142" t="s">
        <v>193</v>
      </c>
      <c r="G44" s="90">
        <v>80</v>
      </c>
      <c r="H44" s="90" t="s">
        <v>465</v>
      </c>
      <c r="I44" s="82">
        <v>6.76</v>
      </c>
      <c r="J44" s="137">
        <v>1.2</v>
      </c>
      <c r="K44" s="82">
        <f t="shared" si="0"/>
        <v>6.6788799999999995</v>
      </c>
      <c r="L44" s="240">
        <v>0.77300000000000002</v>
      </c>
      <c r="M44" s="80">
        <v>0.74199999999999999</v>
      </c>
      <c r="N44" s="80">
        <v>0.74199999999999999</v>
      </c>
      <c r="O44" s="139">
        <f>+(M44+N44)/2</f>
        <v>0.74199999999999999</v>
      </c>
      <c r="P44" s="6">
        <v>90</v>
      </c>
      <c r="Q44" s="137">
        <v>88.4</v>
      </c>
      <c r="R44" s="57">
        <v>2203.7730000000001</v>
      </c>
      <c r="S44" s="80">
        <v>150</v>
      </c>
      <c r="T44" s="6"/>
      <c r="U44" s="142">
        <v>120</v>
      </c>
      <c r="V44" s="142">
        <v>1.1023000000000001</v>
      </c>
      <c r="W44" s="137">
        <v>7.8</v>
      </c>
      <c r="X44" s="137">
        <v>10.5</v>
      </c>
      <c r="Y44" s="6">
        <v>26.56</v>
      </c>
      <c r="Z44" s="143">
        <f t="shared" si="14"/>
        <v>48.5</v>
      </c>
      <c r="AA44" s="144">
        <f t="shared" si="2"/>
        <v>75.06</v>
      </c>
      <c r="AB44" s="145">
        <f t="shared" si="11"/>
        <v>1285.8148826416202</v>
      </c>
      <c r="AC44" s="145">
        <f>+(S44*V44)-'data 1'!$F$4-T44*V44</f>
        <v>85.344999999999999</v>
      </c>
      <c r="AD44" s="145">
        <f t="shared" si="3"/>
        <v>-28.408590750667102</v>
      </c>
      <c r="AE44" s="145">
        <f>+(AA44*V44)-Z44-'data 1'!$I$21+((W44-2)*2.5+(X44-2)*4)-((W44-3)*1.5+(X44-3)*3.1)</f>
        <v>26.707556918918929</v>
      </c>
      <c r="AF44" s="145">
        <f t="shared" si="4"/>
        <v>62.945425366371666</v>
      </c>
      <c r="AG44" s="145">
        <f t="shared" si="5"/>
        <v>146.58939153462347</v>
      </c>
      <c r="AH44" s="331">
        <f t="shared" si="6"/>
        <v>156.47482291792235</v>
      </c>
      <c r="AI44" s="57">
        <f t="shared" si="7"/>
        <v>161.74029201023714</v>
      </c>
      <c r="AJ44" s="268">
        <f t="shared" si="8"/>
        <v>152.91818141780061</v>
      </c>
      <c r="AK44" s="57"/>
      <c r="AL44" s="57">
        <f t="shared" si="9"/>
        <v>8587.8033033774645</v>
      </c>
    </row>
    <row r="45" spans="1:38" ht="15.75" customHeight="1">
      <c r="A45" s="330" t="s">
        <v>803</v>
      </c>
      <c r="B45" s="135">
        <v>45384</v>
      </c>
      <c r="C45" s="135">
        <v>45381</v>
      </c>
      <c r="D45" s="6" t="s">
        <v>549</v>
      </c>
      <c r="E45" s="176">
        <v>20169040231</v>
      </c>
      <c r="F45" s="142" t="s">
        <v>193</v>
      </c>
      <c r="G45" s="90">
        <v>25</v>
      </c>
      <c r="H45" s="90" t="s">
        <v>465</v>
      </c>
      <c r="I45" s="82">
        <v>2.27</v>
      </c>
      <c r="J45" s="137">
        <v>1.5</v>
      </c>
      <c r="K45" s="82">
        <f t="shared" si="0"/>
        <v>2.2359499999999999</v>
      </c>
      <c r="L45" s="240">
        <v>0.81399999999999995</v>
      </c>
      <c r="M45" s="80">
        <v>0.78100000000000003</v>
      </c>
      <c r="N45" s="80">
        <v>0.78100000000000003</v>
      </c>
      <c r="O45" s="139">
        <f>+(M45+N45)/2</f>
        <v>0.78100000000000003</v>
      </c>
      <c r="P45" s="6">
        <v>90</v>
      </c>
      <c r="Q45" s="6">
        <v>88.89</v>
      </c>
      <c r="R45" s="57">
        <v>2203.7730000000001</v>
      </c>
      <c r="S45" s="80">
        <v>150</v>
      </c>
      <c r="T45" s="6"/>
      <c r="U45" s="142">
        <v>120</v>
      </c>
      <c r="V45" s="142">
        <v>1.1023000000000001</v>
      </c>
      <c r="W45" s="137">
        <v>7.9</v>
      </c>
      <c r="X45" s="137">
        <v>11</v>
      </c>
      <c r="Y45" s="6">
        <v>26.56</v>
      </c>
      <c r="Z45" s="143">
        <f t="shared" si="14"/>
        <v>50.75</v>
      </c>
      <c r="AA45" s="144">
        <f t="shared" si="2"/>
        <v>77.31</v>
      </c>
      <c r="AB45" s="145">
        <f t="shared" si="11"/>
        <v>1363.9574061659105</v>
      </c>
      <c r="AC45" s="145">
        <f>+(S45*V45)-'data 1'!$F$4-T45*V45</f>
        <v>85.344999999999999</v>
      </c>
      <c r="AD45" s="145">
        <f t="shared" si="3"/>
        <v>-20.753798582517653</v>
      </c>
      <c r="AE45" s="145">
        <f>+(AA45*V45)-Z45-'data 1'!$I$21+((W45-2)*2.5+(X45-2)*4)-((W45-3)*1.5+(X45-3)*3.1)</f>
        <v>27.487731918918932</v>
      </c>
      <c r="AF45" s="145">
        <f t="shared" si="4"/>
        <v>67.377836230825082</v>
      </c>
      <c r="AG45" s="145">
        <f t="shared" si="5"/>
        <v>159.45676956722639</v>
      </c>
      <c r="AH45" s="331">
        <f t="shared" si="6"/>
        <v>55.468761365128891</v>
      </c>
      <c r="AI45" s="57">
        <f t="shared" si="7"/>
        <v>171.26308981910756</v>
      </c>
      <c r="AJ45" s="268">
        <f t="shared" si="8"/>
        <v>53.8846045861684</v>
      </c>
      <c r="AK45" s="57"/>
      <c r="AL45" s="57">
        <f t="shared" si="9"/>
        <v>3049.7405623166674</v>
      </c>
    </row>
    <row r="46" spans="1:38" ht="15.75" customHeight="1">
      <c r="A46" s="330" t="s">
        <v>804</v>
      </c>
      <c r="B46" s="6"/>
      <c r="C46" s="135">
        <v>45381</v>
      </c>
      <c r="D46" s="6" t="s">
        <v>549</v>
      </c>
      <c r="E46" s="176">
        <v>20169040231</v>
      </c>
      <c r="F46" s="142" t="s">
        <v>805</v>
      </c>
      <c r="G46" s="90">
        <v>74</v>
      </c>
      <c r="H46" s="90" t="s">
        <v>465</v>
      </c>
      <c r="I46" s="82">
        <v>6.8</v>
      </c>
      <c r="J46" s="137">
        <v>3</v>
      </c>
      <c r="K46" s="82">
        <f t="shared" si="0"/>
        <v>6.5960000000000001</v>
      </c>
      <c r="L46" s="240">
        <v>0.219</v>
      </c>
      <c r="M46" s="139">
        <v>0.21</v>
      </c>
      <c r="N46" s="416">
        <v>0.21</v>
      </c>
      <c r="O46" s="139">
        <v>0.22</v>
      </c>
      <c r="P46" s="6">
        <v>87</v>
      </c>
      <c r="Q46" s="6">
        <v>88.42</v>
      </c>
      <c r="R46" s="57">
        <v>2203.7730000000001</v>
      </c>
      <c r="S46" s="80">
        <v>110</v>
      </c>
      <c r="T46" s="6"/>
      <c r="U46" s="142">
        <v>120</v>
      </c>
      <c r="V46" s="142">
        <v>1.1023000000000001</v>
      </c>
      <c r="W46" s="137">
        <v>6.8</v>
      </c>
      <c r="X46" s="137">
        <v>9.1</v>
      </c>
      <c r="Y46" s="6">
        <v>29.8</v>
      </c>
      <c r="Z46" s="143">
        <f t="shared" si="14"/>
        <v>40.4</v>
      </c>
      <c r="AA46" s="144">
        <f t="shared" si="2"/>
        <v>70.2</v>
      </c>
      <c r="AB46" s="145">
        <f t="shared" si="11"/>
        <v>241.00042597006004</v>
      </c>
      <c r="AC46" s="145">
        <f>+(S46*V46)-'data 1'!$F$4-T46*V46</f>
        <v>41.253</v>
      </c>
      <c r="AD46" s="145">
        <f t="shared" si="3"/>
        <v>7.1430332726734296</v>
      </c>
      <c r="AE46" s="145">
        <f>+(AA46*V46)-Z46-'data 1'!$I$21+((W46-2)*2.5+(X46-2)*4)-((W46-3)*1.5+(X46-3)*3.1)</f>
        <v>27.190378918918924</v>
      </c>
      <c r="AF46" s="145">
        <f t="shared" si="4"/>
        <v>-2.0309569810591821</v>
      </c>
      <c r="AG46" s="145">
        <f t="shared" si="5"/>
        <v>73.555455210533182</v>
      </c>
      <c r="AH46" s="331">
        <f t="shared" si="6"/>
        <v>43.790947457761284</v>
      </c>
      <c r="AI46" s="57">
        <f t="shared" si="7"/>
        <v>45.833295962729565</v>
      </c>
      <c r="AJ46" s="268">
        <f t="shared" si="8"/>
        <v>43.284424707190922</v>
      </c>
      <c r="AK46" s="57"/>
      <c r="AL46" s="57">
        <f t="shared" si="9"/>
        <v>1589.6388096985161</v>
      </c>
    </row>
    <row r="47" spans="1:38" ht="15.75" customHeight="1">
      <c r="A47" s="310" t="s">
        <v>806</v>
      </c>
      <c r="B47" s="321"/>
      <c r="C47" s="311">
        <v>45381</v>
      </c>
      <c r="D47" s="321" t="s">
        <v>549</v>
      </c>
      <c r="E47" s="313">
        <v>20169040231</v>
      </c>
      <c r="F47" s="312" t="s">
        <v>805</v>
      </c>
      <c r="G47" s="315">
        <v>75</v>
      </c>
      <c r="H47" s="315" t="s">
        <v>465</v>
      </c>
      <c r="I47" s="316">
        <v>7.03</v>
      </c>
      <c r="J47" s="317">
        <v>3</v>
      </c>
      <c r="K47" s="316">
        <f t="shared" si="0"/>
        <v>6.8191000000000006</v>
      </c>
      <c r="L47" s="318">
        <v>0.27100000000000002</v>
      </c>
      <c r="M47" s="319">
        <v>0.26</v>
      </c>
      <c r="N47" s="417">
        <v>0.3</v>
      </c>
      <c r="O47" s="319">
        <f>+(M47+N47)/2</f>
        <v>0.28000000000000003</v>
      </c>
      <c r="P47" s="321">
        <v>87</v>
      </c>
      <c r="Q47" s="321">
        <v>88.53</v>
      </c>
      <c r="R47" s="323">
        <v>2203.7730000000001</v>
      </c>
      <c r="S47" s="324">
        <v>110</v>
      </c>
      <c r="T47" s="321"/>
      <c r="U47" s="312">
        <v>120</v>
      </c>
      <c r="V47" s="312">
        <v>1.1023000000000001</v>
      </c>
      <c r="W47" s="317">
        <v>6.8</v>
      </c>
      <c r="X47" s="317">
        <v>9.1</v>
      </c>
      <c r="Y47" s="321">
        <v>29.8</v>
      </c>
      <c r="Z47" s="322">
        <f t="shared" si="14"/>
        <v>40.4</v>
      </c>
      <c r="AA47" s="325">
        <f t="shared" si="2"/>
        <v>70.2</v>
      </c>
      <c r="AB47" s="326">
        <f t="shared" si="11"/>
        <v>360.90084941644011</v>
      </c>
      <c r="AC47" s="326">
        <f>+(S47*V47)-'data 1'!$F$4-T47*V47</f>
        <v>41.253</v>
      </c>
      <c r="AD47" s="326">
        <f t="shared" si="3"/>
        <v>9.5238146692667787</v>
      </c>
      <c r="AE47" s="326">
        <f>+(AA47*V47)-Z47-'data 1'!$I$21+((W47-2)*2.5+(X47-2)*4)-((W47-3)*1.5+(X47-3)*3.1)</f>
        <v>27.190378918918924</v>
      </c>
      <c r="AF47" s="326">
        <f t="shared" si="4"/>
        <v>-18.30135256501385</v>
      </c>
      <c r="AG47" s="326">
        <f t="shared" si="5"/>
        <v>59.665841023171843</v>
      </c>
      <c r="AH47" s="327">
        <f t="shared" si="6"/>
        <v>56.091348833937353</v>
      </c>
      <c r="AI47" s="57">
        <f t="shared" si="7"/>
        <v>56.7866460520152</v>
      </c>
      <c r="AJ47" s="268">
        <f t="shared" si="8"/>
        <v>56.952581279167532</v>
      </c>
      <c r="AK47" s="57"/>
      <c r="AL47" s="57">
        <f t="shared" si="9"/>
        <v>2461.0189822556472</v>
      </c>
    </row>
    <row r="48" spans="1:38" ht="15.75" customHeight="1">
      <c r="A48" s="330" t="s">
        <v>807</v>
      </c>
      <c r="B48" s="135">
        <v>45386</v>
      </c>
      <c r="C48" s="135">
        <v>45382</v>
      </c>
      <c r="D48" s="142" t="s">
        <v>557</v>
      </c>
      <c r="E48" s="176">
        <v>20169040231</v>
      </c>
      <c r="F48" s="142" t="s">
        <v>808</v>
      </c>
      <c r="G48" s="177" t="s">
        <v>68</v>
      </c>
      <c r="H48" s="90" t="s">
        <v>465</v>
      </c>
      <c r="I48" s="82">
        <v>25.68</v>
      </c>
      <c r="J48" s="137">
        <v>18.5</v>
      </c>
      <c r="K48" s="82">
        <f t="shared" si="0"/>
        <v>20.929200000000002</v>
      </c>
      <c r="L48" s="240">
        <v>0.63400000000000001</v>
      </c>
      <c r="M48" s="80">
        <v>0.60899999999999999</v>
      </c>
      <c r="N48" s="170">
        <v>0.6</v>
      </c>
      <c r="O48" s="139">
        <f>+ROUND((M48+N48)/2,3)</f>
        <v>0.60499999999999998</v>
      </c>
      <c r="P48" s="6">
        <v>90</v>
      </c>
      <c r="Q48" s="143">
        <v>89.29</v>
      </c>
      <c r="R48" s="57">
        <v>2228.54</v>
      </c>
      <c r="S48" s="80">
        <v>150</v>
      </c>
      <c r="U48" s="142">
        <v>100</v>
      </c>
      <c r="V48" s="142">
        <v>1.1023000000000001</v>
      </c>
      <c r="W48" s="137">
        <v>6.7</v>
      </c>
      <c r="X48" s="137">
        <v>11.9</v>
      </c>
      <c r="Y48" s="137"/>
      <c r="Z48" s="143">
        <f t="shared" si="14"/>
        <v>33.14</v>
      </c>
      <c r="AA48" s="144">
        <f t="shared" si="2"/>
        <v>33.14</v>
      </c>
      <c r="AB48" s="145">
        <f t="shared" si="11"/>
        <v>1075.6794880689999</v>
      </c>
      <c r="AC48" s="145">
        <f>+(S48*V48)-'data 1'!$F$4-T48*V48</f>
        <v>85.344999999999999</v>
      </c>
      <c r="AD48" s="145">
        <f t="shared" si="3"/>
        <v>-10.561588194498709</v>
      </c>
      <c r="AE48" s="145">
        <f>+(AA48*V48)-Z48-'data 1'!$I$21+((W48-2)*2.5+(X48-2)*4)-((W48-3)*1.5+(X48-3)*3.1)</f>
        <v>-3.9808590810810784</v>
      </c>
      <c r="AF48" s="145">
        <f t="shared" si="4"/>
        <v>60.755058618912265</v>
      </c>
      <c r="AG48" s="145">
        <f t="shared" si="5"/>
        <v>131.55761134333247</v>
      </c>
      <c r="AH48" s="145">
        <f t="shared" si="6"/>
        <v>406.21296284636674</v>
      </c>
      <c r="AI48" s="57">
        <f t="shared" si="7"/>
        <v>106.05682233312884</v>
      </c>
      <c r="AJ48" s="268">
        <f t="shared" si="8"/>
        <v>390.71454737716471</v>
      </c>
      <c r="AK48" s="57"/>
      <c r="AL48" s="57">
        <f t="shared" si="9"/>
        <v>22513.111141693716</v>
      </c>
    </row>
    <row r="49" spans="3:38" ht="15.75" customHeight="1">
      <c r="C49" s="135"/>
      <c r="E49" s="176"/>
      <c r="G49" s="90"/>
      <c r="H49" s="90"/>
      <c r="I49" s="82"/>
      <c r="J49" s="137"/>
      <c r="K49" s="82"/>
      <c r="L49" s="240"/>
      <c r="M49" s="80"/>
      <c r="N49" s="271"/>
      <c r="O49" s="139"/>
      <c r="Q49" s="142"/>
      <c r="R49" s="57"/>
      <c r="S49" s="80"/>
      <c r="U49" s="142"/>
      <c r="V49" s="142"/>
      <c r="Z49" s="143"/>
      <c r="AA49" s="144"/>
      <c r="AB49" s="145"/>
      <c r="AC49" s="145"/>
      <c r="AD49" s="145"/>
      <c r="AE49" s="145"/>
      <c r="AF49" s="145"/>
      <c r="AG49" s="145"/>
      <c r="AH49" s="145"/>
      <c r="AL49" s="57">
        <f>SUM(AL4:AL48)</f>
        <v>314805.45238293835</v>
      </c>
    </row>
    <row r="50" spans="3:38" ht="15.75" customHeight="1">
      <c r="C50" s="135"/>
      <c r="E50" s="176"/>
      <c r="G50" s="90"/>
      <c r="H50" s="90"/>
      <c r="I50" s="82"/>
      <c r="J50" s="137"/>
      <c r="K50" s="82"/>
      <c r="L50" s="240"/>
      <c r="M50" s="80"/>
      <c r="N50" s="271"/>
      <c r="O50" s="139"/>
      <c r="Q50" s="142"/>
      <c r="R50" s="57"/>
      <c r="S50" s="80"/>
      <c r="U50" s="142"/>
      <c r="V50" s="142"/>
      <c r="Z50" s="143"/>
      <c r="AA50" s="144"/>
      <c r="AB50" s="145"/>
      <c r="AC50" s="145"/>
      <c r="AD50" s="145"/>
      <c r="AE50" s="145"/>
      <c r="AF50" s="145"/>
      <c r="AG50" s="145"/>
      <c r="AH50" s="145"/>
    </row>
    <row r="51" spans="3:38" ht="15.75" customHeight="1">
      <c r="C51" s="135"/>
      <c r="E51" s="176"/>
      <c r="G51" s="90"/>
      <c r="H51" s="90"/>
      <c r="I51" s="82"/>
      <c r="J51" s="137"/>
      <c r="K51" s="82"/>
      <c r="L51" s="240"/>
      <c r="M51" s="80"/>
      <c r="N51" s="271"/>
      <c r="O51" s="139"/>
      <c r="Q51" s="142"/>
      <c r="R51" s="57"/>
      <c r="S51" s="80"/>
      <c r="U51" s="142"/>
      <c r="V51" s="142"/>
      <c r="Z51" s="143"/>
      <c r="AA51" s="144"/>
      <c r="AB51" s="145"/>
      <c r="AC51" s="145"/>
      <c r="AD51" s="145"/>
      <c r="AE51" s="145"/>
      <c r="AF51" s="145"/>
      <c r="AG51" s="145"/>
      <c r="AH51" s="145"/>
    </row>
    <row r="52" spans="3:38" ht="15.75" customHeight="1">
      <c r="C52" s="135"/>
      <c r="E52" s="176"/>
      <c r="G52" s="90"/>
      <c r="H52" s="90"/>
      <c r="I52" s="139"/>
      <c r="J52" s="147"/>
      <c r="K52" s="139"/>
      <c r="L52" s="240"/>
      <c r="M52" s="80"/>
      <c r="N52" s="271"/>
      <c r="O52" s="139"/>
      <c r="Q52" s="142"/>
      <c r="R52" s="57"/>
      <c r="S52" s="80"/>
      <c r="U52" s="142"/>
      <c r="V52" s="142"/>
      <c r="Z52" s="143"/>
      <c r="AA52" s="144"/>
      <c r="AB52" s="145"/>
      <c r="AC52" s="145"/>
      <c r="AD52" s="145"/>
      <c r="AE52" s="145"/>
      <c r="AF52" s="145"/>
      <c r="AG52" s="145"/>
      <c r="AH52" s="145"/>
    </row>
    <row r="53" spans="3:38" ht="15.75" customHeight="1">
      <c r="C53" s="135"/>
      <c r="E53" s="176"/>
      <c r="G53" s="90"/>
      <c r="H53" s="90"/>
      <c r="I53" s="139"/>
      <c r="J53" s="147"/>
      <c r="K53" s="139"/>
      <c r="L53" s="240"/>
      <c r="M53" s="80"/>
      <c r="N53" s="271"/>
      <c r="O53" s="139"/>
      <c r="Q53" s="142"/>
      <c r="R53" s="57"/>
      <c r="S53" s="80"/>
      <c r="U53" s="142"/>
      <c r="V53" s="142"/>
      <c r="Z53" s="143"/>
      <c r="AA53" s="144"/>
      <c r="AB53" s="145"/>
      <c r="AC53" s="145"/>
      <c r="AD53" s="145"/>
      <c r="AE53" s="145"/>
      <c r="AF53" s="145"/>
      <c r="AG53" s="145"/>
      <c r="AH53" s="145"/>
    </row>
    <row r="54" spans="3:38" ht="15.75" customHeight="1">
      <c r="C54" s="135"/>
      <c r="E54" s="176"/>
      <c r="G54" s="90"/>
      <c r="H54" s="90"/>
      <c r="I54" s="139"/>
      <c r="J54" s="147"/>
      <c r="K54" s="139"/>
      <c r="L54" s="418"/>
      <c r="M54" s="168"/>
      <c r="N54" s="419"/>
      <c r="O54" s="139"/>
      <c r="Q54" s="142"/>
      <c r="R54" s="57"/>
      <c r="S54" s="80"/>
      <c r="U54" s="142"/>
      <c r="V54" s="142"/>
      <c r="Z54" s="143"/>
      <c r="AA54" s="144"/>
      <c r="AB54" s="145"/>
      <c r="AC54" s="145"/>
      <c r="AD54" s="145"/>
      <c r="AE54" s="145"/>
      <c r="AF54" s="145"/>
      <c r="AG54" s="145"/>
      <c r="AH54" s="145"/>
    </row>
    <row r="55" spans="3:38" ht="15.75" customHeight="1">
      <c r="C55" s="135"/>
      <c r="E55" s="176"/>
      <c r="G55" s="90"/>
      <c r="H55" s="90"/>
      <c r="I55" s="82"/>
      <c r="J55" s="137"/>
      <c r="K55" s="82"/>
      <c r="L55" s="240"/>
      <c r="M55" s="80"/>
      <c r="N55" s="271"/>
      <c r="O55" s="139"/>
      <c r="Q55" s="142"/>
      <c r="R55" s="57"/>
      <c r="S55" s="80"/>
      <c r="U55" s="142"/>
      <c r="V55" s="142"/>
      <c r="Z55" s="143"/>
      <c r="AA55" s="144"/>
      <c r="AB55" s="145"/>
      <c r="AC55" s="145"/>
      <c r="AD55" s="145"/>
      <c r="AE55" s="145"/>
      <c r="AF55" s="145"/>
      <c r="AG55" s="145"/>
      <c r="AH55" s="145"/>
    </row>
    <row r="56" spans="3:38" ht="15.75" customHeight="1">
      <c r="C56" s="135"/>
      <c r="E56" s="176"/>
      <c r="G56" s="90"/>
      <c r="H56" s="90"/>
      <c r="I56" s="82"/>
      <c r="J56" s="137"/>
      <c r="K56" s="82"/>
      <c r="L56" s="240"/>
      <c r="M56" s="80"/>
      <c r="N56" s="271"/>
      <c r="O56" s="139"/>
      <c r="Q56" s="142"/>
      <c r="R56" s="57"/>
      <c r="S56" s="80"/>
      <c r="U56" s="142"/>
      <c r="V56" s="142"/>
      <c r="Z56" s="143"/>
      <c r="AA56" s="144"/>
      <c r="AB56" s="145"/>
      <c r="AC56" s="145"/>
      <c r="AD56" s="145"/>
      <c r="AE56" s="145"/>
      <c r="AF56" s="145"/>
      <c r="AG56" s="145"/>
      <c r="AH56" s="145"/>
    </row>
    <row r="57" spans="3:38" ht="15.75" customHeight="1">
      <c r="C57" s="135"/>
      <c r="E57" s="176"/>
      <c r="G57" s="90"/>
      <c r="H57" s="90"/>
      <c r="I57" s="82"/>
      <c r="J57" s="137"/>
      <c r="K57" s="82"/>
      <c r="L57" s="240"/>
      <c r="M57" s="80"/>
      <c r="N57" s="271"/>
      <c r="O57" s="139"/>
      <c r="Q57" s="142"/>
      <c r="R57" s="57"/>
      <c r="S57" s="80"/>
      <c r="U57" s="142"/>
      <c r="V57" s="142"/>
      <c r="Z57" s="143"/>
      <c r="AA57" s="144"/>
      <c r="AB57" s="145"/>
      <c r="AC57" s="145"/>
      <c r="AD57" s="145"/>
      <c r="AE57" s="145"/>
      <c r="AF57" s="145"/>
      <c r="AG57" s="145"/>
      <c r="AH57" s="145"/>
    </row>
    <row r="58" spans="3:38" ht="15.75" customHeight="1">
      <c r="C58" s="135"/>
      <c r="E58" s="176"/>
      <c r="G58" s="90"/>
      <c r="H58" s="90"/>
      <c r="I58" s="82"/>
      <c r="J58" s="137"/>
      <c r="K58" s="82"/>
      <c r="L58" s="240"/>
      <c r="M58" s="80"/>
      <c r="N58" s="271"/>
      <c r="O58" s="139"/>
      <c r="Q58" s="142"/>
      <c r="R58" s="57"/>
      <c r="S58" s="80"/>
      <c r="U58" s="142"/>
      <c r="V58" s="142"/>
      <c r="Z58" s="143"/>
      <c r="AA58" s="144"/>
      <c r="AB58" s="145"/>
      <c r="AC58" s="145"/>
      <c r="AD58" s="145"/>
      <c r="AE58" s="145"/>
      <c r="AF58" s="145"/>
      <c r="AG58" s="145"/>
      <c r="AH58" s="145"/>
    </row>
    <row r="59" spans="3:38" ht="15.75" customHeight="1">
      <c r="C59" s="135"/>
      <c r="E59" s="176"/>
      <c r="G59" s="90"/>
      <c r="H59" s="90"/>
      <c r="I59" s="82"/>
      <c r="J59" s="137"/>
      <c r="K59" s="82"/>
      <c r="L59" s="240"/>
      <c r="M59" s="80"/>
      <c r="N59" s="271"/>
      <c r="O59" s="139"/>
      <c r="Q59" s="142"/>
      <c r="R59" s="57"/>
      <c r="S59" s="80"/>
      <c r="U59" s="142"/>
      <c r="V59" s="142"/>
      <c r="Z59" s="143"/>
      <c r="AA59" s="144"/>
      <c r="AB59" s="145"/>
      <c r="AC59" s="145"/>
      <c r="AD59" s="145"/>
      <c r="AE59" s="145"/>
      <c r="AF59" s="145"/>
      <c r="AG59" s="145"/>
      <c r="AH59" s="145"/>
    </row>
    <row r="60" spans="3:38" ht="15.75" customHeight="1">
      <c r="C60" s="135"/>
      <c r="E60" s="176"/>
      <c r="G60" s="90"/>
      <c r="H60" s="90"/>
      <c r="I60" s="82"/>
      <c r="J60" s="137"/>
      <c r="K60" s="82"/>
      <c r="L60" s="240"/>
      <c r="M60" s="80"/>
      <c r="N60" s="271"/>
      <c r="O60" s="139"/>
      <c r="Q60" s="142"/>
      <c r="R60" s="57"/>
      <c r="S60" s="80"/>
      <c r="U60" s="142"/>
      <c r="V60" s="142"/>
      <c r="Z60" s="143"/>
      <c r="AA60" s="144"/>
      <c r="AB60" s="145"/>
      <c r="AC60" s="145"/>
      <c r="AD60" s="145"/>
      <c r="AE60" s="145"/>
      <c r="AF60" s="145"/>
      <c r="AG60" s="145"/>
      <c r="AH60" s="145"/>
    </row>
    <row r="61" spans="3:38" ht="15.75" customHeight="1">
      <c r="C61" s="135"/>
      <c r="E61" s="176"/>
      <c r="G61" s="90"/>
      <c r="H61" s="90"/>
      <c r="I61" s="82"/>
      <c r="J61" s="137"/>
      <c r="K61" s="82"/>
      <c r="L61" s="240"/>
      <c r="M61" s="80"/>
      <c r="N61" s="271"/>
      <c r="O61" s="139"/>
      <c r="Q61" s="142"/>
      <c r="R61" s="57"/>
      <c r="S61" s="80"/>
      <c r="U61" s="142"/>
      <c r="V61" s="142"/>
      <c r="Z61" s="143"/>
      <c r="AA61" s="144"/>
      <c r="AB61" s="145"/>
      <c r="AC61" s="145"/>
      <c r="AD61" s="145"/>
      <c r="AE61" s="145"/>
      <c r="AF61" s="145"/>
      <c r="AG61" s="145"/>
      <c r="AH61" s="145"/>
    </row>
    <row r="62" spans="3:38" ht="15.75" customHeight="1">
      <c r="C62" s="135"/>
      <c r="E62" s="176"/>
      <c r="G62" s="90"/>
      <c r="H62" s="90"/>
      <c r="I62" s="82"/>
      <c r="J62" s="137"/>
      <c r="K62" s="82"/>
      <c r="L62" s="240"/>
      <c r="M62" s="80"/>
      <c r="N62" s="271"/>
      <c r="O62" s="139"/>
      <c r="Q62" s="142"/>
      <c r="R62" s="57"/>
      <c r="S62" s="80"/>
      <c r="U62" s="142"/>
      <c r="V62" s="142"/>
      <c r="Z62" s="143"/>
      <c r="AA62" s="144"/>
      <c r="AB62" s="145"/>
      <c r="AC62" s="145"/>
      <c r="AD62" s="145"/>
      <c r="AE62" s="145"/>
      <c r="AF62" s="145"/>
      <c r="AG62" s="145"/>
      <c r="AH62" s="145"/>
    </row>
    <row r="63" spans="3:38" ht="15.75" customHeight="1">
      <c r="C63" s="135"/>
      <c r="E63" s="176"/>
      <c r="G63" s="90"/>
      <c r="H63" s="90"/>
      <c r="I63" s="82"/>
      <c r="J63" s="137"/>
      <c r="K63" s="82"/>
      <c r="L63" s="240"/>
      <c r="M63" s="80"/>
      <c r="N63" s="271"/>
      <c r="O63" s="139"/>
      <c r="Q63" s="142"/>
      <c r="R63" s="57"/>
      <c r="S63" s="80"/>
      <c r="U63" s="142"/>
      <c r="V63" s="142"/>
      <c r="Z63" s="143"/>
      <c r="AA63" s="144"/>
      <c r="AB63" s="145"/>
      <c r="AC63" s="145"/>
      <c r="AD63" s="145"/>
      <c r="AE63" s="145"/>
      <c r="AF63" s="145"/>
      <c r="AG63" s="145"/>
      <c r="AH63" s="145"/>
    </row>
    <row r="64" spans="3:38" ht="15.75" customHeight="1">
      <c r="C64" s="135"/>
      <c r="E64" s="176"/>
      <c r="G64" s="90"/>
      <c r="H64" s="90"/>
      <c r="I64" s="82"/>
      <c r="J64" s="137"/>
      <c r="K64" s="82"/>
      <c r="L64" s="240"/>
      <c r="M64" s="80"/>
      <c r="N64" s="271"/>
      <c r="O64" s="139"/>
      <c r="Q64" s="142"/>
      <c r="R64" s="57"/>
      <c r="S64" s="80"/>
      <c r="U64" s="142"/>
      <c r="V64" s="142"/>
      <c r="Z64" s="143"/>
      <c r="AA64" s="144"/>
      <c r="AB64" s="145"/>
      <c r="AC64" s="145"/>
      <c r="AD64" s="145"/>
      <c r="AE64" s="145"/>
      <c r="AF64" s="145"/>
      <c r="AG64" s="145"/>
      <c r="AH64" s="145"/>
    </row>
    <row r="65" spans="3:34" ht="15.75" customHeight="1">
      <c r="C65" s="135"/>
      <c r="E65" s="176"/>
      <c r="G65" s="90"/>
      <c r="H65" s="90"/>
      <c r="I65" s="82"/>
      <c r="J65" s="137"/>
      <c r="K65" s="82"/>
      <c r="L65" s="240"/>
      <c r="M65" s="80"/>
      <c r="N65" s="271"/>
      <c r="O65" s="139"/>
      <c r="Q65" s="142"/>
      <c r="R65" s="57"/>
      <c r="S65" s="80"/>
      <c r="U65" s="142"/>
      <c r="V65" s="142"/>
      <c r="Z65" s="143"/>
      <c r="AA65" s="144"/>
      <c r="AB65" s="145"/>
      <c r="AC65" s="145"/>
      <c r="AD65" s="145"/>
      <c r="AE65" s="145"/>
      <c r="AF65" s="145"/>
      <c r="AG65" s="145"/>
      <c r="AH65" s="145"/>
    </row>
    <row r="66" spans="3:34" ht="15.75" customHeight="1">
      <c r="C66" s="135"/>
      <c r="E66" s="176"/>
      <c r="G66" s="90"/>
      <c r="H66" s="90"/>
      <c r="I66" s="82"/>
      <c r="J66" s="137"/>
      <c r="K66" s="82"/>
      <c r="L66" s="240"/>
      <c r="M66" s="80"/>
      <c r="N66" s="271"/>
      <c r="O66" s="139"/>
      <c r="Q66" s="142"/>
      <c r="R66" s="57"/>
      <c r="S66" s="80"/>
      <c r="U66" s="142"/>
      <c r="V66" s="142"/>
      <c r="Z66" s="143"/>
      <c r="AA66" s="144"/>
      <c r="AB66" s="145"/>
      <c r="AC66" s="145"/>
      <c r="AD66" s="145"/>
      <c r="AE66" s="145"/>
      <c r="AF66" s="145"/>
      <c r="AG66" s="145"/>
      <c r="AH66" s="145"/>
    </row>
    <row r="67" spans="3:34" ht="15.75" customHeight="1">
      <c r="C67" s="135"/>
      <c r="E67" s="176"/>
      <c r="G67" s="90"/>
      <c r="H67" s="90"/>
      <c r="I67" s="82"/>
      <c r="J67" s="137"/>
      <c r="K67" s="82"/>
      <c r="L67" s="240"/>
      <c r="M67" s="80"/>
      <c r="N67" s="271"/>
      <c r="O67" s="139"/>
      <c r="Q67" s="142"/>
      <c r="R67" s="57"/>
      <c r="S67" s="80"/>
      <c r="U67" s="142"/>
      <c r="V67" s="142"/>
      <c r="Z67" s="143"/>
      <c r="AA67" s="144"/>
      <c r="AB67" s="145"/>
      <c r="AC67" s="145"/>
      <c r="AD67" s="145"/>
      <c r="AE67" s="145"/>
      <c r="AF67" s="145"/>
      <c r="AG67" s="145"/>
      <c r="AH67" s="145"/>
    </row>
    <row r="68" spans="3:34" ht="15.75" customHeight="1">
      <c r="C68" s="135"/>
      <c r="E68" s="176"/>
      <c r="G68" s="90"/>
      <c r="H68" s="90"/>
      <c r="I68" s="82"/>
      <c r="J68" s="137"/>
      <c r="K68" s="82"/>
      <c r="L68" s="240"/>
      <c r="M68" s="80"/>
      <c r="N68" s="271"/>
      <c r="O68" s="139"/>
      <c r="Q68" s="142"/>
      <c r="R68" s="57"/>
      <c r="S68" s="80"/>
      <c r="U68" s="142"/>
      <c r="V68" s="142"/>
      <c r="Z68" s="143"/>
      <c r="AA68" s="144"/>
      <c r="AB68" s="145"/>
      <c r="AC68" s="145"/>
      <c r="AD68" s="145"/>
      <c r="AE68" s="145"/>
      <c r="AF68" s="145"/>
      <c r="AG68" s="145"/>
      <c r="AH68" s="145"/>
    </row>
    <row r="69" spans="3:34" ht="15.75" customHeight="1">
      <c r="C69" s="135"/>
      <c r="E69" s="176"/>
      <c r="G69" s="90"/>
      <c r="H69" s="90"/>
      <c r="I69" s="82"/>
      <c r="J69" s="137"/>
      <c r="K69" s="82"/>
      <c r="L69" s="240"/>
      <c r="M69" s="80"/>
      <c r="N69" s="271"/>
      <c r="O69" s="139"/>
      <c r="Q69" s="142"/>
      <c r="R69" s="57"/>
      <c r="S69" s="80"/>
      <c r="U69" s="142"/>
      <c r="V69" s="142"/>
      <c r="Z69" s="143"/>
      <c r="AA69" s="144"/>
      <c r="AB69" s="145"/>
      <c r="AC69" s="145"/>
      <c r="AD69" s="145"/>
      <c r="AE69" s="145"/>
      <c r="AF69" s="145"/>
      <c r="AG69" s="145"/>
      <c r="AH69" s="145"/>
    </row>
    <row r="70" spans="3:34" ht="15.75" customHeight="1">
      <c r="C70" s="135"/>
      <c r="E70" s="176"/>
      <c r="G70" s="90"/>
      <c r="H70" s="90"/>
      <c r="I70" s="82"/>
      <c r="J70" s="137"/>
      <c r="K70" s="82"/>
      <c r="L70" s="240"/>
      <c r="M70" s="80"/>
      <c r="N70" s="271"/>
      <c r="O70" s="139"/>
      <c r="Q70" s="142"/>
      <c r="R70" s="57"/>
      <c r="S70" s="80"/>
      <c r="U70" s="142"/>
      <c r="V70" s="142"/>
      <c r="Z70" s="143"/>
      <c r="AA70" s="144"/>
      <c r="AB70" s="145"/>
      <c r="AC70" s="145"/>
      <c r="AD70" s="145"/>
      <c r="AE70" s="145"/>
      <c r="AF70" s="145"/>
      <c r="AG70" s="145"/>
      <c r="AH70" s="145"/>
    </row>
    <row r="71" spans="3:34" ht="15.75" customHeight="1">
      <c r="C71" s="135"/>
      <c r="E71" s="176"/>
      <c r="G71" s="90"/>
      <c r="H71" s="90"/>
      <c r="I71" s="82"/>
      <c r="J71" s="137"/>
      <c r="K71" s="82"/>
      <c r="L71" s="240"/>
      <c r="M71" s="80"/>
      <c r="N71" s="271"/>
      <c r="O71" s="139"/>
      <c r="Q71" s="142"/>
      <c r="R71" s="57"/>
      <c r="S71" s="80"/>
      <c r="U71" s="142"/>
      <c r="V71" s="142"/>
      <c r="Z71" s="143"/>
      <c r="AA71" s="144"/>
      <c r="AB71" s="145"/>
      <c r="AC71" s="145"/>
      <c r="AD71" s="145"/>
      <c r="AE71" s="145"/>
      <c r="AF71" s="145"/>
      <c r="AG71" s="145"/>
      <c r="AH71" s="145"/>
    </row>
    <row r="72" spans="3:34" ht="15.75" customHeight="1">
      <c r="C72" s="135"/>
      <c r="E72" s="176"/>
      <c r="G72" s="90"/>
      <c r="H72" s="90"/>
      <c r="I72" s="82"/>
      <c r="J72" s="137"/>
      <c r="K72" s="82"/>
      <c r="L72" s="240"/>
      <c r="M72" s="80"/>
      <c r="N72" s="271"/>
      <c r="O72" s="139"/>
      <c r="Q72" s="142"/>
      <c r="R72" s="57"/>
      <c r="S72" s="80"/>
      <c r="U72" s="142"/>
      <c r="V72" s="142"/>
      <c r="Z72" s="143"/>
      <c r="AA72" s="144"/>
      <c r="AB72" s="145"/>
      <c r="AC72" s="145"/>
      <c r="AD72" s="145"/>
      <c r="AE72" s="145"/>
      <c r="AF72" s="145"/>
      <c r="AG72" s="145"/>
      <c r="AH72" s="145"/>
    </row>
    <row r="73" spans="3:34" ht="15.75" customHeight="1">
      <c r="C73" s="135"/>
      <c r="E73" s="176"/>
      <c r="G73" s="90"/>
      <c r="H73" s="90"/>
      <c r="I73" s="82"/>
      <c r="J73" s="137"/>
      <c r="K73" s="82"/>
      <c r="L73" s="240"/>
      <c r="M73" s="80"/>
      <c r="N73" s="271"/>
      <c r="O73" s="139"/>
      <c r="Q73" s="142"/>
      <c r="R73" s="57"/>
      <c r="S73" s="80"/>
      <c r="U73" s="142"/>
      <c r="V73" s="142"/>
      <c r="Z73" s="143"/>
      <c r="AA73" s="144"/>
      <c r="AB73" s="145"/>
      <c r="AC73" s="145"/>
      <c r="AD73" s="145"/>
      <c r="AE73" s="145"/>
      <c r="AF73" s="145"/>
      <c r="AG73" s="145"/>
      <c r="AH73" s="145"/>
    </row>
    <row r="74" spans="3:34" ht="15.75" customHeight="1">
      <c r="C74" s="135"/>
      <c r="E74" s="176"/>
      <c r="G74" s="90"/>
      <c r="H74" s="90"/>
      <c r="I74" s="82"/>
      <c r="J74" s="137"/>
      <c r="K74" s="82"/>
      <c r="L74" s="240"/>
      <c r="M74" s="80"/>
      <c r="N74" s="271"/>
      <c r="O74" s="139"/>
      <c r="Q74" s="142"/>
      <c r="R74" s="57"/>
      <c r="S74" s="80"/>
      <c r="U74" s="142"/>
      <c r="V74" s="142"/>
      <c r="Z74" s="143"/>
      <c r="AA74" s="144"/>
      <c r="AB74" s="145"/>
      <c r="AC74" s="145"/>
      <c r="AD74" s="145"/>
      <c r="AE74" s="145"/>
      <c r="AF74" s="145"/>
      <c r="AG74" s="145"/>
      <c r="AH74" s="145"/>
    </row>
    <row r="75" spans="3:34" ht="15.75" customHeight="1">
      <c r="C75" s="135"/>
      <c r="E75" s="176"/>
      <c r="G75" s="90"/>
      <c r="H75" s="90"/>
      <c r="I75" s="82"/>
      <c r="J75" s="137"/>
      <c r="K75" s="82"/>
      <c r="L75" s="240"/>
      <c r="M75" s="80"/>
      <c r="N75" s="271"/>
      <c r="O75" s="139"/>
      <c r="Q75" s="142"/>
      <c r="R75" s="57"/>
      <c r="S75" s="80"/>
      <c r="U75" s="142"/>
      <c r="V75" s="142"/>
      <c r="Z75" s="143"/>
      <c r="AA75" s="144"/>
      <c r="AB75" s="145"/>
      <c r="AC75" s="145"/>
      <c r="AD75" s="145"/>
      <c r="AE75" s="145"/>
      <c r="AF75" s="145"/>
      <c r="AG75" s="145"/>
      <c r="AH75" s="145"/>
    </row>
    <row r="76" spans="3:34" ht="15.75" customHeight="1">
      <c r="C76" s="135"/>
      <c r="E76" s="176"/>
      <c r="G76" s="90"/>
      <c r="H76" s="90"/>
      <c r="I76" s="82"/>
      <c r="J76" s="137"/>
      <c r="K76" s="82"/>
      <c r="L76" s="240"/>
      <c r="M76" s="80"/>
      <c r="N76" s="271"/>
      <c r="O76" s="139"/>
      <c r="Q76" s="142"/>
      <c r="R76" s="57"/>
      <c r="S76" s="80"/>
      <c r="U76" s="142"/>
      <c r="V76" s="142"/>
      <c r="Z76" s="143"/>
      <c r="AA76" s="144"/>
      <c r="AB76" s="145"/>
      <c r="AC76" s="145"/>
      <c r="AD76" s="145"/>
      <c r="AE76" s="145"/>
      <c r="AF76" s="145"/>
      <c r="AG76" s="145"/>
      <c r="AH76" s="145"/>
    </row>
    <row r="77" spans="3:34" ht="15.75" customHeight="1">
      <c r="C77" s="135"/>
      <c r="E77" s="176"/>
      <c r="G77" s="90"/>
      <c r="H77" s="90"/>
      <c r="I77" s="82"/>
      <c r="J77" s="137"/>
      <c r="K77" s="82"/>
      <c r="L77" s="240"/>
      <c r="M77" s="80"/>
      <c r="N77" s="271"/>
      <c r="O77" s="139"/>
      <c r="Q77" s="142"/>
      <c r="R77" s="57"/>
      <c r="S77" s="80"/>
      <c r="U77" s="142"/>
      <c r="V77" s="142"/>
      <c r="Z77" s="143"/>
      <c r="AA77" s="144"/>
      <c r="AB77" s="145"/>
      <c r="AC77" s="145"/>
      <c r="AD77" s="145"/>
      <c r="AE77" s="145"/>
      <c r="AF77" s="145"/>
      <c r="AG77" s="145"/>
      <c r="AH77" s="145"/>
    </row>
    <row r="78" spans="3:34" ht="15.75" customHeight="1">
      <c r="C78" s="135"/>
      <c r="E78" s="176"/>
      <c r="G78" s="90"/>
      <c r="H78" s="90"/>
      <c r="I78" s="82"/>
      <c r="J78" s="137"/>
      <c r="K78" s="82"/>
      <c r="L78" s="240"/>
      <c r="M78" s="80"/>
      <c r="N78" s="271"/>
      <c r="O78" s="139"/>
      <c r="Q78" s="142"/>
      <c r="R78" s="57"/>
      <c r="S78" s="80"/>
      <c r="U78" s="142"/>
      <c r="V78" s="142"/>
      <c r="Z78" s="143"/>
      <c r="AA78" s="144"/>
      <c r="AB78" s="145"/>
      <c r="AC78" s="145"/>
      <c r="AD78" s="145"/>
      <c r="AE78" s="145"/>
      <c r="AF78" s="145"/>
      <c r="AG78" s="145"/>
      <c r="AH78" s="145"/>
    </row>
    <row r="79" spans="3:34" ht="15.75" customHeight="1">
      <c r="C79" s="135"/>
      <c r="E79" s="176"/>
      <c r="G79" s="90"/>
      <c r="H79" s="90"/>
      <c r="I79" s="82"/>
      <c r="J79" s="137"/>
      <c r="K79" s="82"/>
      <c r="L79" s="240"/>
      <c r="M79" s="80"/>
      <c r="N79" s="271"/>
      <c r="O79" s="139"/>
      <c r="Q79" s="142"/>
      <c r="R79" s="57"/>
      <c r="S79" s="80"/>
      <c r="U79" s="142"/>
      <c r="V79" s="142"/>
      <c r="Z79" s="143"/>
      <c r="AA79" s="144"/>
      <c r="AB79" s="145"/>
      <c r="AC79" s="145"/>
      <c r="AD79" s="145"/>
      <c r="AE79" s="145"/>
      <c r="AF79" s="145"/>
      <c r="AG79" s="145"/>
      <c r="AH79" s="145"/>
    </row>
    <row r="80" spans="3:34" ht="15.75" customHeight="1">
      <c r="C80" s="135"/>
      <c r="E80" s="176"/>
      <c r="G80" s="90"/>
      <c r="H80" s="90"/>
      <c r="I80" s="82"/>
      <c r="J80" s="137"/>
      <c r="K80" s="82"/>
      <c r="L80" s="240"/>
      <c r="M80" s="80"/>
      <c r="N80" s="271"/>
      <c r="O80" s="139"/>
      <c r="Q80" s="142"/>
      <c r="R80" s="57"/>
      <c r="S80" s="80"/>
      <c r="U80" s="142"/>
      <c r="V80" s="142"/>
      <c r="Z80" s="143"/>
      <c r="AA80" s="144"/>
      <c r="AB80" s="145"/>
      <c r="AC80" s="145"/>
      <c r="AD80" s="145"/>
      <c r="AE80" s="145"/>
      <c r="AF80" s="145"/>
      <c r="AG80" s="145"/>
      <c r="AH80" s="145"/>
    </row>
    <row r="81" spans="3:34" ht="15.75" customHeight="1">
      <c r="C81" s="135"/>
      <c r="E81" s="176"/>
      <c r="G81" s="90"/>
      <c r="H81" s="90"/>
      <c r="I81" s="82"/>
      <c r="J81" s="137"/>
      <c r="K81" s="82"/>
      <c r="L81" s="240"/>
      <c r="M81" s="80"/>
      <c r="N81" s="271"/>
      <c r="O81" s="139"/>
      <c r="Q81" s="142"/>
      <c r="R81" s="57"/>
      <c r="S81" s="80"/>
      <c r="U81" s="142"/>
      <c r="V81" s="142"/>
      <c r="Z81" s="143"/>
      <c r="AA81" s="144"/>
      <c r="AB81" s="145"/>
      <c r="AC81" s="145"/>
      <c r="AD81" s="145"/>
      <c r="AE81" s="145"/>
      <c r="AF81" s="145"/>
      <c r="AG81" s="145"/>
      <c r="AH81" s="145"/>
    </row>
    <row r="82" spans="3:34" ht="15.75" customHeight="1">
      <c r="C82" s="135"/>
      <c r="E82" s="176"/>
      <c r="G82" s="90"/>
      <c r="H82" s="90"/>
      <c r="I82" s="82"/>
      <c r="J82" s="137"/>
      <c r="K82" s="82"/>
      <c r="L82" s="240"/>
      <c r="M82" s="80"/>
      <c r="N82" s="271"/>
      <c r="O82" s="139"/>
      <c r="Q82" s="142"/>
      <c r="R82" s="57"/>
      <c r="S82" s="80"/>
      <c r="U82" s="142"/>
      <c r="V82" s="142"/>
      <c r="Z82" s="143"/>
      <c r="AA82" s="144"/>
      <c r="AB82" s="145"/>
      <c r="AC82" s="145"/>
      <c r="AD82" s="145"/>
      <c r="AE82" s="145"/>
      <c r="AF82" s="145"/>
      <c r="AG82" s="145"/>
      <c r="AH82" s="145"/>
    </row>
    <row r="83" spans="3:34" ht="15.75" customHeight="1">
      <c r="C83" s="135"/>
      <c r="E83" s="176"/>
      <c r="G83" s="90"/>
      <c r="H83" s="90"/>
      <c r="I83" s="82"/>
      <c r="J83" s="137"/>
      <c r="K83" s="82"/>
      <c r="L83" s="240"/>
      <c r="M83" s="80"/>
      <c r="N83" s="271"/>
      <c r="O83" s="139"/>
      <c r="Q83" s="142"/>
      <c r="R83" s="57"/>
      <c r="S83" s="80"/>
      <c r="U83" s="142"/>
      <c r="V83" s="142"/>
      <c r="Z83" s="143"/>
      <c r="AA83" s="144"/>
      <c r="AB83" s="145"/>
      <c r="AC83" s="145"/>
      <c r="AD83" s="145"/>
      <c r="AE83" s="145"/>
      <c r="AF83" s="145"/>
      <c r="AG83" s="145"/>
      <c r="AH83" s="145"/>
    </row>
    <row r="84" spans="3:34" ht="15.75" customHeight="1">
      <c r="C84" s="135"/>
      <c r="E84" s="176"/>
      <c r="G84" s="90"/>
      <c r="H84" s="90"/>
      <c r="I84" s="82"/>
      <c r="J84" s="137"/>
      <c r="K84" s="82"/>
      <c r="L84" s="240"/>
      <c r="M84" s="80"/>
      <c r="N84" s="271"/>
      <c r="O84" s="139"/>
      <c r="Q84" s="142"/>
      <c r="R84" s="57"/>
      <c r="S84" s="80"/>
      <c r="U84" s="142"/>
      <c r="V84" s="142"/>
      <c r="Z84" s="143"/>
      <c r="AA84" s="144"/>
      <c r="AB84" s="145"/>
      <c r="AC84" s="145"/>
      <c r="AD84" s="145"/>
      <c r="AE84" s="145"/>
      <c r="AF84" s="145"/>
      <c r="AG84" s="145"/>
      <c r="AH84" s="145"/>
    </row>
    <row r="85" spans="3:34" ht="15.75" customHeight="1">
      <c r="C85" s="135"/>
      <c r="E85" s="176"/>
      <c r="G85" s="90"/>
      <c r="H85" s="90"/>
      <c r="I85" s="82"/>
      <c r="J85" s="137"/>
      <c r="K85" s="82"/>
      <c r="L85" s="240"/>
      <c r="M85" s="80"/>
      <c r="N85" s="271"/>
      <c r="O85" s="139"/>
      <c r="Q85" s="142"/>
      <c r="R85" s="57"/>
      <c r="S85" s="80"/>
      <c r="U85" s="142"/>
      <c r="V85" s="142"/>
      <c r="Z85" s="143"/>
      <c r="AA85" s="144"/>
      <c r="AB85" s="145"/>
      <c r="AC85" s="145"/>
      <c r="AD85" s="145"/>
      <c r="AE85" s="145"/>
      <c r="AF85" s="145"/>
      <c r="AG85" s="145"/>
      <c r="AH85" s="145"/>
    </row>
    <row r="86" spans="3:34" ht="15.75" customHeight="1">
      <c r="C86" s="135"/>
      <c r="E86" s="176"/>
      <c r="G86" s="90"/>
      <c r="H86" s="90"/>
      <c r="I86" s="82"/>
      <c r="J86" s="137"/>
      <c r="K86" s="82"/>
      <c r="L86" s="240"/>
      <c r="M86" s="80"/>
      <c r="N86" s="271"/>
      <c r="O86" s="139"/>
      <c r="Q86" s="142"/>
      <c r="R86" s="57"/>
      <c r="S86" s="80"/>
      <c r="U86" s="142"/>
      <c r="V86" s="142"/>
      <c r="Z86" s="143"/>
      <c r="AA86" s="144"/>
      <c r="AB86" s="145"/>
      <c r="AC86" s="145"/>
      <c r="AD86" s="145"/>
      <c r="AE86" s="145"/>
      <c r="AF86" s="145"/>
      <c r="AG86" s="145"/>
      <c r="AH86" s="145"/>
    </row>
    <row r="87" spans="3:34" ht="15.75" customHeight="1">
      <c r="C87" s="135"/>
      <c r="E87" s="176"/>
      <c r="G87" s="90"/>
      <c r="H87" s="90"/>
      <c r="I87" s="82"/>
      <c r="J87" s="137"/>
      <c r="K87" s="82"/>
      <c r="L87" s="240"/>
      <c r="M87" s="80"/>
      <c r="N87" s="271"/>
      <c r="O87" s="139"/>
      <c r="Q87" s="142"/>
      <c r="R87" s="57"/>
      <c r="S87" s="80"/>
      <c r="U87" s="142"/>
      <c r="V87" s="142"/>
      <c r="Z87" s="143"/>
      <c r="AA87" s="144"/>
      <c r="AB87" s="145"/>
      <c r="AC87" s="145"/>
      <c r="AD87" s="145"/>
      <c r="AE87" s="145"/>
      <c r="AF87" s="145"/>
      <c r="AG87" s="145"/>
      <c r="AH87" s="145"/>
    </row>
    <row r="88" spans="3:34" ht="15.75" customHeight="1">
      <c r="C88" s="135"/>
      <c r="E88" s="176"/>
      <c r="G88" s="90"/>
      <c r="H88" s="90"/>
      <c r="I88" s="82"/>
      <c r="J88" s="137"/>
      <c r="K88" s="82"/>
      <c r="L88" s="240"/>
      <c r="M88" s="80"/>
      <c r="N88" s="271"/>
      <c r="O88" s="139"/>
      <c r="Q88" s="142"/>
      <c r="R88" s="57"/>
      <c r="S88" s="80"/>
      <c r="U88" s="142"/>
      <c r="V88" s="142"/>
      <c r="Z88" s="143"/>
      <c r="AA88" s="144"/>
      <c r="AB88" s="145"/>
      <c r="AC88" s="145"/>
      <c r="AD88" s="145"/>
      <c r="AE88" s="145"/>
      <c r="AF88" s="145"/>
      <c r="AG88" s="145"/>
      <c r="AH88" s="145"/>
    </row>
    <row r="89" spans="3:34" ht="15.75" customHeight="1">
      <c r="C89" s="135"/>
      <c r="E89" s="176"/>
      <c r="G89" s="90"/>
      <c r="H89" s="90"/>
      <c r="I89" s="82"/>
      <c r="J89" s="137"/>
      <c r="K89" s="82"/>
      <c r="L89" s="240"/>
      <c r="M89" s="80"/>
      <c r="N89" s="271"/>
      <c r="O89" s="139"/>
      <c r="Q89" s="142"/>
      <c r="R89" s="57"/>
      <c r="S89" s="80"/>
      <c r="U89" s="142"/>
      <c r="V89" s="142"/>
      <c r="Z89" s="143"/>
      <c r="AA89" s="144"/>
      <c r="AB89" s="145"/>
      <c r="AC89" s="145"/>
      <c r="AD89" s="145"/>
      <c r="AE89" s="145"/>
      <c r="AF89" s="145"/>
      <c r="AG89" s="145"/>
      <c r="AH89" s="145"/>
    </row>
    <row r="90" spans="3:34" ht="15.75" customHeight="1">
      <c r="C90" s="135"/>
      <c r="E90" s="176"/>
      <c r="G90" s="90"/>
      <c r="H90" s="90"/>
      <c r="I90" s="82"/>
      <c r="J90" s="137"/>
      <c r="K90" s="82"/>
      <c r="L90" s="240"/>
      <c r="M90" s="80"/>
      <c r="N90" s="271"/>
      <c r="O90" s="139"/>
      <c r="Q90" s="142"/>
      <c r="R90" s="57"/>
      <c r="S90" s="80"/>
      <c r="U90" s="142"/>
      <c r="V90" s="142"/>
      <c r="Z90" s="143"/>
      <c r="AA90" s="144"/>
      <c r="AB90" s="145"/>
      <c r="AC90" s="145"/>
      <c r="AD90" s="145"/>
      <c r="AE90" s="145"/>
      <c r="AF90" s="145"/>
      <c r="AG90" s="145"/>
      <c r="AH90" s="145"/>
    </row>
    <row r="91" spans="3:34" ht="15.75" customHeight="1">
      <c r="C91" s="135"/>
      <c r="E91" s="176"/>
      <c r="G91" s="90"/>
      <c r="H91" s="90"/>
      <c r="I91" s="82"/>
      <c r="J91" s="137"/>
      <c r="K91" s="82"/>
      <c r="L91" s="240"/>
      <c r="M91" s="80"/>
      <c r="N91" s="271"/>
      <c r="O91" s="139"/>
      <c r="Q91" s="142"/>
      <c r="R91" s="57"/>
      <c r="S91" s="80"/>
      <c r="U91" s="142"/>
      <c r="V91" s="142"/>
      <c r="Z91" s="143"/>
      <c r="AA91" s="144"/>
      <c r="AB91" s="145"/>
      <c r="AC91" s="145"/>
      <c r="AD91" s="145"/>
      <c r="AE91" s="145"/>
      <c r="AF91" s="145"/>
      <c r="AG91" s="145"/>
      <c r="AH91" s="145"/>
    </row>
    <row r="92" spans="3:34" ht="15.75" customHeight="1">
      <c r="C92" s="135"/>
      <c r="E92" s="176"/>
      <c r="G92" s="90"/>
      <c r="H92" s="90"/>
      <c r="I92" s="82"/>
      <c r="J92" s="137"/>
      <c r="K92" s="82"/>
      <c r="L92" s="240"/>
      <c r="M92" s="80"/>
      <c r="N92" s="271"/>
      <c r="O92" s="139"/>
      <c r="Q92" s="142"/>
      <c r="R92" s="57"/>
      <c r="S92" s="80"/>
      <c r="U92" s="142"/>
      <c r="V92" s="142"/>
      <c r="Z92" s="143"/>
      <c r="AA92" s="144"/>
      <c r="AB92" s="145"/>
      <c r="AC92" s="145"/>
      <c r="AD92" s="145"/>
      <c r="AE92" s="145"/>
      <c r="AF92" s="145"/>
      <c r="AG92" s="145"/>
      <c r="AH92" s="145"/>
    </row>
    <row r="93" spans="3:34" ht="15.75" customHeight="1">
      <c r="C93" s="135"/>
      <c r="E93" s="176"/>
      <c r="G93" s="90"/>
      <c r="H93" s="90"/>
      <c r="I93" s="82"/>
      <c r="J93" s="137"/>
      <c r="K93" s="82"/>
      <c r="L93" s="240"/>
      <c r="M93" s="80"/>
      <c r="N93" s="271"/>
      <c r="O93" s="139"/>
      <c r="Q93" s="142"/>
      <c r="R93" s="57"/>
      <c r="S93" s="80"/>
      <c r="U93" s="142"/>
      <c r="V93" s="142"/>
      <c r="Z93" s="143"/>
      <c r="AA93" s="144"/>
      <c r="AB93" s="145"/>
      <c r="AC93" s="145"/>
      <c r="AD93" s="145"/>
      <c r="AE93" s="145"/>
      <c r="AF93" s="145"/>
      <c r="AG93" s="145"/>
      <c r="AH93" s="145"/>
    </row>
    <row r="94" spans="3:34" ht="15.75" customHeight="1">
      <c r="C94" s="135"/>
      <c r="E94" s="176"/>
      <c r="G94" s="90"/>
      <c r="H94" s="90"/>
      <c r="I94" s="82"/>
      <c r="J94" s="137"/>
      <c r="K94" s="82"/>
      <c r="L94" s="240"/>
      <c r="M94" s="80"/>
      <c r="N94" s="271"/>
      <c r="O94" s="139"/>
      <c r="Q94" s="142"/>
      <c r="R94" s="57"/>
      <c r="S94" s="80"/>
      <c r="U94" s="142"/>
      <c r="V94" s="142"/>
      <c r="Z94" s="143"/>
      <c r="AA94" s="144"/>
      <c r="AB94" s="145"/>
      <c r="AC94" s="145"/>
      <c r="AD94" s="145"/>
      <c r="AE94" s="145"/>
      <c r="AF94" s="145"/>
      <c r="AG94" s="145"/>
      <c r="AH94" s="145"/>
    </row>
    <row r="95" spans="3:34" ht="15.75" customHeight="1">
      <c r="C95" s="135"/>
      <c r="E95" s="176"/>
      <c r="G95" s="90"/>
      <c r="H95" s="90"/>
      <c r="I95" s="82"/>
      <c r="J95" s="137"/>
      <c r="K95" s="82"/>
      <c r="L95" s="240"/>
      <c r="M95" s="80"/>
      <c r="N95" s="271"/>
      <c r="O95" s="139"/>
      <c r="Q95" s="142"/>
      <c r="R95" s="57"/>
      <c r="S95" s="80"/>
      <c r="U95" s="142"/>
      <c r="V95" s="142"/>
      <c r="Z95" s="143"/>
      <c r="AA95" s="144"/>
      <c r="AB95" s="145"/>
      <c r="AC95" s="145"/>
      <c r="AD95" s="145"/>
      <c r="AE95" s="145"/>
      <c r="AF95" s="145"/>
      <c r="AG95" s="145"/>
      <c r="AH95" s="145"/>
    </row>
    <row r="96" spans="3:34" ht="15.75" customHeight="1">
      <c r="C96" s="135"/>
      <c r="E96" s="176"/>
      <c r="G96" s="90"/>
      <c r="H96" s="90"/>
      <c r="I96" s="82"/>
      <c r="J96" s="137"/>
      <c r="K96" s="82"/>
      <c r="L96" s="240"/>
      <c r="M96" s="80"/>
      <c r="N96" s="271"/>
      <c r="O96" s="139"/>
      <c r="Q96" s="142"/>
      <c r="R96" s="57"/>
      <c r="S96" s="80"/>
      <c r="U96" s="142"/>
      <c r="V96" s="142"/>
      <c r="Z96" s="143"/>
      <c r="AA96" s="144"/>
      <c r="AB96" s="145"/>
      <c r="AC96" s="145"/>
      <c r="AD96" s="145"/>
      <c r="AE96" s="145"/>
      <c r="AF96" s="145"/>
      <c r="AG96" s="145"/>
      <c r="AH96" s="145"/>
    </row>
    <row r="97" spans="3:34" ht="15.75" customHeight="1">
      <c r="C97" s="135"/>
      <c r="E97" s="176"/>
      <c r="G97" s="90"/>
      <c r="H97" s="90"/>
      <c r="I97" s="82"/>
      <c r="J97" s="137"/>
      <c r="K97" s="82"/>
      <c r="L97" s="240"/>
      <c r="M97" s="80"/>
      <c r="N97" s="271"/>
      <c r="O97" s="139"/>
      <c r="Q97" s="142"/>
      <c r="R97" s="57"/>
      <c r="S97" s="80"/>
      <c r="U97" s="142"/>
      <c r="V97" s="142"/>
      <c r="Z97" s="143"/>
      <c r="AA97" s="144"/>
      <c r="AB97" s="145"/>
      <c r="AC97" s="145"/>
      <c r="AD97" s="145"/>
      <c r="AE97" s="145"/>
      <c r="AF97" s="145"/>
      <c r="AG97" s="145"/>
      <c r="AH97" s="145"/>
    </row>
    <row r="98" spans="3:34" ht="15.75" customHeight="1">
      <c r="C98" s="135"/>
      <c r="E98" s="176"/>
      <c r="G98" s="90"/>
      <c r="H98" s="90"/>
      <c r="I98" s="82"/>
      <c r="J98" s="137"/>
      <c r="K98" s="82"/>
      <c r="L98" s="240"/>
      <c r="M98" s="80"/>
      <c r="N98" s="271"/>
      <c r="O98" s="139"/>
      <c r="Q98" s="142"/>
      <c r="R98" s="57"/>
      <c r="S98" s="80"/>
      <c r="U98" s="142"/>
      <c r="V98" s="142"/>
      <c r="Z98" s="143"/>
      <c r="AA98" s="144"/>
      <c r="AB98" s="145"/>
      <c r="AC98" s="145"/>
      <c r="AD98" s="145"/>
      <c r="AE98" s="145"/>
      <c r="AF98" s="145"/>
      <c r="AG98" s="145"/>
      <c r="AH98" s="145"/>
    </row>
    <row r="99" spans="3:34" ht="15.75" customHeight="1">
      <c r="C99" s="135"/>
      <c r="E99" s="176"/>
      <c r="G99" s="90"/>
      <c r="H99" s="90"/>
      <c r="I99" s="82"/>
      <c r="J99" s="137"/>
      <c r="K99" s="82"/>
      <c r="L99" s="240"/>
      <c r="M99" s="80"/>
      <c r="N99" s="271"/>
      <c r="O99" s="139"/>
      <c r="Q99" s="142"/>
      <c r="R99" s="57"/>
      <c r="S99" s="80"/>
      <c r="U99" s="142"/>
      <c r="V99" s="142"/>
      <c r="Z99" s="143"/>
      <c r="AA99" s="144"/>
      <c r="AB99" s="145"/>
      <c r="AC99" s="145"/>
      <c r="AD99" s="145"/>
      <c r="AE99" s="145"/>
      <c r="AF99" s="145"/>
      <c r="AG99" s="145"/>
      <c r="AH99" s="145"/>
    </row>
    <row r="100" spans="3:34" ht="15.75" customHeight="1">
      <c r="C100" s="135"/>
      <c r="E100" s="176"/>
      <c r="G100" s="90"/>
      <c r="H100" s="90"/>
      <c r="I100" s="82"/>
      <c r="J100" s="137"/>
      <c r="K100" s="82"/>
      <c r="L100" s="240"/>
      <c r="M100" s="80"/>
      <c r="N100" s="271"/>
      <c r="O100" s="139"/>
      <c r="Q100" s="142"/>
      <c r="R100" s="57"/>
      <c r="S100" s="80"/>
      <c r="U100" s="142"/>
      <c r="V100" s="142"/>
      <c r="Z100" s="143"/>
      <c r="AA100" s="144"/>
      <c r="AB100" s="145"/>
      <c r="AC100" s="145"/>
      <c r="AD100" s="145"/>
      <c r="AE100" s="145"/>
      <c r="AF100" s="145"/>
      <c r="AG100" s="145"/>
      <c r="AH100" s="145"/>
    </row>
    <row r="101" spans="3:34" ht="15.75" customHeight="1">
      <c r="C101" s="135"/>
      <c r="E101" s="176"/>
      <c r="G101" s="90"/>
      <c r="H101" s="90"/>
      <c r="I101" s="82"/>
      <c r="J101" s="137"/>
      <c r="K101" s="82"/>
      <c r="L101" s="240"/>
      <c r="M101" s="80"/>
      <c r="N101" s="271"/>
      <c r="O101" s="139"/>
      <c r="Q101" s="142"/>
      <c r="R101" s="57"/>
      <c r="S101" s="80"/>
      <c r="U101" s="142"/>
      <c r="V101" s="142"/>
      <c r="Z101" s="143"/>
      <c r="AA101" s="144"/>
      <c r="AB101" s="145"/>
      <c r="AC101" s="145"/>
      <c r="AD101" s="145"/>
      <c r="AE101" s="145"/>
      <c r="AF101" s="145"/>
      <c r="AG101" s="145"/>
      <c r="AH101" s="145"/>
    </row>
    <row r="102" spans="3:34" ht="15.75" customHeight="1">
      <c r="C102" s="135"/>
      <c r="E102" s="176"/>
      <c r="G102" s="90"/>
      <c r="H102" s="90"/>
      <c r="I102" s="82"/>
      <c r="J102" s="137"/>
      <c r="K102" s="82"/>
      <c r="L102" s="240"/>
      <c r="M102" s="80"/>
      <c r="N102" s="271"/>
      <c r="O102" s="139"/>
      <c r="Q102" s="142"/>
      <c r="R102" s="57"/>
      <c r="S102" s="80"/>
      <c r="U102" s="142"/>
      <c r="V102" s="142"/>
      <c r="Z102" s="143"/>
      <c r="AA102" s="144"/>
      <c r="AB102" s="145"/>
      <c r="AC102" s="145"/>
      <c r="AD102" s="145"/>
      <c r="AE102" s="145"/>
      <c r="AF102" s="145"/>
      <c r="AG102" s="145"/>
      <c r="AH102" s="145"/>
    </row>
    <row r="103" spans="3:34" ht="15.75" customHeight="1">
      <c r="C103" s="135"/>
      <c r="E103" s="176"/>
      <c r="G103" s="90"/>
      <c r="H103" s="90"/>
      <c r="I103" s="82"/>
      <c r="J103" s="137"/>
      <c r="K103" s="82"/>
      <c r="L103" s="240"/>
      <c r="M103" s="80"/>
      <c r="N103" s="271"/>
      <c r="O103" s="139"/>
      <c r="Q103" s="142"/>
      <c r="R103" s="57"/>
      <c r="S103" s="80"/>
      <c r="U103" s="142"/>
      <c r="V103" s="142"/>
      <c r="Z103" s="143"/>
      <c r="AA103" s="144"/>
      <c r="AB103" s="145"/>
      <c r="AC103" s="145"/>
      <c r="AD103" s="145"/>
      <c r="AE103" s="145"/>
      <c r="AF103" s="145"/>
      <c r="AG103" s="145"/>
      <c r="AH103" s="145"/>
    </row>
    <row r="104" spans="3:34" ht="15.75" customHeight="1">
      <c r="C104" s="135"/>
      <c r="E104" s="176"/>
      <c r="G104" s="90"/>
      <c r="H104" s="90"/>
      <c r="I104" s="82"/>
      <c r="J104" s="137"/>
      <c r="K104" s="82"/>
      <c r="L104" s="240"/>
      <c r="M104" s="80"/>
      <c r="N104" s="271"/>
      <c r="O104" s="139"/>
      <c r="Q104" s="142"/>
      <c r="R104" s="57"/>
      <c r="S104" s="80"/>
      <c r="U104" s="142"/>
      <c r="V104" s="142"/>
      <c r="Z104" s="143"/>
      <c r="AA104" s="144"/>
      <c r="AB104" s="145"/>
      <c r="AC104" s="145"/>
      <c r="AD104" s="145"/>
      <c r="AE104" s="145"/>
      <c r="AF104" s="145"/>
      <c r="AG104" s="145"/>
      <c r="AH104" s="145"/>
    </row>
    <row r="105" spans="3:34" ht="15.75" customHeight="1">
      <c r="C105" s="135"/>
      <c r="E105" s="176"/>
      <c r="G105" s="90"/>
      <c r="H105" s="90"/>
      <c r="I105" s="82"/>
      <c r="J105" s="137"/>
      <c r="K105" s="82"/>
      <c r="L105" s="240"/>
      <c r="M105" s="80"/>
      <c r="N105" s="271"/>
      <c r="O105" s="139"/>
      <c r="Q105" s="142"/>
      <c r="R105" s="57"/>
      <c r="S105" s="80"/>
      <c r="U105" s="142"/>
      <c r="V105" s="142"/>
      <c r="Z105" s="143"/>
      <c r="AA105" s="144"/>
      <c r="AB105" s="145"/>
      <c r="AC105" s="145"/>
      <c r="AD105" s="145"/>
      <c r="AE105" s="145"/>
      <c r="AF105" s="145"/>
      <c r="AG105" s="145"/>
      <c r="AH105" s="145"/>
    </row>
    <row r="106" spans="3:34" ht="15.75" customHeight="1">
      <c r="C106" s="135"/>
      <c r="E106" s="176"/>
      <c r="G106" s="90"/>
      <c r="H106" s="90"/>
      <c r="I106" s="82"/>
      <c r="J106" s="137"/>
      <c r="K106" s="82"/>
      <c r="L106" s="240"/>
      <c r="M106" s="80"/>
      <c r="N106" s="271"/>
      <c r="O106" s="139"/>
      <c r="Q106" s="142"/>
      <c r="R106" s="57"/>
      <c r="S106" s="80"/>
      <c r="U106" s="142"/>
      <c r="V106" s="142"/>
      <c r="Z106" s="143"/>
      <c r="AA106" s="144"/>
      <c r="AB106" s="145"/>
      <c r="AC106" s="145"/>
      <c r="AD106" s="145"/>
      <c r="AE106" s="145"/>
      <c r="AF106" s="145"/>
      <c r="AG106" s="145"/>
      <c r="AH106" s="145"/>
    </row>
    <row r="107" spans="3:34" ht="15.75" customHeight="1">
      <c r="C107" s="135"/>
      <c r="E107" s="176"/>
      <c r="G107" s="90"/>
      <c r="H107" s="90"/>
      <c r="I107" s="82"/>
      <c r="J107" s="137"/>
      <c r="K107" s="82"/>
      <c r="L107" s="240"/>
      <c r="M107" s="80"/>
      <c r="N107" s="271"/>
      <c r="O107" s="139"/>
      <c r="Q107" s="142"/>
      <c r="R107" s="57"/>
      <c r="S107" s="80"/>
      <c r="U107" s="142"/>
      <c r="V107" s="142"/>
      <c r="Z107" s="143"/>
      <c r="AA107" s="144"/>
      <c r="AB107" s="145"/>
      <c r="AC107" s="145"/>
      <c r="AD107" s="145"/>
      <c r="AE107" s="145"/>
      <c r="AF107" s="145"/>
      <c r="AG107" s="145"/>
      <c r="AH107" s="145"/>
    </row>
    <row r="108" spans="3:34" ht="15.75" customHeight="1">
      <c r="C108" s="135"/>
      <c r="E108" s="176"/>
      <c r="G108" s="90"/>
      <c r="H108" s="90"/>
      <c r="I108" s="82"/>
      <c r="J108" s="137"/>
      <c r="K108" s="82"/>
      <c r="L108" s="240"/>
      <c r="M108" s="80"/>
      <c r="N108" s="271"/>
      <c r="O108" s="139"/>
      <c r="Q108" s="142"/>
      <c r="R108" s="57"/>
      <c r="S108" s="80"/>
      <c r="U108" s="142"/>
      <c r="V108" s="142"/>
      <c r="Z108" s="143"/>
      <c r="AA108" s="144"/>
      <c r="AB108" s="145"/>
      <c r="AC108" s="145"/>
      <c r="AD108" s="145"/>
      <c r="AE108" s="145"/>
      <c r="AF108" s="145"/>
      <c r="AG108" s="145"/>
      <c r="AH108" s="145"/>
    </row>
    <row r="109" spans="3:34" ht="15.75" customHeight="1">
      <c r="C109" s="135"/>
      <c r="E109" s="176"/>
      <c r="G109" s="90"/>
      <c r="H109" s="90"/>
      <c r="I109" s="82"/>
      <c r="J109" s="137"/>
      <c r="K109" s="82"/>
      <c r="L109" s="240"/>
      <c r="M109" s="80"/>
      <c r="N109" s="271"/>
      <c r="O109" s="139"/>
      <c r="Q109" s="142"/>
      <c r="R109" s="57"/>
      <c r="S109" s="80"/>
      <c r="U109" s="142"/>
      <c r="V109" s="142"/>
      <c r="Z109" s="143"/>
      <c r="AA109" s="144"/>
      <c r="AB109" s="145"/>
      <c r="AC109" s="145"/>
      <c r="AD109" s="145"/>
      <c r="AE109" s="145"/>
      <c r="AF109" s="145"/>
      <c r="AG109" s="145"/>
      <c r="AH109" s="145"/>
    </row>
    <row r="110" spans="3:34" ht="15.75" customHeight="1">
      <c r="C110" s="135"/>
      <c r="E110" s="176"/>
      <c r="G110" s="90"/>
      <c r="H110" s="90"/>
      <c r="I110" s="82"/>
      <c r="J110" s="137"/>
      <c r="K110" s="82"/>
      <c r="L110" s="240"/>
      <c r="M110" s="80"/>
      <c r="N110" s="271"/>
      <c r="O110" s="139"/>
      <c r="Q110" s="142"/>
      <c r="R110" s="57"/>
      <c r="S110" s="80"/>
      <c r="U110" s="142"/>
      <c r="V110" s="142"/>
      <c r="Z110" s="143"/>
      <c r="AA110" s="144"/>
      <c r="AB110" s="145"/>
      <c r="AC110" s="145"/>
      <c r="AD110" s="145"/>
      <c r="AE110" s="145"/>
      <c r="AF110" s="145"/>
      <c r="AG110" s="145"/>
      <c r="AH110" s="145"/>
    </row>
    <row r="111" spans="3:34" ht="15.75" customHeight="1">
      <c r="C111" s="135"/>
      <c r="E111" s="176"/>
      <c r="G111" s="90"/>
      <c r="H111" s="90"/>
      <c r="I111" s="82"/>
      <c r="J111" s="137"/>
      <c r="K111" s="82"/>
      <c r="L111" s="240"/>
      <c r="M111" s="80"/>
      <c r="N111" s="271"/>
      <c r="O111" s="139"/>
      <c r="Q111" s="142"/>
      <c r="R111" s="57"/>
      <c r="S111" s="80"/>
      <c r="U111" s="142"/>
      <c r="V111" s="142"/>
      <c r="Z111" s="143"/>
      <c r="AA111" s="144"/>
      <c r="AB111" s="145"/>
      <c r="AC111" s="145"/>
      <c r="AD111" s="145"/>
      <c r="AE111" s="145"/>
      <c r="AF111" s="145"/>
      <c r="AG111" s="145"/>
      <c r="AH111" s="145"/>
    </row>
    <row r="112" spans="3:34" ht="15.75" customHeight="1">
      <c r="C112" s="135"/>
      <c r="E112" s="176"/>
      <c r="G112" s="90"/>
      <c r="H112" s="90"/>
      <c r="I112" s="82"/>
      <c r="J112" s="137"/>
      <c r="K112" s="82"/>
      <c r="L112" s="240"/>
      <c r="M112" s="80"/>
      <c r="N112" s="271"/>
      <c r="O112" s="139"/>
      <c r="Q112" s="142"/>
      <c r="R112" s="57"/>
      <c r="S112" s="80"/>
      <c r="U112" s="142"/>
      <c r="V112" s="142"/>
      <c r="Z112" s="143"/>
      <c r="AA112" s="144"/>
      <c r="AB112" s="145"/>
      <c r="AC112" s="145"/>
      <c r="AD112" s="145"/>
      <c r="AE112" s="145"/>
      <c r="AF112" s="145"/>
      <c r="AG112" s="145"/>
      <c r="AH112" s="145"/>
    </row>
    <row r="113" spans="3:34" ht="15.75" customHeight="1">
      <c r="C113" s="135"/>
      <c r="E113" s="176"/>
      <c r="G113" s="90"/>
      <c r="H113" s="90"/>
      <c r="I113" s="82"/>
      <c r="J113" s="137"/>
      <c r="K113" s="82"/>
      <c r="L113" s="240"/>
      <c r="M113" s="80"/>
      <c r="N113" s="271"/>
      <c r="O113" s="139"/>
      <c r="Q113" s="142"/>
      <c r="R113" s="57"/>
      <c r="S113" s="80"/>
      <c r="U113" s="142"/>
      <c r="V113" s="142"/>
      <c r="Z113" s="143"/>
      <c r="AA113" s="144"/>
      <c r="AB113" s="145"/>
      <c r="AC113" s="145"/>
      <c r="AD113" s="145"/>
      <c r="AE113" s="145"/>
      <c r="AF113" s="145"/>
      <c r="AG113" s="145"/>
      <c r="AH113" s="145"/>
    </row>
    <row r="114" spans="3:34" ht="15.75" customHeight="1">
      <c r="C114" s="135"/>
      <c r="E114" s="176"/>
      <c r="G114" s="90"/>
      <c r="H114" s="90"/>
      <c r="I114" s="82"/>
      <c r="J114" s="137"/>
      <c r="K114" s="82"/>
      <c r="L114" s="240"/>
      <c r="M114" s="80"/>
      <c r="N114" s="271"/>
      <c r="O114" s="139"/>
      <c r="Q114" s="142"/>
      <c r="R114" s="57"/>
      <c r="S114" s="80"/>
      <c r="U114" s="142"/>
      <c r="V114" s="142"/>
      <c r="Z114" s="143"/>
      <c r="AA114" s="144"/>
      <c r="AB114" s="145"/>
      <c r="AC114" s="145"/>
      <c r="AD114" s="145"/>
      <c r="AE114" s="145"/>
      <c r="AF114" s="145"/>
      <c r="AG114" s="145"/>
      <c r="AH114" s="145"/>
    </row>
    <row r="115" spans="3:34" ht="15.75" customHeight="1">
      <c r="C115" s="135"/>
      <c r="E115" s="176"/>
      <c r="G115" s="90"/>
      <c r="H115" s="90"/>
      <c r="I115" s="82"/>
      <c r="J115" s="137"/>
      <c r="K115" s="82"/>
      <c r="L115" s="240"/>
      <c r="M115" s="80"/>
      <c r="N115" s="271"/>
      <c r="O115" s="139"/>
      <c r="Q115" s="142"/>
      <c r="R115" s="57"/>
      <c r="S115" s="80"/>
      <c r="U115" s="142"/>
      <c r="V115" s="142"/>
      <c r="Z115" s="143"/>
      <c r="AA115" s="144"/>
      <c r="AB115" s="145"/>
      <c r="AC115" s="145"/>
      <c r="AD115" s="145"/>
      <c r="AE115" s="145"/>
      <c r="AF115" s="145"/>
      <c r="AG115" s="145"/>
      <c r="AH115" s="145"/>
    </row>
    <row r="116" spans="3:34" ht="15.75" customHeight="1">
      <c r="C116" s="135"/>
      <c r="E116" s="176"/>
      <c r="G116" s="90"/>
      <c r="H116" s="90"/>
      <c r="I116" s="82"/>
      <c r="J116" s="137"/>
      <c r="K116" s="82"/>
      <c r="L116" s="240"/>
      <c r="M116" s="80"/>
      <c r="N116" s="271"/>
      <c r="O116" s="139"/>
      <c r="Q116" s="142"/>
      <c r="R116" s="57"/>
      <c r="S116" s="80"/>
      <c r="U116" s="142"/>
      <c r="V116" s="142"/>
      <c r="Z116" s="143"/>
      <c r="AA116" s="144"/>
      <c r="AB116" s="145"/>
      <c r="AC116" s="145"/>
      <c r="AD116" s="145"/>
      <c r="AE116" s="145"/>
      <c r="AF116" s="145"/>
      <c r="AG116" s="145"/>
      <c r="AH116" s="145"/>
    </row>
    <row r="117" spans="3:34" ht="15.75" customHeight="1">
      <c r="C117" s="135"/>
      <c r="E117" s="176"/>
      <c r="G117" s="90"/>
      <c r="H117" s="90"/>
      <c r="I117" s="82"/>
      <c r="J117" s="137"/>
      <c r="K117" s="82"/>
      <c r="L117" s="240"/>
      <c r="M117" s="80"/>
      <c r="N117" s="271"/>
      <c r="O117" s="139"/>
      <c r="Q117" s="142"/>
      <c r="R117" s="57"/>
      <c r="S117" s="80"/>
      <c r="U117" s="142"/>
      <c r="V117" s="142"/>
      <c r="Z117" s="143"/>
      <c r="AA117" s="144"/>
      <c r="AB117" s="145"/>
      <c r="AC117" s="145"/>
      <c r="AD117" s="145"/>
      <c r="AE117" s="145"/>
      <c r="AF117" s="145"/>
      <c r="AG117" s="145"/>
      <c r="AH117" s="145"/>
    </row>
    <row r="118" spans="3:34" ht="15.75" customHeight="1">
      <c r="C118" s="135"/>
      <c r="E118" s="176"/>
      <c r="G118" s="90"/>
      <c r="H118" s="90"/>
      <c r="I118" s="82"/>
      <c r="J118" s="137"/>
      <c r="K118" s="82"/>
      <c r="L118" s="240"/>
      <c r="M118" s="80"/>
      <c r="N118" s="271"/>
      <c r="O118" s="139"/>
      <c r="Q118" s="142"/>
      <c r="R118" s="57"/>
      <c r="S118" s="80"/>
      <c r="U118" s="142"/>
      <c r="V118" s="142"/>
      <c r="Z118" s="143"/>
      <c r="AA118" s="144"/>
      <c r="AB118" s="145"/>
      <c r="AC118" s="145"/>
      <c r="AD118" s="145"/>
      <c r="AE118" s="145"/>
      <c r="AF118" s="145"/>
      <c r="AG118" s="145"/>
      <c r="AH118" s="145"/>
    </row>
    <row r="119" spans="3:34" ht="15.75" customHeight="1">
      <c r="C119" s="135"/>
      <c r="E119" s="176"/>
      <c r="G119" s="90"/>
      <c r="H119" s="90"/>
      <c r="I119" s="82"/>
      <c r="J119" s="137"/>
      <c r="K119" s="82"/>
      <c r="L119" s="240"/>
      <c r="M119" s="80"/>
      <c r="N119" s="271"/>
      <c r="O119" s="139"/>
      <c r="Q119" s="142"/>
      <c r="R119" s="57"/>
      <c r="S119" s="80"/>
      <c r="U119" s="142"/>
      <c r="V119" s="142"/>
      <c r="Z119" s="143"/>
      <c r="AA119" s="144"/>
      <c r="AB119" s="145"/>
      <c r="AC119" s="145"/>
      <c r="AD119" s="145"/>
      <c r="AE119" s="145"/>
      <c r="AF119" s="145"/>
      <c r="AG119" s="145"/>
      <c r="AH119" s="145"/>
    </row>
    <row r="120" spans="3:34" ht="15.75" customHeight="1">
      <c r="C120" s="135"/>
      <c r="E120" s="176"/>
      <c r="G120" s="90"/>
      <c r="H120" s="90"/>
      <c r="I120" s="82"/>
      <c r="J120" s="137"/>
      <c r="K120" s="82"/>
      <c r="L120" s="240"/>
      <c r="M120" s="80"/>
      <c r="N120" s="271"/>
      <c r="O120" s="139"/>
      <c r="Q120" s="142"/>
      <c r="R120" s="57"/>
      <c r="S120" s="80"/>
      <c r="U120" s="142"/>
      <c r="V120" s="142"/>
      <c r="Z120" s="143"/>
      <c r="AA120" s="144"/>
      <c r="AB120" s="145"/>
      <c r="AC120" s="145"/>
      <c r="AD120" s="145"/>
      <c r="AE120" s="145"/>
      <c r="AF120" s="145"/>
      <c r="AG120" s="145"/>
      <c r="AH120" s="145"/>
    </row>
    <row r="121" spans="3:34" ht="15.75" customHeight="1">
      <c r="C121" s="135"/>
      <c r="E121" s="176"/>
      <c r="G121" s="90"/>
      <c r="H121" s="90"/>
      <c r="I121" s="82"/>
      <c r="J121" s="137"/>
      <c r="K121" s="82"/>
      <c r="L121" s="240"/>
      <c r="M121" s="80"/>
      <c r="N121" s="271"/>
      <c r="O121" s="139"/>
      <c r="Q121" s="142"/>
      <c r="R121" s="57"/>
      <c r="S121" s="80"/>
      <c r="U121" s="142"/>
      <c r="V121" s="142"/>
      <c r="Z121" s="143"/>
      <c r="AA121" s="144"/>
      <c r="AB121" s="145"/>
      <c r="AC121" s="145"/>
      <c r="AD121" s="145"/>
      <c r="AE121" s="145"/>
      <c r="AF121" s="145"/>
      <c r="AG121" s="145"/>
      <c r="AH121" s="145"/>
    </row>
    <row r="122" spans="3:34" ht="15.75" customHeight="1">
      <c r="C122" s="135"/>
      <c r="E122" s="176"/>
      <c r="G122" s="90"/>
      <c r="H122" s="90"/>
      <c r="I122" s="82"/>
      <c r="J122" s="137"/>
      <c r="K122" s="82"/>
      <c r="L122" s="240"/>
      <c r="M122" s="80"/>
      <c r="N122" s="271"/>
      <c r="O122" s="139"/>
      <c r="Q122" s="142"/>
      <c r="R122" s="57"/>
      <c r="S122" s="80"/>
      <c r="U122" s="142"/>
      <c r="V122" s="142"/>
      <c r="Z122" s="143"/>
      <c r="AA122" s="144"/>
      <c r="AB122" s="145"/>
      <c r="AC122" s="145"/>
      <c r="AD122" s="145"/>
      <c r="AE122" s="145"/>
      <c r="AF122" s="145"/>
      <c r="AG122" s="145"/>
      <c r="AH122" s="145"/>
    </row>
    <row r="123" spans="3:34" ht="15.75" customHeight="1">
      <c r="C123" s="135"/>
      <c r="E123" s="176"/>
      <c r="G123" s="90"/>
      <c r="H123" s="90"/>
      <c r="I123" s="82"/>
      <c r="J123" s="137"/>
      <c r="K123" s="82"/>
      <c r="L123" s="240"/>
      <c r="M123" s="80"/>
      <c r="N123" s="271"/>
      <c r="O123" s="139"/>
      <c r="Q123" s="142"/>
      <c r="R123" s="57"/>
      <c r="S123" s="80"/>
      <c r="U123" s="142"/>
      <c r="V123" s="142"/>
      <c r="Z123" s="143"/>
      <c r="AA123" s="144"/>
      <c r="AB123" s="145"/>
      <c r="AC123" s="145"/>
      <c r="AD123" s="145"/>
      <c r="AE123" s="145"/>
      <c r="AF123" s="145"/>
      <c r="AG123" s="145"/>
      <c r="AH123" s="145"/>
    </row>
    <row r="124" spans="3:34" ht="15.75" customHeight="1">
      <c r="C124" s="135"/>
      <c r="E124" s="176"/>
      <c r="G124" s="90"/>
      <c r="H124" s="90"/>
      <c r="I124" s="82"/>
      <c r="J124" s="137"/>
      <c r="K124" s="82"/>
      <c r="L124" s="240"/>
      <c r="M124" s="80"/>
      <c r="N124" s="271"/>
      <c r="O124" s="139"/>
      <c r="Q124" s="142"/>
      <c r="R124" s="57"/>
      <c r="S124" s="80"/>
      <c r="U124" s="142"/>
      <c r="V124" s="142"/>
      <c r="Z124" s="143"/>
      <c r="AA124" s="144"/>
      <c r="AB124" s="145"/>
      <c r="AC124" s="145"/>
      <c r="AD124" s="145"/>
      <c r="AE124" s="145"/>
      <c r="AF124" s="145"/>
      <c r="AG124" s="145"/>
      <c r="AH124" s="145"/>
    </row>
    <row r="125" spans="3:34" ht="15.75" customHeight="1">
      <c r="C125" s="135"/>
      <c r="E125" s="176"/>
      <c r="G125" s="90"/>
      <c r="H125" s="90"/>
      <c r="I125" s="82"/>
      <c r="J125" s="137"/>
      <c r="K125" s="82"/>
      <c r="L125" s="240"/>
      <c r="M125" s="80"/>
      <c r="N125" s="271"/>
      <c r="O125" s="139"/>
      <c r="Q125" s="142"/>
      <c r="R125" s="57"/>
      <c r="S125" s="80"/>
      <c r="U125" s="142"/>
      <c r="V125" s="142"/>
      <c r="Z125" s="143"/>
      <c r="AA125" s="144"/>
      <c r="AB125" s="145"/>
      <c r="AC125" s="145"/>
      <c r="AD125" s="145"/>
      <c r="AE125" s="145"/>
      <c r="AF125" s="145"/>
      <c r="AG125" s="145"/>
      <c r="AH125" s="145"/>
    </row>
    <row r="126" spans="3:34" ht="15.75" customHeight="1">
      <c r="C126" s="135"/>
      <c r="E126" s="176"/>
      <c r="G126" s="90"/>
      <c r="H126" s="90"/>
      <c r="I126" s="82"/>
      <c r="J126" s="137"/>
      <c r="K126" s="82"/>
      <c r="L126" s="240"/>
      <c r="M126" s="80"/>
      <c r="N126" s="271"/>
      <c r="O126" s="139"/>
      <c r="Q126" s="142"/>
      <c r="R126" s="57"/>
      <c r="S126" s="80"/>
      <c r="U126" s="142"/>
      <c r="V126" s="142"/>
      <c r="Z126" s="143"/>
      <c r="AA126" s="144"/>
      <c r="AB126" s="145"/>
      <c r="AC126" s="145"/>
      <c r="AD126" s="145"/>
      <c r="AE126" s="145"/>
      <c r="AF126" s="145"/>
      <c r="AG126" s="145"/>
      <c r="AH126" s="145"/>
    </row>
    <row r="127" spans="3:34" ht="15.75" customHeight="1">
      <c r="C127" s="135"/>
      <c r="E127" s="176"/>
      <c r="G127" s="90"/>
      <c r="H127" s="90"/>
      <c r="I127" s="82"/>
      <c r="J127" s="137"/>
      <c r="K127" s="82"/>
      <c r="L127" s="240"/>
      <c r="M127" s="80"/>
      <c r="N127" s="271"/>
      <c r="O127" s="139"/>
      <c r="Q127" s="142"/>
      <c r="R127" s="57"/>
      <c r="S127" s="80"/>
      <c r="U127" s="142"/>
      <c r="V127" s="142"/>
      <c r="Z127" s="143"/>
      <c r="AA127" s="144"/>
      <c r="AB127" s="145"/>
      <c r="AC127" s="145"/>
      <c r="AD127" s="145"/>
      <c r="AE127" s="145"/>
      <c r="AF127" s="145"/>
      <c r="AG127" s="145"/>
      <c r="AH127" s="145"/>
    </row>
    <row r="128" spans="3:34" ht="15.75" customHeight="1">
      <c r="C128" s="135"/>
      <c r="E128" s="176"/>
      <c r="G128" s="90"/>
      <c r="H128" s="90"/>
      <c r="I128" s="82"/>
      <c r="J128" s="137"/>
      <c r="K128" s="82"/>
      <c r="L128" s="240"/>
      <c r="M128" s="80"/>
      <c r="N128" s="271"/>
      <c r="O128" s="139"/>
      <c r="Q128" s="142"/>
      <c r="R128" s="57"/>
      <c r="S128" s="80"/>
      <c r="U128" s="142"/>
      <c r="V128" s="142"/>
      <c r="Z128" s="143"/>
      <c r="AA128" s="144"/>
      <c r="AB128" s="145"/>
      <c r="AC128" s="145"/>
      <c r="AD128" s="145"/>
      <c r="AE128" s="145"/>
      <c r="AF128" s="145"/>
      <c r="AG128" s="145"/>
      <c r="AH128" s="145"/>
    </row>
    <row r="129" spans="3:34" ht="15.75" customHeight="1">
      <c r="C129" s="135"/>
      <c r="E129" s="176"/>
      <c r="G129" s="90"/>
      <c r="H129" s="90"/>
      <c r="I129" s="82"/>
      <c r="J129" s="137"/>
      <c r="K129" s="82"/>
      <c r="L129" s="240"/>
      <c r="M129" s="80"/>
      <c r="N129" s="271"/>
      <c r="O129" s="139"/>
      <c r="Q129" s="142"/>
      <c r="R129" s="57"/>
      <c r="S129" s="80"/>
      <c r="U129" s="142"/>
      <c r="V129" s="142"/>
      <c r="Z129" s="143"/>
      <c r="AA129" s="144"/>
      <c r="AB129" s="145"/>
      <c r="AC129" s="145"/>
      <c r="AD129" s="145"/>
      <c r="AE129" s="145"/>
      <c r="AF129" s="145"/>
      <c r="AG129" s="145"/>
      <c r="AH129" s="145"/>
    </row>
    <row r="130" spans="3:34" ht="15.75" customHeight="1">
      <c r="C130" s="135"/>
      <c r="E130" s="176"/>
      <c r="G130" s="90"/>
      <c r="H130" s="90"/>
      <c r="I130" s="82"/>
      <c r="J130" s="137"/>
      <c r="K130" s="82"/>
      <c r="L130" s="240"/>
      <c r="M130" s="80"/>
      <c r="N130" s="271"/>
      <c r="O130" s="139"/>
      <c r="Q130" s="142"/>
      <c r="R130" s="57"/>
      <c r="S130" s="80"/>
      <c r="U130" s="142"/>
      <c r="V130" s="142"/>
      <c r="Z130" s="143"/>
      <c r="AA130" s="144"/>
      <c r="AB130" s="145"/>
      <c r="AC130" s="145"/>
      <c r="AD130" s="145"/>
      <c r="AE130" s="145"/>
      <c r="AF130" s="145"/>
      <c r="AG130" s="145"/>
      <c r="AH130" s="145"/>
    </row>
    <row r="131" spans="3:34" ht="15.75" customHeight="1">
      <c r="C131" s="135"/>
      <c r="E131" s="176"/>
      <c r="G131" s="90"/>
      <c r="H131" s="90"/>
      <c r="I131" s="82"/>
      <c r="J131" s="137"/>
      <c r="K131" s="82"/>
      <c r="L131" s="240"/>
      <c r="M131" s="80"/>
      <c r="N131" s="271"/>
      <c r="O131" s="139"/>
      <c r="Q131" s="142"/>
      <c r="R131" s="57"/>
      <c r="S131" s="80"/>
      <c r="U131" s="142"/>
      <c r="V131" s="142"/>
      <c r="Z131" s="143"/>
      <c r="AA131" s="144"/>
      <c r="AB131" s="145"/>
      <c r="AC131" s="145"/>
      <c r="AD131" s="145"/>
      <c r="AE131" s="145"/>
      <c r="AF131" s="145"/>
      <c r="AG131" s="145"/>
      <c r="AH131" s="145"/>
    </row>
    <row r="132" spans="3:34" ht="15.75" customHeight="1">
      <c r="C132" s="135"/>
      <c r="E132" s="176"/>
      <c r="G132" s="90"/>
      <c r="H132" s="90"/>
      <c r="I132" s="82"/>
      <c r="J132" s="137"/>
      <c r="K132" s="82"/>
      <c r="L132" s="240"/>
      <c r="M132" s="80"/>
      <c r="N132" s="271"/>
      <c r="O132" s="139"/>
      <c r="Q132" s="142"/>
      <c r="R132" s="57"/>
      <c r="S132" s="80"/>
      <c r="U132" s="142"/>
      <c r="V132" s="142"/>
      <c r="Z132" s="143"/>
      <c r="AA132" s="144"/>
      <c r="AB132" s="145"/>
      <c r="AC132" s="145"/>
      <c r="AD132" s="145"/>
      <c r="AE132" s="145"/>
      <c r="AF132" s="145"/>
      <c r="AG132" s="145"/>
      <c r="AH132" s="145"/>
    </row>
    <row r="133" spans="3:34" ht="15.75" customHeight="1">
      <c r="C133" s="135"/>
      <c r="E133" s="176"/>
      <c r="G133" s="90"/>
      <c r="H133" s="90"/>
      <c r="I133" s="82"/>
      <c r="J133" s="137"/>
      <c r="K133" s="82"/>
      <c r="L133" s="240"/>
      <c r="M133" s="80"/>
      <c r="N133" s="271"/>
      <c r="O133" s="139"/>
      <c r="Q133" s="142"/>
      <c r="R133" s="57"/>
      <c r="S133" s="80"/>
      <c r="U133" s="142"/>
      <c r="V133" s="142"/>
      <c r="Z133" s="143"/>
      <c r="AA133" s="144"/>
      <c r="AB133" s="145"/>
      <c r="AC133" s="145"/>
      <c r="AD133" s="145"/>
      <c r="AE133" s="145"/>
      <c r="AF133" s="145"/>
      <c r="AG133" s="145"/>
      <c r="AH133" s="145"/>
    </row>
    <row r="134" spans="3:34" ht="15.75" customHeight="1">
      <c r="C134" s="135"/>
      <c r="E134" s="176"/>
      <c r="G134" s="90"/>
      <c r="H134" s="90"/>
      <c r="I134" s="82"/>
      <c r="J134" s="137"/>
      <c r="K134" s="82"/>
      <c r="L134" s="240"/>
      <c r="M134" s="80"/>
      <c r="N134" s="271"/>
      <c r="O134" s="139"/>
      <c r="Q134" s="142"/>
      <c r="R134" s="57"/>
      <c r="S134" s="80"/>
      <c r="U134" s="142"/>
      <c r="V134" s="142"/>
      <c r="Z134" s="143"/>
      <c r="AA134" s="144"/>
      <c r="AB134" s="145"/>
      <c r="AC134" s="145"/>
      <c r="AD134" s="145"/>
      <c r="AE134" s="145"/>
      <c r="AF134" s="145"/>
      <c r="AG134" s="145"/>
      <c r="AH134" s="145"/>
    </row>
    <row r="135" spans="3:34" ht="15.75" customHeight="1">
      <c r="C135" s="135"/>
      <c r="E135" s="176"/>
      <c r="G135" s="90"/>
      <c r="H135" s="90"/>
      <c r="I135" s="82"/>
      <c r="J135" s="137"/>
      <c r="K135" s="82"/>
      <c r="L135" s="240"/>
      <c r="M135" s="80"/>
      <c r="N135" s="271"/>
      <c r="O135" s="139"/>
      <c r="Q135" s="142"/>
      <c r="R135" s="57"/>
      <c r="S135" s="80"/>
      <c r="U135" s="142"/>
      <c r="V135" s="142"/>
      <c r="Z135" s="143"/>
      <c r="AA135" s="144"/>
      <c r="AB135" s="145"/>
      <c r="AC135" s="145"/>
      <c r="AD135" s="145"/>
      <c r="AE135" s="145"/>
      <c r="AF135" s="145"/>
      <c r="AG135" s="145"/>
      <c r="AH135" s="145"/>
    </row>
    <row r="136" spans="3:34" ht="15.75" customHeight="1">
      <c r="C136" s="135"/>
      <c r="E136" s="176"/>
      <c r="G136" s="90"/>
      <c r="H136" s="90"/>
      <c r="I136" s="82"/>
      <c r="J136" s="137"/>
      <c r="K136" s="82"/>
      <c r="L136" s="240"/>
      <c r="M136" s="80"/>
      <c r="N136" s="271"/>
      <c r="O136" s="139"/>
      <c r="Q136" s="142"/>
      <c r="R136" s="57"/>
      <c r="S136" s="80"/>
      <c r="U136" s="142"/>
      <c r="V136" s="142"/>
      <c r="Z136" s="143"/>
      <c r="AA136" s="144"/>
      <c r="AB136" s="145"/>
      <c r="AC136" s="145"/>
      <c r="AD136" s="145"/>
      <c r="AE136" s="145"/>
      <c r="AF136" s="145"/>
      <c r="AG136" s="145"/>
      <c r="AH136" s="145"/>
    </row>
    <row r="137" spans="3:34" ht="15.75" customHeight="1">
      <c r="C137" s="135"/>
      <c r="E137" s="176"/>
      <c r="G137" s="90"/>
      <c r="H137" s="90"/>
      <c r="I137" s="82"/>
      <c r="J137" s="137"/>
      <c r="K137" s="82"/>
      <c r="L137" s="240"/>
      <c r="M137" s="80"/>
      <c r="N137" s="271"/>
      <c r="O137" s="139"/>
      <c r="Q137" s="142"/>
      <c r="R137" s="57"/>
      <c r="S137" s="80"/>
      <c r="U137" s="142"/>
      <c r="V137" s="142"/>
      <c r="Z137" s="143"/>
      <c r="AA137" s="144"/>
      <c r="AB137" s="145"/>
      <c r="AC137" s="145"/>
      <c r="AD137" s="145"/>
      <c r="AE137" s="145"/>
      <c r="AF137" s="145"/>
      <c r="AG137" s="145"/>
      <c r="AH137" s="145"/>
    </row>
    <row r="138" spans="3:34" ht="15.75" customHeight="1">
      <c r="C138" s="135"/>
      <c r="E138" s="176"/>
      <c r="G138" s="90"/>
      <c r="H138" s="90"/>
      <c r="I138" s="82"/>
      <c r="J138" s="137"/>
      <c r="K138" s="82"/>
      <c r="L138" s="240"/>
      <c r="M138" s="80"/>
      <c r="N138" s="271"/>
      <c r="O138" s="139"/>
      <c r="Q138" s="142"/>
      <c r="R138" s="57"/>
      <c r="S138" s="80"/>
      <c r="U138" s="142"/>
      <c r="V138" s="142"/>
      <c r="Z138" s="143"/>
      <c r="AA138" s="144"/>
      <c r="AB138" s="145"/>
      <c r="AC138" s="145"/>
      <c r="AD138" s="145"/>
      <c r="AE138" s="145"/>
      <c r="AF138" s="145"/>
      <c r="AG138" s="145"/>
      <c r="AH138" s="145"/>
    </row>
    <row r="139" spans="3:34" ht="15.75" customHeight="1">
      <c r="C139" s="135"/>
      <c r="E139" s="176"/>
      <c r="G139" s="90"/>
      <c r="H139" s="90"/>
      <c r="I139" s="82"/>
      <c r="J139" s="137"/>
      <c r="K139" s="82"/>
      <c r="L139" s="240"/>
      <c r="M139" s="80"/>
      <c r="N139" s="271"/>
      <c r="O139" s="139"/>
      <c r="Q139" s="142"/>
      <c r="R139" s="57"/>
      <c r="S139" s="80"/>
      <c r="U139" s="142"/>
      <c r="V139" s="142"/>
      <c r="Z139" s="143"/>
      <c r="AA139" s="144"/>
      <c r="AB139" s="145"/>
      <c r="AC139" s="145"/>
      <c r="AD139" s="145"/>
      <c r="AE139" s="145"/>
      <c r="AF139" s="145"/>
      <c r="AG139" s="145"/>
      <c r="AH139" s="145"/>
    </row>
    <row r="140" spans="3:34" ht="15.75" customHeight="1">
      <c r="C140" s="135"/>
      <c r="E140" s="176"/>
      <c r="G140" s="90"/>
      <c r="H140" s="90"/>
      <c r="I140" s="82"/>
      <c r="J140" s="137"/>
      <c r="K140" s="82"/>
      <c r="L140" s="240"/>
      <c r="M140" s="80"/>
      <c r="N140" s="271"/>
      <c r="O140" s="139"/>
      <c r="Q140" s="142"/>
      <c r="R140" s="57"/>
      <c r="S140" s="80"/>
      <c r="U140" s="142"/>
      <c r="V140" s="142"/>
      <c r="Z140" s="143"/>
      <c r="AA140" s="144"/>
      <c r="AB140" s="145"/>
      <c r="AC140" s="145"/>
      <c r="AD140" s="145"/>
      <c r="AE140" s="145"/>
      <c r="AF140" s="145"/>
      <c r="AG140" s="145"/>
      <c r="AH140" s="145"/>
    </row>
    <row r="141" spans="3:34" ht="15.75" customHeight="1">
      <c r="C141" s="135"/>
      <c r="E141" s="176"/>
      <c r="G141" s="90"/>
      <c r="H141" s="90"/>
      <c r="I141" s="82"/>
      <c r="J141" s="137"/>
      <c r="K141" s="82"/>
      <c r="L141" s="240"/>
      <c r="M141" s="80"/>
      <c r="N141" s="271"/>
      <c r="O141" s="139"/>
      <c r="Q141" s="142"/>
      <c r="R141" s="57"/>
      <c r="S141" s="80"/>
      <c r="U141" s="142"/>
      <c r="V141" s="142"/>
      <c r="Z141" s="143"/>
      <c r="AA141" s="144"/>
      <c r="AB141" s="145"/>
      <c r="AC141" s="145"/>
      <c r="AD141" s="145"/>
      <c r="AE141" s="145"/>
      <c r="AF141" s="145"/>
      <c r="AG141" s="145"/>
      <c r="AH141" s="145"/>
    </row>
    <row r="142" spans="3:34" ht="15.75" customHeight="1">
      <c r="C142" s="135"/>
      <c r="E142" s="176"/>
      <c r="G142" s="90"/>
      <c r="H142" s="90"/>
      <c r="I142" s="82"/>
      <c r="J142" s="137"/>
      <c r="K142" s="82"/>
      <c r="L142" s="240"/>
      <c r="M142" s="80"/>
      <c r="N142" s="271"/>
      <c r="O142" s="139"/>
      <c r="Q142" s="142"/>
      <c r="R142" s="57"/>
      <c r="S142" s="80"/>
      <c r="U142" s="142"/>
      <c r="V142" s="142"/>
      <c r="Z142" s="143"/>
      <c r="AA142" s="144"/>
      <c r="AB142" s="145"/>
      <c r="AC142" s="145"/>
      <c r="AD142" s="145"/>
      <c r="AE142" s="145"/>
      <c r="AF142" s="145"/>
      <c r="AG142" s="145"/>
      <c r="AH142" s="145"/>
    </row>
    <row r="143" spans="3:34" ht="15.75" customHeight="1">
      <c r="C143" s="135"/>
      <c r="E143" s="176"/>
      <c r="G143" s="90"/>
      <c r="H143" s="90"/>
      <c r="I143" s="82"/>
      <c r="J143" s="137"/>
      <c r="K143" s="82"/>
      <c r="L143" s="240"/>
      <c r="M143" s="80"/>
      <c r="N143" s="271"/>
      <c r="O143" s="139"/>
      <c r="Q143" s="142"/>
      <c r="R143" s="57"/>
      <c r="S143" s="80"/>
      <c r="U143" s="142"/>
      <c r="V143" s="142"/>
      <c r="Z143" s="143"/>
      <c r="AA143" s="144"/>
      <c r="AB143" s="145"/>
      <c r="AC143" s="145"/>
      <c r="AD143" s="145"/>
      <c r="AE143" s="145"/>
      <c r="AF143" s="145"/>
      <c r="AG143" s="145"/>
      <c r="AH143" s="145"/>
    </row>
    <row r="144" spans="3:34" ht="15.75" customHeight="1">
      <c r="C144" s="135"/>
      <c r="E144" s="176"/>
      <c r="G144" s="90"/>
      <c r="H144" s="90"/>
      <c r="I144" s="82"/>
      <c r="J144" s="137"/>
      <c r="K144" s="82"/>
      <c r="L144" s="240"/>
      <c r="M144" s="80"/>
      <c r="N144" s="271"/>
      <c r="O144" s="139"/>
      <c r="Q144" s="142"/>
      <c r="R144" s="57"/>
      <c r="S144" s="80"/>
      <c r="U144" s="142"/>
      <c r="V144" s="142"/>
      <c r="Z144" s="143"/>
      <c r="AA144" s="144"/>
      <c r="AB144" s="145"/>
      <c r="AC144" s="145"/>
      <c r="AD144" s="145"/>
      <c r="AE144" s="145"/>
      <c r="AF144" s="145"/>
      <c r="AG144" s="145"/>
      <c r="AH144" s="145"/>
    </row>
    <row r="145" spans="3:34" ht="15.75" customHeight="1">
      <c r="C145" s="135"/>
      <c r="E145" s="176"/>
      <c r="G145" s="90"/>
      <c r="H145" s="90"/>
      <c r="I145" s="82"/>
      <c r="J145" s="137"/>
      <c r="K145" s="82"/>
      <c r="L145" s="240"/>
      <c r="M145" s="80"/>
      <c r="N145" s="271"/>
      <c r="O145" s="139"/>
      <c r="Q145" s="142"/>
      <c r="R145" s="57"/>
      <c r="S145" s="80"/>
      <c r="U145" s="142"/>
      <c r="V145" s="142"/>
      <c r="Z145" s="143"/>
      <c r="AA145" s="144"/>
      <c r="AB145" s="145"/>
      <c r="AC145" s="145"/>
      <c r="AD145" s="145"/>
      <c r="AE145" s="145"/>
      <c r="AF145" s="145"/>
      <c r="AG145" s="145"/>
      <c r="AH145" s="145"/>
    </row>
    <row r="146" spans="3:34" ht="15.75" customHeight="1">
      <c r="C146" s="135"/>
      <c r="E146" s="176"/>
      <c r="G146" s="90"/>
      <c r="H146" s="90"/>
      <c r="I146" s="82"/>
      <c r="J146" s="137"/>
      <c r="K146" s="82"/>
      <c r="L146" s="240"/>
      <c r="M146" s="80"/>
      <c r="N146" s="271"/>
      <c r="O146" s="139"/>
      <c r="Q146" s="142"/>
      <c r="R146" s="57"/>
      <c r="S146" s="80"/>
      <c r="U146" s="142"/>
      <c r="V146" s="142"/>
      <c r="Z146" s="143"/>
      <c r="AA146" s="144"/>
      <c r="AB146" s="145"/>
      <c r="AC146" s="145"/>
      <c r="AD146" s="145"/>
      <c r="AE146" s="145"/>
      <c r="AF146" s="145"/>
      <c r="AG146" s="145"/>
      <c r="AH146" s="145"/>
    </row>
    <row r="147" spans="3:34" ht="15.75" customHeight="1">
      <c r="C147" s="135"/>
      <c r="E147" s="176"/>
      <c r="G147" s="90"/>
      <c r="H147" s="90"/>
      <c r="I147" s="82"/>
      <c r="J147" s="137"/>
      <c r="K147" s="82"/>
      <c r="L147" s="240"/>
      <c r="M147" s="80"/>
      <c r="N147" s="271"/>
      <c r="O147" s="139"/>
      <c r="Q147" s="142"/>
      <c r="R147" s="57"/>
      <c r="S147" s="80"/>
      <c r="U147" s="142"/>
      <c r="V147" s="142"/>
      <c r="Z147" s="143"/>
      <c r="AA147" s="144"/>
      <c r="AB147" s="145"/>
      <c r="AC147" s="145"/>
      <c r="AD147" s="145"/>
      <c r="AE147" s="145"/>
      <c r="AF147" s="145"/>
      <c r="AG147" s="145"/>
      <c r="AH147" s="145"/>
    </row>
    <row r="148" spans="3:34" ht="15.75" customHeight="1">
      <c r="C148" s="135"/>
      <c r="E148" s="176"/>
      <c r="G148" s="90"/>
      <c r="H148" s="90"/>
      <c r="I148" s="82"/>
      <c r="J148" s="137"/>
      <c r="K148" s="82"/>
      <c r="L148" s="240"/>
      <c r="M148" s="80"/>
      <c r="N148" s="271"/>
      <c r="O148" s="139"/>
      <c r="Q148" s="142"/>
      <c r="R148" s="57"/>
      <c r="S148" s="80"/>
      <c r="U148" s="142"/>
      <c r="V148" s="142"/>
      <c r="Z148" s="143"/>
      <c r="AA148" s="144"/>
      <c r="AB148" s="145"/>
      <c r="AC148" s="145"/>
      <c r="AD148" s="145"/>
      <c r="AE148" s="145"/>
      <c r="AF148" s="145"/>
      <c r="AG148" s="145"/>
      <c r="AH148" s="145"/>
    </row>
    <row r="149" spans="3:34" ht="15.75" customHeight="1">
      <c r="C149" s="135"/>
      <c r="E149" s="176"/>
      <c r="G149" s="90"/>
      <c r="H149" s="90"/>
      <c r="I149" s="82"/>
      <c r="J149" s="137"/>
      <c r="K149" s="82"/>
      <c r="L149" s="240"/>
      <c r="M149" s="80"/>
      <c r="N149" s="271"/>
      <c r="O149" s="139"/>
      <c r="Q149" s="142"/>
      <c r="R149" s="57"/>
      <c r="S149" s="80"/>
      <c r="U149" s="142"/>
      <c r="V149" s="142"/>
      <c r="Z149" s="143"/>
      <c r="AA149" s="144"/>
      <c r="AB149" s="145"/>
      <c r="AC149" s="145"/>
      <c r="AD149" s="145"/>
      <c r="AE149" s="145"/>
      <c r="AF149" s="145"/>
      <c r="AG149" s="145"/>
      <c r="AH149" s="145"/>
    </row>
    <row r="150" spans="3:34" ht="15.75" customHeight="1">
      <c r="C150" s="135"/>
      <c r="E150" s="176"/>
      <c r="G150" s="90"/>
      <c r="H150" s="90"/>
      <c r="I150" s="82"/>
      <c r="J150" s="137"/>
      <c r="K150" s="82"/>
      <c r="L150" s="240"/>
      <c r="M150" s="80"/>
      <c r="N150" s="271"/>
      <c r="O150" s="139"/>
      <c r="Q150" s="142"/>
      <c r="R150" s="57"/>
      <c r="S150" s="80"/>
      <c r="U150" s="142"/>
      <c r="V150" s="142"/>
      <c r="Z150" s="143"/>
      <c r="AA150" s="144"/>
      <c r="AB150" s="145"/>
      <c r="AC150" s="145"/>
      <c r="AD150" s="145"/>
      <c r="AE150" s="145"/>
      <c r="AF150" s="145"/>
      <c r="AG150" s="145"/>
      <c r="AH150" s="145"/>
    </row>
    <row r="151" spans="3:34" ht="15.75" customHeight="1">
      <c r="C151" s="135"/>
      <c r="E151" s="176"/>
      <c r="G151" s="90"/>
      <c r="H151" s="90"/>
      <c r="I151" s="82"/>
      <c r="J151" s="137"/>
      <c r="K151" s="82"/>
      <c r="L151" s="240"/>
      <c r="M151" s="80"/>
      <c r="N151" s="271"/>
      <c r="O151" s="139"/>
      <c r="Q151" s="142"/>
      <c r="R151" s="57"/>
      <c r="S151" s="80"/>
      <c r="U151" s="142"/>
      <c r="V151" s="142"/>
      <c r="Z151" s="143"/>
      <c r="AA151" s="144"/>
      <c r="AB151" s="145"/>
      <c r="AC151" s="145"/>
      <c r="AD151" s="145"/>
      <c r="AE151" s="145"/>
      <c r="AF151" s="145"/>
      <c r="AG151" s="145"/>
      <c r="AH151" s="145"/>
    </row>
    <row r="152" spans="3:34" ht="15.75" customHeight="1">
      <c r="C152" s="135"/>
      <c r="E152" s="176"/>
      <c r="G152" s="90"/>
      <c r="H152" s="90"/>
      <c r="I152" s="82"/>
      <c r="J152" s="137"/>
      <c r="K152" s="82"/>
      <c r="L152" s="240"/>
      <c r="M152" s="80"/>
      <c r="N152" s="271"/>
      <c r="O152" s="139"/>
      <c r="Q152" s="142"/>
      <c r="R152" s="57"/>
      <c r="S152" s="80"/>
      <c r="U152" s="142"/>
      <c r="V152" s="142"/>
      <c r="Z152" s="143"/>
      <c r="AA152" s="144"/>
      <c r="AB152" s="145"/>
      <c r="AC152" s="145"/>
      <c r="AD152" s="145"/>
      <c r="AE152" s="145"/>
      <c r="AF152" s="145"/>
      <c r="AG152" s="145"/>
      <c r="AH152" s="145"/>
    </row>
    <row r="153" spans="3:34" ht="15.75" customHeight="1">
      <c r="C153" s="135"/>
      <c r="E153" s="176"/>
      <c r="G153" s="90"/>
      <c r="H153" s="90"/>
      <c r="I153" s="82"/>
      <c r="J153" s="137"/>
      <c r="K153" s="82"/>
      <c r="L153" s="240"/>
      <c r="M153" s="80"/>
      <c r="N153" s="271"/>
      <c r="O153" s="139"/>
      <c r="Q153" s="142"/>
      <c r="R153" s="57"/>
      <c r="S153" s="80"/>
      <c r="U153" s="142"/>
      <c r="V153" s="142"/>
      <c r="Z153" s="143"/>
      <c r="AA153" s="144"/>
      <c r="AB153" s="145"/>
      <c r="AC153" s="145"/>
      <c r="AD153" s="145"/>
      <c r="AE153" s="145"/>
      <c r="AF153" s="145"/>
      <c r="AG153" s="145"/>
      <c r="AH153" s="145"/>
    </row>
    <row r="154" spans="3:34" ht="15.75" customHeight="1">
      <c r="C154" s="135"/>
      <c r="E154" s="176"/>
      <c r="G154" s="90"/>
      <c r="H154" s="90"/>
      <c r="I154" s="82"/>
      <c r="J154" s="137"/>
      <c r="K154" s="82"/>
      <c r="L154" s="240"/>
      <c r="M154" s="80"/>
      <c r="N154" s="271"/>
      <c r="O154" s="139"/>
      <c r="Q154" s="142"/>
      <c r="R154" s="57"/>
      <c r="S154" s="80"/>
      <c r="U154" s="142"/>
      <c r="V154" s="142"/>
      <c r="Z154" s="143"/>
      <c r="AA154" s="144"/>
      <c r="AB154" s="145"/>
      <c r="AC154" s="145"/>
      <c r="AD154" s="145"/>
      <c r="AE154" s="145"/>
      <c r="AF154" s="145"/>
      <c r="AG154" s="145"/>
      <c r="AH154" s="145"/>
    </row>
    <row r="155" spans="3:34" ht="15.75" customHeight="1">
      <c r="C155" s="135"/>
      <c r="E155" s="176"/>
      <c r="G155" s="90"/>
      <c r="H155" s="90"/>
      <c r="I155" s="82"/>
      <c r="J155" s="137"/>
      <c r="K155" s="82"/>
      <c r="L155" s="240"/>
      <c r="M155" s="80"/>
      <c r="N155" s="271"/>
      <c r="O155" s="139"/>
      <c r="Q155" s="142"/>
      <c r="R155" s="57"/>
      <c r="S155" s="80"/>
      <c r="U155" s="142"/>
      <c r="V155" s="142"/>
      <c r="Z155" s="143"/>
      <c r="AA155" s="144"/>
      <c r="AB155" s="145"/>
      <c r="AC155" s="145"/>
      <c r="AD155" s="145"/>
      <c r="AE155" s="145"/>
      <c r="AF155" s="145"/>
      <c r="AG155" s="145"/>
      <c r="AH155" s="145"/>
    </row>
    <row r="156" spans="3:34" ht="15.75" customHeight="1">
      <c r="C156" s="135"/>
      <c r="E156" s="176"/>
      <c r="G156" s="90"/>
      <c r="H156" s="90"/>
      <c r="I156" s="82"/>
      <c r="J156" s="137"/>
      <c r="K156" s="82"/>
      <c r="L156" s="240"/>
      <c r="M156" s="80"/>
      <c r="N156" s="271"/>
      <c r="O156" s="139"/>
      <c r="Q156" s="142"/>
      <c r="R156" s="57"/>
      <c r="S156" s="80"/>
      <c r="U156" s="142"/>
      <c r="V156" s="142"/>
      <c r="Z156" s="143"/>
      <c r="AA156" s="144"/>
      <c r="AB156" s="145"/>
      <c r="AC156" s="145"/>
      <c r="AD156" s="145"/>
      <c r="AE156" s="145"/>
      <c r="AF156" s="145"/>
      <c r="AG156" s="145"/>
      <c r="AH156" s="145"/>
    </row>
    <row r="157" spans="3:34" ht="15.75" customHeight="1">
      <c r="C157" s="135"/>
      <c r="E157" s="176"/>
      <c r="G157" s="90"/>
      <c r="H157" s="90"/>
      <c r="I157" s="82"/>
      <c r="J157" s="137"/>
      <c r="K157" s="82"/>
      <c r="L157" s="240"/>
      <c r="M157" s="80"/>
      <c r="N157" s="271"/>
      <c r="O157" s="139"/>
      <c r="Q157" s="142"/>
      <c r="R157" s="57"/>
      <c r="S157" s="80"/>
      <c r="U157" s="142"/>
      <c r="V157" s="142"/>
      <c r="Z157" s="143"/>
      <c r="AA157" s="144"/>
      <c r="AB157" s="145"/>
      <c r="AC157" s="145"/>
      <c r="AD157" s="145"/>
      <c r="AE157" s="145"/>
      <c r="AF157" s="145"/>
      <c r="AG157" s="145"/>
      <c r="AH157" s="145"/>
    </row>
    <row r="158" spans="3:34" ht="15.75" customHeight="1">
      <c r="C158" s="135"/>
      <c r="E158" s="176"/>
      <c r="G158" s="90"/>
      <c r="H158" s="90"/>
      <c r="I158" s="82"/>
      <c r="J158" s="137"/>
      <c r="K158" s="82"/>
      <c r="L158" s="240"/>
      <c r="M158" s="80"/>
      <c r="N158" s="271"/>
      <c r="O158" s="139"/>
      <c r="Q158" s="142"/>
      <c r="R158" s="57"/>
      <c r="S158" s="80"/>
      <c r="U158" s="142"/>
      <c r="V158" s="142"/>
      <c r="Z158" s="143"/>
      <c r="AA158" s="144"/>
      <c r="AB158" s="145"/>
      <c r="AC158" s="145"/>
      <c r="AD158" s="145"/>
      <c r="AE158" s="145"/>
      <c r="AF158" s="145"/>
      <c r="AG158" s="145"/>
      <c r="AH158" s="145"/>
    </row>
    <row r="159" spans="3:34" ht="15.75" customHeight="1">
      <c r="C159" s="135"/>
      <c r="E159" s="176"/>
      <c r="G159" s="90"/>
      <c r="H159" s="90"/>
      <c r="I159" s="82"/>
      <c r="J159" s="137"/>
      <c r="K159" s="82"/>
      <c r="L159" s="240"/>
      <c r="M159" s="80"/>
      <c r="N159" s="271"/>
      <c r="O159" s="139"/>
      <c r="Q159" s="142"/>
      <c r="R159" s="57"/>
      <c r="S159" s="80"/>
      <c r="U159" s="142"/>
      <c r="V159" s="142"/>
      <c r="Z159" s="143"/>
      <c r="AA159" s="144"/>
      <c r="AB159" s="145"/>
      <c r="AC159" s="145"/>
      <c r="AD159" s="145"/>
      <c r="AE159" s="145"/>
      <c r="AF159" s="145"/>
      <c r="AG159" s="145"/>
      <c r="AH159" s="145"/>
    </row>
    <row r="160" spans="3:34" ht="15.75" customHeight="1">
      <c r="C160" s="135"/>
      <c r="E160" s="176"/>
      <c r="G160" s="90"/>
      <c r="H160" s="90"/>
      <c r="I160" s="82"/>
      <c r="J160" s="137"/>
      <c r="K160" s="82"/>
      <c r="L160" s="240"/>
      <c r="M160" s="80"/>
      <c r="N160" s="271"/>
      <c r="O160" s="139"/>
      <c r="Q160" s="142"/>
      <c r="R160" s="57"/>
      <c r="S160" s="80"/>
      <c r="U160" s="142"/>
      <c r="V160" s="142"/>
      <c r="Z160" s="143"/>
      <c r="AA160" s="144"/>
      <c r="AB160" s="145"/>
      <c r="AC160" s="145"/>
      <c r="AD160" s="145"/>
      <c r="AE160" s="145"/>
      <c r="AF160" s="145"/>
      <c r="AG160" s="145"/>
      <c r="AH160" s="145"/>
    </row>
    <row r="161" spans="3:34" ht="15.75" customHeight="1">
      <c r="C161" s="135"/>
      <c r="E161" s="176"/>
      <c r="G161" s="90"/>
      <c r="H161" s="90"/>
      <c r="I161" s="82"/>
      <c r="J161" s="137"/>
      <c r="K161" s="82"/>
      <c r="L161" s="240"/>
      <c r="M161" s="80"/>
      <c r="N161" s="271"/>
      <c r="O161" s="139"/>
      <c r="Q161" s="142"/>
      <c r="R161" s="57"/>
      <c r="S161" s="80"/>
      <c r="U161" s="142"/>
      <c r="V161" s="142"/>
      <c r="Z161" s="143"/>
      <c r="AA161" s="144"/>
      <c r="AB161" s="145"/>
      <c r="AC161" s="145"/>
      <c r="AD161" s="145"/>
      <c r="AE161" s="145"/>
      <c r="AF161" s="145"/>
      <c r="AG161" s="145"/>
      <c r="AH161" s="145"/>
    </row>
    <row r="162" spans="3:34" ht="15.75" customHeight="1">
      <c r="C162" s="135"/>
      <c r="E162" s="176"/>
      <c r="G162" s="90"/>
      <c r="H162" s="90"/>
      <c r="I162" s="82"/>
      <c r="J162" s="137"/>
      <c r="K162" s="82"/>
      <c r="L162" s="240"/>
      <c r="M162" s="80"/>
      <c r="N162" s="271"/>
      <c r="O162" s="139"/>
      <c r="Q162" s="142"/>
      <c r="R162" s="57"/>
      <c r="S162" s="80"/>
      <c r="U162" s="142"/>
      <c r="V162" s="142"/>
      <c r="Z162" s="143"/>
      <c r="AA162" s="144"/>
      <c r="AB162" s="145"/>
      <c r="AC162" s="145"/>
      <c r="AD162" s="145"/>
      <c r="AE162" s="145"/>
      <c r="AF162" s="145"/>
      <c r="AG162" s="145"/>
      <c r="AH162" s="145"/>
    </row>
    <row r="163" spans="3:34" ht="15.75" customHeight="1">
      <c r="C163" s="135"/>
      <c r="E163" s="176"/>
      <c r="G163" s="90"/>
      <c r="H163" s="90"/>
      <c r="I163" s="82"/>
      <c r="J163" s="137"/>
      <c r="K163" s="82"/>
      <c r="L163" s="240"/>
      <c r="M163" s="80"/>
      <c r="N163" s="271"/>
      <c r="O163" s="139"/>
      <c r="Q163" s="142"/>
      <c r="R163" s="57"/>
      <c r="S163" s="80"/>
      <c r="U163" s="142"/>
      <c r="V163" s="142"/>
      <c r="Z163" s="143"/>
      <c r="AA163" s="144"/>
      <c r="AB163" s="145"/>
      <c r="AC163" s="145"/>
      <c r="AD163" s="145"/>
      <c r="AE163" s="145"/>
      <c r="AF163" s="145"/>
      <c r="AG163" s="145"/>
      <c r="AH163" s="145"/>
    </row>
    <row r="164" spans="3:34" ht="15.75" customHeight="1">
      <c r="C164" s="135"/>
      <c r="E164" s="176"/>
      <c r="G164" s="90"/>
      <c r="H164" s="90"/>
      <c r="I164" s="82"/>
      <c r="J164" s="137"/>
      <c r="K164" s="82"/>
      <c r="L164" s="240"/>
      <c r="M164" s="80"/>
      <c r="N164" s="271"/>
      <c r="O164" s="139"/>
      <c r="Q164" s="142"/>
      <c r="R164" s="57"/>
      <c r="S164" s="80"/>
      <c r="U164" s="142"/>
      <c r="V164" s="142"/>
      <c r="Z164" s="143"/>
      <c r="AA164" s="144"/>
      <c r="AB164" s="145"/>
      <c r="AC164" s="145"/>
      <c r="AD164" s="145"/>
      <c r="AE164" s="145"/>
      <c r="AF164" s="145"/>
      <c r="AG164" s="145"/>
      <c r="AH164" s="145"/>
    </row>
    <row r="165" spans="3:34" ht="15.75" customHeight="1">
      <c r="C165" s="135"/>
      <c r="E165" s="176"/>
      <c r="G165" s="90"/>
      <c r="H165" s="90"/>
      <c r="I165" s="82"/>
      <c r="J165" s="137"/>
      <c r="K165" s="82"/>
      <c r="L165" s="240"/>
      <c r="M165" s="80"/>
      <c r="N165" s="271"/>
      <c r="O165" s="139"/>
      <c r="Q165" s="142"/>
      <c r="R165" s="57"/>
      <c r="S165" s="80"/>
      <c r="U165" s="142"/>
      <c r="V165" s="142"/>
      <c r="Z165" s="143"/>
      <c r="AA165" s="144"/>
      <c r="AB165" s="145"/>
      <c r="AC165" s="145"/>
      <c r="AD165" s="145"/>
      <c r="AE165" s="145"/>
      <c r="AF165" s="145"/>
      <c r="AG165" s="145"/>
      <c r="AH165" s="145"/>
    </row>
    <row r="166" spans="3:34" ht="15.75" customHeight="1">
      <c r="C166" s="135"/>
      <c r="E166" s="176"/>
      <c r="G166" s="90"/>
      <c r="H166" s="90"/>
      <c r="I166" s="82"/>
      <c r="J166" s="137"/>
      <c r="K166" s="82"/>
      <c r="L166" s="240"/>
      <c r="M166" s="80"/>
      <c r="N166" s="271"/>
      <c r="O166" s="139"/>
      <c r="Q166" s="142"/>
      <c r="R166" s="57"/>
      <c r="S166" s="80"/>
      <c r="U166" s="142"/>
      <c r="V166" s="142"/>
      <c r="Z166" s="143"/>
      <c r="AA166" s="144"/>
      <c r="AB166" s="145"/>
      <c r="AC166" s="145"/>
      <c r="AD166" s="145"/>
      <c r="AE166" s="145"/>
      <c r="AF166" s="145"/>
      <c r="AG166" s="145"/>
      <c r="AH166" s="145"/>
    </row>
    <row r="167" spans="3:34" ht="15.75" customHeight="1">
      <c r="C167" s="135"/>
      <c r="E167" s="176"/>
      <c r="G167" s="90"/>
      <c r="H167" s="90"/>
      <c r="I167" s="82"/>
      <c r="J167" s="137"/>
      <c r="K167" s="82"/>
      <c r="L167" s="240"/>
      <c r="M167" s="80"/>
      <c r="N167" s="271"/>
      <c r="O167" s="139"/>
      <c r="Q167" s="142"/>
      <c r="R167" s="57"/>
      <c r="S167" s="80"/>
      <c r="U167" s="142"/>
      <c r="V167" s="142"/>
      <c r="Z167" s="143"/>
      <c r="AA167" s="144"/>
      <c r="AB167" s="145"/>
      <c r="AC167" s="145"/>
      <c r="AD167" s="145"/>
      <c r="AE167" s="145"/>
      <c r="AF167" s="145"/>
      <c r="AG167" s="145"/>
      <c r="AH167" s="145"/>
    </row>
    <row r="168" spans="3:34" ht="15.75" customHeight="1">
      <c r="C168" s="135"/>
      <c r="E168" s="176"/>
      <c r="G168" s="90"/>
      <c r="H168" s="90"/>
      <c r="I168" s="82"/>
      <c r="J168" s="137"/>
      <c r="K168" s="82"/>
      <c r="L168" s="240"/>
      <c r="M168" s="80"/>
      <c r="N168" s="271"/>
      <c r="O168" s="139"/>
      <c r="Q168" s="142"/>
      <c r="R168" s="57"/>
      <c r="S168" s="80"/>
      <c r="U168" s="142"/>
      <c r="V168" s="142"/>
      <c r="Z168" s="143"/>
      <c r="AA168" s="144"/>
      <c r="AB168" s="145"/>
      <c r="AC168" s="145"/>
      <c r="AD168" s="145"/>
      <c r="AE168" s="145"/>
      <c r="AF168" s="145"/>
      <c r="AG168" s="145"/>
      <c r="AH168" s="145"/>
    </row>
    <row r="169" spans="3:34" ht="15.75" customHeight="1">
      <c r="C169" s="135"/>
      <c r="E169" s="176"/>
      <c r="G169" s="90"/>
      <c r="H169" s="90"/>
      <c r="I169" s="82"/>
      <c r="J169" s="137"/>
      <c r="K169" s="82"/>
      <c r="L169" s="240"/>
      <c r="M169" s="80"/>
      <c r="N169" s="271"/>
      <c r="O169" s="139"/>
      <c r="Q169" s="142"/>
      <c r="R169" s="57"/>
      <c r="S169" s="80"/>
      <c r="U169" s="142"/>
      <c r="V169" s="142"/>
      <c r="Z169" s="143"/>
      <c r="AA169" s="144"/>
      <c r="AB169" s="145"/>
      <c r="AC169" s="145"/>
      <c r="AD169" s="145"/>
      <c r="AE169" s="145"/>
      <c r="AF169" s="145"/>
      <c r="AG169" s="145"/>
      <c r="AH169" s="145"/>
    </row>
    <row r="170" spans="3:34" ht="15.75" customHeight="1">
      <c r="C170" s="135"/>
      <c r="E170" s="176"/>
      <c r="G170" s="90"/>
      <c r="H170" s="90"/>
      <c r="I170" s="82"/>
      <c r="J170" s="137"/>
      <c r="K170" s="82"/>
      <c r="L170" s="240"/>
      <c r="M170" s="80"/>
      <c r="N170" s="271"/>
      <c r="O170" s="139"/>
      <c r="Q170" s="142"/>
      <c r="R170" s="57"/>
      <c r="S170" s="80"/>
      <c r="U170" s="142"/>
      <c r="V170" s="142"/>
      <c r="Z170" s="143"/>
      <c r="AA170" s="144"/>
      <c r="AB170" s="145"/>
      <c r="AC170" s="145"/>
      <c r="AD170" s="145"/>
      <c r="AE170" s="145"/>
      <c r="AF170" s="145"/>
      <c r="AG170" s="145"/>
      <c r="AH170" s="145"/>
    </row>
    <row r="171" spans="3:34" ht="15.75" customHeight="1">
      <c r="C171" s="135"/>
      <c r="E171" s="176"/>
      <c r="G171" s="90"/>
      <c r="H171" s="90"/>
      <c r="I171" s="82"/>
      <c r="J171" s="137"/>
      <c r="K171" s="82"/>
      <c r="L171" s="240"/>
      <c r="M171" s="80"/>
      <c r="N171" s="271"/>
      <c r="O171" s="139"/>
      <c r="Q171" s="142"/>
      <c r="R171" s="57"/>
      <c r="S171" s="80"/>
      <c r="U171" s="142"/>
      <c r="V171" s="142"/>
      <c r="Z171" s="143"/>
      <c r="AA171" s="144"/>
      <c r="AB171" s="145"/>
      <c r="AC171" s="145"/>
      <c r="AD171" s="145"/>
      <c r="AE171" s="145"/>
      <c r="AF171" s="145"/>
      <c r="AG171" s="145"/>
      <c r="AH171" s="145"/>
    </row>
    <row r="172" spans="3:34" ht="15.75" customHeight="1">
      <c r="C172" s="135"/>
      <c r="E172" s="176"/>
      <c r="G172" s="90"/>
      <c r="H172" s="90"/>
      <c r="I172" s="82"/>
      <c r="J172" s="137"/>
      <c r="K172" s="82"/>
      <c r="L172" s="240"/>
      <c r="M172" s="80"/>
      <c r="N172" s="271"/>
      <c r="O172" s="139"/>
      <c r="Q172" s="142"/>
      <c r="R172" s="57"/>
      <c r="S172" s="80"/>
      <c r="U172" s="142"/>
      <c r="V172" s="142"/>
      <c r="Z172" s="143"/>
      <c r="AA172" s="144"/>
      <c r="AB172" s="145"/>
      <c r="AC172" s="145"/>
      <c r="AD172" s="145"/>
      <c r="AE172" s="145"/>
      <c r="AF172" s="145"/>
      <c r="AG172" s="145"/>
      <c r="AH172" s="145"/>
    </row>
    <row r="173" spans="3:34" ht="15.75" customHeight="1">
      <c r="C173" s="135"/>
      <c r="E173" s="176"/>
      <c r="G173" s="90"/>
      <c r="H173" s="90"/>
      <c r="I173" s="82"/>
      <c r="J173" s="137"/>
      <c r="K173" s="82"/>
      <c r="L173" s="240"/>
      <c r="M173" s="80"/>
      <c r="N173" s="271"/>
      <c r="O173" s="139"/>
      <c r="Q173" s="142"/>
      <c r="R173" s="57"/>
      <c r="S173" s="80"/>
      <c r="U173" s="142"/>
      <c r="V173" s="142"/>
      <c r="Z173" s="143"/>
      <c r="AA173" s="144"/>
      <c r="AB173" s="145"/>
      <c r="AC173" s="145"/>
      <c r="AD173" s="145"/>
      <c r="AE173" s="145"/>
      <c r="AF173" s="145"/>
      <c r="AG173" s="145"/>
      <c r="AH173" s="145"/>
    </row>
    <row r="174" spans="3:34" ht="15.75" customHeight="1">
      <c r="C174" s="135"/>
      <c r="E174" s="176"/>
      <c r="G174" s="90"/>
      <c r="H174" s="90"/>
      <c r="I174" s="82"/>
      <c r="J174" s="137"/>
      <c r="K174" s="82"/>
      <c r="L174" s="240"/>
      <c r="M174" s="80"/>
      <c r="N174" s="271"/>
      <c r="O174" s="139"/>
      <c r="Q174" s="142"/>
      <c r="R174" s="57"/>
      <c r="S174" s="80"/>
      <c r="U174" s="142"/>
      <c r="V174" s="142"/>
      <c r="Z174" s="143"/>
      <c r="AA174" s="144"/>
      <c r="AB174" s="145"/>
      <c r="AC174" s="145"/>
      <c r="AD174" s="145"/>
      <c r="AE174" s="145"/>
      <c r="AF174" s="145"/>
      <c r="AG174" s="145"/>
      <c r="AH174" s="145"/>
    </row>
    <row r="175" spans="3:34" ht="15.75" customHeight="1">
      <c r="C175" s="135"/>
      <c r="E175" s="176"/>
      <c r="G175" s="90"/>
      <c r="H175" s="90"/>
      <c r="I175" s="82"/>
      <c r="J175" s="137"/>
      <c r="K175" s="82"/>
      <c r="L175" s="240"/>
      <c r="M175" s="80"/>
      <c r="N175" s="271"/>
      <c r="O175" s="139"/>
      <c r="Q175" s="142"/>
      <c r="R175" s="57"/>
      <c r="S175" s="80"/>
      <c r="U175" s="142"/>
      <c r="V175" s="142"/>
      <c r="Z175" s="143"/>
      <c r="AA175" s="144"/>
      <c r="AB175" s="145"/>
      <c r="AC175" s="145"/>
      <c r="AD175" s="145"/>
      <c r="AE175" s="145"/>
      <c r="AF175" s="145"/>
      <c r="AG175" s="145"/>
      <c r="AH175" s="145"/>
    </row>
    <row r="176" spans="3:34" ht="15.75" customHeight="1">
      <c r="C176" s="135"/>
      <c r="E176" s="176"/>
      <c r="G176" s="90"/>
      <c r="H176" s="90"/>
      <c r="I176" s="82"/>
      <c r="J176" s="137"/>
      <c r="K176" s="82"/>
      <c r="L176" s="240"/>
      <c r="M176" s="80"/>
      <c r="N176" s="271"/>
      <c r="O176" s="139"/>
      <c r="Q176" s="142"/>
      <c r="R176" s="57"/>
      <c r="S176" s="80"/>
      <c r="U176" s="142"/>
      <c r="V176" s="142"/>
      <c r="Z176" s="143"/>
      <c r="AA176" s="144"/>
      <c r="AB176" s="145"/>
      <c r="AC176" s="145"/>
      <c r="AD176" s="145"/>
      <c r="AE176" s="145"/>
      <c r="AF176" s="145"/>
      <c r="AG176" s="145"/>
      <c r="AH176" s="145"/>
    </row>
    <row r="177" spans="3:34" ht="15.75" customHeight="1">
      <c r="C177" s="135"/>
      <c r="E177" s="176"/>
      <c r="G177" s="90"/>
      <c r="H177" s="90"/>
      <c r="I177" s="82"/>
      <c r="J177" s="137"/>
      <c r="K177" s="82"/>
      <c r="L177" s="240"/>
      <c r="M177" s="80"/>
      <c r="N177" s="271"/>
      <c r="O177" s="139"/>
      <c r="Q177" s="142"/>
      <c r="R177" s="57"/>
      <c r="S177" s="80"/>
      <c r="U177" s="142"/>
      <c r="V177" s="142"/>
      <c r="Z177" s="143"/>
      <c r="AA177" s="144"/>
      <c r="AB177" s="145"/>
      <c r="AC177" s="145"/>
      <c r="AD177" s="145"/>
      <c r="AE177" s="145"/>
      <c r="AF177" s="145"/>
      <c r="AG177" s="145"/>
      <c r="AH177" s="145"/>
    </row>
    <row r="178" spans="3:34" ht="15.75" customHeight="1">
      <c r="C178" s="135"/>
      <c r="E178" s="176"/>
      <c r="G178" s="90"/>
      <c r="H178" s="90"/>
      <c r="I178" s="82"/>
      <c r="J178" s="137"/>
      <c r="K178" s="82"/>
      <c r="L178" s="240"/>
      <c r="M178" s="80"/>
      <c r="N178" s="271"/>
      <c r="O178" s="139"/>
      <c r="Q178" s="142"/>
      <c r="R178" s="57"/>
      <c r="S178" s="80"/>
      <c r="U178" s="142"/>
      <c r="V178" s="142"/>
      <c r="Z178" s="143"/>
      <c r="AA178" s="144"/>
      <c r="AB178" s="145"/>
      <c r="AC178" s="145"/>
      <c r="AD178" s="145"/>
      <c r="AE178" s="145"/>
      <c r="AF178" s="145"/>
      <c r="AG178" s="145"/>
      <c r="AH178" s="145"/>
    </row>
    <row r="179" spans="3:34" ht="15.75" customHeight="1">
      <c r="C179" s="135"/>
      <c r="E179" s="176"/>
      <c r="G179" s="90"/>
      <c r="H179" s="90"/>
      <c r="I179" s="82"/>
      <c r="J179" s="137"/>
      <c r="K179" s="82"/>
      <c r="L179" s="240"/>
      <c r="M179" s="80"/>
      <c r="N179" s="271"/>
      <c r="O179" s="139"/>
      <c r="Q179" s="142"/>
      <c r="R179" s="57"/>
      <c r="S179" s="80"/>
      <c r="U179" s="142"/>
      <c r="V179" s="142"/>
      <c r="Z179" s="143"/>
      <c r="AA179" s="144"/>
      <c r="AB179" s="145"/>
      <c r="AC179" s="145"/>
      <c r="AD179" s="145"/>
      <c r="AE179" s="145"/>
      <c r="AF179" s="145"/>
      <c r="AG179" s="145"/>
      <c r="AH179" s="145"/>
    </row>
    <row r="180" spans="3:34" ht="15.75" customHeight="1">
      <c r="C180" s="135"/>
      <c r="E180" s="176"/>
      <c r="G180" s="90"/>
      <c r="H180" s="90"/>
      <c r="I180" s="82"/>
      <c r="J180" s="137"/>
      <c r="K180" s="82"/>
      <c r="L180" s="240"/>
      <c r="M180" s="80"/>
      <c r="N180" s="271"/>
      <c r="O180" s="139"/>
      <c r="Q180" s="142"/>
      <c r="R180" s="57"/>
      <c r="S180" s="80"/>
      <c r="U180" s="142"/>
      <c r="V180" s="142"/>
      <c r="Z180" s="143"/>
      <c r="AA180" s="144"/>
      <c r="AB180" s="145"/>
      <c r="AC180" s="145"/>
      <c r="AD180" s="145"/>
      <c r="AE180" s="145"/>
      <c r="AF180" s="145"/>
      <c r="AG180" s="145"/>
      <c r="AH180" s="145"/>
    </row>
    <row r="181" spans="3:34" ht="15.75" customHeight="1">
      <c r="C181" s="135"/>
      <c r="E181" s="176"/>
      <c r="G181" s="90"/>
      <c r="H181" s="90"/>
      <c r="I181" s="82"/>
      <c r="J181" s="137"/>
      <c r="K181" s="82"/>
      <c r="L181" s="240"/>
      <c r="M181" s="80"/>
      <c r="N181" s="271"/>
      <c r="O181" s="139"/>
      <c r="Q181" s="142"/>
      <c r="R181" s="57"/>
      <c r="S181" s="80"/>
      <c r="U181" s="142"/>
      <c r="V181" s="142"/>
      <c r="Z181" s="143"/>
      <c r="AA181" s="144"/>
      <c r="AB181" s="145"/>
      <c r="AC181" s="145"/>
      <c r="AD181" s="145"/>
      <c r="AE181" s="145"/>
      <c r="AF181" s="145"/>
      <c r="AG181" s="145"/>
      <c r="AH181" s="145"/>
    </row>
    <row r="182" spans="3:34" ht="15.75" customHeight="1">
      <c r="C182" s="135"/>
      <c r="E182" s="176"/>
      <c r="G182" s="90"/>
      <c r="H182" s="90"/>
      <c r="I182" s="82"/>
      <c r="J182" s="137"/>
      <c r="K182" s="82"/>
      <c r="L182" s="240"/>
      <c r="M182" s="80"/>
      <c r="N182" s="271"/>
      <c r="O182" s="139"/>
      <c r="Q182" s="142"/>
      <c r="R182" s="57"/>
      <c r="S182" s="80"/>
      <c r="U182" s="142"/>
      <c r="V182" s="142"/>
      <c r="Z182" s="143"/>
      <c r="AA182" s="144"/>
      <c r="AB182" s="145"/>
      <c r="AC182" s="145"/>
      <c r="AD182" s="145"/>
      <c r="AE182" s="145"/>
      <c r="AF182" s="145"/>
      <c r="AG182" s="145"/>
      <c r="AH182" s="145"/>
    </row>
    <row r="183" spans="3:34" ht="15.75" customHeight="1">
      <c r="C183" s="135"/>
      <c r="E183" s="176"/>
      <c r="G183" s="90"/>
      <c r="H183" s="90"/>
      <c r="I183" s="82"/>
      <c r="J183" s="137"/>
      <c r="K183" s="82"/>
      <c r="L183" s="240"/>
      <c r="M183" s="80"/>
      <c r="N183" s="271"/>
      <c r="O183" s="139"/>
      <c r="Q183" s="142"/>
      <c r="R183" s="57"/>
      <c r="S183" s="80"/>
      <c r="U183" s="142"/>
      <c r="V183" s="142"/>
      <c r="Z183" s="143"/>
      <c r="AA183" s="144"/>
      <c r="AB183" s="145"/>
      <c r="AC183" s="145"/>
      <c r="AD183" s="145"/>
      <c r="AE183" s="145"/>
      <c r="AF183" s="145"/>
      <c r="AG183" s="145"/>
      <c r="AH183" s="145"/>
    </row>
    <row r="184" spans="3:34" ht="15.75" customHeight="1">
      <c r="C184" s="135"/>
      <c r="E184" s="176"/>
      <c r="G184" s="90"/>
      <c r="H184" s="90"/>
      <c r="I184" s="82"/>
      <c r="J184" s="137"/>
      <c r="K184" s="82"/>
      <c r="L184" s="240"/>
      <c r="M184" s="80"/>
      <c r="N184" s="271"/>
      <c r="O184" s="139"/>
      <c r="Q184" s="142"/>
      <c r="R184" s="57"/>
      <c r="S184" s="80"/>
      <c r="U184" s="142"/>
      <c r="V184" s="142"/>
      <c r="Z184" s="143"/>
      <c r="AA184" s="144"/>
      <c r="AB184" s="145"/>
      <c r="AC184" s="145"/>
      <c r="AD184" s="145"/>
      <c r="AE184" s="145"/>
      <c r="AF184" s="145"/>
      <c r="AG184" s="145"/>
      <c r="AH184" s="145"/>
    </row>
    <row r="185" spans="3:34" ht="15.75" customHeight="1">
      <c r="C185" s="135"/>
      <c r="E185" s="176"/>
      <c r="G185" s="90"/>
      <c r="H185" s="90"/>
      <c r="I185" s="82"/>
      <c r="J185" s="137"/>
      <c r="K185" s="82"/>
      <c r="L185" s="240"/>
      <c r="M185" s="80"/>
      <c r="N185" s="271"/>
      <c r="O185" s="139"/>
      <c r="Q185" s="142"/>
      <c r="R185" s="57"/>
      <c r="S185" s="80"/>
      <c r="U185" s="142"/>
      <c r="V185" s="142"/>
      <c r="Z185" s="143"/>
      <c r="AA185" s="144"/>
      <c r="AB185" s="145"/>
      <c r="AC185" s="145"/>
      <c r="AD185" s="145"/>
      <c r="AE185" s="145"/>
      <c r="AF185" s="145"/>
      <c r="AG185" s="145"/>
      <c r="AH185" s="145"/>
    </row>
    <row r="186" spans="3:34" ht="15.75" customHeight="1">
      <c r="C186" s="135"/>
      <c r="E186" s="176"/>
      <c r="G186" s="90"/>
      <c r="H186" s="90"/>
      <c r="I186" s="82"/>
      <c r="J186" s="137"/>
      <c r="K186" s="82"/>
      <c r="L186" s="240"/>
      <c r="M186" s="80"/>
      <c r="N186" s="271"/>
      <c r="O186" s="139"/>
      <c r="Q186" s="142"/>
      <c r="R186" s="57"/>
      <c r="S186" s="80"/>
      <c r="U186" s="142"/>
      <c r="V186" s="142"/>
      <c r="Z186" s="143"/>
      <c r="AA186" s="144"/>
      <c r="AB186" s="145"/>
      <c r="AC186" s="145"/>
      <c r="AD186" s="145"/>
      <c r="AE186" s="145"/>
      <c r="AF186" s="145"/>
      <c r="AG186" s="145"/>
      <c r="AH186" s="145"/>
    </row>
    <row r="187" spans="3:34" ht="15.75" customHeight="1">
      <c r="C187" s="135"/>
      <c r="E187" s="176"/>
      <c r="G187" s="90"/>
      <c r="H187" s="90"/>
      <c r="I187" s="82"/>
      <c r="J187" s="137"/>
      <c r="K187" s="82"/>
      <c r="L187" s="240"/>
      <c r="M187" s="80"/>
      <c r="N187" s="271"/>
      <c r="O187" s="139"/>
      <c r="Q187" s="142"/>
      <c r="R187" s="57"/>
      <c r="S187" s="80"/>
      <c r="U187" s="142"/>
      <c r="V187" s="142"/>
      <c r="Z187" s="143"/>
      <c r="AA187" s="144"/>
      <c r="AB187" s="145"/>
      <c r="AC187" s="145"/>
      <c r="AD187" s="145"/>
      <c r="AE187" s="145"/>
      <c r="AF187" s="145"/>
      <c r="AG187" s="145"/>
      <c r="AH187" s="145"/>
    </row>
    <row r="188" spans="3:34" ht="15.75" customHeight="1">
      <c r="C188" s="135"/>
      <c r="E188" s="176"/>
      <c r="G188" s="90"/>
      <c r="H188" s="90"/>
      <c r="I188" s="82"/>
      <c r="J188" s="137"/>
      <c r="K188" s="82"/>
      <c r="L188" s="240"/>
      <c r="M188" s="80"/>
      <c r="N188" s="271"/>
      <c r="O188" s="139"/>
      <c r="Q188" s="142"/>
      <c r="R188" s="57"/>
      <c r="S188" s="80"/>
      <c r="U188" s="142"/>
      <c r="V188" s="142"/>
      <c r="Z188" s="143"/>
      <c r="AA188" s="144"/>
      <c r="AB188" s="145"/>
      <c r="AC188" s="145"/>
      <c r="AD188" s="145"/>
      <c r="AE188" s="145"/>
      <c r="AF188" s="145"/>
      <c r="AG188" s="145"/>
      <c r="AH188" s="145"/>
    </row>
    <row r="189" spans="3:34" ht="15.75" customHeight="1">
      <c r="C189" s="135"/>
      <c r="E189" s="176"/>
      <c r="G189" s="90"/>
      <c r="H189" s="90"/>
      <c r="I189" s="82"/>
      <c r="J189" s="137"/>
      <c r="K189" s="82"/>
      <c r="L189" s="240"/>
      <c r="M189" s="80"/>
      <c r="N189" s="271"/>
      <c r="O189" s="139"/>
      <c r="Q189" s="142"/>
      <c r="R189" s="57"/>
      <c r="S189" s="80"/>
      <c r="U189" s="142"/>
      <c r="V189" s="142"/>
      <c r="Z189" s="143"/>
      <c r="AA189" s="144"/>
      <c r="AB189" s="145"/>
      <c r="AC189" s="145"/>
      <c r="AD189" s="145"/>
      <c r="AE189" s="145"/>
      <c r="AF189" s="145"/>
      <c r="AG189" s="145"/>
      <c r="AH189" s="145"/>
    </row>
    <row r="190" spans="3:34" ht="15.75" customHeight="1">
      <c r="C190" s="135"/>
      <c r="E190" s="176"/>
      <c r="G190" s="90"/>
      <c r="H190" s="90"/>
      <c r="I190" s="82"/>
      <c r="J190" s="137"/>
      <c r="K190" s="82"/>
      <c r="L190" s="240"/>
      <c r="M190" s="80"/>
      <c r="N190" s="271"/>
      <c r="O190" s="139"/>
      <c r="Q190" s="142"/>
      <c r="R190" s="57"/>
      <c r="S190" s="80"/>
      <c r="U190" s="142"/>
      <c r="V190" s="142"/>
      <c r="Z190" s="143"/>
      <c r="AA190" s="144"/>
      <c r="AB190" s="145"/>
      <c r="AC190" s="145"/>
      <c r="AD190" s="145"/>
      <c r="AE190" s="145"/>
      <c r="AF190" s="145"/>
      <c r="AG190" s="145"/>
      <c r="AH190" s="145"/>
    </row>
    <row r="191" spans="3:34" ht="15.75" customHeight="1">
      <c r="C191" s="135"/>
      <c r="E191" s="176"/>
      <c r="G191" s="90"/>
      <c r="H191" s="90"/>
      <c r="I191" s="82"/>
      <c r="J191" s="137"/>
      <c r="K191" s="82"/>
      <c r="L191" s="240"/>
      <c r="M191" s="80"/>
      <c r="N191" s="271"/>
      <c r="O191" s="139"/>
      <c r="Q191" s="142"/>
      <c r="R191" s="57"/>
      <c r="S191" s="80"/>
      <c r="U191" s="142"/>
      <c r="V191" s="142"/>
      <c r="Z191" s="143"/>
      <c r="AA191" s="144"/>
      <c r="AB191" s="145"/>
      <c r="AC191" s="145"/>
      <c r="AD191" s="145"/>
      <c r="AE191" s="145"/>
      <c r="AF191" s="145"/>
      <c r="AG191" s="145"/>
      <c r="AH191" s="145"/>
    </row>
    <row r="192" spans="3:34" ht="15.75" customHeight="1">
      <c r="C192" s="135"/>
      <c r="E192" s="176"/>
      <c r="G192" s="90"/>
      <c r="H192" s="90"/>
      <c r="I192" s="82"/>
      <c r="J192" s="137"/>
      <c r="K192" s="82"/>
      <c r="L192" s="240"/>
      <c r="M192" s="80"/>
      <c r="N192" s="271"/>
      <c r="O192" s="139"/>
      <c r="Q192" s="142"/>
      <c r="R192" s="57"/>
      <c r="S192" s="80"/>
      <c r="U192" s="142"/>
      <c r="V192" s="142"/>
      <c r="Z192" s="143"/>
      <c r="AA192" s="144"/>
      <c r="AB192" s="145"/>
      <c r="AC192" s="145"/>
      <c r="AD192" s="145"/>
      <c r="AE192" s="145"/>
      <c r="AF192" s="145"/>
      <c r="AG192" s="145"/>
      <c r="AH192" s="145"/>
    </row>
    <row r="193" spans="3:34" ht="15.75" customHeight="1">
      <c r="C193" s="135"/>
      <c r="E193" s="176"/>
      <c r="G193" s="90"/>
      <c r="H193" s="90"/>
      <c r="I193" s="82"/>
      <c r="J193" s="137"/>
      <c r="K193" s="82"/>
      <c r="L193" s="240"/>
      <c r="M193" s="80"/>
      <c r="N193" s="271"/>
      <c r="O193" s="139"/>
      <c r="Q193" s="142"/>
      <c r="R193" s="57"/>
      <c r="S193" s="80"/>
      <c r="U193" s="142"/>
      <c r="V193" s="142"/>
      <c r="Z193" s="143"/>
      <c r="AA193" s="144"/>
      <c r="AB193" s="145"/>
      <c r="AC193" s="145"/>
      <c r="AD193" s="145"/>
      <c r="AE193" s="145"/>
      <c r="AF193" s="145"/>
      <c r="AG193" s="145"/>
      <c r="AH193" s="145"/>
    </row>
    <row r="194" spans="3:34" ht="15.75" customHeight="1">
      <c r="C194" s="135"/>
      <c r="E194" s="176"/>
      <c r="G194" s="90"/>
      <c r="H194" s="90"/>
      <c r="I194" s="82"/>
      <c r="J194" s="137"/>
      <c r="K194" s="82"/>
      <c r="L194" s="240"/>
      <c r="M194" s="80"/>
      <c r="N194" s="271"/>
      <c r="O194" s="139"/>
      <c r="Q194" s="142"/>
      <c r="R194" s="57"/>
      <c r="S194" s="80"/>
      <c r="U194" s="142"/>
      <c r="V194" s="142"/>
      <c r="Z194" s="143"/>
      <c r="AA194" s="144"/>
      <c r="AB194" s="145"/>
      <c r="AC194" s="145"/>
      <c r="AD194" s="145"/>
      <c r="AE194" s="145"/>
      <c r="AF194" s="145"/>
      <c r="AG194" s="145"/>
      <c r="AH194" s="145"/>
    </row>
    <row r="195" spans="3:34" ht="15.75" customHeight="1">
      <c r="C195" s="135"/>
      <c r="E195" s="176"/>
      <c r="G195" s="90"/>
      <c r="H195" s="90"/>
      <c r="I195" s="82"/>
      <c r="J195" s="137"/>
      <c r="K195" s="82"/>
      <c r="L195" s="240"/>
      <c r="M195" s="80"/>
      <c r="N195" s="271"/>
      <c r="O195" s="139"/>
      <c r="Q195" s="142"/>
      <c r="R195" s="57"/>
      <c r="S195" s="80"/>
      <c r="U195" s="142"/>
      <c r="V195" s="142"/>
      <c r="Z195" s="143"/>
      <c r="AA195" s="144"/>
      <c r="AB195" s="145"/>
      <c r="AC195" s="145"/>
      <c r="AD195" s="145"/>
      <c r="AE195" s="145"/>
      <c r="AF195" s="145"/>
      <c r="AG195" s="145"/>
      <c r="AH195" s="145"/>
    </row>
    <row r="196" spans="3:34" ht="15.75" customHeight="1">
      <c r="C196" s="135"/>
      <c r="E196" s="176"/>
      <c r="G196" s="90"/>
      <c r="H196" s="90"/>
      <c r="I196" s="82"/>
      <c r="J196" s="137"/>
      <c r="K196" s="82"/>
      <c r="L196" s="240"/>
      <c r="M196" s="80"/>
      <c r="N196" s="271"/>
      <c r="O196" s="139"/>
      <c r="Q196" s="142"/>
      <c r="R196" s="57"/>
      <c r="S196" s="80"/>
      <c r="U196" s="142"/>
      <c r="V196" s="142"/>
      <c r="Z196" s="143"/>
      <c r="AA196" s="144"/>
      <c r="AB196" s="145"/>
      <c r="AC196" s="145"/>
      <c r="AD196" s="145"/>
      <c r="AE196" s="145"/>
      <c r="AF196" s="145"/>
      <c r="AG196" s="145"/>
      <c r="AH196" s="145"/>
    </row>
    <row r="197" spans="3:34" ht="15.75" customHeight="1">
      <c r="C197" s="135"/>
      <c r="E197" s="176"/>
      <c r="G197" s="90"/>
      <c r="H197" s="90"/>
      <c r="I197" s="82"/>
      <c r="J197" s="137"/>
      <c r="K197" s="82"/>
      <c r="L197" s="240"/>
      <c r="M197" s="80"/>
      <c r="N197" s="271"/>
      <c r="O197" s="139"/>
      <c r="Q197" s="142"/>
      <c r="R197" s="57"/>
      <c r="S197" s="80"/>
      <c r="U197" s="142"/>
      <c r="V197" s="142"/>
      <c r="Z197" s="143"/>
      <c r="AA197" s="144"/>
      <c r="AB197" s="145"/>
      <c r="AC197" s="145"/>
      <c r="AD197" s="145"/>
      <c r="AE197" s="145"/>
      <c r="AF197" s="145"/>
      <c r="AG197" s="145"/>
      <c r="AH197" s="145"/>
    </row>
    <row r="198" spans="3:34" ht="15.75" customHeight="1">
      <c r="C198" s="135"/>
      <c r="E198" s="176"/>
      <c r="G198" s="90"/>
      <c r="H198" s="90"/>
      <c r="I198" s="82"/>
      <c r="J198" s="137"/>
      <c r="K198" s="82"/>
      <c r="L198" s="240"/>
      <c r="M198" s="80"/>
      <c r="N198" s="271"/>
      <c r="O198" s="139"/>
      <c r="Q198" s="142"/>
      <c r="R198" s="57"/>
      <c r="S198" s="80"/>
      <c r="U198" s="142"/>
      <c r="V198" s="142"/>
      <c r="Z198" s="143"/>
      <c r="AA198" s="144"/>
      <c r="AB198" s="145"/>
      <c r="AC198" s="145"/>
      <c r="AD198" s="145"/>
      <c r="AE198" s="145"/>
      <c r="AF198" s="145"/>
      <c r="AG198" s="145"/>
      <c r="AH198" s="145"/>
    </row>
    <row r="199" spans="3:34" ht="15.75" customHeight="1">
      <c r="C199" s="135"/>
      <c r="E199" s="176"/>
      <c r="G199" s="90"/>
      <c r="H199" s="90"/>
      <c r="I199" s="82"/>
      <c r="J199" s="137"/>
      <c r="K199" s="82"/>
      <c r="L199" s="240"/>
      <c r="M199" s="80"/>
      <c r="N199" s="271"/>
      <c r="O199" s="139"/>
      <c r="Q199" s="142"/>
      <c r="R199" s="57"/>
      <c r="S199" s="80"/>
      <c r="U199" s="142"/>
      <c r="V199" s="142"/>
      <c r="Z199" s="143"/>
      <c r="AA199" s="144"/>
      <c r="AB199" s="145"/>
      <c r="AC199" s="145"/>
      <c r="AD199" s="145"/>
      <c r="AE199" s="145"/>
      <c r="AF199" s="145"/>
      <c r="AG199" s="145"/>
      <c r="AH199" s="145"/>
    </row>
    <row r="200" spans="3:34" ht="15.75" customHeight="1">
      <c r="C200" s="135"/>
      <c r="E200" s="176"/>
      <c r="G200" s="90"/>
      <c r="H200" s="90"/>
      <c r="I200" s="82"/>
      <c r="J200" s="137"/>
      <c r="K200" s="82"/>
      <c r="L200" s="240"/>
      <c r="M200" s="80"/>
      <c r="N200" s="271"/>
      <c r="O200" s="139"/>
      <c r="Q200" s="142"/>
      <c r="R200" s="57"/>
      <c r="S200" s="80"/>
      <c r="U200" s="142"/>
      <c r="V200" s="142"/>
      <c r="Z200" s="143"/>
      <c r="AA200" s="144"/>
      <c r="AB200" s="145"/>
      <c r="AC200" s="145"/>
      <c r="AD200" s="145"/>
      <c r="AE200" s="145"/>
      <c r="AF200" s="145"/>
      <c r="AG200" s="145"/>
      <c r="AH200" s="145"/>
    </row>
    <row r="201" spans="3:34" ht="15.75" customHeight="1">
      <c r="C201" s="135"/>
      <c r="E201" s="176"/>
      <c r="G201" s="90"/>
      <c r="H201" s="90"/>
      <c r="I201" s="82"/>
      <c r="J201" s="137"/>
      <c r="K201" s="82"/>
      <c r="L201" s="240"/>
      <c r="M201" s="80"/>
      <c r="N201" s="271"/>
      <c r="O201" s="139"/>
      <c r="Q201" s="142"/>
      <c r="R201" s="57"/>
      <c r="S201" s="80"/>
      <c r="U201" s="142"/>
      <c r="V201" s="142"/>
      <c r="Z201" s="143"/>
      <c r="AA201" s="144"/>
      <c r="AB201" s="145"/>
      <c r="AC201" s="145"/>
      <c r="AD201" s="145"/>
      <c r="AE201" s="145"/>
      <c r="AF201" s="145"/>
      <c r="AG201" s="145"/>
      <c r="AH201" s="145"/>
    </row>
    <row r="202" spans="3:34" ht="15.75" customHeight="1">
      <c r="C202" s="135"/>
      <c r="E202" s="176"/>
      <c r="G202" s="90"/>
      <c r="H202" s="90"/>
      <c r="I202" s="82"/>
      <c r="J202" s="137"/>
      <c r="K202" s="82"/>
      <c r="L202" s="240"/>
      <c r="M202" s="80"/>
      <c r="N202" s="271"/>
      <c r="O202" s="139"/>
      <c r="Q202" s="142"/>
      <c r="R202" s="57"/>
      <c r="S202" s="80"/>
      <c r="U202" s="142"/>
      <c r="V202" s="142"/>
      <c r="Z202" s="143"/>
      <c r="AA202" s="144"/>
      <c r="AB202" s="145"/>
      <c r="AC202" s="145"/>
      <c r="AD202" s="145"/>
      <c r="AE202" s="145"/>
      <c r="AF202" s="145"/>
      <c r="AG202" s="145"/>
      <c r="AH202" s="145"/>
    </row>
    <row r="203" spans="3:34" ht="15.75" customHeight="1">
      <c r="C203" s="135"/>
      <c r="E203" s="176"/>
      <c r="G203" s="90"/>
      <c r="H203" s="90"/>
      <c r="I203" s="82"/>
      <c r="J203" s="137"/>
      <c r="K203" s="82"/>
      <c r="L203" s="240"/>
      <c r="M203" s="80"/>
      <c r="N203" s="271"/>
      <c r="O203" s="139"/>
      <c r="Q203" s="142"/>
      <c r="R203" s="57"/>
      <c r="S203" s="80"/>
      <c r="U203" s="142"/>
      <c r="V203" s="142"/>
      <c r="Z203" s="143"/>
      <c r="AA203" s="144"/>
      <c r="AB203" s="145"/>
      <c r="AC203" s="145"/>
      <c r="AD203" s="145"/>
      <c r="AE203" s="145"/>
      <c r="AF203" s="145"/>
      <c r="AG203" s="145"/>
      <c r="AH203" s="145"/>
    </row>
    <row r="204" spans="3:34" ht="15.75" customHeight="1">
      <c r="C204" s="135"/>
      <c r="E204" s="176"/>
      <c r="G204" s="90"/>
      <c r="H204" s="90"/>
      <c r="I204" s="82"/>
      <c r="J204" s="137"/>
      <c r="K204" s="82"/>
      <c r="L204" s="240"/>
      <c r="M204" s="80"/>
      <c r="N204" s="271"/>
      <c r="O204" s="139"/>
      <c r="Q204" s="142"/>
      <c r="R204" s="57"/>
      <c r="S204" s="80"/>
      <c r="U204" s="142"/>
      <c r="V204" s="142"/>
      <c r="Z204" s="143"/>
      <c r="AA204" s="144"/>
      <c r="AB204" s="145"/>
      <c r="AC204" s="145"/>
      <c r="AD204" s="145"/>
      <c r="AE204" s="145"/>
      <c r="AF204" s="145"/>
      <c r="AG204" s="145"/>
      <c r="AH204" s="145"/>
    </row>
    <row r="205" spans="3:34" ht="15.75" customHeight="1">
      <c r="C205" s="135"/>
      <c r="E205" s="176"/>
      <c r="G205" s="90"/>
      <c r="H205" s="90"/>
      <c r="I205" s="82"/>
      <c r="J205" s="137"/>
      <c r="K205" s="82"/>
      <c r="L205" s="240"/>
      <c r="M205" s="80"/>
      <c r="N205" s="271"/>
      <c r="O205" s="139"/>
      <c r="Q205" s="142"/>
      <c r="R205" s="57"/>
      <c r="S205" s="80"/>
      <c r="U205" s="142"/>
      <c r="V205" s="142"/>
      <c r="Z205" s="143"/>
      <c r="AA205" s="144"/>
      <c r="AB205" s="145"/>
      <c r="AC205" s="145"/>
      <c r="AD205" s="145"/>
      <c r="AE205" s="145"/>
      <c r="AF205" s="145"/>
      <c r="AG205" s="145"/>
      <c r="AH205" s="145"/>
    </row>
    <row r="206" spans="3:34" ht="15.75" customHeight="1">
      <c r="C206" s="135"/>
      <c r="E206" s="176"/>
      <c r="G206" s="90"/>
      <c r="H206" s="90"/>
      <c r="I206" s="82"/>
      <c r="J206" s="137"/>
      <c r="K206" s="82"/>
      <c r="L206" s="240"/>
      <c r="M206" s="80"/>
      <c r="N206" s="271"/>
      <c r="O206" s="139"/>
      <c r="Q206" s="142"/>
      <c r="R206" s="57"/>
      <c r="S206" s="80"/>
      <c r="U206" s="142"/>
      <c r="V206" s="142"/>
      <c r="Z206" s="143"/>
      <c r="AA206" s="144"/>
      <c r="AB206" s="145"/>
      <c r="AC206" s="145"/>
      <c r="AD206" s="145"/>
      <c r="AE206" s="145"/>
      <c r="AF206" s="145"/>
      <c r="AG206" s="145"/>
      <c r="AH206" s="145"/>
    </row>
    <row r="207" spans="3:34" ht="15.75" customHeight="1">
      <c r="C207" s="135"/>
      <c r="E207" s="176"/>
      <c r="G207" s="90"/>
      <c r="H207" s="90"/>
      <c r="I207" s="82"/>
      <c r="J207" s="137"/>
      <c r="K207" s="82"/>
      <c r="L207" s="240"/>
      <c r="M207" s="80"/>
      <c r="N207" s="271"/>
      <c r="O207" s="139"/>
      <c r="Q207" s="142"/>
      <c r="R207" s="57"/>
      <c r="S207" s="80"/>
      <c r="U207" s="142"/>
      <c r="V207" s="142"/>
      <c r="Z207" s="143"/>
      <c r="AA207" s="144"/>
      <c r="AB207" s="145"/>
      <c r="AC207" s="145"/>
      <c r="AD207" s="145"/>
      <c r="AE207" s="145"/>
      <c r="AF207" s="145"/>
      <c r="AG207" s="145"/>
      <c r="AH207" s="145"/>
    </row>
    <row r="208" spans="3:34" ht="15.75" customHeight="1">
      <c r="C208" s="135"/>
      <c r="E208" s="176"/>
      <c r="G208" s="90"/>
      <c r="H208" s="90"/>
      <c r="I208" s="82"/>
      <c r="J208" s="137"/>
      <c r="K208" s="82"/>
      <c r="L208" s="240"/>
      <c r="M208" s="80"/>
      <c r="N208" s="271"/>
      <c r="O208" s="139"/>
      <c r="Q208" s="142"/>
      <c r="R208" s="57"/>
      <c r="S208" s="80"/>
      <c r="U208" s="142"/>
      <c r="V208" s="142"/>
      <c r="Z208" s="143"/>
      <c r="AA208" s="144"/>
      <c r="AB208" s="145"/>
      <c r="AC208" s="145"/>
      <c r="AD208" s="145"/>
      <c r="AE208" s="145"/>
      <c r="AF208" s="145"/>
      <c r="AG208" s="145"/>
      <c r="AH208" s="145"/>
    </row>
    <row r="209" spans="3:34" ht="15.75" customHeight="1">
      <c r="C209" s="135"/>
      <c r="E209" s="176"/>
      <c r="G209" s="90"/>
      <c r="H209" s="90"/>
      <c r="I209" s="82"/>
      <c r="J209" s="137"/>
      <c r="K209" s="82"/>
      <c r="L209" s="240"/>
      <c r="M209" s="80"/>
      <c r="N209" s="271"/>
      <c r="O209" s="139"/>
      <c r="Q209" s="142"/>
      <c r="R209" s="57"/>
      <c r="S209" s="80"/>
      <c r="U209" s="142"/>
      <c r="V209" s="142"/>
      <c r="Z209" s="143"/>
      <c r="AA209" s="144"/>
      <c r="AB209" s="145"/>
      <c r="AC209" s="145"/>
      <c r="AD209" s="145"/>
      <c r="AE209" s="145"/>
      <c r="AF209" s="145"/>
      <c r="AG209" s="145"/>
      <c r="AH209" s="145"/>
    </row>
    <row r="210" spans="3:34" ht="15.75" customHeight="1">
      <c r="C210" s="135"/>
      <c r="E210" s="176"/>
      <c r="G210" s="90"/>
      <c r="H210" s="90"/>
      <c r="I210" s="82"/>
      <c r="J210" s="137"/>
      <c r="K210" s="82"/>
      <c r="L210" s="240"/>
      <c r="M210" s="80"/>
      <c r="N210" s="271"/>
      <c r="O210" s="139"/>
      <c r="Q210" s="142"/>
      <c r="R210" s="57"/>
      <c r="S210" s="80"/>
      <c r="U210" s="142"/>
      <c r="V210" s="142"/>
      <c r="Z210" s="143"/>
      <c r="AA210" s="144"/>
      <c r="AB210" s="145"/>
      <c r="AC210" s="145"/>
      <c r="AD210" s="145"/>
      <c r="AE210" s="145"/>
      <c r="AF210" s="145"/>
      <c r="AG210" s="145"/>
      <c r="AH210" s="145"/>
    </row>
    <row r="211" spans="3:34" ht="15.75" customHeight="1">
      <c r="C211" s="135"/>
      <c r="E211" s="176"/>
      <c r="G211" s="90"/>
      <c r="H211" s="90"/>
      <c r="I211" s="82"/>
      <c r="J211" s="137"/>
      <c r="K211" s="82"/>
      <c r="L211" s="240"/>
      <c r="M211" s="80"/>
      <c r="N211" s="271"/>
      <c r="O211" s="139"/>
      <c r="Q211" s="142"/>
      <c r="R211" s="57"/>
      <c r="S211" s="80"/>
      <c r="U211" s="142"/>
      <c r="V211" s="142"/>
      <c r="Z211" s="143"/>
      <c r="AA211" s="144"/>
      <c r="AB211" s="145"/>
      <c r="AC211" s="145"/>
      <c r="AD211" s="145"/>
      <c r="AE211" s="145"/>
      <c r="AF211" s="145"/>
      <c r="AG211" s="145"/>
      <c r="AH211" s="145"/>
    </row>
    <row r="212" spans="3:34" ht="15.75" customHeight="1">
      <c r="C212" s="135"/>
      <c r="E212" s="176"/>
      <c r="G212" s="90"/>
      <c r="H212" s="90"/>
      <c r="I212" s="82"/>
      <c r="J212" s="137"/>
      <c r="K212" s="82"/>
      <c r="L212" s="240"/>
      <c r="M212" s="80"/>
      <c r="N212" s="271"/>
      <c r="O212" s="139"/>
      <c r="Q212" s="142"/>
      <c r="R212" s="57"/>
      <c r="S212" s="80"/>
      <c r="U212" s="142"/>
      <c r="V212" s="142"/>
      <c r="Z212" s="143"/>
      <c r="AA212" s="144"/>
      <c r="AB212" s="145"/>
      <c r="AC212" s="145"/>
      <c r="AD212" s="145"/>
      <c r="AE212" s="145"/>
      <c r="AF212" s="145"/>
      <c r="AG212" s="145"/>
      <c r="AH212" s="145"/>
    </row>
    <row r="213" spans="3:34" ht="15.75" customHeight="1">
      <c r="C213" s="135"/>
      <c r="E213" s="176"/>
      <c r="G213" s="90"/>
      <c r="H213" s="90"/>
      <c r="I213" s="82"/>
      <c r="J213" s="137"/>
      <c r="K213" s="82"/>
      <c r="L213" s="240"/>
      <c r="M213" s="80"/>
      <c r="N213" s="271"/>
      <c r="O213" s="139"/>
      <c r="Q213" s="142"/>
      <c r="R213" s="57"/>
      <c r="S213" s="80"/>
      <c r="U213" s="142"/>
      <c r="V213" s="142"/>
      <c r="Z213" s="143"/>
      <c r="AA213" s="144"/>
      <c r="AB213" s="145"/>
      <c r="AC213" s="145"/>
      <c r="AD213" s="145"/>
      <c r="AE213" s="145"/>
      <c r="AF213" s="145"/>
      <c r="AG213" s="145"/>
      <c r="AH213" s="145"/>
    </row>
    <row r="214" spans="3:34" ht="15.75" customHeight="1">
      <c r="C214" s="135"/>
      <c r="E214" s="176"/>
      <c r="G214" s="90"/>
      <c r="H214" s="90"/>
      <c r="I214" s="82"/>
      <c r="J214" s="137"/>
      <c r="K214" s="82"/>
      <c r="L214" s="240"/>
      <c r="M214" s="80"/>
      <c r="N214" s="271"/>
      <c r="O214" s="139"/>
      <c r="Q214" s="142"/>
      <c r="R214" s="57"/>
      <c r="S214" s="80"/>
      <c r="U214" s="142"/>
      <c r="V214" s="142"/>
      <c r="Z214" s="143"/>
      <c r="AA214" s="144"/>
      <c r="AB214" s="145"/>
      <c r="AC214" s="145"/>
      <c r="AD214" s="145"/>
      <c r="AE214" s="145"/>
      <c r="AF214" s="145"/>
      <c r="AG214" s="145"/>
      <c r="AH214" s="145"/>
    </row>
    <row r="215" spans="3:34" ht="15.75" customHeight="1">
      <c r="C215" s="135"/>
      <c r="E215" s="176"/>
      <c r="G215" s="90"/>
      <c r="H215" s="90"/>
      <c r="I215" s="82"/>
      <c r="J215" s="137"/>
      <c r="K215" s="82"/>
      <c r="L215" s="240"/>
      <c r="M215" s="80"/>
      <c r="N215" s="271"/>
      <c r="O215" s="139"/>
      <c r="Q215" s="142"/>
      <c r="R215" s="57"/>
      <c r="S215" s="80"/>
      <c r="U215" s="142"/>
      <c r="V215" s="142"/>
      <c r="Z215" s="143"/>
      <c r="AA215" s="144"/>
      <c r="AB215" s="145"/>
      <c r="AC215" s="145"/>
      <c r="AD215" s="145"/>
      <c r="AE215" s="145"/>
      <c r="AF215" s="145"/>
      <c r="AG215" s="145"/>
      <c r="AH215" s="145"/>
    </row>
    <row r="216" spans="3:34" ht="15.75" customHeight="1">
      <c r="C216" s="135"/>
      <c r="E216" s="176"/>
      <c r="G216" s="90"/>
      <c r="H216" s="90"/>
      <c r="I216" s="82"/>
      <c r="J216" s="137"/>
      <c r="K216" s="82"/>
      <c r="L216" s="240"/>
      <c r="M216" s="80"/>
      <c r="N216" s="271"/>
      <c r="O216" s="139"/>
      <c r="Q216" s="142"/>
      <c r="R216" s="57"/>
      <c r="S216" s="80"/>
      <c r="U216" s="142"/>
      <c r="V216" s="142"/>
      <c r="Z216" s="143"/>
      <c r="AA216" s="144"/>
      <c r="AB216" s="145"/>
      <c r="AC216" s="145"/>
      <c r="AD216" s="145"/>
      <c r="AE216" s="145"/>
      <c r="AF216" s="145"/>
      <c r="AG216" s="145"/>
      <c r="AH216" s="145"/>
    </row>
    <row r="217" spans="3:34" ht="15.75" customHeight="1">
      <c r="C217" s="135"/>
      <c r="E217" s="176"/>
      <c r="G217" s="90"/>
      <c r="H217" s="90"/>
      <c r="I217" s="82"/>
      <c r="J217" s="137"/>
      <c r="K217" s="82"/>
      <c r="L217" s="240"/>
      <c r="M217" s="80"/>
      <c r="N217" s="271"/>
      <c r="O217" s="139"/>
      <c r="Q217" s="142"/>
      <c r="R217" s="57"/>
      <c r="S217" s="80"/>
      <c r="U217" s="142"/>
      <c r="V217" s="142"/>
      <c r="Z217" s="143"/>
      <c r="AA217" s="144"/>
      <c r="AB217" s="145"/>
      <c r="AC217" s="145"/>
      <c r="AD217" s="145"/>
      <c r="AE217" s="145"/>
      <c r="AF217" s="145"/>
      <c r="AG217" s="145"/>
      <c r="AH217" s="145"/>
    </row>
    <row r="218" spans="3:34" ht="15.75" customHeight="1">
      <c r="C218" s="135"/>
      <c r="E218" s="176"/>
      <c r="G218" s="90"/>
      <c r="H218" s="90"/>
      <c r="I218" s="82"/>
      <c r="J218" s="137"/>
      <c r="K218" s="82"/>
      <c r="L218" s="240"/>
      <c r="M218" s="80"/>
      <c r="N218" s="271"/>
      <c r="O218" s="139"/>
      <c r="Q218" s="142"/>
      <c r="R218" s="57"/>
      <c r="S218" s="80"/>
      <c r="U218" s="142"/>
      <c r="V218" s="142"/>
      <c r="Z218" s="143"/>
      <c r="AA218" s="144"/>
      <c r="AB218" s="145"/>
      <c r="AC218" s="145"/>
      <c r="AD218" s="145"/>
      <c r="AE218" s="145"/>
      <c r="AF218" s="145"/>
      <c r="AG218" s="145"/>
      <c r="AH218" s="145"/>
    </row>
    <row r="219" spans="3:34" ht="15.75" customHeight="1">
      <c r="C219" s="135"/>
      <c r="E219" s="176"/>
      <c r="G219" s="90"/>
      <c r="H219" s="90"/>
      <c r="I219" s="82"/>
      <c r="J219" s="137"/>
      <c r="K219" s="82"/>
      <c r="L219" s="240"/>
      <c r="M219" s="80"/>
      <c r="N219" s="271"/>
      <c r="O219" s="139"/>
      <c r="Q219" s="142"/>
      <c r="R219" s="57"/>
      <c r="S219" s="80"/>
      <c r="U219" s="142"/>
      <c r="V219" s="142"/>
      <c r="Z219" s="143"/>
      <c r="AA219" s="144"/>
      <c r="AB219" s="145"/>
      <c r="AC219" s="145"/>
      <c r="AD219" s="145"/>
      <c r="AE219" s="145"/>
      <c r="AF219" s="145"/>
      <c r="AG219" s="145"/>
      <c r="AH219" s="145"/>
    </row>
    <row r="220" spans="3:34" ht="15.75" customHeight="1">
      <c r="C220" s="135"/>
      <c r="E220" s="176"/>
      <c r="G220" s="90"/>
      <c r="H220" s="90"/>
      <c r="I220" s="82"/>
      <c r="J220" s="137"/>
      <c r="K220" s="82"/>
      <c r="L220" s="240"/>
      <c r="M220" s="80"/>
      <c r="N220" s="271"/>
      <c r="O220" s="139"/>
      <c r="Q220" s="142"/>
      <c r="R220" s="57"/>
      <c r="S220" s="80"/>
      <c r="U220" s="142"/>
      <c r="V220" s="142"/>
      <c r="Z220" s="143"/>
      <c r="AA220" s="144"/>
      <c r="AB220" s="145"/>
      <c r="AC220" s="145"/>
      <c r="AD220" s="145"/>
      <c r="AE220" s="145"/>
      <c r="AF220" s="145"/>
      <c r="AG220" s="145"/>
      <c r="AH220" s="145"/>
    </row>
    <row r="221" spans="3:34" ht="15.75" customHeight="1">
      <c r="C221" s="135"/>
      <c r="E221" s="176"/>
      <c r="G221" s="90"/>
      <c r="H221" s="90"/>
      <c r="I221" s="82"/>
      <c r="J221" s="137"/>
      <c r="K221" s="82"/>
      <c r="L221" s="240"/>
      <c r="M221" s="80"/>
      <c r="N221" s="271"/>
      <c r="O221" s="139"/>
      <c r="Q221" s="142"/>
      <c r="R221" s="57"/>
      <c r="S221" s="80"/>
      <c r="U221" s="142"/>
      <c r="V221" s="142"/>
      <c r="Z221" s="143"/>
      <c r="AA221" s="144"/>
      <c r="AB221" s="145"/>
      <c r="AC221" s="145"/>
      <c r="AD221" s="145"/>
      <c r="AE221" s="145"/>
      <c r="AF221" s="145"/>
      <c r="AG221" s="145"/>
      <c r="AH221" s="145"/>
    </row>
    <row r="222" spans="3:34" ht="15.75" customHeight="1">
      <c r="C222" s="135"/>
      <c r="E222" s="176"/>
      <c r="G222" s="90"/>
      <c r="H222" s="90"/>
      <c r="I222" s="82"/>
      <c r="J222" s="137"/>
      <c r="K222" s="82"/>
      <c r="L222" s="240"/>
      <c r="M222" s="80"/>
      <c r="N222" s="271"/>
      <c r="O222" s="139"/>
      <c r="Q222" s="142"/>
      <c r="R222" s="57"/>
      <c r="S222" s="80"/>
      <c r="U222" s="142"/>
      <c r="V222" s="142"/>
      <c r="Z222" s="143"/>
      <c r="AA222" s="144"/>
      <c r="AB222" s="145"/>
      <c r="AC222" s="145"/>
      <c r="AD222" s="145"/>
      <c r="AE222" s="145"/>
      <c r="AF222" s="145"/>
      <c r="AG222" s="145"/>
      <c r="AH222" s="145"/>
    </row>
    <row r="223" spans="3:34" ht="15.75" customHeight="1">
      <c r="C223" s="135"/>
      <c r="E223" s="176"/>
      <c r="G223" s="90"/>
      <c r="H223" s="90"/>
      <c r="I223" s="82"/>
      <c r="J223" s="137"/>
      <c r="K223" s="82"/>
      <c r="L223" s="240"/>
      <c r="M223" s="80"/>
      <c r="N223" s="271"/>
      <c r="O223" s="139"/>
      <c r="Q223" s="142"/>
      <c r="R223" s="57"/>
      <c r="S223" s="80"/>
      <c r="U223" s="142"/>
      <c r="V223" s="142"/>
      <c r="Z223" s="143"/>
      <c r="AA223" s="144"/>
      <c r="AB223" s="145"/>
      <c r="AC223" s="145"/>
      <c r="AD223" s="145"/>
      <c r="AE223" s="145"/>
      <c r="AF223" s="145"/>
      <c r="AG223" s="145"/>
      <c r="AH223" s="145"/>
    </row>
    <row r="224" spans="3:34" ht="15.75" customHeight="1">
      <c r="C224" s="135"/>
      <c r="E224" s="176"/>
      <c r="G224" s="90"/>
      <c r="H224" s="90"/>
      <c r="I224" s="82"/>
      <c r="J224" s="137"/>
      <c r="K224" s="82"/>
      <c r="L224" s="240"/>
      <c r="M224" s="80"/>
      <c r="N224" s="271"/>
      <c r="O224" s="139"/>
      <c r="Q224" s="142"/>
      <c r="R224" s="57"/>
      <c r="S224" s="80"/>
      <c r="U224" s="142"/>
      <c r="V224" s="142"/>
      <c r="Z224" s="143"/>
      <c r="AA224" s="144"/>
      <c r="AB224" s="145"/>
      <c r="AC224" s="145"/>
      <c r="AD224" s="145"/>
      <c r="AE224" s="145"/>
      <c r="AF224" s="145"/>
      <c r="AG224" s="145"/>
      <c r="AH224" s="145"/>
    </row>
    <row r="225" spans="3:34" ht="15.75" customHeight="1">
      <c r="C225" s="135"/>
      <c r="E225" s="176"/>
      <c r="G225" s="90"/>
      <c r="H225" s="90"/>
      <c r="I225" s="82"/>
      <c r="J225" s="137"/>
      <c r="K225" s="82"/>
      <c r="L225" s="240"/>
      <c r="M225" s="80"/>
      <c r="N225" s="271"/>
      <c r="O225" s="139"/>
      <c r="Q225" s="142"/>
      <c r="R225" s="57"/>
      <c r="S225" s="80"/>
      <c r="U225" s="142"/>
      <c r="V225" s="142"/>
      <c r="Z225" s="143"/>
      <c r="AA225" s="144"/>
      <c r="AB225" s="145"/>
      <c r="AC225" s="145"/>
      <c r="AD225" s="145"/>
      <c r="AE225" s="145"/>
      <c r="AF225" s="145"/>
      <c r="AG225" s="145"/>
      <c r="AH225" s="145"/>
    </row>
    <row r="226" spans="3:34" ht="15.75" customHeight="1">
      <c r="C226" s="135"/>
      <c r="E226" s="176"/>
      <c r="G226" s="90"/>
      <c r="H226" s="90"/>
      <c r="I226" s="82"/>
      <c r="J226" s="137"/>
      <c r="K226" s="82"/>
      <c r="L226" s="240"/>
      <c r="M226" s="80"/>
      <c r="N226" s="271"/>
      <c r="O226" s="139"/>
      <c r="Q226" s="142"/>
      <c r="R226" s="57"/>
      <c r="S226" s="80"/>
      <c r="U226" s="142"/>
      <c r="V226" s="142"/>
      <c r="Z226" s="143"/>
      <c r="AA226" s="144"/>
      <c r="AB226" s="145"/>
      <c r="AC226" s="145"/>
      <c r="AD226" s="145"/>
      <c r="AE226" s="145"/>
      <c r="AF226" s="145"/>
      <c r="AG226" s="145"/>
      <c r="AH226" s="145"/>
    </row>
    <row r="227" spans="3:34" ht="15.75" customHeight="1">
      <c r="C227" s="135"/>
      <c r="E227" s="176"/>
      <c r="G227" s="90"/>
      <c r="H227" s="90"/>
      <c r="I227" s="82"/>
      <c r="J227" s="137"/>
      <c r="K227" s="82"/>
      <c r="L227" s="240"/>
      <c r="M227" s="80"/>
      <c r="N227" s="271"/>
      <c r="O227" s="139"/>
      <c r="Q227" s="142"/>
      <c r="R227" s="57"/>
      <c r="S227" s="80"/>
      <c r="U227" s="142"/>
      <c r="V227" s="142"/>
      <c r="Z227" s="143"/>
      <c r="AA227" s="144"/>
      <c r="AB227" s="145"/>
      <c r="AC227" s="145"/>
      <c r="AD227" s="145"/>
      <c r="AE227" s="145"/>
      <c r="AF227" s="145"/>
      <c r="AG227" s="145"/>
      <c r="AH227" s="145"/>
    </row>
    <row r="228" spans="3:34" ht="15.75" customHeight="1">
      <c r="C228" s="135"/>
      <c r="E228" s="176"/>
      <c r="G228" s="90"/>
      <c r="H228" s="90"/>
      <c r="I228" s="82"/>
      <c r="J228" s="137"/>
      <c r="K228" s="82"/>
      <c r="L228" s="240"/>
      <c r="M228" s="80"/>
      <c r="N228" s="271"/>
      <c r="O228" s="139"/>
      <c r="Q228" s="142"/>
      <c r="R228" s="57"/>
      <c r="S228" s="80"/>
      <c r="U228" s="142"/>
      <c r="V228" s="142"/>
      <c r="Z228" s="143"/>
      <c r="AA228" s="144"/>
      <c r="AB228" s="145"/>
      <c r="AC228" s="145"/>
      <c r="AD228" s="145"/>
      <c r="AE228" s="145"/>
      <c r="AF228" s="145"/>
      <c r="AG228" s="145"/>
      <c r="AH228" s="145"/>
    </row>
    <row r="229" spans="3:34" ht="15.75" customHeight="1">
      <c r="C229" s="135"/>
      <c r="E229" s="176"/>
      <c r="G229" s="90"/>
      <c r="H229" s="90"/>
      <c r="I229" s="82"/>
      <c r="J229" s="137"/>
      <c r="K229" s="82"/>
      <c r="L229" s="240"/>
      <c r="M229" s="80"/>
      <c r="N229" s="271"/>
      <c r="O229" s="139"/>
      <c r="Q229" s="142"/>
      <c r="R229" s="57"/>
      <c r="S229" s="80"/>
      <c r="U229" s="142"/>
      <c r="V229" s="142"/>
      <c r="Z229" s="143"/>
      <c r="AA229" s="144"/>
      <c r="AB229" s="145"/>
      <c r="AC229" s="145"/>
      <c r="AD229" s="145"/>
      <c r="AE229" s="145"/>
      <c r="AF229" s="145"/>
      <c r="AG229" s="145"/>
      <c r="AH229" s="145"/>
    </row>
    <row r="230" spans="3:34" ht="15.75" customHeight="1">
      <c r="C230" s="135"/>
      <c r="E230" s="176"/>
      <c r="G230" s="90"/>
      <c r="H230" s="90"/>
      <c r="I230" s="82"/>
      <c r="J230" s="137"/>
      <c r="K230" s="82"/>
      <c r="L230" s="240"/>
      <c r="M230" s="80"/>
      <c r="N230" s="271"/>
      <c r="O230" s="139"/>
      <c r="Q230" s="142"/>
      <c r="R230" s="57"/>
      <c r="S230" s="80"/>
      <c r="U230" s="142"/>
      <c r="V230" s="142"/>
      <c r="Z230" s="143"/>
      <c r="AA230" s="144"/>
      <c r="AB230" s="145"/>
      <c r="AC230" s="145"/>
      <c r="AD230" s="145"/>
      <c r="AE230" s="145"/>
      <c r="AF230" s="145"/>
      <c r="AG230" s="145"/>
      <c r="AH230" s="145"/>
    </row>
    <row r="231" spans="3:34" ht="15.75" customHeight="1">
      <c r="C231" s="135"/>
      <c r="E231" s="176"/>
      <c r="G231" s="90"/>
      <c r="H231" s="90"/>
      <c r="I231" s="82"/>
      <c r="J231" s="137"/>
      <c r="K231" s="82"/>
      <c r="L231" s="240"/>
      <c r="M231" s="80"/>
      <c r="N231" s="271"/>
      <c r="O231" s="139"/>
      <c r="Q231" s="142"/>
      <c r="R231" s="57"/>
      <c r="S231" s="80"/>
      <c r="U231" s="142"/>
      <c r="V231" s="142"/>
      <c r="Z231" s="143"/>
      <c r="AA231" s="144"/>
      <c r="AB231" s="145"/>
      <c r="AC231" s="145"/>
      <c r="AD231" s="145"/>
      <c r="AE231" s="145"/>
      <c r="AF231" s="145"/>
      <c r="AG231" s="145"/>
      <c r="AH231" s="145"/>
    </row>
    <row r="232" spans="3:34" ht="15.75" customHeight="1">
      <c r="C232" s="135"/>
      <c r="E232" s="176"/>
      <c r="G232" s="90"/>
      <c r="H232" s="90"/>
      <c r="I232" s="82"/>
      <c r="J232" s="137"/>
      <c r="K232" s="82"/>
      <c r="L232" s="240"/>
      <c r="M232" s="80"/>
      <c r="N232" s="271"/>
      <c r="O232" s="139"/>
      <c r="Q232" s="142"/>
      <c r="R232" s="57"/>
      <c r="S232" s="80"/>
      <c r="U232" s="142"/>
      <c r="V232" s="142"/>
      <c r="Z232" s="143"/>
      <c r="AA232" s="144"/>
      <c r="AB232" s="145"/>
      <c r="AC232" s="145"/>
      <c r="AD232" s="145"/>
      <c r="AE232" s="145"/>
      <c r="AF232" s="145"/>
      <c r="AG232" s="145"/>
      <c r="AH232" s="145"/>
    </row>
    <row r="233" spans="3:34" ht="15.75" customHeight="1">
      <c r="C233" s="135"/>
      <c r="E233" s="176"/>
      <c r="G233" s="90"/>
      <c r="H233" s="90"/>
      <c r="I233" s="82"/>
      <c r="J233" s="137"/>
      <c r="K233" s="82"/>
      <c r="L233" s="240"/>
      <c r="M233" s="80"/>
      <c r="N233" s="271"/>
      <c r="O233" s="139"/>
      <c r="Q233" s="142"/>
      <c r="R233" s="57"/>
      <c r="S233" s="80"/>
      <c r="U233" s="142"/>
      <c r="V233" s="142"/>
      <c r="Z233" s="143"/>
      <c r="AA233" s="144"/>
      <c r="AB233" s="145"/>
      <c r="AC233" s="145"/>
      <c r="AD233" s="145"/>
      <c r="AE233" s="145"/>
      <c r="AF233" s="145"/>
      <c r="AG233" s="145"/>
      <c r="AH233" s="145"/>
    </row>
    <row r="234" spans="3:34" ht="15.75" customHeight="1">
      <c r="C234" s="135"/>
      <c r="E234" s="176"/>
      <c r="G234" s="90"/>
      <c r="H234" s="90"/>
      <c r="I234" s="82"/>
      <c r="J234" s="137"/>
      <c r="K234" s="82"/>
      <c r="L234" s="240"/>
      <c r="M234" s="80"/>
      <c r="N234" s="271"/>
      <c r="O234" s="139"/>
      <c r="Q234" s="142"/>
      <c r="R234" s="57"/>
      <c r="S234" s="80"/>
      <c r="U234" s="142"/>
      <c r="V234" s="142"/>
      <c r="Z234" s="143"/>
      <c r="AA234" s="144"/>
      <c r="AB234" s="145"/>
      <c r="AC234" s="145"/>
      <c r="AD234" s="145"/>
      <c r="AE234" s="145"/>
      <c r="AF234" s="145"/>
      <c r="AG234" s="145"/>
      <c r="AH234" s="145"/>
    </row>
    <row r="235" spans="3:34" ht="15.75" customHeight="1">
      <c r="C235" s="135"/>
      <c r="E235" s="176"/>
      <c r="G235" s="90"/>
      <c r="H235" s="90"/>
      <c r="I235" s="82"/>
      <c r="J235" s="137"/>
      <c r="K235" s="82"/>
      <c r="L235" s="240"/>
      <c r="M235" s="80"/>
      <c r="N235" s="271"/>
      <c r="O235" s="139"/>
      <c r="Q235" s="142"/>
      <c r="R235" s="57"/>
      <c r="S235" s="80"/>
      <c r="U235" s="142"/>
      <c r="V235" s="142"/>
      <c r="Z235" s="143"/>
      <c r="AA235" s="144"/>
      <c r="AB235" s="145"/>
      <c r="AC235" s="145"/>
      <c r="AD235" s="145"/>
      <c r="AE235" s="145"/>
      <c r="AF235" s="145"/>
      <c r="AG235" s="145"/>
      <c r="AH235" s="145"/>
    </row>
    <row r="236" spans="3:34" ht="15.75" customHeight="1">
      <c r="C236" s="135"/>
      <c r="E236" s="176"/>
      <c r="G236" s="90"/>
      <c r="H236" s="90"/>
      <c r="I236" s="82"/>
      <c r="J236" s="137"/>
      <c r="K236" s="82"/>
      <c r="L236" s="240"/>
      <c r="M236" s="80"/>
      <c r="N236" s="271"/>
      <c r="O236" s="139"/>
      <c r="Q236" s="142"/>
      <c r="R236" s="57"/>
      <c r="S236" s="80"/>
      <c r="U236" s="142"/>
      <c r="V236" s="142"/>
      <c r="Z236" s="143"/>
      <c r="AA236" s="144"/>
      <c r="AB236" s="145"/>
      <c r="AC236" s="145"/>
      <c r="AD236" s="145"/>
      <c r="AE236" s="145"/>
      <c r="AF236" s="145"/>
      <c r="AG236" s="145"/>
      <c r="AH236" s="145"/>
    </row>
    <row r="237" spans="3:34" ht="15.75" customHeight="1">
      <c r="C237" s="135"/>
      <c r="E237" s="176"/>
      <c r="G237" s="90"/>
      <c r="H237" s="90"/>
      <c r="I237" s="82"/>
      <c r="J237" s="137"/>
      <c r="K237" s="82"/>
      <c r="L237" s="240"/>
      <c r="M237" s="80"/>
      <c r="N237" s="271"/>
      <c r="O237" s="139"/>
      <c r="Q237" s="142"/>
      <c r="R237" s="57"/>
      <c r="S237" s="80"/>
      <c r="U237" s="142"/>
      <c r="V237" s="142"/>
      <c r="Z237" s="143"/>
      <c r="AA237" s="144"/>
      <c r="AB237" s="145"/>
      <c r="AC237" s="145"/>
      <c r="AD237" s="145"/>
      <c r="AE237" s="145"/>
      <c r="AF237" s="145"/>
      <c r="AG237" s="145"/>
      <c r="AH237" s="145"/>
    </row>
    <row r="238" spans="3:34" ht="15.75" customHeight="1">
      <c r="C238" s="135"/>
      <c r="E238" s="176"/>
      <c r="G238" s="90"/>
      <c r="H238" s="90"/>
      <c r="I238" s="82"/>
      <c r="J238" s="137"/>
      <c r="K238" s="82"/>
      <c r="L238" s="240"/>
      <c r="M238" s="80"/>
      <c r="N238" s="271"/>
      <c r="O238" s="139"/>
      <c r="Q238" s="142"/>
      <c r="R238" s="57"/>
      <c r="S238" s="80"/>
      <c r="U238" s="142"/>
      <c r="V238" s="142"/>
      <c r="Z238" s="143"/>
      <c r="AA238" s="144"/>
      <c r="AB238" s="145"/>
      <c r="AC238" s="145"/>
      <c r="AD238" s="145"/>
      <c r="AE238" s="145"/>
      <c r="AF238" s="145"/>
      <c r="AG238" s="145"/>
      <c r="AH238" s="145"/>
    </row>
    <row r="239" spans="3:34" ht="15.75" customHeight="1">
      <c r="C239" s="135"/>
      <c r="E239" s="176"/>
      <c r="G239" s="90"/>
      <c r="H239" s="90"/>
      <c r="I239" s="82"/>
      <c r="J239" s="137"/>
      <c r="K239" s="82"/>
      <c r="L239" s="240"/>
      <c r="M239" s="80"/>
      <c r="N239" s="271"/>
      <c r="O239" s="139"/>
      <c r="Q239" s="142"/>
      <c r="R239" s="57"/>
      <c r="S239" s="80"/>
      <c r="U239" s="142"/>
      <c r="V239" s="142"/>
      <c r="Z239" s="143"/>
      <c r="AA239" s="144"/>
      <c r="AB239" s="145"/>
      <c r="AC239" s="145"/>
      <c r="AD239" s="145"/>
      <c r="AE239" s="145"/>
      <c r="AF239" s="145"/>
      <c r="AG239" s="145"/>
      <c r="AH239" s="145"/>
    </row>
    <row r="240" spans="3:34" ht="15.75" customHeight="1">
      <c r="C240" s="135"/>
      <c r="E240" s="176"/>
      <c r="G240" s="90"/>
      <c r="H240" s="90"/>
      <c r="I240" s="82"/>
      <c r="J240" s="137"/>
      <c r="K240" s="82"/>
      <c r="L240" s="240"/>
      <c r="M240" s="80"/>
      <c r="N240" s="271"/>
      <c r="O240" s="139"/>
      <c r="Q240" s="142"/>
      <c r="R240" s="57"/>
      <c r="S240" s="80"/>
      <c r="U240" s="142"/>
      <c r="V240" s="142"/>
      <c r="Z240" s="143"/>
      <c r="AA240" s="144"/>
      <c r="AB240" s="145"/>
      <c r="AC240" s="145"/>
      <c r="AD240" s="145"/>
      <c r="AE240" s="145"/>
      <c r="AF240" s="145"/>
      <c r="AG240" s="145"/>
      <c r="AH240" s="145"/>
    </row>
    <row r="241" spans="3:34" ht="15.75" customHeight="1">
      <c r="C241" s="135"/>
      <c r="E241" s="176"/>
      <c r="G241" s="90"/>
      <c r="H241" s="90"/>
      <c r="I241" s="82"/>
      <c r="J241" s="137"/>
      <c r="K241" s="82"/>
      <c r="L241" s="240"/>
      <c r="M241" s="80"/>
      <c r="N241" s="271"/>
      <c r="O241" s="139"/>
      <c r="Q241" s="142"/>
      <c r="R241" s="57"/>
      <c r="S241" s="80"/>
      <c r="U241" s="142"/>
      <c r="V241" s="142"/>
      <c r="Z241" s="143"/>
      <c r="AA241" s="144"/>
      <c r="AB241" s="145"/>
      <c r="AC241" s="145"/>
      <c r="AD241" s="145"/>
      <c r="AE241" s="145"/>
      <c r="AF241" s="145"/>
      <c r="AG241" s="145"/>
      <c r="AH241" s="145"/>
    </row>
    <row r="242" spans="3:34" ht="15.75" customHeight="1">
      <c r="C242" s="135"/>
      <c r="E242" s="176"/>
      <c r="G242" s="90"/>
      <c r="H242" s="90"/>
      <c r="I242" s="82"/>
      <c r="J242" s="137"/>
      <c r="K242" s="82"/>
      <c r="L242" s="240"/>
      <c r="M242" s="80"/>
      <c r="N242" s="271"/>
      <c r="O242" s="139"/>
      <c r="Q242" s="142"/>
      <c r="R242" s="57"/>
      <c r="S242" s="80"/>
      <c r="U242" s="142"/>
      <c r="V242" s="142"/>
      <c r="Z242" s="143"/>
      <c r="AA242" s="144"/>
      <c r="AB242" s="145"/>
      <c r="AC242" s="145"/>
      <c r="AD242" s="145"/>
      <c r="AE242" s="145"/>
      <c r="AF242" s="145"/>
      <c r="AG242" s="145"/>
      <c r="AH242" s="145"/>
    </row>
    <row r="243" spans="3:34" ht="15.75" customHeight="1">
      <c r="C243" s="135"/>
      <c r="E243" s="176"/>
      <c r="G243" s="90"/>
      <c r="H243" s="90"/>
      <c r="I243" s="82"/>
      <c r="J243" s="137"/>
      <c r="K243" s="82"/>
      <c r="L243" s="240"/>
      <c r="M243" s="80"/>
      <c r="N243" s="271"/>
      <c r="O243" s="139"/>
      <c r="Q243" s="142"/>
      <c r="R243" s="57"/>
      <c r="S243" s="80"/>
      <c r="U243" s="142"/>
      <c r="V243" s="142"/>
      <c r="Z243" s="143"/>
      <c r="AA243" s="144"/>
      <c r="AB243" s="145"/>
      <c r="AC243" s="145"/>
      <c r="AD243" s="145"/>
      <c r="AE243" s="145"/>
      <c r="AF243" s="145"/>
      <c r="AG243" s="145"/>
      <c r="AH243" s="145"/>
    </row>
    <row r="244" spans="3:34" ht="15.75" customHeight="1">
      <c r="C244" s="135"/>
      <c r="E244" s="176"/>
      <c r="G244" s="90"/>
      <c r="H244" s="90"/>
      <c r="I244" s="82"/>
      <c r="J244" s="137"/>
      <c r="K244" s="82"/>
      <c r="L244" s="240"/>
      <c r="M244" s="80"/>
      <c r="N244" s="271"/>
      <c r="O244" s="139"/>
      <c r="Q244" s="142"/>
      <c r="R244" s="57"/>
      <c r="S244" s="80"/>
      <c r="U244" s="142"/>
      <c r="V244" s="142"/>
      <c r="Z244" s="143"/>
      <c r="AA244" s="144"/>
      <c r="AB244" s="145"/>
      <c r="AC244" s="145"/>
      <c r="AD244" s="145"/>
      <c r="AE244" s="145"/>
      <c r="AF244" s="145"/>
      <c r="AG244" s="145"/>
      <c r="AH244" s="145"/>
    </row>
    <row r="245" spans="3:34" ht="15.75" customHeight="1">
      <c r="AB245" s="83"/>
      <c r="AC245" s="83"/>
      <c r="AD245" s="83"/>
      <c r="AE245" s="83"/>
      <c r="AF245" s="83"/>
      <c r="AG245" s="83"/>
      <c r="AH245" s="83"/>
    </row>
    <row r="246" spans="3:34" ht="15.75" customHeight="1">
      <c r="AB246" s="83"/>
      <c r="AC246" s="83"/>
      <c r="AD246" s="83"/>
      <c r="AE246" s="83"/>
      <c r="AF246" s="83"/>
      <c r="AG246" s="83"/>
      <c r="AH246" s="83"/>
    </row>
    <row r="247" spans="3:34" ht="15.75" customHeight="1">
      <c r="AB247" s="83"/>
      <c r="AC247" s="83"/>
      <c r="AD247" s="83"/>
      <c r="AE247" s="83"/>
      <c r="AF247" s="83"/>
      <c r="AG247" s="83"/>
      <c r="AH247" s="83"/>
    </row>
    <row r="248" spans="3:34" ht="15.75" customHeight="1">
      <c r="AB248" s="83"/>
      <c r="AC248" s="83"/>
      <c r="AD248" s="83"/>
      <c r="AE248" s="83"/>
      <c r="AF248" s="83"/>
      <c r="AG248" s="83"/>
      <c r="AH248" s="83"/>
    </row>
    <row r="249" spans="3:34" ht="15.75" customHeight="1"/>
    <row r="250" spans="3:34" ht="15.75" customHeight="1"/>
    <row r="251" spans="3:34" ht="15.75" customHeight="1"/>
    <row r="252" spans="3:34" ht="15.75" customHeight="1"/>
    <row r="253" spans="3:34" ht="15.75" customHeight="1"/>
    <row r="254" spans="3:34" ht="15.75" customHeight="1"/>
    <row r="255" spans="3:34" ht="15.75" customHeight="1"/>
    <row r="256" spans="3:34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Hoja29">
    <tabColor rgb="FF00B050"/>
  </sheetPr>
  <dimension ref="A1:AM1000"/>
  <sheetViews>
    <sheetView showGridLines="0" workbookViewId="0">
      <pane xSplit="1" ySplit="3" topLeftCell="AA4" activePane="bottomRight" state="frozen"/>
      <selection activeCell="AO3" sqref="AO3"/>
      <selection pane="topRight" activeCell="AO3" sqref="AO3"/>
      <selection pane="bottomLeft" activeCell="AO3" sqref="AO3"/>
      <selection pane="bottomRight" activeCell="AO3" sqref="AO3"/>
    </sheetView>
  </sheetViews>
  <sheetFormatPr baseColWidth="10" defaultColWidth="14.44140625" defaultRowHeight="15" customHeight="1"/>
  <cols>
    <col min="1" max="1" width="14.5546875" customWidth="1"/>
    <col min="2" max="2" width="11.44140625" customWidth="1"/>
    <col min="3" max="3" width="10.88671875" customWidth="1"/>
    <col min="4" max="4" width="23.6640625" customWidth="1"/>
    <col min="5" max="5" width="12.44140625" customWidth="1"/>
    <col min="6" max="6" width="32.88671875" customWidth="1"/>
    <col min="7" max="7" width="10.33203125" customWidth="1"/>
    <col min="8" max="8" width="11.44140625" customWidth="1"/>
    <col min="9" max="11" width="10.6640625" customWidth="1"/>
    <col min="12" max="12" width="15.33203125" customWidth="1"/>
    <col min="13" max="13" width="18.33203125" customWidth="1"/>
    <col min="14" max="14" width="15.33203125" customWidth="1"/>
    <col min="15" max="15" width="17.44140625" customWidth="1"/>
    <col min="16" max="16" width="11.109375" customWidth="1"/>
    <col min="17" max="17" width="12.6640625" customWidth="1"/>
    <col min="18" max="18" width="10.6640625" customWidth="1"/>
    <col min="19" max="19" width="11.6640625" customWidth="1"/>
    <col min="20" max="22" width="10.6640625" customWidth="1"/>
    <col min="23" max="24" width="11.44140625" customWidth="1"/>
    <col min="25" max="25" width="19.44140625" customWidth="1"/>
    <col min="26" max="26" width="18.109375" customWidth="1"/>
    <col min="27" max="27" width="15.33203125" customWidth="1"/>
    <col min="28" max="28" width="12.88671875" customWidth="1"/>
    <col min="29" max="29" width="14.44140625" customWidth="1"/>
    <col min="30" max="30" width="10.6640625" customWidth="1"/>
    <col min="31" max="32" width="15.5546875" customWidth="1"/>
    <col min="33" max="33" width="15.88671875" customWidth="1"/>
    <col min="34" max="34" width="10.33203125" customWidth="1"/>
  </cols>
  <sheetData>
    <row r="1" spans="1:39" ht="15.75" customHeight="1">
      <c r="AB1" s="83"/>
      <c r="AC1" s="83"/>
      <c r="AD1" s="83"/>
      <c r="AE1" s="83"/>
      <c r="AF1" s="83"/>
      <c r="AG1" s="168" t="s">
        <v>240</v>
      </c>
      <c r="AH1" s="83" t="s">
        <v>64</v>
      </c>
      <c r="AI1" s="80" t="s">
        <v>242</v>
      </c>
      <c r="AJ1" s="169" t="s">
        <v>809</v>
      </c>
    </row>
    <row r="2" spans="1:39" ht="15.75" customHeight="1">
      <c r="G2" s="90"/>
      <c r="H2" s="90"/>
      <c r="I2" s="81">
        <f>SUM(I4:I52)</f>
        <v>455.61</v>
      </c>
      <c r="J2" s="81"/>
      <c r="K2" s="81">
        <f>SUM(K4:K52)</f>
        <v>411.14610500000003</v>
      </c>
      <c r="Q2" s="57">
        <f>+SUMPRODUCT(Q4:Q865,AH4:AH865)/SUM(AH4:AH865)</f>
        <v>91.176762850943916</v>
      </c>
      <c r="R2" s="57">
        <f>+SUMPRODUCT(R4:R865,AH4:AH865)/SUM(AH4:AH865)</f>
        <v>2071.3356346682563</v>
      </c>
      <c r="AB2" s="83"/>
      <c r="AC2" s="83"/>
      <c r="AD2" s="83"/>
      <c r="AE2" s="83"/>
      <c r="AF2" s="83"/>
      <c r="AG2" s="168">
        <f>SUMPRODUCT($AG4:$AG1023,$K4:$K1023)/SUM($K4:$K1023)</f>
        <v>75.767616156950481</v>
      </c>
      <c r="AH2" s="83">
        <f>SUM(AH4:AH1034)</f>
        <v>4004.0549634995614</v>
      </c>
      <c r="AI2" s="171">
        <v>2380</v>
      </c>
      <c r="AJ2" s="169" t="s">
        <v>646</v>
      </c>
    </row>
    <row r="3" spans="1:39" ht="15.75" customHeight="1">
      <c r="A3" s="100" t="s">
        <v>11</v>
      </c>
      <c r="B3" s="100" t="s">
        <v>39</v>
      </c>
      <c r="C3" s="100" t="s">
        <v>40</v>
      </c>
      <c r="D3" s="100" t="s">
        <v>41</v>
      </c>
      <c r="E3" s="100" t="s">
        <v>340</v>
      </c>
      <c r="F3" s="100" t="s">
        <v>43</v>
      </c>
      <c r="G3" s="100" t="s">
        <v>16</v>
      </c>
      <c r="H3" s="101"/>
      <c r="I3" s="172" t="s">
        <v>13</v>
      </c>
      <c r="J3" s="172" t="s">
        <v>14</v>
      </c>
      <c r="K3" s="100" t="s">
        <v>15</v>
      </c>
      <c r="L3" s="112" t="s">
        <v>647</v>
      </c>
      <c r="M3" s="107" t="s">
        <v>648</v>
      </c>
      <c r="N3" s="107" t="s">
        <v>649</v>
      </c>
      <c r="O3" s="101" t="s">
        <v>650</v>
      </c>
      <c r="P3" s="112" t="s">
        <v>48</v>
      </c>
      <c r="Q3" s="112" t="s">
        <v>49</v>
      </c>
      <c r="R3" s="112" t="s">
        <v>50</v>
      </c>
      <c r="S3" s="112" t="s">
        <v>51</v>
      </c>
      <c r="T3" s="110" t="s">
        <v>52</v>
      </c>
      <c r="U3" s="110" t="s">
        <v>21</v>
      </c>
      <c r="V3" s="111" t="s">
        <v>22</v>
      </c>
      <c r="W3" s="112" t="s">
        <v>53</v>
      </c>
      <c r="X3" s="112" t="s">
        <v>54</v>
      </c>
      <c r="Y3" s="112" t="s">
        <v>651</v>
      </c>
      <c r="Z3" s="101" t="s">
        <v>56</v>
      </c>
      <c r="AA3" s="101" t="s">
        <v>57</v>
      </c>
      <c r="AB3" s="113" t="s">
        <v>58</v>
      </c>
      <c r="AC3" s="114" t="s">
        <v>59</v>
      </c>
      <c r="AD3" s="115" t="s">
        <v>60</v>
      </c>
      <c r="AE3" s="115" t="s">
        <v>61</v>
      </c>
      <c r="AF3" s="115" t="s">
        <v>62</v>
      </c>
      <c r="AG3" s="173" t="s">
        <v>63</v>
      </c>
      <c r="AH3" s="173" t="s">
        <v>64</v>
      </c>
      <c r="AI3" s="57">
        <f>SUMPRODUCT(K4:K1034,AI4:AI1034)/K2</f>
        <v>128.94725828292292</v>
      </c>
      <c r="AJ3" s="291">
        <f>SUM(AJ4:AJ952)</f>
        <v>3869.4735436651499</v>
      </c>
    </row>
    <row r="4" spans="1:39" ht="15.75" customHeight="1">
      <c r="A4" s="132" t="s">
        <v>810</v>
      </c>
      <c r="B4" s="420">
        <v>45281</v>
      </c>
      <c r="C4" s="420">
        <v>45275</v>
      </c>
      <c r="D4" s="343" t="s">
        <v>811</v>
      </c>
      <c r="E4" s="6"/>
      <c r="G4" s="6"/>
      <c r="H4" s="90"/>
      <c r="I4" s="421">
        <v>5.75</v>
      </c>
      <c r="J4" s="422">
        <v>13.5</v>
      </c>
      <c r="K4" s="423">
        <f>+I4-(I4/100*(J4))</f>
        <v>4.9737499999999999</v>
      </c>
      <c r="L4" s="396">
        <v>0.15</v>
      </c>
      <c r="M4" s="396">
        <v>0.15</v>
      </c>
      <c r="N4" s="396">
        <v>0.15</v>
      </c>
      <c r="O4" s="424">
        <f t="shared" ref="O4:O25" si="0">+(M4+N4)/2</f>
        <v>0.15</v>
      </c>
      <c r="P4" s="425">
        <v>87</v>
      </c>
      <c r="Q4" s="6">
        <v>90.12</v>
      </c>
      <c r="R4" s="426">
        <v>2032.8</v>
      </c>
      <c r="S4" s="28">
        <v>120</v>
      </c>
      <c r="T4" s="57">
        <v>10</v>
      </c>
      <c r="U4" s="427">
        <v>100</v>
      </c>
      <c r="V4" s="427">
        <v>1.1023000000000001</v>
      </c>
      <c r="W4" s="428">
        <v>5</v>
      </c>
      <c r="X4" s="428">
        <v>6</v>
      </c>
      <c r="Y4" s="427">
        <v>25</v>
      </c>
      <c r="Z4" s="429">
        <f t="shared" ref="Z4:Z27" si="1">IF(+((W4-3)*2+(X4-3)*3.5)&gt;0,+((W4-3)*2+(X4-3)*3.5),0)</f>
        <v>14.5</v>
      </c>
      <c r="AA4" s="429">
        <f t="shared" ref="AA4:AA27" si="2">+Y4+Z4</f>
        <v>39.5</v>
      </c>
      <c r="AB4" s="430">
        <f t="shared" ref="AB4:AB19" si="3">+((L4*P4*(R4-U4)/100)-S4-AA4+T4)*V4</f>
        <v>113.23971991999998</v>
      </c>
      <c r="AC4" s="431">
        <f>+(S4*V4)-'data 1'!$F$4-T4*V4</f>
        <v>41.253000000000014</v>
      </c>
      <c r="AD4" s="431">
        <f t="shared" ref="AD4:AD27" si="4">+(Q4-P4)*(R4-U4)*L4*V4/100</f>
        <v>9.9708590592000146</v>
      </c>
      <c r="AE4" s="431">
        <f>+(AA4*V4)-Z4-'data 1'!$I$21</f>
        <v>3.4597689189189182</v>
      </c>
      <c r="AF4" s="431">
        <f t="shared" ref="AF4:AF27" si="5">(L4-O4)*(R4-U4)*Q4*V4/100</f>
        <v>0</v>
      </c>
      <c r="AG4" s="432">
        <f t="shared" ref="AG4:AG11" si="6">+AC4+AD4+AE4</f>
        <v>54.683627978118949</v>
      </c>
      <c r="AH4" s="431">
        <f t="shared" ref="AH4:AH27" si="7">31.1035*L4*Q4*1.1023*K4/100</f>
        <v>23.051832940634277</v>
      </c>
      <c r="AI4" s="57">
        <f t="shared" ref="AI4:AI27" si="8">+((+$AI$2-R4+U4)*L4*Q4*V4)/100</f>
        <v>66.636786340800015</v>
      </c>
      <c r="AJ4" s="268">
        <f t="shared" ref="AJ4:AJ50" si="9">1.1023*31.1035*K4*P4*O4/100</f>
        <v>22.253766820186218</v>
      </c>
      <c r="AK4" s="57">
        <f t="shared" ref="AK4:AK50" si="10">+AH4-AJ4</f>
        <v>0.79806612044805902</v>
      </c>
      <c r="AM4" s="57">
        <f t="shared" ref="AM4:AM50" si="11">+AB4*K4</f>
        <v>563.22605695209995</v>
      </c>
    </row>
    <row r="5" spans="1:39" ht="15.75" customHeight="1">
      <c r="A5" s="132" t="s">
        <v>812</v>
      </c>
      <c r="B5" s="420">
        <v>45281</v>
      </c>
      <c r="C5" s="420">
        <v>45277</v>
      </c>
      <c r="D5" s="433" t="s">
        <v>813</v>
      </c>
      <c r="E5" s="427">
        <v>10412075884</v>
      </c>
      <c r="F5" s="427"/>
      <c r="G5" s="6"/>
      <c r="H5" s="434"/>
      <c r="I5" s="435">
        <v>1.43</v>
      </c>
      <c r="J5" s="436">
        <v>4.4000000000000004</v>
      </c>
      <c r="K5" s="435">
        <v>1.3670799999999999</v>
      </c>
      <c r="L5" s="424">
        <v>0.65549999999999997</v>
      </c>
      <c r="M5" s="424">
        <v>0.65549999999999997</v>
      </c>
      <c r="N5" s="424">
        <v>0.65549999999999997</v>
      </c>
      <c r="O5" s="424">
        <f t="shared" si="0"/>
        <v>0.65549999999999997</v>
      </c>
      <c r="P5" s="437">
        <v>87</v>
      </c>
      <c r="Q5" s="427">
        <v>92.03</v>
      </c>
      <c r="R5" s="438">
        <v>2032.8</v>
      </c>
      <c r="S5" s="439">
        <v>160</v>
      </c>
      <c r="T5" s="429"/>
      <c r="U5" s="427">
        <v>100</v>
      </c>
      <c r="V5" s="427">
        <v>1.1023000000000001</v>
      </c>
      <c r="W5" s="428">
        <v>5</v>
      </c>
      <c r="X5" s="428">
        <v>6.5</v>
      </c>
      <c r="Y5" s="427">
        <v>25</v>
      </c>
      <c r="Z5" s="427">
        <f t="shared" si="1"/>
        <v>16.25</v>
      </c>
      <c r="AA5" s="427">
        <f t="shared" si="2"/>
        <v>41.25</v>
      </c>
      <c r="AB5" s="430">
        <f t="shared" si="3"/>
        <v>993.16882555039979</v>
      </c>
      <c r="AC5" s="431">
        <f>+(S5*V5)-'data 1'!$F$4-T5*V5</f>
        <v>96.367999999999995</v>
      </c>
      <c r="AD5" s="431">
        <f t="shared" si="4"/>
        <v>70.246939123776016</v>
      </c>
      <c r="AE5" s="431">
        <f>+(AA5*V5)-Z5-'data 1'!$I$21</f>
        <v>3.6387939189189211</v>
      </c>
      <c r="AF5" s="431">
        <f t="shared" si="5"/>
        <v>0</v>
      </c>
      <c r="AG5" s="432">
        <f t="shared" si="6"/>
        <v>170.25373304269493</v>
      </c>
      <c r="AH5" s="431">
        <f t="shared" si="7"/>
        <v>28.275162990470594</v>
      </c>
      <c r="AI5" s="57">
        <f t="shared" si="8"/>
        <v>297.37449692792404</v>
      </c>
      <c r="AJ5" s="268">
        <f t="shared" si="9"/>
        <v>26.729753125838766</v>
      </c>
      <c r="AK5" s="57">
        <f t="shared" si="10"/>
        <v>1.5454098646318286</v>
      </c>
      <c r="AM5" s="57">
        <f t="shared" si="11"/>
        <v>1357.7412380334404</v>
      </c>
    </row>
    <row r="6" spans="1:39" ht="15.75" customHeight="1">
      <c r="A6" s="132" t="s">
        <v>814</v>
      </c>
      <c r="B6" s="420">
        <v>45281</v>
      </c>
      <c r="C6" s="420">
        <v>45277</v>
      </c>
      <c r="D6" s="433" t="s">
        <v>813</v>
      </c>
      <c r="E6" s="427">
        <v>10412075884</v>
      </c>
      <c r="F6" s="427"/>
      <c r="G6" s="6"/>
      <c r="H6" s="434"/>
      <c r="I6" s="435">
        <v>3.66</v>
      </c>
      <c r="J6" s="436">
        <v>6.55</v>
      </c>
      <c r="K6" s="435">
        <v>3.4202700000000004</v>
      </c>
      <c r="L6" s="440">
        <v>0.36</v>
      </c>
      <c r="M6" s="440">
        <v>0.36</v>
      </c>
      <c r="N6" s="440">
        <v>0.36</v>
      </c>
      <c r="O6" s="424">
        <f t="shared" si="0"/>
        <v>0.36</v>
      </c>
      <c r="P6" s="437">
        <v>87</v>
      </c>
      <c r="Q6" s="427">
        <v>93.31</v>
      </c>
      <c r="R6" s="438">
        <v>2032.8</v>
      </c>
      <c r="S6" s="439">
        <v>140</v>
      </c>
      <c r="T6" s="429">
        <v>20</v>
      </c>
      <c r="U6" s="427">
        <v>100</v>
      </c>
      <c r="V6" s="427">
        <v>1.1023000000000001</v>
      </c>
      <c r="W6" s="428">
        <v>5</v>
      </c>
      <c r="X6" s="428">
        <v>6.3</v>
      </c>
      <c r="Y6" s="427">
        <v>25</v>
      </c>
      <c r="Z6" s="427">
        <f t="shared" si="1"/>
        <v>15.549999999999999</v>
      </c>
      <c r="AA6" s="427">
        <f t="shared" si="2"/>
        <v>40.549999999999997</v>
      </c>
      <c r="AB6" s="430">
        <f t="shared" si="3"/>
        <v>490.30630280800005</v>
      </c>
      <c r="AC6" s="431">
        <f>+(S6*V6)-'data 1'!$F$4-T6*V6</f>
        <v>52.276000000000003</v>
      </c>
      <c r="AD6" s="431">
        <f t="shared" si="4"/>
        <v>48.397015895040013</v>
      </c>
      <c r="AE6" s="431">
        <f>+(AA6*V6)-Z6-'data 1'!$I$21</f>
        <v>3.5671839189189214</v>
      </c>
      <c r="AF6" s="431">
        <f t="shared" si="5"/>
        <v>0</v>
      </c>
      <c r="AG6" s="432">
        <f t="shared" si="6"/>
        <v>104.24019981395892</v>
      </c>
      <c r="AH6" s="431">
        <f t="shared" si="7"/>
        <v>39.391285202548303</v>
      </c>
      <c r="AI6" s="57">
        <f t="shared" si="8"/>
        <v>165.58930848096003</v>
      </c>
      <c r="AJ6" s="268">
        <f t="shared" si="9"/>
        <v>36.727487006984262</v>
      </c>
      <c r="AK6" s="57">
        <f t="shared" si="10"/>
        <v>2.6637981955640413</v>
      </c>
      <c r="AM6" s="57">
        <f t="shared" si="11"/>
        <v>1676.9799383051186</v>
      </c>
    </row>
    <row r="7" spans="1:39" ht="15.75" customHeight="1">
      <c r="A7" s="132" t="s">
        <v>815</v>
      </c>
      <c r="B7" s="420">
        <v>45281</v>
      </c>
      <c r="C7" s="420">
        <v>45277</v>
      </c>
      <c r="D7" s="433" t="s">
        <v>813</v>
      </c>
      <c r="E7" s="427">
        <v>10412075884</v>
      </c>
      <c r="F7" s="427"/>
      <c r="G7" s="6"/>
      <c r="H7" s="434"/>
      <c r="I7" s="435">
        <v>5.36</v>
      </c>
      <c r="J7" s="436">
        <v>6</v>
      </c>
      <c r="K7" s="435">
        <v>5.0384000000000002</v>
      </c>
      <c r="L7" s="440">
        <v>0.26300000000000001</v>
      </c>
      <c r="M7" s="440">
        <v>0.26300000000000001</v>
      </c>
      <c r="N7" s="440">
        <v>0.26300000000000001</v>
      </c>
      <c r="O7" s="424">
        <f t="shared" si="0"/>
        <v>0.26300000000000001</v>
      </c>
      <c r="P7" s="437">
        <v>87</v>
      </c>
      <c r="Q7" s="427">
        <v>91.2</v>
      </c>
      <c r="R7" s="438">
        <v>2032.8</v>
      </c>
      <c r="S7" s="439">
        <v>130</v>
      </c>
      <c r="T7" s="429">
        <v>20</v>
      </c>
      <c r="U7" s="427">
        <v>100</v>
      </c>
      <c r="V7" s="427">
        <v>1.1023000000000001</v>
      </c>
      <c r="W7" s="428">
        <v>5</v>
      </c>
      <c r="X7" s="428">
        <v>6.1</v>
      </c>
      <c r="Y7" s="427">
        <v>25</v>
      </c>
      <c r="Z7" s="427">
        <f t="shared" si="1"/>
        <v>14.849999999999998</v>
      </c>
      <c r="AA7" s="427">
        <f t="shared" si="2"/>
        <v>39.849999999999994</v>
      </c>
      <c r="AB7" s="430">
        <f t="shared" si="3"/>
        <v>322.30587092639996</v>
      </c>
      <c r="AC7" s="431">
        <f>+(S7*V7)-'data 1'!$F$4-T7*V7</f>
        <v>41.253000000000007</v>
      </c>
      <c r="AD7" s="431">
        <f t="shared" si="4"/>
        <v>23.533784010240019</v>
      </c>
      <c r="AE7" s="431">
        <f>+(AA7*V7)-Z7-'data 1'!$I$21</f>
        <v>3.4955739189189181</v>
      </c>
      <c r="AF7" s="431">
        <f t="shared" si="5"/>
        <v>0</v>
      </c>
      <c r="AG7" s="432">
        <f t="shared" si="6"/>
        <v>68.282357929158948</v>
      </c>
      <c r="AH7" s="431">
        <f t="shared" si="7"/>
        <v>41.433564732391048</v>
      </c>
      <c r="AI7" s="57">
        <f t="shared" si="8"/>
        <v>118.23666980736003</v>
      </c>
      <c r="AJ7" s="268">
        <f t="shared" si="9"/>
        <v>39.525440040767769</v>
      </c>
      <c r="AK7" s="57">
        <f t="shared" si="10"/>
        <v>1.9081246916232786</v>
      </c>
      <c r="AM7" s="57">
        <f t="shared" si="11"/>
        <v>1623.9059000755735</v>
      </c>
    </row>
    <row r="8" spans="1:39" ht="15.75" customHeight="1">
      <c r="A8" s="132" t="s">
        <v>816</v>
      </c>
      <c r="B8" s="420">
        <v>45281</v>
      </c>
      <c r="C8" s="420">
        <v>45277</v>
      </c>
      <c r="D8" s="433" t="s">
        <v>813</v>
      </c>
      <c r="E8" s="427">
        <v>10412075884</v>
      </c>
      <c r="F8" s="427"/>
      <c r="G8" s="6"/>
      <c r="H8" s="434"/>
      <c r="I8" s="435">
        <v>2.31</v>
      </c>
      <c r="J8" s="436">
        <v>6</v>
      </c>
      <c r="K8" s="435">
        <v>2.1714000000000002</v>
      </c>
      <c r="L8" s="424">
        <v>0.1215</v>
      </c>
      <c r="M8" s="424">
        <v>0.1215</v>
      </c>
      <c r="N8" s="424">
        <v>0.1215</v>
      </c>
      <c r="O8" s="424">
        <f t="shared" si="0"/>
        <v>0.1215</v>
      </c>
      <c r="P8" s="437">
        <v>87</v>
      </c>
      <c r="Q8" s="427">
        <v>90.2</v>
      </c>
      <c r="R8" s="438">
        <v>2032.8</v>
      </c>
      <c r="S8" s="439">
        <v>120</v>
      </c>
      <c r="T8" s="429"/>
      <c r="U8" s="427">
        <v>100</v>
      </c>
      <c r="V8" s="427">
        <v>1.1023000000000001</v>
      </c>
      <c r="W8" s="428">
        <v>5</v>
      </c>
      <c r="X8" s="428">
        <v>6.1</v>
      </c>
      <c r="Y8" s="427">
        <v>25</v>
      </c>
      <c r="Z8" s="427">
        <f t="shared" si="1"/>
        <v>14.849999999999998</v>
      </c>
      <c r="AA8" s="427">
        <f t="shared" si="2"/>
        <v>39.849999999999994</v>
      </c>
      <c r="AB8" s="430">
        <f t="shared" si="3"/>
        <v>49.004536635199976</v>
      </c>
      <c r="AC8" s="431">
        <f>+(S8*V8)-'data 1'!$F$4-T8*V8</f>
        <v>52.27600000000001</v>
      </c>
      <c r="AD8" s="431">
        <f t="shared" si="4"/>
        <v>8.2834829107200072</v>
      </c>
      <c r="AE8" s="431">
        <f>+(AA8*V8)-Z8-'data 1'!$I$21</f>
        <v>3.4955739189189181</v>
      </c>
      <c r="AF8" s="431">
        <f t="shared" si="5"/>
        <v>0</v>
      </c>
      <c r="AG8" s="432">
        <f t="shared" si="6"/>
        <v>64.055056829638943</v>
      </c>
      <c r="AH8" s="431">
        <f t="shared" si="7"/>
        <v>8.1589020296087114</v>
      </c>
      <c r="AI8" s="57">
        <f t="shared" si="8"/>
        <v>54.02371153608</v>
      </c>
      <c r="AJ8" s="268">
        <f t="shared" si="9"/>
        <v>7.8694509598221485</v>
      </c>
      <c r="AK8" s="57">
        <f t="shared" si="10"/>
        <v>0.28945106978656288</v>
      </c>
      <c r="AM8" s="57">
        <f t="shared" si="11"/>
        <v>106.40845084967324</v>
      </c>
    </row>
    <row r="9" spans="1:39" ht="15.75" customHeight="1">
      <c r="A9" s="132" t="s">
        <v>817</v>
      </c>
      <c r="B9" s="420">
        <v>45281</v>
      </c>
      <c r="C9" s="420">
        <v>45277</v>
      </c>
      <c r="D9" s="433" t="s">
        <v>813</v>
      </c>
      <c r="E9" s="427">
        <v>10412075884</v>
      </c>
      <c r="F9" s="427"/>
      <c r="G9" s="6"/>
      <c r="H9" s="434"/>
      <c r="I9" s="435">
        <v>2.97</v>
      </c>
      <c r="J9" s="436">
        <v>6</v>
      </c>
      <c r="K9" s="435">
        <v>2.7918000000000003</v>
      </c>
      <c r="L9" s="440">
        <v>0.18049999999999999</v>
      </c>
      <c r="M9" s="440">
        <v>0.18049999999999999</v>
      </c>
      <c r="N9" s="440">
        <v>0.18049999999999999</v>
      </c>
      <c r="O9" s="424">
        <f t="shared" si="0"/>
        <v>0.18049999999999999</v>
      </c>
      <c r="P9" s="437">
        <v>87</v>
      </c>
      <c r="Q9" s="427">
        <v>91.73</v>
      </c>
      <c r="R9" s="438">
        <v>2032.8</v>
      </c>
      <c r="S9" s="439">
        <v>120</v>
      </c>
      <c r="T9" s="429">
        <v>20</v>
      </c>
      <c r="U9" s="427">
        <v>100</v>
      </c>
      <c r="V9" s="427">
        <v>1.1023000000000001</v>
      </c>
      <c r="W9" s="428">
        <v>5</v>
      </c>
      <c r="X9" s="428">
        <v>6.1</v>
      </c>
      <c r="Y9" s="427">
        <v>25</v>
      </c>
      <c r="Z9" s="427">
        <f t="shared" si="1"/>
        <v>14.849999999999998</v>
      </c>
      <c r="AA9" s="427">
        <f t="shared" si="2"/>
        <v>39.849999999999994</v>
      </c>
      <c r="AB9" s="430">
        <f t="shared" si="3"/>
        <v>180.4104074704</v>
      </c>
      <c r="AC9" s="431">
        <f>+(S9*V9)-'data 1'!$F$4-T9*V9</f>
        <v>30.230000000000011</v>
      </c>
      <c r="AD9" s="431">
        <f t="shared" si="4"/>
        <v>18.189680522816015</v>
      </c>
      <c r="AE9" s="431">
        <f>+(AA9*V9)-Z9-'data 1'!$I$21</f>
        <v>3.4955739189189181</v>
      </c>
      <c r="AF9" s="431">
        <f t="shared" si="5"/>
        <v>0</v>
      </c>
      <c r="AG9" s="432">
        <f t="shared" si="6"/>
        <v>51.915254441734945</v>
      </c>
      <c r="AH9" s="431">
        <f t="shared" si="7"/>
        <v>15.848274031050257</v>
      </c>
      <c r="AI9" s="57">
        <f t="shared" si="8"/>
        <v>81.618799392884014</v>
      </c>
      <c r="AJ9" s="268">
        <f t="shared" si="9"/>
        <v>15.03106770632696</v>
      </c>
      <c r="AK9" s="57">
        <f t="shared" si="10"/>
        <v>0.81720632472329768</v>
      </c>
      <c r="AM9" s="57">
        <f t="shared" si="11"/>
        <v>503.66977557586279</v>
      </c>
    </row>
    <row r="10" spans="1:39" ht="15.75" customHeight="1">
      <c r="A10" s="132" t="s">
        <v>818</v>
      </c>
      <c r="B10" s="390">
        <v>45282</v>
      </c>
      <c r="C10" s="390">
        <v>45278</v>
      </c>
      <c r="D10" s="441" t="s">
        <v>819</v>
      </c>
      <c r="E10" s="391">
        <v>20603059981</v>
      </c>
      <c r="F10" s="391"/>
      <c r="G10" s="6"/>
      <c r="H10" s="392"/>
      <c r="I10" s="391">
        <v>23.85</v>
      </c>
      <c r="J10" s="391">
        <v>9.8000000000000007</v>
      </c>
      <c r="K10" s="393">
        <v>21.512700000000002</v>
      </c>
      <c r="L10" s="396">
        <v>0.23100000000000001</v>
      </c>
      <c r="M10" s="396">
        <v>0.23100000000000001</v>
      </c>
      <c r="N10" s="396">
        <v>0.23100000000000001</v>
      </c>
      <c r="O10" s="442">
        <f t="shared" si="0"/>
        <v>0.23100000000000001</v>
      </c>
      <c r="P10" s="443">
        <v>87</v>
      </c>
      <c r="Q10" s="391">
        <v>92.32</v>
      </c>
      <c r="R10" s="444">
        <v>2030.3</v>
      </c>
      <c r="S10" s="445">
        <v>120</v>
      </c>
      <c r="T10" s="397">
        <v>23.5</v>
      </c>
      <c r="U10" s="391">
        <v>100</v>
      </c>
      <c r="V10" s="391">
        <v>1.1023000000000001</v>
      </c>
      <c r="W10" s="446">
        <v>5</v>
      </c>
      <c r="X10" s="446">
        <v>6.1</v>
      </c>
      <c r="Y10" s="391">
        <v>25</v>
      </c>
      <c r="Z10" s="391">
        <f t="shared" si="1"/>
        <v>14.849999999999998</v>
      </c>
      <c r="AA10" s="391">
        <f t="shared" si="2"/>
        <v>39.849999999999994</v>
      </c>
      <c r="AB10" s="447">
        <f t="shared" si="3"/>
        <v>277.31926959930001</v>
      </c>
      <c r="AC10" s="399">
        <f>+(S10*V10)-'data 1'!$F$4-T10*V10</f>
        <v>26.371950000000009</v>
      </c>
      <c r="AD10" s="399">
        <f t="shared" si="4"/>
        <v>26.148587274347971</v>
      </c>
      <c r="AE10" s="399">
        <f>+(AA10*V10)-Z10-'data 1'!$I$21</f>
        <v>3.4955739189189181</v>
      </c>
      <c r="AF10" s="448">
        <f t="shared" si="5"/>
        <v>0</v>
      </c>
      <c r="AG10" s="388">
        <f t="shared" si="6"/>
        <v>56.016111193266894</v>
      </c>
      <c r="AH10" s="399">
        <f t="shared" si="7"/>
        <v>157.29385845072593</v>
      </c>
      <c r="AI10" s="57">
        <f t="shared" si="8"/>
        <v>105.71350458715202</v>
      </c>
      <c r="AJ10" s="268">
        <f t="shared" si="9"/>
        <v>148.22969763012517</v>
      </c>
      <c r="AK10" s="57">
        <f t="shared" si="10"/>
        <v>9.0641608206007618</v>
      </c>
      <c r="AM10" s="57">
        <f t="shared" si="11"/>
        <v>5965.8862511088619</v>
      </c>
    </row>
    <row r="11" spans="1:39" ht="15.75" customHeight="1">
      <c r="A11" s="132" t="s">
        <v>820</v>
      </c>
      <c r="B11" s="449">
        <v>45282</v>
      </c>
      <c r="C11" s="390">
        <v>45278</v>
      </c>
      <c r="D11" s="441" t="s">
        <v>819</v>
      </c>
      <c r="E11" s="391">
        <v>20603059981</v>
      </c>
      <c r="F11" s="391"/>
      <c r="G11" s="6"/>
      <c r="H11" s="392"/>
      <c r="I11" s="391">
        <v>2.84</v>
      </c>
      <c r="J11" s="391">
        <v>9.8000000000000007</v>
      </c>
      <c r="K11" s="393">
        <v>2.56168</v>
      </c>
      <c r="L11" s="396">
        <v>0.23100000000000001</v>
      </c>
      <c r="M11" s="396">
        <v>0.23100000000000001</v>
      </c>
      <c r="N11" s="396">
        <v>0.23100000000000001</v>
      </c>
      <c r="O11" s="442">
        <f t="shared" si="0"/>
        <v>0.23100000000000001</v>
      </c>
      <c r="P11" s="443">
        <v>87</v>
      </c>
      <c r="Q11" s="391">
        <v>91.38</v>
      </c>
      <c r="R11" s="444">
        <v>2030.3</v>
      </c>
      <c r="S11" s="445">
        <v>120</v>
      </c>
      <c r="T11" s="397">
        <v>23.5</v>
      </c>
      <c r="U11" s="391">
        <v>100</v>
      </c>
      <c r="V11" s="391">
        <v>1.1023000000000001</v>
      </c>
      <c r="W11" s="446">
        <v>5</v>
      </c>
      <c r="X11" s="446">
        <v>6.1</v>
      </c>
      <c r="Y11" s="391">
        <v>25</v>
      </c>
      <c r="Z11" s="391">
        <f t="shared" si="1"/>
        <v>14.849999999999998</v>
      </c>
      <c r="AA11" s="391">
        <f t="shared" si="2"/>
        <v>39.849999999999994</v>
      </c>
      <c r="AB11" s="447">
        <f t="shared" si="3"/>
        <v>277.31926959930001</v>
      </c>
      <c r="AC11" s="399">
        <f>+(S11*V11)-'data 1'!$F$4-T11*V11</f>
        <v>26.371950000000009</v>
      </c>
      <c r="AD11" s="399">
        <f t="shared" si="4"/>
        <v>21.52834816948198</v>
      </c>
      <c r="AE11" s="399">
        <f>+(AA11*V11)-Z11-'data 1'!$I$21</f>
        <v>3.4955739189189181</v>
      </c>
      <c r="AF11" s="448">
        <f t="shared" si="5"/>
        <v>0</v>
      </c>
      <c r="AG11" s="388">
        <f t="shared" si="6"/>
        <v>51.395872088400907</v>
      </c>
      <c r="AH11" s="399">
        <f t="shared" si="7"/>
        <v>18.539460008777066</v>
      </c>
      <c r="AI11" s="57">
        <f t="shared" si="8"/>
        <v>104.63713224841803</v>
      </c>
      <c r="AJ11" s="268">
        <f t="shared" si="9"/>
        <v>17.650831919058927</v>
      </c>
      <c r="AK11" s="57">
        <f t="shared" si="10"/>
        <v>0.88862808971813934</v>
      </c>
      <c r="AM11" s="57">
        <f t="shared" si="11"/>
        <v>710.40322654713486</v>
      </c>
    </row>
    <row r="12" spans="1:39" ht="15.75" customHeight="1">
      <c r="A12" s="132" t="s">
        <v>821</v>
      </c>
      <c r="B12" s="179">
        <v>45283</v>
      </c>
      <c r="C12" s="179">
        <v>45646</v>
      </c>
      <c r="D12" s="180" t="s">
        <v>813</v>
      </c>
      <c r="E12" s="180">
        <v>10412075884</v>
      </c>
      <c r="F12" s="180"/>
      <c r="G12" s="6"/>
      <c r="H12" s="182"/>
      <c r="I12" s="450">
        <v>13.41</v>
      </c>
      <c r="J12" s="451">
        <v>15.2</v>
      </c>
      <c r="K12" s="452">
        <v>11.37168</v>
      </c>
      <c r="L12" s="453">
        <v>0.7297499999999999</v>
      </c>
      <c r="M12" s="453">
        <v>0.70055999999999985</v>
      </c>
      <c r="N12" s="185">
        <v>0.78500000000000003</v>
      </c>
      <c r="O12" s="187">
        <f t="shared" si="0"/>
        <v>0.74278</v>
      </c>
      <c r="P12" s="454">
        <v>90</v>
      </c>
      <c r="Q12" s="180">
        <v>91.82</v>
      </c>
      <c r="R12" s="455">
        <v>2052</v>
      </c>
      <c r="S12" s="456">
        <v>160</v>
      </c>
      <c r="T12" s="180"/>
      <c r="U12" s="180">
        <v>100</v>
      </c>
      <c r="V12" s="180">
        <v>1.1023000000000001</v>
      </c>
      <c r="W12" s="190">
        <v>5</v>
      </c>
      <c r="X12" s="180">
        <v>6.3</v>
      </c>
      <c r="Y12" s="180">
        <v>25</v>
      </c>
      <c r="Z12" s="180">
        <f t="shared" si="1"/>
        <v>15.549999999999999</v>
      </c>
      <c r="AA12" s="180">
        <f t="shared" si="2"/>
        <v>40.549999999999997</v>
      </c>
      <c r="AB12" s="457">
        <f t="shared" si="3"/>
        <v>1192.1096720400001</v>
      </c>
      <c r="AC12" s="191">
        <f>+(S12*V12)-'data 1'!$F$4-T12*V12</f>
        <v>96.367999999999995</v>
      </c>
      <c r="AD12" s="191">
        <f t="shared" si="4"/>
        <v>28.577557837919894</v>
      </c>
      <c r="AE12" s="191">
        <f>+(AA12*V12)-Z12-'data 1'!$I$21</f>
        <v>3.5671839189189214</v>
      </c>
      <c r="AF12" s="191">
        <f t="shared" si="5"/>
        <v>-25.74312852108179</v>
      </c>
      <c r="AG12" s="192">
        <f t="shared" ref="AG12:AG27" si="12">+AC12+AD12+AE12+AF12</f>
        <v>102.76961323575702</v>
      </c>
      <c r="AH12" s="191">
        <f t="shared" si="7"/>
        <v>261.24325812384018</v>
      </c>
      <c r="AI12" s="57">
        <f t="shared" si="8"/>
        <v>316.12218022937998</v>
      </c>
      <c r="AJ12" s="268">
        <f t="shared" si="9"/>
        <v>260.63720533143658</v>
      </c>
      <c r="AK12" s="57">
        <f t="shared" si="10"/>
        <v>0.60605279240360233</v>
      </c>
      <c r="AM12" s="57">
        <f t="shared" si="11"/>
        <v>13556.289715343828</v>
      </c>
    </row>
    <row r="13" spans="1:39" ht="15.75" customHeight="1">
      <c r="A13" s="132" t="s">
        <v>822</v>
      </c>
      <c r="B13" s="179">
        <v>45283</v>
      </c>
      <c r="C13" s="179">
        <v>45646</v>
      </c>
      <c r="D13" s="180" t="s">
        <v>813</v>
      </c>
      <c r="E13" s="180">
        <v>10412075884</v>
      </c>
      <c r="F13" s="180"/>
      <c r="G13" s="6"/>
      <c r="H13" s="182"/>
      <c r="I13" s="458">
        <v>17.940000000000001</v>
      </c>
      <c r="J13" s="451">
        <v>15</v>
      </c>
      <c r="K13" s="459">
        <v>15.249000000000001</v>
      </c>
      <c r="L13" s="453">
        <v>0.34179999999999999</v>
      </c>
      <c r="M13" s="453">
        <v>0.32812799999999998</v>
      </c>
      <c r="N13" s="185">
        <v>0.39200000000000002</v>
      </c>
      <c r="O13" s="187">
        <f t="shared" si="0"/>
        <v>0.360064</v>
      </c>
      <c r="P13" s="454">
        <v>90</v>
      </c>
      <c r="Q13" s="180">
        <v>91.45</v>
      </c>
      <c r="R13" s="455">
        <v>2052</v>
      </c>
      <c r="S13" s="456">
        <v>130</v>
      </c>
      <c r="T13" s="180"/>
      <c r="U13" s="180">
        <v>100</v>
      </c>
      <c r="V13" s="180">
        <v>1.1023000000000001</v>
      </c>
      <c r="W13" s="190">
        <v>5</v>
      </c>
      <c r="X13" s="180">
        <v>6.3</v>
      </c>
      <c r="Y13" s="180">
        <v>25</v>
      </c>
      <c r="Z13" s="180">
        <f t="shared" si="1"/>
        <v>15.549999999999999</v>
      </c>
      <c r="AA13" s="180">
        <f t="shared" si="2"/>
        <v>40.549999999999997</v>
      </c>
      <c r="AB13" s="457">
        <f t="shared" si="3"/>
        <v>473.90548975199999</v>
      </c>
      <c r="AC13" s="191">
        <f>+(S13*V13)-'data 1'!$F$4-T13*V13</f>
        <v>63.299000000000007</v>
      </c>
      <c r="AD13" s="191">
        <f t="shared" si="4"/>
        <v>10.663988826560022</v>
      </c>
      <c r="AE13" s="191">
        <f>+(AA13*V13)-Z13-'data 1'!$I$21</f>
        <v>3.5671839189189214</v>
      </c>
      <c r="AF13" s="191">
        <f t="shared" si="5"/>
        <v>-35.938440622348814</v>
      </c>
      <c r="AG13" s="192">
        <f t="shared" si="12"/>
        <v>41.591732123130136</v>
      </c>
      <c r="AH13" s="191">
        <f t="shared" si="7"/>
        <v>163.42037468286432</v>
      </c>
      <c r="AI13" s="57">
        <f t="shared" si="8"/>
        <v>147.46852779284001</v>
      </c>
      <c r="AJ13" s="268">
        <f t="shared" si="9"/>
        <v>169.42310819934656</v>
      </c>
      <c r="AK13" s="57">
        <f t="shared" si="10"/>
        <v>-6.0027335164822375</v>
      </c>
      <c r="AM13" s="57">
        <f t="shared" si="11"/>
        <v>7226.5848132282481</v>
      </c>
    </row>
    <row r="14" spans="1:39" ht="15.75" customHeight="1">
      <c r="A14" s="132" t="s">
        <v>823</v>
      </c>
      <c r="B14" s="460">
        <v>45283</v>
      </c>
      <c r="C14" s="460">
        <v>45646</v>
      </c>
      <c r="D14" s="461" t="s">
        <v>824</v>
      </c>
      <c r="E14" s="461">
        <v>30310424809</v>
      </c>
      <c r="F14" s="461" t="s">
        <v>825</v>
      </c>
      <c r="G14" s="6"/>
      <c r="H14" s="462"/>
      <c r="I14" s="463">
        <v>10.41</v>
      </c>
      <c r="J14" s="464">
        <v>3.5</v>
      </c>
      <c r="K14" s="465">
        <v>10.04565</v>
      </c>
      <c r="L14" s="466">
        <v>0.40049999999999997</v>
      </c>
      <c r="M14" s="466">
        <v>0.38447999999999993</v>
      </c>
      <c r="N14" s="467">
        <v>0.442</v>
      </c>
      <c r="O14" s="468">
        <f t="shared" si="0"/>
        <v>0.41323999999999994</v>
      </c>
      <c r="P14" s="469">
        <v>87</v>
      </c>
      <c r="Q14" s="461">
        <v>91.89</v>
      </c>
      <c r="R14" s="470">
        <v>2052</v>
      </c>
      <c r="S14" s="471">
        <v>130</v>
      </c>
      <c r="T14" s="461"/>
      <c r="U14" s="461">
        <v>100</v>
      </c>
      <c r="V14" s="461">
        <v>1.1023000000000001</v>
      </c>
      <c r="W14" s="472">
        <v>5</v>
      </c>
      <c r="X14" s="461">
        <v>6.05</v>
      </c>
      <c r="Y14" s="461">
        <v>25</v>
      </c>
      <c r="Z14" s="461">
        <f t="shared" si="1"/>
        <v>14.674999999999999</v>
      </c>
      <c r="AA14" s="461">
        <f t="shared" si="2"/>
        <v>39.674999999999997</v>
      </c>
      <c r="AB14" s="473">
        <f t="shared" si="3"/>
        <v>562.69121327599998</v>
      </c>
      <c r="AC14" s="474">
        <f>+(S14*V14)-'data 1'!$F$4-T14*V14</f>
        <v>63.299000000000007</v>
      </c>
      <c r="AD14" s="474">
        <f t="shared" si="4"/>
        <v>42.139657386720003</v>
      </c>
      <c r="AE14" s="474">
        <f>+(AA14*V14)-Z14-'data 1'!$I$21</f>
        <v>3.4776714189189235</v>
      </c>
      <c r="AF14" s="474">
        <f t="shared" si="5"/>
        <v>-25.189369685625547</v>
      </c>
      <c r="AG14" s="192">
        <f t="shared" si="12"/>
        <v>83.726959120013376</v>
      </c>
      <c r="AH14" s="474">
        <f t="shared" si="7"/>
        <v>126.75289406464418</v>
      </c>
      <c r="AI14" s="57">
        <f t="shared" si="8"/>
        <v>173.62583540657999</v>
      </c>
      <c r="AJ14" s="268">
        <f t="shared" si="9"/>
        <v>123.8251086203406</v>
      </c>
      <c r="AK14" s="57">
        <f t="shared" si="10"/>
        <v>2.9277854443035807</v>
      </c>
      <c r="AM14" s="57">
        <f t="shared" si="11"/>
        <v>5652.5989866460495</v>
      </c>
    </row>
    <row r="15" spans="1:39" ht="15.75" customHeight="1">
      <c r="A15" s="132" t="s">
        <v>826</v>
      </c>
      <c r="B15" s="460">
        <v>45283</v>
      </c>
      <c r="C15" s="460">
        <v>45646</v>
      </c>
      <c r="D15" s="461" t="s">
        <v>824</v>
      </c>
      <c r="E15" s="461">
        <v>30310424809</v>
      </c>
      <c r="F15" s="461" t="s">
        <v>825</v>
      </c>
      <c r="G15" s="6"/>
      <c r="H15" s="462"/>
      <c r="I15" s="463">
        <v>4.33</v>
      </c>
      <c r="J15" s="464">
        <v>2.5</v>
      </c>
      <c r="K15" s="465">
        <v>4.2217500000000001</v>
      </c>
      <c r="L15" s="466">
        <v>0.33200000000000002</v>
      </c>
      <c r="M15" s="466">
        <v>0.31872</v>
      </c>
      <c r="N15" s="467">
        <v>0.38100000000000001</v>
      </c>
      <c r="O15" s="468">
        <f t="shared" si="0"/>
        <v>0.34986</v>
      </c>
      <c r="P15" s="469">
        <v>87</v>
      </c>
      <c r="Q15" s="461">
        <v>92.34</v>
      </c>
      <c r="R15" s="470">
        <v>2052</v>
      </c>
      <c r="S15" s="471">
        <v>120</v>
      </c>
      <c r="T15" s="461"/>
      <c r="U15" s="461">
        <v>100</v>
      </c>
      <c r="V15" s="461">
        <v>1.1023000000000001</v>
      </c>
      <c r="W15" s="472">
        <v>5</v>
      </c>
      <c r="X15" s="461">
        <v>6.05</v>
      </c>
      <c r="Y15" s="461">
        <v>25</v>
      </c>
      <c r="Z15" s="461">
        <f t="shared" si="1"/>
        <v>14.674999999999999</v>
      </c>
      <c r="AA15" s="461">
        <f t="shared" si="2"/>
        <v>39.674999999999997</v>
      </c>
      <c r="AB15" s="473">
        <f t="shared" si="3"/>
        <v>445.48427156400004</v>
      </c>
      <c r="AC15" s="474">
        <f>+(S15*V15)-'data 1'!$F$4-T15*V15</f>
        <v>52.27600000000001</v>
      </c>
      <c r="AD15" s="474">
        <f t="shared" si="4"/>
        <v>38.146874580480031</v>
      </c>
      <c r="AE15" s="474">
        <f>+(AA15*V15)-Z15-'data 1'!$I$21</f>
        <v>3.4776714189189235</v>
      </c>
      <c r="AF15" s="474">
        <f t="shared" si="5"/>
        <v>-35.485501354790379</v>
      </c>
      <c r="AG15" s="192">
        <f t="shared" si="12"/>
        <v>58.415044644608578</v>
      </c>
      <c r="AH15" s="474">
        <f t="shared" si="7"/>
        <v>44.374097700912436</v>
      </c>
      <c r="AI15" s="57">
        <f t="shared" si="8"/>
        <v>144.63437736672003</v>
      </c>
      <c r="AJ15" s="268">
        <f t="shared" si="9"/>
        <v>44.057020756280032</v>
      </c>
      <c r="AK15" s="57">
        <f t="shared" si="10"/>
        <v>0.31707694463240443</v>
      </c>
      <c r="AM15" s="57">
        <f t="shared" si="11"/>
        <v>1880.7232234753171</v>
      </c>
    </row>
    <row r="16" spans="1:39" ht="15.75" customHeight="1">
      <c r="A16" s="132" t="s">
        <v>827</v>
      </c>
      <c r="B16" s="460">
        <v>45283</v>
      </c>
      <c r="C16" s="460">
        <v>45646</v>
      </c>
      <c r="D16" s="461" t="s">
        <v>824</v>
      </c>
      <c r="E16" s="461">
        <v>30310424809</v>
      </c>
      <c r="F16" s="461" t="s">
        <v>825</v>
      </c>
      <c r="G16" s="6"/>
      <c r="H16" s="462"/>
      <c r="I16" s="463">
        <v>2.93</v>
      </c>
      <c r="J16" s="464">
        <v>5.5</v>
      </c>
      <c r="K16" s="465">
        <v>2.76885</v>
      </c>
      <c r="L16" s="466">
        <v>0.64975000000000005</v>
      </c>
      <c r="M16" s="466">
        <v>0.62375999999999998</v>
      </c>
      <c r="N16" s="467">
        <v>0.68400000000000005</v>
      </c>
      <c r="O16" s="468">
        <f t="shared" si="0"/>
        <v>0.65388000000000002</v>
      </c>
      <c r="P16" s="469">
        <v>87</v>
      </c>
      <c r="Q16" s="461">
        <v>91.26</v>
      </c>
      <c r="R16" s="470">
        <v>2052</v>
      </c>
      <c r="S16" s="471">
        <v>150</v>
      </c>
      <c r="T16" s="461"/>
      <c r="U16" s="461">
        <v>100</v>
      </c>
      <c r="V16" s="461">
        <v>1.1023000000000001</v>
      </c>
      <c r="W16" s="472">
        <v>5</v>
      </c>
      <c r="X16" s="461">
        <v>6.1</v>
      </c>
      <c r="Y16" s="461">
        <v>25</v>
      </c>
      <c r="Z16" s="461">
        <f t="shared" si="1"/>
        <v>14.849999999999998</v>
      </c>
      <c r="AA16" s="461">
        <f t="shared" si="2"/>
        <v>39.849999999999994</v>
      </c>
      <c r="AB16" s="473">
        <f t="shared" si="3"/>
        <v>1007.040821312</v>
      </c>
      <c r="AC16" s="474">
        <f>+(S16*V16)-'data 1'!$F$4-T16*V16</f>
        <v>85.344999999999999</v>
      </c>
      <c r="AD16" s="474">
        <f t="shared" si="4"/>
        <v>59.557369529760081</v>
      </c>
      <c r="AE16" s="474">
        <f>+(AA16*V16)-Z16-'data 1'!$I$21</f>
        <v>3.4955739189189181</v>
      </c>
      <c r="AF16" s="474">
        <f t="shared" si="5"/>
        <v>-8.1097998666047371</v>
      </c>
      <c r="AG16" s="192">
        <f t="shared" si="12"/>
        <v>140.28814358207427</v>
      </c>
      <c r="AH16" s="474">
        <f t="shared" si="7"/>
        <v>56.290518723090628</v>
      </c>
      <c r="AI16" s="57">
        <f t="shared" si="8"/>
        <v>279.75015062514007</v>
      </c>
      <c r="AJ16" s="268">
        <f t="shared" si="9"/>
        <v>54.003984595146221</v>
      </c>
      <c r="AK16" s="57">
        <f t="shared" si="10"/>
        <v>2.2865341279444067</v>
      </c>
      <c r="AM16" s="57">
        <f t="shared" si="11"/>
        <v>2788.3449780897313</v>
      </c>
    </row>
    <row r="17" spans="1:39" ht="15.75" customHeight="1">
      <c r="A17" s="132" t="s">
        <v>828</v>
      </c>
      <c r="B17" s="475">
        <v>45271</v>
      </c>
      <c r="C17" s="475">
        <v>45266</v>
      </c>
      <c r="D17" s="476" t="s">
        <v>829</v>
      </c>
      <c r="E17" s="476" t="s">
        <v>830</v>
      </c>
      <c r="F17" s="476"/>
      <c r="G17" s="6"/>
      <c r="H17" s="477"/>
      <c r="I17" s="478">
        <v>7.77</v>
      </c>
      <c r="J17" s="479">
        <v>11.7</v>
      </c>
      <c r="K17" s="423">
        <f>+I17-(I17*(J17))/100</f>
        <v>6.8609099999999996</v>
      </c>
      <c r="L17" s="480">
        <v>0.16400000000000001</v>
      </c>
      <c r="M17" s="480">
        <v>0.16400000000000001</v>
      </c>
      <c r="N17" s="480">
        <v>0.16400000000000001</v>
      </c>
      <c r="O17" s="481">
        <f t="shared" si="0"/>
        <v>0.16400000000000001</v>
      </c>
      <c r="P17" s="482">
        <v>80</v>
      </c>
      <c r="Q17" s="482">
        <v>90.93</v>
      </c>
      <c r="R17" s="483">
        <v>2055</v>
      </c>
      <c r="S17" s="484">
        <v>120</v>
      </c>
      <c r="T17" s="485"/>
      <c r="U17" s="476">
        <v>100</v>
      </c>
      <c r="V17" s="476">
        <v>1.1023000000000001</v>
      </c>
      <c r="W17" s="485">
        <v>5</v>
      </c>
      <c r="X17" s="476">
        <v>6.1</v>
      </c>
      <c r="Y17" s="476">
        <v>25</v>
      </c>
      <c r="Z17" s="476">
        <f t="shared" si="1"/>
        <v>14.849999999999998</v>
      </c>
      <c r="AA17" s="476">
        <f t="shared" si="2"/>
        <v>39.849999999999994</v>
      </c>
      <c r="AB17" s="486">
        <f t="shared" si="3"/>
        <v>106.53288580000006</v>
      </c>
      <c r="AC17" s="487">
        <f>+(S17*V17)-'data 1'!$F$4-T17*V17</f>
        <v>52.27600000000001</v>
      </c>
      <c r="AD17" s="487">
        <f t="shared" si="4"/>
        <v>38.628743261800025</v>
      </c>
      <c r="AE17" s="487">
        <f>+(AA17*V17)-Z17-'data 1'!$I$21</f>
        <v>3.4955739189189181</v>
      </c>
      <c r="AF17" s="487">
        <f t="shared" si="5"/>
        <v>0</v>
      </c>
      <c r="AG17" s="192">
        <f t="shared" si="12"/>
        <v>94.400317180718957</v>
      </c>
      <c r="AH17" s="487">
        <f t="shared" si="7"/>
        <v>35.078565963200816</v>
      </c>
      <c r="AI17" s="57">
        <f t="shared" si="8"/>
        <v>69.861800883000015</v>
      </c>
      <c r="AJ17" s="268">
        <f t="shared" si="9"/>
        <v>30.862039778467665</v>
      </c>
      <c r="AK17" s="57">
        <f t="shared" si="10"/>
        <v>4.2165261847331514</v>
      </c>
      <c r="AM17" s="57">
        <f t="shared" si="11"/>
        <v>730.91254151407838</v>
      </c>
    </row>
    <row r="18" spans="1:39" ht="15.75" customHeight="1">
      <c r="A18" s="132" t="s">
        <v>831</v>
      </c>
      <c r="B18" s="475">
        <v>45271</v>
      </c>
      <c r="C18" s="475">
        <v>45266</v>
      </c>
      <c r="D18" s="476" t="s">
        <v>829</v>
      </c>
      <c r="E18" s="476"/>
      <c r="F18" s="476"/>
      <c r="G18" s="6"/>
      <c r="H18" s="477"/>
      <c r="I18" s="478">
        <v>16.010000000000002</v>
      </c>
      <c r="J18" s="479">
        <v>0.13</v>
      </c>
      <c r="K18" s="423">
        <f>+I18-(I18*(J18))</f>
        <v>13.928700000000001</v>
      </c>
      <c r="L18" s="480">
        <v>0.18</v>
      </c>
      <c r="M18" s="480">
        <v>0.18</v>
      </c>
      <c r="N18" s="480">
        <v>0.18</v>
      </c>
      <c r="O18" s="481">
        <f t="shared" si="0"/>
        <v>0.18</v>
      </c>
      <c r="P18" s="482">
        <v>87</v>
      </c>
      <c r="Q18" s="482">
        <v>90.7</v>
      </c>
      <c r="R18" s="483">
        <v>2025.05</v>
      </c>
      <c r="S18" s="484">
        <v>120</v>
      </c>
      <c r="T18" s="485"/>
      <c r="U18" s="476">
        <v>100</v>
      </c>
      <c r="V18" s="476">
        <v>1.1023000000000001</v>
      </c>
      <c r="W18" s="485">
        <v>5</v>
      </c>
      <c r="X18" s="476">
        <v>6.1</v>
      </c>
      <c r="Y18" s="476">
        <v>25</v>
      </c>
      <c r="Z18" s="476">
        <f t="shared" si="1"/>
        <v>14.849999999999998</v>
      </c>
      <c r="AA18" s="476">
        <f t="shared" si="2"/>
        <v>39.849999999999994</v>
      </c>
      <c r="AB18" s="486">
        <f t="shared" si="3"/>
        <v>156.09982250900001</v>
      </c>
      <c r="AC18" s="487">
        <f>+(S18*V18)-'data 1'!$F$4-T18*V18</f>
        <v>52.27600000000001</v>
      </c>
      <c r="AD18" s="487">
        <f t="shared" si="4"/>
        <v>14.13240421590001</v>
      </c>
      <c r="AE18" s="487">
        <f>+(AA18*V18)-Z18-'data 1'!$I$21</f>
        <v>3.4955739189189181</v>
      </c>
      <c r="AF18" s="487">
        <f t="shared" si="5"/>
        <v>0</v>
      </c>
      <c r="AG18" s="192">
        <f t="shared" si="12"/>
        <v>69.903978134818942</v>
      </c>
      <c r="AH18" s="487">
        <f t="shared" si="7"/>
        <v>77.964957408700059</v>
      </c>
      <c r="AI18" s="57">
        <f t="shared" si="8"/>
        <v>81.873483515100006</v>
      </c>
      <c r="AJ18" s="268">
        <f t="shared" si="9"/>
        <v>74.784468517716689</v>
      </c>
      <c r="AK18" s="57">
        <f t="shared" si="10"/>
        <v>3.1804888909833693</v>
      </c>
      <c r="AM18" s="57">
        <f t="shared" si="11"/>
        <v>2174.2675977811086</v>
      </c>
    </row>
    <row r="19" spans="1:39" ht="15.75" customHeight="1">
      <c r="A19" s="132" t="s">
        <v>832</v>
      </c>
      <c r="B19" s="475">
        <v>45271</v>
      </c>
      <c r="C19" s="475">
        <v>45266</v>
      </c>
      <c r="D19" s="476" t="s">
        <v>829</v>
      </c>
      <c r="E19" s="476"/>
      <c r="F19" s="476"/>
      <c r="G19" s="6"/>
      <c r="H19" s="477"/>
      <c r="I19" s="478">
        <v>6.75</v>
      </c>
      <c r="J19" s="479">
        <v>0.112</v>
      </c>
      <c r="K19" s="423">
        <f>+I19-(I19*(J19))</f>
        <v>5.9939999999999998</v>
      </c>
      <c r="L19" s="480">
        <v>0.14299999999999999</v>
      </c>
      <c r="M19" s="480">
        <v>0.14299999999999999</v>
      </c>
      <c r="N19" s="480">
        <v>0.14299999999999999</v>
      </c>
      <c r="O19" s="481">
        <f t="shared" si="0"/>
        <v>0.14299999999999999</v>
      </c>
      <c r="P19" s="482">
        <v>87</v>
      </c>
      <c r="Q19" s="482">
        <v>90.42</v>
      </c>
      <c r="R19" s="483">
        <v>2025.05</v>
      </c>
      <c r="S19" s="484">
        <v>120</v>
      </c>
      <c r="T19" s="485"/>
      <c r="U19" s="476">
        <v>100</v>
      </c>
      <c r="V19" s="476">
        <v>1.1023000000000001</v>
      </c>
      <c r="W19" s="485">
        <v>5</v>
      </c>
      <c r="X19" s="476">
        <v>6.1</v>
      </c>
      <c r="Y19" s="476">
        <v>25</v>
      </c>
      <c r="Z19" s="476">
        <f t="shared" si="1"/>
        <v>14.849999999999998</v>
      </c>
      <c r="AA19" s="476">
        <f t="shared" si="2"/>
        <v>39.849999999999994</v>
      </c>
      <c r="AB19" s="486">
        <f t="shared" si="3"/>
        <v>87.793202132149986</v>
      </c>
      <c r="AC19" s="487">
        <f>+(S19*V19)-'data 1'!$F$4-T19*V19</f>
        <v>52.27600000000001</v>
      </c>
      <c r="AD19" s="487">
        <f t="shared" si="4"/>
        <v>10.377768176919005</v>
      </c>
      <c r="AE19" s="487">
        <f>+(AA19*V19)-Z19-'data 1'!$I$21</f>
        <v>3.4955739189189181</v>
      </c>
      <c r="AF19" s="487">
        <f t="shared" si="5"/>
        <v>0</v>
      </c>
      <c r="AG19" s="192">
        <f t="shared" si="12"/>
        <v>66.149342095837937</v>
      </c>
      <c r="AH19" s="487">
        <f t="shared" si="7"/>
        <v>26.572128749110394</v>
      </c>
      <c r="AI19" s="57">
        <f t="shared" si="8"/>
        <v>64.843136975331007</v>
      </c>
      <c r="AJ19" s="268">
        <f t="shared" si="9"/>
        <v>25.567078093039196</v>
      </c>
      <c r="AK19" s="57">
        <f t="shared" si="10"/>
        <v>1.005050656071198</v>
      </c>
      <c r="AM19" s="57">
        <f t="shared" si="11"/>
        <v>526.23245358010695</v>
      </c>
    </row>
    <row r="20" spans="1:39" ht="15.75" customHeight="1">
      <c r="A20" s="132" t="s">
        <v>833</v>
      </c>
      <c r="B20" s="488">
        <v>45304</v>
      </c>
      <c r="C20" s="488">
        <v>45299</v>
      </c>
      <c r="D20" s="489" t="s">
        <v>214</v>
      </c>
      <c r="E20" s="489"/>
      <c r="F20" s="489"/>
      <c r="G20" s="6"/>
      <c r="H20" s="490"/>
      <c r="I20" s="491">
        <v>31.71</v>
      </c>
      <c r="J20" s="492">
        <v>8.85</v>
      </c>
      <c r="K20" s="493">
        <f t="shared" ref="K20:K27" si="13">+I20-(I20*(J20/100))</f>
        <v>28.903665</v>
      </c>
      <c r="L20" s="170">
        <v>0.249</v>
      </c>
      <c r="M20" s="170">
        <v>0.20699999999999999</v>
      </c>
      <c r="N20" s="494">
        <v>0.29499999999999998</v>
      </c>
      <c r="O20" s="153">
        <f t="shared" si="0"/>
        <v>0.251</v>
      </c>
      <c r="P20" s="495">
        <v>88</v>
      </c>
      <c r="Q20" s="496">
        <v>93.258318090796919</v>
      </c>
      <c r="R20" s="497">
        <v>2033.5</v>
      </c>
      <c r="S20" s="498">
        <v>120</v>
      </c>
      <c r="T20" s="499"/>
      <c r="U20" s="476">
        <v>100</v>
      </c>
      <c r="V20" s="489">
        <v>1.1023000000000001</v>
      </c>
      <c r="W20" s="499">
        <v>5</v>
      </c>
      <c r="X20" s="489">
        <v>6.05</v>
      </c>
      <c r="Y20" s="476">
        <v>10</v>
      </c>
      <c r="Z20" s="500">
        <f t="shared" si="1"/>
        <v>14.674999999999999</v>
      </c>
      <c r="AA20" s="500">
        <f t="shared" si="2"/>
        <v>24.674999999999997</v>
      </c>
      <c r="AB20" s="501">
        <f t="shared" ref="AB20:AB27" si="14">+((O20*P20*(R20-U20)/100)-S20-AA20+T20)*V20</f>
        <v>311.28563990399999</v>
      </c>
      <c r="AC20" s="502">
        <f>+(S20*V20)-'data 1'!$F$4-T20*V20</f>
        <v>52.27600000000001</v>
      </c>
      <c r="AD20" s="502">
        <f t="shared" si="4"/>
        <v>27.905524208844</v>
      </c>
      <c r="AE20" s="502">
        <f>+(AA20*V20)-Z20-'data 1'!$I$21</f>
        <v>-13.05682858108108</v>
      </c>
      <c r="AF20" s="502">
        <f t="shared" si="5"/>
        <v>-3.9752235646975462</v>
      </c>
      <c r="AG20" s="192">
        <f t="shared" si="12"/>
        <v>63.149472063065389</v>
      </c>
      <c r="AH20" s="502">
        <f t="shared" si="7"/>
        <v>230.11710943735022</v>
      </c>
      <c r="AI20" s="57">
        <f t="shared" si="8"/>
        <v>114.28999045454503</v>
      </c>
      <c r="AJ20" s="268">
        <f t="shared" si="9"/>
        <v>218.88619809640585</v>
      </c>
      <c r="AK20" s="57">
        <f t="shared" si="10"/>
        <v>11.230911340944374</v>
      </c>
      <c r="AM20" s="57">
        <f t="shared" si="11"/>
        <v>8997.2958550958483</v>
      </c>
    </row>
    <row r="21" spans="1:39" ht="15.75" customHeight="1">
      <c r="A21" s="132" t="s">
        <v>834</v>
      </c>
      <c r="B21" s="488">
        <v>45304</v>
      </c>
      <c r="C21" s="488">
        <v>45300</v>
      </c>
      <c r="D21" s="489" t="s">
        <v>214</v>
      </c>
      <c r="E21" s="489"/>
      <c r="F21" s="489"/>
      <c r="G21" s="6"/>
      <c r="H21" s="490"/>
      <c r="I21" s="491">
        <v>31.9</v>
      </c>
      <c r="J21" s="492">
        <v>10.85</v>
      </c>
      <c r="K21" s="493">
        <f t="shared" si="13"/>
        <v>28.438849999999999</v>
      </c>
      <c r="L21" s="170">
        <v>0.224</v>
      </c>
      <c r="M21" s="170">
        <v>0.20399999999999999</v>
      </c>
      <c r="N21" s="494">
        <v>0.2</v>
      </c>
      <c r="O21" s="153">
        <f t="shared" si="0"/>
        <v>0.20200000000000001</v>
      </c>
      <c r="P21" s="495">
        <v>88</v>
      </c>
      <c r="Q21" s="496">
        <v>92.749936196587427</v>
      </c>
      <c r="R21" s="497">
        <v>2033</v>
      </c>
      <c r="S21" s="498">
        <v>120</v>
      </c>
      <c r="T21" s="499"/>
      <c r="U21" s="476">
        <v>100</v>
      </c>
      <c r="V21" s="489">
        <v>1.1023000000000001</v>
      </c>
      <c r="W21" s="499">
        <v>5</v>
      </c>
      <c r="X21" s="489">
        <v>6.1</v>
      </c>
      <c r="Y21" s="476">
        <v>10</v>
      </c>
      <c r="Z21" s="489">
        <f t="shared" si="1"/>
        <v>14.849999999999998</v>
      </c>
      <c r="AA21" s="500">
        <f t="shared" si="2"/>
        <v>24.849999999999998</v>
      </c>
      <c r="AB21" s="501">
        <f t="shared" si="14"/>
        <v>219.09323618400006</v>
      </c>
      <c r="AC21" s="502">
        <f>+(S21*V21)-'data 1'!$F$4-T21*V21</f>
        <v>52.27600000000001</v>
      </c>
      <c r="AD21" s="502">
        <f t="shared" si="4"/>
        <v>22.670831850554173</v>
      </c>
      <c r="AE21" s="502">
        <f>+(AA21*V21)-Z21-'data 1'!$I$21</f>
        <v>-13.03892608108108</v>
      </c>
      <c r="AF21" s="502">
        <f t="shared" si="5"/>
        <v>43.477840180750846</v>
      </c>
      <c r="AG21" s="192">
        <f t="shared" si="12"/>
        <v>105.38574595022396</v>
      </c>
      <c r="AH21" s="502">
        <f t="shared" si="7"/>
        <v>202.5735494188653</v>
      </c>
      <c r="AI21" s="57">
        <f t="shared" si="8"/>
        <v>102.36911963547529</v>
      </c>
      <c r="AJ21" s="268">
        <f t="shared" si="9"/>
        <v>173.32257853243522</v>
      </c>
      <c r="AK21" s="57">
        <f t="shared" si="10"/>
        <v>29.250970886430082</v>
      </c>
      <c r="AM21" s="57">
        <f t="shared" si="11"/>
        <v>6230.7596798513496</v>
      </c>
    </row>
    <row r="22" spans="1:39" ht="15.75" customHeight="1">
      <c r="A22" s="132" t="s">
        <v>835</v>
      </c>
      <c r="B22" s="488">
        <v>45304</v>
      </c>
      <c r="C22" s="488">
        <v>45300</v>
      </c>
      <c r="D22" s="489" t="s">
        <v>214</v>
      </c>
      <c r="E22" s="489"/>
      <c r="F22" s="489"/>
      <c r="G22" s="6"/>
      <c r="H22" s="490"/>
      <c r="I22" s="491">
        <v>32.869999999999997</v>
      </c>
      <c r="J22" s="492">
        <v>12.85</v>
      </c>
      <c r="K22" s="493">
        <f t="shared" si="13"/>
        <v>28.646204999999998</v>
      </c>
      <c r="L22" s="170">
        <v>0.183</v>
      </c>
      <c r="M22" s="170">
        <v>0.16600000000000001</v>
      </c>
      <c r="N22" s="494">
        <v>0.187</v>
      </c>
      <c r="O22" s="153">
        <f t="shared" si="0"/>
        <v>0.17649999999999999</v>
      </c>
      <c r="P22" s="495">
        <v>88</v>
      </c>
      <c r="Q22" s="496">
        <v>91.268687652583679</v>
      </c>
      <c r="R22" s="497">
        <v>2033</v>
      </c>
      <c r="S22" s="498">
        <v>120</v>
      </c>
      <c r="T22" s="499"/>
      <c r="U22" s="476">
        <v>100</v>
      </c>
      <c r="V22" s="489">
        <v>1.1023000000000001</v>
      </c>
      <c r="W22" s="499">
        <v>5</v>
      </c>
      <c r="X22" s="489">
        <v>6.1</v>
      </c>
      <c r="Y22" s="476">
        <v>10</v>
      </c>
      <c r="Z22" s="489">
        <f t="shared" si="1"/>
        <v>14.849999999999998</v>
      </c>
      <c r="AA22" s="500">
        <f t="shared" si="2"/>
        <v>24.849999999999998</v>
      </c>
      <c r="AB22" s="501">
        <f t="shared" si="14"/>
        <v>171.27929818800004</v>
      </c>
      <c r="AC22" s="502">
        <f>+(S22*V22)-'data 1'!$F$4-T22*V22</f>
        <v>52.27600000000001</v>
      </c>
      <c r="AD22" s="502">
        <f t="shared" si="4"/>
        <v>12.745479349845638</v>
      </c>
      <c r="AE22" s="502">
        <f>+(AA22*V22)-Z22-'data 1'!$I$21</f>
        <v>-13.03892608108108</v>
      </c>
      <c r="AF22" s="502">
        <f t="shared" si="5"/>
        <v>12.640574830918027</v>
      </c>
      <c r="AG22" s="192">
        <f t="shared" si="12"/>
        <v>64.623128099682589</v>
      </c>
      <c r="AH22" s="502">
        <f t="shared" si="7"/>
        <v>164.03973552211312</v>
      </c>
      <c r="AI22" s="57">
        <f t="shared" si="8"/>
        <v>82.296284113488369</v>
      </c>
      <c r="AJ22" s="268">
        <f t="shared" si="9"/>
        <v>152.54695626211893</v>
      </c>
      <c r="AK22" s="57">
        <f t="shared" si="10"/>
        <v>11.492779259994194</v>
      </c>
      <c r="AM22" s="57">
        <f t="shared" si="11"/>
        <v>4906.5018881495771</v>
      </c>
    </row>
    <row r="23" spans="1:39" ht="15.75" customHeight="1">
      <c r="A23" s="338" t="s">
        <v>836</v>
      </c>
      <c r="B23" s="488">
        <v>45304</v>
      </c>
      <c r="C23" s="488">
        <v>45300</v>
      </c>
      <c r="D23" s="489" t="s">
        <v>214</v>
      </c>
      <c r="E23" s="489"/>
      <c r="F23" s="489"/>
      <c r="G23" s="6"/>
      <c r="H23" s="490"/>
      <c r="I23" s="491">
        <v>10.35</v>
      </c>
      <c r="J23" s="492">
        <v>13.4</v>
      </c>
      <c r="K23" s="503">
        <f t="shared" si="13"/>
        <v>8.963099999999999</v>
      </c>
      <c r="L23" s="504">
        <v>0.22800000000000001</v>
      </c>
      <c r="M23" s="493">
        <v>0.218</v>
      </c>
      <c r="N23" s="493">
        <v>0.246</v>
      </c>
      <c r="O23" s="505">
        <f t="shared" si="0"/>
        <v>0.23199999999999998</v>
      </c>
      <c r="P23" s="495">
        <v>88</v>
      </c>
      <c r="Q23" s="496">
        <v>92.643343081343431</v>
      </c>
      <c r="R23" s="497">
        <v>2033</v>
      </c>
      <c r="S23" s="498">
        <v>120</v>
      </c>
      <c r="T23" s="499"/>
      <c r="U23" s="476">
        <v>100</v>
      </c>
      <c r="V23" s="489">
        <v>1.1023000000000001</v>
      </c>
      <c r="W23" s="499">
        <v>5</v>
      </c>
      <c r="X23" s="489">
        <v>6.1</v>
      </c>
      <c r="Y23" s="476">
        <v>10</v>
      </c>
      <c r="Z23" s="489">
        <f t="shared" si="1"/>
        <v>14.849999999999998</v>
      </c>
      <c r="AA23" s="500">
        <f t="shared" si="2"/>
        <v>24.849999999999998</v>
      </c>
      <c r="AB23" s="501">
        <f t="shared" si="14"/>
        <v>275.34492794400001</v>
      </c>
      <c r="AC23" s="502">
        <f>+(S23*V23)-'data 1'!$F$4-T23*V23</f>
        <v>52.27600000000001</v>
      </c>
      <c r="AD23" s="502">
        <f t="shared" si="4"/>
        <v>22.557828050934212</v>
      </c>
      <c r="AE23" s="502">
        <f>+(AA23*V23)-Z23-'data 1'!$I$21</f>
        <v>-13.03892608108108</v>
      </c>
      <c r="AF23" s="502">
        <f t="shared" si="5"/>
        <v>-7.8959769373145878</v>
      </c>
      <c r="AG23" s="192">
        <f t="shared" si="12"/>
        <v>53.89892503253855</v>
      </c>
      <c r="AH23" s="502">
        <f t="shared" si="7"/>
        <v>64.91071253650891</v>
      </c>
      <c r="AI23" s="57">
        <f t="shared" si="8"/>
        <v>104.07739078419016</v>
      </c>
      <c r="AJ23" s="268">
        <f t="shared" si="9"/>
        <v>62.73905431057576</v>
      </c>
      <c r="AK23" s="57">
        <f t="shared" si="10"/>
        <v>2.1716582259331503</v>
      </c>
      <c r="AM23" s="57">
        <f t="shared" si="11"/>
        <v>2467.944123654866</v>
      </c>
    </row>
    <row r="24" spans="1:39" ht="15.75" customHeight="1">
      <c r="A24" s="338" t="s">
        <v>837</v>
      </c>
      <c r="B24" s="488">
        <v>45304</v>
      </c>
      <c r="C24" s="488">
        <v>45300</v>
      </c>
      <c r="D24" s="489" t="s">
        <v>214</v>
      </c>
      <c r="E24" s="489"/>
      <c r="F24" s="489"/>
      <c r="G24" s="6"/>
      <c r="H24" s="490"/>
      <c r="I24" s="491">
        <v>19.71</v>
      </c>
      <c r="J24" s="492">
        <v>12.5</v>
      </c>
      <c r="K24" s="503">
        <f t="shared" si="13"/>
        <v>17.24625</v>
      </c>
      <c r="L24" s="504">
        <v>0.19700000000000001</v>
      </c>
      <c r="M24" s="493">
        <v>0.17899999999999999</v>
      </c>
      <c r="N24" s="493">
        <v>0.222</v>
      </c>
      <c r="O24" s="505">
        <f t="shared" si="0"/>
        <v>0.20050000000000001</v>
      </c>
      <c r="P24" s="495">
        <v>88</v>
      </c>
      <c r="Q24" s="496">
        <v>91.775604462148806</v>
      </c>
      <c r="R24" s="497">
        <v>2033</v>
      </c>
      <c r="S24" s="498">
        <v>120</v>
      </c>
      <c r="T24" s="499"/>
      <c r="U24" s="476">
        <v>100</v>
      </c>
      <c r="V24" s="489">
        <v>1.1023000000000001</v>
      </c>
      <c r="W24" s="499">
        <v>5</v>
      </c>
      <c r="X24" s="489">
        <v>6.1</v>
      </c>
      <c r="Y24" s="476">
        <v>10</v>
      </c>
      <c r="Z24" s="489">
        <f t="shared" si="1"/>
        <v>14.849999999999998</v>
      </c>
      <c r="AA24" s="500">
        <f t="shared" si="2"/>
        <v>24.849999999999998</v>
      </c>
      <c r="AB24" s="501">
        <f t="shared" si="14"/>
        <v>216.28065159600007</v>
      </c>
      <c r="AC24" s="502">
        <f>+(S24*V24)-'data 1'!$F$4-T24*V24</f>
        <v>52.27600000000001</v>
      </c>
      <c r="AD24" s="502">
        <f t="shared" si="4"/>
        <v>15.848361843658189</v>
      </c>
      <c r="AE24" s="502">
        <f>+(AA24*V24)-Z24-'data 1'!$I$21</f>
        <v>-13.03892608108108</v>
      </c>
      <c r="AF24" s="502">
        <f t="shared" si="5"/>
        <v>-6.8442672524710906</v>
      </c>
      <c r="AG24" s="192">
        <f t="shared" si="12"/>
        <v>48.241168510106021</v>
      </c>
      <c r="AH24" s="502">
        <f t="shared" si="7"/>
        <v>106.90480515821106</v>
      </c>
      <c r="AI24" s="57">
        <f t="shared" si="8"/>
        <v>89.084225849582623</v>
      </c>
      <c r="AJ24" s="268">
        <f t="shared" si="9"/>
        <v>104.32797928809623</v>
      </c>
      <c r="AK24" s="57">
        <f t="shared" si="10"/>
        <v>2.5768258701148312</v>
      </c>
      <c r="AM24" s="57">
        <f t="shared" si="11"/>
        <v>3730.0301875875161</v>
      </c>
    </row>
    <row r="25" spans="1:39" ht="15.75" customHeight="1">
      <c r="A25" s="132" t="s">
        <v>838</v>
      </c>
      <c r="B25" s="488">
        <v>45304</v>
      </c>
      <c r="C25" s="488">
        <v>45301</v>
      </c>
      <c r="D25" s="489" t="s">
        <v>214</v>
      </c>
      <c r="E25" s="489"/>
      <c r="F25" s="489"/>
      <c r="G25" s="6"/>
      <c r="H25" s="490"/>
      <c r="I25" s="491">
        <v>30.82</v>
      </c>
      <c r="J25" s="492">
        <v>12.9</v>
      </c>
      <c r="K25" s="503">
        <f t="shared" si="13"/>
        <v>26.84422</v>
      </c>
      <c r="L25" s="504">
        <v>0.246</v>
      </c>
      <c r="M25" s="493">
        <v>0.224</v>
      </c>
      <c r="N25" s="493">
        <v>0.26600000000000001</v>
      </c>
      <c r="O25" s="505">
        <f t="shared" si="0"/>
        <v>0.245</v>
      </c>
      <c r="P25" s="495">
        <v>88</v>
      </c>
      <c r="Q25" s="496">
        <v>91.543152432027881</v>
      </c>
      <c r="R25" s="497">
        <v>2027.8</v>
      </c>
      <c r="S25" s="498">
        <v>120</v>
      </c>
      <c r="T25" s="499"/>
      <c r="U25" s="476">
        <v>100</v>
      </c>
      <c r="V25" s="489">
        <v>1.1023000000000001</v>
      </c>
      <c r="W25" s="499">
        <v>5</v>
      </c>
      <c r="X25" s="489">
        <v>6.1</v>
      </c>
      <c r="Y25" s="476">
        <v>10</v>
      </c>
      <c r="Z25" s="489">
        <f t="shared" si="1"/>
        <v>14.849999999999998</v>
      </c>
      <c r="AA25" s="500">
        <f t="shared" si="2"/>
        <v>24.849999999999998</v>
      </c>
      <c r="AB25" s="501">
        <f t="shared" si="14"/>
        <v>298.48485046399998</v>
      </c>
      <c r="AC25" s="502">
        <f>+(S25*V25)-'data 1'!$F$4-T25*V25</f>
        <v>52.27600000000001</v>
      </c>
      <c r="AD25" s="502">
        <f t="shared" si="4"/>
        <v>18.521950841626211</v>
      </c>
      <c r="AE25" s="502">
        <f>+(AA25*V25)-Z25-'data 1'!$I$21</f>
        <v>-13.03892608108108</v>
      </c>
      <c r="AF25" s="502">
        <f t="shared" si="5"/>
        <v>1.9453047502960432</v>
      </c>
      <c r="AG25" s="192">
        <f t="shared" si="12"/>
        <v>59.704329510841184</v>
      </c>
      <c r="AH25" s="502">
        <f t="shared" si="7"/>
        <v>207.26254649248168</v>
      </c>
      <c r="AI25" s="57">
        <f t="shared" si="8"/>
        <v>112.25128892449011</v>
      </c>
      <c r="AJ25" s="268">
        <f t="shared" si="9"/>
        <v>198.43058611366749</v>
      </c>
      <c r="AK25" s="57">
        <f t="shared" si="10"/>
        <v>8.8319603788141876</v>
      </c>
      <c r="AM25" s="57">
        <f t="shared" si="11"/>
        <v>8012.5929925227174</v>
      </c>
    </row>
    <row r="26" spans="1:39" ht="15.75" customHeight="1">
      <c r="A26" s="243" t="s">
        <v>839</v>
      </c>
      <c r="B26" s="339">
        <v>45308</v>
      </c>
      <c r="C26" s="339">
        <v>45306</v>
      </c>
      <c r="D26" s="343" t="s">
        <v>811</v>
      </c>
      <c r="E26" s="506"/>
      <c r="F26" s="343" t="s">
        <v>840</v>
      </c>
      <c r="G26" s="6"/>
      <c r="H26" s="402"/>
      <c r="I26" s="507">
        <v>23.78</v>
      </c>
      <c r="J26" s="508">
        <v>10.45</v>
      </c>
      <c r="K26" s="509">
        <f t="shared" si="13"/>
        <v>21.294990000000002</v>
      </c>
      <c r="L26" s="510">
        <v>0.21</v>
      </c>
      <c r="M26" s="406">
        <v>0.21</v>
      </c>
      <c r="N26" s="406">
        <v>0.21</v>
      </c>
      <c r="O26" s="406">
        <v>0.21</v>
      </c>
      <c r="P26" s="511">
        <v>87</v>
      </c>
      <c r="Q26" s="407">
        <v>92.643343081343431</v>
      </c>
      <c r="R26" s="512">
        <v>2057.85</v>
      </c>
      <c r="S26" s="342">
        <v>120</v>
      </c>
      <c r="T26" s="407">
        <v>5</v>
      </c>
      <c r="U26" s="343">
        <v>120</v>
      </c>
      <c r="V26" s="343">
        <v>1.1023000000000001</v>
      </c>
      <c r="W26" s="407">
        <v>5</v>
      </c>
      <c r="X26" s="343">
        <v>6.1</v>
      </c>
      <c r="Y26" s="343">
        <v>20</v>
      </c>
      <c r="Z26" s="343">
        <f t="shared" si="1"/>
        <v>14.849999999999998</v>
      </c>
      <c r="AA26" s="343">
        <f t="shared" si="2"/>
        <v>34.849999999999994</v>
      </c>
      <c r="AB26" s="408">
        <f t="shared" si="14"/>
        <v>225.08436344849994</v>
      </c>
      <c r="AC26" s="408">
        <f>+(S26*V26)-'data 1'!$F$4-T26*V26</f>
        <v>46.764500000000012</v>
      </c>
      <c r="AD26" s="408">
        <f t="shared" si="4"/>
        <v>25.314870671363533</v>
      </c>
      <c r="AE26" s="408">
        <f>+(AA26*V26)-Z26-'data 1'!$I$21</f>
        <v>-2.01592608108108</v>
      </c>
      <c r="AF26" s="408">
        <f t="shared" si="5"/>
        <v>0</v>
      </c>
      <c r="AG26" s="408">
        <f t="shared" si="12"/>
        <v>70.063444590282472</v>
      </c>
      <c r="AH26" s="408">
        <f t="shared" si="7"/>
        <v>142.04306106065309</v>
      </c>
      <c r="AI26" s="57">
        <f t="shared" si="8"/>
        <v>94.820654758803684</v>
      </c>
      <c r="AJ26" s="268">
        <f t="shared" si="9"/>
        <v>133.39054810906788</v>
      </c>
      <c r="AK26" s="57">
        <f t="shared" si="10"/>
        <v>8.6525129515852086</v>
      </c>
      <c r="AM26" s="57">
        <f t="shared" si="11"/>
        <v>4793.1692687921723</v>
      </c>
    </row>
    <row r="27" spans="1:39" ht="15.75" customHeight="1">
      <c r="A27" s="243" t="s">
        <v>841</v>
      </c>
      <c r="B27" s="339">
        <v>45308</v>
      </c>
      <c r="C27" s="339">
        <v>45306</v>
      </c>
      <c r="D27" s="343" t="s">
        <v>811</v>
      </c>
      <c r="E27" s="506"/>
      <c r="F27" s="343" t="s">
        <v>840</v>
      </c>
      <c r="G27" s="6"/>
      <c r="H27" s="402"/>
      <c r="I27" s="513">
        <v>28.82</v>
      </c>
      <c r="J27" s="508">
        <v>8.85</v>
      </c>
      <c r="K27" s="509">
        <f t="shared" si="13"/>
        <v>26.26943</v>
      </c>
      <c r="L27" s="510">
        <v>0.17</v>
      </c>
      <c r="M27" s="406">
        <v>0.17</v>
      </c>
      <c r="N27" s="406">
        <v>0.17</v>
      </c>
      <c r="O27" s="406">
        <v>0.17</v>
      </c>
      <c r="P27" s="511">
        <v>87</v>
      </c>
      <c r="Q27" s="407">
        <v>91.775604462148806</v>
      </c>
      <c r="R27" s="512">
        <v>2057.85</v>
      </c>
      <c r="S27" s="342">
        <v>120</v>
      </c>
      <c r="T27" s="343"/>
      <c r="U27" s="343">
        <v>120</v>
      </c>
      <c r="V27" s="343">
        <v>1.1023000000000001</v>
      </c>
      <c r="W27" s="407">
        <v>5</v>
      </c>
      <c r="X27" s="343">
        <v>6.1</v>
      </c>
      <c r="Y27" s="343">
        <v>20</v>
      </c>
      <c r="Z27" s="343">
        <f t="shared" si="1"/>
        <v>14.849999999999998</v>
      </c>
      <c r="AA27" s="343">
        <f t="shared" si="2"/>
        <v>34.849999999999994</v>
      </c>
      <c r="AB27" s="408">
        <f t="shared" si="14"/>
        <v>145.23685993450005</v>
      </c>
      <c r="AC27" s="408">
        <f>+(S27*V27)-'data 1'!$F$4-T27*V27</f>
        <v>52.27600000000001</v>
      </c>
      <c r="AD27" s="408">
        <f t="shared" si="4"/>
        <v>17.341922274011644</v>
      </c>
      <c r="AE27" s="408">
        <f>+(AA27*V27)-Z27-'data 1'!$I$21</f>
        <v>-2.01592608108108</v>
      </c>
      <c r="AF27" s="408">
        <f t="shared" si="5"/>
        <v>0</v>
      </c>
      <c r="AG27" s="408">
        <f t="shared" si="12"/>
        <v>67.601996192930571</v>
      </c>
      <c r="AH27" s="408">
        <f t="shared" si="7"/>
        <v>140.51927282961461</v>
      </c>
      <c r="AI27" s="57">
        <f t="shared" si="8"/>
        <v>76.040613430731725</v>
      </c>
      <c r="AJ27" s="268">
        <f t="shared" si="9"/>
        <v>133.20725924740188</v>
      </c>
      <c r="AK27" s="57">
        <f t="shared" si="10"/>
        <v>7.3120135822127281</v>
      </c>
      <c r="AM27" s="57">
        <f t="shared" si="11"/>
        <v>3815.2895254691534</v>
      </c>
    </row>
    <row r="28" spans="1:39" ht="15.75" customHeight="1">
      <c r="A28" s="132" t="s">
        <v>842</v>
      </c>
      <c r="B28" s="135"/>
      <c r="C28" s="135"/>
      <c r="D28" s="142"/>
      <c r="E28" s="514"/>
      <c r="F28" s="142"/>
      <c r="G28" s="6"/>
      <c r="H28" s="177"/>
      <c r="L28" s="141"/>
      <c r="M28" s="141"/>
      <c r="N28" s="141"/>
      <c r="O28" s="141"/>
      <c r="P28" s="515"/>
      <c r="Q28" s="144"/>
      <c r="R28" s="516"/>
      <c r="S28" s="132"/>
      <c r="T28" s="142"/>
      <c r="U28" s="142"/>
      <c r="V28" s="142"/>
      <c r="W28" s="144"/>
      <c r="X28" s="142"/>
      <c r="Y28" s="142"/>
      <c r="Z28" s="343"/>
      <c r="AA28" s="343"/>
      <c r="AB28" s="145"/>
      <c r="AC28" s="145"/>
      <c r="AD28" s="145"/>
      <c r="AE28" s="145"/>
      <c r="AF28" s="145"/>
      <c r="AG28" s="145"/>
      <c r="AH28" s="145"/>
      <c r="AI28" s="57"/>
      <c r="AJ28" s="268">
        <f t="shared" si="9"/>
        <v>0</v>
      </c>
      <c r="AK28" s="57">
        <f t="shared" si="10"/>
        <v>0</v>
      </c>
      <c r="AM28" s="57">
        <f t="shared" si="11"/>
        <v>0</v>
      </c>
    </row>
    <row r="29" spans="1:39" ht="15.75" customHeight="1">
      <c r="A29" s="132" t="s">
        <v>843</v>
      </c>
      <c r="E29" s="239"/>
      <c r="G29" s="6"/>
      <c r="H29" s="90"/>
      <c r="R29" s="57"/>
      <c r="AB29" s="83"/>
      <c r="AC29" s="83"/>
      <c r="AD29" s="83"/>
      <c r="AE29" s="83"/>
      <c r="AF29" s="83"/>
      <c r="AG29" s="83"/>
      <c r="AH29" s="83"/>
      <c r="AI29" s="57"/>
      <c r="AJ29" s="268">
        <f t="shared" si="9"/>
        <v>0</v>
      </c>
      <c r="AK29" s="57">
        <f t="shared" si="10"/>
        <v>0</v>
      </c>
      <c r="AM29" s="57">
        <f t="shared" si="11"/>
        <v>0</v>
      </c>
    </row>
    <row r="30" spans="1:39" ht="15.75" customHeight="1">
      <c r="A30" s="132" t="s">
        <v>844</v>
      </c>
      <c r="B30" s="339">
        <v>45325</v>
      </c>
      <c r="C30" s="340">
        <v>45322</v>
      </c>
      <c r="D30" s="344" t="s">
        <v>813</v>
      </c>
      <c r="E30" s="517"/>
      <c r="F30" s="344" t="s">
        <v>845</v>
      </c>
      <c r="G30" s="6"/>
      <c r="H30" s="518"/>
      <c r="I30" s="344">
        <v>27.26</v>
      </c>
      <c r="J30" s="519">
        <v>14.7</v>
      </c>
      <c r="K30" s="520">
        <f t="shared" ref="K30:K50" si="15">+I30-(I30*(J30/100))</f>
        <v>23.252780000000001</v>
      </c>
      <c r="L30" s="521">
        <v>0.70399999999999996</v>
      </c>
      <c r="M30" s="521">
        <v>0.65800000000000003</v>
      </c>
      <c r="N30" s="521">
        <v>0.745</v>
      </c>
      <c r="O30" s="505">
        <f>+(M30+N30)/2</f>
        <v>0.70150000000000001</v>
      </c>
      <c r="P30" s="344">
        <v>90</v>
      </c>
      <c r="Q30" s="344">
        <v>92.08</v>
      </c>
      <c r="R30" s="522">
        <v>2039.155</v>
      </c>
      <c r="S30" s="342">
        <v>160</v>
      </c>
      <c r="T30" s="344"/>
      <c r="U30" s="344">
        <v>100</v>
      </c>
      <c r="V30" s="343">
        <v>1.1023000000000001</v>
      </c>
      <c r="W30" s="407">
        <v>5.0999999999999996</v>
      </c>
      <c r="X30" s="343">
        <v>6.2</v>
      </c>
      <c r="Y30" s="344">
        <v>25</v>
      </c>
      <c r="Z30" s="344">
        <f>IF(+((W30-3)*2+(X30-3)*3.1)&gt;0,+((W30-3)*2+(X30-3)*3.1),0)</f>
        <v>14.120000000000001</v>
      </c>
      <c r="AA30" s="344">
        <f t="shared" ref="AA30:AA50" si="16">+Y30+Z30</f>
        <v>39.120000000000005</v>
      </c>
      <c r="AB30" s="345">
        <f t="shared" ref="AB30:AB50" si="17">+((O30*P30*(R30-U30)/100)-S30-AA30+T30)*V30</f>
        <v>1130.0399408462752</v>
      </c>
      <c r="AC30" s="345">
        <f>+(S30*V30)-'data 1'!$F$4-T30*V30</f>
        <v>96.367999999999995</v>
      </c>
      <c r="AD30" s="345">
        <f t="shared" ref="AD30:AD50" si="18">+(Q30-P30)*(R30-U30)*L30*V30/100</f>
        <v>31.300287444940771</v>
      </c>
      <c r="AE30" s="345">
        <f>+(AA30*V30)-Z30-'data 1'!$I$21</f>
        <v>3.4208949189189291</v>
      </c>
      <c r="AF30" s="345">
        <f t="shared" ref="AF30:AF50" si="19">(L30-O30)*(R30-U30)*Q30*V30/100</f>
        <v>4.9205953410628949</v>
      </c>
      <c r="AG30" s="345">
        <f t="shared" ref="AG30:AG50" si="20">+AC30+AD30+AE30+AF30</f>
        <v>136.00977770492258</v>
      </c>
      <c r="AH30" s="345">
        <f t="shared" ref="AH30:AH50" si="21">31.1035*L30*Q30*1.1023*K30/100</f>
        <v>516.79930590915239</v>
      </c>
      <c r="AI30" s="57">
        <f t="shared" ref="AI30:AI50" si="22">+((+$AI$2-R30+U30)*L30*Q30*V30)/100</f>
        <v>315.00953283345922</v>
      </c>
      <c r="AJ30" s="268">
        <f t="shared" si="9"/>
        <v>503.33153018148658</v>
      </c>
      <c r="AK30" s="57">
        <f t="shared" si="10"/>
        <v>13.46777572766581</v>
      </c>
      <c r="AM30" s="57">
        <f t="shared" si="11"/>
        <v>26276.570135711452</v>
      </c>
    </row>
    <row r="31" spans="1:39" ht="15.75" customHeight="1">
      <c r="A31" s="132" t="s">
        <v>846</v>
      </c>
      <c r="B31" s="339">
        <v>45341</v>
      </c>
      <c r="C31" s="340">
        <v>45323</v>
      </c>
      <c r="D31" s="6" t="s">
        <v>557</v>
      </c>
      <c r="E31" s="176">
        <v>10460498487</v>
      </c>
      <c r="F31" s="6" t="s">
        <v>214</v>
      </c>
      <c r="G31" s="6"/>
      <c r="H31" s="90"/>
      <c r="I31" s="341">
        <v>0.9</v>
      </c>
      <c r="J31" s="137">
        <v>18.8</v>
      </c>
      <c r="K31" s="341">
        <f t="shared" si="15"/>
        <v>0.73080000000000001</v>
      </c>
      <c r="L31" s="80">
        <v>0.65800000000000003</v>
      </c>
      <c r="M31" s="80">
        <v>0.65800000000000003</v>
      </c>
      <c r="N31" s="132">
        <v>0.65800000000000003</v>
      </c>
      <c r="O31" s="153">
        <f>+(M31+N31)/2</f>
        <v>0.65800000000000003</v>
      </c>
      <c r="P31" s="6">
        <v>88</v>
      </c>
      <c r="Q31" s="57">
        <v>92.4</v>
      </c>
      <c r="R31" s="57">
        <v>2030.07</v>
      </c>
      <c r="S31" s="80">
        <v>160</v>
      </c>
      <c r="U31" s="6">
        <v>100</v>
      </c>
      <c r="V31" s="343">
        <v>1.1023000000000001</v>
      </c>
      <c r="W31" s="57">
        <v>5</v>
      </c>
      <c r="X31" s="57">
        <v>6.15</v>
      </c>
      <c r="Y31" s="344">
        <v>25</v>
      </c>
      <c r="Z31" s="519">
        <f>IF(+((W31-3)*2+(X31-3)*3.1)&gt;0,+((W31-3)*2+(X31-3)*3.1),0)</f>
        <v>13.765000000000001</v>
      </c>
      <c r="AA31" s="519">
        <f t="shared" si="16"/>
        <v>38.765000000000001</v>
      </c>
      <c r="AB31" s="345">
        <f t="shared" si="17"/>
        <v>1012.8182983654402</v>
      </c>
      <c r="AC31" s="345">
        <f>+(S31*V31)-'data 1'!$F$4-T31*V31</f>
        <v>96.367999999999995</v>
      </c>
      <c r="AD31" s="345">
        <f t="shared" si="18"/>
        <v>61.595847893272072</v>
      </c>
      <c r="AE31" s="345">
        <f>+(AA31*V31)-Z31-'data 1'!$I$21</f>
        <v>3.3845784189189203</v>
      </c>
      <c r="AF31" s="345">
        <f t="shared" si="19"/>
        <v>0</v>
      </c>
      <c r="AG31" s="345">
        <f t="shared" si="20"/>
        <v>161.34842631219098</v>
      </c>
      <c r="AH31" s="345">
        <f t="shared" si="21"/>
        <v>15.233702598766829</v>
      </c>
      <c r="AI31" s="57">
        <f t="shared" si="22"/>
        <v>301.53839844928808</v>
      </c>
      <c r="AJ31" s="268">
        <f t="shared" si="9"/>
        <v>14.508288189301739</v>
      </c>
      <c r="AK31" s="57">
        <f t="shared" si="10"/>
        <v>0.72541440946509006</v>
      </c>
      <c r="AM31" s="57">
        <f t="shared" si="11"/>
        <v>740.16761244546376</v>
      </c>
    </row>
    <row r="32" spans="1:39" ht="15.75" customHeight="1">
      <c r="A32" s="132" t="s">
        <v>847</v>
      </c>
      <c r="B32" s="339">
        <v>45363</v>
      </c>
      <c r="C32" s="339">
        <v>45358</v>
      </c>
      <c r="D32" s="6" t="s">
        <v>848</v>
      </c>
      <c r="E32" s="176">
        <v>10460498487</v>
      </c>
      <c r="F32" s="6" t="s">
        <v>825</v>
      </c>
      <c r="G32" s="6"/>
      <c r="H32" s="90"/>
      <c r="I32" s="57">
        <v>7.78</v>
      </c>
      <c r="J32" s="57">
        <v>8.3000000000000007</v>
      </c>
      <c r="K32" s="341">
        <f t="shared" si="15"/>
        <v>7.1342600000000003</v>
      </c>
      <c r="L32" s="80">
        <v>0.83</v>
      </c>
      <c r="M32" s="80">
        <v>0.84</v>
      </c>
      <c r="N32" s="132">
        <v>0.84</v>
      </c>
      <c r="O32" s="153">
        <f>+(M32+N32)/2</f>
        <v>0.84</v>
      </c>
      <c r="P32" s="6">
        <v>87</v>
      </c>
      <c r="Q32" s="57">
        <v>89.242494752348534</v>
      </c>
      <c r="R32" s="57">
        <v>2144.2150000000001</v>
      </c>
      <c r="S32" s="80">
        <v>160</v>
      </c>
      <c r="U32" s="6">
        <v>100</v>
      </c>
      <c r="V32" s="343">
        <v>1.1023000000000001</v>
      </c>
      <c r="W32" s="523">
        <v>5.0999999999999996</v>
      </c>
      <c r="X32" s="523">
        <v>6.1</v>
      </c>
      <c r="Y32" s="344">
        <v>25</v>
      </c>
      <c r="Z32" s="344">
        <f>IF(+((W32-3)*2+(X32-3)*3.1)&gt;0,+((W32-3)*2+(X32-3)*3.1),0)</f>
        <v>13.809999999999999</v>
      </c>
      <c r="AA32" s="344">
        <f t="shared" si="16"/>
        <v>38.81</v>
      </c>
      <c r="AB32" s="345">
        <f t="shared" si="17"/>
        <v>1427.5912895406</v>
      </c>
      <c r="AC32" s="345">
        <f>+(S32*V32)-'data 1'!$F$4-T32*V32</f>
        <v>96.367999999999995</v>
      </c>
      <c r="AD32" s="345">
        <f t="shared" si="18"/>
        <v>41.940722334392007</v>
      </c>
      <c r="AE32" s="345">
        <f>+(AA32*V32)-Z32-'data 1'!$I$21</f>
        <v>3.3891819189189256</v>
      </c>
      <c r="AF32" s="345">
        <f t="shared" si="19"/>
        <v>-20.109352199793296</v>
      </c>
      <c r="AG32" s="345">
        <f t="shared" si="20"/>
        <v>121.58855205351763</v>
      </c>
      <c r="AH32" s="345">
        <f t="shared" si="21"/>
        <v>181.1789743048935</v>
      </c>
      <c r="AI32" s="57">
        <f t="shared" si="22"/>
        <v>274.16429424391731</v>
      </c>
      <c r="AJ32" s="268">
        <f t="shared" si="9"/>
        <v>178.75431765924256</v>
      </c>
      <c r="AK32" s="57">
        <f t="shared" si="10"/>
        <v>2.4246566456509413</v>
      </c>
      <c r="AM32" s="57">
        <f t="shared" si="11"/>
        <v>10184.807433317921</v>
      </c>
    </row>
    <row r="33" spans="1:39" ht="15.75" customHeight="1">
      <c r="A33" s="132" t="s">
        <v>849</v>
      </c>
      <c r="B33" s="339">
        <v>45363</v>
      </c>
      <c r="C33" s="339">
        <v>45358</v>
      </c>
      <c r="D33" s="6" t="s">
        <v>848</v>
      </c>
      <c r="E33" s="176">
        <v>10460498487</v>
      </c>
      <c r="F33" s="524" t="s">
        <v>825</v>
      </c>
      <c r="G33" s="6"/>
      <c r="H33" s="90"/>
      <c r="I33" s="57">
        <v>1.83</v>
      </c>
      <c r="J33" s="57">
        <v>7.5</v>
      </c>
      <c r="K33" s="341">
        <f t="shared" si="15"/>
        <v>1.69275</v>
      </c>
      <c r="L33" s="80">
        <f>+(0.578+0.588)/2</f>
        <v>0.58299999999999996</v>
      </c>
      <c r="M33" s="80">
        <v>0.55800000000000005</v>
      </c>
      <c r="N33" s="132">
        <v>0.61899999999999999</v>
      </c>
      <c r="O33" s="153">
        <f>+(M33+N33)/2</f>
        <v>0.58850000000000002</v>
      </c>
      <c r="P33" s="6">
        <v>87</v>
      </c>
      <c r="Q33" s="57">
        <v>90.643836329923545</v>
      </c>
      <c r="R33" s="57">
        <v>2144.2150000000001</v>
      </c>
      <c r="S33" s="80">
        <v>140</v>
      </c>
      <c r="U33" s="6">
        <v>100</v>
      </c>
      <c r="V33" s="343">
        <v>1.1023000000000001</v>
      </c>
      <c r="W33" s="523">
        <v>5.0999999999999996</v>
      </c>
      <c r="X33" s="523">
        <v>6.05</v>
      </c>
      <c r="Y33" s="344">
        <v>25</v>
      </c>
      <c r="Z33" s="522">
        <f>IF(+((W33-3)*1.5+(X33-3)*3.1)&gt;0,+((W33-3)*1.5+(X33-3)*3.1),0)</f>
        <v>12.605</v>
      </c>
      <c r="AA33" s="522">
        <f t="shared" si="16"/>
        <v>37.605000000000004</v>
      </c>
      <c r="AB33" s="345">
        <f t="shared" si="17"/>
        <v>957.92389739302757</v>
      </c>
      <c r="AC33" s="345">
        <f>+(S33*V33)-'data 1'!$F$4-T33*V33</f>
        <v>74.322000000000003</v>
      </c>
      <c r="AD33" s="345">
        <f t="shared" si="18"/>
        <v>47.868938212297579</v>
      </c>
      <c r="AE33" s="345">
        <f>+(AA33*V33)-Z33-'data 1'!$I$21</f>
        <v>3.2659104189189243</v>
      </c>
      <c r="AF33" s="345">
        <f t="shared" si="19"/>
        <v>-11.233817017402414</v>
      </c>
      <c r="AG33" s="345">
        <f t="shared" si="20"/>
        <v>114.22303161381409</v>
      </c>
      <c r="AH33" s="345">
        <f t="shared" si="21"/>
        <v>30.669643261079649</v>
      </c>
      <c r="AI33" s="57">
        <f t="shared" si="22"/>
        <v>195.59958624800871</v>
      </c>
      <c r="AJ33" s="268">
        <f t="shared" si="9"/>
        <v>29.714444215325297</v>
      </c>
      <c r="AK33" s="57">
        <f t="shared" si="10"/>
        <v>0.95519904575435177</v>
      </c>
      <c r="AM33" s="57">
        <f t="shared" si="11"/>
        <v>1621.5256773120475</v>
      </c>
    </row>
    <row r="34" spans="1:39" ht="15.75" customHeight="1">
      <c r="A34" s="132" t="s">
        <v>850</v>
      </c>
      <c r="B34" s="135"/>
      <c r="C34" s="135">
        <v>45364</v>
      </c>
      <c r="D34" s="142" t="s">
        <v>549</v>
      </c>
      <c r="E34" s="176">
        <v>20169040231</v>
      </c>
      <c r="F34" s="142" t="s">
        <v>851</v>
      </c>
      <c r="G34" s="142"/>
      <c r="H34" s="177"/>
      <c r="I34" s="347">
        <v>1.59</v>
      </c>
      <c r="J34" s="143">
        <v>1.8</v>
      </c>
      <c r="K34" s="347">
        <f t="shared" si="15"/>
        <v>1.56138</v>
      </c>
      <c r="L34" s="141">
        <v>0.17</v>
      </c>
      <c r="M34" s="132">
        <v>0.16300000000000001</v>
      </c>
      <c r="N34" s="132">
        <v>0.191</v>
      </c>
      <c r="O34" s="132">
        <v>0.191</v>
      </c>
      <c r="P34" s="142">
        <v>86</v>
      </c>
      <c r="Q34" s="144">
        <v>89.07</v>
      </c>
      <c r="R34" s="144">
        <v>2154.3850000000002</v>
      </c>
      <c r="S34" s="132">
        <v>95</v>
      </c>
      <c r="T34" s="142"/>
      <c r="U34" s="142">
        <v>110</v>
      </c>
      <c r="V34" s="142">
        <v>1.1023000000000001</v>
      </c>
      <c r="W34" s="525">
        <v>5.2</v>
      </c>
      <c r="X34" s="525">
        <f>3+6.7</f>
        <v>9.6999999999999993</v>
      </c>
      <c r="Y34" s="144">
        <v>26.93</v>
      </c>
      <c r="Z34" s="143">
        <f t="shared" ref="Z34:Z50" si="23">IF(D34="UNTUCA",IF(+((W34-2)*2.5+(X34-2)*4)&gt;0,+((W34-2)*2.5+(X34-2)*4),0),IF(+((W34-3)*1.5+(X34-3)*3.1)&gt;0,+((W34-3)*1.5+(X34-3)*3.1),0))</f>
        <v>38.799999999999997</v>
      </c>
      <c r="AA34" s="144">
        <f t="shared" si="16"/>
        <v>65.72999999999999</v>
      </c>
      <c r="AB34" s="145">
        <f t="shared" si="17"/>
        <v>192.99143367423017</v>
      </c>
      <c r="AC34" s="145">
        <f>+(S34*V34)-'data 1'!$F$4-T34*V34</f>
        <v>24.718500000000006</v>
      </c>
      <c r="AD34" s="145">
        <f t="shared" si="18"/>
        <v>11.761150030724474</v>
      </c>
      <c r="AE34" s="145">
        <f>+(AA34*V34)-Z34-'data 1'!$I$21+((W34-2)*2.5+(X34-2)*4)-((W34-3)*1.5+(X34-3)*3.1)</f>
        <v>22.803097918918915</v>
      </c>
      <c r="AF34" s="145">
        <f t="shared" si="19"/>
        <v>-42.151520019101838</v>
      </c>
      <c r="AG34" s="145">
        <f t="shared" si="20"/>
        <v>17.131227930541556</v>
      </c>
      <c r="AH34" s="145">
        <f t="shared" si="21"/>
        <v>8.1058405237619393</v>
      </c>
      <c r="AI34" s="57">
        <f t="shared" si="22"/>
        <v>56.017218975175467</v>
      </c>
      <c r="AJ34" s="268">
        <f t="shared" si="9"/>
        <v>8.793251602725789</v>
      </c>
      <c r="AK34" s="57">
        <f t="shared" si="10"/>
        <v>-0.68741107896384968</v>
      </c>
      <c r="AM34" s="57">
        <f t="shared" si="11"/>
        <v>301.33296471026949</v>
      </c>
    </row>
    <row r="35" spans="1:39" ht="15.75" customHeight="1">
      <c r="A35" s="132" t="s">
        <v>852</v>
      </c>
      <c r="B35" s="135"/>
      <c r="C35" s="135">
        <v>45364</v>
      </c>
      <c r="D35" s="142" t="s">
        <v>549</v>
      </c>
      <c r="E35" s="176">
        <v>20169040231</v>
      </c>
      <c r="F35" s="142" t="s">
        <v>851</v>
      </c>
      <c r="G35" s="177"/>
      <c r="H35" s="177"/>
      <c r="I35" s="347">
        <v>2.4900000000000002</v>
      </c>
      <c r="J35" s="143">
        <v>0.65</v>
      </c>
      <c r="K35" s="347">
        <f t="shared" si="15"/>
        <v>2.4738150000000001</v>
      </c>
      <c r="L35" s="141">
        <v>0.107</v>
      </c>
      <c r="M35" s="132">
        <v>0.10299999999999999</v>
      </c>
      <c r="N35" s="132">
        <v>0.105</v>
      </c>
      <c r="O35" s="132">
        <v>0.105</v>
      </c>
      <c r="P35" s="142">
        <v>86</v>
      </c>
      <c r="Q35" s="144">
        <v>89.42</v>
      </c>
      <c r="R35" s="144">
        <v>2154.3850000000002</v>
      </c>
      <c r="S35" s="132">
        <v>95</v>
      </c>
      <c r="T35" s="142"/>
      <c r="U35" s="142">
        <v>110</v>
      </c>
      <c r="V35" s="142">
        <v>1.1023000000000001</v>
      </c>
      <c r="W35" s="525">
        <v>5.2</v>
      </c>
      <c r="X35" s="525">
        <f>3+6.6</f>
        <v>9.6</v>
      </c>
      <c r="Y35" s="144">
        <v>26.93</v>
      </c>
      <c r="Z35" s="143">
        <f t="shared" si="23"/>
        <v>38.4</v>
      </c>
      <c r="AA35" s="144">
        <f t="shared" si="16"/>
        <v>65.33</v>
      </c>
      <c r="AB35" s="145">
        <f t="shared" si="17"/>
        <v>26.761601370649977</v>
      </c>
      <c r="AC35" s="145">
        <f>+(S35*V35)-'data 1'!$F$4-T35*V35</f>
        <v>24.718500000000006</v>
      </c>
      <c r="AD35" s="145">
        <f t="shared" si="18"/>
        <v>8.2465515275787062</v>
      </c>
      <c r="AE35" s="145">
        <f>+(AA35*V35)-Z35-'data 1'!$I$21+((W35-2)*2.5+(X35-2)*4)-((W35-3)*1.5+(X35-3)*3.1)</f>
        <v>22.672177918918923</v>
      </c>
      <c r="AF35" s="145">
        <f t="shared" si="19"/>
        <v>4.0302051571082043</v>
      </c>
      <c r="AG35" s="145">
        <f t="shared" si="20"/>
        <v>59.667434603605834</v>
      </c>
      <c r="AH35" s="145">
        <f t="shared" si="21"/>
        <v>8.1151159791946377</v>
      </c>
      <c r="AI35" s="57">
        <f t="shared" si="22"/>
        <v>35.396442330311281</v>
      </c>
      <c r="AJ35" s="268">
        <f t="shared" si="9"/>
        <v>7.6588583636736418</v>
      </c>
      <c r="AK35" s="57">
        <f t="shared" si="10"/>
        <v>0.45625761552099586</v>
      </c>
      <c r="AM35" s="57">
        <f t="shared" si="11"/>
        <v>66.203250894734481</v>
      </c>
    </row>
    <row r="36" spans="1:39" ht="15.75" customHeight="1">
      <c r="A36" s="132" t="s">
        <v>853</v>
      </c>
      <c r="B36" s="135"/>
      <c r="C36" s="135">
        <v>45364</v>
      </c>
      <c r="D36" s="142" t="s">
        <v>549</v>
      </c>
      <c r="E36" s="176">
        <v>20169040231</v>
      </c>
      <c r="F36" s="142" t="s">
        <v>851</v>
      </c>
      <c r="G36" s="177"/>
      <c r="H36" s="177"/>
      <c r="I36" s="347">
        <v>3.83</v>
      </c>
      <c r="J36" s="143">
        <v>1.05</v>
      </c>
      <c r="K36" s="347">
        <f t="shared" si="15"/>
        <v>3.7897850000000002</v>
      </c>
      <c r="L36" s="141">
        <v>0.24399999999999999</v>
      </c>
      <c r="M36" s="132">
        <v>0.23400000000000001</v>
      </c>
      <c r="N36" s="132">
        <v>0.245</v>
      </c>
      <c r="O36" s="132">
        <v>0.245</v>
      </c>
      <c r="P36" s="142">
        <v>86</v>
      </c>
      <c r="Q36" s="144">
        <v>89.16</v>
      </c>
      <c r="R36" s="144">
        <v>2154.3850000000002</v>
      </c>
      <c r="S36" s="132">
        <v>95</v>
      </c>
      <c r="T36" s="142"/>
      <c r="U36" s="142">
        <v>110</v>
      </c>
      <c r="V36" s="142">
        <v>1.1023000000000001</v>
      </c>
      <c r="W36" s="525">
        <v>5.2</v>
      </c>
      <c r="X36" s="525">
        <f>3+7.1</f>
        <v>10.1</v>
      </c>
      <c r="Y36" s="144">
        <v>26.93</v>
      </c>
      <c r="Z36" s="143">
        <f t="shared" si="23"/>
        <v>40.4</v>
      </c>
      <c r="AA36" s="144">
        <f t="shared" si="16"/>
        <v>67.33</v>
      </c>
      <c r="AB36" s="145">
        <f t="shared" si="17"/>
        <v>295.88148186485012</v>
      </c>
      <c r="AC36" s="145">
        <f>+(S36*V36)-'data 1'!$F$4-T36*V36</f>
        <v>24.718500000000006</v>
      </c>
      <c r="AD36" s="145">
        <f t="shared" si="18"/>
        <v>17.375583674439181</v>
      </c>
      <c r="AE36" s="145">
        <f>+(AA36*V36)-Z36-'data 1'!$I$21+((W36-2)*2.5+(X36-2)*4)-((W36-3)*1.5+(X36-3)*3.1)</f>
        <v>23.326777918918925</v>
      </c>
      <c r="AF36" s="145">
        <f t="shared" si="19"/>
        <v>-2.0092434120318021</v>
      </c>
      <c r="AG36" s="145">
        <f t="shared" si="20"/>
        <v>63.411618181326311</v>
      </c>
      <c r="AH36" s="145">
        <f t="shared" si="21"/>
        <v>28.267247920024857</v>
      </c>
      <c r="AI36" s="57">
        <f t="shared" si="22"/>
        <v>80.482425553840756</v>
      </c>
      <c r="AJ36" s="268">
        <f t="shared" si="9"/>
        <v>27.377146338270293</v>
      </c>
      <c r="AK36" s="57">
        <f t="shared" si="10"/>
        <v>0.89010158175456411</v>
      </c>
      <c r="AM36" s="57">
        <f t="shared" si="11"/>
        <v>1121.3272017491811</v>
      </c>
    </row>
    <row r="37" spans="1:39" ht="15.75" customHeight="1">
      <c r="A37" s="132" t="s">
        <v>854</v>
      </c>
      <c r="B37" s="135"/>
      <c r="C37" s="135">
        <v>45364</v>
      </c>
      <c r="D37" s="142" t="s">
        <v>549</v>
      </c>
      <c r="E37" s="176">
        <v>20169040231</v>
      </c>
      <c r="F37" s="142" t="s">
        <v>851</v>
      </c>
      <c r="G37" s="177"/>
      <c r="H37" s="177"/>
      <c r="I37" s="347">
        <v>3.98</v>
      </c>
      <c r="J37" s="143">
        <v>1.1499999999999999</v>
      </c>
      <c r="K37" s="347">
        <f t="shared" si="15"/>
        <v>3.9342299999999999</v>
      </c>
      <c r="L37" s="141">
        <v>0.186</v>
      </c>
      <c r="M37" s="132">
        <v>0.17799999999999999</v>
      </c>
      <c r="N37" s="132">
        <v>0.18099999999999999</v>
      </c>
      <c r="O37" s="132">
        <v>0.18099999999999999</v>
      </c>
      <c r="P37" s="142">
        <v>86</v>
      </c>
      <c r="Q37" s="144">
        <v>89.07</v>
      </c>
      <c r="R37" s="144">
        <v>2154.3850000000002</v>
      </c>
      <c r="S37" s="132">
        <v>95</v>
      </c>
      <c r="T37" s="142"/>
      <c r="U37" s="142">
        <v>110</v>
      </c>
      <c r="V37" s="142">
        <v>1.1023000000000001</v>
      </c>
      <c r="W37" s="525">
        <v>5.2</v>
      </c>
      <c r="X37" s="525">
        <f>3+6.7</f>
        <v>9.6999999999999993</v>
      </c>
      <c r="Y37" s="144">
        <v>26.93</v>
      </c>
      <c r="Z37" s="143">
        <f t="shared" si="23"/>
        <v>38.799999999999997</v>
      </c>
      <c r="AA37" s="144">
        <f t="shared" si="16"/>
        <v>65.72999999999999</v>
      </c>
      <c r="AB37" s="145">
        <f t="shared" si="17"/>
        <v>173.61111363892999</v>
      </c>
      <c r="AC37" s="145">
        <f>+(S37*V37)-'data 1'!$F$4-T37*V37</f>
        <v>24.718500000000006</v>
      </c>
      <c r="AD37" s="145">
        <f t="shared" si="18"/>
        <v>12.868081798322072</v>
      </c>
      <c r="AE37" s="145">
        <f>+(AA37*V37)-Z37-'data 1'!$I$21+((W37-2)*2.5+(X37-2)*4)-((W37-3)*1.5+(X37-3)*3.1)</f>
        <v>22.803097918918915</v>
      </c>
      <c r="AF37" s="145">
        <f t="shared" si="19"/>
        <v>10.036076195024259</v>
      </c>
      <c r="AG37" s="145">
        <f t="shared" si="20"/>
        <v>70.425755912265259</v>
      </c>
      <c r="AH37" s="145">
        <f t="shared" si="21"/>
        <v>22.346690368425165</v>
      </c>
      <c r="AI37" s="57">
        <f t="shared" si="22"/>
        <v>61.289427819897867</v>
      </c>
      <c r="AJ37" s="268">
        <f t="shared" si="9"/>
        <v>20.996448502802931</v>
      </c>
      <c r="AK37" s="57">
        <f t="shared" si="10"/>
        <v>1.3502418656222339</v>
      </c>
      <c r="AM37" s="57">
        <f t="shared" si="11"/>
        <v>683.02605161168754</v>
      </c>
    </row>
    <row r="38" spans="1:39" ht="15.75" customHeight="1">
      <c r="A38" s="132" t="s">
        <v>855</v>
      </c>
      <c r="B38" s="135"/>
      <c r="C38" s="135">
        <v>45364</v>
      </c>
      <c r="D38" s="142" t="s">
        <v>549</v>
      </c>
      <c r="E38" s="176">
        <v>20169040231</v>
      </c>
      <c r="F38" s="142" t="s">
        <v>851</v>
      </c>
      <c r="G38" s="177"/>
      <c r="H38" s="177"/>
      <c r="I38" s="347">
        <v>5.34</v>
      </c>
      <c r="J38" s="142">
        <v>1.85</v>
      </c>
      <c r="K38" s="347">
        <f t="shared" si="15"/>
        <v>5.2412099999999997</v>
      </c>
      <c r="L38" s="141">
        <v>0.13500000000000001</v>
      </c>
      <c r="M38" s="132">
        <v>0.129</v>
      </c>
      <c r="N38" s="132">
        <v>0.14799999999999999</v>
      </c>
      <c r="O38" s="132">
        <v>0.14799999999999999</v>
      </c>
      <c r="P38" s="142">
        <v>86</v>
      </c>
      <c r="Q38" s="144">
        <v>89.42</v>
      </c>
      <c r="R38" s="144">
        <v>2154.3850000000002</v>
      </c>
      <c r="S38" s="132">
        <v>95</v>
      </c>
      <c r="T38" s="142"/>
      <c r="U38" s="142">
        <v>110</v>
      </c>
      <c r="V38" s="142">
        <v>1.1023000000000001</v>
      </c>
      <c r="W38" s="144">
        <v>5.2</v>
      </c>
      <c r="X38" s="144">
        <f>3+6.75</f>
        <v>9.75</v>
      </c>
      <c r="Y38" s="144">
        <v>26.93</v>
      </c>
      <c r="Z38" s="143">
        <f t="shared" si="23"/>
        <v>39</v>
      </c>
      <c r="AA38" s="144">
        <f t="shared" si="16"/>
        <v>65.930000000000007</v>
      </c>
      <c r="AB38" s="145">
        <f t="shared" si="17"/>
        <v>109.43559752243999</v>
      </c>
      <c r="AC38" s="145">
        <f>+(S38*V38)-'data 1'!$F$4-T38*V38</f>
        <v>24.718500000000006</v>
      </c>
      <c r="AD38" s="145">
        <f t="shared" si="18"/>
        <v>10.40452762825351</v>
      </c>
      <c r="AE38" s="145">
        <f>+(AA38*V38)-Z38-'data 1'!$I$21+((W38-2)*2.5+(X38-2)*4)-((W38-3)*1.5+(X38-3)*3.1)</f>
        <v>22.868557918918931</v>
      </c>
      <c r="AF38" s="145">
        <f t="shared" si="19"/>
        <v>-26.196333521203272</v>
      </c>
      <c r="AG38" s="145">
        <f t="shared" si="20"/>
        <v>31.795252025969177</v>
      </c>
      <c r="AH38" s="145">
        <f t="shared" si="21"/>
        <v>21.692472934893868</v>
      </c>
      <c r="AI38" s="57">
        <f t="shared" si="22"/>
        <v>44.65906275319648</v>
      </c>
      <c r="AJ38" s="268">
        <f t="shared" si="9"/>
        <v>22.871823812332078</v>
      </c>
      <c r="AK38" s="57">
        <f t="shared" si="10"/>
        <v>-1.1793508774382104</v>
      </c>
      <c r="AM38" s="57">
        <f t="shared" si="11"/>
        <v>573.57494809058767</v>
      </c>
    </row>
    <row r="39" spans="1:39" ht="15.75" customHeight="1">
      <c r="A39" s="132" t="s">
        <v>856</v>
      </c>
      <c r="B39" s="135"/>
      <c r="C39" s="135">
        <v>45364</v>
      </c>
      <c r="D39" s="142" t="s">
        <v>549</v>
      </c>
      <c r="E39" s="176">
        <v>20169040231</v>
      </c>
      <c r="F39" s="142" t="s">
        <v>851</v>
      </c>
      <c r="G39" s="177"/>
      <c r="H39" s="177"/>
      <c r="I39" s="347">
        <v>5.47</v>
      </c>
      <c r="J39" s="142">
        <v>1.95</v>
      </c>
      <c r="K39" s="347">
        <f t="shared" si="15"/>
        <v>5.3633350000000002</v>
      </c>
      <c r="L39" s="141">
        <v>0.17799999999999999</v>
      </c>
      <c r="M39" s="132">
        <v>0.17100000000000001</v>
      </c>
      <c r="N39" s="271">
        <v>0.183</v>
      </c>
      <c r="O39" s="271">
        <v>0.183</v>
      </c>
      <c r="P39" s="142">
        <v>86</v>
      </c>
      <c r="Q39" s="144">
        <v>89.07</v>
      </c>
      <c r="R39" s="144">
        <v>2154.3850000000002</v>
      </c>
      <c r="S39" s="132">
        <v>95</v>
      </c>
      <c r="T39" s="142"/>
      <c r="U39" s="142">
        <v>110</v>
      </c>
      <c r="V39" s="142">
        <v>1.1023000000000001</v>
      </c>
      <c r="W39" s="144">
        <v>5.2</v>
      </c>
      <c r="X39" s="144">
        <f>3+6.6</f>
        <v>9.6</v>
      </c>
      <c r="Y39" s="144">
        <v>26.93</v>
      </c>
      <c r="Z39" s="143">
        <f t="shared" si="23"/>
        <v>38.4</v>
      </c>
      <c r="AA39" s="144">
        <f t="shared" si="16"/>
        <v>65.33</v>
      </c>
      <c r="AB39" s="145">
        <f t="shared" si="17"/>
        <v>177.92809764599005</v>
      </c>
      <c r="AC39" s="145">
        <f>+(S39*V39)-'data 1'!$F$4-T39*V39</f>
        <v>24.718500000000006</v>
      </c>
      <c r="AD39" s="145">
        <f t="shared" si="18"/>
        <v>12.314615914523271</v>
      </c>
      <c r="AE39" s="145">
        <f>+(AA39*V39)-Z39-'data 1'!$I$21+((W39-2)*2.5+(X39-2)*4)-((W39-3)*1.5+(X39-3)*3.1)</f>
        <v>22.672177918918923</v>
      </c>
      <c r="AF39" s="145">
        <f t="shared" si="19"/>
        <v>-10.036076195024259</v>
      </c>
      <c r="AG39" s="145">
        <f t="shared" si="20"/>
        <v>49.66921763841794</v>
      </c>
      <c r="AH39" s="145">
        <f t="shared" si="21"/>
        <v>29.153818669536339</v>
      </c>
      <c r="AI39" s="57">
        <f t="shared" si="22"/>
        <v>58.65332339753666</v>
      </c>
      <c r="AJ39" s="268">
        <f t="shared" si="9"/>
        <v>28.939667337844558</v>
      </c>
      <c r="AK39" s="57">
        <f t="shared" si="10"/>
        <v>0.21415133169178091</v>
      </c>
      <c r="AM39" s="57">
        <f t="shared" si="11"/>
        <v>954.28799358815604</v>
      </c>
    </row>
    <row r="40" spans="1:39" ht="15.75" customHeight="1">
      <c r="A40" s="132" t="s">
        <v>857</v>
      </c>
      <c r="B40" s="135">
        <v>45371</v>
      </c>
      <c r="C40" s="135">
        <v>45366</v>
      </c>
      <c r="D40" s="142" t="s">
        <v>549</v>
      </c>
      <c r="E40" s="176">
        <v>20169040231</v>
      </c>
      <c r="F40" s="142" t="s">
        <v>858</v>
      </c>
      <c r="G40" s="177">
        <v>19</v>
      </c>
      <c r="H40" s="177"/>
      <c r="I40" s="138">
        <v>1.57</v>
      </c>
      <c r="J40" s="143">
        <v>0.6</v>
      </c>
      <c r="K40" s="347">
        <f t="shared" si="15"/>
        <v>1.5605800000000001</v>
      </c>
      <c r="L40" s="170">
        <v>0.56999999999999995</v>
      </c>
      <c r="M40" s="271">
        <v>0.54700000000000004</v>
      </c>
      <c r="N40" s="526">
        <v>0.54700000000000004</v>
      </c>
      <c r="O40" s="153">
        <f>+(M40+N40)/2</f>
        <v>0.54700000000000004</v>
      </c>
      <c r="P40" s="142">
        <v>90</v>
      </c>
      <c r="Q40" s="144">
        <v>88.48360620086018</v>
      </c>
      <c r="R40" s="144">
        <v>2156.0100000000002</v>
      </c>
      <c r="S40" s="132">
        <v>130</v>
      </c>
      <c r="T40" s="142"/>
      <c r="U40" s="142">
        <v>110</v>
      </c>
      <c r="V40" s="142">
        <v>1.1023000000000001</v>
      </c>
      <c r="W40" s="144">
        <f>7.8+2</f>
        <v>9.8000000000000007</v>
      </c>
      <c r="X40" s="144">
        <f>1+8.06</f>
        <v>9.06</v>
      </c>
      <c r="Y40" s="348">
        <v>26.77</v>
      </c>
      <c r="Z40" s="143">
        <f t="shared" si="23"/>
        <v>47.74</v>
      </c>
      <c r="AA40" s="144">
        <f t="shared" si="16"/>
        <v>74.510000000000005</v>
      </c>
      <c r="AB40" s="145">
        <f t="shared" si="17"/>
        <v>884.8610989629002</v>
      </c>
      <c r="AC40" s="145">
        <f>+(S40*V40)-'data 1'!$F$4-T40*V40</f>
        <v>63.299000000000007</v>
      </c>
      <c r="AD40" s="145">
        <f t="shared" si="18"/>
        <v>-19.493706139309641</v>
      </c>
      <c r="AE40" s="145">
        <f>+(AA40*V40)-Z40-'data 1'!$I$21+((W40-2)*2.5+(X40-2)*4)-((W40-3)*1.5+(X40-3)*3.1)</f>
        <v>27.56529191891893</v>
      </c>
      <c r="AF40" s="145">
        <f t="shared" si="19"/>
        <v>45.898470093636455</v>
      </c>
      <c r="AG40" s="145">
        <f t="shared" si="20"/>
        <v>117.26905587324575</v>
      </c>
      <c r="AH40" s="145">
        <f t="shared" si="21"/>
        <v>26.985643331200652</v>
      </c>
      <c r="AI40" s="57">
        <f t="shared" si="22"/>
        <v>185.68248561722365</v>
      </c>
      <c r="AJ40" s="268">
        <f t="shared" si="9"/>
        <v>26.34055624173487</v>
      </c>
      <c r="AK40" s="57">
        <f t="shared" si="10"/>
        <v>0.64508708946578253</v>
      </c>
      <c r="AM40" s="57">
        <f t="shared" si="11"/>
        <v>1380.8965338195228</v>
      </c>
    </row>
    <row r="41" spans="1:39" ht="15.75" customHeight="1">
      <c r="A41" s="132" t="s">
        <v>859</v>
      </c>
      <c r="B41" s="346">
        <v>45371</v>
      </c>
      <c r="C41" s="135">
        <v>45366</v>
      </c>
      <c r="D41" s="142" t="s">
        <v>549</v>
      </c>
      <c r="E41" s="176">
        <v>20169040231</v>
      </c>
      <c r="F41" s="142" t="s">
        <v>750</v>
      </c>
      <c r="G41" s="177"/>
      <c r="H41" s="177"/>
      <c r="I41" s="138">
        <v>6.01</v>
      </c>
      <c r="J41" s="143">
        <v>0.9</v>
      </c>
      <c r="K41" s="347">
        <f t="shared" si="15"/>
        <v>5.9559099999999994</v>
      </c>
      <c r="L41" s="170">
        <v>1.357</v>
      </c>
      <c r="M41" s="271">
        <v>1.3029999999999999</v>
      </c>
      <c r="N41" s="271">
        <v>1.3029999999999999</v>
      </c>
      <c r="O41" s="153">
        <f>+(M41+N41)/2</f>
        <v>1.3029999999999999</v>
      </c>
      <c r="P41" s="142">
        <v>87</v>
      </c>
      <c r="Q41" s="144">
        <v>87.663499122886108</v>
      </c>
      <c r="R41" s="144">
        <v>2156.0100000000002</v>
      </c>
      <c r="S41" s="132">
        <v>210</v>
      </c>
      <c r="T41" s="142"/>
      <c r="U41" s="142">
        <v>110</v>
      </c>
      <c r="V41" s="142">
        <v>1.1023000000000001</v>
      </c>
      <c r="W41" s="144">
        <v>7.8</v>
      </c>
      <c r="X41" s="144">
        <v>8.06</v>
      </c>
      <c r="Y41" s="348">
        <v>25.93</v>
      </c>
      <c r="Z41" s="143">
        <f t="shared" si="23"/>
        <v>38.74</v>
      </c>
      <c r="AA41" s="144">
        <f t="shared" si="16"/>
        <v>64.67</v>
      </c>
      <c r="AB41" s="145">
        <f t="shared" si="17"/>
        <v>2253.8809627210303</v>
      </c>
      <c r="AC41" s="145">
        <f>+(S41*V41)-'data 1'!$F$4-T41*V41</f>
        <v>151.483</v>
      </c>
      <c r="AD41" s="145">
        <f t="shared" si="18"/>
        <v>20.306157958897945</v>
      </c>
      <c r="AE41" s="145">
        <f>+(AA41*V41)-Z41-'data 1'!$I$21+((W41-2)*2.5+(X41-2)*4)-((W41-3)*1.5+(X41-3)*3.1)</f>
        <v>22.818659918918918</v>
      </c>
      <c r="AF41" s="145">
        <f t="shared" si="19"/>
        <v>106.76284074084114</v>
      </c>
      <c r="AG41" s="145">
        <f t="shared" si="20"/>
        <v>301.37065861865801</v>
      </c>
      <c r="AH41" s="145">
        <f t="shared" si="21"/>
        <v>242.91584560361767</v>
      </c>
      <c r="AI41" s="57">
        <f t="shared" si="22"/>
        <v>437.95745214623167</v>
      </c>
      <c r="AJ41" s="268">
        <f t="shared" si="9"/>
        <v>231.48393913599185</v>
      </c>
      <c r="AK41" s="57">
        <f t="shared" si="10"/>
        <v>11.431906467625822</v>
      </c>
      <c r="AM41" s="57">
        <f t="shared" si="11"/>
        <v>13423.91216467981</v>
      </c>
    </row>
    <row r="42" spans="1:39" ht="15.75" customHeight="1">
      <c r="A42" s="132" t="s">
        <v>860</v>
      </c>
      <c r="B42" s="135">
        <v>45371</v>
      </c>
      <c r="C42" s="135">
        <v>45366</v>
      </c>
      <c r="D42" s="142" t="s">
        <v>549</v>
      </c>
      <c r="E42" s="176">
        <v>20169040231</v>
      </c>
      <c r="F42" s="142" t="s">
        <v>861</v>
      </c>
      <c r="G42" s="177"/>
      <c r="H42" s="177"/>
      <c r="I42" s="138">
        <v>1.72</v>
      </c>
      <c r="J42" s="143">
        <v>0.9</v>
      </c>
      <c r="K42" s="347">
        <f t="shared" si="15"/>
        <v>1.70452</v>
      </c>
      <c r="L42" s="170">
        <v>0.58099999999999996</v>
      </c>
      <c r="M42" s="271">
        <v>0.55800000000000005</v>
      </c>
      <c r="N42" s="526">
        <v>0.55800000000000005</v>
      </c>
      <c r="O42" s="153">
        <f>+(M42+N42)/2</f>
        <v>0.55800000000000005</v>
      </c>
      <c r="P42" s="142">
        <v>90</v>
      </c>
      <c r="Q42" s="144">
        <v>88.643745590081323</v>
      </c>
      <c r="R42" s="144">
        <v>2156.0100000000002</v>
      </c>
      <c r="S42" s="132">
        <v>130</v>
      </c>
      <c r="T42" s="142"/>
      <c r="U42" s="142">
        <v>110</v>
      </c>
      <c r="V42" s="142">
        <v>1.1023000000000001</v>
      </c>
      <c r="W42" s="144">
        <v>7.9</v>
      </c>
      <c r="X42" s="144">
        <v>8.06</v>
      </c>
      <c r="Y42" s="348">
        <v>27.8</v>
      </c>
      <c r="Z42" s="143">
        <f t="shared" si="23"/>
        <v>38.99</v>
      </c>
      <c r="AA42" s="144">
        <f t="shared" si="16"/>
        <v>66.790000000000006</v>
      </c>
      <c r="AB42" s="145">
        <f t="shared" si="17"/>
        <v>915.69849151060032</v>
      </c>
      <c r="AC42" s="145">
        <f>+(S42*V42)-'data 1'!$F$4-T42*V42</f>
        <v>63.299000000000007</v>
      </c>
      <c r="AD42" s="145">
        <f t="shared" si="18"/>
        <v>-17.771531478223245</v>
      </c>
      <c r="AE42" s="145">
        <f>+(AA42*V42)-Z42-'data 1'!$I$21+((W42-2)*2.5+(X42-2)*4)-((W42-3)*1.5+(X42-3)*3.1)</f>
        <v>25.005535918918923</v>
      </c>
      <c r="AF42" s="145">
        <f t="shared" si="19"/>
        <v>45.981538057099584</v>
      </c>
      <c r="AG42" s="145">
        <f t="shared" si="20"/>
        <v>116.51454249779528</v>
      </c>
      <c r="AH42" s="145">
        <f t="shared" si="21"/>
        <v>30.097845026863641</v>
      </c>
      <c r="AI42" s="57">
        <f t="shared" si="22"/>
        <v>189.60836889522449</v>
      </c>
      <c r="AJ42" s="268">
        <f t="shared" si="9"/>
        <v>29.34863310469877</v>
      </c>
      <c r="AK42" s="57">
        <f t="shared" si="10"/>
        <v>0.74921192216487142</v>
      </c>
      <c r="AM42" s="57">
        <f t="shared" si="11"/>
        <v>1560.8263927496484</v>
      </c>
    </row>
    <row r="43" spans="1:39" ht="15.75" customHeight="1">
      <c r="A43" s="527" t="s">
        <v>862</v>
      </c>
      <c r="B43" s="390"/>
      <c r="C43" s="390">
        <v>45368</v>
      </c>
      <c r="D43" s="391" t="s">
        <v>549</v>
      </c>
      <c r="E43" s="380">
        <v>20169040231</v>
      </c>
      <c r="F43" s="391" t="s">
        <v>863</v>
      </c>
      <c r="G43" s="392">
        <v>30</v>
      </c>
      <c r="H43" s="392"/>
      <c r="I43" s="393">
        <v>2.66</v>
      </c>
      <c r="J43" s="394">
        <v>1.2</v>
      </c>
      <c r="K43" s="395">
        <f t="shared" si="15"/>
        <v>2.6280800000000002</v>
      </c>
      <c r="L43" s="396">
        <v>0.34</v>
      </c>
      <c r="M43" s="396">
        <v>0.32640000000000002</v>
      </c>
      <c r="N43" s="396">
        <v>0.32640000000000002</v>
      </c>
      <c r="O43" s="385">
        <f>+(M43+N43)/2</f>
        <v>0.32640000000000002</v>
      </c>
      <c r="P43" s="391">
        <v>90</v>
      </c>
      <c r="Q43" s="397">
        <v>91.26</v>
      </c>
      <c r="R43" s="397">
        <v>2157.5749999999998</v>
      </c>
      <c r="S43" s="398">
        <v>110</v>
      </c>
      <c r="T43" s="391"/>
      <c r="U43" s="391">
        <v>110</v>
      </c>
      <c r="V43" s="391">
        <v>1.1023000000000001</v>
      </c>
      <c r="W43" s="394">
        <v>7</v>
      </c>
      <c r="X43" s="394">
        <v>8.6999999999999993</v>
      </c>
      <c r="Y43" s="391">
        <v>26.38</v>
      </c>
      <c r="Z43" s="394">
        <f t="shared" si="23"/>
        <v>39.299999999999997</v>
      </c>
      <c r="AA43" s="397">
        <f t="shared" si="16"/>
        <v>65.679999999999993</v>
      </c>
      <c r="AB43" s="399">
        <f t="shared" si="17"/>
        <v>469.37657115360003</v>
      </c>
      <c r="AC43" s="399">
        <f>+(S43*V43)-'data 1'!$F$4-T43*V43</f>
        <v>41.253</v>
      </c>
      <c r="AD43" s="399">
        <f t="shared" si="18"/>
        <v>9.6691675959900394</v>
      </c>
      <c r="AE43" s="399">
        <f>+(AA43*V43)-Z43-'data 1'!$I$21+((W43-2)*2.5+(X43-2)*4)-((W43-3)*1.5+(X43-3)*3.1)</f>
        <v>23.147982918918917</v>
      </c>
      <c r="AF43" s="399">
        <f t="shared" si="19"/>
        <v>28.012959835239602</v>
      </c>
      <c r="AG43" s="399">
        <f t="shared" si="20"/>
        <v>102.08311035014856</v>
      </c>
      <c r="AH43" s="400">
        <f t="shared" si="21"/>
        <v>27.958059961103558</v>
      </c>
      <c r="AI43" s="57">
        <f t="shared" si="22"/>
        <v>113.69801073501009</v>
      </c>
      <c r="AJ43" s="268">
        <f t="shared" si="9"/>
        <v>26.469169193944193</v>
      </c>
      <c r="AK43" s="57">
        <f t="shared" si="10"/>
        <v>1.488890767159365</v>
      </c>
      <c r="AM43" s="57">
        <f t="shared" si="11"/>
        <v>1233.5591791173533</v>
      </c>
    </row>
    <row r="44" spans="1:39" ht="15.75" customHeight="1">
      <c r="A44" s="528" t="s">
        <v>864</v>
      </c>
      <c r="B44" s="529"/>
      <c r="C44" s="529">
        <v>45368</v>
      </c>
      <c r="D44" s="530" t="s">
        <v>549</v>
      </c>
      <c r="E44" s="531">
        <v>20169040231</v>
      </c>
      <c r="F44" s="530" t="s">
        <v>865</v>
      </c>
      <c r="G44" s="532">
        <v>30</v>
      </c>
      <c r="H44" s="532"/>
      <c r="I44" s="533">
        <v>2.98</v>
      </c>
      <c r="J44" s="534">
        <v>6.2</v>
      </c>
      <c r="K44" s="535">
        <f t="shared" si="15"/>
        <v>2.7952400000000002</v>
      </c>
      <c r="L44" s="536">
        <v>0.23300000000000001</v>
      </c>
      <c r="M44" s="536">
        <v>0.22368000000000002</v>
      </c>
      <c r="N44" s="536">
        <v>0.22368000000000002</v>
      </c>
      <c r="O44" s="537">
        <f>+(M44+N44)/2</f>
        <v>0.22368000000000002</v>
      </c>
      <c r="P44" s="530">
        <v>90</v>
      </c>
      <c r="Q44" s="538">
        <v>91.19</v>
      </c>
      <c r="R44" s="538">
        <v>2157.5749999999998</v>
      </c>
      <c r="S44" s="539">
        <v>95</v>
      </c>
      <c r="T44" s="530"/>
      <c r="U44" s="530">
        <v>110</v>
      </c>
      <c r="V44" s="530">
        <v>1.1023000000000001</v>
      </c>
      <c r="W44" s="534">
        <v>6.9</v>
      </c>
      <c r="X44" s="534">
        <v>8.1</v>
      </c>
      <c r="Y44" s="530">
        <v>26.38</v>
      </c>
      <c r="Z44" s="534">
        <f t="shared" si="23"/>
        <v>36.65</v>
      </c>
      <c r="AA44" s="538">
        <f t="shared" si="16"/>
        <v>63.03</v>
      </c>
      <c r="AB44" s="540">
        <f t="shared" si="17"/>
        <v>280.17315450232002</v>
      </c>
      <c r="AC44" s="540">
        <f>+(S44*V44)-'data 1'!$F$4-T44*V44</f>
        <v>24.718500000000006</v>
      </c>
      <c r="AD44" s="540">
        <f t="shared" si="18"/>
        <v>6.2581001385157382</v>
      </c>
      <c r="AE44" s="540">
        <f>+(AA44*V44)-Z44-'data 1'!$I$21+((W44-2)*2.5+(X44-2)*4)-((W44-3)*1.5+(X44-3)*3.1)</f>
        <v>22.236887918918921</v>
      </c>
      <c r="AF44" s="540">
        <f t="shared" si="19"/>
        <v>19.182391651470617</v>
      </c>
      <c r="AG44" s="540">
        <f t="shared" si="20"/>
        <v>72.395879708905284</v>
      </c>
      <c r="AH44" s="541">
        <f t="shared" si="21"/>
        <v>20.362509899992496</v>
      </c>
      <c r="AI44" s="57">
        <f t="shared" si="22"/>
        <v>77.856812873034301</v>
      </c>
      <c r="AJ44" s="268">
        <f t="shared" si="9"/>
        <v>19.292914303754266</v>
      </c>
      <c r="AK44" s="57">
        <f t="shared" si="10"/>
        <v>1.06959559623823</v>
      </c>
      <c r="AM44" s="57">
        <f t="shared" si="11"/>
        <v>783.1512083910651</v>
      </c>
    </row>
    <row r="45" spans="1:39" ht="15.75" customHeight="1">
      <c r="A45" s="542" t="s">
        <v>866</v>
      </c>
      <c r="B45" s="543"/>
      <c r="C45" s="544">
        <v>45370</v>
      </c>
      <c r="D45" s="543" t="s">
        <v>549</v>
      </c>
      <c r="E45" s="545">
        <v>20169040231</v>
      </c>
      <c r="F45" s="543" t="s">
        <v>765</v>
      </c>
      <c r="G45" s="546">
        <v>78</v>
      </c>
      <c r="H45" s="546"/>
      <c r="I45" s="547">
        <v>6.72</v>
      </c>
      <c r="J45" s="548">
        <v>1</v>
      </c>
      <c r="K45" s="547">
        <f t="shared" si="15"/>
        <v>6.6528</v>
      </c>
      <c r="L45" s="549">
        <v>0.40200000000000002</v>
      </c>
      <c r="M45" s="550">
        <v>0.38600000000000001</v>
      </c>
      <c r="N45" s="547">
        <v>0.40600000000000003</v>
      </c>
      <c r="O45" s="551">
        <v>0.4</v>
      </c>
      <c r="P45" s="543">
        <v>90</v>
      </c>
      <c r="Q45" s="543">
        <v>87.51</v>
      </c>
      <c r="R45" s="552">
        <v>2152.5450000000001</v>
      </c>
      <c r="S45" s="550">
        <v>110</v>
      </c>
      <c r="T45" s="543"/>
      <c r="U45" s="543">
        <v>110</v>
      </c>
      <c r="V45" s="543">
        <v>1.1023000000000001</v>
      </c>
      <c r="W45" s="548">
        <v>6.1</v>
      </c>
      <c r="X45" s="548">
        <v>8.3800000000000008</v>
      </c>
      <c r="Y45" s="543">
        <v>26.71</v>
      </c>
      <c r="Z45" s="548">
        <f t="shared" si="23"/>
        <v>35.770000000000003</v>
      </c>
      <c r="AA45" s="552">
        <f t="shared" si="16"/>
        <v>62.480000000000004</v>
      </c>
      <c r="AB45" s="553">
        <f t="shared" si="17"/>
        <v>620.41434326000001</v>
      </c>
      <c r="AC45" s="553">
        <f>+(S45*V45)-'data 1'!$F$4-T45*V45</f>
        <v>41.253</v>
      </c>
      <c r="AD45" s="553">
        <f t="shared" si="18"/>
        <v>-22.537038209064256</v>
      </c>
      <c r="AE45" s="553">
        <f>+(AA45*V45)-Z45-'data 1'!$I$21+((W45-2)*2.5+(X45-2)*4)-((W45-3)*1.5+(X45-3)*3.1)</f>
        <v>21.962622918918925</v>
      </c>
      <c r="AF45" s="553">
        <f t="shared" si="19"/>
        <v>3.9405706680957042</v>
      </c>
      <c r="AG45" s="553">
        <f t="shared" si="20"/>
        <v>44.619155377950371</v>
      </c>
      <c r="AH45" s="554">
        <f t="shared" si="21"/>
        <v>80.241173940448022</v>
      </c>
      <c r="AI45" s="57">
        <f t="shared" si="22"/>
        <v>130.85773886756431</v>
      </c>
      <c r="AJ45" s="268">
        <f t="shared" si="9"/>
        <v>82.113778662854401</v>
      </c>
      <c r="AK45" s="57">
        <f t="shared" si="10"/>
        <v>-1.8726047224063791</v>
      </c>
      <c r="AM45" s="57">
        <f t="shared" si="11"/>
        <v>4127.4925428401284</v>
      </c>
    </row>
    <row r="46" spans="1:39" ht="15.75" customHeight="1">
      <c r="A46" s="527" t="s">
        <v>867</v>
      </c>
      <c r="B46" s="343"/>
      <c r="C46" s="339">
        <v>45370</v>
      </c>
      <c r="D46" s="343" t="s">
        <v>549</v>
      </c>
      <c r="E46" s="401">
        <v>20169040231</v>
      </c>
      <c r="F46" s="343" t="s">
        <v>765</v>
      </c>
      <c r="G46" s="402">
        <v>78</v>
      </c>
      <c r="H46" s="402"/>
      <c r="I46" s="403">
        <v>7.76</v>
      </c>
      <c r="J46" s="404">
        <v>1.2</v>
      </c>
      <c r="K46" s="403">
        <f t="shared" si="15"/>
        <v>7.6668799999999999</v>
      </c>
      <c r="L46" s="405">
        <v>0.34699999999999998</v>
      </c>
      <c r="M46" s="342">
        <v>0.33300000000000002</v>
      </c>
      <c r="N46" s="403">
        <v>0.35799999999999998</v>
      </c>
      <c r="O46" s="406">
        <v>0.35</v>
      </c>
      <c r="P46" s="343">
        <v>90</v>
      </c>
      <c r="Q46" s="343">
        <v>87.82</v>
      </c>
      <c r="R46" s="407">
        <v>2152.5450000000001</v>
      </c>
      <c r="S46" s="342">
        <v>110</v>
      </c>
      <c r="T46" s="343"/>
      <c r="U46" s="343">
        <v>110</v>
      </c>
      <c r="V46" s="343">
        <v>1.1023000000000001</v>
      </c>
      <c r="W46" s="404">
        <v>6.1</v>
      </c>
      <c r="X46" s="404">
        <v>7.63</v>
      </c>
      <c r="Y46" s="343">
        <v>26.71</v>
      </c>
      <c r="Z46" s="404">
        <f t="shared" si="23"/>
        <v>32.769999999999996</v>
      </c>
      <c r="AA46" s="407">
        <f t="shared" si="16"/>
        <v>59.48</v>
      </c>
      <c r="AB46" s="408">
        <f t="shared" si="17"/>
        <v>522.40386235249991</v>
      </c>
      <c r="AC46" s="408">
        <f>+(S46*V46)-'data 1'!$F$4-T46*V46</f>
        <v>41.253</v>
      </c>
      <c r="AD46" s="408">
        <f t="shared" si="18"/>
        <v>-17.031676880286156</v>
      </c>
      <c r="AE46" s="408">
        <f>+(AA46*V46)-Z46-'data 1'!$I$21+((W46-2)*2.5+(X46-2)*4)-((W46-3)*1.5+(X46-3)*3.1)</f>
        <v>20.980722918918914</v>
      </c>
      <c r="AF46" s="408">
        <f t="shared" si="19"/>
        <v>-5.9317949275311062</v>
      </c>
      <c r="AG46" s="408">
        <f t="shared" si="20"/>
        <v>39.270251111101651</v>
      </c>
      <c r="AH46" s="409">
        <f t="shared" si="21"/>
        <v>80.103343285959298</v>
      </c>
      <c r="AI46" s="57">
        <f t="shared" si="22"/>
        <v>113.35445216183606</v>
      </c>
      <c r="AJ46" s="268">
        <f t="shared" si="9"/>
        <v>82.801516118826953</v>
      </c>
      <c r="AK46" s="57">
        <f t="shared" si="10"/>
        <v>-2.6981728328676553</v>
      </c>
      <c r="AM46" s="57">
        <f t="shared" si="11"/>
        <v>4005.2077241931347</v>
      </c>
    </row>
    <row r="47" spans="1:39" ht="15.75" customHeight="1">
      <c r="A47" s="527" t="s">
        <v>868</v>
      </c>
      <c r="B47" s="343"/>
      <c r="C47" s="339">
        <v>45370</v>
      </c>
      <c r="D47" s="343" t="s">
        <v>549</v>
      </c>
      <c r="E47" s="401">
        <v>20169040231</v>
      </c>
      <c r="F47" s="343" t="s">
        <v>765</v>
      </c>
      <c r="G47" s="402">
        <v>70</v>
      </c>
      <c r="H47" s="402"/>
      <c r="I47" s="403">
        <v>7.16</v>
      </c>
      <c r="J47" s="404">
        <v>3.3</v>
      </c>
      <c r="K47" s="403">
        <f t="shared" si="15"/>
        <v>6.9237200000000003</v>
      </c>
      <c r="L47" s="405">
        <v>0.21</v>
      </c>
      <c r="M47" s="342">
        <v>0.20200000000000001</v>
      </c>
      <c r="N47" s="403">
        <v>0.20799999999999999</v>
      </c>
      <c r="O47" s="406">
        <v>0.21</v>
      </c>
      <c r="P47" s="343">
        <v>90</v>
      </c>
      <c r="Q47" s="343">
        <v>88.03</v>
      </c>
      <c r="R47" s="407">
        <v>2152.5450000000001</v>
      </c>
      <c r="S47" s="342">
        <v>95</v>
      </c>
      <c r="T47" s="343"/>
      <c r="U47" s="343">
        <v>110</v>
      </c>
      <c r="V47" s="343">
        <v>1.1023000000000001</v>
      </c>
      <c r="W47" s="404">
        <v>5.9</v>
      </c>
      <c r="X47" s="404">
        <v>7.25</v>
      </c>
      <c r="Y47" s="343">
        <v>26.71</v>
      </c>
      <c r="Z47" s="404">
        <f t="shared" si="23"/>
        <v>30.75</v>
      </c>
      <c r="AA47" s="407">
        <f t="shared" si="16"/>
        <v>57.46</v>
      </c>
      <c r="AB47" s="408">
        <f t="shared" si="17"/>
        <v>257.47634181149999</v>
      </c>
      <c r="AC47" s="408">
        <f>+(S47*V47)-'data 1'!$F$4-T47*V47</f>
        <v>24.718500000000006</v>
      </c>
      <c r="AD47" s="408">
        <f t="shared" si="18"/>
        <v>-9.314444551429494</v>
      </c>
      <c r="AE47" s="408">
        <f>+(AA47*V47)-Z47-'data 1'!$I$21+((W47-2)*2.5+(X47-2)*4)-((W47-3)*1.5+(X47-3)*3.1)</f>
        <v>20.232076918918924</v>
      </c>
      <c r="AF47" s="408">
        <f t="shared" si="19"/>
        <v>0</v>
      </c>
      <c r="AG47" s="408">
        <f t="shared" si="20"/>
        <v>35.636132367489438</v>
      </c>
      <c r="AH47" s="409">
        <f t="shared" si="21"/>
        <v>43.883227593173928</v>
      </c>
      <c r="AI47" s="57">
        <f t="shared" si="22"/>
        <v>68.76471880192949</v>
      </c>
      <c r="AJ47" s="268">
        <f t="shared" si="9"/>
        <v>44.865278693464198</v>
      </c>
      <c r="AK47" s="57">
        <f t="shared" si="10"/>
        <v>-0.98205110029027054</v>
      </c>
      <c r="AM47" s="57">
        <f t="shared" si="11"/>
        <v>1782.6940973271187</v>
      </c>
    </row>
    <row r="48" spans="1:39" ht="15.75" customHeight="1">
      <c r="A48" s="528" t="s">
        <v>869</v>
      </c>
      <c r="B48" s="555"/>
      <c r="C48" s="556">
        <v>45370</v>
      </c>
      <c r="D48" s="555" t="s">
        <v>549</v>
      </c>
      <c r="E48" s="557">
        <v>20169040231</v>
      </c>
      <c r="F48" s="555" t="s">
        <v>765</v>
      </c>
      <c r="G48" s="558">
        <v>62</v>
      </c>
      <c r="H48" s="558"/>
      <c r="I48" s="559">
        <v>6.44</v>
      </c>
      <c r="J48" s="560">
        <v>1.85</v>
      </c>
      <c r="K48" s="559">
        <f t="shared" si="15"/>
        <v>6.3208600000000006</v>
      </c>
      <c r="L48" s="561">
        <v>0.16700000000000001</v>
      </c>
      <c r="M48" s="562">
        <v>0.16</v>
      </c>
      <c r="N48" s="559">
        <v>0.16500000000000001</v>
      </c>
      <c r="O48" s="563">
        <v>0.16500000000000001</v>
      </c>
      <c r="P48" s="555">
        <v>90</v>
      </c>
      <c r="Q48" s="555">
        <v>88.45</v>
      </c>
      <c r="R48" s="564">
        <v>2152.5450000000001</v>
      </c>
      <c r="S48" s="565">
        <v>95</v>
      </c>
      <c r="T48" s="555"/>
      <c r="U48" s="555">
        <v>110</v>
      </c>
      <c r="V48" s="555">
        <v>1.1023000000000001</v>
      </c>
      <c r="W48" s="560">
        <v>5.9</v>
      </c>
      <c r="X48" s="560">
        <v>7.3</v>
      </c>
      <c r="Y48" s="555">
        <v>26.71</v>
      </c>
      <c r="Z48" s="560">
        <f t="shared" si="23"/>
        <v>30.95</v>
      </c>
      <c r="AA48" s="564">
        <f t="shared" si="16"/>
        <v>57.66</v>
      </c>
      <c r="AB48" s="566">
        <f t="shared" si="17"/>
        <v>166.07023899475007</v>
      </c>
      <c r="AC48" s="566">
        <f>+(S48*V48)-'data 1'!$F$4-T48*V48</f>
        <v>24.718500000000006</v>
      </c>
      <c r="AD48" s="566">
        <f t="shared" si="18"/>
        <v>-5.8280008995347394</v>
      </c>
      <c r="AE48" s="566">
        <f>+(AA48*V48)-Z48-'data 1'!$I$21+((W48-2)*2.5+(X48-2)*4)-((W48-3)*1.5+(X48-3)*3.1)</f>
        <v>20.297536918918929</v>
      </c>
      <c r="AF48" s="566">
        <f t="shared" si="19"/>
        <v>3.9828988183415039</v>
      </c>
      <c r="AG48" s="566">
        <f t="shared" si="20"/>
        <v>43.170934837725703</v>
      </c>
      <c r="AH48" s="567">
        <f t="shared" si="21"/>
        <v>32.011022670352055</v>
      </c>
      <c r="AI48" s="57">
        <f t="shared" si="22"/>
        <v>54.945228419484749</v>
      </c>
      <c r="AJ48" s="268">
        <f t="shared" si="9"/>
        <v>32.181900979593877</v>
      </c>
      <c r="AK48" s="57">
        <f t="shared" si="10"/>
        <v>-0.17087830924182157</v>
      </c>
      <c r="AM48" s="57">
        <f t="shared" si="11"/>
        <v>1049.706730852356</v>
      </c>
    </row>
    <row r="49" spans="1:39" ht="15.75" customHeight="1">
      <c r="A49" s="542" t="s">
        <v>870</v>
      </c>
      <c r="B49" s="293">
        <v>45376</v>
      </c>
      <c r="C49" s="293">
        <v>45372</v>
      </c>
      <c r="D49" s="303" t="s">
        <v>557</v>
      </c>
      <c r="E49" s="295">
        <v>10460498487</v>
      </c>
      <c r="F49" s="294" t="s">
        <v>159</v>
      </c>
      <c r="G49" s="297">
        <v>100</v>
      </c>
      <c r="H49" s="297"/>
      <c r="I49" s="298">
        <v>8.9</v>
      </c>
      <c r="J49" s="299">
        <v>9.1999999999999993</v>
      </c>
      <c r="K49" s="298">
        <f t="shared" si="15"/>
        <v>8.0812000000000008</v>
      </c>
      <c r="L49" s="300">
        <v>0.502</v>
      </c>
      <c r="M49" s="306">
        <v>0.47699999999999998</v>
      </c>
      <c r="N49" s="568">
        <v>0.57699999999999996</v>
      </c>
      <c r="O49" s="301">
        <f>+(M49+N49)/2</f>
        <v>0.52699999999999991</v>
      </c>
      <c r="P49" s="303">
        <v>90</v>
      </c>
      <c r="Q49" s="294">
        <v>91.33</v>
      </c>
      <c r="R49" s="305">
        <v>2166.4450000000002</v>
      </c>
      <c r="S49" s="306">
        <v>140</v>
      </c>
      <c r="T49" s="303"/>
      <c r="U49" s="294">
        <v>100</v>
      </c>
      <c r="V49" s="294">
        <v>1.1023000000000001</v>
      </c>
      <c r="W49" s="299">
        <v>5.8</v>
      </c>
      <c r="X49" s="299">
        <v>6.85</v>
      </c>
      <c r="Y49" s="303">
        <v>25</v>
      </c>
      <c r="Z49" s="304">
        <f t="shared" si="23"/>
        <v>16.134999999999998</v>
      </c>
      <c r="AA49" s="307">
        <f t="shared" si="16"/>
        <v>41.134999999999998</v>
      </c>
      <c r="AB49" s="308">
        <f t="shared" si="17"/>
        <v>880.71550353605005</v>
      </c>
      <c r="AC49" s="308">
        <f>+(S49*V49)-'data 1'!$F$4-T49*V49</f>
        <v>74.322000000000003</v>
      </c>
      <c r="AD49" s="308">
        <f t="shared" si="18"/>
        <v>15.208242057080083</v>
      </c>
      <c r="AE49" s="308">
        <f>+(AA49*V49)-Z49-'data 1'!$I$21+((W49-2)*2.5+(X49-2)*4)-((W49-3)*1.5+(X49-3)*3.1)</f>
        <v>16.392029418918924</v>
      </c>
      <c r="AF49" s="308">
        <f t="shared" si="19"/>
        <v>-52.00883485131358</v>
      </c>
      <c r="AG49" s="308">
        <f t="shared" si="20"/>
        <v>53.913436624685431</v>
      </c>
      <c r="AH49" s="309">
        <f t="shared" si="21"/>
        <v>127.02877185195604</v>
      </c>
      <c r="AI49" s="57">
        <f t="shared" si="22"/>
        <v>158.46403589401982</v>
      </c>
      <c r="AJ49" s="268">
        <f t="shared" si="9"/>
        <v>131.41291505255174</v>
      </c>
      <c r="AK49" s="57">
        <f t="shared" si="10"/>
        <v>-4.3841432005957017</v>
      </c>
      <c r="AM49" s="57">
        <f t="shared" si="11"/>
        <v>7117.2381271755285</v>
      </c>
    </row>
    <row r="50" spans="1:39" ht="15.75" customHeight="1">
      <c r="A50" s="527" t="s">
        <v>871</v>
      </c>
      <c r="B50" s="6"/>
      <c r="C50" s="135">
        <v>45372</v>
      </c>
      <c r="D50" s="6" t="s">
        <v>557</v>
      </c>
      <c r="E50" s="176">
        <v>10460498487</v>
      </c>
      <c r="F50" s="142" t="s">
        <v>212</v>
      </c>
      <c r="G50" s="90">
        <v>50</v>
      </c>
      <c r="H50" s="90"/>
      <c r="I50" s="82">
        <v>5.54</v>
      </c>
      <c r="J50" s="137">
        <v>13.4</v>
      </c>
      <c r="K50" s="82">
        <f t="shared" si="15"/>
        <v>4.7976400000000003</v>
      </c>
      <c r="L50" s="240">
        <v>0.32700000000000001</v>
      </c>
      <c r="M50" s="80">
        <v>0.30199999999999999</v>
      </c>
      <c r="N50" s="271">
        <f>+M50+0.02</f>
        <v>0.32200000000000001</v>
      </c>
      <c r="O50" s="139">
        <f>+(M50+N50)/2</f>
        <v>0.312</v>
      </c>
      <c r="P50" s="6">
        <v>90</v>
      </c>
      <c r="Q50" s="142">
        <v>90.81</v>
      </c>
      <c r="R50" s="57">
        <v>2166.4450000000002</v>
      </c>
      <c r="S50" s="80">
        <v>120</v>
      </c>
      <c r="T50" s="6"/>
      <c r="U50" s="142">
        <v>100</v>
      </c>
      <c r="V50" s="142">
        <v>1.1023000000000001</v>
      </c>
      <c r="W50" s="137">
        <v>5.5</v>
      </c>
      <c r="X50" s="137">
        <v>6.4</v>
      </c>
      <c r="Y50" s="6">
        <v>25</v>
      </c>
      <c r="Z50" s="143">
        <f t="shared" si="23"/>
        <v>14.290000000000001</v>
      </c>
      <c r="AA50" s="144">
        <f t="shared" si="16"/>
        <v>39.29</v>
      </c>
      <c r="AB50" s="145">
        <f t="shared" si="17"/>
        <v>464.03275743879999</v>
      </c>
      <c r="AC50" s="145">
        <f>+(S50*V50)-'data 1'!$F$4-T50*V50</f>
        <v>52.27600000000001</v>
      </c>
      <c r="AD50" s="145">
        <f t="shared" si="18"/>
        <v>6.0333209622544679</v>
      </c>
      <c r="AE50" s="145">
        <f>+(AA50*V50)-Z50-'data 1'!$I$21+((W50-2)*2.5+(X50-2)*4)-((W50-3)*1.5+(X50-3)*3.1)</f>
        <v>15.498285918918922</v>
      </c>
      <c r="AF50" s="145">
        <f t="shared" si="19"/>
        <v>31.027629209555286</v>
      </c>
      <c r="AG50" s="145">
        <f t="shared" si="20"/>
        <v>104.83523609072869</v>
      </c>
      <c r="AH50" s="331">
        <f t="shared" si="21"/>
        <v>48.844779606797935</v>
      </c>
      <c r="AI50" s="57">
        <f t="shared" si="22"/>
        <v>102.63487701549552</v>
      </c>
      <c r="AJ50" s="268">
        <f t="shared" si="9"/>
        <v>46.18849691407592</v>
      </c>
      <c r="AK50" s="57">
        <f t="shared" si="10"/>
        <v>2.6562826927220158</v>
      </c>
      <c r="AM50" s="57">
        <f t="shared" si="11"/>
        <v>2226.2621183986844</v>
      </c>
    </row>
    <row r="51" spans="1:39" ht="15.75" customHeight="1">
      <c r="C51" s="135"/>
      <c r="E51" s="176"/>
      <c r="G51" s="90"/>
      <c r="H51" s="90"/>
      <c r="I51" s="82"/>
      <c r="J51" s="137"/>
      <c r="K51" s="82"/>
      <c r="L51" s="240"/>
      <c r="M51" s="80"/>
      <c r="N51" s="271"/>
      <c r="O51" s="139"/>
      <c r="Q51" s="142"/>
      <c r="R51" s="57"/>
      <c r="S51" s="80"/>
      <c r="U51" s="142"/>
      <c r="V51" s="142"/>
      <c r="Z51" s="143"/>
      <c r="AA51" s="144"/>
      <c r="AB51" s="145"/>
      <c r="AC51" s="145"/>
      <c r="AD51" s="145"/>
      <c r="AE51" s="145"/>
      <c r="AF51" s="145"/>
      <c r="AG51" s="145"/>
      <c r="AH51" s="145"/>
      <c r="AM51" s="57">
        <f>SUM(AM4:AM50)</f>
        <v>171211.52875720529</v>
      </c>
    </row>
    <row r="52" spans="1:39" ht="15.75" customHeight="1">
      <c r="C52" s="135"/>
      <c r="E52" s="176"/>
      <c r="G52" s="90"/>
      <c r="H52" s="90"/>
      <c r="I52" s="82"/>
      <c r="J52" s="137"/>
      <c r="K52" s="82"/>
      <c r="L52" s="240"/>
      <c r="M52" s="80"/>
      <c r="N52" s="271"/>
      <c r="O52" s="139"/>
      <c r="Q52" s="142"/>
      <c r="R52" s="57"/>
      <c r="S52" s="80"/>
      <c r="U52" s="142"/>
      <c r="V52" s="142"/>
      <c r="Z52" s="143"/>
      <c r="AA52" s="144"/>
      <c r="AB52" s="145"/>
      <c r="AC52" s="145"/>
      <c r="AD52" s="145"/>
      <c r="AE52" s="145"/>
      <c r="AF52" s="145"/>
      <c r="AG52" s="145"/>
      <c r="AH52" s="145"/>
    </row>
    <row r="53" spans="1:39" ht="15.75" customHeight="1">
      <c r="C53" s="135"/>
      <c r="E53" s="176"/>
      <c r="G53" s="90"/>
      <c r="H53" s="90"/>
      <c r="I53" s="82"/>
      <c r="J53" s="137"/>
      <c r="K53" s="82"/>
      <c r="L53" s="240"/>
      <c r="M53" s="80"/>
      <c r="N53" s="271"/>
      <c r="O53" s="139"/>
      <c r="Q53" s="142"/>
      <c r="R53" s="57"/>
      <c r="S53" s="80"/>
      <c r="U53" s="142"/>
      <c r="V53" s="142"/>
      <c r="Z53" s="143"/>
      <c r="AA53" s="144"/>
      <c r="AB53" s="145"/>
      <c r="AC53" s="145"/>
      <c r="AD53" s="145"/>
      <c r="AE53" s="145"/>
      <c r="AF53" s="145"/>
      <c r="AG53" s="145"/>
      <c r="AH53" s="145"/>
    </row>
    <row r="54" spans="1:39" ht="15.75" customHeight="1">
      <c r="C54" s="135"/>
      <c r="E54" s="176"/>
      <c r="G54" s="90"/>
      <c r="H54" s="90"/>
      <c r="I54" s="139"/>
      <c r="J54" s="147"/>
      <c r="K54" s="139"/>
      <c r="L54" s="240"/>
      <c r="M54" s="80"/>
      <c r="N54" s="271"/>
      <c r="O54" s="139"/>
      <c r="Q54" s="142"/>
      <c r="R54" s="57"/>
      <c r="S54" s="80"/>
      <c r="U54" s="142"/>
      <c r="V54" s="142"/>
      <c r="Z54" s="143"/>
      <c r="AA54" s="144"/>
      <c r="AB54" s="145"/>
      <c r="AC54" s="145"/>
      <c r="AD54" s="145"/>
      <c r="AE54" s="145"/>
      <c r="AF54" s="145"/>
      <c r="AG54" s="145"/>
      <c r="AH54" s="145"/>
    </row>
    <row r="55" spans="1:39" ht="15.75" customHeight="1">
      <c r="C55" s="135"/>
      <c r="E55" s="176"/>
      <c r="G55" s="90"/>
      <c r="H55" s="90"/>
      <c r="I55" s="139"/>
      <c r="J55" s="147"/>
      <c r="K55" s="139"/>
      <c r="L55" s="240"/>
      <c r="M55" s="80"/>
      <c r="N55" s="271"/>
      <c r="O55" s="139"/>
      <c r="Q55" s="142"/>
      <c r="R55" s="57"/>
      <c r="S55" s="80"/>
      <c r="U55" s="142"/>
      <c r="V55" s="142"/>
      <c r="Z55" s="143"/>
      <c r="AA55" s="144"/>
      <c r="AB55" s="145"/>
      <c r="AC55" s="145"/>
      <c r="AD55" s="145"/>
      <c r="AE55" s="145"/>
      <c r="AF55" s="145"/>
      <c r="AG55" s="145"/>
      <c r="AH55" s="145"/>
    </row>
    <row r="56" spans="1:39" ht="15.75" customHeight="1">
      <c r="C56" s="135"/>
      <c r="E56" s="176"/>
      <c r="G56" s="90"/>
      <c r="H56" s="90"/>
      <c r="I56" s="139"/>
      <c r="J56" s="147"/>
      <c r="K56" s="139"/>
      <c r="L56" s="418"/>
      <c r="M56" s="168"/>
      <c r="N56" s="419"/>
      <c r="O56" s="139"/>
      <c r="Q56" s="142"/>
      <c r="R56" s="57"/>
      <c r="S56" s="80"/>
      <c r="U56" s="142"/>
      <c r="V56" s="142"/>
      <c r="Z56" s="143"/>
      <c r="AA56" s="144"/>
      <c r="AB56" s="145"/>
      <c r="AC56" s="145"/>
      <c r="AD56" s="145"/>
      <c r="AE56" s="145"/>
      <c r="AF56" s="145"/>
      <c r="AG56" s="145"/>
      <c r="AH56" s="145"/>
    </row>
    <row r="57" spans="1:39" ht="15.75" customHeight="1">
      <c r="C57" s="135"/>
      <c r="E57" s="176"/>
      <c r="G57" s="90"/>
      <c r="H57" s="90"/>
      <c r="I57" s="82"/>
      <c r="J57" s="137"/>
      <c r="K57" s="82"/>
      <c r="L57" s="240"/>
      <c r="M57" s="80"/>
      <c r="N57" s="271"/>
      <c r="O57" s="139"/>
      <c r="Q57" s="142"/>
      <c r="R57" s="57"/>
      <c r="S57" s="80"/>
      <c r="U57" s="142"/>
      <c r="V57" s="142"/>
      <c r="Z57" s="143"/>
      <c r="AA57" s="144"/>
      <c r="AB57" s="145"/>
      <c r="AC57" s="145"/>
      <c r="AD57" s="145"/>
      <c r="AE57" s="145"/>
      <c r="AF57" s="145"/>
      <c r="AG57" s="145"/>
      <c r="AH57" s="145"/>
    </row>
    <row r="58" spans="1:39" ht="15.75" customHeight="1">
      <c r="C58" s="135"/>
      <c r="E58" s="176"/>
      <c r="G58" s="90"/>
      <c r="H58" s="90"/>
      <c r="I58" s="82"/>
      <c r="J58" s="137"/>
      <c r="K58" s="82"/>
      <c r="L58" s="240"/>
      <c r="M58" s="80"/>
      <c r="N58" s="271"/>
      <c r="O58" s="139"/>
      <c r="Q58" s="142"/>
      <c r="R58" s="57"/>
      <c r="S58" s="80"/>
      <c r="U58" s="142"/>
      <c r="V58" s="142"/>
      <c r="Z58" s="143"/>
      <c r="AA58" s="144"/>
      <c r="AB58" s="145"/>
      <c r="AC58" s="145"/>
      <c r="AD58" s="145"/>
      <c r="AE58" s="145"/>
      <c r="AF58" s="145"/>
      <c r="AG58" s="145"/>
      <c r="AH58" s="145"/>
    </row>
    <row r="59" spans="1:39" ht="15.75" customHeight="1">
      <c r="C59" s="135"/>
      <c r="E59" s="176"/>
      <c r="G59" s="90"/>
      <c r="H59" s="90"/>
      <c r="I59" s="82"/>
      <c r="J59" s="137"/>
      <c r="K59" s="82"/>
      <c r="L59" s="240"/>
      <c r="M59" s="80"/>
      <c r="N59" s="271"/>
      <c r="O59" s="139"/>
      <c r="Q59" s="142"/>
      <c r="R59" s="57"/>
      <c r="S59" s="80"/>
      <c r="U59" s="142"/>
      <c r="V59" s="142"/>
      <c r="Z59" s="143"/>
      <c r="AA59" s="144"/>
      <c r="AB59" s="145"/>
      <c r="AC59" s="145"/>
      <c r="AD59" s="145"/>
      <c r="AE59" s="145"/>
      <c r="AF59" s="145"/>
      <c r="AG59" s="145"/>
      <c r="AH59" s="145"/>
    </row>
    <row r="60" spans="1:39" ht="15.75" customHeight="1">
      <c r="C60" s="135"/>
      <c r="E60" s="176"/>
      <c r="G60" s="90"/>
      <c r="H60" s="90"/>
      <c r="I60" s="82"/>
      <c r="J60" s="137"/>
      <c r="K60" s="82"/>
      <c r="L60" s="240"/>
      <c r="M60" s="80"/>
      <c r="N60" s="271"/>
      <c r="O60" s="139"/>
      <c r="Q60" s="142"/>
      <c r="R60" s="57"/>
      <c r="S60" s="80"/>
      <c r="U60" s="142"/>
      <c r="V60" s="142"/>
      <c r="Z60" s="143"/>
      <c r="AA60" s="144"/>
      <c r="AB60" s="145"/>
      <c r="AC60" s="145"/>
      <c r="AD60" s="145"/>
      <c r="AE60" s="145"/>
      <c r="AF60" s="145"/>
      <c r="AG60" s="145"/>
      <c r="AH60" s="145"/>
    </row>
    <row r="61" spans="1:39" ht="15.75" customHeight="1">
      <c r="C61" s="135"/>
      <c r="E61" s="176"/>
      <c r="G61" s="90"/>
      <c r="H61" s="90"/>
      <c r="I61" s="82"/>
      <c r="J61" s="137"/>
      <c r="K61" s="82"/>
      <c r="L61" s="240"/>
      <c r="M61" s="80"/>
      <c r="N61" s="271"/>
      <c r="O61" s="139"/>
      <c r="Q61" s="142"/>
      <c r="R61" s="57"/>
      <c r="S61" s="80"/>
      <c r="U61" s="142"/>
      <c r="V61" s="142"/>
      <c r="Z61" s="143"/>
      <c r="AA61" s="144"/>
      <c r="AB61" s="145"/>
      <c r="AC61" s="145"/>
      <c r="AD61" s="145"/>
      <c r="AE61" s="145"/>
      <c r="AF61" s="145"/>
      <c r="AG61" s="145"/>
      <c r="AH61" s="145"/>
    </row>
    <row r="62" spans="1:39" ht="15.75" customHeight="1">
      <c r="C62" s="135"/>
      <c r="E62" s="176"/>
      <c r="G62" s="90"/>
      <c r="H62" s="90"/>
      <c r="I62" s="82"/>
      <c r="J62" s="137"/>
      <c r="K62" s="82"/>
      <c r="L62" s="240"/>
      <c r="M62" s="80"/>
      <c r="N62" s="271"/>
      <c r="O62" s="139"/>
      <c r="Q62" s="142"/>
      <c r="R62" s="57"/>
      <c r="S62" s="80"/>
      <c r="U62" s="142"/>
      <c r="V62" s="142"/>
      <c r="Z62" s="143"/>
      <c r="AA62" s="144"/>
      <c r="AB62" s="145"/>
      <c r="AC62" s="145"/>
      <c r="AD62" s="145"/>
      <c r="AE62" s="145"/>
      <c r="AF62" s="145"/>
      <c r="AG62" s="145"/>
      <c r="AH62" s="145"/>
    </row>
    <row r="63" spans="1:39" ht="15.75" customHeight="1">
      <c r="C63" s="135"/>
      <c r="E63" s="176"/>
      <c r="G63" s="90"/>
      <c r="H63" s="90"/>
      <c r="I63" s="82"/>
      <c r="J63" s="137"/>
      <c r="K63" s="82"/>
      <c r="L63" s="240"/>
      <c r="M63" s="80"/>
      <c r="N63" s="271"/>
      <c r="O63" s="139"/>
      <c r="Q63" s="142"/>
      <c r="R63" s="57"/>
      <c r="S63" s="80"/>
      <c r="U63" s="142"/>
      <c r="V63" s="142"/>
      <c r="Z63" s="143"/>
      <c r="AA63" s="144"/>
      <c r="AB63" s="145"/>
      <c r="AC63" s="145"/>
      <c r="AD63" s="145"/>
      <c r="AE63" s="145"/>
      <c r="AF63" s="145"/>
      <c r="AG63" s="145"/>
      <c r="AH63" s="145"/>
    </row>
    <row r="64" spans="1:39" ht="15.75" customHeight="1">
      <c r="C64" s="135"/>
      <c r="E64" s="176"/>
      <c r="G64" s="90"/>
      <c r="H64" s="90"/>
      <c r="I64" s="82"/>
      <c r="J64" s="137"/>
      <c r="K64" s="82"/>
      <c r="L64" s="240"/>
      <c r="M64" s="80"/>
      <c r="N64" s="271"/>
      <c r="O64" s="139"/>
      <c r="Q64" s="142"/>
      <c r="R64" s="57"/>
      <c r="S64" s="80"/>
      <c r="U64" s="142"/>
      <c r="V64" s="142"/>
      <c r="Z64" s="143"/>
      <c r="AA64" s="144"/>
      <c r="AB64" s="145"/>
      <c r="AC64" s="145"/>
      <c r="AD64" s="145"/>
      <c r="AE64" s="145"/>
      <c r="AF64" s="145"/>
      <c r="AG64" s="145"/>
      <c r="AH64" s="145"/>
    </row>
    <row r="65" spans="3:34" ht="15.75" customHeight="1">
      <c r="C65" s="135"/>
      <c r="E65" s="176"/>
      <c r="G65" s="90"/>
      <c r="H65" s="90"/>
      <c r="I65" s="82"/>
      <c r="J65" s="137"/>
      <c r="K65" s="82"/>
      <c r="L65" s="240"/>
      <c r="M65" s="80"/>
      <c r="N65" s="271"/>
      <c r="O65" s="139"/>
      <c r="Q65" s="142"/>
      <c r="R65" s="57"/>
      <c r="S65" s="80"/>
      <c r="U65" s="142"/>
      <c r="V65" s="142"/>
      <c r="Z65" s="143"/>
      <c r="AA65" s="144"/>
      <c r="AB65" s="145"/>
      <c r="AC65" s="145"/>
      <c r="AD65" s="145"/>
      <c r="AE65" s="145"/>
      <c r="AF65" s="145"/>
      <c r="AG65" s="145"/>
      <c r="AH65" s="145"/>
    </row>
    <row r="66" spans="3:34" ht="15.75" customHeight="1">
      <c r="C66" s="135"/>
      <c r="E66" s="176"/>
      <c r="G66" s="90"/>
      <c r="H66" s="90"/>
      <c r="I66" s="82"/>
      <c r="J66" s="137"/>
      <c r="K66" s="82"/>
      <c r="L66" s="240"/>
      <c r="M66" s="80"/>
      <c r="N66" s="271"/>
      <c r="O66" s="139"/>
      <c r="Q66" s="142"/>
      <c r="R66" s="57"/>
      <c r="S66" s="80"/>
      <c r="U66" s="142"/>
      <c r="V66" s="142"/>
      <c r="Z66" s="143"/>
      <c r="AA66" s="144"/>
      <c r="AB66" s="145"/>
      <c r="AC66" s="145"/>
      <c r="AD66" s="145"/>
      <c r="AE66" s="145"/>
      <c r="AF66" s="145"/>
      <c r="AG66" s="145"/>
      <c r="AH66" s="145"/>
    </row>
    <row r="67" spans="3:34" ht="15.75" customHeight="1">
      <c r="C67" s="135"/>
      <c r="E67" s="176"/>
      <c r="G67" s="90"/>
      <c r="H67" s="90"/>
      <c r="I67" s="82"/>
      <c r="J67" s="137"/>
      <c r="K67" s="82"/>
      <c r="L67" s="240"/>
      <c r="M67" s="80"/>
      <c r="N67" s="271"/>
      <c r="O67" s="139"/>
      <c r="Q67" s="142"/>
      <c r="R67" s="57"/>
      <c r="S67" s="80"/>
      <c r="U67" s="142"/>
      <c r="V67" s="142"/>
      <c r="Z67" s="143"/>
      <c r="AA67" s="144"/>
      <c r="AB67" s="145"/>
      <c r="AC67" s="145"/>
      <c r="AD67" s="145"/>
      <c r="AE67" s="145"/>
      <c r="AF67" s="145"/>
      <c r="AG67" s="145"/>
      <c r="AH67" s="145"/>
    </row>
    <row r="68" spans="3:34" ht="15.75" customHeight="1">
      <c r="C68" s="135"/>
      <c r="E68" s="176"/>
      <c r="G68" s="90"/>
      <c r="H68" s="90"/>
      <c r="I68" s="82"/>
      <c r="J68" s="137"/>
      <c r="K68" s="82"/>
      <c r="L68" s="240"/>
      <c r="M68" s="80"/>
      <c r="N68" s="271"/>
      <c r="O68" s="139"/>
      <c r="Q68" s="142"/>
      <c r="R68" s="57"/>
      <c r="S68" s="80"/>
      <c r="U68" s="142"/>
      <c r="V68" s="142"/>
      <c r="Z68" s="143"/>
      <c r="AA68" s="144"/>
      <c r="AB68" s="145"/>
      <c r="AC68" s="145"/>
      <c r="AD68" s="145"/>
      <c r="AE68" s="145"/>
      <c r="AF68" s="145"/>
      <c r="AG68" s="145"/>
      <c r="AH68" s="145"/>
    </row>
    <row r="69" spans="3:34" ht="15.75" customHeight="1">
      <c r="C69" s="135"/>
      <c r="E69" s="176"/>
      <c r="G69" s="90"/>
      <c r="H69" s="90"/>
      <c r="I69" s="82"/>
      <c r="J69" s="137"/>
      <c r="K69" s="82"/>
      <c r="L69" s="240"/>
      <c r="M69" s="80"/>
      <c r="N69" s="271"/>
      <c r="O69" s="139"/>
      <c r="Q69" s="142"/>
      <c r="R69" s="57"/>
      <c r="S69" s="80"/>
      <c r="U69" s="142"/>
      <c r="V69" s="142"/>
      <c r="Z69" s="143"/>
      <c r="AA69" s="144"/>
      <c r="AB69" s="145"/>
      <c r="AC69" s="145"/>
      <c r="AD69" s="145"/>
      <c r="AE69" s="145"/>
      <c r="AF69" s="145"/>
      <c r="AG69" s="145"/>
      <c r="AH69" s="145"/>
    </row>
    <row r="70" spans="3:34" ht="15.75" customHeight="1">
      <c r="C70" s="135"/>
      <c r="E70" s="176"/>
      <c r="G70" s="90"/>
      <c r="H70" s="90"/>
      <c r="I70" s="82"/>
      <c r="J70" s="137"/>
      <c r="K70" s="82"/>
      <c r="L70" s="240"/>
      <c r="M70" s="80"/>
      <c r="N70" s="271"/>
      <c r="O70" s="139"/>
      <c r="Q70" s="142"/>
      <c r="R70" s="57"/>
      <c r="S70" s="80"/>
      <c r="U70" s="142"/>
      <c r="V70" s="142"/>
      <c r="Z70" s="143"/>
      <c r="AA70" s="144"/>
      <c r="AB70" s="145"/>
      <c r="AC70" s="145"/>
      <c r="AD70" s="145"/>
      <c r="AE70" s="145"/>
      <c r="AF70" s="145"/>
      <c r="AG70" s="145"/>
      <c r="AH70" s="145"/>
    </row>
    <row r="71" spans="3:34" ht="15.75" customHeight="1">
      <c r="C71" s="135"/>
      <c r="E71" s="176"/>
      <c r="G71" s="90"/>
      <c r="H71" s="90"/>
      <c r="I71" s="82"/>
      <c r="J71" s="137"/>
      <c r="K71" s="82"/>
      <c r="L71" s="240"/>
      <c r="M71" s="80"/>
      <c r="N71" s="271"/>
      <c r="O71" s="139"/>
      <c r="Q71" s="142"/>
      <c r="R71" s="57"/>
      <c r="S71" s="80"/>
      <c r="U71" s="142"/>
      <c r="V71" s="142"/>
      <c r="Z71" s="143"/>
      <c r="AA71" s="144"/>
      <c r="AB71" s="145"/>
      <c r="AC71" s="145"/>
      <c r="AD71" s="145"/>
      <c r="AE71" s="145"/>
      <c r="AF71" s="145"/>
      <c r="AG71" s="145"/>
      <c r="AH71" s="145"/>
    </row>
    <row r="72" spans="3:34" ht="15.75" customHeight="1">
      <c r="C72" s="135"/>
      <c r="E72" s="176"/>
      <c r="G72" s="90"/>
      <c r="H72" s="90"/>
      <c r="I72" s="82"/>
      <c r="J72" s="137"/>
      <c r="K72" s="82"/>
      <c r="L72" s="240"/>
      <c r="M72" s="80"/>
      <c r="N72" s="271"/>
      <c r="O72" s="139"/>
      <c r="Q72" s="142"/>
      <c r="R72" s="57"/>
      <c r="S72" s="80"/>
      <c r="U72" s="142"/>
      <c r="V72" s="142"/>
      <c r="Z72" s="143"/>
      <c r="AA72" s="144"/>
      <c r="AB72" s="145"/>
      <c r="AC72" s="145"/>
      <c r="AD72" s="145"/>
      <c r="AE72" s="145"/>
      <c r="AF72" s="145"/>
      <c r="AG72" s="145"/>
      <c r="AH72" s="145"/>
    </row>
    <row r="73" spans="3:34" ht="15.75" customHeight="1">
      <c r="C73" s="135"/>
      <c r="E73" s="176"/>
      <c r="G73" s="90"/>
      <c r="H73" s="90"/>
      <c r="I73" s="82"/>
      <c r="J73" s="137"/>
      <c r="K73" s="82"/>
      <c r="L73" s="240"/>
      <c r="M73" s="80"/>
      <c r="N73" s="271"/>
      <c r="O73" s="139"/>
      <c r="Q73" s="142"/>
      <c r="R73" s="57"/>
      <c r="S73" s="80"/>
      <c r="U73" s="142"/>
      <c r="V73" s="142"/>
      <c r="Z73" s="143"/>
      <c r="AA73" s="144"/>
      <c r="AB73" s="145"/>
      <c r="AC73" s="145"/>
      <c r="AD73" s="145"/>
      <c r="AE73" s="145"/>
      <c r="AF73" s="145"/>
      <c r="AG73" s="145"/>
      <c r="AH73" s="145"/>
    </row>
    <row r="74" spans="3:34" ht="15.75" customHeight="1">
      <c r="C74" s="135"/>
      <c r="E74" s="176"/>
      <c r="G74" s="90"/>
      <c r="H74" s="90"/>
      <c r="I74" s="82"/>
      <c r="J74" s="137"/>
      <c r="K74" s="82"/>
      <c r="L74" s="240"/>
      <c r="M74" s="80"/>
      <c r="N74" s="271"/>
      <c r="O74" s="139"/>
      <c r="Q74" s="142"/>
      <c r="R74" s="57"/>
      <c r="S74" s="80"/>
      <c r="U74" s="142"/>
      <c r="V74" s="142"/>
      <c r="Z74" s="143"/>
      <c r="AA74" s="144"/>
      <c r="AB74" s="145"/>
      <c r="AC74" s="145"/>
      <c r="AD74" s="145"/>
      <c r="AE74" s="145"/>
      <c r="AF74" s="145"/>
      <c r="AG74" s="145"/>
      <c r="AH74" s="145"/>
    </row>
    <row r="75" spans="3:34" ht="15.75" customHeight="1">
      <c r="C75" s="135"/>
      <c r="E75" s="176"/>
      <c r="G75" s="90"/>
      <c r="H75" s="90"/>
      <c r="I75" s="82"/>
      <c r="J75" s="137"/>
      <c r="K75" s="82"/>
      <c r="L75" s="240"/>
      <c r="M75" s="80"/>
      <c r="N75" s="271"/>
      <c r="O75" s="139"/>
      <c r="Q75" s="142"/>
      <c r="R75" s="57"/>
      <c r="S75" s="80"/>
      <c r="U75" s="142"/>
      <c r="V75" s="142"/>
      <c r="Z75" s="143"/>
      <c r="AA75" s="144"/>
      <c r="AB75" s="145"/>
      <c r="AC75" s="145"/>
      <c r="AD75" s="145"/>
      <c r="AE75" s="145"/>
      <c r="AF75" s="145"/>
      <c r="AG75" s="145"/>
      <c r="AH75" s="145"/>
    </row>
    <row r="76" spans="3:34" ht="15.75" customHeight="1">
      <c r="C76" s="135"/>
      <c r="E76" s="176"/>
      <c r="G76" s="90"/>
      <c r="H76" s="90"/>
      <c r="I76" s="82"/>
      <c r="J76" s="137"/>
      <c r="K76" s="82"/>
      <c r="L76" s="240"/>
      <c r="M76" s="80"/>
      <c r="N76" s="271"/>
      <c r="O76" s="139"/>
      <c r="Q76" s="142"/>
      <c r="R76" s="57"/>
      <c r="S76" s="80"/>
      <c r="U76" s="142"/>
      <c r="V76" s="142"/>
      <c r="Z76" s="143"/>
      <c r="AA76" s="144"/>
      <c r="AB76" s="145"/>
      <c r="AC76" s="145"/>
      <c r="AD76" s="145"/>
      <c r="AE76" s="145"/>
      <c r="AF76" s="145"/>
      <c r="AG76" s="145"/>
      <c r="AH76" s="145"/>
    </row>
    <row r="77" spans="3:34" ht="15.75" customHeight="1">
      <c r="C77" s="135"/>
      <c r="E77" s="176"/>
      <c r="G77" s="90"/>
      <c r="H77" s="90"/>
      <c r="I77" s="82"/>
      <c r="J77" s="137"/>
      <c r="K77" s="82"/>
      <c r="L77" s="240"/>
      <c r="M77" s="80"/>
      <c r="N77" s="271"/>
      <c r="O77" s="139"/>
      <c r="Q77" s="142"/>
      <c r="R77" s="57"/>
      <c r="S77" s="80"/>
      <c r="U77" s="142"/>
      <c r="V77" s="142"/>
      <c r="Z77" s="143"/>
      <c r="AA77" s="144"/>
      <c r="AB77" s="145"/>
      <c r="AC77" s="145"/>
      <c r="AD77" s="145"/>
      <c r="AE77" s="145"/>
      <c r="AF77" s="145"/>
      <c r="AG77" s="145"/>
      <c r="AH77" s="145"/>
    </row>
    <row r="78" spans="3:34" ht="15.75" customHeight="1">
      <c r="C78" s="135"/>
      <c r="E78" s="176"/>
      <c r="G78" s="90"/>
      <c r="H78" s="90"/>
      <c r="I78" s="82"/>
      <c r="J78" s="137"/>
      <c r="K78" s="82"/>
      <c r="L78" s="240"/>
      <c r="M78" s="80"/>
      <c r="N78" s="271"/>
      <c r="O78" s="139"/>
      <c r="Q78" s="142"/>
      <c r="R78" s="57"/>
      <c r="S78" s="80"/>
      <c r="U78" s="142"/>
      <c r="V78" s="142"/>
      <c r="Z78" s="143"/>
      <c r="AA78" s="144"/>
      <c r="AB78" s="145"/>
      <c r="AC78" s="145"/>
      <c r="AD78" s="145"/>
      <c r="AE78" s="145"/>
      <c r="AF78" s="145"/>
      <c r="AG78" s="145"/>
      <c r="AH78" s="145"/>
    </row>
    <row r="79" spans="3:34" ht="15.75" customHeight="1">
      <c r="C79" s="135"/>
      <c r="E79" s="176"/>
      <c r="G79" s="90"/>
      <c r="H79" s="90"/>
      <c r="I79" s="82"/>
      <c r="J79" s="137"/>
      <c r="K79" s="82"/>
      <c r="L79" s="240"/>
      <c r="M79" s="80"/>
      <c r="N79" s="271"/>
      <c r="O79" s="139"/>
      <c r="Q79" s="142"/>
      <c r="R79" s="57"/>
      <c r="S79" s="80"/>
      <c r="U79" s="142"/>
      <c r="V79" s="142"/>
      <c r="Z79" s="143"/>
      <c r="AA79" s="144"/>
      <c r="AB79" s="145"/>
      <c r="AC79" s="145"/>
      <c r="AD79" s="145"/>
      <c r="AE79" s="145"/>
      <c r="AF79" s="145"/>
      <c r="AG79" s="145"/>
      <c r="AH79" s="145"/>
    </row>
    <row r="80" spans="3:34" ht="15.75" customHeight="1">
      <c r="C80" s="135"/>
      <c r="E80" s="176"/>
      <c r="G80" s="90"/>
      <c r="H80" s="90"/>
      <c r="I80" s="82"/>
      <c r="J80" s="137"/>
      <c r="K80" s="82"/>
      <c r="L80" s="240"/>
      <c r="M80" s="80"/>
      <c r="N80" s="271"/>
      <c r="O80" s="139"/>
      <c r="Q80" s="142"/>
      <c r="R80" s="57"/>
      <c r="S80" s="80"/>
      <c r="U80" s="142"/>
      <c r="V80" s="142"/>
      <c r="Z80" s="143"/>
      <c r="AA80" s="144"/>
      <c r="AB80" s="145"/>
      <c r="AC80" s="145"/>
      <c r="AD80" s="145"/>
      <c r="AE80" s="145"/>
      <c r="AF80" s="145"/>
      <c r="AG80" s="145"/>
      <c r="AH80" s="145"/>
    </row>
    <row r="81" spans="3:34" ht="15.75" customHeight="1">
      <c r="C81" s="135"/>
      <c r="E81" s="176"/>
      <c r="G81" s="90"/>
      <c r="H81" s="90"/>
      <c r="I81" s="82"/>
      <c r="J81" s="137"/>
      <c r="K81" s="82"/>
      <c r="L81" s="240"/>
      <c r="M81" s="80"/>
      <c r="N81" s="271"/>
      <c r="O81" s="139"/>
      <c r="Q81" s="142"/>
      <c r="R81" s="57"/>
      <c r="S81" s="80"/>
      <c r="U81" s="142"/>
      <c r="V81" s="142"/>
      <c r="Z81" s="143"/>
      <c r="AA81" s="144"/>
      <c r="AB81" s="145"/>
      <c r="AC81" s="145"/>
      <c r="AD81" s="145"/>
      <c r="AE81" s="145"/>
      <c r="AF81" s="145"/>
      <c r="AG81" s="145"/>
      <c r="AH81" s="145"/>
    </row>
    <row r="82" spans="3:34" ht="15.75" customHeight="1">
      <c r="C82" s="135"/>
      <c r="E82" s="176"/>
      <c r="G82" s="90"/>
      <c r="H82" s="90"/>
      <c r="I82" s="82"/>
      <c r="J82" s="137"/>
      <c r="K82" s="82"/>
      <c r="L82" s="240"/>
      <c r="M82" s="80"/>
      <c r="N82" s="271"/>
      <c r="O82" s="139"/>
      <c r="Q82" s="142"/>
      <c r="R82" s="57"/>
      <c r="S82" s="80"/>
      <c r="U82" s="142"/>
      <c r="V82" s="142"/>
      <c r="Z82" s="143"/>
      <c r="AA82" s="144"/>
      <c r="AB82" s="145"/>
      <c r="AC82" s="145"/>
      <c r="AD82" s="145"/>
      <c r="AE82" s="145"/>
      <c r="AF82" s="145"/>
      <c r="AG82" s="145"/>
      <c r="AH82" s="145"/>
    </row>
    <row r="83" spans="3:34" ht="15.75" customHeight="1">
      <c r="C83" s="135"/>
      <c r="E83" s="176"/>
      <c r="G83" s="90"/>
      <c r="H83" s="90"/>
      <c r="I83" s="82"/>
      <c r="J83" s="137"/>
      <c r="K83" s="82"/>
      <c r="L83" s="240"/>
      <c r="M83" s="80"/>
      <c r="N83" s="271"/>
      <c r="O83" s="139"/>
      <c r="Q83" s="142"/>
      <c r="R83" s="57"/>
      <c r="S83" s="80"/>
      <c r="U83" s="142"/>
      <c r="V83" s="142"/>
      <c r="Z83" s="143"/>
      <c r="AA83" s="144"/>
      <c r="AB83" s="145"/>
      <c r="AC83" s="145"/>
      <c r="AD83" s="145"/>
      <c r="AE83" s="145"/>
      <c r="AF83" s="145"/>
      <c r="AG83" s="145"/>
      <c r="AH83" s="145"/>
    </row>
    <row r="84" spans="3:34" ht="15.75" customHeight="1">
      <c r="C84" s="135"/>
      <c r="E84" s="176"/>
      <c r="G84" s="90"/>
      <c r="H84" s="90"/>
      <c r="I84" s="82"/>
      <c r="J84" s="137"/>
      <c r="K84" s="82"/>
      <c r="L84" s="240"/>
      <c r="M84" s="80"/>
      <c r="N84" s="271"/>
      <c r="O84" s="139"/>
      <c r="Q84" s="142"/>
      <c r="R84" s="57"/>
      <c r="S84" s="80"/>
      <c r="U84" s="142"/>
      <c r="V84" s="142"/>
      <c r="Z84" s="143"/>
      <c r="AA84" s="144"/>
      <c r="AB84" s="145"/>
      <c r="AC84" s="145"/>
      <c r="AD84" s="145"/>
      <c r="AE84" s="145"/>
      <c r="AF84" s="145"/>
      <c r="AG84" s="145"/>
      <c r="AH84" s="145"/>
    </row>
    <row r="85" spans="3:34" ht="15.75" customHeight="1">
      <c r="C85" s="135"/>
      <c r="E85" s="176"/>
      <c r="G85" s="90"/>
      <c r="H85" s="90"/>
      <c r="I85" s="82"/>
      <c r="J85" s="137"/>
      <c r="K85" s="82"/>
      <c r="L85" s="240"/>
      <c r="M85" s="80"/>
      <c r="N85" s="271"/>
      <c r="O85" s="139"/>
      <c r="Q85" s="142"/>
      <c r="R85" s="57"/>
      <c r="S85" s="80"/>
      <c r="U85" s="142"/>
      <c r="V85" s="142"/>
      <c r="Z85" s="143"/>
      <c r="AA85" s="144"/>
      <c r="AB85" s="145"/>
      <c r="AC85" s="145"/>
      <c r="AD85" s="145"/>
      <c r="AE85" s="145"/>
      <c r="AF85" s="145"/>
      <c r="AG85" s="145"/>
      <c r="AH85" s="145"/>
    </row>
    <row r="86" spans="3:34" ht="15.75" customHeight="1">
      <c r="C86" s="135"/>
      <c r="E86" s="176"/>
      <c r="G86" s="90"/>
      <c r="H86" s="90"/>
      <c r="I86" s="82"/>
      <c r="J86" s="137"/>
      <c r="K86" s="82"/>
      <c r="L86" s="240"/>
      <c r="M86" s="80"/>
      <c r="N86" s="271"/>
      <c r="O86" s="139"/>
      <c r="Q86" s="142"/>
      <c r="R86" s="57"/>
      <c r="S86" s="80"/>
      <c r="U86" s="142"/>
      <c r="V86" s="142"/>
      <c r="Z86" s="143"/>
      <c r="AA86" s="144"/>
      <c r="AB86" s="145"/>
      <c r="AC86" s="145"/>
      <c r="AD86" s="145"/>
      <c r="AE86" s="145"/>
      <c r="AF86" s="145"/>
      <c r="AG86" s="145"/>
      <c r="AH86" s="145"/>
    </row>
    <row r="87" spans="3:34" ht="15.75" customHeight="1">
      <c r="C87" s="135"/>
      <c r="E87" s="176"/>
      <c r="G87" s="90"/>
      <c r="H87" s="90"/>
      <c r="I87" s="82"/>
      <c r="J87" s="137"/>
      <c r="K87" s="82"/>
      <c r="L87" s="240"/>
      <c r="M87" s="80"/>
      <c r="N87" s="271"/>
      <c r="O87" s="139"/>
      <c r="Q87" s="142"/>
      <c r="R87" s="57"/>
      <c r="S87" s="80"/>
      <c r="U87" s="142"/>
      <c r="V87" s="142"/>
      <c r="Z87" s="143"/>
      <c r="AA87" s="144"/>
      <c r="AB87" s="145"/>
      <c r="AC87" s="145"/>
      <c r="AD87" s="145"/>
      <c r="AE87" s="145"/>
      <c r="AF87" s="145"/>
      <c r="AG87" s="145"/>
      <c r="AH87" s="145"/>
    </row>
    <row r="88" spans="3:34" ht="15.75" customHeight="1">
      <c r="C88" s="135"/>
      <c r="E88" s="176"/>
      <c r="G88" s="90"/>
      <c r="H88" s="90"/>
      <c r="I88" s="82"/>
      <c r="J88" s="137"/>
      <c r="K88" s="82"/>
      <c r="L88" s="240"/>
      <c r="M88" s="80"/>
      <c r="N88" s="271"/>
      <c r="O88" s="139"/>
      <c r="Q88" s="142"/>
      <c r="R88" s="57"/>
      <c r="S88" s="80"/>
      <c r="U88" s="142"/>
      <c r="V88" s="142"/>
      <c r="Z88" s="143"/>
      <c r="AA88" s="144"/>
      <c r="AB88" s="145"/>
      <c r="AC88" s="145"/>
      <c r="AD88" s="145"/>
      <c r="AE88" s="145"/>
      <c r="AF88" s="145"/>
      <c r="AG88" s="145"/>
      <c r="AH88" s="145"/>
    </row>
    <row r="89" spans="3:34" ht="15.75" customHeight="1">
      <c r="C89" s="135"/>
      <c r="E89" s="176"/>
      <c r="G89" s="90"/>
      <c r="H89" s="90"/>
      <c r="I89" s="82"/>
      <c r="J89" s="137"/>
      <c r="K89" s="82"/>
      <c r="L89" s="240"/>
      <c r="M89" s="80"/>
      <c r="N89" s="271"/>
      <c r="O89" s="139"/>
      <c r="Q89" s="142"/>
      <c r="R89" s="57"/>
      <c r="S89" s="80"/>
      <c r="U89" s="142"/>
      <c r="V89" s="142"/>
      <c r="Z89" s="143"/>
      <c r="AA89" s="144"/>
      <c r="AB89" s="145"/>
      <c r="AC89" s="145"/>
      <c r="AD89" s="145"/>
      <c r="AE89" s="145"/>
      <c r="AF89" s="145"/>
      <c r="AG89" s="145"/>
      <c r="AH89" s="145"/>
    </row>
    <row r="90" spans="3:34" ht="15.75" customHeight="1">
      <c r="C90" s="135"/>
      <c r="E90" s="176"/>
      <c r="G90" s="90"/>
      <c r="H90" s="90"/>
      <c r="I90" s="82"/>
      <c r="J90" s="137"/>
      <c r="K90" s="82"/>
      <c r="L90" s="240"/>
      <c r="M90" s="80"/>
      <c r="N90" s="271"/>
      <c r="O90" s="139"/>
      <c r="Q90" s="142"/>
      <c r="R90" s="57"/>
      <c r="S90" s="80"/>
      <c r="U90" s="142"/>
      <c r="V90" s="142"/>
      <c r="Z90" s="143"/>
      <c r="AA90" s="144"/>
      <c r="AB90" s="145"/>
      <c r="AC90" s="145"/>
      <c r="AD90" s="145"/>
      <c r="AE90" s="145"/>
      <c r="AF90" s="145"/>
      <c r="AG90" s="145"/>
      <c r="AH90" s="145"/>
    </row>
    <row r="91" spans="3:34" ht="15.75" customHeight="1">
      <c r="C91" s="135"/>
      <c r="E91" s="176"/>
      <c r="G91" s="90"/>
      <c r="H91" s="90"/>
      <c r="I91" s="82"/>
      <c r="J91" s="137"/>
      <c r="K91" s="82"/>
      <c r="L91" s="240"/>
      <c r="M91" s="80"/>
      <c r="N91" s="271"/>
      <c r="O91" s="139"/>
      <c r="Q91" s="142"/>
      <c r="R91" s="57"/>
      <c r="S91" s="80"/>
      <c r="U91" s="142"/>
      <c r="V91" s="142"/>
      <c r="Z91" s="143"/>
      <c r="AA91" s="144"/>
      <c r="AB91" s="145"/>
      <c r="AC91" s="145"/>
      <c r="AD91" s="145"/>
      <c r="AE91" s="145"/>
      <c r="AF91" s="145"/>
      <c r="AG91" s="145"/>
      <c r="AH91" s="145"/>
    </row>
    <row r="92" spans="3:34" ht="15.75" customHeight="1">
      <c r="C92" s="135"/>
      <c r="E92" s="176"/>
      <c r="G92" s="90"/>
      <c r="H92" s="90"/>
      <c r="I92" s="82"/>
      <c r="J92" s="137"/>
      <c r="K92" s="82"/>
      <c r="L92" s="240"/>
      <c r="M92" s="80"/>
      <c r="N92" s="271"/>
      <c r="O92" s="139"/>
      <c r="Q92" s="142"/>
      <c r="R92" s="57"/>
      <c r="S92" s="80"/>
      <c r="U92" s="142"/>
      <c r="V92" s="142"/>
      <c r="Z92" s="143"/>
      <c r="AA92" s="144"/>
      <c r="AB92" s="145"/>
      <c r="AC92" s="145"/>
      <c r="AD92" s="145"/>
      <c r="AE92" s="145"/>
      <c r="AF92" s="145"/>
      <c r="AG92" s="145"/>
      <c r="AH92" s="145"/>
    </row>
    <row r="93" spans="3:34" ht="15.75" customHeight="1">
      <c r="C93" s="135"/>
      <c r="E93" s="176"/>
      <c r="G93" s="90"/>
      <c r="H93" s="90"/>
      <c r="I93" s="82"/>
      <c r="J93" s="137"/>
      <c r="K93" s="82"/>
      <c r="L93" s="240"/>
      <c r="M93" s="80"/>
      <c r="N93" s="271"/>
      <c r="O93" s="139"/>
      <c r="Q93" s="142"/>
      <c r="R93" s="57"/>
      <c r="S93" s="80"/>
      <c r="U93" s="142"/>
      <c r="V93" s="142"/>
      <c r="Z93" s="143"/>
      <c r="AA93" s="144"/>
      <c r="AB93" s="145"/>
      <c r="AC93" s="145"/>
      <c r="AD93" s="145"/>
      <c r="AE93" s="145"/>
      <c r="AF93" s="145"/>
      <c r="AG93" s="145"/>
      <c r="AH93" s="145"/>
    </row>
    <row r="94" spans="3:34" ht="15.75" customHeight="1">
      <c r="C94" s="135"/>
      <c r="E94" s="176"/>
      <c r="G94" s="90"/>
      <c r="H94" s="90"/>
      <c r="I94" s="82"/>
      <c r="J94" s="137"/>
      <c r="K94" s="82"/>
      <c r="L94" s="240"/>
      <c r="M94" s="80"/>
      <c r="N94" s="271"/>
      <c r="O94" s="139"/>
      <c r="Q94" s="142"/>
      <c r="R94" s="57"/>
      <c r="S94" s="80"/>
      <c r="U94" s="142"/>
      <c r="V94" s="142"/>
      <c r="Z94" s="143"/>
      <c r="AA94" s="144"/>
      <c r="AB94" s="145"/>
      <c r="AC94" s="145"/>
      <c r="AD94" s="145"/>
      <c r="AE94" s="145"/>
      <c r="AF94" s="145"/>
      <c r="AG94" s="145"/>
      <c r="AH94" s="145"/>
    </row>
    <row r="95" spans="3:34" ht="15.75" customHeight="1">
      <c r="C95" s="135"/>
      <c r="E95" s="176"/>
      <c r="G95" s="90"/>
      <c r="H95" s="90"/>
      <c r="I95" s="82"/>
      <c r="J95" s="137"/>
      <c r="K95" s="82"/>
      <c r="L95" s="240"/>
      <c r="M95" s="80"/>
      <c r="N95" s="271"/>
      <c r="O95" s="139"/>
      <c r="Q95" s="142"/>
      <c r="R95" s="57"/>
      <c r="S95" s="80"/>
      <c r="U95" s="142"/>
      <c r="V95" s="142"/>
      <c r="Z95" s="143"/>
      <c r="AA95" s="144"/>
      <c r="AB95" s="145"/>
      <c r="AC95" s="145"/>
      <c r="AD95" s="145"/>
      <c r="AE95" s="145"/>
      <c r="AF95" s="145"/>
      <c r="AG95" s="145"/>
      <c r="AH95" s="145"/>
    </row>
    <row r="96" spans="3:34" ht="15.75" customHeight="1">
      <c r="C96" s="135"/>
      <c r="E96" s="176"/>
      <c r="G96" s="90"/>
      <c r="H96" s="90"/>
      <c r="I96" s="82"/>
      <c r="J96" s="137"/>
      <c r="K96" s="82"/>
      <c r="L96" s="240"/>
      <c r="M96" s="80"/>
      <c r="N96" s="271"/>
      <c r="O96" s="139"/>
      <c r="Q96" s="142"/>
      <c r="R96" s="57"/>
      <c r="S96" s="80"/>
      <c r="U96" s="142"/>
      <c r="V96" s="142"/>
      <c r="Z96" s="143"/>
      <c r="AA96" s="144"/>
      <c r="AB96" s="145"/>
      <c r="AC96" s="145"/>
      <c r="AD96" s="145"/>
      <c r="AE96" s="145"/>
      <c r="AF96" s="145"/>
      <c r="AG96" s="145"/>
      <c r="AH96" s="145"/>
    </row>
    <row r="97" spans="3:34" ht="15.75" customHeight="1">
      <c r="C97" s="135"/>
      <c r="E97" s="176"/>
      <c r="G97" s="90"/>
      <c r="H97" s="90"/>
      <c r="I97" s="82"/>
      <c r="J97" s="137"/>
      <c r="K97" s="82"/>
      <c r="L97" s="240"/>
      <c r="M97" s="80"/>
      <c r="N97" s="271"/>
      <c r="O97" s="139"/>
      <c r="Q97" s="142"/>
      <c r="R97" s="57"/>
      <c r="S97" s="80"/>
      <c r="U97" s="142"/>
      <c r="V97" s="142"/>
      <c r="Z97" s="143"/>
      <c r="AA97" s="144"/>
      <c r="AB97" s="145"/>
      <c r="AC97" s="145"/>
      <c r="AD97" s="145"/>
      <c r="AE97" s="145"/>
      <c r="AF97" s="145"/>
      <c r="AG97" s="145"/>
      <c r="AH97" s="145"/>
    </row>
    <row r="98" spans="3:34" ht="15.75" customHeight="1">
      <c r="C98" s="135"/>
      <c r="E98" s="176"/>
      <c r="G98" s="90"/>
      <c r="H98" s="90"/>
      <c r="I98" s="82"/>
      <c r="J98" s="137"/>
      <c r="K98" s="82"/>
      <c r="L98" s="240"/>
      <c r="M98" s="80"/>
      <c r="N98" s="271"/>
      <c r="O98" s="139"/>
      <c r="Q98" s="142"/>
      <c r="R98" s="57"/>
      <c r="S98" s="80"/>
      <c r="U98" s="142"/>
      <c r="V98" s="142"/>
      <c r="Z98" s="143"/>
      <c r="AA98" s="144"/>
      <c r="AB98" s="145"/>
      <c r="AC98" s="145"/>
      <c r="AD98" s="145"/>
      <c r="AE98" s="145"/>
      <c r="AF98" s="145"/>
      <c r="AG98" s="145"/>
      <c r="AH98" s="145"/>
    </row>
    <row r="99" spans="3:34" ht="15.75" customHeight="1">
      <c r="C99" s="135"/>
      <c r="E99" s="176"/>
      <c r="G99" s="90"/>
      <c r="H99" s="90"/>
      <c r="I99" s="82"/>
      <c r="J99" s="137"/>
      <c r="K99" s="82"/>
      <c r="L99" s="240"/>
      <c r="M99" s="80"/>
      <c r="N99" s="271"/>
      <c r="O99" s="139"/>
      <c r="Q99" s="142"/>
      <c r="R99" s="57"/>
      <c r="S99" s="80"/>
      <c r="U99" s="142"/>
      <c r="V99" s="142"/>
      <c r="Z99" s="143"/>
      <c r="AA99" s="144"/>
      <c r="AB99" s="145"/>
      <c r="AC99" s="145"/>
      <c r="AD99" s="145"/>
      <c r="AE99" s="145"/>
      <c r="AF99" s="145"/>
      <c r="AG99" s="145"/>
      <c r="AH99" s="145"/>
    </row>
    <row r="100" spans="3:34" ht="15.75" customHeight="1">
      <c r="C100" s="135"/>
      <c r="E100" s="176"/>
      <c r="G100" s="90"/>
      <c r="H100" s="90"/>
      <c r="I100" s="82"/>
      <c r="J100" s="137"/>
      <c r="K100" s="82"/>
      <c r="L100" s="240"/>
      <c r="M100" s="80"/>
      <c r="N100" s="271"/>
      <c r="O100" s="139"/>
      <c r="Q100" s="142"/>
      <c r="R100" s="57"/>
      <c r="S100" s="80"/>
      <c r="U100" s="142"/>
      <c r="V100" s="142"/>
      <c r="Z100" s="143"/>
      <c r="AA100" s="144"/>
      <c r="AB100" s="145"/>
      <c r="AC100" s="145"/>
      <c r="AD100" s="145"/>
      <c r="AE100" s="145"/>
      <c r="AF100" s="145"/>
      <c r="AG100" s="145"/>
      <c r="AH100" s="145"/>
    </row>
    <row r="101" spans="3:34" ht="15.75" customHeight="1">
      <c r="C101" s="135"/>
      <c r="E101" s="176"/>
      <c r="G101" s="90"/>
      <c r="H101" s="90"/>
      <c r="I101" s="82"/>
      <c r="J101" s="137"/>
      <c r="K101" s="82"/>
      <c r="L101" s="240"/>
      <c r="M101" s="80"/>
      <c r="N101" s="271"/>
      <c r="O101" s="139"/>
      <c r="Q101" s="142"/>
      <c r="R101" s="57"/>
      <c r="S101" s="80"/>
      <c r="U101" s="142"/>
      <c r="V101" s="142"/>
      <c r="Z101" s="143"/>
      <c r="AA101" s="144"/>
      <c r="AB101" s="145"/>
      <c r="AC101" s="145"/>
      <c r="AD101" s="145"/>
      <c r="AE101" s="145"/>
      <c r="AF101" s="145"/>
      <c r="AG101" s="145"/>
      <c r="AH101" s="145"/>
    </row>
    <row r="102" spans="3:34" ht="15.75" customHeight="1">
      <c r="C102" s="135"/>
      <c r="E102" s="176"/>
      <c r="G102" s="90"/>
      <c r="H102" s="90"/>
      <c r="I102" s="82"/>
      <c r="J102" s="137"/>
      <c r="K102" s="82"/>
      <c r="L102" s="240"/>
      <c r="M102" s="80"/>
      <c r="N102" s="271"/>
      <c r="O102" s="139"/>
      <c r="Q102" s="142"/>
      <c r="R102" s="57"/>
      <c r="S102" s="80"/>
      <c r="U102" s="142"/>
      <c r="V102" s="142"/>
      <c r="Z102" s="143"/>
      <c r="AA102" s="144"/>
      <c r="AB102" s="145"/>
      <c r="AC102" s="145"/>
      <c r="AD102" s="145"/>
      <c r="AE102" s="145"/>
      <c r="AF102" s="145"/>
      <c r="AG102" s="145"/>
      <c r="AH102" s="145"/>
    </row>
    <row r="103" spans="3:34" ht="15.75" customHeight="1">
      <c r="C103" s="135"/>
      <c r="E103" s="176"/>
      <c r="G103" s="90"/>
      <c r="H103" s="90"/>
      <c r="I103" s="82"/>
      <c r="J103" s="137"/>
      <c r="K103" s="82"/>
      <c r="L103" s="240"/>
      <c r="M103" s="80"/>
      <c r="N103" s="271"/>
      <c r="O103" s="139"/>
      <c r="Q103" s="142"/>
      <c r="R103" s="57"/>
      <c r="S103" s="80"/>
      <c r="U103" s="142"/>
      <c r="V103" s="142"/>
      <c r="Z103" s="143"/>
      <c r="AA103" s="144"/>
      <c r="AB103" s="145"/>
      <c r="AC103" s="145"/>
      <c r="AD103" s="145"/>
      <c r="AE103" s="145"/>
      <c r="AF103" s="145"/>
      <c r="AG103" s="145"/>
      <c r="AH103" s="145"/>
    </row>
    <row r="104" spans="3:34" ht="15.75" customHeight="1">
      <c r="C104" s="135"/>
      <c r="E104" s="176"/>
      <c r="G104" s="90"/>
      <c r="H104" s="90"/>
      <c r="I104" s="82"/>
      <c r="J104" s="137"/>
      <c r="K104" s="82"/>
      <c r="L104" s="240"/>
      <c r="M104" s="80"/>
      <c r="N104" s="271"/>
      <c r="O104" s="139"/>
      <c r="Q104" s="142"/>
      <c r="R104" s="57"/>
      <c r="S104" s="80"/>
      <c r="U104" s="142"/>
      <c r="V104" s="142"/>
      <c r="Z104" s="143"/>
      <c r="AA104" s="144"/>
      <c r="AB104" s="145"/>
      <c r="AC104" s="145"/>
      <c r="AD104" s="145"/>
      <c r="AE104" s="145"/>
      <c r="AF104" s="145"/>
      <c r="AG104" s="145"/>
      <c r="AH104" s="145"/>
    </row>
    <row r="105" spans="3:34" ht="15.75" customHeight="1">
      <c r="C105" s="135"/>
      <c r="E105" s="176"/>
      <c r="G105" s="90"/>
      <c r="H105" s="90"/>
      <c r="I105" s="82"/>
      <c r="J105" s="137"/>
      <c r="K105" s="82"/>
      <c r="L105" s="240"/>
      <c r="M105" s="80"/>
      <c r="N105" s="271"/>
      <c r="O105" s="139"/>
      <c r="Q105" s="142"/>
      <c r="R105" s="57"/>
      <c r="S105" s="80"/>
      <c r="U105" s="142"/>
      <c r="V105" s="142"/>
      <c r="Z105" s="143"/>
      <c r="AA105" s="144"/>
      <c r="AB105" s="145"/>
      <c r="AC105" s="145"/>
      <c r="AD105" s="145"/>
      <c r="AE105" s="145"/>
      <c r="AF105" s="145"/>
      <c r="AG105" s="145"/>
      <c r="AH105" s="145"/>
    </row>
    <row r="106" spans="3:34" ht="15.75" customHeight="1">
      <c r="C106" s="135"/>
      <c r="E106" s="176"/>
      <c r="G106" s="90"/>
      <c r="H106" s="90"/>
      <c r="I106" s="82"/>
      <c r="J106" s="137"/>
      <c r="K106" s="82"/>
      <c r="L106" s="240"/>
      <c r="M106" s="80"/>
      <c r="N106" s="271"/>
      <c r="O106" s="139"/>
      <c r="Q106" s="142"/>
      <c r="R106" s="57"/>
      <c r="S106" s="80"/>
      <c r="U106" s="142"/>
      <c r="V106" s="142"/>
      <c r="Z106" s="143"/>
      <c r="AA106" s="144"/>
      <c r="AB106" s="145"/>
      <c r="AC106" s="145"/>
      <c r="AD106" s="145"/>
      <c r="AE106" s="145"/>
      <c r="AF106" s="145"/>
      <c r="AG106" s="145"/>
      <c r="AH106" s="145"/>
    </row>
    <row r="107" spans="3:34" ht="15.75" customHeight="1">
      <c r="C107" s="135"/>
      <c r="E107" s="176"/>
      <c r="G107" s="90"/>
      <c r="H107" s="90"/>
      <c r="I107" s="82"/>
      <c r="J107" s="137"/>
      <c r="K107" s="82"/>
      <c r="L107" s="240"/>
      <c r="M107" s="80"/>
      <c r="N107" s="271"/>
      <c r="O107" s="139"/>
      <c r="Q107" s="142"/>
      <c r="R107" s="57"/>
      <c r="S107" s="80"/>
      <c r="U107" s="142"/>
      <c r="V107" s="142"/>
      <c r="Z107" s="143"/>
      <c r="AA107" s="144"/>
      <c r="AB107" s="145"/>
      <c r="AC107" s="145"/>
      <c r="AD107" s="145"/>
      <c r="AE107" s="145"/>
      <c r="AF107" s="145"/>
      <c r="AG107" s="145"/>
      <c r="AH107" s="145"/>
    </row>
    <row r="108" spans="3:34" ht="15.75" customHeight="1">
      <c r="C108" s="135"/>
      <c r="E108" s="176"/>
      <c r="G108" s="90"/>
      <c r="H108" s="90"/>
      <c r="I108" s="82"/>
      <c r="J108" s="137"/>
      <c r="K108" s="82"/>
      <c r="L108" s="240"/>
      <c r="M108" s="80"/>
      <c r="N108" s="271"/>
      <c r="O108" s="139"/>
      <c r="Q108" s="142"/>
      <c r="R108" s="57"/>
      <c r="S108" s="80"/>
      <c r="U108" s="142"/>
      <c r="V108" s="142"/>
      <c r="Z108" s="143"/>
      <c r="AA108" s="144"/>
      <c r="AB108" s="145"/>
      <c r="AC108" s="145"/>
      <c r="AD108" s="145"/>
      <c r="AE108" s="145"/>
      <c r="AF108" s="145"/>
      <c r="AG108" s="145"/>
      <c r="AH108" s="145"/>
    </row>
    <row r="109" spans="3:34" ht="15.75" customHeight="1">
      <c r="C109" s="135"/>
      <c r="E109" s="176"/>
      <c r="G109" s="90"/>
      <c r="H109" s="90"/>
      <c r="I109" s="82"/>
      <c r="J109" s="137"/>
      <c r="K109" s="82"/>
      <c r="L109" s="240"/>
      <c r="M109" s="80"/>
      <c r="N109" s="271"/>
      <c r="O109" s="139"/>
      <c r="Q109" s="142"/>
      <c r="R109" s="57"/>
      <c r="S109" s="80"/>
      <c r="U109" s="142"/>
      <c r="V109" s="142"/>
      <c r="Z109" s="143"/>
      <c r="AA109" s="144"/>
      <c r="AB109" s="145"/>
      <c r="AC109" s="145"/>
      <c r="AD109" s="145"/>
      <c r="AE109" s="145"/>
      <c r="AF109" s="145"/>
      <c r="AG109" s="145"/>
      <c r="AH109" s="145"/>
    </row>
    <row r="110" spans="3:34" ht="15.75" customHeight="1">
      <c r="C110" s="135"/>
      <c r="E110" s="176"/>
      <c r="G110" s="90"/>
      <c r="H110" s="90"/>
      <c r="I110" s="82"/>
      <c r="J110" s="137"/>
      <c r="K110" s="82"/>
      <c r="L110" s="240"/>
      <c r="M110" s="80"/>
      <c r="N110" s="271"/>
      <c r="O110" s="139"/>
      <c r="Q110" s="142"/>
      <c r="R110" s="57"/>
      <c r="S110" s="80"/>
      <c r="U110" s="142"/>
      <c r="V110" s="142"/>
      <c r="Z110" s="143"/>
      <c r="AA110" s="144"/>
      <c r="AB110" s="145"/>
      <c r="AC110" s="145"/>
      <c r="AD110" s="145"/>
      <c r="AE110" s="145"/>
      <c r="AF110" s="145"/>
      <c r="AG110" s="145"/>
      <c r="AH110" s="145"/>
    </row>
    <row r="111" spans="3:34" ht="15.75" customHeight="1">
      <c r="C111" s="135"/>
      <c r="E111" s="176"/>
      <c r="G111" s="90"/>
      <c r="H111" s="90"/>
      <c r="I111" s="82"/>
      <c r="J111" s="137"/>
      <c r="K111" s="82"/>
      <c r="L111" s="240"/>
      <c r="M111" s="80"/>
      <c r="N111" s="271"/>
      <c r="O111" s="139"/>
      <c r="Q111" s="142"/>
      <c r="R111" s="57"/>
      <c r="S111" s="80"/>
      <c r="U111" s="142"/>
      <c r="V111" s="142"/>
      <c r="Z111" s="143"/>
      <c r="AA111" s="144"/>
      <c r="AB111" s="145"/>
      <c r="AC111" s="145"/>
      <c r="AD111" s="145"/>
      <c r="AE111" s="145"/>
      <c r="AF111" s="145"/>
      <c r="AG111" s="145"/>
      <c r="AH111" s="145"/>
    </row>
    <row r="112" spans="3:34" ht="15.75" customHeight="1">
      <c r="C112" s="135"/>
      <c r="E112" s="176"/>
      <c r="G112" s="90"/>
      <c r="H112" s="90"/>
      <c r="I112" s="82"/>
      <c r="J112" s="137"/>
      <c r="K112" s="82"/>
      <c r="L112" s="240"/>
      <c r="M112" s="80"/>
      <c r="N112" s="271"/>
      <c r="O112" s="139"/>
      <c r="Q112" s="142"/>
      <c r="R112" s="57"/>
      <c r="S112" s="80"/>
      <c r="U112" s="142"/>
      <c r="V112" s="142"/>
      <c r="Z112" s="143"/>
      <c r="AA112" s="144"/>
      <c r="AB112" s="145"/>
      <c r="AC112" s="145"/>
      <c r="AD112" s="145"/>
      <c r="AE112" s="145"/>
      <c r="AF112" s="145"/>
      <c r="AG112" s="145"/>
      <c r="AH112" s="145"/>
    </row>
    <row r="113" spans="3:34" ht="15.75" customHeight="1">
      <c r="C113" s="135"/>
      <c r="E113" s="176"/>
      <c r="G113" s="90"/>
      <c r="H113" s="90"/>
      <c r="I113" s="82"/>
      <c r="J113" s="137"/>
      <c r="K113" s="82"/>
      <c r="L113" s="240"/>
      <c r="M113" s="80"/>
      <c r="N113" s="271"/>
      <c r="O113" s="139"/>
      <c r="Q113" s="142"/>
      <c r="R113" s="57"/>
      <c r="S113" s="80"/>
      <c r="U113" s="142"/>
      <c r="V113" s="142"/>
      <c r="Z113" s="143"/>
      <c r="AA113" s="144"/>
      <c r="AB113" s="145"/>
      <c r="AC113" s="145"/>
      <c r="AD113" s="145"/>
      <c r="AE113" s="145"/>
      <c r="AF113" s="145"/>
      <c r="AG113" s="145"/>
      <c r="AH113" s="145"/>
    </row>
    <row r="114" spans="3:34" ht="15.75" customHeight="1">
      <c r="C114" s="135"/>
      <c r="E114" s="176"/>
      <c r="G114" s="90"/>
      <c r="H114" s="90"/>
      <c r="I114" s="82"/>
      <c r="J114" s="137"/>
      <c r="K114" s="82"/>
      <c r="L114" s="240"/>
      <c r="M114" s="80"/>
      <c r="N114" s="271"/>
      <c r="O114" s="139"/>
      <c r="Q114" s="142"/>
      <c r="R114" s="57"/>
      <c r="S114" s="80"/>
      <c r="U114" s="142"/>
      <c r="V114" s="142"/>
      <c r="Z114" s="143"/>
      <c r="AA114" s="144"/>
      <c r="AB114" s="145"/>
      <c r="AC114" s="145"/>
      <c r="AD114" s="145"/>
      <c r="AE114" s="145"/>
      <c r="AF114" s="145"/>
      <c r="AG114" s="145"/>
      <c r="AH114" s="145"/>
    </row>
    <row r="115" spans="3:34" ht="15.75" customHeight="1">
      <c r="C115" s="135"/>
      <c r="E115" s="176"/>
      <c r="G115" s="90"/>
      <c r="H115" s="90"/>
      <c r="I115" s="82"/>
      <c r="J115" s="137"/>
      <c r="K115" s="82"/>
      <c r="L115" s="240"/>
      <c r="M115" s="80"/>
      <c r="N115" s="271"/>
      <c r="O115" s="139"/>
      <c r="Q115" s="142"/>
      <c r="R115" s="57"/>
      <c r="S115" s="80"/>
      <c r="U115" s="142"/>
      <c r="V115" s="142"/>
      <c r="Z115" s="143"/>
      <c r="AA115" s="144"/>
      <c r="AB115" s="145"/>
      <c r="AC115" s="145"/>
      <c r="AD115" s="145"/>
      <c r="AE115" s="145"/>
      <c r="AF115" s="145"/>
      <c r="AG115" s="145"/>
      <c r="AH115" s="145"/>
    </row>
    <row r="116" spans="3:34" ht="15.75" customHeight="1">
      <c r="C116" s="135"/>
      <c r="E116" s="176"/>
      <c r="G116" s="90"/>
      <c r="H116" s="90"/>
      <c r="I116" s="82"/>
      <c r="J116" s="137"/>
      <c r="K116" s="82"/>
      <c r="L116" s="240"/>
      <c r="M116" s="80"/>
      <c r="N116" s="271"/>
      <c r="O116" s="139"/>
      <c r="Q116" s="142"/>
      <c r="R116" s="57"/>
      <c r="S116" s="80"/>
      <c r="U116" s="142"/>
      <c r="V116" s="142"/>
      <c r="Z116" s="143"/>
      <c r="AA116" s="144"/>
      <c r="AB116" s="145"/>
      <c r="AC116" s="145"/>
      <c r="AD116" s="145"/>
      <c r="AE116" s="145"/>
      <c r="AF116" s="145"/>
      <c r="AG116" s="145"/>
      <c r="AH116" s="145"/>
    </row>
    <row r="117" spans="3:34" ht="15.75" customHeight="1">
      <c r="C117" s="135"/>
      <c r="E117" s="176"/>
      <c r="G117" s="90"/>
      <c r="H117" s="90"/>
      <c r="I117" s="82"/>
      <c r="J117" s="137"/>
      <c r="K117" s="82"/>
      <c r="L117" s="240"/>
      <c r="M117" s="80"/>
      <c r="N117" s="271"/>
      <c r="O117" s="139"/>
      <c r="Q117" s="142"/>
      <c r="R117" s="57"/>
      <c r="S117" s="80"/>
      <c r="U117" s="142"/>
      <c r="V117" s="142"/>
      <c r="Z117" s="143"/>
      <c r="AA117" s="144"/>
      <c r="AB117" s="145"/>
      <c r="AC117" s="145"/>
      <c r="AD117" s="145"/>
      <c r="AE117" s="145"/>
      <c r="AF117" s="145"/>
      <c r="AG117" s="145"/>
      <c r="AH117" s="145"/>
    </row>
    <row r="118" spans="3:34" ht="15.75" customHeight="1">
      <c r="C118" s="135"/>
      <c r="E118" s="176"/>
      <c r="G118" s="90"/>
      <c r="H118" s="90"/>
      <c r="I118" s="82"/>
      <c r="J118" s="137"/>
      <c r="K118" s="82"/>
      <c r="L118" s="240"/>
      <c r="M118" s="80"/>
      <c r="N118" s="271"/>
      <c r="O118" s="139"/>
      <c r="Q118" s="142"/>
      <c r="R118" s="57"/>
      <c r="S118" s="80"/>
      <c r="U118" s="142"/>
      <c r="V118" s="142"/>
      <c r="Z118" s="143"/>
      <c r="AA118" s="144"/>
      <c r="AB118" s="145"/>
      <c r="AC118" s="145"/>
      <c r="AD118" s="145"/>
      <c r="AE118" s="145"/>
      <c r="AF118" s="145"/>
      <c r="AG118" s="145"/>
      <c r="AH118" s="145"/>
    </row>
    <row r="119" spans="3:34" ht="15.75" customHeight="1">
      <c r="C119" s="135"/>
      <c r="E119" s="176"/>
      <c r="G119" s="90"/>
      <c r="H119" s="90"/>
      <c r="I119" s="82"/>
      <c r="J119" s="137"/>
      <c r="K119" s="82"/>
      <c r="L119" s="240"/>
      <c r="M119" s="80"/>
      <c r="N119" s="271"/>
      <c r="O119" s="139"/>
      <c r="Q119" s="142"/>
      <c r="R119" s="57"/>
      <c r="S119" s="80"/>
      <c r="U119" s="142"/>
      <c r="V119" s="142"/>
      <c r="Z119" s="143"/>
      <c r="AA119" s="144"/>
      <c r="AB119" s="145"/>
      <c r="AC119" s="145"/>
      <c r="AD119" s="145"/>
      <c r="AE119" s="145"/>
      <c r="AF119" s="145"/>
      <c r="AG119" s="145"/>
      <c r="AH119" s="145"/>
    </row>
    <row r="120" spans="3:34" ht="15.75" customHeight="1">
      <c r="C120" s="135"/>
      <c r="E120" s="176"/>
      <c r="G120" s="90"/>
      <c r="H120" s="90"/>
      <c r="I120" s="82"/>
      <c r="J120" s="137"/>
      <c r="K120" s="82"/>
      <c r="L120" s="240"/>
      <c r="M120" s="80"/>
      <c r="N120" s="271"/>
      <c r="O120" s="139"/>
      <c r="Q120" s="142"/>
      <c r="R120" s="57"/>
      <c r="S120" s="80"/>
      <c r="U120" s="142"/>
      <c r="V120" s="142"/>
      <c r="Z120" s="143"/>
      <c r="AA120" s="144"/>
      <c r="AB120" s="145"/>
      <c r="AC120" s="145"/>
      <c r="AD120" s="145"/>
      <c r="AE120" s="145"/>
      <c r="AF120" s="145"/>
      <c r="AG120" s="145"/>
      <c r="AH120" s="145"/>
    </row>
    <row r="121" spans="3:34" ht="15.75" customHeight="1">
      <c r="C121" s="135"/>
      <c r="E121" s="176"/>
      <c r="G121" s="90"/>
      <c r="H121" s="90"/>
      <c r="I121" s="82"/>
      <c r="J121" s="137"/>
      <c r="K121" s="82"/>
      <c r="L121" s="240"/>
      <c r="M121" s="80"/>
      <c r="N121" s="271"/>
      <c r="O121" s="139"/>
      <c r="Q121" s="142"/>
      <c r="R121" s="57"/>
      <c r="S121" s="80"/>
      <c r="U121" s="142"/>
      <c r="V121" s="142"/>
      <c r="Z121" s="143"/>
      <c r="AA121" s="144"/>
      <c r="AB121" s="145"/>
      <c r="AC121" s="145"/>
      <c r="AD121" s="145"/>
      <c r="AE121" s="145"/>
      <c r="AF121" s="145"/>
      <c r="AG121" s="145"/>
      <c r="AH121" s="145"/>
    </row>
    <row r="122" spans="3:34" ht="15.75" customHeight="1">
      <c r="C122" s="135"/>
      <c r="E122" s="176"/>
      <c r="G122" s="90"/>
      <c r="H122" s="90"/>
      <c r="I122" s="82"/>
      <c r="J122" s="137"/>
      <c r="K122" s="82"/>
      <c r="L122" s="240"/>
      <c r="M122" s="80"/>
      <c r="N122" s="271"/>
      <c r="O122" s="139"/>
      <c r="Q122" s="142"/>
      <c r="R122" s="57"/>
      <c r="S122" s="80"/>
      <c r="U122" s="142"/>
      <c r="V122" s="142"/>
      <c r="Z122" s="143"/>
      <c r="AA122" s="144"/>
      <c r="AB122" s="145"/>
      <c r="AC122" s="145"/>
      <c r="AD122" s="145"/>
      <c r="AE122" s="145"/>
      <c r="AF122" s="145"/>
      <c r="AG122" s="145"/>
      <c r="AH122" s="145"/>
    </row>
    <row r="123" spans="3:34" ht="15.75" customHeight="1">
      <c r="C123" s="135"/>
      <c r="E123" s="176"/>
      <c r="G123" s="90"/>
      <c r="H123" s="90"/>
      <c r="I123" s="82"/>
      <c r="J123" s="137"/>
      <c r="K123" s="82"/>
      <c r="L123" s="240"/>
      <c r="M123" s="80"/>
      <c r="N123" s="271"/>
      <c r="O123" s="139"/>
      <c r="Q123" s="142"/>
      <c r="R123" s="57"/>
      <c r="S123" s="80"/>
      <c r="U123" s="142"/>
      <c r="V123" s="142"/>
      <c r="Z123" s="143"/>
      <c r="AA123" s="144"/>
      <c r="AB123" s="145"/>
      <c r="AC123" s="145"/>
      <c r="AD123" s="145"/>
      <c r="AE123" s="145"/>
      <c r="AF123" s="145"/>
      <c r="AG123" s="145"/>
      <c r="AH123" s="145"/>
    </row>
    <row r="124" spans="3:34" ht="15.75" customHeight="1">
      <c r="C124" s="135"/>
      <c r="E124" s="176"/>
      <c r="G124" s="90"/>
      <c r="H124" s="90"/>
      <c r="I124" s="82"/>
      <c r="J124" s="137"/>
      <c r="K124" s="82"/>
      <c r="L124" s="240"/>
      <c r="M124" s="80"/>
      <c r="N124" s="271"/>
      <c r="O124" s="139"/>
      <c r="Q124" s="142"/>
      <c r="R124" s="57"/>
      <c r="S124" s="80"/>
      <c r="U124" s="142"/>
      <c r="V124" s="142"/>
      <c r="Z124" s="143"/>
      <c r="AA124" s="144"/>
      <c r="AB124" s="145"/>
      <c r="AC124" s="145"/>
      <c r="AD124" s="145"/>
      <c r="AE124" s="145"/>
      <c r="AF124" s="145"/>
      <c r="AG124" s="145"/>
      <c r="AH124" s="145"/>
    </row>
    <row r="125" spans="3:34" ht="15.75" customHeight="1">
      <c r="C125" s="135"/>
      <c r="E125" s="176"/>
      <c r="G125" s="90"/>
      <c r="H125" s="90"/>
      <c r="I125" s="82"/>
      <c r="J125" s="137"/>
      <c r="K125" s="82"/>
      <c r="L125" s="240"/>
      <c r="M125" s="80"/>
      <c r="N125" s="271"/>
      <c r="O125" s="139"/>
      <c r="Q125" s="142"/>
      <c r="R125" s="57"/>
      <c r="S125" s="80"/>
      <c r="U125" s="142"/>
      <c r="V125" s="142"/>
      <c r="Z125" s="143"/>
      <c r="AA125" s="144"/>
      <c r="AB125" s="145"/>
      <c r="AC125" s="145"/>
      <c r="AD125" s="145"/>
      <c r="AE125" s="145"/>
      <c r="AF125" s="145"/>
      <c r="AG125" s="145"/>
      <c r="AH125" s="145"/>
    </row>
    <row r="126" spans="3:34" ht="15.75" customHeight="1">
      <c r="C126" s="135"/>
      <c r="E126" s="176"/>
      <c r="G126" s="90"/>
      <c r="H126" s="90"/>
      <c r="I126" s="82"/>
      <c r="J126" s="137"/>
      <c r="K126" s="82"/>
      <c r="L126" s="240"/>
      <c r="M126" s="80"/>
      <c r="N126" s="271"/>
      <c r="O126" s="139"/>
      <c r="Q126" s="142"/>
      <c r="R126" s="57"/>
      <c r="S126" s="80"/>
      <c r="U126" s="142"/>
      <c r="V126" s="142"/>
      <c r="Z126" s="143"/>
      <c r="AA126" s="144"/>
      <c r="AB126" s="145"/>
      <c r="AC126" s="145"/>
      <c r="AD126" s="145"/>
      <c r="AE126" s="145"/>
      <c r="AF126" s="145"/>
      <c r="AG126" s="145"/>
      <c r="AH126" s="145"/>
    </row>
    <row r="127" spans="3:34" ht="15.75" customHeight="1">
      <c r="C127" s="135"/>
      <c r="E127" s="176"/>
      <c r="G127" s="90"/>
      <c r="H127" s="90"/>
      <c r="I127" s="82"/>
      <c r="J127" s="137"/>
      <c r="K127" s="82"/>
      <c r="L127" s="240"/>
      <c r="M127" s="80"/>
      <c r="N127" s="271"/>
      <c r="O127" s="139"/>
      <c r="Q127" s="142"/>
      <c r="R127" s="57"/>
      <c r="S127" s="80"/>
      <c r="U127" s="142"/>
      <c r="V127" s="142"/>
      <c r="Z127" s="143"/>
      <c r="AA127" s="144"/>
      <c r="AB127" s="145"/>
      <c r="AC127" s="145"/>
      <c r="AD127" s="145"/>
      <c r="AE127" s="145"/>
      <c r="AF127" s="145"/>
      <c r="AG127" s="145"/>
      <c r="AH127" s="145"/>
    </row>
    <row r="128" spans="3:34" ht="15.75" customHeight="1">
      <c r="C128" s="135"/>
      <c r="E128" s="176"/>
      <c r="G128" s="90"/>
      <c r="H128" s="90"/>
      <c r="I128" s="82"/>
      <c r="J128" s="137"/>
      <c r="K128" s="82"/>
      <c r="L128" s="240"/>
      <c r="M128" s="80"/>
      <c r="N128" s="271"/>
      <c r="O128" s="139"/>
      <c r="Q128" s="142"/>
      <c r="R128" s="57"/>
      <c r="S128" s="80"/>
      <c r="U128" s="142"/>
      <c r="V128" s="142"/>
      <c r="Z128" s="143"/>
      <c r="AA128" s="144"/>
      <c r="AB128" s="145"/>
      <c r="AC128" s="145"/>
      <c r="AD128" s="145"/>
      <c r="AE128" s="145"/>
      <c r="AF128" s="145"/>
      <c r="AG128" s="145"/>
      <c r="AH128" s="145"/>
    </row>
    <row r="129" spans="3:34" ht="15.75" customHeight="1">
      <c r="C129" s="135"/>
      <c r="E129" s="176"/>
      <c r="G129" s="90"/>
      <c r="H129" s="90"/>
      <c r="I129" s="82"/>
      <c r="J129" s="137"/>
      <c r="K129" s="82"/>
      <c r="L129" s="240"/>
      <c r="M129" s="80"/>
      <c r="N129" s="271"/>
      <c r="O129" s="139"/>
      <c r="Q129" s="142"/>
      <c r="R129" s="57"/>
      <c r="S129" s="80"/>
      <c r="U129" s="142"/>
      <c r="V129" s="142"/>
      <c r="Z129" s="143"/>
      <c r="AA129" s="144"/>
      <c r="AB129" s="145"/>
      <c r="AC129" s="145"/>
      <c r="AD129" s="145"/>
      <c r="AE129" s="145"/>
      <c r="AF129" s="145"/>
      <c r="AG129" s="145"/>
      <c r="AH129" s="145"/>
    </row>
    <row r="130" spans="3:34" ht="15.75" customHeight="1">
      <c r="C130" s="135"/>
      <c r="E130" s="176"/>
      <c r="G130" s="90"/>
      <c r="H130" s="90"/>
      <c r="I130" s="82"/>
      <c r="J130" s="137"/>
      <c r="K130" s="82"/>
      <c r="L130" s="240"/>
      <c r="M130" s="80"/>
      <c r="N130" s="271"/>
      <c r="O130" s="139"/>
      <c r="Q130" s="142"/>
      <c r="R130" s="57"/>
      <c r="S130" s="80"/>
      <c r="U130" s="142"/>
      <c r="V130" s="142"/>
      <c r="Z130" s="143"/>
      <c r="AA130" s="144"/>
      <c r="AB130" s="145"/>
      <c r="AC130" s="145"/>
      <c r="AD130" s="145"/>
      <c r="AE130" s="145"/>
      <c r="AF130" s="145"/>
      <c r="AG130" s="145"/>
      <c r="AH130" s="145"/>
    </row>
    <row r="131" spans="3:34" ht="15.75" customHeight="1">
      <c r="C131" s="135"/>
      <c r="E131" s="176"/>
      <c r="G131" s="90"/>
      <c r="H131" s="90"/>
      <c r="I131" s="82"/>
      <c r="J131" s="137"/>
      <c r="K131" s="82"/>
      <c r="L131" s="240"/>
      <c r="M131" s="80"/>
      <c r="N131" s="271"/>
      <c r="O131" s="139"/>
      <c r="Q131" s="142"/>
      <c r="R131" s="57"/>
      <c r="S131" s="80"/>
      <c r="U131" s="142"/>
      <c r="V131" s="142"/>
      <c r="Z131" s="143"/>
      <c r="AA131" s="144"/>
      <c r="AB131" s="145"/>
      <c r="AC131" s="145"/>
      <c r="AD131" s="145"/>
      <c r="AE131" s="145"/>
      <c r="AF131" s="145"/>
      <c r="AG131" s="145"/>
      <c r="AH131" s="145"/>
    </row>
    <row r="132" spans="3:34" ht="15.75" customHeight="1">
      <c r="C132" s="135"/>
      <c r="E132" s="176"/>
      <c r="G132" s="90"/>
      <c r="H132" s="90"/>
      <c r="I132" s="82"/>
      <c r="J132" s="137"/>
      <c r="K132" s="82"/>
      <c r="L132" s="240"/>
      <c r="M132" s="80"/>
      <c r="N132" s="271"/>
      <c r="O132" s="139"/>
      <c r="Q132" s="142"/>
      <c r="R132" s="57"/>
      <c r="S132" s="80"/>
      <c r="U132" s="142"/>
      <c r="V132" s="142"/>
      <c r="Z132" s="143"/>
      <c r="AA132" s="144"/>
      <c r="AB132" s="145"/>
      <c r="AC132" s="145"/>
      <c r="AD132" s="145"/>
      <c r="AE132" s="145"/>
      <c r="AF132" s="145"/>
      <c r="AG132" s="145"/>
      <c r="AH132" s="145"/>
    </row>
    <row r="133" spans="3:34" ht="15.75" customHeight="1">
      <c r="C133" s="135"/>
      <c r="E133" s="176"/>
      <c r="G133" s="90"/>
      <c r="H133" s="90"/>
      <c r="I133" s="82"/>
      <c r="J133" s="137"/>
      <c r="K133" s="82"/>
      <c r="L133" s="240"/>
      <c r="M133" s="80"/>
      <c r="N133" s="271"/>
      <c r="O133" s="139"/>
      <c r="Q133" s="142"/>
      <c r="R133" s="57"/>
      <c r="S133" s="80"/>
      <c r="U133" s="142"/>
      <c r="V133" s="142"/>
      <c r="Z133" s="143"/>
      <c r="AA133" s="144"/>
      <c r="AB133" s="145"/>
      <c r="AC133" s="145"/>
      <c r="AD133" s="145"/>
      <c r="AE133" s="145"/>
      <c r="AF133" s="145"/>
      <c r="AG133" s="145"/>
      <c r="AH133" s="145"/>
    </row>
    <row r="134" spans="3:34" ht="15.75" customHeight="1">
      <c r="C134" s="135"/>
      <c r="E134" s="176"/>
      <c r="G134" s="90"/>
      <c r="H134" s="90"/>
      <c r="I134" s="82"/>
      <c r="J134" s="137"/>
      <c r="K134" s="82"/>
      <c r="L134" s="240"/>
      <c r="M134" s="80"/>
      <c r="N134" s="271"/>
      <c r="O134" s="139"/>
      <c r="Q134" s="142"/>
      <c r="R134" s="57"/>
      <c r="S134" s="80"/>
      <c r="U134" s="142"/>
      <c r="V134" s="142"/>
      <c r="Z134" s="143"/>
      <c r="AA134" s="144"/>
      <c r="AB134" s="145"/>
      <c r="AC134" s="145"/>
      <c r="AD134" s="145"/>
      <c r="AE134" s="145"/>
      <c r="AF134" s="145"/>
      <c r="AG134" s="145"/>
      <c r="AH134" s="145"/>
    </row>
    <row r="135" spans="3:34" ht="15.75" customHeight="1">
      <c r="C135" s="135"/>
      <c r="E135" s="176"/>
      <c r="G135" s="90"/>
      <c r="H135" s="90"/>
      <c r="I135" s="82"/>
      <c r="J135" s="137"/>
      <c r="K135" s="82"/>
      <c r="L135" s="240"/>
      <c r="M135" s="80"/>
      <c r="N135" s="271"/>
      <c r="O135" s="139"/>
      <c r="Q135" s="142"/>
      <c r="R135" s="57"/>
      <c r="S135" s="80"/>
      <c r="U135" s="142"/>
      <c r="V135" s="142"/>
      <c r="Z135" s="143"/>
      <c r="AA135" s="144"/>
      <c r="AB135" s="145"/>
      <c r="AC135" s="145"/>
      <c r="AD135" s="145"/>
      <c r="AE135" s="145"/>
      <c r="AF135" s="145"/>
      <c r="AG135" s="145"/>
      <c r="AH135" s="145"/>
    </row>
    <row r="136" spans="3:34" ht="15.75" customHeight="1">
      <c r="C136" s="135"/>
      <c r="E136" s="176"/>
      <c r="G136" s="90"/>
      <c r="H136" s="90"/>
      <c r="I136" s="82"/>
      <c r="J136" s="137"/>
      <c r="K136" s="82"/>
      <c r="L136" s="240"/>
      <c r="M136" s="80"/>
      <c r="N136" s="271"/>
      <c r="O136" s="139"/>
      <c r="Q136" s="142"/>
      <c r="R136" s="57"/>
      <c r="S136" s="80"/>
      <c r="U136" s="142"/>
      <c r="V136" s="142"/>
      <c r="Z136" s="143"/>
      <c r="AA136" s="144"/>
      <c r="AB136" s="145"/>
      <c r="AC136" s="145"/>
      <c r="AD136" s="145"/>
      <c r="AE136" s="145"/>
      <c r="AF136" s="145"/>
      <c r="AG136" s="145"/>
      <c r="AH136" s="145"/>
    </row>
    <row r="137" spans="3:34" ht="15.75" customHeight="1">
      <c r="C137" s="135"/>
      <c r="E137" s="176"/>
      <c r="G137" s="90"/>
      <c r="H137" s="90"/>
      <c r="I137" s="82"/>
      <c r="J137" s="137"/>
      <c r="K137" s="82"/>
      <c r="L137" s="240"/>
      <c r="M137" s="80"/>
      <c r="N137" s="271"/>
      <c r="O137" s="139"/>
      <c r="Q137" s="142"/>
      <c r="R137" s="57"/>
      <c r="S137" s="80"/>
      <c r="U137" s="142"/>
      <c r="V137" s="142"/>
      <c r="Z137" s="143"/>
      <c r="AA137" s="144"/>
      <c r="AB137" s="145"/>
      <c r="AC137" s="145"/>
      <c r="AD137" s="145"/>
      <c r="AE137" s="145"/>
      <c r="AF137" s="145"/>
      <c r="AG137" s="145"/>
      <c r="AH137" s="145"/>
    </row>
    <row r="138" spans="3:34" ht="15.75" customHeight="1">
      <c r="C138" s="135"/>
      <c r="E138" s="176"/>
      <c r="G138" s="90"/>
      <c r="H138" s="90"/>
      <c r="I138" s="82"/>
      <c r="J138" s="137"/>
      <c r="K138" s="82"/>
      <c r="L138" s="240"/>
      <c r="M138" s="80"/>
      <c r="N138" s="271"/>
      <c r="O138" s="139"/>
      <c r="Q138" s="142"/>
      <c r="R138" s="57"/>
      <c r="S138" s="80"/>
      <c r="U138" s="142"/>
      <c r="V138" s="142"/>
      <c r="Z138" s="143"/>
      <c r="AA138" s="144"/>
      <c r="AB138" s="145"/>
      <c r="AC138" s="145"/>
      <c r="AD138" s="145"/>
      <c r="AE138" s="145"/>
      <c r="AF138" s="145"/>
      <c r="AG138" s="145"/>
      <c r="AH138" s="145"/>
    </row>
    <row r="139" spans="3:34" ht="15.75" customHeight="1">
      <c r="C139" s="135"/>
      <c r="E139" s="176"/>
      <c r="G139" s="90"/>
      <c r="H139" s="90"/>
      <c r="I139" s="82"/>
      <c r="J139" s="137"/>
      <c r="K139" s="82"/>
      <c r="L139" s="240"/>
      <c r="M139" s="80"/>
      <c r="N139" s="271"/>
      <c r="O139" s="139"/>
      <c r="Q139" s="142"/>
      <c r="R139" s="57"/>
      <c r="S139" s="80"/>
      <c r="U139" s="142"/>
      <c r="V139" s="142"/>
      <c r="Z139" s="143"/>
      <c r="AA139" s="144"/>
      <c r="AB139" s="145"/>
      <c r="AC139" s="145"/>
      <c r="AD139" s="145"/>
      <c r="AE139" s="145"/>
      <c r="AF139" s="145"/>
      <c r="AG139" s="145"/>
      <c r="AH139" s="145"/>
    </row>
    <row r="140" spans="3:34" ht="15.75" customHeight="1">
      <c r="C140" s="135"/>
      <c r="E140" s="176"/>
      <c r="G140" s="90"/>
      <c r="H140" s="90"/>
      <c r="I140" s="82"/>
      <c r="J140" s="137"/>
      <c r="K140" s="82"/>
      <c r="L140" s="240"/>
      <c r="M140" s="80"/>
      <c r="N140" s="271"/>
      <c r="O140" s="139"/>
      <c r="Q140" s="142"/>
      <c r="R140" s="57"/>
      <c r="S140" s="80"/>
      <c r="U140" s="142"/>
      <c r="V140" s="142"/>
      <c r="Z140" s="143"/>
      <c r="AA140" s="144"/>
      <c r="AB140" s="145"/>
      <c r="AC140" s="145"/>
      <c r="AD140" s="145"/>
      <c r="AE140" s="145"/>
      <c r="AF140" s="145"/>
      <c r="AG140" s="145"/>
      <c r="AH140" s="145"/>
    </row>
    <row r="141" spans="3:34" ht="15.75" customHeight="1">
      <c r="C141" s="135"/>
      <c r="E141" s="176"/>
      <c r="G141" s="90"/>
      <c r="H141" s="90"/>
      <c r="I141" s="82"/>
      <c r="J141" s="137"/>
      <c r="K141" s="82"/>
      <c r="L141" s="240"/>
      <c r="M141" s="80"/>
      <c r="N141" s="271"/>
      <c r="O141" s="139"/>
      <c r="Q141" s="142"/>
      <c r="R141" s="57"/>
      <c r="S141" s="80"/>
      <c r="U141" s="142"/>
      <c r="V141" s="142"/>
      <c r="Z141" s="143"/>
      <c r="AA141" s="144"/>
      <c r="AB141" s="145"/>
      <c r="AC141" s="145"/>
      <c r="AD141" s="145"/>
      <c r="AE141" s="145"/>
      <c r="AF141" s="145"/>
      <c r="AG141" s="145"/>
      <c r="AH141" s="145"/>
    </row>
    <row r="142" spans="3:34" ht="15.75" customHeight="1">
      <c r="C142" s="135"/>
      <c r="E142" s="176"/>
      <c r="G142" s="90"/>
      <c r="H142" s="90"/>
      <c r="I142" s="82"/>
      <c r="J142" s="137"/>
      <c r="K142" s="82"/>
      <c r="L142" s="240"/>
      <c r="M142" s="80"/>
      <c r="N142" s="271"/>
      <c r="O142" s="139"/>
      <c r="Q142" s="142"/>
      <c r="R142" s="57"/>
      <c r="S142" s="80"/>
      <c r="U142" s="142"/>
      <c r="V142" s="142"/>
      <c r="Z142" s="143"/>
      <c r="AA142" s="144"/>
      <c r="AB142" s="145"/>
      <c r="AC142" s="145"/>
      <c r="AD142" s="145"/>
      <c r="AE142" s="145"/>
      <c r="AF142" s="145"/>
      <c r="AG142" s="145"/>
      <c r="AH142" s="145"/>
    </row>
    <row r="143" spans="3:34" ht="15.75" customHeight="1">
      <c r="C143" s="135"/>
      <c r="E143" s="176"/>
      <c r="G143" s="90"/>
      <c r="H143" s="90"/>
      <c r="I143" s="82"/>
      <c r="J143" s="137"/>
      <c r="K143" s="82"/>
      <c r="L143" s="240"/>
      <c r="M143" s="80"/>
      <c r="N143" s="271"/>
      <c r="O143" s="139"/>
      <c r="Q143" s="142"/>
      <c r="R143" s="57"/>
      <c r="S143" s="80"/>
      <c r="U143" s="142"/>
      <c r="V143" s="142"/>
      <c r="Z143" s="143"/>
      <c r="AA143" s="144"/>
      <c r="AB143" s="145"/>
      <c r="AC143" s="145"/>
      <c r="AD143" s="145"/>
      <c r="AE143" s="145"/>
      <c r="AF143" s="145"/>
      <c r="AG143" s="145"/>
      <c r="AH143" s="145"/>
    </row>
    <row r="144" spans="3:34" ht="15.75" customHeight="1">
      <c r="C144" s="135"/>
      <c r="E144" s="176"/>
      <c r="G144" s="90"/>
      <c r="H144" s="90"/>
      <c r="I144" s="82"/>
      <c r="J144" s="137"/>
      <c r="K144" s="82"/>
      <c r="L144" s="240"/>
      <c r="M144" s="80"/>
      <c r="N144" s="271"/>
      <c r="O144" s="139"/>
      <c r="Q144" s="142"/>
      <c r="R144" s="57"/>
      <c r="S144" s="80"/>
      <c r="U144" s="142"/>
      <c r="V144" s="142"/>
      <c r="Z144" s="143"/>
      <c r="AA144" s="144"/>
      <c r="AB144" s="145"/>
      <c r="AC144" s="145"/>
      <c r="AD144" s="145"/>
      <c r="AE144" s="145"/>
      <c r="AF144" s="145"/>
      <c r="AG144" s="145"/>
      <c r="AH144" s="145"/>
    </row>
    <row r="145" spans="3:34" ht="15.75" customHeight="1">
      <c r="C145" s="135"/>
      <c r="E145" s="176"/>
      <c r="G145" s="90"/>
      <c r="H145" s="90"/>
      <c r="I145" s="82"/>
      <c r="J145" s="137"/>
      <c r="K145" s="82"/>
      <c r="L145" s="240"/>
      <c r="M145" s="80"/>
      <c r="N145" s="271"/>
      <c r="O145" s="139"/>
      <c r="Q145" s="142"/>
      <c r="R145" s="57"/>
      <c r="S145" s="80"/>
      <c r="U145" s="142"/>
      <c r="V145" s="142"/>
      <c r="Z145" s="143"/>
      <c r="AA145" s="144"/>
      <c r="AB145" s="145"/>
      <c r="AC145" s="145"/>
      <c r="AD145" s="145"/>
      <c r="AE145" s="145"/>
      <c r="AF145" s="145"/>
      <c r="AG145" s="145"/>
      <c r="AH145" s="145"/>
    </row>
    <row r="146" spans="3:34" ht="15.75" customHeight="1">
      <c r="C146" s="135"/>
      <c r="E146" s="176"/>
      <c r="G146" s="90"/>
      <c r="H146" s="90"/>
      <c r="I146" s="82"/>
      <c r="J146" s="137"/>
      <c r="K146" s="82"/>
      <c r="L146" s="240"/>
      <c r="M146" s="80"/>
      <c r="N146" s="271"/>
      <c r="O146" s="139"/>
      <c r="Q146" s="142"/>
      <c r="R146" s="57"/>
      <c r="S146" s="80"/>
      <c r="U146" s="142"/>
      <c r="V146" s="142"/>
      <c r="Z146" s="143"/>
      <c r="AA146" s="144"/>
      <c r="AB146" s="145"/>
      <c r="AC146" s="145"/>
      <c r="AD146" s="145"/>
      <c r="AE146" s="145"/>
      <c r="AF146" s="145"/>
      <c r="AG146" s="145"/>
      <c r="AH146" s="145"/>
    </row>
    <row r="147" spans="3:34" ht="15.75" customHeight="1">
      <c r="C147" s="135"/>
      <c r="E147" s="176"/>
      <c r="G147" s="90"/>
      <c r="H147" s="90"/>
      <c r="I147" s="82"/>
      <c r="J147" s="137"/>
      <c r="K147" s="82"/>
      <c r="L147" s="240"/>
      <c r="M147" s="80"/>
      <c r="N147" s="271"/>
      <c r="O147" s="139"/>
      <c r="Q147" s="142"/>
      <c r="R147" s="57"/>
      <c r="S147" s="80"/>
      <c r="U147" s="142"/>
      <c r="V147" s="142"/>
      <c r="Z147" s="143"/>
      <c r="AA147" s="144"/>
      <c r="AB147" s="145"/>
      <c r="AC147" s="145"/>
      <c r="AD147" s="145"/>
      <c r="AE147" s="145"/>
      <c r="AF147" s="145"/>
      <c r="AG147" s="145"/>
      <c r="AH147" s="145"/>
    </row>
    <row r="148" spans="3:34" ht="15.75" customHeight="1">
      <c r="C148" s="135"/>
      <c r="E148" s="176"/>
      <c r="G148" s="90"/>
      <c r="H148" s="90"/>
      <c r="I148" s="82"/>
      <c r="J148" s="137"/>
      <c r="K148" s="82"/>
      <c r="L148" s="240"/>
      <c r="M148" s="80"/>
      <c r="N148" s="271"/>
      <c r="O148" s="139"/>
      <c r="Q148" s="142"/>
      <c r="R148" s="57"/>
      <c r="S148" s="80"/>
      <c r="U148" s="142"/>
      <c r="V148" s="142"/>
      <c r="Z148" s="143"/>
      <c r="AA148" s="144"/>
      <c r="AB148" s="145"/>
      <c r="AC148" s="145"/>
      <c r="AD148" s="145"/>
      <c r="AE148" s="145"/>
      <c r="AF148" s="145"/>
      <c r="AG148" s="145"/>
      <c r="AH148" s="145"/>
    </row>
    <row r="149" spans="3:34" ht="15.75" customHeight="1">
      <c r="C149" s="135"/>
      <c r="E149" s="176"/>
      <c r="G149" s="90"/>
      <c r="H149" s="90"/>
      <c r="I149" s="82"/>
      <c r="J149" s="137"/>
      <c r="K149" s="82"/>
      <c r="L149" s="240"/>
      <c r="M149" s="80"/>
      <c r="N149" s="271"/>
      <c r="O149" s="139"/>
      <c r="Q149" s="142"/>
      <c r="R149" s="57"/>
      <c r="S149" s="80"/>
      <c r="U149" s="142"/>
      <c r="V149" s="142"/>
      <c r="Z149" s="143"/>
      <c r="AA149" s="144"/>
      <c r="AB149" s="145"/>
      <c r="AC149" s="145"/>
      <c r="AD149" s="145"/>
      <c r="AE149" s="145"/>
      <c r="AF149" s="145"/>
      <c r="AG149" s="145"/>
      <c r="AH149" s="145"/>
    </row>
    <row r="150" spans="3:34" ht="15.75" customHeight="1">
      <c r="C150" s="135"/>
      <c r="E150" s="176"/>
      <c r="G150" s="90"/>
      <c r="H150" s="90"/>
      <c r="I150" s="82"/>
      <c r="J150" s="137"/>
      <c r="K150" s="82"/>
      <c r="L150" s="240"/>
      <c r="M150" s="80"/>
      <c r="N150" s="271"/>
      <c r="O150" s="139"/>
      <c r="Q150" s="142"/>
      <c r="R150" s="57"/>
      <c r="S150" s="80"/>
      <c r="U150" s="142"/>
      <c r="V150" s="142"/>
      <c r="Z150" s="143"/>
      <c r="AA150" s="144"/>
      <c r="AB150" s="145"/>
      <c r="AC150" s="145"/>
      <c r="AD150" s="145"/>
      <c r="AE150" s="145"/>
      <c r="AF150" s="145"/>
      <c r="AG150" s="145"/>
      <c r="AH150" s="145"/>
    </row>
    <row r="151" spans="3:34" ht="15.75" customHeight="1">
      <c r="C151" s="135"/>
      <c r="E151" s="176"/>
      <c r="G151" s="90"/>
      <c r="H151" s="90"/>
      <c r="I151" s="82"/>
      <c r="J151" s="137"/>
      <c r="K151" s="82"/>
      <c r="L151" s="240"/>
      <c r="M151" s="80"/>
      <c r="N151" s="271"/>
      <c r="O151" s="139"/>
      <c r="Q151" s="142"/>
      <c r="R151" s="57"/>
      <c r="S151" s="80"/>
      <c r="U151" s="142"/>
      <c r="V151" s="142"/>
      <c r="Z151" s="143"/>
      <c r="AA151" s="144"/>
      <c r="AB151" s="145"/>
      <c r="AC151" s="145"/>
      <c r="AD151" s="145"/>
      <c r="AE151" s="145"/>
      <c r="AF151" s="145"/>
      <c r="AG151" s="145"/>
      <c r="AH151" s="145"/>
    </row>
    <row r="152" spans="3:34" ht="15.75" customHeight="1">
      <c r="C152" s="135"/>
      <c r="E152" s="176"/>
      <c r="G152" s="90"/>
      <c r="H152" s="90"/>
      <c r="I152" s="82"/>
      <c r="J152" s="137"/>
      <c r="K152" s="82"/>
      <c r="L152" s="240"/>
      <c r="M152" s="80"/>
      <c r="N152" s="271"/>
      <c r="O152" s="139"/>
      <c r="Q152" s="142"/>
      <c r="R152" s="57"/>
      <c r="S152" s="80"/>
      <c r="U152" s="142"/>
      <c r="V152" s="142"/>
      <c r="Z152" s="143"/>
      <c r="AA152" s="144"/>
      <c r="AB152" s="145"/>
      <c r="AC152" s="145"/>
      <c r="AD152" s="145"/>
      <c r="AE152" s="145"/>
      <c r="AF152" s="145"/>
      <c r="AG152" s="145"/>
      <c r="AH152" s="145"/>
    </row>
    <row r="153" spans="3:34" ht="15.75" customHeight="1">
      <c r="C153" s="135"/>
      <c r="E153" s="176"/>
      <c r="G153" s="90"/>
      <c r="H153" s="90"/>
      <c r="I153" s="82"/>
      <c r="J153" s="137"/>
      <c r="K153" s="82"/>
      <c r="L153" s="240"/>
      <c r="M153" s="80"/>
      <c r="N153" s="271"/>
      <c r="O153" s="139"/>
      <c r="Q153" s="142"/>
      <c r="R153" s="57"/>
      <c r="S153" s="80"/>
      <c r="U153" s="142"/>
      <c r="V153" s="142"/>
      <c r="Z153" s="143"/>
      <c r="AA153" s="144"/>
      <c r="AB153" s="145"/>
      <c r="AC153" s="145"/>
      <c r="AD153" s="145"/>
      <c r="AE153" s="145"/>
      <c r="AF153" s="145"/>
      <c r="AG153" s="145"/>
      <c r="AH153" s="145"/>
    </row>
    <row r="154" spans="3:34" ht="15.75" customHeight="1">
      <c r="C154" s="135"/>
      <c r="E154" s="176"/>
      <c r="G154" s="90"/>
      <c r="H154" s="90"/>
      <c r="I154" s="82"/>
      <c r="J154" s="137"/>
      <c r="K154" s="82"/>
      <c r="L154" s="240"/>
      <c r="M154" s="80"/>
      <c r="N154" s="271"/>
      <c r="O154" s="139"/>
      <c r="Q154" s="142"/>
      <c r="R154" s="57"/>
      <c r="S154" s="80"/>
      <c r="U154" s="142"/>
      <c r="V154" s="142"/>
      <c r="Z154" s="143"/>
      <c r="AA154" s="144"/>
      <c r="AB154" s="145"/>
      <c r="AC154" s="145"/>
      <c r="AD154" s="145"/>
      <c r="AE154" s="145"/>
      <c r="AF154" s="145"/>
      <c r="AG154" s="145"/>
      <c r="AH154" s="145"/>
    </row>
    <row r="155" spans="3:34" ht="15.75" customHeight="1">
      <c r="C155" s="135"/>
      <c r="E155" s="176"/>
      <c r="G155" s="90"/>
      <c r="H155" s="90"/>
      <c r="I155" s="82"/>
      <c r="J155" s="137"/>
      <c r="K155" s="82"/>
      <c r="L155" s="240"/>
      <c r="M155" s="80"/>
      <c r="N155" s="271"/>
      <c r="O155" s="139"/>
      <c r="Q155" s="142"/>
      <c r="R155" s="57"/>
      <c r="S155" s="80"/>
      <c r="U155" s="142"/>
      <c r="V155" s="142"/>
      <c r="Z155" s="143"/>
      <c r="AA155" s="144"/>
      <c r="AB155" s="145"/>
      <c r="AC155" s="145"/>
      <c r="AD155" s="145"/>
      <c r="AE155" s="145"/>
      <c r="AF155" s="145"/>
      <c r="AG155" s="145"/>
      <c r="AH155" s="145"/>
    </row>
    <row r="156" spans="3:34" ht="15.75" customHeight="1">
      <c r="C156" s="135"/>
      <c r="E156" s="176"/>
      <c r="G156" s="90"/>
      <c r="H156" s="90"/>
      <c r="I156" s="82"/>
      <c r="J156" s="137"/>
      <c r="K156" s="82"/>
      <c r="L156" s="240"/>
      <c r="M156" s="80"/>
      <c r="N156" s="271"/>
      <c r="O156" s="139"/>
      <c r="Q156" s="142"/>
      <c r="R156" s="57"/>
      <c r="S156" s="80"/>
      <c r="U156" s="142"/>
      <c r="V156" s="142"/>
      <c r="Z156" s="143"/>
      <c r="AA156" s="144"/>
      <c r="AB156" s="145"/>
      <c r="AC156" s="145"/>
      <c r="AD156" s="145"/>
      <c r="AE156" s="145"/>
      <c r="AF156" s="145"/>
      <c r="AG156" s="145"/>
      <c r="AH156" s="145"/>
    </row>
    <row r="157" spans="3:34" ht="15.75" customHeight="1">
      <c r="C157" s="135"/>
      <c r="E157" s="176"/>
      <c r="G157" s="90"/>
      <c r="H157" s="90"/>
      <c r="I157" s="82"/>
      <c r="J157" s="137"/>
      <c r="K157" s="82"/>
      <c r="L157" s="240"/>
      <c r="M157" s="80"/>
      <c r="N157" s="271"/>
      <c r="O157" s="139"/>
      <c r="Q157" s="142"/>
      <c r="R157" s="57"/>
      <c r="S157" s="80"/>
      <c r="U157" s="142"/>
      <c r="V157" s="142"/>
      <c r="Z157" s="143"/>
      <c r="AA157" s="144"/>
      <c r="AB157" s="145"/>
      <c r="AC157" s="145"/>
      <c r="AD157" s="145"/>
      <c r="AE157" s="145"/>
      <c r="AF157" s="145"/>
      <c r="AG157" s="145"/>
      <c r="AH157" s="145"/>
    </row>
    <row r="158" spans="3:34" ht="15.75" customHeight="1">
      <c r="C158" s="135"/>
      <c r="E158" s="176"/>
      <c r="G158" s="90"/>
      <c r="H158" s="90"/>
      <c r="I158" s="82"/>
      <c r="J158" s="137"/>
      <c r="K158" s="82"/>
      <c r="L158" s="240"/>
      <c r="M158" s="80"/>
      <c r="N158" s="271"/>
      <c r="O158" s="139"/>
      <c r="Q158" s="142"/>
      <c r="R158" s="57"/>
      <c r="S158" s="80"/>
      <c r="U158" s="142"/>
      <c r="V158" s="142"/>
      <c r="Z158" s="143"/>
      <c r="AA158" s="144"/>
      <c r="AB158" s="145"/>
      <c r="AC158" s="145"/>
      <c r="AD158" s="145"/>
      <c r="AE158" s="145"/>
      <c r="AF158" s="145"/>
      <c r="AG158" s="145"/>
      <c r="AH158" s="145"/>
    </row>
    <row r="159" spans="3:34" ht="15.75" customHeight="1">
      <c r="C159" s="135"/>
      <c r="E159" s="176"/>
      <c r="G159" s="90"/>
      <c r="H159" s="90"/>
      <c r="I159" s="82"/>
      <c r="J159" s="137"/>
      <c r="K159" s="82"/>
      <c r="L159" s="240"/>
      <c r="M159" s="80"/>
      <c r="N159" s="271"/>
      <c r="O159" s="139"/>
      <c r="Q159" s="142"/>
      <c r="R159" s="57"/>
      <c r="S159" s="80"/>
      <c r="U159" s="142"/>
      <c r="V159" s="142"/>
      <c r="Z159" s="143"/>
      <c r="AA159" s="144"/>
      <c r="AB159" s="145"/>
      <c r="AC159" s="145"/>
      <c r="AD159" s="145"/>
      <c r="AE159" s="145"/>
      <c r="AF159" s="145"/>
      <c r="AG159" s="145"/>
      <c r="AH159" s="145"/>
    </row>
    <row r="160" spans="3:34" ht="15.75" customHeight="1">
      <c r="C160" s="135"/>
      <c r="E160" s="176"/>
      <c r="G160" s="90"/>
      <c r="H160" s="90"/>
      <c r="I160" s="82"/>
      <c r="J160" s="137"/>
      <c r="K160" s="82"/>
      <c r="L160" s="240"/>
      <c r="M160" s="80"/>
      <c r="N160" s="271"/>
      <c r="O160" s="139"/>
      <c r="Q160" s="142"/>
      <c r="R160" s="57"/>
      <c r="S160" s="80"/>
      <c r="U160" s="142"/>
      <c r="V160" s="142"/>
      <c r="Z160" s="143"/>
      <c r="AA160" s="144"/>
      <c r="AB160" s="145"/>
      <c r="AC160" s="145"/>
      <c r="AD160" s="145"/>
      <c r="AE160" s="145"/>
      <c r="AF160" s="145"/>
      <c r="AG160" s="145"/>
      <c r="AH160" s="145"/>
    </row>
    <row r="161" spans="3:34" ht="15.75" customHeight="1">
      <c r="C161" s="135"/>
      <c r="E161" s="176"/>
      <c r="G161" s="90"/>
      <c r="H161" s="90"/>
      <c r="I161" s="82"/>
      <c r="J161" s="137"/>
      <c r="K161" s="82"/>
      <c r="L161" s="240"/>
      <c r="M161" s="80"/>
      <c r="N161" s="271"/>
      <c r="O161" s="139"/>
      <c r="Q161" s="142"/>
      <c r="R161" s="57"/>
      <c r="S161" s="80"/>
      <c r="U161" s="142"/>
      <c r="V161" s="142"/>
      <c r="Z161" s="143"/>
      <c r="AA161" s="144"/>
      <c r="AB161" s="145"/>
      <c r="AC161" s="145"/>
      <c r="AD161" s="145"/>
      <c r="AE161" s="145"/>
      <c r="AF161" s="145"/>
      <c r="AG161" s="145"/>
      <c r="AH161" s="145"/>
    </row>
    <row r="162" spans="3:34" ht="15.75" customHeight="1">
      <c r="C162" s="135"/>
      <c r="E162" s="176"/>
      <c r="G162" s="90"/>
      <c r="H162" s="90"/>
      <c r="I162" s="82"/>
      <c r="J162" s="137"/>
      <c r="K162" s="82"/>
      <c r="L162" s="240"/>
      <c r="M162" s="80"/>
      <c r="N162" s="271"/>
      <c r="O162" s="139"/>
      <c r="Q162" s="142"/>
      <c r="R162" s="57"/>
      <c r="S162" s="80"/>
      <c r="U162" s="142"/>
      <c r="V162" s="142"/>
      <c r="Z162" s="143"/>
      <c r="AA162" s="144"/>
      <c r="AB162" s="145"/>
      <c r="AC162" s="145"/>
      <c r="AD162" s="145"/>
      <c r="AE162" s="145"/>
      <c r="AF162" s="145"/>
      <c r="AG162" s="145"/>
      <c r="AH162" s="145"/>
    </row>
    <row r="163" spans="3:34" ht="15.75" customHeight="1">
      <c r="C163" s="135"/>
      <c r="E163" s="176"/>
      <c r="G163" s="90"/>
      <c r="H163" s="90"/>
      <c r="I163" s="82"/>
      <c r="J163" s="137"/>
      <c r="K163" s="82"/>
      <c r="L163" s="240"/>
      <c r="M163" s="80"/>
      <c r="N163" s="271"/>
      <c r="O163" s="139"/>
      <c r="Q163" s="142"/>
      <c r="R163" s="57"/>
      <c r="S163" s="80"/>
      <c r="U163" s="142"/>
      <c r="V163" s="142"/>
      <c r="Z163" s="143"/>
      <c r="AA163" s="144"/>
      <c r="AB163" s="145"/>
      <c r="AC163" s="145"/>
      <c r="AD163" s="145"/>
      <c r="AE163" s="145"/>
      <c r="AF163" s="145"/>
      <c r="AG163" s="145"/>
      <c r="AH163" s="145"/>
    </row>
    <row r="164" spans="3:34" ht="15.75" customHeight="1">
      <c r="C164" s="135"/>
      <c r="E164" s="176"/>
      <c r="G164" s="90"/>
      <c r="H164" s="90"/>
      <c r="I164" s="82"/>
      <c r="J164" s="137"/>
      <c r="K164" s="82"/>
      <c r="L164" s="240"/>
      <c r="M164" s="80"/>
      <c r="N164" s="271"/>
      <c r="O164" s="139"/>
      <c r="Q164" s="142"/>
      <c r="R164" s="57"/>
      <c r="S164" s="80"/>
      <c r="U164" s="142"/>
      <c r="V164" s="142"/>
      <c r="Z164" s="143"/>
      <c r="AA164" s="144"/>
      <c r="AB164" s="145"/>
      <c r="AC164" s="145"/>
      <c r="AD164" s="145"/>
      <c r="AE164" s="145"/>
      <c r="AF164" s="145"/>
      <c r="AG164" s="145"/>
      <c r="AH164" s="145"/>
    </row>
    <row r="165" spans="3:34" ht="15.75" customHeight="1">
      <c r="C165" s="135"/>
      <c r="E165" s="176"/>
      <c r="G165" s="90"/>
      <c r="H165" s="90"/>
      <c r="I165" s="82"/>
      <c r="J165" s="137"/>
      <c r="K165" s="82"/>
      <c r="L165" s="240"/>
      <c r="M165" s="80"/>
      <c r="N165" s="271"/>
      <c r="O165" s="139"/>
      <c r="Q165" s="142"/>
      <c r="R165" s="57"/>
      <c r="S165" s="80"/>
      <c r="U165" s="142"/>
      <c r="V165" s="142"/>
      <c r="Z165" s="143"/>
      <c r="AA165" s="144"/>
      <c r="AB165" s="145"/>
      <c r="AC165" s="145"/>
      <c r="AD165" s="145"/>
      <c r="AE165" s="145"/>
      <c r="AF165" s="145"/>
      <c r="AG165" s="145"/>
      <c r="AH165" s="145"/>
    </row>
    <row r="166" spans="3:34" ht="15.75" customHeight="1">
      <c r="C166" s="135"/>
      <c r="E166" s="176"/>
      <c r="G166" s="90"/>
      <c r="H166" s="90"/>
      <c r="I166" s="82"/>
      <c r="J166" s="137"/>
      <c r="K166" s="82"/>
      <c r="L166" s="240"/>
      <c r="M166" s="80"/>
      <c r="N166" s="271"/>
      <c r="O166" s="139"/>
      <c r="Q166" s="142"/>
      <c r="R166" s="57"/>
      <c r="S166" s="80"/>
      <c r="U166" s="142"/>
      <c r="V166" s="142"/>
      <c r="Z166" s="143"/>
      <c r="AA166" s="144"/>
      <c r="AB166" s="145"/>
      <c r="AC166" s="145"/>
      <c r="AD166" s="145"/>
      <c r="AE166" s="145"/>
      <c r="AF166" s="145"/>
      <c r="AG166" s="145"/>
      <c r="AH166" s="145"/>
    </row>
    <row r="167" spans="3:34" ht="15.75" customHeight="1">
      <c r="C167" s="135"/>
      <c r="E167" s="176"/>
      <c r="G167" s="90"/>
      <c r="H167" s="90"/>
      <c r="I167" s="82"/>
      <c r="J167" s="137"/>
      <c r="K167" s="82"/>
      <c r="L167" s="240"/>
      <c r="M167" s="80"/>
      <c r="N167" s="271"/>
      <c r="O167" s="139"/>
      <c r="Q167" s="142"/>
      <c r="R167" s="57"/>
      <c r="S167" s="80"/>
      <c r="U167" s="142"/>
      <c r="V167" s="142"/>
      <c r="Z167" s="143"/>
      <c r="AA167" s="144"/>
      <c r="AB167" s="145"/>
      <c r="AC167" s="145"/>
      <c r="AD167" s="145"/>
      <c r="AE167" s="145"/>
      <c r="AF167" s="145"/>
      <c r="AG167" s="145"/>
      <c r="AH167" s="145"/>
    </row>
    <row r="168" spans="3:34" ht="15.75" customHeight="1">
      <c r="C168" s="135"/>
      <c r="E168" s="176"/>
      <c r="G168" s="90"/>
      <c r="H168" s="90"/>
      <c r="I168" s="82"/>
      <c r="J168" s="137"/>
      <c r="K168" s="82"/>
      <c r="L168" s="240"/>
      <c r="M168" s="80"/>
      <c r="N168" s="271"/>
      <c r="O168" s="139"/>
      <c r="Q168" s="142"/>
      <c r="R168" s="57"/>
      <c r="S168" s="80"/>
      <c r="U168" s="142"/>
      <c r="V168" s="142"/>
      <c r="Z168" s="143"/>
      <c r="AA168" s="144"/>
      <c r="AB168" s="145"/>
      <c r="AC168" s="145"/>
      <c r="AD168" s="145"/>
      <c r="AE168" s="145"/>
      <c r="AF168" s="145"/>
      <c r="AG168" s="145"/>
      <c r="AH168" s="145"/>
    </row>
    <row r="169" spans="3:34" ht="15.75" customHeight="1">
      <c r="C169" s="135"/>
      <c r="E169" s="176"/>
      <c r="G169" s="90"/>
      <c r="H169" s="90"/>
      <c r="I169" s="82"/>
      <c r="J169" s="137"/>
      <c r="K169" s="82"/>
      <c r="L169" s="240"/>
      <c r="M169" s="80"/>
      <c r="N169" s="271"/>
      <c r="O169" s="139"/>
      <c r="Q169" s="142"/>
      <c r="R169" s="57"/>
      <c r="S169" s="80"/>
      <c r="U169" s="142"/>
      <c r="V169" s="142"/>
      <c r="Z169" s="143"/>
      <c r="AA169" s="144"/>
      <c r="AB169" s="145"/>
      <c r="AC169" s="145"/>
      <c r="AD169" s="145"/>
      <c r="AE169" s="145"/>
      <c r="AF169" s="145"/>
      <c r="AG169" s="145"/>
      <c r="AH169" s="145"/>
    </row>
    <row r="170" spans="3:34" ht="15.75" customHeight="1">
      <c r="C170" s="135"/>
      <c r="E170" s="176"/>
      <c r="G170" s="90"/>
      <c r="H170" s="90"/>
      <c r="I170" s="82"/>
      <c r="J170" s="137"/>
      <c r="K170" s="82"/>
      <c r="L170" s="240"/>
      <c r="M170" s="80"/>
      <c r="N170" s="271"/>
      <c r="O170" s="139"/>
      <c r="Q170" s="142"/>
      <c r="R170" s="57"/>
      <c r="S170" s="80"/>
      <c r="U170" s="142"/>
      <c r="V170" s="142"/>
      <c r="Z170" s="143"/>
      <c r="AA170" s="144"/>
      <c r="AB170" s="145"/>
      <c r="AC170" s="145"/>
      <c r="AD170" s="145"/>
      <c r="AE170" s="145"/>
      <c r="AF170" s="145"/>
      <c r="AG170" s="145"/>
      <c r="AH170" s="145"/>
    </row>
    <row r="171" spans="3:34" ht="15.75" customHeight="1">
      <c r="C171" s="135"/>
      <c r="E171" s="176"/>
      <c r="G171" s="90"/>
      <c r="H171" s="90"/>
      <c r="I171" s="82"/>
      <c r="J171" s="137"/>
      <c r="K171" s="82"/>
      <c r="L171" s="240"/>
      <c r="M171" s="80"/>
      <c r="N171" s="271"/>
      <c r="O171" s="139"/>
      <c r="Q171" s="142"/>
      <c r="R171" s="57"/>
      <c r="S171" s="80"/>
      <c r="U171" s="142"/>
      <c r="V171" s="142"/>
      <c r="Z171" s="143"/>
      <c r="AA171" s="144"/>
      <c r="AB171" s="145"/>
      <c r="AC171" s="145"/>
      <c r="AD171" s="145"/>
      <c r="AE171" s="145"/>
      <c r="AF171" s="145"/>
      <c r="AG171" s="145"/>
      <c r="AH171" s="145"/>
    </row>
    <row r="172" spans="3:34" ht="15.75" customHeight="1">
      <c r="C172" s="135"/>
      <c r="E172" s="176"/>
      <c r="G172" s="90"/>
      <c r="H172" s="90"/>
      <c r="I172" s="82"/>
      <c r="J172" s="137"/>
      <c r="K172" s="82"/>
      <c r="L172" s="240"/>
      <c r="M172" s="80"/>
      <c r="N172" s="271"/>
      <c r="O172" s="139"/>
      <c r="Q172" s="142"/>
      <c r="R172" s="57"/>
      <c r="S172" s="80"/>
      <c r="U172" s="142"/>
      <c r="V172" s="142"/>
      <c r="Z172" s="143"/>
      <c r="AA172" s="144"/>
      <c r="AB172" s="145"/>
      <c r="AC172" s="145"/>
      <c r="AD172" s="145"/>
      <c r="AE172" s="145"/>
      <c r="AF172" s="145"/>
      <c r="AG172" s="145"/>
      <c r="AH172" s="145"/>
    </row>
    <row r="173" spans="3:34" ht="15.75" customHeight="1">
      <c r="C173" s="135"/>
      <c r="E173" s="176"/>
      <c r="G173" s="90"/>
      <c r="H173" s="90"/>
      <c r="I173" s="82"/>
      <c r="J173" s="137"/>
      <c r="K173" s="82"/>
      <c r="L173" s="240"/>
      <c r="M173" s="80"/>
      <c r="N173" s="271"/>
      <c r="O173" s="139"/>
      <c r="Q173" s="142"/>
      <c r="R173" s="57"/>
      <c r="S173" s="80"/>
      <c r="U173" s="142"/>
      <c r="V173" s="142"/>
      <c r="Z173" s="143"/>
      <c r="AA173" s="144"/>
      <c r="AB173" s="145"/>
      <c r="AC173" s="145"/>
      <c r="AD173" s="145"/>
      <c r="AE173" s="145"/>
      <c r="AF173" s="145"/>
      <c r="AG173" s="145"/>
      <c r="AH173" s="145"/>
    </row>
    <row r="174" spans="3:34" ht="15.75" customHeight="1">
      <c r="C174" s="135"/>
      <c r="E174" s="176"/>
      <c r="G174" s="90"/>
      <c r="H174" s="90"/>
      <c r="I174" s="82"/>
      <c r="J174" s="137"/>
      <c r="K174" s="82"/>
      <c r="L174" s="240"/>
      <c r="M174" s="80"/>
      <c r="N174" s="271"/>
      <c r="O174" s="139"/>
      <c r="Q174" s="142"/>
      <c r="R174" s="57"/>
      <c r="S174" s="80"/>
      <c r="U174" s="142"/>
      <c r="V174" s="142"/>
      <c r="Z174" s="143"/>
      <c r="AA174" s="144"/>
      <c r="AB174" s="145"/>
      <c r="AC174" s="145"/>
      <c r="AD174" s="145"/>
      <c r="AE174" s="145"/>
      <c r="AF174" s="145"/>
      <c r="AG174" s="145"/>
      <c r="AH174" s="145"/>
    </row>
    <row r="175" spans="3:34" ht="15.75" customHeight="1">
      <c r="C175" s="135"/>
      <c r="E175" s="176"/>
      <c r="G175" s="90"/>
      <c r="H175" s="90"/>
      <c r="I175" s="82"/>
      <c r="J175" s="137"/>
      <c r="K175" s="82"/>
      <c r="L175" s="240"/>
      <c r="M175" s="80"/>
      <c r="N175" s="271"/>
      <c r="O175" s="139"/>
      <c r="Q175" s="142"/>
      <c r="R175" s="57"/>
      <c r="S175" s="80"/>
      <c r="U175" s="142"/>
      <c r="V175" s="142"/>
      <c r="Z175" s="143"/>
      <c r="AA175" s="144"/>
      <c r="AB175" s="145"/>
      <c r="AC175" s="145"/>
      <c r="AD175" s="145"/>
      <c r="AE175" s="145"/>
      <c r="AF175" s="145"/>
      <c r="AG175" s="145"/>
      <c r="AH175" s="145"/>
    </row>
    <row r="176" spans="3:34" ht="15.75" customHeight="1">
      <c r="C176" s="135"/>
      <c r="E176" s="176"/>
      <c r="G176" s="90"/>
      <c r="H176" s="90"/>
      <c r="I176" s="82"/>
      <c r="J176" s="137"/>
      <c r="K176" s="82"/>
      <c r="L176" s="240"/>
      <c r="M176" s="80"/>
      <c r="N176" s="271"/>
      <c r="O176" s="139"/>
      <c r="Q176" s="142"/>
      <c r="R176" s="57"/>
      <c r="S176" s="80"/>
      <c r="U176" s="142"/>
      <c r="V176" s="142"/>
      <c r="Z176" s="143"/>
      <c r="AA176" s="144"/>
      <c r="AB176" s="145"/>
      <c r="AC176" s="145"/>
      <c r="AD176" s="145"/>
      <c r="AE176" s="145"/>
      <c r="AF176" s="145"/>
      <c r="AG176" s="145"/>
      <c r="AH176" s="145"/>
    </row>
    <row r="177" spans="3:34" ht="15.75" customHeight="1">
      <c r="C177" s="135"/>
      <c r="E177" s="176"/>
      <c r="G177" s="90"/>
      <c r="H177" s="90"/>
      <c r="I177" s="82"/>
      <c r="J177" s="137"/>
      <c r="K177" s="82"/>
      <c r="L177" s="240"/>
      <c r="M177" s="80"/>
      <c r="N177" s="271"/>
      <c r="O177" s="139"/>
      <c r="Q177" s="142"/>
      <c r="R177" s="57"/>
      <c r="S177" s="80"/>
      <c r="U177" s="142"/>
      <c r="V177" s="142"/>
      <c r="Z177" s="143"/>
      <c r="AA177" s="144"/>
      <c r="AB177" s="145"/>
      <c r="AC177" s="145"/>
      <c r="AD177" s="145"/>
      <c r="AE177" s="145"/>
      <c r="AF177" s="145"/>
      <c r="AG177" s="145"/>
      <c r="AH177" s="145"/>
    </row>
    <row r="178" spans="3:34" ht="15.75" customHeight="1">
      <c r="C178" s="135"/>
      <c r="E178" s="176"/>
      <c r="G178" s="90"/>
      <c r="H178" s="90"/>
      <c r="I178" s="82"/>
      <c r="J178" s="137"/>
      <c r="K178" s="82"/>
      <c r="L178" s="240"/>
      <c r="M178" s="80"/>
      <c r="N178" s="271"/>
      <c r="O178" s="139"/>
      <c r="Q178" s="142"/>
      <c r="R178" s="57"/>
      <c r="S178" s="80"/>
      <c r="U178" s="142"/>
      <c r="V178" s="142"/>
      <c r="Z178" s="143"/>
      <c r="AA178" s="144"/>
      <c r="AB178" s="145"/>
      <c r="AC178" s="145"/>
      <c r="AD178" s="145"/>
      <c r="AE178" s="145"/>
      <c r="AF178" s="145"/>
      <c r="AG178" s="145"/>
      <c r="AH178" s="145"/>
    </row>
    <row r="179" spans="3:34" ht="15.75" customHeight="1">
      <c r="C179" s="135"/>
      <c r="E179" s="176"/>
      <c r="G179" s="90"/>
      <c r="H179" s="90"/>
      <c r="I179" s="82"/>
      <c r="J179" s="137"/>
      <c r="K179" s="82"/>
      <c r="L179" s="240"/>
      <c r="M179" s="80"/>
      <c r="N179" s="271"/>
      <c r="O179" s="139"/>
      <c r="Q179" s="142"/>
      <c r="R179" s="57"/>
      <c r="S179" s="80"/>
      <c r="U179" s="142"/>
      <c r="V179" s="142"/>
      <c r="Z179" s="143"/>
      <c r="AA179" s="144"/>
      <c r="AB179" s="145"/>
      <c r="AC179" s="145"/>
      <c r="AD179" s="145"/>
      <c r="AE179" s="145"/>
      <c r="AF179" s="145"/>
      <c r="AG179" s="145"/>
      <c r="AH179" s="145"/>
    </row>
    <row r="180" spans="3:34" ht="15.75" customHeight="1">
      <c r="C180" s="135"/>
      <c r="E180" s="176"/>
      <c r="G180" s="90"/>
      <c r="H180" s="90"/>
      <c r="I180" s="82"/>
      <c r="J180" s="137"/>
      <c r="K180" s="82"/>
      <c r="L180" s="240"/>
      <c r="M180" s="80"/>
      <c r="N180" s="271"/>
      <c r="O180" s="139"/>
      <c r="Q180" s="142"/>
      <c r="R180" s="57"/>
      <c r="S180" s="80"/>
      <c r="U180" s="142"/>
      <c r="V180" s="142"/>
      <c r="Z180" s="143"/>
      <c r="AA180" s="144"/>
      <c r="AB180" s="145"/>
      <c r="AC180" s="145"/>
      <c r="AD180" s="145"/>
      <c r="AE180" s="145"/>
      <c r="AF180" s="145"/>
      <c r="AG180" s="145"/>
      <c r="AH180" s="145"/>
    </row>
    <row r="181" spans="3:34" ht="15.75" customHeight="1">
      <c r="C181" s="135"/>
      <c r="E181" s="176"/>
      <c r="G181" s="90"/>
      <c r="H181" s="90"/>
      <c r="I181" s="82"/>
      <c r="J181" s="137"/>
      <c r="K181" s="82"/>
      <c r="L181" s="240"/>
      <c r="M181" s="80"/>
      <c r="N181" s="271"/>
      <c r="O181" s="139"/>
      <c r="Q181" s="142"/>
      <c r="R181" s="57"/>
      <c r="S181" s="80"/>
      <c r="U181" s="142"/>
      <c r="V181" s="142"/>
      <c r="Z181" s="143"/>
      <c r="AA181" s="144"/>
      <c r="AB181" s="145"/>
      <c r="AC181" s="145"/>
      <c r="AD181" s="145"/>
      <c r="AE181" s="145"/>
      <c r="AF181" s="145"/>
      <c r="AG181" s="145"/>
      <c r="AH181" s="145"/>
    </row>
    <row r="182" spans="3:34" ht="15.75" customHeight="1">
      <c r="C182" s="135"/>
      <c r="E182" s="176"/>
      <c r="G182" s="90"/>
      <c r="H182" s="90"/>
      <c r="I182" s="82"/>
      <c r="J182" s="137"/>
      <c r="K182" s="82"/>
      <c r="L182" s="240"/>
      <c r="M182" s="80"/>
      <c r="N182" s="271"/>
      <c r="O182" s="139"/>
      <c r="Q182" s="142"/>
      <c r="R182" s="57"/>
      <c r="S182" s="80"/>
      <c r="U182" s="142"/>
      <c r="V182" s="142"/>
      <c r="Z182" s="143"/>
      <c r="AA182" s="144"/>
      <c r="AB182" s="145"/>
      <c r="AC182" s="145"/>
      <c r="AD182" s="145"/>
      <c r="AE182" s="145"/>
      <c r="AF182" s="145"/>
      <c r="AG182" s="145"/>
      <c r="AH182" s="145"/>
    </row>
    <row r="183" spans="3:34" ht="15.75" customHeight="1">
      <c r="C183" s="135"/>
      <c r="E183" s="176"/>
      <c r="G183" s="90"/>
      <c r="H183" s="90"/>
      <c r="I183" s="82"/>
      <c r="J183" s="137"/>
      <c r="K183" s="82"/>
      <c r="L183" s="240"/>
      <c r="M183" s="80"/>
      <c r="N183" s="271"/>
      <c r="O183" s="139"/>
      <c r="Q183" s="142"/>
      <c r="R183" s="57"/>
      <c r="S183" s="80"/>
      <c r="U183" s="142"/>
      <c r="V183" s="142"/>
      <c r="Z183" s="143"/>
      <c r="AA183" s="144"/>
      <c r="AB183" s="145"/>
      <c r="AC183" s="145"/>
      <c r="AD183" s="145"/>
      <c r="AE183" s="145"/>
      <c r="AF183" s="145"/>
      <c r="AG183" s="145"/>
      <c r="AH183" s="145"/>
    </row>
    <row r="184" spans="3:34" ht="15.75" customHeight="1">
      <c r="C184" s="135"/>
      <c r="E184" s="176"/>
      <c r="G184" s="90"/>
      <c r="H184" s="90"/>
      <c r="I184" s="82"/>
      <c r="J184" s="137"/>
      <c r="K184" s="82"/>
      <c r="L184" s="240"/>
      <c r="M184" s="80"/>
      <c r="N184" s="271"/>
      <c r="O184" s="139"/>
      <c r="Q184" s="142"/>
      <c r="R184" s="57"/>
      <c r="S184" s="80"/>
      <c r="U184" s="142"/>
      <c r="V184" s="142"/>
      <c r="Z184" s="143"/>
      <c r="AA184" s="144"/>
      <c r="AB184" s="145"/>
      <c r="AC184" s="145"/>
      <c r="AD184" s="145"/>
      <c r="AE184" s="145"/>
      <c r="AF184" s="145"/>
      <c r="AG184" s="145"/>
      <c r="AH184" s="145"/>
    </row>
    <row r="185" spans="3:34" ht="15.75" customHeight="1">
      <c r="C185" s="135"/>
      <c r="E185" s="176"/>
      <c r="G185" s="90"/>
      <c r="H185" s="90"/>
      <c r="I185" s="82"/>
      <c r="J185" s="137"/>
      <c r="K185" s="82"/>
      <c r="L185" s="240"/>
      <c r="M185" s="80"/>
      <c r="N185" s="271"/>
      <c r="O185" s="139"/>
      <c r="Q185" s="142"/>
      <c r="R185" s="57"/>
      <c r="S185" s="80"/>
      <c r="U185" s="142"/>
      <c r="V185" s="142"/>
      <c r="Z185" s="143"/>
      <c r="AA185" s="144"/>
      <c r="AB185" s="145"/>
      <c r="AC185" s="145"/>
      <c r="AD185" s="145"/>
      <c r="AE185" s="145"/>
      <c r="AF185" s="145"/>
      <c r="AG185" s="145"/>
      <c r="AH185" s="145"/>
    </row>
    <row r="186" spans="3:34" ht="15.75" customHeight="1">
      <c r="C186" s="135"/>
      <c r="E186" s="176"/>
      <c r="G186" s="90"/>
      <c r="H186" s="90"/>
      <c r="I186" s="82"/>
      <c r="J186" s="137"/>
      <c r="K186" s="82"/>
      <c r="L186" s="240"/>
      <c r="M186" s="80"/>
      <c r="N186" s="271"/>
      <c r="O186" s="139"/>
      <c r="Q186" s="142"/>
      <c r="R186" s="57"/>
      <c r="S186" s="80"/>
      <c r="U186" s="142"/>
      <c r="V186" s="142"/>
      <c r="Z186" s="143"/>
      <c r="AA186" s="144"/>
      <c r="AB186" s="145"/>
      <c r="AC186" s="145"/>
      <c r="AD186" s="145"/>
      <c r="AE186" s="145"/>
      <c r="AF186" s="145"/>
      <c r="AG186" s="145"/>
      <c r="AH186" s="145"/>
    </row>
    <row r="187" spans="3:34" ht="15.75" customHeight="1">
      <c r="C187" s="135"/>
      <c r="E187" s="176"/>
      <c r="G187" s="90"/>
      <c r="H187" s="90"/>
      <c r="I187" s="82"/>
      <c r="J187" s="137"/>
      <c r="K187" s="82"/>
      <c r="L187" s="240"/>
      <c r="M187" s="80"/>
      <c r="N187" s="271"/>
      <c r="O187" s="139"/>
      <c r="Q187" s="142"/>
      <c r="R187" s="57"/>
      <c r="S187" s="80"/>
      <c r="U187" s="142"/>
      <c r="V187" s="142"/>
      <c r="Z187" s="143"/>
      <c r="AA187" s="144"/>
      <c r="AB187" s="145"/>
      <c r="AC187" s="145"/>
      <c r="AD187" s="145"/>
      <c r="AE187" s="145"/>
      <c r="AF187" s="145"/>
      <c r="AG187" s="145"/>
      <c r="AH187" s="145"/>
    </row>
    <row r="188" spans="3:34" ht="15.75" customHeight="1">
      <c r="C188" s="135"/>
      <c r="E188" s="176"/>
      <c r="G188" s="90"/>
      <c r="H188" s="90"/>
      <c r="I188" s="82"/>
      <c r="J188" s="137"/>
      <c r="K188" s="82"/>
      <c r="L188" s="240"/>
      <c r="M188" s="80"/>
      <c r="N188" s="271"/>
      <c r="O188" s="139"/>
      <c r="Q188" s="142"/>
      <c r="R188" s="57"/>
      <c r="S188" s="80"/>
      <c r="U188" s="142"/>
      <c r="V188" s="142"/>
      <c r="Z188" s="143"/>
      <c r="AA188" s="144"/>
      <c r="AB188" s="145"/>
      <c r="AC188" s="145"/>
      <c r="AD188" s="145"/>
      <c r="AE188" s="145"/>
      <c r="AF188" s="145"/>
      <c r="AG188" s="145"/>
      <c r="AH188" s="145"/>
    </row>
    <row r="189" spans="3:34" ht="15.75" customHeight="1">
      <c r="C189" s="135"/>
      <c r="E189" s="176"/>
      <c r="G189" s="90"/>
      <c r="H189" s="90"/>
      <c r="I189" s="82"/>
      <c r="J189" s="137"/>
      <c r="K189" s="82"/>
      <c r="L189" s="240"/>
      <c r="M189" s="80"/>
      <c r="N189" s="271"/>
      <c r="O189" s="139"/>
      <c r="Q189" s="142"/>
      <c r="R189" s="57"/>
      <c r="S189" s="80"/>
      <c r="U189" s="142"/>
      <c r="V189" s="142"/>
      <c r="Z189" s="143"/>
      <c r="AA189" s="144"/>
      <c r="AB189" s="145"/>
      <c r="AC189" s="145"/>
      <c r="AD189" s="145"/>
      <c r="AE189" s="145"/>
      <c r="AF189" s="145"/>
      <c r="AG189" s="145"/>
      <c r="AH189" s="145"/>
    </row>
    <row r="190" spans="3:34" ht="15.75" customHeight="1">
      <c r="C190" s="135"/>
      <c r="E190" s="176"/>
      <c r="G190" s="90"/>
      <c r="H190" s="90"/>
      <c r="I190" s="82"/>
      <c r="J190" s="137"/>
      <c r="K190" s="82"/>
      <c r="L190" s="240"/>
      <c r="M190" s="80"/>
      <c r="N190" s="271"/>
      <c r="O190" s="139"/>
      <c r="Q190" s="142"/>
      <c r="R190" s="57"/>
      <c r="S190" s="80"/>
      <c r="U190" s="142"/>
      <c r="V190" s="142"/>
      <c r="Z190" s="143"/>
      <c r="AA190" s="144"/>
      <c r="AB190" s="145"/>
      <c r="AC190" s="145"/>
      <c r="AD190" s="145"/>
      <c r="AE190" s="145"/>
      <c r="AF190" s="145"/>
      <c r="AG190" s="145"/>
      <c r="AH190" s="145"/>
    </row>
    <row r="191" spans="3:34" ht="15.75" customHeight="1">
      <c r="C191" s="135"/>
      <c r="E191" s="176"/>
      <c r="G191" s="90"/>
      <c r="H191" s="90"/>
      <c r="I191" s="82"/>
      <c r="J191" s="137"/>
      <c r="K191" s="82"/>
      <c r="L191" s="240"/>
      <c r="M191" s="80"/>
      <c r="N191" s="271"/>
      <c r="O191" s="139"/>
      <c r="Q191" s="142"/>
      <c r="R191" s="57"/>
      <c r="S191" s="80"/>
      <c r="U191" s="142"/>
      <c r="V191" s="142"/>
      <c r="Z191" s="143"/>
      <c r="AA191" s="144"/>
      <c r="AB191" s="145"/>
      <c r="AC191" s="145"/>
      <c r="AD191" s="145"/>
      <c r="AE191" s="145"/>
      <c r="AF191" s="145"/>
      <c r="AG191" s="145"/>
      <c r="AH191" s="145"/>
    </row>
    <row r="192" spans="3:34" ht="15.75" customHeight="1">
      <c r="C192" s="135"/>
      <c r="E192" s="176"/>
      <c r="G192" s="90"/>
      <c r="H192" s="90"/>
      <c r="I192" s="82"/>
      <c r="J192" s="137"/>
      <c r="K192" s="82"/>
      <c r="L192" s="240"/>
      <c r="M192" s="80"/>
      <c r="N192" s="271"/>
      <c r="O192" s="139"/>
      <c r="Q192" s="142"/>
      <c r="R192" s="57"/>
      <c r="S192" s="80"/>
      <c r="U192" s="142"/>
      <c r="V192" s="142"/>
      <c r="Z192" s="143"/>
      <c r="AA192" s="144"/>
      <c r="AB192" s="145"/>
      <c r="AC192" s="145"/>
      <c r="AD192" s="145"/>
      <c r="AE192" s="145"/>
      <c r="AF192" s="145"/>
      <c r="AG192" s="145"/>
      <c r="AH192" s="145"/>
    </row>
    <row r="193" spans="3:34" ht="15.75" customHeight="1">
      <c r="C193" s="135"/>
      <c r="E193" s="176"/>
      <c r="G193" s="90"/>
      <c r="H193" s="90"/>
      <c r="I193" s="82"/>
      <c r="J193" s="137"/>
      <c r="K193" s="82"/>
      <c r="L193" s="240"/>
      <c r="M193" s="80"/>
      <c r="N193" s="271"/>
      <c r="O193" s="139"/>
      <c r="Q193" s="142"/>
      <c r="R193" s="57"/>
      <c r="S193" s="80"/>
      <c r="U193" s="142"/>
      <c r="V193" s="142"/>
      <c r="Z193" s="143"/>
      <c r="AA193" s="144"/>
      <c r="AB193" s="145"/>
      <c r="AC193" s="145"/>
      <c r="AD193" s="145"/>
      <c r="AE193" s="145"/>
      <c r="AF193" s="145"/>
      <c r="AG193" s="145"/>
      <c r="AH193" s="145"/>
    </row>
    <row r="194" spans="3:34" ht="15.75" customHeight="1">
      <c r="C194" s="135"/>
      <c r="E194" s="176"/>
      <c r="G194" s="90"/>
      <c r="H194" s="90"/>
      <c r="I194" s="82"/>
      <c r="J194" s="137"/>
      <c r="K194" s="82"/>
      <c r="L194" s="240"/>
      <c r="M194" s="80"/>
      <c r="N194" s="271"/>
      <c r="O194" s="139"/>
      <c r="Q194" s="142"/>
      <c r="R194" s="57"/>
      <c r="S194" s="80"/>
      <c r="U194" s="142"/>
      <c r="V194" s="142"/>
      <c r="Z194" s="143"/>
      <c r="AA194" s="144"/>
      <c r="AB194" s="145"/>
      <c r="AC194" s="145"/>
      <c r="AD194" s="145"/>
      <c r="AE194" s="145"/>
      <c r="AF194" s="145"/>
      <c r="AG194" s="145"/>
      <c r="AH194" s="145"/>
    </row>
    <row r="195" spans="3:34" ht="15.75" customHeight="1">
      <c r="C195" s="135"/>
      <c r="E195" s="176"/>
      <c r="G195" s="90"/>
      <c r="H195" s="90"/>
      <c r="I195" s="82"/>
      <c r="J195" s="137"/>
      <c r="K195" s="82"/>
      <c r="L195" s="240"/>
      <c r="M195" s="80"/>
      <c r="N195" s="271"/>
      <c r="O195" s="139"/>
      <c r="Q195" s="142"/>
      <c r="R195" s="57"/>
      <c r="S195" s="80"/>
      <c r="U195" s="142"/>
      <c r="V195" s="142"/>
      <c r="Z195" s="143"/>
      <c r="AA195" s="144"/>
      <c r="AB195" s="145"/>
      <c r="AC195" s="145"/>
      <c r="AD195" s="145"/>
      <c r="AE195" s="145"/>
      <c r="AF195" s="145"/>
      <c r="AG195" s="145"/>
      <c r="AH195" s="145"/>
    </row>
    <row r="196" spans="3:34" ht="15.75" customHeight="1">
      <c r="C196" s="135"/>
      <c r="E196" s="176"/>
      <c r="G196" s="90"/>
      <c r="H196" s="90"/>
      <c r="I196" s="82"/>
      <c r="J196" s="137"/>
      <c r="K196" s="82"/>
      <c r="L196" s="240"/>
      <c r="M196" s="80"/>
      <c r="N196" s="271"/>
      <c r="O196" s="139"/>
      <c r="Q196" s="142"/>
      <c r="R196" s="57"/>
      <c r="S196" s="80"/>
      <c r="U196" s="142"/>
      <c r="V196" s="142"/>
      <c r="Z196" s="143"/>
      <c r="AA196" s="144"/>
      <c r="AB196" s="145"/>
      <c r="AC196" s="145"/>
      <c r="AD196" s="145"/>
      <c r="AE196" s="145"/>
      <c r="AF196" s="145"/>
      <c r="AG196" s="145"/>
      <c r="AH196" s="145"/>
    </row>
    <row r="197" spans="3:34" ht="15.75" customHeight="1">
      <c r="C197" s="135"/>
      <c r="E197" s="176"/>
      <c r="G197" s="90"/>
      <c r="H197" s="90"/>
      <c r="I197" s="82"/>
      <c r="J197" s="137"/>
      <c r="K197" s="82"/>
      <c r="L197" s="240"/>
      <c r="M197" s="80"/>
      <c r="N197" s="271"/>
      <c r="O197" s="139"/>
      <c r="Q197" s="142"/>
      <c r="R197" s="57"/>
      <c r="S197" s="80"/>
      <c r="U197" s="142"/>
      <c r="V197" s="142"/>
      <c r="Z197" s="143"/>
      <c r="AA197" s="144"/>
      <c r="AB197" s="145"/>
      <c r="AC197" s="145"/>
      <c r="AD197" s="145"/>
      <c r="AE197" s="145"/>
      <c r="AF197" s="145"/>
      <c r="AG197" s="145"/>
      <c r="AH197" s="145"/>
    </row>
    <row r="198" spans="3:34" ht="15.75" customHeight="1">
      <c r="C198" s="135"/>
      <c r="E198" s="176"/>
      <c r="G198" s="90"/>
      <c r="H198" s="90"/>
      <c r="I198" s="82"/>
      <c r="J198" s="137"/>
      <c r="K198" s="82"/>
      <c r="L198" s="240"/>
      <c r="M198" s="80"/>
      <c r="N198" s="271"/>
      <c r="O198" s="139"/>
      <c r="Q198" s="142"/>
      <c r="R198" s="57"/>
      <c r="S198" s="80"/>
      <c r="U198" s="142"/>
      <c r="V198" s="142"/>
      <c r="Z198" s="143"/>
      <c r="AA198" s="144"/>
      <c r="AB198" s="145"/>
      <c r="AC198" s="145"/>
      <c r="AD198" s="145"/>
      <c r="AE198" s="145"/>
      <c r="AF198" s="145"/>
      <c r="AG198" s="145"/>
      <c r="AH198" s="145"/>
    </row>
    <row r="199" spans="3:34" ht="15.75" customHeight="1">
      <c r="C199" s="135"/>
      <c r="E199" s="176"/>
      <c r="G199" s="90"/>
      <c r="H199" s="90"/>
      <c r="I199" s="82"/>
      <c r="J199" s="137"/>
      <c r="K199" s="82"/>
      <c r="L199" s="240"/>
      <c r="M199" s="80"/>
      <c r="N199" s="271"/>
      <c r="O199" s="139"/>
      <c r="Q199" s="142"/>
      <c r="R199" s="57"/>
      <c r="S199" s="80"/>
      <c r="U199" s="142"/>
      <c r="V199" s="142"/>
      <c r="Z199" s="143"/>
      <c r="AA199" s="144"/>
      <c r="AB199" s="145"/>
      <c r="AC199" s="145"/>
      <c r="AD199" s="145"/>
      <c r="AE199" s="145"/>
      <c r="AF199" s="145"/>
      <c r="AG199" s="145"/>
      <c r="AH199" s="145"/>
    </row>
    <row r="200" spans="3:34" ht="15.75" customHeight="1">
      <c r="C200" s="135"/>
      <c r="E200" s="176"/>
      <c r="G200" s="90"/>
      <c r="H200" s="90"/>
      <c r="I200" s="82"/>
      <c r="J200" s="137"/>
      <c r="K200" s="82"/>
      <c r="L200" s="240"/>
      <c r="M200" s="80"/>
      <c r="N200" s="271"/>
      <c r="O200" s="139"/>
      <c r="Q200" s="142"/>
      <c r="R200" s="57"/>
      <c r="S200" s="80"/>
      <c r="U200" s="142"/>
      <c r="V200" s="142"/>
      <c r="Z200" s="143"/>
      <c r="AA200" s="144"/>
      <c r="AB200" s="145"/>
      <c r="AC200" s="145"/>
      <c r="AD200" s="145"/>
      <c r="AE200" s="145"/>
      <c r="AF200" s="145"/>
      <c r="AG200" s="145"/>
      <c r="AH200" s="145"/>
    </row>
    <row r="201" spans="3:34" ht="15.75" customHeight="1">
      <c r="C201" s="135"/>
      <c r="E201" s="176"/>
      <c r="G201" s="90"/>
      <c r="H201" s="90"/>
      <c r="I201" s="82"/>
      <c r="J201" s="137"/>
      <c r="K201" s="82"/>
      <c r="L201" s="240"/>
      <c r="M201" s="80"/>
      <c r="N201" s="271"/>
      <c r="O201" s="139"/>
      <c r="Q201" s="142"/>
      <c r="R201" s="57"/>
      <c r="S201" s="80"/>
      <c r="U201" s="142"/>
      <c r="V201" s="142"/>
      <c r="Z201" s="143"/>
      <c r="AA201" s="144"/>
      <c r="AB201" s="145"/>
      <c r="AC201" s="145"/>
      <c r="AD201" s="145"/>
      <c r="AE201" s="145"/>
      <c r="AF201" s="145"/>
      <c r="AG201" s="145"/>
      <c r="AH201" s="145"/>
    </row>
    <row r="202" spans="3:34" ht="15.75" customHeight="1">
      <c r="C202" s="135"/>
      <c r="E202" s="176"/>
      <c r="G202" s="90"/>
      <c r="H202" s="90"/>
      <c r="I202" s="82"/>
      <c r="J202" s="137"/>
      <c r="K202" s="82"/>
      <c r="L202" s="240"/>
      <c r="M202" s="80"/>
      <c r="N202" s="271"/>
      <c r="O202" s="139"/>
      <c r="Q202" s="142"/>
      <c r="R202" s="57"/>
      <c r="S202" s="80"/>
      <c r="U202" s="142"/>
      <c r="V202" s="142"/>
      <c r="Z202" s="143"/>
      <c r="AA202" s="144"/>
      <c r="AB202" s="145"/>
      <c r="AC202" s="145"/>
      <c r="AD202" s="145"/>
      <c r="AE202" s="145"/>
      <c r="AF202" s="145"/>
      <c r="AG202" s="145"/>
      <c r="AH202" s="145"/>
    </row>
    <row r="203" spans="3:34" ht="15.75" customHeight="1">
      <c r="C203" s="135"/>
      <c r="E203" s="176"/>
      <c r="G203" s="90"/>
      <c r="H203" s="90"/>
      <c r="I203" s="82"/>
      <c r="J203" s="137"/>
      <c r="K203" s="82"/>
      <c r="L203" s="240"/>
      <c r="M203" s="80"/>
      <c r="N203" s="271"/>
      <c r="O203" s="139"/>
      <c r="Q203" s="142"/>
      <c r="R203" s="57"/>
      <c r="S203" s="80"/>
      <c r="U203" s="142"/>
      <c r="V203" s="142"/>
      <c r="Z203" s="143"/>
      <c r="AA203" s="144"/>
      <c r="AB203" s="145"/>
      <c r="AC203" s="145"/>
      <c r="AD203" s="145"/>
      <c r="AE203" s="145"/>
      <c r="AF203" s="145"/>
      <c r="AG203" s="145"/>
      <c r="AH203" s="145"/>
    </row>
    <row r="204" spans="3:34" ht="15.75" customHeight="1">
      <c r="C204" s="135"/>
      <c r="E204" s="176"/>
      <c r="G204" s="90"/>
      <c r="H204" s="90"/>
      <c r="I204" s="82"/>
      <c r="J204" s="137"/>
      <c r="K204" s="82"/>
      <c r="L204" s="240"/>
      <c r="M204" s="80"/>
      <c r="N204" s="271"/>
      <c r="O204" s="139"/>
      <c r="Q204" s="142"/>
      <c r="R204" s="57"/>
      <c r="S204" s="80"/>
      <c r="U204" s="142"/>
      <c r="V204" s="142"/>
      <c r="Z204" s="143"/>
      <c r="AA204" s="144"/>
      <c r="AB204" s="145"/>
      <c r="AC204" s="145"/>
      <c r="AD204" s="145"/>
      <c r="AE204" s="145"/>
      <c r="AF204" s="145"/>
      <c r="AG204" s="145"/>
      <c r="AH204" s="145"/>
    </row>
    <row r="205" spans="3:34" ht="15.75" customHeight="1">
      <c r="C205" s="135"/>
      <c r="E205" s="176"/>
      <c r="G205" s="90"/>
      <c r="H205" s="90"/>
      <c r="I205" s="82"/>
      <c r="J205" s="137"/>
      <c r="K205" s="82"/>
      <c r="L205" s="240"/>
      <c r="M205" s="80"/>
      <c r="N205" s="271"/>
      <c r="O205" s="139"/>
      <c r="Q205" s="142"/>
      <c r="R205" s="57"/>
      <c r="S205" s="80"/>
      <c r="U205" s="142"/>
      <c r="V205" s="142"/>
      <c r="Z205" s="143"/>
      <c r="AA205" s="144"/>
      <c r="AB205" s="145"/>
      <c r="AC205" s="145"/>
      <c r="AD205" s="145"/>
      <c r="AE205" s="145"/>
      <c r="AF205" s="145"/>
      <c r="AG205" s="145"/>
      <c r="AH205" s="145"/>
    </row>
    <row r="206" spans="3:34" ht="15.75" customHeight="1">
      <c r="C206" s="135"/>
      <c r="E206" s="176"/>
      <c r="G206" s="90"/>
      <c r="H206" s="90"/>
      <c r="I206" s="82"/>
      <c r="J206" s="137"/>
      <c r="K206" s="82"/>
      <c r="L206" s="240"/>
      <c r="M206" s="80"/>
      <c r="N206" s="271"/>
      <c r="O206" s="139"/>
      <c r="Q206" s="142"/>
      <c r="R206" s="57"/>
      <c r="S206" s="80"/>
      <c r="U206" s="142"/>
      <c r="V206" s="142"/>
      <c r="Z206" s="143"/>
      <c r="AA206" s="144"/>
      <c r="AB206" s="145"/>
      <c r="AC206" s="145"/>
      <c r="AD206" s="145"/>
      <c r="AE206" s="145"/>
      <c r="AF206" s="145"/>
      <c r="AG206" s="145"/>
      <c r="AH206" s="145"/>
    </row>
    <row r="207" spans="3:34" ht="15.75" customHeight="1">
      <c r="C207" s="135"/>
      <c r="E207" s="176"/>
      <c r="G207" s="90"/>
      <c r="H207" s="90"/>
      <c r="I207" s="82"/>
      <c r="J207" s="137"/>
      <c r="K207" s="82"/>
      <c r="L207" s="240"/>
      <c r="M207" s="80"/>
      <c r="N207" s="271"/>
      <c r="O207" s="139"/>
      <c r="Q207" s="142"/>
      <c r="R207" s="57"/>
      <c r="S207" s="80"/>
      <c r="U207" s="142"/>
      <c r="V207" s="142"/>
      <c r="Z207" s="143"/>
      <c r="AA207" s="144"/>
      <c r="AB207" s="145"/>
      <c r="AC207" s="145"/>
      <c r="AD207" s="145"/>
      <c r="AE207" s="145"/>
      <c r="AF207" s="145"/>
      <c r="AG207" s="145"/>
      <c r="AH207" s="145"/>
    </row>
    <row r="208" spans="3:34" ht="15.75" customHeight="1">
      <c r="C208" s="135"/>
      <c r="E208" s="176"/>
      <c r="G208" s="90"/>
      <c r="H208" s="90"/>
      <c r="I208" s="82"/>
      <c r="J208" s="137"/>
      <c r="K208" s="82"/>
      <c r="L208" s="240"/>
      <c r="M208" s="80"/>
      <c r="N208" s="271"/>
      <c r="O208" s="139"/>
      <c r="Q208" s="142"/>
      <c r="R208" s="57"/>
      <c r="S208" s="80"/>
      <c r="U208" s="142"/>
      <c r="V208" s="142"/>
      <c r="Z208" s="143"/>
      <c r="AA208" s="144"/>
      <c r="AB208" s="145"/>
      <c r="AC208" s="145"/>
      <c r="AD208" s="145"/>
      <c r="AE208" s="145"/>
      <c r="AF208" s="145"/>
      <c r="AG208" s="145"/>
      <c r="AH208" s="145"/>
    </row>
    <row r="209" spans="3:34" ht="15.75" customHeight="1">
      <c r="C209" s="135"/>
      <c r="E209" s="176"/>
      <c r="G209" s="90"/>
      <c r="H209" s="90"/>
      <c r="I209" s="82"/>
      <c r="J209" s="137"/>
      <c r="K209" s="82"/>
      <c r="L209" s="240"/>
      <c r="M209" s="80"/>
      <c r="N209" s="271"/>
      <c r="O209" s="139"/>
      <c r="Q209" s="142"/>
      <c r="R209" s="57"/>
      <c r="S209" s="80"/>
      <c r="U209" s="142"/>
      <c r="V209" s="142"/>
      <c r="Z209" s="143"/>
      <c r="AA209" s="144"/>
      <c r="AB209" s="145"/>
      <c r="AC209" s="145"/>
      <c r="AD209" s="145"/>
      <c r="AE209" s="145"/>
      <c r="AF209" s="145"/>
      <c r="AG209" s="145"/>
      <c r="AH209" s="145"/>
    </row>
    <row r="210" spans="3:34" ht="15.75" customHeight="1">
      <c r="C210" s="135"/>
      <c r="E210" s="176"/>
      <c r="G210" s="90"/>
      <c r="H210" s="90"/>
      <c r="I210" s="82"/>
      <c r="J210" s="137"/>
      <c r="K210" s="82"/>
      <c r="L210" s="240"/>
      <c r="M210" s="80"/>
      <c r="N210" s="271"/>
      <c r="O210" s="139"/>
      <c r="Q210" s="142"/>
      <c r="R210" s="57"/>
      <c r="S210" s="80"/>
      <c r="U210" s="142"/>
      <c r="V210" s="142"/>
      <c r="Z210" s="143"/>
      <c r="AA210" s="144"/>
      <c r="AB210" s="145"/>
      <c r="AC210" s="145"/>
      <c r="AD210" s="145"/>
      <c r="AE210" s="145"/>
      <c r="AF210" s="145"/>
      <c r="AG210" s="145"/>
      <c r="AH210" s="145"/>
    </row>
    <row r="211" spans="3:34" ht="15.75" customHeight="1">
      <c r="C211" s="135"/>
      <c r="E211" s="176"/>
      <c r="G211" s="90"/>
      <c r="H211" s="90"/>
      <c r="I211" s="82"/>
      <c r="J211" s="137"/>
      <c r="K211" s="82"/>
      <c r="L211" s="240"/>
      <c r="M211" s="80"/>
      <c r="N211" s="271"/>
      <c r="O211" s="139"/>
      <c r="Q211" s="142"/>
      <c r="R211" s="57"/>
      <c r="S211" s="80"/>
      <c r="U211" s="142"/>
      <c r="V211" s="142"/>
      <c r="Z211" s="143"/>
      <c r="AA211" s="144"/>
      <c r="AB211" s="145"/>
      <c r="AC211" s="145"/>
      <c r="AD211" s="145"/>
      <c r="AE211" s="145"/>
      <c r="AF211" s="145"/>
      <c r="AG211" s="145"/>
      <c r="AH211" s="145"/>
    </row>
    <row r="212" spans="3:34" ht="15.75" customHeight="1">
      <c r="C212" s="135"/>
      <c r="E212" s="176"/>
      <c r="G212" s="90"/>
      <c r="H212" s="90"/>
      <c r="I212" s="82"/>
      <c r="J212" s="137"/>
      <c r="K212" s="82"/>
      <c r="L212" s="240"/>
      <c r="M212" s="80"/>
      <c r="N212" s="271"/>
      <c r="O212" s="139"/>
      <c r="Q212" s="142"/>
      <c r="R212" s="57"/>
      <c r="S212" s="80"/>
      <c r="U212" s="142"/>
      <c r="V212" s="142"/>
      <c r="Z212" s="143"/>
      <c r="AA212" s="144"/>
      <c r="AB212" s="145"/>
      <c r="AC212" s="145"/>
      <c r="AD212" s="145"/>
      <c r="AE212" s="145"/>
      <c r="AF212" s="145"/>
      <c r="AG212" s="145"/>
      <c r="AH212" s="145"/>
    </row>
    <row r="213" spans="3:34" ht="15.75" customHeight="1">
      <c r="C213" s="135"/>
      <c r="E213" s="176"/>
      <c r="G213" s="90"/>
      <c r="H213" s="90"/>
      <c r="I213" s="82"/>
      <c r="J213" s="137"/>
      <c r="K213" s="82"/>
      <c r="L213" s="240"/>
      <c r="M213" s="80"/>
      <c r="N213" s="271"/>
      <c r="O213" s="139"/>
      <c r="Q213" s="142"/>
      <c r="R213" s="57"/>
      <c r="S213" s="80"/>
      <c r="U213" s="142"/>
      <c r="V213" s="142"/>
      <c r="Z213" s="143"/>
      <c r="AA213" s="144"/>
      <c r="AB213" s="145"/>
      <c r="AC213" s="145"/>
      <c r="AD213" s="145"/>
      <c r="AE213" s="145"/>
      <c r="AF213" s="145"/>
      <c r="AG213" s="145"/>
      <c r="AH213" s="145"/>
    </row>
    <row r="214" spans="3:34" ht="15.75" customHeight="1">
      <c r="C214" s="135"/>
      <c r="E214" s="176"/>
      <c r="G214" s="90"/>
      <c r="H214" s="90"/>
      <c r="I214" s="82"/>
      <c r="J214" s="137"/>
      <c r="K214" s="82"/>
      <c r="L214" s="240"/>
      <c r="M214" s="80"/>
      <c r="N214" s="271"/>
      <c r="O214" s="139"/>
      <c r="Q214" s="142"/>
      <c r="R214" s="57"/>
      <c r="S214" s="80"/>
      <c r="U214" s="142"/>
      <c r="V214" s="142"/>
      <c r="Z214" s="143"/>
      <c r="AA214" s="144"/>
      <c r="AB214" s="145"/>
      <c r="AC214" s="145"/>
      <c r="AD214" s="145"/>
      <c r="AE214" s="145"/>
      <c r="AF214" s="145"/>
      <c r="AG214" s="145"/>
      <c r="AH214" s="145"/>
    </row>
    <row r="215" spans="3:34" ht="15.75" customHeight="1">
      <c r="C215" s="135"/>
      <c r="E215" s="176"/>
      <c r="G215" s="90"/>
      <c r="H215" s="90"/>
      <c r="I215" s="82"/>
      <c r="J215" s="137"/>
      <c r="K215" s="82"/>
      <c r="L215" s="240"/>
      <c r="M215" s="80"/>
      <c r="N215" s="271"/>
      <c r="O215" s="139"/>
      <c r="Q215" s="142"/>
      <c r="R215" s="57"/>
      <c r="S215" s="80"/>
      <c r="U215" s="142"/>
      <c r="V215" s="142"/>
      <c r="Z215" s="143"/>
      <c r="AA215" s="144"/>
      <c r="AB215" s="145"/>
      <c r="AC215" s="145"/>
      <c r="AD215" s="145"/>
      <c r="AE215" s="145"/>
      <c r="AF215" s="145"/>
      <c r="AG215" s="145"/>
      <c r="AH215" s="145"/>
    </row>
    <row r="216" spans="3:34" ht="15.75" customHeight="1">
      <c r="C216" s="135"/>
      <c r="E216" s="176"/>
      <c r="G216" s="90"/>
      <c r="H216" s="90"/>
      <c r="I216" s="82"/>
      <c r="J216" s="137"/>
      <c r="K216" s="82"/>
      <c r="L216" s="240"/>
      <c r="M216" s="80"/>
      <c r="N216" s="271"/>
      <c r="O216" s="139"/>
      <c r="Q216" s="142"/>
      <c r="R216" s="57"/>
      <c r="S216" s="80"/>
      <c r="U216" s="142"/>
      <c r="V216" s="142"/>
      <c r="Z216" s="143"/>
      <c r="AA216" s="144"/>
      <c r="AB216" s="145"/>
      <c r="AC216" s="145"/>
      <c r="AD216" s="145"/>
      <c r="AE216" s="145"/>
      <c r="AF216" s="145"/>
      <c r="AG216" s="145"/>
      <c r="AH216" s="145"/>
    </row>
    <row r="217" spans="3:34" ht="15.75" customHeight="1">
      <c r="C217" s="135"/>
      <c r="E217" s="176"/>
      <c r="G217" s="90"/>
      <c r="H217" s="90"/>
      <c r="I217" s="82"/>
      <c r="J217" s="137"/>
      <c r="K217" s="82"/>
      <c r="L217" s="240"/>
      <c r="M217" s="80"/>
      <c r="N217" s="271"/>
      <c r="O217" s="139"/>
      <c r="Q217" s="142"/>
      <c r="R217" s="57"/>
      <c r="S217" s="80"/>
      <c r="U217" s="142"/>
      <c r="V217" s="142"/>
      <c r="Z217" s="143"/>
      <c r="AA217" s="144"/>
      <c r="AB217" s="145"/>
      <c r="AC217" s="145"/>
      <c r="AD217" s="145"/>
      <c r="AE217" s="145"/>
      <c r="AF217" s="145"/>
      <c r="AG217" s="145"/>
      <c r="AH217" s="145"/>
    </row>
    <row r="218" spans="3:34" ht="15.75" customHeight="1">
      <c r="C218" s="135"/>
      <c r="E218" s="176"/>
      <c r="G218" s="90"/>
      <c r="H218" s="90"/>
      <c r="I218" s="82"/>
      <c r="J218" s="137"/>
      <c r="K218" s="82"/>
      <c r="L218" s="240"/>
      <c r="M218" s="80"/>
      <c r="N218" s="271"/>
      <c r="O218" s="139"/>
      <c r="Q218" s="142"/>
      <c r="R218" s="57"/>
      <c r="S218" s="80"/>
      <c r="U218" s="142"/>
      <c r="V218" s="142"/>
      <c r="Z218" s="143"/>
      <c r="AA218" s="144"/>
      <c r="AB218" s="145"/>
      <c r="AC218" s="145"/>
      <c r="AD218" s="145"/>
      <c r="AE218" s="145"/>
      <c r="AF218" s="145"/>
      <c r="AG218" s="145"/>
      <c r="AH218" s="145"/>
    </row>
    <row r="219" spans="3:34" ht="15.75" customHeight="1">
      <c r="C219" s="135"/>
      <c r="E219" s="176"/>
      <c r="G219" s="90"/>
      <c r="H219" s="90"/>
      <c r="I219" s="82"/>
      <c r="J219" s="137"/>
      <c r="K219" s="82"/>
      <c r="L219" s="240"/>
      <c r="M219" s="80"/>
      <c r="N219" s="271"/>
      <c r="O219" s="139"/>
      <c r="Q219" s="142"/>
      <c r="R219" s="57"/>
      <c r="S219" s="80"/>
      <c r="U219" s="142"/>
      <c r="V219" s="142"/>
      <c r="Z219" s="143"/>
      <c r="AA219" s="144"/>
      <c r="AB219" s="145"/>
      <c r="AC219" s="145"/>
      <c r="AD219" s="145"/>
      <c r="AE219" s="145"/>
      <c r="AF219" s="145"/>
      <c r="AG219" s="145"/>
      <c r="AH219" s="145"/>
    </row>
    <row r="220" spans="3:34" ht="15.75" customHeight="1">
      <c r="C220" s="135"/>
      <c r="E220" s="176"/>
      <c r="G220" s="90"/>
      <c r="H220" s="90"/>
      <c r="I220" s="82"/>
      <c r="J220" s="137"/>
      <c r="K220" s="82"/>
      <c r="L220" s="240"/>
      <c r="M220" s="80"/>
      <c r="N220" s="271"/>
      <c r="O220" s="139"/>
      <c r="Q220" s="142"/>
      <c r="R220" s="57"/>
      <c r="S220" s="80"/>
      <c r="U220" s="142"/>
      <c r="V220" s="142"/>
      <c r="Z220" s="143"/>
      <c r="AA220" s="144"/>
      <c r="AB220" s="145"/>
      <c r="AC220" s="145"/>
      <c r="AD220" s="145"/>
      <c r="AE220" s="145"/>
      <c r="AF220" s="145"/>
      <c r="AG220" s="145"/>
      <c r="AH220" s="145"/>
    </row>
    <row r="221" spans="3:34" ht="15.75" customHeight="1">
      <c r="C221" s="135"/>
      <c r="E221" s="176"/>
      <c r="G221" s="90"/>
      <c r="H221" s="90"/>
      <c r="I221" s="82"/>
      <c r="J221" s="137"/>
      <c r="K221" s="82"/>
      <c r="L221" s="240"/>
      <c r="M221" s="80"/>
      <c r="N221" s="271"/>
      <c r="O221" s="139"/>
      <c r="Q221" s="142"/>
      <c r="R221" s="57"/>
      <c r="S221" s="80"/>
      <c r="U221" s="142"/>
      <c r="V221" s="142"/>
      <c r="Z221" s="143"/>
      <c r="AA221" s="144"/>
      <c r="AB221" s="145"/>
      <c r="AC221" s="145"/>
      <c r="AD221" s="145"/>
      <c r="AE221" s="145"/>
      <c r="AF221" s="145"/>
      <c r="AG221" s="145"/>
      <c r="AH221" s="145"/>
    </row>
    <row r="222" spans="3:34" ht="15.75" customHeight="1">
      <c r="C222" s="135"/>
      <c r="E222" s="176"/>
      <c r="G222" s="90"/>
      <c r="H222" s="90"/>
      <c r="I222" s="82"/>
      <c r="J222" s="137"/>
      <c r="K222" s="82"/>
      <c r="L222" s="240"/>
      <c r="M222" s="80"/>
      <c r="N222" s="271"/>
      <c r="O222" s="139"/>
      <c r="Q222" s="142"/>
      <c r="R222" s="57"/>
      <c r="S222" s="80"/>
      <c r="U222" s="142"/>
      <c r="V222" s="142"/>
      <c r="Z222" s="143"/>
      <c r="AA222" s="144"/>
      <c r="AB222" s="145"/>
      <c r="AC222" s="145"/>
      <c r="AD222" s="145"/>
      <c r="AE222" s="145"/>
      <c r="AF222" s="145"/>
      <c r="AG222" s="145"/>
      <c r="AH222" s="145"/>
    </row>
    <row r="223" spans="3:34" ht="15.75" customHeight="1">
      <c r="C223" s="135"/>
      <c r="E223" s="176"/>
      <c r="G223" s="90"/>
      <c r="H223" s="90"/>
      <c r="I223" s="82"/>
      <c r="J223" s="137"/>
      <c r="K223" s="82"/>
      <c r="L223" s="240"/>
      <c r="M223" s="80"/>
      <c r="N223" s="271"/>
      <c r="O223" s="139"/>
      <c r="Q223" s="142"/>
      <c r="R223" s="57"/>
      <c r="S223" s="80"/>
      <c r="U223" s="142"/>
      <c r="V223" s="142"/>
      <c r="Z223" s="143"/>
      <c r="AA223" s="144"/>
      <c r="AB223" s="145"/>
      <c r="AC223" s="145"/>
      <c r="AD223" s="145"/>
      <c r="AE223" s="145"/>
      <c r="AF223" s="145"/>
      <c r="AG223" s="145"/>
      <c r="AH223" s="145"/>
    </row>
    <row r="224" spans="3:34" ht="15.75" customHeight="1">
      <c r="C224" s="135"/>
      <c r="E224" s="176"/>
      <c r="G224" s="90"/>
      <c r="H224" s="90"/>
      <c r="I224" s="82"/>
      <c r="J224" s="137"/>
      <c r="K224" s="82"/>
      <c r="L224" s="240"/>
      <c r="M224" s="80"/>
      <c r="N224" s="271"/>
      <c r="O224" s="139"/>
      <c r="Q224" s="142"/>
      <c r="R224" s="57"/>
      <c r="S224" s="80"/>
      <c r="U224" s="142"/>
      <c r="V224" s="142"/>
      <c r="Z224" s="143"/>
      <c r="AA224" s="144"/>
      <c r="AB224" s="145"/>
      <c r="AC224" s="145"/>
      <c r="AD224" s="145"/>
      <c r="AE224" s="145"/>
      <c r="AF224" s="145"/>
      <c r="AG224" s="145"/>
      <c r="AH224" s="145"/>
    </row>
    <row r="225" spans="3:34" ht="15.75" customHeight="1">
      <c r="C225" s="135"/>
      <c r="E225" s="176"/>
      <c r="G225" s="90"/>
      <c r="H225" s="90"/>
      <c r="I225" s="82"/>
      <c r="J225" s="137"/>
      <c r="K225" s="82"/>
      <c r="L225" s="240"/>
      <c r="M225" s="80"/>
      <c r="N225" s="271"/>
      <c r="O225" s="139"/>
      <c r="Q225" s="142"/>
      <c r="R225" s="57"/>
      <c r="S225" s="80"/>
      <c r="U225" s="142"/>
      <c r="V225" s="142"/>
      <c r="Z225" s="143"/>
      <c r="AA225" s="144"/>
      <c r="AB225" s="145"/>
      <c r="AC225" s="145"/>
      <c r="AD225" s="145"/>
      <c r="AE225" s="145"/>
      <c r="AF225" s="145"/>
      <c r="AG225" s="145"/>
      <c r="AH225" s="145"/>
    </row>
    <row r="226" spans="3:34" ht="15.75" customHeight="1">
      <c r="C226" s="135"/>
      <c r="E226" s="176"/>
      <c r="G226" s="90"/>
      <c r="H226" s="90"/>
      <c r="I226" s="82"/>
      <c r="J226" s="137"/>
      <c r="K226" s="82"/>
      <c r="L226" s="240"/>
      <c r="M226" s="80"/>
      <c r="N226" s="271"/>
      <c r="O226" s="139"/>
      <c r="Q226" s="142"/>
      <c r="R226" s="57"/>
      <c r="S226" s="80"/>
      <c r="U226" s="142"/>
      <c r="V226" s="142"/>
      <c r="Z226" s="143"/>
      <c r="AA226" s="144"/>
      <c r="AB226" s="145"/>
      <c r="AC226" s="145"/>
      <c r="AD226" s="145"/>
      <c r="AE226" s="145"/>
      <c r="AF226" s="145"/>
      <c r="AG226" s="145"/>
      <c r="AH226" s="145"/>
    </row>
    <row r="227" spans="3:34" ht="15.75" customHeight="1">
      <c r="C227" s="135"/>
      <c r="E227" s="176"/>
      <c r="G227" s="90"/>
      <c r="H227" s="90"/>
      <c r="I227" s="82"/>
      <c r="J227" s="137"/>
      <c r="K227" s="82"/>
      <c r="L227" s="240"/>
      <c r="M227" s="80"/>
      <c r="N227" s="271"/>
      <c r="O227" s="139"/>
      <c r="Q227" s="142"/>
      <c r="R227" s="57"/>
      <c r="S227" s="80"/>
      <c r="U227" s="142"/>
      <c r="V227" s="142"/>
      <c r="Z227" s="143"/>
      <c r="AA227" s="144"/>
      <c r="AB227" s="145"/>
      <c r="AC227" s="145"/>
      <c r="AD227" s="145"/>
      <c r="AE227" s="145"/>
      <c r="AF227" s="145"/>
      <c r="AG227" s="145"/>
      <c r="AH227" s="145"/>
    </row>
    <row r="228" spans="3:34" ht="15.75" customHeight="1">
      <c r="C228" s="135"/>
      <c r="E228" s="176"/>
      <c r="G228" s="90"/>
      <c r="H228" s="90"/>
      <c r="I228" s="82"/>
      <c r="J228" s="137"/>
      <c r="K228" s="82"/>
      <c r="L228" s="240"/>
      <c r="M228" s="80"/>
      <c r="N228" s="271"/>
      <c r="O228" s="139"/>
      <c r="Q228" s="142"/>
      <c r="R228" s="57"/>
      <c r="S228" s="80"/>
      <c r="U228" s="142"/>
      <c r="V228" s="142"/>
      <c r="Z228" s="143"/>
      <c r="AA228" s="144"/>
      <c r="AB228" s="145"/>
      <c r="AC228" s="145"/>
      <c r="AD228" s="145"/>
      <c r="AE228" s="145"/>
      <c r="AF228" s="145"/>
      <c r="AG228" s="145"/>
      <c r="AH228" s="145"/>
    </row>
    <row r="229" spans="3:34" ht="15.75" customHeight="1">
      <c r="C229" s="135"/>
      <c r="E229" s="176"/>
      <c r="G229" s="90"/>
      <c r="H229" s="90"/>
      <c r="I229" s="82"/>
      <c r="J229" s="137"/>
      <c r="K229" s="82"/>
      <c r="L229" s="240"/>
      <c r="M229" s="80"/>
      <c r="N229" s="271"/>
      <c r="O229" s="139"/>
      <c r="Q229" s="142"/>
      <c r="R229" s="57"/>
      <c r="S229" s="80"/>
      <c r="U229" s="142"/>
      <c r="V229" s="142"/>
      <c r="Z229" s="143"/>
      <c r="AA229" s="144"/>
      <c r="AB229" s="145"/>
      <c r="AC229" s="145"/>
      <c r="AD229" s="145"/>
      <c r="AE229" s="145"/>
      <c r="AF229" s="145"/>
      <c r="AG229" s="145"/>
      <c r="AH229" s="145"/>
    </row>
    <row r="230" spans="3:34" ht="15.75" customHeight="1">
      <c r="C230" s="135"/>
      <c r="E230" s="176"/>
      <c r="G230" s="90"/>
      <c r="H230" s="90"/>
      <c r="I230" s="82"/>
      <c r="J230" s="137"/>
      <c r="K230" s="82"/>
      <c r="L230" s="240"/>
      <c r="M230" s="80"/>
      <c r="N230" s="271"/>
      <c r="O230" s="139"/>
      <c r="Q230" s="142"/>
      <c r="R230" s="57"/>
      <c r="S230" s="80"/>
      <c r="U230" s="142"/>
      <c r="V230" s="142"/>
      <c r="Z230" s="143"/>
      <c r="AA230" s="144"/>
      <c r="AB230" s="145"/>
      <c r="AC230" s="145"/>
      <c r="AD230" s="145"/>
      <c r="AE230" s="145"/>
      <c r="AF230" s="145"/>
      <c r="AG230" s="145"/>
      <c r="AH230" s="145"/>
    </row>
    <row r="231" spans="3:34" ht="15.75" customHeight="1">
      <c r="C231" s="135"/>
      <c r="E231" s="176"/>
      <c r="G231" s="90"/>
      <c r="H231" s="90"/>
      <c r="I231" s="82"/>
      <c r="J231" s="137"/>
      <c r="K231" s="82"/>
      <c r="L231" s="240"/>
      <c r="M231" s="80"/>
      <c r="N231" s="271"/>
      <c r="O231" s="139"/>
      <c r="Q231" s="142"/>
      <c r="R231" s="57"/>
      <c r="S231" s="80"/>
      <c r="U231" s="142"/>
      <c r="V231" s="142"/>
      <c r="Z231" s="143"/>
      <c r="AA231" s="144"/>
      <c r="AB231" s="145"/>
      <c r="AC231" s="145"/>
      <c r="AD231" s="145"/>
      <c r="AE231" s="145"/>
      <c r="AF231" s="145"/>
      <c r="AG231" s="145"/>
      <c r="AH231" s="145"/>
    </row>
    <row r="232" spans="3:34" ht="15.75" customHeight="1">
      <c r="C232" s="135"/>
      <c r="E232" s="176"/>
      <c r="G232" s="90"/>
      <c r="H232" s="90"/>
      <c r="I232" s="82"/>
      <c r="J232" s="137"/>
      <c r="K232" s="82"/>
      <c r="L232" s="240"/>
      <c r="M232" s="80"/>
      <c r="N232" s="271"/>
      <c r="O232" s="139"/>
      <c r="Q232" s="142"/>
      <c r="R232" s="57"/>
      <c r="S232" s="80"/>
      <c r="U232" s="142"/>
      <c r="V232" s="142"/>
      <c r="Z232" s="143"/>
      <c r="AA232" s="144"/>
      <c r="AB232" s="145"/>
      <c r="AC232" s="145"/>
      <c r="AD232" s="145"/>
      <c r="AE232" s="145"/>
      <c r="AF232" s="145"/>
      <c r="AG232" s="145"/>
      <c r="AH232" s="145"/>
    </row>
    <row r="233" spans="3:34" ht="15.75" customHeight="1">
      <c r="C233" s="135"/>
      <c r="E233" s="176"/>
      <c r="G233" s="90"/>
      <c r="H233" s="90"/>
      <c r="I233" s="82"/>
      <c r="J233" s="137"/>
      <c r="K233" s="82"/>
      <c r="L233" s="240"/>
      <c r="M233" s="80"/>
      <c r="N233" s="271"/>
      <c r="O233" s="139"/>
      <c r="Q233" s="142"/>
      <c r="R233" s="57"/>
      <c r="S233" s="80"/>
      <c r="U233" s="142"/>
      <c r="V233" s="142"/>
      <c r="Z233" s="143"/>
      <c r="AA233" s="144"/>
      <c r="AB233" s="145"/>
      <c r="AC233" s="145"/>
      <c r="AD233" s="145"/>
      <c r="AE233" s="145"/>
      <c r="AF233" s="145"/>
      <c r="AG233" s="145"/>
      <c r="AH233" s="145"/>
    </row>
    <row r="234" spans="3:34" ht="15.75" customHeight="1">
      <c r="C234" s="135"/>
      <c r="E234" s="176"/>
      <c r="G234" s="90"/>
      <c r="H234" s="90"/>
      <c r="I234" s="82"/>
      <c r="J234" s="137"/>
      <c r="K234" s="82"/>
      <c r="L234" s="240"/>
      <c r="M234" s="80"/>
      <c r="N234" s="271"/>
      <c r="O234" s="139"/>
      <c r="Q234" s="142"/>
      <c r="R234" s="57"/>
      <c r="S234" s="80"/>
      <c r="U234" s="142"/>
      <c r="V234" s="142"/>
      <c r="Z234" s="143"/>
      <c r="AA234" s="144"/>
      <c r="AB234" s="145"/>
      <c r="AC234" s="145"/>
      <c r="AD234" s="145"/>
      <c r="AE234" s="145"/>
      <c r="AF234" s="145"/>
      <c r="AG234" s="145"/>
      <c r="AH234" s="145"/>
    </row>
    <row r="235" spans="3:34" ht="15.75" customHeight="1">
      <c r="C235" s="135"/>
      <c r="E235" s="176"/>
      <c r="G235" s="90"/>
      <c r="H235" s="90"/>
      <c r="I235" s="82"/>
      <c r="J235" s="137"/>
      <c r="K235" s="82"/>
      <c r="L235" s="240"/>
      <c r="M235" s="80"/>
      <c r="N235" s="271"/>
      <c r="O235" s="139"/>
      <c r="Q235" s="142"/>
      <c r="R235" s="57"/>
      <c r="S235" s="80"/>
      <c r="U235" s="142"/>
      <c r="V235" s="142"/>
      <c r="Z235" s="143"/>
      <c r="AA235" s="144"/>
      <c r="AB235" s="145"/>
      <c r="AC235" s="145"/>
      <c r="AD235" s="145"/>
      <c r="AE235" s="145"/>
      <c r="AF235" s="145"/>
      <c r="AG235" s="145"/>
      <c r="AH235" s="145"/>
    </row>
    <row r="236" spans="3:34" ht="15.75" customHeight="1">
      <c r="C236" s="135"/>
      <c r="E236" s="176"/>
      <c r="G236" s="90"/>
      <c r="H236" s="90"/>
      <c r="I236" s="82"/>
      <c r="J236" s="137"/>
      <c r="K236" s="82"/>
      <c r="L236" s="240"/>
      <c r="M236" s="80"/>
      <c r="N236" s="271"/>
      <c r="O236" s="139"/>
      <c r="Q236" s="142"/>
      <c r="R236" s="57"/>
      <c r="S236" s="80"/>
      <c r="U236" s="142"/>
      <c r="V236" s="142"/>
      <c r="Z236" s="143"/>
      <c r="AA236" s="144"/>
      <c r="AB236" s="145"/>
      <c r="AC236" s="145"/>
      <c r="AD236" s="145"/>
      <c r="AE236" s="145"/>
      <c r="AF236" s="145"/>
      <c r="AG236" s="145"/>
      <c r="AH236" s="145"/>
    </row>
    <row r="237" spans="3:34" ht="15.75" customHeight="1">
      <c r="C237" s="135"/>
      <c r="E237" s="176"/>
      <c r="G237" s="90"/>
      <c r="H237" s="90"/>
      <c r="I237" s="82"/>
      <c r="J237" s="137"/>
      <c r="K237" s="82"/>
      <c r="L237" s="240"/>
      <c r="M237" s="80"/>
      <c r="N237" s="271"/>
      <c r="O237" s="139"/>
      <c r="Q237" s="142"/>
      <c r="R237" s="57"/>
      <c r="S237" s="80"/>
      <c r="U237" s="142"/>
      <c r="V237" s="142"/>
      <c r="Z237" s="143"/>
      <c r="AA237" s="144"/>
      <c r="AB237" s="145"/>
      <c r="AC237" s="145"/>
      <c r="AD237" s="145"/>
      <c r="AE237" s="145"/>
      <c r="AF237" s="145"/>
      <c r="AG237" s="145"/>
      <c r="AH237" s="145"/>
    </row>
    <row r="238" spans="3:34" ht="15.75" customHeight="1">
      <c r="C238" s="135"/>
      <c r="E238" s="176"/>
      <c r="G238" s="90"/>
      <c r="H238" s="90"/>
      <c r="I238" s="82"/>
      <c r="J238" s="137"/>
      <c r="K238" s="82"/>
      <c r="L238" s="240"/>
      <c r="M238" s="80"/>
      <c r="N238" s="271"/>
      <c r="O238" s="139"/>
      <c r="Q238" s="142"/>
      <c r="R238" s="57"/>
      <c r="S238" s="80"/>
      <c r="U238" s="142"/>
      <c r="V238" s="142"/>
      <c r="Z238" s="143"/>
      <c r="AA238" s="144"/>
      <c r="AB238" s="145"/>
      <c r="AC238" s="145"/>
      <c r="AD238" s="145"/>
      <c r="AE238" s="145"/>
      <c r="AF238" s="145"/>
      <c r="AG238" s="145"/>
      <c r="AH238" s="145"/>
    </row>
    <row r="239" spans="3:34" ht="15.75" customHeight="1">
      <c r="C239" s="135"/>
      <c r="E239" s="176"/>
      <c r="G239" s="90"/>
      <c r="H239" s="90"/>
      <c r="I239" s="82"/>
      <c r="J239" s="137"/>
      <c r="K239" s="82"/>
      <c r="L239" s="240"/>
      <c r="M239" s="80"/>
      <c r="N239" s="271"/>
      <c r="O239" s="139"/>
      <c r="Q239" s="142"/>
      <c r="R239" s="57"/>
      <c r="S239" s="80"/>
      <c r="U239" s="142"/>
      <c r="V239" s="142"/>
      <c r="Z239" s="143"/>
      <c r="AA239" s="144"/>
      <c r="AB239" s="145"/>
      <c r="AC239" s="145"/>
      <c r="AD239" s="145"/>
      <c r="AE239" s="145"/>
      <c r="AF239" s="145"/>
      <c r="AG239" s="145"/>
      <c r="AH239" s="145"/>
    </row>
    <row r="240" spans="3:34" ht="15.75" customHeight="1">
      <c r="C240" s="135"/>
      <c r="E240" s="176"/>
      <c r="G240" s="90"/>
      <c r="H240" s="90"/>
      <c r="I240" s="82"/>
      <c r="J240" s="137"/>
      <c r="K240" s="82"/>
      <c r="L240" s="240"/>
      <c r="M240" s="80"/>
      <c r="N240" s="271"/>
      <c r="O240" s="139"/>
      <c r="Q240" s="142"/>
      <c r="R240" s="57"/>
      <c r="S240" s="80"/>
      <c r="U240" s="142"/>
      <c r="V240" s="142"/>
      <c r="Z240" s="143"/>
      <c r="AA240" s="144"/>
      <c r="AB240" s="145"/>
      <c r="AC240" s="145"/>
      <c r="AD240" s="145"/>
      <c r="AE240" s="145"/>
      <c r="AF240" s="145"/>
      <c r="AG240" s="145"/>
      <c r="AH240" s="145"/>
    </row>
    <row r="241" spans="3:34" ht="15.75" customHeight="1">
      <c r="C241" s="135"/>
      <c r="E241" s="176"/>
      <c r="G241" s="90"/>
      <c r="H241" s="90"/>
      <c r="I241" s="82"/>
      <c r="J241" s="137"/>
      <c r="K241" s="82"/>
      <c r="L241" s="240"/>
      <c r="M241" s="80"/>
      <c r="N241" s="271"/>
      <c r="O241" s="139"/>
      <c r="Q241" s="142"/>
      <c r="R241" s="57"/>
      <c r="S241" s="80"/>
      <c r="U241" s="142"/>
      <c r="V241" s="142"/>
      <c r="Z241" s="143"/>
      <c r="AA241" s="144"/>
      <c r="AB241" s="145"/>
      <c r="AC241" s="145"/>
      <c r="AD241" s="145"/>
      <c r="AE241" s="145"/>
      <c r="AF241" s="145"/>
      <c r="AG241" s="145"/>
      <c r="AH241" s="145"/>
    </row>
    <row r="242" spans="3:34" ht="15.75" customHeight="1">
      <c r="C242" s="135"/>
      <c r="E242" s="176"/>
      <c r="G242" s="90"/>
      <c r="H242" s="90"/>
      <c r="I242" s="82"/>
      <c r="J242" s="137"/>
      <c r="K242" s="82"/>
      <c r="L242" s="240"/>
      <c r="M242" s="80"/>
      <c r="N242" s="271"/>
      <c r="O242" s="139"/>
      <c r="Q242" s="142"/>
      <c r="R242" s="57"/>
      <c r="S242" s="80"/>
      <c r="U242" s="142"/>
      <c r="V242" s="142"/>
      <c r="Z242" s="143"/>
      <c r="AA242" s="144"/>
      <c r="AB242" s="145"/>
      <c r="AC242" s="145"/>
      <c r="AD242" s="145"/>
      <c r="AE242" s="145"/>
      <c r="AF242" s="145"/>
      <c r="AG242" s="145"/>
      <c r="AH242" s="145"/>
    </row>
    <row r="243" spans="3:34" ht="15.75" customHeight="1">
      <c r="C243" s="135"/>
      <c r="E243" s="176"/>
      <c r="G243" s="90"/>
      <c r="H243" s="90"/>
      <c r="I243" s="82"/>
      <c r="J243" s="137"/>
      <c r="K243" s="82"/>
      <c r="L243" s="240"/>
      <c r="M243" s="80"/>
      <c r="N243" s="271"/>
      <c r="O243" s="139"/>
      <c r="Q243" s="142"/>
      <c r="R243" s="57"/>
      <c r="S243" s="80"/>
      <c r="U243" s="142"/>
      <c r="V243" s="142"/>
      <c r="Z243" s="143"/>
      <c r="AA243" s="144"/>
      <c r="AB243" s="145"/>
      <c r="AC243" s="145"/>
      <c r="AD243" s="145"/>
      <c r="AE243" s="145"/>
      <c r="AF243" s="145"/>
      <c r="AG243" s="145"/>
      <c r="AH243" s="145"/>
    </row>
    <row r="244" spans="3:34" ht="15.75" customHeight="1">
      <c r="C244" s="135"/>
      <c r="E244" s="176"/>
      <c r="G244" s="90"/>
      <c r="H244" s="90"/>
      <c r="I244" s="82"/>
      <c r="J244" s="137"/>
      <c r="K244" s="82"/>
      <c r="L244" s="240"/>
      <c r="M244" s="80"/>
      <c r="N244" s="271"/>
      <c r="O244" s="139"/>
      <c r="Q244" s="142"/>
      <c r="R244" s="57"/>
      <c r="S244" s="80"/>
      <c r="U244" s="142"/>
      <c r="V244" s="142"/>
      <c r="Z244" s="143"/>
      <c r="AA244" s="144"/>
      <c r="AB244" s="145"/>
      <c r="AC244" s="145"/>
      <c r="AD244" s="145"/>
      <c r="AE244" s="145"/>
      <c r="AF244" s="145"/>
      <c r="AG244" s="145"/>
      <c r="AH244" s="145"/>
    </row>
    <row r="245" spans="3:34" ht="15.75" customHeight="1">
      <c r="C245" s="135"/>
      <c r="E245" s="176"/>
      <c r="G245" s="90"/>
      <c r="H245" s="90"/>
      <c r="I245" s="82"/>
      <c r="J245" s="137"/>
      <c r="K245" s="82"/>
      <c r="L245" s="240"/>
      <c r="M245" s="80"/>
      <c r="N245" s="271"/>
      <c r="O245" s="139"/>
      <c r="Q245" s="142"/>
      <c r="R245" s="57"/>
      <c r="S245" s="80"/>
      <c r="U245" s="142"/>
      <c r="V245" s="142"/>
      <c r="Z245" s="143"/>
      <c r="AA245" s="144"/>
      <c r="AB245" s="145"/>
      <c r="AC245" s="145"/>
      <c r="AD245" s="145"/>
      <c r="AE245" s="145"/>
      <c r="AF245" s="145"/>
      <c r="AG245" s="145"/>
      <c r="AH245" s="145"/>
    </row>
    <row r="246" spans="3:34" ht="15.75" customHeight="1">
      <c r="C246" s="135"/>
      <c r="E246" s="176"/>
      <c r="G246" s="90"/>
      <c r="H246" s="90"/>
      <c r="I246" s="82"/>
      <c r="J246" s="137"/>
      <c r="K246" s="82"/>
      <c r="L246" s="240"/>
      <c r="M246" s="80"/>
      <c r="N246" s="271"/>
      <c r="O246" s="139"/>
      <c r="Q246" s="142"/>
      <c r="R246" s="57"/>
      <c r="S246" s="80"/>
      <c r="U246" s="142"/>
      <c r="V246" s="142"/>
      <c r="Z246" s="143"/>
      <c r="AA246" s="144"/>
      <c r="AB246" s="145"/>
      <c r="AC246" s="145"/>
      <c r="AD246" s="145"/>
      <c r="AE246" s="145"/>
      <c r="AF246" s="145"/>
      <c r="AG246" s="145"/>
      <c r="AH246" s="145"/>
    </row>
    <row r="247" spans="3:34" ht="15.75" customHeight="1">
      <c r="AB247" s="83"/>
      <c r="AC247" s="83"/>
      <c r="AD247" s="83"/>
      <c r="AE247" s="83"/>
      <c r="AF247" s="83"/>
      <c r="AG247" s="83"/>
      <c r="AH247" s="83"/>
    </row>
    <row r="248" spans="3:34" ht="15.75" customHeight="1">
      <c r="AB248" s="83"/>
      <c r="AC248" s="83"/>
      <c r="AD248" s="83"/>
      <c r="AE248" s="83"/>
      <c r="AF248" s="83"/>
      <c r="AG248" s="83"/>
      <c r="AH248" s="83"/>
    </row>
    <row r="249" spans="3:34" ht="15.75" customHeight="1">
      <c r="AB249" s="83"/>
      <c r="AC249" s="83"/>
      <c r="AD249" s="83"/>
      <c r="AE249" s="83"/>
      <c r="AF249" s="83"/>
      <c r="AG249" s="83"/>
      <c r="AH249" s="83"/>
    </row>
    <row r="250" spans="3:34" ht="15.75" customHeight="1">
      <c r="AB250" s="83"/>
      <c r="AC250" s="83"/>
      <c r="AD250" s="83"/>
      <c r="AE250" s="83"/>
      <c r="AF250" s="83"/>
      <c r="AG250" s="83"/>
      <c r="AH250" s="83"/>
    </row>
    <row r="251" spans="3:34" ht="15.75" customHeight="1"/>
    <row r="252" spans="3:34" ht="15.75" customHeight="1"/>
    <row r="253" spans="3:34" ht="15.75" customHeight="1"/>
    <row r="254" spans="3:34" ht="15.75" customHeight="1"/>
    <row r="255" spans="3:34" ht="15.75" customHeight="1"/>
    <row r="256" spans="3:34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Hoja30"/>
  <dimension ref="A1:Z1000"/>
  <sheetViews>
    <sheetView showGridLines="0" workbookViewId="0">
      <selection activeCell="F4" sqref="F4"/>
    </sheetView>
  </sheetViews>
  <sheetFormatPr baseColWidth="10" defaultColWidth="14.44140625" defaultRowHeight="15" customHeight="1"/>
  <cols>
    <col min="1" max="9" width="10.6640625" customWidth="1"/>
  </cols>
  <sheetData>
    <row r="1" spans="1:9" ht="14.4">
      <c r="A1" s="579" t="s">
        <v>901</v>
      </c>
      <c r="B1" s="427"/>
      <c r="C1" s="427"/>
      <c r="D1" s="580" t="s">
        <v>902</v>
      </c>
      <c r="E1" s="581"/>
      <c r="F1" s="581"/>
      <c r="G1" s="580" t="s">
        <v>903</v>
      </c>
      <c r="H1" s="518"/>
      <c r="I1" s="344"/>
    </row>
    <row r="2" spans="1:9" ht="14.4">
      <c r="A2" s="427" t="s">
        <v>904</v>
      </c>
      <c r="B2" s="429">
        <v>3.7</v>
      </c>
      <c r="C2" s="427"/>
      <c r="D2" s="581" t="s">
        <v>905</v>
      </c>
      <c r="E2" s="582"/>
      <c r="F2" s="581">
        <v>90</v>
      </c>
      <c r="G2" s="583" t="s">
        <v>906</v>
      </c>
      <c r="H2" s="518"/>
      <c r="I2" s="584">
        <v>5.0000000000000001E-3</v>
      </c>
    </row>
    <row r="3" spans="1:9" ht="14.4">
      <c r="A3" s="427" t="s">
        <v>907</v>
      </c>
      <c r="B3" s="429">
        <v>200</v>
      </c>
      <c r="C3" s="427"/>
      <c r="D3" s="581" t="s">
        <v>908</v>
      </c>
      <c r="E3" s="581"/>
      <c r="F3" s="581">
        <v>20</v>
      </c>
      <c r="G3" s="344" t="s">
        <v>909</v>
      </c>
      <c r="H3" s="344"/>
      <c r="I3" s="584">
        <v>0.99399999999999999</v>
      </c>
    </row>
    <row r="4" spans="1:9" ht="14.4">
      <c r="A4" s="427" t="s">
        <v>22</v>
      </c>
      <c r="B4" s="427">
        <v>1.1023000000000001</v>
      </c>
      <c r="C4" s="427"/>
      <c r="D4" s="581" t="s">
        <v>910</v>
      </c>
      <c r="E4" s="581"/>
      <c r="F4" s="163">
        <v>80</v>
      </c>
      <c r="G4" s="344"/>
      <c r="H4" s="344"/>
      <c r="I4" s="584"/>
    </row>
    <row r="5" spans="1:9" ht="14.4">
      <c r="A5" s="427" t="s">
        <v>24</v>
      </c>
      <c r="B5" s="429">
        <v>2000</v>
      </c>
      <c r="C5" s="427"/>
      <c r="D5" s="581"/>
      <c r="E5" s="581"/>
      <c r="F5" s="585"/>
      <c r="G5" s="583"/>
      <c r="H5" s="518"/>
      <c r="I5" s="584"/>
    </row>
    <row r="6" spans="1:9" ht="14.4">
      <c r="A6" s="427" t="s">
        <v>911</v>
      </c>
      <c r="B6" s="586">
        <v>0.14000000000000001</v>
      </c>
      <c r="C6" s="429"/>
      <c r="D6" s="581"/>
      <c r="E6" s="581"/>
      <c r="F6" s="581"/>
      <c r="G6" s="583"/>
      <c r="H6" s="518"/>
      <c r="I6" s="584"/>
    </row>
    <row r="7" spans="1:9" ht="14.4">
      <c r="A7" s="427" t="s">
        <v>912</v>
      </c>
      <c r="B7" s="131">
        <f>+I21</f>
        <v>25.581081081081081</v>
      </c>
      <c r="C7" s="429"/>
      <c r="D7" s="581"/>
      <c r="E7" s="581"/>
      <c r="F7" s="581"/>
      <c r="G7" s="583"/>
      <c r="H7" s="518"/>
      <c r="I7" s="584"/>
    </row>
    <row r="8" spans="1:9" ht="14.4">
      <c r="A8" s="427" t="s">
        <v>913</v>
      </c>
      <c r="B8" s="429">
        <v>120</v>
      </c>
      <c r="C8" s="427"/>
      <c r="D8" s="581"/>
      <c r="E8" s="581"/>
      <c r="F8" s="581"/>
      <c r="G8" s="583"/>
      <c r="H8" s="518"/>
      <c r="I8" s="584"/>
    </row>
    <row r="9" spans="1:9" ht="14.4">
      <c r="A9" s="427" t="s">
        <v>914</v>
      </c>
      <c r="B9" s="429">
        <v>100</v>
      </c>
      <c r="C9" s="427"/>
      <c r="D9" s="581"/>
      <c r="E9" s="581"/>
      <c r="F9" s="581"/>
      <c r="G9" s="583"/>
      <c r="H9" s="518"/>
      <c r="I9" s="584"/>
    </row>
    <row r="10" spans="1:9" ht="14.4">
      <c r="A10" s="427" t="s">
        <v>915</v>
      </c>
      <c r="B10" s="144">
        <f>+F2-3</f>
        <v>87</v>
      </c>
      <c r="C10" s="427"/>
      <c r="D10" s="581"/>
      <c r="E10" s="581"/>
      <c r="F10" s="581"/>
      <c r="G10" s="583"/>
      <c r="H10" s="518"/>
      <c r="I10" s="584"/>
    </row>
    <row r="11" spans="1:9" ht="14.4">
      <c r="A11" s="427" t="s">
        <v>916</v>
      </c>
      <c r="B11" s="144">
        <f>+F3+25</f>
        <v>45</v>
      </c>
      <c r="C11" s="427"/>
      <c r="D11" s="581"/>
      <c r="E11" s="581"/>
      <c r="F11" s="581"/>
      <c r="G11" s="583"/>
      <c r="H11" s="518"/>
      <c r="I11" s="584"/>
    </row>
    <row r="12" spans="1:9" ht="14.4">
      <c r="G12" s="90"/>
      <c r="H12" s="90"/>
    </row>
    <row r="13" spans="1:9" ht="14.4">
      <c r="A13" s="275" t="s">
        <v>917</v>
      </c>
      <c r="B13" s="3"/>
      <c r="C13" s="3"/>
      <c r="D13" s="569" t="s">
        <v>918</v>
      </c>
      <c r="E13" s="3"/>
      <c r="F13" s="3"/>
      <c r="G13" s="587" t="s">
        <v>918</v>
      </c>
      <c r="H13" s="587" t="s">
        <v>28</v>
      </c>
      <c r="I13" s="588" t="s">
        <v>919</v>
      </c>
    </row>
    <row r="14" spans="1:9" ht="14.4">
      <c r="A14" s="278" t="s">
        <v>920</v>
      </c>
      <c r="D14" s="6">
        <f>3000*1.5</f>
        <v>4500</v>
      </c>
      <c r="E14" s="6">
        <v>1.5</v>
      </c>
      <c r="F14" s="6" t="s">
        <v>921</v>
      </c>
      <c r="G14" s="90">
        <f>+D14*E14</f>
        <v>6750</v>
      </c>
      <c r="H14" s="90">
        <f t="shared" ref="H14:H19" si="0">+G14/$B$2</f>
        <v>1824.3243243243242</v>
      </c>
      <c r="I14" s="62">
        <f t="shared" ref="I14:I19" si="1">+H14/$B$3</f>
        <v>9.121621621621621</v>
      </c>
    </row>
    <row r="15" spans="1:9" ht="14.4">
      <c r="A15" s="278" t="s">
        <v>922</v>
      </c>
      <c r="D15" s="6">
        <v>300</v>
      </c>
      <c r="E15" s="6">
        <v>10</v>
      </c>
      <c r="F15" s="6" t="s">
        <v>923</v>
      </c>
      <c r="G15" s="90">
        <f>+E15*D15</f>
        <v>3000</v>
      </c>
      <c r="H15" s="90">
        <f t="shared" si="0"/>
        <v>810.81081081081072</v>
      </c>
      <c r="I15" s="62">
        <f t="shared" si="1"/>
        <v>4.0540540540540535</v>
      </c>
    </row>
    <row r="16" spans="1:9" ht="14.4">
      <c r="A16" s="278" t="s">
        <v>924</v>
      </c>
      <c r="D16" s="6">
        <v>70</v>
      </c>
      <c r="E16" s="6">
        <v>15</v>
      </c>
      <c r="F16" s="6" t="s">
        <v>925</v>
      </c>
      <c r="G16" s="90">
        <f>+D16*E16</f>
        <v>1050</v>
      </c>
      <c r="H16" s="90">
        <f t="shared" si="0"/>
        <v>283.78378378378375</v>
      </c>
      <c r="I16" s="62">
        <f t="shared" si="1"/>
        <v>1.4189189189189186</v>
      </c>
    </row>
    <row r="17" spans="1:9" ht="14.4">
      <c r="A17" s="278" t="s">
        <v>926</v>
      </c>
      <c r="G17" s="90">
        <f>700+100+50</f>
        <v>850</v>
      </c>
      <c r="H17" s="90">
        <f t="shared" si="0"/>
        <v>229.72972972972971</v>
      </c>
      <c r="I17" s="62">
        <f t="shared" si="1"/>
        <v>1.1486486486486485</v>
      </c>
    </row>
    <row r="18" spans="1:9" ht="14.4">
      <c r="A18" s="278" t="s">
        <v>927</v>
      </c>
      <c r="D18" s="6">
        <v>12</v>
      </c>
      <c r="E18" s="6">
        <v>3</v>
      </c>
      <c r="F18" s="6" t="s">
        <v>928</v>
      </c>
      <c r="G18" s="90">
        <f>+D18*E18*30</f>
        <v>1080</v>
      </c>
      <c r="H18" s="90">
        <f t="shared" si="0"/>
        <v>291.89189189189187</v>
      </c>
      <c r="I18" s="62">
        <f t="shared" si="1"/>
        <v>1.4594594594594594</v>
      </c>
    </row>
    <row r="19" spans="1:9" ht="14.4">
      <c r="A19" s="278" t="s">
        <v>16</v>
      </c>
      <c r="D19" s="6">
        <v>1.55</v>
      </c>
      <c r="E19" s="6">
        <f>+$B$3*20</f>
        <v>4000</v>
      </c>
      <c r="F19" s="6" t="s">
        <v>929</v>
      </c>
      <c r="G19" s="90">
        <f>+E19*D19</f>
        <v>6200</v>
      </c>
      <c r="H19" s="90">
        <f t="shared" si="0"/>
        <v>1675.6756756756756</v>
      </c>
      <c r="I19" s="62">
        <f t="shared" si="1"/>
        <v>8.378378378378379</v>
      </c>
    </row>
    <row r="20" spans="1:9" ht="14.4">
      <c r="A20" s="278"/>
      <c r="G20" s="90"/>
      <c r="H20" s="90"/>
      <c r="I20" s="8"/>
    </row>
    <row r="21" spans="1:9" ht="15.75" customHeight="1">
      <c r="A21" s="589" t="s">
        <v>930</v>
      </c>
      <c r="B21" s="590"/>
      <c r="C21" s="590"/>
      <c r="D21" s="590"/>
      <c r="E21" s="591">
        <f>+B3</f>
        <v>200</v>
      </c>
      <c r="F21" s="590" t="s">
        <v>931</v>
      </c>
      <c r="G21" s="592"/>
      <c r="H21" s="592"/>
      <c r="I21" s="593">
        <f>SUM(I14:I20)</f>
        <v>25.581081081081081</v>
      </c>
    </row>
    <row r="22" spans="1:9" ht="15.75" customHeight="1"/>
    <row r="23" spans="1:9" ht="15.75" customHeight="1"/>
    <row r="24" spans="1:9" ht="15.75" customHeight="1"/>
    <row r="25" spans="1:9" ht="15.75" customHeight="1"/>
    <row r="26" spans="1:9" ht="15.75" customHeight="1"/>
    <row r="27" spans="1:9" ht="15.75" customHeight="1"/>
    <row r="28" spans="1:9" ht="15.75" customHeight="1"/>
    <row r="29" spans="1:9" ht="15.75" customHeight="1"/>
    <row r="30" spans="1:9" ht="15.75" customHeight="1"/>
    <row r="31" spans="1:9" ht="15.75" customHeight="1"/>
    <row r="32" spans="1:9" ht="15.75" customHeight="1"/>
    <row r="33" spans="1:26" ht="15.75" customHeight="1"/>
    <row r="34" spans="1:26" ht="15.75" customHeight="1"/>
    <row r="35" spans="1:26" ht="15.75" customHeight="1"/>
    <row r="36" spans="1:26" ht="15.75" customHeight="1"/>
    <row r="37" spans="1:26" ht="15.75" customHeight="1"/>
    <row r="38" spans="1:26" ht="15.75" customHeight="1"/>
    <row r="39" spans="1:26" ht="15.75" customHeight="1"/>
    <row r="40" spans="1:26" ht="15.75" customHeight="1"/>
    <row r="41" spans="1:26" ht="15.75" customHeight="1"/>
    <row r="42" spans="1:26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5.75" customHeight="1"/>
    <row r="44" spans="1:26" ht="15.75" customHeight="1"/>
    <row r="45" spans="1:26" ht="15.75" customHeight="1"/>
    <row r="46" spans="1:26" ht="15.75" customHeight="1"/>
    <row r="47" spans="1:26" ht="15.75" customHeight="1">
      <c r="I47" s="6" t="s">
        <v>1</v>
      </c>
    </row>
    <row r="48" spans="1:2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Hoja31"/>
  <dimension ref="A1:P1000"/>
  <sheetViews>
    <sheetView showGridLines="0" workbookViewId="0">
      <selection activeCell="C10" sqref="C10"/>
    </sheetView>
  </sheetViews>
  <sheetFormatPr baseColWidth="10" defaultColWidth="14.44140625" defaultRowHeight="15" customHeight="1"/>
  <cols>
    <col min="1" max="1" width="14.44140625" bestFit="1" customWidth="1"/>
    <col min="2" max="4" width="10.6640625" customWidth="1"/>
    <col min="5" max="5" width="11.88671875" bestFit="1" customWidth="1"/>
    <col min="6" max="14" width="10.6640625" customWidth="1"/>
    <col min="15" max="15" width="35.5546875" bestFit="1" customWidth="1"/>
  </cols>
  <sheetData>
    <row r="1" spans="1:16" thickBot="1">
      <c r="A1" s="619" t="s">
        <v>952</v>
      </c>
      <c r="B1" s="620">
        <v>80</v>
      </c>
      <c r="C1" s="601"/>
      <c r="D1" s="602"/>
      <c r="E1" s="603"/>
      <c r="F1" s="603"/>
      <c r="G1" s="602"/>
      <c r="H1" s="602"/>
      <c r="I1" s="602"/>
      <c r="J1" s="602"/>
      <c r="K1" s="602"/>
      <c r="L1" s="602"/>
      <c r="M1" s="604"/>
      <c r="N1" s="605"/>
      <c r="O1" t="s">
        <v>66</v>
      </c>
      <c r="P1">
        <v>20490968360</v>
      </c>
    </row>
    <row r="2" spans="1:16" thickBot="1">
      <c r="A2" s="618" t="s">
        <v>953</v>
      </c>
      <c r="B2" s="621">
        <v>90</v>
      </c>
      <c r="C2" s="601"/>
      <c r="D2" s="603"/>
      <c r="E2" s="606"/>
      <c r="F2" s="603"/>
      <c r="G2" s="607"/>
      <c r="H2" s="607"/>
      <c r="I2" s="607"/>
      <c r="J2" s="607"/>
      <c r="K2" s="607"/>
      <c r="L2" s="607"/>
      <c r="M2" s="604"/>
      <c r="N2" s="608"/>
      <c r="O2" t="s">
        <v>72</v>
      </c>
      <c r="P2">
        <v>20606031361</v>
      </c>
    </row>
    <row r="3" spans="1:16" ht="14.4">
      <c r="A3" s="601"/>
      <c r="B3" s="609"/>
      <c r="C3" s="601"/>
      <c r="D3" s="603"/>
      <c r="E3" s="603"/>
      <c r="F3" s="603"/>
      <c r="G3" s="605"/>
      <c r="H3" s="605"/>
      <c r="I3" s="605"/>
      <c r="J3" s="605"/>
      <c r="K3" s="605"/>
      <c r="L3" s="605"/>
      <c r="M3" s="605"/>
      <c r="N3" s="608"/>
      <c r="O3" t="s">
        <v>77</v>
      </c>
      <c r="P3">
        <v>20554057862</v>
      </c>
    </row>
    <row r="4" spans="1:16" ht="14.4">
      <c r="A4" s="601"/>
      <c r="B4" s="624" t="s">
        <v>20</v>
      </c>
      <c r="C4" s="624" t="s">
        <v>958</v>
      </c>
      <c r="D4" s="625" t="s">
        <v>959</v>
      </c>
      <c r="E4" s="603" t="s">
        <v>962</v>
      </c>
      <c r="F4" s="610"/>
      <c r="G4" s="605"/>
      <c r="H4" s="605"/>
      <c r="I4" s="605"/>
      <c r="J4" s="605"/>
      <c r="K4" s="605"/>
      <c r="L4" s="605"/>
      <c r="M4" s="605"/>
      <c r="N4" s="608"/>
      <c r="O4" t="s">
        <v>85</v>
      </c>
      <c r="P4">
        <v>10460498487</v>
      </c>
    </row>
    <row r="5" spans="1:16" ht="14.4">
      <c r="A5" s="601" t="s">
        <v>1063</v>
      </c>
      <c r="B5" s="612">
        <v>90</v>
      </c>
      <c r="C5" s="626">
        <v>130</v>
      </c>
      <c r="D5" s="625">
        <v>30</v>
      </c>
      <c r="E5" s="625">
        <v>74</v>
      </c>
      <c r="F5" s="611"/>
      <c r="G5" s="607"/>
      <c r="H5" s="607"/>
      <c r="I5" s="607"/>
      <c r="J5" s="607"/>
      <c r="K5" s="607"/>
      <c r="L5" s="607"/>
      <c r="M5" s="604"/>
      <c r="N5" s="608"/>
      <c r="O5" t="s">
        <v>93</v>
      </c>
      <c r="P5">
        <v>20169040231</v>
      </c>
    </row>
    <row r="6" spans="1:16" ht="14.4">
      <c r="A6" s="601" t="s">
        <v>954</v>
      </c>
      <c r="B6" s="612">
        <v>90</v>
      </c>
      <c r="C6" s="626">
        <v>130</v>
      </c>
      <c r="D6" s="625">
        <v>30</v>
      </c>
      <c r="E6" s="625">
        <v>74</v>
      </c>
      <c r="F6" s="603"/>
      <c r="G6" s="607"/>
      <c r="H6" s="607"/>
      <c r="I6" s="607"/>
      <c r="J6" s="607"/>
      <c r="K6" s="607"/>
      <c r="L6" s="607"/>
      <c r="M6" s="604"/>
      <c r="N6" s="608"/>
      <c r="O6" s="6" t="s">
        <v>106</v>
      </c>
      <c r="P6" s="6">
        <v>20606534923</v>
      </c>
    </row>
    <row r="7" spans="1:16" ht="14.4">
      <c r="A7" s="601"/>
      <c r="B7" s="131"/>
      <c r="C7" s="626"/>
      <c r="D7" s="625"/>
      <c r="E7" s="625"/>
      <c r="F7" s="603"/>
      <c r="G7" s="607"/>
      <c r="H7" s="607"/>
      <c r="I7" s="607"/>
      <c r="J7" s="607"/>
      <c r="K7" s="607"/>
      <c r="L7" s="607"/>
      <c r="M7" s="604"/>
      <c r="N7" s="608"/>
      <c r="O7" t="s">
        <v>119</v>
      </c>
      <c r="P7">
        <v>10082235774</v>
      </c>
    </row>
    <row r="8" spans="1:16" ht="14.4">
      <c r="A8" s="601"/>
      <c r="B8" s="612"/>
      <c r="C8" s="626"/>
      <c r="D8" s="625"/>
      <c r="E8" s="625"/>
      <c r="F8" s="603"/>
      <c r="G8" s="607"/>
      <c r="H8" s="607"/>
      <c r="I8" s="607"/>
      <c r="J8" s="607"/>
      <c r="K8" s="607"/>
      <c r="L8" s="607"/>
      <c r="M8" s="604"/>
      <c r="N8" s="608"/>
      <c r="O8" t="s">
        <v>125</v>
      </c>
      <c r="P8">
        <v>10310367091</v>
      </c>
    </row>
    <row r="9" spans="1:16" ht="14.4">
      <c r="A9" s="601" t="s">
        <v>955</v>
      </c>
      <c r="B9" s="612"/>
      <c r="C9" s="626">
        <v>130</v>
      </c>
      <c r="D9" s="625">
        <v>30</v>
      </c>
      <c r="E9" s="625">
        <v>10</v>
      </c>
      <c r="F9" s="603"/>
      <c r="G9" s="607"/>
      <c r="H9" s="607"/>
      <c r="I9" s="607"/>
      <c r="J9" s="607"/>
      <c r="K9" s="607"/>
      <c r="L9" s="607"/>
      <c r="M9" s="604"/>
      <c r="N9" s="608"/>
      <c r="O9" s="6" t="s">
        <v>145</v>
      </c>
      <c r="P9" s="6">
        <v>10437450094</v>
      </c>
    </row>
    <row r="10" spans="1:16" ht="14.4">
      <c r="A10" s="601" t="s">
        <v>956</v>
      </c>
      <c r="B10" s="131"/>
      <c r="C10" s="626">
        <v>80</v>
      </c>
      <c r="D10" s="625">
        <v>10</v>
      </c>
      <c r="E10" s="625">
        <v>0</v>
      </c>
      <c r="F10" s="603"/>
      <c r="G10" s="607"/>
      <c r="H10" s="607"/>
      <c r="I10" s="607"/>
      <c r="J10" s="607"/>
      <c r="K10" s="607"/>
      <c r="L10" s="607"/>
      <c r="M10" s="604"/>
      <c r="N10" s="608"/>
      <c r="O10" t="s">
        <v>154</v>
      </c>
      <c r="P10">
        <v>10416085884</v>
      </c>
    </row>
    <row r="11" spans="1:16" ht="14.4">
      <c r="A11" s="601" t="s">
        <v>957</v>
      </c>
      <c r="B11" s="131"/>
      <c r="C11" s="626">
        <v>100</v>
      </c>
      <c r="D11" s="625">
        <v>30</v>
      </c>
      <c r="E11" s="625">
        <v>30</v>
      </c>
      <c r="F11" s="603" t="s">
        <v>933</v>
      </c>
      <c r="G11" s="607"/>
      <c r="H11" s="607"/>
      <c r="I11" s="607"/>
      <c r="J11" s="607"/>
      <c r="K11" s="607"/>
      <c r="L11" s="607"/>
      <c r="M11" s="604"/>
      <c r="N11" s="608"/>
      <c r="O11" t="s">
        <v>129</v>
      </c>
      <c r="P11">
        <v>10423109730</v>
      </c>
    </row>
    <row r="12" spans="1:16" ht="14.4">
      <c r="A12" s="627" t="s">
        <v>960</v>
      </c>
      <c r="B12" s="610"/>
      <c r="C12" s="622"/>
      <c r="D12" s="610"/>
      <c r="E12" s="625"/>
      <c r="F12" s="610"/>
      <c r="G12" s="613"/>
      <c r="H12" s="613"/>
      <c r="I12" s="613"/>
      <c r="J12" s="613"/>
      <c r="K12" s="613"/>
      <c r="L12" s="613"/>
      <c r="M12" s="613"/>
      <c r="N12" s="610"/>
      <c r="O12" t="s">
        <v>230</v>
      </c>
      <c r="P12">
        <v>20605956905</v>
      </c>
    </row>
    <row r="13" spans="1:16" ht="14.4">
      <c r="A13" s="627" t="s">
        <v>961</v>
      </c>
      <c r="B13" s="614"/>
      <c r="C13" s="623"/>
      <c r="D13" s="615"/>
      <c r="E13" s="625"/>
      <c r="F13" s="614"/>
      <c r="G13" s="613"/>
      <c r="H13" s="613"/>
      <c r="I13" s="613"/>
      <c r="J13" s="613"/>
      <c r="K13" s="613"/>
      <c r="L13" s="613"/>
      <c r="M13" s="613"/>
      <c r="N13" s="615"/>
      <c r="O13" t="s">
        <v>324</v>
      </c>
      <c r="P13">
        <v>20603329059</v>
      </c>
    </row>
    <row r="14" spans="1:16" ht="14.4">
      <c r="A14" s="614"/>
      <c r="B14" s="610"/>
      <c r="C14" s="622"/>
      <c r="D14" s="614"/>
      <c r="E14" s="625"/>
      <c r="F14" s="614"/>
      <c r="G14" s="613"/>
      <c r="H14" s="613"/>
      <c r="I14" s="613"/>
      <c r="J14" s="613"/>
      <c r="K14" s="613"/>
      <c r="L14" s="613"/>
      <c r="M14" s="613"/>
      <c r="N14" s="616"/>
      <c r="O14" t="s">
        <v>366</v>
      </c>
    </row>
    <row r="15" spans="1:16" ht="14.4">
      <c r="A15" s="614"/>
      <c r="B15" s="610"/>
      <c r="C15" s="622"/>
      <c r="D15" s="614"/>
      <c r="E15" s="625"/>
      <c r="F15" s="614"/>
      <c r="G15" s="613"/>
      <c r="H15" s="613"/>
      <c r="I15" s="613"/>
      <c r="J15" s="613"/>
      <c r="K15" s="613"/>
      <c r="L15" s="613"/>
      <c r="M15" s="613"/>
      <c r="N15" s="616"/>
    </row>
    <row r="16" spans="1:16" ht="14.4">
      <c r="A16" s="614"/>
      <c r="B16" s="610"/>
      <c r="C16" s="622"/>
      <c r="D16" s="614"/>
      <c r="E16" s="625"/>
      <c r="F16" s="614"/>
      <c r="G16" s="613"/>
      <c r="H16" s="613"/>
      <c r="I16" s="613"/>
      <c r="J16" s="613"/>
      <c r="K16" s="613"/>
      <c r="L16" s="613"/>
      <c r="M16" s="613"/>
      <c r="N16" s="616"/>
    </row>
    <row r="17" spans="1:14" ht="14.4">
      <c r="A17" s="614"/>
      <c r="B17" s="610"/>
      <c r="C17" s="622"/>
      <c r="D17" s="610"/>
      <c r="E17" s="625"/>
      <c r="F17" s="610"/>
      <c r="G17" s="613"/>
      <c r="H17" s="613"/>
      <c r="I17" s="613"/>
      <c r="J17" s="613"/>
      <c r="K17" s="613"/>
      <c r="L17" s="613"/>
      <c r="M17" s="613"/>
      <c r="N17" s="616"/>
    </row>
    <row r="18" spans="1:14" ht="14.4">
      <c r="A18" s="614"/>
      <c r="B18" s="610"/>
      <c r="C18" s="622"/>
      <c r="D18" s="614"/>
      <c r="E18" s="625"/>
      <c r="F18" s="614"/>
      <c r="G18" s="613"/>
      <c r="H18" s="613"/>
      <c r="I18" s="613"/>
      <c r="J18" s="613"/>
      <c r="K18" s="613"/>
      <c r="L18" s="613"/>
      <c r="M18" s="613"/>
      <c r="N18" s="616"/>
    </row>
    <row r="19" spans="1:14" ht="14.4">
      <c r="A19" s="614"/>
      <c r="B19" s="610"/>
      <c r="C19" s="610"/>
      <c r="D19" s="614"/>
      <c r="E19" s="614"/>
      <c r="F19" s="614"/>
      <c r="G19" s="613"/>
      <c r="H19" s="613"/>
      <c r="I19" s="613"/>
      <c r="J19" s="613"/>
      <c r="K19" s="613"/>
      <c r="L19" s="613"/>
      <c r="M19" s="613"/>
      <c r="N19" s="616"/>
    </row>
    <row r="20" spans="1:14" ht="14.4">
      <c r="A20" s="614"/>
      <c r="B20" s="610"/>
      <c r="C20" s="610"/>
      <c r="D20" s="610"/>
      <c r="E20" s="610"/>
      <c r="F20" s="610"/>
      <c r="G20" s="613"/>
      <c r="H20" s="613"/>
      <c r="I20" s="613"/>
      <c r="J20" s="613"/>
      <c r="K20" s="613"/>
      <c r="L20" s="613"/>
      <c r="M20" s="613"/>
      <c r="N20" s="614"/>
    </row>
    <row r="21" spans="1:14" ht="15.75" customHeight="1">
      <c r="A21" s="603"/>
      <c r="B21" s="603"/>
      <c r="C21" s="603"/>
      <c r="D21" s="603"/>
      <c r="E21" s="617"/>
      <c r="F21" s="603"/>
      <c r="G21" s="606"/>
      <c r="H21" s="606"/>
      <c r="I21" s="606"/>
      <c r="J21" s="606"/>
      <c r="K21" s="606"/>
      <c r="L21" s="606"/>
      <c r="M21" s="606"/>
      <c r="N21" s="610"/>
    </row>
    <row r="22" spans="1:14" ht="15.75" customHeight="1">
      <c r="A22" s="610"/>
      <c r="B22" s="610"/>
      <c r="C22" s="610"/>
      <c r="D22" s="610"/>
      <c r="E22" s="610"/>
      <c r="F22" s="610"/>
      <c r="G22" s="610"/>
      <c r="H22" s="610"/>
      <c r="I22" s="610"/>
      <c r="J22" s="610"/>
      <c r="K22" s="610"/>
      <c r="L22" s="610"/>
      <c r="M22" s="610"/>
      <c r="N22" s="610"/>
    </row>
    <row r="23" spans="1:14" ht="15.75" customHeight="1"/>
    <row r="24" spans="1:14" ht="15.75" customHeight="1"/>
    <row r="25" spans="1:14" ht="15.75" customHeight="1"/>
    <row r="26" spans="1:14" ht="15.75" customHeight="1"/>
    <row r="27" spans="1:14" ht="15.75" customHeight="1"/>
    <row r="28" spans="1:14" ht="15.75" customHeight="1"/>
    <row r="29" spans="1:14" ht="15.75" customHeight="1"/>
    <row r="30" spans="1:14" ht="15.75" customHeight="1"/>
    <row r="31" spans="1:14" ht="15.75" customHeight="1"/>
    <row r="32" spans="1:1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Hoja33">
    <pageSetUpPr fitToPage="1"/>
  </sheetPr>
  <dimension ref="A1:Z1004"/>
  <sheetViews>
    <sheetView showGridLines="0" workbookViewId="0">
      <selection activeCell="C17" sqref="C17"/>
    </sheetView>
  </sheetViews>
  <sheetFormatPr baseColWidth="10" defaultColWidth="14.44140625" defaultRowHeight="15" customHeight="1"/>
  <cols>
    <col min="1" max="1" width="10.88671875" customWidth="1"/>
    <col min="2" max="2" width="11.6640625" customWidth="1"/>
    <col min="3" max="3" width="15" customWidth="1"/>
    <col min="4" max="4" width="8.6640625" customWidth="1"/>
    <col min="5" max="5" width="10.109375" customWidth="1"/>
    <col min="6" max="6" width="7.44140625" customWidth="1"/>
    <col min="7" max="7" width="10.5546875" customWidth="1"/>
    <col min="8" max="8" width="9.109375" customWidth="1"/>
    <col min="9" max="9" width="9.6640625" customWidth="1"/>
    <col min="10" max="10" width="10.6640625" customWidth="1"/>
    <col min="11" max="11" width="9.33203125" hidden="1" customWidth="1"/>
    <col min="12" max="12" width="11" customWidth="1"/>
    <col min="13" max="13" width="9.5546875" customWidth="1"/>
    <col min="14" max="14" width="11.5546875" customWidth="1"/>
    <col min="15" max="15" width="12.44140625" customWidth="1"/>
  </cols>
  <sheetData>
    <row r="1" spans="1:26" ht="1.5" customHeight="1">
      <c r="A1" s="1" t="s">
        <v>0</v>
      </c>
      <c r="B1" s="2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5" t="s">
        <v>1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24.5" customHeight="1">
      <c r="A2" s="7" t="s">
        <v>2</v>
      </c>
      <c r="O2" s="8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5.6">
      <c r="A3" s="9" t="s">
        <v>3</v>
      </c>
      <c r="B3" s="10"/>
      <c r="C3" s="11"/>
      <c r="D3" s="12"/>
      <c r="E3" s="12"/>
      <c r="F3" s="13"/>
      <c r="G3" s="12"/>
      <c r="H3" s="12"/>
      <c r="I3" s="14"/>
      <c r="J3" s="13"/>
      <c r="K3" s="13"/>
      <c r="L3" s="13"/>
      <c r="M3" s="13"/>
      <c r="N3" s="15"/>
      <c r="O3" s="1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.6">
      <c r="A4" s="9" t="s">
        <v>4</v>
      </c>
      <c r="B4" s="10"/>
      <c r="C4" s="17" t="e">
        <f>_xlfn.XLOOKUP('Liquidacion Ag'!$A13,'Analisis comercial'!A:A,'Analisis comercial'!D:D)</f>
        <v>#N/A</v>
      </c>
      <c r="D4" s="12"/>
      <c r="E4" s="12"/>
      <c r="F4" s="10"/>
      <c r="G4" s="12"/>
      <c r="H4" s="12"/>
      <c r="I4" s="14"/>
      <c r="J4" s="18" t="s">
        <v>5</v>
      </c>
      <c r="K4" s="19"/>
      <c r="L4" s="12"/>
      <c r="M4" s="13"/>
      <c r="N4" s="15"/>
      <c r="O4" s="1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5.6">
      <c r="A5" s="9" t="s">
        <v>6</v>
      </c>
      <c r="B5" s="20"/>
      <c r="C5" s="600" t="e">
        <f>_xlfn.XLOOKUP('Liquidacion Ag'!$A13,'Analisis comercial'!A:A,'Analisis comercial'!E:E)</f>
        <v>#N/A</v>
      </c>
      <c r="D5" s="21"/>
      <c r="E5" s="22"/>
      <c r="F5" s="10"/>
      <c r="G5" s="22"/>
      <c r="H5" s="23"/>
      <c r="J5" s="18" t="s">
        <v>7</v>
      </c>
      <c r="K5" s="19"/>
      <c r="L5" s="12" t="s">
        <v>8</v>
      </c>
      <c r="M5" s="13"/>
      <c r="N5" s="24"/>
      <c r="O5" s="8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5.6">
      <c r="A6" s="9" t="s">
        <v>9</v>
      </c>
      <c r="B6" s="20"/>
      <c r="C6" s="25" t="e">
        <f>_xlfn.XLOOKUP($A13,'Analisis comercial'!A:A,'Analisis comercial'!C:C)</f>
        <v>#N/A</v>
      </c>
      <c r="D6" s="21"/>
      <c r="E6" s="22"/>
      <c r="F6" s="18"/>
      <c r="G6" s="22"/>
      <c r="H6" s="23"/>
      <c r="J6" s="26"/>
      <c r="K6" s="11"/>
      <c r="L6" s="27"/>
      <c r="M6" s="13"/>
      <c r="N6" s="24"/>
      <c r="O6" s="8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5.6">
      <c r="A7" s="9" t="s">
        <v>10</v>
      </c>
      <c r="B7" s="20"/>
      <c r="C7" s="25" t="e">
        <f>_xlfn.XLOOKUP($A13,'Analisis comercial'!A:A,'Analisis comercial'!B:B)</f>
        <v>#N/A</v>
      </c>
      <c r="D7" s="21"/>
      <c r="E7" s="22"/>
      <c r="F7" s="18"/>
      <c r="G7" s="22"/>
      <c r="H7" s="23"/>
      <c r="J7" s="26"/>
      <c r="K7" s="11"/>
      <c r="L7" s="27"/>
      <c r="M7" s="13"/>
      <c r="N7" s="24"/>
      <c r="O7" s="8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4.4">
      <c r="A8" s="9"/>
      <c r="B8" s="20"/>
      <c r="C8" s="28"/>
      <c r="D8" s="28"/>
      <c r="E8" s="28"/>
      <c r="F8" s="18"/>
      <c r="G8" s="28"/>
      <c r="H8" s="28"/>
      <c r="I8" s="28"/>
      <c r="J8" s="26"/>
      <c r="K8" s="11"/>
      <c r="L8" s="27"/>
      <c r="M8" s="13"/>
      <c r="N8" s="24"/>
      <c r="O8" s="8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6.2" thickBot="1">
      <c r="A9" s="9"/>
      <c r="B9" s="20"/>
      <c r="C9" s="29"/>
      <c r="D9" s="21"/>
      <c r="E9" s="22"/>
      <c r="F9" s="23"/>
      <c r="G9" s="22"/>
      <c r="H9" s="1988"/>
      <c r="I9" s="1989"/>
      <c r="J9" s="26"/>
      <c r="K9" s="11"/>
      <c r="L9" s="11"/>
      <c r="M9" s="30"/>
      <c r="N9" s="24"/>
      <c r="O9" s="8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4.4">
      <c r="A10" s="31" t="s">
        <v>11</v>
      </c>
      <c r="B10" s="32" t="s">
        <v>12</v>
      </c>
      <c r="C10" s="33" t="s">
        <v>13</v>
      </c>
      <c r="D10" s="32" t="s">
        <v>14</v>
      </c>
      <c r="E10" s="32" t="s">
        <v>15</v>
      </c>
      <c r="F10" s="34" t="s">
        <v>16</v>
      </c>
      <c r="G10" s="32" t="s">
        <v>17</v>
      </c>
      <c r="H10" s="32"/>
      <c r="I10" s="32" t="s">
        <v>19</v>
      </c>
      <c r="J10" s="32" t="s">
        <v>20</v>
      </c>
      <c r="K10" s="34" t="s">
        <v>21</v>
      </c>
      <c r="L10" s="34" t="s">
        <v>22</v>
      </c>
      <c r="M10" s="32"/>
      <c r="N10" s="32" t="s">
        <v>24</v>
      </c>
      <c r="O10" s="35" t="s">
        <v>25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thickBot="1">
      <c r="A11" s="36"/>
      <c r="B11" s="37" t="s">
        <v>26</v>
      </c>
      <c r="C11" s="38"/>
      <c r="D11" s="39"/>
      <c r="E11" s="38"/>
      <c r="F11" s="37"/>
      <c r="G11" s="37" t="s">
        <v>1158</v>
      </c>
      <c r="H11" s="37"/>
      <c r="I11" s="37" t="s">
        <v>28</v>
      </c>
      <c r="J11" s="37" t="s">
        <v>29</v>
      </c>
      <c r="K11" s="40" t="s">
        <v>30</v>
      </c>
      <c r="L11" s="40"/>
      <c r="M11" s="37"/>
      <c r="N11" s="37" t="s">
        <v>15</v>
      </c>
      <c r="O11" s="41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4.4">
      <c r="A12" s="42"/>
      <c r="B12" s="43"/>
      <c r="C12" s="44"/>
      <c r="D12" s="44"/>
      <c r="E12" s="44"/>
      <c r="F12" s="45"/>
      <c r="G12" s="44"/>
      <c r="H12" s="45"/>
      <c r="I12" s="44"/>
      <c r="J12" s="45"/>
      <c r="K12" s="45"/>
      <c r="L12" s="46"/>
      <c r="M12" s="47"/>
      <c r="N12" s="47"/>
      <c r="O12" s="48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4.4">
      <c r="A13" s="49" t="s">
        <v>1144</v>
      </c>
      <c r="B13" s="11">
        <f>LOOKUP(A13,'Analisis comercial'!A:A,'Analisis comercial'!C:C)</f>
        <v>0</v>
      </c>
      <c r="C13" s="50" t="e">
        <f>_xlfn.XLOOKUP(A13,'Analisis comercial'!A:A,'Analisis comercial'!I:I)</f>
        <v>#N/A</v>
      </c>
      <c r="D13" s="50" t="e">
        <f>_xlfn.XLOOKUP(A13,'Analisis comercial'!A:A,'Analisis comercial'!J:J)</f>
        <v>#N/A</v>
      </c>
      <c r="E13" s="50" t="e">
        <f>_xlfn.XLOOKUP(A13,'Analisis comercial'!A:A,'Analisis comercial'!K:K)</f>
        <v>#N/A</v>
      </c>
      <c r="F13" s="51" t="e">
        <f>_xlfn.XLOOKUP('Liquidacion Ag'!$A13,'Analisis comercial'!A:A,'Analisis comercial'!G:G)</f>
        <v>#N/A</v>
      </c>
      <c r="G13" s="52">
        <v>3.984</v>
      </c>
      <c r="H13" s="53"/>
      <c r="I13" s="54">
        <v>32.65</v>
      </c>
      <c r="J13" s="54"/>
      <c r="K13" s="53" t="e">
        <f>VLOOKUP('Liquidacion Ag'!$A13,'Analisis comercial'!$A$5:$AH$3591,21,FALSE)</f>
        <v>#N/A</v>
      </c>
      <c r="L13" s="55" t="e">
        <f>_xlfn.XLOOKUP('Liquidacion Ag'!$A13,'Analisis comercial'!A:A,'Analisis comercial'!V:V)</f>
        <v>#N/A</v>
      </c>
      <c r="M13" s="54"/>
      <c r="N13" s="54">
        <f>+G13*0.35*(I13-5)</f>
        <v>38.555159999999994</v>
      </c>
      <c r="O13" s="56" t="e">
        <f>+ROUND(N13,2)*ROUND(E13,3)</f>
        <v>#N/A</v>
      </c>
      <c r="P13" s="57"/>
      <c r="Q13" s="57"/>
      <c r="R13" s="57"/>
      <c r="S13" s="6"/>
      <c r="T13" s="6"/>
      <c r="U13" s="6"/>
      <c r="V13" s="6"/>
      <c r="W13" s="6"/>
      <c r="X13" s="6"/>
      <c r="Y13" s="6"/>
      <c r="Z13" s="6"/>
    </row>
    <row r="14" spans="1:26" ht="15" customHeight="1">
      <c r="A14" s="49"/>
      <c r="B14" s="11"/>
      <c r="C14" s="50"/>
      <c r="D14" s="50"/>
      <c r="E14" s="50"/>
      <c r="F14" s="51"/>
      <c r="G14" s="52"/>
      <c r="H14" s="53"/>
      <c r="I14" s="54"/>
      <c r="J14" s="54"/>
      <c r="K14" s="53"/>
      <c r="L14" s="55"/>
      <c r="M14" s="54"/>
      <c r="N14" s="54"/>
      <c r="O14" s="56"/>
      <c r="P14" s="57"/>
      <c r="Q14" s="57"/>
      <c r="R14" s="6"/>
      <c r="S14" s="6"/>
      <c r="T14" s="6"/>
      <c r="U14" s="6"/>
      <c r="V14" s="6"/>
      <c r="W14" s="6"/>
      <c r="X14" s="6"/>
      <c r="Y14" s="6"/>
      <c r="Z14" s="6"/>
    </row>
    <row r="15" spans="1:26" ht="14.4">
      <c r="A15" s="49"/>
      <c r="B15" s="11"/>
      <c r="C15" s="50"/>
      <c r="D15" s="50"/>
      <c r="E15" s="50"/>
      <c r="F15" s="51"/>
      <c r="G15" s="52"/>
      <c r="H15" s="53"/>
      <c r="I15" s="54"/>
      <c r="J15" s="54"/>
      <c r="K15" s="53"/>
      <c r="L15" s="55"/>
      <c r="M15" s="54"/>
      <c r="N15" s="54"/>
      <c r="O15" s="56"/>
      <c r="P15" s="57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5" customHeight="1">
      <c r="A16" s="49"/>
      <c r="B16" s="11"/>
      <c r="C16" s="50"/>
      <c r="D16" s="50"/>
      <c r="E16" s="50"/>
      <c r="F16" s="51"/>
      <c r="G16" s="52"/>
      <c r="H16" s="53"/>
      <c r="I16" s="54"/>
      <c r="J16" s="54"/>
      <c r="K16" s="53"/>
      <c r="L16" s="55"/>
      <c r="M16" s="54"/>
      <c r="N16" s="54"/>
      <c r="O16" s="5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4.4">
      <c r="A17" s="49"/>
      <c r="B17" s="11"/>
      <c r="C17" s="50"/>
      <c r="D17" s="50"/>
      <c r="E17" s="50"/>
      <c r="F17" s="51"/>
      <c r="G17" s="52"/>
      <c r="H17" s="53"/>
      <c r="I17" s="54"/>
      <c r="J17" s="54"/>
      <c r="K17" s="53"/>
      <c r="L17" s="55"/>
      <c r="M17" s="54"/>
      <c r="N17" s="54"/>
      <c r="O17" s="5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4.4">
      <c r="A18" s="49"/>
      <c r="B18" s="11"/>
      <c r="C18" s="50"/>
      <c r="D18" s="50"/>
      <c r="E18" s="50"/>
      <c r="F18" s="51"/>
      <c r="G18" s="52"/>
      <c r="H18" s="53"/>
      <c r="I18" s="54"/>
      <c r="J18" s="54"/>
      <c r="K18" s="53"/>
      <c r="L18" s="55"/>
      <c r="M18" s="54"/>
      <c r="N18" s="54"/>
      <c r="O18" s="5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4.4">
      <c r="A19" s="49"/>
      <c r="B19" s="11"/>
      <c r="C19" s="50"/>
      <c r="D19" s="50"/>
      <c r="E19" s="50"/>
      <c r="F19" s="51"/>
      <c r="G19" s="52"/>
      <c r="H19" s="53"/>
      <c r="I19" s="54"/>
      <c r="J19" s="54"/>
      <c r="K19" s="53"/>
      <c r="L19" s="55"/>
      <c r="M19" s="54"/>
      <c r="N19" s="54"/>
      <c r="O19" s="5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5.75" customHeight="1">
      <c r="A20" s="49"/>
      <c r="B20" s="11"/>
      <c r="C20" s="50"/>
      <c r="D20" s="50"/>
      <c r="E20" s="50"/>
      <c r="F20" s="51"/>
      <c r="G20" s="52"/>
      <c r="H20" s="53"/>
      <c r="I20" s="54"/>
      <c r="J20" s="54"/>
      <c r="K20" s="53"/>
      <c r="L20" s="55"/>
      <c r="M20" s="54"/>
      <c r="N20" s="54"/>
      <c r="O20" s="5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6.5" customHeight="1">
      <c r="A21" s="49"/>
      <c r="B21" s="11"/>
      <c r="C21" s="50"/>
      <c r="D21" s="50"/>
      <c r="E21" s="50"/>
      <c r="F21" s="51"/>
      <c r="G21" s="52"/>
      <c r="H21" s="53"/>
      <c r="I21" s="54"/>
      <c r="J21" s="54"/>
      <c r="K21" s="53"/>
      <c r="L21" s="55"/>
      <c r="M21" s="54"/>
      <c r="N21" s="54"/>
      <c r="O21" s="5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4.4">
      <c r="A22" s="49"/>
      <c r="B22" s="11"/>
      <c r="C22" s="50"/>
      <c r="D22" s="50"/>
      <c r="E22" s="50"/>
      <c r="F22" s="51"/>
      <c r="G22" s="52"/>
      <c r="H22" s="53"/>
      <c r="I22" s="54"/>
      <c r="J22" s="54"/>
      <c r="K22" s="53"/>
      <c r="L22" s="55"/>
      <c r="M22" s="54"/>
      <c r="N22" s="54"/>
      <c r="O22" s="5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4.4">
      <c r="A23" s="49"/>
      <c r="B23" s="11"/>
      <c r="C23" s="50"/>
      <c r="D23" s="50"/>
      <c r="E23" s="50"/>
      <c r="F23" s="51"/>
      <c r="G23" s="52"/>
      <c r="H23" s="53"/>
      <c r="I23" s="54"/>
      <c r="J23" s="54"/>
      <c r="K23" s="53"/>
      <c r="L23" s="55"/>
      <c r="M23" s="54"/>
      <c r="N23" s="54"/>
      <c r="O23" s="5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5.75" customHeight="1">
      <c r="A24" s="49"/>
      <c r="B24" s="11"/>
      <c r="C24" s="50"/>
      <c r="D24" s="50"/>
      <c r="E24" s="50"/>
      <c r="F24" s="51"/>
      <c r="G24" s="52"/>
      <c r="H24" s="53"/>
      <c r="I24" s="54"/>
      <c r="J24" s="54"/>
      <c r="K24" s="53"/>
      <c r="L24" s="55"/>
      <c r="M24" s="54"/>
      <c r="N24" s="54"/>
      <c r="O24" s="5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6.5" customHeight="1">
      <c r="A25" s="49"/>
      <c r="B25" s="11"/>
      <c r="C25" s="50"/>
      <c r="D25" s="50"/>
      <c r="E25" s="50"/>
      <c r="F25" s="51"/>
      <c r="G25" s="52"/>
      <c r="H25" s="53"/>
      <c r="I25" s="54"/>
      <c r="J25" s="54"/>
      <c r="K25" s="53"/>
      <c r="L25" s="55"/>
      <c r="M25" s="54"/>
      <c r="N25" s="54"/>
      <c r="O25" s="5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20.25" customHeight="1">
      <c r="A26" s="49"/>
      <c r="B26" s="58"/>
      <c r="C26" s="58"/>
      <c r="D26" s="59"/>
      <c r="E26" s="58"/>
      <c r="F26" s="6"/>
      <c r="G26" s="60"/>
      <c r="H26" s="6"/>
      <c r="I26" s="6"/>
      <c r="J26" s="6"/>
      <c r="K26" s="58"/>
      <c r="L26" s="58"/>
      <c r="M26" s="58"/>
      <c r="N26" s="61" t="s">
        <v>32</v>
      </c>
      <c r="O26" s="62" t="e">
        <f>SUM(O13:O25)</f>
        <v>#N/A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5.75" customHeight="1">
      <c r="A27" s="49"/>
      <c r="B27" s="58"/>
      <c r="C27" s="63"/>
      <c r="D27" s="64"/>
      <c r="E27" s="58"/>
      <c r="F27" s="58"/>
      <c r="G27" s="58"/>
      <c r="H27" s="58"/>
      <c r="I27" s="58"/>
      <c r="J27" s="65"/>
      <c r="K27" s="6"/>
      <c r="L27" s="6"/>
      <c r="M27" s="6"/>
      <c r="N27" s="61"/>
      <c r="O27" s="6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5.75" customHeight="1">
      <c r="A28" s="49"/>
      <c r="B28" s="58"/>
      <c r="C28" s="13"/>
      <c r="D28" s="64"/>
      <c r="E28" s="58"/>
      <c r="F28" s="30"/>
      <c r="G28" s="58"/>
      <c r="H28" s="58"/>
      <c r="I28" s="58"/>
      <c r="J28" s="58"/>
      <c r="K28" s="6"/>
      <c r="L28" s="6"/>
      <c r="M28" s="6"/>
      <c r="N28" s="61"/>
      <c r="O28" s="67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5.75" customHeight="1">
      <c r="A29" s="49"/>
      <c r="B29" s="68" t="s">
        <v>33</v>
      </c>
      <c r="D29" s="64"/>
      <c r="E29" s="58"/>
      <c r="F29" s="30"/>
      <c r="G29" s="58"/>
      <c r="H29" s="58"/>
      <c r="I29" s="58"/>
      <c r="J29" s="58"/>
      <c r="K29" s="30"/>
      <c r="L29" s="30"/>
      <c r="M29" s="30"/>
      <c r="N29" s="61"/>
      <c r="O29" s="6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5.75" customHeight="1" thickBot="1">
      <c r="A30" s="69"/>
      <c r="B30" s="70"/>
      <c r="C30" s="70"/>
      <c r="D30" s="70"/>
      <c r="E30" s="70"/>
      <c r="F30" s="71"/>
      <c r="G30" s="72"/>
      <c r="H30" s="73"/>
      <c r="I30" s="74"/>
      <c r="J30" s="75"/>
      <c r="K30" s="76"/>
      <c r="L30" s="76"/>
      <c r="M30" s="76"/>
      <c r="N30" s="77"/>
      <c r="O30" s="78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57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57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5.75" customHeight="1"/>
    <row r="228" spans="1:26" ht="15.75" customHeight="1"/>
    <row r="229" spans="1:26" ht="15.75" customHeight="1"/>
    <row r="230" spans="1:26" ht="15.75" customHeight="1"/>
    <row r="231" spans="1:26" ht="15.75" customHeight="1"/>
    <row r="232" spans="1:26" ht="15.75" customHeight="1"/>
    <row r="233" spans="1:26" ht="15.75" customHeight="1"/>
    <row r="234" spans="1:26" ht="15.75" customHeight="1"/>
    <row r="235" spans="1:26" ht="15.75" customHeight="1"/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">
    <mergeCell ref="H9:I9"/>
  </mergeCells>
  <pageMargins left="0.31496062992125984" right="0.31496062992125984" top="0.35433070866141736" bottom="0" header="0" footer="0"/>
  <pageSetup paperSize="9" scale="9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64</vt:i4>
      </vt:variant>
      <vt:variant>
        <vt:lpstr>Rangos con nombre</vt:lpstr>
      </vt:variant>
      <vt:variant>
        <vt:i4>7</vt:i4>
      </vt:variant>
    </vt:vector>
  </HeadingPairs>
  <TitlesOfParts>
    <vt:vector size="71" baseType="lpstr">
      <vt:lpstr>17</vt:lpstr>
      <vt:lpstr>18</vt:lpstr>
      <vt:lpstr>21</vt:lpstr>
      <vt:lpstr>20</vt:lpstr>
      <vt:lpstr>22</vt:lpstr>
      <vt:lpstr>23</vt:lpstr>
      <vt:lpstr>25</vt:lpstr>
      <vt:lpstr>RUMAS C- 26</vt:lpstr>
      <vt:lpstr>Analisis comercial</vt:lpstr>
      <vt:lpstr>Valorizacion</vt:lpstr>
      <vt:lpstr>Liquidacion</vt:lpstr>
      <vt:lpstr>Certificado</vt:lpstr>
      <vt:lpstr>Graph</vt:lpstr>
      <vt:lpstr>26</vt:lpstr>
      <vt:lpstr>27</vt:lpstr>
      <vt:lpstr>28</vt:lpstr>
      <vt:lpstr>29</vt:lpstr>
      <vt:lpstr>19</vt:lpstr>
      <vt:lpstr>24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ruma</vt:lpstr>
      <vt:lpstr>RUC</vt:lpstr>
      <vt:lpstr>Liquidacion con Ag</vt:lpstr>
      <vt:lpstr>RUMAS</vt:lpstr>
      <vt:lpstr>resumen</vt:lpstr>
      <vt:lpstr>Posicion</vt:lpstr>
      <vt:lpstr>Fix</vt:lpstr>
      <vt:lpstr>INVENTARIO </vt:lpstr>
      <vt:lpstr>Shipments</vt:lpstr>
      <vt:lpstr>16</vt:lpstr>
      <vt:lpstr>15</vt:lpstr>
      <vt:lpstr>14</vt:lpstr>
      <vt:lpstr>12</vt:lpstr>
      <vt:lpstr>11</vt:lpstr>
      <vt:lpstr>10</vt:lpstr>
      <vt:lpstr>9</vt:lpstr>
      <vt:lpstr>8</vt:lpstr>
      <vt:lpstr>7</vt:lpstr>
      <vt:lpstr>6</vt:lpstr>
      <vt:lpstr>5</vt:lpstr>
      <vt:lpstr>4</vt:lpstr>
      <vt:lpstr>3</vt:lpstr>
      <vt:lpstr>2</vt:lpstr>
      <vt:lpstr>1.2</vt:lpstr>
      <vt:lpstr>1.1</vt:lpstr>
      <vt:lpstr>data 1</vt:lpstr>
      <vt:lpstr>data 2</vt:lpstr>
      <vt:lpstr>Liquidacion Ag</vt:lpstr>
      <vt:lpstr>Certificado!Área_de_impresión</vt:lpstr>
      <vt:lpstr>Liquidacion!Área_de_impresión</vt:lpstr>
      <vt:lpstr>Certificado!Print_Area</vt:lpstr>
      <vt:lpstr>'INVENTARIO '!Print_Area</vt:lpstr>
      <vt:lpstr>Liquidacion!Print_Area</vt:lpstr>
      <vt:lpstr>'Liquidacion con Ag'!Print_Area</vt:lpstr>
      <vt:lpstr>Valorizacion!Print_Area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IDEAPAD-1</cp:lastModifiedBy>
  <cp:lastPrinted>2026-06-30T17:14:21Z</cp:lastPrinted>
  <dcterms:created xsi:type="dcterms:W3CDTF">2023-11-28T21:11:49Z</dcterms:created>
  <dcterms:modified xsi:type="dcterms:W3CDTF">2026-06-30T20:03:21Z</dcterms:modified>
</cp:coreProperties>
</file>